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606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ntv489/Dropbox (Personal)/GPCRDB_Project_Alignments_and_Similarities/"/>
    </mc:Choice>
  </mc:AlternateContent>
  <bookViews>
    <workbookView xWindow="1000" yWindow="460" windowWidth="32600" windowHeight="20540" tabRatio="500" activeTab="4"/>
  </bookViews>
  <sheets>
    <sheet name="SegEnds_Xtal_Prot#" sheetId="1" r:id="rId1"/>
    <sheet name="SegEnds_Xtal_BW#" sheetId="2" r:id="rId2"/>
    <sheet name="ICL3" sheetId="3" r:id="rId3"/>
    <sheet name="SegEnds_NonXtal_BW#" sheetId="4" r:id="rId4"/>
    <sheet name="SegEnds_NonXtal_Prot#" sheetId="5" r:id="rId5"/>
    <sheet name="Bulges_Constr_NonXtal_GPCRdb#" sheetId="6" r:id="rId6"/>
    <sheet name="Seqs" sheetId="7" r:id="rId7"/>
    <sheet name="Seqs4TemplSearch" sheetId="8" r:id="rId8"/>
    <sheet name="Xtal_Templ" sheetId="9" r:id="rId9"/>
    <sheet name="Classification" sheetId="10" r:id="rId10"/>
    <sheet name="OLD-Templates_ICL3" sheetId="11" r:id="rId11"/>
    <sheet name="SegLen" sheetId="12" r:id="rId12"/>
  </sheets>
  <definedNames>
    <definedName name="_xlnm._FilterDatabase" localSheetId="5" hidden="1">'Bulges_Constr_NonXtal_GPCRdb#'!$A$1:$AD$407</definedName>
    <definedName name="_xlnm._FilterDatabase" localSheetId="3" hidden="1">'SegEnds_NonXtal_BW#'!$A$1:$AJ$407</definedName>
    <definedName name="_xlnm._FilterDatabase" localSheetId="0" hidden="1">'SegEnds_Xtal_Prot#'!$A$1:$CS$210</definedName>
    <definedName name="GPCRdb_alignment" localSheetId="6">Seqs!$A$409:$B$410</definedName>
    <definedName name="human_GPCR_fasta.fas" localSheetId="6">Seqs!$A$8:$B$407</definedName>
    <definedName name="Z_3E3401AF_8459_8641_BD70_AD04F80E86ED_.wvu.FilterData" localSheetId="5" hidden="1">'Bulges_Constr_NonXtal_GPCRdb#'!$A$1:$AD$407</definedName>
    <definedName name="Z_3E3401AF_8459_8641_BD70_AD04F80E86ED_.wvu.FilterData" localSheetId="3" hidden="1">'SegEnds_NonXtal_BW#'!$A$1:$AJ$407</definedName>
    <definedName name="Z_3E3401AF_8459_8641_BD70_AD04F80E86ED_.wvu.FilterData" localSheetId="0" hidden="1">'SegEnds_Xtal_Prot#'!$A$1:$CS$210</definedName>
  </definedNames>
  <calcPr calcId="150001" concurrentCalc="0"/>
  <customWorkbookViews>
    <customWorkbookView name="Microsoft Office User - Personal View" guid="{3E3401AF-8459-8641-BD70-AD04F80E86ED}" mergeInterval="0" personalView="1" maximized="1" windowWidth="1630" windowHeight="854" tabRatio="500" activeSheetId="5"/>
  </customWorkbookViews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Q26" i="2" l="1"/>
  <c r="Q35" i="4"/>
  <c r="F99" i="1"/>
  <c r="A99" i="1"/>
  <c r="D99" i="1"/>
  <c r="H99" i="1"/>
  <c r="J99" i="1"/>
  <c r="L99" i="1"/>
  <c r="N99" i="1"/>
  <c r="P99" i="1"/>
  <c r="R99" i="1"/>
  <c r="T99" i="1"/>
  <c r="V99" i="1"/>
  <c r="X99" i="1"/>
  <c r="Z99" i="1"/>
  <c r="AB99" i="1"/>
  <c r="AD99" i="1"/>
  <c r="AF99" i="1"/>
  <c r="AH99" i="1"/>
  <c r="AJ99" i="1"/>
  <c r="AL99" i="1"/>
  <c r="AN99" i="1"/>
  <c r="AP99" i="1"/>
  <c r="AR99" i="1"/>
  <c r="AT99" i="1"/>
  <c r="AV99" i="1"/>
  <c r="AX99" i="1"/>
  <c r="AZ99" i="1"/>
  <c r="BA99" i="1"/>
  <c r="BB99" i="1"/>
  <c r="CG99" i="1"/>
  <c r="CH99" i="1"/>
  <c r="CI99" i="1"/>
  <c r="CJ99" i="1"/>
  <c r="CK99" i="1"/>
  <c r="CL99" i="1"/>
  <c r="CM99" i="1"/>
  <c r="CN99" i="1"/>
  <c r="CO99" i="1"/>
  <c r="CP99" i="1"/>
  <c r="CQ99" i="1"/>
  <c r="CR99" i="1"/>
  <c r="BU99" i="1"/>
  <c r="BV99" i="1"/>
  <c r="BW99" i="1"/>
  <c r="BX99" i="1"/>
  <c r="BY99" i="1"/>
  <c r="BZ99" i="1"/>
  <c r="CA99" i="1"/>
  <c r="CB99" i="1"/>
  <c r="CC99" i="1"/>
  <c r="CD99" i="1"/>
  <c r="CE99" i="1"/>
  <c r="CF99" i="1"/>
  <c r="BC99" i="1"/>
  <c r="CS99" i="1"/>
  <c r="A98" i="1"/>
  <c r="D98" i="1"/>
  <c r="F98" i="1"/>
  <c r="H98" i="1"/>
  <c r="J98" i="1"/>
  <c r="L98" i="1"/>
  <c r="N98" i="1"/>
  <c r="P98" i="1"/>
  <c r="R98" i="1"/>
  <c r="T98" i="1"/>
  <c r="V98" i="1"/>
  <c r="X98" i="1"/>
  <c r="Z98" i="1"/>
  <c r="AB98" i="1"/>
  <c r="AD98" i="1"/>
  <c r="AF98" i="1"/>
  <c r="AH98" i="1"/>
  <c r="AJ98" i="1"/>
  <c r="AL98" i="1"/>
  <c r="AN98" i="1"/>
  <c r="AP98" i="1"/>
  <c r="AR98" i="1"/>
  <c r="AT98" i="1"/>
  <c r="AV98" i="1"/>
  <c r="AX98" i="1"/>
  <c r="AZ98" i="1"/>
  <c r="BA98" i="1"/>
  <c r="BB98" i="1"/>
  <c r="CG98" i="1"/>
  <c r="CH98" i="1"/>
  <c r="CI98" i="1"/>
  <c r="CJ98" i="1"/>
  <c r="CK98" i="1"/>
  <c r="CL98" i="1"/>
  <c r="CM98" i="1"/>
  <c r="CN98" i="1"/>
  <c r="CO98" i="1"/>
  <c r="CP98" i="1"/>
  <c r="CQ98" i="1"/>
  <c r="CR98" i="1"/>
  <c r="BU98" i="1"/>
  <c r="BV98" i="1"/>
  <c r="BW98" i="1"/>
  <c r="BX98" i="1"/>
  <c r="BY98" i="1"/>
  <c r="BZ98" i="1"/>
  <c r="CA98" i="1"/>
  <c r="CB98" i="1"/>
  <c r="CC98" i="1"/>
  <c r="CD98" i="1"/>
  <c r="CE98" i="1"/>
  <c r="CF98" i="1"/>
  <c r="BC98" i="1"/>
  <c r="CS98" i="1"/>
  <c r="BC91" i="1"/>
  <c r="A91" i="1"/>
  <c r="D91" i="1"/>
  <c r="F91" i="1"/>
  <c r="H91" i="1"/>
  <c r="J91" i="1"/>
  <c r="L91" i="1"/>
  <c r="N91" i="1"/>
  <c r="P91" i="1"/>
  <c r="R91" i="1"/>
  <c r="T91" i="1"/>
  <c r="V91" i="1"/>
  <c r="X91" i="1"/>
  <c r="Z91" i="1"/>
  <c r="AB91" i="1"/>
  <c r="AD91" i="1"/>
  <c r="AF91" i="1"/>
  <c r="AH91" i="1"/>
  <c r="AJ91" i="1"/>
  <c r="AL91" i="1"/>
  <c r="AN91" i="1"/>
  <c r="AP91" i="1"/>
  <c r="AR91" i="1"/>
  <c r="AT91" i="1"/>
  <c r="AV91" i="1"/>
  <c r="AX91" i="1"/>
  <c r="AZ91" i="1"/>
  <c r="BA91" i="1"/>
  <c r="BB91" i="1"/>
  <c r="CG91" i="1"/>
  <c r="CH91" i="1"/>
  <c r="CI91" i="1"/>
  <c r="CJ91" i="1"/>
  <c r="CK91" i="1"/>
  <c r="CL91" i="1"/>
  <c r="CM91" i="1"/>
  <c r="CN91" i="1"/>
  <c r="CO91" i="1"/>
  <c r="CP91" i="1"/>
  <c r="CQ91" i="1"/>
  <c r="CR91" i="1"/>
  <c r="BU91" i="1"/>
  <c r="BV91" i="1"/>
  <c r="BW91" i="1"/>
  <c r="BX91" i="1"/>
  <c r="BY91" i="1"/>
  <c r="BZ91" i="1"/>
  <c r="CA91" i="1"/>
  <c r="CB91" i="1"/>
  <c r="CC91" i="1"/>
  <c r="CD91" i="1"/>
  <c r="CE91" i="1"/>
  <c r="CF91" i="1"/>
  <c r="CS91" i="1"/>
  <c r="AH300" i="4"/>
  <c r="AH294" i="4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T44" i="2"/>
  <c r="B301" i="4"/>
  <c r="T301" i="4"/>
  <c r="AH301" i="4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U294" i="4" a="1"/>
  <c r="U294" i="4"/>
  <c r="AH295" i="4"/>
  <c r="T295" i="4" a="1"/>
  <c r="T295" i="4"/>
  <c r="U46" i="2"/>
  <c r="B311" i="4"/>
  <c r="U311" i="4"/>
  <c r="U44" i="2"/>
  <c r="B304" i="4"/>
  <c r="U304" i="4"/>
  <c r="T46" i="2"/>
  <c r="T311" i="4"/>
  <c r="T304" i="4"/>
  <c r="A18" i="3"/>
  <c r="B18" i="3"/>
  <c r="C18" i="3"/>
  <c r="AD407" i="5"/>
  <c r="AC407" i="5"/>
  <c r="E18" i="3"/>
  <c r="A195" i="1"/>
  <c r="D195" i="1"/>
  <c r="F195" i="1"/>
  <c r="H195" i="1"/>
  <c r="J195" i="1"/>
  <c r="L195" i="1"/>
  <c r="N195" i="1"/>
  <c r="P195" i="1"/>
  <c r="R195" i="1"/>
  <c r="T195" i="1"/>
  <c r="V195" i="1"/>
  <c r="X195" i="1"/>
  <c r="Z195" i="1"/>
  <c r="AB195" i="1"/>
  <c r="AD195" i="1"/>
  <c r="AF195" i="1"/>
  <c r="AH195" i="1"/>
  <c r="AJ195" i="1"/>
  <c r="AL195" i="1"/>
  <c r="AN195" i="1"/>
  <c r="AP195" i="1"/>
  <c r="AR195" i="1"/>
  <c r="AT195" i="1"/>
  <c r="AV195" i="1"/>
  <c r="AX195" i="1"/>
  <c r="AZ195" i="1"/>
  <c r="BA195" i="1"/>
  <c r="BB195" i="1"/>
  <c r="CG195" i="1"/>
  <c r="CH195" i="1"/>
  <c r="CI195" i="1"/>
  <c r="CJ195" i="1"/>
  <c r="CK195" i="1"/>
  <c r="CL195" i="1"/>
  <c r="CM195" i="1"/>
  <c r="CN195" i="1"/>
  <c r="CO195" i="1"/>
  <c r="CP195" i="1"/>
  <c r="CQ195" i="1"/>
  <c r="CR195" i="1"/>
  <c r="BU195" i="1"/>
  <c r="BV195" i="1"/>
  <c r="BW195" i="1"/>
  <c r="BX195" i="1"/>
  <c r="BY195" i="1"/>
  <c r="BZ195" i="1"/>
  <c r="CA195" i="1"/>
  <c r="CB195" i="1"/>
  <c r="CC195" i="1"/>
  <c r="CD195" i="1"/>
  <c r="CE195" i="1"/>
  <c r="CF195" i="1"/>
  <c r="BC195" i="1"/>
  <c r="CS195" i="1"/>
  <c r="A196" i="1"/>
  <c r="D196" i="1"/>
  <c r="F196" i="1"/>
  <c r="H196" i="1"/>
  <c r="J196" i="1"/>
  <c r="L196" i="1"/>
  <c r="N196" i="1"/>
  <c r="P196" i="1"/>
  <c r="R196" i="1"/>
  <c r="T196" i="1"/>
  <c r="V196" i="1"/>
  <c r="X196" i="1"/>
  <c r="Z196" i="1"/>
  <c r="AB196" i="1"/>
  <c r="AD196" i="1"/>
  <c r="AF196" i="1"/>
  <c r="AH196" i="1"/>
  <c r="AJ196" i="1"/>
  <c r="AL196" i="1"/>
  <c r="AN196" i="1"/>
  <c r="AP196" i="1"/>
  <c r="AR196" i="1"/>
  <c r="AT196" i="1"/>
  <c r="AV196" i="1"/>
  <c r="AX196" i="1"/>
  <c r="AZ196" i="1"/>
  <c r="BA196" i="1"/>
  <c r="BB196" i="1"/>
  <c r="CG196" i="1"/>
  <c r="CH196" i="1"/>
  <c r="CI196" i="1"/>
  <c r="CJ196" i="1"/>
  <c r="CK196" i="1"/>
  <c r="CL196" i="1"/>
  <c r="CM196" i="1"/>
  <c r="CN196" i="1"/>
  <c r="CO196" i="1"/>
  <c r="CP196" i="1"/>
  <c r="CQ196" i="1"/>
  <c r="CR196" i="1"/>
  <c r="BU196" i="1"/>
  <c r="BV196" i="1"/>
  <c r="BW196" i="1"/>
  <c r="BX196" i="1"/>
  <c r="BY196" i="1"/>
  <c r="BZ196" i="1"/>
  <c r="CA196" i="1"/>
  <c r="CB196" i="1"/>
  <c r="CC196" i="1"/>
  <c r="CD196" i="1"/>
  <c r="CE196" i="1"/>
  <c r="CF196" i="1"/>
  <c r="BC196" i="1"/>
  <c r="CS196" i="1"/>
  <c r="AM46" i="2"/>
  <c r="M45" i="2"/>
  <c r="B302" i="4"/>
  <c r="M44" i="2"/>
  <c r="M302" i="4"/>
  <c r="R342" i="5"/>
  <c r="L45" i="2"/>
  <c r="L44" i="2"/>
  <c r="L302" i="4"/>
  <c r="Q342" i="5"/>
  <c r="M46" i="2"/>
  <c r="M311" i="4"/>
  <c r="R407" i="5"/>
  <c r="L46" i="2"/>
  <c r="L311" i="4"/>
  <c r="Q407" i="5"/>
  <c r="AL46" i="2"/>
  <c r="O342" i="5"/>
  <c r="J45" i="2"/>
  <c r="J44" i="2"/>
  <c r="J302" i="4"/>
  <c r="N342" i="5"/>
  <c r="O407" i="5"/>
  <c r="J46" i="2"/>
  <c r="J311" i="4"/>
  <c r="N407" i="5"/>
  <c r="AK46" i="2"/>
  <c r="AJ46" i="2"/>
  <c r="K342" i="5"/>
  <c r="K407" i="5"/>
  <c r="AI46" i="2"/>
  <c r="AH46" i="2"/>
  <c r="AG46" i="2"/>
  <c r="I45" i="2"/>
  <c r="I44" i="2"/>
  <c r="I302" i="4"/>
  <c r="L342" i="5"/>
  <c r="I46" i="2"/>
  <c r="I311" i="4"/>
  <c r="L407" i="5"/>
  <c r="AF46" i="2"/>
  <c r="AE46" i="2"/>
  <c r="H407" i="5"/>
  <c r="I407" i="5"/>
  <c r="AD46" i="2"/>
  <c r="D45" i="2"/>
  <c r="D44" i="2"/>
  <c r="D302" i="4"/>
  <c r="E342" i="5"/>
  <c r="D46" i="2"/>
  <c r="D311" i="4"/>
  <c r="E407" i="5"/>
  <c r="F407" i="5"/>
  <c r="AC46" i="2"/>
  <c r="AB46" i="2"/>
  <c r="AA46" i="2"/>
  <c r="Z46" i="2"/>
  <c r="Y46" i="2"/>
  <c r="X46" i="2"/>
  <c r="W46" i="2"/>
  <c r="V46" i="2"/>
  <c r="S46" i="2"/>
  <c r="R46" i="2"/>
  <c r="Q46" i="2"/>
  <c r="P46" i="2"/>
  <c r="O46" i="2"/>
  <c r="N46" i="2"/>
  <c r="K46" i="2"/>
  <c r="H46" i="2"/>
  <c r="G46" i="2"/>
  <c r="F46" i="2"/>
  <c r="E46" i="2"/>
  <c r="C46" i="2"/>
  <c r="C44" i="2"/>
  <c r="C311" i="4"/>
  <c r="E44" i="2"/>
  <c r="E311" i="4"/>
  <c r="F44" i="2"/>
  <c r="F311" i="4"/>
  <c r="N44" i="2"/>
  <c r="N311" i="4"/>
  <c r="O44" i="2"/>
  <c r="O311" i="4"/>
  <c r="P44" i="2"/>
  <c r="P311" i="4"/>
  <c r="Q44" i="2"/>
  <c r="Q311" i="4"/>
  <c r="R44" i="2"/>
  <c r="R311" i="4"/>
  <c r="V44" i="2"/>
  <c r="V311" i="4"/>
  <c r="X44" i="2"/>
  <c r="X311" i="4"/>
  <c r="Y44" i="2"/>
  <c r="Y311" i="4"/>
  <c r="Z44" i="2"/>
  <c r="Z311" i="4"/>
  <c r="AA311" i="4"/>
  <c r="AB311" i="4"/>
  <c r="AC311" i="4"/>
  <c r="AD311" i="4"/>
  <c r="AE311" i="4"/>
  <c r="AF311" i="4"/>
  <c r="AG311" i="4"/>
  <c r="AH311" i="4"/>
  <c r="AI311" i="4"/>
  <c r="AJ311" i="4"/>
  <c r="B407" i="5"/>
  <c r="B310" i="4"/>
  <c r="C310" i="4"/>
  <c r="C407" i="5"/>
  <c r="D310" i="4"/>
  <c r="I310" i="4"/>
  <c r="J310" i="4"/>
  <c r="L310" i="4"/>
  <c r="M310" i="4"/>
  <c r="N310" i="4"/>
  <c r="T407" i="5"/>
  <c r="O310" i="4"/>
  <c r="U407" i="5"/>
  <c r="P310" i="4"/>
  <c r="W407" i="5"/>
  <c r="Q310" i="4"/>
  <c r="X407" i="5"/>
  <c r="Z407" i="5"/>
  <c r="AA407" i="5"/>
  <c r="V310" i="4"/>
  <c r="AF407" i="5"/>
  <c r="AG407" i="5"/>
  <c r="X310" i="4"/>
  <c r="AI407" i="5"/>
  <c r="Y310" i="4"/>
  <c r="AJ407" i="5"/>
  <c r="Z310" i="4"/>
  <c r="AL407" i="5"/>
  <c r="AM407" i="5"/>
  <c r="AN407" i="5"/>
  <c r="AO407" i="5"/>
  <c r="AP407" i="5"/>
  <c r="AQ407" i="5"/>
  <c r="AR407" i="5"/>
  <c r="AS407" i="5"/>
  <c r="AT407" i="5"/>
  <c r="AU407" i="5"/>
  <c r="AV407" i="5"/>
  <c r="AW407" i="5"/>
  <c r="AX407" i="5"/>
  <c r="AY407" i="5"/>
  <c r="AZ407" i="5"/>
  <c r="BA407" i="5"/>
  <c r="BB407" i="5"/>
  <c r="BC407" i="5"/>
  <c r="BD407" i="5"/>
  <c r="BE407" i="5"/>
  <c r="B311" i="6"/>
  <c r="C311" i="6"/>
  <c r="D311" i="6"/>
  <c r="U311" i="6"/>
  <c r="V311" i="6"/>
  <c r="W311" i="6"/>
  <c r="X311" i="6"/>
  <c r="Y311" i="6"/>
  <c r="Z311" i="6"/>
  <c r="AA311" i="6"/>
  <c r="AB311" i="6"/>
  <c r="AC311" i="6"/>
  <c r="AD311" i="6"/>
  <c r="AE311" i="6"/>
  <c r="AF311" i="6"/>
  <c r="AG311" i="6"/>
  <c r="D407" i="9"/>
  <c r="E407" i="9"/>
  <c r="F407" i="9"/>
  <c r="G407" i="9"/>
  <c r="C114" i="7"/>
  <c r="D114" i="7"/>
  <c r="E114" i="7"/>
  <c r="A28" i="3"/>
  <c r="B28" i="3"/>
  <c r="C28" i="3"/>
  <c r="U49" i="2"/>
  <c r="B377" i="4"/>
  <c r="U20" i="2"/>
  <c r="U377" i="4"/>
  <c r="AD399" i="5"/>
  <c r="T49" i="2"/>
  <c r="T20" i="2"/>
  <c r="T377" i="4"/>
  <c r="AC399" i="5"/>
  <c r="E28" i="3"/>
  <c r="A17" i="3"/>
  <c r="B17" i="3"/>
  <c r="C17" i="3"/>
  <c r="AD344" i="5"/>
  <c r="AC344" i="5"/>
  <c r="E17" i="3"/>
  <c r="L26" i="5"/>
  <c r="L27" i="5"/>
  <c r="A194" i="1"/>
  <c r="D194" i="1"/>
  <c r="F194" i="1"/>
  <c r="H194" i="1"/>
  <c r="J194" i="1"/>
  <c r="L194" i="1"/>
  <c r="N194" i="1"/>
  <c r="P194" i="1"/>
  <c r="R194" i="1"/>
  <c r="T194" i="1"/>
  <c r="V194" i="1"/>
  <c r="X194" i="1"/>
  <c r="Z194" i="1"/>
  <c r="AB194" i="1"/>
  <c r="AD194" i="1"/>
  <c r="AF194" i="1"/>
  <c r="AH194" i="1"/>
  <c r="AJ194" i="1"/>
  <c r="AL194" i="1"/>
  <c r="AN194" i="1"/>
  <c r="AP194" i="1"/>
  <c r="AR194" i="1"/>
  <c r="AT194" i="1"/>
  <c r="AV194" i="1"/>
  <c r="AX194" i="1"/>
  <c r="AZ194" i="1"/>
  <c r="BA194" i="1"/>
  <c r="BB194" i="1"/>
  <c r="CG194" i="1"/>
  <c r="CH194" i="1"/>
  <c r="CI194" i="1"/>
  <c r="CJ194" i="1"/>
  <c r="CK194" i="1"/>
  <c r="CL194" i="1"/>
  <c r="CM194" i="1"/>
  <c r="CN194" i="1"/>
  <c r="CO194" i="1"/>
  <c r="CP194" i="1"/>
  <c r="CQ194" i="1"/>
  <c r="CR194" i="1"/>
  <c r="BU194" i="1"/>
  <c r="BV194" i="1"/>
  <c r="BW194" i="1"/>
  <c r="BX194" i="1"/>
  <c r="BY194" i="1"/>
  <c r="BZ194" i="1"/>
  <c r="CA194" i="1"/>
  <c r="CB194" i="1"/>
  <c r="CC194" i="1"/>
  <c r="CD194" i="1"/>
  <c r="CE194" i="1"/>
  <c r="CF194" i="1"/>
  <c r="BC194" i="1"/>
  <c r="CS194" i="1"/>
  <c r="A112" i="1"/>
  <c r="D112" i="1"/>
  <c r="F112" i="1"/>
  <c r="H112" i="1"/>
  <c r="J112" i="1"/>
  <c r="L112" i="1"/>
  <c r="N112" i="1"/>
  <c r="P112" i="1"/>
  <c r="R112" i="1"/>
  <c r="T112" i="1"/>
  <c r="V112" i="1"/>
  <c r="X112" i="1"/>
  <c r="Z112" i="1"/>
  <c r="AB112" i="1"/>
  <c r="AD112" i="1"/>
  <c r="AF112" i="1"/>
  <c r="AH112" i="1"/>
  <c r="AJ112" i="1"/>
  <c r="AL112" i="1"/>
  <c r="AN112" i="1"/>
  <c r="AP112" i="1"/>
  <c r="AR112" i="1"/>
  <c r="AT112" i="1"/>
  <c r="AV112" i="1"/>
  <c r="AX112" i="1"/>
  <c r="AZ112" i="1"/>
  <c r="BA112" i="1"/>
  <c r="BB112" i="1"/>
  <c r="CG112" i="1"/>
  <c r="CH112" i="1"/>
  <c r="CI112" i="1"/>
  <c r="CJ112" i="1"/>
  <c r="CK112" i="1"/>
  <c r="CL112" i="1"/>
  <c r="CM112" i="1"/>
  <c r="CN112" i="1"/>
  <c r="CO112" i="1"/>
  <c r="CP112" i="1"/>
  <c r="CQ112" i="1"/>
  <c r="CR112" i="1"/>
  <c r="BU112" i="1"/>
  <c r="BV112" i="1"/>
  <c r="BW112" i="1"/>
  <c r="BX112" i="1"/>
  <c r="BY112" i="1"/>
  <c r="BZ112" i="1"/>
  <c r="CA112" i="1"/>
  <c r="CB112" i="1"/>
  <c r="CC112" i="1"/>
  <c r="CD112" i="1"/>
  <c r="CE112" i="1"/>
  <c r="CF112" i="1"/>
  <c r="BC112" i="1"/>
  <c r="CS112" i="1"/>
  <c r="A111" i="1"/>
  <c r="D111" i="1"/>
  <c r="F111" i="1"/>
  <c r="H111" i="1"/>
  <c r="J111" i="1"/>
  <c r="L111" i="1"/>
  <c r="N111" i="1"/>
  <c r="P111" i="1"/>
  <c r="R111" i="1"/>
  <c r="T111" i="1"/>
  <c r="V111" i="1"/>
  <c r="X111" i="1"/>
  <c r="Z111" i="1"/>
  <c r="AB111" i="1"/>
  <c r="AD111" i="1"/>
  <c r="AF111" i="1"/>
  <c r="AH111" i="1"/>
  <c r="AJ111" i="1"/>
  <c r="AL111" i="1"/>
  <c r="AN111" i="1"/>
  <c r="AP111" i="1"/>
  <c r="AR111" i="1"/>
  <c r="AT111" i="1"/>
  <c r="AV111" i="1"/>
  <c r="AX111" i="1"/>
  <c r="AZ111" i="1"/>
  <c r="BA111" i="1"/>
  <c r="BB111" i="1"/>
  <c r="CG111" i="1"/>
  <c r="CH111" i="1"/>
  <c r="CI111" i="1"/>
  <c r="CJ111" i="1"/>
  <c r="CK111" i="1"/>
  <c r="CL111" i="1"/>
  <c r="CM111" i="1"/>
  <c r="CN111" i="1"/>
  <c r="CO111" i="1"/>
  <c r="CP111" i="1"/>
  <c r="CQ111" i="1"/>
  <c r="CR111" i="1"/>
  <c r="BU111" i="1"/>
  <c r="BV111" i="1"/>
  <c r="BW111" i="1"/>
  <c r="BX111" i="1"/>
  <c r="BY111" i="1"/>
  <c r="BZ111" i="1"/>
  <c r="CA111" i="1"/>
  <c r="CB111" i="1"/>
  <c r="CC111" i="1"/>
  <c r="CD111" i="1"/>
  <c r="CE111" i="1"/>
  <c r="CF111" i="1"/>
  <c r="BC111" i="1"/>
  <c r="CS111" i="1"/>
  <c r="C17" i="2"/>
  <c r="D17" i="2"/>
  <c r="E17" i="2"/>
  <c r="F17" i="2"/>
  <c r="G17" i="2"/>
  <c r="H17" i="2"/>
  <c r="I17" i="2"/>
  <c r="J17" i="2"/>
  <c r="K17" i="2"/>
  <c r="L17" i="2"/>
  <c r="M17" i="2"/>
  <c r="N17" i="2"/>
  <c r="O17" i="2"/>
  <c r="P17" i="2"/>
  <c r="Q17" i="2"/>
  <c r="R17" i="2"/>
  <c r="S17" i="2"/>
  <c r="T17" i="2"/>
  <c r="U17" i="2"/>
  <c r="V17" i="2"/>
  <c r="W17" i="2"/>
  <c r="X17" i="2"/>
  <c r="Y17" i="2"/>
  <c r="Z17" i="2"/>
  <c r="AA17" i="2"/>
  <c r="AB17" i="2"/>
  <c r="E16" i="2"/>
  <c r="B9" i="4"/>
  <c r="E15" i="2"/>
  <c r="E9" i="4"/>
  <c r="F2" i="5"/>
  <c r="D16" i="2"/>
  <c r="D15" i="2"/>
  <c r="D9" i="4"/>
  <c r="E2" i="5"/>
  <c r="B71" i="4"/>
  <c r="E71" i="4"/>
  <c r="F73" i="5"/>
  <c r="D71" i="4"/>
  <c r="E73" i="5"/>
  <c r="AC17" i="2"/>
  <c r="I2" i="5"/>
  <c r="F16" i="2"/>
  <c r="F15" i="2"/>
  <c r="F9" i="4"/>
  <c r="H2" i="5"/>
  <c r="I73" i="5"/>
  <c r="F71" i="4"/>
  <c r="H73" i="5"/>
  <c r="AD17" i="2"/>
  <c r="AE17" i="2"/>
  <c r="H16" i="2"/>
  <c r="H15" i="2"/>
  <c r="H9" i="4"/>
  <c r="K2" i="5"/>
  <c r="H71" i="4"/>
  <c r="K73" i="5"/>
  <c r="AF17" i="2"/>
  <c r="AG17" i="2"/>
  <c r="AH17" i="2"/>
  <c r="AI17" i="2"/>
  <c r="AJ17" i="2"/>
  <c r="AK17" i="2"/>
  <c r="M16" i="2"/>
  <c r="M15" i="2"/>
  <c r="M9" i="4"/>
  <c r="R2" i="5"/>
  <c r="L16" i="2"/>
  <c r="L15" i="2"/>
  <c r="L9" i="4"/>
  <c r="Q2" i="5"/>
  <c r="M71" i="4"/>
  <c r="R73" i="5"/>
  <c r="L71" i="4"/>
  <c r="Q73" i="5"/>
  <c r="AL17" i="2"/>
  <c r="AM17" i="2"/>
  <c r="A85" i="1"/>
  <c r="D85" i="1"/>
  <c r="F85" i="1"/>
  <c r="H85" i="1"/>
  <c r="J85" i="1"/>
  <c r="L85" i="1"/>
  <c r="N85" i="1"/>
  <c r="P85" i="1"/>
  <c r="R85" i="1"/>
  <c r="T85" i="1"/>
  <c r="V85" i="1"/>
  <c r="X85" i="1"/>
  <c r="Z85" i="1"/>
  <c r="AB85" i="1"/>
  <c r="AD85" i="1"/>
  <c r="AF85" i="1"/>
  <c r="AH85" i="1"/>
  <c r="AJ85" i="1"/>
  <c r="AL85" i="1"/>
  <c r="AN85" i="1"/>
  <c r="AP85" i="1"/>
  <c r="AR85" i="1"/>
  <c r="AT85" i="1"/>
  <c r="AV85" i="1"/>
  <c r="AX85" i="1"/>
  <c r="AZ85" i="1"/>
  <c r="BA85" i="1"/>
  <c r="BB85" i="1"/>
  <c r="CG85" i="1"/>
  <c r="CH85" i="1"/>
  <c r="CI85" i="1"/>
  <c r="CJ85" i="1"/>
  <c r="CK85" i="1"/>
  <c r="CL85" i="1"/>
  <c r="CM85" i="1"/>
  <c r="CN85" i="1"/>
  <c r="CO85" i="1"/>
  <c r="CP85" i="1"/>
  <c r="CQ85" i="1"/>
  <c r="CR85" i="1"/>
  <c r="BU85" i="1"/>
  <c r="BV85" i="1"/>
  <c r="BW85" i="1"/>
  <c r="BX85" i="1"/>
  <c r="BY85" i="1"/>
  <c r="BZ85" i="1"/>
  <c r="CA85" i="1"/>
  <c r="CB85" i="1"/>
  <c r="CC85" i="1"/>
  <c r="CD85" i="1"/>
  <c r="CE85" i="1"/>
  <c r="CF85" i="1"/>
  <c r="BC85" i="1"/>
  <c r="CS85" i="1"/>
  <c r="A86" i="1"/>
  <c r="D86" i="1"/>
  <c r="F86" i="1"/>
  <c r="H86" i="1"/>
  <c r="J86" i="1"/>
  <c r="L86" i="1"/>
  <c r="N86" i="1"/>
  <c r="P86" i="1"/>
  <c r="R86" i="1"/>
  <c r="T86" i="1"/>
  <c r="V86" i="1"/>
  <c r="X86" i="1"/>
  <c r="Z86" i="1"/>
  <c r="AB86" i="1"/>
  <c r="AD86" i="1"/>
  <c r="AF86" i="1"/>
  <c r="AH86" i="1"/>
  <c r="AJ86" i="1"/>
  <c r="AL86" i="1"/>
  <c r="AN86" i="1"/>
  <c r="AP86" i="1"/>
  <c r="AR86" i="1"/>
  <c r="AT86" i="1"/>
  <c r="AV86" i="1"/>
  <c r="AX86" i="1"/>
  <c r="AZ86" i="1"/>
  <c r="BA86" i="1"/>
  <c r="BB86" i="1"/>
  <c r="CG86" i="1"/>
  <c r="CH86" i="1"/>
  <c r="CI86" i="1"/>
  <c r="CJ86" i="1"/>
  <c r="CK86" i="1"/>
  <c r="CL86" i="1"/>
  <c r="CM86" i="1"/>
  <c r="CN86" i="1"/>
  <c r="CO86" i="1"/>
  <c r="CP86" i="1"/>
  <c r="CQ86" i="1"/>
  <c r="CR86" i="1"/>
  <c r="BU86" i="1"/>
  <c r="BV86" i="1"/>
  <c r="BW86" i="1"/>
  <c r="BX86" i="1"/>
  <c r="BY86" i="1"/>
  <c r="BZ86" i="1"/>
  <c r="CA86" i="1"/>
  <c r="CB86" i="1"/>
  <c r="CC86" i="1"/>
  <c r="CD86" i="1"/>
  <c r="CE86" i="1"/>
  <c r="CF86" i="1"/>
  <c r="BC86" i="1"/>
  <c r="CS86" i="1"/>
  <c r="A35" i="1"/>
  <c r="D35" i="1"/>
  <c r="F35" i="1"/>
  <c r="H35" i="1"/>
  <c r="J35" i="1"/>
  <c r="L35" i="1"/>
  <c r="N35" i="1"/>
  <c r="P35" i="1"/>
  <c r="R35" i="1"/>
  <c r="T35" i="1"/>
  <c r="V35" i="1"/>
  <c r="X35" i="1"/>
  <c r="Z35" i="1"/>
  <c r="AB35" i="1"/>
  <c r="AD35" i="1"/>
  <c r="AF35" i="1"/>
  <c r="AH35" i="1"/>
  <c r="AJ35" i="1"/>
  <c r="AL35" i="1"/>
  <c r="AN35" i="1"/>
  <c r="AP35" i="1"/>
  <c r="AR35" i="1"/>
  <c r="AT35" i="1"/>
  <c r="AV35" i="1"/>
  <c r="AX35" i="1"/>
  <c r="AZ35" i="1"/>
  <c r="BA35" i="1"/>
  <c r="BB35" i="1"/>
  <c r="CG35" i="1"/>
  <c r="CH35" i="1"/>
  <c r="CI35" i="1"/>
  <c r="CJ35" i="1"/>
  <c r="CK35" i="1"/>
  <c r="CL35" i="1"/>
  <c r="CM35" i="1"/>
  <c r="CN35" i="1"/>
  <c r="CO35" i="1"/>
  <c r="CP35" i="1"/>
  <c r="CQ35" i="1"/>
  <c r="CR35" i="1"/>
  <c r="BU35" i="1"/>
  <c r="BV35" i="1"/>
  <c r="BW35" i="1"/>
  <c r="BX35" i="1"/>
  <c r="BY35" i="1"/>
  <c r="BZ35" i="1"/>
  <c r="CA35" i="1"/>
  <c r="CB35" i="1"/>
  <c r="CC35" i="1"/>
  <c r="CD35" i="1"/>
  <c r="CE35" i="1"/>
  <c r="CF35" i="1"/>
  <c r="BC35" i="1"/>
  <c r="CS35" i="1"/>
  <c r="A34" i="1"/>
  <c r="D34" i="1"/>
  <c r="F34" i="1"/>
  <c r="H34" i="1"/>
  <c r="J34" i="1"/>
  <c r="L34" i="1"/>
  <c r="N34" i="1"/>
  <c r="P34" i="1"/>
  <c r="R34" i="1"/>
  <c r="T34" i="1"/>
  <c r="V34" i="1"/>
  <c r="X34" i="1"/>
  <c r="Z34" i="1"/>
  <c r="AB34" i="1"/>
  <c r="AD34" i="1"/>
  <c r="AF34" i="1"/>
  <c r="AH34" i="1"/>
  <c r="AJ34" i="1"/>
  <c r="AL34" i="1"/>
  <c r="AN34" i="1"/>
  <c r="AP34" i="1"/>
  <c r="AR34" i="1"/>
  <c r="AT34" i="1"/>
  <c r="AV34" i="1"/>
  <c r="AX34" i="1"/>
  <c r="AZ34" i="1"/>
  <c r="BA34" i="1"/>
  <c r="BB34" i="1"/>
  <c r="CG34" i="1"/>
  <c r="CH34" i="1"/>
  <c r="CI34" i="1"/>
  <c r="CJ34" i="1"/>
  <c r="CK34" i="1"/>
  <c r="CL34" i="1"/>
  <c r="CM34" i="1"/>
  <c r="CN34" i="1"/>
  <c r="CO34" i="1"/>
  <c r="CP34" i="1"/>
  <c r="CQ34" i="1"/>
  <c r="CR34" i="1"/>
  <c r="BU34" i="1"/>
  <c r="BV34" i="1"/>
  <c r="BW34" i="1"/>
  <c r="BX34" i="1"/>
  <c r="BY34" i="1"/>
  <c r="BZ34" i="1"/>
  <c r="CA34" i="1"/>
  <c r="CB34" i="1"/>
  <c r="CC34" i="1"/>
  <c r="CD34" i="1"/>
  <c r="CE34" i="1"/>
  <c r="CF34" i="1"/>
  <c r="BC34" i="1"/>
  <c r="CS34" i="1"/>
  <c r="S29" i="2"/>
  <c r="P29" i="2"/>
  <c r="O12" i="2"/>
  <c r="B107" i="4"/>
  <c r="O24" i="2"/>
  <c r="O107" i="4"/>
  <c r="B247" i="4"/>
  <c r="O247" i="4"/>
  <c r="B163" i="4"/>
  <c r="O163" i="4"/>
  <c r="O13" i="2"/>
  <c r="B164" i="4"/>
  <c r="O33" i="2"/>
  <c r="O164" i="4"/>
  <c r="O15" i="2"/>
  <c r="B162" i="4"/>
  <c r="O2" i="2"/>
  <c r="O162" i="4"/>
  <c r="O34" i="2"/>
  <c r="B168" i="4"/>
  <c r="O168" i="4"/>
  <c r="O14" i="2"/>
  <c r="B266" i="4"/>
  <c r="O37" i="2"/>
  <c r="O266" i="4"/>
  <c r="B154" i="4"/>
  <c r="O4" i="2"/>
  <c r="O154" i="4"/>
  <c r="O26" i="2"/>
  <c r="B268" i="4"/>
  <c r="O268" i="4"/>
  <c r="B59" i="4"/>
  <c r="O25" i="2"/>
  <c r="O59" i="4"/>
  <c r="B175" i="4"/>
  <c r="O11" i="2"/>
  <c r="O175" i="4"/>
  <c r="B173" i="4"/>
  <c r="O173" i="4"/>
  <c r="B219" i="4"/>
  <c r="O27" i="2"/>
  <c r="O219" i="4"/>
  <c r="B186" i="4"/>
  <c r="O186" i="4"/>
  <c r="B28" i="4"/>
  <c r="O28" i="4"/>
  <c r="B27" i="4"/>
  <c r="O27" i="4"/>
  <c r="B225" i="4"/>
  <c r="O40" i="2"/>
  <c r="O225" i="4"/>
  <c r="O32" i="2"/>
  <c r="B150" i="4"/>
  <c r="O31" i="2"/>
  <c r="O150" i="4"/>
  <c r="B252" i="4"/>
  <c r="O6" i="2"/>
  <c r="O252" i="4"/>
  <c r="B223" i="4"/>
  <c r="O18" i="2"/>
  <c r="O223" i="4"/>
  <c r="O16" i="2"/>
  <c r="B226" i="4"/>
  <c r="O36" i="2"/>
  <c r="O226" i="4"/>
  <c r="O22" i="2"/>
  <c r="B97" i="4"/>
  <c r="O97" i="4"/>
  <c r="B174" i="4"/>
  <c r="O174" i="4"/>
  <c r="Q25" i="2"/>
  <c r="B274" i="4"/>
  <c r="O274" i="4"/>
  <c r="B271" i="4"/>
  <c r="O271" i="4"/>
  <c r="B118" i="4"/>
  <c r="O118" i="4"/>
  <c r="B238" i="4"/>
  <c r="O238" i="4"/>
  <c r="B120" i="4"/>
  <c r="O5" i="2"/>
  <c r="O120" i="4"/>
  <c r="B222" i="4"/>
  <c r="O222" i="4"/>
  <c r="B194" i="4"/>
  <c r="O194" i="4"/>
  <c r="B195" i="4"/>
  <c r="O195" i="4"/>
  <c r="B196" i="4"/>
  <c r="O196" i="4"/>
  <c r="B142" i="4"/>
  <c r="O142" i="4"/>
  <c r="B292" i="4"/>
  <c r="O292" i="4"/>
  <c r="B148" i="4"/>
  <c r="O148" i="4"/>
  <c r="B293" i="4"/>
  <c r="O293" i="4"/>
  <c r="O39" i="2"/>
  <c r="B270" i="4"/>
  <c r="O270" i="4"/>
  <c r="B193" i="4"/>
  <c r="O193" i="4"/>
  <c r="B192" i="4"/>
  <c r="O192" i="4"/>
  <c r="B122" i="4"/>
  <c r="O122" i="4"/>
  <c r="B205" i="4"/>
  <c r="O205" i="4"/>
  <c r="B152" i="4"/>
  <c r="O152" i="4"/>
  <c r="B8" i="4"/>
  <c r="O8" i="4"/>
  <c r="O19" i="2"/>
  <c r="B269" i="4"/>
  <c r="O269" i="4"/>
  <c r="B41" i="4"/>
  <c r="O41" i="4"/>
  <c r="B43" i="4"/>
  <c r="O43" i="4"/>
  <c r="B171" i="4"/>
  <c r="O38" i="2"/>
  <c r="O171" i="4"/>
  <c r="B260" i="4"/>
  <c r="O260" i="4"/>
  <c r="B95" i="4"/>
  <c r="O95" i="4"/>
  <c r="B12" i="4"/>
  <c r="O12" i="4"/>
  <c r="O20" i="2"/>
  <c r="B73" i="4"/>
  <c r="O73" i="4"/>
  <c r="B45" i="4"/>
  <c r="O45" i="4"/>
  <c r="B47" i="4"/>
  <c r="O47" i="4"/>
  <c r="B276" i="4"/>
  <c r="O276" i="4"/>
  <c r="B42" i="4"/>
  <c r="O42" i="4"/>
  <c r="B13" i="4"/>
  <c r="O30" i="2"/>
  <c r="O13" i="4"/>
  <c r="M20" i="2"/>
  <c r="O41" i="2"/>
  <c r="B26" i="4"/>
  <c r="O26" i="4"/>
  <c r="B217" i="4"/>
  <c r="O29" i="2"/>
  <c r="O217" i="4"/>
  <c r="B143" i="4"/>
  <c r="O143" i="4"/>
  <c r="B265" i="4"/>
  <c r="O265" i="4"/>
  <c r="B144" i="4"/>
  <c r="O144" i="4"/>
  <c r="B211" i="4"/>
  <c r="O211" i="4"/>
  <c r="B216" i="4"/>
  <c r="O216" i="4"/>
  <c r="B139" i="4"/>
  <c r="O139" i="4"/>
  <c r="B101" i="4"/>
  <c r="O101" i="4"/>
  <c r="B183" i="4"/>
  <c r="O183" i="4"/>
  <c r="B218" i="4"/>
  <c r="O218" i="4"/>
  <c r="B121" i="4"/>
  <c r="O121" i="4"/>
  <c r="B153" i="4"/>
  <c r="O153" i="4"/>
  <c r="B213" i="4"/>
  <c r="O213" i="4"/>
  <c r="B215" i="4"/>
  <c r="O215" i="4"/>
  <c r="B214" i="4"/>
  <c r="O214" i="4"/>
  <c r="B102" i="4"/>
  <c r="O102" i="4"/>
  <c r="B278" i="4"/>
  <c r="O278" i="4"/>
  <c r="B288" i="4"/>
  <c r="O288" i="4"/>
  <c r="B287" i="4"/>
  <c r="O287" i="4"/>
  <c r="B229" i="4"/>
  <c r="O229" i="4"/>
  <c r="B284" i="4"/>
  <c r="O284" i="4"/>
  <c r="B7" i="4"/>
  <c r="O7" i="4"/>
  <c r="B289" i="4"/>
  <c r="O289" i="4"/>
  <c r="B156" i="4"/>
  <c r="O156" i="4"/>
  <c r="B86" i="4"/>
  <c r="O86" i="4"/>
  <c r="B207" i="4"/>
  <c r="O207" i="4"/>
  <c r="B210" i="4"/>
  <c r="O210" i="4"/>
  <c r="B209" i="4"/>
  <c r="O209" i="4"/>
  <c r="B129" i="4"/>
  <c r="O129" i="4"/>
  <c r="B255" i="4"/>
  <c r="O255" i="4"/>
  <c r="B208" i="4"/>
  <c r="O208" i="4"/>
  <c r="B227" i="4"/>
  <c r="O227" i="4"/>
  <c r="B212" i="4"/>
  <c r="O212" i="4"/>
  <c r="B108" i="4"/>
  <c r="O108" i="4"/>
  <c r="B279" i="4"/>
  <c r="O279" i="4"/>
  <c r="B286" i="4"/>
  <c r="O286" i="4"/>
  <c r="B285" i="4"/>
  <c r="O285" i="4"/>
  <c r="B78" i="4"/>
  <c r="O78" i="4"/>
  <c r="B283" i="4"/>
  <c r="O283" i="4"/>
  <c r="B6" i="4"/>
  <c r="O6" i="4"/>
  <c r="B277" i="4"/>
  <c r="O277" i="4"/>
  <c r="B3" i="4"/>
  <c r="O3" i="4"/>
  <c r="B188" i="4"/>
  <c r="O188" i="4"/>
  <c r="B190" i="4"/>
  <c r="O190" i="4"/>
  <c r="B189" i="4"/>
  <c r="O189" i="4"/>
  <c r="B280" i="4"/>
  <c r="O280" i="4"/>
  <c r="B111" i="4"/>
  <c r="O111" i="4"/>
  <c r="B34" i="4"/>
  <c r="O34" i="4"/>
  <c r="B253" i="4"/>
  <c r="O8" i="2"/>
  <c r="O253" i="4"/>
  <c r="B4" i="4"/>
  <c r="O4" i="4"/>
  <c r="B248" i="4"/>
  <c r="O248" i="4"/>
  <c r="B187" i="4"/>
  <c r="O187" i="4"/>
  <c r="B117" i="4"/>
  <c r="O117" i="4"/>
  <c r="B112" i="4"/>
  <c r="O112" i="4"/>
  <c r="B177" i="4"/>
  <c r="O177" i="4"/>
  <c r="O28" i="2"/>
  <c r="B136" i="4"/>
  <c r="O136" i="4"/>
  <c r="B109" i="4"/>
  <c r="O109" i="4"/>
  <c r="B110" i="4"/>
  <c r="O110" i="4"/>
  <c r="B206" i="4"/>
  <c r="O206" i="4"/>
  <c r="B161" i="4"/>
  <c r="O161" i="4"/>
  <c r="B157" i="4"/>
  <c r="O157" i="4"/>
  <c r="B158" i="4"/>
  <c r="O158" i="4"/>
  <c r="B124" i="4"/>
  <c r="O124" i="4"/>
  <c r="B246" i="4"/>
  <c r="O246" i="4"/>
  <c r="B290" i="4"/>
  <c r="O35" i="2"/>
  <c r="O290" i="4"/>
  <c r="B21" i="4"/>
  <c r="O21" i="4"/>
  <c r="B20" i="4"/>
  <c r="O20" i="4"/>
  <c r="B24" i="4"/>
  <c r="O24" i="4"/>
  <c r="B23" i="4"/>
  <c r="O23" i="4"/>
  <c r="B22" i="4"/>
  <c r="O22" i="4"/>
  <c r="B198" i="4"/>
  <c r="O198" i="4"/>
  <c r="B19" i="4"/>
  <c r="O19" i="4"/>
  <c r="H27" i="2"/>
  <c r="B85" i="4"/>
  <c r="O85" i="4"/>
  <c r="B133" i="4"/>
  <c r="O133" i="4"/>
  <c r="B230" i="4"/>
  <c r="O230" i="4"/>
  <c r="B262" i="4"/>
  <c r="O262" i="4"/>
  <c r="B294" i="4"/>
  <c r="O294" i="4"/>
  <c r="B14" i="4"/>
  <c r="O14" i="4"/>
  <c r="B197" i="4"/>
  <c r="O197" i="4"/>
  <c r="B220" i="4"/>
  <c r="O220" i="4"/>
  <c r="O9" i="4"/>
  <c r="E36" i="2"/>
  <c r="E14" i="4"/>
  <c r="B35" i="4"/>
  <c r="O35" i="4"/>
  <c r="B241" i="4"/>
  <c r="O241" i="4"/>
  <c r="B240" i="4"/>
  <c r="O240" i="4"/>
  <c r="H14" i="2"/>
  <c r="H26" i="2"/>
  <c r="H29" i="2"/>
  <c r="H35" i="4"/>
  <c r="H6" i="2"/>
  <c r="H11" i="2"/>
  <c r="B221" i="4"/>
  <c r="O221" i="4"/>
  <c r="B30" i="4"/>
  <c r="O30" i="4"/>
  <c r="B31" i="4"/>
  <c r="O31" i="4"/>
  <c r="B29" i="4"/>
  <c r="O29" i="4"/>
  <c r="B32" i="4"/>
  <c r="O49" i="2"/>
  <c r="O32" i="4"/>
  <c r="Q18" i="2"/>
  <c r="B103" i="4"/>
  <c r="O103" i="4"/>
  <c r="B15" i="4"/>
  <c r="O15" i="4"/>
  <c r="B237" i="4"/>
  <c r="O237" i="4"/>
  <c r="B25" i="4"/>
  <c r="O25" i="4"/>
  <c r="B17" i="4"/>
  <c r="O17" i="4"/>
  <c r="B18" i="4"/>
  <c r="O18" i="4"/>
  <c r="B89" i="4"/>
  <c r="O89" i="4"/>
  <c r="O21" i="2"/>
  <c r="B81" i="4"/>
  <c r="O81" i="4"/>
  <c r="B79" i="4"/>
  <c r="O79" i="4"/>
  <c r="B167" i="4"/>
  <c r="O167" i="4"/>
  <c r="B33" i="4"/>
  <c r="O33" i="4"/>
  <c r="M41" i="2"/>
  <c r="B166" i="4"/>
  <c r="M166" i="4"/>
  <c r="B125" i="4"/>
  <c r="O125" i="4"/>
  <c r="O3" i="2"/>
  <c r="B10" i="4"/>
  <c r="O10" i="4"/>
  <c r="N3" i="2"/>
  <c r="X12" i="2"/>
  <c r="B50" i="4"/>
  <c r="X18" i="2"/>
  <c r="X50" i="4"/>
  <c r="R168" i="5"/>
  <c r="D406" i="9"/>
  <c r="F406" i="9"/>
  <c r="G406" i="9"/>
  <c r="E406" i="9"/>
  <c r="D405" i="9"/>
  <c r="F405" i="9"/>
  <c r="G405" i="9"/>
  <c r="E405" i="9"/>
  <c r="D404" i="9"/>
  <c r="F404" i="9"/>
  <c r="G404" i="9"/>
  <c r="E404" i="9"/>
  <c r="D403" i="9"/>
  <c r="F403" i="9"/>
  <c r="G403" i="9"/>
  <c r="E403" i="9"/>
  <c r="D402" i="9"/>
  <c r="F402" i="9"/>
  <c r="G402" i="9"/>
  <c r="E402" i="9"/>
  <c r="D401" i="9"/>
  <c r="F401" i="9"/>
  <c r="G401" i="9"/>
  <c r="E401" i="9"/>
  <c r="D400" i="9"/>
  <c r="F400" i="9"/>
  <c r="G400" i="9"/>
  <c r="E400" i="9"/>
  <c r="D399" i="9"/>
  <c r="F399" i="9"/>
  <c r="G399" i="9"/>
  <c r="E399" i="9"/>
  <c r="D398" i="9"/>
  <c r="F398" i="9"/>
  <c r="G398" i="9"/>
  <c r="E398" i="9"/>
  <c r="D397" i="9"/>
  <c r="F397" i="9"/>
  <c r="G397" i="9"/>
  <c r="E397" i="9"/>
  <c r="D396" i="9"/>
  <c r="F396" i="9"/>
  <c r="G396" i="9"/>
  <c r="E396" i="9"/>
  <c r="D395" i="9"/>
  <c r="F395" i="9"/>
  <c r="G395" i="9"/>
  <c r="E395" i="9"/>
  <c r="D394" i="9"/>
  <c r="F394" i="9"/>
  <c r="G394" i="9"/>
  <c r="E394" i="9"/>
  <c r="D393" i="9"/>
  <c r="F393" i="9"/>
  <c r="G393" i="9"/>
  <c r="E393" i="9"/>
  <c r="D392" i="9"/>
  <c r="F392" i="9"/>
  <c r="G392" i="9"/>
  <c r="E392" i="9"/>
  <c r="D391" i="9"/>
  <c r="F391" i="9"/>
  <c r="G391" i="9"/>
  <c r="E391" i="9"/>
  <c r="D390" i="9"/>
  <c r="F390" i="9"/>
  <c r="G390" i="9"/>
  <c r="E390" i="9"/>
  <c r="D389" i="9"/>
  <c r="F389" i="9"/>
  <c r="G389" i="9"/>
  <c r="E389" i="9"/>
  <c r="D388" i="9"/>
  <c r="F388" i="9"/>
  <c r="G388" i="9"/>
  <c r="E388" i="9"/>
  <c r="D387" i="9"/>
  <c r="F387" i="9"/>
  <c r="G387" i="9"/>
  <c r="E387" i="9"/>
  <c r="D386" i="9"/>
  <c r="F386" i="9"/>
  <c r="G386" i="9"/>
  <c r="E386" i="9"/>
  <c r="D385" i="9"/>
  <c r="F385" i="9"/>
  <c r="G385" i="9"/>
  <c r="E385" i="9"/>
  <c r="D384" i="9"/>
  <c r="F384" i="9"/>
  <c r="G384" i="9"/>
  <c r="E384" i="9"/>
  <c r="D383" i="9"/>
  <c r="F383" i="9"/>
  <c r="G383" i="9"/>
  <c r="E383" i="9"/>
  <c r="D382" i="9"/>
  <c r="F382" i="9"/>
  <c r="G382" i="9"/>
  <c r="E382" i="9"/>
  <c r="D381" i="9"/>
  <c r="F381" i="9"/>
  <c r="G381" i="9"/>
  <c r="E381" i="9"/>
  <c r="D380" i="9"/>
  <c r="F380" i="9"/>
  <c r="G380" i="9"/>
  <c r="E380" i="9"/>
  <c r="D379" i="9"/>
  <c r="F379" i="9"/>
  <c r="G379" i="9"/>
  <c r="E379" i="9"/>
  <c r="D378" i="9"/>
  <c r="F378" i="9"/>
  <c r="G378" i="9"/>
  <c r="E378" i="9"/>
  <c r="D377" i="9"/>
  <c r="F377" i="9"/>
  <c r="G377" i="9"/>
  <c r="E377" i="9"/>
  <c r="D376" i="9"/>
  <c r="F376" i="9"/>
  <c r="G376" i="9"/>
  <c r="E376" i="9"/>
  <c r="D375" i="9"/>
  <c r="F375" i="9"/>
  <c r="G375" i="9"/>
  <c r="E375" i="9"/>
  <c r="D374" i="9"/>
  <c r="F374" i="9"/>
  <c r="G374" i="9"/>
  <c r="E374" i="9"/>
  <c r="D373" i="9"/>
  <c r="F373" i="9"/>
  <c r="G373" i="9"/>
  <c r="E373" i="9"/>
  <c r="D372" i="9"/>
  <c r="F372" i="9"/>
  <c r="G372" i="9"/>
  <c r="E372" i="9"/>
  <c r="D371" i="9"/>
  <c r="F371" i="9"/>
  <c r="G371" i="9"/>
  <c r="E371" i="9"/>
  <c r="D370" i="9"/>
  <c r="F370" i="9"/>
  <c r="G370" i="9"/>
  <c r="E370" i="9"/>
  <c r="D369" i="9"/>
  <c r="F369" i="9"/>
  <c r="G369" i="9"/>
  <c r="E369" i="9"/>
  <c r="D368" i="9"/>
  <c r="F368" i="9"/>
  <c r="G368" i="9"/>
  <c r="E368" i="9"/>
  <c r="D367" i="9"/>
  <c r="F367" i="9"/>
  <c r="G367" i="9"/>
  <c r="E367" i="9"/>
  <c r="D366" i="9"/>
  <c r="F366" i="9"/>
  <c r="G366" i="9"/>
  <c r="E366" i="9"/>
  <c r="D365" i="9"/>
  <c r="F365" i="9"/>
  <c r="G365" i="9"/>
  <c r="E365" i="9"/>
  <c r="D364" i="9"/>
  <c r="F364" i="9"/>
  <c r="G364" i="9"/>
  <c r="E364" i="9"/>
  <c r="D363" i="9"/>
  <c r="F363" i="9"/>
  <c r="G363" i="9"/>
  <c r="E363" i="9"/>
  <c r="D362" i="9"/>
  <c r="F362" i="9"/>
  <c r="G362" i="9"/>
  <c r="E362" i="9"/>
  <c r="D361" i="9"/>
  <c r="F361" i="9"/>
  <c r="G361" i="9"/>
  <c r="E361" i="9"/>
  <c r="D360" i="9"/>
  <c r="F360" i="9"/>
  <c r="G360" i="9"/>
  <c r="E360" i="9"/>
  <c r="D359" i="9"/>
  <c r="F359" i="9"/>
  <c r="G359" i="9"/>
  <c r="E359" i="9"/>
  <c r="D358" i="9"/>
  <c r="F358" i="9"/>
  <c r="G358" i="9"/>
  <c r="E358" i="9"/>
  <c r="D357" i="9"/>
  <c r="F357" i="9"/>
  <c r="G357" i="9"/>
  <c r="E357" i="9"/>
  <c r="D356" i="9"/>
  <c r="F356" i="9"/>
  <c r="G356" i="9"/>
  <c r="E356" i="9"/>
  <c r="D355" i="9"/>
  <c r="F355" i="9"/>
  <c r="G355" i="9"/>
  <c r="E355" i="9"/>
  <c r="D354" i="9"/>
  <c r="F354" i="9"/>
  <c r="G354" i="9"/>
  <c r="E354" i="9"/>
  <c r="D353" i="9"/>
  <c r="F353" i="9"/>
  <c r="G353" i="9"/>
  <c r="E353" i="9"/>
  <c r="D352" i="9"/>
  <c r="F352" i="9"/>
  <c r="G352" i="9"/>
  <c r="E352" i="9"/>
  <c r="D351" i="9"/>
  <c r="F351" i="9"/>
  <c r="G351" i="9"/>
  <c r="E351" i="9"/>
  <c r="D350" i="9"/>
  <c r="F350" i="9"/>
  <c r="G350" i="9"/>
  <c r="E350" i="9"/>
  <c r="D349" i="9"/>
  <c r="F349" i="9"/>
  <c r="G349" i="9"/>
  <c r="E349" i="9"/>
  <c r="D348" i="9"/>
  <c r="F348" i="9"/>
  <c r="G348" i="9"/>
  <c r="E348" i="9"/>
  <c r="D347" i="9"/>
  <c r="F347" i="9"/>
  <c r="G347" i="9"/>
  <c r="E347" i="9"/>
  <c r="D346" i="9"/>
  <c r="F346" i="9"/>
  <c r="G346" i="9"/>
  <c r="E346" i="9"/>
  <c r="D345" i="9"/>
  <c r="F345" i="9"/>
  <c r="G345" i="9"/>
  <c r="E345" i="9"/>
  <c r="D344" i="9"/>
  <c r="F344" i="9"/>
  <c r="G344" i="9"/>
  <c r="E344" i="9"/>
  <c r="D343" i="9"/>
  <c r="F343" i="9"/>
  <c r="G343" i="9"/>
  <c r="E343" i="9"/>
  <c r="D342" i="9"/>
  <c r="F342" i="9"/>
  <c r="G342" i="9"/>
  <c r="E342" i="9"/>
  <c r="D341" i="9"/>
  <c r="F341" i="9"/>
  <c r="G341" i="9"/>
  <c r="E341" i="9"/>
  <c r="D340" i="9"/>
  <c r="F340" i="9"/>
  <c r="G340" i="9"/>
  <c r="E340" i="9"/>
  <c r="D339" i="9"/>
  <c r="F339" i="9"/>
  <c r="G339" i="9"/>
  <c r="E339" i="9"/>
  <c r="D338" i="9"/>
  <c r="F338" i="9"/>
  <c r="G338" i="9"/>
  <c r="E338" i="9"/>
  <c r="D337" i="9"/>
  <c r="F337" i="9"/>
  <c r="G337" i="9"/>
  <c r="E337" i="9"/>
  <c r="D336" i="9"/>
  <c r="F336" i="9"/>
  <c r="G336" i="9"/>
  <c r="E336" i="9"/>
  <c r="D335" i="9"/>
  <c r="F335" i="9"/>
  <c r="G335" i="9"/>
  <c r="E335" i="9"/>
  <c r="D334" i="9"/>
  <c r="F334" i="9"/>
  <c r="G334" i="9"/>
  <c r="E334" i="9"/>
  <c r="D333" i="9"/>
  <c r="F333" i="9"/>
  <c r="G333" i="9"/>
  <c r="E333" i="9"/>
  <c r="D332" i="9"/>
  <c r="F332" i="9"/>
  <c r="G332" i="9"/>
  <c r="E332" i="9"/>
  <c r="D331" i="9"/>
  <c r="F331" i="9"/>
  <c r="G331" i="9"/>
  <c r="E331" i="9"/>
  <c r="D330" i="9"/>
  <c r="F330" i="9"/>
  <c r="G330" i="9"/>
  <c r="E330" i="9"/>
  <c r="D329" i="9"/>
  <c r="F329" i="9"/>
  <c r="G329" i="9"/>
  <c r="E329" i="9"/>
  <c r="D328" i="9"/>
  <c r="F328" i="9"/>
  <c r="G328" i="9"/>
  <c r="E328" i="9"/>
  <c r="D327" i="9"/>
  <c r="F327" i="9"/>
  <c r="G327" i="9"/>
  <c r="E327" i="9"/>
  <c r="D326" i="9"/>
  <c r="F326" i="9"/>
  <c r="G326" i="9"/>
  <c r="E326" i="9"/>
  <c r="D325" i="9"/>
  <c r="F325" i="9"/>
  <c r="G325" i="9"/>
  <c r="E325" i="9"/>
  <c r="D324" i="9"/>
  <c r="F324" i="9"/>
  <c r="G324" i="9"/>
  <c r="E324" i="9"/>
  <c r="D323" i="9"/>
  <c r="F323" i="9"/>
  <c r="G323" i="9"/>
  <c r="E323" i="9"/>
  <c r="D322" i="9"/>
  <c r="F322" i="9"/>
  <c r="G322" i="9"/>
  <c r="E322" i="9"/>
  <c r="D321" i="9"/>
  <c r="F321" i="9"/>
  <c r="G321" i="9"/>
  <c r="E321" i="9"/>
  <c r="D320" i="9"/>
  <c r="F320" i="9"/>
  <c r="G320" i="9"/>
  <c r="E320" i="9"/>
  <c r="D319" i="9"/>
  <c r="F319" i="9"/>
  <c r="G319" i="9"/>
  <c r="E319" i="9"/>
  <c r="D318" i="9"/>
  <c r="F318" i="9"/>
  <c r="G318" i="9"/>
  <c r="E318" i="9"/>
  <c r="D317" i="9"/>
  <c r="F317" i="9"/>
  <c r="G317" i="9"/>
  <c r="E317" i="9"/>
  <c r="D316" i="9"/>
  <c r="F316" i="9"/>
  <c r="G316" i="9"/>
  <c r="E316" i="9"/>
  <c r="D315" i="9"/>
  <c r="F315" i="9"/>
  <c r="G315" i="9"/>
  <c r="E315" i="9"/>
  <c r="D314" i="9"/>
  <c r="F314" i="9"/>
  <c r="G314" i="9"/>
  <c r="E314" i="9"/>
  <c r="D313" i="9"/>
  <c r="F313" i="9"/>
  <c r="G313" i="9"/>
  <c r="E313" i="9"/>
  <c r="D312" i="9"/>
  <c r="F312" i="9"/>
  <c r="G312" i="9"/>
  <c r="E312" i="9"/>
  <c r="D311" i="9"/>
  <c r="F311" i="9"/>
  <c r="G311" i="9"/>
  <c r="E311" i="9"/>
  <c r="D310" i="9"/>
  <c r="F310" i="9"/>
  <c r="G310" i="9"/>
  <c r="E310" i="9"/>
  <c r="D309" i="9"/>
  <c r="F309" i="9"/>
  <c r="G309" i="9"/>
  <c r="E309" i="9"/>
  <c r="D308" i="9"/>
  <c r="F308" i="9"/>
  <c r="G308" i="9"/>
  <c r="E308" i="9"/>
  <c r="D307" i="9"/>
  <c r="F307" i="9"/>
  <c r="G307" i="9"/>
  <c r="E307" i="9"/>
  <c r="D306" i="9"/>
  <c r="F306" i="9"/>
  <c r="G306" i="9"/>
  <c r="E306" i="9"/>
  <c r="D305" i="9"/>
  <c r="F305" i="9"/>
  <c r="G305" i="9"/>
  <c r="E305" i="9"/>
  <c r="D304" i="9"/>
  <c r="F304" i="9"/>
  <c r="G304" i="9"/>
  <c r="E304" i="9"/>
  <c r="D303" i="9"/>
  <c r="F303" i="9"/>
  <c r="G303" i="9"/>
  <c r="E303" i="9"/>
  <c r="D302" i="9"/>
  <c r="F302" i="9"/>
  <c r="G302" i="9"/>
  <c r="E302" i="9"/>
  <c r="D301" i="9"/>
  <c r="F301" i="9"/>
  <c r="G301" i="9"/>
  <c r="E301" i="9"/>
  <c r="D300" i="9"/>
  <c r="F300" i="9"/>
  <c r="G300" i="9"/>
  <c r="E300" i="9"/>
  <c r="D299" i="9"/>
  <c r="F299" i="9"/>
  <c r="G299" i="9"/>
  <c r="E299" i="9"/>
  <c r="D298" i="9"/>
  <c r="F298" i="9"/>
  <c r="G298" i="9"/>
  <c r="E298" i="9"/>
  <c r="D297" i="9"/>
  <c r="F297" i="9"/>
  <c r="G297" i="9"/>
  <c r="E297" i="9"/>
  <c r="D296" i="9"/>
  <c r="F296" i="9"/>
  <c r="G296" i="9"/>
  <c r="E296" i="9"/>
  <c r="D295" i="9"/>
  <c r="F295" i="9"/>
  <c r="G295" i="9"/>
  <c r="E295" i="9"/>
  <c r="D294" i="9"/>
  <c r="F294" i="9"/>
  <c r="G294" i="9"/>
  <c r="E294" i="9"/>
  <c r="D293" i="9"/>
  <c r="F293" i="9"/>
  <c r="G293" i="9"/>
  <c r="E293" i="9"/>
  <c r="D292" i="9"/>
  <c r="F292" i="9"/>
  <c r="G292" i="9"/>
  <c r="E292" i="9"/>
  <c r="D291" i="9"/>
  <c r="F291" i="9"/>
  <c r="G291" i="9"/>
  <c r="E291" i="9"/>
  <c r="D290" i="9"/>
  <c r="F290" i="9"/>
  <c r="G290" i="9"/>
  <c r="E290" i="9"/>
  <c r="D289" i="9"/>
  <c r="F289" i="9"/>
  <c r="G289" i="9"/>
  <c r="E289" i="9"/>
  <c r="D288" i="9"/>
  <c r="F288" i="9"/>
  <c r="G288" i="9"/>
  <c r="E288" i="9"/>
  <c r="D287" i="9"/>
  <c r="F287" i="9"/>
  <c r="G287" i="9"/>
  <c r="E287" i="9"/>
  <c r="D286" i="9"/>
  <c r="F286" i="9"/>
  <c r="G286" i="9"/>
  <c r="E286" i="9"/>
  <c r="D285" i="9"/>
  <c r="F285" i="9"/>
  <c r="G285" i="9"/>
  <c r="E285" i="9"/>
  <c r="D284" i="9"/>
  <c r="F284" i="9"/>
  <c r="G284" i="9"/>
  <c r="E284" i="9"/>
  <c r="D283" i="9"/>
  <c r="F283" i="9"/>
  <c r="G283" i="9"/>
  <c r="E283" i="9"/>
  <c r="D282" i="9"/>
  <c r="F282" i="9"/>
  <c r="G282" i="9"/>
  <c r="E282" i="9"/>
  <c r="D281" i="9"/>
  <c r="F281" i="9"/>
  <c r="G281" i="9"/>
  <c r="E281" i="9"/>
  <c r="D280" i="9"/>
  <c r="F280" i="9"/>
  <c r="G280" i="9"/>
  <c r="E280" i="9"/>
  <c r="D279" i="9"/>
  <c r="F279" i="9"/>
  <c r="G279" i="9"/>
  <c r="E279" i="9"/>
  <c r="D278" i="9"/>
  <c r="F278" i="9"/>
  <c r="G278" i="9"/>
  <c r="E278" i="9"/>
  <c r="D277" i="9"/>
  <c r="F277" i="9"/>
  <c r="G277" i="9"/>
  <c r="E277" i="9"/>
  <c r="D276" i="9"/>
  <c r="F276" i="9"/>
  <c r="G276" i="9"/>
  <c r="E276" i="9"/>
  <c r="D275" i="9"/>
  <c r="F275" i="9"/>
  <c r="G275" i="9"/>
  <c r="E275" i="9"/>
  <c r="D274" i="9"/>
  <c r="F274" i="9"/>
  <c r="G274" i="9"/>
  <c r="E274" i="9"/>
  <c r="D273" i="9"/>
  <c r="F273" i="9"/>
  <c r="G273" i="9"/>
  <c r="E273" i="9"/>
  <c r="D272" i="9"/>
  <c r="F272" i="9"/>
  <c r="G272" i="9"/>
  <c r="E272" i="9"/>
  <c r="D271" i="9"/>
  <c r="F271" i="9"/>
  <c r="G271" i="9"/>
  <c r="E271" i="9"/>
  <c r="D270" i="9"/>
  <c r="F270" i="9"/>
  <c r="G270" i="9"/>
  <c r="E270" i="9"/>
  <c r="D269" i="9"/>
  <c r="F269" i="9"/>
  <c r="G269" i="9"/>
  <c r="E269" i="9"/>
  <c r="D268" i="9"/>
  <c r="F268" i="9"/>
  <c r="G268" i="9"/>
  <c r="E268" i="9"/>
  <c r="D267" i="9"/>
  <c r="F267" i="9"/>
  <c r="G267" i="9"/>
  <c r="E267" i="9"/>
  <c r="D266" i="9"/>
  <c r="F266" i="9"/>
  <c r="G266" i="9"/>
  <c r="E266" i="9"/>
  <c r="D265" i="9"/>
  <c r="F265" i="9"/>
  <c r="G265" i="9"/>
  <c r="E265" i="9"/>
  <c r="D264" i="9"/>
  <c r="F264" i="9"/>
  <c r="G264" i="9"/>
  <c r="E264" i="9"/>
  <c r="D263" i="9"/>
  <c r="F263" i="9"/>
  <c r="G263" i="9"/>
  <c r="E263" i="9"/>
  <c r="D262" i="9"/>
  <c r="F262" i="9"/>
  <c r="G262" i="9"/>
  <c r="E262" i="9"/>
  <c r="D261" i="9"/>
  <c r="F261" i="9"/>
  <c r="G261" i="9"/>
  <c r="E261" i="9"/>
  <c r="D260" i="9"/>
  <c r="F260" i="9"/>
  <c r="G260" i="9"/>
  <c r="E260" i="9"/>
  <c r="D259" i="9"/>
  <c r="F259" i="9"/>
  <c r="G259" i="9"/>
  <c r="E259" i="9"/>
  <c r="D258" i="9"/>
  <c r="F258" i="9"/>
  <c r="G258" i="9"/>
  <c r="E258" i="9"/>
  <c r="D257" i="9"/>
  <c r="F257" i="9"/>
  <c r="G257" i="9"/>
  <c r="E257" i="9"/>
  <c r="D256" i="9"/>
  <c r="F256" i="9"/>
  <c r="G256" i="9"/>
  <c r="E256" i="9"/>
  <c r="D255" i="9"/>
  <c r="F255" i="9"/>
  <c r="G255" i="9"/>
  <c r="E255" i="9"/>
  <c r="D254" i="9"/>
  <c r="F254" i="9"/>
  <c r="G254" i="9"/>
  <c r="E254" i="9"/>
  <c r="D253" i="9"/>
  <c r="F253" i="9"/>
  <c r="G253" i="9"/>
  <c r="E253" i="9"/>
  <c r="D252" i="9"/>
  <c r="F252" i="9"/>
  <c r="G252" i="9"/>
  <c r="E252" i="9"/>
  <c r="D251" i="9"/>
  <c r="F251" i="9"/>
  <c r="G251" i="9"/>
  <c r="E251" i="9"/>
  <c r="D250" i="9"/>
  <c r="F250" i="9"/>
  <c r="G250" i="9"/>
  <c r="E250" i="9"/>
  <c r="D249" i="9"/>
  <c r="F249" i="9"/>
  <c r="G249" i="9"/>
  <c r="E249" i="9"/>
  <c r="D248" i="9"/>
  <c r="F248" i="9"/>
  <c r="G248" i="9"/>
  <c r="E248" i="9"/>
  <c r="D247" i="9"/>
  <c r="F247" i="9"/>
  <c r="G247" i="9"/>
  <c r="E247" i="9"/>
  <c r="D246" i="9"/>
  <c r="F246" i="9"/>
  <c r="G246" i="9"/>
  <c r="E246" i="9"/>
  <c r="D245" i="9"/>
  <c r="F245" i="9"/>
  <c r="G245" i="9"/>
  <c r="E245" i="9"/>
  <c r="D244" i="9"/>
  <c r="F244" i="9"/>
  <c r="G244" i="9"/>
  <c r="E244" i="9"/>
  <c r="D243" i="9"/>
  <c r="F243" i="9"/>
  <c r="G243" i="9"/>
  <c r="E243" i="9"/>
  <c r="D242" i="9"/>
  <c r="F242" i="9"/>
  <c r="G242" i="9"/>
  <c r="E242" i="9"/>
  <c r="D241" i="9"/>
  <c r="F241" i="9"/>
  <c r="G241" i="9"/>
  <c r="E241" i="9"/>
  <c r="D240" i="9"/>
  <c r="F240" i="9"/>
  <c r="G240" i="9"/>
  <c r="E240" i="9"/>
  <c r="D239" i="9"/>
  <c r="F239" i="9"/>
  <c r="G239" i="9"/>
  <c r="E239" i="9"/>
  <c r="D238" i="9"/>
  <c r="F238" i="9"/>
  <c r="G238" i="9"/>
  <c r="E238" i="9"/>
  <c r="D237" i="9"/>
  <c r="F237" i="9"/>
  <c r="G237" i="9"/>
  <c r="E237" i="9"/>
  <c r="D236" i="9"/>
  <c r="F236" i="9"/>
  <c r="G236" i="9"/>
  <c r="E236" i="9"/>
  <c r="D235" i="9"/>
  <c r="F235" i="9"/>
  <c r="G235" i="9"/>
  <c r="E235" i="9"/>
  <c r="D234" i="9"/>
  <c r="F234" i="9"/>
  <c r="G234" i="9"/>
  <c r="E234" i="9"/>
  <c r="D233" i="9"/>
  <c r="F233" i="9"/>
  <c r="G233" i="9"/>
  <c r="E233" i="9"/>
  <c r="D232" i="9"/>
  <c r="F232" i="9"/>
  <c r="G232" i="9"/>
  <c r="E232" i="9"/>
  <c r="D231" i="9"/>
  <c r="F231" i="9"/>
  <c r="G231" i="9"/>
  <c r="E231" i="9"/>
  <c r="D230" i="9"/>
  <c r="F230" i="9"/>
  <c r="G230" i="9"/>
  <c r="E230" i="9"/>
  <c r="D229" i="9"/>
  <c r="F229" i="9"/>
  <c r="G229" i="9"/>
  <c r="E229" i="9"/>
  <c r="D228" i="9"/>
  <c r="F228" i="9"/>
  <c r="G228" i="9"/>
  <c r="E228" i="9"/>
  <c r="D227" i="9"/>
  <c r="F227" i="9"/>
  <c r="G227" i="9"/>
  <c r="E227" i="9"/>
  <c r="D226" i="9"/>
  <c r="F226" i="9"/>
  <c r="G226" i="9"/>
  <c r="E226" i="9"/>
  <c r="D225" i="9"/>
  <c r="F225" i="9"/>
  <c r="G225" i="9"/>
  <c r="E225" i="9"/>
  <c r="D224" i="9"/>
  <c r="F224" i="9"/>
  <c r="G224" i="9"/>
  <c r="E224" i="9"/>
  <c r="D223" i="9"/>
  <c r="F223" i="9"/>
  <c r="G223" i="9"/>
  <c r="E223" i="9"/>
  <c r="D222" i="9"/>
  <c r="F222" i="9"/>
  <c r="G222" i="9"/>
  <c r="E222" i="9"/>
  <c r="D221" i="9"/>
  <c r="F221" i="9"/>
  <c r="G221" i="9"/>
  <c r="E221" i="9"/>
  <c r="D220" i="9"/>
  <c r="F220" i="9"/>
  <c r="G220" i="9"/>
  <c r="E220" i="9"/>
  <c r="D219" i="9"/>
  <c r="F219" i="9"/>
  <c r="G219" i="9"/>
  <c r="E219" i="9"/>
  <c r="D218" i="9"/>
  <c r="F218" i="9"/>
  <c r="G218" i="9"/>
  <c r="E218" i="9"/>
  <c r="D217" i="9"/>
  <c r="F217" i="9"/>
  <c r="G217" i="9"/>
  <c r="E217" i="9"/>
  <c r="D216" i="9"/>
  <c r="F216" i="9"/>
  <c r="G216" i="9"/>
  <c r="E216" i="9"/>
  <c r="D215" i="9"/>
  <c r="F215" i="9"/>
  <c r="G215" i="9"/>
  <c r="E215" i="9"/>
  <c r="D214" i="9"/>
  <c r="F214" i="9"/>
  <c r="G214" i="9"/>
  <c r="E214" i="9"/>
  <c r="D213" i="9"/>
  <c r="F213" i="9"/>
  <c r="G213" i="9"/>
  <c r="E213" i="9"/>
  <c r="D212" i="9"/>
  <c r="F212" i="9"/>
  <c r="G212" i="9"/>
  <c r="E212" i="9"/>
  <c r="D211" i="9"/>
  <c r="F211" i="9"/>
  <c r="G211" i="9"/>
  <c r="E211" i="9"/>
  <c r="D210" i="9"/>
  <c r="F210" i="9"/>
  <c r="G210" i="9"/>
  <c r="E210" i="9"/>
  <c r="D209" i="9"/>
  <c r="F209" i="9"/>
  <c r="G209" i="9"/>
  <c r="E209" i="9"/>
  <c r="D208" i="9"/>
  <c r="F208" i="9"/>
  <c r="G208" i="9"/>
  <c r="E208" i="9"/>
  <c r="D207" i="9"/>
  <c r="F207" i="9"/>
  <c r="G207" i="9"/>
  <c r="E207" i="9"/>
  <c r="D206" i="9"/>
  <c r="F206" i="9"/>
  <c r="G206" i="9"/>
  <c r="E206" i="9"/>
  <c r="D205" i="9"/>
  <c r="F205" i="9"/>
  <c r="G205" i="9"/>
  <c r="E205" i="9"/>
  <c r="D204" i="9"/>
  <c r="F204" i="9"/>
  <c r="G204" i="9"/>
  <c r="E204" i="9"/>
  <c r="D203" i="9"/>
  <c r="F203" i="9"/>
  <c r="G203" i="9"/>
  <c r="E203" i="9"/>
  <c r="D202" i="9"/>
  <c r="F202" i="9"/>
  <c r="G202" i="9"/>
  <c r="E202" i="9"/>
  <c r="D201" i="9"/>
  <c r="F201" i="9"/>
  <c r="G201" i="9"/>
  <c r="E201" i="9"/>
  <c r="D200" i="9"/>
  <c r="F200" i="9"/>
  <c r="G200" i="9"/>
  <c r="E200" i="9"/>
  <c r="D199" i="9"/>
  <c r="F199" i="9"/>
  <c r="G199" i="9"/>
  <c r="E199" i="9"/>
  <c r="D198" i="9"/>
  <c r="F198" i="9"/>
  <c r="G198" i="9"/>
  <c r="E198" i="9"/>
  <c r="D197" i="9"/>
  <c r="F197" i="9"/>
  <c r="G197" i="9"/>
  <c r="E197" i="9"/>
  <c r="D196" i="9"/>
  <c r="F196" i="9"/>
  <c r="G196" i="9"/>
  <c r="E196" i="9"/>
  <c r="D195" i="9"/>
  <c r="F195" i="9"/>
  <c r="G195" i="9"/>
  <c r="E195" i="9"/>
  <c r="D194" i="9"/>
  <c r="F194" i="9"/>
  <c r="G194" i="9"/>
  <c r="E194" i="9"/>
  <c r="D193" i="9"/>
  <c r="F193" i="9"/>
  <c r="G193" i="9"/>
  <c r="E193" i="9"/>
  <c r="D192" i="9"/>
  <c r="F192" i="9"/>
  <c r="G192" i="9"/>
  <c r="E192" i="9"/>
  <c r="D191" i="9"/>
  <c r="F191" i="9"/>
  <c r="G191" i="9"/>
  <c r="E191" i="9"/>
  <c r="D190" i="9"/>
  <c r="F190" i="9"/>
  <c r="G190" i="9"/>
  <c r="E190" i="9"/>
  <c r="D189" i="9"/>
  <c r="F189" i="9"/>
  <c r="G189" i="9"/>
  <c r="E189" i="9"/>
  <c r="D188" i="9"/>
  <c r="F188" i="9"/>
  <c r="G188" i="9"/>
  <c r="E188" i="9"/>
  <c r="D187" i="9"/>
  <c r="F187" i="9"/>
  <c r="G187" i="9"/>
  <c r="E187" i="9"/>
  <c r="D186" i="9"/>
  <c r="F186" i="9"/>
  <c r="G186" i="9"/>
  <c r="E186" i="9"/>
  <c r="D185" i="9"/>
  <c r="F185" i="9"/>
  <c r="G185" i="9"/>
  <c r="E185" i="9"/>
  <c r="D184" i="9"/>
  <c r="F184" i="9"/>
  <c r="G184" i="9"/>
  <c r="E184" i="9"/>
  <c r="D183" i="9"/>
  <c r="F183" i="9"/>
  <c r="G183" i="9"/>
  <c r="E183" i="9"/>
  <c r="D182" i="9"/>
  <c r="F182" i="9"/>
  <c r="G182" i="9"/>
  <c r="E182" i="9"/>
  <c r="D181" i="9"/>
  <c r="F181" i="9"/>
  <c r="G181" i="9"/>
  <c r="E181" i="9"/>
  <c r="D180" i="9"/>
  <c r="F180" i="9"/>
  <c r="G180" i="9"/>
  <c r="E180" i="9"/>
  <c r="D179" i="9"/>
  <c r="F179" i="9"/>
  <c r="G179" i="9"/>
  <c r="E179" i="9"/>
  <c r="D178" i="9"/>
  <c r="F178" i="9"/>
  <c r="G178" i="9"/>
  <c r="E178" i="9"/>
  <c r="D177" i="9"/>
  <c r="F177" i="9"/>
  <c r="G177" i="9"/>
  <c r="E177" i="9"/>
  <c r="D176" i="9"/>
  <c r="F176" i="9"/>
  <c r="G176" i="9"/>
  <c r="E176" i="9"/>
  <c r="D175" i="9"/>
  <c r="F175" i="9"/>
  <c r="G175" i="9"/>
  <c r="E175" i="9"/>
  <c r="D174" i="9"/>
  <c r="F174" i="9"/>
  <c r="G174" i="9"/>
  <c r="E174" i="9"/>
  <c r="D173" i="9"/>
  <c r="F173" i="9"/>
  <c r="G173" i="9"/>
  <c r="E173" i="9"/>
  <c r="D172" i="9"/>
  <c r="F172" i="9"/>
  <c r="G172" i="9"/>
  <c r="E172" i="9"/>
  <c r="D171" i="9"/>
  <c r="F171" i="9"/>
  <c r="G171" i="9"/>
  <c r="E171" i="9"/>
  <c r="D170" i="9"/>
  <c r="F170" i="9"/>
  <c r="G170" i="9"/>
  <c r="E170" i="9"/>
  <c r="D169" i="9"/>
  <c r="F169" i="9"/>
  <c r="G169" i="9"/>
  <c r="E169" i="9"/>
  <c r="D168" i="9"/>
  <c r="F168" i="9"/>
  <c r="G168" i="9"/>
  <c r="E168" i="9"/>
  <c r="D167" i="9"/>
  <c r="F167" i="9"/>
  <c r="G167" i="9"/>
  <c r="E167" i="9"/>
  <c r="D166" i="9"/>
  <c r="F166" i="9"/>
  <c r="G166" i="9"/>
  <c r="E166" i="9"/>
  <c r="D165" i="9"/>
  <c r="F165" i="9"/>
  <c r="G165" i="9"/>
  <c r="E165" i="9"/>
  <c r="D164" i="9"/>
  <c r="F164" i="9"/>
  <c r="G164" i="9"/>
  <c r="E164" i="9"/>
  <c r="D163" i="9"/>
  <c r="F163" i="9"/>
  <c r="G163" i="9"/>
  <c r="E163" i="9"/>
  <c r="D162" i="9"/>
  <c r="F162" i="9"/>
  <c r="G162" i="9"/>
  <c r="E162" i="9"/>
  <c r="D161" i="9"/>
  <c r="F161" i="9"/>
  <c r="G161" i="9"/>
  <c r="E161" i="9"/>
  <c r="D160" i="9"/>
  <c r="F160" i="9"/>
  <c r="G160" i="9"/>
  <c r="E160" i="9"/>
  <c r="D159" i="9"/>
  <c r="F159" i="9"/>
  <c r="G159" i="9"/>
  <c r="E159" i="9"/>
  <c r="D158" i="9"/>
  <c r="F158" i="9"/>
  <c r="G158" i="9"/>
  <c r="E158" i="9"/>
  <c r="D157" i="9"/>
  <c r="F157" i="9"/>
  <c r="G157" i="9"/>
  <c r="E157" i="9"/>
  <c r="D156" i="9"/>
  <c r="F156" i="9"/>
  <c r="G156" i="9"/>
  <c r="E156" i="9"/>
  <c r="D155" i="9"/>
  <c r="F155" i="9"/>
  <c r="G155" i="9"/>
  <c r="E155" i="9"/>
  <c r="D154" i="9"/>
  <c r="F154" i="9"/>
  <c r="G154" i="9"/>
  <c r="E154" i="9"/>
  <c r="D153" i="9"/>
  <c r="F153" i="9"/>
  <c r="G153" i="9"/>
  <c r="E153" i="9"/>
  <c r="D152" i="9"/>
  <c r="F152" i="9"/>
  <c r="G152" i="9"/>
  <c r="E152" i="9"/>
  <c r="D151" i="9"/>
  <c r="F151" i="9"/>
  <c r="G151" i="9"/>
  <c r="E151" i="9"/>
  <c r="D150" i="9"/>
  <c r="F150" i="9"/>
  <c r="G150" i="9"/>
  <c r="E150" i="9"/>
  <c r="D149" i="9"/>
  <c r="F149" i="9"/>
  <c r="G149" i="9"/>
  <c r="E149" i="9"/>
  <c r="D148" i="9"/>
  <c r="F148" i="9"/>
  <c r="G148" i="9"/>
  <c r="E148" i="9"/>
  <c r="D147" i="9"/>
  <c r="F147" i="9"/>
  <c r="G147" i="9"/>
  <c r="E147" i="9"/>
  <c r="D146" i="9"/>
  <c r="F146" i="9"/>
  <c r="G146" i="9"/>
  <c r="E146" i="9"/>
  <c r="D145" i="9"/>
  <c r="F145" i="9"/>
  <c r="G145" i="9"/>
  <c r="E145" i="9"/>
  <c r="D144" i="9"/>
  <c r="F144" i="9"/>
  <c r="G144" i="9"/>
  <c r="E144" i="9"/>
  <c r="D143" i="9"/>
  <c r="F143" i="9"/>
  <c r="G143" i="9"/>
  <c r="E143" i="9"/>
  <c r="D142" i="9"/>
  <c r="F142" i="9"/>
  <c r="G142" i="9"/>
  <c r="E142" i="9"/>
  <c r="D141" i="9"/>
  <c r="F141" i="9"/>
  <c r="G141" i="9"/>
  <c r="E141" i="9"/>
  <c r="D140" i="9"/>
  <c r="F140" i="9"/>
  <c r="G140" i="9"/>
  <c r="E140" i="9"/>
  <c r="D139" i="9"/>
  <c r="F139" i="9"/>
  <c r="G139" i="9"/>
  <c r="E139" i="9"/>
  <c r="D138" i="9"/>
  <c r="F138" i="9"/>
  <c r="G138" i="9"/>
  <c r="E138" i="9"/>
  <c r="D137" i="9"/>
  <c r="F137" i="9"/>
  <c r="G137" i="9"/>
  <c r="E137" i="9"/>
  <c r="D136" i="9"/>
  <c r="F136" i="9"/>
  <c r="G136" i="9"/>
  <c r="E136" i="9"/>
  <c r="D135" i="9"/>
  <c r="F135" i="9"/>
  <c r="G135" i="9"/>
  <c r="E135" i="9"/>
  <c r="D134" i="9"/>
  <c r="F134" i="9"/>
  <c r="G134" i="9"/>
  <c r="E134" i="9"/>
  <c r="D133" i="9"/>
  <c r="F133" i="9"/>
  <c r="G133" i="9"/>
  <c r="E133" i="9"/>
  <c r="D132" i="9"/>
  <c r="F132" i="9"/>
  <c r="G132" i="9"/>
  <c r="E132" i="9"/>
  <c r="D131" i="9"/>
  <c r="F131" i="9"/>
  <c r="G131" i="9"/>
  <c r="E131" i="9"/>
  <c r="D130" i="9"/>
  <c r="F130" i="9"/>
  <c r="G130" i="9"/>
  <c r="E130" i="9"/>
  <c r="D129" i="9"/>
  <c r="F129" i="9"/>
  <c r="G129" i="9"/>
  <c r="E129" i="9"/>
  <c r="D128" i="9"/>
  <c r="F128" i="9"/>
  <c r="G128" i="9"/>
  <c r="E128" i="9"/>
  <c r="D127" i="9"/>
  <c r="F127" i="9"/>
  <c r="G127" i="9"/>
  <c r="E127" i="9"/>
  <c r="D126" i="9"/>
  <c r="F126" i="9"/>
  <c r="G126" i="9"/>
  <c r="E126" i="9"/>
  <c r="D125" i="9"/>
  <c r="F125" i="9"/>
  <c r="G125" i="9"/>
  <c r="E125" i="9"/>
  <c r="D124" i="9"/>
  <c r="F124" i="9"/>
  <c r="G124" i="9"/>
  <c r="E124" i="9"/>
  <c r="D123" i="9"/>
  <c r="F123" i="9"/>
  <c r="G123" i="9"/>
  <c r="E123" i="9"/>
  <c r="D122" i="9"/>
  <c r="F122" i="9"/>
  <c r="G122" i="9"/>
  <c r="E122" i="9"/>
  <c r="D121" i="9"/>
  <c r="F121" i="9"/>
  <c r="G121" i="9"/>
  <c r="E121" i="9"/>
  <c r="D120" i="9"/>
  <c r="F120" i="9"/>
  <c r="G120" i="9"/>
  <c r="E120" i="9"/>
  <c r="D119" i="9"/>
  <c r="F119" i="9"/>
  <c r="G119" i="9"/>
  <c r="E119" i="9"/>
  <c r="D118" i="9"/>
  <c r="F118" i="9"/>
  <c r="G118" i="9"/>
  <c r="E118" i="9"/>
  <c r="D117" i="9"/>
  <c r="F117" i="9"/>
  <c r="G117" i="9"/>
  <c r="E117" i="9"/>
  <c r="D116" i="9"/>
  <c r="F116" i="9"/>
  <c r="G116" i="9"/>
  <c r="E116" i="9"/>
  <c r="D115" i="9"/>
  <c r="F115" i="9"/>
  <c r="G115" i="9"/>
  <c r="E115" i="9"/>
  <c r="D114" i="9"/>
  <c r="F114" i="9"/>
  <c r="G114" i="9"/>
  <c r="E114" i="9"/>
  <c r="D113" i="9"/>
  <c r="F113" i="9"/>
  <c r="G113" i="9"/>
  <c r="E113" i="9"/>
  <c r="D112" i="9"/>
  <c r="F112" i="9"/>
  <c r="G112" i="9"/>
  <c r="E112" i="9"/>
  <c r="D111" i="9"/>
  <c r="F111" i="9"/>
  <c r="G111" i="9"/>
  <c r="E111" i="9"/>
  <c r="D110" i="9"/>
  <c r="F110" i="9"/>
  <c r="G110" i="9"/>
  <c r="E110" i="9"/>
  <c r="D109" i="9"/>
  <c r="F109" i="9"/>
  <c r="G109" i="9"/>
  <c r="E109" i="9"/>
  <c r="D108" i="9"/>
  <c r="F108" i="9"/>
  <c r="G108" i="9"/>
  <c r="E108" i="9"/>
  <c r="D107" i="9"/>
  <c r="F107" i="9"/>
  <c r="G107" i="9"/>
  <c r="E107" i="9"/>
  <c r="D106" i="9"/>
  <c r="F106" i="9"/>
  <c r="G106" i="9"/>
  <c r="E106" i="9"/>
  <c r="D105" i="9"/>
  <c r="F105" i="9"/>
  <c r="G105" i="9"/>
  <c r="E105" i="9"/>
  <c r="D104" i="9"/>
  <c r="F104" i="9"/>
  <c r="G104" i="9"/>
  <c r="E104" i="9"/>
  <c r="D103" i="9"/>
  <c r="F103" i="9"/>
  <c r="G103" i="9"/>
  <c r="E103" i="9"/>
  <c r="D102" i="9"/>
  <c r="F102" i="9"/>
  <c r="G102" i="9"/>
  <c r="E102" i="9"/>
  <c r="D101" i="9"/>
  <c r="F101" i="9"/>
  <c r="G101" i="9"/>
  <c r="E101" i="9"/>
  <c r="D100" i="9"/>
  <c r="F100" i="9"/>
  <c r="G100" i="9"/>
  <c r="E100" i="9"/>
  <c r="D99" i="9"/>
  <c r="F99" i="9"/>
  <c r="G99" i="9"/>
  <c r="E99" i="9"/>
  <c r="D98" i="9"/>
  <c r="F98" i="9"/>
  <c r="G98" i="9"/>
  <c r="E98" i="9"/>
  <c r="D97" i="9"/>
  <c r="F97" i="9"/>
  <c r="G97" i="9"/>
  <c r="E97" i="9"/>
  <c r="D96" i="9"/>
  <c r="F96" i="9"/>
  <c r="G96" i="9"/>
  <c r="E96" i="9"/>
  <c r="D95" i="9"/>
  <c r="F95" i="9"/>
  <c r="G95" i="9"/>
  <c r="E95" i="9"/>
  <c r="D94" i="9"/>
  <c r="F94" i="9"/>
  <c r="G94" i="9"/>
  <c r="E94" i="9"/>
  <c r="D93" i="9"/>
  <c r="F93" i="9"/>
  <c r="G93" i="9"/>
  <c r="E93" i="9"/>
  <c r="D92" i="9"/>
  <c r="F92" i="9"/>
  <c r="G92" i="9"/>
  <c r="E92" i="9"/>
  <c r="D91" i="9"/>
  <c r="F91" i="9"/>
  <c r="G91" i="9"/>
  <c r="E91" i="9"/>
  <c r="D90" i="9"/>
  <c r="F90" i="9"/>
  <c r="G90" i="9"/>
  <c r="E90" i="9"/>
  <c r="D89" i="9"/>
  <c r="F89" i="9"/>
  <c r="G89" i="9"/>
  <c r="E89" i="9"/>
  <c r="D88" i="9"/>
  <c r="F88" i="9"/>
  <c r="G88" i="9"/>
  <c r="E88" i="9"/>
  <c r="D87" i="9"/>
  <c r="F87" i="9"/>
  <c r="G87" i="9"/>
  <c r="E87" i="9"/>
  <c r="D86" i="9"/>
  <c r="F86" i="9"/>
  <c r="G86" i="9"/>
  <c r="E86" i="9"/>
  <c r="D85" i="9"/>
  <c r="F85" i="9"/>
  <c r="G85" i="9"/>
  <c r="E85" i="9"/>
  <c r="D84" i="9"/>
  <c r="F84" i="9"/>
  <c r="G84" i="9"/>
  <c r="E84" i="9"/>
  <c r="D83" i="9"/>
  <c r="F83" i="9"/>
  <c r="G83" i="9"/>
  <c r="E83" i="9"/>
  <c r="D82" i="9"/>
  <c r="F82" i="9"/>
  <c r="G82" i="9"/>
  <c r="E82" i="9"/>
  <c r="D81" i="9"/>
  <c r="F81" i="9"/>
  <c r="G81" i="9"/>
  <c r="E81" i="9"/>
  <c r="D80" i="9"/>
  <c r="F80" i="9"/>
  <c r="G80" i="9"/>
  <c r="E80" i="9"/>
  <c r="D79" i="9"/>
  <c r="F79" i="9"/>
  <c r="G79" i="9"/>
  <c r="E79" i="9"/>
  <c r="D78" i="9"/>
  <c r="F78" i="9"/>
  <c r="G78" i="9"/>
  <c r="E78" i="9"/>
  <c r="D77" i="9"/>
  <c r="F77" i="9"/>
  <c r="G77" i="9"/>
  <c r="E77" i="9"/>
  <c r="D76" i="9"/>
  <c r="F76" i="9"/>
  <c r="G76" i="9"/>
  <c r="E76" i="9"/>
  <c r="D75" i="9"/>
  <c r="F75" i="9"/>
  <c r="G75" i="9"/>
  <c r="E75" i="9"/>
  <c r="D74" i="9"/>
  <c r="F74" i="9"/>
  <c r="G74" i="9"/>
  <c r="E74" i="9"/>
  <c r="D73" i="9"/>
  <c r="F73" i="9"/>
  <c r="G73" i="9"/>
  <c r="E73" i="9"/>
  <c r="D72" i="9"/>
  <c r="F72" i="9"/>
  <c r="G72" i="9"/>
  <c r="E72" i="9"/>
  <c r="D71" i="9"/>
  <c r="F71" i="9"/>
  <c r="G71" i="9"/>
  <c r="E71" i="9"/>
  <c r="D70" i="9"/>
  <c r="F70" i="9"/>
  <c r="G70" i="9"/>
  <c r="E70" i="9"/>
  <c r="D69" i="9"/>
  <c r="F69" i="9"/>
  <c r="G69" i="9"/>
  <c r="E69" i="9"/>
  <c r="D68" i="9"/>
  <c r="F68" i="9"/>
  <c r="G68" i="9"/>
  <c r="E68" i="9"/>
  <c r="D67" i="9"/>
  <c r="F67" i="9"/>
  <c r="G67" i="9"/>
  <c r="E67" i="9"/>
  <c r="D66" i="9"/>
  <c r="F66" i="9"/>
  <c r="G66" i="9"/>
  <c r="E66" i="9"/>
  <c r="D65" i="9"/>
  <c r="F65" i="9"/>
  <c r="G65" i="9"/>
  <c r="E65" i="9"/>
  <c r="D64" i="9"/>
  <c r="F64" i="9"/>
  <c r="G64" i="9"/>
  <c r="E64" i="9"/>
  <c r="D63" i="9"/>
  <c r="F63" i="9"/>
  <c r="G63" i="9"/>
  <c r="E63" i="9"/>
  <c r="D62" i="9"/>
  <c r="F62" i="9"/>
  <c r="G62" i="9"/>
  <c r="E62" i="9"/>
  <c r="D61" i="9"/>
  <c r="F61" i="9"/>
  <c r="G61" i="9"/>
  <c r="E61" i="9"/>
  <c r="D60" i="9"/>
  <c r="F60" i="9"/>
  <c r="G60" i="9"/>
  <c r="E60" i="9"/>
  <c r="D59" i="9"/>
  <c r="F59" i="9"/>
  <c r="G59" i="9"/>
  <c r="E59" i="9"/>
  <c r="D58" i="9"/>
  <c r="F58" i="9"/>
  <c r="G58" i="9"/>
  <c r="E58" i="9"/>
  <c r="D57" i="9"/>
  <c r="F57" i="9"/>
  <c r="G57" i="9"/>
  <c r="E57" i="9"/>
  <c r="D56" i="9"/>
  <c r="F56" i="9"/>
  <c r="G56" i="9"/>
  <c r="E56" i="9"/>
  <c r="D55" i="9"/>
  <c r="F55" i="9"/>
  <c r="G55" i="9"/>
  <c r="E55" i="9"/>
  <c r="D54" i="9"/>
  <c r="F54" i="9"/>
  <c r="G54" i="9"/>
  <c r="E54" i="9"/>
  <c r="D53" i="9"/>
  <c r="F53" i="9"/>
  <c r="G53" i="9"/>
  <c r="E53" i="9"/>
  <c r="D52" i="9"/>
  <c r="F52" i="9"/>
  <c r="G52" i="9"/>
  <c r="E52" i="9"/>
  <c r="D51" i="9"/>
  <c r="F51" i="9"/>
  <c r="G51" i="9"/>
  <c r="E51" i="9"/>
  <c r="D50" i="9"/>
  <c r="F50" i="9"/>
  <c r="G50" i="9"/>
  <c r="E50" i="9"/>
  <c r="D49" i="9"/>
  <c r="F49" i="9"/>
  <c r="G49" i="9"/>
  <c r="E49" i="9"/>
  <c r="D48" i="9"/>
  <c r="F48" i="9"/>
  <c r="G48" i="9"/>
  <c r="E48" i="9"/>
  <c r="D47" i="9"/>
  <c r="F47" i="9"/>
  <c r="G47" i="9"/>
  <c r="E47" i="9"/>
  <c r="D46" i="9"/>
  <c r="F46" i="9"/>
  <c r="G46" i="9"/>
  <c r="E46" i="9"/>
  <c r="D45" i="9"/>
  <c r="F45" i="9"/>
  <c r="G45" i="9"/>
  <c r="E45" i="9"/>
  <c r="D44" i="9"/>
  <c r="F44" i="9"/>
  <c r="G44" i="9"/>
  <c r="E44" i="9"/>
  <c r="D43" i="9"/>
  <c r="F43" i="9"/>
  <c r="G43" i="9"/>
  <c r="E43" i="9"/>
  <c r="D42" i="9"/>
  <c r="F42" i="9"/>
  <c r="G42" i="9"/>
  <c r="E42" i="9"/>
  <c r="D41" i="9"/>
  <c r="F41" i="9"/>
  <c r="G41" i="9"/>
  <c r="E41" i="9"/>
  <c r="D40" i="9"/>
  <c r="F40" i="9"/>
  <c r="G40" i="9"/>
  <c r="E40" i="9"/>
  <c r="D39" i="9"/>
  <c r="F39" i="9"/>
  <c r="G39" i="9"/>
  <c r="E39" i="9"/>
  <c r="D38" i="9"/>
  <c r="F38" i="9"/>
  <c r="G38" i="9"/>
  <c r="E38" i="9"/>
  <c r="D37" i="9"/>
  <c r="F37" i="9"/>
  <c r="G37" i="9"/>
  <c r="E37" i="9"/>
  <c r="D36" i="9"/>
  <c r="F36" i="9"/>
  <c r="G36" i="9"/>
  <c r="E36" i="9"/>
  <c r="D35" i="9"/>
  <c r="F35" i="9"/>
  <c r="G35" i="9"/>
  <c r="E35" i="9"/>
  <c r="D34" i="9"/>
  <c r="F34" i="9"/>
  <c r="G34" i="9"/>
  <c r="E34" i="9"/>
  <c r="D33" i="9"/>
  <c r="F33" i="9"/>
  <c r="G33" i="9"/>
  <c r="E33" i="9"/>
  <c r="D32" i="9"/>
  <c r="F32" i="9"/>
  <c r="G32" i="9"/>
  <c r="E32" i="9"/>
  <c r="D31" i="9"/>
  <c r="F31" i="9"/>
  <c r="G31" i="9"/>
  <c r="E31" i="9"/>
  <c r="D30" i="9"/>
  <c r="F30" i="9"/>
  <c r="G30" i="9"/>
  <c r="E30" i="9"/>
  <c r="D29" i="9"/>
  <c r="F29" i="9"/>
  <c r="G29" i="9"/>
  <c r="E29" i="9"/>
  <c r="D28" i="9"/>
  <c r="F28" i="9"/>
  <c r="G28" i="9"/>
  <c r="E28" i="9"/>
  <c r="D27" i="9"/>
  <c r="F27" i="9"/>
  <c r="G27" i="9"/>
  <c r="E27" i="9"/>
  <c r="D26" i="9"/>
  <c r="F26" i="9"/>
  <c r="G26" i="9"/>
  <c r="E26" i="9"/>
  <c r="D25" i="9"/>
  <c r="F25" i="9"/>
  <c r="G25" i="9"/>
  <c r="E25" i="9"/>
  <c r="D24" i="9"/>
  <c r="F24" i="9"/>
  <c r="G24" i="9"/>
  <c r="E24" i="9"/>
  <c r="D23" i="9"/>
  <c r="F23" i="9"/>
  <c r="G23" i="9"/>
  <c r="E23" i="9"/>
  <c r="D22" i="9"/>
  <c r="F22" i="9"/>
  <c r="G22" i="9"/>
  <c r="E22" i="9"/>
  <c r="D21" i="9"/>
  <c r="F21" i="9"/>
  <c r="G21" i="9"/>
  <c r="E21" i="9"/>
  <c r="D20" i="9"/>
  <c r="F20" i="9"/>
  <c r="G20" i="9"/>
  <c r="E20" i="9"/>
  <c r="D19" i="9"/>
  <c r="F19" i="9"/>
  <c r="G19" i="9"/>
  <c r="E19" i="9"/>
  <c r="D18" i="9"/>
  <c r="F18" i="9"/>
  <c r="G18" i="9"/>
  <c r="E18" i="9"/>
  <c r="D17" i="9"/>
  <c r="F17" i="9"/>
  <c r="G17" i="9"/>
  <c r="E17" i="9"/>
  <c r="D16" i="9"/>
  <c r="F16" i="9"/>
  <c r="G16" i="9"/>
  <c r="E16" i="9"/>
  <c r="D15" i="9"/>
  <c r="F15" i="9"/>
  <c r="G15" i="9"/>
  <c r="E15" i="9"/>
  <c r="D14" i="9"/>
  <c r="F14" i="9"/>
  <c r="G14" i="9"/>
  <c r="E14" i="9"/>
  <c r="D13" i="9"/>
  <c r="F13" i="9"/>
  <c r="G13" i="9"/>
  <c r="E13" i="9"/>
  <c r="D12" i="9"/>
  <c r="F12" i="9"/>
  <c r="G12" i="9"/>
  <c r="E12" i="9"/>
  <c r="D11" i="9"/>
  <c r="F11" i="9"/>
  <c r="G11" i="9"/>
  <c r="E11" i="9"/>
  <c r="D10" i="9"/>
  <c r="F10" i="9"/>
  <c r="G10" i="9"/>
  <c r="E10" i="9"/>
  <c r="D9" i="9"/>
  <c r="F9" i="9"/>
  <c r="G9" i="9"/>
  <c r="E9" i="9"/>
  <c r="D8" i="9"/>
  <c r="F8" i="9"/>
  <c r="G8" i="9"/>
  <c r="E8" i="9"/>
  <c r="D7" i="9"/>
  <c r="F7" i="9"/>
  <c r="G7" i="9"/>
  <c r="E7" i="9"/>
  <c r="D6" i="9"/>
  <c r="F6" i="9"/>
  <c r="G6" i="9"/>
  <c r="E6" i="9"/>
  <c r="D5" i="9"/>
  <c r="F5" i="9"/>
  <c r="G5" i="9"/>
  <c r="E5" i="9"/>
  <c r="D4" i="9"/>
  <c r="F4" i="9"/>
  <c r="G4" i="9"/>
  <c r="E4" i="9"/>
  <c r="D3" i="9"/>
  <c r="F3" i="9"/>
  <c r="G3" i="9"/>
  <c r="E3" i="9"/>
  <c r="D2" i="9"/>
  <c r="F2" i="9"/>
  <c r="G2" i="9"/>
  <c r="E2" i="9"/>
  <c r="A190" i="1"/>
  <c r="D190" i="1"/>
  <c r="F190" i="1"/>
  <c r="H190" i="1"/>
  <c r="J190" i="1"/>
  <c r="L190" i="1"/>
  <c r="N190" i="1"/>
  <c r="P190" i="1"/>
  <c r="R190" i="1"/>
  <c r="T190" i="1"/>
  <c r="V190" i="1"/>
  <c r="X190" i="1"/>
  <c r="Z190" i="1"/>
  <c r="AB190" i="1"/>
  <c r="AD190" i="1"/>
  <c r="AF190" i="1"/>
  <c r="AH190" i="1"/>
  <c r="AJ190" i="1"/>
  <c r="AL190" i="1"/>
  <c r="AN190" i="1"/>
  <c r="AP190" i="1"/>
  <c r="AR190" i="1"/>
  <c r="AT190" i="1"/>
  <c r="AV190" i="1"/>
  <c r="AX190" i="1"/>
  <c r="AZ190" i="1"/>
  <c r="BA190" i="1"/>
  <c r="BB190" i="1"/>
  <c r="CG190" i="1"/>
  <c r="CH190" i="1"/>
  <c r="CI190" i="1"/>
  <c r="CJ190" i="1"/>
  <c r="CK190" i="1"/>
  <c r="CL190" i="1"/>
  <c r="CM190" i="1"/>
  <c r="CN190" i="1"/>
  <c r="CO190" i="1"/>
  <c r="CP190" i="1"/>
  <c r="CQ190" i="1"/>
  <c r="CR190" i="1"/>
  <c r="BU190" i="1"/>
  <c r="BV190" i="1"/>
  <c r="BW190" i="1"/>
  <c r="BX190" i="1"/>
  <c r="BY190" i="1"/>
  <c r="BZ190" i="1"/>
  <c r="CA190" i="1"/>
  <c r="CB190" i="1"/>
  <c r="CC190" i="1"/>
  <c r="CD190" i="1"/>
  <c r="CE190" i="1"/>
  <c r="CF190" i="1"/>
  <c r="BC190" i="1"/>
  <c r="CS190" i="1"/>
  <c r="A189" i="1"/>
  <c r="D189" i="1"/>
  <c r="F189" i="1"/>
  <c r="H189" i="1"/>
  <c r="J189" i="1"/>
  <c r="L189" i="1"/>
  <c r="N189" i="1"/>
  <c r="P189" i="1"/>
  <c r="R189" i="1"/>
  <c r="T189" i="1"/>
  <c r="V189" i="1"/>
  <c r="X189" i="1"/>
  <c r="Z189" i="1"/>
  <c r="AB189" i="1"/>
  <c r="AD189" i="1"/>
  <c r="AF189" i="1"/>
  <c r="AH189" i="1"/>
  <c r="AJ189" i="1"/>
  <c r="AL189" i="1"/>
  <c r="AN189" i="1"/>
  <c r="AP189" i="1"/>
  <c r="AR189" i="1"/>
  <c r="AT189" i="1"/>
  <c r="AV189" i="1"/>
  <c r="AX189" i="1"/>
  <c r="AZ189" i="1"/>
  <c r="BA189" i="1"/>
  <c r="BB189" i="1"/>
  <c r="CG189" i="1"/>
  <c r="CH189" i="1"/>
  <c r="CI189" i="1"/>
  <c r="CJ189" i="1"/>
  <c r="CK189" i="1"/>
  <c r="CL189" i="1"/>
  <c r="CM189" i="1"/>
  <c r="CN189" i="1"/>
  <c r="CO189" i="1"/>
  <c r="CP189" i="1"/>
  <c r="CQ189" i="1"/>
  <c r="CR189" i="1"/>
  <c r="BU189" i="1"/>
  <c r="BV189" i="1"/>
  <c r="BW189" i="1"/>
  <c r="BX189" i="1"/>
  <c r="BY189" i="1"/>
  <c r="BZ189" i="1"/>
  <c r="CA189" i="1"/>
  <c r="CB189" i="1"/>
  <c r="CC189" i="1"/>
  <c r="CD189" i="1"/>
  <c r="CE189" i="1"/>
  <c r="CF189" i="1"/>
  <c r="BC189" i="1"/>
  <c r="CS189" i="1"/>
  <c r="A192" i="1"/>
  <c r="D192" i="1"/>
  <c r="F192" i="1"/>
  <c r="H192" i="1"/>
  <c r="J192" i="1"/>
  <c r="L192" i="1"/>
  <c r="N192" i="1"/>
  <c r="P192" i="1"/>
  <c r="R192" i="1"/>
  <c r="T192" i="1"/>
  <c r="V192" i="1"/>
  <c r="X192" i="1"/>
  <c r="Z192" i="1"/>
  <c r="AB192" i="1"/>
  <c r="AD192" i="1"/>
  <c r="AF192" i="1"/>
  <c r="AH192" i="1"/>
  <c r="AJ192" i="1"/>
  <c r="AL192" i="1"/>
  <c r="AN192" i="1"/>
  <c r="AP192" i="1"/>
  <c r="AR192" i="1"/>
  <c r="AT192" i="1"/>
  <c r="AV192" i="1"/>
  <c r="AX192" i="1"/>
  <c r="AZ192" i="1"/>
  <c r="BA192" i="1"/>
  <c r="BB192" i="1"/>
  <c r="CG192" i="1"/>
  <c r="CH192" i="1"/>
  <c r="CI192" i="1"/>
  <c r="CJ192" i="1"/>
  <c r="CK192" i="1"/>
  <c r="CL192" i="1"/>
  <c r="CM192" i="1"/>
  <c r="CN192" i="1"/>
  <c r="CO192" i="1"/>
  <c r="CP192" i="1"/>
  <c r="CQ192" i="1"/>
  <c r="CR192" i="1"/>
  <c r="BU192" i="1"/>
  <c r="BV192" i="1"/>
  <c r="BW192" i="1"/>
  <c r="BX192" i="1"/>
  <c r="BY192" i="1"/>
  <c r="BZ192" i="1"/>
  <c r="CA192" i="1"/>
  <c r="CB192" i="1"/>
  <c r="CC192" i="1"/>
  <c r="CD192" i="1"/>
  <c r="CE192" i="1"/>
  <c r="CF192" i="1"/>
  <c r="BC192" i="1"/>
  <c r="CS192" i="1"/>
  <c r="S15" i="2"/>
  <c r="P15" i="2"/>
  <c r="B378" i="4"/>
  <c r="P378" i="4"/>
  <c r="H25" i="2"/>
  <c r="H18" i="2"/>
  <c r="H18" i="4"/>
  <c r="H17" i="4"/>
  <c r="S8" i="2"/>
  <c r="D20" i="2"/>
  <c r="D41" i="2"/>
  <c r="D166" i="4"/>
  <c r="U42" i="2"/>
  <c r="B297" i="4"/>
  <c r="U43" i="2"/>
  <c r="U297" i="4"/>
  <c r="A16" i="3"/>
  <c r="B16" i="3"/>
  <c r="C16" i="3"/>
  <c r="AH213" i="4"/>
  <c r="A6" i="3"/>
  <c r="A7" i="3"/>
  <c r="A8" i="3"/>
  <c r="A9" i="3"/>
  <c r="A10" i="3"/>
  <c r="A11" i="3"/>
  <c r="A12" i="3"/>
  <c r="A13" i="3"/>
  <c r="A14" i="3"/>
  <c r="A15" i="3"/>
  <c r="A19" i="3"/>
  <c r="A20" i="3"/>
  <c r="A21" i="3"/>
  <c r="A22" i="3"/>
  <c r="A23" i="3"/>
  <c r="A24" i="3"/>
  <c r="A25" i="3"/>
  <c r="A27" i="3"/>
  <c r="A29" i="3"/>
  <c r="A30" i="3"/>
  <c r="A31" i="3"/>
  <c r="A32" i="3"/>
  <c r="A33" i="3"/>
  <c r="A34" i="3"/>
  <c r="A35" i="3"/>
  <c r="A36" i="3"/>
  <c r="A37" i="3"/>
  <c r="A38" i="3"/>
  <c r="A39" i="3"/>
  <c r="A40" i="3"/>
  <c r="U213" i="4" a="1"/>
  <c r="U213" i="4"/>
  <c r="AD215" i="5"/>
  <c r="T213" i="4" a="1"/>
  <c r="T213" i="4"/>
  <c r="AC215" i="5"/>
  <c r="U45" i="2"/>
  <c r="U302" i="4"/>
  <c r="AD342" i="5"/>
  <c r="T45" i="2"/>
  <c r="T302" i="4"/>
  <c r="AC342" i="5"/>
  <c r="E16" i="3"/>
  <c r="C45" i="2"/>
  <c r="E45" i="2"/>
  <c r="F45" i="2"/>
  <c r="G45" i="2"/>
  <c r="H45" i="2"/>
  <c r="K45" i="2"/>
  <c r="N45" i="2"/>
  <c r="O45" i="2"/>
  <c r="P45" i="2"/>
  <c r="Q45" i="2"/>
  <c r="R45" i="2"/>
  <c r="S45" i="2"/>
  <c r="V45" i="2"/>
  <c r="W45" i="2"/>
  <c r="X45" i="2"/>
  <c r="Y45" i="2"/>
  <c r="Z45" i="2"/>
  <c r="AA45" i="2"/>
  <c r="AB45" i="2"/>
  <c r="D304" i="4"/>
  <c r="E344" i="5"/>
  <c r="F342" i="5"/>
  <c r="AC45" i="2"/>
  <c r="H342" i="5"/>
  <c r="I342" i="5"/>
  <c r="AD45" i="2"/>
  <c r="AE45" i="2"/>
  <c r="I304" i="4"/>
  <c r="L344" i="5"/>
  <c r="K344" i="5"/>
  <c r="AF45" i="2"/>
  <c r="AG45" i="2"/>
  <c r="AH45" i="2"/>
  <c r="AI45" i="2"/>
  <c r="AJ45" i="2"/>
  <c r="O344" i="5"/>
  <c r="J304" i="4"/>
  <c r="N344" i="5"/>
  <c r="AK45" i="2"/>
  <c r="M304" i="4"/>
  <c r="R344" i="5"/>
  <c r="L304" i="4"/>
  <c r="Q344" i="5"/>
  <c r="AL45" i="2"/>
  <c r="AM45" i="2"/>
  <c r="A191" i="1"/>
  <c r="D191" i="1"/>
  <c r="F191" i="1"/>
  <c r="H191" i="1"/>
  <c r="J191" i="1"/>
  <c r="L191" i="1"/>
  <c r="N191" i="1"/>
  <c r="P191" i="1"/>
  <c r="R191" i="1"/>
  <c r="T191" i="1"/>
  <c r="V191" i="1"/>
  <c r="X191" i="1"/>
  <c r="Z191" i="1"/>
  <c r="AB191" i="1"/>
  <c r="AD191" i="1"/>
  <c r="AF191" i="1"/>
  <c r="AH191" i="1"/>
  <c r="AJ191" i="1"/>
  <c r="AL191" i="1"/>
  <c r="AN191" i="1"/>
  <c r="AP191" i="1"/>
  <c r="AR191" i="1"/>
  <c r="AT191" i="1"/>
  <c r="AV191" i="1"/>
  <c r="AX191" i="1"/>
  <c r="AZ191" i="1"/>
  <c r="BA191" i="1"/>
  <c r="BB191" i="1"/>
  <c r="CG191" i="1"/>
  <c r="CH191" i="1"/>
  <c r="CI191" i="1"/>
  <c r="CJ191" i="1"/>
  <c r="CK191" i="1"/>
  <c r="CL191" i="1"/>
  <c r="CM191" i="1"/>
  <c r="CN191" i="1"/>
  <c r="CO191" i="1"/>
  <c r="CP191" i="1"/>
  <c r="CQ191" i="1"/>
  <c r="CR191" i="1"/>
  <c r="BU191" i="1"/>
  <c r="BV191" i="1"/>
  <c r="BW191" i="1"/>
  <c r="BX191" i="1"/>
  <c r="BY191" i="1"/>
  <c r="BZ191" i="1"/>
  <c r="CA191" i="1"/>
  <c r="CB191" i="1"/>
  <c r="CC191" i="1"/>
  <c r="CD191" i="1"/>
  <c r="CE191" i="1"/>
  <c r="CF191" i="1"/>
  <c r="BC191" i="1"/>
  <c r="CS191" i="1"/>
  <c r="A193" i="1"/>
  <c r="D193" i="1"/>
  <c r="F193" i="1"/>
  <c r="H193" i="1"/>
  <c r="J193" i="1"/>
  <c r="L193" i="1"/>
  <c r="N193" i="1"/>
  <c r="P193" i="1"/>
  <c r="R193" i="1"/>
  <c r="T193" i="1"/>
  <c r="V193" i="1"/>
  <c r="X193" i="1"/>
  <c r="Z193" i="1"/>
  <c r="AB193" i="1"/>
  <c r="AD193" i="1"/>
  <c r="AF193" i="1"/>
  <c r="AH193" i="1"/>
  <c r="AJ193" i="1"/>
  <c r="AL193" i="1"/>
  <c r="AN193" i="1"/>
  <c r="AP193" i="1"/>
  <c r="AR193" i="1"/>
  <c r="AT193" i="1"/>
  <c r="AV193" i="1"/>
  <c r="AX193" i="1"/>
  <c r="AZ193" i="1"/>
  <c r="BA193" i="1"/>
  <c r="BB193" i="1"/>
  <c r="CG193" i="1"/>
  <c r="CH193" i="1"/>
  <c r="CI193" i="1"/>
  <c r="CJ193" i="1"/>
  <c r="CK193" i="1"/>
  <c r="CL193" i="1"/>
  <c r="CM193" i="1"/>
  <c r="CN193" i="1"/>
  <c r="CO193" i="1"/>
  <c r="CP193" i="1"/>
  <c r="CQ193" i="1"/>
  <c r="CR193" i="1"/>
  <c r="BU193" i="1"/>
  <c r="BV193" i="1"/>
  <c r="BW193" i="1"/>
  <c r="BX193" i="1"/>
  <c r="BY193" i="1"/>
  <c r="BZ193" i="1"/>
  <c r="CA193" i="1"/>
  <c r="CB193" i="1"/>
  <c r="CC193" i="1"/>
  <c r="CD193" i="1"/>
  <c r="CE193" i="1"/>
  <c r="CF193" i="1"/>
  <c r="BC193" i="1"/>
  <c r="CS193" i="1"/>
  <c r="E213" i="1"/>
  <c r="I19" i="5"/>
  <c r="F41" i="2"/>
  <c r="F40" i="2"/>
  <c r="F26" i="4"/>
  <c r="H19" i="5"/>
  <c r="E41" i="2"/>
  <c r="E40" i="2"/>
  <c r="E26" i="4"/>
  <c r="F19" i="5"/>
  <c r="C42" i="2"/>
  <c r="D42" i="2"/>
  <c r="E42" i="2"/>
  <c r="F42" i="2"/>
  <c r="G42" i="2"/>
  <c r="H42" i="2"/>
  <c r="I42" i="2"/>
  <c r="J42" i="2"/>
  <c r="K42" i="2"/>
  <c r="L42" i="2"/>
  <c r="M42" i="2"/>
  <c r="N42" i="2"/>
  <c r="O42" i="2"/>
  <c r="P42" i="2"/>
  <c r="Q42" i="2"/>
  <c r="R42" i="2"/>
  <c r="S42" i="2"/>
  <c r="T42" i="2"/>
  <c r="V42" i="2"/>
  <c r="W42" i="2"/>
  <c r="X42" i="2"/>
  <c r="Y42" i="2"/>
  <c r="Z42" i="2"/>
  <c r="AA42" i="2"/>
  <c r="AB42" i="2"/>
  <c r="D40" i="2"/>
  <c r="D26" i="4"/>
  <c r="E19" i="5"/>
  <c r="B296" i="4"/>
  <c r="D296" i="4"/>
  <c r="E317" i="5"/>
  <c r="F317" i="5"/>
  <c r="AC42" i="2"/>
  <c r="H317" i="5"/>
  <c r="I317" i="5"/>
  <c r="AD42" i="2"/>
  <c r="AE42" i="2"/>
  <c r="H41" i="2"/>
  <c r="H40" i="2"/>
  <c r="H26" i="4"/>
  <c r="K19" i="5"/>
  <c r="I15" i="2"/>
  <c r="I296" i="4"/>
  <c r="L317" i="5"/>
  <c r="K317" i="5"/>
  <c r="AF42" i="2"/>
  <c r="AG42" i="2"/>
  <c r="AH42" i="2"/>
  <c r="AI42" i="2"/>
  <c r="AJ42" i="2"/>
  <c r="O317" i="5"/>
  <c r="J15" i="2"/>
  <c r="J296" i="4"/>
  <c r="N317" i="5"/>
  <c r="AK42" i="2"/>
  <c r="M40" i="2"/>
  <c r="M26" i="4"/>
  <c r="R19" i="5"/>
  <c r="L41" i="2"/>
  <c r="L40" i="2"/>
  <c r="L26" i="4"/>
  <c r="Q19" i="5"/>
  <c r="M296" i="4"/>
  <c r="R317" i="5"/>
  <c r="L296" i="4"/>
  <c r="Q317" i="5"/>
  <c r="AL42" i="2"/>
  <c r="AM42" i="2"/>
  <c r="A178" i="1"/>
  <c r="D178" i="1"/>
  <c r="F178" i="1"/>
  <c r="H178" i="1"/>
  <c r="J178" i="1"/>
  <c r="L178" i="1"/>
  <c r="N178" i="1"/>
  <c r="P178" i="1"/>
  <c r="R178" i="1"/>
  <c r="T178" i="1"/>
  <c r="V178" i="1"/>
  <c r="X178" i="1"/>
  <c r="Z178" i="1"/>
  <c r="AB178" i="1"/>
  <c r="AD178" i="1"/>
  <c r="AF178" i="1"/>
  <c r="AH178" i="1"/>
  <c r="AJ178" i="1"/>
  <c r="AL178" i="1"/>
  <c r="AN178" i="1"/>
  <c r="AP178" i="1"/>
  <c r="AR178" i="1"/>
  <c r="AT178" i="1"/>
  <c r="AV178" i="1"/>
  <c r="AX178" i="1"/>
  <c r="AZ178" i="1"/>
  <c r="BA178" i="1"/>
  <c r="BB178" i="1"/>
  <c r="CG178" i="1"/>
  <c r="CH178" i="1"/>
  <c r="CI178" i="1"/>
  <c r="CJ178" i="1"/>
  <c r="CK178" i="1"/>
  <c r="CL178" i="1"/>
  <c r="CM178" i="1"/>
  <c r="CN178" i="1"/>
  <c r="CO178" i="1"/>
  <c r="CP178" i="1"/>
  <c r="CQ178" i="1"/>
  <c r="CR178" i="1"/>
  <c r="BU178" i="1"/>
  <c r="BV178" i="1"/>
  <c r="BW178" i="1"/>
  <c r="BX178" i="1"/>
  <c r="BY178" i="1"/>
  <c r="BZ178" i="1"/>
  <c r="CA178" i="1"/>
  <c r="CB178" i="1"/>
  <c r="CC178" i="1"/>
  <c r="CD178" i="1"/>
  <c r="CE178" i="1"/>
  <c r="CF178" i="1"/>
  <c r="BC178" i="1"/>
  <c r="CS178" i="1"/>
  <c r="A179" i="1"/>
  <c r="D179" i="1"/>
  <c r="F179" i="1"/>
  <c r="H179" i="1"/>
  <c r="J179" i="1"/>
  <c r="L179" i="1"/>
  <c r="N179" i="1"/>
  <c r="P179" i="1"/>
  <c r="R179" i="1"/>
  <c r="T179" i="1"/>
  <c r="V179" i="1"/>
  <c r="X179" i="1"/>
  <c r="Z179" i="1"/>
  <c r="AB179" i="1"/>
  <c r="AD179" i="1"/>
  <c r="AF179" i="1"/>
  <c r="AH179" i="1"/>
  <c r="AJ179" i="1"/>
  <c r="AL179" i="1"/>
  <c r="AN179" i="1"/>
  <c r="AP179" i="1"/>
  <c r="AR179" i="1"/>
  <c r="AT179" i="1"/>
  <c r="AV179" i="1"/>
  <c r="AX179" i="1"/>
  <c r="AZ179" i="1"/>
  <c r="BA179" i="1"/>
  <c r="BB179" i="1"/>
  <c r="CG179" i="1"/>
  <c r="CH179" i="1"/>
  <c r="CI179" i="1"/>
  <c r="CJ179" i="1"/>
  <c r="CK179" i="1"/>
  <c r="CL179" i="1"/>
  <c r="CM179" i="1"/>
  <c r="CN179" i="1"/>
  <c r="CO179" i="1"/>
  <c r="CP179" i="1"/>
  <c r="CQ179" i="1"/>
  <c r="CR179" i="1"/>
  <c r="BU179" i="1"/>
  <c r="BV179" i="1"/>
  <c r="BW179" i="1"/>
  <c r="BX179" i="1"/>
  <c r="BY179" i="1"/>
  <c r="BZ179" i="1"/>
  <c r="CA179" i="1"/>
  <c r="CB179" i="1"/>
  <c r="CC179" i="1"/>
  <c r="CD179" i="1"/>
  <c r="CE179" i="1"/>
  <c r="CF179" i="1"/>
  <c r="BC179" i="1"/>
  <c r="CS179" i="1"/>
  <c r="A150" i="1"/>
  <c r="D150" i="1"/>
  <c r="F150" i="1"/>
  <c r="H150" i="1"/>
  <c r="J150" i="1"/>
  <c r="L150" i="1"/>
  <c r="N150" i="1"/>
  <c r="P150" i="1"/>
  <c r="R150" i="1"/>
  <c r="T150" i="1"/>
  <c r="V150" i="1"/>
  <c r="X150" i="1"/>
  <c r="Z150" i="1"/>
  <c r="AB150" i="1"/>
  <c r="AD150" i="1"/>
  <c r="AF150" i="1"/>
  <c r="AH150" i="1"/>
  <c r="AJ150" i="1"/>
  <c r="AL150" i="1"/>
  <c r="AN150" i="1"/>
  <c r="AP150" i="1"/>
  <c r="AR150" i="1"/>
  <c r="AT150" i="1"/>
  <c r="AV150" i="1"/>
  <c r="AX150" i="1"/>
  <c r="AZ150" i="1"/>
  <c r="BA150" i="1"/>
  <c r="BB150" i="1"/>
  <c r="CG150" i="1"/>
  <c r="CH150" i="1"/>
  <c r="CI150" i="1"/>
  <c r="CJ150" i="1"/>
  <c r="CK150" i="1"/>
  <c r="CL150" i="1"/>
  <c r="CM150" i="1"/>
  <c r="CN150" i="1"/>
  <c r="CO150" i="1"/>
  <c r="CP150" i="1"/>
  <c r="CQ150" i="1"/>
  <c r="CR150" i="1"/>
  <c r="BU150" i="1"/>
  <c r="BV150" i="1"/>
  <c r="BW150" i="1"/>
  <c r="BX150" i="1"/>
  <c r="BY150" i="1"/>
  <c r="BZ150" i="1"/>
  <c r="CA150" i="1"/>
  <c r="CB150" i="1"/>
  <c r="CC150" i="1"/>
  <c r="CD150" i="1"/>
  <c r="CE150" i="1"/>
  <c r="CF150" i="1"/>
  <c r="BC150" i="1"/>
  <c r="CS150" i="1"/>
  <c r="A149" i="1"/>
  <c r="D149" i="1"/>
  <c r="F149" i="1"/>
  <c r="H149" i="1"/>
  <c r="J149" i="1"/>
  <c r="L149" i="1"/>
  <c r="N149" i="1"/>
  <c r="P149" i="1"/>
  <c r="R149" i="1"/>
  <c r="T149" i="1"/>
  <c r="V149" i="1"/>
  <c r="X149" i="1"/>
  <c r="Z149" i="1"/>
  <c r="AB149" i="1"/>
  <c r="AD149" i="1"/>
  <c r="AF149" i="1"/>
  <c r="AH149" i="1"/>
  <c r="AJ149" i="1"/>
  <c r="AL149" i="1"/>
  <c r="AN149" i="1"/>
  <c r="AP149" i="1"/>
  <c r="AR149" i="1"/>
  <c r="AT149" i="1"/>
  <c r="AV149" i="1"/>
  <c r="AX149" i="1"/>
  <c r="AZ149" i="1"/>
  <c r="BA149" i="1"/>
  <c r="BB149" i="1"/>
  <c r="CG149" i="1"/>
  <c r="CH149" i="1"/>
  <c r="CI149" i="1"/>
  <c r="CJ149" i="1"/>
  <c r="CK149" i="1"/>
  <c r="CL149" i="1"/>
  <c r="CM149" i="1"/>
  <c r="CN149" i="1"/>
  <c r="CO149" i="1"/>
  <c r="CP149" i="1"/>
  <c r="CQ149" i="1"/>
  <c r="CR149" i="1"/>
  <c r="BU149" i="1"/>
  <c r="BV149" i="1"/>
  <c r="BW149" i="1"/>
  <c r="BX149" i="1"/>
  <c r="BY149" i="1"/>
  <c r="BZ149" i="1"/>
  <c r="CA149" i="1"/>
  <c r="CB149" i="1"/>
  <c r="CC149" i="1"/>
  <c r="CD149" i="1"/>
  <c r="CE149" i="1"/>
  <c r="CF149" i="1"/>
  <c r="BC149" i="1"/>
  <c r="CS149" i="1"/>
  <c r="A172" i="1"/>
  <c r="D172" i="1"/>
  <c r="F172" i="1"/>
  <c r="H172" i="1"/>
  <c r="J172" i="1"/>
  <c r="L172" i="1"/>
  <c r="N172" i="1"/>
  <c r="P172" i="1"/>
  <c r="R172" i="1"/>
  <c r="T172" i="1"/>
  <c r="V172" i="1"/>
  <c r="X172" i="1"/>
  <c r="Z172" i="1"/>
  <c r="AB172" i="1"/>
  <c r="AD172" i="1"/>
  <c r="AF172" i="1"/>
  <c r="AH172" i="1"/>
  <c r="AJ172" i="1"/>
  <c r="AL172" i="1"/>
  <c r="AN172" i="1"/>
  <c r="AP172" i="1"/>
  <c r="AR172" i="1"/>
  <c r="AT172" i="1"/>
  <c r="AV172" i="1"/>
  <c r="AX172" i="1"/>
  <c r="AZ172" i="1"/>
  <c r="BA172" i="1"/>
  <c r="BB172" i="1"/>
  <c r="CG172" i="1"/>
  <c r="CH172" i="1"/>
  <c r="CI172" i="1"/>
  <c r="CJ172" i="1"/>
  <c r="CK172" i="1"/>
  <c r="CL172" i="1"/>
  <c r="CM172" i="1"/>
  <c r="CN172" i="1"/>
  <c r="CO172" i="1"/>
  <c r="CP172" i="1"/>
  <c r="CQ172" i="1"/>
  <c r="CR172" i="1"/>
  <c r="BU172" i="1"/>
  <c r="BV172" i="1"/>
  <c r="BW172" i="1"/>
  <c r="BX172" i="1"/>
  <c r="BY172" i="1"/>
  <c r="BZ172" i="1"/>
  <c r="CA172" i="1"/>
  <c r="CB172" i="1"/>
  <c r="CC172" i="1"/>
  <c r="CD172" i="1"/>
  <c r="CE172" i="1"/>
  <c r="CF172" i="1"/>
  <c r="BC172" i="1"/>
  <c r="CS172" i="1"/>
  <c r="N41" i="2"/>
  <c r="N40" i="2"/>
  <c r="N26" i="4"/>
  <c r="C41" i="2"/>
  <c r="G41" i="2"/>
  <c r="I41" i="2"/>
  <c r="J41" i="2"/>
  <c r="K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D29" i="2"/>
  <c r="D216" i="4"/>
  <c r="E218" i="5"/>
  <c r="AC41" i="2"/>
  <c r="AD41" i="2"/>
  <c r="AE41" i="2"/>
  <c r="H216" i="4"/>
  <c r="K218" i="5"/>
  <c r="L19" i="5"/>
  <c r="AF41" i="2"/>
  <c r="AG41" i="2"/>
  <c r="AH41" i="2"/>
  <c r="AI41" i="2"/>
  <c r="AJ41" i="2"/>
  <c r="N19" i="5"/>
  <c r="O19" i="5"/>
  <c r="AK41" i="2"/>
  <c r="M29" i="2"/>
  <c r="M216" i="4"/>
  <c r="R218" i="5"/>
  <c r="L29" i="2"/>
  <c r="L216" i="4"/>
  <c r="Q218" i="5"/>
  <c r="AL41" i="2"/>
  <c r="AM41" i="2"/>
  <c r="A171" i="1"/>
  <c r="D171" i="1"/>
  <c r="F171" i="1"/>
  <c r="H171" i="1"/>
  <c r="J171" i="1"/>
  <c r="L171" i="1"/>
  <c r="N171" i="1"/>
  <c r="P171" i="1"/>
  <c r="R171" i="1"/>
  <c r="T171" i="1"/>
  <c r="V171" i="1"/>
  <c r="X171" i="1"/>
  <c r="Z171" i="1"/>
  <c r="AB171" i="1"/>
  <c r="AD171" i="1"/>
  <c r="AF171" i="1"/>
  <c r="AH171" i="1"/>
  <c r="AJ171" i="1"/>
  <c r="AL171" i="1"/>
  <c r="AN171" i="1"/>
  <c r="AP171" i="1"/>
  <c r="AR171" i="1"/>
  <c r="AT171" i="1"/>
  <c r="AV171" i="1"/>
  <c r="AX171" i="1"/>
  <c r="AZ171" i="1"/>
  <c r="BA171" i="1"/>
  <c r="BB171" i="1"/>
  <c r="CG171" i="1"/>
  <c r="CH171" i="1"/>
  <c r="CI171" i="1"/>
  <c r="CJ171" i="1"/>
  <c r="CK171" i="1"/>
  <c r="CL171" i="1"/>
  <c r="CM171" i="1"/>
  <c r="CN171" i="1"/>
  <c r="CO171" i="1"/>
  <c r="CP171" i="1"/>
  <c r="CQ171" i="1"/>
  <c r="CR171" i="1"/>
  <c r="BU171" i="1"/>
  <c r="BV171" i="1"/>
  <c r="BW171" i="1"/>
  <c r="BX171" i="1"/>
  <c r="BY171" i="1"/>
  <c r="BZ171" i="1"/>
  <c r="CA171" i="1"/>
  <c r="CB171" i="1"/>
  <c r="CC171" i="1"/>
  <c r="CD171" i="1"/>
  <c r="CE171" i="1"/>
  <c r="CF171" i="1"/>
  <c r="BC171" i="1"/>
  <c r="CS171" i="1"/>
  <c r="A169" i="1"/>
  <c r="D169" i="1"/>
  <c r="F169" i="1"/>
  <c r="H169" i="1"/>
  <c r="J169" i="1"/>
  <c r="L169" i="1"/>
  <c r="N169" i="1"/>
  <c r="P169" i="1"/>
  <c r="R169" i="1"/>
  <c r="T169" i="1"/>
  <c r="V169" i="1"/>
  <c r="X169" i="1"/>
  <c r="Z169" i="1"/>
  <c r="AB169" i="1"/>
  <c r="AD169" i="1"/>
  <c r="AF169" i="1"/>
  <c r="AH169" i="1"/>
  <c r="AJ169" i="1"/>
  <c r="AL169" i="1"/>
  <c r="AN169" i="1"/>
  <c r="AP169" i="1"/>
  <c r="AR169" i="1"/>
  <c r="AT169" i="1"/>
  <c r="AV169" i="1"/>
  <c r="AX169" i="1"/>
  <c r="AZ169" i="1"/>
  <c r="BA169" i="1"/>
  <c r="BB169" i="1"/>
  <c r="CG169" i="1"/>
  <c r="CH169" i="1"/>
  <c r="CI169" i="1"/>
  <c r="CJ169" i="1"/>
  <c r="CK169" i="1"/>
  <c r="CL169" i="1"/>
  <c r="CM169" i="1"/>
  <c r="CN169" i="1"/>
  <c r="CO169" i="1"/>
  <c r="CP169" i="1"/>
  <c r="CQ169" i="1"/>
  <c r="CR169" i="1"/>
  <c r="BU169" i="1"/>
  <c r="BV169" i="1"/>
  <c r="BW169" i="1"/>
  <c r="BX169" i="1"/>
  <c r="BY169" i="1"/>
  <c r="BZ169" i="1"/>
  <c r="CA169" i="1"/>
  <c r="CB169" i="1"/>
  <c r="CC169" i="1"/>
  <c r="CD169" i="1"/>
  <c r="CE169" i="1"/>
  <c r="CF169" i="1"/>
  <c r="BC169" i="1"/>
  <c r="CS169" i="1"/>
  <c r="A170" i="1"/>
  <c r="D170" i="1"/>
  <c r="F170" i="1"/>
  <c r="H170" i="1"/>
  <c r="J170" i="1"/>
  <c r="L170" i="1"/>
  <c r="N170" i="1"/>
  <c r="P170" i="1"/>
  <c r="R170" i="1"/>
  <c r="T170" i="1"/>
  <c r="V170" i="1"/>
  <c r="X170" i="1"/>
  <c r="Z170" i="1"/>
  <c r="AB170" i="1"/>
  <c r="AD170" i="1"/>
  <c r="AF170" i="1"/>
  <c r="AH170" i="1"/>
  <c r="AJ170" i="1"/>
  <c r="AL170" i="1"/>
  <c r="AN170" i="1"/>
  <c r="AP170" i="1"/>
  <c r="AR170" i="1"/>
  <c r="AT170" i="1"/>
  <c r="AV170" i="1"/>
  <c r="AX170" i="1"/>
  <c r="AZ170" i="1"/>
  <c r="BA170" i="1"/>
  <c r="BB170" i="1"/>
  <c r="CG170" i="1"/>
  <c r="CH170" i="1"/>
  <c r="CI170" i="1"/>
  <c r="CJ170" i="1"/>
  <c r="CK170" i="1"/>
  <c r="CL170" i="1"/>
  <c r="CM170" i="1"/>
  <c r="CN170" i="1"/>
  <c r="CO170" i="1"/>
  <c r="CP170" i="1"/>
  <c r="CQ170" i="1"/>
  <c r="CR170" i="1"/>
  <c r="BU170" i="1"/>
  <c r="BV170" i="1"/>
  <c r="BW170" i="1"/>
  <c r="BX170" i="1"/>
  <c r="BY170" i="1"/>
  <c r="BZ170" i="1"/>
  <c r="CA170" i="1"/>
  <c r="CB170" i="1"/>
  <c r="CC170" i="1"/>
  <c r="CD170" i="1"/>
  <c r="CE170" i="1"/>
  <c r="CF170" i="1"/>
  <c r="BC170" i="1"/>
  <c r="CS170" i="1"/>
  <c r="AH175" i="4"/>
  <c r="AH59" i="4"/>
  <c r="U59" i="4" a="1"/>
  <c r="U59" i="4"/>
  <c r="AH174" i="4"/>
  <c r="AH186" i="4"/>
  <c r="AH173" i="4"/>
  <c r="T175" i="4" a="1"/>
  <c r="T175" i="4"/>
  <c r="T59" i="4" a="1"/>
  <c r="T59" i="4"/>
  <c r="T174" i="4" a="1"/>
  <c r="T174" i="4"/>
  <c r="T186" i="4" a="1"/>
  <c r="T186" i="4"/>
  <c r="T173" i="4" a="1"/>
  <c r="T173" i="4"/>
  <c r="A84" i="1"/>
  <c r="D84" i="1"/>
  <c r="F84" i="1"/>
  <c r="H84" i="1"/>
  <c r="J84" i="1"/>
  <c r="L84" i="1"/>
  <c r="N84" i="1"/>
  <c r="P84" i="1"/>
  <c r="R84" i="1"/>
  <c r="T84" i="1"/>
  <c r="V84" i="1"/>
  <c r="X84" i="1"/>
  <c r="Z84" i="1"/>
  <c r="AB84" i="1"/>
  <c r="AD84" i="1"/>
  <c r="AF84" i="1"/>
  <c r="AH84" i="1"/>
  <c r="AJ84" i="1"/>
  <c r="AL84" i="1"/>
  <c r="AN84" i="1"/>
  <c r="AP84" i="1"/>
  <c r="AR84" i="1"/>
  <c r="AT84" i="1"/>
  <c r="AV84" i="1"/>
  <c r="AX84" i="1"/>
  <c r="AZ84" i="1"/>
  <c r="BA84" i="1"/>
  <c r="BB84" i="1"/>
  <c r="CG84" i="1"/>
  <c r="CH84" i="1"/>
  <c r="CI84" i="1"/>
  <c r="CJ84" i="1"/>
  <c r="CK84" i="1"/>
  <c r="CL84" i="1"/>
  <c r="CM84" i="1"/>
  <c r="CN84" i="1"/>
  <c r="CO84" i="1"/>
  <c r="CP84" i="1"/>
  <c r="CQ84" i="1"/>
  <c r="CR84" i="1"/>
  <c r="BU84" i="1"/>
  <c r="BV84" i="1"/>
  <c r="BW84" i="1"/>
  <c r="BX84" i="1"/>
  <c r="BY84" i="1"/>
  <c r="BZ84" i="1"/>
  <c r="CA84" i="1"/>
  <c r="CB84" i="1"/>
  <c r="CC84" i="1"/>
  <c r="CD84" i="1"/>
  <c r="CE84" i="1"/>
  <c r="CF84" i="1"/>
  <c r="BC84" i="1"/>
  <c r="CS84" i="1"/>
  <c r="A83" i="1"/>
  <c r="D83" i="1"/>
  <c r="F83" i="1"/>
  <c r="H83" i="1"/>
  <c r="J83" i="1"/>
  <c r="L83" i="1"/>
  <c r="N83" i="1"/>
  <c r="P83" i="1"/>
  <c r="R83" i="1"/>
  <c r="T83" i="1"/>
  <c r="V83" i="1"/>
  <c r="X83" i="1"/>
  <c r="Z83" i="1"/>
  <c r="AB83" i="1"/>
  <c r="AD83" i="1"/>
  <c r="AF83" i="1"/>
  <c r="AH83" i="1"/>
  <c r="AJ83" i="1"/>
  <c r="AL83" i="1"/>
  <c r="AN83" i="1"/>
  <c r="AP83" i="1"/>
  <c r="AR83" i="1"/>
  <c r="AT83" i="1"/>
  <c r="AV83" i="1"/>
  <c r="AX83" i="1"/>
  <c r="AZ83" i="1"/>
  <c r="BA83" i="1"/>
  <c r="BB83" i="1"/>
  <c r="CG83" i="1"/>
  <c r="CH83" i="1"/>
  <c r="CI83" i="1"/>
  <c r="CJ83" i="1"/>
  <c r="CK83" i="1"/>
  <c r="CL83" i="1"/>
  <c r="CM83" i="1"/>
  <c r="CN83" i="1"/>
  <c r="CO83" i="1"/>
  <c r="CP83" i="1"/>
  <c r="CQ83" i="1"/>
  <c r="CR83" i="1"/>
  <c r="BU83" i="1"/>
  <c r="BV83" i="1"/>
  <c r="BW83" i="1"/>
  <c r="BX83" i="1"/>
  <c r="BY83" i="1"/>
  <c r="BZ83" i="1"/>
  <c r="CA83" i="1"/>
  <c r="CB83" i="1"/>
  <c r="CC83" i="1"/>
  <c r="CD83" i="1"/>
  <c r="CE83" i="1"/>
  <c r="CF83" i="1"/>
  <c r="BC83" i="1"/>
  <c r="CS83" i="1"/>
  <c r="B13" i="3"/>
  <c r="C13" i="3"/>
  <c r="AD210" i="5"/>
  <c r="AC210" i="5"/>
  <c r="AH9" i="4"/>
  <c r="U9" i="4" a="1"/>
  <c r="U9" i="4"/>
  <c r="AD2" i="5"/>
  <c r="T9" i="4" a="1"/>
  <c r="T9" i="4"/>
  <c r="AC2" i="5"/>
  <c r="E13" i="3"/>
  <c r="J16" i="2"/>
  <c r="C16" i="2"/>
  <c r="G16" i="2"/>
  <c r="I16" i="2"/>
  <c r="K16" i="2"/>
  <c r="N16" i="2"/>
  <c r="P16" i="2"/>
  <c r="Q16" i="2"/>
  <c r="R16" i="2"/>
  <c r="S16" i="2"/>
  <c r="T16" i="2"/>
  <c r="U16" i="2"/>
  <c r="V16" i="2"/>
  <c r="W16" i="2"/>
  <c r="X16" i="2"/>
  <c r="Y16" i="2"/>
  <c r="Z16" i="2"/>
  <c r="AA16" i="2"/>
  <c r="AB16" i="2"/>
  <c r="B70" i="4"/>
  <c r="D70" i="4"/>
  <c r="E72" i="5"/>
  <c r="AC16" i="2"/>
  <c r="AD16" i="2"/>
  <c r="AE16" i="2"/>
  <c r="H70" i="4"/>
  <c r="K72" i="5"/>
  <c r="L2" i="5"/>
  <c r="AF16" i="2"/>
  <c r="AG16" i="2"/>
  <c r="AH16" i="2"/>
  <c r="AI16" i="2"/>
  <c r="AJ16" i="2"/>
  <c r="N2" i="5"/>
  <c r="O2" i="5"/>
  <c r="AK16" i="2"/>
  <c r="M70" i="4"/>
  <c r="R72" i="5"/>
  <c r="L70" i="4"/>
  <c r="Q72" i="5"/>
  <c r="AL16" i="2"/>
  <c r="AM16" i="2"/>
  <c r="A81" i="1"/>
  <c r="D81" i="1"/>
  <c r="F81" i="1"/>
  <c r="H81" i="1"/>
  <c r="J81" i="1"/>
  <c r="L81" i="1"/>
  <c r="N81" i="1"/>
  <c r="P81" i="1"/>
  <c r="R81" i="1"/>
  <c r="T81" i="1"/>
  <c r="V81" i="1"/>
  <c r="X81" i="1"/>
  <c r="Z81" i="1"/>
  <c r="AB81" i="1"/>
  <c r="AD81" i="1"/>
  <c r="AF81" i="1"/>
  <c r="AH81" i="1"/>
  <c r="AJ81" i="1"/>
  <c r="AL81" i="1"/>
  <c r="AN81" i="1"/>
  <c r="AP81" i="1"/>
  <c r="AR81" i="1"/>
  <c r="AT81" i="1"/>
  <c r="AV81" i="1"/>
  <c r="AX81" i="1"/>
  <c r="AZ81" i="1"/>
  <c r="BA81" i="1"/>
  <c r="BB81" i="1"/>
  <c r="CG81" i="1"/>
  <c r="CH81" i="1"/>
  <c r="CI81" i="1"/>
  <c r="CJ81" i="1"/>
  <c r="CK81" i="1"/>
  <c r="CL81" i="1"/>
  <c r="CM81" i="1"/>
  <c r="CN81" i="1"/>
  <c r="CO81" i="1"/>
  <c r="CP81" i="1"/>
  <c r="CQ81" i="1"/>
  <c r="CR81" i="1"/>
  <c r="BU81" i="1"/>
  <c r="BV81" i="1"/>
  <c r="BW81" i="1"/>
  <c r="BX81" i="1"/>
  <c r="BY81" i="1"/>
  <c r="BZ81" i="1"/>
  <c r="CA81" i="1"/>
  <c r="CB81" i="1"/>
  <c r="CC81" i="1"/>
  <c r="CD81" i="1"/>
  <c r="CE81" i="1"/>
  <c r="CF81" i="1"/>
  <c r="BC81" i="1"/>
  <c r="CS81" i="1"/>
  <c r="A82" i="1"/>
  <c r="D82" i="1"/>
  <c r="F82" i="1"/>
  <c r="H82" i="1"/>
  <c r="J82" i="1"/>
  <c r="L82" i="1"/>
  <c r="N82" i="1"/>
  <c r="P82" i="1"/>
  <c r="R82" i="1"/>
  <c r="T82" i="1"/>
  <c r="V82" i="1"/>
  <c r="X82" i="1"/>
  <c r="Z82" i="1"/>
  <c r="AB82" i="1"/>
  <c r="AD82" i="1"/>
  <c r="AF82" i="1"/>
  <c r="AH82" i="1"/>
  <c r="AJ82" i="1"/>
  <c r="AL82" i="1"/>
  <c r="AN82" i="1"/>
  <c r="AP82" i="1"/>
  <c r="AR82" i="1"/>
  <c r="AT82" i="1"/>
  <c r="AV82" i="1"/>
  <c r="AX82" i="1"/>
  <c r="BA82" i="1"/>
  <c r="BB82" i="1"/>
  <c r="CG82" i="1"/>
  <c r="CH82" i="1"/>
  <c r="CI82" i="1"/>
  <c r="CJ82" i="1"/>
  <c r="CK82" i="1"/>
  <c r="CL82" i="1"/>
  <c r="CM82" i="1"/>
  <c r="CN82" i="1"/>
  <c r="CO82" i="1"/>
  <c r="CP82" i="1"/>
  <c r="CQ82" i="1"/>
  <c r="CR82" i="1"/>
  <c r="BU82" i="1"/>
  <c r="BV82" i="1"/>
  <c r="BW82" i="1"/>
  <c r="BX82" i="1"/>
  <c r="BY82" i="1"/>
  <c r="BZ82" i="1"/>
  <c r="CA82" i="1"/>
  <c r="CB82" i="1"/>
  <c r="CC82" i="1"/>
  <c r="CD82" i="1"/>
  <c r="CE82" i="1"/>
  <c r="CF82" i="1"/>
  <c r="BC82" i="1"/>
  <c r="CS82" i="1"/>
  <c r="J93" i="1"/>
  <c r="C15" i="2"/>
  <c r="C9" i="4"/>
  <c r="C2" i="5"/>
  <c r="T2" i="5"/>
  <c r="U2" i="5"/>
  <c r="P9" i="4"/>
  <c r="W2" i="5"/>
  <c r="Q15" i="2"/>
  <c r="Q9" i="4"/>
  <c r="X2" i="5"/>
  <c r="S9" i="4"/>
  <c r="AA2" i="5"/>
  <c r="AF2" i="5"/>
  <c r="AG2" i="5"/>
  <c r="X15" i="2"/>
  <c r="X9" i="4"/>
  <c r="AI2" i="5"/>
  <c r="Y15" i="2"/>
  <c r="Y9" i="4"/>
  <c r="AJ2" i="5"/>
  <c r="Z15" i="2"/>
  <c r="Z9" i="4"/>
  <c r="AL2" i="5"/>
  <c r="Z2" i="5"/>
  <c r="AN2" i="5"/>
  <c r="C21" i="2"/>
  <c r="C3" i="2"/>
  <c r="C10" i="4"/>
  <c r="C3" i="5"/>
  <c r="D21" i="2"/>
  <c r="D3" i="2"/>
  <c r="D10" i="4"/>
  <c r="E3" i="5"/>
  <c r="K3" i="5"/>
  <c r="L21" i="2"/>
  <c r="L3" i="2"/>
  <c r="L10" i="4"/>
  <c r="Q3" i="5"/>
  <c r="M21" i="2"/>
  <c r="M3" i="2"/>
  <c r="M10" i="4"/>
  <c r="R3" i="5"/>
  <c r="T3" i="5"/>
  <c r="U3" i="5"/>
  <c r="P21" i="2"/>
  <c r="P3" i="2"/>
  <c r="P10" i="4"/>
  <c r="W3" i="5"/>
  <c r="Q21" i="2"/>
  <c r="Q3" i="2"/>
  <c r="Q10" i="4"/>
  <c r="X3" i="5"/>
  <c r="S21" i="2"/>
  <c r="S3" i="2"/>
  <c r="S10" i="4"/>
  <c r="AA3" i="5"/>
  <c r="AH10" i="4"/>
  <c r="T10" i="4" a="1"/>
  <c r="T10" i="4"/>
  <c r="AC3" i="5"/>
  <c r="U10" i="4" a="1"/>
  <c r="U10" i="4"/>
  <c r="AD3" i="5"/>
  <c r="AF3" i="5"/>
  <c r="AG3" i="5"/>
  <c r="X21" i="2"/>
  <c r="X3" i="2"/>
  <c r="X10" i="4"/>
  <c r="AI3" i="5"/>
  <c r="Y21" i="2"/>
  <c r="Y3" i="2"/>
  <c r="Y10" i="4"/>
  <c r="AJ3" i="5"/>
  <c r="Z21" i="2"/>
  <c r="Z3" i="2"/>
  <c r="Z10" i="4"/>
  <c r="AL3" i="5"/>
  <c r="F3" i="5"/>
  <c r="H3" i="5"/>
  <c r="I3" i="5"/>
  <c r="L3" i="5"/>
  <c r="N3" i="5"/>
  <c r="O3" i="5"/>
  <c r="Z3" i="5"/>
  <c r="AN3" i="5"/>
  <c r="B11" i="4"/>
  <c r="C2" i="2"/>
  <c r="C11" i="4"/>
  <c r="C4" i="5"/>
  <c r="D2" i="2"/>
  <c r="D11" i="4"/>
  <c r="E4" i="5"/>
  <c r="K4" i="5"/>
  <c r="L2" i="2"/>
  <c r="L11" i="4"/>
  <c r="Q4" i="5"/>
  <c r="M2" i="2"/>
  <c r="M11" i="4"/>
  <c r="R4" i="5"/>
  <c r="T4" i="5"/>
  <c r="U4" i="5"/>
  <c r="P2" i="2"/>
  <c r="P11" i="4"/>
  <c r="W4" i="5"/>
  <c r="Q2" i="2"/>
  <c r="Q11" i="4"/>
  <c r="X4" i="5"/>
  <c r="S2" i="2"/>
  <c r="S11" i="4"/>
  <c r="AA4" i="5"/>
  <c r="AH11" i="4"/>
  <c r="T11" i="4" a="1"/>
  <c r="T11" i="4"/>
  <c r="AC4" i="5"/>
  <c r="U11" i="4" a="1"/>
  <c r="U11" i="4"/>
  <c r="AD4" i="5"/>
  <c r="AF4" i="5"/>
  <c r="AG4" i="5"/>
  <c r="X2" i="2"/>
  <c r="X11" i="4"/>
  <c r="AI4" i="5"/>
  <c r="Y2" i="2"/>
  <c r="Y11" i="4"/>
  <c r="AJ4" i="5"/>
  <c r="Z2" i="2"/>
  <c r="Z11" i="4"/>
  <c r="AL4" i="5"/>
  <c r="F4" i="5"/>
  <c r="H4" i="5"/>
  <c r="I4" i="5"/>
  <c r="L4" i="5"/>
  <c r="N4" i="5"/>
  <c r="O4" i="5"/>
  <c r="Z4" i="5"/>
  <c r="AN4" i="5"/>
  <c r="S27" i="2"/>
  <c r="S12" i="4"/>
  <c r="AA5" i="5"/>
  <c r="P27" i="2"/>
  <c r="P12" i="4"/>
  <c r="W5" i="5"/>
  <c r="O5" i="5"/>
  <c r="K5" i="5"/>
  <c r="C27" i="2"/>
  <c r="C12" i="4"/>
  <c r="C5" i="5"/>
  <c r="D27" i="2"/>
  <c r="D12" i="4"/>
  <c r="E5" i="5"/>
  <c r="E27" i="2"/>
  <c r="E12" i="4"/>
  <c r="F5" i="5"/>
  <c r="F27" i="2"/>
  <c r="F12" i="4"/>
  <c r="H5" i="5"/>
  <c r="I5" i="5"/>
  <c r="L27" i="2"/>
  <c r="L12" i="4"/>
  <c r="Q5" i="5"/>
  <c r="M27" i="2"/>
  <c r="M12" i="4"/>
  <c r="R5" i="5"/>
  <c r="T5" i="5"/>
  <c r="U5" i="5"/>
  <c r="Q27" i="2"/>
  <c r="Q12" i="4"/>
  <c r="X5" i="5"/>
  <c r="R27" i="2"/>
  <c r="R12" i="4"/>
  <c r="Z5" i="5"/>
  <c r="AH12" i="4"/>
  <c r="T12" i="4" a="1"/>
  <c r="T12" i="4"/>
  <c r="AC5" i="5"/>
  <c r="U12" i="4" a="1"/>
  <c r="U12" i="4"/>
  <c r="AD5" i="5"/>
  <c r="AF5" i="5"/>
  <c r="AG5" i="5"/>
  <c r="X27" i="2"/>
  <c r="X12" i="4"/>
  <c r="AI5" i="5"/>
  <c r="Y27" i="2"/>
  <c r="Y12" i="4"/>
  <c r="AJ5" i="5"/>
  <c r="Z27" i="2"/>
  <c r="Z12" i="4"/>
  <c r="AL5" i="5"/>
  <c r="AN5" i="5"/>
  <c r="S30" i="2"/>
  <c r="S6" i="2"/>
  <c r="S13" i="4"/>
  <c r="AA6" i="5"/>
  <c r="P30" i="2"/>
  <c r="P6" i="2"/>
  <c r="P13" i="4"/>
  <c r="W6" i="5"/>
  <c r="O6" i="5"/>
  <c r="K6" i="5"/>
  <c r="C30" i="2"/>
  <c r="C6" i="2"/>
  <c r="C13" i="4"/>
  <c r="C6" i="5"/>
  <c r="D30" i="2"/>
  <c r="D6" i="2"/>
  <c r="D13" i="4"/>
  <c r="E6" i="5"/>
  <c r="E30" i="2"/>
  <c r="E6" i="2"/>
  <c r="E13" i="4"/>
  <c r="F6" i="5"/>
  <c r="F30" i="2"/>
  <c r="F6" i="2"/>
  <c r="F13" i="4"/>
  <c r="H6" i="5"/>
  <c r="I6" i="5"/>
  <c r="I30" i="2"/>
  <c r="I6" i="2"/>
  <c r="I27" i="2"/>
  <c r="I13" i="4"/>
  <c r="L6" i="5"/>
  <c r="J30" i="2"/>
  <c r="J6" i="2"/>
  <c r="J27" i="2"/>
  <c r="J13" i="4"/>
  <c r="N6" i="5"/>
  <c r="L30" i="2"/>
  <c r="L6" i="2"/>
  <c r="L13" i="4"/>
  <c r="Q6" i="5"/>
  <c r="M30" i="2"/>
  <c r="M6" i="2"/>
  <c r="M13" i="4"/>
  <c r="R6" i="5"/>
  <c r="T6" i="5"/>
  <c r="U6" i="5"/>
  <c r="Q30" i="2"/>
  <c r="Q6" i="2"/>
  <c r="Q13" i="4"/>
  <c r="X6" i="5"/>
  <c r="R30" i="2"/>
  <c r="R6" i="2"/>
  <c r="R13" i="4"/>
  <c r="Z6" i="5"/>
  <c r="AH13" i="4"/>
  <c r="T13" i="4" a="1"/>
  <c r="T13" i="4"/>
  <c r="AC6" i="5"/>
  <c r="U13" i="4" a="1"/>
  <c r="U13" i="4"/>
  <c r="AD6" i="5"/>
  <c r="AF6" i="5"/>
  <c r="AG6" i="5"/>
  <c r="X30" i="2"/>
  <c r="X6" i="2"/>
  <c r="X13" i="4"/>
  <c r="AI6" i="5"/>
  <c r="Y30" i="2"/>
  <c r="Y6" i="2"/>
  <c r="Y13" i="4"/>
  <c r="AJ6" i="5"/>
  <c r="Z30" i="2"/>
  <c r="Z6" i="2"/>
  <c r="Z13" i="4"/>
  <c r="AL6" i="5"/>
  <c r="AN6" i="5"/>
  <c r="C36" i="2"/>
  <c r="C14" i="4"/>
  <c r="C7" i="5"/>
  <c r="D36" i="2"/>
  <c r="D14" i="4"/>
  <c r="E7" i="5"/>
  <c r="F7" i="5"/>
  <c r="F36" i="2"/>
  <c r="F14" i="4"/>
  <c r="H7" i="5"/>
  <c r="I7" i="5"/>
  <c r="H36" i="2"/>
  <c r="H14" i="4"/>
  <c r="K7" i="5"/>
  <c r="L36" i="2"/>
  <c r="L14" i="4"/>
  <c r="Q7" i="5"/>
  <c r="M36" i="2"/>
  <c r="M14" i="4"/>
  <c r="R7" i="5"/>
  <c r="T7" i="5"/>
  <c r="U7" i="5"/>
  <c r="P36" i="2"/>
  <c r="P14" i="4"/>
  <c r="W7" i="5"/>
  <c r="Q36" i="2"/>
  <c r="Q14" i="4"/>
  <c r="X7" i="5"/>
  <c r="S36" i="2"/>
  <c r="S14" i="4"/>
  <c r="AA7" i="5"/>
  <c r="AH14" i="4"/>
  <c r="T14" i="4" a="1"/>
  <c r="T14" i="4"/>
  <c r="AC7" i="5"/>
  <c r="U14" i="4" a="1"/>
  <c r="U14" i="4"/>
  <c r="AD7" i="5"/>
  <c r="AF7" i="5"/>
  <c r="AG7" i="5"/>
  <c r="X36" i="2"/>
  <c r="X14" i="4"/>
  <c r="AI7" i="5"/>
  <c r="Y36" i="2"/>
  <c r="Y14" i="4"/>
  <c r="AJ7" i="5"/>
  <c r="Z36" i="2"/>
  <c r="Z14" i="4"/>
  <c r="AL7" i="5"/>
  <c r="L7" i="5"/>
  <c r="N7" i="5"/>
  <c r="O7" i="5"/>
  <c r="Z7" i="5"/>
  <c r="AN7" i="5"/>
  <c r="C38" i="2"/>
  <c r="C15" i="4"/>
  <c r="C8" i="5"/>
  <c r="D38" i="2"/>
  <c r="D15" i="4"/>
  <c r="E8" i="5"/>
  <c r="E38" i="2"/>
  <c r="E15" i="4"/>
  <c r="F8" i="5"/>
  <c r="F38" i="2"/>
  <c r="F15" i="4"/>
  <c r="H8" i="5"/>
  <c r="I8" i="5"/>
  <c r="K8" i="5"/>
  <c r="L38" i="2"/>
  <c r="L15" i="4"/>
  <c r="Q8" i="5"/>
  <c r="M38" i="2"/>
  <c r="M15" i="4"/>
  <c r="R8" i="5"/>
  <c r="T8" i="5"/>
  <c r="U8" i="5"/>
  <c r="P38" i="2"/>
  <c r="P15" i="4"/>
  <c r="W8" i="5"/>
  <c r="Q38" i="2"/>
  <c r="Q15" i="4"/>
  <c r="X8" i="5"/>
  <c r="S38" i="2"/>
  <c r="S15" i="4"/>
  <c r="AA8" i="5"/>
  <c r="AH15" i="4"/>
  <c r="T15" i="4" a="1"/>
  <c r="T15" i="4"/>
  <c r="AC8" i="5"/>
  <c r="U15" i="4" a="1"/>
  <c r="U15" i="4"/>
  <c r="AD8" i="5"/>
  <c r="AF8" i="5"/>
  <c r="AG8" i="5"/>
  <c r="X38" i="2"/>
  <c r="X15" i="4"/>
  <c r="AI8" i="5"/>
  <c r="Y38" i="2"/>
  <c r="Y15" i="4"/>
  <c r="AJ8" i="5"/>
  <c r="Z38" i="2"/>
  <c r="Z15" i="4"/>
  <c r="AL8" i="5"/>
  <c r="L8" i="5"/>
  <c r="N8" i="5"/>
  <c r="O8" i="5"/>
  <c r="Z8" i="5"/>
  <c r="AN8" i="5"/>
  <c r="S25" i="2"/>
  <c r="B16" i="4"/>
  <c r="S16" i="4"/>
  <c r="AA9" i="5"/>
  <c r="P25" i="2"/>
  <c r="P16" i="4"/>
  <c r="W9" i="5"/>
  <c r="C25" i="2"/>
  <c r="C16" i="4"/>
  <c r="C9" i="5"/>
  <c r="D25" i="2"/>
  <c r="D16" i="4"/>
  <c r="E9" i="5"/>
  <c r="K9" i="5"/>
  <c r="L25" i="2"/>
  <c r="L16" i="4"/>
  <c r="Q9" i="5"/>
  <c r="M25" i="2"/>
  <c r="M16" i="4"/>
  <c r="R9" i="5"/>
  <c r="N25" i="2"/>
  <c r="N16" i="4"/>
  <c r="T9" i="5"/>
  <c r="O16" i="4"/>
  <c r="U9" i="5"/>
  <c r="Q16" i="4"/>
  <c r="X9" i="5"/>
  <c r="R25" i="2"/>
  <c r="R16" i="4"/>
  <c r="Z9" i="5"/>
  <c r="AH16" i="4"/>
  <c r="T16" i="4" a="1"/>
  <c r="T16" i="4"/>
  <c r="AC9" i="5"/>
  <c r="U16" i="4" a="1"/>
  <c r="U16" i="4"/>
  <c r="AD9" i="5"/>
  <c r="AF9" i="5"/>
  <c r="AG9" i="5"/>
  <c r="X25" i="2"/>
  <c r="X16" i="4"/>
  <c r="AI9" i="5"/>
  <c r="Y25" i="2"/>
  <c r="Y16" i="4"/>
  <c r="AJ9" i="5"/>
  <c r="Z25" i="2"/>
  <c r="Z16" i="4"/>
  <c r="AL9" i="5"/>
  <c r="L9" i="5"/>
  <c r="N9" i="5"/>
  <c r="O9" i="5"/>
  <c r="AN9" i="5"/>
  <c r="S17" i="4"/>
  <c r="AA10" i="5"/>
  <c r="P17" i="4"/>
  <c r="W10" i="5"/>
  <c r="C17" i="4"/>
  <c r="C10" i="5"/>
  <c r="D17" i="4"/>
  <c r="E10" i="5"/>
  <c r="K10" i="5"/>
  <c r="L17" i="4"/>
  <c r="Q10" i="5"/>
  <c r="M17" i="4"/>
  <c r="R10" i="5"/>
  <c r="T10" i="5"/>
  <c r="U10" i="5"/>
  <c r="Q17" i="4"/>
  <c r="X10" i="5"/>
  <c r="R17" i="4"/>
  <c r="Z10" i="5"/>
  <c r="AH17" i="4"/>
  <c r="T17" i="4" a="1"/>
  <c r="T17" i="4"/>
  <c r="AC10" i="5"/>
  <c r="U17" i="4" a="1"/>
  <c r="U17" i="4"/>
  <c r="AD10" i="5"/>
  <c r="AF10" i="5"/>
  <c r="AG10" i="5"/>
  <c r="X17" i="4"/>
  <c r="AI10" i="5"/>
  <c r="Y17" i="4"/>
  <c r="AJ10" i="5"/>
  <c r="Z17" i="4"/>
  <c r="AL10" i="5"/>
  <c r="L10" i="5"/>
  <c r="N10" i="5"/>
  <c r="O10" i="5"/>
  <c r="AN10" i="5"/>
  <c r="S18" i="2"/>
  <c r="S18" i="4"/>
  <c r="AA11" i="5"/>
  <c r="P18" i="2"/>
  <c r="P18" i="4"/>
  <c r="W11" i="5"/>
  <c r="C18" i="2"/>
  <c r="C18" i="4"/>
  <c r="C11" i="5"/>
  <c r="D18" i="2"/>
  <c r="D18" i="4"/>
  <c r="E11" i="5"/>
  <c r="K11" i="5"/>
  <c r="L18" i="2"/>
  <c r="L18" i="4"/>
  <c r="Q11" i="5"/>
  <c r="M18" i="2"/>
  <c r="M18" i="4"/>
  <c r="R11" i="5"/>
  <c r="T11" i="5"/>
  <c r="U11" i="5"/>
  <c r="Q18" i="4"/>
  <c r="X11" i="5"/>
  <c r="R18" i="2"/>
  <c r="R18" i="4"/>
  <c r="Z11" i="5"/>
  <c r="AH18" i="4"/>
  <c r="T18" i="4" a="1"/>
  <c r="T18" i="4"/>
  <c r="AC11" i="5"/>
  <c r="U18" i="4" a="1"/>
  <c r="U18" i="4"/>
  <c r="AD11" i="5"/>
  <c r="AF11" i="5"/>
  <c r="AG11" i="5"/>
  <c r="X18" i="4"/>
  <c r="AI11" i="5"/>
  <c r="Y18" i="2"/>
  <c r="Y18" i="4"/>
  <c r="AJ11" i="5"/>
  <c r="Z18" i="2"/>
  <c r="Z18" i="4"/>
  <c r="AL11" i="5"/>
  <c r="L11" i="5"/>
  <c r="N11" i="5"/>
  <c r="O11" i="5"/>
  <c r="AN11" i="5"/>
  <c r="C34" i="2"/>
  <c r="C14" i="2"/>
  <c r="C33" i="2"/>
  <c r="C35" i="2"/>
  <c r="C19" i="4"/>
  <c r="C12" i="5"/>
  <c r="D34" i="2"/>
  <c r="D14" i="2"/>
  <c r="D33" i="2"/>
  <c r="D35" i="2"/>
  <c r="D19" i="4"/>
  <c r="E12" i="5"/>
  <c r="L34" i="2"/>
  <c r="L14" i="2"/>
  <c r="L33" i="2"/>
  <c r="L35" i="2"/>
  <c r="L19" i="4"/>
  <c r="Q12" i="5"/>
  <c r="M34" i="2"/>
  <c r="M14" i="2"/>
  <c r="M33" i="2"/>
  <c r="M35" i="2"/>
  <c r="M19" i="4"/>
  <c r="R12" i="5"/>
  <c r="T12" i="5"/>
  <c r="U12" i="5"/>
  <c r="P34" i="2"/>
  <c r="P14" i="2"/>
  <c r="P33" i="2"/>
  <c r="P35" i="2"/>
  <c r="P19" i="4"/>
  <c r="W12" i="5"/>
  <c r="Q34" i="2"/>
  <c r="Q14" i="2"/>
  <c r="Q33" i="2"/>
  <c r="Q35" i="2"/>
  <c r="Q19" i="4"/>
  <c r="X12" i="5"/>
  <c r="S34" i="2"/>
  <c r="S14" i="2"/>
  <c r="S33" i="2"/>
  <c r="S35" i="2"/>
  <c r="S19" i="4"/>
  <c r="AA12" i="5"/>
  <c r="AH19" i="4"/>
  <c r="T19" i="4" a="1"/>
  <c r="T19" i="4"/>
  <c r="AC12" i="5"/>
  <c r="U19" i="4" a="1"/>
  <c r="U19" i="4"/>
  <c r="AD12" i="5"/>
  <c r="AF12" i="5"/>
  <c r="AG12" i="5"/>
  <c r="X34" i="2"/>
  <c r="X14" i="2"/>
  <c r="X33" i="2"/>
  <c r="X35" i="2"/>
  <c r="X19" i="4"/>
  <c r="AI12" i="5"/>
  <c r="Y34" i="2"/>
  <c r="Y14" i="2"/>
  <c r="Y33" i="2"/>
  <c r="Y35" i="2"/>
  <c r="Y19" i="4"/>
  <c r="AJ12" i="5"/>
  <c r="Z34" i="2"/>
  <c r="Z14" i="2"/>
  <c r="Z33" i="2"/>
  <c r="Z35" i="2"/>
  <c r="Z19" i="4"/>
  <c r="AL12" i="5"/>
  <c r="L12" i="5"/>
  <c r="N12" i="5"/>
  <c r="O12" i="5"/>
  <c r="AN12" i="5"/>
  <c r="C13" i="2"/>
  <c r="C20" i="4"/>
  <c r="C13" i="5"/>
  <c r="D13" i="2"/>
  <c r="D20" i="4"/>
  <c r="E13" i="5"/>
  <c r="H35" i="2"/>
  <c r="H33" i="2"/>
  <c r="H13" i="2"/>
  <c r="H20" i="4"/>
  <c r="K13" i="5"/>
  <c r="L13" i="2"/>
  <c r="L20" i="4"/>
  <c r="Q13" i="5"/>
  <c r="M13" i="2"/>
  <c r="M20" i="4"/>
  <c r="R13" i="5"/>
  <c r="T13" i="5"/>
  <c r="U13" i="5"/>
  <c r="P13" i="2"/>
  <c r="P20" i="4"/>
  <c r="W13" i="5"/>
  <c r="Q13" i="2"/>
  <c r="Q20" i="4"/>
  <c r="X13" i="5"/>
  <c r="S13" i="2"/>
  <c r="S20" i="4"/>
  <c r="AA13" i="5"/>
  <c r="AH20" i="4"/>
  <c r="T20" i="4" a="1"/>
  <c r="T20" i="4"/>
  <c r="AC13" i="5"/>
  <c r="U20" i="4" a="1"/>
  <c r="U20" i="4"/>
  <c r="AD13" i="5"/>
  <c r="AF13" i="5"/>
  <c r="AG13" i="5"/>
  <c r="X13" i="2"/>
  <c r="X20" i="4"/>
  <c r="AI13" i="5"/>
  <c r="Y13" i="2"/>
  <c r="Y20" i="4"/>
  <c r="AJ13" i="5"/>
  <c r="Z13" i="2"/>
  <c r="Z20" i="4"/>
  <c r="AL13" i="5"/>
  <c r="L13" i="5"/>
  <c r="N13" i="5"/>
  <c r="O13" i="5"/>
  <c r="AN13" i="5"/>
  <c r="C29" i="2"/>
  <c r="C21" i="4"/>
  <c r="C14" i="5"/>
  <c r="D21" i="4"/>
  <c r="E14" i="5"/>
  <c r="H21" i="4"/>
  <c r="K14" i="5"/>
  <c r="I33" i="2"/>
  <c r="I29" i="2"/>
  <c r="I21" i="4"/>
  <c r="L14" i="5"/>
  <c r="J33" i="2"/>
  <c r="J29" i="2"/>
  <c r="J21" i="4"/>
  <c r="N14" i="5"/>
  <c r="O14" i="5"/>
  <c r="L21" i="4"/>
  <c r="Q14" i="5"/>
  <c r="M21" i="4"/>
  <c r="R14" i="5"/>
  <c r="N33" i="2"/>
  <c r="N29" i="2"/>
  <c r="N21" i="4"/>
  <c r="T14" i="5"/>
  <c r="U14" i="5"/>
  <c r="P21" i="4"/>
  <c r="W14" i="5"/>
  <c r="Q29" i="2"/>
  <c r="Q21" i="4"/>
  <c r="X14" i="5"/>
  <c r="S21" i="4"/>
  <c r="AA14" i="5"/>
  <c r="AH21" i="4"/>
  <c r="T21" i="4" a="1"/>
  <c r="T21" i="4"/>
  <c r="AC14" i="5"/>
  <c r="U21" i="4" a="1"/>
  <c r="U21" i="4"/>
  <c r="AD14" i="5"/>
  <c r="AF14" i="5"/>
  <c r="AG14" i="5"/>
  <c r="X29" i="2"/>
  <c r="X21" i="4"/>
  <c r="AI14" i="5"/>
  <c r="Y29" i="2"/>
  <c r="Y21" i="4"/>
  <c r="AJ14" i="5"/>
  <c r="Z29" i="2"/>
  <c r="Z21" i="4"/>
  <c r="AL14" i="5"/>
  <c r="AN14" i="5"/>
  <c r="C22" i="4"/>
  <c r="C15" i="5"/>
  <c r="D22" i="4"/>
  <c r="E15" i="5"/>
  <c r="H22" i="4"/>
  <c r="K15" i="5"/>
  <c r="L22" i="4"/>
  <c r="Q15" i="5"/>
  <c r="M22" i="4"/>
  <c r="R15" i="5"/>
  <c r="N35" i="2"/>
  <c r="N22" i="4"/>
  <c r="T15" i="5"/>
  <c r="U15" i="5"/>
  <c r="P22" i="4"/>
  <c r="W15" i="5"/>
  <c r="Q22" i="4"/>
  <c r="X15" i="5"/>
  <c r="S22" i="4"/>
  <c r="AA15" i="5"/>
  <c r="AH22" i="4"/>
  <c r="T22" i="4" a="1"/>
  <c r="T22" i="4"/>
  <c r="AC15" i="5"/>
  <c r="U22" i="4" a="1"/>
  <c r="U22" i="4"/>
  <c r="AD15" i="5"/>
  <c r="AF15" i="5"/>
  <c r="AG15" i="5"/>
  <c r="X22" i="4"/>
  <c r="AI15" i="5"/>
  <c r="Y22" i="4"/>
  <c r="AJ15" i="5"/>
  <c r="Z22" i="4"/>
  <c r="AL15" i="5"/>
  <c r="L15" i="5"/>
  <c r="N15" i="5"/>
  <c r="O15" i="5"/>
  <c r="AN15" i="5"/>
  <c r="C23" i="4"/>
  <c r="C16" i="5"/>
  <c r="D23" i="4"/>
  <c r="E16" i="5"/>
  <c r="H23" i="4"/>
  <c r="K16" i="5"/>
  <c r="L23" i="4"/>
  <c r="Q16" i="5"/>
  <c r="M23" i="4"/>
  <c r="R16" i="5"/>
  <c r="T16" i="5"/>
  <c r="U16" i="5"/>
  <c r="P23" i="4"/>
  <c r="W16" i="5"/>
  <c r="Q23" i="4"/>
  <c r="X16" i="5"/>
  <c r="S23" i="4"/>
  <c r="AA16" i="5"/>
  <c r="AH23" i="4"/>
  <c r="T23" i="4" a="1"/>
  <c r="T23" i="4"/>
  <c r="AC16" i="5"/>
  <c r="U23" i="4" a="1"/>
  <c r="U23" i="4"/>
  <c r="AD16" i="5"/>
  <c r="AF16" i="5"/>
  <c r="AG16" i="5"/>
  <c r="X23" i="4"/>
  <c r="AI16" i="5"/>
  <c r="Y23" i="4"/>
  <c r="AJ16" i="5"/>
  <c r="Z23" i="4"/>
  <c r="AL16" i="5"/>
  <c r="L16" i="5"/>
  <c r="N16" i="5"/>
  <c r="O16" i="5"/>
  <c r="AN16" i="5"/>
  <c r="C24" i="4"/>
  <c r="C17" i="5"/>
  <c r="D24" i="4"/>
  <c r="E17" i="5"/>
  <c r="H24" i="4"/>
  <c r="K17" i="5"/>
  <c r="L24" i="4"/>
  <c r="Q17" i="5"/>
  <c r="M24" i="4"/>
  <c r="R17" i="5"/>
  <c r="T17" i="5"/>
  <c r="U17" i="5"/>
  <c r="P24" i="4"/>
  <c r="W17" i="5"/>
  <c r="Q24" i="4"/>
  <c r="X17" i="5"/>
  <c r="S24" i="4"/>
  <c r="AA17" i="5"/>
  <c r="AH24" i="4"/>
  <c r="T24" i="4" a="1"/>
  <c r="T24" i="4"/>
  <c r="AC17" i="5"/>
  <c r="U24" i="4" a="1"/>
  <c r="U24" i="4"/>
  <c r="AD17" i="5"/>
  <c r="AF17" i="5"/>
  <c r="AG17" i="5"/>
  <c r="X24" i="4"/>
  <c r="AI17" i="5"/>
  <c r="Y24" i="4"/>
  <c r="AJ17" i="5"/>
  <c r="Z24" i="4"/>
  <c r="AL17" i="5"/>
  <c r="L17" i="5"/>
  <c r="N17" i="5"/>
  <c r="O17" i="5"/>
  <c r="AN17" i="5"/>
  <c r="C25" i="4"/>
  <c r="C18" i="5"/>
  <c r="D25" i="4"/>
  <c r="E18" i="5"/>
  <c r="E25" i="4"/>
  <c r="F18" i="5"/>
  <c r="F25" i="4"/>
  <c r="H18" i="5"/>
  <c r="I18" i="5"/>
  <c r="K18" i="5"/>
  <c r="L25" i="4"/>
  <c r="Q18" i="5"/>
  <c r="M25" i="4"/>
  <c r="R18" i="5"/>
  <c r="T18" i="5"/>
  <c r="U18" i="5"/>
  <c r="P25" i="4"/>
  <c r="W18" i="5"/>
  <c r="Q25" i="4"/>
  <c r="X18" i="5"/>
  <c r="S25" i="4"/>
  <c r="AA18" i="5"/>
  <c r="AH25" i="4"/>
  <c r="T25" i="4" a="1"/>
  <c r="T25" i="4"/>
  <c r="AC18" i="5"/>
  <c r="U25" i="4" a="1"/>
  <c r="U25" i="4"/>
  <c r="AD18" i="5"/>
  <c r="AF18" i="5"/>
  <c r="AG18" i="5"/>
  <c r="X25" i="4"/>
  <c r="AI18" i="5"/>
  <c r="Y25" i="4"/>
  <c r="AJ18" i="5"/>
  <c r="Z25" i="4"/>
  <c r="AL18" i="5"/>
  <c r="L18" i="5"/>
  <c r="N18" i="5"/>
  <c r="O18" i="5"/>
  <c r="AN18" i="5"/>
  <c r="C40" i="2"/>
  <c r="C26" i="4"/>
  <c r="C19" i="5"/>
  <c r="T19" i="5"/>
  <c r="U19" i="5"/>
  <c r="P40" i="2"/>
  <c r="P26" i="4"/>
  <c r="W19" i="5"/>
  <c r="Q40" i="2"/>
  <c r="Q26" i="4"/>
  <c r="X19" i="5"/>
  <c r="S40" i="2"/>
  <c r="S26" i="4"/>
  <c r="AA19" i="5"/>
  <c r="AH26" i="4"/>
  <c r="T26" i="4" a="1"/>
  <c r="T26" i="4"/>
  <c r="AC19" i="5"/>
  <c r="U26" i="4" a="1"/>
  <c r="U26" i="4"/>
  <c r="AD19" i="5"/>
  <c r="AF19" i="5"/>
  <c r="AG19" i="5"/>
  <c r="X40" i="2"/>
  <c r="X26" i="4"/>
  <c r="AI19" i="5"/>
  <c r="Y40" i="2"/>
  <c r="Y26" i="4"/>
  <c r="AJ19" i="5"/>
  <c r="Z40" i="2"/>
  <c r="Z26" i="4"/>
  <c r="AL19" i="5"/>
  <c r="AN19" i="5"/>
  <c r="O20" i="5"/>
  <c r="H27" i="4"/>
  <c r="K20" i="5"/>
  <c r="C11" i="2"/>
  <c r="C27" i="4"/>
  <c r="C20" i="5"/>
  <c r="D11" i="2"/>
  <c r="D27" i="4"/>
  <c r="E20" i="5"/>
  <c r="I13" i="2"/>
  <c r="I11" i="2"/>
  <c r="I27" i="4"/>
  <c r="L20" i="5"/>
  <c r="J13" i="2"/>
  <c r="J11" i="2"/>
  <c r="J27" i="4"/>
  <c r="N20" i="5"/>
  <c r="L11" i="2"/>
  <c r="L27" i="4"/>
  <c r="Q20" i="5"/>
  <c r="M11" i="2"/>
  <c r="M27" i="4"/>
  <c r="R20" i="5"/>
  <c r="T20" i="5"/>
  <c r="U20" i="5"/>
  <c r="P11" i="2"/>
  <c r="P27" i="4"/>
  <c r="W20" i="5"/>
  <c r="Q11" i="2"/>
  <c r="Q27" i="4"/>
  <c r="X20" i="5"/>
  <c r="AA20" i="5"/>
  <c r="AH27" i="4"/>
  <c r="T27" i="4" a="1"/>
  <c r="T27" i="4"/>
  <c r="AC20" i="5"/>
  <c r="U27" i="4" a="1"/>
  <c r="U27" i="4"/>
  <c r="AD20" i="5"/>
  <c r="AF20" i="5"/>
  <c r="AG20" i="5"/>
  <c r="Y11" i="2"/>
  <c r="Y27" i="4"/>
  <c r="AJ20" i="5"/>
  <c r="Z11" i="2"/>
  <c r="Z27" i="4"/>
  <c r="AL20" i="5"/>
  <c r="AN20" i="5"/>
  <c r="C28" i="4"/>
  <c r="C21" i="5"/>
  <c r="D28" i="4"/>
  <c r="E21" i="5"/>
  <c r="H28" i="4"/>
  <c r="K21" i="5"/>
  <c r="L28" i="4"/>
  <c r="Q21" i="5"/>
  <c r="M28" i="4"/>
  <c r="R21" i="5"/>
  <c r="T21" i="5"/>
  <c r="U21" i="5"/>
  <c r="P28" i="4"/>
  <c r="W21" i="5"/>
  <c r="Q28" i="4"/>
  <c r="X21" i="5"/>
  <c r="AA21" i="5"/>
  <c r="AH28" i="4"/>
  <c r="T28" i="4" a="1"/>
  <c r="T28" i="4"/>
  <c r="AC21" i="5"/>
  <c r="U28" i="4" a="1"/>
  <c r="U28" i="4"/>
  <c r="AD21" i="5"/>
  <c r="AF21" i="5"/>
  <c r="AG21" i="5"/>
  <c r="Y28" i="4"/>
  <c r="AJ21" i="5"/>
  <c r="Z28" i="4"/>
  <c r="AL21" i="5"/>
  <c r="L21" i="5"/>
  <c r="N21" i="5"/>
  <c r="O21" i="5"/>
  <c r="AN21" i="5"/>
  <c r="S26" i="2"/>
  <c r="S29" i="4"/>
  <c r="AA22" i="5"/>
  <c r="P26" i="2"/>
  <c r="P29" i="4"/>
  <c r="W22" i="5"/>
  <c r="C26" i="2"/>
  <c r="C29" i="4"/>
  <c r="C22" i="5"/>
  <c r="D26" i="2"/>
  <c r="D29" i="4"/>
  <c r="E22" i="5"/>
  <c r="K22" i="5"/>
  <c r="L26" i="2"/>
  <c r="L29" i="4"/>
  <c r="Q22" i="5"/>
  <c r="M26" i="2"/>
  <c r="M29" i="4"/>
  <c r="R22" i="5"/>
  <c r="N26" i="2"/>
  <c r="N29" i="4"/>
  <c r="T22" i="5"/>
  <c r="U22" i="5"/>
  <c r="Q29" i="4"/>
  <c r="X22" i="5"/>
  <c r="R26" i="2"/>
  <c r="R29" i="4"/>
  <c r="Z22" i="5"/>
  <c r="AH29" i="4"/>
  <c r="T29" i="4" a="1"/>
  <c r="T29" i="4"/>
  <c r="AC22" i="5"/>
  <c r="U29" i="4" a="1"/>
  <c r="U29" i="4"/>
  <c r="AD22" i="5"/>
  <c r="AF22" i="5"/>
  <c r="AG22" i="5"/>
  <c r="X26" i="2"/>
  <c r="X29" i="4"/>
  <c r="AI22" i="5"/>
  <c r="Y26" i="2"/>
  <c r="Y29" i="4"/>
  <c r="AJ22" i="5"/>
  <c r="Z26" i="2"/>
  <c r="Z29" i="4"/>
  <c r="AL22" i="5"/>
  <c r="L22" i="5"/>
  <c r="N22" i="5"/>
  <c r="O22" i="5"/>
  <c r="AN22" i="5"/>
  <c r="S11" i="2"/>
  <c r="S30" i="4"/>
  <c r="AA23" i="5"/>
  <c r="P30" i="4"/>
  <c r="W23" i="5"/>
  <c r="C30" i="4"/>
  <c r="C23" i="5"/>
  <c r="D30" i="4"/>
  <c r="E23" i="5"/>
  <c r="K23" i="5"/>
  <c r="L30" i="4"/>
  <c r="Q23" i="5"/>
  <c r="M30" i="4"/>
  <c r="R23" i="5"/>
  <c r="T23" i="5"/>
  <c r="U23" i="5"/>
  <c r="Q30" i="4"/>
  <c r="X23" i="5"/>
  <c r="R11" i="2"/>
  <c r="R30" i="4"/>
  <c r="Z23" i="5"/>
  <c r="AH30" i="4"/>
  <c r="T30" i="4" a="1"/>
  <c r="T30" i="4"/>
  <c r="AC23" i="5"/>
  <c r="U30" i="4" a="1"/>
  <c r="U30" i="4"/>
  <c r="AD23" i="5"/>
  <c r="AF23" i="5"/>
  <c r="AG23" i="5"/>
  <c r="X11" i="2"/>
  <c r="X30" i="4"/>
  <c r="AI23" i="5"/>
  <c r="Y30" i="4"/>
  <c r="AJ23" i="5"/>
  <c r="Z30" i="4"/>
  <c r="AL23" i="5"/>
  <c r="L23" i="5"/>
  <c r="N23" i="5"/>
  <c r="O23" i="5"/>
  <c r="AN23" i="5"/>
  <c r="S31" i="4"/>
  <c r="AA24" i="5"/>
  <c r="P31" i="4"/>
  <c r="W24" i="5"/>
  <c r="C31" i="4"/>
  <c r="C24" i="5"/>
  <c r="D31" i="4"/>
  <c r="E24" i="5"/>
  <c r="K24" i="5"/>
  <c r="L31" i="4"/>
  <c r="Q24" i="5"/>
  <c r="M31" i="4"/>
  <c r="R24" i="5"/>
  <c r="T24" i="5"/>
  <c r="U24" i="5"/>
  <c r="Q31" i="4"/>
  <c r="X24" i="5"/>
  <c r="R31" i="4"/>
  <c r="Z24" i="5"/>
  <c r="AH31" i="4"/>
  <c r="T31" i="4" a="1"/>
  <c r="T31" i="4"/>
  <c r="AC24" i="5"/>
  <c r="U31" i="4" a="1"/>
  <c r="U31" i="4"/>
  <c r="AD24" i="5"/>
  <c r="AF24" i="5"/>
  <c r="AG24" i="5"/>
  <c r="X31" i="4"/>
  <c r="AI24" i="5"/>
  <c r="Y31" i="4"/>
  <c r="AJ24" i="5"/>
  <c r="Z31" i="4"/>
  <c r="AL24" i="5"/>
  <c r="L24" i="5"/>
  <c r="N24" i="5"/>
  <c r="O24" i="5"/>
  <c r="AN24" i="5"/>
  <c r="C33" i="4"/>
  <c r="C25" i="5"/>
  <c r="D33" i="4"/>
  <c r="E25" i="5"/>
  <c r="K25" i="5"/>
  <c r="L33" i="4"/>
  <c r="Q25" i="5"/>
  <c r="M33" i="4"/>
  <c r="R25" i="5"/>
  <c r="T25" i="5"/>
  <c r="U25" i="5"/>
  <c r="P33" i="4"/>
  <c r="W25" i="5"/>
  <c r="Q33" i="4"/>
  <c r="X25" i="5"/>
  <c r="S33" i="4"/>
  <c r="AA25" i="5"/>
  <c r="AH33" i="4"/>
  <c r="T33" i="4" a="1"/>
  <c r="T33" i="4"/>
  <c r="AC25" i="5"/>
  <c r="U33" i="4" a="1"/>
  <c r="U33" i="4"/>
  <c r="AD25" i="5"/>
  <c r="AF25" i="5"/>
  <c r="AG25" i="5"/>
  <c r="X33" i="4"/>
  <c r="AI25" i="5"/>
  <c r="Y33" i="4"/>
  <c r="AJ25" i="5"/>
  <c r="Z33" i="4"/>
  <c r="AL25" i="5"/>
  <c r="Z25" i="5"/>
  <c r="AN25" i="5"/>
  <c r="C31" i="2"/>
  <c r="C34" i="4"/>
  <c r="C26" i="5"/>
  <c r="D31" i="2"/>
  <c r="D34" i="4"/>
  <c r="E26" i="5"/>
  <c r="H31" i="2"/>
  <c r="H34" i="4"/>
  <c r="K26" i="5"/>
  <c r="L31" i="2"/>
  <c r="L34" i="4"/>
  <c r="Q26" i="5"/>
  <c r="M31" i="2"/>
  <c r="M34" i="4"/>
  <c r="R26" i="5"/>
  <c r="T26" i="5"/>
  <c r="U26" i="5"/>
  <c r="P31" i="2"/>
  <c r="P34" i="4"/>
  <c r="W26" i="5"/>
  <c r="Q31" i="2"/>
  <c r="Q34" i="4"/>
  <c r="X26" i="5"/>
  <c r="S31" i="2"/>
  <c r="S34" i="4"/>
  <c r="AA26" i="5"/>
  <c r="AH34" i="4"/>
  <c r="T34" i="4" a="1"/>
  <c r="T34" i="4"/>
  <c r="AC26" i="5"/>
  <c r="U34" i="4" a="1"/>
  <c r="U34" i="4"/>
  <c r="AD26" i="5"/>
  <c r="AF26" i="5"/>
  <c r="AG26" i="5"/>
  <c r="X31" i="2"/>
  <c r="X34" i="4"/>
  <c r="AI26" i="5"/>
  <c r="Y31" i="2"/>
  <c r="Y34" i="4"/>
  <c r="AJ26" i="5"/>
  <c r="Z31" i="2"/>
  <c r="Z34" i="4"/>
  <c r="AL26" i="5"/>
  <c r="Z26" i="5"/>
  <c r="AN26" i="5"/>
  <c r="C35" i="4"/>
  <c r="C27" i="5"/>
  <c r="D35" i="4"/>
  <c r="E27" i="5"/>
  <c r="H30" i="2"/>
  <c r="K27" i="5"/>
  <c r="L35" i="4"/>
  <c r="Q27" i="5"/>
  <c r="M35" i="4"/>
  <c r="R27" i="5"/>
  <c r="T27" i="5"/>
  <c r="U27" i="5"/>
  <c r="P35" i="4"/>
  <c r="W27" i="5"/>
  <c r="S35" i="4"/>
  <c r="AA27" i="5"/>
  <c r="AH35" i="4"/>
  <c r="T35" i="4" a="1"/>
  <c r="T35" i="4"/>
  <c r="AC27" i="5"/>
  <c r="U35" i="4" a="1"/>
  <c r="U35" i="4"/>
  <c r="AD27" i="5"/>
  <c r="AF27" i="5"/>
  <c r="AG27" i="5"/>
  <c r="X35" i="4"/>
  <c r="AI27" i="5"/>
  <c r="Y35" i="4"/>
  <c r="AJ27" i="5"/>
  <c r="Z35" i="4"/>
  <c r="AL27" i="5"/>
  <c r="Z27" i="5"/>
  <c r="AN27" i="5"/>
  <c r="B258" i="4"/>
  <c r="C258" i="4"/>
  <c r="C28" i="5"/>
  <c r="D258" i="4"/>
  <c r="E28" i="5"/>
  <c r="K28" i="5"/>
  <c r="L258" i="4"/>
  <c r="Q28" i="5"/>
  <c r="M258" i="4"/>
  <c r="R28" i="5"/>
  <c r="N2" i="2"/>
  <c r="N258" i="4"/>
  <c r="T28" i="5"/>
  <c r="O258" i="4"/>
  <c r="U28" i="5"/>
  <c r="P258" i="4"/>
  <c r="W28" i="5"/>
  <c r="Q258" i="4"/>
  <c r="X28" i="5"/>
  <c r="S258" i="4"/>
  <c r="AA28" i="5"/>
  <c r="AH258" i="4"/>
  <c r="T258" i="4" a="1"/>
  <c r="T258" i="4"/>
  <c r="AC28" i="5"/>
  <c r="U258" i="4" a="1"/>
  <c r="U258" i="4"/>
  <c r="AD28" i="5"/>
  <c r="AF28" i="5"/>
  <c r="AG28" i="5"/>
  <c r="X258" i="4"/>
  <c r="AI28" i="5"/>
  <c r="Y258" i="4"/>
  <c r="AJ28" i="5"/>
  <c r="Z258" i="4"/>
  <c r="AL28" i="5"/>
  <c r="Z28" i="5"/>
  <c r="AN28" i="5"/>
  <c r="S289" i="4"/>
  <c r="AA29" i="5"/>
  <c r="P289" i="4"/>
  <c r="W29" i="5"/>
  <c r="C289" i="4"/>
  <c r="C29" i="5"/>
  <c r="D289" i="4"/>
  <c r="E29" i="5"/>
  <c r="H38" i="2"/>
  <c r="H289" i="4"/>
  <c r="K29" i="5"/>
  <c r="L289" i="4"/>
  <c r="Q29" i="5"/>
  <c r="M289" i="4"/>
  <c r="R29" i="5"/>
  <c r="N36" i="2"/>
  <c r="N38" i="2"/>
  <c r="N289" i="4"/>
  <c r="T29" i="5"/>
  <c r="U29" i="5"/>
  <c r="Q289" i="4"/>
  <c r="X29" i="5"/>
  <c r="R36" i="2"/>
  <c r="R38" i="2"/>
  <c r="R289" i="4"/>
  <c r="Z29" i="5"/>
  <c r="AH289" i="4"/>
  <c r="T289" i="4" a="1"/>
  <c r="T289" i="4"/>
  <c r="AC29" i="5"/>
  <c r="U289" i="4" a="1"/>
  <c r="U289" i="4"/>
  <c r="AD29" i="5"/>
  <c r="AF29" i="5"/>
  <c r="AG29" i="5"/>
  <c r="X289" i="4"/>
  <c r="AI29" i="5"/>
  <c r="Y289" i="4"/>
  <c r="AJ29" i="5"/>
  <c r="Z289" i="4"/>
  <c r="AL29" i="5"/>
  <c r="AN29" i="5"/>
  <c r="B2" i="4"/>
  <c r="C24" i="2"/>
  <c r="C2" i="4"/>
  <c r="C30" i="5"/>
  <c r="D24" i="2"/>
  <c r="D2" i="4"/>
  <c r="E30" i="5"/>
  <c r="K30" i="5"/>
  <c r="L24" i="2"/>
  <c r="L2" i="4"/>
  <c r="Q30" i="5"/>
  <c r="M24" i="2"/>
  <c r="M2" i="4"/>
  <c r="R30" i="5"/>
  <c r="T30" i="5"/>
  <c r="U30" i="5"/>
  <c r="P24" i="2"/>
  <c r="P2" i="4"/>
  <c r="W30" i="5"/>
  <c r="Q24" i="2"/>
  <c r="Q2" i="4"/>
  <c r="X30" i="5"/>
  <c r="S24" i="2"/>
  <c r="S2" i="4"/>
  <c r="AA30" i="5"/>
  <c r="AH2" i="4"/>
  <c r="T2" i="4" a="1"/>
  <c r="T2" i="4"/>
  <c r="AC30" i="5"/>
  <c r="U2" i="4" a="1"/>
  <c r="U2" i="4"/>
  <c r="AD30" i="5"/>
  <c r="AF30" i="5"/>
  <c r="AG30" i="5"/>
  <c r="X24" i="2"/>
  <c r="X2" i="4"/>
  <c r="AI30" i="5"/>
  <c r="Y24" i="2"/>
  <c r="Y2" i="4"/>
  <c r="AJ30" i="5"/>
  <c r="Z24" i="2"/>
  <c r="Z2" i="4"/>
  <c r="AL30" i="5"/>
  <c r="AN30" i="5"/>
  <c r="C3" i="4"/>
  <c r="C31" i="5"/>
  <c r="D3" i="4"/>
  <c r="E31" i="5"/>
  <c r="H3" i="4"/>
  <c r="K31" i="5"/>
  <c r="L3" i="4"/>
  <c r="Q31" i="5"/>
  <c r="M3" i="4"/>
  <c r="R31" i="5"/>
  <c r="T31" i="5"/>
  <c r="U31" i="5"/>
  <c r="P3" i="4"/>
  <c r="W31" i="5"/>
  <c r="Q3" i="4"/>
  <c r="X31" i="5"/>
  <c r="S3" i="4"/>
  <c r="AA31" i="5"/>
  <c r="AH3" i="4"/>
  <c r="T3" i="4" a="1"/>
  <c r="T3" i="4"/>
  <c r="AC31" i="5"/>
  <c r="U3" i="4" a="1"/>
  <c r="U3" i="4"/>
  <c r="AD31" i="5"/>
  <c r="AF31" i="5"/>
  <c r="AG31" i="5"/>
  <c r="X3" i="4"/>
  <c r="AI31" i="5"/>
  <c r="Y3" i="4"/>
  <c r="AJ31" i="5"/>
  <c r="Z3" i="4"/>
  <c r="AL31" i="5"/>
  <c r="AN31" i="5"/>
  <c r="O32" i="5"/>
  <c r="H24" i="2"/>
  <c r="H39" i="2"/>
  <c r="H4" i="4"/>
  <c r="K32" i="5"/>
  <c r="C39" i="2"/>
  <c r="C4" i="4"/>
  <c r="C32" i="5"/>
  <c r="D39" i="2"/>
  <c r="D4" i="4"/>
  <c r="E32" i="5"/>
  <c r="I24" i="2"/>
  <c r="I39" i="2"/>
  <c r="I26" i="2"/>
  <c r="I4" i="4"/>
  <c r="L32" i="5"/>
  <c r="J24" i="2"/>
  <c r="J39" i="2"/>
  <c r="J26" i="2"/>
  <c r="J4" i="4"/>
  <c r="N32" i="5"/>
  <c r="L39" i="2"/>
  <c r="L4" i="4"/>
  <c r="Q32" i="5"/>
  <c r="M39" i="2"/>
  <c r="M4" i="4"/>
  <c r="R32" i="5"/>
  <c r="T32" i="5"/>
  <c r="U32" i="5"/>
  <c r="W32" i="5"/>
  <c r="Q39" i="2"/>
  <c r="Q4" i="4"/>
  <c r="X32" i="5"/>
  <c r="AA32" i="5"/>
  <c r="AH4" i="4"/>
  <c r="T4" i="4" a="1"/>
  <c r="T4" i="4"/>
  <c r="AC32" i="5"/>
  <c r="U4" i="4" a="1"/>
  <c r="U4" i="4"/>
  <c r="AD32" i="5"/>
  <c r="AF32" i="5"/>
  <c r="AG32" i="5"/>
  <c r="X39" i="2"/>
  <c r="X4" i="4"/>
  <c r="AI32" i="5"/>
  <c r="Y39" i="2"/>
  <c r="Y4" i="4"/>
  <c r="AJ32" i="5"/>
  <c r="Z39" i="2"/>
  <c r="Z4" i="4"/>
  <c r="AL32" i="5"/>
  <c r="AN32" i="5"/>
  <c r="B5" i="4"/>
  <c r="C5" i="4"/>
  <c r="C33" i="5"/>
  <c r="D5" i="4"/>
  <c r="E33" i="5"/>
  <c r="E14" i="2"/>
  <c r="E24" i="2"/>
  <c r="E5" i="4"/>
  <c r="F33" i="5"/>
  <c r="F14" i="2"/>
  <c r="F24" i="2"/>
  <c r="F5" i="4"/>
  <c r="H33" i="5"/>
  <c r="I33" i="5"/>
  <c r="H5" i="4"/>
  <c r="K33" i="5"/>
  <c r="L5" i="4"/>
  <c r="Q33" i="5"/>
  <c r="M5" i="4"/>
  <c r="R33" i="5"/>
  <c r="T33" i="5"/>
  <c r="U33" i="5"/>
  <c r="P5" i="4"/>
  <c r="W33" i="5"/>
  <c r="Q5" i="4"/>
  <c r="X33" i="5"/>
  <c r="S5" i="4"/>
  <c r="AA33" i="5"/>
  <c r="AH5" i="4"/>
  <c r="T5" i="4" a="1"/>
  <c r="T5" i="4"/>
  <c r="AC33" i="5"/>
  <c r="U5" i="4" a="1"/>
  <c r="U5" i="4"/>
  <c r="AD33" i="5"/>
  <c r="AF33" i="5"/>
  <c r="AG33" i="5"/>
  <c r="X5" i="4"/>
  <c r="AI33" i="5"/>
  <c r="Y5" i="4"/>
  <c r="AJ33" i="5"/>
  <c r="Z5" i="4"/>
  <c r="AL33" i="5"/>
  <c r="L33" i="5"/>
  <c r="N33" i="5"/>
  <c r="O33" i="5"/>
  <c r="AN33" i="5"/>
  <c r="C37" i="2"/>
  <c r="C6" i="4"/>
  <c r="C34" i="5"/>
  <c r="D37" i="2"/>
  <c r="D6" i="4"/>
  <c r="E34" i="5"/>
  <c r="H37" i="2"/>
  <c r="H6" i="4"/>
  <c r="K34" i="5"/>
  <c r="L37" i="2"/>
  <c r="L6" i="4"/>
  <c r="Q34" i="5"/>
  <c r="M37" i="2"/>
  <c r="M6" i="4"/>
  <c r="R34" i="5"/>
  <c r="N37" i="2"/>
  <c r="N14" i="2"/>
  <c r="N6" i="4"/>
  <c r="T34" i="5"/>
  <c r="U34" i="5"/>
  <c r="P37" i="2"/>
  <c r="P6" i="4"/>
  <c r="W34" i="5"/>
  <c r="Q37" i="2"/>
  <c r="Q6" i="4"/>
  <c r="X34" i="5"/>
  <c r="S37" i="2"/>
  <c r="S6" i="4"/>
  <c r="AA34" i="5"/>
  <c r="AD34" i="5"/>
  <c r="AF34" i="5"/>
  <c r="AG34" i="5"/>
  <c r="X37" i="2"/>
  <c r="X6" i="4"/>
  <c r="AI34" i="5"/>
  <c r="Y37" i="2"/>
  <c r="Y6" i="4"/>
  <c r="AJ34" i="5"/>
  <c r="Z37" i="2"/>
  <c r="Z6" i="4"/>
  <c r="AL34" i="5"/>
  <c r="L34" i="5"/>
  <c r="N34" i="5"/>
  <c r="O34" i="5"/>
  <c r="AN34" i="5"/>
  <c r="C7" i="4"/>
  <c r="C35" i="5"/>
  <c r="D7" i="4"/>
  <c r="E35" i="5"/>
  <c r="H7" i="4"/>
  <c r="K35" i="5"/>
  <c r="L7" i="4"/>
  <c r="Q35" i="5"/>
  <c r="M7" i="4"/>
  <c r="R35" i="5"/>
  <c r="N7" i="4"/>
  <c r="T35" i="5"/>
  <c r="U35" i="5"/>
  <c r="P7" i="4"/>
  <c r="W35" i="5"/>
  <c r="Q7" i="4"/>
  <c r="X35" i="5"/>
  <c r="S7" i="4"/>
  <c r="AA35" i="5"/>
  <c r="AD35" i="5"/>
  <c r="AF35" i="5"/>
  <c r="AG35" i="5"/>
  <c r="X7" i="4"/>
  <c r="AI35" i="5"/>
  <c r="Y7" i="4"/>
  <c r="AJ35" i="5"/>
  <c r="Z7" i="4"/>
  <c r="AL35" i="5"/>
  <c r="L35" i="5"/>
  <c r="N35" i="5"/>
  <c r="O35" i="5"/>
  <c r="AN35" i="5"/>
  <c r="C8" i="4"/>
  <c r="C36" i="5"/>
  <c r="D8" i="4"/>
  <c r="E36" i="5"/>
  <c r="H8" i="4"/>
  <c r="K36" i="5"/>
  <c r="L8" i="4"/>
  <c r="Q36" i="5"/>
  <c r="M8" i="4"/>
  <c r="R36" i="5"/>
  <c r="T36" i="5"/>
  <c r="U36" i="5"/>
  <c r="P8" i="4"/>
  <c r="W36" i="5"/>
  <c r="Q8" i="4"/>
  <c r="X36" i="5"/>
  <c r="S8" i="4"/>
  <c r="AA36" i="5"/>
  <c r="AH8" i="4"/>
  <c r="T8" i="4" a="1"/>
  <c r="T8" i="4"/>
  <c r="AC36" i="5"/>
  <c r="U8" i="4" a="1"/>
  <c r="U8" i="4"/>
  <c r="AD36" i="5"/>
  <c r="AF36" i="5"/>
  <c r="AG36" i="5"/>
  <c r="X8" i="4"/>
  <c r="AI36" i="5"/>
  <c r="Y8" i="4"/>
  <c r="AJ36" i="5"/>
  <c r="Z8" i="4"/>
  <c r="AL36" i="5"/>
  <c r="L36" i="5"/>
  <c r="N36" i="5"/>
  <c r="O36" i="5"/>
  <c r="AN36" i="5"/>
  <c r="S49" i="2"/>
  <c r="S32" i="4"/>
  <c r="AA37" i="5"/>
  <c r="P49" i="2"/>
  <c r="P32" i="4"/>
  <c r="W37" i="5"/>
  <c r="C49" i="2"/>
  <c r="C32" i="4"/>
  <c r="C37" i="5"/>
  <c r="D49" i="2"/>
  <c r="D32" i="4"/>
  <c r="E37" i="5"/>
  <c r="K37" i="5"/>
  <c r="L49" i="2"/>
  <c r="L32" i="4"/>
  <c r="Q37" i="5"/>
  <c r="M49" i="2"/>
  <c r="M32" i="4"/>
  <c r="R37" i="5"/>
  <c r="T37" i="5"/>
  <c r="U37" i="5"/>
  <c r="Q49" i="2"/>
  <c r="Q32" i="4"/>
  <c r="X37" i="5"/>
  <c r="R49" i="2"/>
  <c r="R32" i="4"/>
  <c r="Z37" i="5"/>
  <c r="AH32" i="4"/>
  <c r="T32" i="4" a="1"/>
  <c r="T32" i="4"/>
  <c r="AC37" i="5"/>
  <c r="U32" i="4" a="1"/>
  <c r="U32" i="4"/>
  <c r="AD37" i="5"/>
  <c r="AF37" i="5"/>
  <c r="AG37" i="5"/>
  <c r="X49" i="2"/>
  <c r="X32" i="4"/>
  <c r="AI37" i="5"/>
  <c r="Y49" i="2"/>
  <c r="Y32" i="4"/>
  <c r="AJ37" i="5"/>
  <c r="Z49" i="2"/>
  <c r="Z32" i="4"/>
  <c r="AL37" i="5"/>
  <c r="L37" i="5"/>
  <c r="N37" i="5"/>
  <c r="O37" i="5"/>
  <c r="AN37" i="5"/>
  <c r="C5" i="2"/>
  <c r="B36" i="4"/>
  <c r="C4" i="2"/>
  <c r="C36" i="4"/>
  <c r="C38" i="5"/>
  <c r="D5" i="2"/>
  <c r="D4" i="2"/>
  <c r="D36" i="4"/>
  <c r="E38" i="5"/>
  <c r="H5" i="2"/>
  <c r="H4" i="2"/>
  <c r="H36" i="4"/>
  <c r="K38" i="5"/>
  <c r="L5" i="2"/>
  <c r="L4" i="2"/>
  <c r="L36" i="4"/>
  <c r="Q38" i="5"/>
  <c r="M5" i="2"/>
  <c r="M4" i="2"/>
  <c r="M36" i="4"/>
  <c r="R38" i="5"/>
  <c r="T38" i="5"/>
  <c r="U38" i="5"/>
  <c r="P5" i="2"/>
  <c r="P4" i="2"/>
  <c r="P36" i="4"/>
  <c r="W38" i="5"/>
  <c r="Q5" i="2"/>
  <c r="Q4" i="2"/>
  <c r="Q36" i="4"/>
  <c r="X38" i="5"/>
  <c r="AA38" i="5"/>
  <c r="AH36" i="4"/>
  <c r="T36" i="4" a="1"/>
  <c r="T36" i="4"/>
  <c r="AC38" i="5"/>
  <c r="U36" i="4" a="1"/>
  <c r="U36" i="4"/>
  <c r="AD38" i="5"/>
  <c r="AF38" i="5"/>
  <c r="AG38" i="5"/>
  <c r="X5" i="2"/>
  <c r="X4" i="2"/>
  <c r="X36" i="4"/>
  <c r="AI38" i="5"/>
  <c r="Y5" i="2"/>
  <c r="Y4" i="2"/>
  <c r="Y36" i="4"/>
  <c r="AJ38" i="5"/>
  <c r="Z5" i="2"/>
  <c r="Z4" i="2"/>
  <c r="Z36" i="4"/>
  <c r="AL38" i="5"/>
  <c r="AN38" i="5"/>
  <c r="B37" i="4"/>
  <c r="C37" i="4"/>
  <c r="C39" i="5"/>
  <c r="D37" i="4"/>
  <c r="E39" i="5"/>
  <c r="H37" i="4"/>
  <c r="K39" i="5"/>
  <c r="L37" i="4"/>
  <c r="Q39" i="5"/>
  <c r="M37" i="4"/>
  <c r="R39" i="5"/>
  <c r="N5" i="2"/>
  <c r="N37" i="4"/>
  <c r="T39" i="5"/>
  <c r="O37" i="4"/>
  <c r="U39" i="5"/>
  <c r="P37" i="4"/>
  <c r="W39" i="5"/>
  <c r="Q37" i="4"/>
  <c r="X39" i="5"/>
  <c r="AA39" i="5"/>
  <c r="AH37" i="4"/>
  <c r="T37" i="4" a="1"/>
  <c r="T37" i="4"/>
  <c r="AC39" i="5"/>
  <c r="U37" i="4" a="1"/>
  <c r="U37" i="4"/>
  <c r="AD39" i="5"/>
  <c r="AF39" i="5"/>
  <c r="AG39" i="5"/>
  <c r="X37" i="4"/>
  <c r="AI39" i="5"/>
  <c r="Y37" i="4"/>
  <c r="AJ39" i="5"/>
  <c r="Z37" i="4"/>
  <c r="AL39" i="5"/>
  <c r="AN39" i="5"/>
  <c r="B38" i="4"/>
  <c r="C38" i="4"/>
  <c r="C40" i="5"/>
  <c r="D38" i="4"/>
  <c r="E40" i="5"/>
  <c r="H38" i="4"/>
  <c r="K40" i="5"/>
  <c r="L38" i="4"/>
  <c r="Q40" i="5"/>
  <c r="M38" i="4"/>
  <c r="R40" i="5"/>
  <c r="T40" i="5"/>
  <c r="U40" i="5"/>
  <c r="P38" i="4"/>
  <c r="W40" i="5"/>
  <c r="Q38" i="4"/>
  <c r="X40" i="5"/>
  <c r="AA40" i="5"/>
  <c r="AH38" i="4"/>
  <c r="T38" i="4" a="1"/>
  <c r="T38" i="4"/>
  <c r="AC40" i="5"/>
  <c r="U38" i="4" a="1"/>
  <c r="U38" i="4"/>
  <c r="AD40" i="5"/>
  <c r="AF40" i="5"/>
  <c r="AG40" i="5"/>
  <c r="X38" i="4"/>
  <c r="AI40" i="5"/>
  <c r="Y38" i="4"/>
  <c r="AJ40" i="5"/>
  <c r="Z38" i="4"/>
  <c r="AL40" i="5"/>
  <c r="AN40" i="5"/>
  <c r="B39" i="4"/>
  <c r="C39" i="4"/>
  <c r="C41" i="5"/>
  <c r="D39" i="4"/>
  <c r="E41" i="5"/>
  <c r="H39" i="4"/>
  <c r="K41" i="5"/>
  <c r="L39" i="4"/>
  <c r="Q41" i="5"/>
  <c r="M39" i="4"/>
  <c r="R41" i="5"/>
  <c r="T41" i="5"/>
  <c r="U41" i="5"/>
  <c r="P39" i="4"/>
  <c r="W41" i="5"/>
  <c r="Q39" i="4"/>
  <c r="X41" i="5"/>
  <c r="AA41" i="5"/>
  <c r="AH39" i="4"/>
  <c r="T39" i="4" a="1"/>
  <c r="T39" i="4"/>
  <c r="AC41" i="5"/>
  <c r="U39" i="4" a="1"/>
  <c r="U39" i="4"/>
  <c r="AD41" i="5"/>
  <c r="AF41" i="5"/>
  <c r="AG41" i="5"/>
  <c r="X39" i="4"/>
  <c r="AI41" i="5"/>
  <c r="Y39" i="4"/>
  <c r="AJ41" i="5"/>
  <c r="Z39" i="4"/>
  <c r="AL41" i="5"/>
  <c r="AN41" i="5"/>
  <c r="B40" i="4"/>
  <c r="C40" i="4"/>
  <c r="C42" i="5"/>
  <c r="D40" i="4"/>
  <c r="E42" i="5"/>
  <c r="H40" i="4"/>
  <c r="K42" i="5"/>
  <c r="L40" i="4"/>
  <c r="Q42" i="5"/>
  <c r="M40" i="4"/>
  <c r="R42" i="5"/>
  <c r="T42" i="5"/>
  <c r="U42" i="5"/>
  <c r="P40" i="4"/>
  <c r="W42" i="5"/>
  <c r="Q40" i="4"/>
  <c r="X42" i="5"/>
  <c r="AA42" i="5"/>
  <c r="AH40" i="4"/>
  <c r="T40" i="4" a="1"/>
  <c r="T40" i="4"/>
  <c r="AC42" i="5"/>
  <c r="U40" i="4" a="1"/>
  <c r="U40" i="4"/>
  <c r="AD42" i="5"/>
  <c r="AF42" i="5"/>
  <c r="AG42" i="5"/>
  <c r="X40" i="4"/>
  <c r="AI42" i="5"/>
  <c r="Y40" i="4"/>
  <c r="AJ42" i="5"/>
  <c r="Z40" i="4"/>
  <c r="AL42" i="5"/>
  <c r="AN42" i="5"/>
  <c r="C41" i="4"/>
  <c r="C43" i="5"/>
  <c r="D41" i="4"/>
  <c r="E43" i="5"/>
  <c r="H41" i="4"/>
  <c r="K43" i="5"/>
  <c r="L41" i="4"/>
  <c r="Q43" i="5"/>
  <c r="M41" i="4"/>
  <c r="R43" i="5"/>
  <c r="T43" i="5"/>
  <c r="U43" i="5"/>
  <c r="P41" i="4"/>
  <c r="W43" i="5"/>
  <c r="Q41" i="4"/>
  <c r="X43" i="5"/>
  <c r="AA43" i="5"/>
  <c r="AH41" i="4"/>
  <c r="T41" i="4" a="1"/>
  <c r="T41" i="4"/>
  <c r="AC43" i="5"/>
  <c r="U41" i="4" a="1"/>
  <c r="U41" i="4"/>
  <c r="AD43" i="5"/>
  <c r="AF43" i="5"/>
  <c r="AG43" i="5"/>
  <c r="X41" i="4"/>
  <c r="AI43" i="5"/>
  <c r="Y41" i="4"/>
  <c r="AJ43" i="5"/>
  <c r="Z41" i="4"/>
  <c r="AL43" i="5"/>
  <c r="AN43" i="5"/>
  <c r="C42" i="4"/>
  <c r="C44" i="5"/>
  <c r="D42" i="4"/>
  <c r="E44" i="5"/>
  <c r="H42" i="4"/>
  <c r="K44" i="5"/>
  <c r="L42" i="4"/>
  <c r="Q44" i="5"/>
  <c r="M42" i="4"/>
  <c r="R44" i="5"/>
  <c r="N6" i="2"/>
  <c r="N42" i="4"/>
  <c r="T44" i="5"/>
  <c r="U44" i="5"/>
  <c r="P42" i="4"/>
  <c r="W44" i="5"/>
  <c r="Q42" i="4"/>
  <c r="X44" i="5"/>
  <c r="AA44" i="5"/>
  <c r="AH42" i="4"/>
  <c r="T42" i="4" a="1"/>
  <c r="T42" i="4"/>
  <c r="AC44" i="5"/>
  <c r="U42" i="4" a="1"/>
  <c r="U42" i="4"/>
  <c r="AD44" i="5"/>
  <c r="AF44" i="5"/>
  <c r="AG44" i="5"/>
  <c r="X42" i="4"/>
  <c r="AI44" i="5"/>
  <c r="Y42" i="4"/>
  <c r="AJ44" i="5"/>
  <c r="Z42" i="4"/>
  <c r="AL44" i="5"/>
  <c r="AN44" i="5"/>
  <c r="C43" i="4"/>
  <c r="C45" i="5"/>
  <c r="D43" i="4"/>
  <c r="E45" i="5"/>
  <c r="H43" i="4"/>
  <c r="K45" i="5"/>
  <c r="L43" i="4"/>
  <c r="Q45" i="5"/>
  <c r="M43" i="4"/>
  <c r="R45" i="5"/>
  <c r="T45" i="5"/>
  <c r="U45" i="5"/>
  <c r="P43" i="4"/>
  <c r="W45" i="5"/>
  <c r="Q43" i="4"/>
  <c r="X45" i="5"/>
  <c r="AA45" i="5"/>
  <c r="AH43" i="4"/>
  <c r="T43" i="4" a="1"/>
  <c r="T43" i="4"/>
  <c r="AC45" i="5"/>
  <c r="U43" i="4" a="1"/>
  <c r="U43" i="4"/>
  <c r="AD45" i="5"/>
  <c r="AF45" i="5"/>
  <c r="AG45" i="5"/>
  <c r="X43" i="4"/>
  <c r="AI45" i="5"/>
  <c r="Y43" i="4"/>
  <c r="AJ45" i="5"/>
  <c r="Z43" i="4"/>
  <c r="AL45" i="5"/>
  <c r="AN45" i="5"/>
  <c r="B44" i="4"/>
  <c r="C44" i="4"/>
  <c r="C46" i="5"/>
  <c r="D44" i="4"/>
  <c r="E46" i="5"/>
  <c r="H44" i="4"/>
  <c r="K46" i="5"/>
  <c r="L44" i="4"/>
  <c r="Q46" i="5"/>
  <c r="M44" i="4"/>
  <c r="R46" i="5"/>
  <c r="T46" i="5"/>
  <c r="U46" i="5"/>
  <c r="P44" i="4"/>
  <c r="W46" i="5"/>
  <c r="Q44" i="4"/>
  <c r="X46" i="5"/>
  <c r="AA46" i="5"/>
  <c r="AH44" i="4"/>
  <c r="T44" i="4" a="1"/>
  <c r="T44" i="4"/>
  <c r="AC46" i="5"/>
  <c r="U44" i="4" a="1"/>
  <c r="U44" i="4"/>
  <c r="AD46" i="5"/>
  <c r="AF46" i="5"/>
  <c r="AG46" i="5"/>
  <c r="Y44" i="4"/>
  <c r="AJ46" i="5"/>
  <c r="Z44" i="4"/>
  <c r="AL46" i="5"/>
  <c r="AN46" i="5"/>
  <c r="C45" i="4"/>
  <c r="C47" i="5"/>
  <c r="D45" i="4"/>
  <c r="E47" i="5"/>
  <c r="H45" i="4"/>
  <c r="K47" i="5"/>
  <c r="L45" i="4"/>
  <c r="Q47" i="5"/>
  <c r="M45" i="4"/>
  <c r="R47" i="5"/>
  <c r="T47" i="5"/>
  <c r="U47" i="5"/>
  <c r="P45" i="4"/>
  <c r="W47" i="5"/>
  <c r="Q45" i="4"/>
  <c r="X47" i="5"/>
  <c r="AA47" i="5"/>
  <c r="AH45" i="4"/>
  <c r="T45" i="4" a="1"/>
  <c r="T45" i="4"/>
  <c r="AC47" i="5"/>
  <c r="U45" i="4" a="1"/>
  <c r="U45" i="4"/>
  <c r="AD47" i="5"/>
  <c r="AF47" i="5"/>
  <c r="AG47" i="5"/>
  <c r="X45" i="4"/>
  <c r="AI47" i="5"/>
  <c r="Y45" i="4"/>
  <c r="AJ47" i="5"/>
  <c r="Z45" i="4"/>
  <c r="AL47" i="5"/>
  <c r="AN47" i="5"/>
  <c r="B46" i="4"/>
  <c r="C46" i="4"/>
  <c r="C48" i="5"/>
  <c r="D46" i="4"/>
  <c r="E48" i="5"/>
  <c r="H46" i="4"/>
  <c r="K48" i="5"/>
  <c r="L46" i="4"/>
  <c r="Q48" i="5"/>
  <c r="M46" i="4"/>
  <c r="R48" i="5"/>
  <c r="T48" i="5"/>
  <c r="U48" i="5"/>
  <c r="P46" i="4"/>
  <c r="W48" i="5"/>
  <c r="Q46" i="4"/>
  <c r="X48" i="5"/>
  <c r="AA48" i="5"/>
  <c r="AH46" i="4"/>
  <c r="T46" i="4" a="1"/>
  <c r="T46" i="4"/>
  <c r="AC48" i="5"/>
  <c r="U46" i="4" a="1"/>
  <c r="U46" i="4"/>
  <c r="AD48" i="5"/>
  <c r="AF48" i="5"/>
  <c r="AG48" i="5"/>
  <c r="X46" i="4"/>
  <c r="AI48" i="5"/>
  <c r="Y46" i="4"/>
  <c r="AJ48" i="5"/>
  <c r="Z46" i="4"/>
  <c r="AL48" i="5"/>
  <c r="AN48" i="5"/>
  <c r="C47" i="4"/>
  <c r="C49" i="5"/>
  <c r="D47" i="4"/>
  <c r="E49" i="5"/>
  <c r="H47" i="4"/>
  <c r="K49" i="5"/>
  <c r="L47" i="4"/>
  <c r="Q49" i="5"/>
  <c r="M47" i="4"/>
  <c r="R49" i="5"/>
  <c r="T49" i="5"/>
  <c r="U49" i="5"/>
  <c r="P47" i="4"/>
  <c r="W49" i="5"/>
  <c r="Q47" i="4"/>
  <c r="X49" i="5"/>
  <c r="AA49" i="5"/>
  <c r="AH47" i="4"/>
  <c r="T47" i="4" a="1"/>
  <c r="T47" i="4"/>
  <c r="AC49" i="5"/>
  <c r="U47" i="4" a="1"/>
  <c r="U47" i="4"/>
  <c r="AD49" i="5"/>
  <c r="AF49" i="5"/>
  <c r="AG49" i="5"/>
  <c r="X47" i="4"/>
  <c r="AI49" i="5"/>
  <c r="Y47" i="4"/>
  <c r="AJ49" i="5"/>
  <c r="Z47" i="4"/>
  <c r="AL49" i="5"/>
  <c r="AN49" i="5"/>
  <c r="B48" i="4"/>
  <c r="C12" i="2"/>
  <c r="C48" i="4"/>
  <c r="C50" i="5"/>
  <c r="D12" i="2"/>
  <c r="D48" i="4"/>
  <c r="E50" i="5"/>
  <c r="L12" i="2"/>
  <c r="L48" i="4"/>
  <c r="Q50" i="5"/>
  <c r="M12" i="2"/>
  <c r="M48" i="4"/>
  <c r="R50" i="5"/>
  <c r="T50" i="5"/>
  <c r="U50" i="5"/>
  <c r="P12" i="2"/>
  <c r="P48" i="4"/>
  <c r="W50" i="5"/>
  <c r="Q12" i="2"/>
  <c r="Q48" i="4"/>
  <c r="X50" i="5"/>
  <c r="S12" i="2"/>
  <c r="S48" i="4"/>
  <c r="AA50" i="5"/>
  <c r="AH48" i="4"/>
  <c r="T48" i="4" a="1"/>
  <c r="T48" i="4"/>
  <c r="AC50" i="5"/>
  <c r="U48" i="4" a="1"/>
  <c r="U48" i="4"/>
  <c r="AD50" i="5"/>
  <c r="AF50" i="5"/>
  <c r="AG50" i="5"/>
  <c r="X48" i="4"/>
  <c r="AI50" i="5"/>
  <c r="Y12" i="2"/>
  <c r="Y48" i="4"/>
  <c r="AJ50" i="5"/>
  <c r="Z12" i="2"/>
  <c r="Z48" i="4"/>
  <c r="AL50" i="5"/>
  <c r="L50" i="5"/>
  <c r="AN50" i="5"/>
  <c r="B49" i="4"/>
  <c r="C49" i="4"/>
  <c r="C51" i="5"/>
  <c r="D49" i="4"/>
  <c r="E51" i="5"/>
  <c r="L49" i="4"/>
  <c r="Q51" i="5"/>
  <c r="M49" i="4"/>
  <c r="R51" i="5"/>
  <c r="N12" i="2"/>
  <c r="N24" i="2"/>
  <c r="N49" i="4"/>
  <c r="T51" i="5"/>
  <c r="O49" i="4"/>
  <c r="U51" i="5"/>
  <c r="P49" i="4"/>
  <c r="W51" i="5"/>
  <c r="Q49" i="4"/>
  <c r="X51" i="5"/>
  <c r="S49" i="4"/>
  <c r="AA51" i="5"/>
  <c r="AH49" i="4"/>
  <c r="T49" i="4" a="1"/>
  <c r="T49" i="4"/>
  <c r="AC51" i="5"/>
  <c r="U49" i="4" a="1"/>
  <c r="U49" i="4"/>
  <c r="AD51" i="5"/>
  <c r="AF51" i="5"/>
  <c r="AG51" i="5"/>
  <c r="X49" i="4"/>
  <c r="AI51" i="5"/>
  <c r="Y49" i="4"/>
  <c r="AJ51" i="5"/>
  <c r="Z49" i="4"/>
  <c r="AL51" i="5"/>
  <c r="L51" i="5"/>
  <c r="AN51" i="5"/>
  <c r="C50" i="4"/>
  <c r="C52" i="5"/>
  <c r="D50" i="4"/>
  <c r="E52" i="5"/>
  <c r="L50" i="4"/>
  <c r="Q52" i="5"/>
  <c r="M50" i="4"/>
  <c r="R52" i="5"/>
  <c r="T52" i="5"/>
  <c r="U52" i="5"/>
  <c r="P50" i="4"/>
  <c r="W52" i="5"/>
  <c r="Q50" i="4"/>
  <c r="X52" i="5"/>
  <c r="S50" i="4"/>
  <c r="AA52" i="5"/>
  <c r="AH50" i="4"/>
  <c r="T50" i="4" a="1"/>
  <c r="T50" i="4"/>
  <c r="AC52" i="5"/>
  <c r="U50" i="4" a="1"/>
  <c r="U50" i="4"/>
  <c r="AD52" i="5"/>
  <c r="AF52" i="5"/>
  <c r="AG52" i="5"/>
  <c r="AI52" i="5"/>
  <c r="Y50" i="4"/>
  <c r="AJ52" i="5"/>
  <c r="Z50" i="4"/>
  <c r="AL52" i="5"/>
  <c r="L52" i="5"/>
  <c r="AN52" i="5"/>
  <c r="B51" i="4"/>
  <c r="C51" i="4"/>
  <c r="C53" i="5"/>
  <c r="D51" i="4"/>
  <c r="E53" i="5"/>
  <c r="L51" i="4"/>
  <c r="Q53" i="5"/>
  <c r="M51" i="4"/>
  <c r="R53" i="5"/>
  <c r="T53" i="5"/>
  <c r="U53" i="5"/>
  <c r="P51" i="4"/>
  <c r="W53" i="5"/>
  <c r="Q51" i="4"/>
  <c r="X53" i="5"/>
  <c r="S51" i="4"/>
  <c r="AA53" i="5"/>
  <c r="AH51" i="4"/>
  <c r="T51" i="4" a="1"/>
  <c r="T51" i="4"/>
  <c r="AC53" i="5"/>
  <c r="U51" i="4" a="1"/>
  <c r="U51" i="4"/>
  <c r="AD53" i="5"/>
  <c r="AF53" i="5"/>
  <c r="AG53" i="5"/>
  <c r="X51" i="4"/>
  <c r="AI53" i="5"/>
  <c r="Y51" i="4"/>
  <c r="AJ53" i="5"/>
  <c r="Z51" i="4"/>
  <c r="AL53" i="5"/>
  <c r="L53" i="5"/>
  <c r="AN53" i="5"/>
  <c r="O54" i="5"/>
  <c r="K54" i="5"/>
  <c r="B52" i="4"/>
  <c r="C43" i="2"/>
  <c r="C52" i="4"/>
  <c r="C54" i="5"/>
  <c r="D43" i="2"/>
  <c r="D52" i="4"/>
  <c r="E54" i="5"/>
  <c r="I21" i="2"/>
  <c r="I3" i="2"/>
  <c r="I43" i="2"/>
  <c r="I52" i="4"/>
  <c r="L54" i="5"/>
  <c r="J21" i="2"/>
  <c r="J3" i="2"/>
  <c r="J43" i="2"/>
  <c r="J52" i="4"/>
  <c r="N54" i="5"/>
  <c r="L43" i="2"/>
  <c r="L52" i="4"/>
  <c r="Q54" i="5"/>
  <c r="M43" i="2"/>
  <c r="M52" i="4"/>
  <c r="R54" i="5"/>
  <c r="T54" i="5"/>
  <c r="U54" i="5"/>
  <c r="P43" i="2"/>
  <c r="P52" i="4"/>
  <c r="W54" i="5"/>
  <c r="Q43" i="2"/>
  <c r="Q52" i="4"/>
  <c r="X54" i="5"/>
  <c r="S43" i="2"/>
  <c r="S52" i="4"/>
  <c r="AA54" i="5"/>
  <c r="AH52" i="4"/>
  <c r="T52" i="4" a="1"/>
  <c r="T52" i="4"/>
  <c r="AC54" i="5"/>
  <c r="U52" i="4" a="1"/>
  <c r="U52" i="4"/>
  <c r="AD54" i="5"/>
  <c r="AF54" i="5"/>
  <c r="AG54" i="5"/>
  <c r="X43" i="2"/>
  <c r="X52" i="4"/>
  <c r="AI54" i="5"/>
  <c r="Y43" i="2"/>
  <c r="Y52" i="4"/>
  <c r="AJ54" i="5"/>
  <c r="Z43" i="2"/>
  <c r="Z52" i="4"/>
  <c r="AL54" i="5"/>
  <c r="AN54" i="5"/>
  <c r="C8" i="2"/>
  <c r="B53" i="4"/>
  <c r="C53" i="4"/>
  <c r="C55" i="5"/>
  <c r="D8" i="2"/>
  <c r="D53" i="4"/>
  <c r="E55" i="5"/>
  <c r="H8" i="2"/>
  <c r="H53" i="4"/>
  <c r="K55" i="5"/>
  <c r="L8" i="2"/>
  <c r="L53" i="4"/>
  <c r="Q55" i="5"/>
  <c r="M8" i="2"/>
  <c r="M53" i="4"/>
  <c r="R55" i="5"/>
  <c r="N8" i="2"/>
  <c r="N53" i="4"/>
  <c r="T55" i="5"/>
  <c r="O53" i="4"/>
  <c r="U55" i="5"/>
  <c r="P8" i="2"/>
  <c r="P53" i="4"/>
  <c r="W55" i="5"/>
  <c r="Q8" i="2"/>
  <c r="Q53" i="4"/>
  <c r="X55" i="5"/>
  <c r="AA55" i="5"/>
  <c r="AH53" i="4"/>
  <c r="T53" i="4" a="1"/>
  <c r="T53" i="4"/>
  <c r="AC55" i="5"/>
  <c r="U53" i="4" a="1"/>
  <c r="U53" i="4"/>
  <c r="AD55" i="5"/>
  <c r="AF55" i="5"/>
  <c r="AG55" i="5"/>
  <c r="X8" i="2"/>
  <c r="X53" i="4"/>
  <c r="AI55" i="5"/>
  <c r="Y8" i="2"/>
  <c r="Y53" i="4"/>
  <c r="AJ55" i="5"/>
  <c r="Z8" i="2"/>
  <c r="Z53" i="4"/>
  <c r="AL55" i="5"/>
  <c r="L55" i="5"/>
  <c r="N55" i="5"/>
  <c r="O55" i="5"/>
  <c r="AN55" i="5"/>
  <c r="C10" i="2"/>
  <c r="B54" i="4"/>
  <c r="C9" i="2"/>
  <c r="C54" i="4"/>
  <c r="C56" i="5"/>
  <c r="D10" i="2"/>
  <c r="D9" i="2"/>
  <c r="D54" i="4"/>
  <c r="E56" i="5"/>
  <c r="H10" i="2"/>
  <c r="H9" i="2"/>
  <c r="H54" i="4"/>
  <c r="K56" i="5"/>
  <c r="L10" i="2"/>
  <c r="L9" i="2"/>
  <c r="L54" i="4"/>
  <c r="Q56" i="5"/>
  <c r="M10" i="2"/>
  <c r="M9" i="2"/>
  <c r="M54" i="4"/>
  <c r="R56" i="5"/>
  <c r="N10" i="2"/>
  <c r="N9" i="2"/>
  <c r="N54" i="4"/>
  <c r="T56" i="5"/>
  <c r="O10" i="2"/>
  <c r="O9" i="2"/>
  <c r="O54" i="4"/>
  <c r="U56" i="5"/>
  <c r="P10" i="2"/>
  <c r="P9" i="2"/>
  <c r="P54" i="4"/>
  <c r="W56" i="5"/>
  <c r="Q10" i="2"/>
  <c r="Q9" i="2"/>
  <c r="Q54" i="4"/>
  <c r="X56" i="5"/>
  <c r="AA56" i="5"/>
  <c r="AH54" i="4"/>
  <c r="T54" i="4" a="1"/>
  <c r="T54" i="4"/>
  <c r="AC56" i="5"/>
  <c r="U54" i="4" a="1"/>
  <c r="U54" i="4"/>
  <c r="AD56" i="5"/>
  <c r="AF56" i="5"/>
  <c r="AG56" i="5"/>
  <c r="X10" i="2"/>
  <c r="X9" i="2"/>
  <c r="X54" i="4"/>
  <c r="AI56" i="5"/>
  <c r="Y10" i="2"/>
  <c r="Y9" i="2"/>
  <c r="Y54" i="4"/>
  <c r="AJ56" i="5"/>
  <c r="Z10" i="2"/>
  <c r="Z9" i="2"/>
  <c r="Z54" i="4"/>
  <c r="AL56" i="5"/>
  <c r="L56" i="5"/>
  <c r="N56" i="5"/>
  <c r="O56" i="5"/>
  <c r="AN56" i="5"/>
  <c r="B55" i="4"/>
  <c r="C7" i="2"/>
  <c r="C55" i="4"/>
  <c r="C57" i="5"/>
  <c r="D7" i="2"/>
  <c r="D55" i="4"/>
  <c r="E57" i="5"/>
  <c r="H7" i="2"/>
  <c r="H55" i="4"/>
  <c r="K57" i="5"/>
  <c r="L7" i="2"/>
  <c r="L55" i="4"/>
  <c r="Q57" i="5"/>
  <c r="M7" i="2"/>
  <c r="M55" i="4"/>
  <c r="R57" i="5"/>
  <c r="T57" i="5"/>
  <c r="U57" i="5"/>
  <c r="P7" i="2"/>
  <c r="P55" i="4"/>
  <c r="W57" i="5"/>
  <c r="Q7" i="2"/>
  <c r="Q55" i="4"/>
  <c r="X57" i="5"/>
  <c r="AA57" i="5"/>
  <c r="AH55" i="4"/>
  <c r="T55" i="4" a="1"/>
  <c r="T55" i="4"/>
  <c r="AC57" i="5"/>
  <c r="U55" i="4" a="1"/>
  <c r="U55" i="4"/>
  <c r="AD57" i="5"/>
  <c r="AF57" i="5"/>
  <c r="AG57" i="5"/>
  <c r="X7" i="2"/>
  <c r="X55" i="4"/>
  <c r="AI57" i="5"/>
  <c r="Y7" i="2"/>
  <c r="Y55" i="4"/>
  <c r="AJ57" i="5"/>
  <c r="Z7" i="2"/>
  <c r="Z55" i="4"/>
  <c r="AL57" i="5"/>
  <c r="L57" i="5"/>
  <c r="N57" i="5"/>
  <c r="O57" i="5"/>
  <c r="AN57" i="5"/>
  <c r="B56" i="4"/>
  <c r="C56" i="4"/>
  <c r="C58" i="5"/>
  <c r="D56" i="4"/>
  <c r="E58" i="5"/>
  <c r="H56" i="4"/>
  <c r="K58" i="5"/>
  <c r="I9" i="2"/>
  <c r="I56" i="4"/>
  <c r="L58" i="5"/>
  <c r="J9" i="2"/>
  <c r="J56" i="4"/>
  <c r="N58" i="5"/>
  <c r="O58" i="5"/>
  <c r="L56" i="4"/>
  <c r="Q58" i="5"/>
  <c r="M56" i="4"/>
  <c r="R58" i="5"/>
  <c r="N56" i="4"/>
  <c r="T58" i="5"/>
  <c r="O56" i="4"/>
  <c r="U58" i="5"/>
  <c r="P56" i="4"/>
  <c r="W58" i="5"/>
  <c r="Q56" i="4"/>
  <c r="X58" i="5"/>
  <c r="AA58" i="5"/>
  <c r="AH56" i="4"/>
  <c r="T56" i="4" a="1"/>
  <c r="T56" i="4"/>
  <c r="AC58" i="5"/>
  <c r="U56" i="4" a="1"/>
  <c r="U56" i="4"/>
  <c r="AD58" i="5"/>
  <c r="AF58" i="5"/>
  <c r="AG58" i="5"/>
  <c r="X56" i="4"/>
  <c r="AI58" i="5"/>
  <c r="Y56" i="4"/>
  <c r="AJ58" i="5"/>
  <c r="Z56" i="4"/>
  <c r="AL58" i="5"/>
  <c r="AN58" i="5"/>
  <c r="B57" i="4"/>
  <c r="C57" i="4"/>
  <c r="C59" i="5"/>
  <c r="D57" i="4"/>
  <c r="E59" i="5"/>
  <c r="H57" i="4"/>
  <c r="K59" i="5"/>
  <c r="L57" i="4"/>
  <c r="Q59" i="5"/>
  <c r="M57" i="4"/>
  <c r="R59" i="5"/>
  <c r="N7" i="2"/>
  <c r="N57" i="4"/>
  <c r="T59" i="5"/>
  <c r="O7" i="2"/>
  <c r="O57" i="4"/>
  <c r="U59" i="5"/>
  <c r="P57" i="4"/>
  <c r="W59" i="5"/>
  <c r="Q57" i="4"/>
  <c r="X59" i="5"/>
  <c r="AA59" i="5"/>
  <c r="AH57" i="4"/>
  <c r="T57" i="4" a="1"/>
  <c r="T57" i="4"/>
  <c r="AC59" i="5"/>
  <c r="U57" i="4" a="1"/>
  <c r="U57" i="4"/>
  <c r="AD59" i="5"/>
  <c r="AF59" i="5"/>
  <c r="AG59" i="5"/>
  <c r="X57" i="4"/>
  <c r="AI59" i="5"/>
  <c r="Y57" i="4"/>
  <c r="AJ59" i="5"/>
  <c r="Z57" i="4"/>
  <c r="AL59" i="5"/>
  <c r="L59" i="5"/>
  <c r="N59" i="5"/>
  <c r="O59" i="5"/>
  <c r="AN59" i="5"/>
  <c r="B58" i="4"/>
  <c r="C58" i="4"/>
  <c r="C60" i="5"/>
  <c r="D58" i="4"/>
  <c r="E60" i="5"/>
  <c r="H58" i="4"/>
  <c r="K60" i="5"/>
  <c r="L58" i="4"/>
  <c r="Q60" i="5"/>
  <c r="M58" i="4"/>
  <c r="R60" i="5"/>
  <c r="T60" i="5"/>
  <c r="U60" i="5"/>
  <c r="P58" i="4"/>
  <c r="W60" i="5"/>
  <c r="Q58" i="4"/>
  <c r="X60" i="5"/>
  <c r="AA60" i="5"/>
  <c r="AH58" i="4"/>
  <c r="T58" i="4" a="1"/>
  <c r="T58" i="4"/>
  <c r="AC60" i="5"/>
  <c r="U58" i="4" a="1"/>
  <c r="U58" i="4"/>
  <c r="AD60" i="5"/>
  <c r="AF60" i="5"/>
  <c r="AG60" i="5"/>
  <c r="X58" i="4"/>
  <c r="AI60" i="5"/>
  <c r="Y58" i="4"/>
  <c r="AJ60" i="5"/>
  <c r="Z58" i="4"/>
  <c r="AL60" i="5"/>
  <c r="L60" i="5"/>
  <c r="N60" i="5"/>
  <c r="O60" i="5"/>
  <c r="AN60" i="5"/>
  <c r="AA61" i="5"/>
  <c r="P59" i="4"/>
  <c r="W61" i="5"/>
  <c r="O61" i="5"/>
  <c r="K61" i="5"/>
  <c r="C59" i="4"/>
  <c r="C61" i="5"/>
  <c r="D59" i="4"/>
  <c r="E61" i="5"/>
  <c r="L61" i="5"/>
  <c r="N61" i="5"/>
  <c r="L59" i="4"/>
  <c r="Q61" i="5"/>
  <c r="U61" i="5"/>
  <c r="Q59" i="4"/>
  <c r="X61" i="5"/>
  <c r="R9" i="2"/>
  <c r="R8" i="2"/>
  <c r="R59" i="4"/>
  <c r="Z61" i="5"/>
  <c r="AC61" i="5"/>
  <c r="AD61" i="5"/>
  <c r="AF61" i="5"/>
  <c r="AG61" i="5"/>
  <c r="X59" i="4"/>
  <c r="AI61" i="5"/>
  <c r="Y59" i="4"/>
  <c r="AJ61" i="5"/>
  <c r="Z59" i="4"/>
  <c r="AL61" i="5"/>
  <c r="R61" i="5"/>
  <c r="T61" i="5"/>
  <c r="AN61" i="5"/>
  <c r="B60" i="4"/>
  <c r="C60" i="4"/>
  <c r="C62" i="5"/>
  <c r="D60" i="4"/>
  <c r="E62" i="5"/>
  <c r="H60" i="4"/>
  <c r="K62" i="5"/>
  <c r="L60" i="4"/>
  <c r="Q62" i="5"/>
  <c r="M60" i="4"/>
  <c r="R62" i="5"/>
  <c r="T62" i="5"/>
  <c r="U62" i="5"/>
  <c r="P60" i="4"/>
  <c r="W62" i="5"/>
  <c r="Q60" i="4"/>
  <c r="X62" i="5"/>
  <c r="AA62" i="5"/>
  <c r="AH60" i="4"/>
  <c r="T60" i="4" a="1"/>
  <c r="T60" i="4"/>
  <c r="AC62" i="5"/>
  <c r="U60" i="4" a="1"/>
  <c r="U60" i="4"/>
  <c r="AD62" i="5"/>
  <c r="AF62" i="5"/>
  <c r="AG62" i="5"/>
  <c r="X60" i="4"/>
  <c r="AI62" i="5"/>
  <c r="Y60" i="4"/>
  <c r="AJ62" i="5"/>
  <c r="Z60" i="4"/>
  <c r="AL62" i="5"/>
  <c r="AN62" i="5"/>
  <c r="B61" i="4"/>
  <c r="C61" i="4"/>
  <c r="C63" i="5"/>
  <c r="D61" i="4"/>
  <c r="E63" i="5"/>
  <c r="H61" i="4"/>
  <c r="K63" i="5"/>
  <c r="L61" i="4"/>
  <c r="Q63" i="5"/>
  <c r="M61" i="4"/>
  <c r="R63" i="5"/>
  <c r="T63" i="5"/>
  <c r="U63" i="5"/>
  <c r="P61" i="4"/>
  <c r="W63" i="5"/>
  <c r="Q61" i="4"/>
  <c r="X63" i="5"/>
  <c r="AA63" i="5"/>
  <c r="AH61" i="4"/>
  <c r="T61" i="4" a="1"/>
  <c r="T61" i="4"/>
  <c r="AC63" i="5"/>
  <c r="U61" i="4" a="1"/>
  <c r="U61" i="4"/>
  <c r="AD63" i="5"/>
  <c r="AF63" i="5"/>
  <c r="AG63" i="5"/>
  <c r="Y61" i="4"/>
  <c r="AJ63" i="5"/>
  <c r="Z61" i="4"/>
  <c r="AL63" i="5"/>
  <c r="AN63" i="5"/>
  <c r="B62" i="4"/>
  <c r="C62" i="4"/>
  <c r="C64" i="5"/>
  <c r="D62" i="4"/>
  <c r="E64" i="5"/>
  <c r="H62" i="4"/>
  <c r="K64" i="5"/>
  <c r="L62" i="4"/>
  <c r="Q64" i="5"/>
  <c r="M62" i="4"/>
  <c r="R64" i="5"/>
  <c r="T64" i="5"/>
  <c r="U64" i="5"/>
  <c r="P62" i="4"/>
  <c r="W64" i="5"/>
  <c r="Q62" i="4"/>
  <c r="X64" i="5"/>
  <c r="AA64" i="5"/>
  <c r="AH62" i="4"/>
  <c r="T62" i="4" a="1"/>
  <c r="T62" i="4"/>
  <c r="AC64" i="5"/>
  <c r="U62" i="4" a="1"/>
  <c r="U62" i="4"/>
  <c r="AD64" i="5"/>
  <c r="AF64" i="5"/>
  <c r="AG64" i="5"/>
  <c r="Y62" i="4"/>
  <c r="AJ64" i="5"/>
  <c r="Z62" i="4"/>
  <c r="AL64" i="5"/>
  <c r="AN64" i="5"/>
  <c r="B63" i="4"/>
  <c r="C63" i="4"/>
  <c r="C65" i="5"/>
  <c r="D63" i="4"/>
  <c r="E65" i="5"/>
  <c r="H63" i="4"/>
  <c r="K65" i="5"/>
  <c r="L63" i="4"/>
  <c r="Q65" i="5"/>
  <c r="M63" i="4"/>
  <c r="R65" i="5"/>
  <c r="T65" i="5"/>
  <c r="U65" i="5"/>
  <c r="P63" i="4"/>
  <c r="W65" i="5"/>
  <c r="Q63" i="4"/>
  <c r="X65" i="5"/>
  <c r="AA65" i="5"/>
  <c r="AH63" i="4"/>
  <c r="T63" i="4" a="1"/>
  <c r="T63" i="4"/>
  <c r="AC65" i="5"/>
  <c r="U63" i="4" a="1"/>
  <c r="U63" i="4"/>
  <c r="AD65" i="5"/>
  <c r="AF65" i="5"/>
  <c r="AG65" i="5"/>
  <c r="X63" i="4"/>
  <c r="AI65" i="5"/>
  <c r="Y63" i="4"/>
  <c r="AJ65" i="5"/>
  <c r="Z63" i="4"/>
  <c r="AL65" i="5"/>
  <c r="AN65" i="5"/>
  <c r="B64" i="4"/>
  <c r="C64" i="4"/>
  <c r="C66" i="5"/>
  <c r="D64" i="4"/>
  <c r="E66" i="5"/>
  <c r="H64" i="4"/>
  <c r="K66" i="5"/>
  <c r="L64" i="4"/>
  <c r="Q66" i="5"/>
  <c r="M64" i="4"/>
  <c r="R66" i="5"/>
  <c r="T66" i="5"/>
  <c r="U66" i="5"/>
  <c r="P64" i="4"/>
  <c r="W66" i="5"/>
  <c r="Q64" i="4"/>
  <c r="X66" i="5"/>
  <c r="AA66" i="5"/>
  <c r="AH64" i="4"/>
  <c r="T64" i="4" a="1"/>
  <c r="T64" i="4"/>
  <c r="AC66" i="5"/>
  <c r="U64" i="4" a="1"/>
  <c r="U64" i="4"/>
  <c r="AD66" i="5"/>
  <c r="AF66" i="5"/>
  <c r="AG66" i="5"/>
  <c r="X64" i="4"/>
  <c r="AI66" i="5"/>
  <c r="Y64" i="4"/>
  <c r="AJ66" i="5"/>
  <c r="Z64" i="4"/>
  <c r="AL66" i="5"/>
  <c r="AN66" i="5"/>
  <c r="B65" i="4"/>
  <c r="C65" i="4"/>
  <c r="C67" i="5"/>
  <c r="D65" i="4"/>
  <c r="E67" i="5"/>
  <c r="H65" i="4"/>
  <c r="K67" i="5"/>
  <c r="L65" i="4"/>
  <c r="Q67" i="5"/>
  <c r="M65" i="4"/>
  <c r="R67" i="5"/>
  <c r="T67" i="5"/>
  <c r="U67" i="5"/>
  <c r="P65" i="4"/>
  <c r="W67" i="5"/>
  <c r="Q65" i="4"/>
  <c r="X67" i="5"/>
  <c r="AA67" i="5"/>
  <c r="AH65" i="4"/>
  <c r="T65" i="4" a="1"/>
  <c r="T65" i="4"/>
  <c r="AC67" i="5"/>
  <c r="U65" i="4" a="1"/>
  <c r="U65" i="4"/>
  <c r="AD67" i="5"/>
  <c r="AF67" i="5"/>
  <c r="AG67" i="5"/>
  <c r="X65" i="4"/>
  <c r="AI67" i="5"/>
  <c r="Y65" i="4"/>
  <c r="AJ67" i="5"/>
  <c r="Z65" i="4"/>
  <c r="AL67" i="5"/>
  <c r="AN67" i="5"/>
  <c r="B66" i="4"/>
  <c r="C66" i="4"/>
  <c r="C68" i="5"/>
  <c r="D66" i="4"/>
  <c r="E68" i="5"/>
  <c r="H66" i="4"/>
  <c r="K68" i="5"/>
  <c r="L66" i="4"/>
  <c r="Q68" i="5"/>
  <c r="M66" i="4"/>
  <c r="R68" i="5"/>
  <c r="T68" i="5"/>
  <c r="U68" i="5"/>
  <c r="P66" i="4"/>
  <c r="W68" i="5"/>
  <c r="Q66" i="4"/>
  <c r="X68" i="5"/>
  <c r="AA68" i="5"/>
  <c r="AH66" i="4"/>
  <c r="T66" i="4" a="1"/>
  <c r="T66" i="4"/>
  <c r="AC68" i="5"/>
  <c r="U66" i="4" a="1"/>
  <c r="U66" i="4"/>
  <c r="AD68" i="5"/>
  <c r="AF68" i="5"/>
  <c r="AG68" i="5"/>
  <c r="Y66" i="4"/>
  <c r="AJ68" i="5"/>
  <c r="Z66" i="4"/>
  <c r="AL68" i="5"/>
  <c r="AN68" i="5"/>
  <c r="B67" i="4"/>
  <c r="C67" i="4"/>
  <c r="C69" i="5"/>
  <c r="D67" i="4"/>
  <c r="E69" i="5"/>
  <c r="H67" i="4"/>
  <c r="K69" i="5"/>
  <c r="I14" i="2"/>
  <c r="I67" i="4"/>
  <c r="L69" i="5"/>
  <c r="J14" i="2"/>
  <c r="J67" i="4"/>
  <c r="N69" i="5"/>
  <c r="O69" i="5"/>
  <c r="L67" i="4"/>
  <c r="Q69" i="5"/>
  <c r="M67" i="4"/>
  <c r="R69" i="5"/>
  <c r="N13" i="2"/>
  <c r="N67" i="4"/>
  <c r="T69" i="5"/>
  <c r="O67" i="4"/>
  <c r="U69" i="5"/>
  <c r="P67" i="4"/>
  <c r="W69" i="5"/>
  <c r="Q67" i="4"/>
  <c r="X69" i="5"/>
  <c r="AA69" i="5"/>
  <c r="AH67" i="4"/>
  <c r="T67" i="4" a="1"/>
  <c r="T67" i="4"/>
  <c r="AC69" i="5"/>
  <c r="AD69" i="5"/>
  <c r="AF69" i="5"/>
  <c r="AG69" i="5"/>
  <c r="X67" i="4"/>
  <c r="AI69" i="5"/>
  <c r="Y67" i="4"/>
  <c r="AJ69" i="5"/>
  <c r="Z67" i="4"/>
  <c r="AL69" i="5"/>
  <c r="AN69" i="5"/>
  <c r="B68" i="4"/>
  <c r="C68" i="4"/>
  <c r="C70" i="5"/>
  <c r="D68" i="4"/>
  <c r="E70" i="5"/>
  <c r="H68" i="4"/>
  <c r="K70" i="5"/>
  <c r="L68" i="4"/>
  <c r="Q70" i="5"/>
  <c r="M68" i="4"/>
  <c r="R70" i="5"/>
  <c r="N11" i="2"/>
  <c r="N15" i="2"/>
  <c r="N68" i="4"/>
  <c r="T70" i="5"/>
  <c r="O68" i="4"/>
  <c r="U70" i="5"/>
  <c r="P68" i="4"/>
  <c r="W70" i="5"/>
  <c r="Q68" i="4"/>
  <c r="X70" i="5"/>
  <c r="AA70" i="5"/>
  <c r="AH68" i="4"/>
  <c r="T68" i="4" a="1"/>
  <c r="T68" i="4"/>
  <c r="AC70" i="5"/>
  <c r="U68" i="4" a="1"/>
  <c r="U68" i="4"/>
  <c r="AD70" i="5"/>
  <c r="AF70" i="5"/>
  <c r="AG70" i="5"/>
  <c r="Y68" i="4"/>
  <c r="AJ70" i="5"/>
  <c r="Z68" i="4"/>
  <c r="AL70" i="5"/>
  <c r="AN70" i="5"/>
  <c r="B69" i="4"/>
  <c r="C69" i="4"/>
  <c r="C71" i="5"/>
  <c r="D69" i="4"/>
  <c r="E71" i="5"/>
  <c r="H69" i="4"/>
  <c r="K71" i="5"/>
  <c r="L69" i="4"/>
  <c r="Q71" i="5"/>
  <c r="M69" i="4"/>
  <c r="R71" i="5"/>
  <c r="T71" i="5"/>
  <c r="U71" i="5"/>
  <c r="P69" i="4"/>
  <c r="W71" i="5"/>
  <c r="Q69" i="4"/>
  <c r="X71" i="5"/>
  <c r="AA71" i="5"/>
  <c r="AH69" i="4"/>
  <c r="T69" i="4" a="1"/>
  <c r="T69" i="4"/>
  <c r="AC71" i="5"/>
  <c r="U69" i="4" a="1"/>
  <c r="U69" i="4"/>
  <c r="AD71" i="5"/>
  <c r="AF71" i="5"/>
  <c r="AG71" i="5"/>
  <c r="Y69" i="4"/>
  <c r="AJ71" i="5"/>
  <c r="Z69" i="4"/>
  <c r="AL71" i="5"/>
  <c r="AN71" i="5"/>
  <c r="C70" i="4"/>
  <c r="C72" i="5"/>
  <c r="N70" i="4"/>
  <c r="T72" i="5"/>
  <c r="O70" i="4"/>
  <c r="U72" i="5"/>
  <c r="P70" i="4"/>
  <c r="W72" i="5"/>
  <c r="Q70" i="4"/>
  <c r="X72" i="5"/>
  <c r="S70" i="4"/>
  <c r="AA72" i="5"/>
  <c r="AH70" i="4"/>
  <c r="T70" i="4" a="1"/>
  <c r="T70" i="4"/>
  <c r="AC72" i="5"/>
  <c r="U70" i="4" a="1"/>
  <c r="U70" i="4"/>
  <c r="AD72" i="5"/>
  <c r="AF72" i="5"/>
  <c r="AG72" i="5"/>
  <c r="X70" i="4"/>
  <c r="AI72" i="5"/>
  <c r="Y70" i="4"/>
  <c r="AJ72" i="5"/>
  <c r="Z70" i="4"/>
  <c r="AL72" i="5"/>
  <c r="AN72" i="5"/>
  <c r="C71" i="4"/>
  <c r="C73" i="5"/>
  <c r="T73" i="5"/>
  <c r="U73" i="5"/>
  <c r="P71" i="4"/>
  <c r="W73" i="5"/>
  <c r="Q71" i="4"/>
  <c r="X73" i="5"/>
  <c r="S71" i="4"/>
  <c r="AA73" i="5"/>
  <c r="AH71" i="4"/>
  <c r="T71" i="4" a="1"/>
  <c r="T71" i="4"/>
  <c r="AC73" i="5"/>
  <c r="U71" i="4" a="1"/>
  <c r="U71" i="4"/>
  <c r="AD73" i="5"/>
  <c r="AF73" i="5"/>
  <c r="AG73" i="5"/>
  <c r="X71" i="4"/>
  <c r="AI73" i="5"/>
  <c r="Y71" i="4"/>
  <c r="AJ73" i="5"/>
  <c r="Z71" i="4"/>
  <c r="AL73" i="5"/>
  <c r="AN73" i="5"/>
  <c r="B72" i="4"/>
  <c r="C72" i="4"/>
  <c r="C74" i="5"/>
  <c r="D72" i="4"/>
  <c r="E74" i="5"/>
  <c r="H72" i="4"/>
  <c r="K74" i="5"/>
  <c r="L72" i="4"/>
  <c r="Q74" i="5"/>
  <c r="M72" i="4"/>
  <c r="R74" i="5"/>
  <c r="T74" i="5"/>
  <c r="U74" i="5"/>
  <c r="P72" i="4"/>
  <c r="W74" i="5"/>
  <c r="Q72" i="4"/>
  <c r="X74" i="5"/>
  <c r="S72" i="4"/>
  <c r="AA74" i="5"/>
  <c r="AH72" i="4"/>
  <c r="T72" i="4" a="1"/>
  <c r="T72" i="4"/>
  <c r="AC74" i="5"/>
  <c r="U72" i="4" a="1"/>
  <c r="U72" i="4"/>
  <c r="AD74" i="5"/>
  <c r="AF74" i="5"/>
  <c r="AG74" i="5"/>
  <c r="X72" i="4"/>
  <c r="AI74" i="5"/>
  <c r="Y72" i="4"/>
  <c r="AJ74" i="5"/>
  <c r="Z72" i="4"/>
  <c r="AL74" i="5"/>
  <c r="F74" i="5"/>
  <c r="AN74" i="5"/>
  <c r="C20" i="2"/>
  <c r="C73" i="4"/>
  <c r="C75" i="5"/>
  <c r="D73" i="4"/>
  <c r="E75" i="5"/>
  <c r="H20" i="2"/>
  <c r="H73" i="4"/>
  <c r="K75" i="5"/>
  <c r="L20" i="2"/>
  <c r="L73" i="4"/>
  <c r="Q75" i="5"/>
  <c r="R75" i="5"/>
  <c r="T75" i="5"/>
  <c r="U75" i="5"/>
  <c r="P20" i="2"/>
  <c r="P73" i="4"/>
  <c r="W75" i="5"/>
  <c r="Q20" i="2"/>
  <c r="Q73" i="4"/>
  <c r="X75" i="5"/>
  <c r="S20" i="2"/>
  <c r="S73" i="4"/>
  <c r="AA75" i="5"/>
  <c r="AH73" i="4"/>
  <c r="T73" i="4" a="1"/>
  <c r="T73" i="4"/>
  <c r="AC75" i="5"/>
  <c r="U73" i="4" a="1"/>
  <c r="U73" i="4"/>
  <c r="AD75" i="5"/>
  <c r="AF75" i="5"/>
  <c r="AG75" i="5"/>
  <c r="X20" i="2"/>
  <c r="X73" i="4"/>
  <c r="AI75" i="5"/>
  <c r="Y20" i="2"/>
  <c r="Y73" i="4"/>
  <c r="AJ75" i="5"/>
  <c r="Z20" i="2"/>
  <c r="Z73" i="4"/>
  <c r="AL75" i="5"/>
  <c r="F75" i="5"/>
  <c r="AN75" i="5"/>
  <c r="B74" i="4"/>
  <c r="C22" i="2"/>
  <c r="C74" i="4"/>
  <c r="C76" i="5"/>
  <c r="D22" i="2"/>
  <c r="D74" i="4"/>
  <c r="E76" i="5"/>
  <c r="H22" i="2"/>
  <c r="H74" i="4"/>
  <c r="K76" i="5"/>
  <c r="L22" i="2"/>
  <c r="L74" i="4"/>
  <c r="Q76" i="5"/>
  <c r="M22" i="2"/>
  <c r="M74" i="4"/>
  <c r="R76" i="5"/>
  <c r="T76" i="5"/>
  <c r="U76" i="5"/>
  <c r="P22" i="2"/>
  <c r="P74" i="4"/>
  <c r="W76" i="5"/>
  <c r="Q22" i="2"/>
  <c r="Q74" i="4"/>
  <c r="X76" i="5"/>
  <c r="S22" i="2"/>
  <c r="S74" i="4"/>
  <c r="AA76" i="5"/>
  <c r="AH74" i="4"/>
  <c r="T74" i="4" a="1"/>
  <c r="T74" i="4"/>
  <c r="AC76" i="5"/>
  <c r="U74" i="4" a="1"/>
  <c r="U74" i="4"/>
  <c r="AD76" i="5"/>
  <c r="AF76" i="5"/>
  <c r="AG76" i="5"/>
  <c r="X22" i="2"/>
  <c r="X74" i="4"/>
  <c r="AI76" i="5"/>
  <c r="Y22" i="2"/>
  <c r="Y74" i="4"/>
  <c r="AJ76" i="5"/>
  <c r="Z22" i="2"/>
  <c r="Z74" i="4"/>
  <c r="AL76" i="5"/>
  <c r="F76" i="5"/>
  <c r="AN76" i="5"/>
  <c r="B75" i="4"/>
  <c r="C75" i="4"/>
  <c r="C77" i="5"/>
  <c r="D75" i="4"/>
  <c r="E77" i="5"/>
  <c r="E29" i="2"/>
  <c r="E31" i="2"/>
  <c r="E75" i="4"/>
  <c r="F77" i="5"/>
  <c r="F29" i="2"/>
  <c r="F31" i="2"/>
  <c r="F75" i="4"/>
  <c r="H77" i="5"/>
  <c r="I77" i="5"/>
  <c r="H75" i="4"/>
  <c r="K77" i="5"/>
  <c r="L75" i="4"/>
  <c r="Q77" i="5"/>
  <c r="M75" i="4"/>
  <c r="R77" i="5"/>
  <c r="T77" i="5"/>
  <c r="U77" i="5"/>
  <c r="P75" i="4"/>
  <c r="W77" i="5"/>
  <c r="Q75" i="4"/>
  <c r="X77" i="5"/>
  <c r="S75" i="4"/>
  <c r="AA77" i="5"/>
  <c r="AH75" i="4"/>
  <c r="T75" i="4" a="1"/>
  <c r="T75" i="4"/>
  <c r="AC77" i="5"/>
  <c r="U75" i="4" a="1"/>
  <c r="U75" i="4"/>
  <c r="AD77" i="5"/>
  <c r="AF77" i="5"/>
  <c r="AG77" i="5"/>
  <c r="X75" i="4"/>
  <c r="AI77" i="5"/>
  <c r="Y75" i="4"/>
  <c r="AJ77" i="5"/>
  <c r="Z75" i="4"/>
  <c r="AL77" i="5"/>
  <c r="AN77" i="5"/>
  <c r="B76" i="4"/>
  <c r="C76" i="4"/>
  <c r="C78" i="5"/>
  <c r="D76" i="4"/>
  <c r="E78" i="5"/>
  <c r="E76" i="4"/>
  <c r="F78" i="5"/>
  <c r="F76" i="4"/>
  <c r="H78" i="5"/>
  <c r="I78" i="5"/>
  <c r="H76" i="4"/>
  <c r="K78" i="5"/>
  <c r="L76" i="4"/>
  <c r="Q78" i="5"/>
  <c r="M76" i="4"/>
  <c r="R78" i="5"/>
  <c r="T78" i="5"/>
  <c r="U78" i="5"/>
  <c r="P76" i="4"/>
  <c r="W78" i="5"/>
  <c r="Q76" i="4"/>
  <c r="X78" i="5"/>
  <c r="S76" i="4"/>
  <c r="AA78" i="5"/>
  <c r="AH76" i="4"/>
  <c r="T76" i="4" a="1"/>
  <c r="T76" i="4"/>
  <c r="AC78" i="5"/>
  <c r="U76" i="4" a="1"/>
  <c r="U76" i="4"/>
  <c r="AD78" i="5"/>
  <c r="AF78" i="5"/>
  <c r="AG78" i="5"/>
  <c r="X76" i="4"/>
  <c r="AI78" i="5"/>
  <c r="Y76" i="4"/>
  <c r="AJ78" i="5"/>
  <c r="Z76" i="4"/>
  <c r="AL78" i="5"/>
  <c r="AN78" i="5"/>
  <c r="C19" i="2"/>
  <c r="B77" i="4"/>
  <c r="C77" i="4"/>
  <c r="C79" i="5"/>
  <c r="D19" i="2"/>
  <c r="D77" i="4"/>
  <c r="E79" i="5"/>
  <c r="E19" i="2"/>
  <c r="E77" i="4"/>
  <c r="F79" i="5"/>
  <c r="F19" i="2"/>
  <c r="F77" i="4"/>
  <c r="H79" i="5"/>
  <c r="I79" i="5"/>
  <c r="H19" i="2"/>
  <c r="H77" i="4"/>
  <c r="K79" i="5"/>
  <c r="L19" i="2"/>
  <c r="L77" i="4"/>
  <c r="Q79" i="5"/>
  <c r="M19" i="2"/>
  <c r="M77" i="4"/>
  <c r="R79" i="5"/>
  <c r="T79" i="5"/>
  <c r="U79" i="5"/>
  <c r="P19" i="2"/>
  <c r="P77" i="4"/>
  <c r="W79" i="5"/>
  <c r="Q19" i="2"/>
  <c r="Q77" i="4"/>
  <c r="X79" i="5"/>
  <c r="S19" i="2"/>
  <c r="S77" i="4"/>
  <c r="AA79" i="5"/>
  <c r="AH77" i="4"/>
  <c r="T77" i="4" a="1"/>
  <c r="T77" i="4"/>
  <c r="AC79" i="5"/>
  <c r="U77" i="4" a="1"/>
  <c r="U77" i="4"/>
  <c r="AD79" i="5"/>
  <c r="AF79" i="5"/>
  <c r="AG79" i="5"/>
  <c r="X19" i="2"/>
  <c r="X77" i="4"/>
  <c r="AI79" i="5"/>
  <c r="Y19" i="2"/>
  <c r="Y77" i="4"/>
  <c r="AJ79" i="5"/>
  <c r="Z19" i="2"/>
  <c r="Z77" i="4"/>
  <c r="AL79" i="5"/>
  <c r="AN79" i="5"/>
  <c r="C78" i="4"/>
  <c r="C80" i="5"/>
  <c r="D78" i="4"/>
  <c r="E80" i="5"/>
  <c r="H78" i="4"/>
  <c r="K80" i="5"/>
  <c r="L78" i="4"/>
  <c r="Q80" i="5"/>
  <c r="M78" i="4"/>
  <c r="R80" i="5"/>
  <c r="T80" i="5"/>
  <c r="U80" i="5"/>
  <c r="P78" i="4"/>
  <c r="W80" i="5"/>
  <c r="Q78" i="4"/>
  <c r="X80" i="5"/>
  <c r="S78" i="4"/>
  <c r="AA80" i="5"/>
  <c r="AH78" i="4"/>
  <c r="T78" i="4" a="1"/>
  <c r="T78" i="4"/>
  <c r="AC80" i="5"/>
  <c r="U78" i="4" a="1"/>
  <c r="U78" i="4"/>
  <c r="AD80" i="5"/>
  <c r="AF80" i="5"/>
  <c r="AG80" i="5"/>
  <c r="X78" i="4"/>
  <c r="AI80" i="5"/>
  <c r="Y78" i="4"/>
  <c r="AJ80" i="5"/>
  <c r="Z78" i="4"/>
  <c r="AL80" i="5"/>
  <c r="AN80" i="5"/>
  <c r="C79" i="4"/>
  <c r="C81" i="5"/>
  <c r="D79" i="4"/>
  <c r="E81" i="5"/>
  <c r="K81" i="5"/>
  <c r="L79" i="4"/>
  <c r="Q81" i="5"/>
  <c r="M79" i="4"/>
  <c r="R81" i="5"/>
  <c r="T81" i="5"/>
  <c r="U81" i="5"/>
  <c r="P79" i="4"/>
  <c r="W81" i="5"/>
  <c r="Q79" i="4"/>
  <c r="X81" i="5"/>
  <c r="S79" i="4"/>
  <c r="AA81" i="5"/>
  <c r="AH79" i="4"/>
  <c r="T79" i="4" a="1"/>
  <c r="T79" i="4"/>
  <c r="AC81" i="5"/>
  <c r="U79" i="4" a="1"/>
  <c r="U79" i="4"/>
  <c r="AD81" i="5"/>
  <c r="AF81" i="5"/>
  <c r="AG81" i="5"/>
  <c r="X79" i="4"/>
  <c r="AI81" i="5"/>
  <c r="Y79" i="4"/>
  <c r="AJ81" i="5"/>
  <c r="Z79" i="4"/>
  <c r="AL81" i="5"/>
  <c r="AN81" i="5"/>
  <c r="B80" i="4"/>
  <c r="C80" i="4"/>
  <c r="C82" i="5"/>
  <c r="D80" i="4"/>
  <c r="E82" i="5"/>
  <c r="K82" i="5"/>
  <c r="L80" i="4"/>
  <c r="Q82" i="5"/>
  <c r="M80" i="4"/>
  <c r="R82" i="5"/>
  <c r="N21" i="2"/>
  <c r="N80" i="4"/>
  <c r="T82" i="5"/>
  <c r="O80" i="4"/>
  <c r="U82" i="5"/>
  <c r="P80" i="4"/>
  <c r="W82" i="5"/>
  <c r="Q80" i="4"/>
  <c r="X82" i="5"/>
  <c r="S80" i="4"/>
  <c r="AA82" i="5"/>
  <c r="AH80" i="4"/>
  <c r="T80" i="4" a="1"/>
  <c r="T80" i="4"/>
  <c r="AC82" i="5"/>
  <c r="U80" i="4" a="1"/>
  <c r="U80" i="4"/>
  <c r="AD82" i="5"/>
  <c r="AF82" i="5"/>
  <c r="AG82" i="5"/>
  <c r="X80" i="4"/>
  <c r="AI82" i="5"/>
  <c r="Y80" i="4"/>
  <c r="AJ82" i="5"/>
  <c r="Z80" i="4"/>
  <c r="AL82" i="5"/>
  <c r="AN82" i="5"/>
  <c r="C81" i="4"/>
  <c r="C83" i="5"/>
  <c r="D81" i="4"/>
  <c r="E83" i="5"/>
  <c r="K83" i="5"/>
  <c r="L81" i="4"/>
  <c r="Q83" i="5"/>
  <c r="M81" i="4"/>
  <c r="R83" i="5"/>
  <c r="T83" i="5"/>
  <c r="U83" i="5"/>
  <c r="P81" i="4"/>
  <c r="W83" i="5"/>
  <c r="Q81" i="4"/>
  <c r="X83" i="5"/>
  <c r="S81" i="4"/>
  <c r="AA83" i="5"/>
  <c r="AH81" i="4"/>
  <c r="T81" i="4" a="1"/>
  <c r="T81" i="4"/>
  <c r="AC83" i="5"/>
  <c r="U81" i="4" a="1"/>
  <c r="U81" i="4"/>
  <c r="AD83" i="5"/>
  <c r="AF83" i="5"/>
  <c r="AG83" i="5"/>
  <c r="X81" i="4"/>
  <c r="AI83" i="5"/>
  <c r="Y81" i="4"/>
  <c r="AJ83" i="5"/>
  <c r="Z81" i="4"/>
  <c r="AL83" i="5"/>
  <c r="AN83" i="5"/>
  <c r="B82" i="4"/>
  <c r="C82" i="4"/>
  <c r="C84" i="5"/>
  <c r="D82" i="4"/>
  <c r="E84" i="5"/>
  <c r="K84" i="5"/>
  <c r="L82" i="4"/>
  <c r="Q84" i="5"/>
  <c r="M82" i="4"/>
  <c r="R84" i="5"/>
  <c r="T84" i="5"/>
  <c r="U84" i="5"/>
  <c r="P82" i="4"/>
  <c r="W84" i="5"/>
  <c r="Q82" i="4"/>
  <c r="X84" i="5"/>
  <c r="S82" i="4"/>
  <c r="AA84" i="5"/>
  <c r="AH82" i="4"/>
  <c r="T82" i="4" a="1"/>
  <c r="T82" i="4"/>
  <c r="AC84" i="5"/>
  <c r="U82" i="4" a="1"/>
  <c r="U82" i="4"/>
  <c r="AD84" i="5"/>
  <c r="AF84" i="5"/>
  <c r="AG84" i="5"/>
  <c r="X82" i="4"/>
  <c r="AI84" i="5"/>
  <c r="Y82" i="4"/>
  <c r="AJ84" i="5"/>
  <c r="Z82" i="4"/>
  <c r="AL84" i="5"/>
  <c r="AN84" i="5"/>
  <c r="B83" i="4"/>
  <c r="C83" i="4"/>
  <c r="C85" i="5"/>
  <c r="D83" i="4"/>
  <c r="E85" i="5"/>
  <c r="K85" i="5"/>
  <c r="L83" i="4"/>
  <c r="Q85" i="5"/>
  <c r="M83" i="4"/>
  <c r="R85" i="5"/>
  <c r="N83" i="4"/>
  <c r="T85" i="5"/>
  <c r="O83" i="4"/>
  <c r="U85" i="5"/>
  <c r="P83" i="4"/>
  <c r="W85" i="5"/>
  <c r="Q83" i="4"/>
  <c r="X85" i="5"/>
  <c r="S83" i="4"/>
  <c r="AA85" i="5"/>
  <c r="AH83" i="4"/>
  <c r="T83" i="4" a="1"/>
  <c r="T83" i="4"/>
  <c r="AC85" i="5"/>
  <c r="U83" i="4" a="1"/>
  <c r="U83" i="4"/>
  <c r="AD85" i="5"/>
  <c r="AF85" i="5"/>
  <c r="AG85" i="5"/>
  <c r="X83" i="4"/>
  <c r="AI85" i="5"/>
  <c r="Y83" i="4"/>
  <c r="AJ85" i="5"/>
  <c r="Z83" i="4"/>
  <c r="AL85" i="5"/>
  <c r="AN85" i="5"/>
  <c r="B84" i="4"/>
  <c r="C84" i="4"/>
  <c r="C86" i="5"/>
  <c r="D84" i="4"/>
  <c r="E86" i="5"/>
  <c r="K86" i="5"/>
  <c r="L84" i="4"/>
  <c r="Q86" i="5"/>
  <c r="M84" i="4"/>
  <c r="R86" i="5"/>
  <c r="T86" i="5"/>
  <c r="U86" i="5"/>
  <c r="P84" i="4"/>
  <c r="W86" i="5"/>
  <c r="Q84" i="4"/>
  <c r="X86" i="5"/>
  <c r="S84" i="4"/>
  <c r="AA86" i="5"/>
  <c r="AH84" i="4"/>
  <c r="T84" i="4" a="1"/>
  <c r="T84" i="4"/>
  <c r="AC86" i="5"/>
  <c r="U84" i="4" a="1"/>
  <c r="U84" i="4"/>
  <c r="AD86" i="5"/>
  <c r="AF86" i="5"/>
  <c r="AG86" i="5"/>
  <c r="X84" i="4"/>
  <c r="AI86" i="5"/>
  <c r="Y84" i="4"/>
  <c r="AJ86" i="5"/>
  <c r="Z84" i="4"/>
  <c r="AL86" i="5"/>
  <c r="AN86" i="5"/>
  <c r="C85" i="4"/>
  <c r="C87" i="5"/>
  <c r="D85" i="4"/>
  <c r="E87" i="5"/>
  <c r="E85" i="4"/>
  <c r="F87" i="5"/>
  <c r="F85" i="4"/>
  <c r="H87" i="5"/>
  <c r="I87" i="5"/>
  <c r="H85" i="4"/>
  <c r="K87" i="5"/>
  <c r="L85" i="4"/>
  <c r="Q87" i="5"/>
  <c r="M85" i="4"/>
  <c r="R87" i="5"/>
  <c r="T87" i="5"/>
  <c r="U87" i="5"/>
  <c r="P85" i="4"/>
  <c r="W87" i="5"/>
  <c r="Q85" i="4"/>
  <c r="X87" i="5"/>
  <c r="S85" i="4"/>
  <c r="AA87" i="5"/>
  <c r="AH85" i="4"/>
  <c r="T85" i="4" a="1"/>
  <c r="T85" i="4"/>
  <c r="AC87" i="5"/>
  <c r="U85" i="4" a="1"/>
  <c r="U85" i="4"/>
  <c r="AD87" i="5"/>
  <c r="AF87" i="5"/>
  <c r="AG87" i="5"/>
  <c r="X85" i="4"/>
  <c r="AI87" i="5"/>
  <c r="Y85" i="4"/>
  <c r="AJ87" i="5"/>
  <c r="Z85" i="4"/>
  <c r="AL87" i="5"/>
  <c r="AN87" i="5"/>
  <c r="C86" i="4"/>
  <c r="C88" i="5"/>
  <c r="D86" i="4"/>
  <c r="E88" i="5"/>
  <c r="E86" i="4"/>
  <c r="F88" i="5"/>
  <c r="F86" i="4"/>
  <c r="H88" i="5"/>
  <c r="I88" i="5"/>
  <c r="H86" i="4"/>
  <c r="K88" i="5"/>
  <c r="L86" i="4"/>
  <c r="Q88" i="5"/>
  <c r="M86" i="4"/>
  <c r="R88" i="5"/>
  <c r="T88" i="5"/>
  <c r="U88" i="5"/>
  <c r="P86" i="4"/>
  <c r="W88" i="5"/>
  <c r="Q86" i="4"/>
  <c r="X88" i="5"/>
  <c r="S86" i="4"/>
  <c r="AA88" i="5"/>
  <c r="AH86" i="4"/>
  <c r="T86" i="4" a="1"/>
  <c r="T86" i="4"/>
  <c r="AC88" i="5"/>
  <c r="U86" i="4" a="1"/>
  <c r="U86" i="4"/>
  <c r="AD88" i="5"/>
  <c r="AF88" i="5"/>
  <c r="AG88" i="5"/>
  <c r="X86" i="4"/>
  <c r="AI88" i="5"/>
  <c r="Y86" i="4"/>
  <c r="AJ88" i="5"/>
  <c r="Z86" i="4"/>
  <c r="AL88" i="5"/>
  <c r="AN88" i="5"/>
  <c r="B87" i="4"/>
  <c r="C87" i="4"/>
  <c r="C89" i="5"/>
  <c r="D87" i="4"/>
  <c r="E89" i="5"/>
  <c r="E87" i="4"/>
  <c r="F89" i="5"/>
  <c r="F87" i="4"/>
  <c r="H89" i="5"/>
  <c r="I89" i="5"/>
  <c r="H87" i="4"/>
  <c r="K89" i="5"/>
  <c r="L87" i="4"/>
  <c r="Q89" i="5"/>
  <c r="M87" i="4"/>
  <c r="R89" i="5"/>
  <c r="T89" i="5"/>
  <c r="U89" i="5"/>
  <c r="P87" i="4"/>
  <c r="W89" i="5"/>
  <c r="Q87" i="4"/>
  <c r="X89" i="5"/>
  <c r="S87" i="4"/>
  <c r="AA89" i="5"/>
  <c r="AH87" i="4"/>
  <c r="T87" i="4" a="1"/>
  <c r="T87" i="4"/>
  <c r="AC89" i="5"/>
  <c r="U87" i="4" a="1"/>
  <c r="U87" i="4"/>
  <c r="AD89" i="5"/>
  <c r="AF89" i="5"/>
  <c r="AG89" i="5"/>
  <c r="X87" i="4"/>
  <c r="AI89" i="5"/>
  <c r="Y87" i="4"/>
  <c r="AJ89" i="5"/>
  <c r="Z87" i="4"/>
  <c r="AL89" i="5"/>
  <c r="AN89" i="5"/>
  <c r="B88" i="4"/>
  <c r="S88" i="4"/>
  <c r="AA90" i="5"/>
  <c r="P88" i="4"/>
  <c r="W90" i="5"/>
  <c r="K18" i="2"/>
  <c r="K27" i="2"/>
  <c r="K88" i="4"/>
  <c r="O90" i="5"/>
  <c r="H88" i="4"/>
  <c r="K90" i="5"/>
  <c r="C88" i="4"/>
  <c r="C90" i="5"/>
  <c r="D88" i="4"/>
  <c r="E90" i="5"/>
  <c r="G18" i="2"/>
  <c r="G27" i="2"/>
  <c r="G88" i="4"/>
  <c r="I90" i="5"/>
  <c r="I18" i="2"/>
  <c r="I88" i="4"/>
  <c r="L90" i="5"/>
  <c r="J18" i="2"/>
  <c r="J88" i="4"/>
  <c r="N90" i="5"/>
  <c r="L88" i="4"/>
  <c r="Q90" i="5"/>
  <c r="O88" i="4"/>
  <c r="U90" i="5"/>
  <c r="Q88" i="4"/>
  <c r="X90" i="5"/>
  <c r="R88" i="4"/>
  <c r="Z90" i="5"/>
  <c r="AH88" i="4"/>
  <c r="T88" i="4" a="1"/>
  <c r="T88" i="4"/>
  <c r="AC90" i="5"/>
  <c r="U88" i="4" a="1"/>
  <c r="U88" i="4"/>
  <c r="AD90" i="5"/>
  <c r="V18" i="2"/>
  <c r="V27" i="2"/>
  <c r="V88" i="4"/>
  <c r="AF90" i="5"/>
  <c r="W18" i="2"/>
  <c r="W27" i="2"/>
  <c r="W88" i="4"/>
  <c r="AG90" i="5"/>
  <c r="X88" i="4"/>
  <c r="AI90" i="5"/>
  <c r="Y88" i="4"/>
  <c r="AJ90" i="5"/>
  <c r="Z88" i="4"/>
  <c r="AL90" i="5"/>
  <c r="R90" i="5"/>
  <c r="T90" i="5"/>
  <c r="AN90" i="5"/>
  <c r="S89" i="4"/>
  <c r="AA91" i="5"/>
  <c r="P89" i="4"/>
  <c r="W91" i="5"/>
  <c r="O91" i="5"/>
  <c r="K91" i="5"/>
  <c r="C89" i="4"/>
  <c r="C91" i="5"/>
  <c r="D89" i="4"/>
  <c r="E91" i="5"/>
  <c r="L91" i="5"/>
  <c r="N91" i="5"/>
  <c r="L89" i="4"/>
  <c r="Q91" i="5"/>
  <c r="U91" i="5"/>
  <c r="Q89" i="4"/>
  <c r="X91" i="5"/>
  <c r="R89" i="4"/>
  <c r="Z91" i="5"/>
  <c r="AH89" i="4"/>
  <c r="T89" i="4" a="1"/>
  <c r="T89" i="4"/>
  <c r="AC91" i="5"/>
  <c r="U89" i="4" a="1"/>
  <c r="U89" i="4"/>
  <c r="AD91" i="5"/>
  <c r="AF91" i="5"/>
  <c r="AG91" i="5"/>
  <c r="X89" i="4"/>
  <c r="AI91" i="5"/>
  <c r="Y89" i="4"/>
  <c r="AJ91" i="5"/>
  <c r="Z89" i="4"/>
  <c r="AL91" i="5"/>
  <c r="R91" i="5"/>
  <c r="T91" i="5"/>
  <c r="AN91" i="5"/>
  <c r="O92" i="5"/>
  <c r="K92" i="5"/>
  <c r="B90" i="4"/>
  <c r="C90" i="4"/>
  <c r="C92" i="5"/>
  <c r="D90" i="4"/>
  <c r="E92" i="5"/>
  <c r="I2" i="2"/>
  <c r="I90" i="4"/>
  <c r="L92" i="5"/>
  <c r="J2" i="2"/>
  <c r="J90" i="4"/>
  <c r="N92" i="5"/>
  <c r="L90" i="4"/>
  <c r="Q92" i="5"/>
  <c r="M90" i="4"/>
  <c r="R92" i="5"/>
  <c r="T92" i="5"/>
  <c r="U92" i="5"/>
  <c r="P90" i="4"/>
  <c r="W92" i="5"/>
  <c r="Q90" i="4"/>
  <c r="X92" i="5"/>
  <c r="S90" i="4"/>
  <c r="AA92" i="5"/>
  <c r="AH90" i="4"/>
  <c r="T90" i="4" a="1"/>
  <c r="T90" i="4"/>
  <c r="AC92" i="5"/>
  <c r="U90" i="4" a="1"/>
  <c r="U90" i="4"/>
  <c r="AD92" i="5"/>
  <c r="AF92" i="5"/>
  <c r="AG92" i="5"/>
  <c r="X90" i="4"/>
  <c r="AI92" i="5"/>
  <c r="Y90" i="4"/>
  <c r="AJ92" i="5"/>
  <c r="Z90" i="4"/>
  <c r="AL92" i="5"/>
  <c r="AN92" i="5"/>
  <c r="B91" i="4"/>
  <c r="C91" i="4"/>
  <c r="C93" i="5"/>
  <c r="D91" i="4"/>
  <c r="E93" i="5"/>
  <c r="K93" i="5"/>
  <c r="L91" i="4"/>
  <c r="Q93" i="5"/>
  <c r="M91" i="4"/>
  <c r="R93" i="5"/>
  <c r="T93" i="5"/>
  <c r="U93" i="5"/>
  <c r="P91" i="4"/>
  <c r="W93" i="5"/>
  <c r="Q91" i="4"/>
  <c r="X93" i="5"/>
  <c r="S91" i="4"/>
  <c r="AA93" i="5"/>
  <c r="AH91" i="4"/>
  <c r="T91" i="4" a="1"/>
  <c r="T91" i="4"/>
  <c r="AC93" i="5"/>
  <c r="U91" i="4" a="1"/>
  <c r="U91" i="4"/>
  <c r="AD93" i="5"/>
  <c r="AF93" i="5"/>
  <c r="AG93" i="5"/>
  <c r="X91" i="4"/>
  <c r="AI93" i="5"/>
  <c r="Y91" i="4"/>
  <c r="AJ93" i="5"/>
  <c r="Z91" i="4"/>
  <c r="AL93" i="5"/>
  <c r="AN93" i="5"/>
  <c r="B92" i="4"/>
  <c r="C92" i="4"/>
  <c r="C94" i="5"/>
  <c r="D92" i="4"/>
  <c r="E94" i="5"/>
  <c r="K94" i="5"/>
  <c r="L92" i="4"/>
  <c r="Q94" i="5"/>
  <c r="M92" i="4"/>
  <c r="R94" i="5"/>
  <c r="N19" i="2"/>
  <c r="N92" i="4"/>
  <c r="T94" i="5"/>
  <c r="O92" i="4"/>
  <c r="U94" i="5"/>
  <c r="P92" i="4"/>
  <c r="W94" i="5"/>
  <c r="Q92" i="4"/>
  <c r="X94" i="5"/>
  <c r="S92" i="4"/>
  <c r="AA94" i="5"/>
  <c r="AH92" i="4"/>
  <c r="T92" i="4" a="1"/>
  <c r="T92" i="4"/>
  <c r="AC94" i="5"/>
  <c r="U92" i="4" a="1"/>
  <c r="U92" i="4"/>
  <c r="AD94" i="5"/>
  <c r="AF94" i="5"/>
  <c r="AG94" i="5"/>
  <c r="X92" i="4"/>
  <c r="AI94" i="5"/>
  <c r="Y92" i="4"/>
  <c r="AJ94" i="5"/>
  <c r="Z92" i="4"/>
  <c r="AL94" i="5"/>
  <c r="AN94" i="5"/>
  <c r="B93" i="4"/>
  <c r="C93" i="4"/>
  <c r="C95" i="5"/>
  <c r="D93" i="4"/>
  <c r="E95" i="5"/>
  <c r="K95" i="5"/>
  <c r="L93" i="4"/>
  <c r="Q95" i="5"/>
  <c r="M93" i="4"/>
  <c r="R95" i="5"/>
  <c r="T95" i="5"/>
  <c r="U95" i="5"/>
  <c r="P93" i="4"/>
  <c r="W95" i="5"/>
  <c r="Q93" i="4"/>
  <c r="X95" i="5"/>
  <c r="S93" i="4"/>
  <c r="AA95" i="5"/>
  <c r="AH93" i="4"/>
  <c r="T93" i="4" a="1"/>
  <c r="T93" i="4"/>
  <c r="AC95" i="5"/>
  <c r="U93" i="4" a="1"/>
  <c r="U93" i="4"/>
  <c r="AD95" i="5"/>
  <c r="AF95" i="5"/>
  <c r="AG95" i="5"/>
  <c r="X93" i="4"/>
  <c r="AI95" i="5"/>
  <c r="Y93" i="4"/>
  <c r="AJ95" i="5"/>
  <c r="Z93" i="4"/>
  <c r="AL95" i="5"/>
  <c r="AN95" i="5"/>
  <c r="B94" i="4"/>
  <c r="C94" i="4"/>
  <c r="C96" i="5"/>
  <c r="D94" i="4"/>
  <c r="E96" i="5"/>
  <c r="K96" i="5"/>
  <c r="L94" i="4"/>
  <c r="Q96" i="5"/>
  <c r="M94" i="4"/>
  <c r="R96" i="5"/>
  <c r="T96" i="5"/>
  <c r="U96" i="5"/>
  <c r="P94" i="4"/>
  <c r="W96" i="5"/>
  <c r="Q94" i="4"/>
  <c r="X96" i="5"/>
  <c r="AA96" i="5"/>
  <c r="AH94" i="4"/>
  <c r="T94" i="4" a="1"/>
  <c r="T94" i="4"/>
  <c r="AC96" i="5"/>
  <c r="U94" i="4" a="1"/>
  <c r="U94" i="4"/>
  <c r="AD96" i="5"/>
  <c r="AF96" i="5"/>
  <c r="AG96" i="5"/>
  <c r="Y94" i="4"/>
  <c r="AJ96" i="5"/>
  <c r="Z94" i="4"/>
  <c r="AL96" i="5"/>
  <c r="AN96" i="5"/>
  <c r="C95" i="4"/>
  <c r="C97" i="5"/>
  <c r="D95" i="4"/>
  <c r="E97" i="5"/>
  <c r="H95" i="4"/>
  <c r="K97" i="5"/>
  <c r="L95" i="4"/>
  <c r="Q97" i="5"/>
  <c r="M95" i="4"/>
  <c r="R97" i="5"/>
  <c r="T97" i="5"/>
  <c r="U97" i="5"/>
  <c r="P95" i="4"/>
  <c r="W97" i="5"/>
  <c r="Q95" i="4"/>
  <c r="X97" i="5"/>
  <c r="AA97" i="5"/>
  <c r="AH95" i="4"/>
  <c r="T95" i="4" a="1"/>
  <c r="T95" i="4"/>
  <c r="AC97" i="5"/>
  <c r="U95" i="4" a="1"/>
  <c r="U95" i="4"/>
  <c r="AD97" i="5"/>
  <c r="AF97" i="5"/>
  <c r="AG97" i="5"/>
  <c r="X95" i="4"/>
  <c r="AI97" i="5"/>
  <c r="Y95" i="4"/>
  <c r="AJ97" i="5"/>
  <c r="Z95" i="4"/>
  <c r="AL97" i="5"/>
  <c r="AN97" i="5"/>
  <c r="B96" i="4"/>
  <c r="C96" i="4"/>
  <c r="C98" i="5"/>
  <c r="D96" i="4"/>
  <c r="E98" i="5"/>
  <c r="K98" i="5"/>
  <c r="L96" i="4"/>
  <c r="Q98" i="5"/>
  <c r="M96" i="4"/>
  <c r="R98" i="5"/>
  <c r="T98" i="5"/>
  <c r="U98" i="5"/>
  <c r="P96" i="4"/>
  <c r="W98" i="5"/>
  <c r="Q96" i="4"/>
  <c r="X98" i="5"/>
  <c r="AA98" i="5"/>
  <c r="AH96" i="4"/>
  <c r="T96" i="4" a="1"/>
  <c r="T96" i="4"/>
  <c r="AC98" i="5"/>
  <c r="U96" i="4" a="1"/>
  <c r="U96" i="4"/>
  <c r="AD98" i="5"/>
  <c r="AF98" i="5"/>
  <c r="AG98" i="5"/>
  <c r="Y96" i="4"/>
  <c r="AJ98" i="5"/>
  <c r="Z96" i="4"/>
  <c r="AL98" i="5"/>
  <c r="AN98" i="5"/>
  <c r="C97" i="4"/>
  <c r="C99" i="5"/>
  <c r="D97" i="4"/>
  <c r="E99" i="5"/>
  <c r="K99" i="5"/>
  <c r="L97" i="4"/>
  <c r="Q99" i="5"/>
  <c r="M97" i="4"/>
  <c r="R99" i="5"/>
  <c r="T99" i="5"/>
  <c r="U99" i="5"/>
  <c r="P97" i="4"/>
  <c r="W99" i="5"/>
  <c r="Q97" i="4"/>
  <c r="X99" i="5"/>
  <c r="S97" i="4"/>
  <c r="AA99" i="5"/>
  <c r="AH97" i="4"/>
  <c r="T97" i="4" a="1"/>
  <c r="T97" i="4"/>
  <c r="AC99" i="5"/>
  <c r="U97" i="4" a="1"/>
  <c r="U97" i="4"/>
  <c r="AD99" i="5"/>
  <c r="AF99" i="5"/>
  <c r="AG99" i="5"/>
  <c r="X97" i="4"/>
  <c r="AI99" i="5"/>
  <c r="Y97" i="4"/>
  <c r="AJ99" i="5"/>
  <c r="Z97" i="4"/>
  <c r="AL99" i="5"/>
  <c r="AN99" i="5"/>
  <c r="B98" i="4"/>
  <c r="C98" i="4"/>
  <c r="C100" i="5"/>
  <c r="D98" i="4"/>
  <c r="E100" i="5"/>
  <c r="H98" i="4"/>
  <c r="K100" i="5"/>
  <c r="L98" i="4"/>
  <c r="Q100" i="5"/>
  <c r="M98" i="4"/>
  <c r="R100" i="5"/>
  <c r="N22" i="2"/>
  <c r="N98" i="4"/>
  <c r="T100" i="5"/>
  <c r="O98" i="4"/>
  <c r="U100" i="5"/>
  <c r="P98" i="4"/>
  <c r="W100" i="5"/>
  <c r="Q98" i="4"/>
  <c r="X100" i="5"/>
  <c r="S98" i="4"/>
  <c r="AA100" i="5"/>
  <c r="AH98" i="4"/>
  <c r="T98" i="4" a="1"/>
  <c r="T98" i="4"/>
  <c r="AC100" i="5"/>
  <c r="U98" i="4" a="1"/>
  <c r="U98" i="4"/>
  <c r="AD100" i="5"/>
  <c r="AF100" i="5"/>
  <c r="AG100" i="5"/>
  <c r="X98" i="4"/>
  <c r="AI100" i="5"/>
  <c r="Y98" i="4"/>
  <c r="AJ100" i="5"/>
  <c r="Z98" i="4"/>
  <c r="AL100" i="5"/>
  <c r="AN100" i="5"/>
  <c r="O101" i="5"/>
  <c r="B99" i="4"/>
  <c r="H99" i="4"/>
  <c r="K101" i="5"/>
  <c r="C99" i="4"/>
  <c r="C101" i="5"/>
  <c r="D99" i="4"/>
  <c r="E101" i="5"/>
  <c r="I22" i="2"/>
  <c r="I99" i="4"/>
  <c r="L101" i="5"/>
  <c r="J22" i="2"/>
  <c r="J99" i="4"/>
  <c r="N101" i="5"/>
  <c r="L99" i="4"/>
  <c r="Q101" i="5"/>
  <c r="M99" i="4"/>
  <c r="R101" i="5"/>
  <c r="T101" i="5"/>
  <c r="U101" i="5"/>
  <c r="P99" i="4"/>
  <c r="W101" i="5"/>
  <c r="Q99" i="4"/>
  <c r="X101" i="5"/>
  <c r="S99" i="4"/>
  <c r="AA101" i="5"/>
  <c r="AH99" i="4"/>
  <c r="T99" i="4" a="1"/>
  <c r="T99" i="4"/>
  <c r="AC101" i="5"/>
  <c r="U99" i="4" a="1"/>
  <c r="U99" i="4"/>
  <c r="AD101" i="5"/>
  <c r="AF101" i="5"/>
  <c r="AG101" i="5"/>
  <c r="X99" i="4"/>
  <c r="AI101" i="5"/>
  <c r="Y99" i="4"/>
  <c r="AJ101" i="5"/>
  <c r="Z99" i="4"/>
  <c r="AL101" i="5"/>
  <c r="H101" i="5"/>
  <c r="I101" i="5"/>
  <c r="AN101" i="5"/>
  <c r="C23" i="2"/>
  <c r="B100" i="4"/>
  <c r="C100" i="4"/>
  <c r="C102" i="5"/>
  <c r="D23" i="2"/>
  <c r="D100" i="4"/>
  <c r="E102" i="5"/>
  <c r="E23" i="2"/>
  <c r="E22" i="2"/>
  <c r="E100" i="4"/>
  <c r="F102" i="5"/>
  <c r="F23" i="2"/>
  <c r="F22" i="2"/>
  <c r="F100" i="4"/>
  <c r="H102" i="5"/>
  <c r="I102" i="5"/>
  <c r="H23" i="2"/>
  <c r="H100" i="4"/>
  <c r="K102" i="5"/>
  <c r="L23" i="2"/>
  <c r="L100" i="4"/>
  <c r="Q102" i="5"/>
  <c r="M23" i="2"/>
  <c r="M100" i="4"/>
  <c r="R102" i="5"/>
  <c r="N23" i="2"/>
  <c r="N100" i="4"/>
  <c r="T102" i="5"/>
  <c r="O23" i="2"/>
  <c r="O100" i="4"/>
  <c r="U102" i="5"/>
  <c r="P23" i="2"/>
  <c r="P100" i="4"/>
  <c r="W102" i="5"/>
  <c r="Q23" i="2"/>
  <c r="Q100" i="4"/>
  <c r="X102" i="5"/>
  <c r="S23" i="2"/>
  <c r="S100" i="4"/>
  <c r="AA102" i="5"/>
  <c r="AH100" i="4"/>
  <c r="T100" i="4" a="1"/>
  <c r="T100" i="4"/>
  <c r="AC102" i="5"/>
  <c r="U100" i="4" a="1"/>
  <c r="U100" i="4"/>
  <c r="AD102" i="5"/>
  <c r="AF102" i="5"/>
  <c r="AG102" i="5"/>
  <c r="X23" i="2"/>
  <c r="X100" i="4"/>
  <c r="AI102" i="5"/>
  <c r="Y23" i="2"/>
  <c r="Y100" i="4"/>
  <c r="AJ102" i="5"/>
  <c r="Z23" i="2"/>
  <c r="Z100" i="4"/>
  <c r="AL102" i="5"/>
  <c r="AN102" i="5"/>
  <c r="C101" i="4"/>
  <c r="C103" i="5"/>
  <c r="D101" i="4"/>
  <c r="E103" i="5"/>
  <c r="E101" i="4"/>
  <c r="F103" i="5"/>
  <c r="F101" i="4"/>
  <c r="H103" i="5"/>
  <c r="I103" i="5"/>
  <c r="H44" i="2"/>
  <c r="H101" i="4"/>
  <c r="K103" i="5"/>
  <c r="L101" i="4"/>
  <c r="Q103" i="5"/>
  <c r="M101" i="4"/>
  <c r="R103" i="5"/>
  <c r="T103" i="5"/>
  <c r="U103" i="5"/>
  <c r="P101" i="4"/>
  <c r="W103" i="5"/>
  <c r="Q101" i="4"/>
  <c r="X103" i="5"/>
  <c r="S44" i="2"/>
  <c r="S101" i="4"/>
  <c r="AA103" i="5"/>
  <c r="AH101" i="4"/>
  <c r="T101" i="4" a="1"/>
  <c r="T101" i="4"/>
  <c r="AC103" i="5"/>
  <c r="U101" i="4" a="1"/>
  <c r="U101" i="4"/>
  <c r="AD103" i="5"/>
  <c r="AF103" i="5"/>
  <c r="AG103" i="5"/>
  <c r="X101" i="4"/>
  <c r="AI103" i="5"/>
  <c r="Y101" i="4"/>
  <c r="AJ103" i="5"/>
  <c r="Z101" i="4"/>
  <c r="AL103" i="5"/>
  <c r="AN103" i="5"/>
  <c r="C102" i="4"/>
  <c r="C104" i="5"/>
  <c r="D102" i="4"/>
  <c r="E104" i="5"/>
  <c r="E102" i="4"/>
  <c r="F104" i="5"/>
  <c r="F102" i="4"/>
  <c r="H104" i="5"/>
  <c r="I104" i="5"/>
  <c r="H102" i="4"/>
  <c r="K104" i="5"/>
  <c r="L102" i="4"/>
  <c r="Q104" i="5"/>
  <c r="M102" i="4"/>
  <c r="R104" i="5"/>
  <c r="T104" i="5"/>
  <c r="U104" i="5"/>
  <c r="P102" i="4"/>
  <c r="W104" i="5"/>
  <c r="Q102" i="4"/>
  <c r="X104" i="5"/>
  <c r="S102" i="4"/>
  <c r="AA104" i="5"/>
  <c r="AH102" i="4"/>
  <c r="T102" i="4" a="1"/>
  <c r="T102" i="4"/>
  <c r="AC104" i="5"/>
  <c r="U102" i="4" a="1"/>
  <c r="U102" i="4"/>
  <c r="AD104" i="5"/>
  <c r="AF104" i="5"/>
  <c r="AG104" i="5"/>
  <c r="X102" i="4"/>
  <c r="AI104" i="5"/>
  <c r="Y102" i="4"/>
  <c r="AJ104" i="5"/>
  <c r="Z102" i="4"/>
  <c r="AL104" i="5"/>
  <c r="AN104" i="5"/>
  <c r="C103" i="4"/>
  <c r="C105" i="5"/>
  <c r="D103" i="4"/>
  <c r="E105" i="5"/>
  <c r="E103" i="4"/>
  <c r="F105" i="5"/>
  <c r="F103" i="4"/>
  <c r="H105" i="5"/>
  <c r="I105" i="5"/>
  <c r="K105" i="5"/>
  <c r="L103" i="4"/>
  <c r="Q105" i="5"/>
  <c r="M103" i="4"/>
  <c r="R105" i="5"/>
  <c r="T105" i="5"/>
  <c r="U105" i="5"/>
  <c r="P103" i="4"/>
  <c r="W105" i="5"/>
  <c r="Q103" i="4"/>
  <c r="X105" i="5"/>
  <c r="S103" i="4"/>
  <c r="AA105" i="5"/>
  <c r="AH103" i="4"/>
  <c r="T103" i="4" a="1"/>
  <c r="T103" i="4"/>
  <c r="AC105" i="5"/>
  <c r="U103" i="4" a="1"/>
  <c r="U103" i="4"/>
  <c r="AD105" i="5"/>
  <c r="AF105" i="5"/>
  <c r="AG105" i="5"/>
  <c r="X103" i="4"/>
  <c r="AI105" i="5"/>
  <c r="Y103" i="4"/>
  <c r="AJ105" i="5"/>
  <c r="Z103" i="4"/>
  <c r="AL105" i="5"/>
  <c r="AN105" i="5"/>
  <c r="B104" i="4"/>
  <c r="C104" i="4"/>
  <c r="C106" i="5"/>
  <c r="D104" i="4"/>
  <c r="E106" i="5"/>
  <c r="E104" i="4"/>
  <c r="F106" i="5"/>
  <c r="F104" i="4"/>
  <c r="H106" i="5"/>
  <c r="I106" i="5"/>
  <c r="H104" i="4"/>
  <c r="K106" i="5"/>
  <c r="L104" i="4"/>
  <c r="Q106" i="5"/>
  <c r="M104" i="4"/>
  <c r="R106" i="5"/>
  <c r="T106" i="5"/>
  <c r="U106" i="5"/>
  <c r="P104" i="4"/>
  <c r="W106" i="5"/>
  <c r="Q104" i="4"/>
  <c r="X106" i="5"/>
  <c r="S104" i="4"/>
  <c r="AA106" i="5"/>
  <c r="AH104" i="4"/>
  <c r="T104" i="4" a="1"/>
  <c r="T104" i="4"/>
  <c r="AC106" i="5"/>
  <c r="U104" i="4" a="1"/>
  <c r="U104" i="4"/>
  <c r="AD106" i="5"/>
  <c r="AF106" i="5"/>
  <c r="AG106" i="5"/>
  <c r="X104" i="4"/>
  <c r="AI106" i="5"/>
  <c r="Y104" i="4"/>
  <c r="AJ106" i="5"/>
  <c r="Z104" i="4"/>
  <c r="AL106" i="5"/>
  <c r="AN106" i="5"/>
  <c r="B105" i="4"/>
  <c r="C105" i="4"/>
  <c r="C107" i="5"/>
  <c r="D105" i="4"/>
  <c r="E107" i="5"/>
  <c r="E105" i="4"/>
  <c r="F107" i="5"/>
  <c r="F105" i="4"/>
  <c r="H107" i="5"/>
  <c r="I107" i="5"/>
  <c r="H105" i="4"/>
  <c r="K107" i="5"/>
  <c r="L105" i="4"/>
  <c r="Q107" i="5"/>
  <c r="M105" i="4"/>
  <c r="R107" i="5"/>
  <c r="T107" i="5"/>
  <c r="U107" i="5"/>
  <c r="P105" i="4"/>
  <c r="W107" i="5"/>
  <c r="Q105" i="4"/>
  <c r="X107" i="5"/>
  <c r="S105" i="4"/>
  <c r="AA107" i="5"/>
  <c r="AH105" i="4"/>
  <c r="T105" i="4" a="1"/>
  <c r="T105" i="4"/>
  <c r="AC107" i="5"/>
  <c r="U105" i="4" a="1"/>
  <c r="U105" i="4"/>
  <c r="AD107" i="5"/>
  <c r="AF107" i="5"/>
  <c r="AG107" i="5"/>
  <c r="X105" i="4"/>
  <c r="AI107" i="5"/>
  <c r="Y105" i="4"/>
  <c r="AJ107" i="5"/>
  <c r="Z105" i="4"/>
  <c r="AL107" i="5"/>
  <c r="AN107" i="5"/>
  <c r="B106" i="4"/>
  <c r="C106" i="4"/>
  <c r="C108" i="5"/>
  <c r="D106" i="4"/>
  <c r="E108" i="5"/>
  <c r="E106" i="4"/>
  <c r="F108" i="5"/>
  <c r="F106" i="4"/>
  <c r="H108" i="5"/>
  <c r="I108" i="5"/>
  <c r="H106" i="4"/>
  <c r="K108" i="5"/>
  <c r="L106" i="4"/>
  <c r="Q108" i="5"/>
  <c r="M106" i="4"/>
  <c r="R108" i="5"/>
  <c r="T108" i="5"/>
  <c r="U108" i="5"/>
  <c r="P106" i="4"/>
  <c r="W108" i="5"/>
  <c r="Q106" i="4"/>
  <c r="X108" i="5"/>
  <c r="S106" i="4"/>
  <c r="AA108" i="5"/>
  <c r="AH106" i="4"/>
  <c r="T106" i="4" a="1"/>
  <c r="T106" i="4"/>
  <c r="AC108" i="5"/>
  <c r="U106" i="4" a="1"/>
  <c r="U106" i="4"/>
  <c r="AD108" i="5"/>
  <c r="AF108" i="5"/>
  <c r="AG108" i="5"/>
  <c r="X106" i="4"/>
  <c r="AI108" i="5"/>
  <c r="Y106" i="4"/>
  <c r="AJ108" i="5"/>
  <c r="Z106" i="4"/>
  <c r="AL108" i="5"/>
  <c r="AN108" i="5"/>
  <c r="C107" i="4"/>
  <c r="C109" i="5"/>
  <c r="D107" i="4"/>
  <c r="E109" i="5"/>
  <c r="H12" i="2"/>
  <c r="H107" i="4"/>
  <c r="K109" i="5"/>
  <c r="L107" i="4"/>
  <c r="Q109" i="5"/>
  <c r="M107" i="4"/>
  <c r="R109" i="5"/>
  <c r="T109" i="5"/>
  <c r="U109" i="5"/>
  <c r="P107" i="4"/>
  <c r="W109" i="5"/>
  <c r="Q107" i="4"/>
  <c r="X109" i="5"/>
  <c r="S107" i="4"/>
  <c r="AA109" i="5"/>
  <c r="AH107" i="4"/>
  <c r="T107" i="4" a="1"/>
  <c r="T107" i="4"/>
  <c r="AC109" i="5"/>
  <c r="U107" i="4" a="1"/>
  <c r="U107" i="4"/>
  <c r="AD109" i="5"/>
  <c r="AF109" i="5"/>
  <c r="AG109" i="5"/>
  <c r="X107" i="4"/>
  <c r="AI109" i="5"/>
  <c r="Y107" i="4"/>
  <c r="AJ109" i="5"/>
  <c r="Z107" i="4"/>
  <c r="AL109" i="5"/>
  <c r="F109" i="5"/>
  <c r="H109" i="5"/>
  <c r="I109" i="5"/>
  <c r="AN109" i="5"/>
  <c r="C108" i="4"/>
  <c r="C110" i="5"/>
  <c r="D108" i="4"/>
  <c r="E110" i="5"/>
  <c r="E37" i="2"/>
  <c r="E108" i="4"/>
  <c r="F110" i="5"/>
  <c r="F37" i="2"/>
  <c r="F108" i="4"/>
  <c r="H110" i="5"/>
  <c r="I110" i="5"/>
  <c r="H108" i="4"/>
  <c r="K110" i="5"/>
  <c r="L108" i="4"/>
  <c r="Q110" i="5"/>
  <c r="M108" i="4"/>
  <c r="R110" i="5"/>
  <c r="T110" i="5"/>
  <c r="U110" i="5"/>
  <c r="P108" i="4"/>
  <c r="W110" i="5"/>
  <c r="Q108" i="4"/>
  <c r="X110" i="5"/>
  <c r="S108" i="4"/>
  <c r="AA110" i="5"/>
  <c r="AH108" i="4"/>
  <c r="T108" i="4" a="1"/>
  <c r="T108" i="4"/>
  <c r="AC110" i="5"/>
  <c r="U108" i="4" a="1"/>
  <c r="U108" i="4"/>
  <c r="AD110" i="5"/>
  <c r="AF110" i="5"/>
  <c r="AG110" i="5"/>
  <c r="X108" i="4"/>
  <c r="AI110" i="5"/>
  <c r="Y108" i="4"/>
  <c r="AJ110" i="5"/>
  <c r="Z108" i="4"/>
  <c r="AL110" i="5"/>
  <c r="AN110" i="5"/>
  <c r="C109" i="4"/>
  <c r="C111" i="5"/>
  <c r="D109" i="4"/>
  <c r="E111" i="5"/>
  <c r="H109" i="4"/>
  <c r="K111" i="5"/>
  <c r="L109" i="4"/>
  <c r="Q111" i="5"/>
  <c r="M109" i="4"/>
  <c r="R111" i="5"/>
  <c r="T111" i="5"/>
  <c r="U111" i="5"/>
  <c r="P109" i="4"/>
  <c r="W111" i="5"/>
  <c r="Q109" i="4"/>
  <c r="X111" i="5"/>
  <c r="S109" i="4"/>
  <c r="AA111" i="5"/>
  <c r="AH109" i="4"/>
  <c r="T109" i="4" a="1"/>
  <c r="T109" i="4"/>
  <c r="AC111" i="5"/>
  <c r="U109" i="4" a="1"/>
  <c r="U109" i="4"/>
  <c r="AD111" i="5"/>
  <c r="AF111" i="5"/>
  <c r="AG111" i="5"/>
  <c r="X109" i="4"/>
  <c r="AI111" i="5"/>
  <c r="Y109" i="4"/>
  <c r="AJ111" i="5"/>
  <c r="Z109" i="4"/>
  <c r="AL111" i="5"/>
  <c r="F111" i="5"/>
  <c r="AN111" i="5"/>
  <c r="C110" i="4"/>
  <c r="C112" i="5"/>
  <c r="D110" i="4"/>
  <c r="E112" i="5"/>
  <c r="H110" i="4"/>
  <c r="K112" i="5"/>
  <c r="L110" i="4"/>
  <c r="Q112" i="5"/>
  <c r="M110" i="4"/>
  <c r="R112" i="5"/>
  <c r="T112" i="5"/>
  <c r="U112" i="5"/>
  <c r="P110" i="4"/>
  <c r="W112" i="5"/>
  <c r="Q110" i="4"/>
  <c r="X112" i="5"/>
  <c r="S110" i="4"/>
  <c r="AA112" i="5"/>
  <c r="AH110" i="4"/>
  <c r="T110" i="4" a="1"/>
  <c r="T110" i="4"/>
  <c r="AC112" i="5"/>
  <c r="U110" i="4" a="1"/>
  <c r="U110" i="4"/>
  <c r="AD112" i="5"/>
  <c r="AF112" i="5"/>
  <c r="AG112" i="5"/>
  <c r="X110" i="4"/>
  <c r="AI112" i="5"/>
  <c r="Y110" i="4"/>
  <c r="AJ112" i="5"/>
  <c r="Z110" i="4"/>
  <c r="AL112" i="5"/>
  <c r="F112" i="5"/>
  <c r="AN112" i="5"/>
  <c r="C111" i="4"/>
  <c r="C113" i="5"/>
  <c r="D111" i="4"/>
  <c r="E113" i="5"/>
  <c r="H111" i="4"/>
  <c r="K113" i="5"/>
  <c r="L111" i="4"/>
  <c r="Q113" i="5"/>
  <c r="M111" i="4"/>
  <c r="R113" i="5"/>
  <c r="T113" i="5"/>
  <c r="U113" i="5"/>
  <c r="P111" i="4"/>
  <c r="W113" i="5"/>
  <c r="Q111" i="4"/>
  <c r="X113" i="5"/>
  <c r="S111" i="4"/>
  <c r="AA113" i="5"/>
  <c r="AH111" i="4"/>
  <c r="T111" i="4" a="1"/>
  <c r="T111" i="4"/>
  <c r="AC113" i="5"/>
  <c r="U111" i="4" a="1"/>
  <c r="U111" i="4"/>
  <c r="AD113" i="5"/>
  <c r="AF113" i="5"/>
  <c r="AG113" i="5"/>
  <c r="X111" i="4"/>
  <c r="AI113" i="5"/>
  <c r="Y111" i="4"/>
  <c r="AJ113" i="5"/>
  <c r="Z111" i="4"/>
  <c r="AL113" i="5"/>
  <c r="F113" i="5"/>
  <c r="AN113" i="5"/>
  <c r="C112" i="4"/>
  <c r="C114" i="5"/>
  <c r="D112" i="4"/>
  <c r="E114" i="5"/>
  <c r="K114" i="5"/>
  <c r="L112" i="4"/>
  <c r="Q114" i="5"/>
  <c r="M112" i="4"/>
  <c r="R114" i="5"/>
  <c r="T114" i="5"/>
  <c r="U114" i="5"/>
  <c r="P112" i="4"/>
  <c r="W114" i="5"/>
  <c r="Q112" i="4"/>
  <c r="X114" i="5"/>
  <c r="S112" i="4"/>
  <c r="AA114" i="5"/>
  <c r="AH112" i="4"/>
  <c r="T112" i="4" a="1"/>
  <c r="T112" i="4"/>
  <c r="AC114" i="5"/>
  <c r="U112" i="4" a="1"/>
  <c r="U112" i="4"/>
  <c r="AD114" i="5"/>
  <c r="AF114" i="5"/>
  <c r="AG114" i="5"/>
  <c r="X112" i="4"/>
  <c r="AI114" i="5"/>
  <c r="Y112" i="4"/>
  <c r="AJ114" i="5"/>
  <c r="Z112" i="4"/>
  <c r="AL114" i="5"/>
  <c r="F114" i="5"/>
  <c r="AN114" i="5"/>
  <c r="B113" i="4"/>
  <c r="C113" i="4"/>
  <c r="C115" i="5"/>
  <c r="D113" i="4"/>
  <c r="E115" i="5"/>
  <c r="H21" i="2"/>
  <c r="H113" i="4"/>
  <c r="K115" i="5"/>
  <c r="L113" i="4"/>
  <c r="Q115" i="5"/>
  <c r="M113" i="4"/>
  <c r="R115" i="5"/>
  <c r="T115" i="5"/>
  <c r="U115" i="5"/>
  <c r="P113" i="4"/>
  <c r="W115" i="5"/>
  <c r="Q113" i="4"/>
  <c r="X115" i="5"/>
  <c r="AA115" i="5"/>
  <c r="AH113" i="4"/>
  <c r="T113" i="4" a="1"/>
  <c r="T113" i="4"/>
  <c r="AC115" i="5"/>
  <c r="U113" i="4" a="1"/>
  <c r="U113" i="4"/>
  <c r="AD115" i="5"/>
  <c r="AF115" i="5"/>
  <c r="AG115" i="5"/>
  <c r="X113" i="4"/>
  <c r="AI115" i="5"/>
  <c r="Y113" i="4"/>
  <c r="AJ115" i="5"/>
  <c r="Z113" i="4"/>
  <c r="AL115" i="5"/>
  <c r="F115" i="5"/>
  <c r="AN115" i="5"/>
  <c r="O116" i="5"/>
  <c r="B114" i="4"/>
  <c r="K116" i="5"/>
  <c r="C114" i="4"/>
  <c r="C116" i="5"/>
  <c r="D114" i="4"/>
  <c r="E116" i="5"/>
  <c r="E26" i="2"/>
  <c r="E11" i="2"/>
  <c r="E114" i="4"/>
  <c r="F116" i="5"/>
  <c r="F26" i="2"/>
  <c r="F11" i="2"/>
  <c r="F114" i="4"/>
  <c r="H116" i="5"/>
  <c r="I116" i="5"/>
  <c r="I114" i="4"/>
  <c r="L116" i="5"/>
  <c r="J114" i="4"/>
  <c r="N116" i="5"/>
  <c r="L114" i="4"/>
  <c r="Q116" i="5"/>
  <c r="M114" i="4"/>
  <c r="R116" i="5"/>
  <c r="T116" i="5"/>
  <c r="U116" i="5"/>
  <c r="P114" i="4"/>
  <c r="W116" i="5"/>
  <c r="AA116" i="5"/>
  <c r="AH114" i="4"/>
  <c r="T114" i="4" a="1"/>
  <c r="T114" i="4"/>
  <c r="AC116" i="5"/>
  <c r="U114" i="4" a="1"/>
  <c r="U114" i="4"/>
  <c r="AD116" i="5"/>
  <c r="AF116" i="5"/>
  <c r="AG116" i="5"/>
  <c r="Y114" i="4"/>
  <c r="AJ116" i="5"/>
  <c r="Z114" i="4"/>
  <c r="AL116" i="5"/>
  <c r="X116" i="5"/>
  <c r="AN116" i="5"/>
  <c r="B115" i="4"/>
  <c r="C115" i="4"/>
  <c r="C117" i="5"/>
  <c r="D115" i="4"/>
  <c r="E117" i="5"/>
  <c r="K117" i="5"/>
  <c r="L115" i="4"/>
  <c r="Q117" i="5"/>
  <c r="M115" i="4"/>
  <c r="R117" i="5"/>
  <c r="T117" i="5"/>
  <c r="U117" i="5"/>
  <c r="P115" i="4"/>
  <c r="W117" i="5"/>
  <c r="Q115" i="4"/>
  <c r="X117" i="5"/>
  <c r="S115" i="4"/>
  <c r="AA117" i="5"/>
  <c r="AH115" i="4"/>
  <c r="T115" i="4" a="1"/>
  <c r="T115" i="4"/>
  <c r="AC117" i="5"/>
  <c r="U115" i="4" a="1"/>
  <c r="U115" i="4"/>
  <c r="AD117" i="5"/>
  <c r="AF117" i="5"/>
  <c r="AG117" i="5"/>
  <c r="X115" i="4"/>
  <c r="AI117" i="5"/>
  <c r="F117" i="5"/>
  <c r="H117" i="5"/>
  <c r="I117" i="5"/>
  <c r="AN117" i="5"/>
  <c r="AA118" i="5"/>
  <c r="B116" i="4"/>
  <c r="P116" i="4"/>
  <c r="W118" i="5"/>
  <c r="C116" i="4"/>
  <c r="C118" i="5"/>
  <c r="D116" i="4"/>
  <c r="E118" i="5"/>
  <c r="K118" i="5"/>
  <c r="L116" i="4"/>
  <c r="Q118" i="5"/>
  <c r="M116" i="4"/>
  <c r="R118" i="5"/>
  <c r="T118" i="5"/>
  <c r="U118" i="5"/>
  <c r="Q116" i="4"/>
  <c r="X118" i="5"/>
  <c r="R5" i="2"/>
  <c r="R13" i="2"/>
  <c r="R116" i="4"/>
  <c r="Z118" i="5"/>
  <c r="AH116" i="4"/>
  <c r="T116" i="4" a="1"/>
  <c r="T116" i="4"/>
  <c r="AC118" i="5"/>
  <c r="U116" i="4" a="1"/>
  <c r="U116" i="4"/>
  <c r="AD118" i="5"/>
  <c r="AF118" i="5"/>
  <c r="AG118" i="5"/>
  <c r="Y116" i="4"/>
  <c r="AJ118" i="5"/>
  <c r="Z116" i="4"/>
  <c r="AL118" i="5"/>
  <c r="F118" i="5"/>
  <c r="H118" i="5"/>
  <c r="I118" i="5"/>
  <c r="AN118" i="5"/>
  <c r="C32" i="2"/>
  <c r="C117" i="4"/>
  <c r="C119" i="5"/>
  <c r="D32" i="2"/>
  <c r="D117" i="4"/>
  <c r="E119" i="5"/>
  <c r="E32" i="2"/>
  <c r="E117" i="4"/>
  <c r="F119" i="5"/>
  <c r="F32" i="2"/>
  <c r="F117" i="4"/>
  <c r="H119" i="5"/>
  <c r="I119" i="5"/>
  <c r="K119" i="5"/>
  <c r="L32" i="2"/>
  <c r="L117" i="4"/>
  <c r="Q119" i="5"/>
  <c r="M32" i="2"/>
  <c r="M117" i="4"/>
  <c r="R119" i="5"/>
  <c r="T119" i="5"/>
  <c r="U119" i="5"/>
  <c r="P32" i="2"/>
  <c r="P117" i="4"/>
  <c r="W119" i="5"/>
  <c r="Q32" i="2"/>
  <c r="Q117" i="4"/>
  <c r="X119" i="5"/>
  <c r="AA119" i="5"/>
  <c r="AH117" i="4"/>
  <c r="T117" i="4" a="1"/>
  <c r="T117" i="4"/>
  <c r="AC119" i="5"/>
  <c r="U117" i="4" a="1"/>
  <c r="U117" i="4"/>
  <c r="AD119" i="5"/>
  <c r="AF119" i="5"/>
  <c r="AG119" i="5"/>
  <c r="X32" i="2"/>
  <c r="X117" i="4"/>
  <c r="AI119" i="5"/>
  <c r="Y32" i="2"/>
  <c r="Y117" i="4"/>
  <c r="AJ119" i="5"/>
  <c r="Z32" i="2"/>
  <c r="Z117" i="4"/>
  <c r="AL119" i="5"/>
  <c r="AN119" i="5"/>
  <c r="C118" i="4"/>
  <c r="C120" i="5"/>
  <c r="D118" i="4"/>
  <c r="E120" i="5"/>
  <c r="H118" i="4"/>
  <c r="K120" i="5"/>
  <c r="L118" i="4"/>
  <c r="Q120" i="5"/>
  <c r="M118" i="4"/>
  <c r="R120" i="5"/>
  <c r="T120" i="5"/>
  <c r="U120" i="5"/>
  <c r="W120" i="5"/>
  <c r="Q118" i="4"/>
  <c r="X120" i="5"/>
  <c r="AA120" i="5"/>
  <c r="AH118" i="4"/>
  <c r="T118" i="4" a="1"/>
  <c r="T118" i="4"/>
  <c r="AC120" i="5"/>
  <c r="U118" i="4" a="1"/>
  <c r="U118" i="4"/>
  <c r="AD120" i="5"/>
  <c r="AF120" i="5"/>
  <c r="AG120" i="5"/>
  <c r="Y118" i="4"/>
  <c r="AJ120" i="5"/>
  <c r="Z118" i="4"/>
  <c r="AL120" i="5"/>
  <c r="F120" i="5"/>
  <c r="AN120" i="5"/>
  <c r="B119" i="4"/>
  <c r="C119" i="4"/>
  <c r="C121" i="5"/>
  <c r="D119" i="4"/>
  <c r="E121" i="5"/>
  <c r="H119" i="4"/>
  <c r="K121" i="5"/>
  <c r="L119" i="4"/>
  <c r="Q121" i="5"/>
  <c r="M119" i="4"/>
  <c r="R121" i="5"/>
  <c r="N119" i="4"/>
  <c r="T121" i="5"/>
  <c r="U121" i="5"/>
  <c r="W121" i="5"/>
  <c r="Q119" i="4"/>
  <c r="X121" i="5"/>
  <c r="AA121" i="5"/>
  <c r="AH119" i="4"/>
  <c r="T119" i="4" a="1"/>
  <c r="T119" i="4"/>
  <c r="AC121" i="5"/>
  <c r="U119" i="4" a="1"/>
  <c r="U119" i="4"/>
  <c r="AD121" i="5"/>
  <c r="AF121" i="5"/>
  <c r="AG121" i="5"/>
  <c r="X119" i="4"/>
  <c r="AI121" i="5"/>
  <c r="Y119" i="4"/>
  <c r="AJ121" i="5"/>
  <c r="Z119" i="4"/>
  <c r="AL121" i="5"/>
  <c r="F121" i="5"/>
  <c r="AN121" i="5"/>
  <c r="C120" i="4"/>
  <c r="C122" i="5"/>
  <c r="D120" i="4"/>
  <c r="E122" i="5"/>
  <c r="H120" i="4"/>
  <c r="K122" i="5"/>
  <c r="L120" i="4"/>
  <c r="Q122" i="5"/>
  <c r="M120" i="4"/>
  <c r="R122" i="5"/>
  <c r="T122" i="5"/>
  <c r="U122" i="5"/>
  <c r="P120" i="4"/>
  <c r="W122" i="5"/>
  <c r="Q120" i="4"/>
  <c r="X122" i="5"/>
  <c r="AA122" i="5"/>
  <c r="AH120" i="4"/>
  <c r="T120" i="4" a="1"/>
  <c r="T120" i="4"/>
  <c r="AC122" i="5"/>
  <c r="U120" i="4" a="1"/>
  <c r="U120" i="4"/>
  <c r="AD122" i="5"/>
  <c r="AF122" i="5"/>
  <c r="AG122" i="5"/>
  <c r="Y120" i="4"/>
  <c r="AJ122" i="5"/>
  <c r="Z120" i="4"/>
  <c r="AL122" i="5"/>
  <c r="F122" i="5"/>
  <c r="AN122" i="5"/>
  <c r="O123" i="5"/>
  <c r="H121" i="4"/>
  <c r="K123" i="5"/>
  <c r="C121" i="4"/>
  <c r="C123" i="5"/>
  <c r="D121" i="4"/>
  <c r="E123" i="5"/>
  <c r="E39" i="2"/>
  <c r="E121" i="4"/>
  <c r="F123" i="5"/>
  <c r="F39" i="2"/>
  <c r="F121" i="4"/>
  <c r="H123" i="5"/>
  <c r="I123" i="5"/>
  <c r="I121" i="4"/>
  <c r="L123" i="5"/>
  <c r="J121" i="4"/>
  <c r="N123" i="5"/>
  <c r="L121" i="4"/>
  <c r="Q123" i="5"/>
  <c r="M121" i="4"/>
  <c r="R123" i="5"/>
  <c r="T123" i="5"/>
  <c r="U123" i="5"/>
  <c r="P39" i="2"/>
  <c r="P121" i="4"/>
  <c r="W123" i="5"/>
  <c r="Q121" i="4"/>
  <c r="X123" i="5"/>
  <c r="S39" i="2"/>
  <c r="S121" i="4"/>
  <c r="AA123" i="5"/>
  <c r="AH121" i="4"/>
  <c r="T121" i="4" a="1"/>
  <c r="T121" i="4"/>
  <c r="AC123" i="5"/>
  <c r="U121" i="4" a="1"/>
  <c r="U121" i="4"/>
  <c r="AD123" i="5"/>
  <c r="AF123" i="5"/>
  <c r="AG123" i="5"/>
  <c r="X121" i="4"/>
  <c r="AI123" i="5"/>
  <c r="Y121" i="4"/>
  <c r="AJ123" i="5"/>
  <c r="Z121" i="4"/>
  <c r="AL123" i="5"/>
  <c r="AN123" i="5"/>
  <c r="C122" i="4"/>
  <c r="C124" i="5"/>
  <c r="D122" i="4"/>
  <c r="E124" i="5"/>
  <c r="H122" i="4"/>
  <c r="K124" i="5"/>
  <c r="L122" i="4"/>
  <c r="Q124" i="5"/>
  <c r="M122" i="4"/>
  <c r="R124" i="5"/>
  <c r="T124" i="5"/>
  <c r="U124" i="5"/>
  <c r="P122" i="4"/>
  <c r="W124" i="5"/>
  <c r="Q122" i="4"/>
  <c r="X124" i="5"/>
  <c r="AA124" i="5"/>
  <c r="AH122" i="4"/>
  <c r="T122" i="4" a="1"/>
  <c r="T122" i="4"/>
  <c r="AC124" i="5"/>
  <c r="U122" i="4" a="1"/>
  <c r="U122" i="4"/>
  <c r="AD124" i="5"/>
  <c r="AF124" i="5"/>
  <c r="AG124" i="5"/>
  <c r="X122" i="4"/>
  <c r="AI124" i="5"/>
  <c r="Y122" i="4"/>
  <c r="AJ124" i="5"/>
  <c r="Z122" i="4"/>
  <c r="AL124" i="5"/>
  <c r="F124" i="5"/>
  <c r="AN124" i="5"/>
  <c r="B123" i="4"/>
  <c r="C123" i="4"/>
  <c r="C125" i="5"/>
  <c r="D123" i="4"/>
  <c r="E125" i="5"/>
  <c r="H123" i="4"/>
  <c r="K125" i="5"/>
  <c r="L123" i="4"/>
  <c r="Q125" i="5"/>
  <c r="M123" i="4"/>
  <c r="R125" i="5"/>
  <c r="T125" i="5"/>
  <c r="U125" i="5"/>
  <c r="P123" i="4"/>
  <c r="W125" i="5"/>
  <c r="Q123" i="4"/>
  <c r="X125" i="5"/>
  <c r="S123" i="4"/>
  <c r="AA125" i="5"/>
  <c r="AH123" i="4"/>
  <c r="T123" i="4" a="1"/>
  <c r="T123" i="4"/>
  <c r="AC125" i="5"/>
  <c r="U123" i="4" a="1"/>
  <c r="U123" i="4"/>
  <c r="AD125" i="5"/>
  <c r="AF125" i="5"/>
  <c r="AG125" i="5"/>
  <c r="X123" i="4"/>
  <c r="AI125" i="5"/>
  <c r="Y123" i="4"/>
  <c r="AJ125" i="5"/>
  <c r="Z123" i="4"/>
  <c r="AL125" i="5"/>
  <c r="F125" i="5"/>
  <c r="AN125" i="5"/>
  <c r="C124" i="4"/>
  <c r="C126" i="5"/>
  <c r="D124" i="4"/>
  <c r="E126" i="5"/>
  <c r="H124" i="4"/>
  <c r="K126" i="5"/>
  <c r="L124" i="4"/>
  <c r="Q126" i="5"/>
  <c r="M124" i="4"/>
  <c r="R126" i="5"/>
  <c r="T126" i="5"/>
  <c r="U126" i="5"/>
  <c r="P124" i="4"/>
  <c r="W126" i="5"/>
  <c r="Q124" i="4"/>
  <c r="X126" i="5"/>
  <c r="S124" i="4"/>
  <c r="AA126" i="5"/>
  <c r="AH124" i="4"/>
  <c r="T124" i="4" a="1"/>
  <c r="T124" i="4"/>
  <c r="AC126" i="5"/>
  <c r="U124" i="4" a="1"/>
  <c r="U124" i="4"/>
  <c r="AD126" i="5"/>
  <c r="AF126" i="5"/>
  <c r="AG126" i="5"/>
  <c r="X124" i="4"/>
  <c r="AI126" i="5"/>
  <c r="Y124" i="4"/>
  <c r="AJ126" i="5"/>
  <c r="Z124" i="4"/>
  <c r="AL126" i="5"/>
  <c r="F126" i="5"/>
  <c r="AN126" i="5"/>
  <c r="C125" i="4"/>
  <c r="C127" i="5"/>
  <c r="D125" i="4"/>
  <c r="E127" i="5"/>
  <c r="K127" i="5"/>
  <c r="L125" i="4"/>
  <c r="Q127" i="5"/>
  <c r="M125" i="4"/>
  <c r="R127" i="5"/>
  <c r="T127" i="5"/>
  <c r="U127" i="5"/>
  <c r="P125" i="4"/>
  <c r="W127" i="5"/>
  <c r="Q125" i="4"/>
  <c r="X127" i="5"/>
  <c r="AA127" i="5"/>
  <c r="AH125" i="4"/>
  <c r="T125" i="4" a="1"/>
  <c r="T125" i="4"/>
  <c r="AC127" i="5"/>
  <c r="U125" i="4" a="1"/>
  <c r="U125" i="4"/>
  <c r="AD127" i="5"/>
  <c r="AF127" i="5"/>
  <c r="AG127" i="5"/>
  <c r="X125" i="4"/>
  <c r="AI127" i="5"/>
  <c r="Y125" i="4"/>
  <c r="AJ127" i="5"/>
  <c r="Z125" i="4"/>
  <c r="AL127" i="5"/>
  <c r="F127" i="5"/>
  <c r="AN127" i="5"/>
  <c r="B126" i="4"/>
  <c r="C126" i="4"/>
  <c r="C128" i="5"/>
  <c r="D126" i="4"/>
  <c r="E128" i="5"/>
  <c r="E21" i="2"/>
  <c r="E126" i="4"/>
  <c r="F128" i="5"/>
  <c r="F21" i="2"/>
  <c r="F126" i="4"/>
  <c r="H128" i="5"/>
  <c r="I128" i="5"/>
  <c r="H126" i="4"/>
  <c r="K128" i="5"/>
  <c r="L126" i="4"/>
  <c r="Q128" i="5"/>
  <c r="M126" i="4"/>
  <c r="R128" i="5"/>
  <c r="T128" i="5"/>
  <c r="U128" i="5"/>
  <c r="P126" i="4"/>
  <c r="W128" i="5"/>
  <c r="Q126" i="4"/>
  <c r="X128" i="5"/>
  <c r="S126" i="4"/>
  <c r="AA128" i="5"/>
  <c r="AH126" i="4"/>
  <c r="T126" i="4" a="1"/>
  <c r="T126" i="4"/>
  <c r="AC128" i="5"/>
  <c r="U126" i="4" a="1"/>
  <c r="U126" i="4"/>
  <c r="AD128" i="5"/>
  <c r="AF128" i="5"/>
  <c r="AG128" i="5"/>
  <c r="X126" i="4"/>
  <c r="AI128" i="5"/>
  <c r="Y126" i="4"/>
  <c r="AJ128" i="5"/>
  <c r="Z126" i="4"/>
  <c r="AL128" i="5"/>
  <c r="AN128" i="5"/>
  <c r="B127" i="4"/>
  <c r="S127" i="4"/>
  <c r="AA129" i="5"/>
  <c r="P127" i="4"/>
  <c r="W129" i="5"/>
  <c r="C127" i="4"/>
  <c r="C129" i="5"/>
  <c r="D127" i="4"/>
  <c r="E129" i="5"/>
  <c r="E25" i="2"/>
  <c r="E127" i="4"/>
  <c r="F129" i="5"/>
  <c r="F25" i="2"/>
  <c r="F127" i="4"/>
  <c r="H129" i="5"/>
  <c r="I129" i="5"/>
  <c r="K129" i="5"/>
  <c r="L127" i="4"/>
  <c r="Q129" i="5"/>
  <c r="U129" i="5"/>
  <c r="Q127" i="4"/>
  <c r="X129" i="5"/>
  <c r="R127" i="4"/>
  <c r="Z129" i="5"/>
  <c r="AH127" i="4"/>
  <c r="T127" i="4" a="1"/>
  <c r="T127" i="4"/>
  <c r="AC129" i="5"/>
  <c r="U127" i="4" a="1"/>
  <c r="U127" i="4"/>
  <c r="AD129" i="5"/>
  <c r="AF129" i="5"/>
  <c r="AG129" i="5"/>
  <c r="X127" i="4"/>
  <c r="AI129" i="5"/>
  <c r="Y127" i="4"/>
  <c r="AJ129" i="5"/>
  <c r="Z127" i="4"/>
  <c r="AL129" i="5"/>
  <c r="R129" i="5"/>
  <c r="T129" i="5"/>
  <c r="AN129" i="5"/>
  <c r="B128" i="4"/>
  <c r="C128" i="4"/>
  <c r="C130" i="5"/>
  <c r="D128" i="4"/>
  <c r="E130" i="5"/>
  <c r="E2" i="2"/>
  <c r="E128" i="4"/>
  <c r="F130" i="5"/>
  <c r="F2" i="2"/>
  <c r="F128" i="4"/>
  <c r="H130" i="5"/>
  <c r="I130" i="5"/>
  <c r="H2" i="2"/>
  <c r="H128" i="4"/>
  <c r="K130" i="5"/>
  <c r="L128" i="4"/>
  <c r="Q130" i="5"/>
  <c r="M128" i="4"/>
  <c r="R130" i="5"/>
  <c r="T130" i="5"/>
  <c r="U130" i="5"/>
  <c r="P128" i="4"/>
  <c r="W130" i="5"/>
  <c r="Q128" i="4"/>
  <c r="X130" i="5"/>
  <c r="S128" i="4"/>
  <c r="AA130" i="5"/>
  <c r="AH128" i="4"/>
  <c r="T128" i="4" a="1"/>
  <c r="T128" i="4"/>
  <c r="AC130" i="5"/>
  <c r="U128" i="4" a="1"/>
  <c r="U128" i="4"/>
  <c r="AD130" i="5"/>
  <c r="AF130" i="5"/>
  <c r="AG130" i="5"/>
  <c r="X128" i="4"/>
  <c r="AI130" i="5"/>
  <c r="Y128" i="4"/>
  <c r="AJ130" i="5"/>
  <c r="Z128" i="4"/>
  <c r="AL130" i="5"/>
  <c r="Z130" i="5"/>
  <c r="AN130" i="5"/>
  <c r="C129" i="4"/>
  <c r="C131" i="5"/>
  <c r="D129" i="4"/>
  <c r="E131" i="5"/>
  <c r="E129" i="4"/>
  <c r="F131" i="5"/>
  <c r="F129" i="4"/>
  <c r="H131" i="5"/>
  <c r="I131" i="5"/>
  <c r="H129" i="4"/>
  <c r="K131" i="5"/>
  <c r="L129" i="4"/>
  <c r="Q131" i="5"/>
  <c r="M129" i="4"/>
  <c r="R131" i="5"/>
  <c r="T131" i="5"/>
  <c r="U131" i="5"/>
  <c r="P129" i="4"/>
  <c r="W131" i="5"/>
  <c r="Q129" i="4"/>
  <c r="X131" i="5"/>
  <c r="S129" i="4"/>
  <c r="AA131" i="5"/>
  <c r="AH129" i="4"/>
  <c r="T129" i="4" a="1"/>
  <c r="T129" i="4"/>
  <c r="AC131" i="5"/>
  <c r="U129" i="4" a="1"/>
  <c r="U129" i="4"/>
  <c r="AD131" i="5"/>
  <c r="AF131" i="5"/>
  <c r="AG131" i="5"/>
  <c r="X129" i="4"/>
  <c r="AI131" i="5"/>
  <c r="Y129" i="4"/>
  <c r="AJ131" i="5"/>
  <c r="Z129" i="4"/>
  <c r="AL131" i="5"/>
  <c r="Z131" i="5"/>
  <c r="AN131" i="5"/>
  <c r="B130" i="4"/>
  <c r="C130" i="4"/>
  <c r="C132" i="5"/>
  <c r="D130" i="4"/>
  <c r="E132" i="5"/>
  <c r="E130" i="4"/>
  <c r="F132" i="5"/>
  <c r="F130" i="4"/>
  <c r="H132" i="5"/>
  <c r="I132" i="5"/>
  <c r="K132" i="5"/>
  <c r="L130" i="4"/>
  <c r="Q132" i="5"/>
  <c r="M130" i="4"/>
  <c r="R132" i="5"/>
  <c r="T132" i="5"/>
  <c r="U132" i="5"/>
  <c r="P130" i="4"/>
  <c r="W132" i="5"/>
  <c r="Q130" i="4"/>
  <c r="X132" i="5"/>
  <c r="S130" i="4"/>
  <c r="AA132" i="5"/>
  <c r="AH130" i="4"/>
  <c r="T130" i="4" a="1"/>
  <c r="T130" i="4"/>
  <c r="AC132" i="5"/>
  <c r="U130" i="4" a="1"/>
  <c r="U130" i="4"/>
  <c r="AD132" i="5"/>
  <c r="AF132" i="5"/>
  <c r="AG132" i="5"/>
  <c r="X130" i="4"/>
  <c r="AI132" i="5"/>
  <c r="Y130" i="4"/>
  <c r="AJ132" i="5"/>
  <c r="Z130" i="4"/>
  <c r="AL132" i="5"/>
  <c r="Z132" i="5"/>
  <c r="AN132" i="5"/>
  <c r="AG261" i="4"/>
  <c r="AG181" i="4"/>
  <c r="AG250" i="4"/>
  <c r="AG183" i="4"/>
  <c r="AG185" i="4"/>
  <c r="AG182" i="4"/>
  <c r="AG172" i="4"/>
  <c r="AG171" i="4"/>
  <c r="AG184" i="4"/>
  <c r="AG179" i="4"/>
  <c r="AG217" i="4"/>
  <c r="AG218" i="4"/>
  <c r="AG238" i="4"/>
  <c r="AG169" i="4"/>
  <c r="AG76" i="4"/>
  <c r="AG123" i="4"/>
  <c r="AG138" i="4"/>
  <c r="AG126" i="4"/>
  <c r="AG87" i="4"/>
  <c r="AG262" i="4"/>
  <c r="AG10" i="4"/>
  <c r="AG11" i="4"/>
  <c r="AG52" i="4"/>
  <c r="AG90" i="4"/>
  <c r="AG82" i="4"/>
  <c r="AG84" i="4"/>
  <c r="AG249" i="4"/>
  <c r="AG259" i="4"/>
  <c r="AG257" i="4"/>
  <c r="AG263" i="4"/>
  <c r="AG264" i="4"/>
  <c r="AG79" i="4"/>
  <c r="AG81" i="4"/>
  <c r="AG256" i="4"/>
  <c r="AG258" i="4"/>
  <c r="AG92" i="4"/>
  <c r="AG91" i="4"/>
  <c r="AG104" i="4"/>
  <c r="AG105" i="4"/>
  <c r="AG106" i="4"/>
  <c r="AG220" i="4"/>
  <c r="AG137" i="4"/>
  <c r="AG180" i="4"/>
  <c r="AG295" i="4"/>
  <c r="AG80" i="4"/>
  <c r="AG83" i="4"/>
  <c r="AG93" i="4"/>
  <c r="AG75" i="4"/>
  <c r="AG115" i="4"/>
  <c r="AG178" i="4"/>
  <c r="AG102" i="4"/>
  <c r="AG144" i="4"/>
  <c r="AG163" i="4"/>
  <c r="AG133" i="4"/>
  <c r="AG230" i="4"/>
  <c r="AG162" i="4"/>
  <c r="AG100" i="4"/>
  <c r="AG164" i="4"/>
  <c r="AG107" i="4"/>
  <c r="AG168" i="4"/>
  <c r="AG247" i="4"/>
  <c r="AG197" i="4"/>
  <c r="AG170" i="4"/>
  <c r="AG101" i="4"/>
  <c r="AG206" i="4"/>
  <c r="AG166" i="4"/>
  <c r="AG208" i="4"/>
  <c r="AG129" i="4"/>
  <c r="AG143" i="4"/>
  <c r="AG157" i="4"/>
  <c r="AG158" i="4"/>
  <c r="AG207" i="4"/>
  <c r="AG212" i="4"/>
  <c r="AG227" i="4"/>
  <c r="AG265" i="4"/>
  <c r="AG216" i="4"/>
  <c r="AG13" i="4"/>
  <c r="AG85" i="4"/>
  <c r="AG156" i="4"/>
  <c r="AG121" i="4"/>
  <c r="AG211" i="4"/>
  <c r="AG30" i="4"/>
  <c r="AG125" i="4"/>
  <c r="AG9" i="4"/>
  <c r="AG70" i="4"/>
  <c r="AG117" i="4"/>
  <c r="AG12" i="4"/>
  <c r="AG15" i="4"/>
  <c r="AG25" i="4"/>
  <c r="AG237" i="4"/>
  <c r="AG167" i="4"/>
  <c r="AG165" i="4"/>
  <c r="AG130" i="4"/>
  <c r="AG210" i="4"/>
  <c r="AG136" i="4"/>
  <c r="AG131" i="4"/>
  <c r="AG146" i="4"/>
  <c r="AG26" i="4"/>
  <c r="AG73" i="4"/>
  <c r="AG128" i="4"/>
  <c r="AG267" i="4"/>
  <c r="AG86" i="4"/>
  <c r="AG228" i="4"/>
  <c r="AG153" i="4"/>
  <c r="AG140" i="4"/>
  <c r="AG59" i="4"/>
  <c r="AG71" i="4"/>
  <c r="AG236" i="4"/>
  <c r="AG108" i="4"/>
  <c r="AG33" i="4"/>
  <c r="AG209" i="4"/>
  <c r="AG255" i="4"/>
  <c r="AG213" i="4"/>
  <c r="AG215" i="4"/>
  <c r="AG214" i="4"/>
  <c r="AG225" i="4"/>
  <c r="AG72" i="4"/>
  <c r="AG199" i="4"/>
  <c r="AG200" i="4"/>
  <c r="AG235" i="4"/>
  <c r="AG282" i="4"/>
  <c r="AG150" i="4"/>
  <c r="AG201" i="4"/>
  <c r="AG203" i="4"/>
  <c r="AG232" i="4"/>
  <c r="AG202" i="4"/>
  <c r="AG233" i="4"/>
  <c r="AG204" i="4"/>
  <c r="AG281" i="4"/>
  <c r="AG176" i="4"/>
  <c r="AG14" i="4"/>
  <c r="AG124" i="4"/>
  <c r="AG139" i="4"/>
  <c r="AG31" i="4"/>
  <c r="AG231" i="4"/>
  <c r="AG28" i="4"/>
  <c r="AG27" i="4"/>
  <c r="AG109" i="4"/>
  <c r="AG21" i="4"/>
  <c r="AG22" i="4"/>
  <c r="AG20" i="4"/>
  <c r="AG24" i="4"/>
  <c r="AG23" i="4"/>
  <c r="AG286" i="4"/>
  <c r="AG190" i="4"/>
  <c r="AG98" i="4"/>
  <c r="AG99" i="4"/>
  <c r="AG141" i="4"/>
  <c r="AG188" i="4"/>
  <c r="AG97" i="4"/>
  <c r="AG112" i="4"/>
  <c r="AG187" i="4"/>
  <c r="AG110" i="4"/>
  <c r="AG234" i="4"/>
  <c r="AG189" i="4"/>
  <c r="AG287" i="4"/>
  <c r="AG223" i="4"/>
  <c r="AG50" i="4"/>
  <c r="AG160" i="4"/>
  <c r="AG193" i="4"/>
  <c r="AG278" i="4"/>
  <c r="AG280" i="4"/>
  <c r="AG285" i="4"/>
  <c r="AG289" i="4"/>
  <c r="AG292" i="4"/>
  <c r="AG293" i="4"/>
  <c r="AG240" i="4"/>
  <c r="AG242" i="4"/>
  <c r="AG51" i="4"/>
  <c r="AG175" i="4"/>
  <c r="AG16" i="4"/>
  <c r="AG17" i="4"/>
  <c r="AG18" i="4"/>
  <c r="AG290" i="4"/>
  <c r="AG19" i="4"/>
  <c r="AG279" i="4"/>
  <c r="AG3" i="4"/>
  <c r="AG277" i="4"/>
  <c r="AG8" i="4"/>
  <c r="AG174" i="4"/>
  <c r="AG48" i="4"/>
  <c r="AG226" i="4"/>
  <c r="AG155" i="4"/>
  <c r="AG191" i="4"/>
  <c r="AG135" i="4"/>
  <c r="AG177" i="4"/>
  <c r="AG266" i="4"/>
  <c r="AG74" i="4"/>
  <c r="AG283" i="4"/>
  <c r="AG147" i="4"/>
  <c r="AG127" i="4"/>
  <c r="AG186" i="4"/>
  <c r="AG270" i="4"/>
  <c r="AG284" i="4"/>
  <c r="AG29" i="4"/>
  <c r="AG173" i="4"/>
  <c r="AG49" i="4"/>
  <c r="AG89" i="4"/>
  <c r="AG2" i="4"/>
  <c r="AG154" i="4"/>
  <c r="AG241" i="4"/>
  <c r="AG294" i="4"/>
  <c r="AG161" i="4"/>
  <c r="AG229" i="4"/>
  <c r="AG32" i="4"/>
  <c r="AG272" i="4"/>
  <c r="AG243" i="4"/>
  <c r="AG245" i="4"/>
  <c r="AG244" i="4"/>
  <c r="AG239" i="4"/>
  <c r="AG198" i="4"/>
  <c r="AG205" i="4"/>
  <c r="AG271" i="4"/>
  <c r="AG114" i="4"/>
  <c r="AG132" i="4"/>
  <c r="AG122" i="4"/>
  <c r="AG269" i="4"/>
  <c r="AG145" i="4"/>
  <c r="AG152" i="4"/>
  <c r="AG142" i="4"/>
  <c r="AG5" i="4"/>
  <c r="AG116" i="4"/>
  <c r="AG219" i="4"/>
  <c r="AG192" i="4"/>
  <c r="AG248" i="4"/>
  <c r="AG44" i="4"/>
  <c r="AG194" i="4"/>
  <c r="AG222" i="4"/>
  <c r="AG88" i="4"/>
  <c r="AG274" i="4"/>
  <c r="AG149" i="4"/>
  <c r="AG134" i="4"/>
  <c r="AG96" i="4"/>
  <c r="AG195" i="4"/>
  <c r="AG275" i="4"/>
  <c r="AG273" i="4"/>
  <c r="AG103" i="4"/>
  <c r="AG118" i="4"/>
  <c r="AG68" i="4"/>
  <c r="AG34" i="4"/>
  <c r="AG246" i="4"/>
  <c r="AG291" i="4"/>
  <c r="AG94" i="4"/>
  <c r="AG148" i="4"/>
  <c r="AG46" i="4"/>
  <c r="AG7" i="4"/>
  <c r="AG119" i="4"/>
  <c r="AG35" i="4"/>
  <c r="AG67" i="4"/>
  <c r="AG6" i="4"/>
  <c r="AG45" i="4"/>
  <c r="AG224" i="4"/>
  <c r="AG60" i="4"/>
  <c r="AG47" i="4"/>
  <c r="AG69" i="4"/>
  <c r="AG41" i="4"/>
  <c r="AG61" i="4"/>
  <c r="AG196" i="4"/>
  <c r="AG221" i="4"/>
  <c r="AG120" i="4"/>
  <c r="AG62" i="4"/>
  <c r="AG151" i="4"/>
  <c r="AG43" i="4"/>
  <c r="AG66" i="4"/>
  <c r="AG4" i="4"/>
  <c r="AG38" i="4"/>
  <c r="AG78" i="4"/>
  <c r="AG37" i="4"/>
  <c r="AG42" i="4"/>
  <c r="AG252" i="4"/>
  <c r="AG39" i="4"/>
  <c r="AG268" i="4"/>
  <c r="AG40" i="4"/>
  <c r="AG111" i="4"/>
  <c r="AG276" i="4"/>
  <c r="AG254" i="4"/>
  <c r="AG260" i="4"/>
  <c r="AG36" i="4"/>
  <c r="AG288" i="4"/>
  <c r="AG253" i="4"/>
  <c r="AG65" i="4"/>
  <c r="AG53" i="4"/>
  <c r="AG63" i="4"/>
  <c r="AG251" i="4"/>
  <c r="AG64" i="4"/>
  <c r="AG54" i="4"/>
  <c r="AG95" i="4"/>
  <c r="AG57" i="4"/>
  <c r="AG113" i="4"/>
  <c r="AG159" i="4"/>
  <c r="AG58" i="4"/>
  <c r="AG56" i="4"/>
  <c r="AG55" i="4"/>
  <c r="AG299" i="4"/>
  <c r="AG298" i="4"/>
  <c r="AG296" i="4"/>
  <c r="AG297" i="4"/>
  <c r="AG301" i="4"/>
  <c r="AG302" i="4"/>
  <c r="AG303" i="4"/>
  <c r="AG304" i="4"/>
  <c r="AG300" i="4"/>
  <c r="AG305" i="4"/>
  <c r="AG308" i="4"/>
  <c r="AG309" i="4"/>
  <c r="AG310" i="4"/>
  <c r="AG307" i="4"/>
  <c r="AG306" i="4"/>
  <c r="AG328" i="4"/>
  <c r="AG343" i="4"/>
  <c r="AG341" i="4"/>
  <c r="AG342" i="4"/>
  <c r="AG344" i="4"/>
  <c r="AG332" i="4"/>
  <c r="AG339" i="4"/>
  <c r="AG331" i="4"/>
  <c r="AG329" i="4"/>
  <c r="AG333" i="4"/>
  <c r="AG326" i="4"/>
  <c r="AG334" i="4"/>
  <c r="AG317" i="4"/>
  <c r="AG335" i="4"/>
  <c r="AG336" i="4"/>
  <c r="AG337" i="4"/>
  <c r="AG338" i="4"/>
  <c r="AG319" i="4"/>
  <c r="AG320" i="4"/>
  <c r="AG321" i="4"/>
  <c r="AG322" i="4"/>
  <c r="AG325" i="4"/>
  <c r="AG323" i="4"/>
  <c r="AG327" i="4"/>
  <c r="AG340" i="4"/>
  <c r="AG330" i="4"/>
  <c r="AG324" i="4"/>
  <c r="AG318" i="4"/>
  <c r="AG315" i="4"/>
  <c r="AG316" i="4"/>
  <c r="AG314" i="4"/>
  <c r="AG312" i="4"/>
  <c r="AG313" i="4"/>
  <c r="AG354" i="4"/>
  <c r="AG355" i="4"/>
  <c r="AG349" i="4"/>
  <c r="AG350" i="4"/>
  <c r="AG364" i="4"/>
  <c r="AG365" i="4"/>
  <c r="AG366" i="4"/>
  <c r="AG359" i="4"/>
  <c r="AG345" i="4"/>
  <c r="AG356" i="4"/>
  <c r="AG357" i="4"/>
  <c r="AG358" i="4"/>
  <c r="AG360" i="4"/>
  <c r="AG361" i="4"/>
  <c r="AG362" i="4"/>
  <c r="AG346" i="4"/>
  <c r="AG347" i="4"/>
  <c r="AG351" i="4"/>
  <c r="AG352" i="4"/>
  <c r="AG353" i="4"/>
  <c r="AG363" i="4"/>
  <c r="AG348" i="4"/>
  <c r="AG372" i="4"/>
  <c r="AG368" i="4"/>
  <c r="AG376" i="4"/>
  <c r="AG367" i="4"/>
  <c r="AG369" i="4"/>
  <c r="AG371" i="4"/>
  <c r="AG374" i="4"/>
  <c r="AG370" i="4"/>
  <c r="AG373" i="4"/>
  <c r="AG377" i="4"/>
  <c r="AG375" i="4"/>
  <c r="AG379" i="4"/>
  <c r="AG380" i="4"/>
  <c r="AG381" i="4"/>
  <c r="AG382" i="4"/>
  <c r="AG378" i="4"/>
  <c r="AG386" i="4"/>
  <c r="AG385" i="4"/>
  <c r="AG400" i="4"/>
  <c r="AG384" i="4"/>
  <c r="AG403" i="4"/>
  <c r="AG392" i="4"/>
  <c r="AG387" i="4"/>
  <c r="AG388" i="4"/>
  <c r="AG389" i="4"/>
  <c r="AG390" i="4"/>
  <c r="AG396" i="4"/>
  <c r="AG398" i="4"/>
  <c r="AG399" i="4"/>
  <c r="AG394" i="4"/>
  <c r="AG395" i="4"/>
  <c r="AG402" i="4"/>
  <c r="AG405" i="4"/>
  <c r="AG406" i="4"/>
  <c r="AG407" i="4"/>
  <c r="AG391" i="4"/>
  <c r="AG393" i="4"/>
  <c r="AG401" i="4"/>
  <c r="AG383" i="4"/>
  <c r="AG404" i="4"/>
  <c r="AG397" i="4"/>
  <c r="AG77" i="4"/>
  <c r="O134" i="5"/>
  <c r="K134" i="5"/>
  <c r="B132" i="4"/>
  <c r="C132" i="4"/>
  <c r="C134" i="5"/>
  <c r="D132" i="4"/>
  <c r="E134" i="5"/>
  <c r="I36" i="2"/>
  <c r="I132" i="4"/>
  <c r="L134" i="5"/>
  <c r="J36" i="2"/>
  <c r="J132" i="4"/>
  <c r="N134" i="5"/>
  <c r="L132" i="4"/>
  <c r="Q134" i="5"/>
  <c r="M132" i="4"/>
  <c r="R134" i="5"/>
  <c r="T134" i="5"/>
  <c r="U134" i="5"/>
  <c r="P132" i="4"/>
  <c r="W134" i="5"/>
  <c r="Q132" i="4"/>
  <c r="X134" i="5"/>
  <c r="AA134" i="5"/>
  <c r="AH132" i="4"/>
  <c r="T132" i="4" a="1"/>
  <c r="T132" i="4"/>
  <c r="AC134" i="5"/>
  <c r="U132" i="4" a="1"/>
  <c r="U132" i="4"/>
  <c r="AD134" i="5"/>
  <c r="AF134" i="5"/>
  <c r="AG134" i="5"/>
  <c r="X132" i="4"/>
  <c r="AI134" i="5"/>
  <c r="Y132" i="4"/>
  <c r="AJ134" i="5"/>
  <c r="Z132" i="4"/>
  <c r="AL134" i="5"/>
  <c r="Z134" i="5"/>
  <c r="AN134" i="5"/>
  <c r="C133" i="4"/>
  <c r="C135" i="5"/>
  <c r="D133" i="4"/>
  <c r="E135" i="5"/>
  <c r="H133" i="4"/>
  <c r="K135" i="5"/>
  <c r="L133" i="4"/>
  <c r="Q135" i="5"/>
  <c r="M133" i="4"/>
  <c r="R135" i="5"/>
  <c r="T135" i="5"/>
  <c r="U135" i="5"/>
  <c r="P133" i="4"/>
  <c r="W135" i="5"/>
  <c r="Q133" i="4"/>
  <c r="X135" i="5"/>
  <c r="S133" i="4"/>
  <c r="AA135" i="5"/>
  <c r="AH133" i="4"/>
  <c r="T133" i="4" a="1"/>
  <c r="T133" i="4"/>
  <c r="AC135" i="5"/>
  <c r="U133" i="4" a="1"/>
  <c r="U133" i="4"/>
  <c r="AD135" i="5"/>
  <c r="AF135" i="5"/>
  <c r="AG135" i="5"/>
  <c r="X133" i="4"/>
  <c r="AI135" i="5"/>
  <c r="Y133" i="4"/>
  <c r="AJ135" i="5"/>
  <c r="Z133" i="4"/>
  <c r="AL135" i="5"/>
  <c r="L135" i="5"/>
  <c r="N135" i="5"/>
  <c r="O135" i="5"/>
  <c r="Z135" i="5"/>
  <c r="AN135" i="5"/>
  <c r="O136" i="5"/>
  <c r="B134" i="4"/>
  <c r="H134" i="4"/>
  <c r="K136" i="5"/>
  <c r="C134" i="4"/>
  <c r="C136" i="5"/>
  <c r="D134" i="4"/>
  <c r="E136" i="5"/>
  <c r="I134" i="4"/>
  <c r="L136" i="5"/>
  <c r="J134" i="4"/>
  <c r="N136" i="5"/>
  <c r="L134" i="4"/>
  <c r="Q136" i="5"/>
  <c r="M134" i="4"/>
  <c r="R136" i="5"/>
  <c r="T136" i="5"/>
  <c r="U136" i="5"/>
  <c r="P134" i="4"/>
  <c r="W136" i="5"/>
  <c r="Q134" i="4"/>
  <c r="X136" i="5"/>
  <c r="AA136" i="5"/>
  <c r="AH134" i="4"/>
  <c r="T134" i="4" a="1"/>
  <c r="T134" i="4"/>
  <c r="AC136" i="5"/>
  <c r="U134" i="4" a="1"/>
  <c r="U134" i="4"/>
  <c r="AD136" i="5"/>
  <c r="AF136" i="5"/>
  <c r="AG136" i="5"/>
  <c r="X134" i="4"/>
  <c r="AI136" i="5"/>
  <c r="Y134" i="4"/>
  <c r="AJ136" i="5"/>
  <c r="Z134" i="4"/>
  <c r="AL136" i="5"/>
  <c r="Z136" i="5"/>
  <c r="AN136" i="5"/>
  <c r="B135" i="4"/>
  <c r="S135" i="4"/>
  <c r="AA137" i="5"/>
  <c r="P135" i="4"/>
  <c r="W137" i="5"/>
  <c r="C135" i="4"/>
  <c r="C137" i="5"/>
  <c r="D135" i="4"/>
  <c r="E137" i="5"/>
  <c r="K137" i="5"/>
  <c r="L135" i="4"/>
  <c r="Q137" i="5"/>
  <c r="U137" i="5"/>
  <c r="Q135" i="4"/>
  <c r="X137" i="5"/>
  <c r="R24" i="2"/>
  <c r="R135" i="4"/>
  <c r="Z137" i="5"/>
  <c r="AH135" i="4"/>
  <c r="T135" i="4" a="1"/>
  <c r="T135" i="4"/>
  <c r="AC137" i="5"/>
  <c r="U135" i="4" a="1"/>
  <c r="U135" i="4"/>
  <c r="AD137" i="5"/>
  <c r="AF137" i="5"/>
  <c r="AG137" i="5"/>
  <c r="X135" i="4"/>
  <c r="AI137" i="5"/>
  <c r="Y135" i="4"/>
  <c r="AJ137" i="5"/>
  <c r="Z135" i="4"/>
  <c r="AL137" i="5"/>
  <c r="L137" i="5"/>
  <c r="N137" i="5"/>
  <c r="O137" i="5"/>
  <c r="R137" i="5"/>
  <c r="T137" i="5"/>
  <c r="AN137" i="5"/>
  <c r="C28" i="2"/>
  <c r="C136" i="4"/>
  <c r="C138" i="5"/>
  <c r="D28" i="2"/>
  <c r="D136" i="4"/>
  <c r="E138" i="5"/>
  <c r="H32" i="2"/>
  <c r="H28" i="2"/>
  <c r="H136" i="4"/>
  <c r="K138" i="5"/>
  <c r="L28" i="2"/>
  <c r="L136" i="4"/>
  <c r="Q138" i="5"/>
  <c r="M28" i="2"/>
  <c r="M136" i="4"/>
  <c r="R138" i="5"/>
  <c r="T138" i="5"/>
  <c r="U138" i="5"/>
  <c r="P28" i="2"/>
  <c r="P136" i="4"/>
  <c r="W138" i="5"/>
  <c r="Q28" i="2"/>
  <c r="Q136" i="4"/>
  <c r="X138" i="5"/>
  <c r="S32" i="2"/>
  <c r="S28" i="2"/>
  <c r="S136" i="4"/>
  <c r="AA138" i="5"/>
  <c r="AH136" i="4"/>
  <c r="T136" i="4" a="1"/>
  <c r="T136" i="4"/>
  <c r="AC138" i="5"/>
  <c r="U136" i="4" a="1"/>
  <c r="U136" i="4"/>
  <c r="AD138" i="5"/>
  <c r="AF138" i="5"/>
  <c r="AG138" i="5"/>
  <c r="X28" i="2"/>
  <c r="X136" i="4"/>
  <c r="AI138" i="5"/>
  <c r="Y28" i="2"/>
  <c r="Y136" i="4"/>
  <c r="AJ138" i="5"/>
  <c r="Z28" i="2"/>
  <c r="Z136" i="4"/>
  <c r="AL138" i="5"/>
  <c r="L138" i="5"/>
  <c r="N138" i="5"/>
  <c r="O138" i="5"/>
  <c r="AN138" i="5"/>
  <c r="B137" i="4"/>
  <c r="C137" i="4"/>
  <c r="C139" i="5"/>
  <c r="D137" i="4"/>
  <c r="E139" i="5"/>
  <c r="E137" i="4"/>
  <c r="F139" i="5"/>
  <c r="F137" i="4"/>
  <c r="H139" i="5"/>
  <c r="I139" i="5"/>
  <c r="K139" i="5"/>
  <c r="L137" i="4"/>
  <c r="Q139" i="5"/>
  <c r="M137" i="4"/>
  <c r="R139" i="5"/>
  <c r="T139" i="5"/>
  <c r="U139" i="5"/>
  <c r="P137" i="4"/>
  <c r="W139" i="5"/>
  <c r="Q137" i="4"/>
  <c r="X139" i="5"/>
  <c r="S137" i="4"/>
  <c r="AA139" i="5"/>
  <c r="AH137" i="4"/>
  <c r="T137" i="4" a="1"/>
  <c r="T137" i="4"/>
  <c r="AC139" i="5"/>
  <c r="U137" i="4" a="1"/>
  <c r="U137" i="4"/>
  <c r="AD139" i="5"/>
  <c r="AF139" i="5"/>
  <c r="AG139" i="5"/>
  <c r="X137" i="4"/>
  <c r="AI139" i="5"/>
  <c r="Y137" i="4"/>
  <c r="AJ139" i="5"/>
  <c r="Z137" i="4"/>
  <c r="AL139" i="5"/>
  <c r="L139" i="5"/>
  <c r="N139" i="5"/>
  <c r="O139" i="5"/>
  <c r="AN139" i="5"/>
  <c r="B138" i="4"/>
  <c r="C138" i="4"/>
  <c r="C140" i="5"/>
  <c r="D138" i="4"/>
  <c r="E140" i="5"/>
  <c r="E13" i="2"/>
  <c r="E138" i="4"/>
  <c r="F140" i="5"/>
  <c r="F13" i="2"/>
  <c r="F138" i="4"/>
  <c r="H140" i="5"/>
  <c r="I140" i="5"/>
  <c r="H138" i="4"/>
  <c r="K140" i="5"/>
  <c r="L138" i="4"/>
  <c r="Q140" i="5"/>
  <c r="M138" i="4"/>
  <c r="R140" i="5"/>
  <c r="T140" i="5"/>
  <c r="U140" i="5"/>
  <c r="P138" i="4"/>
  <c r="W140" i="5"/>
  <c r="Q138" i="4"/>
  <c r="X140" i="5"/>
  <c r="S138" i="4"/>
  <c r="AA140" i="5"/>
  <c r="AH138" i="4"/>
  <c r="T138" i="4" a="1"/>
  <c r="T138" i="4"/>
  <c r="AC140" i="5"/>
  <c r="U138" i="4" a="1"/>
  <c r="U138" i="4"/>
  <c r="AD140" i="5"/>
  <c r="AF140" i="5"/>
  <c r="AG140" i="5"/>
  <c r="X138" i="4"/>
  <c r="AI140" i="5"/>
  <c r="Y138" i="4"/>
  <c r="AJ140" i="5"/>
  <c r="Z138" i="4"/>
  <c r="AL140" i="5"/>
  <c r="L140" i="5"/>
  <c r="N140" i="5"/>
  <c r="O140" i="5"/>
  <c r="AN140" i="5"/>
  <c r="C139" i="4"/>
  <c r="C141" i="5"/>
  <c r="D139" i="4"/>
  <c r="E141" i="5"/>
  <c r="E139" i="4"/>
  <c r="F141" i="5"/>
  <c r="F139" i="4"/>
  <c r="H141" i="5"/>
  <c r="I141" i="5"/>
  <c r="H139" i="4"/>
  <c r="K141" i="5"/>
  <c r="L139" i="4"/>
  <c r="Q141" i="5"/>
  <c r="M139" i="4"/>
  <c r="R141" i="5"/>
  <c r="T141" i="5"/>
  <c r="U141" i="5"/>
  <c r="P139" i="4"/>
  <c r="W141" i="5"/>
  <c r="Q139" i="4"/>
  <c r="X141" i="5"/>
  <c r="S139" i="4"/>
  <c r="AA141" i="5"/>
  <c r="AH139" i="4"/>
  <c r="T139" i="4" a="1"/>
  <c r="T139" i="4"/>
  <c r="AC141" i="5"/>
  <c r="U139" i="4" a="1"/>
  <c r="U139" i="4"/>
  <c r="AD141" i="5"/>
  <c r="AF141" i="5"/>
  <c r="AG141" i="5"/>
  <c r="X139" i="4"/>
  <c r="AI141" i="5"/>
  <c r="Y139" i="4"/>
  <c r="AJ141" i="5"/>
  <c r="Z139" i="4"/>
  <c r="AL141" i="5"/>
  <c r="L141" i="5"/>
  <c r="N141" i="5"/>
  <c r="O141" i="5"/>
  <c r="AN141" i="5"/>
  <c r="O142" i="5"/>
  <c r="K142" i="5"/>
  <c r="B140" i="4"/>
  <c r="C140" i="4"/>
  <c r="C142" i="5"/>
  <c r="D140" i="4"/>
  <c r="E142" i="5"/>
  <c r="I40" i="2"/>
  <c r="I19" i="2"/>
  <c r="I140" i="4"/>
  <c r="L142" i="5"/>
  <c r="J40" i="2"/>
  <c r="J19" i="2"/>
  <c r="J140" i="4"/>
  <c r="N142" i="5"/>
  <c r="L140" i="4"/>
  <c r="Q142" i="5"/>
  <c r="M140" i="4"/>
  <c r="R142" i="5"/>
  <c r="T142" i="5"/>
  <c r="U142" i="5"/>
  <c r="P140" i="4"/>
  <c r="W142" i="5"/>
  <c r="Q140" i="4"/>
  <c r="X142" i="5"/>
  <c r="AA142" i="5"/>
  <c r="AH140" i="4"/>
  <c r="T140" i="4" a="1"/>
  <c r="T140" i="4"/>
  <c r="AC142" i="5"/>
  <c r="U140" i="4" a="1"/>
  <c r="U140" i="4"/>
  <c r="AD142" i="5"/>
  <c r="AF142" i="5"/>
  <c r="AG142" i="5"/>
  <c r="X140" i="4"/>
  <c r="AI142" i="5"/>
  <c r="Y140" i="4"/>
  <c r="AJ142" i="5"/>
  <c r="Z140" i="4"/>
  <c r="AL142" i="5"/>
  <c r="F142" i="5"/>
  <c r="H142" i="5"/>
  <c r="I142" i="5"/>
  <c r="AN142" i="5"/>
  <c r="B141" i="4"/>
  <c r="C141" i="4"/>
  <c r="C143" i="5"/>
  <c r="D141" i="4"/>
  <c r="E143" i="5"/>
  <c r="H141" i="4"/>
  <c r="K143" i="5"/>
  <c r="L141" i="4"/>
  <c r="Q143" i="5"/>
  <c r="M141" i="4"/>
  <c r="R143" i="5"/>
  <c r="T143" i="5"/>
  <c r="U143" i="5"/>
  <c r="P141" i="4"/>
  <c r="W143" i="5"/>
  <c r="Q141" i="4"/>
  <c r="X143" i="5"/>
  <c r="S141" i="4"/>
  <c r="AA143" i="5"/>
  <c r="AH141" i="4"/>
  <c r="T141" i="4" a="1"/>
  <c r="T141" i="4"/>
  <c r="AC143" i="5"/>
  <c r="U141" i="4" a="1"/>
  <c r="U141" i="4"/>
  <c r="AD143" i="5"/>
  <c r="AF143" i="5"/>
  <c r="AG143" i="5"/>
  <c r="X141" i="4"/>
  <c r="AI143" i="5"/>
  <c r="Y141" i="4"/>
  <c r="AJ143" i="5"/>
  <c r="Z141" i="4"/>
  <c r="AL143" i="5"/>
  <c r="F143" i="5"/>
  <c r="H143" i="5"/>
  <c r="I143" i="5"/>
  <c r="L143" i="5"/>
  <c r="N143" i="5"/>
  <c r="O143" i="5"/>
  <c r="AN143" i="5"/>
  <c r="O144" i="5"/>
  <c r="H142" i="4"/>
  <c r="K144" i="5"/>
  <c r="C142" i="4"/>
  <c r="C144" i="5"/>
  <c r="D142" i="4"/>
  <c r="E144" i="5"/>
  <c r="E142" i="4"/>
  <c r="F144" i="5"/>
  <c r="F142" i="4"/>
  <c r="H144" i="5"/>
  <c r="I144" i="5"/>
  <c r="I142" i="4"/>
  <c r="L144" i="5"/>
  <c r="J142" i="4"/>
  <c r="N144" i="5"/>
  <c r="L142" i="4"/>
  <c r="Q144" i="5"/>
  <c r="M142" i="4"/>
  <c r="R144" i="5"/>
  <c r="T144" i="5"/>
  <c r="U144" i="5"/>
  <c r="P142" i="4"/>
  <c r="W144" i="5"/>
  <c r="Q142" i="4"/>
  <c r="X144" i="5"/>
  <c r="AA144" i="5"/>
  <c r="AH142" i="4"/>
  <c r="T142" i="4" a="1"/>
  <c r="T142" i="4"/>
  <c r="AC144" i="5"/>
  <c r="U142" i="4" a="1"/>
  <c r="U142" i="4"/>
  <c r="AD144" i="5"/>
  <c r="AF144" i="5"/>
  <c r="AG144" i="5"/>
  <c r="X142" i="4"/>
  <c r="AI144" i="5"/>
  <c r="Y142" i="4"/>
  <c r="AJ144" i="5"/>
  <c r="Z142" i="4"/>
  <c r="AL144" i="5"/>
  <c r="AN144" i="5"/>
  <c r="C143" i="4"/>
  <c r="C145" i="5"/>
  <c r="D143" i="4"/>
  <c r="E145" i="5"/>
  <c r="E143" i="4"/>
  <c r="F145" i="5"/>
  <c r="F143" i="4"/>
  <c r="H145" i="5"/>
  <c r="I145" i="5"/>
  <c r="H143" i="4"/>
  <c r="K145" i="5"/>
  <c r="L143" i="4"/>
  <c r="Q145" i="5"/>
  <c r="M143" i="4"/>
  <c r="R145" i="5"/>
  <c r="T145" i="5"/>
  <c r="U145" i="5"/>
  <c r="P143" i="4"/>
  <c r="W145" i="5"/>
  <c r="Q143" i="4"/>
  <c r="X145" i="5"/>
  <c r="S143" i="4"/>
  <c r="AA145" i="5"/>
  <c r="AH143" i="4"/>
  <c r="T143" i="4" a="1"/>
  <c r="T143" i="4"/>
  <c r="AC145" i="5"/>
  <c r="U143" i="4" a="1"/>
  <c r="U143" i="4"/>
  <c r="AD145" i="5"/>
  <c r="AF145" i="5"/>
  <c r="AG145" i="5"/>
  <c r="X143" i="4"/>
  <c r="AI145" i="5"/>
  <c r="Y143" i="4"/>
  <c r="AJ145" i="5"/>
  <c r="Z143" i="4"/>
  <c r="AL145" i="5"/>
  <c r="L145" i="5"/>
  <c r="N145" i="5"/>
  <c r="O145" i="5"/>
  <c r="AN145" i="5"/>
  <c r="C144" i="4"/>
  <c r="C146" i="5"/>
  <c r="D144" i="4"/>
  <c r="E146" i="5"/>
  <c r="E144" i="4"/>
  <c r="F146" i="5"/>
  <c r="F144" i="4"/>
  <c r="H146" i="5"/>
  <c r="I146" i="5"/>
  <c r="H144" i="4"/>
  <c r="K146" i="5"/>
  <c r="L144" i="4"/>
  <c r="Q146" i="5"/>
  <c r="M144" i="4"/>
  <c r="R146" i="5"/>
  <c r="T146" i="5"/>
  <c r="U146" i="5"/>
  <c r="P144" i="4"/>
  <c r="W146" i="5"/>
  <c r="Q144" i="4"/>
  <c r="X146" i="5"/>
  <c r="S144" i="4"/>
  <c r="AA146" i="5"/>
  <c r="AH144" i="4"/>
  <c r="T144" i="4" a="1"/>
  <c r="T144" i="4"/>
  <c r="AC146" i="5"/>
  <c r="U144" i="4" a="1"/>
  <c r="U144" i="4"/>
  <c r="AD146" i="5"/>
  <c r="AF146" i="5"/>
  <c r="AG146" i="5"/>
  <c r="X144" i="4"/>
  <c r="AI146" i="5"/>
  <c r="Y144" i="4"/>
  <c r="AJ146" i="5"/>
  <c r="Z144" i="4"/>
  <c r="AL146" i="5"/>
  <c r="L146" i="5"/>
  <c r="N146" i="5"/>
  <c r="O146" i="5"/>
  <c r="AN146" i="5"/>
  <c r="O147" i="5"/>
  <c r="K147" i="5"/>
  <c r="B145" i="4"/>
  <c r="C145" i="4"/>
  <c r="C147" i="5"/>
  <c r="D145" i="4"/>
  <c r="E147" i="5"/>
  <c r="I145" i="4"/>
  <c r="L147" i="5"/>
  <c r="J145" i="4"/>
  <c r="N147" i="5"/>
  <c r="L145" i="4"/>
  <c r="Q147" i="5"/>
  <c r="M145" i="4"/>
  <c r="R147" i="5"/>
  <c r="T147" i="5"/>
  <c r="U147" i="5"/>
  <c r="P145" i="4"/>
  <c r="W147" i="5"/>
  <c r="Q145" i="4"/>
  <c r="X147" i="5"/>
  <c r="AA147" i="5"/>
  <c r="AH145" i="4"/>
  <c r="T145" i="4" a="1"/>
  <c r="T145" i="4"/>
  <c r="AC147" i="5"/>
  <c r="U145" i="4" a="1"/>
  <c r="U145" i="4"/>
  <c r="AD147" i="5"/>
  <c r="AF147" i="5"/>
  <c r="AG147" i="5"/>
  <c r="X145" i="4"/>
  <c r="AI147" i="5"/>
  <c r="Y145" i="4"/>
  <c r="AJ147" i="5"/>
  <c r="Z145" i="4"/>
  <c r="AL147" i="5"/>
  <c r="F147" i="5"/>
  <c r="H147" i="5"/>
  <c r="I147" i="5"/>
  <c r="AN147" i="5"/>
  <c r="O148" i="5"/>
  <c r="K148" i="5"/>
  <c r="B146" i="4"/>
  <c r="C146" i="4"/>
  <c r="C148" i="5"/>
  <c r="D146" i="4"/>
  <c r="E148" i="5"/>
  <c r="E3" i="2"/>
  <c r="E146" i="4"/>
  <c r="F148" i="5"/>
  <c r="F3" i="2"/>
  <c r="F146" i="4"/>
  <c r="H148" i="5"/>
  <c r="I148" i="5"/>
  <c r="I146" i="4"/>
  <c r="L148" i="5"/>
  <c r="J146" i="4"/>
  <c r="N148" i="5"/>
  <c r="L146" i="4"/>
  <c r="Q148" i="5"/>
  <c r="M146" i="4"/>
  <c r="R148" i="5"/>
  <c r="T148" i="5"/>
  <c r="U148" i="5"/>
  <c r="P146" i="4"/>
  <c r="W148" i="5"/>
  <c r="Q146" i="4"/>
  <c r="X148" i="5"/>
  <c r="S146" i="4"/>
  <c r="AA148" i="5"/>
  <c r="AH146" i="4"/>
  <c r="T146" i="4" a="1"/>
  <c r="T146" i="4"/>
  <c r="AC148" i="5"/>
  <c r="U146" i="4" a="1"/>
  <c r="U146" i="4"/>
  <c r="AD148" i="5"/>
  <c r="AF148" i="5"/>
  <c r="AG148" i="5"/>
  <c r="X146" i="4"/>
  <c r="AI148" i="5"/>
  <c r="Y146" i="4"/>
  <c r="AJ148" i="5"/>
  <c r="Z146" i="4"/>
  <c r="AL148" i="5"/>
  <c r="AN148" i="5"/>
  <c r="B147" i="4"/>
  <c r="S147" i="4"/>
  <c r="AA149" i="5"/>
  <c r="P147" i="4"/>
  <c r="W149" i="5"/>
  <c r="C147" i="4"/>
  <c r="C149" i="5"/>
  <c r="D147" i="4"/>
  <c r="E149" i="5"/>
  <c r="K149" i="5"/>
  <c r="L147" i="4"/>
  <c r="Q149" i="5"/>
  <c r="U149" i="5"/>
  <c r="Q147" i="4"/>
  <c r="X149" i="5"/>
  <c r="R147" i="4"/>
  <c r="Z149" i="5"/>
  <c r="AH147" i="4"/>
  <c r="T147" i="4" a="1"/>
  <c r="T147" i="4"/>
  <c r="AC149" i="5"/>
  <c r="U147" i="4" a="1"/>
  <c r="U147" i="4"/>
  <c r="AD149" i="5"/>
  <c r="AF149" i="5"/>
  <c r="AG149" i="5"/>
  <c r="X147" i="4"/>
  <c r="AI149" i="5"/>
  <c r="Y147" i="4"/>
  <c r="AJ149" i="5"/>
  <c r="Z147" i="4"/>
  <c r="AL149" i="5"/>
  <c r="F149" i="5"/>
  <c r="H149" i="5"/>
  <c r="I149" i="5"/>
  <c r="L149" i="5"/>
  <c r="N149" i="5"/>
  <c r="O149" i="5"/>
  <c r="R149" i="5"/>
  <c r="T149" i="5"/>
  <c r="AN149" i="5"/>
  <c r="C148" i="4"/>
  <c r="C150" i="5"/>
  <c r="D148" i="4"/>
  <c r="E150" i="5"/>
  <c r="E4" i="2"/>
  <c r="E148" i="4"/>
  <c r="F150" i="5"/>
  <c r="F4" i="2"/>
  <c r="F148" i="4"/>
  <c r="H150" i="5"/>
  <c r="I150" i="5"/>
  <c r="H148" i="4"/>
  <c r="K150" i="5"/>
  <c r="L148" i="4"/>
  <c r="Q150" i="5"/>
  <c r="M148" i="4"/>
  <c r="R150" i="5"/>
  <c r="T150" i="5"/>
  <c r="U150" i="5"/>
  <c r="P148" i="4"/>
  <c r="W150" i="5"/>
  <c r="Q148" i="4"/>
  <c r="X150" i="5"/>
  <c r="AA150" i="5"/>
  <c r="AH148" i="4"/>
  <c r="T148" i="4" a="1"/>
  <c r="T148" i="4"/>
  <c r="AC150" i="5"/>
  <c r="U148" i="4" a="1"/>
  <c r="U148" i="4"/>
  <c r="AD150" i="5"/>
  <c r="AF150" i="5"/>
  <c r="AG150" i="5"/>
  <c r="X148" i="4"/>
  <c r="AI150" i="5"/>
  <c r="Y148" i="4"/>
  <c r="AJ150" i="5"/>
  <c r="Z148" i="4"/>
  <c r="AL150" i="5"/>
  <c r="L150" i="5"/>
  <c r="N150" i="5"/>
  <c r="O150" i="5"/>
  <c r="Z150" i="5"/>
  <c r="AN150" i="5"/>
  <c r="O151" i="5"/>
  <c r="B149" i="4"/>
  <c r="H149" i="4"/>
  <c r="K151" i="5"/>
  <c r="C149" i="4"/>
  <c r="C151" i="5"/>
  <c r="D149" i="4"/>
  <c r="E151" i="5"/>
  <c r="I37" i="2"/>
  <c r="I149" i="4"/>
  <c r="L151" i="5"/>
  <c r="J37" i="2"/>
  <c r="J149" i="4"/>
  <c r="N151" i="5"/>
  <c r="L149" i="4"/>
  <c r="Q151" i="5"/>
  <c r="M149" i="4"/>
  <c r="R151" i="5"/>
  <c r="T151" i="5"/>
  <c r="U151" i="5"/>
  <c r="P149" i="4"/>
  <c r="W151" i="5"/>
  <c r="Q149" i="4"/>
  <c r="X151" i="5"/>
  <c r="S149" i="4"/>
  <c r="AA151" i="5"/>
  <c r="AH149" i="4"/>
  <c r="T149" i="4" a="1"/>
  <c r="T149" i="4"/>
  <c r="AC151" i="5"/>
  <c r="U149" i="4" a="1"/>
  <c r="U149" i="4"/>
  <c r="AD151" i="5"/>
  <c r="AF151" i="5"/>
  <c r="AG151" i="5"/>
  <c r="X149" i="4"/>
  <c r="AI151" i="5"/>
  <c r="Y149" i="4"/>
  <c r="AJ151" i="5"/>
  <c r="Z149" i="4"/>
  <c r="AL151" i="5"/>
  <c r="F151" i="5"/>
  <c r="H151" i="5"/>
  <c r="I151" i="5"/>
  <c r="Z151" i="5"/>
  <c r="AN151" i="5"/>
  <c r="S150" i="4"/>
  <c r="AA152" i="5"/>
  <c r="P150" i="4"/>
  <c r="W152" i="5"/>
  <c r="C150" i="4"/>
  <c r="C152" i="5"/>
  <c r="D150" i="4"/>
  <c r="E152" i="5"/>
  <c r="E28" i="2"/>
  <c r="E150" i="4"/>
  <c r="F152" i="5"/>
  <c r="F28" i="2"/>
  <c r="F150" i="4"/>
  <c r="H152" i="5"/>
  <c r="I152" i="5"/>
  <c r="K152" i="5"/>
  <c r="L150" i="4"/>
  <c r="Q152" i="5"/>
  <c r="M150" i="4"/>
  <c r="R152" i="5"/>
  <c r="T152" i="5"/>
  <c r="U152" i="5"/>
  <c r="Q150" i="4"/>
  <c r="X152" i="5"/>
  <c r="R28" i="2"/>
  <c r="R32" i="2"/>
  <c r="R31" i="2"/>
  <c r="R150" i="4"/>
  <c r="Z152" i="5"/>
  <c r="AH150" i="4"/>
  <c r="T150" i="4" a="1"/>
  <c r="T150" i="4"/>
  <c r="AC152" i="5"/>
  <c r="U150" i="4" a="1"/>
  <c r="U150" i="4"/>
  <c r="AD152" i="5"/>
  <c r="AF152" i="5"/>
  <c r="AG152" i="5"/>
  <c r="X150" i="4"/>
  <c r="AI152" i="5"/>
  <c r="Y150" i="4"/>
  <c r="AJ152" i="5"/>
  <c r="Z150" i="4"/>
  <c r="AL152" i="5"/>
  <c r="L152" i="5"/>
  <c r="N152" i="5"/>
  <c r="O152" i="5"/>
  <c r="AN152" i="5"/>
  <c r="O153" i="5"/>
  <c r="B151" i="4"/>
  <c r="H34" i="2"/>
  <c r="H151" i="4"/>
  <c r="K153" i="5"/>
  <c r="C151" i="4"/>
  <c r="C153" i="5"/>
  <c r="D151" i="4"/>
  <c r="E153" i="5"/>
  <c r="I34" i="2"/>
  <c r="I151" i="4"/>
  <c r="L153" i="5"/>
  <c r="J34" i="2"/>
  <c r="J151" i="4"/>
  <c r="N153" i="5"/>
  <c r="L151" i="4"/>
  <c r="Q153" i="5"/>
  <c r="M151" i="4"/>
  <c r="R153" i="5"/>
  <c r="T153" i="5"/>
  <c r="U153" i="5"/>
  <c r="P151" i="4"/>
  <c r="W153" i="5"/>
  <c r="Q151" i="4"/>
  <c r="X153" i="5"/>
  <c r="S151" i="4"/>
  <c r="AA153" i="5"/>
  <c r="AH151" i="4"/>
  <c r="T151" i="4" a="1"/>
  <c r="T151" i="4"/>
  <c r="AC153" i="5"/>
  <c r="U151" i="4" a="1"/>
  <c r="U151" i="4"/>
  <c r="AD153" i="5"/>
  <c r="AF153" i="5"/>
  <c r="AG153" i="5"/>
  <c r="X151" i="4"/>
  <c r="AI153" i="5"/>
  <c r="Y151" i="4"/>
  <c r="AJ153" i="5"/>
  <c r="Z151" i="4"/>
  <c r="AL153" i="5"/>
  <c r="F153" i="5"/>
  <c r="H153" i="5"/>
  <c r="I153" i="5"/>
  <c r="Z153" i="5"/>
  <c r="AN153" i="5"/>
  <c r="C152" i="4"/>
  <c r="C154" i="5"/>
  <c r="D152" i="4"/>
  <c r="E154" i="5"/>
  <c r="H152" i="4"/>
  <c r="K154" i="5"/>
  <c r="L152" i="4"/>
  <c r="Q154" i="5"/>
  <c r="M152" i="4"/>
  <c r="R154" i="5"/>
  <c r="T154" i="5"/>
  <c r="U154" i="5"/>
  <c r="P152" i="4"/>
  <c r="W154" i="5"/>
  <c r="Q152" i="4"/>
  <c r="X154" i="5"/>
  <c r="AA154" i="5"/>
  <c r="AH152" i="4"/>
  <c r="T152" i="4" a="1"/>
  <c r="T152" i="4"/>
  <c r="AC154" i="5"/>
  <c r="U152" i="4" a="1"/>
  <c r="U152" i="4"/>
  <c r="AD154" i="5"/>
  <c r="AF154" i="5"/>
  <c r="AG154" i="5"/>
  <c r="X152" i="4"/>
  <c r="AI154" i="5"/>
  <c r="Y152" i="4"/>
  <c r="AJ154" i="5"/>
  <c r="Z152" i="4"/>
  <c r="AL154" i="5"/>
  <c r="F154" i="5"/>
  <c r="H154" i="5"/>
  <c r="I154" i="5"/>
  <c r="L154" i="5"/>
  <c r="N154" i="5"/>
  <c r="O154" i="5"/>
  <c r="Z154" i="5"/>
  <c r="AN154" i="5"/>
  <c r="C153" i="4"/>
  <c r="C155" i="5"/>
  <c r="D153" i="4"/>
  <c r="E155" i="5"/>
  <c r="E153" i="4"/>
  <c r="F155" i="5"/>
  <c r="F153" i="4"/>
  <c r="H155" i="5"/>
  <c r="I155" i="5"/>
  <c r="H153" i="4"/>
  <c r="K155" i="5"/>
  <c r="L153" i="4"/>
  <c r="Q155" i="5"/>
  <c r="M153" i="4"/>
  <c r="R155" i="5"/>
  <c r="T155" i="5"/>
  <c r="U155" i="5"/>
  <c r="P153" i="4"/>
  <c r="W155" i="5"/>
  <c r="Q153" i="4"/>
  <c r="X155" i="5"/>
  <c r="S153" i="4"/>
  <c r="AA155" i="5"/>
  <c r="AH153" i="4"/>
  <c r="T153" i="4" a="1"/>
  <c r="T153" i="4"/>
  <c r="AC155" i="5"/>
  <c r="U153" i="4" a="1"/>
  <c r="U153" i="4"/>
  <c r="AD155" i="5"/>
  <c r="AF155" i="5"/>
  <c r="AG155" i="5"/>
  <c r="X153" i="4"/>
  <c r="AI155" i="5"/>
  <c r="Y153" i="4"/>
  <c r="AJ155" i="5"/>
  <c r="Z153" i="4"/>
  <c r="AL155" i="5"/>
  <c r="L155" i="5"/>
  <c r="N155" i="5"/>
  <c r="O155" i="5"/>
  <c r="Z155" i="5"/>
  <c r="AN155" i="5"/>
  <c r="AA156" i="5"/>
  <c r="P154" i="4"/>
  <c r="W156" i="5"/>
  <c r="O156" i="5"/>
  <c r="H154" i="4"/>
  <c r="K156" i="5"/>
  <c r="C154" i="4"/>
  <c r="C156" i="5"/>
  <c r="D154" i="4"/>
  <c r="E156" i="5"/>
  <c r="I4" i="2"/>
  <c r="I154" i="4"/>
  <c r="L156" i="5"/>
  <c r="J4" i="2"/>
  <c r="J154" i="4"/>
  <c r="N156" i="5"/>
  <c r="L154" i="4"/>
  <c r="Q156" i="5"/>
  <c r="M154" i="4"/>
  <c r="R156" i="5"/>
  <c r="T156" i="5"/>
  <c r="U156" i="5"/>
  <c r="Q154" i="4"/>
  <c r="X156" i="5"/>
  <c r="R4" i="2"/>
  <c r="R37" i="2"/>
  <c r="R154" i="4"/>
  <c r="Z156" i="5"/>
  <c r="AH154" i="4"/>
  <c r="T154" i="4" a="1"/>
  <c r="T154" i="4"/>
  <c r="AC156" i="5"/>
  <c r="U154" i="4" a="1"/>
  <c r="U154" i="4"/>
  <c r="AD156" i="5"/>
  <c r="AF156" i="5"/>
  <c r="AG156" i="5"/>
  <c r="X154" i="4"/>
  <c r="AI156" i="5"/>
  <c r="Y154" i="4"/>
  <c r="AJ156" i="5"/>
  <c r="Z154" i="4"/>
  <c r="AL156" i="5"/>
  <c r="F156" i="5"/>
  <c r="H156" i="5"/>
  <c r="I156" i="5"/>
  <c r="AN156" i="5"/>
  <c r="B155" i="4"/>
  <c r="C155" i="4"/>
  <c r="C157" i="5"/>
  <c r="D155" i="4"/>
  <c r="E157" i="5"/>
  <c r="H155" i="4"/>
  <c r="K157" i="5"/>
  <c r="L155" i="4"/>
  <c r="Q157" i="5"/>
  <c r="M155" i="4"/>
  <c r="R157" i="5"/>
  <c r="T157" i="5"/>
  <c r="U157" i="5"/>
  <c r="P155" i="4"/>
  <c r="W157" i="5"/>
  <c r="Q155" i="4"/>
  <c r="X157" i="5"/>
  <c r="S155" i="4"/>
  <c r="AA157" i="5"/>
  <c r="AH155" i="4"/>
  <c r="T155" i="4" a="1"/>
  <c r="T155" i="4"/>
  <c r="AC157" i="5"/>
  <c r="U155" i="4" a="1"/>
  <c r="U155" i="4"/>
  <c r="AD157" i="5"/>
  <c r="AF157" i="5"/>
  <c r="AG157" i="5"/>
  <c r="X155" i="4"/>
  <c r="AI157" i="5"/>
  <c r="Y155" i="4"/>
  <c r="AJ157" i="5"/>
  <c r="Z155" i="4"/>
  <c r="AL157" i="5"/>
  <c r="F157" i="5"/>
  <c r="H157" i="5"/>
  <c r="I157" i="5"/>
  <c r="AN157" i="5"/>
  <c r="C156" i="4"/>
  <c r="C158" i="5"/>
  <c r="D156" i="4"/>
  <c r="E158" i="5"/>
  <c r="E156" i="4"/>
  <c r="F158" i="5"/>
  <c r="F156" i="4"/>
  <c r="H158" i="5"/>
  <c r="I158" i="5"/>
  <c r="H156" i="4"/>
  <c r="K158" i="5"/>
  <c r="L156" i="4"/>
  <c r="Q158" i="5"/>
  <c r="M156" i="4"/>
  <c r="R158" i="5"/>
  <c r="T158" i="5"/>
  <c r="U158" i="5"/>
  <c r="P156" i="4"/>
  <c r="W158" i="5"/>
  <c r="Q156" i="4"/>
  <c r="X158" i="5"/>
  <c r="S156" i="4"/>
  <c r="AA158" i="5"/>
  <c r="AH156" i="4"/>
  <c r="T156" i="4" a="1"/>
  <c r="T156" i="4"/>
  <c r="AC158" i="5"/>
  <c r="U156" i="4" a="1"/>
  <c r="U156" i="4"/>
  <c r="AD158" i="5"/>
  <c r="AF158" i="5"/>
  <c r="AG158" i="5"/>
  <c r="X156" i="4"/>
  <c r="AI158" i="5"/>
  <c r="Y156" i="4"/>
  <c r="AJ158" i="5"/>
  <c r="Z156" i="4"/>
  <c r="AL158" i="5"/>
  <c r="AN158" i="5"/>
  <c r="C157" i="4"/>
  <c r="C159" i="5"/>
  <c r="D157" i="4"/>
  <c r="E159" i="5"/>
  <c r="E157" i="4"/>
  <c r="F159" i="5"/>
  <c r="F157" i="4"/>
  <c r="H159" i="5"/>
  <c r="I159" i="5"/>
  <c r="H157" i="4"/>
  <c r="K159" i="5"/>
  <c r="L157" i="4"/>
  <c r="Q159" i="5"/>
  <c r="M157" i="4"/>
  <c r="R159" i="5"/>
  <c r="T159" i="5"/>
  <c r="U159" i="5"/>
  <c r="P157" i="4"/>
  <c r="W159" i="5"/>
  <c r="Q157" i="4"/>
  <c r="X159" i="5"/>
  <c r="S157" i="4"/>
  <c r="AA159" i="5"/>
  <c r="AH157" i="4"/>
  <c r="T157" i="4" a="1"/>
  <c r="T157" i="4"/>
  <c r="AC159" i="5"/>
  <c r="U157" i="4" a="1"/>
  <c r="U157" i="4"/>
  <c r="AD159" i="5"/>
  <c r="AF159" i="5"/>
  <c r="AG159" i="5"/>
  <c r="X157" i="4"/>
  <c r="AI159" i="5"/>
  <c r="Y157" i="4"/>
  <c r="AJ159" i="5"/>
  <c r="Z157" i="4"/>
  <c r="AL159" i="5"/>
  <c r="AN159" i="5"/>
  <c r="C158" i="4"/>
  <c r="C160" i="5"/>
  <c r="D158" i="4"/>
  <c r="E160" i="5"/>
  <c r="E158" i="4"/>
  <c r="F160" i="5"/>
  <c r="F158" i="4"/>
  <c r="H160" i="5"/>
  <c r="I160" i="5"/>
  <c r="H158" i="4"/>
  <c r="K160" i="5"/>
  <c r="L158" i="4"/>
  <c r="Q160" i="5"/>
  <c r="M158" i="4"/>
  <c r="R160" i="5"/>
  <c r="T160" i="5"/>
  <c r="U160" i="5"/>
  <c r="P158" i="4"/>
  <c r="W160" i="5"/>
  <c r="Q158" i="4"/>
  <c r="X160" i="5"/>
  <c r="S158" i="4"/>
  <c r="AA160" i="5"/>
  <c r="AH158" i="4"/>
  <c r="T158" i="4" a="1"/>
  <c r="T158" i="4"/>
  <c r="AC160" i="5"/>
  <c r="U158" i="4" a="1"/>
  <c r="U158" i="4"/>
  <c r="AD160" i="5"/>
  <c r="AF160" i="5"/>
  <c r="AG160" i="5"/>
  <c r="X158" i="4"/>
  <c r="AI160" i="5"/>
  <c r="Y158" i="4"/>
  <c r="AJ160" i="5"/>
  <c r="Z158" i="4"/>
  <c r="AL160" i="5"/>
  <c r="AN160" i="5"/>
  <c r="B159" i="4"/>
  <c r="C47" i="2"/>
  <c r="C159" i="4"/>
  <c r="C161" i="5"/>
  <c r="D47" i="2"/>
  <c r="D159" i="4"/>
  <c r="E161" i="5"/>
  <c r="H47" i="2"/>
  <c r="H159" i="4"/>
  <c r="K161" i="5"/>
  <c r="L47" i="2"/>
  <c r="L159" i="4"/>
  <c r="Q161" i="5"/>
  <c r="M47" i="2"/>
  <c r="M159" i="4"/>
  <c r="R161" i="5"/>
  <c r="N47" i="2"/>
  <c r="N159" i="4"/>
  <c r="T161" i="5"/>
  <c r="O47" i="2"/>
  <c r="O159" i="4"/>
  <c r="U161" i="5"/>
  <c r="P47" i="2"/>
  <c r="P159" i="4"/>
  <c r="W161" i="5"/>
  <c r="Q47" i="2"/>
  <c r="Q159" i="4"/>
  <c r="X161" i="5"/>
  <c r="AA161" i="5"/>
  <c r="AH159" i="4"/>
  <c r="T159" i="4" a="1"/>
  <c r="T159" i="4"/>
  <c r="AC161" i="5"/>
  <c r="U159" i="4" a="1"/>
  <c r="U159" i="4"/>
  <c r="AD161" i="5"/>
  <c r="AF161" i="5"/>
  <c r="AG161" i="5"/>
  <c r="X47" i="2"/>
  <c r="X159" i="4"/>
  <c r="AI161" i="5"/>
  <c r="Y47" i="2"/>
  <c r="Y159" i="4"/>
  <c r="AJ161" i="5"/>
  <c r="Z47" i="2"/>
  <c r="Z159" i="4"/>
  <c r="AL161" i="5"/>
  <c r="F161" i="5"/>
  <c r="AN161" i="5"/>
  <c r="B160" i="4"/>
  <c r="C160" i="4"/>
  <c r="C162" i="5"/>
  <c r="D160" i="4"/>
  <c r="E162" i="5"/>
  <c r="H160" i="4"/>
  <c r="K162" i="5"/>
  <c r="L160" i="4"/>
  <c r="Q162" i="5"/>
  <c r="M160" i="4"/>
  <c r="R162" i="5"/>
  <c r="T162" i="5"/>
  <c r="U162" i="5"/>
  <c r="P160" i="4"/>
  <c r="W162" i="5"/>
  <c r="Q160" i="4"/>
  <c r="X162" i="5"/>
  <c r="AA162" i="5"/>
  <c r="AH160" i="4"/>
  <c r="T160" i="4" a="1"/>
  <c r="T160" i="4"/>
  <c r="AC162" i="5"/>
  <c r="U160" i="4" a="1"/>
  <c r="U160" i="4"/>
  <c r="AD162" i="5"/>
  <c r="AF162" i="5"/>
  <c r="AG162" i="5"/>
  <c r="Y160" i="4"/>
  <c r="AJ162" i="5"/>
  <c r="Z160" i="4"/>
  <c r="AL162" i="5"/>
  <c r="F162" i="5"/>
  <c r="AN162" i="5"/>
  <c r="C161" i="4"/>
  <c r="C163" i="5"/>
  <c r="D161" i="4"/>
  <c r="E163" i="5"/>
  <c r="H161" i="4"/>
  <c r="K163" i="5"/>
  <c r="L161" i="4"/>
  <c r="Q163" i="5"/>
  <c r="M161" i="4"/>
  <c r="R163" i="5"/>
  <c r="T163" i="5"/>
  <c r="U163" i="5"/>
  <c r="P161" i="4"/>
  <c r="W163" i="5"/>
  <c r="Q161" i="4"/>
  <c r="X163" i="5"/>
  <c r="S161" i="4"/>
  <c r="AA163" i="5"/>
  <c r="AH161" i="4"/>
  <c r="T161" i="4" a="1"/>
  <c r="T161" i="4"/>
  <c r="AC163" i="5"/>
  <c r="U161" i="4" a="1"/>
  <c r="U161" i="4"/>
  <c r="AD163" i="5"/>
  <c r="AF163" i="5"/>
  <c r="AG163" i="5"/>
  <c r="X161" i="4"/>
  <c r="AI163" i="5"/>
  <c r="Y161" i="4"/>
  <c r="AJ163" i="5"/>
  <c r="Z161" i="4"/>
  <c r="AL163" i="5"/>
  <c r="F163" i="5"/>
  <c r="AN163" i="5"/>
  <c r="O164" i="5"/>
  <c r="K164" i="5"/>
  <c r="C162" i="4"/>
  <c r="C164" i="5"/>
  <c r="D162" i="4"/>
  <c r="E164" i="5"/>
  <c r="E162" i="4"/>
  <c r="F164" i="5"/>
  <c r="F162" i="4"/>
  <c r="H164" i="5"/>
  <c r="I164" i="5"/>
  <c r="I162" i="4"/>
  <c r="L164" i="5"/>
  <c r="J162" i="4"/>
  <c r="N164" i="5"/>
  <c r="L162" i="4"/>
  <c r="Q164" i="5"/>
  <c r="M162" i="4"/>
  <c r="R164" i="5"/>
  <c r="T164" i="5"/>
  <c r="U164" i="5"/>
  <c r="P162" i="4"/>
  <c r="W164" i="5"/>
  <c r="Q162" i="4"/>
  <c r="X164" i="5"/>
  <c r="S162" i="4"/>
  <c r="AA164" i="5"/>
  <c r="AH162" i="4"/>
  <c r="T162" i="4" a="1"/>
  <c r="T162" i="4"/>
  <c r="AC164" i="5"/>
  <c r="U162" i="4" a="1"/>
  <c r="U162" i="4"/>
  <c r="AD164" i="5"/>
  <c r="AF164" i="5"/>
  <c r="AG164" i="5"/>
  <c r="X162" i="4"/>
  <c r="AI164" i="5"/>
  <c r="Y162" i="4"/>
  <c r="AJ164" i="5"/>
  <c r="Z162" i="4"/>
  <c r="AL164" i="5"/>
  <c r="AN164" i="5"/>
  <c r="O165" i="5"/>
  <c r="H163" i="4"/>
  <c r="K165" i="5"/>
  <c r="C163" i="4"/>
  <c r="C165" i="5"/>
  <c r="D163" i="4"/>
  <c r="E165" i="5"/>
  <c r="E12" i="2"/>
  <c r="E163" i="4"/>
  <c r="F165" i="5"/>
  <c r="F12" i="2"/>
  <c r="F163" i="4"/>
  <c r="H165" i="5"/>
  <c r="I165" i="5"/>
  <c r="L165" i="5"/>
  <c r="J12" i="2"/>
  <c r="J163" i="4"/>
  <c r="N165" i="5"/>
  <c r="L163" i="4"/>
  <c r="Q165" i="5"/>
  <c r="M163" i="4"/>
  <c r="R165" i="5"/>
  <c r="T165" i="5"/>
  <c r="U165" i="5"/>
  <c r="P163" i="4"/>
  <c r="W165" i="5"/>
  <c r="Q163" i="4"/>
  <c r="X165" i="5"/>
  <c r="S163" i="4"/>
  <c r="AA165" i="5"/>
  <c r="AH163" i="4"/>
  <c r="T163" i="4" a="1"/>
  <c r="T163" i="4"/>
  <c r="AC165" i="5"/>
  <c r="U163" i="4" a="1"/>
  <c r="U163" i="4"/>
  <c r="AD165" i="5"/>
  <c r="AF165" i="5"/>
  <c r="AG165" i="5"/>
  <c r="X163" i="4"/>
  <c r="AI165" i="5"/>
  <c r="Y163" i="4"/>
  <c r="AJ165" i="5"/>
  <c r="Z163" i="4"/>
  <c r="AL165" i="5"/>
  <c r="AN165" i="5"/>
  <c r="O166" i="5"/>
  <c r="H164" i="4"/>
  <c r="K166" i="5"/>
  <c r="C164" i="4"/>
  <c r="C166" i="5"/>
  <c r="D164" i="4"/>
  <c r="E166" i="5"/>
  <c r="E35" i="2"/>
  <c r="E33" i="2"/>
  <c r="E164" i="4"/>
  <c r="F166" i="5"/>
  <c r="F35" i="2"/>
  <c r="F33" i="2"/>
  <c r="F164" i="4"/>
  <c r="H166" i="5"/>
  <c r="I166" i="5"/>
  <c r="I35" i="2"/>
  <c r="I164" i="4"/>
  <c r="L166" i="5"/>
  <c r="J35" i="2"/>
  <c r="J164" i="4"/>
  <c r="N166" i="5"/>
  <c r="L164" i="4"/>
  <c r="Q166" i="5"/>
  <c r="M164" i="4"/>
  <c r="R166" i="5"/>
  <c r="T166" i="5"/>
  <c r="U166" i="5"/>
  <c r="P164" i="4"/>
  <c r="W166" i="5"/>
  <c r="Q164" i="4"/>
  <c r="X166" i="5"/>
  <c r="AA166" i="5"/>
  <c r="AH164" i="4"/>
  <c r="T164" i="4" a="1"/>
  <c r="T164" i="4"/>
  <c r="AC166" i="5"/>
  <c r="U164" i="4" a="1"/>
  <c r="U164" i="4"/>
  <c r="AD166" i="5"/>
  <c r="AF166" i="5"/>
  <c r="AG166" i="5"/>
  <c r="X164" i="4"/>
  <c r="AI166" i="5"/>
  <c r="Y164" i="4"/>
  <c r="AJ166" i="5"/>
  <c r="Z164" i="4"/>
  <c r="AL166" i="5"/>
  <c r="AN166" i="5"/>
  <c r="B165" i="4"/>
  <c r="C165" i="4"/>
  <c r="C167" i="5"/>
  <c r="D165" i="4"/>
  <c r="E167" i="5"/>
  <c r="K167" i="5"/>
  <c r="L165" i="4"/>
  <c r="Q167" i="5"/>
  <c r="M165" i="4"/>
  <c r="R167" i="5"/>
  <c r="T167" i="5"/>
  <c r="U167" i="5"/>
  <c r="P165" i="4"/>
  <c r="W167" i="5"/>
  <c r="Q165" i="4"/>
  <c r="X167" i="5"/>
  <c r="S165" i="4"/>
  <c r="AA167" i="5"/>
  <c r="AH165" i="4"/>
  <c r="T165" i="4" a="1"/>
  <c r="T165" i="4"/>
  <c r="AC167" i="5"/>
  <c r="U165" i="4" a="1"/>
  <c r="U165" i="4"/>
  <c r="AD167" i="5"/>
  <c r="AF167" i="5"/>
  <c r="AG167" i="5"/>
  <c r="X165" i="4"/>
  <c r="AI167" i="5"/>
  <c r="Y165" i="4"/>
  <c r="AJ167" i="5"/>
  <c r="Z165" i="4"/>
  <c r="AL167" i="5"/>
  <c r="AN167" i="5"/>
  <c r="C166" i="4"/>
  <c r="C168" i="5"/>
  <c r="E168" i="5"/>
  <c r="K168" i="5"/>
  <c r="L166" i="4"/>
  <c r="Q168" i="5"/>
  <c r="T168" i="5"/>
  <c r="U168" i="5"/>
  <c r="P166" i="4"/>
  <c r="W168" i="5"/>
  <c r="Q166" i="4"/>
  <c r="X168" i="5"/>
  <c r="S166" i="4"/>
  <c r="AA168" i="5"/>
  <c r="AH166" i="4"/>
  <c r="T166" i="4" a="1"/>
  <c r="T166" i="4"/>
  <c r="AC168" i="5"/>
  <c r="U166" i="4" a="1"/>
  <c r="U166" i="4"/>
  <c r="AD168" i="5"/>
  <c r="AF168" i="5"/>
  <c r="AG168" i="5"/>
  <c r="X166" i="4"/>
  <c r="AI168" i="5"/>
  <c r="Y166" i="4"/>
  <c r="AJ168" i="5"/>
  <c r="Z166" i="4"/>
  <c r="AL168" i="5"/>
  <c r="AN168" i="5"/>
  <c r="C167" i="4"/>
  <c r="C169" i="5"/>
  <c r="D167" i="4"/>
  <c r="E169" i="5"/>
  <c r="K169" i="5"/>
  <c r="L167" i="4"/>
  <c r="Q169" i="5"/>
  <c r="M167" i="4"/>
  <c r="R169" i="5"/>
  <c r="T169" i="5"/>
  <c r="U169" i="5"/>
  <c r="P167" i="4"/>
  <c r="W169" i="5"/>
  <c r="Q167" i="4"/>
  <c r="X169" i="5"/>
  <c r="S167" i="4"/>
  <c r="AA169" i="5"/>
  <c r="AH167" i="4"/>
  <c r="T167" i="4" a="1"/>
  <c r="T167" i="4"/>
  <c r="AC169" i="5"/>
  <c r="U167" i="4" a="1"/>
  <c r="U167" i="4"/>
  <c r="AD169" i="5"/>
  <c r="AF169" i="5"/>
  <c r="AG169" i="5"/>
  <c r="X167" i="4"/>
  <c r="AI169" i="5"/>
  <c r="Y167" i="4"/>
  <c r="AJ169" i="5"/>
  <c r="Z167" i="4"/>
  <c r="AL169" i="5"/>
  <c r="AN169" i="5"/>
  <c r="C168" i="4"/>
  <c r="C170" i="5"/>
  <c r="D168" i="4"/>
  <c r="E170" i="5"/>
  <c r="H168" i="4"/>
  <c r="K170" i="5"/>
  <c r="L168" i="4"/>
  <c r="Q170" i="5"/>
  <c r="M168" i="4"/>
  <c r="R170" i="5"/>
  <c r="T170" i="5"/>
  <c r="U170" i="5"/>
  <c r="P168" i="4"/>
  <c r="W170" i="5"/>
  <c r="Q168" i="4"/>
  <c r="X170" i="5"/>
  <c r="S168" i="4"/>
  <c r="AA170" i="5"/>
  <c r="AH168" i="4"/>
  <c r="T168" i="4" a="1"/>
  <c r="T168" i="4"/>
  <c r="AC170" i="5"/>
  <c r="U168" i="4" a="1"/>
  <c r="U168" i="4"/>
  <c r="AD170" i="5"/>
  <c r="AF170" i="5"/>
  <c r="AG170" i="5"/>
  <c r="X168" i="4"/>
  <c r="AI170" i="5"/>
  <c r="Y168" i="4"/>
  <c r="AJ170" i="5"/>
  <c r="Z168" i="4"/>
  <c r="AL170" i="5"/>
  <c r="AN170" i="5"/>
  <c r="B169" i="4"/>
  <c r="C169" i="4"/>
  <c r="C171" i="5"/>
  <c r="D169" i="4"/>
  <c r="E171" i="5"/>
  <c r="K171" i="5"/>
  <c r="L169" i="4"/>
  <c r="Q171" i="5"/>
  <c r="M169" i="4"/>
  <c r="R171" i="5"/>
  <c r="T171" i="5"/>
  <c r="U171" i="5"/>
  <c r="P169" i="4"/>
  <c r="W171" i="5"/>
  <c r="Q169" i="4"/>
  <c r="X171" i="5"/>
  <c r="S169" i="4"/>
  <c r="AA171" i="5"/>
  <c r="AH169" i="4"/>
  <c r="T169" i="4" a="1"/>
  <c r="T169" i="4"/>
  <c r="AC171" i="5"/>
  <c r="U169" i="4" a="1"/>
  <c r="U169" i="4"/>
  <c r="AD171" i="5"/>
  <c r="AF171" i="5"/>
  <c r="AG171" i="5"/>
  <c r="X169" i="4"/>
  <c r="AI171" i="5"/>
  <c r="Y169" i="4"/>
  <c r="AJ171" i="5"/>
  <c r="Z169" i="4"/>
  <c r="AL171" i="5"/>
  <c r="AN171" i="5"/>
  <c r="B170" i="4"/>
  <c r="C170" i="4"/>
  <c r="C172" i="5"/>
  <c r="D170" i="4"/>
  <c r="E172" i="5"/>
  <c r="K172" i="5"/>
  <c r="L170" i="4"/>
  <c r="Q172" i="5"/>
  <c r="M170" i="4"/>
  <c r="R172" i="5"/>
  <c r="T172" i="5"/>
  <c r="U172" i="5"/>
  <c r="P170" i="4"/>
  <c r="W172" i="5"/>
  <c r="Q170" i="4"/>
  <c r="X172" i="5"/>
  <c r="AA172" i="5"/>
  <c r="AH170" i="4"/>
  <c r="T170" i="4" a="1"/>
  <c r="T170" i="4"/>
  <c r="AC172" i="5"/>
  <c r="U170" i="4" a="1"/>
  <c r="U170" i="4"/>
  <c r="AD172" i="5"/>
  <c r="AF172" i="5"/>
  <c r="AG172" i="5"/>
  <c r="X170" i="4"/>
  <c r="AI172" i="5"/>
  <c r="Y170" i="4"/>
  <c r="AJ172" i="5"/>
  <c r="Z170" i="4"/>
  <c r="AL172" i="5"/>
  <c r="AN172" i="5"/>
  <c r="S171" i="4"/>
  <c r="AA173" i="5"/>
  <c r="P171" i="4"/>
  <c r="W173" i="5"/>
  <c r="O173" i="5"/>
  <c r="K173" i="5"/>
  <c r="C171" i="4"/>
  <c r="C173" i="5"/>
  <c r="D171" i="4"/>
  <c r="E173" i="5"/>
  <c r="E171" i="4"/>
  <c r="F173" i="5"/>
  <c r="F171" i="4"/>
  <c r="H173" i="5"/>
  <c r="I173" i="5"/>
  <c r="L171" i="4"/>
  <c r="Q173" i="5"/>
  <c r="M171" i="4"/>
  <c r="R173" i="5"/>
  <c r="T173" i="5"/>
  <c r="U173" i="5"/>
  <c r="Q171" i="4"/>
  <c r="X173" i="5"/>
  <c r="R15" i="2"/>
  <c r="R29" i="2"/>
  <c r="R171" i="4"/>
  <c r="Z173" i="5"/>
  <c r="AH171" i="4"/>
  <c r="T171" i="4" a="1"/>
  <c r="T171" i="4"/>
  <c r="AC173" i="5"/>
  <c r="U171" i="4" a="1"/>
  <c r="U171" i="4"/>
  <c r="AD173" i="5"/>
  <c r="AF173" i="5"/>
  <c r="AG173" i="5"/>
  <c r="X171" i="4"/>
  <c r="AI173" i="5"/>
  <c r="Y171" i="4"/>
  <c r="AJ173" i="5"/>
  <c r="Z171" i="4"/>
  <c r="AL173" i="5"/>
  <c r="AN173" i="5"/>
  <c r="B172" i="4"/>
  <c r="S172" i="4"/>
  <c r="AA174" i="5"/>
  <c r="P172" i="4"/>
  <c r="W174" i="5"/>
  <c r="O174" i="5"/>
  <c r="H172" i="4"/>
  <c r="K174" i="5"/>
  <c r="C172" i="4"/>
  <c r="C174" i="5"/>
  <c r="D172" i="4"/>
  <c r="E174" i="5"/>
  <c r="E172" i="4"/>
  <c r="F174" i="5"/>
  <c r="F172" i="4"/>
  <c r="H174" i="5"/>
  <c r="I174" i="5"/>
  <c r="I38" i="2"/>
  <c r="I172" i="4"/>
  <c r="L174" i="5"/>
  <c r="J38" i="2"/>
  <c r="J172" i="4"/>
  <c r="N174" i="5"/>
  <c r="L172" i="4"/>
  <c r="Q174" i="5"/>
  <c r="M172" i="4"/>
  <c r="R174" i="5"/>
  <c r="T174" i="5"/>
  <c r="U174" i="5"/>
  <c r="Q172" i="4"/>
  <c r="X174" i="5"/>
  <c r="R2" i="2"/>
  <c r="R172" i="4"/>
  <c r="Z174" i="5"/>
  <c r="AH172" i="4"/>
  <c r="T172" i="4" a="1"/>
  <c r="T172" i="4"/>
  <c r="AC174" i="5"/>
  <c r="U172" i="4" a="1"/>
  <c r="U172" i="4"/>
  <c r="AD174" i="5"/>
  <c r="AF174" i="5"/>
  <c r="AG174" i="5"/>
  <c r="X172" i="4"/>
  <c r="AI174" i="5"/>
  <c r="Y172" i="4"/>
  <c r="AJ174" i="5"/>
  <c r="Z172" i="4"/>
  <c r="AL174" i="5"/>
  <c r="AN174" i="5"/>
  <c r="AA175" i="5"/>
  <c r="P173" i="4"/>
  <c r="W175" i="5"/>
  <c r="O175" i="5"/>
  <c r="K175" i="5"/>
  <c r="C173" i="4"/>
  <c r="C175" i="5"/>
  <c r="D173" i="4"/>
  <c r="E175" i="5"/>
  <c r="L175" i="5"/>
  <c r="N175" i="5"/>
  <c r="L173" i="4"/>
  <c r="Q175" i="5"/>
  <c r="U175" i="5"/>
  <c r="Q173" i="4"/>
  <c r="X175" i="5"/>
  <c r="R173" i="4"/>
  <c r="Z175" i="5"/>
  <c r="AC175" i="5"/>
  <c r="AD175" i="5"/>
  <c r="AF175" i="5"/>
  <c r="AG175" i="5"/>
  <c r="X173" i="4"/>
  <c r="AI175" i="5"/>
  <c r="Y173" i="4"/>
  <c r="AJ175" i="5"/>
  <c r="Z173" i="4"/>
  <c r="AL175" i="5"/>
  <c r="F175" i="5"/>
  <c r="R175" i="5"/>
  <c r="T175" i="5"/>
  <c r="AN175" i="5"/>
  <c r="AA176" i="5"/>
  <c r="P174" i="4"/>
  <c r="W176" i="5"/>
  <c r="O176" i="5"/>
  <c r="K176" i="5"/>
  <c r="C174" i="4"/>
  <c r="C176" i="5"/>
  <c r="D174" i="4"/>
  <c r="E176" i="5"/>
  <c r="L176" i="5"/>
  <c r="N176" i="5"/>
  <c r="L174" i="4"/>
  <c r="Q176" i="5"/>
  <c r="U176" i="5"/>
  <c r="Q174" i="4"/>
  <c r="X176" i="5"/>
  <c r="R174" i="4"/>
  <c r="Z176" i="5"/>
  <c r="AC176" i="5"/>
  <c r="AD176" i="5"/>
  <c r="AF176" i="5"/>
  <c r="AG176" i="5"/>
  <c r="X174" i="4"/>
  <c r="AI176" i="5"/>
  <c r="Y174" i="4"/>
  <c r="AJ176" i="5"/>
  <c r="Z174" i="4"/>
  <c r="AL176" i="5"/>
  <c r="F176" i="5"/>
  <c r="R176" i="5"/>
  <c r="T176" i="5"/>
  <c r="AN176" i="5"/>
  <c r="AA177" i="5"/>
  <c r="P175" i="4"/>
  <c r="W177" i="5"/>
  <c r="O177" i="5"/>
  <c r="H175" i="4"/>
  <c r="K177" i="5"/>
  <c r="C175" i="4"/>
  <c r="C177" i="5"/>
  <c r="D175" i="4"/>
  <c r="E177" i="5"/>
  <c r="L177" i="5"/>
  <c r="J25" i="2"/>
  <c r="J175" i="4"/>
  <c r="N177" i="5"/>
  <c r="L175" i="4"/>
  <c r="Q177" i="5"/>
  <c r="M175" i="4"/>
  <c r="R177" i="5"/>
  <c r="T177" i="5"/>
  <c r="U177" i="5"/>
  <c r="Q175" i="4"/>
  <c r="X177" i="5"/>
  <c r="R12" i="2"/>
  <c r="R175" i="4"/>
  <c r="Z177" i="5"/>
  <c r="AC177" i="5"/>
  <c r="AD177" i="5"/>
  <c r="AF177" i="5"/>
  <c r="AG177" i="5"/>
  <c r="X175" i="4"/>
  <c r="AI177" i="5"/>
  <c r="Y175" i="4"/>
  <c r="AJ177" i="5"/>
  <c r="Z175" i="4"/>
  <c r="AL177" i="5"/>
  <c r="F177" i="5"/>
  <c r="AN177" i="5"/>
  <c r="B176" i="4"/>
  <c r="C176" i="4"/>
  <c r="C178" i="5"/>
  <c r="D176" i="4"/>
  <c r="E178" i="5"/>
  <c r="H176" i="4"/>
  <c r="K178" i="5"/>
  <c r="L176" i="4"/>
  <c r="Q178" i="5"/>
  <c r="M176" i="4"/>
  <c r="R178" i="5"/>
  <c r="T178" i="5"/>
  <c r="U178" i="5"/>
  <c r="P176" i="4"/>
  <c r="W178" i="5"/>
  <c r="Q176" i="4"/>
  <c r="X178" i="5"/>
  <c r="S176" i="4"/>
  <c r="AA178" i="5"/>
  <c r="AH176" i="4"/>
  <c r="T176" i="4" a="1"/>
  <c r="T176" i="4"/>
  <c r="AC178" i="5"/>
  <c r="U176" i="4" a="1"/>
  <c r="U176" i="4"/>
  <c r="AD178" i="5"/>
  <c r="AF178" i="5"/>
  <c r="AG178" i="5"/>
  <c r="X176" i="4"/>
  <c r="AI178" i="5"/>
  <c r="Y176" i="4"/>
  <c r="AJ178" i="5"/>
  <c r="Z176" i="4"/>
  <c r="AL178" i="5"/>
  <c r="F178" i="5"/>
  <c r="L178" i="5"/>
  <c r="N178" i="5"/>
  <c r="O178" i="5"/>
  <c r="Z178" i="5"/>
  <c r="AN178" i="5"/>
  <c r="C177" i="4"/>
  <c r="C179" i="5"/>
  <c r="D177" i="4"/>
  <c r="E179" i="5"/>
  <c r="E177" i="4"/>
  <c r="F179" i="5"/>
  <c r="F177" i="4"/>
  <c r="H179" i="5"/>
  <c r="I179" i="5"/>
  <c r="H177" i="4"/>
  <c r="K179" i="5"/>
  <c r="L177" i="4"/>
  <c r="Q179" i="5"/>
  <c r="M177" i="4"/>
  <c r="R179" i="5"/>
  <c r="T179" i="5"/>
  <c r="U179" i="5"/>
  <c r="P177" i="4"/>
  <c r="W179" i="5"/>
  <c r="Q177" i="4"/>
  <c r="X179" i="5"/>
  <c r="S177" i="4"/>
  <c r="AA179" i="5"/>
  <c r="AH177" i="4"/>
  <c r="T177" i="4" a="1"/>
  <c r="T177" i="4"/>
  <c r="AC179" i="5"/>
  <c r="U177" i="4" a="1"/>
  <c r="U177" i="4"/>
  <c r="AD179" i="5"/>
  <c r="AF179" i="5"/>
  <c r="AG179" i="5"/>
  <c r="X177" i="4"/>
  <c r="AI179" i="5"/>
  <c r="Y177" i="4"/>
  <c r="AJ179" i="5"/>
  <c r="Z177" i="4"/>
  <c r="AL179" i="5"/>
  <c r="L179" i="5"/>
  <c r="N179" i="5"/>
  <c r="O179" i="5"/>
  <c r="Z179" i="5"/>
  <c r="AN179" i="5"/>
  <c r="B178" i="4"/>
  <c r="S178" i="4"/>
  <c r="AA180" i="5"/>
  <c r="P178" i="4"/>
  <c r="W180" i="5"/>
  <c r="O180" i="5"/>
  <c r="K180" i="5"/>
  <c r="C178" i="4"/>
  <c r="C180" i="5"/>
  <c r="D178" i="4"/>
  <c r="E180" i="5"/>
  <c r="E178" i="4"/>
  <c r="F180" i="5"/>
  <c r="F178" i="4"/>
  <c r="H180" i="5"/>
  <c r="I180" i="5"/>
  <c r="I178" i="4"/>
  <c r="L180" i="5"/>
  <c r="J178" i="4"/>
  <c r="N180" i="5"/>
  <c r="L178" i="4"/>
  <c r="Q180" i="5"/>
  <c r="M178" i="4"/>
  <c r="R180" i="5"/>
  <c r="T180" i="5"/>
  <c r="U180" i="5"/>
  <c r="Q178" i="4"/>
  <c r="X180" i="5"/>
  <c r="R178" i="4"/>
  <c r="Z180" i="5"/>
  <c r="AH178" i="4"/>
  <c r="T178" i="4" a="1"/>
  <c r="T178" i="4"/>
  <c r="AC180" i="5"/>
  <c r="U178" i="4" a="1"/>
  <c r="U178" i="4"/>
  <c r="AD180" i="5"/>
  <c r="AF180" i="5"/>
  <c r="AG180" i="5"/>
  <c r="X178" i="4"/>
  <c r="AI180" i="5"/>
  <c r="Y178" i="4"/>
  <c r="AJ180" i="5"/>
  <c r="Z178" i="4"/>
  <c r="AL180" i="5"/>
  <c r="AN180" i="5"/>
  <c r="B179" i="4"/>
  <c r="S179" i="4"/>
  <c r="AA181" i="5"/>
  <c r="P179" i="4"/>
  <c r="W181" i="5"/>
  <c r="O181" i="5"/>
  <c r="H3" i="2"/>
  <c r="H179" i="4"/>
  <c r="K181" i="5"/>
  <c r="C179" i="4"/>
  <c r="C181" i="5"/>
  <c r="D179" i="4"/>
  <c r="E181" i="5"/>
  <c r="E179" i="4"/>
  <c r="F181" i="5"/>
  <c r="F179" i="4"/>
  <c r="H181" i="5"/>
  <c r="I181" i="5"/>
  <c r="I179" i="4"/>
  <c r="L181" i="5"/>
  <c r="J179" i="4"/>
  <c r="N181" i="5"/>
  <c r="L179" i="4"/>
  <c r="Q181" i="5"/>
  <c r="M179" i="4"/>
  <c r="R181" i="5"/>
  <c r="T181" i="5"/>
  <c r="U181" i="5"/>
  <c r="Q179" i="4"/>
  <c r="X181" i="5"/>
  <c r="R40" i="2"/>
  <c r="R19" i="2"/>
  <c r="R3" i="2"/>
  <c r="R179" i="4"/>
  <c r="Z181" i="5"/>
  <c r="AH179" i="4"/>
  <c r="T179" i="4" a="1"/>
  <c r="T179" i="4"/>
  <c r="AC181" i="5"/>
  <c r="U179" i="4" a="1"/>
  <c r="U179" i="4"/>
  <c r="AD181" i="5"/>
  <c r="AF181" i="5"/>
  <c r="AG181" i="5"/>
  <c r="X179" i="4"/>
  <c r="AI181" i="5"/>
  <c r="Y179" i="4"/>
  <c r="AJ181" i="5"/>
  <c r="Z179" i="4"/>
  <c r="AL181" i="5"/>
  <c r="AN181" i="5"/>
  <c r="B180" i="4"/>
  <c r="S180" i="4"/>
  <c r="AA182" i="5"/>
  <c r="P180" i="4"/>
  <c r="W182" i="5"/>
  <c r="O182" i="5"/>
  <c r="H180" i="4"/>
  <c r="K182" i="5"/>
  <c r="C180" i="4"/>
  <c r="C182" i="5"/>
  <c r="D180" i="4"/>
  <c r="E182" i="5"/>
  <c r="E180" i="4"/>
  <c r="F182" i="5"/>
  <c r="F180" i="4"/>
  <c r="H182" i="5"/>
  <c r="I182" i="5"/>
  <c r="I180" i="4"/>
  <c r="L182" i="5"/>
  <c r="J180" i="4"/>
  <c r="N182" i="5"/>
  <c r="L180" i="4"/>
  <c r="Q182" i="5"/>
  <c r="M180" i="4"/>
  <c r="R182" i="5"/>
  <c r="T182" i="5"/>
  <c r="U182" i="5"/>
  <c r="Q180" i="4"/>
  <c r="X182" i="5"/>
  <c r="R21" i="2"/>
  <c r="R180" i="4"/>
  <c r="Z182" i="5"/>
  <c r="AH180" i="4"/>
  <c r="T180" i="4" a="1"/>
  <c r="T180" i="4"/>
  <c r="AC182" i="5"/>
  <c r="U180" i="4" a="1"/>
  <c r="U180" i="4"/>
  <c r="AD182" i="5"/>
  <c r="AF182" i="5"/>
  <c r="AG182" i="5"/>
  <c r="X180" i="4"/>
  <c r="AI182" i="5"/>
  <c r="Y180" i="4"/>
  <c r="AJ182" i="5"/>
  <c r="Z180" i="4"/>
  <c r="AL182" i="5"/>
  <c r="AN182" i="5"/>
  <c r="B181" i="4"/>
  <c r="S181" i="4"/>
  <c r="AA183" i="5"/>
  <c r="P181" i="4"/>
  <c r="W183" i="5"/>
  <c r="O183" i="5"/>
  <c r="K183" i="5"/>
  <c r="C181" i="4"/>
  <c r="C183" i="5"/>
  <c r="D181" i="4"/>
  <c r="E183" i="5"/>
  <c r="E181" i="4"/>
  <c r="F183" i="5"/>
  <c r="F181" i="4"/>
  <c r="H183" i="5"/>
  <c r="I183" i="5"/>
  <c r="I181" i="4"/>
  <c r="L183" i="5"/>
  <c r="J181" i="4"/>
  <c r="N183" i="5"/>
  <c r="L181" i="4"/>
  <c r="Q183" i="5"/>
  <c r="M181" i="4"/>
  <c r="R183" i="5"/>
  <c r="T183" i="5"/>
  <c r="U183" i="5"/>
  <c r="Q181" i="4"/>
  <c r="X183" i="5"/>
  <c r="R181" i="4"/>
  <c r="Z183" i="5"/>
  <c r="AH181" i="4"/>
  <c r="T181" i="4" a="1"/>
  <c r="T181" i="4"/>
  <c r="AC183" i="5"/>
  <c r="U181" i="4" a="1"/>
  <c r="U181" i="4"/>
  <c r="AD183" i="5"/>
  <c r="AF183" i="5"/>
  <c r="AG183" i="5"/>
  <c r="X181" i="4"/>
  <c r="AI183" i="5"/>
  <c r="Y181" i="4"/>
  <c r="AJ183" i="5"/>
  <c r="Z181" i="4"/>
  <c r="AL183" i="5"/>
  <c r="AN183" i="5"/>
  <c r="B182" i="4"/>
  <c r="S182" i="4"/>
  <c r="AA184" i="5"/>
  <c r="P182" i="4"/>
  <c r="W184" i="5"/>
  <c r="O184" i="5"/>
  <c r="K184" i="5"/>
  <c r="C182" i="4"/>
  <c r="C184" i="5"/>
  <c r="D182" i="4"/>
  <c r="E184" i="5"/>
  <c r="E182" i="4"/>
  <c r="F184" i="5"/>
  <c r="F182" i="4"/>
  <c r="H184" i="5"/>
  <c r="I184" i="5"/>
  <c r="I182" i="4"/>
  <c r="L184" i="5"/>
  <c r="J182" i="4"/>
  <c r="N184" i="5"/>
  <c r="L182" i="4"/>
  <c r="Q184" i="5"/>
  <c r="M182" i="4"/>
  <c r="R184" i="5"/>
  <c r="T184" i="5"/>
  <c r="U184" i="5"/>
  <c r="Q182" i="4"/>
  <c r="X184" i="5"/>
  <c r="R182" i="4"/>
  <c r="Z184" i="5"/>
  <c r="AH182" i="4"/>
  <c r="T182" i="4" a="1"/>
  <c r="T182" i="4"/>
  <c r="AC184" i="5"/>
  <c r="U182" i="4" a="1"/>
  <c r="U182" i="4"/>
  <c r="AD184" i="5"/>
  <c r="AF184" i="5"/>
  <c r="AG184" i="5"/>
  <c r="X182" i="4"/>
  <c r="AI184" i="5"/>
  <c r="Y182" i="4"/>
  <c r="AJ184" i="5"/>
  <c r="Z182" i="4"/>
  <c r="AL184" i="5"/>
  <c r="AN184" i="5"/>
  <c r="S183" i="4"/>
  <c r="AA185" i="5"/>
  <c r="P183" i="4"/>
  <c r="W185" i="5"/>
  <c r="O185" i="5"/>
  <c r="H183" i="4"/>
  <c r="K185" i="5"/>
  <c r="C183" i="4"/>
  <c r="C185" i="5"/>
  <c r="D183" i="4"/>
  <c r="E185" i="5"/>
  <c r="E183" i="4"/>
  <c r="F185" i="5"/>
  <c r="F183" i="4"/>
  <c r="H185" i="5"/>
  <c r="I185" i="5"/>
  <c r="I183" i="4"/>
  <c r="L185" i="5"/>
  <c r="J183" i="4"/>
  <c r="N185" i="5"/>
  <c r="L183" i="4"/>
  <c r="Q185" i="5"/>
  <c r="M183" i="4"/>
  <c r="R185" i="5"/>
  <c r="T185" i="5"/>
  <c r="U185" i="5"/>
  <c r="Q183" i="4"/>
  <c r="X185" i="5"/>
  <c r="R183" i="4"/>
  <c r="Z185" i="5"/>
  <c r="AH183" i="4"/>
  <c r="T183" i="4" a="1"/>
  <c r="T183" i="4"/>
  <c r="AC185" i="5"/>
  <c r="U183" i="4" a="1"/>
  <c r="U183" i="4"/>
  <c r="AD185" i="5"/>
  <c r="AF185" i="5"/>
  <c r="AG185" i="5"/>
  <c r="X183" i="4"/>
  <c r="AI185" i="5"/>
  <c r="Y183" i="4"/>
  <c r="AJ185" i="5"/>
  <c r="Z183" i="4"/>
  <c r="AL185" i="5"/>
  <c r="AN185" i="5"/>
  <c r="B184" i="4"/>
  <c r="S184" i="4"/>
  <c r="AA186" i="5"/>
  <c r="P184" i="4"/>
  <c r="W186" i="5"/>
  <c r="O186" i="5"/>
  <c r="K186" i="5"/>
  <c r="C184" i="4"/>
  <c r="C186" i="5"/>
  <c r="D184" i="4"/>
  <c r="E186" i="5"/>
  <c r="E184" i="4"/>
  <c r="F186" i="5"/>
  <c r="F184" i="4"/>
  <c r="H186" i="5"/>
  <c r="I186" i="5"/>
  <c r="I184" i="4"/>
  <c r="L186" i="5"/>
  <c r="J184" i="4"/>
  <c r="N186" i="5"/>
  <c r="L184" i="4"/>
  <c r="Q186" i="5"/>
  <c r="M184" i="4"/>
  <c r="R186" i="5"/>
  <c r="T186" i="5"/>
  <c r="U186" i="5"/>
  <c r="Q184" i="4"/>
  <c r="X186" i="5"/>
  <c r="R39" i="2"/>
  <c r="R184" i="4"/>
  <c r="Z186" i="5"/>
  <c r="AH184" i="4"/>
  <c r="T184" i="4" a="1"/>
  <c r="T184" i="4"/>
  <c r="AC186" i="5"/>
  <c r="U184" i="4" a="1"/>
  <c r="U184" i="4"/>
  <c r="AD186" i="5"/>
  <c r="AF186" i="5"/>
  <c r="AG186" i="5"/>
  <c r="X184" i="4"/>
  <c r="AI186" i="5"/>
  <c r="Y184" i="4"/>
  <c r="AJ186" i="5"/>
  <c r="Z184" i="4"/>
  <c r="AL186" i="5"/>
  <c r="AN186" i="5"/>
  <c r="B185" i="4"/>
  <c r="S185" i="4"/>
  <c r="AA187" i="5"/>
  <c r="P185" i="4"/>
  <c r="W187" i="5"/>
  <c r="O187" i="5"/>
  <c r="K187" i="5"/>
  <c r="C185" i="4"/>
  <c r="C187" i="5"/>
  <c r="D185" i="4"/>
  <c r="E187" i="5"/>
  <c r="E185" i="4"/>
  <c r="F187" i="5"/>
  <c r="F185" i="4"/>
  <c r="H187" i="5"/>
  <c r="I187" i="5"/>
  <c r="I32" i="2"/>
  <c r="I31" i="2"/>
  <c r="I185" i="4"/>
  <c r="L187" i="5"/>
  <c r="J32" i="2"/>
  <c r="J31" i="2"/>
  <c r="J185" i="4"/>
  <c r="N187" i="5"/>
  <c r="L185" i="4"/>
  <c r="Q187" i="5"/>
  <c r="M185" i="4"/>
  <c r="R187" i="5"/>
  <c r="T187" i="5"/>
  <c r="U187" i="5"/>
  <c r="Q185" i="4"/>
  <c r="X187" i="5"/>
  <c r="R185" i="4"/>
  <c r="Z187" i="5"/>
  <c r="AH185" i="4"/>
  <c r="T185" i="4" a="1"/>
  <c r="T185" i="4"/>
  <c r="AC187" i="5"/>
  <c r="U185" i="4" a="1"/>
  <c r="U185" i="4"/>
  <c r="AD187" i="5"/>
  <c r="AF187" i="5"/>
  <c r="AG187" i="5"/>
  <c r="X185" i="4"/>
  <c r="AI187" i="5"/>
  <c r="Y185" i="4"/>
  <c r="AJ187" i="5"/>
  <c r="Z185" i="4"/>
  <c r="AL187" i="5"/>
  <c r="AN187" i="5"/>
  <c r="AA188" i="5"/>
  <c r="P186" i="4"/>
  <c r="W188" i="5"/>
  <c r="O188" i="5"/>
  <c r="K188" i="5"/>
  <c r="C186" i="4"/>
  <c r="C188" i="5"/>
  <c r="D186" i="4"/>
  <c r="E188" i="5"/>
  <c r="L188" i="5"/>
  <c r="N188" i="5"/>
  <c r="L186" i="4"/>
  <c r="Q188" i="5"/>
  <c r="U188" i="5"/>
  <c r="Q186" i="4"/>
  <c r="X188" i="5"/>
  <c r="R186" i="4"/>
  <c r="Z188" i="5"/>
  <c r="AC188" i="5"/>
  <c r="AD188" i="5"/>
  <c r="AF188" i="5"/>
  <c r="AG188" i="5"/>
  <c r="X186" i="4"/>
  <c r="AI188" i="5"/>
  <c r="Y186" i="4"/>
  <c r="AJ188" i="5"/>
  <c r="Z186" i="4"/>
  <c r="AL188" i="5"/>
  <c r="R188" i="5"/>
  <c r="T188" i="5"/>
  <c r="AN188" i="5"/>
  <c r="C187" i="4"/>
  <c r="C189" i="5"/>
  <c r="D187" i="4"/>
  <c r="E189" i="5"/>
  <c r="K189" i="5"/>
  <c r="L187" i="4"/>
  <c r="Q189" i="5"/>
  <c r="M187" i="4"/>
  <c r="R189" i="5"/>
  <c r="T189" i="5"/>
  <c r="U189" i="5"/>
  <c r="P187" i="4"/>
  <c r="W189" i="5"/>
  <c r="Q187" i="4"/>
  <c r="X189" i="5"/>
  <c r="S187" i="4"/>
  <c r="AA189" i="5"/>
  <c r="AH187" i="4"/>
  <c r="T187" i="4" a="1"/>
  <c r="T187" i="4"/>
  <c r="AC189" i="5"/>
  <c r="U187" i="4" a="1"/>
  <c r="U187" i="4"/>
  <c r="AD189" i="5"/>
  <c r="AF189" i="5"/>
  <c r="AG189" i="5"/>
  <c r="X187" i="4"/>
  <c r="AI189" i="5"/>
  <c r="Y187" i="4"/>
  <c r="AJ189" i="5"/>
  <c r="Z187" i="4"/>
  <c r="AL189" i="5"/>
  <c r="AN189" i="5"/>
  <c r="C188" i="4"/>
  <c r="C190" i="5"/>
  <c r="D188" i="4"/>
  <c r="E190" i="5"/>
  <c r="H188" i="4"/>
  <c r="K190" i="5"/>
  <c r="L188" i="4"/>
  <c r="Q190" i="5"/>
  <c r="M188" i="4"/>
  <c r="R190" i="5"/>
  <c r="T190" i="5"/>
  <c r="U190" i="5"/>
  <c r="P188" i="4"/>
  <c r="W190" i="5"/>
  <c r="Q188" i="4"/>
  <c r="X190" i="5"/>
  <c r="AA190" i="5"/>
  <c r="AH188" i="4"/>
  <c r="T188" i="4" a="1"/>
  <c r="T188" i="4"/>
  <c r="AC190" i="5"/>
  <c r="U188" i="4" a="1"/>
  <c r="U188" i="4"/>
  <c r="AD190" i="5"/>
  <c r="AF190" i="5"/>
  <c r="AG190" i="5"/>
  <c r="X188" i="4"/>
  <c r="AI190" i="5"/>
  <c r="Y188" i="4"/>
  <c r="AJ190" i="5"/>
  <c r="Z188" i="4"/>
  <c r="AL190" i="5"/>
  <c r="AN190" i="5"/>
  <c r="C189" i="4"/>
  <c r="C191" i="5"/>
  <c r="D189" i="4"/>
  <c r="E191" i="5"/>
  <c r="H189" i="4"/>
  <c r="K191" i="5"/>
  <c r="L189" i="4"/>
  <c r="Q191" i="5"/>
  <c r="M189" i="4"/>
  <c r="R191" i="5"/>
  <c r="T191" i="5"/>
  <c r="U191" i="5"/>
  <c r="P189" i="4"/>
  <c r="W191" i="5"/>
  <c r="Q189" i="4"/>
  <c r="X191" i="5"/>
  <c r="AA191" i="5"/>
  <c r="AH189" i="4"/>
  <c r="T189" i="4" a="1"/>
  <c r="T189" i="4"/>
  <c r="AC191" i="5"/>
  <c r="U189" i="4" a="1"/>
  <c r="U189" i="4"/>
  <c r="AD191" i="5"/>
  <c r="AF191" i="5"/>
  <c r="AG191" i="5"/>
  <c r="X189" i="4"/>
  <c r="AI191" i="5"/>
  <c r="Y189" i="4"/>
  <c r="AJ191" i="5"/>
  <c r="Z189" i="4"/>
  <c r="AL191" i="5"/>
  <c r="AN191" i="5"/>
  <c r="C190" i="4"/>
  <c r="C192" i="5"/>
  <c r="D190" i="4"/>
  <c r="E192" i="5"/>
  <c r="H190" i="4"/>
  <c r="K192" i="5"/>
  <c r="L190" i="4"/>
  <c r="Q192" i="5"/>
  <c r="M190" i="4"/>
  <c r="R192" i="5"/>
  <c r="T192" i="5"/>
  <c r="U192" i="5"/>
  <c r="P190" i="4"/>
  <c r="W192" i="5"/>
  <c r="Q190" i="4"/>
  <c r="X192" i="5"/>
  <c r="AA192" i="5"/>
  <c r="AH190" i="4"/>
  <c r="T190" i="4" a="1"/>
  <c r="T190" i="4"/>
  <c r="AC192" i="5"/>
  <c r="U190" i="4" a="1"/>
  <c r="U190" i="4"/>
  <c r="AD192" i="5"/>
  <c r="AF192" i="5"/>
  <c r="AG192" i="5"/>
  <c r="X190" i="4"/>
  <c r="AI192" i="5"/>
  <c r="Y190" i="4"/>
  <c r="AJ192" i="5"/>
  <c r="Z190" i="4"/>
  <c r="AL192" i="5"/>
  <c r="AN192" i="5"/>
  <c r="B191" i="4"/>
  <c r="C191" i="4"/>
  <c r="C193" i="5"/>
  <c r="D191" i="4"/>
  <c r="E193" i="5"/>
  <c r="H191" i="4"/>
  <c r="K193" i="5"/>
  <c r="L191" i="4"/>
  <c r="Q193" i="5"/>
  <c r="M191" i="4"/>
  <c r="R193" i="5"/>
  <c r="T193" i="5"/>
  <c r="U193" i="5"/>
  <c r="P191" i="4"/>
  <c r="W193" i="5"/>
  <c r="Q191" i="4"/>
  <c r="X193" i="5"/>
  <c r="S191" i="4"/>
  <c r="AA193" i="5"/>
  <c r="AH191" i="4"/>
  <c r="T191" i="4" a="1"/>
  <c r="T191" i="4"/>
  <c r="AC193" i="5"/>
  <c r="U191" i="4" a="1"/>
  <c r="U191" i="4"/>
  <c r="AD193" i="5"/>
  <c r="AF193" i="5"/>
  <c r="AG193" i="5"/>
  <c r="X191" i="4"/>
  <c r="AI193" i="5"/>
  <c r="Y191" i="4"/>
  <c r="AJ193" i="5"/>
  <c r="Z191" i="4"/>
  <c r="AL193" i="5"/>
  <c r="AN193" i="5"/>
  <c r="C192" i="4"/>
  <c r="C194" i="5"/>
  <c r="D192" i="4"/>
  <c r="E194" i="5"/>
  <c r="K194" i="5"/>
  <c r="L192" i="4"/>
  <c r="Q194" i="5"/>
  <c r="M192" i="4"/>
  <c r="R194" i="5"/>
  <c r="T194" i="5"/>
  <c r="U194" i="5"/>
  <c r="P192" i="4"/>
  <c r="W194" i="5"/>
  <c r="Q192" i="4"/>
  <c r="X194" i="5"/>
  <c r="S192" i="4"/>
  <c r="AA194" i="5"/>
  <c r="AH192" i="4"/>
  <c r="T192" i="4" a="1"/>
  <c r="T192" i="4"/>
  <c r="AC194" i="5"/>
  <c r="U192" i="4" a="1"/>
  <c r="U192" i="4"/>
  <c r="AD194" i="5"/>
  <c r="AF194" i="5"/>
  <c r="AG194" i="5"/>
  <c r="X192" i="4"/>
  <c r="AI194" i="5"/>
  <c r="Y192" i="4"/>
  <c r="AJ194" i="5"/>
  <c r="Z192" i="4"/>
  <c r="AL194" i="5"/>
  <c r="AN194" i="5"/>
  <c r="C193" i="4"/>
  <c r="C195" i="5"/>
  <c r="D193" i="4"/>
  <c r="E195" i="5"/>
  <c r="K195" i="5"/>
  <c r="L193" i="4"/>
  <c r="Q195" i="5"/>
  <c r="M193" i="4"/>
  <c r="R195" i="5"/>
  <c r="T195" i="5"/>
  <c r="U195" i="5"/>
  <c r="P193" i="4"/>
  <c r="W195" i="5"/>
  <c r="Q193" i="4"/>
  <c r="X195" i="5"/>
  <c r="S193" i="4"/>
  <c r="AA195" i="5"/>
  <c r="AH193" i="4"/>
  <c r="T193" i="4" a="1"/>
  <c r="T193" i="4"/>
  <c r="AC195" i="5"/>
  <c r="U193" i="4" a="1"/>
  <c r="U193" i="4"/>
  <c r="AD195" i="5"/>
  <c r="AF195" i="5"/>
  <c r="AG195" i="5"/>
  <c r="X193" i="4"/>
  <c r="AI195" i="5"/>
  <c r="Y193" i="4"/>
  <c r="AJ195" i="5"/>
  <c r="Z193" i="4"/>
  <c r="AL195" i="5"/>
  <c r="AN195" i="5"/>
  <c r="C194" i="4"/>
  <c r="C196" i="5"/>
  <c r="D194" i="4"/>
  <c r="E196" i="5"/>
  <c r="H194" i="4"/>
  <c r="K196" i="5"/>
  <c r="L194" i="4"/>
  <c r="Q196" i="5"/>
  <c r="M194" i="4"/>
  <c r="R196" i="5"/>
  <c r="T196" i="5"/>
  <c r="U196" i="5"/>
  <c r="P194" i="4"/>
  <c r="W196" i="5"/>
  <c r="Q194" i="4"/>
  <c r="X196" i="5"/>
  <c r="S194" i="4"/>
  <c r="AA196" i="5"/>
  <c r="AH194" i="4"/>
  <c r="T194" i="4" a="1"/>
  <c r="T194" i="4"/>
  <c r="AC196" i="5"/>
  <c r="U194" i="4" a="1"/>
  <c r="U194" i="4"/>
  <c r="AD196" i="5"/>
  <c r="AF196" i="5"/>
  <c r="AG196" i="5"/>
  <c r="X194" i="4"/>
  <c r="AI196" i="5"/>
  <c r="Y194" i="4"/>
  <c r="AJ196" i="5"/>
  <c r="Z194" i="4"/>
  <c r="AL196" i="5"/>
  <c r="AN196" i="5"/>
  <c r="C195" i="4"/>
  <c r="C197" i="5"/>
  <c r="D195" i="4"/>
  <c r="E197" i="5"/>
  <c r="H195" i="4"/>
  <c r="K197" i="5"/>
  <c r="I195" i="4"/>
  <c r="L197" i="5"/>
  <c r="J195" i="4"/>
  <c r="N197" i="5"/>
  <c r="O197" i="5"/>
  <c r="L195" i="4"/>
  <c r="Q197" i="5"/>
  <c r="M195" i="4"/>
  <c r="R197" i="5"/>
  <c r="N27" i="2"/>
  <c r="N195" i="4"/>
  <c r="T197" i="5"/>
  <c r="U197" i="5"/>
  <c r="P195" i="4"/>
  <c r="W197" i="5"/>
  <c r="Q195" i="4"/>
  <c r="X197" i="5"/>
  <c r="S195" i="4"/>
  <c r="AA197" i="5"/>
  <c r="AH195" i="4"/>
  <c r="T195" i="4" a="1"/>
  <c r="T195" i="4"/>
  <c r="AC197" i="5"/>
  <c r="U195" i="4" a="1"/>
  <c r="U195" i="4"/>
  <c r="AD197" i="5"/>
  <c r="AF197" i="5"/>
  <c r="AG197" i="5"/>
  <c r="X195" i="4"/>
  <c r="AI197" i="5"/>
  <c r="Y195" i="4"/>
  <c r="AJ197" i="5"/>
  <c r="Z195" i="4"/>
  <c r="AL197" i="5"/>
  <c r="AN197" i="5"/>
  <c r="C196" i="4"/>
  <c r="C198" i="5"/>
  <c r="D196" i="4"/>
  <c r="E198" i="5"/>
  <c r="E196" i="4"/>
  <c r="F198" i="5"/>
  <c r="F196" i="4"/>
  <c r="H198" i="5"/>
  <c r="I198" i="5"/>
  <c r="H196" i="4"/>
  <c r="K198" i="5"/>
  <c r="L196" i="4"/>
  <c r="Q198" i="5"/>
  <c r="M196" i="4"/>
  <c r="R198" i="5"/>
  <c r="T198" i="5"/>
  <c r="U198" i="5"/>
  <c r="P196" i="4"/>
  <c r="W198" i="5"/>
  <c r="Q196" i="4"/>
  <c r="X198" i="5"/>
  <c r="S196" i="4"/>
  <c r="AA198" i="5"/>
  <c r="AH196" i="4"/>
  <c r="T196" i="4" a="1"/>
  <c r="T196" i="4"/>
  <c r="AC198" i="5"/>
  <c r="U196" i="4" a="1"/>
  <c r="U196" i="4"/>
  <c r="AD198" i="5"/>
  <c r="AF198" i="5"/>
  <c r="AG198" i="5"/>
  <c r="X196" i="4"/>
  <c r="AI198" i="5"/>
  <c r="Y196" i="4"/>
  <c r="AJ198" i="5"/>
  <c r="Z196" i="4"/>
  <c r="AL198" i="5"/>
  <c r="L198" i="5"/>
  <c r="N198" i="5"/>
  <c r="O198" i="5"/>
  <c r="AN198" i="5"/>
  <c r="C197" i="4"/>
  <c r="C199" i="5"/>
  <c r="D197" i="4"/>
  <c r="E199" i="5"/>
  <c r="F199" i="5"/>
  <c r="H199" i="5"/>
  <c r="I199" i="5"/>
  <c r="H197" i="4"/>
  <c r="K199" i="5"/>
  <c r="L197" i="4"/>
  <c r="Q199" i="5"/>
  <c r="M197" i="4"/>
  <c r="R199" i="5"/>
  <c r="T199" i="5"/>
  <c r="U199" i="5"/>
  <c r="P197" i="4"/>
  <c r="W199" i="5"/>
  <c r="Q197" i="4"/>
  <c r="X199" i="5"/>
  <c r="S197" i="4"/>
  <c r="AA199" i="5"/>
  <c r="AH197" i="4"/>
  <c r="T197" i="4" a="1"/>
  <c r="T197" i="4"/>
  <c r="AC199" i="5"/>
  <c r="U197" i="4" a="1"/>
  <c r="U197" i="4"/>
  <c r="AD199" i="5"/>
  <c r="AF199" i="5"/>
  <c r="AG199" i="5"/>
  <c r="X197" i="4"/>
  <c r="AI199" i="5"/>
  <c r="Y197" i="4"/>
  <c r="AJ199" i="5"/>
  <c r="Z197" i="4"/>
  <c r="AL199" i="5"/>
  <c r="L199" i="5"/>
  <c r="N199" i="5"/>
  <c r="O199" i="5"/>
  <c r="AN199" i="5"/>
  <c r="C198" i="4"/>
  <c r="C200" i="5"/>
  <c r="D198" i="4"/>
  <c r="E200" i="5"/>
  <c r="L198" i="4"/>
  <c r="Q200" i="5"/>
  <c r="M198" i="4"/>
  <c r="R200" i="5"/>
  <c r="T200" i="5"/>
  <c r="U200" i="5"/>
  <c r="P198" i="4"/>
  <c r="W200" i="5"/>
  <c r="Q198" i="4"/>
  <c r="X200" i="5"/>
  <c r="S198" i="4"/>
  <c r="AA200" i="5"/>
  <c r="AH198" i="4"/>
  <c r="T198" i="4" a="1"/>
  <c r="T198" i="4"/>
  <c r="AC200" i="5"/>
  <c r="U198" i="4" a="1"/>
  <c r="U198" i="4"/>
  <c r="AD200" i="5"/>
  <c r="AF200" i="5"/>
  <c r="AG200" i="5"/>
  <c r="X198" i="4"/>
  <c r="AI200" i="5"/>
  <c r="Y198" i="4"/>
  <c r="AJ200" i="5"/>
  <c r="Z198" i="4"/>
  <c r="AL200" i="5"/>
  <c r="L200" i="5"/>
  <c r="N200" i="5"/>
  <c r="O200" i="5"/>
  <c r="AN200" i="5"/>
  <c r="B199" i="4"/>
  <c r="C199" i="4"/>
  <c r="C201" i="5"/>
  <c r="D199" i="4"/>
  <c r="E201" i="5"/>
  <c r="K201" i="5"/>
  <c r="L199" i="4"/>
  <c r="Q201" i="5"/>
  <c r="M199" i="4"/>
  <c r="R201" i="5"/>
  <c r="N32" i="2"/>
  <c r="N199" i="4"/>
  <c r="T201" i="5"/>
  <c r="O199" i="4"/>
  <c r="U201" i="5"/>
  <c r="P199" i="4"/>
  <c r="W201" i="5"/>
  <c r="Q199" i="4"/>
  <c r="X201" i="5"/>
  <c r="S199" i="4"/>
  <c r="AA201" i="5"/>
  <c r="AH199" i="4"/>
  <c r="T199" i="4" a="1"/>
  <c r="T199" i="4"/>
  <c r="AC201" i="5"/>
  <c r="U199" i="4" a="1"/>
  <c r="U199" i="4"/>
  <c r="AD201" i="5"/>
  <c r="AF201" i="5"/>
  <c r="AG201" i="5"/>
  <c r="X199" i="4"/>
  <c r="AI201" i="5"/>
  <c r="Y199" i="4"/>
  <c r="AJ201" i="5"/>
  <c r="Z199" i="4"/>
  <c r="AL201" i="5"/>
  <c r="L201" i="5"/>
  <c r="N201" i="5"/>
  <c r="O201" i="5"/>
  <c r="AN201" i="5"/>
  <c r="B200" i="4"/>
  <c r="C200" i="4"/>
  <c r="C202" i="5"/>
  <c r="D200" i="4"/>
  <c r="E202" i="5"/>
  <c r="K202" i="5"/>
  <c r="I28" i="2"/>
  <c r="I200" i="4"/>
  <c r="L202" i="5"/>
  <c r="J28" i="2"/>
  <c r="J200" i="4"/>
  <c r="N202" i="5"/>
  <c r="O202" i="5"/>
  <c r="L200" i="4"/>
  <c r="Q202" i="5"/>
  <c r="M200" i="4"/>
  <c r="R202" i="5"/>
  <c r="N28" i="2"/>
  <c r="N200" i="4"/>
  <c r="T202" i="5"/>
  <c r="O200" i="4"/>
  <c r="U202" i="5"/>
  <c r="P200" i="4"/>
  <c r="W202" i="5"/>
  <c r="Q200" i="4"/>
  <c r="X202" i="5"/>
  <c r="S200" i="4"/>
  <c r="AA202" i="5"/>
  <c r="AH200" i="4"/>
  <c r="T200" i="4" a="1"/>
  <c r="T200" i="4"/>
  <c r="AC202" i="5"/>
  <c r="U200" i="4" a="1"/>
  <c r="U200" i="4"/>
  <c r="AD202" i="5"/>
  <c r="AF202" i="5"/>
  <c r="AG202" i="5"/>
  <c r="X200" i="4"/>
  <c r="AI202" i="5"/>
  <c r="Y200" i="4"/>
  <c r="AJ202" i="5"/>
  <c r="Z200" i="4"/>
  <c r="AL202" i="5"/>
  <c r="AN202" i="5"/>
  <c r="B201" i="4"/>
  <c r="C201" i="4"/>
  <c r="C203" i="5"/>
  <c r="D201" i="4"/>
  <c r="E203" i="5"/>
  <c r="K203" i="5"/>
  <c r="L201" i="4"/>
  <c r="Q203" i="5"/>
  <c r="M201" i="4"/>
  <c r="R203" i="5"/>
  <c r="N201" i="4"/>
  <c r="T203" i="5"/>
  <c r="O201" i="4"/>
  <c r="U203" i="5"/>
  <c r="P201" i="4"/>
  <c r="W203" i="5"/>
  <c r="Q201" i="4"/>
  <c r="X203" i="5"/>
  <c r="S201" i="4"/>
  <c r="AA203" i="5"/>
  <c r="AH201" i="4"/>
  <c r="T201" i="4" a="1"/>
  <c r="T201" i="4"/>
  <c r="AC203" i="5"/>
  <c r="U201" i="4" a="1"/>
  <c r="U201" i="4"/>
  <c r="AD203" i="5"/>
  <c r="AF203" i="5"/>
  <c r="AG203" i="5"/>
  <c r="X201" i="4"/>
  <c r="AI203" i="5"/>
  <c r="Y201" i="4"/>
  <c r="AJ203" i="5"/>
  <c r="Z201" i="4"/>
  <c r="AL203" i="5"/>
  <c r="L203" i="5"/>
  <c r="N203" i="5"/>
  <c r="O203" i="5"/>
  <c r="AN203" i="5"/>
  <c r="B202" i="4"/>
  <c r="C202" i="4"/>
  <c r="C204" i="5"/>
  <c r="D202" i="4"/>
  <c r="E204" i="5"/>
  <c r="K204" i="5"/>
  <c r="L202" i="4"/>
  <c r="Q204" i="5"/>
  <c r="M202" i="4"/>
  <c r="R204" i="5"/>
  <c r="T204" i="5"/>
  <c r="U204" i="5"/>
  <c r="P202" i="4"/>
  <c r="W204" i="5"/>
  <c r="Q202" i="4"/>
  <c r="X204" i="5"/>
  <c r="S202" i="4"/>
  <c r="AA204" i="5"/>
  <c r="AH202" i="4"/>
  <c r="T202" i="4" a="1"/>
  <c r="T202" i="4"/>
  <c r="AC204" i="5"/>
  <c r="U202" i="4" a="1"/>
  <c r="U202" i="4"/>
  <c r="AD204" i="5"/>
  <c r="AF204" i="5"/>
  <c r="AG204" i="5"/>
  <c r="X202" i="4"/>
  <c r="AI204" i="5"/>
  <c r="Y202" i="4"/>
  <c r="AJ204" i="5"/>
  <c r="Z202" i="4"/>
  <c r="AL204" i="5"/>
  <c r="L204" i="5"/>
  <c r="N204" i="5"/>
  <c r="O204" i="5"/>
  <c r="AN204" i="5"/>
  <c r="B203" i="4"/>
  <c r="C203" i="4"/>
  <c r="C205" i="5"/>
  <c r="D203" i="4"/>
  <c r="E205" i="5"/>
  <c r="K205" i="5"/>
  <c r="I203" i="4"/>
  <c r="L205" i="5"/>
  <c r="J203" i="4"/>
  <c r="N205" i="5"/>
  <c r="O205" i="5"/>
  <c r="L203" i="4"/>
  <c r="Q205" i="5"/>
  <c r="M203" i="4"/>
  <c r="R205" i="5"/>
  <c r="N31" i="2"/>
  <c r="N203" i="4"/>
  <c r="T205" i="5"/>
  <c r="O203" i="4"/>
  <c r="U205" i="5"/>
  <c r="P203" i="4"/>
  <c r="W205" i="5"/>
  <c r="Q203" i="4"/>
  <c r="X205" i="5"/>
  <c r="S203" i="4"/>
  <c r="AA205" i="5"/>
  <c r="AH203" i="4"/>
  <c r="T203" i="4" a="1"/>
  <c r="T203" i="4"/>
  <c r="AC205" i="5"/>
  <c r="U203" i="4" a="1"/>
  <c r="U203" i="4"/>
  <c r="AD205" i="5"/>
  <c r="AF205" i="5"/>
  <c r="AG205" i="5"/>
  <c r="X203" i="4"/>
  <c r="AI205" i="5"/>
  <c r="Y203" i="4"/>
  <c r="AJ205" i="5"/>
  <c r="Z203" i="4"/>
  <c r="AL205" i="5"/>
  <c r="AN205" i="5"/>
  <c r="B204" i="4"/>
  <c r="C204" i="4"/>
  <c r="C206" i="5"/>
  <c r="D204" i="4"/>
  <c r="E206" i="5"/>
  <c r="K206" i="5"/>
  <c r="L204" i="4"/>
  <c r="Q206" i="5"/>
  <c r="M204" i="4"/>
  <c r="R206" i="5"/>
  <c r="N30" i="2"/>
  <c r="N204" i="4"/>
  <c r="T206" i="5"/>
  <c r="O204" i="4"/>
  <c r="U206" i="5"/>
  <c r="P204" i="4"/>
  <c r="W206" i="5"/>
  <c r="Q204" i="4"/>
  <c r="X206" i="5"/>
  <c r="S204" i="4"/>
  <c r="AA206" i="5"/>
  <c r="AH204" i="4"/>
  <c r="T204" i="4" a="1"/>
  <c r="T204" i="4"/>
  <c r="AC206" i="5"/>
  <c r="U204" i="4" a="1"/>
  <c r="U204" i="4"/>
  <c r="AD206" i="5"/>
  <c r="AF206" i="5"/>
  <c r="AG206" i="5"/>
  <c r="X204" i="4"/>
  <c r="AI206" i="5"/>
  <c r="Y204" i="4"/>
  <c r="AJ206" i="5"/>
  <c r="Z204" i="4"/>
  <c r="AL206" i="5"/>
  <c r="L206" i="5"/>
  <c r="N206" i="5"/>
  <c r="O206" i="5"/>
  <c r="AN206" i="5"/>
  <c r="C205" i="4"/>
  <c r="C207" i="5"/>
  <c r="D205" i="4"/>
  <c r="E207" i="5"/>
  <c r="H205" i="4"/>
  <c r="K207" i="5"/>
  <c r="I205" i="4"/>
  <c r="L207" i="5"/>
  <c r="J205" i="4"/>
  <c r="N207" i="5"/>
  <c r="O207" i="5"/>
  <c r="L205" i="4"/>
  <c r="Q207" i="5"/>
  <c r="M205" i="4"/>
  <c r="R207" i="5"/>
  <c r="N34" i="2"/>
  <c r="N205" i="4"/>
  <c r="T207" i="5"/>
  <c r="U207" i="5"/>
  <c r="P205" i="4"/>
  <c r="W207" i="5"/>
  <c r="Q205" i="4"/>
  <c r="X207" i="5"/>
  <c r="S205" i="4"/>
  <c r="AA207" i="5"/>
  <c r="AF207" i="5"/>
  <c r="AG207" i="5"/>
  <c r="X205" i="4"/>
  <c r="AI207" i="5"/>
  <c r="Y205" i="4"/>
  <c r="AJ207" i="5"/>
  <c r="Z205" i="4"/>
  <c r="AL207" i="5"/>
  <c r="AN207" i="5"/>
  <c r="C206" i="4"/>
  <c r="C208" i="5"/>
  <c r="D206" i="4"/>
  <c r="E208" i="5"/>
  <c r="H206" i="4"/>
  <c r="K208" i="5"/>
  <c r="L206" i="4"/>
  <c r="Q208" i="5"/>
  <c r="M206" i="4"/>
  <c r="R208" i="5"/>
  <c r="T208" i="5"/>
  <c r="U208" i="5"/>
  <c r="P206" i="4"/>
  <c r="W208" i="5"/>
  <c r="Q206" i="4"/>
  <c r="X208" i="5"/>
  <c r="S206" i="4"/>
  <c r="AA208" i="5"/>
  <c r="AH206" i="4"/>
  <c r="T206" i="4" a="1"/>
  <c r="T206" i="4"/>
  <c r="AC208" i="5"/>
  <c r="U206" i="4" a="1"/>
  <c r="U206" i="4"/>
  <c r="AD208" i="5"/>
  <c r="AF208" i="5"/>
  <c r="AG208" i="5"/>
  <c r="X206" i="4"/>
  <c r="AI208" i="5"/>
  <c r="Y206" i="4"/>
  <c r="AJ208" i="5"/>
  <c r="Z206" i="4"/>
  <c r="AL208" i="5"/>
  <c r="AN208" i="5"/>
  <c r="C207" i="4"/>
  <c r="C209" i="5"/>
  <c r="D207" i="4"/>
  <c r="E209" i="5"/>
  <c r="E207" i="4"/>
  <c r="F209" i="5"/>
  <c r="F207" i="4"/>
  <c r="H209" i="5"/>
  <c r="I209" i="5"/>
  <c r="H207" i="4"/>
  <c r="K209" i="5"/>
  <c r="L207" i="4"/>
  <c r="Q209" i="5"/>
  <c r="M207" i="4"/>
  <c r="R209" i="5"/>
  <c r="T209" i="5"/>
  <c r="U209" i="5"/>
  <c r="P207" i="4"/>
  <c r="W209" i="5"/>
  <c r="Q207" i="4"/>
  <c r="X209" i="5"/>
  <c r="S207" i="4"/>
  <c r="AA209" i="5"/>
  <c r="AH207" i="4"/>
  <c r="T207" i="4" a="1"/>
  <c r="T207" i="4"/>
  <c r="AC209" i="5"/>
  <c r="U207" i="4" a="1"/>
  <c r="U207" i="4"/>
  <c r="AD209" i="5"/>
  <c r="AF209" i="5"/>
  <c r="AG209" i="5"/>
  <c r="X207" i="4"/>
  <c r="AI209" i="5"/>
  <c r="Y207" i="4"/>
  <c r="AJ209" i="5"/>
  <c r="Z207" i="4"/>
  <c r="AL209" i="5"/>
  <c r="AN209" i="5"/>
  <c r="C208" i="4"/>
  <c r="C210" i="5"/>
  <c r="D208" i="4"/>
  <c r="E210" i="5"/>
  <c r="E208" i="4"/>
  <c r="F210" i="5"/>
  <c r="F208" i="4"/>
  <c r="H210" i="5"/>
  <c r="I210" i="5"/>
  <c r="H208" i="4"/>
  <c r="K210" i="5"/>
  <c r="L208" i="4"/>
  <c r="Q210" i="5"/>
  <c r="M208" i="4"/>
  <c r="R210" i="5"/>
  <c r="N208" i="4"/>
  <c r="T210" i="5"/>
  <c r="U210" i="5"/>
  <c r="P208" i="4"/>
  <c r="W210" i="5"/>
  <c r="Q208" i="4"/>
  <c r="X210" i="5"/>
  <c r="S208" i="4"/>
  <c r="AA210" i="5"/>
  <c r="AF210" i="5"/>
  <c r="AG210" i="5"/>
  <c r="X208" i="4"/>
  <c r="AI210" i="5"/>
  <c r="Y208" i="4"/>
  <c r="AJ210" i="5"/>
  <c r="Z208" i="4"/>
  <c r="AL210" i="5"/>
  <c r="AN210" i="5"/>
  <c r="C209" i="4"/>
  <c r="C211" i="5"/>
  <c r="D209" i="4"/>
  <c r="E211" i="5"/>
  <c r="E209" i="4"/>
  <c r="F211" i="5"/>
  <c r="F209" i="4"/>
  <c r="H211" i="5"/>
  <c r="I211" i="5"/>
  <c r="H209" i="4"/>
  <c r="K211" i="5"/>
  <c r="L209" i="4"/>
  <c r="Q211" i="5"/>
  <c r="M209" i="4"/>
  <c r="R211" i="5"/>
  <c r="T211" i="5"/>
  <c r="U211" i="5"/>
  <c r="P209" i="4"/>
  <c r="W211" i="5"/>
  <c r="Q209" i="4"/>
  <c r="X211" i="5"/>
  <c r="S209" i="4"/>
  <c r="AA211" i="5"/>
  <c r="AH209" i="4"/>
  <c r="T209" i="4" a="1"/>
  <c r="T209" i="4"/>
  <c r="AC211" i="5"/>
  <c r="U209" i="4" a="1"/>
  <c r="U209" i="4"/>
  <c r="AD211" i="5"/>
  <c r="AF211" i="5"/>
  <c r="AG211" i="5"/>
  <c r="X209" i="4"/>
  <c r="AI211" i="5"/>
  <c r="Y209" i="4"/>
  <c r="AJ211" i="5"/>
  <c r="Z209" i="4"/>
  <c r="AL211" i="5"/>
  <c r="AN211" i="5"/>
  <c r="C210" i="4"/>
  <c r="C212" i="5"/>
  <c r="D210" i="4"/>
  <c r="E212" i="5"/>
  <c r="E210" i="4"/>
  <c r="F212" i="5"/>
  <c r="F210" i="4"/>
  <c r="H212" i="5"/>
  <c r="I212" i="5"/>
  <c r="H210" i="4"/>
  <c r="K212" i="5"/>
  <c r="L210" i="4"/>
  <c r="Q212" i="5"/>
  <c r="M210" i="4"/>
  <c r="R212" i="5"/>
  <c r="T212" i="5"/>
  <c r="U212" i="5"/>
  <c r="P210" i="4"/>
  <c r="W212" i="5"/>
  <c r="Q210" i="4"/>
  <c r="X212" i="5"/>
  <c r="S210" i="4"/>
  <c r="AA212" i="5"/>
  <c r="AH210" i="4"/>
  <c r="T210" i="4" a="1"/>
  <c r="T210" i="4"/>
  <c r="AC212" i="5"/>
  <c r="U210" i="4" a="1"/>
  <c r="U210" i="4"/>
  <c r="AD212" i="5"/>
  <c r="AF212" i="5"/>
  <c r="AG212" i="5"/>
  <c r="X210" i="4"/>
  <c r="AI212" i="5"/>
  <c r="Y210" i="4"/>
  <c r="AJ212" i="5"/>
  <c r="Z210" i="4"/>
  <c r="AL212" i="5"/>
  <c r="AN212" i="5"/>
  <c r="C211" i="4"/>
  <c r="C213" i="5"/>
  <c r="D211" i="4"/>
  <c r="E213" i="5"/>
  <c r="E211" i="4"/>
  <c r="F213" i="5"/>
  <c r="F211" i="4"/>
  <c r="H213" i="5"/>
  <c r="I213" i="5"/>
  <c r="H211" i="4"/>
  <c r="K213" i="5"/>
  <c r="L211" i="4"/>
  <c r="Q213" i="5"/>
  <c r="M211" i="4"/>
  <c r="R213" i="5"/>
  <c r="T213" i="5"/>
  <c r="U213" i="5"/>
  <c r="P211" i="4"/>
  <c r="W213" i="5"/>
  <c r="Q211" i="4"/>
  <c r="X213" i="5"/>
  <c r="S211" i="4"/>
  <c r="AA213" i="5"/>
  <c r="AH211" i="4"/>
  <c r="T211" i="4" a="1"/>
  <c r="T211" i="4"/>
  <c r="AC213" i="5"/>
  <c r="U211" i="4" a="1"/>
  <c r="U211" i="4"/>
  <c r="AD213" i="5"/>
  <c r="AF213" i="5"/>
  <c r="AG213" i="5"/>
  <c r="X211" i="4"/>
  <c r="AI213" i="5"/>
  <c r="Y211" i="4"/>
  <c r="AJ213" i="5"/>
  <c r="Z211" i="4"/>
  <c r="AL213" i="5"/>
  <c r="AN213" i="5"/>
  <c r="C212" i="4"/>
  <c r="C214" i="5"/>
  <c r="D212" i="4"/>
  <c r="E214" i="5"/>
  <c r="E212" i="4"/>
  <c r="F214" i="5"/>
  <c r="F212" i="4"/>
  <c r="H214" i="5"/>
  <c r="I214" i="5"/>
  <c r="H212" i="4"/>
  <c r="K214" i="5"/>
  <c r="L212" i="4"/>
  <c r="Q214" i="5"/>
  <c r="M212" i="4"/>
  <c r="R214" i="5"/>
  <c r="T214" i="5"/>
  <c r="U214" i="5"/>
  <c r="P212" i="4"/>
  <c r="W214" i="5"/>
  <c r="Q212" i="4"/>
  <c r="X214" i="5"/>
  <c r="S212" i="4"/>
  <c r="AA214" i="5"/>
  <c r="AH212" i="4"/>
  <c r="T212" i="4" a="1"/>
  <c r="T212" i="4"/>
  <c r="AC214" i="5"/>
  <c r="U212" i="4" a="1"/>
  <c r="U212" i="4"/>
  <c r="AD214" i="5"/>
  <c r="AF214" i="5"/>
  <c r="AG214" i="5"/>
  <c r="X212" i="4"/>
  <c r="AI214" i="5"/>
  <c r="Y212" i="4"/>
  <c r="AJ214" i="5"/>
  <c r="Z212" i="4"/>
  <c r="AL214" i="5"/>
  <c r="AN214" i="5"/>
  <c r="O215" i="5"/>
  <c r="H213" i="4"/>
  <c r="K215" i="5"/>
  <c r="C213" i="4"/>
  <c r="C215" i="5"/>
  <c r="D213" i="4"/>
  <c r="E215" i="5"/>
  <c r="E213" i="4"/>
  <c r="F215" i="5"/>
  <c r="F213" i="4"/>
  <c r="H215" i="5"/>
  <c r="I215" i="5"/>
  <c r="I213" i="4"/>
  <c r="L215" i="5"/>
  <c r="J213" i="4"/>
  <c r="N215" i="5"/>
  <c r="L213" i="4"/>
  <c r="Q215" i="5"/>
  <c r="M213" i="4"/>
  <c r="R215" i="5"/>
  <c r="N39" i="2"/>
  <c r="N213" i="4"/>
  <c r="T215" i="5"/>
  <c r="U215" i="5"/>
  <c r="P213" i="4"/>
  <c r="W215" i="5"/>
  <c r="Q213" i="4"/>
  <c r="X215" i="5"/>
  <c r="S213" i="4"/>
  <c r="AA215" i="5"/>
  <c r="AF215" i="5"/>
  <c r="AG215" i="5"/>
  <c r="X213" i="4"/>
  <c r="AI215" i="5"/>
  <c r="Y213" i="4"/>
  <c r="AJ215" i="5"/>
  <c r="Z213" i="4"/>
  <c r="AL215" i="5"/>
  <c r="AN215" i="5"/>
  <c r="O216" i="5"/>
  <c r="H214" i="4"/>
  <c r="K216" i="5"/>
  <c r="C214" i="4"/>
  <c r="C216" i="5"/>
  <c r="D214" i="4"/>
  <c r="E216" i="5"/>
  <c r="E214" i="4"/>
  <c r="F216" i="5"/>
  <c r="F214" i="4"/>
  <c r="H216" i="5"/>
  <c r="I216" i="5"/>
  <c r="L214" i="4"/>
  <c r="Q216" i="5"/>
  <c r="M214" i="4"/>
  <c r="R216" i="5"/>
  <c r="T216" i="5"/>
  <c r="U216" i="5"/>
  <c r="P214" i="4"/>
  <c r="W216" i="5"/>
  <c r="Q214" i="4"/>
  <c r="X216" i="5"/>
  <c r="S214" i="4"/>
  <c r="AA216" i="5"/>
  <c r="AH214" i="4"/>
  <c r="T214" i="4" a="1"/>
  <c r="T214" i="4"/>
  <c r="AC216" i="5"/>
  <c r="U214" i="4" a="1"/>
  <c r="U214" i="4"/>
  <c r="AD216" i="5"/>
  <c r="AF216" i="5"/>
  <c r="AG216" i="5"/>
  <c r="X214" i="4"/>
  <c r="AI216" i="5"/>
  <c r="Y214" i="4"/>
  <c r="AJ216" i="5"/>
  <c r="Z214" i="4"/>
  <c r="AL216" i="5"/>
  <c r="AN216" i="5"/>
  <c r="O217" i="5"/>
  <c r="H215" i="4"/>
  <c r="K217" i="5"/>
  <c r="C215" i="4"/>
  <c r="C217" i="5"/>
  <c r="D215" i="4"/>
  <c r="E217" i="5"/>
  <c r="E215" i="4"/>
  <c r="F217" i="5"/>
  <c r="F215" i="4"/>
  <c r="H217" i="5"/>
  <c r="I217" i="5"/>
  <c r="I215" i="4"/>
  <c r="L217" i="5"/>
  <c r="J215" i="4"/>
  <c r="N217" i="5"/>
  <c r="L215" i="4"/>
  <c r="Q217" i="5"/>
  <c r="M215" i="4"/>
  <c r="R217" i="5"/>
  <c r="T217" i="5"/>
  <c r="U217" i="5"/>
  <c r="P215" i="4"/>
  <c r="W217" i="5"/>
  <c r="Q215" i="4"/>
  <c r="X217" i="5"/>
  <c r="S215" i="4"/>
  <c r="AA217" i="5"/>
  <c r="AH215" i="4"/>
  <c r="T215" i="4" a="1"/>
  <c r="T215" i="4"/>
  <c r="AC217" i="5"/>
  <c r="U215" i="4" a="1"/>
  <c r="U215" i="4"/>
  <c r="AD217" i="5"/>
  <c r="AF217" i="5"/>
  <c r="AG217" i="5"/>
  <c r="X215" i="4"/>
  <c r="AI217" i="5"/>
  <c r="Y215" i="4"/>
  <c r="AJ217" i="5"/>
  <c r="Z215" i="4"/>
  <c r="AL217" i="5"/>
  <c r="AN217" i="5"/>
  <c r="C216" i="4"/>
  <c r="C218" i="5"/>
  <c r="N216" i="4"/>
  <c r="T218" i="5"/>
  <c r="U218" i="5"/>
  <c r="P216" i="4"/>
  <c r="W218" i="5"/>
  <c r="Q216" i="4"/>
  <c r="X218" i="5"/>
  <c r="S216" i="4"/>
  <c r="AA218" i="5"/>
  <c r="AH216" i="4"/>
  <c r="T216" i="4" a="1"/>
  <c r="T216" i="4"/>
  <c r="AC218" i="5"/>
  <c r="U216" i="4" a="1"/>
  <c r="U216" i="4"/>
  <c r="AD218" i="5"/>
  <c r="AF218" i="5"/>
  <c r="AG218" i="5"/>
  <c r="X216" i="4"/>
  <c r="AI218" i="5"/>
  <c r="Y216" i="4"/>
  <c r="AJ218" i="5"/>
  <c r="Z216" i="4"/>
  <c r="AL218" i="5"/>
  <c r="F218" i="5"/>
  <c r="H218" i="5"/>
  <c r="I218" i="5"/>
  <c r="L218" i="5"/>
  <c r="N218" i="5"/>
  <c r="O218" i="5"/>
  <c r="AN218" i="5"/>
  <c r="C217" i="4"/>
  <c r="C219" i="5"/>
  <c r="D217" i="4"/>
  <c r="E219" i="5"/>
  <c r="E217" i="4"/>
  <c r="F219" i="5"/>
  <c r="F217" i="4"/>
  <c r="H219" i="5"/>
  <c r="I219" i="5"/>
  <c r="H217" i="4"/>
  <c r="K219" i="5"/>
  <c r="L217" i="4"/>
  <c r="Q219" i="5"/>
  <c r="M217" i="4"/>
  <c r="R219" i="5"/>
  <c r="T219" i="5"/>
  <c r="U219" i="5"/>
  <c r="P217" i="4"/>
  <c r="W219" i="5"/>
  <c r="Q217" i="4"/>
  <c r="X219" i="5"/>
  <c r="AA219" i="5"/>
  <c r="AH217" i="4"/>
  <c r="T217" i="4" a="1"/>
  <c r="T217" i="4"/>
  <c r="AC219" i="5"/>
  <c r="U217" i="4" a="1"/>
  <c r="U217" i="4"/>
  <c r="AD219" i="5"/>
  <c r="AF219" i="5"/>
  <c r="AG219" i="5"/>
  <c r="X217" i="4"/>
  <c r="AI219" i="5"/>
  <c r="L219" i="5"/>
  <c r="N219" i="5"/>
  <c r="O219" i="5"/>
  <c r="AN219" i="5"/>
  <c r="C218" i="4"/>
  <c r="C220" i="5"/>
  <c r="D218" i="4"/>
  <c r="E220" i="5"/>
  <c r="E218" i="4"/>
  <c r="F220" i="5"/>
  <c r="F218" i="4"/>
  <c r="H220" i="5"/>
  <c r="I220" i="5"/>
  <c r="H218" i="4"/>
  <c r="K220" i="5"/>
  <c r="L218" i="4"/>
  <c r="Q220" i="5"/>
  <c r="M218" i="4"/>
  <c r="R220" i="5"/>
  <c r="T220" i="5"/>
  <c r="U220" i="5"/>
  <c r="P218" i="4"/>
  <c r="W220" i="5"/>
  <c r="Q218" i="4"/>
  <c r="X220" i="5"/>
  <c r="S218" i="4"/>
  <c r="AA220" i="5"/>
  <c r="AH218" i="4"/>
  <c r="T218" i="4" a="1"/>
  <c r="T218" i="4"/>
  <c r="AC220" i="5"/>
  <c r="U218" i="4" a="1"/>
  <c r="U218" i="4"/>
  <c r="AD220" i="5"/>
  <c r="AF220" i="5"/>
  <c r="AG220" i="5"/>
  <c r="X218" i="4"/>
  <c r="AI220" i="5"/>
  <c r="Y218" i="4"/>
  <c r="AJ220" i="5"/>
  <c r="Z218" i="4"/>
  <c r="AL220" i="5"/>
  <c r="L220" i="5"/>
  <c r="N220" i="5"/>
  <c r="O220" i="5"/>
  <c r="AN220" i="5"/>
  <c r="O221" i="5"/>
  <c r="H219" i="4"/>
  <c r="K221" i="5"/>
  <c r="C219" i="4"/>
  <c r="C221" i="5"/>
  <c r="D219" i="4"/>
  <c r="E221" i="5"/>
  <c r="E219" i="4"/>
  <c r="F221" i="5"/>
  <c r="F219" i="4"/>
  <c r="H221" i="5"/>
  <c r="I221" i="5"/>
  <c r="I12" i="2"/>
  <c r="I219" i="4"/>
  <c r="L221" i="5"/>
  <c r="J219" i="4"/>
  <c r="N221" i="5"/>
  <c r="L219" i="4"/>
  <c r="Q221" i="5"/>
  <c r="M219" i="4"/>
  <c r="R221" i="5"/>
  <c r="T221" i="5"/>
  <c r="U221" i="5"/>
  <c r="P219" i="4"/>
  <c r="W221" i="5"/>
  <c r="Q219" i="4"/>
  <c r="X221" i="5"/>
  <c r="S219" i="4"/>
  <c r="AA221" i="5"/>
  <c r="AH219" i="4"/>
  <c r="T219" i="4" a="1"/>
  <c r="T219" i="4"/>
  <c r="AC221" i="5"/>
  <c r="U219" i="4" a="1"/>
  <c r="U219" i="4"/>
  <c r="AD221" i="5"/>
  <c r="AF221" i="5"/>
  <c r="AG221" i="5"/>
  <c r="X219" i="4"/>
  <c r="AI221" i="5"/>
  <c r="Y219" i="4"/>
  <c r="AJ221" i="5"/>
  <c r="Z219" i="4"/>
  <c r="AL221" i="5"/>
  <c r="AN221" i="5"/>
  <c r="C220" i="4"/>
  <c r="C222" i="5"/>
  <c r="D220" i="4"/>
  <c r="E222" i="5"/>
  <c r="E220" i="4"/>
  <c r="F222" i="5"/>
  <c r="F220" i="4"/>
  <c r="H222" i="5"/>
  <c r="I222" i="5"/>
  <c r="H220" i="4"/>
  <c r="K222" i="5"/>
  <c r="L220" i="4"/>
  <c r="Q222" i="5"/>
  <c r="M220" i="4"/>
  <c r="R222" i="5"/>
  <c r="T222" i="5"/>
  <c r="U222" i="5"/>
  <c r="P220" i="4"/>
  <c r="W222" i="5"/>
  <c r="Q220" i="4"/>
  <c r="X222" i="5"/>
  <c r="S220" i="4"/>
  <c r="AA222" i="5"/>
  <c r="AH220" i="4"/>
  <c r="T220" i="4" a="1"/>
  <c r="T220" i="4"/>
  <c r="AC222" i="5"/>
  <c r="U220" i="4" a="1"/>
  <c r="U220" i="4"/>
  <c r="AD222" i="5"/>
  <c r="AF222" i="5"/>
  <c r="AG222" i="5"/>
  <c r="X220" i="4"/>
  <c r="AI222" i="5"/>
  <c r="Y220" i="4"/>
  <c r="AJ222" i="5"/>
  <c r="Z220" i="4"/>
  <c r="AL222" i="5"/>
  <c r="L222" i="5"/>
  <c r="N222" i="5"/>
  <c r="O222" i="5"/>
  <c r="AN222" i="5"/>
  <c r="C221" i="4"/>
  <c r="C223" i="5"/>
  <c r="D221" i="4"/>
  <c r="E223" i="5"/>
  <c r="K223" i="5"/>
  <c r="L221" i="4"/>
  <c r="Q223" i="5"/>
  <c r="M221" i="4"/>
  <c r="R223" i="5"/>
  <c r="T223" i="5"/>
  <c r="U223" i="5"/>
  <c r="P221" i="4"/>
  <c r="W223" i="5"/>
  <c r="X223" i="5"/>
  <c r="S221" i="4"/>
  <c r="AA223" i="5"/>
  <c r="AH221" i="4"/>
  <c r="T221" i="4" a="1"/>
  <c r="T221" i="4"/>
  <c r="AC223" i="5"/>
  <c r="U221" i="4" a="1"/>
  <c r="U221" i="4"/>
  <c r="AD223" i="5"/>
  <c r="AF223" i="5"/>
  <c r="AG223" i="5"/>
  <c r="X221" i="4"/>
  <c r="AI223" i="5"/>
  <c r="Y221" i="4"/>
  <c r="AJ223" i="5"/>
  <c r="Z221" i="4"/>
  <c r="AL223" i="5"/>
  <c r="F223" i="5"/>
  <c r="H223" i="5"/>
  <c r="I223" i="5"/>
  <c r="L223" i="5"/>
  <c r="N223" i="5"/>
  <c r="O223" i="5"/>
  <c r="AN223" i="5"/>
  <c r="O224" i="5"/>
  <c r="H222" i="4"/>
  <c r="K224" i="5"/>
  <c r="C222" i="4"/>
  <c r="C224" i="5"/>
  <c r="D222" i="4"/>
  <c r="E224" i="5"/>
  <c r="I222" i="4"/>
  <c r="L224" i="5"/>
  <c r="J222" i="4"/>
  <c r="N224" i="5"/>
  <c r="L222" i="4"/>
  <c r="Q224" i="5"/>
  <c r="M222" i="4"/>
  <c r="R224" i="5"/>
  <c r="T224" i="5"/>
  <c r="U224" i="5"/>
  <c r="P222" i="4"/>
  <c r="W224" i="5"/>
  <c r="Q222" i="4"/>
  <c r="X224" i="5"/>
  <c r="AA224" i="5"/>
  <c r="AH222" i="4"/>
  <c r="T222" i="4" a="1"/>
  <c r="T222" i="4"/>
  <c r="AC224" i="5"/>
  <c r="U222" i="4" a="1"/>
  <c r="U222" i="4"/>
  <c r="AD224" i="5"/>
  <c r="AF224" i="5"/>
  <c r="AG224" i="5"/>
  <c r="X222" i="4"/>
  <c r="AI224" i="5"/>
  <c r="Y222" i="4"/>
  <c r="AJ224" i="5"/>
  <c r="Z222" i="4"/>
  <c r="AL224" i="5"/>
  <c r="F224" i="5"/>
  <c r="H224" i="5"/>
  <c r="I224" i="5"/>
  <c r="AN224" i="5"/>
  <c r="C223" i="4"/>
  <c r="C225" i="5"/>
  <c r="D223" i="4"/>
  <c r="E225" i="5"/>
  <c r="E18" i="2"/>
  <c r="E223" i="4"/>
  <c r="F225" i="5"/>
  <c r="F18" i="2"/>
  <c r="F223" i="4"/>
  <c r="H225" i="5"/>
  <c r="I225" i="5"/>
  <c r="H223" i="4"/>
  <c r="K225" i="5"/>
  <c r="L223" i="4"/>
  <c r="Q225" i="5"/>
  <c r="M223" i="4"/>
  <c r="R225" i="5"/>
  <c r="T225" i="5"/>
  <c r="U225" i="5"/>
  <c r="P223" i="4"/>
  <c r="W225" i="5"/>
  <c r="S223" i="4"/>
  <c r="AA225" i="5"/>
  <c r="AH223" i="4"/>
  <c r="T223" i="4" a="1"/>
  <c r="T223" i="4"/>
  <c r="AC225" i="5"/>
  <c r="U223" i="4" a="1"/>
  <c r="U223" i="4"/>
  <c r="AD225" i="5"/>
  <c r="AF225" i="5"/>
  <c r="AG225" i="5"/>
  <c r="X223" i="4"/>
  <c r="AI225" i="5"/>
  <c r="Y223" i="4"/>
  <c r="AJ225" i="5"/>
  <c r="Z223" i="4"/>
  <c r="AL225" i="5"/>
  <c r="L225" i="5"/>
  <c r="N225" i="5"/>
  <c r="O225" i="5"/>
  <c r="X225" i="5"/>
  <c r="AN225" i="5"/>
  <c r="B224" i="4"/>
  <c r="S224" i="4"/>
  <c r="AA226" i="5"/>
  <c r="P224" i="4"/>
  <c r="W226" i="5"/>
  <c r="O226" i="5"/>
  <c r="H224" i="4"/>
  <c r="K226" i="5"/>
  <c r="C224" i="4"/>
  <c r="C226" i="5"/>
  <c r="D224" i="4"/>
  <c r="E226" i="5"/>
  <c r="E224" i="4"/>
  <c r="F226" i="5"/>
  <c r="F224" i="4"/>
  <c r="H226" i="5"/>
  <c r="I226" i="5"/>
  <c r="I224" i="4"/>
  <c r="L226" i="5"/>
  <c r="J224" i="4"/>
  <c r="N226" i="5"/>
  <c r="L224" i="4"/>
  <c r="Q226" i="5"/>
  <c r="M224" i="4"/>
  <c r="R226" i="5"/>
  <c r="T226" i="5"/>
  <c r="U226" i="5"/>
  <c r="Q224" i="4"/>
  <c r="X226" i="5"/>
  <c r="R224" i="4"/>
  <c r="Z226" i="5"/>
  <c r="AH224" i="4"/>
  <c r="T224" i="4" a="1"/>
  <c r="T224" i="4"/>
  <c r="AC226" i="5"/>
  <c r="U224" i="4" a="1"/>
  <c r="U224" i="4"/>
  <c r="AD226" i="5"/>
  <c r="AF226" i="5"/>
  <c r="AG226" i="5"/>
  <c r="X224" i="4"/>
  <c r="AI226" i="5"/>
  <c r="Y224" i="4"/>
  <c r="AJ226" i="5"/>
  <c r="Z224" i="4"/>
  <c r="AL226" i="5"/>
  <c r="AN226" i="5"/>
  <c r="C225" i="4"/>
  <c r="C227" i="5"/>
  <c r="D225" i="4"/>
  <c r="E227" i="5"/>
  <c r="H225" i="4"/>
  <c r="K227" i="5"/>
  <c r="L225" i="4"/>
  <c r="Q227" i="5"/>
  <c r="M225" i="4"/>
  <c r="R227" i="5"/>
  <c r="T227" i="5"/>
  <c r="U227" i="5"/>
  <c r="P225" i="4"/>
  <c r="W227" i="5"/>
  <c r="X227" i="5"/>
  <c r="AA227" i="5"/>
  <c r="AH225" i="4"/>
  <c r="T225" i="4" a="1"/>
  <c r="T225" i="4"/>
  <c r="AC227" i="5"/>
  <c r="U225" i="4" a="1"/>
  <c r="U225" i="4"/>
  <c r="AD227" i="5"/>
  <c r="AF227" i="5"/>
  <c r="AG227" i="5"/>
  <c r="X225" i="4"/>
  <c r="AI227" i="5"/>
  <c r="Y225" i="4"/>
  <c r="AJ227" i="5"/>
  <c r="Z225" i="4"/>
  <c r="AL227" i="5"/>
  <c r="F227" i="5"/>
  <c r="H227" i="5"/>
  <c r="I227" i="5"/>
  <c r="L227" i="5"/>
  <c r="N227" i="5"/>
  <c r="O227" i="5"/>
  <c r="AN227" i="5"/>
  <c r="O228" i="5"/>
  <c r="K228" i="5"/>
  <c r="C226" i="4"/>
  <c r="C228" i="5"/>
  <c r="D226" i="4"/>
  <c r="E228" i="5"/>
  <c r="E226" i="4"/>
  <c r="F228" i="5"/>
  <c r="F226" i="4"/>
  <c r="H228" i="5"/>
  <c r="I228" i="5"/>
  <c r="I226" i="4"/>
  <c r="L228" i="5"/>
  <c r="J226" i="4"/>
  <c r="N228" i="5"/>
  <c r="L226" i="4"/>
  <c r="Q228" i="5"/>
  <c r="M226" i="4"/>
  <c r="R228" i="5"/>
  <c r="T228" i="5"/>
  <c r="U228" i="5"/>
  <c r="P226" i="4"/>
  <c r="W228" i="5"/>
  <c r="Q226" i="4"/>
  <c r="X228" i="5"/>
  <c r="S4" i="2"/>
  <c r="S226" i="4"/>
  <c r="AA228" i="5"/>
  <c r="AH226" i="4"/>
  <c r="T226" i="4" a="1"/>
  <c r="T226" i="4"/>
  <c r="AC228" i="5"/>
  <c r="U226" i="4" a="1"/>
  <c r="U226" i="4"/>
  <c r="AD228" i="5"/>
  <c r="AF228" i="5"/>
  <c r="AG228" i="5"/>
  <c r="X226" i="4"/>
  <c r="AI228" i="5"/>
  <c r="Y226" i="4"/>
  <c r="AJ228" i="5"/>
  <c r="Z226" i="4"/>
  <c r="AL228" i="5"/>
  <c r="AN228" i="5"/>
  <c r="C227" i="4"/>
  <c r="C229" i="5"/>
  <c r="D227" i="4"/>
  <c r="E229" i="5"/>
  <c r="E227" i="4"/>
  <c r="F229" i="5"/>
  <c r="F227" i="4"/>
  <c r="H229" i="5"/>
  <c r="I229" i="5"/>
  <c r="H227" i="4"/>
  <c r="K229" i="5"/>
  <c r="L227" i="4"/>
  <c r="Q229" i="5"/>
  <c r="M227" i="4"/>
  <c r="R229" i="5"/>
  <c r="T229" i="5"/>
  <c r="U229" i="5"/>
  <c r="P227" i="4"/>
  <c r="W229" i="5"/>
  <c r="Q227" i="4"/>
  <c r="X229" i="5"/>
  <c r="S227" i="4"/>
  <c r="AA229" i="5"/>
  <c r="AH227" i="4"/>
  <c r="T227" i="4" a="1"/>
  <c r="T227" i="4"/>
  <c r="AC229" i="5"/>
  <c r="U227" i="4" a="1"/>
  <c r="U227" i="4"/>
  <c r="AD229" i="5"/>
  <c r="AF229" i="5"/>
  <c r="AG229" i="5"/>
  <c r="X227" i="4"/>
  <c r="AI229" i="5"/>
  <c r="Y227" i="4"/>
  <c r="AJ229" i="5"/>
  <c r="Z227" i="4"/>
  <c r="AL229" i="5"/>
  <c r="L229" i="5"/>
  <c r="N229" i="5"/>
  <c r="O229" i="5"/>
  <c r="AN229" i="5"/>
  <c r="B228" i="4"/>
  <c r="C228" i="4"/>
  <c r="C230" i="5"/>
  <c r="D228" i="4"/>
  <c r="E230" i="5"/>
  <c r="E228" i="4"/>
  <c r="F230" i="5"/>
  <c r="F228" i="4"/>
  <c r="H230" i="5"/>
  <c r="I230" i="5"/>
  <c r="H228" i="4"/>
  <c r="K230" i="5"/>
  <c r="L228" i="4"/>
  <c r="Q230" i="5"/>
  <c r="M228" i="4"/>
  <c r="R230" i="5"/>
  <c r="T230" i="5"/>
  <c r="U230" i="5"/>
  <c r="P228" i="4"/>
  <c r="W230" i="5"/>
  <c r="Q228" i="4"/>
  <c r="X230" i="5"/>
  <c r="S228" i="4"/>
  <c r="AA230" i="5"/>
  <c r="AH228" i="4"/>
  <c r="T228" i="4" a="1"/>
  <c r="T228" i="4"/>
  <c r="AC230" i="5"/>
  <c r="U228" i="4" a="1"/>
  <c r="U228" i="4"/>
  <c r="AD230" i="5"/>
  <c r="AF230" i="5"/>
  <c r="AG230" i="5"/>
  <c r="X228" i="4"/>
  <c r="AI230" i="5"/>
  <c r="Y228" i="4"/>
  <c r="AJ230" i="5"/>
  <c r="Z228" i="4"/>
  <c r="AL230" i="5"/>
  <c r="L230" i="5"/>
  <c r="N230" i="5"/>
  <c r="O230" i="5"/>
  <c r="AN230" i="5"/>
  <c r="C229" i="4"/>
  <c r="C231" i="5"/>
  <c r="D229" i="4"/>
  <c r="E231" i="5"/>
  <c r="H229" i="4"/>
  <c r="K231" i="5"/>
  <c r="L229" i="4"/>
  <c r="Q231" i="5"/>
  <c r="M229" i="4"/>
  <c r="R231" i="5"/>
  <c r="T231" i="5"/>
  <c r="U231" i="5"/>
  <c r="P229" i="4"/>
  <c r="W231" i="5"/>
  <c r="Q229" i="4"/>
  <c r="X231" i="5"/>
  <c r="S229" i="4"/>
  <c r="AA231" i="5"/>
  <c r="AH229" i="4"/>
  <c r="T229" i="4" a="1"/>
  <c r="T229" i="4"/>
  <c r="AC231" i="5"/>
  <c r="U229" i="4" a="1"/>
  <c r="U229" i="4"/>
  <c r="AD231" i="5"/>
  <c r="AF231" i="5"/>
  <c r="AG231" i="5"/>
  <c r="X229" i="4"/>
  <c r="AI231" i="5"/>
  <c r="Y229" i="4"/>
  <c r="AJ231" i="5"/>
  <c r="Z229" i="4"/>
  <c r="AL231" i="5"/>
  <c r="L231" i="5"/>
  <c r="N231" i="5"/>
  <c r="O231" i="5"/>
  <c r="AN231" i="5"/>
  <c r="C230" i="4"/>
  <c r="C232" i="5"/>
  <c r="D230" i="4"/>
  <c r="E232" i="5"/>
  <c r="H230" i="4"/>
  <c r="K232" i="5"/>
  <c r="L230" i="4"/>
  <c r="Q232" i="5"/>
  <c r="M230" i="4"/>
  <c r="R232" i="5"/>
  <c r="T232" i="5"/>
  <c r="U232" i="5"/>
  <c r="P230" i="4"/>
  <c r="W232" i="5"/>
  <c r="Q230" i="4"/>
  <c r="X232" i="5"/>
  <c r="S230" i="4"/>
  <c r="AA232" i="5"/>
  <c r="AH230" i="4"/>
  <c r="T230" i="4" a="1"/>
  <c r="T230" i="4"/>
  <c r="AC232" i="5"/>
  <c r="U230" i="4" a="1"/>
  <c r="U230" i="4"/>
  <c r="AD232" i="5"/>
  <c r="AF232" i="5"/>
  <c r="AG232" i="5"/>
  <c r="X230" i="4"/>
  <c r="AI232" i="5"/>
  <c r="Y230" i="4"/>
  <c r="AJ232" i="5"/>
  <c r="Z230" i="4"/>
  <c r="AL232" i="5"/>
  <c r="L232" i="5"/>
  <c r="N232" i="5"/>
  <c r="O232" i="5"/>
  <c r="AN232" i="5"/>
  <c r="B231" i="4"/>
  <c r="S231" i="4"/>
  <c r="AA233" i="5"/>
  <c r="P231" i="4"/>
  <c r="W233" i="5"/>
  <c r="C231" i="4"/>
  <c r="C233" i="5"/>
  <c r="D231" i="4"/>
  <c r="E233" i="5"/>
  <c r="K233" i="5"/>
  <c r="L231" i="4"/>
  <c r="Q233" i="5"/>
  <c r="M231" i="4"/>
  <c r="R233" i="5"/>
  <c r="T233" i="5"/>
  <c r="U233" i="5"/>
  <c r="Q231" i="4"/>
  <c r="X233" i="5"/>
  <c r="R231" i="4"/>
  <c r="Z233" i="5"/>
  <c r="AH231" i="4"/>
  <c r="T231" i="4" a="1"/>
  <c r="T231" i="4"/>
  <c r="AC233" i="5"/>
  <c r="U231" i="4" a="1"/>
  <c r="U231" i="4"/>
  <c r="AD233" i="5"/>
  <c r="AF233" i="5"/>
  <c r="AG233" i="5"/>
  <c r="X231" i="4"/>
  <c r="AI233" i="5"/>
  <c r="Y231" i="4"/>
  <c r="AJ233" i="5"/>
  <c r="Z231" i="4"/>
  <c r="AL233" i="5"/>
  <c r="L233" i="5"/>
  <c r="N233" i="5"/>
  <c r="O233" i="5"/>
  <c r="AN233" i="5"/>
  <c r="B232" i="4"/>
  <c r="C232" i="4"/>
  <c r="C234" i="5"/>
  <c r="D232" i="4"/>
  <c r="E234" i="5"/>
  <c r="K234" i="5"/>
  <c r="L232" i="4"/>
  <c r="Q234" i="5"/>
  <c r="M232" i="4"/>
  <c r="R234" i="5"/>
  <c r="T234" i="5"/>
  <c r="U234" i="5"/>
  <c r="P232" i="4"/>
  <c r="W234" i="5"/>
  <c r="Q232" i="4"/>
  <c r="X234" i="5"/>
  <c r="S232" i="4"/>
  <c r="AA234" i="5"/>
  <c r="AH232" i="4"/>
  <c r="T232" i="4" a="1"/>
  <c r="T232" i="4"/>
  <c r="AC234" i="5"/>
  <c r="U232" i="4" a="1"/>
  <c r="U232" i="4"/>
  <c r="AD234" i="5"/>
  <c r="AF234" i="5"/>
  <c r="AG234" i="5"/>
  <c r="X232" i="4"/>
  <c r="AI234" i="5"/>
  <c r="Y232" i="4"/>
  <c r="AJ234" i="5"/>
  <c r="Z232" i="4"/>
  <c r="AL234" i="5"/>
  <c r="AN234" i="5"/>
  <c r="B233" i="4"/>
  <c r="C233" i="4"/>
  <c r="C235" i="5"/>
  <c r="D233" i="4"/>
  <c r="E235" i="5"/>
  <c r="K235" i="5"/>
  <c r="L233" i="4"/>
  <c r="Q235" i="5"/>
  <c r="M233" i="4"/>
  <c r="R235" i="5"/>
  <c r="T235" i="5"/>
  <c r="U235" i="5"/>
  <c r="P233" i="4"/>
  <c r="W235" i="5"/>
  <c r="Q233" i="4"/>
  <c r="X235" i="5"/>
  <c r="S233" i="4"/>
  <c r="AA235" i="5"/>
  <c r="AH233" i="4"/>
  <c r="T233" i="4" a="1"/>
  <c r="T233" i="4"/>
  <c r="AC235" i="5"/>
  <c r="U233" i="4" a="1"/>
  <c r="U233" i="4"/>
  <c r="AD235" i="5"/>
  <c r="AF235" i="5"/>
  <c r="AG235" i="5"/>
  <c r="X233" i="4"/>
  <c r="AI235" i="5"/>
  <c r="Y233" i="4"/>
  <c r="AJ235" i="5"/>
  <c r="Z233" i="4"/>
  <c r="AL235" i="5"/>
  <c r="AN235" i="5"/>
  <c r="B234" i="4"/>
  <c r="C234" i="4"/>
  <c r="C236" i="5"/>
  <c r="D234" i="4"/>
  <c r="E236" i="5"/>
  <c r="K236" i="5"/>
  <c r="L234" i="4"/>
  <c r="Q236" i="5"/>
  <c r="M234" i="4"/>
  <c r="R236" i="5"/>
  <c r="T236" i="5"/>
  <c r="U236" i="5"/>
  <c r="P234" i="4"/>
  <c r="W236" i="5"/>
  <c r="Q234" i="4"/>
  <c r="X236" i="5"/>
  <c r="S234" i="4"/>
  <c r="AA236" i="5"/>
  <c r="AH234" i="4"/>
  <c r="T234" i="4" a="1"/>
  <c r="T234" i="4"/>
  <c r="AC236" i="5"/>
  <c r="U234" i="4" a="1"/>
  <c r="U234" i="4"/>
  <c r="AD236" i="5"/>
  <c r="AF236" i="5"/>
  <c r="AG236" i="5"/>
  <c r="X234" i="4"/>
  <c r="AI236" i="5"/>
  <c r="Y234" i="4"/>
  <c r="AJ236" i="5"/>
  <c r="Z234" i="4"/>
  <c r="AL236" i="5"/>
  <c r="AN236" i="5"/>
  <c r="B235" i="4"/>
  <c r="C235" i="4"/>
  <c r="C237" i="5"/>
  <c r="D235" i="4"/>
  <c r="E237" i="5"/>
  <c r="K237" i="5"/>
  <c r="L235" i="4"/>
  <c r="Q237" i="5"/>
  <c r="M235" i="4"/>
  <c r="R237" i="5"/>
  <c r="T237" i="5"/>
  <c r="U237" i="5"/>
  <c r="P235" i="4"/>
  <c r="W237" i="5"/>
  <c r="Q235" i="4"/>
  <c r="X237" i="5"/>
  <c r="S235" i="4"/>
  <c r="AA237" i="5"/>
  <c r="AH235" i="4"/>
  <c r="T235" i="4" a="1"/>
  <c r="T235" i="4"/>
  <c r="AC237" i="5"/>
  <c r="U235" i="4" a="1"/>
  <c r="U235" i="4"/>
  <c r="AD237" i="5"/>
  <c r="AF237" i="5"/>
  <c r="AG237" i="5"/>
  <c r="X235" i="4"/>
  <c r="AI237" i="5"/>
  <c r="Y235" i="4"/>
  <c r="AJ237" i="5"/>
  <c r="Z235" i="4"/>
  <c r="AL237" i="5"/>
  <c r="AN237" i="5"/>
  <c r="B236" i="4"/>
  <c r="C236" i="4"/>
  <c r="C238" i="5"/>
  <c r="D236" i="4"/>
  <c r="E238" i="5"/>
  <c r="K238" i="5"/>
  <c r="L236" i="4"/>
  <c r="Q238" i="5"/>
  <c r="M236" i="4"/>
  <c r="R238" i="5"/>
  <c r="T238" i="5"/>
  <c r="U238" i="5"/>
  <c r="P236" i="4"/>
  <c r="W238" i="5"/>
  <c r="Q236" i="4"/>
  <c r="X238" i="5"/>
  <c r="S236" i="4"/>
  <c r="AA238" i="5"/>
  <c r="AH236" i="4"/>
  <c r="T236" i="4" a="1"/>
  <c r="T236" i="4"/>
  <c r="AC238" i="5"/>
  <c r="U236" i="4" a="1"/>
  <c r="U236" i="4"/>
  <c r="AD238" i="5"/>
  <c r="AF238" i="5"/>
  <c r="AG238" i="5"/>
  <c r="X236" i="4"/>
  <c r="AI238" i="5"/>
  <c r="Y236" i="4"/>
  <c r="AJ238" i="5"/>
  <c r="Z236" i="4"/>
  <c r="AL238" i="5"/>
  <c r="AN238" i="5"/>
  <c r="C237" i="4"/>
  <c r="C239" i="5"/>
  <c r="D237" i="4"/>
  <c r="E239" i="5"/>
  <c r="E237" i="4"/>
  <c r="F239" i="5"/>
  <c r="F237" i="4"/>
  <c r="H239" i="5"/>
  <c r="I239" i="5"/>
  <c r="K239" i="5"/>
  <c r="L237" i="4"/>
  <c r="Q239" i="5"/>
  <c r="M237" i="4"/>
  <c r="R239" i="5"/>
  <c r="T239" i="5"/>
  <c r="U239" i="5"/>
  <c r="P237" i="4"/>
  <c r="W239" i="5"/>
  <c r="Q237" i="4"/>
  <c r="X239" i="5"/>
  <c r="S237" i="4"/>
  <c r="AA239" i="5"/>
  <c r="AH237" i="4"/>
  <c r="T237" i="4" a="1"/>
  <c r="T237" i="4"/>
  <c r="AC239" i="5"/>
  <c r="U237" i="4" a="1"/>
  <c r="U237" i="4"/>
  <c r="AD239" i="5"/>
  <c r="AF239" i="5"/>
  <c r="AG239" i="5"/>
  <c r="X237" i="4"/>
  <c r="AI239" i="5"/>
  <c r="Y237" i="4"/>
  <c r="AJ239" i="5"/>
  <c r="Z237" i="4"/>
  <c r="AL239" i="5"/>
  <c r="AN239" i="5"/>
  <c r="AA240" i="5"/>
  <c r="B383" i="4"/>
  <c r="P383" i="4"/>
  <c r="W240" i="5"/>
  <c r="O240" i="5"/>
  <c r="K240" i="5"/>
  <c r="C240" i="5"/>
  <c r="L240" i="5"/>
  <c r="N240" i="5"/>
  <c r="L383" i="4"/>
  <c r="Q240" i="5"/>
  <c r="U240" i="5"/>
  <c r="Q383" i="4"/>
  <c r="X240" i="5"/>
  <c r="R383" i="4"/>
  <c r="Z240" i="5"/>
  <c r="AC240" i="5"/>
  <c r="AD240" i="5"/>
  <c r="AF240" i="5"/>
  <c r="AG240" i="5"/>
  <c r="X383" i="4"/>
  <c r="AI240" i="5"/>
  <c r="Y383" i="4"/>
  <c r="AJ240" i="5"/>
  <c r="AL240" i="5"/>
  <c r="AN240" i="5"/>
  <c r="AA241" i="5"/>
  <c r="B384" i="4"/>
  <c r="P384" i="4"/>
  <c r="W241" i="5"/>
  <c r="O241" i="5"/>
  <c r="K241" i="5"/>
  <c r="C241" i="5"/>
  <c r="L241" i="5"/>
  <c r="N241" i="5"/>
  <c r="L384" i="4"/>
  <c r="Q241" i="5"/>
  <c r="U241" i="5"/>
  <c r="Q384" i="4"/>
  <c r="X241" i="5"/>
  <c r="R10" i="2"/>
  <c r="R384" i="4"/>
  <c r="Z241" i="5"/>
  <c r="AC241" i="5"/>
  <c r="AD241" i="5"/>
  <c r="AF241" i="5"/>
  <c r="AG241" i="5"/>
  <c r="X384" i="4"/>
  <c r="AI241" i="5"/>
  <c r="Y384" i="4"/>
  <c r="AJ241" i="5"/>
  <c r="AL241" i="5"/>
  <c r="AN241" i="5"/>
  <c r="AA242" i="5"/>
  <c r="B385" i="4"/>
  <c r="P385" i="4"/>
  <c r="W242" i="5"/>
  <c r="O242" i="5"/>
  <c r="K242" i="5"/>
  <c r="C242" i="5"/>
  <c r="L242" i="5"/>
  <c r="N242" i="5"/>
  <c r="L385" i="4"/>
  <c r="Q242" i="5"/>
  <c r="U242" i="5"/>
  <c r="Q385" i="4"/>
  <c r="X242" i="5"/>
  <c r="R14" i="2"/>
  <c r="R385" i="4"/>
  <c r="Z242" i="5"/>
  <c r="AC242" i="5"/>
  <c r="AD242" i="5"/>
  <c r="AF242" i="5"/>
  <c r="AG242" i="5"/>
  <c r="X385" i="4"/>
  <c r="AI242" i="5"/>
  <c r="Y385" i="4"/>
  <c r="AJ242" i="5"/>
  <c r="AL242" i="5"/>
  <c r="AN242" i="5"/>
  <c r="AA243" i="5"/>
  <c r="B386" i="4"/>
  <c r="P386" i="4"/>
  <c r="W243" i="5"/>
  <c r="O243" i="5"/>
  <c r="K243" i="5"/>
  <c r="C243" i="5"/>
  <c r="L243" i="5"/>
  <c r="N243" i="5"/>
  <c r="L386" i="4"/>
  <c r="Q243" i="5"/>
  <c r="U243" i="5"/>
  <c r="Q386" i="4"/>
  <c r="X243" i="5"/>
  <c r="R386" i="4"/>
  <c r="Z243" i="5"/>
  <c r="AC243" i="5"/>
  <c r="AD243" i="5"/>
  <c r="AF243" i="5"/>
  <c r="AG243" i="5"/>
  <c r="X386" i="4"/>
  <c r="AI243" i="5"/>
  <c r="Y386" i="4"/>
  <c r="AJ243" i="5"/>
  <c r="AN243" i="5"/>
  <c r="AA244" i="5"/>
  <c r="B387" i="4"/>
  <c r="P387" i="4"/>
  <c r="W244" i="5"/>
  <c r="O244" i="5"/>
  <c r="K244" i="5"/>
  <c r="C244" i="5"/>
  <c r="L244" i="5"/>
  <c r="N244" i="5"/>
  <c r="L387" i="4"/>
  <c r="Q244" i="5"/>
  <c r="U244" i="5"/>
  <c r="Q387" i="4"/>
  <c r="X244" i="5"/>
  <c r="R387" i="4"/>
  <c r="Z244" i="5"/>
  <c r="AC244" i="5"/>
  <c r="AD244" i="5"/>
  <c r="AF244" i="5"/>
  <c r="AG244" i="5"/>
  <c r="X387" i="4"/>
  <c r="AI244" i="5"/>
  <c r="Y387" i="4"/>
  <c r="AJ244" i="5"/>
  <c r="AL244" i="5"/>
  <c r="AN244" i="5"/>
  <c r="AA245" i="5"/>
  <c r="B388" i="4"/>
  <c r="P388" i="4"/>
  <c r="W245" i="5"/>
  <c r="O245" i="5"/>
  <c r="K245" i="5"/>
  <c r="C245" i="5"/>
  <c r="L245" i="5"/>
  <c r="N245" i="5"/>
  <c r="L388" i="4"/>
  <c r="Q245" i="5"/>
  <c r="U245" i="5"/>
  <c r="Q388" i="4"/>
  <c r="X245" i="5"/>
  <c r="R388" i="4"/>
  <c r="Z245" i="5"/>
  <c r="AC245" i="5"/>
  <c r="AD245" i="5"/>
  <c r="AF245" i="5"/>
  <c r="AG245" i="5"/>
  <c r="X388" i="4"/>
  <c r="AI245" i="5"/>
  <c r="Y388" i="4"/>
  <c r="AJ245" i="5"/>
  <c r="AL245" i="5"/>
  <c r="AN245" i="5"/>
  <c r="AA246" i="5"/>
  <c r="B389" i="4"/>
  <c r="P389" i="4"/>
  <c r="W246" i="5"/>
  <c r="O246" i="5"/>
  <c r="K246" i="5"/>
  <c r="C246" i="5"/>
  <c r="L246" i="5"/>
  <c r="N246" i="5"/>
  <c r="L389" i="4"/>
  <c r="Q246" i="5"/>
  <c r="U246" i="5"/>
  <c r="Q389" i="4"/>
  <c r="X246" i="5"/>
  <c r="R389" i="4"/>
  <c r="Z246" i="5"/>
  <c r="AC246" i="5"/>
  <c r="AD246" i="5"/>
  <c r="AF246" i="5"/>
  <c r="AG246" i="5"/>
  <c r="X389" i="4"/>
  <c r="AI246" i="5"/>
  <c r="Y389" i="4"/>
  <c r="AJ246" i="5"/>
  <c r="AL246" i="5"/>
  <c r="AN246" i="5"/>
  <c r="AA247" i="5"/>
  <c r="B390" i="4"/>
  <c r="P390" i="4"/>
  <c r="W247" i="5"/>
  <c r="O247" i="5"/>
  <c r="K247" i="5"/>
  <c r="C247" i="5"/>
  <c r="L247" i="5"/>
  <c r="N247" i="5"/>
  <c r="L390" i="4"/>
  <c r="Q247" i="5"/>
  <c r="U247" i="5"/>
  <c r="Q390" i="4"/>
  <c r="X247" i="5"/>
  <c r="R390" i="4"/>
  <c r="Z247" i="5"/>
  <c r="AC247" i="5"/>
  <c r="AD247" i="5"/>
  <c r="AF247" i="5"/>
  <c r="AG247" i="5"/>
  <c r="X390" i="4"/>
  <c r="AI247" i="5"/>
  <c r="Y390" i="4"/>
  <c r="AJ247" i="5"/>
  <c r="AL247" i="5"/>
  <c r="AN247" i="5"/>
  <c r="AA248" i="5"/>
  <c r="B391" i="4"/>
  <c r="P391" i="4"/>
  <c r="W248" i="5"/>
  <c r="O248" i="5"/>
  <c r="K248" i="5"/>
  <c r="C248" i="5"/>
  <c r="L248" i="5"/>
  <c r="N248" i="5"/>
  <c r="L391" i="4"/>
  <c r="Q248" i="5"/>
  <c r="U248" i="5"/>
  <c r="Q391" i="4"/>
  <c r="X248" i="5"/>
  <c r="R22" i="2"/>
  <c r="R391" i="4"/>
  <c r="Z248" i="5"/>
  <c r="AC248" i="5"/>
  <c r="AD248" i="5"/>
  <c r="AF248" i="5"/>
  <c r="AG248" i="5"/>
  <c r="X391" i="4"/>
  <c r="AI248" i="5"/>
  <c r="Y391" i="4"/>
  <c r="AJ248" i="5"/>
  <c r="AL248" i="5"/>
  <c r="AN248" i="5"/>
  <c r="AA249" i="5"/>
  <c r="B392" i="4"/>
  <c r="P392" i="4"/>
  <c r="W249" i="5"/>
  <c r="O249" i="5"/>
  <c r="K249" i="5"/>
  <c r="C249" i="5"/>
  <c r="L249" i="5"/>
  <c r="N249" i="5"/>
  <c r="L392" i="4"/>
  <c r="Q249" i="5"/>
  <c r="U249" i="5"/>
  <c r="Q392" i="4"/>
  <c r="X249" i="5"/>
  <c r="R392" i="4"/>
  <c r="Z249" i="5"/>
  <c r="AC249" i="5"/>
  <c r="AD249" i="5"/>
  <c r="AF249" i="5"/>
  <c r="AG249" i="5"/>
  <c r="X392" i="4"/>
  <c r="AI249" i="5"/>
  <c r="Y392" i="4"/>
  <c r="AJ249" i="5"/>
  <c r="AL249" i="5"/>
  <c r="AN249" i="5"/>
  <c r="AA250" i="5"/>
  <c r="B393" i="4"/>
  <c r="P393" i="4"/>
  <c r="W250" i="5"/>
  <c r="O250" i="5"/>
  <c r="K250" i="5"/>
  <c r="C250" i="5"/>
  <c r="L250" i="5"/>
  <c r="N250" i="5"/>
  <c r="L393" i="4"/>
  <c r="Q250" i="5"/>
  <c r="U250" i="5"/>
  <c r="Q393" i="4"/>
  <c r="X250" i="5"/>
  <c r="R393" i="4"/>
  <c r="Z250" i="5"/>
  <c r="AC250" i="5"/>
  <c r="AD250" i="5"/>
  <c r="AF250" i="5"/>
  <c r="AG250" i="5"/>
  <c r="X393" i="4"/>
  <c r="AI250" i="5"/>
  <c r="Y393" i="4"/>
  <c r="AJ250" i="5"/>
  <c r="AL250" i="5"/>
  <c r="AN250" i="5"/>
  <c r="AA251" i="5"/>
  <c r="B394" i="4"/>
  <c r="P394" i="4"/>
  <c r="W251" i="5"/>
  <c r="O251" i="5"/>
  <c r="K251" i="5"/>
  <c r="C251" i="5"/>
  <c r="L251" i="5"/>
  <c r="N251" i="5"/>
  <c r="L394" i="4"/>
  <c r="Q251" i="5"/>
  <c r="U251" i="5"/>
  <c r="Q394" i="4"/>
  <c r="X251" i="5"/>
  <c r="R394" i="4"/>
  <c r="Z251" i="5"/>
  <c r="AC251" i="5"/>
  <c r="AD251" i="5"/>
  <c r="AF251" i="5"/>
  <c r="AG251" i="5"/>
  <c r="X394" i="4"/>
  <c r="AI251" i="5"/>
  <c r="Y394" i="4"/>
  <c r="AJ251" i="5"/>
  <c r="AL251" i="5"/>
  <c r="AN251" i="5"/>
  <c r="AA252" i="5"/>
  <c r="B395" i="4"/>
  <c r="P395" i="4"/>
  <c r="W252" i="5"/>
  <c r="O252" i="5"/>
  <c r="K252" i="5"/>
  <c r="C252" i="5"/>
  <c r="L252" i="5"/>
  <c r="N252" i="5"/>
  <c r="L395" i="4"/>
  <c r="Q252" i="5"/>
  <c r="U252" i="5"/>
  <c r="Q395" i="4"/>
  <c r="X252" i="5"/>
  <c r="R395" i="4"/>
  <c r="Z252" i="5"/>
  <c r="AC252" i="5"/>
  <c r="AD252" i="5"/>
  <c r="AF252" i="5"/>
  <c r="AG252" i="5"/>
  <c r="X395" i="4"/>
  <c r="AI252" i="5"/>
  <c r="Y395" i="4"/>
  <c r="AJ252" i="5"/>
  <c r="AL252" i="5"/>
  <c r="AN252" i="5"/>
  <c r="AA253" i="5"/>
  <c r="B396" i="4"/>
  <c r="P396" i="4"/>
  <c r="W253" i="5"/>
  <c r="O253" i="5"/>
  <c r="K253" i="5"/>
  <c r="C253" i="5"/>
  <c r="L253" i="5"/>
  <c r="N253" i="5"/>
  <c r="L396" i="4"/>
  <c r="Q253" i="5"/>
  <c r="U253" i="5"/>
  <c r="Q396" i="4"/>
  <c r="X253" i="5"/>
  <c r="R396" i="4"/>
  <c r="Z253" i="5"/>
  <c r="AC253" i="5"/>
  <c r="AD253" i="5"/>
  <c r="AF253" i="5"/>
  <c r="AG253" i="5"/>
  <c r="X396" i="4"/>
  <c r="AI253" i="5"/>
  <c r="Y396" i="4"/>
  <c r="AJ253" i="5"/>
  <c r="AL253" i="5"/>
  <c r="AN253" i="5"/>
  <c r="AA254" i="5"/>
  <c r="B397" i="4"/>
  <c r="P397" i="4"/>
  <c r="W254" i="5"/>
  <c r="O254" i="5"/>
  <c r="K254" i="5"/>
  <c r="C254" i="5"/>
  <c r="L254" i="5"/>
  <c r="N254" i="5"/>
  <c r="L397" i="4"/>
  <c r="Q254" i="5"/>
  <c r="U254" i="5"/>
  <c r="Q397" i="4"/>
  <c r="X254" i="5"/>
  <c r="R397" i="4"/>
  <c r="Z254" i="5"/>
  <c r="AC254" i="5"/>
  <c r="AD254" i="5"/>
  <c r="AF254" i="5"/>
  <c r="AG254" i="5"/>
  <c r="X397" i="4"/>
  <c r="AI254" i="5"/>
  <c r="Y397" i="4"/>
  <c r="AJ254" i="5"/>
  <c r="AL254" i="5"/>
  <c r="AN254" i="5"/>
  <c r="AA255" i="5"/>
  <c r="B398" i="4"/>
  <c r="P398" i="4"/>
  <c r="W255" i="5"/>
  <c r="O255" i="5"/>
  <c r="K255" i="5"/>
  <c r="C255" i="5"/>
  <c r="L255" i="5"/>
  <c r="N255" i="5"/>
  <c r="L398" i="4"/>
  <c r="Q255" i="5"/>
  <c r="U255" i="5"/>
  <c r="Q398" i="4"/>
  <c r="X255" i="5"/>
  <c r="R398" i="4"/>
  <c r="Z255" i="5"/>
  <c r="AC255" i="5"/>
  <c r="AD255" i="5"/>
  <c r="AF255" i="5"/>
  <c r="AG255" i="5"/>
  <c r="X398" i="4"/>
  <c r="AI255" i="5"/>
  <c r="Y398" i="4"/>
  <c r="AJ255" i="5"/>
  <c r="AL255" i="5"/>
  <c r="AN255" i="5"/>
  <c r="AA256" i="5"/>
  <c r="B399" i="4"/>
  <c r="P399" i="4"/>
  <c r="W256" i="5"/>
  <c r="O256" i="5"/>
  <c r="K256" i="5"/>
  <c r="C256" i="5"/>
  <c r="L256" i="5"/>
  <c r="N256" i="5"/>
  <c r="L399" i="4"/>
  <c r="Q256" i="5"/>
  <c r="U256" i="5"/>
  <c r="Q399" i="4"/>
  <c r="X256" i="5"/>
  <c r="R399" i="4"/>
  <c r="Z256" i="5"/>
  <c r="AC256" i="5"/>
  <c r="AD256" i="5"/>
  <c r="AF256" i="5"/>
  <c r="AG256" i="5"/>
  <c r="X399" i="4"/>
  <c r="AI256" i="5"/>
  <c r="Y399" i="4"/>
  <c r="AJ256" i="5"/>
  <c r="AL256" i="5"/>
  <c r="AN256" i="5"/>
  <c r="AA257" i="5"/>
  <c r="B400" i="4"/>
  <c r="P400" i="4"/>
  <c r="W257" i="5"/>
  <c r="O257" i="5"/>
  <c r="K257" i="5"/>
  <c r="C257" i="5"/>
  <c r="L257" i="5"/>
  <c r="N257" i="5"/>
  <c r="L400" i="4"/>
  <c r="Q257" i="5"/>
  <c r="U257" i="5"/>
  <c r="Q400" i="4"/>
  <c r="X257" i="5"/>
  <c r="R400" i="4"/>
  <c r="Z257" i="5"/>
  <c r="AC257" i="5"/>
  <c r="AD257" i="5"/>
  <c r="AF257" i="5"/>
  <c r="AG257" i="5"/>
  <c r="X400" i="4"/>
  <c r="AI257" i="5"/>
  <c r="Y400" i="4"/>
  <c r="AJ257" i="5"/>
  <c r="AL257" i="5"/>
  <c r="AN257" i="5"/>
  <c r="C238" i="4"/>
  <c r="C258" i="5"/>
  <c r="D238" i="4"/>
  <c r="E258" i="5"/>
  <c r="E238" i="4"/>
  <c r="F258" i="5"/>
  <c r="F238" i="4"/>
  <c r="H258" i="5"/>
  <c r="I258" i="5"/>
  <c r="K258" i="5"/>
  <c r="L238" i="4"/>
  <c r="Q258" i="5"/>
  <c r="M238" i="4"/>
  <c r="R258" i="5"/>
  <c r="T258" i="5"/>
  <c r="U258" i="5"/>
  <c r="P238" i="4"/>
  <c r="W258" i="5"/>
  <c r="S238" i="4"/>
  <c r="AA258" i="5"/>
  <c r="AH238" i="4"/>
  <c r="T238" i="4" a="1"/>
  <c r="T238" i="4"/>
  <c r="AC258" i="5"/>
  <c r="U238" i="4" a="1"/>
  <c r="U238" i="4"/>
  <c r="AD258" i="5"/>
  <c r="AF258" i="5"/>
  <c r="AG258" i="5"/>
  <c r="X238" i="4"/>
  <c r="AI258" i="5"/>
  <c r="Y238" i="4"/>
  <c r="AJ258" i="5"/>
  <c r="Z238" i="4"/>
  <c r="AL258" i="5"/>
  <c r="L258" i="5"/>
  <c r="N258" i="5"/>
  <c r="O258" i="5"/>
  <c r="X258" i="5"/>
  <c r="Z258" i="5"/>
  <c r="AN258" i="5"/>
  <c r="AA259" i="5"/>
  <c r="B401" i="4"/>
  <c r="P401" i="4"/>
  <c r="W259" i="5"/>
  <c r="O259" i="5"/>
  <c r="K259" i="5"/>
  <c r="C259" i="5"/>
  <c r="L259" i="5"/>
  <c r="N259" i="5"/>
  <c r="L401" i="4"/>
  <c r="Q259" i="5"/>
  <c r="U259" i="5"/>
  <c r="Q401" i="4"/>
  <c r="X259" i="5"/>
  <c r="R35" i="2"/>
  <c r="R401" i="4"/>
  <c r="Z259" i="5"/>
  <c r="AC259" i="5"/>
  <c r="AD259" i="5"/>
  <c r="AF259" i="5"/>
  <c r="AG259" i="5"/>
  <c r="X401" i="4"/>
  <c r="AI259" i="5"/>
  <c r="Y401" i="4"/>
  <c r="AJ259" i="5"/>
  <c r="AL259" i="5"/>
  <c r="AN259" i="5"/>
  <c r="AA260" i="5"/>
  <c r="B402" i="4"/>
  <c r="P402" i="4"/>
  <c r="W260" i="5"/>
  <c r="O260" i="5"/>
  <c r="K260" i="5"/>
  <c r="C260" i="5"/>
  <c r="L260" i="5"/>
  <c r="N260" i="5"/>
  <c r="L402" i="4"/>
  <c r="Q260" i="5"/>
  <c r="U260" i="5"/>
  <c r="Q402" i="4"/>
  <c r="X260" i="5"/>
  <c r="R402" i="4"/>
  <c r="Z260" i="5"/>
  <c r="AC260" i="5"/>
  <c r="AD260" i="5"/>
  <c r="AF260" i="5"/>
  <c r="AG260" i="5"/>
  <c r="X402" i="4"/>
  <c r="AI260" i="5"/>
  <c r="Y402" i="4"/>
  <c r="AJ260" i="5"/>
  <c r="AL260" i="5"/>
  <c r="AN260" i="5"/>
  <c r="AA261" i="5"/>
  <c r="B403" i="4"/>
  <c r="P403" i="4"/>
  <c r="W261" i="5"/>
  <c r="O261" i="5"/>
  <c r="K261" i="5"/>
  <c r="C261" i="5"/>
  <c r="L261" i="5"/>
  <c r="N261" i="5"/>
  <c r="L403" i="4"/>
  <c r="Q261" i="5"/>
  <c r="U261" i="5"/>
  <c r="Q403" i="4"/>
  <c r="X261" i="5"/>
  <c r="R403" i="4"/>
  <c r="Z261" i="5"/>
  <c r="AC261" i="5"/>
  <c r="AD261" i="5"/>
  <c r="AF261" i="5"/>
  <c r="AG261" i="5"/>
  <c r="X403" i="4"/>
  <c r="AI261" i="5"/>
  <c r="Y403" i="4"/>
  <c r="AJ261" i="5"/>
  <c r="AL261" i="5"/>
  <c r="AN261" i="5"/>
  <c r="AA262" i="5"/>
  <c r="B404" i="4"/>
  <c r="P404" i="4"/>
  <c r="W262" i="5"/>
  <c r="O262" i="5"/>
  <c r="K262" i="5"/>
  <c r="C262" i="5"/>
  <c r="L262" i="5"/>
  <c r="N262" i="5"/>
  <c r="L404" i="4"/>
  <c r="Q262" i="5"/>
  <c r="U262" i="5"/>
  <c r="Q404" i="4"/>
  <c r="X262" i="5"/>
  <c r="R20" i="2"/>
  <c r="R404" i="4"/>
  <c r="Z262" i="5"/>
  <c r="AC262" i="5"/>
  <c r="AD262" i="5"/>
  <c r="AF262" i="5"/>
  <c r="AG262" i="5"/>
  <c r="X404" i="4"/>
  <c r="AI262" i="5"/>
  <c r="Y404" i="4"/>
  <c r="AJ262" i="5"/>
  <c r="AL262" i="5"/>
  <c r="AN262" i="5"/>
  <c r="AA263" i="5"/>
  <c r="B405" i="4"/>
  <c r="P405" i="4"/>
  <c r="W263" i="5"/>
  <c r="O263" i="5"/>
  <c r="K263" i="5"/>
  <c r="C263" i="5"/>
  <c r="L263" i="5"/>
  <c r="N263" i="5"/>
  <c r="L405" i="4"/>
  <c r="Q263" i="5"/>
  <c r="U263" i="5"/>
  <c r="Q405" i="4"/>
  <c r="X263" i="5"/>
  <c r="R405" i="4"/>
  <c r="Z263" i="5"/>
  <c r="AC263" i="5"/>
  <c r="AD263" i="5"/>
  <c r="AF263" i="5"/>
  <c r="AG263" i="5"/>
  <c r="X405" i="4"/>
  <c r="AI263" i="5"/>
  <c r="Y405" i="4"/>
  <c r="AJ263" i="5"/>
  <c r="AL263" i="5"/>
  <c r="AN263" i="5"/>
  <c r="AA264" i="5"/>
  <c r="B406" i="4"/>
  <c r="P406" i="4"/>
  <c r="W264" i="5"/>
  <c r="O264" i="5"/>
  <c r="K264" i="5"/>
  <c r="C264" i="5"/>
  <c r="L264" i="5"/>
  <c r="N264" i="5"/>
  <c r="L406" i="4"/>
  <c r="Q264" i="5"/>
  <c r="U264" i="5"/>
  <c r="Q406" i="4"/>
  <c r="X264" i="5"/>
  <c r="R406" i="4"/>
  <c r="Z264" i="5"/>
  <c r="AC264" i="5"/>
  <c r="AD264" i="5"/>
  <c r="AF264" i="5"/>
  <c r="AG264" i="5"/>
  <c r="X406" i="4"/>
  <c r="AI264" i="5"/>
  <c r="Y406" i="4"/>
  <c r="AJ264" i="5"/>
  <c r="AL264" i="5"/>
  <c r="AN264" i="5"/>
  <c r="AA265" i="5"/>
  <c r="B407" i="4"/>
  <c r="P407" i="4"/>
  <c r="W265" i="5"/>
  <c r="O265" i="5"/>
  <c r="K265" i="5"/>
  <c r="C265" i="5"/>
  <c r="L265" i="5"/>
  <c r="N265" i="5"/>
  <c r="L407" i="4"/>
  <c r="Q265" i="5"/>
  <c r="U265" i="5"/>
  <c r="Q407" i="4"/>
  <c r="X265" i="5"/>
  <c r="R407" i="4"/>
  <c r="Z265" i="5"/>
  <c r="AC265" i="5"/>
  <c r="AD265" i="5"/>
  <c r="AF265" i="5"/>
  <c r="AG265" i="5"/>
  <c r="X407" i="4"/>
  <c r="AI265" i="5"/>
  <c r="Y407" i="4"/>
  <c r="AJ265" i="5"/>
  <c r="AL265" i="5"/>
  <c r="AN265" i="5"/>
  <c r="B239" i="4"/>
  <c r="C239" i="4"/>
  <c r="C266" i="5"/>
  <c r="D239" i="4"/>
  <c r="E266" i="5"/>
  <c r="H239" i="4"/>
  <c r="K266" i="5"/>
  <c r="L239" i="4"/>
  <c r="Q266" i="5"/>
  <c r="M239" i="4"/>
  <c r="R266" i="5"/>
  <c r="T266" i="5"/>
  <c r="U266" i="5"/>
  <c r="P239" i="4"/>
  <c r="W266" i="5"/>
  <c r="Q239" i="4"/>
  <c r="X266" i="5"/>
  <c r="AA266" i="5"/>
  <c r="AH239" i="4"/>
  <c r="T239" i="4" a="1"/>
  <c r="T239" i="4"/>
  <c r="AC266" i="5"/>
  <c r="U239" i="4" a="1"/>
  <c r="U239" i="4"/>
  <c r="AD266" i="5"/>
  <c r="AF266" i="5"/>
  <c r="AG266" i="5"/>
  <c r="Y239" i="4"/>
  <c r="AJ266" i="5"/>
  <c r="Z239" i="4"/>
  <c r="AL266" i="5"/>
  <c r="AN266" i="5"/>
  <c r="C240" i="4"/>
  <c r="C267" i="5"/>
  <c r="D240" i="4"/>
  <c r="E267" i="5"/>
  <c r="H240" i="4"/>
  <c r="K267" i="5"/>
  <c r="L240" i="4"/>
  <c r="Q267" i="5"/>
  <c r="M240" i="4"/>
  <c r="R267" i="5"/>
  <c r="T267" i="5"/>
  <c r="U267" i="5"/>
  <c r="P240" i="4"/>
  <c r="W267" i="5"/>
  <c r="Q240" i="4"/>
  <c r="X267" i="5"/>
  <c r="AA267" i="5"/>
  <c r="AH240" i="4"/>
  <c r="T240" i="4" a="1"/>
  <c r="T240" i="4"/>
  <c r="AC267" i="5"/>
  <c r="U240" i="4" a="1"/>
  <c r="U240" i="4"/>
  <c r="AD267" i="5"/>
  <c r="AF267" i="5"/>
  <c r="AG267" i="5"/>
  <c r="X240" i="4"/>
  <c r="AI267" i="5"/>
  <c r="Y240" i="4"/>
  <c r="AJ267" i="5"/>
  <c r="Z240" i="4"/>
  <c r="AL267" i="5"/>
  <c r="AN267" i="5"/>
  <c r="C241" i="4"/>
  <c r="C268" i="5"/>
  <c r="D241" i="4"/>
  <c r="E268" i="5"/>
  <c r="H241" i="4"/>
  <c r="K268" i="5"/>
  <c r="L241" i="4"/>
  <c r="Q268" i="5"/>
  <c r="M241" i="4"/>
  <c r="R268" i="5"/>
  <c r="T268" i="5"/>
  <c r="U268" i="5"/>
  <c r="P241" i="4"/>
  <c r="W268" i="5"/>
  <c r="Q241" i="4"/>
  <c r="X268" i="5"/>
  <c r="AA268" i="5"/>
  <c r="AH241" i="4"/>
  <c r="T241" i="4" a="1"/>
  <c r="T241" i="4"/>
  <c r="AC268" i="5"/>
  <c r="U241" i="4" a="1"/>
  <c r="U241" i="4"/>
  <c r="AD268" i="5"/>
  <c r="AF268" i="5"/>
  <c r="AG268" i="5"/>
  <c r="X241" i="4"/>
  <c r="AI268" i="5"/>
  <c r="Y241" i="4"/>
  <c r="AJ268" i="5"/>
  <c r="Z241" i="4"/>
  <c r="AL268" i="5"/>
  <c r="AN268" i="5"/>
  <c r="B242" i="4"/>
  <c r="C242" i="4"/>
  <c r="C269" i="5"/>
  <c r="D242" i="4"/>
  <c r="E269" i="5"/>
  <c r="H242" i="4"/>
  <c r="K269" i="5"/>
  <c r="L242" i="4"/>
  <c r="Q269" i="5"/>
  <c r="M242" i="4"/>
  <c r="R269" i="5"/>
  <c r="T269" i="5"/>
  <c r="U269" i="5"/>
  <c r="P242" i="4"/>
  <c r="W269" i="5"/>
  <c r="Q242" i="4"/>
  <c r="X269" i="5"/>
  <c r="AA269" i="5"/>
  <c r="AH242" i="4"/>
  <c r="T242" i="4" a="1"/>
  <c r="T242" i="4"/>
  <c r="AC269" i="5"/>
  <c r="U242" i="4" a="1"/>
  <c r="U242" i="4"/>
  <c r="AD269" i="5"/>
  <c r="AF269" i="5"/>
  <c r="AG269" i="5"/>
  <c r="X242" i="4"/>
  <c r="AI269" i="5"/>
  <c r="Y242" i="4"/>
  <c r="AJ269" i="5"/>
  <c r="Z242" i="4"/>
  <c r="AL269" i="5"/>
  <c r="AN269" i="5"/>
  <c r="B243" i="4"/>
  <c r="C243" i="4"/>
  <c r="C270" i="5"/>
  <c r="D243" i="4"/>
  <c r="E270" i="5"/>
  <c r="H243" i="4"/>
  <c r="K270" i="5"/>
  <c r="L243" i="4"/>
  <c r="Q270" i="5"/>
  <c r="M243" i="4"/>
  <c r="R270" i="5"/>
  <c r="T270" i="5"/>
  <c r="U270" i="5"/>
  <c r="P243" i="4"/>
  <c r="W270" i="5"/>
  <c r="Q243" i="4"/>
  <c r="X270" i="5"/>
  <c r="AA270" i="5"/>
  <c r="AH243" i="4"/>
  <c r="T243" i="4" a="1"/>
  <c r="T243" i="4"/>
  <c r="AC270" i="5"/>
  <c r="U243" i="4" a="1"/>
  <c r="U243" i="4"/>
  <c r="AD270" i="5"/>
  <c r="AF270" i="5"/>
  <c r="AG270" i="5"/>
  <c r="X243" i="4"/>
  <c r="AI270" i="5"/>
  <c r="Y243" i="4"/>
  <c r="AJ270" i="5"/>
  <c r="Z243" i="4"/>
  <c r="AL270" i="5"/>
  <c r="AN270" i="5"/>
  <c r="B244" i="4"/>
  <c r="C244" i="4"/>
  <c r="C271" i="5"/>
  <c r="D244" i="4"/>
  <c r="E271" i="5"/>
  <c r="H244" i="4"/>
  <c r="K271" i="5"/>
  <c r="L244" i="4"/>
  <c r="Q271" i="5"/>
  <c r="M244" i="4"/>
  <c r="R271" i="5"/>
  <c r="T271" i="5"/>
  <c r="U271" i="5"/>
  <c r="P244" i="4"/>
  <c r="W271" i="5"/>
  <c r="Q244" i="4"/>
  <c r="X271" i="5"/>
  <c r="AA271" i="5"/>
  <c r="AH244" i="4"/>
  <c r="T244" i="4" a="1"/>
  <c r="T244" i="4"/>
  <c r="AC271" i="5"/>
  <c r="U244" i="4" a="1"/>
  <c r="U244" i="4"/>
  <c r="AD271" i="5"/>
  <c r="AF271" i="5"/>
  <c r="AG271" i="5"/>
  <c r="X244" i="4"/>
  <c r="AI271" i="5"/>
  <c r="Y244" i="4"/>
  <c r="AJ271" i="5"/>
  <c r="Z244" i="4"/>
  <c r="AL271" i="5"/>
  <c r="AN271" i="5"/>
  <c r="B245" i="4"/>
  <c r="C245" i="4"/>
  <c r="C272" i="5"/>
  <c r="D245" i="4"/>
  <c r="E272" i="5"/>
  <c r="H245" i="4"/>
  <c r="K272" i="5"/>
  <c r="L245" i="4"/>
  <c r="Q272" i="5"/>
  <c r="M245" i="4"/>
  <c r="R272" i="5"/>
  <c r="T272" i="5"/>
  <c r="U272" i="5"/>
  <c r="P245" i="4"/>
  <c r="W272" i="5"/>
  <c r="Q245" i="4"/>
  <c r="X272" i="5"/>
  <c r="AA272" i="5"/>
  <c r="AH245" i="4"/>
  <c r="T245" i="4" a="1"/>
  <c r="T245" i="4"/>
  <c r="AC272" i="5"/>
  <c r="U245" i="4" a="1"/>
  <c r="U245" i="4"/>
  <c r="AD272" i="5"/>
  <c r="AF272" i="5"/>
  <c r="AG272" i="5"/>
  <c r="X245" i="4"/>
  <c r="AI272" i="5"/>
  <c r="Y245" i="4"/>
  <c r="AJ272" i="5"/>
  <c r="Z245" i="4"/>
  <c r="AL272" i="5"/>
  <c r="AN272" i="5"/>
  <c r="C246" i="4"/>
  <c r="C273" i="5"/>
  <c r="D246" i="4"/>
  <c r="E273" i="5"/>
  <c r="H246" i="4"/>
  <c r="K273" i="5"/>
  <c r="L246" i="4"/>
  <c r="Q273" i="5"/>
  <c r="M246" i="4"/>
  <c r="R273" i="5"/>
  <c r="T273" i="5"/>
  <c r="U273" i="5"/>
  <c r="P246" i="4"/>
  <c r="W273" i="5"/>
  <c r="Q246" i="4"/>
  <c r="X273" i="5"/>
  <c r="S246" i="4"/>
  <c r="AA273" i="5"/>
  <c r="AH246" i="4"/>
  <c r="T246" i="4" a="1"/>
  <c r="T246" i="4"/>
  <c r="AC273" i="5"/>
  <c r="U246" i="4" a="1"/>
  <c r="U246" i="4"/>
  <c r="AD273" i="5"/>
  <c r="AF273" i="5"/>
  <c r="AG273" i="5"/>
  <c r="X246" i="4"/>
  <c r="AI273" i="5"/>
  <c r="Y246" i="4"/>
  <c r="AJ273" i="5"/>
  <c r="Z246" i="4"/>
  <c r="AL273" i="5"/>
  <c r="AN273" i="5"/>
  <c r="C247" i="4"/>
  <c r="C274" i="5"/>
  <c r="D247" i="4"/>
  <c r="E274" i="5"/>
  <c r="H247" i="4"/>
  <c r="K274" i="5"/>
  <c r="L247" i="4"/>
  <c r="Q274" i="5"/>
  <c r="M247" i="4"/>
  <c r="R274" i="5"/>
  <c r="T274" i="5"/>
  <c r="U274" i="5"/>
  <c r="P247" i="4"/>
  <c r="W274" i="5"/>
  <c r="Q247" i="4"/>
  <c r="X274" i="5"/>
  <c r="S247" i="4"/>
  <c r="AA274" i="5"/>
  <c r="AH247" i="4"/>
  <c r="T247" i="4" a="1"/>
  <c r="T247" i="4"/>
  <c r="AC274" i="5"/>
  <c r="U247" i="4" a="1"/>
  <c r="U247" i="4"/>
  <c r="AD274" i="5"/>
  <c r="AF274" i="5"/>
  <c r="AG274" i="5"/>
  <c r="X247" i="4"/>
  <c r="AI274" i="5"/>
  <c r="Y247" i="4"/>
  <c r="AJ274" i="5"/>
  <c r="Z247" i="4"/>
  <c r="AL274" i="5"/>
  <c r="AN274" i="5"/>
  <c r="C248" i="4"/>
  <c r="C275" i="5"/>
  <c r="D248" i="4"/>
  <c r="E275" i="5"/>
  <c r="K275" i="5"/>
  <c r="L248" i="4"/>
  <c r="Q275" i="5"/>
  <c r="M248" i="4"/>
  <c r="R275" i="5"/>
  <c r="T275" i="5"/>
  <c r="U275" i="5"/>
  <c r="P248" i="4"/>
  <c r="W275" i="5"/>
  <c r="Q248" i="4"/>
  <c r="X275" i="5"/>
  <c r="S248" i="4"/>
  <c r="AA275" i="5"/>
  <c r="AH248" i="4"/>
  <c r="T248" i="4" a="1"/>
  <c r="T248" i="4"/>
  <c r="AC275" i="5"/>
  <c r="U248" i="4" a="1"/>
  <c r="U248" i="4"/>
  <c r="AD275" i="5"/>
  <c r="AF275" i="5"/>
  <c r="AG275" i="5"/>
  <c r="X248" i="4"/>
  <c r="AI275" i="5"/>
  <c r="Y248" i="4"/>
  <c r="AJ275" i="5"/>
  <c r="Z248" i="4"/>
  <c r="AL275" i="5"/>
  <c r="AN275" i="5"/>
  <c r="B249" i="4"/>
  <c r="C249" i="4"/>
  <c r="C276" i="5"/>
  <c r="D249" i="4"/>
  <c r="E276" i="5"/>
  <c r="K276" i="5"/>
  <c r="L249" i="4"/>
  <c r="Q276" i="5"/>
  <c r="M249" i="4"/>
  <c r="R276" i="5"/>
  <c r="T276" i="5"/>
  <c r="U276" i="5"/>
  <c r="P249" i="4"/>
  <c r="W276" i="5"/>
  <c r="Q249" i="4"/>
  <c r="X276" i="5"/>
  <c r="AA276" i="5"/>
  <c r="AH249" i="4"/>
  <c r="T249" i="4" a="1"/>
  <c r="T249" i="4"/>
  <c r="AC276" i="5"/>
  <c r="U249" i="4" a="1"/>
  <c r="U249" i="4"/>
  <c r="AD276" i="5"/>
  <c r="AF276" i="5"/>
  <c r="AG276" i="5"/>
  <c r="X249" i="4"/>
  <c r="AI276" i="5"/>
  <c r="Y249" i="4"/>
  <c r="AJ276" i="5"/>
  <c r="Z249" i="4"/>
  <c r="AL276" i="5"/>
  <c r="AN276" i="5"/>
  <c r="O277" i="5"/>
  <c r="K277" i="5"/>
  <c r="B250" i="4"/>
  <c r="C250" i="4"/>
  <c r="C277" i="5"/>
  <c r="D250" i="4"/>
  <c r="E277" i="5"/>
  <c r="I250" i="4"/>
  <c r="L277" i="5"/>
  <c r="J250" i="4"/>
  <c r="N277" i="5"/>
  <c r="L250" i="4"/>
  <c r="Q277" i="5"/>
  <c r="M250" i="4"/>
  <c r="R277" i="5"/>
  <c r="T277" i="5"/>
  <c r="U277" i="5"/>
  <c r="P250" i="4"/>
  <c r="W277" i="5"/>
  <c r="Q250" i="4"/>
  <c r="X277" i="5"/>
  <c r="S250" i="4"/>
  <c r="AA277" i="5"/>
  <c r="AH250" i="4"/>
  <c r="T250" i="4" a="1"/>
  <c r="T250" i="4"/>
  <c r="AC277" i="5"/>
  <c r="U250" i="4" a="1"/>
  <c r="U250" i="4"/>
  <c r="AD277" i="5"/>
  <c r="AF277" i="5"/>
  <c r="AG277" i="5"/>
  <c r="X250" i="4"/>
  <c r="AI277" i="5"/>
  <c r="Y250" i="4"/>
  <c r="AJ277" i="5"/>
  <c r="Z250" i="4"/>
  <c r="AL277" i="5"/>
  <c r="AN277" i="5"/>
  <c r="B251" i="4"/>
  <c r="C251" i="4"/>
  <c r="C278" i="5"/>
  <c r="D251" i="4"/>
  <c r="E278" i="5"/>
  <c r="H251" i="4"/>
  <c r="K278" i="5"/>
  <c r="L251" i="4"/>
  <c r="Q278" i="5"/>
  <c r="M251" i="4"/>
  <c r="R278" i="5"/>
  <c r="T278" i="5"/>
  <c r="U278" i="5"/>
  <c r="P251" i="4"/>
  <c r="W278" i="5"/>
  <c r="Q251" i="4"/>
  <c r="X278" i="5"/>
  <c r="AA278" i="5"/>
  <c r="AH251" i="4"/>
  <c r="T251" i="4" a="1"/>
  <c r="T251" i="4"/>
  <c r="AC278" i="5"/>
  <c r="U251" i="4" a="1"/>
  <c r="U251" i="4"/>
  <c r="AD278" i="5"/>
  <c r="AF278" i="5"/>
  <c r="AG278" i="5"/>
  <c r="X251" i="4"/>
  <c r="AI278" i="5"/>
  <c r="Y251" i="4"/>
  <c r="AJ278" i="5"/>
  <c r="Z251" i="4"/>
  <c r="AL278" i="5"/>
  <c r="L278" i="5"/>
  <c r="N278" i="5"/>
  <c r="O278" i="5"/>
  <c r="AN278" i="5"/>
  <c r="O279" i="5"/>
  <c r="H252" i="4"/>
  <c r="K279" i="5"/>
  <c r="C252" i="4"/>
  <c r="C279" i="5"/>
  <c r="D252" i="4"/>
  <c r="E279" i="5"/>
  <c r="I252" i="4"/>
  <c r="L279" i="5"/>
  <c r="J252" i="4"/>
  <c r="N279" i="5"/>
  <c r="L252" i="4"/>
  <c r="Q279" i="5"/>
  <c r="M252" i="4"/>
  <c r="R279" i="5"/>
  <c r="T279" i="5"/>
  <c r="U279" i="5"/>
  <c r="P252" i="4"/>
  <c r="W279" i="5"/>
  <c r="Q252" i="4"/>
  <c r="X279" i="5"/>
  <c r="AA279" i="5"/>
  <c r="AH252" i="4"/>
  <c r="T252" i="4" a="1"/>
  <c r="T252" i="4"/>
  <c r="AC279" i="5"/>
  <c r="U252" i="4" a="1"/>
  <c r="U252" i="4"/>
  <c r="AD279" i="5"/>
  <c r="AF279" i="5"/>
  <c r="AG279" i="5"/>
  <c r="X252" i="4"/>
  <c r="AI279" i="5"/>
  <c r="Y252" i="4"/>
  <c r="AJ279" i="5"/>
  <c r="Z252" i="4"/>
  <c r="AL279" i="5"/>
  <c r="AN279" i="5"/>
  <c r="C253" i="4"/>
  <c r="C280" i="5"/>
  <c r="D253" i="4"/>
  <c r="E280" i="5"/>
  <c r="H253" i="4"/>
  <c r="K280" i="5"/>
  <c r="L253" i="4"/>
  <c r="Q280" i="5"/>
  <c r="M253" i="4"/>
  <c r="R280" i="5"/>
  <c r="T280" i="5"/>
  <c r="U280" i="5"/>
  <c r="W280" i="5"/>
  <c r="Q253" i="4"/>
  <c r="X280" i="5"/>
  <c r="AA280" i="5"/>
  <c r="AH253" i="4"/>
  <c r="T253" i="4" a="1"/>
  <c r="T253" i="4"/>
  <c r="AC280" i="5"/>
  <c r="U253" i="4" a="1"/>
  <c r="U253" i="4"/>
  <c r="AD280" i="5"/>
  <c r="AF280" i="5"/>
  <c r="AG280" i="5"/>
  <c r="X253" i="4"/>
  <c r="AI280" i="5"/>
  <c r="Y253" i="4"/>
  <c r="AJ280" i="5"/>
  <c r="Z253" i="4"/>
  <c r="AL280" i="5"/>
  <c r="AN280" i="5"/>
  <c r="B254" i="4"/>
  <c r="C254" i="4"/>
  <c r="C281" i="5"/>
  <c r="D254" i="4"/>
  <c r="E281" i="5"/>
  <c r="K281" i="5"/>
  <c r="L254" i="4"/>
  <c r="Q281" i="5"/>
  <c r="M254" i="4"/>
  <c r="R281" i="5"/>
  <c r="T281" i="5"/>
  <c r="U281" i="5"/>
  <c r="W281" i="5"/>
  <c r="Q254" i="4"/>
  <c r="X281" i="5"/>
  <c r="AA281" i="5"/>
  <c r="AH254" i="4"/>
  <c r="T254" i="4" a="1"/>
  <c r="T254" i="4"/>
  <c r="AC281" i="5"/>
  <c r="U254" i="4" a="1"/>
  <c r="U254" i="4"/>
  <c r="AD281" i="5"/>
  <c r="AF281" i="5"/>
  <c r="AG281" i="5"/>
  <c r="X254" i="4"/>
  <c r="AI281" i="5"/>
  <c r="Y254" i="4"/>
  <c r="AJ281" i="5"/>
  <c r="Z254" i="4"/>
  <c r="AL281" i="5"/>
  <c r="AN281" i="5"/>
  <c r="C255" i="4"/>
  <c r="C282" i="5"/>
  <c r="D255" i="4"/>
  <c r="E282" i="5"/>
  <c r="H255" i="4"/>
  <c r="K282" i="5"/>
  <c r="L255" i="4"/>
  <c r="Q282" i="5"/>
  <c r="M255" i="4"/>
  <c r="R282" i="5"/>
  <c r="T282" i="5"/>
  <c r="U282" i="5"/>
  <c r="P255" i="4"/>
  <c r="W282" i="5"/>
  <c r="Q255" i="4"/>
  <c r="X282" i="5"/>
  <c r="S255" i="4"/>
  <c r="AA282" i="5"/>
  <c r="AH255" i="4"/>
  <c r="T255" i="4" a="1"/>
  <c r="T255" i="4"/>
  <c r="AC282" i="5"/>
  <c r="U255" i="4" a="1"/>
  <c r="U255" i="4"/>
  <c r="AD282" i="5"/>
  <c r="AF282" i="5"/>
  <c r="AG282" i="5"/>
  <c r="X255" i="4"/>
  <c r="AI282" i="5"/>
  <c r="Y255" i="4"/>
  <c r="AJ282" i="5"/>
  <c r="Z255" i="4"/>
  <c r="AL282" i="5"/>
  <c r="AN282" i="5"/>
  <c r="B256" i="4"/>
  <c r="C256" i="4"/>
  <c r="C283" i="5"/>
  <c r="D256" i="4"/>
  <c r="E283" i="5"/>
  <c r="K283" i="5"/>
  <c r="L256" i="4"/>
  <c r="Q283" i="5"/>
  <c r="M256" i="4"/>
  <c r="R283" i="5"/>
  <c r="T283" i="5"/>
  <c r="U283" i="5"/>
  <c r="P256" i="4"/>
  <c r="W283" i="5"/>
  <c r="Q256" i="4"/>
  <c r="X283" i="5"/>
  <c r="S256" i="4"/>
  <c r="AA283" i="5"/>
  <c r="AH256" i="4"/>
  <c r="T256" i="4" a="1"/>
  <c r="T256" i="4"/>
  <c r="AC283" i="5"/>
  <c r="U256" i="4" a="1"/>
  <c r="U256" i="4"/>
  <c r="AD283" i="5"/>
  <c r="AF283" i="5"/>
  <c r="AG283" i="5"/>
  <c r="X256" i="4"/>
  <c r="AI283" i="5"/>
  <c r="Y256" i="4"/>
  <c r="AJ283" i="5"/>
  <c r="Z256" i="4"/>
  <c r="AL283" i="5"/>
  <c r="AN283" i="5"/>
  <c r="B257" i="4"/>
  <c r="C257" i="4"/>
  <c r="C284" i="5"/>
  <c r="D257" i="4"/>
  <c r="E284" i="5"/>
  <c r="K284" i="5"/>
  <c r="L257" i="4"/>
  <c r="Q284" i="5"/>
  <c r="M257" i="4"/>
  <c r="R284" i="5"/>
  <c r="T284" i="5"/>
  <c r="U284" i="5"/>
  <c r="P257" i="4"/>
  <c r="W284" i="5"/>
  <c r="Q257" i="4"/>
  <c r="X284" i="5"/>
  <c r="S257" i="4"/>
  <c r="AA284" i="5"/>
  <c r="AH257" i="4"/>
  <c r="T257" i="4" a="1"/>
  <c r="T257" i="4"/>
  <c r="AC284" i="5"/>
  <c r="U257" i="4" a="1"/>
  <c r="U257" i="4"/>
  <c r="AD284" i="5"/>
  <c r="AF284" i="5"/>
  <c r="AG284" i="5"/>
  <c r="X257" i="4"/>
  <c r="AI284" i="5"/>
  <c r="Y257" i="4"/>
  <c r="AJ284" i="5"/>
  <c r="Z257" i="4"/>
  <c r="AL284" i="5"/>
  <c r="AN284" i="5"/>
  <c r="B259" i="4"/>
  <c r="C259" i="4"/>
  <c r="C285" i="5"/>
  <c r="D259" i="4"/>
  <c r="E285" i="5"/>
  <c r="K285" i="5"/>
  <c r="L259" i="4"/>
  <c r="Q285" i="5"/>
  <c r="M259" i="4"/>
  <c r="R285" i="5"/>
  <c r="T285" i="5"/>
  <c r="U285" i="5"/>
  <c r="P259" i="4"/>
  <c r="W285" i="5"/>
  <c r="Q259" i="4"/>
  <c r="X285" i="5"/>
  <c r="S259" i="4"/>
  <c r="AA285" i="5"/>
  <c r="AH259" i="4"/>
  <c r="T259" i="4" a="1"/>
  <c r="T259" i="4"/>
  <c r="AC285" i="5"/>
  <c r="U259" i="4" a="1"/>
  <c r="U259" i="4"/>
  <c r="AD285" i="5"/>
  <c r="AF285" i="5"/>
  <c r="AG285" i="5"/>
  <c r="X259" i="4"/>
  <c r="AI285" i="5"/>
  <c r="Y259" i="4"/>
  <c r="AJ285" i="5"/>
  <c r="Z259" i="4"/>
  <c r="AL285" i="5"/>
  <c r="AN285" i="5"/>
  <c r="C260" i="4"/>
  <c r="C286" i="5"/>
  <c r="D260" i="4"/>
  <c r="E286" i="5"/>
  <c r="H260" i="4"/>
  <c r="K286" i="5"/>
  <c r="L260" i="4"/>
  <c r="Q286" i="5"/>
  <c r="M260" i="4"/>
  <c r="R286" i="5"/>
  <c r="N4" i="2"/>
  <c r="N260" i="4"/>
  <c r="T286" i="5"/>
  <c r="U286" i="5"/>
  <c r="P260" i="4"/>
  <c r="W286" i="5"/>
  <c r="Q260" i="4"/>
  <c r="X286" i="5"/>
  <c r="AA286" i="5"/>
  <c r="AH260" i="4"/>
  <c r="T260" i="4" a="1"/>
  <c r="T260" i="4"/>
  <c r="AC286" i="5"/>
  <c r="U260" i="4" a="1"/>
  <c r="U260" i="4"/>
  <c r="AD286" i="5"/>
  <c r="AF286" i="5"/>
  <c r="AG286" i="5"/>
  <c r="X260" i="4"/>
  <c r="AI286" i="5"/>
  <c r="Y260" i="4"/>
  <c r="AJ286" i="5"/>
  <c r="Z260" i="4"/>
  <c r="AL286" i="5"/>
  <c r="AN286" i="5"/>
  <c r="O287" i="5"/>
  <c r="K287" i="5"/>
  <c r="B261" i="4"/>
  <c r="C261" i="4"/>
  <c r="C287" i="5"/>
  <c r="D261" i="4"/>
  <c r="E287" i="5"/>
  <c r="E261" i="4"/>
  <c r="F287" i="5"/>
  <c r="F261" i="4"/>
  <c r="H287" i="5"/>
  <c r="I287" i="5"/>
  <c r="I261" i="4"/>
  <c r="L287" i="5"/>
  <c r="J261" i="4"/>
  <c r="N287" i="5"/>
  <c r="L261" i="4"/>
  <c r="Q287" i="5"/>
  <c r="M261" i="4"/>
  <c r="R287" i="5"/>
  <c r="N261" i="4"/>
  <c r="T287" i="5"/>
  <c r="U287" i="5"/>
  <c r="P261" i="4"/>
  <c r="W287" i="5"/>
  <c r="Q261" i="4"/>
  <c r="X287" i="5"/>
  <c r="S261" i="4"/>
  <c r="AA287" i="5"/>
  <c r="AH261" i="4"/>
  <c r="T261" i="4" a="1"/>
  <c r="T261" i="4"/>
  <c r="AC287" i="5"/>
  <c r="U261" i="4" a="1"/>
  <c r="U261" i="4"/>
  <c r="AD287" i="5"/>
  <c r="AF287" i="5"/>
  <c r="AG287" i="5"/>
  <c r="X261" i="4"/>
  <c r="AI287" i="5"/>
  <c r="Y261" i="4"/>
  <c r="AJ287" i="5"/>
  <c r="Z261" i="4"/>
  <c r="AL287" i="5"/>
  <c r="AN287" i="5"/>
  <c r="C262" i="4"/>
  <c r="C288" i="5"/>
  <c r="D262" i="4"/>
  <c r="E288" i="5"/>
  <c r="H262" i="4"/>
  <c r="K288" i="5"/>
  <c r="I262" i="4"/>
  <c r="L288" i="5"/>
  <c r="J262" i="4"/>
  <c r="N288" i="5"/>
  <c r="O288" i="5"/>
  <c r="L262" i="4"/>
  <c r="Q288" i="5"/>
  <c r="M262" i="4"/>
  <c r="R288" i="5"/>
  <c r="N262" i="4"/>
  <c r="T288" i="5"/>
  <c r="U288" i="5"/>
  <c r="P262" i="4"/>
  <c r="W288" i="5"/>
  <c r="Q262" i="4"/>
  <c r="X288" i="5"/>
  <c r="S262" i="4"/>
  <c r="AA288" i="5"/>
  <c r="AH262" i="4"/>
  <c r="T262" i="4" a="1"/>
  <c r="T262" i="4"/>
  <c r="AC288" i="5"/>
  <c r="U262" i="4" a="1"/>
  <c r="U262" i="4"/>
  <c r="AD288" i="5"/>
  <c r="AF288" i="5"/>
  <c r="AG288" i="5"/>
  <c r="X262" i="4"/>
  <c r="AI288" i="5"/>
  <c r="Y262" i="4"/>
  <c r="AJ288" i="5"/>
  <c r="Z262" i="4"/>
  <c r="AL288" i="5"/>
  <c r="F288" i="5"/>
  <c r="H288" i="5"/>
  <c r="I288" i="5"/>
  <c r="AN288" i="5"/>
  <c r="O289" i="5"/>
  <c r="K289" i="5"/>
  <c r="B263" i="4"/>
  <c r="C263" i="4"/>
  <c r="C289" i="5"/>
  <c r="D263" i="4"/>
  <c r="E289" i="5"/>
  <c r="I263" i="4"/>
  <c r="L289" i="5"/>
  <c r="J263" i="4"/>
  <c r="N289" i="5"/>
  <c r="L263" i="4"/>
  <c r="Q289" i="5"/>
  <c r="M263" i="4"/>
  <c r="R289" i="5"/>
  <c r="N263" i="4"/>
  <c r="T289" i="5"/>
  <c r="U289" i="5"/>
  <c r="P263" i="4"/>
  <c r="W289" i="5"/>
  <c r="Q263" i="4"/>
  <c r="X289" i="5"/>
  <c r="S263" i="4"/>
  <c r="AA289" i="5"/>
  <c r="AH263" i="4"/>
  <c r="T263" i="4" a="1"/>
  <c r="T263" i="4"/>
  <c r="AC289" i="5"/>
  <c r="U263" i="4" a="1"/>
  <c r="U263" i="4"/>
  <c r="AD289" i="5"/>
  <c r="AF289" i="5"/>
  <c r="AG289" i="5"/>
  <c r="X263" i="4"/>
  <c r="AI289" i="5"/>
  <c r="Y263" i="4"/>
  <c r="AJ289" i="5"/>
  <c r="Z263" i="4"/>
  <c r="AL289" i="5"/>
  <c r="F289" i="5"/>
  <c r="H289" i="5"/>
  <c r="I289" i="5"/>
  <c r="AN289" i="5"/>
  <c r="O290" i="5"/>
  <c r="K290" i="5"/>
  <c r="C290" i="5"/>
  <c r="B312" i="4"/>
  <c r="D312" i="4"/>
  <c r="E290" i="5"/>
  <c r="I290" i="5"/>
  <c r="I312" i="4"/>
  <c r="L290" i="5"/>
  <c r="J312" i="4"/>
  <c r="N290" i="5"/>
  <c r="L312" i="4"/>
  <c r="Q290" i="5"/>
  <c r="M312" i="4"/>
  <c r="R290" i="5"/>
  <c r="N43" i="2"/>
  <c r="N312" i="4"/>
  <c r="T290" i="5"/>
  <c r="O43" i="2"/>
  <c r="O312" i="4"/>
  <c r="U290" i="5"/>
  <c r="P312" i="4"/>
  <c r="W290" i="5"/>
  <c r="Q312" i="4"/>
  <c r="X290" i="5"/>
  <c r="AA290" i="5"/>
  <c r="AC290" i="5"/>
  <c r="AD290" i="5"/>
  <c r="V43" i="2"/>
  <c r="V312" i="4"/>
  <c r="AF290" i="5"/>
  <c r="AG290" i="5"/>
  <c r="X312" i="4"/>
  <c r="AI290" i="5"/>
  <c r="Y312" i="4"/>
  <c r="AJ290" i="5"/>
  <c r="AL290" i="5"/>
  <c r="AN290" i="5"/>
  <c r="O291" i="5"/>
  <c r="K291" i="5"/>
  <c r="C291" i="5"/>
  <c r="B313" i="4"/>
  <c r="D313" i="4"/>
  <c r="E291" i="5"/>
  <c r="I291" i="5"/>
  <c r="I313" i="4"/>
  <c r="L291" i="5"/>
  <c r="J313" i="4"/>
  <c r="N291" i="5"/>
  <c r="L313" i="4"/>
  <c r="Q291" i="5"/>
  <c r="M313" i="4"/>
  <c r="R291" i="5"/>
  <c r="N313" i="4"/>
  <c r="T291" i="5"/>
  <c r="O313" i="4"/>
  <c r="U291" i="5"/>
  <c r="P313" i="4"/>
  <c r="W291" i="5"/>
  <c r="Q313" i="4"/>
  <c r="X291" i="5"/>
  <c r="AA291" i="5"/>
  <c r="AC291" i="5"/>
  <c r="AD291" i="5"/>
  <c r="V313" i="4"/>
  <c r="AF291" i="5"/>
  <c r="AG291" i="5"/>
  <c r="X313" i="4"/>
  <c r="AI291" i="5"/>
  <c r="Y313" i="4"/>
  <c r="AJ291" i="5"/>
  <c r="AL291" i="5"/>
  <c r="AN291" i="5"/>
  <c r="O292" i="5"/>
  <c r="K292" i="5"/>
  <c r="C292" i="5"/>
  <c r="B314" i="4"/>
  <c r="D314" i="4"/>
  <c r="E292" i="5"/>
  <c r="I292" i="5"/>
  <c r="I314" i="4"/>
  <c r="L292" i="5"/>
  <c r="J314" i="4"/>
  <c r="N292" i="5"/>
  <c r="L314" i="4"/>
  <c r="Q292" i="5"/>
  <c r="M314" i="4"/>
  <c r="R292" i="5"/>
  <c r="N314" i="4"/>
  <c r="T292" i="5"/>
  <c r="O314" i="4"/>
  <c r="U292" i="5"/>
  <c r="P314" i="4"/>
  <c r="W292" i="5"/>
  <c r="Q314" i="4"/>
  <c r="X292" i="5"/>
  <c r="AA292" i="5"/>
  <c r="AC292" i="5"/>
  <c r="AD292" i="5"/>
  <c r="V314" i="4"/>
  <c r="AF292" i="5"/>
  <c r="AG292" i="5"/>
  <c r="X314" i="4"/>
  <c r="AI292" i="5"/>
  <c r="Y314" i="4"/>
  <c r="AJ292" i="5"/>
  <c r="AL292" i="5"/>
  <c r="AN292" i="5"/>
  <c r="O293" i="5"/>
  <c r="K293" i="5"/>
  <c r="C293" i="5"/>
  <c r="B315" i="4"/>
  <c r="D315" i="4"/>
  <c r="E293" i="5"/>
  <c r="I293" i="5"/>
  <c r="I315" i="4"/>
  <c r="L293" i="5"/>
  <c r="J315" i="4"/>
  <c r="N293" i="5"/>
  <c r="L315" i="4"/>
  <c r="Q293" i="5"/>
  <c r="M315" i="4"/>
  <c r="R293" i="5"/>
  <c r="N315" i="4"/>
  <c r="T293" i="5"/>
  <c r="O315" i="4"/>
  <c r="U293" i="5"/>
  <c r="P315" i="4"/>
  <c r="W293" i="5"/>
  <c r="Q315" i="4"/>
  <c r="X293" i="5"/>
  <c r="AA293" i="5"/>
  <c r="AC293" i="5"/>
  <c r="AD293" i="5"/>
  <c r="V315" i="4"/>
  <c r="AF293" i="5"/>
  <c r="AG293" i="5"/>
  <c r="X315" i="4"/>
  <c r="AI293" i="5"/>
  <c r="Y315" i="4"/>
  <c r="AJ293" i="5"/>
  <c r="AL293" i="5"/>
  <c r="AN293" i="5"/>
  <c r="O294" i="5"/>
  <c r="K294" i="5"/>
  <c r="C294" i="5"/>
  <c r="B316" i="4"/>
  <c r="D316" i="4"/>
  <c r="E294" i="5"/>
  <c r="I294" i="5"/>
  <c r="I316" i="4"/>
  <c r="L294" i="5"/>
  <c r="J316" i="4"/>
  <c r="N294" i="5"/>
  <c r="L316" i="4"/>
  <c r="Q294" i="5"/>
  <c r="M316" i="4"/>
  <c r="R294" i="5"/>
  <c r="N316" i="4"/>
  <c r="T294" i="5"/>
  <c r="O316" i="4"/>
  <c r="U294" i="5"/>
  <c r="P316" i="4"/>
  <c r="W294" i="5"/>
  <c r="Q316" i="4"/>
  <c r="X294" i="5"/>
  <c r="AA294" i="5"/>
  <c r="AC294" i="5"/>
  <c r="AD294" i="5"/>
  <c r="V316" i="4"/>
  <c r="AF294" i="5"/>
  <c r="AG294" i="5"/>
  <c r="X316" i="4"/>
  <c r="AI294" i="5"/>
  <c r="Y316" i="4"/>
  <c r="AJ294" i="5"/>
  <c r="AL294" i="5"/>
  <c r="AN294" i="5"/>
  <c r="O295" i="5"/>
  <c r="K295" i="5"/>
  <c r="C295" i="5"/>
  <c r="B317" i="4"/>
  <c r="D317" i="4"/>
  <c r="E295" i="5"/>
  <c r="I317" i="4"/>
  <c r="L295" i="5"/>
  <c r="J317" i="4"/>
  <c r="N295" i="5"/>
  <c r="L317" i="4"/>
  <c r="Q295" i="5"/>
  <c r="M317" i="4"/>
  <c r="R295" i="5"/>
  <c r="N317" i="4"/>
  <c r="T295" i="5"/>
  <c r="O317" i="4"/>
  <c r="U295" i="5"/>
  <c r="P317" i="4"/>
  <c r="W295" i="5"/>
  <c r="Q317" i="4"/>
  <c r="X295" i="5"/>
  <c r="AA295" i="5"/>
  <c r="AC295" i="5"/>
  <c r="AD295" i="5"/>
  <c r="V317" i="4"/>
  <c r="AF295" i="5"/>
  <c r="AG295" i="5"/>
  <c r="X317" i="4"/>
  <c r="AI295" i="5"/>
  <c r="Y317" i="4"/>
  <c r="AJ295" i="5"/>
  <c r="AL295" i="5"/>
  <c r="F295" i="5"/>
  <c r="H295" i="5"/>
  <c r="I295" i="5"/>
  <c r="AN295" i="5"/>
  <c r="O296" i="5"/>
  <c r="K296" i="5"/>
  <c r="C296" i="5"/>
  <c r="B318" i="4"/>
  <c r="D318" i="4"/>
  <c r="E296" i="5"/>
  <c r="I296" i="5"/>
  <c r="I318" i="4"/>
  <c r="L296" i="5"/>
  <c r="J318" i="4"/>
  <c r="N296" i="5"/>
  <c r="L318" i="4"/>
  <c r="Q296" i="5"/>
  <c r="M318" i="4"/>
  <c r="R296" i="5"/>
  <c r="N318" i="4"/>
  <c r="T296" i="5"/>
  <c r="O318" i="4"/>
  <c r="U296" i="5"/>
  <c r="P318" i="4"/>
  <c r="W296" i="5"/>
  <c r="Q318" i="4"/>
  <c r="X296" i="5"/>
  <c r="AA296" i="5"/>
  <c r="AC296" i="5"/>
  <c r="AD296" i="5"/>
  <c r="AF296" i="5"/>
  <c r="AG296" i="5"/>
  <c r="X318" i="4"/>
  <c r="AI296" i="5"/>
  <c r="Y318" i="4"/>
  <c r="AJ296" i="5"/>
  <c r="AL296" i="5"/>
  <c r="AN296" i="5"/>
  <c r="O297" i="5"/>
  <c r="K297" i="5"/>
  <c r="C297" i="5"/>
  <c r="B319" i="4"/>
  <c r="D319" i="4"/>
  <c r="E297" i="5"/>
  <c r="I297" i="5"/>
  <c r="I319" i="4"/>
  <c r="L297" i="5"/>
  <c r="J319" i="4"/>
  <c r="N297" i="5"/>
  <c r="L319" i="4"/>
  <c r="Q297" i="5"/>
  <c r="M319" i="4"/>
  <c r="R297" i="5"/>
  <c r="N319" i="4"/>
  <c r="T297" i="5"/>
  <c r="O319" i="4"/>
  <c r="U297" i="5"/>
  <c r="P319" i="4"/>
  <c r="W297" i="5"/>
  <c r="Q319" i="4"/>
  <c r="X297" i="5"/>
  <c r="AA297" i="5"/>
  <c r="AC297" i="5"/>
  <c r="AD297" i="5"/>
  <c r="V319" i="4"/>
  <c r="AF297" i="5"/>
  <c r="AG297" i="5"/>
  <c r="X319" i="4"/>
  <c r="AI297" i="5"/>
  <c r="Y319" i="4"/>
  <c r="AJ297" i="5"/>
  <c r="AL297" i="5"/>
  <c r="AN297" i="5"/>
  <c r="O298" i="5"/>
  <c r="K298" i="5"/>
  <c r="C298" i="5"/>
  <c r="B320" i="4"/>
  <c r="D320" i="4"/>
  <c r="E298" i="5"/>
  <c r="I320" i="4"/>
  <c r="L298" i="5"/>
  <c r="J320" i="4"/>
  <c r="N298" i="5"/>
  <c r="L320" i="4"/>
  <c r="Q298" i="5"/>
  <c r="M320" i="4"/>
  <c r="R298" i="5"/>
  <c r="N320" i="4"/>
  <c r="T298" i="5"/>
  <c r="O320" i="4"/>
  <c r="U298" i="5"/>
  <c r="P320" i="4"/>
  <c r="W298" i="5"/>
  <c r="Q320" i="4"/>
  <c r="X298" i="5"/>
  <c r="AA298" i="5"/>
  <c r="AC298" i="5"/>
  <c r="AD298" i="5"/>
  <c r="V320" i="4"/>
  <c r="AF298" i="5"/>
  <c r="AG298" i="5"/>
  <c r="X320" i="4"/>
  <c r="AI298" i="5"/>
  <c r="Y320" i="4"/>
  <c r="AJ298" i="5"/>
  <c r="AL298" i="5"/>
  <c r="F298" i="5"/>
  <c r="AN298" i="5"/>
  <c r="O299" i="5"/>
  <c r="K299" i="5"/>
  <c r="C299" i="5"/>
  <c r="B321" i="4"/>
  <c r="D321" i="4"/>
  <c r="E299" i="5"/>
  <c r="I321" i="4"/>
  <c r="L299" i="5"/>
  <c r="J321" i="4"/>
  <c r="N299" i="5"/>
  <c r="L321" i="4"/>
  <c r="Q299" i="5"/>
  <c r="M321" i="4"/>
  <c r="R299" i="5"/>
  <c r="N321" i="4"/>
  <c r="T299" i="5"/>
  <c r="O321" i="4"/>
  <c r="U299" i="5"/>
  <c r="P321" i="4"/>
  <c r="W299" i="5"/>
  <c r="Q321" i="4"/>
  <c r="X299" i="5"/>
  <c r="AA299" i="5"/>
  <c r="AC299" i="5"/>
  <c r="AD299" i="5"/>
  <c r="V321" i="4"/>
  <c r="AF299" i="5"/>
  <c r="AG299" i="5"/>
  <c r="X321" i="4"/>
  <c r="AI299" i="5"/>
  <c r="Y321" i="4"/>
  <c r="AJ299" i="5"/>
  <c r="AL299" i="5"/>
  <c r="F299" i="5"/>
  <c r="AN299" i="5"/>
  <c r="O300" i="5"/>
  <c r="K300" i="5"/>
  <c r="C300" i="5"/>
  <c r="B322" i="4"/>
  <c r="D322" i="4"/>
  <c r="E300" i="5"/>
  <c r="I322" i="4"/>
  <c r="L300" i="5"/>
  <c r="J322" i="4"/>
  <c r="N300" i="5"/>
  <c r="L322" i="4"/>
  <c r="Q300" i="5"/>
  <c r="M322" i="4"/>
  <c r="R300" i="5"/>
  <c r="N322" i="4"/>
  <c r="T300" i="5"/>
  <c r="O322" i="4"/>
  <c r="U300" i="5"/>
  <c r="P322" i="4"/>
  <c r="W300" i="5"/>
  <c r="Q322" i="4"/>
  <c r="X300" i="5"/>
  <c r="AA300" i="5"/>
  <c r="AC300" i="5"/>
  <c r="AD300" i="5"/>
  <c r="V6" i="2"/>
  <c r="V322" i="4"/>
  <c r="AF300" i="5"/>
  <c r="AG300" i="5"/>
  <c r="X322" i="4"/>
  <c r="AI300" i="5"/>
  <c r="Y322" i="4"/>
  <c r="AJ300" i="5"/>
  <c r="AL300" i="5"/>
  <c r="F300" i="5"/>
  <c r="AN300" i="5"/>
  <c r="O301" i="5"/>
  <c r="K301" i="5"/>
  <c r="C301" i="5"/>
  <c r="B323" i="4"/>
  <c r="D323" i="4"/>
  <c r="E301" i="5"/>
  <c r="I301" i="5"/>
  <c r="I323" i="4"/>
  <c r="L301" i="5"/>
  <c r="J323" i="4"/>
  <c r="N301" i="5"/>
  <c r="L323" i="4"/>
  <c r="Q301" i="5"/>
  <c r="M323" i="4"/>
  <c r="R301" i="5"/>
  <c r="N323" i="4"/>
  <c r="T301" i="5"/>
  <c r="O323" i="4"/>
  <c r="U301" i="5"/>
  <c r="P323" i="4"/>
  <c r="W301" i="5"/>
  <c r="Q323" i="4"/>
  <c r="X301" i="5"/>
  <c r="AA301" i="5"/>
  <c r="AC301" i="5"/>
  <c r="AD301" i="5"/>
  <c r="V323" i="4"/>
  <c r="AF301" i="5"/>
  <c r="AG301" i="5"/>
  <c r="X323" i="4"/>
  <c r="AI301" i="5"/>
  <c r="Y323" i="4"/>
  <c r="AJ301" i="5"/>
  <c r="AL301" i="5"/>
  <c r="AN301" i="5"/>
  <c r="O302" i="5"/>
  <c r="K302" i="5"/>
  <c r="C302" i="5"/>
  <c r="B324" i="4"/>
  <c r="D324" i="4"/>
  <c r="E302" i="5"/>
  <c r="I302" i="5"/>
  <c r="I324" i="4"/>
  <c r="L302" i="5"/>
  <c r="J324" i="4"/>
  <c r="N302" i="5"/>
  <c r="L324" i="4"/>
  <c r="Q302" i="5"/>
  <c r="M324" i="4"/>
  <c r="R302" i="5"/>
  <c r="N324" i="4"/>
  <c r="T302" i="5"/>
  <c r="O324" i="4"/>
  <c r="U302" i="5"/>
  <c r="P324" i="4"/>
  <c r="W302" i="5"/>
  <c r="Q324" i="4"/>
  <c r="X302" i="5"/>
  <c r="AA302" i="5"/>
  <c r="AC302" i="5"/>
  <c r="AD302" i="5"/>
  <c r="V15" i="2"/>
  <c r="V324" i="4"/>
  <c r="AF302" i="5"/>
  <c r="AG302" i="5"/>
  <c r="X324" i="4"/>
  <c r="AI302" i="5"/>
  <c r="AN302" i="5"/>
  <c r="O303" i="5"/>
  <c r="K303" i="5"/>
  <c r="C303" i="5"/>
  <c r="B325" i="4"/>
  <c r="D325" i="4"/>
  <c r="E303" i="5"/>
  <c r="I303" i="5"/>
  <c r="I325" i="4"/>
  <c r="L303" i="5"/>
  <c r="J325" i="4"/>
  <c r="N303" i="5"/>
  <c r="L325" i="4"/>
  <c r="Q303" i="5"/>
  <c r="M325" i="4"/>
  <c r="R303" i="5"/>
  <c r="N325" i="4"/>
  <c r="T303" i="5"/>
  <c r="O325" i="4"/>
  <c r="U303" i="5"/>
  <c r="P325" i="4"/>
  <c r="W303" i="5"/>
  <c r="Q325" i="4"/>
  <c r="X303" i="5"/>
  <c r="AA303" i="5"/>
  <c r="AC303" i="5"/>
  <c r="AD303" i="5"/>
  <c r="V325" i="4"/>
  <c r="AF303" i="5"/>
  <c r="AG303" i="5"/>
  <c r="X325" i="4"/>
  <c r="AI303" i="5"/>
  <c r="Y325" i="4"/>
  <c r="AJ303" i="5"/>
  <c r="AL303" i="5"/>
  <c r="AN303" i="5"/>
  <c r="O304" i="5"/>
  <c r="K304" i="5"/>
  <c r="C304" i="5"/>
  <c r="B326" i="4"/>
  <c r="D326" i="4"/>
  <c r="E304" i="5"/>
  <c r="I304" i="5"/>
  <c r="I326" i="4"/>
  <c r="L304" i="5"/>
  <c r="J326" i="4"/>
  <c r="N304" i="5"/>
  <c r="L326" i="4"/>
  <c r="Q304" i="5"/>
  <c r="M326" i="4"/>
  <c r="R304" i="5"/>
  <c r="N326" i="4"/>
  <c r="T304" i="5"/>
  <c r="O326" i="4"/>
  <c r="U304" i="5"/>
  <c r="P326" i="4"/>
  <c r="W304" i="5"/>
  <c r="Q326" i="4"/>
  <c r="X304" i="5"/>
  <c r="AA304" i="5"/>
  <c r="AC304" i="5"/>
  <c r="AD304" i="5"/>
  <c r="V326" i="4"/>
  <c r="AF304" i="5"/>
  <c r="AG304" i="5"/>
  <c r="X326" i="4"/>
  <c r="AI304" i="5"/>
  <c r="Y326" i="4"/>
  <c r="AJ304" i="5"/>
  <c r="AL304" i="5"/>
  <c r="AN304" i="5"/>
  <c r="O305" i="5"/>
  <c r="K305" i="5"/>
  <c r="C305" i="5"/>
  <c r="B327" i="4"/>
  <c r="D327" i="4"/>
  <c r="E305" i="5"/>
  <c r="I327" i="4"/>
  <c r="L305" i="5"/>
  <c r="J327" i="4"/>
  <c r="N305" i="5"/>
  <c r="L327" i="4"/>
  <c r="Q305" i="5"/>
  <c r="M327" i="4"/>
  <c r="R305" i="5"/>
  <c r="N327" i="4"/>
  <c r="T305" i="5"/>
  <c r="O327" i="4"/>
  <c r="U305" i="5"/>
  <c r="P327" i="4"/>
  <c r="W305" i="5"/>
  <c r="Q327" i="4"/>
  <c r="X305" i="5"/>
  <c r="AA305" i="5"/>
  <c r="AC305" i="5"/>
  <c r="AD305" i="5"/>
  <c r="V327" i="4"/>
  <c r="AF305" i="5"/>
  <c r="AG305" i="5"/>
  <c r="X327" i="4"/>
  <c r="AI305" i="5"/>
  <c r="Y327" i="4"/>
  <c r="AJ305" i="5"/>
  <c r="AL305" i="5"/>
  <c r="F305" i="5"/>
  <c r="H305" i="5"/>
  <c r="I305" i="5"/>
  <c r="AN305" i="5"/>
  <c r="O306" i="5"/>
  <c r="K306" i="5"/>
  <c r="C306" i="5"/>
  <c r="B328" i="4"/>
  <c r="D328" i="4"/>
  <c r="E306" i="5"/>
  <c r="I328" i="4"/>
  <c r="L306" i="5"/>
  <c r="J328" i="4"/>
  <c r="N306" i="5"/>
  <c r="L328" i="4"/>
  <c r="Q306" i="5"/>
  <c r="M328" i="4"/>
  <c r="R306" i="5"/>
  <c r="N328" i="4"/>
  <c r="T306" i="5"/>
  <c r="O328" i="4"/>
  <c r="U306" i="5"/>
  <c r="P328" i="4"/>
  <c r="W306" i="5"/>
  <c r="Q328" i="4"/>
  <c r="X306" i="5"/>
  <c r="AA306" i="5"/>
  <c r="AC306" i="5"/>
  <c r="AD306" i="5"/>
  <c r="V328" i="4"/>
  <c r="AF306" i="5"/>
  <c r="AG306" i="5"/>
  <c r="X328" i="4"/>
  <c r="AI306" i="5"/>
  <c r="Y328" i="4"/>
  <c r="AJ306" i="5"/>
  <c r="AL306" i="5"/>
  <c r="F306" i="5"/>
  <c r="H306" i="5"/>
  <c r="I306" i="5"/>
  <c r="AN306" i="5"/>
  <c r="O307" i="5"/>
  <c r="K307" i="5"/>
  <c r="C307" i="5"/>
  <c r="B329" i="4"/>
  <c r="D329" i="4"/>
  <c r="E307" i="5"/>
  <c r="I307" i="5"/>
  <c r="I329" i="4"/>
  <c r="L307" i="5"/>
  <c r="J329" i="4"/>
  <c r="N307" i="5"/>
  <c r="L329" i="4"/>
  <c r="Q307" i="5"/>
  <c r="M329" i="4"/>
  <c r="R307" i="5"/>
  <c r="N329" i="4"/>
  <c r="T307" i="5"/>
  <c r="O329" i="4"/>
  <c r="U307" i="5"/>
  <c r="P329" i="4"/>
  <c r="W307" i="5"/>
  <c r="Q329" i="4"/>
  <c r="X307" i="5"/>
  <c r="AA307" i="5"/>
  <c r="AC307" i="5"/>
  <c r="AD307" i="5"/>
  <c r="V329" i="4"/>
  <c r="AF307" i="5"/>
  <c r="AG307" i="5"/>
  <c r="X329" i="4"/>
  <c r="AI307" i="5"/>
  <c r="Y329" i="4"/>
  <c r="AJ307" i="5"/>
  <c r="AL307" i="5"/>
  <c r="AN307" i="5"/>
  <c r="O308" i="5"/>
  <c r="K308" i="5"/>
  <c r="C308" i="5"/>
  <c r="B330" i="4"/>
  <c r="D330" i="4"/>
  <c r="E308" i="5"/>
  <c r="I308" i="5"/>
  <c r="I330" i="4"/>
  <c r="L308" i="5"/>
  <c r="J330" i="4"/>
  <c r="N308" i="5"/>
  <c r="L330" i="4"/>
  <c r="Q308" i="5"/>
  <c r="M330" i="4"/>
  <c r="R308" i="5"/>
  <c r="N330" i="4"/>
  <c r="T308" i="5"/>
  <c r="O330" i="4"/>
  <c r="U308" i="5"/>
  <c r="P330" i="4"/>
  <c r="W308" i="5"/>
  <c r="Q330" i="4"/>
  <c r="X308" i="5"/>
  <c r="AA308" i="5"/>
  <c r="AC308" i="5"/>
  <c r="AD308" i="5"/>
  <c r="AF308" i="5"/>
  <c r="AG308" i="5"/>
  <c r="X330" i="4"/>
  <c r="AI308" i="5"/>
  <c r="Y330" i="4"/>
  <c r="AJ308" i="5"/>
  <c r="AL308" i="5"/>
  <c r="AN308" i="5"/>
  <c r="O309" i="5"/>
  <c r="K309" i="5"/>
  <c r="C309" i="5"/>
  <c r="B331" i="4"/>
  <c r="D331" i="4"/>
  <c r="E309" i="5"/>
  <c r="I309" i="5"/>
  <c r="I331" i="4"/>
  <c r="L309" i="5"/>
  <c r="J331" i="4"/>
  <c r="N309" i="5"/>
  <c r="L331" i="4"/>
  <c r="Q309" i="5"/>
  <c r="M331" i="4"/>
  <c r="R309" i="5"/>
  <c r="N331" i="4"/>
  <c r="T309" i="5"/>
  <c r="O331" i="4"/>
  <c r="U309" i="5"/>
  <c r="P331" i="4"/>
  <c r="W309" i="5"/>
  <c r="Q331" i="4"/>
  <c r="X309" i="5"/>
  <c r="AA309" i="5"/>
  <c r="AC309" i="5"/>
  <c r="AD309" i="5"/>
  <c r="V331" i="4"/>
  <c r="AF309" i="5"/>
  <c r="AG309" i="5"/>
  <c r="X331" i="4"/>
  <c r="AI309" i="5"/>
  <c r="Y331" i="4"/>
  <c r="AJ309" i="5"/>
  <c r="AL309" i="5"/>
  <c r="AN309" i="5"/>
  <c r="O310" i="5"/>
  <c r="K310" i="5"/>
  <c r="C310" i="5"/>
  <c r="B332" i="4"/>
  <c r="D332" i="4"/>
  <c r="E310" i="5"/>
  <c r="I310" i="5"/>
  <c r="I332" i="4"/>
  <c r="L310" i="5"/>
  <c r="J332" i="4"/>
  <c r="N310" i="5"/>
  <c r="L332" i="4"/>
  <c r="Q310" i="5"/>
  <c r="M332" i="4"/>
  <c r="R310" i="5"/>
  <c r="N332" i="4"/>
  <c r="T310" i="5"/>
  <c r="O332" i="4"/>
  <c r="U310" i="5"/>
  <c r="P332" i="4"/>
  <c r="W310" i="5"/>
  <c r="Q332" i="4"/>
  <c r="X310" i="5"/>
  <c r="AA310" i="5"/>
  <c r="AC310" i="5"/>
  <c r="AD310" i="5"/>
  <c r="V332" i="4"/>
  <c r="AF310" i="5"/>
  <c r="AG310" i="5"/>
  <c r="X332" i="4"/>
  <c r="AI310" i="5"/>
  <c r="Y332" i="4"/>
  <c r="AJ310" i="5"/>
  <c r="AL310" i="5"/>
  <c r="AN310" i="5"/>
  <c r="O311" i="5"/>
  <c r="K311" i="5"/>
  <c r="C311" i="5"/>
  <c r="B334" i="4"/>
  <c r="D334" i="4"/>
  <c r="E311" i="5"/>
  <c r="I311" i="5"/>
  <c r="I334" i="4"/>
  <c r="L311" i="5"/>
  <c r="J334" i="4"/>
  <c r="N311" i="5"/>
  <c r="L334" i="4"/>
  <c r="Q311" i="5"/>
  <c r="M334" i="4"/>
  <c r="R311" i="5"/>
  <c r="N334" i="4"/>
  <c r="T311" i="5"/>
  <c r="O334" i="4"/>
  <c r="U311" i="5"/>
  <c r="P334" i="4"/>
  <c r="W311" i="5"/>
  <c r="Q334" i="4"/>
  <c r="X311" i="5"/>
  <c r="AA311" i="5"/>
  <c r="AC311" i="5"/>
  <c r="AD311" i="5"/>
  <c r="V334" i="4"/>
  <c r="AF311" i="5"/>
  <c r="AG311" i="5"/>
  <c r="X334" i="4"/>
  <c r="AI311" i="5"/>
  <c r="Y334" i="4"/>
  <c r="AJ311" i="5"/>
  <c r="AL311" i="5"/>
  <c r="AN311" i="5"/>
  <c r="O312" i="5"/>
  <c r="K312" i="5"/>
  <c r="C312" i="5"/>
  <c r="B335" i="4"/>
  <c r="D335" i="4"/>
  <c r="E312" i="5"/>
  <c r="I335" i="4"/>
  <c r="L312" i="5"/>
  <c r="J335" i="4"/>
  <c r="N312" i="5"/>
  <c r="L335" i="4"/>
  <c r="Q312" i="5"/>
  <c r="M335" i="4"/>
  <c r="R312" i="5"/>
  <c r="N335" i="4"/>
  <c r="T312" i="5"/>
  <c r="O335" i="4"/>
  <c r="U312" i="5"/>
  <c r="P335" i="4"/>
  <c r="W312" i="5"/>
  <c r="Q335" i="4"/>
  <c r="X312" i="5"/>
  <c r="AA312" i="5"/>
  <c r="AC312" i="5"/>
  <c r="AD312" i="5"/>
  <c r="V335" i="4"/>
  <c r="AF312" i="5"/>
  <c r="AG312" i="5"/>
  <c r="X335" i="4"/>
  <c r="AI312" i="5"/>
  <c r="Y335" i="4"/>
  <c r="AJ312" i="5"/>
  <c r="AL312" i="5"/>
  <c r="F312" i="5"/>
  <c r="H312" i="5"/>
  <c r="I312" i="5"/>
  <c r="AN312" i="5"/>
  <c r="O313" i="5"/>
  <c r="K313" i="5"/>
  <c r="C313" i="5"/>
  <c r="B336" i="4"/>
  <c r="D336" i="4"/>
  <c r="E313" i="5"/>
  <c r="I313" i="5"/>
  <c r="I336" i="4"/>
  <c r="L313" i="5"/>
  <c r="J336" i="4"/>
  <c r="N313" i="5"/>
  <c r="L336" i="4"/>
  <c r="Q313" i="5"/>
  <c r="M336" i="4"/>
  <c r="R313" i="5"/>
  <c r="N336" i="4"/>
  <c r="T313" i="5"/>
  <c r="O336" i="4"/>
  <c r="U313" i="5"/>
  <c r="P336" i="4"/>
  <c r="W313" i="5"/>
  <c r="Q336" i="4"/>
  <c r="X313" i="5"/>
  <c r="AA313" i="5"/>
  <c r="AC313" i="5"/>
  <c r="AD313" i="5"/>
  <c r="V336" i="4"/>
  <c r="AF313" i="5"/>
  <c r="AG313" i="5"/>
  <c r="X336" i="4"/>
  <c r="AI313" i="5"/>
  <c r="Y336" i="4"/>
  <c r="AJ313" i="5"/>
  <c r="AL313" i="5"/>
  <c r="AN313" i="5"/>
  <c r="O314" i="5"/>
  <c r="K314" i="5"/>
  <c r="C314" i="5"/>
  <c r="B337" i="4"/>
  <c r="D337" i="4"/>
  <c r="E314" i="5"/>
  <c r="I337" i="4"/>
  <c r="L314" i="5"/>
  <c r="J337" i="4"/>
  <c r="N314" i="5"/>
  <c r="L337" i="4"/>
  <c r="Q314" i="5"/>
  <c r="M337" i="4"/>
  <c r="R314" i="5"/>
  <c r="N337" i="4"/>
  <c r="T314" i="5"/>
  <c r="O337" i="4"/>
  <c r="U314" i="5"/>
  <c r="P337" i="4"/>
  <c r="W314" i="5"/>
  <c r="Q337" i="4"/>
  <c r="X314" i="5"/>
  <c r="AA314" i="5"/>
  <c r="AC314" i="5"/>
  <c r="AD314" i="5"/>
  <c r="V337" i="4"/>
  <c r="AF314" i="5"/>
  <c r="AG314" i="5"/>
  <c r="X337" i="4"/>
  <c r="AI314" i="5"/>
  <c r="Y337" i="4"/>
  <c r="AJ314" i="5"/>
  <c r="AL314" i="5"/>
  <c r="F314" i="5"/>
  <c r="H314" i="5"/>
  <c r="I314" i="5"/>
  <c r="AN314" i="5"/>
  <c r="O315" i="5"/>
  <c r="K315" i="5"/>
  <c r="C315" i="5"/>
  <c r="B338" i="4"/>
  <c r="D338" i="4"/>
  <c r="E315" i="5"/>
  <c r="I315" i="5"/>
  <c r="I338" i="4"/>
  <c r="L315" i="5"/>
  <c r="J338" i="4"/>
  <c r="N315" i="5"/>
  <c r="L338" i="4"/>
  <c r="Q315" i="5"/>
  <c r="M338" i="4"/>
  <c r="R315" i="5"/>
  <c r="N338" i="4"/>
  <c r="T315" i="5"/>
  <c r="O338" i="4"/>
  <c r="U315" i="5"/>
  <c r="P338" i="4"/>
  <c r="W315" i="5"/>
  <c r="Q338" i="4"/>
  <c r="X315" i="5"/>
  <c r="AA315" i="5"/>
  <c r="AC315" i="5"/>
  <c r="AD315" i="5"/>
  <c r="V338" i="4"/>
  <c r="AF315" i="5"/>
  <c r="AG315" i="5"/>
  <c r="X338" i="4"/>
  <c r="AI315" i="5"/>
  <c r="Y338" i="4"/>
  <c r="AJ315" i="5"/>
  <c r="AL315" i="5"/>
  <c r="AN315" i="5"/>
  <c r="O316" i="5"/>
  <c r="K316" i="5"/>
  <c r="C316" i="5"/>
  <c r="B339" i="4"/>
  <c r="D339" i="4"/>
  <c r="E316" i="5"/>
  <c r="I316" i="5"/>
  <c r="I339" i="4"/>
  <c r="L316" i="5"/>
  <c r="J339" i="4"/>
  <c r="N316" i="5"/>
  <c r="L339" i="4"/>
  <c r="Q316" i="5"/>
  <c r="M339" i="4"/>
  <c r="R316" i="5"/>
  <c r="N339" i="4"/>
  <c r="T316" i="5"/>
  <c r="O339" i="4"/>
  <c r="U316" i="5"/>
  <c r="P339" i="4"/>
  <c r="W316" i="5"/>
  <c r="Q339" i="4"/>
  <c r="X316" i="5"/>
  <c r="AA316" i="5"/>
  <c r="AC316" i="5"/>
  <c r="AD316" i="5"/>
  <c r="V339" i="4"/>
  <c r="AF316" i="5"/>
  <c r="AG316" i="5"/>
  <c r="X339" i="4"/>
  <c r="AI316" i="5"/>
  <c r="Y339" i="4"/>
  <c r="AJ316" i="5"/>
  <c r="AL316" i="5"/>
  <c r="AN316" i="5"/>
  <c r="C296" i="4"/>
  <c r="C317" i="5"/>
  <c r="N296" i="4"/>
  <c r="T317" i="5"/>
  <c r="O296" i="4"/>
  <c r="U317" i="5"/>
  <c r="P296" i="4"/>
  <c r="W317" i="5"/>
  <c r="Q296" i="4"/>
  <c r="X317" i="5"/>
  <c r="AA317" i="5"/>
  <c r="T43" i="2"/>
  <c r="T15" i="2"/>
  <c r="T296" i="4"/>
  <c r="AC317" i="5"/>
  <c r="U15" i="2"/>
  <c r="U296" i="4"/>
  <c r="AD317" i="5"/>
  <c r="V296" i="4"/>
  <c r="AF317" i="5"/>
  <c r="AG317" i="5"/>
  <c r="X296" i="4"/>
  <c r="AI317" i="5"/>
  <c r="Y296" i="4"/>
  <c r="AJ317" i="5"/>
  <c r="Z296" i="4"/>
  <c r="AL317" i="5"/>
  <c r="Z317" i="5"/>
  <c r="AN317" i="5"/>
  <c r="O318" i="5"/>
  <c r="K318" i="5"/>
  <c r="C297" i="4"/>
  <c r="C318" i="5"/>
  <c r="D297" i="4"/>
  <c r="E318" i="5"/>
  <c r="I297" i="4"/>
  <c r="L318" i="5"/>
  <c r="J297" i="4"/>
  <c r="N318" i="5"/>
  <c r="L297" i="4"/>
  <c r="Q318" i="5"/>
  <c r="M297" i="4"/>
  <c r="R318" i="5"/>
  <c r="N297" i="4"/>
  <c r="T318" i="5"/>
  <c r="O297" i="4"/>
  <c r="U318" i="5"/>
  <c r="P297" i="4"/>
  <c r="W318" i="5"/>
  <c r="Q297" i="4"/>
  <c r="X318" i="5"/>
  <c r="AA318" i="5"/>
  <c r="T297" i="4"/>
  <c r="AC318" i="5"/>
  <c r="AD318" i="5"/>
  <c r="V297" i="4"/>
  <c r="AF318" i="5"/>
  <c r="AG318" i="5"/>
  <c r="X297" i="4"/>
  <c r="AI318" i="5"/>
  <c r="Y297" i="4"/>
  <c r="AJ318" i="5"/>
  <c r="Z297" i="4"/>
  <c r="AL318" i="5"/>
  <c r="F318" i="5"/>
  <c r="H318" i="5"/>
  <c r="I318" i="5"/>
  <c r="AN318" i="5"/>
  <c r="K47" i="2"/>
  <c r="B345" i="4"/>
  <c r="K48" i="2"/>
  <c r="K345" i="4"/>
  <c r="O319" i="5"/>
  <c r="H48" i="2"/>
  <c r="H345" i="4"/>
  <c r="K319" i="5"/>
  <c r="C48" i="2"/>
  <c r="C345" i="4"/>
  <c r="C319" i="5"/>
  <c r="D48" i="2"/>
  <c r="D345" i="4"/>
  <c r="E319" i="5"/>
  <c r="I47" i="2"/>
  <c r="I48" i="2"/>
  <c r="I345" i="4"/>
  <c r="L319" i="5"/>
  <c r="J47" i="2"/>
  <c r="J48" i="2"/>
  <c r="J345" i="4"/>
  <c r="N319" i="5"/>
  <c r="L48" i="2"/>
  <c r="L345" i="4"/>
  <c r="Q319" i="5"/>
  <c r="M48" i="2"/>
  <c r="M345" i="4"/>
  <c r="R319" i="5"/>
  <c r="N48" i="2"/>
  <c r="N345" i="4"/>
  <c r="T319" i="5"/>
  <c r="O48" i="2"/>
  <c r="O345" i="4"/>
  <c r="U319" i="5"/>
  <c r="P48" i="2"/>
  <c r="P345" i="4"/>
  <c r="W319" i="5"/>
  <c r="Q48" i="2"/>
  <c r="Q345" i="4"/>
  <c r="X319" i="5"/>
  <c r="S47" i="2"/>
  <c r="S48" i="2"/>
  <c r="S345" i="4"/>
  <c r="AA319" i="5"/>
  <c r="T47" i="2"/>
  <c r="T48" i="2"/>
  <c r="T345" i="4"/>
  <c r="AC319" i="5"/>
  <c r="U47" i="2"/>
  <c r="U48" i="2"/>
  <c r="U345" i="4"/>
  <c r="AD319" i="5"/>
  <c r="V47" i="2"/>
  <c r="V48" i="2"/>
  <c r="V345" i="4"/>
  <c r="AF319" i="5"/>
  <c r="W47" i="2"/>
  <c r="W48" i="2"/>
  <c r="W345" i="4"/>
  <c r="AG319" i="5"/>
  <c r="X48" i="2"/>
  <c r="X345" i="4"/>
  <c r="AI319" i="5"/>
  <c r="Y48" i="2"/>
  <c r="Y345" i="4"/>
  <c r="AJ319" i="5"/>
  <c r="Z48" i="2"/>
  <c r="Z345" i="4"/>
  <c r="AL319" i="5"/>
  <c r="F319" i="5"/>
  <c r="H319" i="5"/>
  <c r="I319" i="5"/>
  <c r="AN319" i="5"/>
  <c r="B264" i="4"/>
  <c r="C264" i="4"/>
  <c r="C320" i="5"/>
  <c r="D264" i="4"/>
  <c r="E320" i="5"/>
  <c r="K320" i="5"/>
  <c r="L264" i="4"/>
  <c r="Q320" i="5"/>
  <c r="M264" i="4"/>
  <c r="R320" i="5"/>
  <c r="N264" i="4"/>
  <c r="T320" i="5"/>
  <c r="U320" i="5"/>
  <c r="P264" i="4"/>
  <c r="W320" i="5"/>
  <c r="Q264" i="4"/>
  <c r="X320" i="5"/>
  <c r="S264" i="4"/>
  <c r="AA320" i="5"/>
  <c r="AH264" i="4"/>
  <c r="T264" i="4" a="1"/>
  <c r="T264" i="4"/>
  <c r="AC320" i="5"/>
  <c r="U264" i="4" a="1"/>
  <c r="U264" i="4"/>
  <c r="AD320" i="5"/>
  <c r="AF320" i="5"/>
  <c r="AG320" i="5"/>
  <c r="X264" i="4"/>
  <c r="AI320" i="5"/>
  <c r="Y264" i="4"/>
  <c r="AJ320" i="5"/>
  <c r="Z264" i="4"/>
  <c r="AL320" i="5"/>
  <c r="F320" i="5"/>
  <c r="H320" i="5"/>
  <c r="I320" i="5"/>
  <c r="L320" i="5"/>
  <c r="N320" i="5"/>
  <c r="O320" i="5"/>
  <c r="AN320" i="5"/>
  <c r="O321" i="5"/>
  <c r="K321" i="5"/>
  <c r="C321" i="5"/>
  <c r="B340" i="4"/>
  <c r="D340" i="4"/>
  <c r="E321" i="5"/>
  <c r="I321" i="5"/>
  <c r="I340" i="4"/>
  <c r="L321" i="5"/>
  <c r="J340" i="4"/>
  <c r="N321" i="5"/>
  <c r="L340" i="4"/>
  <c r="Q321" i="5"/>
  <c r="M340" i="4"/>
  <c r="R321" i="5"/>
  <c r="N340" i="4"/>
  <c r="T321" i="5"/>
  <c r="O340" i="4"/>
  <c r="U321" i="5"/>
  <c r="P340" i="4"/>
  <c r="W321" i="5"/>
  <c r="Q340" i="4"/>
  <c r="X321" i="5"/>
  <c r="AA321" i="5"/>
  <c r="AC321" i="5"/>
  <c r="AD321" i="5"/>
  <c r="V29" i="2"/>
  <c r="V340" i="4"/>
  <c r="AF321" i="5"/>
  <c r="AG321" i="5"/>
  <c r="X340" i="4"/>
  <c r="AI321" i="5"/>
  <c r="Y340" i="4"/>
  <c r="AJ321" i="5"/>
  <c r="AL321" i="5"/>
  <c r="AN321" i="5"/>
  <c r="O322" i="5"/>
  <c r="K322" i="5"/>
  <c r="C322" i="5"/>
  <c r="B341" i="4"/>
  <c r="D341" i="4"/>
  <c r="E322" i="5"/>
  <c r="I341" i="4"/>
  <c r="L322" i="5"/>
  <c r="J341" i="4"/>
  <c r="N322" i="5"/>
  <c r="L341" i="4"/>
  <c r="Q322" i="5"/>
  <c r="M341" i="4"/>
  <c r="R322" i="5"/>
  <c r="N341" i="4"/>
  <c r="T322" i="5"/>
  <c r="O341" i="4"/>
  <c r="U322" i="5"/>
  <c r="P341" i="4"/>
  <c r="W322" i="5"/>
  <c r="Q341" i="4"/>
  <c r="X322" i="5"/>
  <c r="AA322" i="5"/>
  <c r="AC322" i="5"/>
  <c r="AD322" i="5"/>
  <c r="V341" i="4"/>
  <c r="AF322" i="5"/>
  <c r="AG322" i="5"/>
  <c r="X341" i="4"/>
  <c r="AI322" i="5"/>
  <c r="Y341" i="4"/>
  <c r="AJ322" i="5"/>
  <c r="AL322" i="5"/>
  <c r="F322" i="5"/>
  <c r="AN322" i="5"/>
  <c r="O323" i="5"/>
  <c r="K323" i="5"/>
  <c r="C323" i="5"/>
  <c r="B342" i="4"/>
  <c r="D342" i="4"/>
  <c r="E323" i="5"/>
  <c r="I342" i="4"/>
  <c r="L323" i="5"/>
  <c r="J342" i="4"/>
  <c r="N323" i="5"/>
  <c r="L342" i="4"/>
  <c r="Q323" i="5"/>
  <c r="M342" i="4"/>
  <c r="R323" i="5"/>
  <c r="N342" i="4"/>
  <c r="T323" i="5"/>
  <c r="O342" i="4"/>
  <c r="U323" i="5"/>
  <c r="P342" i="4"/>
  <c r="W323" i="5"/>
  <c r="Q342" i="4"/>
  <c r="X323" i="5"/>
  <c r="AA323" i="5"/>
  <c r="AC323" i="5"/>
  <c r="AD323" i="5"/>
  <c r="V342" i="4"/>
  <c r="AF323" i="5"/>
  <c r="AG323" i="5"/>
  <c r="X342" i="4"/>
  <c r="AI323" i="5"/>
  <c r="Y342" i="4"/>
  <c r="AJ323" i="5"/>
  <c r="AL323" i="5"/>
  <c r="F323" i="5"/>
  <c r="AN323" i="5"/>
  <c r="O324" i="5"/>
  <c r="K324" i="5"/>
  <c r="C324" i="5"/>
  <c r="B343" i="4"/>
  <c r="D343" i="4"/>
  <c r="E324" i="5"/>
  <c r="I343" i="4"/>
  <c r="L324" i="5"/>
  <c r="J343" i="4"/>
  <c r="N324" i="5"/>
  <c r="L343" i="4"/>
  <c r="Q324" i="5"/>
  <c r="M343" i="4"/>
  <c r="R324" i="5"/>
  <c r="N343" i="4"/>
  <c r="T324" i="5"/>
  <c r="O343" i="4"/>
  <c r="U324" i="5"/>
  <c r="P343" i="4"/>
  <c r="W324" i="5"/>
  <c r="Q343" i="4"/>
  <c r="X324" i="5"/>
  <c r="AA324" i="5"/>
  <c r="AC324" i="5"/>
  <c r="AD324" i="5"/>
  <c r="V343" i="4"/>
  <c r="AF324" i="5"/>
  <c r="AG324" i="5"/>
  <c r="X343" i="4"/>
  <c r="AI324" i="5"/>
  <c r="Y343" i="4"/>
  <c r="AJ324" i="5"/>
  <c r="AL324" i="5"/>
  <c r="F324" i="5"/>
  <c r="AN324" i="5"/>
  <c r="O325" i="5"/>
  <c r="K325" i="5"/>
  <c r="B298" i="4"/>
  <c r="C298" i="4"/>
  <c r="C325" i="5"/>
  <c r="D298" i="4"/>
  <c r="E325" i="5"/>
  <c r="I298" i="4"/>
  <c r="L325" i="5"/>
  <c r="J298" i="4"/>
  <c r="N325" i="5"/>
  <c r="L298" i="4"/>
  <c r="Q325" i="5"/>
  <c r="M298" i="4"/>
  <c r="R325" i="5"/>
  <c r="N298" i="4"/>
  <c r="T325" i="5"/>
  <c r="O298" i="4"/>
  <c r="U325" i="5"/>
  <c r="P298" i="4"/>
  <c r="W325" i="5"/>
  <c r="Q298" i="4"/>
  <c r="X325" i="5"/>
  <c r="AA325" i="5"/>
  <c r="T298" i="4"/>
  <c r="AC325" i="5"/>
  <c r="U298" i="4"/>
  <c r="AD325" i="5"/>
  <c r="V298" i="4"/>
  <c r="AF325" i="5"/>
  <c r="AG325" i="5"/>
  <c r="X298" i="4"/>
  <c r="AI325" i="5"/>
  <c r="Y298" i="4"/>
  <c r="AJ325" i="5"/>
  <c r="Z298" i="4"/>
  <c r="AL325" i="5"/>
  <c r="F325" i="5"/>
  <c r="AN325" i="5"/>
  <c r="O326" i="5"/>
  <c r="K326" i="5"/>
  <c r="B299" i="4"/>
  <c r="C299" i="4"/>
  <c r="C326" i="5"/>
  <c r="D299" i="4"/>
  <c r="E326" i="5"/>
  <c r="I299" i="4"/>
  <c r="L326" i="5"/>
  <c r="J299" i="4"/>
  <c r="N326" i="5"/>
  <c r="L299" i="4"/>
  <c r="Q326" i="5"/>
  <c r="M299" i="4"/>
  <c r="R326" i="5"/>
  <c r="N299" i="4"/>
  <c r="T326" i="5"/>
  <c r="O299" i="4"/>
  <c r="U326" i="5"/>
  <c r="P299" i="4"/>
  <c r="W326" i="5"/>
  <c r="Q299" i="4"/>
  <c r="X326" i="5"/>
  <c r="AA326" i="5"/>
  <c r="T21" i="2"/>
  <c r="T299" i="4"/>
  <c r="AC326" i="5"/>
  <c r="U21" i="2"/>
  <c r="U299" i="4"/>
  <c r="AD326" i="5"/>
  <c r="V21" i="2"/>
  <c r="V299" i="4"/>
  <c r="AF326" i="5"/>
  <c r="AG326" i="5"/>
  <c r="X299" i="4"/>
  <c r="AI326" i="5"/>
  <c r="Y299" i="4"/>
  <c r="AJ326" i="5"/>
  <c r="Z299" i="4"/>
  <c r="AL326" i="5"/>
  <c r="F326" i="5"/>
  <c r="AN326" i="5"/>
  <c r="K49" i="2"/>
  <c r="B367" i="4"/>
  <c r="K367" i="4"/>
  <c r="O327" i="5"/>
  <c r="H49" i="2"/>
  <c r="H367" i="4"/>
  <c r="K327" i="5"/>
  <c r="C367" i="4"/>
  <c r="C327" i="5"/>
  <c r="D367" i="4"/>
  <c r="E327" i="5"/>
  <c r="I49" i="2"/>
  <c r="I367" i="4"/>
  <c r="L327" i="5"/>
  <c r="J49" i="2"/>
  <c r="J367" i="4"/>
  <c r="N327" i="5"/>
  <c r="L367" i="4"/>
  <c r="Q327" i="5"/>
  <c r="M367" i="4"/>
  <c r="R327" i="5"/>
  <c r="N49" i="2"/>
  <c r="N367" i="4"/>
  <c r="T327" i="5"/>
  <c r="O367" i="4"/>
  <c r="U327" i="5"/>
  <c r="P367" i="4"/>
  <c r="W327" i="5"/>
  <c r="Q367" i="4"/>
  <c r="X327" i="5"/>
  <c r="S367" i="4"/>
  <c r="AA327" i="5"/>
  <c r="T367" i="4"/>
  <c r="AC327" i="5"/>
  <c r="U367" i="4"/>
  <c r="AD327" i="5"/>
  <c r="V49" i="2"/>
  <c r="V367" i="4"/>
  <c r="AF327" i="5"/>
  <c r="W49" i="2"/>
  <c r="W367" i="4"/>
  <c r="AG327" i="5"/>
  <c r="X367" i="4"/>
  <c r="AI327" i="5"/>
  <c r="Y367" i="4"/>
  <c r="AJ327" i="5"/>
  <c r="Z367" i="4"/>
  <c r="AL327" i="5"/>
  <c r="AN327" i="5"/>
  <c r="B368" i="4"/>
  <c r="K368" i="4"/>
  <c r="O328" i="5"/>
  <c r="H368" i="4"/>
  <c r="K328" i="5"/>
  <c r="C368" i="4"/>
  <c r="C328" i="5"/>
  <c r="D368" i="4"/>
  <c r="E328" i="5"/>
  <c r="I368" i="4"/>
  <c r="L328" i="5"/>
  <c r="J368" i="4"/>
  <c r="N328" i="5"/>
  <c r="L368" i="4"/>
  <c r="Q328" i="5"/>
  <c r="M368" i="4"/>
  <c r="R328" i="5"/>
  <c r="N368" i="4"/>
  <c r="T328" i="5"/>
  <c r="O368" i="4"/>
  <c r="U328" i="5"/>
  <c r="P368" i="4"/>
  <c r="W328" i="5"/>
  <c r="Q368" i="4"/>
  <c r="X328" i="5"/>
  <c r="S368" i="4"/>
  <c r="AA328" i="5"/>
  <c r="T368" i="4"/>
  <c r="AC328" i="5"/>
  <c r="U368" i="4"/>
  <c r="AD328" i="5"/>
  <c r="V368" i="4"/>
  <c r="AF328" i="5"/>
  <c r="W368" i="4"/>
  <c r="AG328" i="5"/>
  <c r="X368" i="4"/>
  <c r="AI328" i="5"/>
  <c r="Y368" i="4"/>
  <c r="AJ328" i="5"/>
  <c r="Z368" i="4"/>
  <c r="AL328" i="5"/>
  <c r="AN328" i="5"/>
  <c r="B369" i="4"/>
  <c r="K26" i="2"/>
  <c r="K369" i="4"/>
  <c r="O329" i="5"/>
  <c r="H369" i="4"/>
  <c r="K329" i="5"/>
  <c r="C369" i="4"/>
  <c r="C329" i="5"/>
  <c r="D369" i="4"/>
  <c r="E329" i="5"/>
  <c r="I369" i="4"/>
  <c r="L329" i="5"/>
  <c r="J369" i="4"/>
  <c r="N329" i="5"/>
  <c r="L369" i="4"/>
  <c r="Q329" i="5"/>
  <c r="M369" i="4"/>
  <c r="R329" i="5"/>
  <c r="N369" i="4"/>
  <c r="T329" i="5"/>
  <c r="O369" i="4"/>
  <c r="U329" i="5"/>
  <c r="P369" i="4"/>
  <c r="W329" i="5"/>
  <c r="Q369" i="4"/>
  <c r="X329" i="5"/>
  <c r="S369" i="4"/>
  <c r="AA329" i="5"/>
  <c r="T26" i="2"/>
  <c r="T369" i="4"/>
  <c r="AC329" i="5"/>
  <c r="U26" i="2"/>
  <c r="U369" i="4"/>
  <c r="AD329" i="5"/>
  <c r="V26" i="2"/>
  <c r="V369" i="4"/>
  <c r="AF329" i="5"/>
  <c r="W26" i="2"/>
  <c r="W369" i="4"/>
  <c r="AG329" i="5"/>
  <c r="X369" i="4"/>
  <c r="AI329" i="5"/>
  <c r="Y369" i="4"/>
  <c r="AJ329" i="5"/>
  <c r="Z369" i="4"/>
  <c r="AL329" i="5"/>
  <c r="AN329" i="5"/>
  <c r="B370" i="4"/>
  <c r="K370" i="4"/>
  <c r="O330" i="5"/>
  <c r="H370" i="4"/>
  <c r="K330" i="5"/>
  <c r="C370" i="4"/>
  <c r="C330" i="5"/>
  <c r="D370" i="4"/>
  <c r="E330" i="5"/>
  <c r="I370" i="4"/>
  <c r="L330" i="5"/>
  <c r="J370" i="4"/>
  <c r="N330" i="5"/>
  <c r="L370" i="4"/>
  <c r="Q330" i="5"/>
  <c r="M370" i="4"/>
  <c r="R330" i="5"/>
  <c r="N370" i="4"/>
  <c r="T330" i="5"/>
  <c r="O370" i="4"/>
  <c r="U330" i="5"/>
  <c r="P370" i="4"/>
  <c r="W330" i="5"/>
  <c r="Q370" i="4"/>
  <c r="X330" i="5"/>
  <c r="S370" i="4"/>
  <c r="AA330" i="5"/>
  <c r="T370" i="4"/>
  <c r="AC330" i="5"/>
  <c r="U370" i="4"/>
  <c r="AD330" i="5"/>
  <c r="V370" i="4"/>
  <c r="AF330" i="5"/>
  <c r="W370" i="4"/>
  <c r="AG330" i="5"/>
  <c r="X370" i="4"/>
  <c r="AI330" i="5"/>
  <c r="Y370" i="4"/>
  <c r="AJ330" i="5"/>
  <c r="Z370" i="4"/>
  <c r="AL330" i="5"/>
  <c r="AN330" i="5"/>
  <c r="B371" i="4"/>
  <c r="K371" i="4"/>
  <c r="O331" i="5"/>
  <c r="H371" i="4"/>
  <c r="K331" i="5"/>
  <c r="C371" i="4"/>
  <c r="C331" i="5"/>
  <c r="D371" i="4"/>
  <c r="E331" i="5"/>
  <c r="I371" i="4"/>
  <c r="L331" i="5"/>
  <c r="J371" i="4"/>
  <c r="N331" i="5"/>
  <c r="L371" i="4"/>
  <c r="Q331" i="5"/>
  <c r="M371" i="4"/>
  <c r="R331" i="5"/>
  <c r="N371" i="4"/>
  <c r="T331" i="5"/>
  <c r="O371" i="4"/>
  <c r="U331" i="5"/>
  <c r="P371" i="4"/>
  <c r="W331" i="5"/>
  <c r="Q371" i="4"/>
  <c r="X331" i="5"/>
  <c r="S371" i="4"/>
  <c r="AA331" i="5"/>
  <c r="T371" i="4"/>
  <c r="AC331" i="5"/>
  <c r="U371" i="4"/>
  <c r="AD331" i="5"/>
  <c r="AF331" i="5"/>
  <c r="W371" i="4"/>
  <c r="AG331" i="5"/>
  <c r="X371" i="4"/>
  <c r="AI331" i="5"/>
  <c r="Y371" i="4"/>
  <c r="AJ331" i="5"/>
  <c r="Z371" i="4"/>
  <c r="AL331" i="5"/>
  <c r="AN331" i="5"/>
  <c r="B372" i="4"/>
  <c r="K372" i="4"/>
  <c r="O332" i="5"/>
  <c r="H372" i="4"/>
  <c r="K332" i="5"/>
  <c r="C372" i="4"/>
  <c r="C332" i="5"/>
  <c r="D372" i="4"/>
  <c r="E332" i="5"/>
  <c r="I372" i="4"/>
  <c r="L332" i="5"/>
  <c r="J372" i="4"/>
  <c r="N332" i="5"/>
  <c r="L372" i="4"/>
  <c r="Q332" i="5"/>
  <c r="M372" i="4"/>
  <c r="R332" i="5"/>
  <c r="N372" i="4"/>
  <c r="T332" i="5"/>
  <c r="O372" i="4"/>
  <c r="U332" i="5"/>
  <c r="P372" i="4"/>
  <c r="W332" i="5"/>
  <c r="Q372" i="4"/>
  <c r="X332" i="5"/>
  <c r="S372" i="4"/>
  <c r="AA332" i="5"/>
  <c r="T372" i="4"/>
  <c r="AC332" i="5"/>
  <c r="U372" i="4"/>
  <c r="AD332" i="5"/>
  <c r="V372" i="4"/>
  <c r="AF332" i="5"/>
  <c r="W372" i="4"/>
  <c r="AG332" i="5"/>
  <c r="X372" i="4"/>
  <c r="AI332" i="5"/>
  <c r="Y372" i="4"/>
  <c r="AJ332" i="5"/>
  <c r="Z372" i="4"/>
  <c r="AL332" i="5"/>
  <c r="AN332" i="5"/>
  <c r="B373" i="4"/>
  <c r="K373" i="4"/>
  <c r="O333" i="5"/>
  <c r="H373" i="4"/>
  <c r="K333" i="5"/>
  <c r="C373" i="4"/>
  <c r="C333" i="5"/>
  <c r="D373" i="4"/>
  <c r="E333" i="5"/>
  <c r="I373" i="4"/>
  <c r="L333" i="5"/>
  <c r="J373" i="4"/>
  <c r="N333" i="5"/>
  <c r="L373" i="4"/>
  <c r="Q333" i="5"/>
  <c r="M373" i="4"/>
  <c r="R333" i="5"/>
  <c r="N373" i="4"/>
  <c r="T333" i="5"/>
  <c r="O373" i="4"/>
  <c r="U333" i="5"/>
  <c r="P373" i="4"/>
  <c r="W333" i="5"/>
  <c r="Q373" i="4"/>
  <c r="X333" i="5"/>
  <c r="S373" i="4"/>
  <c r="AA333" i="5"/>
  <c r="T373" i="4"/>
  <c r="AC333" i="5"/>
  <c r="U373" i="4"/>
  <c r="AD333" i="5"/>
  <c r="V373" i="4"/>
  <c r="AF333" i="5"/>
  <c r="W373" i="4"/>
  <c r="AG333" i="5"/>
  <c r="X373" i="4"/>
  <c r="AI333" i="5"/>
  <c r="Y373" i="4"/>
  <c r="AJ333" i="5"/>
  <c r="Z373" i="4"/>
  <c r="AL333" i="5"/>
  <c r="AN333" i="5"/>
  <c r="B374" i="4"/>
  <c r="K374" i="4"/>
  <c r="O334" i="5"/>
  <c r="H374" i="4"/>
  <c r="K334" i="5"/>
  <c r="C374" i="4"/>
  <c r="C334" i="5"/>
  <c r="D374" i="4"/>
  <c r="E334" i="5"/>
  <c r="I374" i="4"/>
  <c r="L334" i="5"/>
  <c r="J374" i="4"/>
  <c r="N334" i="5"/>
  <c r="L374" i="4"/>
  <c r="Q334" i="5"/>
  <c r="M374" i="4"/>
  <c r="R334" i="5"/>
  <c r="N374" i="4"/>
  <c r="T334" i="5"/>
  <c r="O374" i="4"/>
  <c r="U334" i="5"/>
  <c r="P374" i="4"/>
  <c r="W334" i="5"/>
  <c r="Q374" i="4"/>
  <c r="X334" i="5"/>
  <c r="S374" i="4"/>
  <c r="AA334" i="5"/>
  <c r="T374" i="4"/>
  <c r="AC334" i="5"/>
  <c r="U374" i="4"/>
  <c r="AD334" i="5"/>
  <c r="V374" i="4"/>
  <c r="AF334" i="5"/>
  <c r="W374" i="4"/>
  <c r="AG334" i="5"/>
  <c r="X374" i="4"/>
  <c r="AI334" i="5"/>
  <c r="Y374" i="4"/>
  <c r="AJ334" i="5"/>
  <c r="Z374" i="4"/>
  <c r="AL334" i="5"/>
  <c r="AN334" i="5"/>
  <c r="B375" i="4"/>
  <c r="K375" i="4"/>
  <c r="O335" i="5"/>
  <c r="H375" i="4"/>
  <c r="K335" i="5"/>
  <c r="C375" i="4"/>
  <c r="C335" i="5"/>
  <c r="D375" i="4"/>
  <c r="E335" i="5"/>
  <c r="I375" i="4"/>
  <c r="L335" i="5"/>
  <c r="J375" i="4"/>
  <c r="N335" i="5"/>
  <c r="L375" i="4"/>
  <c r="Q335" i="5"/>
  <c r="M375" i="4"/>
  <c r="R335" i="5"/>
  <c r="N375" i="4"/>
  <c r="T335" i="5"/>
  <c r="O375" i="4"/>
  <c r="U335" i="5"/>
  <c r="P375" i="4"/>
  <c r="W335" i="5"/>
  <c r="Q375" i="4"/>
  <c r="X335" i="5"/>
  <c r="S375" i="4"/>
  <c r="AA335" i="5"/>
  <c r="T375" i="4"/>
  <c r="AC335" i="5"/>
  <c r="U375" i="4"/>
  <c r="AD335" i="5"/>
  <c r="V375" i="4"/>
  <c r="AF335" i="5"/>
  <c r="W375" i="4"/>
  <c r="AG335" i="5"/>
  <c r="X375" i="4"/>
  <c r="AI335" i="5"/>
  <c r="Y375" i="4"/>
  <c r="AJ335" i="5"/>
  <c r="Z375" i="4"/>
  <c r="AL335" i="5"/>
  <c r="AN335" i="5"/>
  <c r="B376" i="4"/>
  <c r="K376" i="4"/>
  <c r="O336" i="5"/>
  <c r="H376" i="4"/>
  <c r="K336" i="5"/>
  <c r="C376" i="4"/>
  <c r="C336" i="5"/>
  <c r="D376" i="4"/>
  <c r="E336" i="5"/>
  <c r="I376" i="4"/>
  <c r="L336" i="5"/>
  <c r="J376" i="4"/>
  <c r="N336" i="5"/>
  <c r="L376" i="4"/>
  <c r="Q336" i="5"/>
  <c r="M376" i="4"/>
  <c r="R336" i="5"/>
  <c r="N376" i="4"/>
  <c r="T336" i="5"/>
  <c r="O376" i="4"/>
  <c r="U336" i="5"/>
  <c r="P376" i="4"/>
  <c r="W336" i="5"/>
  <c r="Q376" i="4"/>
  <c r="X336" i="5"/>
  <c r="S376" i="4"/>
  <c r="AA336" i="5"/>
  <c r="T376" i="4"/>
  <c r="AC336" i="5"/>
  <c r="U376" i="4"/>
  <c r="AD336" i="5"/>
  <c r="V376" i="4"/>
  <c r="AF336" i="5"/>
  <c r="W376" i="4"/>
  <c r="AG336" i="5"/>
  <c r="X376" i="4"/>
  <c r="AI336" i="5"/>
  <c r="Y376" i="4"/>
  <c r="AJ336" i="5"/>
  <c r="Z376" i="4"/>
  <c r="AL336" i="5"/>
  <c r="AN336" i="5"/>
  <c r="AA337" i="5"/>
  <c r="W337" i="5"/>
  <c r="O337" i="5"/>
  <c r="K337" i="5"/>
  <c r="E337" i="5"/>
  <c r="F337" i="5"/>
  <c r="H337" i="5"/>
  <c r="I337" i="5"/>
  <c r="L337" i="5"/>
  <c r="N337" i="5"/>
  <c r="Q337" i="5"/>
  <c r="R337" i="5"/>
  <c r="T337" i="5"/>
  <c r="U337" i="5"/>
  <c r="X337" i="5"/>
  <c r="Z337" i="5"/>
  <c r="AC337" i="5"/>
  <c r="AD337" i="5"/>
  <c r="AF337" i="5"/>
  <c r="AG337" i="5"/>
  <c r="AI337" i="5"/>
  <c r="AJ337" i="5"/>
  <c r="AL337" i="5"/>
  <c r="AN337" i="5"/>
  <c r="B346" i="4"/>
  <c r="K346" i="4"/>
  <c r="O338" i="5"/>
  <c r="H346" i="4"/>
  <c r="K338" i="5"/>
  <c r="C346" i="4"/>
  <c r="C338" i="5"/>
  <c r="D346" i="4"/>
  <c r="E338" i="5"/>
  <c r="I346" i="4"/>
  <c r="L338" i="5"/>
  <c r="J346" i="4"/>
  <c r="N338" i="5"/>
  <c r="L346" i="4"/>
  <c r="Q338" i="5"/>
  <c r="M346" i="4"/>
  <c r="R338" i="5"/>
  <c r="N346" i="4"/>
  <c r="T338" i="5"/>
  <c r="O346" i="4"/>
  <c r="U338" i="5"/>
  <c r="P346" i="4"/>
  <c r="W338" i="5"/>
  <c r="Q346" i="4"/>
  <c r="X338" i="5"/>
  <c r="S346" i="4"/>
  <c r="AA338" i="5"/>
  <c r="T346" i="4"/>
  <c r="AC338" i="5"/>
  <c r="U346" i="4"/>
  <c r="AD338" i="5"/>
  <c r="V346" i="4"/>
  <c r="AF338" i="5"/>
  <c r="W346" i="4"/>
  <c r="AG338" i="5"/>
  <c r="X346" i="4"/>
  <c r="AI338" i="5"/>
  <c r="Y346" i="4"/>
  <c r="AJ338" i="5"/>
  <c r="Z346" i="4"/>
  <c r="AL338" i="5"/>
  <c r="F338" i="5"/>
  <c r="H338" i="5"/>
  <c r="I338" i="5"/>
  <c r="AN338" i="5"/>
  <c r="B347" i="4"/>
  <c r="K347" i="4"/>
  <c r="O339" i="5"/>
  <c r="H347" i="4"/>
  <c r="K339" i="5"/>
  <c r="C347" i="4"/>
  <c r="C339" i="5"/>
  <c r="D347" i="4"/>
  <c r="E339" i="5"/>
  <c r="I347" i="4"/>
  <c r="L339" i="5"/>
  <c r="J347" i="4"/>
  <c r="N339" i="5"/>
  <c r="L347" i="4"/>
  <c r="Q339" i="5"/>
  <c r="M347" i="4"/>
  <c r="R339" i="5"/>
  <c r="N347" i="4"/>
  <c r="T339" i="5"/>
  <c r="O347" i="4"/>
  <c r="U339" i="5"/>
  <c r="P347" i="4"/>
  <c r="W339" i="5"/>
  <c r="Q347" i="4"/>
  <c r="X339" i="5"/>
  <c r="S347" i="4"/>
  <c r="AA339" i="5"/>
  <c r="T347" i="4"/>
  <c r="AC339" i="5"/>
  <c r="U347" i="4"/>
  <c r="AD339" i="5"/>
  <c r="V347" i="4"/>
  <c r="AF339" i="5"/>
  <c r="W347" i="4"/>
  <c r="AG339" i="5"/>
  <c r="X347" i="4"/>
  <c r="AI339" i="5"/>
  <c r="Y347" i="4"/>
  <c r="AJ339" i="5"/>
  <c r="Z347" i="4"/>
  <c r="AL339" i="5"/>
  <c r="F339" i="5"/>
  <c r="H339" i="5"/>
  <c r="I339" i="5"/>
  <c r="AN339" i="5"/>
  <c r="O340" i="5"/>
  <c r="K340" i="5"/>
  <c r="B300" i="4"/>
  <c r="C300" i="4"/>
  <c r="C340" i="5"/>
  <c r="D300" i="4"/>
  <c r="E340" i="5"/>
  <c r="I300" i="4"/>
  <c r="L340" i="5"/>
  <c r="J300" i="4"/>
  <c r="N340" i="5"/>
  <c r="L300" i="4"/>
  <c r="Q340" i="5"/>
  <c r="M300" i="4"/>
  <c r="R340" i="5"/>
  <c r="N300" i="4"/>
  <c r="T340" i="5"/>
  <c r="O300" i="4"/>
  <c r="U340" i="5"/>
  <c r="P300" i="4"/>
  <c r="W340" i="5"/>
  <c r="Q300" i="4"/>
  <c r="X340" i="5"/>
  <c r="AA340" i="5"/>
  <c r="AC340" i="5"/>
  <c r="AD340" i="5"/>
  <c r="V300" i="4"/>
  <c r="AF340" i="5"/>
  <c r="AG340" i="5"/>
  <c r="X300" i="4"/>
  <c r="AI340" i="5"/>
  <c r="Y300" i="4"/>
  <c r="AJ340" i="5"/>
  <c r="Z300" i="4"/>
  <c r="AL340" i="5"/>
  <c r="F340" i="5"/>
  <c r="H340" i="5"/>
  <c r="I340" i="5"/>
  <c r="AN340" i="5"/>
  <c r="O341" i="5"/>
  <c r="K341" i="5"/>
  <c r="C301" i="4"/>
  <c r="C341" i="5"/>
  <c r="D301" i="4"/>
  <c r="E341" i="5"/>
  <c r="I301" i="4"/>
  <c r="L341" i="5"/>
  <c r="J301" i="4"/>
  <c r="N341" i="5"/>
  <c r="L301" i="4"/>
  <c r="Q341" i="5"/>
  <c r="M301" i="4"/>
  <c r="R341" i="5"/>
  <c r="N301" i="4"/>
  <c r="T341" i="5"/>
  <c r="O301" i="4"/>
  <c r="U341" i="5"/>
  <c r="P301" i="4"/>
  <c r="W341" i="5"/>
  <c r="Q301" i="4"/>
  <c r="X341" i="5"/>
  <c r="AA341" i="5"/>
  <c r="AC341" i="5"/>
  <c r="AD341" i="5"/>
  <c r="V301" i="4"/>
  <c r="AF341" i="5"/>
  <c r="AG341" i="5"/>
  <c r="X301" i="4"/>
  <c r="AI341" i="5"/>
  <c r="Y301" i="4"/>
  <c r="AJ341" i="5"/>
  <c r="Z301" i="4"/>
  <c r="AL341" i="5"/>
  <c r="F341" i="5"/>
  <c r="H341" i="5"/>
  <c r="I341" i="5"/>
  <c r="AN341" i="5"/>
  <c r="C302" i="4"/>
  <c r="C342" i="5"/>
  <c r="N302" i="4"/>
  <c r="T342" i="5"/>
  <c r="O302" i="4"/>
  <c r="U342" i="5"/>
  <c r="P302" i="4"/>
  <c r="W342" i="5"/>
  <c r="Q302" i="4"/>
  <c r="X342" i="5"/>
  <c r="AA342" i="5"/>
  <c r="V302" i="4"/>
  <c r="AF342" i="5"/>
  <c r="AG342" i="5"/>
  <c r="X302" i="4"/>
  <c r="AI342" i="5"/>
  <c r="Y302" i="4"/>
  <c r="AJ342" i="5"/>
  <c r="Z302" i="4"/>
  <c r="AL342" i="5"/>
  <c r="AN342" i="5"/>
  <c r="O343" i="5"/>
  <c r="K343" i="5"/>
  <c r="B303" i="4"/>
  <c r="C303" i="4"/>
  <c r="C343" i="5"/>
  <c r="D303" i="4"/>
  <c r="E343" i="5"/>
  <c r="I303" i="4"/>
  <c r="L343" i="5"/>
  <c r="J303" i="4"/>
  <c r="N343" i="5"/>
  <c r="L303" i="4"/>
  <c r="Q343" i="5"/>
  <c r="M303" i="4"/>
  <c r="R343" i="5"/>
  <c r="N303" i="4"/>
  <c r="T343" i="5"/>
  <c r="O303" i="4"/>
  <c r="U343" i="5"/>
  <c r="P303" i="4"/>
  <c r="W343" i="5"/>
  <c r="Q303" i="4"/>
  <c r="X343" i="5"/>
  <c r="AA343" i="5"/>
  <c r="T303" i="4"/>
  <c r="AC343" i="5"/>
  <c r="AD343" i="5"/>
  <c r="V303" i="4"/>
  <c r="AF343" i="5"/>
  <c r="AG343" i="5"/>
  <c r="X303" i="4"/>
  <c r="AI343" i="5"/>
  <c r="Y303" i="4"/>
  <c r="AJ343" i="5"/>
  <c r="Z303" i="4"/>
  <c r="AL343" i="5"/>
  <c r="F343" i="5"/>
  <c r="H343" i="5"/>
  <c r="I343" i="5"/>
  <c r="AN343" i="5"/>
  <c r="C304" i="4"/>
  <c r="C344" i="5"/>
  <c r="N304" i="4"/>
  <c r="T344" i="5"/>
  <c r="O304" i="4"/>
  <c r="U344" i="5"/>
  <c r="P304" i="4"/>
  <c r="W344" i="5"/>
  <c r="Q304" i="4"/>
  <c r="X344" i="5"/>
  <c r="AA344" i="5"/>
  <c r="V304" i="4"/>
  <c r="AF344" i="5"/>
  <c r="AG344" i="5"/>
  <c r="X304" i="4"/>
  <c r="AI344" i="5"/>
  <c r="Y304" i="4"/>
  <c r="AJ344" i="5"/>
  <c r="Z304" i="4"/>
  <c r="AL344" i="5"/>
  <c r="F344" i="5"/>
  <c r="H344" i="5"/>
  <c r="I344" i="5"/>
  <c r="AN344" i="5"/>
  <c r="AA345" i="5"/>
  <c r="W345" i="5"/>
  <c r="O345" i="5"/>
  <c r="K345" i="5"/>
  <c r="E345" i="5"/>
  <c r="F345" i="5"/>
  <c r="H345" i="5"/>
  <c r="I345" i="5"/>
  <c r="L345" i="5"/>
  <c r="N345" i="5"/>
  <c r="Q345" i="5"/>
  <c r="R345" i="5"/>
  <c r="T345" i="5"/>
  <c r="U345" i="5"/>
  <c r="X345" i="5"/>
  <c r="Z345" i="5"/>
  <c r="AC345" i="5"/>
  <c r="AD345" i="5"/>
  <c r="AF345" i="5"/>
  <c r="AG345" i="5"/>
  <c r="AI345" i="5"/>
  <c r="AJ345" i="5"/>
  <c r="AL345" i="5"/>
  <c r="AN345" i="5"/>
  <c r="O346" i="5"/>
  <c r="K346" i="5"/>
  <c r="C346" i="5"/>
  <c r="B333" i="4"/>
  <c r="D333" i="4"/>
  <c r="E346" i="5"/>
  <c r="I333" i="4"/>
  <c r="L346" i="5"/>
  <c r="J333" i="4"/>
  <c r="N346" i="5"/>
  <c r="L333" i="4"/>
  <c r="Q346" i="5"/>
  <c r="M333" i="4"/>
  <c r="R346" i="5"/>
  <c r="N333" i="4"/>
  <c r="T346" i="5"/>
  <c r="O333" i="4"/>
  <c r="U346" i="5"/>
  <c r="P333" i="4"/>
  <c r="W346" i="5"/>
  <c r="Q333" i="4"/>
  <c r="X346" i="5"/>
  <c r="AA346" i="5"/>
  <c r="AC346" i="5"/>
  <c r="AD346" i="5"/>
  <c r="V333" i="4"/>
  <c r="AF346" i="5"/>
  <c r="AG346" i="5"/>
  <c r="X333" i="4"/>
  <c r="AI346" i="5"/>
  <c r="Y333" i="4"/>
  <c r="AJ346" i="5"/>
  <c r="AL346" i="5"/>
  <c r="F346" i="5"/>
  <c r="H346" i="5"/>
  <c r="I346" i="5"/>
  <c r="Z346" i="5"/>
  <c r="AN346" i="5"/>
  <c r="C265" i="4"/>
  <c r="C347" i="5"/>
  <c r="D265" i="4"/>
  <c r="E347" i="5"/>
  <c r="E265" i="4"/>
  <c r="F347" i="5"/>
  <c r="F265" i="4"/>
  <c r="H347" i="5"/>
  <c r="I347" i="5"/>
  <c r="H265" i="4"/>
  <c r="K347" i="5"/>
  <c r="L265" i="4"/>
  <c r="Q347" i="5"/>
  <c r="M265" i="4"/>
  <c r="R347" i="5"/>
  <c r="N265" i="4"/>
  <c r="T347" i="5"/>
  <c r="U347" i="5"/>
  <c r="P265" i="4"/>
  <c r="W347" i="5"/>
  <c r="Q265" i="4"/>
  <c r="X347" i="5"/>
  <c r="S265" i="4"/>
  <c r="AA347" i="5"/>
  <c r="AH265" i="4"/>
  <c r="T265" i="4" a="1"/>
  <c r="T265" i="4"/>
  <c r="AC347" i="5"/>
  <c r="U265" i="4" a="1"/>
  <c r="U265" i="4"/>
  <c r="AD347" i="5"/>
  <c r="AF347" i="5"/>
  <c r="AG347" i="5"/>
  <c r="X265" i="4"/>
  <c r="AI347" i="5"/>
  <c r="Y265" i="4"/>
  <c r="AJ347" i="5"/>
  <c r="Z265" i="4"/>
  <c r="AL347" i="5"/>
  <c r="L347" i="5"/>
  <c r="N347" i="5"/>
  <c r="O347" i="5"/>
  <c r="Z347" i="5"/>
  <c r="AN347" i="5"/>
  <c r="O348" i="5"/>
  <c r="H266" i="4"/>
  <c r="K348" i="5"/>
  <c r="C266" i="4"/>
  <c r="C348" i="5"/>
  <c r="D266" i="4"/>
  <c r="E348" i="5"/>
  <c r="I5" i="2"/>
  <c r="I266" i="4"/>
  <c r="L348" i="5"/>
  <c r="J5" i="2"/>
  <c r="J266" i="4"/>
  <c r="N348" i="5"/>
  <c r="L266" i="4"/>
  <c r="Q348" i="5"/>
  <c r="M266" i="4"/>
  <c r="R348" i="5"/>
  <c r="T348" i="5"/>
  <c r="U348" i="5"/>
  <c r="P266" i="4"/>
  <c r="W348" i="5"/>
  <c r="Q266" i="4"/>
  <c r="X348" i="5"/>
  <c r="S5" i="2"/>
  <c r="S266" i="4"/>
  <c r="AA348" i="5"/>
  <c r="AH266" i="4"/>
  <c r="T266" i="4" a="1"/>
  <c r="T266" i="4"/>
  <c r="AC348" i="5"/>
  <c r="U266" i="4" a="1"/>
  <c r="U266" i="4"/>
  <c r="AD348" i="5"/>
  <c r="AF348" i="5"/>
  <c r="AG348" i="5"/>
  <c r="X266" i="4"/>
  <c r="AI348" i="5"/>
  <c r="Y266" i="4"/>
  <c r="AJ348" i="5"/>
  <c r="Z266" i="4"/>
  <c r="AL348" i="5"/>
  <c r="F348" i="5"/>
  <c r="H348" i="5"/>
  <c r="I348" i="5"/>
  <c r="Z348" i="5"/>
  <c r="AN348" i="5"/>
  <c r="AA349" i="5"/>
  <c r="W349" i="5"/>
  <c r="O349" i="5"/>
  <c r="K349" i="5"/>
  <c r="E349" i="5"/>
  <c r="F349" i="5"/>
  <c r="H349" i="5"/>
  <c r="I349" i="5"/>
  <c r="L349" i="5"/>
  <c r="N349" i="5"/>
  <c r="Q349" i="5"/>
  <c r="R349" i="5"/>
  <c r="T349" i="5"/>
  <c r="U349" i="5"/>
  <c r="X349" i="5"/>
  <c r="Z349" i="5"/>
  <c r="AC349" i="5"/>
  <c r="AD349" i="5"/>
  <c r="AF349" i="5"/>
  <c r="AG349" i="5"/>
  <c r="AI349" i="5"/>
  <c r="AJ349" i="5"/>
  <c r="AL349" i="5"/>
  <c r="AN349" i="5"/>
  <c r="B267" i="4"/>
  <c r="S267" i="4"/>
  <c r="AA350" i="5"/>
  <c r="P267" i="4"/>
  <c r="W350" i="5"/>
  <c r="C267" i="4"/>
  <c r="C350" i="5"/>
  <c r="D267" i="4"/>
  <c r="E350" i="5"/>
  <c r="E267" i="4"/>
  <c r="F350" i="5"/>
  <c r="F267" i="4"/>
  <c r="H350" i="5"/>
  <c r="I350" i="5"/>
  <c r="K350" i="5"/>
  <c r="L267" i="4"/>
  <c r="Q350" i="5"/>
  <c r="M267" i="4"/>
  <c r="R350" i="5"/>
  <c r="T350" i="5"/>
  <c r="U350" i="5"/>
  <c r="Q267" i="4"/>
  <c r="X350" i="5"/>
  <c r="R267" i="4"/>
  <c r="Z350" i="5"/>
  <c r="AH267" i="4"/>
  <c r="T267" i="4" a="1"/>
  <c r="T267" i="4"/>
  <c r="AC350" i="5"/>
  <c r="U267" i="4" a="1"/>
  <c r="U267" i="4"/>
  <c r="AD350" i="5"/>
  <c r="AF350" i="5"/>
  <c r="AG350" i="5"/>
  <c r="X267" i="4"/>
  <c r="AI350" i="5"/>
  <c r="Y267" i="4"/>
  <c r="AJ350" i="5"/>
  <c r="Z267" i="4"/>
  <c r="AL350" i="5"/>
  <c r="L350" i="5"/>
  <c r="N350" i="5"/>
  <c r="O350" i="5"/>
  <c r="AN350" i="5"/>
  <c r="S268" i="4"/>
  <c r="AA351" i="5"/>
  <c r="P268" i="4"/>
  <c r="W351" i="5"/>
  <c r="C268" i="4"/>
  <c r="C351" i="5"/>
  <c r="D268" i="4"/>
  <c r="E351" i="5"/>
  <c r="E20" i="2"/>
  <c r="E268" i="4"/>
  <c r="F351" i="5"/>
  <c r="F20" i="2"/>
  <c r="F268" i="4"/>
  <c r="H351" i="5"/>
  <c r="I351" i="5"/>
  <c r="K351" i="5"/>
  <c r="L268" i="4"/>
  <c r="Q351" i="5"/>
  <c r="U351" i="5"/>
  <c r="Q268" i="4"/>
  <c r="X351" i="5"/>
  <c r="R268" i="4"/>
  <c r="Z351" i="5"/>
  <c r="AH268" i="4"/>
  <c r="T268" i="4" a="1"/>
  <c r="T268" i="4"/>
  <c r="AC351" i="5"/>
  <c r="U268" i="4" a="1"/>
  <c r="U268" i="4"/>
  <c r="AD351" i="5"/>
  <c r="AF351" i="5"/>
  <c r="AG351" i="5"/>
  <c r="X268" i="4"/>
  <c r="AI351" i="5"/>
  <c r="Y268" i="4"/>
  <c r="AJ351" i="5"/>
  <c r="Z268" i="4"/>
  <c r="AL351" i="5"/>
  <c r="L351" i="5"/>
  <c r="N351" i="5"/>
  <c r="O351" i="5"/>
  <c r="R351" i="5"/>
  <c r="AN351" i="5"/>
  <c r="O352" i="5"/>
  <c r="H269" i="4"/>
  <c r="K352" i="5"/>
  <c r="C269" i="4"/>
  <c r="C352" i="5"/>
  <c r="D269" i="4"/>
  <c r="E352" i="5"/>
  <c r="E269" i="4"/>
  <c r="F352" i="5"/>
  <c r="F269" i="4"/>
  <c r="H352" i="5"/>
  <c r="I352" i="5"/>
  <c r="I269" i="4"/>
  <c r="L352" i="5"/>
  <c r="J269" i="4"/>
  <c r="N352" i="5"/>
  <c r="L269" i="4"/>
  <c r="Q352" i="5"/>
  <c r="M269" i="4"/>
  <c r="R352" i="5"/>
  <c r="N269" i="4"/>
  <c r="T352" i="5"/>
  <c r="U352" i="5"/>
  <c r="P269" i="4"/>
  <c r="W352" i="5"/>
  <c r="Q269" i="4"/>
  <c r="X352" i="5"/>
  <c r="S269" i="4"/>
  <c r="AA352" i="5"/>
  <c r="AH269" i="4"/>
  <c r="T269" i="4" a="1"/>
  <c r="T269" i="4"/>
  <c r="AC352" i="5"/>
  <c r="U269" i="4" a="1"/>
  <c r="U269" i="4"/>
  <c r="AD352" i="5"/>
  <c r="AF352" i="5"/>
  <c r="AG352" i="5"/>
  <c r="X269" i="4"/>
  <c r="AI352" i="5"/>
  <c r="Y269" i="4"/>
  <c r="AJ352" i="5"/>
  <c r="Z269" i="4"/>
  <c r="AL352" i="5"/>
  <c r="Z352" i="5"/>
  <c r="AN352" i="5"/>
  <c r="B348" i="4"/>
  <c r="S348" i="4"/>
  <c r="AA353" i="5"/>
  <c r="P348" i="4"/>
  <c r="W353" i="5"/>
  <c r="K348" i="4"/>
  <c r="O353" i="5"/>
  <c r="H348" i="4"/>
  <c r="K353" i="5"/>
  <c r="C348" i="4"/>
  <c r="C353" i="5"/>
  <c r="D348" i="4"/>
  <c r="E353" i="5"/>
  <c r="I348" i="4"/>
  <c r="L353" i="5"/>
  <c r="J348" i="4"/>
  <c r="N353" i="5"/>
  <c r="L348" i="4"/>
  <c r="Q353" i="5"/>
  <c r="M348" i="4"/>
  <c r="R353" i="5"/>
  <c r="N348" i="4"/>
  <c r="T353" i="5"/>
  <c r="O348" i="4"/>
  <c r="U353" i="5"/>
  <c r="Q348" i="4"/>
  <c r="X353" i="5"/>
  <c r="R48" i="2"/>
  <c r="R348" i="4"/>
  <c r="Z353" i="5"/>
  <c r="T348" i="4"/>
  <c r="AC353" i="5"/>
  <c r="U348" i="4"/>
  <c r="AD353" i="5"/>
  <c r="V348" i="4"/>
  <c r="AF353" i="5"/>
  <c r="W348" i="4"/>
  <c r="AG353" i="5"/>
  <c r="X348" i="4"/>
  <c r="AI353" i="5"/>
  <c r="Y348" i="4"/>
  <c r="AJ353" i="5"/>
  <c r="Z348" i="4"/>
  <c r="AL353" i="5"/>
  <c r="F353" i="5"/>
  <c r="H353" i="5"/>
  <c r="I353" i="5"/>
  <c r="AN353" i="5"/>
  <c r="AA354" i="5"/>
  <c r="W354" i="5"/>
  <c r="O354" i="5"/>
  <c r="K354" i="5"/>
  <c r="B381" i="4"/>
  <c r="C381" i="4"/>
  <c r="C354" i="5"/>
  <c r="E354" i="5"/>
  <c r="F354" i="5"/>
  <c r="H354" i="5"/>
  <c r="I354" i="5"/>
  <c r="L354" i="5"/>
  <c r="N354" i="5"/>
  <c r="Q354" i="5"/>
  <c r="R354" i="5"/>
  <c r="T354" i="5"/>
  <c r="U354" i="5"/>
  <c r="X354" i="5"/>
  <c r="Z354" i="5"/>
  <c r="AC354" i="5"/>
  <c r="AD354" i="5"/>
  <c r="AF354" i="5"/>
  <c r="AG354" i="5"/>
  <c r="AI354" i="5"/>
  <c r="AL354" i="5"/>
  <c r="AN354" i="5"/>
  <c r="B349" i="4"/>
  <c r="K349" i="4"/>
  <c r="O355" i="5"/>
  <c r="H349" i="4"/>
  <c r="K355" i="5"/>
  <c r="C349" i="4"/>
  <c r="C355" i="5"/>
  <c r="D349" i="4"/>
  <c r="E355" i="5"/>
  <c r="I349" i="4"/>
  <c r="L355" i="5"/>
  <c r="J349" i="4"/>
  <c r="N355" i="5"/>
  <c r="L349" i="4"/>
  <c r="Q355" i="5"/>
  <c r="M349" i="4"/>
  <c r="R355" i="5"/>
  <c r="N349" i="4"/>
  <c r="T355" i="5"/>
  <c r="O349" i="4"/>
  <c r="U355" i="5"/>
  <c r="P349" i="4"/>
  <c r="W355" i="5"/>
  <c r="Q349" i="4"/>
  <c r="X355" i="5"/>
  <c r="S349" i="4"/>
  <c r="AA355" i="5"/>
  <c r="T349" i="4"/>
  <c r="AC355" i="5"/>
  <c r="U349" i="4"/>
  <c r="AD355" i="5"/>
  <c r="V349" i="4"/>
  <c r="AF355" i="5"/>
  <c r="W349" i="4"/>
  <c r="AG355" i="5"/>
  <c r="X349" i="4"/>
  <c r="AI355" i="5"/>
  <c r="Y349" i="4"/>
  <c r="AJ355" i="5"/>
  <c r="Z349" i="4"/>
  <c r="AL355" i="5"/>
  <c r="F355" i="5"/>
  <c r="H355" i="5"/>
  <c r="I355" i="5"/>
  <c r="AN355" i="5"/>
  <c r="O356" i="5"/>
  <c r="H270" i="4"/>
  <c r="K356" i="5"/>
  <c r="C270" i="4"/>
  <c r="C356" i="5"/>
  <c r="D270" i="4"/>
  <c r="E356" i="5"/>
  <c r="E270" i="4"/>
  <c r="F356" i="5"/>
  <c r="F270" i="4"/>
  <c r="H356" i="5"/>
  <c r="I356" i="5"/>
  <c r="I270" i="4"/>
  <c r="L356" i="5"/>
  <c r="J270" i="4"/>
  <c r="N356" i="5"/>
  <c r="L270" i="4"/>
  <c r="Q356" i="5"/>
  <c r="M270" i="4"/>
  <c r="R356" i="5"/>
  <c r="T356" i="5"/>
  <c r="U356" i="5"/>
  <c r="W356" i="5"/>
  <c r="Q270" i="4"/>
  <c r="X356" i="5"/>
  <c r="AA356" i="5"/>
  <c r="AH270" i="4"/>
  <c r="T270" i="4" a="1"/>
  <c r="T270" i="4"/>
  <c r="AC356" i="5"/>
  <c r="U270" i="4" a="1"/>
  <c r="U270" i="4"/>
  <c r="AD356" i="5"/>
  <c r="AF356" i="5"/>
  <c r="AG356" i="5"/>
  <c r="X270" i="4"/>
  <c r="AI356" i="5"/>
  <c r="Y270" i="4"/>
  <c r="AJ356" i="5"/>
  <c r="Z270" i="4"/>
  <c r="AL356" i="5"/>
  <c r="AN356" i="5"/>
  <c r="C271" i="4"/>
  <c r="C357" i="5"/>
  <c r="D271" i="4"/>
  <c r="E357" i="5"/>
  <c r="H271" i="4"/>
  <c r="K357" i="5"/>
  <c r="L271" i="4"/>
  <c r="Q357" i="5"/>
  <c r="M271" i="4"/>
  <c r="R357" i="5"/>
  <c r="T357" i="5"/>
  <c r="U357" i="5"/>
  <c r="P271" i="4"/>
  <c r="W357" i="5"/>
  <c r="Q271" i="4"/>
  <c r="X357" i="5"/>
  <c r="S271" i="4"/>
  <c r="AA357" i="5"/>
  <c r="AH271" i="4"/>
  <c r="T271" i="4" a="1"/>
  <c r="T271" i="4"/>
  <c r="AC357" i="5"/>
  <c r="U271" i="4" a="1"/>
  <c r="U271" i="4"/>
  <c r="AD357" i="5"/>
  <c r="AF357" i="5"/>
  <c r="AG357" i="5"/>
  <c r="X271" i="4"/>
  <c r="AI357" i="5"/>
  <c r="Y271" i="4"/>
  <c r="AJ357" i="5"/>
  <c r="Z271" i="4"/>
  <c r="AL357" i="5"/>
  <c r="F357" i="5"/>
  <c r="H357" i="5"/>
  <c r="I357" i="5"/>
  <c r="L357" i="5"/>
  <c r="N357" i="5"/>
  <c r="O357" i="5"/>
  <c r="AN357" i="5"/>
  <c r="B350" i="4"/>
  <c r="K350" i="4"/>
  <c r="O358" i="5"/>
  <c r="H350" i="4"/>
  <c r="K358" i="5"/>
  <c r="C350" i="4"/>
  <c r="C358" i="5"/>
  <c r="D350" i="4"/>
  <c r="E358" i="5"/>
  <c r="I350" i="4"/>
  <c r="L358" i="5"/>
  <c r="J350" i="4"/>
  <c r="N358" i="5"/>
  <c r="L350" i="4"/>
  <c r="Q358" i="5"/>
  <c r="M350" i="4"/>
  <c r="R358" i="5"/>
  <c r="N350" i="4"/>
  <c r="T358" i="5"/>
  <c r="O350" i="4"/>
  <c r="U358" i="5"/>
  <c r="P350" i="4"/>
  <c r="W358" i="5"/>
  <c r="Q350" i="4"/>
  <c r="X358" i="5"/>
  <c r="S350" i="4"/>
  <c r="AA358" i="5"/>
  <c r="T350" i="4"/>
  <c r="AC358" i="5"/>
  <c r="U350" i="4"/>
  <c r="AD358" i="5"/>
  <c r="V350" i="4"/>
  <c r="AF358" i="5"/>
  <c r="W350" i="4"/>
  <c r="AG358" i="5"/>
  <c r="X350" i="4"/>
  <c r="AI358" i="5"/>
  <c r="Y350" i="4"/>
  <c r="AJ358" i="5"/>
  <c r="Z350" i="4"/>
  <c r="AL358" i="5"/>
  <c r="F358" i="5"/>
  <c r="H358" i="5"/>
  <c r="I358" i="5"/>
  <c r="AN358" i="5"/>
  <c r="O359" i="5"/>
  <c r="K359" i="5"/>
  <c r="B272" i="4"/>
  <c r="C272" i="4"/>
  <c r="C359" i="5"/>
  <c r="D272" i="4"/>
  <c r="E359" i="5"/>
  <c r="L359" i="5"/>
  <c r="N359" i="5"/>
  <c r="L272" i="4"/>
  <c r="Q359" i="5"/>
  <c r="M272" i="4"/>
  <c r="R359" i="5"/>
  <c r="N272" i="4"/>
  <c r="T359" i="5"/>
  <c r="U359" i="5"/>
  <c r="P272" i="4"/>
  <c r="W359" i="5"/>
  <c r="X359" i="5"/>
  <c r="AA359" i="5"/>
  <c r="AH272" i="4"/>
  <c r="T272" i="4" a="1"/>
  <c r="T272" i="4"/>
  <c r="AC359" i="5"/>
  <c r="U272" i="4" a="1"/>
  <c r="U272" i="4"/>
  <c r="AD359" i="5"/>
  <c r="AF359" i="5"/>
  <c r="AG359" i="5"/>
  <c r="X272" i="4"/>
  <c r="AI359" i="5"/>
  <c r="Y272" i="4"/>
  <c r="AJ359" i="5"/>
  <c r="Z272" i="4"/>
  <c r="AL359" i="5"/>
  <c r="F359" i="5"/>
  <c r="H359" i="5"/>
  <c r="I359" i="5"/>
  <c r="AN359" i="5"/>
  <c r="B351" i="4"/>
  <c r="K351" i="4"/>
  <c r="O360" i="5"/>
  <c r="H351" i="4"/>
  <c r="K360" i="5"/>
  <c r="C351" i="4"/>
  <c r="C360" i="5"/>
  <c r="D351" i="4"/>
  <c r="E360" i="5"/>
  <c r="I351" i="4"/>
  <c r="L360" i="5"/>
  <c r="J351" i="4"/>
  <c r="N360" i="5"/>
  <c r="L351" i="4"/>
  <c r="Q360" i="5"/>
  <c r="M351" i="4"/>
  <c r="R360" i="5"/>
  <c r="N351" i="4"/>
  <c r="T360" i="5"/>
  <c r="O351" i="4"/>
  <c r="U360" i="5"/>
  <c r="P351" i="4"/>
  <c r="W360" i="5"/>
  <c r="Q351" i="4"/>
  <c r="X360" i="5"/>
  <c r="S351" i="4"/>
  <c r="AA360" i="5"/>
  <c r="T351" i="4"/>
  <c r="AC360" i="5"/>
  <c r="U351" i="4"/>
  <c r="AD360" i="5"/>
  <c r="V351" i="4"/>
  <c r="AF360" i="5"/>
  <c r="W351" i="4"/>
  <c r="AG360" i="5"/>
  <c r="X351" i="4"/>
  <c r="AI360" i="5"/>
  <c r="Y351" i="4"/>
  <c r="AJ360" i="5"/>
  <c r="Z351" i="4"/>
  <c r="AL360" i="5"/>
  <c r="F360" i="5"/>
  <c r="H360" i="5"/>
  <c r="I360" i="5"/>
  <c r="AN360" i="5"/>
  <c r="B352" i="4"/>
  <c r="K352" i="4"/>
  <c r="O361" i="5"/>
  <c r="H352" i="4"/>
  <c r="K361" i="5"/>
  <c r="C352" i="4"/>
  <c r="C361" i="5"/>
  <c r="D352" i="4"/>
  <c r="E361" i="5"/>
  <c r="I352" i="4"/>
  <c r="L361" i="5"/>
  <c r="J352" i="4"/>
  <c r="N361" i="5"/>
  <c r="L352" i="4"/>
  <c r="Q361" i="5"/>
  <c r="M352" i="4"/>
  <c r="R361" i="5"/>
  <c r="N352" i="4"/>
  <c r="T361" i="5"/>
  <c r="O352" i="4"/>
  <c r="U361" i="5"/>
  <c r="P352" i="4"/>
  <c r="W361" i="5"/>
  <c r="Q352" i="4"/>
  <c r="X361" i="5"/>
  <c r="S352" i="4"/>
  <c r="AA361" i="5"/>
  <c r="T352" i="4"/>
  <c r="AC361" i="5"/>
  <c r="U352" i="4"/>
  <c r="AD361" i="5"/>
  <c r="V352" i="4"/>
  <c r="AF361" i="5"/>
  <c r="W352" i="4"/>
  <c r="AG361" i="5"/>
  <c r="X352" i="4"/>
  <c r="AI361" i="5"/>
  <c r="Y352" i="4"/>
  <c r="AJ361" i="5"/>
  <c r="F361" i="5"/>
  <c r="H361" i="5"/>
  <c r="I361" i="5"/>
  <c r="AN361" i="5"/>
  <c r="B353" i="4"/>
  <c r="S353" i="4"/>
  <c r="AA362" i="5"/>
  <c r="P353" i="4"/>
  <c r="W362" i="5"/>
  <c r="K353" i="4"/>
  <c r="O362" i="5"/>
  <c r="H353" i="4"/>
  <c r="K362" i="5"/>
  <c r="C353" i="4"/>
  <c r="C362" i="5"/>
  <c r="D353" i="4"/>
  <c r="E362" i="5"/>
  <c r="I353" i="4"/>
  <c r="L362" i="5"/>
  <c r="J353" i="4"/>
  <c r="N362" i="5"/>
  <c r="L353" i="4"/>
  <c r="Q362" i="5"/>
  <c r="M353" i="4"/>
  <c r="R362" i="5"/>
  <c r="N353" i="4"/>
  <c r="T362" i="5"/>
  <c r="O353" i="4"/>
  <c r="U362" i="5"/>
  <c r="Q353" i="4"/>
  <c r="X362" i="5"/>
  <c r="R353" i="4"/>
  <c r="Z362" i="5"/>
  <c r="T353" i="4"/>
  <c r="AC362" i="5"/>
  <c r="U353" i="4"/>
  <c r="AD362" i="5"/>
  <c r="V353" i="4"/>
  <c r="AF362" i="5"/>
  <c r="W353" i="4"/>
  <c r="AG362" i="5"/>
  <c r="X353" i="4"/>
  <c r="AI362" i="5"/>
  <c r="Y353" i="4"/>
  <c r="AJ362" i="5"/>
  <c r="F362" i="5"/>
  <c r="H362" i="5"/>
  <c r="I362" i="5"/>
  <c r="AN362" i="5"/>
  <c r="B354" i="4"/>
  <c r="K354" i="4"/>
  <c r="O363" i="5"/>
  <c r="H354" i="4"/>
  <c r="K363" i="5"/>
  <c r="C354" i="4"/>
  <c r="C363" i="5"/>
  <c r="D354" i="4"/>
  <c r="E363" i="5"/>
  <c r="I354" i="4"/>
  <c r="L363" i="5"/>
  <c r="J354" i="4"/>
  <c r="N363" i="5"/>
  <c r="L354" i="4"/>
  <c r="Q363" i="5"/>
  <c r="M354" i="4"/>
  <c r="R363" i="5"/>
  <c r="N354" i="4"/>
  <c r="T363" i="5"/>
  <c r="O354" i="4"/>
  <c r="U363" i="5"/>
  <c r="P354" i="4"/>
  <c r="W363" i="5"/>
  <c r="Q354" i="4"/>
  <c r="X363" i="5"/>
  <c r="S354" i="4"/>
  <c r="AA363" i="5"/>
  <c r="T354" i="4"/>
  <c r="AC363" i="5"/>
  <c r="U354" i="4"/>
  <c r="AD363" i="5"/>
  <c r="V354" i="4"/>
  <c r="AF363" i="5"/>
  <c r="W354" i="4"/>
  <c r="AG363" i="5"/>
  <c r="X354" i="4"/>
  <c r="AI363" i="5"/>
  <c r="Y354" i="4"/>
  <c r="AJ363" i="5"/>
  <c r="Z354" i="4"/>
  <c r="AL363" i="5"/>
  <c r="F363" i="5"/>
  <c r="H363" i="5"/>
  <c r="I363" i="5"/>
  <c r="AN363" i="5"/>
  <c r="B273" i="4"/>
  <c r="C273" i="4"/>
  <c r="C364" i="5"/>
  <c r="D273" i="4"/>
  <c r="E364" i="5"/>
  <c r="H273" i="4"/>
  <c r="K364" i="5"/>
  <c r="L273" i="4"/>
  <c r="Q364" i="5"/>
  <c r="M273" i="4"/>
  <c r="R364" i="5"/>
  <c r="N273" i="4"/>
  <c r="T364" i="5"/>
  <c r="U364" i="5"/>
  <c r="P273" i="4"/>
  <c r="W364" i="5"/>
  <c r="Q273" i="4"/>
  <c r="X364" i="5"/>
  <c r="AA364" i="5"/>
  <c r="AH273" i="4"/>
  <c r="T273" i="4" a="1"/>
  <c r="T273" i="4"/>
  <c r="AC364" i="5"/>
  <c r="U273" i="4" a="1"/>
  <c r="U273" i="4"/>
  <c r="AD364" i="5"/>
  <c r="AF364" i="5"/>
  <c r="AG364" i="5"/>
  <c r="Y273" i="4"/>
  <c r="AJ364" i="5"/>
  <c r="Z273" i="4"/>
  <c r="AL364" i="5"/>
  <c r="F364" i="5"/>
  <c r="H364" i="5"/>
  <c r="I364" i="5"/>
  <c r="L364" i="5"/>
  <c r="N364" i="5"/>
  <c r="O364" i="5"/>
  <c r="AN364" i="5"/>
  <c r="O365" i="5"/>
  <c r="H274" i="4"/>
  <c r="K365" i="5"/>
  <c r="C274" i="4"/>
  <c r="C365" i="5"/>
  <c r="D274" i="4"/>
  <c r="E365" i="5"/>
  <c r="E274" i="4"/>
  <c r="F365" i="5"/>
  <c r="F274" i="4"/>
  <c r="H365" i="5"/>
  <c r="I365" i="5"/>
  <c r="I274" i="4"/>
  <c r="L365" i="5"/>
  <c r="J274" i="4"/>
  <c r="N365" i="5"/>
  <c r="L274" i="4"/>
  <c r="Q365" i="5"/>
  <c r="M274" i="4"/>
  <c r="R365" i="5"/>
  <c r="N274" i="4"/>
  <c r="T365" i="5"/>
  <c r="U365" i="5"/>
  <c r="P274" i="4"/>
  <c r="W365" i="5"/>
  <c r="Q274" i="4"/>
  <c r="X365" i="5"/>
  <c r="AA365" i="5"/>
  <c r="AH274" i="4"/>
  <c r="T274" i="4" a="1"/>
  <c r="T274" i="4"/>
  <c r="AC365" i="5"/>
  <c r="U274" i="4" a="1"/>
  <c r="U274" i="4"/>
  <c r="AD365" i="5"/>
  <c r="AF365" i="5"/>
  <c r="AG365" i="5"/>
  <c r="X274" i="4"/>
  <c r="AI365" i="5"/>
  <c r="Y274" i="4"/>
  <c r="AJ365" i="5"/>
  <c r="Z274" i="4"/>
  <c r="AL365" i="5"/>
  <c r="AN365" i="5"/>
  <c r="B275" i="4"/>
  <c r="C275" i="4"/>
  <c r="C366" i="5"/>
  <c r="D275" i="4"/>
  <c r="E366" i="5"/>
  <c r="H275" i="4"/>
  <c r="K366" i="5"/>
  <c r="L275" i="4"/>
  <c r="Q366" i="5"/>
  <c r="M275" i="4"/>
  <c r="R366" i="5"/>
  <c r="N275" i="4"/>
  <c r="T366" i="5"/>
  <c r="U366" i="5"/>
  <c r="P275" i="4"/>
  <c r="W366" i="5"/>
  <c r="Q275" i="4"/>
  <c r="X366" i="5"/>
  <c r="AA366" i="5"/>
  <c r="AH275" i="4"/>
  <c r="T275" i="4" a="1"/>
  <c r="T275" i="4"/>
  <c r="AC366" i="5"/>
  <c r="U275" i="4" a="1"/>
  <c r="U275" i="4"/>
  <c r="AD366" i="5"/>
  <c r="AF366" i="5"/>
  <c r="AG366" i="5"/>
  <c r="X275" i="4"/>
  <c r="AI366" i="5"/>
  <c r="Y275" i="4"/>
  <c r="AJ366" i="5"/>
  <c r="Z275" i="4"/>
  <c r="AL366" i="5"/>
  <c r="F366" i="5"/>
  <c r="L366" i="5"/>
  <c r="N366" i="5"/>
  <c r="O366" i="5"/>
  <c r="AN366" i="5"/>
  <c r="O367" i="5"/>
  <c r="K367" i="5"/>
  <c r="C276" i="4"/>
  <c r="C367" i="5"/>
  <c r="D276" i="4"/>
  <c r="E367" i="5"/>
  <c r="I276" i="4"/>
  <c r="L367" i="5"/>
  <c r="J276" i="4"/>
  <c r="N367" i="5"/>
  <c r="L276" i="4"/>
  <c r="Q367" i="5"/>
  <c r="M276" i="4"/>
  <c r="R367" i="5"/>
  <c r="N276" i="4"/>
  <c r="T367" i="5"/>
  <c r="U367" i="5"/>
  <c r="P276" i="4"/>
  <c r="W367" i="5"/>
  <c r="Q276" i="4"/>
  <c r="X367" i="5"/>
  <c r="S276" i="4"/>
  <c r="AA367" i="5"/>
  <c r="AH276" i="4"/>
  <c r="T276" i="4" a="1"/>
  <c r="T276" i="4"/>
  <c r="AC367" i="5"/>
  <c r="U276" i="4" a="1"/>
  <c r="U276" i="4"/>
  <c r="AD367" i="5"/>
  <c r="AF367" i="5"/>
  <c r="AG367" i="5"/>
  <c r="X276" i="4"/>
  <c r="AI367" i="5"/>
  <c r="Y276" i="4"/>
  <c r="AJ367" i="5"/>
  <c r="Z276" i="4"/>
  <c r="AL367" i="5"/>
  <c r="F367" i="5"/>
  <c r="AN367" i="5"/>
  <c r="C277" i="4"/>
  <c r="C368" i="5"/>
  <c r="D277" i="4"/>
  <c r="E368" i="5"/>
  <c r="H277" i="4"/>
  <c r="K368" i="5"/>
  <c r="L277" i="4"/>
  <c r="Q368" i="5"/>
  <c r="M277" i="4"/>
  <c r="R368" i="5"/>
  <c r="T368" i="5"/>
  <c r="U368" i="5"/>
  <c r="P277" i="4"/>
  <c r="W368" i="5"/>
  <c r="Q277" i="4"/>
  <c r="X368" i="5"/>
  <c r="S277" i="4"/>
  <c r="AA368" i="5"/>
  <c r="AH277" i="4"/>
  <c r="T277" i="4" a="1"/>
  <c r="T277" i="4"/>
  <c r="AC368" i="5"/>
  <c r="U277" i="4" a="1"/>
  <c r="U277" i="4"/>
  <c r="AD368" i="5"/>
  <c r="AF368" i="5"/>
  <c r="AG368" i="5"/>
  <c r="X277" i="4"/>
  <c r="AI368" i="5"/>
  <c r="Y277" i="4"/>
  <c r="AJ368" i="5"/>
  <c r="Z277" i="4"/>
  <c r="AL368" i="5"/>
  <c r="F368" i="5"/>
  <c r="L368" i="5"/>
  <c r="N368" i="5"/>
  <c r="O368" i="5"/>
  <c r="AN368" i="5"/>
  <c r="O369" i="5"/>
  <c r="K369" i="5"/>
  <c r="C369" i="5"/>
  <c r="B344" i="4"/>
  <c r="D344" i="4"/>
  <c r="E369" i="5"/>
  <c r="I369" i="5"/>
  <c r="I344" i="4"/>
  <c r="L369" i="5"/>
  <c r="J344" i="4"/>
  <c r="N369" i="5"/>
  <c r="L344" i="4"/>
  <c r="Q369" i="5"/>
  <c r="M344" i="4"/>
  <c r="R369" i="5"/>
  <c r="N344" i="4"/>
  <c r="T369" i="5"/>
  <c r="O344" i="4"/>
  <c r="U369" i="5"/>
  <c r="P344" i="4"/>
  <c r="W369" i="5"/>
  <c r="Q344" i="4"/>
  <c r="X369" i="5"/>
  <c r="AA369" i="5"/>
  <c r="AC369" i="5"/>
  <c r="AD369" i="5"/>
  <c r="V344" i="4"/>
  <c r="AF369" i="5"/>
  <c r="AG369" i="5"/>
  <c r="X344" i="4"/>
  <c r="AI369" i="5"/>
  <c r="Y344" i="4"/>
  <c r="AJ369" i="5"/>
  <c r="AL369" i="5"/>
  <c r="AN369" i="5"/>
  <c r="B355" i="4"/>
  <c r="K355" i="4"/>
  <c r="O370" i="5"/>
  <c r="H355" i="4"/>
  <c r="K370" i="5"/>
  <c r="C355" i="4"/>
  <c r="C370" i="5"/>
  <c r="D355" i="4"/>
  <c r="E370" i="5"/>
  <c r="I355" i="4"/>
  <c r="L370" i="5"/>
  <c r="J355" i="4"/>
  <c r="N370" i="5"/>
  <c r="L355" i="4"/>
  <c r="Q370" i="5"/>
  <c r="M355" i="4"/>
  <c r="R370" i="5"/>
  <c r="N355" i="4"/>
  <c r="T370" i="5"/>
  <c r="O355" i="4"/>
  <c r="U370" i="5"/>
  <c r="P355" i="4"/>
  <c r="W370" i="5"/>
  <c r="Q355" i="4"/>
  <c r="X370" i="5"/>
  <c r="S355" i="4"/>
  <c r="AA370" i="5"/>
  <c r="T355" i="4"/>
  <c r="AC370" i="5"/>
  <c r="U355" i="4"/>
  <c r="AD370" i="5"/>
  <c r="V355" i="4"/>
  <c r="AF370" i="5"/>
  <c r="W355" i="4"/>
  <c r="AG370" i="5"/>
  <c r="X355" i="4"/>
  <c r="AI370" i="5"/>
  <c r="Y355" i="4"/>
  <c r="AJ370" i="5"/>
  <c r="Z355" i="4"/>
  <c r="AL370" i="5"/>
  <c r="AN370" i="5"/>
  <c r="B356" i="4"/>
  <c r="K356" i="4"/>
  <c r="O371" i="5"/>
  <c r="H356" i="4"/>
  <c r="K371" i="5"/>
  <c r="C356" i="4"/>
  <c r="C371" i="5"/>
  <c r="D356" i="4"/>
  <c r="E371" i="5"/>
  <c r="I356" i="4"/>
  <c r="L371" i="5"/>
  <c r="J356" i="4"/>
  <c r="N371" i="5"/>
  <c r="L356" i="4"/>
  <c r="Q371" i="5"/>
  <c r="M356" i="4"/>
  <c r="R371" i="5"/>
  <c r="N356" i="4"/>
  <c r="T371" i="5"/>
  <c r="O356" i="4"/>
  <c r="U371" i="5"/>
  <c r="P356" i="4"/>
  <c r="W371" i="5"/>
  <c r="Q356" i="4"/>
  <c r="X371" i="5"/>
  <c r="S356" i="4"/>
  <c r="AA371" i="5"/>
  <c r="T356" i="4"/>
  <c r="AC371" i="5"/>
  <c r="U356" i="4"/>
  <c r="AD371" i="5"/>
  <c r="V356" i="4"/>
  <c r="AF371" i="5"/>
  <c r="W356" i="4"/>
  <c r="AG371" i="5"/>
  <c r="X356" i="4"/>
  <c r="AI371" i="5"/>
  <c r="Y356" i="4"/>
  <c r="AJ371" i="5"/>
  <c r="Z356" i="4"/>
  <c r="AL371" i="5"/>
  <c r="AN371" i="5"/>
  <c r="B357" i="4"/>
  <c r="K357" i="4"/>
  <c r="O372" i="5"/>
  <c r="H357" i="4"/>
  <c r="K372" i="5"/>
  <c r="C357" i="4"/>
  <c r="C372" i="5"/>
  <c r="D357" i="4"/>
  <c r="E372" i="5"/>
  <c r="I357" i="4"/>
  <c r="L372" i="5"/>
  <c r="J357" i="4"/>
  <c r="N372" i="5"/>
  <c r="L357" i="4"/>
  <c r="Q372" i="5"/>
  <c r="M357" i="4"/>
  <c r="R372" i="5"/>
  <c r="N357" i="4"/>
  <c r="T372" i="5"/>
  <c r="O357" i="4"/>
  <c r="U372" i="5"/>
  <c r="P357" i="4"/>
  <c r="W372" i="5"/>
  <c r="Q357" i="4"/>
  <c r="X372" i="5"/>
  <c r="S357" i="4"/>
  <c r="AA372" i="5"/>
  <c r="T357" i="4"/>
  <c r="AC372" i="5"/>
  <c r="U357" i="4"/>
  <c r="AD372" i="5"/>
  <c r="V357" i="4"/>
  <c r="AF372" i="5"/>
  <c r="W357" i="4"/>
  <c r="AG372" i="5"/>
  <c r="X357" i="4"/>
  <c r="AI372" i="5"/>
  <c r="Y357" i="4"/>
  <c r="AJ372" i="5"/>
  <c r="Z357" i="4"/>
  <c r="AL372" i="5"/>
  <c r="AN372" i="5"/>
  <c r="B358" i="4"/>
  <c r="K358" i="4"/>
  <c r="O373" i="5"/>
  <c r="H358" i="4"/>
  <c r="K373" i="5"/>
  <c r="C358" i="4"/>
  <c r="C373" i="5"/>
  <c r="D358" i="4"/>
  <c r="E373" i="5"/>
  <c r="I358" i="4"/>
  <c r="L373" i="5"/>
  <c r="J358" i="4"/>
  <c r="N373" i="5"/>
  <c r="L358" i="4"/>
  <c r="Q373" i="5"/>
  <c r="M358" i="4"/>
  <c r="R373" i="5"/>
  <c r="N358" i="4"/>
  <c r="T373" i="5"/>
  <c r="O358" i="4"/>
  <c r="U373" i="5"/>
  <c r="P358" i="4"/>
  <c r="W373" i="5"/>
  <c r="Q358" i="4"/>
  <c r="X373" i="5"/>
  <c r="S358" i="4"/>
  <c r="AA373" i="5"/>
  <c r="T358" i="4"/>
  <c r="AC373" i="5"/>
  <c r="U358" i="4"/>
  <c r="AD373" i="5"/>
  <c r="V358" i="4"/>
  <c r="AF373" i="5"/>
  <c r="W358" i="4"/>
  <c r="AG373" i="5"/>
  <c r="X358" i="4"/>
  <c r="AI373" i="5"/>
  <c r="Y358" i="4"/>
  <c r="AJ373" i="5"/>
  <c r="Z358" i="4"/>
  <c r="AL373" i="5"/>
  <c r="AN373" i="5"/>
  <c r="B359" i="4"/>
  <c r="K24" i="2"/>
  <c r="K359" i="4"/>
  <c r="O374" i="5"/>
  <c r="H359" i="4"/>
  <c r="K374" i="5"/>
  <c r="C359" i="4"/>
  <c r="C374" i="5"/>
  <c r="D359" i="4"/>
  <c r="E374" i="5"/>
  <c r="I359" i="4"/>
  <c r="L374" i="5"/>
  <c r="J359" i="4"/>
  <c r="N374" i="5"/>
  <c r="L359" i="4"/>
  <c r="Q374" i="5"/>
  <c r="M359" i="4"/>
  <c r="R374" i="5"/>
  <c r="N359" i="4"/>
  <c r="T374" i="5"/>
  <c r="O359" i="4"/>
  <c r="U374" i="5"/>
  <c r="P359" i="4"/>
  <c r="W374" i="5"/>
  <c r="Q359" i="4"/>
  <c r="X374" i="5"/>
  <c r="S359" i="4"/>
  <c r="AA374" i="5"/>
  <c r="T24" i="2"/>
  <c r="T359" i="4"/>
  <c r="AC374" i="5"/>
  <c r="U24" i="2"/>
  <c r="U359" i="4"/>
  <c r="AD374" i="5"/>
  <c r="V24" i="2"/>
  <c r="V359" i="4"/>
  <c r="AF374" i="5"/>
  <c r="W24" i="2"/>
  <c r="W359" i="4"/>
  <c r="AG374" i="5"/>
  <c r="X359" i="4"/>
  <c r="AI374" i="5"/>
  <c r="Y359" i="4"/>
  <c r="AJ374" i="5"/>
  <c r="Z359" i="4"/>
  <c r="AL374" i="5"/>
  <c r="AN374" i="5"/>
  <c r="B360" i="4"/>
  <c r="K360" i="4"/>
  <c r="O375" i="5"/>
  <c r="H360" i="4"/>
  <c r="K375" i="5"/>
  <c r="C360" i="4"/>
  <c r="C375" i="5"/>
  <c r="D360" i="4"/>
  <c r="E375" i="5"/>
  <c r="I360" i="4"/>
  <c r="L375" i="5"/>
  <c r="J360" i="4"/>
  <c r="N375" i="5"/>
  <c r="L360" i="4"/>
  <c r="Q375" i="5"/>
  <c r="M360" i="4"/>
  <c r="R375" i="5"/>
  <c r="N360" i="4"/>
  <c r="T375" i="5"/>
  <c r="O360" i="4"/>
  <c r="U375" i="5"/>
  <c r="P360" i="4"/>
  <c r="W375" i="5"/>
  <c r="Q360" i="4"/>
  <c r="X375" i="5"/>
  <c r="S360" i="4"/>
  <c r="AA375" i="5"/>
  <c r="T360" i="4"/>
  <c r="AC375" i="5"/>
  <c r="U360" i="4"/>
  <c r="AD375" i="5"/>
  <c r="V360" i="4"/>
  <c r="AF375" i="5"/>
  <c r="W360" i="4"/>
  <c r="AG375" i="5"/>
  <c r="X360" i="4"/>
  <c r="AI375" i="5"/>
  <c r="Y360" i="4"/>
  <c r="AJ375" i="5"/>
  <c r="Z360" i="4"/>
  <c r="AL375" i="5"/>
  <c r="AN375" i="5"/>
  <c r="B361" i="4"/>
  <c r="K361" i="4"/>
  <c r="O376" i="5"/>
  <c r="H361" i="4"/>
  <c r="K376" i="5"/>
  <c r="C361" i="4"/>
  <c r="C376" i="5"/>
  <c r="D361" i="4"/>
  <c r="E376" i="5"/>
  <c r="I361" i="4"/>
  <c r="L376" i="5"/>
  <c r="J361" i="4"/>
  <c r="N376" i="5"/>
  <c r="L361" i="4"/>
  <c r="Q376" i="5"/>
  <c r="M361" i="4"/>
  <c r="R376" i="5"/>
  <c r="N361" i="4"/>
  <c r="T376" i="5"/>
  <c r="O361" i="4"/>
  <c r="U376" i="5"/>
  <c r="P361" i="4"/>
  <c r="W376" i="5"/>
  <c r="Q361" i="4"/>
  <c r="X376" i="5"/>
  <c r="S361" i="4"/>
  <c r="AA376" i="5"/>
  <c r="T361" i="4"/>
  <c r="AC376" i="5"/>
  <c r="U361" i="4"/>
  <c r="AD376" i="5"/>
  <c r="V361" i="4"/>
  <c r="AF376" i="5"/>
  <c r="W361" i="4"/>
  <c r="AG376" i="5"/>
  <c r="X361" i="4"/>
  <c r="AI376" i="5"/>
  <c r="Y361" i="4"/>
  <c r="AJ376" i="5"/>
  <c r="Z361" i="4"/>
  <c r="AL376" i="5"/>
  <c r="AN376" i="5"/>
  <c r="B362" i="4"/>
  <c r="K362" i="4"/>
  <c r="O377" i="5"/>
  <c r="H362" i="4"/>
  <c r="K377" i="5"/>
  <c r="C362" i="4"/>
  <c r="C377" i="5"/>
  <c r="D362" i="4"/>
  <c r="E377" i="5"/>
  <c r="I362" i="4"/>
  <c r="L377" i="5"/>
  <c r="J362" i="4"/>
  <c r="N377" i="5"/>
  <c r="L362" i="4"/>
  <c r="Q377" i="5"/>
  <c r="M362" i="4"/>
  <c r="R377" i="5"/>
  <c r="N362" i="4"/>
  <c r="T377" i="5"/>
  <c r="O362" i="4"/>
  <c r="U377" i="5"/>
  <c r="P362" i="4"/>
  <c r="W377" i="5"/>
  <c r="Q362" i="4"/>
  <c r="X377" i="5"/>
  <c r="S362" i="4"/>
  <c r="AA377" i="5"/>
  <c r="T362" i="4"/>
  <c r="AC377" i="5"/>
  <c r="U362" i="4"/>
  <c r="AD377" i="5"/>
  <c r="V362" i="4"/>
  <c r="AF377" i="5"/>
  <c r="W362" i="4"/>
  <c r="AG377" i="5"/>
  <c r="X362" i="4"/>
  <c r="AI377" i="5"/>
  <c r="Y362" i="4"/>
  <c r="AJ377" i="5"/>
  <c r="Z362" i="4"/>
  <c r="AL377" i="5"/>
  <c r="AN377" i="5"/>
  <c r="C278" i="4"/>
  <c r="C378" i="5"/>
  <c r="D278" i="4"/>
  <c r="E378" i="5"/>
  <c r="H278" i="4"/>
  <c r="K378" i="5"/>
  <c r="L278" i="4"/>
  <c r="Q378" i="5"/>
  <c r="M278" i="4"/>
  <c r="R378" i="5"/>
  <c r="T378" i="5"/>
  <c r="U378" i="5"/>
  <c r="P278" i="4"/>
  <c r="W378" i="5"/>
  <c r="Q278" i="4"/>
  <c r="X378" i="5"/>
  <c r="S278" i="4"/>
  <c r="AA378" i="5"/>
  <c r="AH278" i="4"/>
  <c r="T278" i="4" a="1"/>
  <c r="T278" i="4"/>
  <c r="AC378" i="5"/>
  <c r="U278" i="4" a="1"/>
  <c r="U278" i="4"/>
  <c r="AD378" i="5"/>
  <c r="AF378" i="5"/>
  <c r="AG378" i="5"/>
  <c r="X278" i="4"/>
  <c r="AI378" i="5"/>
  <c r="Y278" i="4"/>
  <c r="AJ378" i="5"/>
  <c r="Z278" i="4"/>
  <c r="AL378" i="5"/>
  <c r="AN378" i="5"/>
  <c r="C279" i="4"/>
  <c r="C379" i="5"/>
  <c r="D279" i="4"/>
  <c r="E379" i="5"/>
  <c r="H279" i="4"/>
  <c r="K379" i="5"/>
  <c r="L279" i="4"/>
  <c r="Q379" i="5"/>
  <c r="M279" i="4"/>
  <c r="R379" i="5"/>
  <c r="T379" i="5"/>
  <c r="U379" i="5"/>
  <c r="P279" i="4"/>
  <c r="W379" i="5"/>
  <c r="Q279" i="4"/>
  <c r="X379" i="5"/>
  <c r="S279" i="4"/>
  <c r="AA379" i="5"/>
  <c r="AH279" i="4"/>
  <c r="T279" i="4" a="1"/>
  <c r="T279" i="4"/>
  <c r="AC379" i="5"/>
  <c r="U279" i="4" a="1"/>
  <c r="U279" i="4"/>
  <c r="AD379" i="5"/>
  <c r="AF379" i="5"/>
  <c r="AG379" i="5"/>
  <c r="X279" i="4"/>
  <c r="AI379" i="5"/>
  <c r="Y279" i="4"/>
  <c r="AJ379" i="5"/>
  <c r="Z279" i="4"/>
  <c r="AL379" i="5"/>
  <c r="AN379" i="5"/>
  <c r="C280" i="4"/>
  <c r="C380" i="5"/>
  <c r="D280" i="4"/>
  <c r="E380" i="5"/>
  <c r="H280" i="4"/>
  <c r="K380" i="5"/>
  <c r="L280" i="4"/>
  <c r="Q380" i="5"/>
  <c r="M280" i="4"/>
  <c r="R380" i="5"/>
  <c r="T380" i="5"/>
  <c r="U380" i="5"/>
  <c r="P280" i="4"/>
  <c r="W380" i="5"/>
  <c r="Q280" i="4"/>
  <c r="X380" i="5"/>
  <c r="S280" i="4"/>
  <c r="AA380" i="5"/>
  <c r="AH280" i="4"/>
  <c r="T280" i="4" a="1"/>
  <c r="T280" i="4"/>
  <c r="AC380" i="5"/>
  <c r="U280" i="4" a="1"/>
  <c r="U280" i="4"/>
  <c r="AD380" i="5"/>
  <c r="AF380" i="5"/>
  <c r="AG380" i="5"/>
  <c r="X280" i="4"/>
  <c r="AI380" i="5"/>
  <c r="Y280" i="4"/>
  <c r="AJ380" i="5"/>
  <c r="Z280" i="4"/>
  <c r="AL380" i="5"/>
  <c r="AN380" i="5"/>
  <c r="B281" i="4"/>
  <c r="C281" i="4"/>
  <c r="C381" i="5"/>
  <c r="D281" i="4"/>
  <c r="E381" i="5"/>
  <c r="K381" i="5"/>
  <c r="L281" i="4"/>
  <c r="Q381" i="5"/>
  <c r="M281" i="4"/>
  <c r="R381" i="5"/>
  <c r="N281" i="4"/>
  <c r="T381" i="5"/>
  <c r="U381" i="5"/>
  <c r="P281" i="4"/>
  <c r="W381" i="5"/>
  <c r="Q281" i="4"/>
  <c r="X381" i="5"/>
  <c r="S281" i="4"/>
  <c r="AA381" i="5"/>
  <c r="AH281" i="4"/>
  <c r="T281" i="4" a="1"/>
  <c r="T281" i="4"/>
  <c r="AC381" i="5"/>
  <c r="U281" i="4" a="1"/>
  <c r="U281" i="4"/>
  <c r="AD381" i="5"/>
  <c r="AF381" i="5"/>
  <c r="AG381" i="5"/>
  <c r="X281" i="4"/>
  <c r="AI381" i="5"/>
  <c r="Y281" i="4"/>
  <c r="AJ381" i="5"/>
  <c r="Z281" i="4"/>
  <c r="AL381" i="5"/>
  <c r="AN381" i="5"/>
  <c r="B282" i="4"/>
  <c r="C282" i="4"/>
  <c r="C382" i="5"/>
  <c r="D282" i="4"/>
  <c r="E382" i="5"/>
  <c r="K382" i="5"/>
  <c r="L282" i="4"/>
  <c r="Q382" i="5"/>
  <c r="M282" i="4"/>
  <c r="R382" i="5"/>
  <c r="N282" i="4"/>
  <c r="T382" i="5"/>
  <c r="U382" i="5"/>
  <c r="P282" i="4"/>
  <c r="W382" i="5"/>
  <c r="Q282" i="4"/>
  <c r="X382" i="5"/>
  <c r="S282" i="4"/>
  <c r="AA382" i="5"/>
  <c r="AH282" i="4"/>
  <c r="T282" i="4" a="1"/>
  <c r="T282" i="4"/>
  <c r="AC382" i="5"/>
  <c r="U282" i="4" a="1"/>
  <c r="U282" i="4"/>
  <c r="AD382" i="5"/>
  <c r="AF382" i="5"/>
  <c r="AG382" i="5"/>
  <c r="X282" i="4"/>
  <c r="AI382" i="5"/>
  <c r="Y282" i="4"/>
  <c r="AJ382" i="5"/>
  <c r="Z282" i="4"/>
  <c r="AL382" i="5"/>
  <c r="AN382" i="5"/>
  <c r="C283" i="4"/>
  <c r="C383" i="5"/>
  <c r="D283" i="4"/>
  <c r="E383" i="5"/>
  <c r="H283" i="4"/>
  <c r="K383" i="5"/>
  <c r="L283" i="4"/>
  <c r="Q383" i="5"/>
  <c r="M283" i="4"/>
  <c r="R383" i="5"/>
  <c r="T383" i="5"/>
  <c r="U383" i="5"/>
  <c r="P283" i="4"/>
  <c r="W383" i="5"/>
  <c r="Q283" i="4"/>
  <c r="X383" i="5"/>
  <c r="S283" i="4"/>
  <c r="AA383" i="5"/>
  <c r="AH283" i="4"/>
  <c r="T283" i="4" a="1"/>
  <c r="T283" i="4"/>
  <c r="AC383" i="5"/>
  <c r="U283" i="4" a="1"/>
  <c r="U283" i="4"/>
  <c r="AD383" i="5"/>
  <c r="AF383" i="5"/>
  <c r="AG383" i="5"/>
  <c r="X283" i="4"/>
  <c r="AI383" i="5"/>
  <c r="Y283" i="4"/>
  <c r="AJ383" i="5"/>
  <c r="Z283" i="4"/>
  <c r="AL383" i="5"/>
  <c r="AN383" i="5"/>
  <c r="C284" i="4"/>
  <c r="C384" i="5"/>
  <c r="D284" i="4"/>
  <c r="E384" i="5"/>
  <c r="H284" i="4"/>
  <c r="K384" i="5"/>
  <c r="L284" i="4"/>
  <c r="Q384" i="5"/>
  <c r="M284" i="4"/>
  <c r="R384" i="5"/>
  <c r="T384" i="5"/>
  <c r="U384" i="5"/>
  <c r="P284" i="4"/>
  <c r="W384" i="5"/>
  <c r="Q284" i="4"/>
  <c r="X384" i="5"/>
  <c r="S284" i="4"/>
  <c r="AA384" i="5"/>
  <c r="AH284" i="4"/>
  <c r="T284" i="4" a="1"/>
  <c r="T284" i="4"/>
  <c r="AC384" i="5"/>
  <c r="U284" i="4" a="1"/>
  <c r="U284" i="4"/>
  <c r="AD384" i="5"/>
  <c r="AF384" i="5"/>
  <c r="AG384" i="5"/>
  <c r="X284" i="4"/>
  <c r="AI384" i="5"/>
  <c r="Y284" i="4"/>
  <c r="AJ384" i="5"/>
  <c r="Z284" i="4"/>
  <c r="AL384" i="5"/>
  <c r="AN384" i="5"/>
  <c r="C285" i="4"/>
  <c r="C385" i="5"/>
  <c r="D285" i="4"/>
  <c r="E385" i="5"/>
  <c r="H285" i="4"/>
  <c r="K385" i="5"/>
  <c r="L285" i="4"/>
  <c r="Q385" i="5"/>
  <c r="M285" i="4"/>
  <c r="R385" i="5"/>
  <c r="T385" i="5"/>
  <c r="U385" i="5"/>
  <c r="P285" i="4"/>
  <c r="W385" i="5"/>
  <c r="Q285" i="4"/>
  <c r="X385" i="5"/>
  <c r="S285" i="4"/>
  <c r="AA385" i="5"/>
  <c r="AH285" i="4"/>
  <c r="T285" i="4" a="1"/>
  <c r="T285" i="4"/>
  <c r="AC385" i="5"/>
  <c r="U285" i="4" a="1"/>
  <c r="U285" i="4"/>
  <c r="AD385" i="5"/>
  <c r="AF385" i="5"/>
  <c r="AG385" i="5"/>
  <c r="X285" i="4"/>
  <c r="AI385" i="5"/>
  <c r="Y285" i="4"/>
  <c r="AJ385" i="5"/>
  <c r="Z285" i="4"/>
  <c r="AL385" i="5"/>
  <c r="AN385" i="5"/>
  <c r="C286" i="4"/>
  <c r="C386" i="5"/>
  <c r="D286" i="4"/>
  <c r="E386" i="5"/>
  <c r="H286" i="4"/>
  <c r="K386" i="5"/>
  <c r="L286" i="4"/>
  <c r="Q386" i="5"/>
  <c r="M286" i="4"/>
  <c r="R386" i="5"/>
  <c r="T386" i="5"/>
  <c r="U386" i="5"/>
  <c r="P286" i="4"/>
  <c r="W386" i="5"/>
  <c r="Q286" i="4"/>
  <c r="X386" i="5"/>
  <c r="S286" i="4"/>
  <c r="AA386" i="5"/>
  <c r="AH286" i="4"/>
  <c r="T286" i="4" a="1"/>
  <c r="T286" i="4"/>
  <c r="AC386" i="5"/>
  <c r="U286" i="4" a="1"/>
  <c r="U286" i="4"/>
  <c r="AD386" i="5"/>
  <c r="AF386" i="5"/>
  <c r="AG386" i="5"/>
  <c r="X286" i="4"/>
  <c r="AI386" i="5"/>
  <c r="Y286" i="4"/>
  <c r="AJ386" i="5"/>
  <c r="Z286" i="4"/>
  <c r="AL386" i="5"/>
  <c r="AN386" i="5"/>
  <c r="C287" i="4"/>
  <c r="C387" i="5"/>
  <c r="D287" i="4"/>
  <c r="E387" i="5"/>
  <c r="H287" i="4"/>
  <c r="K387" i="5"/>
  <c r="L287" i="4"/>
  <c r="Q387" i="5"/>
  <c r="M287" i="4"/>
  <c r="R387" i="5"/>
  <c r="T387" i="5"/>
  <c r="U387" i="5"/>
  <c r="P287" i="4"/>
  <c r="W387" i="5"/>
  <c r="Q287" i="4"/>
  <c r="X387" i="5"/>
  <c r="S287" i="4"/>
  <c r="AA387" i="5"/>
  <c r="AH287" i="4"/>
  <c r="T287" i="4" a="1"/>
  <c r="T287" i="4"/>
  <c r="AC387" i="5"/>
  <c r="U287" i="4" a="1"/>
  <c r="U287" i="4"/>
  <c r="AD387" i="5"/>
  <c r="AF387" i="5"/>
  <c r="AG387" i="5"/>
  <c r="X287" i="4"/>
  <c r="AI387" i="5"/>
  <c r="Y287" i="4"/>
  <c r="AJ387" i="5"/>
  <c r="Z287" i="4"/>
  <c r="AL387" i="5"/>
  <c r="AN387" i="5"/>
  <c r="C288" i="4"/>
  <c r="C388" i="5"/>
  <c r="D288" i="4"/>
  <c r="E388" i="5"/>
  <c r="H288" i="4"/>
  <c r="K388" i="5"/>
  <c r="L288" i="4"/>
  <c r="Q388" i="5"/>
  <c r="M288" i="4"/>
  <c r="R388" i="5"/>
  <c r="T388" i="5"/>
  <c r="U388" i="5"/>
  <c r="P288" i="4"/>
  <c r="W388" i="5"/>
  <c r="Q288" i="4"/>
  <c r="X388" i="5"/>
  <c r="S288" i="4"/>
  <c r="AA388" i="5"/>
  <c r="AH288" i="4"/>
  <c r="T288" i="4" a="1"/>
  <c r="T288" i="4"/>
  <c r="AC388" i="5"/>
  <c r="U288" i="4" a="1"/>
  <c r="U288" i="4"/>
  <c r="AD388" i="5"/>
  <c r="AF388" i="5"/>
  <c r="AG388" i="5"/>
  <c r="X288" i="4"/>
  <c r="AI388" i="5"/>
  <c r="Y288" i="4"/>
  <c r="AJ388" i="5"/>
  <c r="Z288" i="4"/>
  <c r="AL388" i="5"/>
  <c r="AN388" i="5"/>
  <c r="C290" i="4"/>
  <c r="C389" i="5"/>
  <c r="D290" i="4"/>
  <c r="E389" i="5"/>
  <c r="H290" i="4"/>
  <c r="K389" i="5"/>
  <c r="L290" i="4"/>
  <c r="Q389" i="5"/>
  <c r="M290" i="4"/>
  <c r="R389" i="5"/>
  <c r="N290" i="4"/>
  <c r="T389" i="5"/>
  <c r="U389" i="5"/>
  <c r="P290" i="4"/>
  <c r="W389" i="5"/>
  <c r="Q290" i="4"/>
  <c r="X389" i="5"/>
  <c r="S290" i="4"/>
  <c r="AA389" i="5"/>
  <c r="AH290" i="4"/>
  <c r="T290" i="4" a="1"/>
  <c r="T290" i="4"/>
  <c r="AC389" i="5"/>
  <c r="U290" i="4" a="1"/>
  <c r="U290" i="4"/>
  <c r="AD389" i="5"/>
  <c r="AF389" i="5"/>
  <c r="AG389" i="5"/>
  <c r="X290" i="4"/>
  <c r="AI389" i="5"/>
  <c r="Y290" i="4"/>
  <c r="AJ389" i="5"/>
  <c r="Z290" i="4"/>
  <c r="AL389" i="5"/>
  <c r="AN389" i="5"/>
  <c r="B291" i="4"/>
  <c r="C291" i="4"/>
  <c r="C390" i="5"/>
  <c r="D291" i="4"/>
  <c r="E390" i="5"/>
  <c r="K390" i="5"/>
  <c r="L291" i="4"/>
  <c r="Q390" i="5"/>
  <c r="M291" i="4"/>
  <c r="R390" i="5"/>
  <c r="T390" i="5"/>
  <c r="U390" i="5"/>
  <c r="P291" i="4"/>
  <c r="W390" i="5"/>
  <c r="Q291" i="4"/>
  <c r="X390" i="5"/>
  <c r="S291" i="4"/>
  <c r="AA390" i="5"/>
  <c r="AH291" i="4"/>
  <c r="T291" i="4" a="1"/>
  <c r="T291" i="4"/>
  <c r="AC390" i="5"/>
  <c r="U291" i="4" a="1"/>
  <c r="U291" i="4"/>
  <c r="AD390" i="5"/>
  <c r="AF390" i="5"/>
  <c r="AG390" i="5"/>
  <c r="X291" i="4"/>
  <c r="AI390" i="5"/>
  <c r="Y291" i="4"/>
  <c r="AJ390" i="5"/>
  <c r="Z291" i="4"/>
  <c r="AL390" i="5"/>
  <c r="AN390" i="5"/>
  <c r="O391" i="5"/>
  <c r="K391" i="5"/>
  <c r="B305" i="4"/>
  <c r="C305" i="4"/>
  <c r="C391" i="5"/>
  <c r="D305" i="4"/>
  <c r="E391" i="5"/>
  <c r="I305" i="4"/>
  <c r="L391" i="5"/>
  <c r="J305" i="4"/>
  <c r="N391" i="5"/>
  <c r="L305" i="4"/>
  <c r="Q391" i="5"/>
  <c r="M305" i="4"/>
  <c r="R391" i="5"/>
  <c r="N305" i="4"/>
  <c r="T391" i="5"/>
  <c r="O305" i="4"/>
  <c r="U391" i="5"/>
  <c r="P305" i="4"/>
  <c r="W391" i="5"/>
  <c r="Q305" i="4"/>
  <c r="X391" i="5"/>
  <c r="AA391" i="5"/>
  <c r="AC391" i="5"/>
  <c r="AD391" i="5"/>
  <c r="V305" i="4"/>
  <c r="AF391" i="5"/>
  <c r="AG391" i="5"/>
  <c r="X305" i="4"/>
  <c r="AI391" i="5"/>
  <c r="Y305" i="4"/>
  <c r="AJ391" i="5"/>
  <c r="Z305" i="4"/>
  <c r="AL391" i="5"/>
  <c r="AN391" i="5"/>
  <c r="C292" i="4"/>
  <c r="C392" i="5"/>
  <c r="D292" i="4"/>
  <c r="E392" i="5"/>
  <c r="H292" i="4"/>
  <c r="K392" i="5"/>
  <c r="L292" i="4"/>
  <c r="Q392" i="5"/>
  <c r="M292" i="4"/>
  <c r="R392" i="5"/>
  <c r="T392" i="5"/>
  <c r="U392" i="5"/>
  <c r="P292" i="4"/>
  <c r="W392" i="5"/>
  <c r="Q292" i="4"/>
  <c r="X392" i="5"/>
  <c r="S292" i="4"/>
  <c r="AA392" i="5"/>
  <c r="AH292" i="4"/>
  <c r="T292" i="4" a="1"/>
  <c r="T292" i="4"/>
  <c r="AC392" i="5"/>
  <c r="U292" i="4" a="1"/>
  <c r="U292" i="4"/>
  <c r="AD392" i="5"/>
  <c r="AF392" i="5"/>
  <c r="AG392" i="5"/>
  <c r="X292" i="4"/>
  <c r="AI392" i="5"/>
  <c r="L392" i="5"/>
  <c r="N392" i="5"/>
  <c r="O392" i="5"/>
  <c r="AN392" i="5"/>
  <c r="C293" i="4"/>
  <c r="C393" i="5"/>
  <c r="D293" i="4"/>
  <c r="E393" i="5"/>
  <c r="H293" i="4"/>
  <c r="K393" i="5"/>
  <c r="L293" i="4"/>
  <c r="Q393" i="5"/>
  <c r="M293" i="4"/>
  <c r="R393" i="5"/>
  <c r="T393" i="5"/>
  <c r="U393" i="5"/>
  <c r="P293" i="4"/>
  <c r="W393" i="5"/>
  <c r="Q293" i="4"/>
  <c r="X393" i="5"/>
  <c r="S293" i="4"/>
  <c r="AA393" i="5"/>
  <c r="AH293" i="4"/>
  <c r="T293" i="4" a="1"/>
  <c r="T293" i="4"/>
  <c r="AC393" i="5"/>
  <c r="U293" i="4" a="1"/>
  <c r="U293" i="4"/>
  <c r="AD393" i="5"/>
  <c r="AF393" i="5"/>
  <c r="AG393" i="5"/>
  <c r="X293" i="4"/>
  <c r="AI393" i="5"/>
  <c r="L393" i="5"/>
  <c r="N393" i="5"/>
  <c r="O393" i="5"/>
  <c r="AN393" i="5"/>
  <c r="O394" i="5"/>
  <c r="K394" i="5"/>
  <c r="B306" i="4"/>
  <c r="C306" i="4"/>
  <c r="C394" i="5"/>
  <c r="D306" i="4"/>
  <c r="E394" i="5"/>
  <c r="I306" i="4"/>
  <c r="L394" i="5"/>
  <c r="J306" i="4"/>
  <c r="N394" i="5"/>
  <c r="L306" i="4"/>
  <c r="Q394" i="5"/>
  <c r="M306" i="4"/>
  <c r="R394" i="5"/>
  <c r="N306" i="4"/>
  <c r="T394" i="5"/>
  <c r="O306" i="4"/>
  <c r="U394" i="5"/>
  <c r="P306" i="4"/>
  <c r="W394" i="5"/>
  <c r="Q306" i="4"/>
  <c r="X394" i="5"/>
  <c r="AA394" i="5"/>
  <c r="AC394" i="5"/>
  <c r="AD394" i="5"/>
  <c r="V306" i="4"/>
  <c r="AF394" i="5"/>
  <c r="AG394" i="5"/>
  <c r="X306" i="4"/>
  <c r="AI394" i="5"/>
  <c r="Y306" i="4"/>
  <c r="AJ394" i="5"/>
  <c r="Z306" i="4"/>
  <c r="AL394" i="5"/>
  <c r="AN394" i="5"/>
  <c r="O395" i="5"/>
  <c r="K395" i="5"/>
  <c r="B307" i="4"/>
  <c r="C307" i="4"/>
  <c r="C395" i="5"/>
  <c r="D307" i="4"/>
  <c r="E395" i="5"/>
  <c r="I307" i="4"/>
  <c r="L395" i="5"/>
  <c r="J307" i="4"/>
  <c r="N395" i="5"/>
  <c r="L307" i="4"/>
  <c r="Q395" i="5"/>
  <c r="M307" i="4"/>
  <c r="R395" i="5"/>
  <c r="N307" i="4"/>
  <c r="T395" i="5"/>
  <c r="O307" i="4"/>
  <c r="U395" i="5"/>
  <c r="P307" i="4"/>
  <c r="W395" i="5"/>
  <c r="Q307" i="4"/>
  <c r="X395" i="5"/>
  <c r="AA395" i="5"/>
  <c r="AC395" i="5"/>
  <c r="AD395" i="5"/>
  <c r="V307" i="4"/>
  <c r="AF395" i="5"/>
  <c r="AG395" i="5"/>
  <c r="X307" i="4"/>
  <c r="AI395" i="5"/>
  <c r="Y307" i="4"/>
  <c r="AJ395" i="5"/>
  <c r="Z307" i="4"/>
  <c r="AL395" i="5"/>
  <c r="AN395" i="5"/>
  <c r="B363" i="4"/>
  <c r="S363" i="4"/>
  <c r="AA396" i="5"/>
  <c r="P363" i="4"/>
  <c r="W396" i="5"/>
  <c r="K363" i="4"/>
  <c r="O396" i="5"/>
  <c r="H363" i="4"/>
  <c r="K396" i="5"/>
  <c r="C363" i="4"/>
  <c r="C396" i="5"/>
  <c r="D363" i="4"/>
  <c r="E396" i="5"/>
  <c r="I363" i="4"/>
  <c r="L396" i="5"/>
  <c r="J363" i="4"/>
  <c r="N396" i="5"/>
  <c r="L363" i="4"/>
  <c r="Q396" i="5"/>
  <c r="M363" i="4"/>
  <c r="R396" i="5"/>
  <c r="N363" i="4"/>
  <c r="T396" i="5"/>
  <c r="O363" i="4"/>
  <c r="U396" i="5"/>
  <c r="Q363" i="4"/>
  <c r="X396" i="5"/>
  <c r="R363" i="4"/>
  <c r="Z396" i="5"/>
  <c r="T363" i="4"/>
  <c r="AC396" i="5"/>
  <c r="U363" i="4"/>
  <c r="AD396" i="5"/>
  <c r="V363" i="4"/>
  <c r="AF396" i="5"/>
  <c r="W363" i="4"/>
  <c r="AG396" i="5"/>
  <c r="X363" i="4"/>
  <c r="AI396" i="5"/>
  <c r="F396" i="5"/>
  <c r="H396" i="5"/>
  <c r="I396" i="5"/>
  <c r="AN396" i="5"/>
  <c r="C294" i="4"/>
  <c r="C397" i="5"/>
  <c r="D294" i="4"/>
  <c r="E397" i="5"/>
  <c r="H294" i="4"/>
  <c r="K397" i="5"/>
  <c r="L294" i="4"/>
  <c r="Q397" i="5"/>
  <c r="M294" i="4"/>
  <c r="R397" i="5"/>
  <c r="T397" i="5"/>
  <c r="U397" i="5"/>
  <c r="P294" i="4"/>
  <c r="W397" i="5"/>
  <c r="Q294" i="4"/>
  <c r="X397" i="5"/>
  <c r="S294" i="4"/>
  <c r="AA397" i="5"/>
  <c r="T294" i="4" a="1"/>
  <c r="T294" i="4"/>
  <c r="AC397" i="5"/>
  <c r="AD397" i="5"/>
  <c r="AF397" i="5"/>
  <c r="AG397" i="5"/>
  <c r="X294" i="4"/>
  <c r="AI397" i="5"/>
  <c r="Y294" i="4"/>
  <c r="AJ397" i="5"/>
  <c r="Z294" i="4"/>
  <c r="AL397" i="5"/>
  <c r="F397" i="5"/>
  <c r="H397" i="5"/>
  <c r="I397" i="5"/>
  <c r="L397" i="5"/>
  <c r="N397" i="5"/>
  <c r="O397" i="5"/>
  <c r="Z397" i="5"/>
  <c r="AN397" i="5"/>
  <c r="O398" i="5"/>
  <c r="K398" i="5"/>
  <c r="B308" i="4"/>
  <c r="C308" i="4"/>
  <c r="C398" i="5"/>
  <c r="D308" i="4"/>
  <c r="E398" i="5"/>
  <c r="I308" i="4"/>
  <c r="L398" i="5"/>
  <c r="J308" i="4"/>
  <c r="N398" i="5"/>
  <c r="L308" i="4"/>
  <c r="Q398" i="5"/>
  <c r="M308" i="4"/>
  <c r="R398" i="5"/>
  <c r="N308" i="4"/>
  <c r="T398" i="5"/>
  <c r="O308" i="4"/>
  <c r="U398" i="5"/>
  <c r="P308" i="4"/>
  <c r="W398" i="5"/>
  <c r="Q308" i="4"/>
  <c r="X398" i="5"/>
  <c r="AA398" i="5"/>
  <c r="AC398" i="5"/>
  <c r="AD398" i="5"/>
  <c r="V308" i="4"/>
  <c r="AF398" i="5"/>
  <c r="AG398" i="5"/>
  <c r="X308" i="4"/>
  <c r="AI398" i="5"/>
  <c r="Y308" i="4"/>
  <c r="AJ398" i="5"/>
  <c r="Z308" i="4"/>
  <c r="AL398" i="5"/>
  <c r="F398" i="5"/>
  <c r="H398" i="5"/>
  <c r="I398" i="5"/>
  <c r="Z398" i="5"/>
  <c r="AN398" i="5"/>
  <c r="K20" i="2"/>
  <c r="K377" i="4"/>
  <c r="O399" i="5"/>
  <c r="H377" i="4"/>
  <c r="K399" i="5"/>
  <c r="C377" i="4"/>
  <c r="C399" i="5"/>
  <c r="D377" i="4"/>
  <c r="E399" i="5"/>
  <c r="I20" i="2"/>
  <c r="I377" i="4"/>
  <c r="L399" i="5"/>
  <c r="J20" i="2"/>
  <c r="J377" i="4"/>
  <c r="N399" i="5"/>
  <c r="L377" i="4"/>
  <c r="Q399" i="5"/>
  <c r="M377" i="4"/>
  <c r="R399" i="5"/>
  <c r="N20" i="2"/>
  <c r="N377" i="4"/>
  <c r="T399" i="5"/>
  <c r="O377" i="4"/>
  <c r="U399" i="5"/>
  <c r="P377" i="4"/>
  <c r="W399" i="5"/>
  <c r="Q377" i="4"/>
  <c r="X399" i="5"/>
  <c r="S377" i="4"/>
  <c r="AA399" i="5"/>
  <c r="V20" i="2"/>
  <c r="V377" i="4"/>
  <c r="AF399" i="5"/>
  <c r="W20" i="2"/>
  <c r="W377" i="4"/>
  <c r="AG399" i="5"/>
  <c r="X377" i="4"/>
  <c r="AI399" i="5"/>
  <c r="Y377" i="4"/>
  <c r="AJ399" i="5"/>
  <c r="Z377" i="4"/>
  <c r="AL399" i="5"/>
  <c r="F399" i="5"/>
  <c r="H399" i="5"/>
  <c r="I399" i="5"/>
  <c r="Z399" i="5"/>
  <c r="AN399" i="5"/>
  <c r="AA400" i="5"/>
  <c r="W400" i="5"/>
  <c r="O400" i="5"/>
  <c r="K400" i="5"/>
  <c r="E400" i="5"/>
  <c r="F400" i="5"/>
  <c r="H400" i="5"/>
  <c r="I400" i="5"/>
  <c r="L400" i="5"/>
  <c r="N400" i="5"/>
  <c r="Q400" i="5"/>
  <c r="R400" i="5"/>
  <c r="T400" i="5"/>
  <c r="U400" i="5"/>
  <c r="X400" i="5"/>
  <c r="Z400" i="5"/>
  <c r="AC400" i="5"/>
  <c r="AD400" i="5"/>
  <c r="AF400" i="5"/>
  <c r="AG400" i="5"/>
  <c r="AI400" i="5"/>
  <c r="AL400" i="5"/>
  <c r="AN400" i="5"/>
  <c r="B364" i="4"/>
  <c r="K364" i="4"/>
  <c r="O401" i="5"/>
  <c r="H364" i="4"/>
  <c r="K401" i="5"/>
  <c r="C364" i="4"/>
  <c r="C401" i="5"/>
  <c r="D364" i="4"/>
  <c r="E401" i="5"/>
  <c r="I364" i="4"/>
  <c r="L401" i="5"/>
  <c r="J364" i="4"/>
  <c r="N401" i="5"/>
  <c r="L364" i="4"/>
  <c r="Q401" i="5"/>
  <c r="M364" i="4"/>
  <c r="R401" i="5"/>
  <c r="N364" i="4"/>
  <c r="T401" i="5"/>
  <c r="O364" i="4"/>
  <c r="U401" i="5"/>
  <c r="P364" i="4"/>
  <c r="W401" i="5"/>
  <c r="Q364" i="4"/>
  <c r="X401" i="5"/>
  <c r="S364" i="4"/>
  <c r="AA401" i="5"/>
  <c r="T364" i="4"/>
  <c r="AC401" i="5"/>
  <c r="U364" i="4"/>
  <c r="AD401" i="5"/>
  <c r="V364" i="4"/>
  <c r="AF401" i="5"/>
  <c r="W364" i="4"/>
  <c r="AG401" i="5"/>
  <c r="X364" i="4"/>
  <c r="AI401" i="5"/>
  <c r="Y364" i="4"/>
  <c r="AJ401" i="5"/>
  <c r="Z364" i="4"/>
  <c r="AL401" i="5"/>
  <c r="F401" i="5"/>
  <c r="H401" i="5"/>
  <c r="I401" i="5"/>
  <c r="AN401" i="5"/>
  <c r="B365" i="4"/>
  <c r="K365" i="4"/>
  <c r="O402" i="5"/>
  <c r="H365" i="4"/>
  <c r="K402" i="5"/>
  <c r="C365" i="4"/>
  <c r="C402" i="5"/>
  <c r="D365" i="4"/>
  <c r="E402" i="5"/>
  <c r="I365" i="4"/>
  <c r="L402" i="5"/>
  <c r="J365" i="4"/>
  <c r="N402" i="5"/>
  <c r="L365" i="4"/>
  <c r="Q402" i="5"/>
  <c r="M365" i="4"/>
  <c r="R402" i="5"/>
  <c r="N365" i="4"/>
  <c r="T402" i="5"/>
  <c r="O365" i="4"/>
  <c r="U402" i="5"/>
  <c r="P365" i="4"/>
  <c r="W402" i="5"/>
  <c r="Q365" i="4"/>
  <c r="X402" i="5"/>
  <c r="S365" i="4"/>
  <c r="AA402" i="5"/>
  <c r="T365" i="4"/>
  <c r="AC402" i="5"/>
  <c r="U365" i="4"/>
  <c r="AD402" i="5"/>
  <c r="V365" i="4"/>
  <c r="AF402" i="5"/>
  <c r="W365" i="4"/>
  <c r="AG402" i="5"/>
  <c r="X365" i="4"/>
  <c r="AI402" i="5"/>
  <c r="Y365" i="4"/>
  <c r="AJ402" i="5"/>
  <c r="Z365" i="4"/>
  <c r="AL402" i="5"/>
  <c r="F402" i="5"/>
  <c r="H402" i="5"/>
  <c r="I402" i="5"/>
  <c r="AN402" i="5"/>
  <c r="B366" i="4"/>
  <c r="K366" i="4"/>
  <c r="O403" i="5"/>
  <c r="H366" i="4"/>
  <c r="K403" i="5"/>
  <c r="C366" i="4"/>
  <c r="C403" i="5"/>
  <c r="D366" i="4"/>
  <c r="E403" i="5"/>
  <c r="I366" i="4"/>
  <c r="L403" i="5"/>
  <c r="J366" i="4"/>
  <c r="N403" i="5"/>
  <c r="L366" i="4"/>
  <c r="Q403" i="5"/>
  <c r="M366" i="4"/>
  <c r="R403" i="5"/>
  <c r="N366" i="4"/>
  <c r="T403" i="5"/>
  <c r="O366" i="4"/>
  <c r="U403" i="5"/>
  <c r="P366" i="4"/>
  <c r="W403" i="5"/>
  <c r="Q366" i="4"/>
  <c r="X403" i="5"/>
  <c r="S366" i="4"/>
  <c r="AA403" i="5"/>
  <c r="T366" i="4"/>
  <c r="AC403" i="5"/>
  <c r="U366" i="4"/>
  <c r="AD403" i="5"/>
  <c r="V366" i="4"/>
  <c r="AF403" i="5"/>
  <c r="W366" i="4"/>
  <c r="AG403" i="5"/>
  <c r="X366" i="4"/>
  <c r="AI403" i="5"/>
  <c r="Y366" i="4"/>
  <c r="AJ403" i="5"/>
  <c r="Z366" i="4"/>
  <c r="AL403" i="5"/>
  <c r="F403" i="5"/>
  <c r="H403" i="5"/>
  <c r="I403" i="5"/>
  <c r="AN403" i="5"/>
  <c r="O404" i="5"/>
  <c r="K404" i="5"/>
  <c r="B295" i="4"/>
  <c r="C295" i="4"/>
  <c r="C404" i="5"/>
  <c r="D295" i="4"/>
  <c r="E404" i="5"/>
  <c r="I295" i="4"/>
  <c r="L404" i="5"/>
  <c r="J295" i="4"/>
  <c r="N404" i="5"/>
  <c r="L295" i="4"/>
  <c r="Q404" i="5"/>
  <c r="M295" i="4"/>
  <c r="R404" i="5"/>
  <c r="N295" i="4"/>
  <c r="T404" i="5"/>
  <c r="O295" i="4"/>
  <c r="U404" i="5"/>
  <c r="P295" i="4"/>
  <c r="W404" i="5"/>
  <c r="Q295" i="4"/>
  <c r="X404" i="5"/>
  <c r="S295" i="4"/>
  <c r="AA404" i="5"/>
  <c r="AC404" i="5"/>
  <c r="AD404" i="5"/>
  <c r="AF404" i="5"/>
  <c r="AG404" i="5"/>
  <c r="X295" i="4"/>
  <c r="AI404" i="5"/>
  <c r="Y295" i="4"/>
  <c r="AJ404" i="5"/>
  <c r="Z295" i="4"/>
  <c r="AL404" i="5"/>
  <c r="F404" i="5"/>
  <c r="H404" i="5"/>
  <c r="I404" i="5"/>
  <c r="AN404" i="5"/>
  <c r="O405" i="5"/>
  <c r="K405" i="5"/>
  <c r="B309" i="4"/>
  <c r="C309" i="4"/>
  <c r="C405" i="5"/>
  <c r="D309" i="4"/>
  <c r="E405" i="5"/>
  <c r="I309" i="4"/>
  <c r="L405" i="5"/>
  <c r="J309" i="4"/>
  <c r="N405" i="5"/>
  <c r="L309" i="4"/>
  <c r="Q405" i="5"/>
  <c r="M309" i="4"/>
  <c r="R405" i="5"/>
  <c r="N309" i="4"/>
  <c r="T405" i="5"/>
  <c r="O309" i="4"/>
  <c r="U405" i="5"/>
  <c r="P309" i="4"/>
  <c r="W405" i="5"/>
  <c r="Q309" i="4"/>
  <c r="X405" i="5"/>
  <c r="AA405" i="5"/>
  <c r="AC405" i="5"/>
  <c r="AD405" i="5"/>
  <c r="V309" i="4"/>
  <c r="AF405" i="5"/>
  <c r="AG405" i="5"/>
  <c r="X309" i="4"/>
  <c r="AI405" i="5"/>
  <c r="Y309" i="4"/>
  <c r="AJ405" i="5"/>
  <c r="Z309" i="4"/>
  <c r="AL405" i="5"/>
  <c r="F405" i="5"/>
  <c r="H405" i="5"/>
  <c r="I405" i="5"/>
  <c r="AN405" i="5"/>
  <c r="O406" i="5"/>
  <c r="K406" i="5"/>
  <c r="C406" i="5"/>
  <c r="E406" i="5"/>
  <c r="L406" i="5"/>
  <c r="N406" i="5"/>
  <c r="Q406" i="5"/>
  <c r="R406" i="5"/>
  <c r="T406" i="5"/>
  <c r="U406" i="5"/>
  <c r="W406" i="5"/>
  <c r="X406" i="5"/>
  <c r="AA406" i="5"/>
  <c r="AC406" i="5"/>
  <c r="AD406" i="5"/>
  <c r="AF406" i="5"/>
  <c r="AG406" i="5"/>
  <c r="AI406" i="5"/>
  <c r="AJ406" i="5"/>
  <c r="AL406" i="5"/>
  <c r="F406" i="5"/>
  <c r="H406" i="5"/>
  <c r="I406" i="5"/>
  <c r="AN406" i="5"/>
  <c r="B131" i="4"/>
  <c r="AA133" i="5"/>
  <c r="P131" i="4"/>
  <c r="W133" i="5"/>
  <c r="O133" i="5"/>
  <c r="K133" i="5"/>
  <c r="C131" i="4"/>
  <c r="C133" i="5"/>
  <c r="D131" i="4"/>
  <c r="E133" i="5"/>
  <c r="I131" i="4"/>
  <c r="L133" i="5"/>
  <c r="J131" i="4"/>
  <c r="N133" i="5"/>
  <c r="L131" i="4"/>
  <c r="Q133" i="5"/>
  <c r="M131" i="4"/>
  <c r="R133" i="5"/>
  <c r="T133" i="5"/>
  <c r="U133" i="5"/>
  <c r="Q131" i="4"/>
  <c r="X133" i="5"/>
  <c r="R131" i="4"/>
  <c r="Z133" i="5"/>
  <c r="AH131" i="4"/>
  <c r="T131" i="4" a="1"/>
  <c r="T131" i="4"/>
  <c r="AC133" i="5"/>
  <c r="U131" i="4" a="1"/>
  <c r="U131" i="4"/>
  <c r="AD133" i="5"/>
  <c r="AF133" i="5"/>
  <c r="AG133" i="5"/>
  <c r="X131" i="4"/>
  <c r="AI133" i="5"/>
  <c r="Y131" i="4"/>
  <c r="AJ133" i="5"/>
  <c r="Z131" i="4"/>
  <c r="AL133" i="5"/>
  <c r="AN133" i="5"/>
  <c r="G11" i="2"/>
  <c r="K11" i="2"/>
  <c r="T11" i="2"/>
  <c r="U11" i="2"/>
  <c r="V11" i="2"/>
  <c r="W11" i="2"/>
  <c r="AA11" i="2"/>
  <c r="AB11" i="2"/>
  <c r="AC11" i="2"/>
  <c r="AD11" i="2"/>
  <c r="AE11" i="2"/>
  <c r="AF11" i="2"/>
  <c r="AG11" i="2"/>
  <c r="AH11" i="2"/>
  <c r="AI11" i="2"/>
  <c r="AJ11" i="2"/>
  <c r="AK11" i="2"/>
  <c r="AL11" i="2"/>
  <c r="AM11" i="2"/>
  <c r="A10" i="1"/>
  <c r="D10" i="1"/>
  <c r="F10" i="1"/>
  <c r="H10" i="1"/>
  <c r="J10" i="1"/>
  <c r="L10" i="1"/>
  <c r="N10" i="1"/>
  <c r="P10" i="1"/>
  <c r="R10" i="1"/>
  <c r="T10" i="1"/>
  <c r="V10" i="1"/>
  <c r="X10" i="1"/>
  <c r="Z10" i="1"/>
  <c r="AB10" i="1"/>
  <c r="AD10" i="1"/>
  <c r="AF10" i="1"/>
  <c r="AH10" i="1"/>
  <c r="AJ10" i="1"/>
  <c r="AL10" i="1"/>
  <c r="AN10" i="1"/>
  <c r="AP10" i="1"/>
  <c r="AR10" i="1"/>
  <c r="AT10" i="1"/>
  <c r="AV10" i="1"/>
  <c r="AX10" i="1"/>
  <c r="AZ10" i="1"/>
  <c r="BA10" i="1"/>
  <c r="BB10" i="1"/>
  <c r="CG10" i="1"/>
  <c r="CH10" i="1"/>
  <c r="CI10" i="1"/>
  <c r="CJ10" i="1"/>
  <c r="CK10" i="1"/>
  <c r="CL10" i="1"/>
  <c r="CM10" i="1"/>
  <c r="CN10" i="1"/>
  <c r="CO10" i="1"/>
  <c r="CP10" i="1"/>
  <c r="CQ10" i="1"/>
  <c r="CR10" i="1"/>
  <c r="BU10" i="1"/>
  <c r="BV10" i="1"/>
  <c r="BW10" i="1"/>
  <c r="BX10" i="1"/>
  <c r="BY10" i="1"/>
  <c r="BZ10" i="1"/>
  <c r="CA10" i="1"/>
  <c r="CB10" i="1"/>
  <c r="CC10" i="1"/>
  <c r="CD10" i="1"/>
  <c r="CE10" i="1"/>
  <c r="CF10" i="1"/>
  <c r="BC10" i="1"/>
  <c r="CS10" i="1"/>
  <c r="A11" i="1"/>
  <c r="D11" i="1"/>
  <c r="F11" i="1"/>
  <c r="H11" i="1"/>
  <c r="J11" i="1"/>
  <c r="L11" i="1"/>
  <c r="N11" i="1"/>
  <c r="P11" i="1"/>
  <c r="R11" i="1"/>
  <c r="T11" i="1"/>
  <c r="V11" i="1"/>
  <c r="X11" i="1"/>
  <c r="Z11" i="1"/>
  <c r="AB11" i="1"/>
  <c r="AD11" i="1"/>
  <c r="AF11" i="1"/>
  <c r="AH11" i="1"/>
  <c r="AJ11" i="1"/>
  <c r="AL11" i="1"/>
  <c r="AN11" i="1"/>
  <c r="AP11" i="1"/>
  <c r="AR11" i="1"/>
  <c r="AT11" i="1"/>
  <c r="AV11" i="1"/>
  <c r="AX11" i="1"/>
  <c r="AZ11" i="1"/>
  <c r="BA11" i="1"/>
  <c r="BB11" i="1"/>
  <c r="CG11" i="1"/>
  <c r="CH11" i="1"/>
  <c r="CI11" i="1"/>
  <c r="CJ11" i="1"/>
  <c r="CK11" i="1"/>
  <c r="CL11" i="1"/>
  <c r="CM11" i="1"/>
  <c r="CN11" i="1"/>
  <c r="CO11" i="1"/>
  <c r="CP11" i="1"/>
  <c r="CQ11" i="1"/>
  <c r="CR11" i="1"/>
  <c r="BU11" i="1"/>
  <c r="BV11" i="1"/>
  <c r="BW11" i="1"/>
  <c r="BX11" i="1"/>
  <c r="BY11" i="1"/>
  <c r="BZ11" i="1"/>
  <c r="CA11" i="1"/>
  <c r="CB11" i="1"/>
  <c r="CC11" i="1"/>
  <c r="CD11" i="1"/>
  <c r="CE11" i="1"/>
  <c r="CF11" i="1"/>
  <c r="BC11" i="1"/>
  <c r="CS11" i="1"/>
  <c r="CS33" i="1"/>
  <c r="CR33" i="1"/>
  <c r="CQ33" i="1"/>
  <c r="CP33" i="1"/>
  <c r="CO33" i="1"/>
  <c r="CN33" i="1"/>
  <c r="CM33" i="1"/>
  <c r="CL33" i="1"/>
  <c r="CK33" i="1"/>
  <c r="CJ33" i="1"/>
  <c r="CI33" i="1"/>
  <c r="CH33" i="1"/>
  <c r="CG33" i="1"/>
  <c r="CF33" i="1"/>
  <c r="CE33" i="1"/>
  <c r="CD33" i="1"/>
  <c r="CC33" i="1"/>
  <c r="CB33" i="1"/>
  <c r="CA33" i="1"/>
  <c r="BZ33" i="1"/>
  <c r="BY33" i="1"/>
  <c r="BX33" i="1"/>
  <c r="BW33" i="1"/>
  <c r="BV33" i="1"/>
  <c r="BU33" i="1"/>
  <c r="BC33" i="1"/>
  <c r="BB33" i="1"/>
  <c r="BA33" i="1"/>
  <c r="AZ33" i="1"/>
  <c r="AX33" i="1"/>
  <c r="AV33" i="1"/>
  <c r="AT33" i="1"/>
  <c r="AR33" i="1"/>
  <c r="AP33" i="1"/>
  <c r="AN33" i="1"/>
  <c r="AL33" i="1"/>
  <c r="AJ33" i="1"/>
  <c r="AH33" i="1"/>
  <c r="AF33" i="1"/>
  <c r="AD33" i="1"/>
  <c r="AB33" i="1"/>
  <c r="Z33" i="1"/>
  <c r="X33" i="1"/>
  <c r="V33" i="1"/>
  <c r="T33" i="1"/>
  <c r="R33" i="1"/>
  <c r="P33" i="1"/>
  <c r="N33" i="1"/>
  <c r="L33" i="1"/>
  <c r="J33" i="1"/>
  <c r="H33" i="1"/>
  <c r="F33" i="1"/>
  <c r="D33" i="1"/>
  <c r="A33" i="1"/>
  <c r="A9" i="1"/>
  <c r="D9" i="1"/>
  <c r="F9" i="1"/>
  <c r="H9" i="1"/>
  <c r="J9" i="1"/>
  <c r="L9" i="1"/>
  <c r="N9" i="1"/>
  <c r="P9" i="1"/>
  <c r="R9" i="1"/>
  <c r="T9" i="1"/>
  <c r="V9" i="1"/>
  <c r="X9" i="1"/>
  <c r="Z9" i="1"/>
  <c r="AB9" i="1"/>
  <c r="AD9" i="1"/>
  <c r="AF9" i="1"/>
  <c r="AH9" i="1"/>
  <c r="AJ9" i="1"/>
  <c r="AL9" i="1"/>
  <c r="AN9" i="1"/>
  <c r="AP9" i="1"/>
  <c r="AR9" i="1"/>
  <c r="AT9" i="1"/>
  <c r="AV9" i="1"/>
  <c r="AX9" i="1"/>
  <c r="AZ9" i="1"/>
  <c r="BA9" i="1"/>
  <c r="BB9" i="1"/>
  <c r="CG9" i="1"/>
  <c r="CH9" i="1"/>
  <c r="CI9" i="1"/>
  <c r="CJ9" i="1"/>
  <c r="CK9" i="1"/>
  <c r="CL9" i="1"/>
  <c r="CM9" i="1"/>
  <c r="CN9" i="1"/>
  <c r="CO9" i="1"/>
  <c r="CP9" i="1"/>
  <c r="CQ9" i="1"/>
  <c r="CR9" i="1"/>
  <c r="BU9" i="1"/>
  <c r="BV9" i="1"/>
  <c r="BW9" i="1"/>
  <c r="BX9" i="1"/>
  <c r="BY9" i="1"/>
  <c r="BZ9" i="1"/>
  <c r="CA9" i="1"/>
  <c r="CB9" i="1"/>
  <c r="CC9" i="1"/>
  <c r="CD9" i="1"/>
  <c r="CE9" i="1"/>
  <c r="CF9" i="1"/>
  <c r="BC9" i="1"/>
  <c r="CS9" i="1"/>
  <c r="A124" i="1"/>
  <c r="D124" i="1"/>
  <c r="F124" i="1"/>
  <c r="H124" i="1"/>
  <c r="J124" i="1"/>
  <c r="L124" i="1"/>
  <c r="N124" i="1"/>
  <c r="P124" i="1"/>
  <c r="R124" i="1"/>
  <c r="T124" i="1"/>
  <c r="V124" i="1"/>
  <c r="X124" i="1"/>
  <c r="Z124" i="1"/>
  <c r="AB124" i="1"/>
  <c r="AD124" i="1"/>
  <c r="AF124" i="1"/>
  <c r="AH124" i="1"/>
  <c r="AJ124" i="1"/>
  <c r="AL124" i="1"/>
  <c r="AN124" i="1"/>
  <c r="AP124" i="1"/>
  <c r="AR124" i="1"/>
  <c r="AT124" i="1"/>
  <c r="AV124" i="1"/>
  <c r="AX124" i="1"/>
  <c r="AZ124" i="1"/>
  <c r="BA124" i="1"/>
  <c r="BB124" i="1"/>
  <c r="CG124" i="1"/>
  <c r="CH124" i="1"/>
  <c r="CI124" i="1"/>
  <c r="CJ124" i="1"/>
  <c r="CK124" i="1"/>
  <c r="CL124" i="1"/>
  <c r="CM124" i="1"/>
  <c r="CN124" i="1"/>
  <c r="CO124" i="1"/>
  <c r="CP124" i="1"/>
  <c r="CQ124" i="1"/>
  <c r="CR124" i="1"/>
  <c r="BU124" i="1"/>
  <c r="BV124" i="1"/>
  <c r="BW124" i="1"/>
  <c r="BX124" i="1"/>
  <c r="BY124" i="1"/>
  <c r="BZ124" i="1"/>
  <c r="CA124" i="1"/>
  <c r="CB124" i="1"/>
  <c r="CC124" i="1"/>
  <c r="CD124" i="1"/>
  <c r="CE124" i="1"/>
  <c r="CF124" i="1"/>
  <c r="BC124" i="1"/>
  <c r="CS124" i="1"/>
  <c r="A32" i="1"/>
  <c r="N18" i="2"/>
  <c r="N88" i="4"/>
  <c r="D177" i="1"/>
  <c r="F177" i="1"/>
  <c r="H177" i="1"/>
  <c r="J177" i="1"/>
  <c r="L177" i="1"/>
  <c r="N177" i="1"/>
  <c r="P177" i="1"/>
  <c r="R177" i="1"/>
  <c r="T177" i="1"/>
  <c r="V177" i="1"/>
  <c r="X177" i="1"/>
  <c r="Z177" i="1"/>
  <c r="AB177" i="1"/>
  <c r="AD177" i="1"/>
  <c r="AF177" i="1"/>
  <c r="AH177" i="1"/>
  <c r="AJ177" i="1"/>
  <c r="AL177" i="1"/>
  <c r="AN177" i="1"/>
  <c r="AP177" i="1"/>
  <c r="AR177" i="1"/>
  <c r="AT177" i="1"/>
  <c r="AV177" i="1"/>
  <c r="AX177" i="1"/>
  <c r="AZ177" i="1"/>
  <c r="BA177" i="1"/>
  <c r="BB177" i="1"/>
  <c r="CG177" i="1"/>
  <c r="CH177" i="1"/>
  <c r="CI177" i="1"/>
  <c r="CJ177" i="1"/>
  <c r="CK177" i="1"/>
  <c r="CL177" i="1"/>
  <c r="CM177" i="1"/>
  <c r="CN177" i="1"/>
  <c r="CO177" i="1"/>
  <c r="CP177" i="1"/>
  <c r="CQ177" i="1"/>
  <c r="CR177" i="1"/>
  <c r="BU177" i="1"/>
  <c r="BV177" i="1"/>
  <c r="BW177" i="1"/>
  <c r="BX177" i="1"/>
  <c r="BY177" i="1"/>
  <c r="BZ177" i="1"/>
  <c r="CA177" i="1"/>
  <c r="CB177" i="1"/>
  <c r="CC177" i="1"/>
  <c r="CD177" i="1"/>
  <c r="CE177" i="1"/>
  <c r="CF177" i="1"/>
  <c r="BC177" i="1"/>
  <c r="CS177" i="1"/>
  <c r="D145" i="1"/>
  <c r="F145" i="1"/>
  <c r="H145" i="1"/>
  <c r="J145" i="1"/>
  <c r="L145" i="1"/>
  <c r="N145" i="1"/>
  <c r="P145" i="1"/>
  <c r="R145" i="1"/>
  <c r="T145" i="1"/>
  <c r="V145" i="1"/>
  <c r="X145" i="1"/>
  <c r="Z145" i="1"/>
  <c r="AB145" i="1"/>
  <c r="AD145" i="1"/>
  <c r="AF145" i="1"/>
  <c r="AH145" i="1"/>
  <c r="AJ145" i="1"/>
  <c r="AL145" i="1"/>
  <c r="AN145" i="1"/>
  <c r="AP145" i="1"/>
  <c r="AR145" i="1"/>
  <c r="AT145" i="1"/>
  <c r="AV145" i="1"/>
  <c r="AX145" i="1"/>
  <c r="AZ145" i="1"/>
  <c r="BA145" i="1"/>
  <c r="BB145" i="1"/>
  <c r="CG145" i="1"/>
  <c r="CH145" i="1"/>
  <c r="CI145" i="1"/>
  <c r="CJ145" i="1"/>
  <c r="CK145" i="1"/>
  <c r="CL145" i="1"/>
  <c r="CM145" i="1"/>
  <c r="CN145" i="1"/>
  <c r="CO145" i="1"/>
  <c r="CP145" i="1"/>
  <c r="CQ145" i="1"/>
  <c r="CR145" i="1"/>
  <c r="BU145" i="1"/>
  <c r="BV145" i="1"/>
  <c r="BW145" i="1"/>
  <c r="BX145" i="1"/>
  <c r="BY145" i="1"/>
  <c r="BZ145" i="1"/>
  <c r="CA145" i="1"/>
  <c r="CB145" i="1"/>
  <c r="CC145" i="1"/>
  <c r="CD145" i="1"/>
  <c r="CE145" i="1"/>
  <c r="CF145" i="1"/>
  <c r="BC145" i="1"/>
  <c r="CS145" i="1"/>
  <c r="D142" i="1"/>
  <c r="F142" i="1"/>
  <c r="H142" i="1"/>
  <c r="J142" i="1"/>
  <c r="L142" i="1"/>
  <c r="N142" i="1"/>
  <c r="P142" i="1"/>
  <c r="R142" i="1"/>
  <c r="T142" i="1"/>
  <c r="V142" i="1"/>
  <c r="X142" i="1"/>
  <c r="Z142" i="1"/>
  <c r="AB142" i="1"/>
  <c r="AD142" i="1"/>
  <c r="AF142" i="1"/>
  <c r="AH142" i="1"/>
  <c r="AJ142" i="1"/>
  <c r="AL142" i="1"/>
  <c r="AN142" i="1"/>
  <c r="AP142" i="1"/>
  <c r="AR142" i="1"/>
  <c r="AT142" i="1"/>
  <c r="AV142" i="1"/>
  <c r="AX142" i="1"/>
  <c r="AZ142" i="1"/>
  <c r="BA142" i="1"/>
  <c r="BB142" i="1"/>
  <c r="CG142" i="1"/>
  <c r="CH142" i="1"/>
  <c r="CI142" i="1"/>
  <c r="CJ142" i="1"/>
  <c r="CK142" i="1"/>
  <c r="CL142" i="1"/>
  <c r="CM142" i="1"/>
  <c r="CN142" i="1"/>
  <c r="CO142" i="1"/>
  <c r="CP142" i="1"/>
  <c r="CQ142" i="1"/>
  <c r="CR142" i="1"/>
  <c r="BU142" i="1"/>
  <c r="BV142" i="1"/>
  <c r="BW142" i="1"/>
  <c r="BX142" i="1"/>
  <c r="BY142" i="1"/>
  <c r="BZ142" i="1"/>
  <c r="CA142" i="1"/>
  <c r="CB142" i="1"/>
  <c r="CC142" i="1"/>
  <c r="CD142" i="1"/>
  <c r="CE142" i="1"/>
  <c r="CF142" i="1"/>
  <c r="BC142" i="1"/>
  <c r="CS142" i="1"/>
  <c r="A94" i="1"/>
  <c r="D94" i="1"/>
  <c r="F94" i="1"/>
  <c r="H94" i="1"/>
  <c r="J94" i="1"/>
  <c r="L94" i="1"/>
  <c r="N94" i="1"/>
  <c r="P94" i="1"/>
  <c r="R94" i="1"/>
  <c r="T94" i="1"/>
  <c r="V94" i="1"/>
  <c r="X94" i="1"/>
  <c r="Z94" i="1"/>
  <c r="AB94" i="1"/>
  <c r="AD94" i="1"/>
  <c r="AF94" i="1"/>
  <c r="AH94" i="1"/>
  <c r="AJ94" i="1"/>
  <c r="AL94" i="1"/>
  <c r="AN94" i="1"/>
  <c r="AP94" i="1"/>
  <c r="AR94" i="1"/>
  <c r="AT94" i="1"/>
  <c r="AV94" i="1"/>
  <c r="AX94" i="1"/>
  <c r="AZ94" i="1"/>
  <c r="BA94" i="1"/>
  <c r="BB94" i="1"/>
  <c r="CG94" i="1"/>
  <c r="CH94" i="1"/>
  <c r="CI94" i="1"/>
  <c r="CJ94" i="1"/>
  <c r="CK94" i="1"/>
  <c r="CL94" i="1"/>
  <c r="CM94" i="1"/>
  <c r="CN94" i="1"/>
  <c r="CO94" i="1"/>
  <c r="CP94" i="1"/>
  <c r="CQ94" i="1"/>
  <c r="CR94" i="1"/>
  <c r="BU94" i="1"/>
  <c r="BV94" i="1"/>
  <c r="BW94" i="1"/>
  <c r="BX94" i="1"/>
  <c r="BY94" i="1"/>
  <c r="BZ94" i="1"/>
  <c r="CA94" i="1"/>
  <c r="CB94" i="1"/>
  <c r="CC94" i="1"/>
  <c r="CD94" i="1"/>
  <c r="CE94" i="1"/>
  <c r="CF94" i="1"/>
  <c r="BC94" i="1"/>
  <c r="CS94" i="1"/>
  <c r="Z22" i="6"/>
  <c r="Z28" i="6"/>
  <c r="Z37" i="6"/>
  <c r="Z40" i="6"/>
  <c r="Z42" i="6"/>
  <c r="Z45" i="6"/>
  <c r="Z52" i="6"/>
  <c r="Z62" i="6"/>
  <c r="Z65" i="6"/>
  <c r="Z85" i="6"/>
  <c r="Z93" i="6"/>
  <c r="Z103" i="6"/>
  <c r="Z104" i="6"/>
  <c r="Z108" i="6"/>
  <c r="Z116" i="6"/>
  <c r="Z124" i="6"/>
  <c r="Z129" i="6"/>
  <c r="Z134" i="6"/>
  <c r="Z136" i="6"/>
  <c r="Z147" i="6"/>
  <c r="Z150" i="6"/>
  <c r="Z154" i="6"/>
  <c r="Z161" i="6"/>
  <c r="Z168" i="6"/>
  <c r="Z178" i="6"/>
  <c r="Z187" i="6"/>
  <c r="Z190" i="6"/>
  <c r="Z193" i="6"/>
  <c r="Z202" i="6"/>
  <c r="Z224" i="6"/>
  <c r="Z250" i="6"/>
  <c r="Z263" i="6"/>
  <c r="Z276" i="6"/>
  <c r="Z288" i="6"/>
  <c r="Z295" i="6"/>
  <c r="Z2" i="6"/>
  <c r="Z4" i="6"/>
  <c r="Z5" i="6"/>
  <c r="Z6" i="6"/>
  <c r="Z21" i="6"/>
  <c r="Z23" i="6"/>
  <c r="Z47" i="6"/>
  <c r="Z7" i="6"/>
  <c r="Z48" i="6"/>
  <c r="Z8" i="6"/>
  <c r="Z27" i="6"/>
  <c r="Z29" i="6"/>
  <c r="Z30" i="6"/>
  <c r="Z86" i="6"/>
  <c r="Z87" i="6"/>
  <c r="Z64" i="6"/>
  <c r="Z88" i="6"/>
  <c r="Z41" i="6"/>
  <c r="Z43" i="6"/>
  <c r="Z280" i="6"/>
  <c r="Z9" i="6"/>
  <c r="Z49" i="6"/>
  <c r="Z50" i="6"/>
  <c r="Z10" i="6"/>
  <c r="Z114" i="6"/>
  <c r="Z11" i="6"/>
  <c r="Z51" i="6"/>
  <c r="Z53" i="6"/>
  <c r="Z66" i="6"/>
  <c r="Z67" i="6"/>
  <c r="Z68" i="6"/>
  <c r="Z69" i="6"/>
  <c r="Z204" i="6"/>
  <c r="Z157" i="6"/>
  <c r="Z70" i="6"/>
  <c r="Z106" i="6"/>
  <c r="Z205" i="6"/>
  <c r="Z89" i="6"/>
  <c r="Z90" i="6"/>
  <c r="Z91" i="6"/>
  <c r="Z92" i="6"/>
  <c r="Z94" i="6"/>
  <c r="Z95" i="6"/>
  <c r="Z96" i="6"/>
  <c r="Z97" i="6"/>
  <c r="Z230" i="6"/>
  <c r="Z231" i="6"/>
  <c r="Z71" i="6"/>
  <c r="Z105" i="6"/>
  <c r="Z98" i="6"/>
  <c r="Z99" i="6"/>
  <c r="Z100" i="6"/>
  <c r="Z107" i="6"/>
  <c r="Z109" i="6"/>
  <c r="Z101" i="6"/>
  <c r="Z54" i="6"/>
  <c r="Z115" i="6"/>
  <c r="Z117" i="6"/>
  <c r="Z55" i="6"/>
  <c r="Z123" i="6"/>
  <c r="Z125" i="6"/>
  <c r="Z130" i="6"/>
  <c r="Z269" i="6"/>
  <c r="Z158" i="6"/>
  <c r="Z110" i="6"/>
  <c r="Z111" i="6"/>
  <c r="Z112" i="6"/>
  <c r="Z31" i="6"/>
  <c r="Z163" i="6"/>
  <c r="Z164" i="6"/>
  <c r="Z165" i="6"/>
  <c r="Z206" i="6"/>
  <c r="Z139" i="6"/>
  <c r="Z166" i="6"/>
  <c r="Z56" i="6"/>
  <c r="Z281" i="6"/>
  <c r="Z232" i="6"/>
  <c r="Z194" i="6"/>
  <c r="Z140" i="6"/>
  <c r="Z173" i="6"/>
  <c r="Z174" i="6"/>
  <c r="Z131" i="6"/>
  <c r="Z12" i="6"/>
  <c r="Z294" i="6"/>
  <c r="Z195" i="6"/>
  <c r="Z207" i="6"/>
  <c r="Z141" i="6"/>
  <c r="Z208" i="6"/>
  <c r="Z132" i="6"/>
  <c r="Z13" i="6"/>
  <c r="Z46" i="6"/>
  <c r="Z258" i="6"/>
  <c r="Z24" i="6"/>
  <c r="Z233" i="6"/>
  <c r="Z196" i="6"/>
  <c r="Z72" i="6"/>
  <c r="Z259" i="6"/>
  <c r="Z38" i="6"/>
  <c r="Z73" i="6"/>
  <c r="Z74" i="6"/>
  <c r="Z282" i="6"/>
  <c r="Z75" i="6"/>
  <c r="Z234" i="6"/>
  <c r="Z235" i="6"/>
  <c r="Z209" i="6"/>
  <c r="Z270" i="6"/>
  <c r="Z210" i="6"/>
  <c r="Z133" i="6"/>
  <c r="Z76" i="6"/>
  <c r="Z211" i="6"/>
  <c r="Z25" i="6"/>
  <c r="Z135" i="6"/>
  <c r="Z236" i="6"/>
  <c r="Z159" i="6"/>
  <c r="Z77" i="6"/>
  <c r="Z260" i="6"/>
  <c r="Z271" i="6"/>
  <c r="Z126" i="6"/>
  <c r="Z142" i="6"/>
  <c r="Z237" i="6"/>
  <c r="Z272" i="6"/>
  <c r="Z57" i="6"/>
  <c r="Z212" i="6"/>
  <c r="Z273" i="6"/>
  <c r="Z283" i="6"/>
  <c r="Z118" i="6"/>
  <c r="Z119" i="6"/>
  <c r="Z14" i="6"/>
  <c r="Z120" i="6"/>
  <c r="Z197" i="6"/>
  <c r="Z151" i="6"/>
  <c r="Z213" i="6"/>
  <c r="Z198" i="6"/>
  <c r="Z26" i="6"/>
  <c r="Z261" i="6"/>
  <c r="Z121" i="6"/>
  <c r="Z127" i="6"/>
  <c r="Z238" i="6"/>
  <c r="Z239" i="6"/>
  <c r="Z240" i="6"/>
  <c r="Z58" i="6"/>
  <c r="Z39" i="6"/>
  <c r="Z44" i="6"/>
  <c r="Z175" i="6"/>
  <c r="Z78" i="6"/>
  <c r="Z32" i="6"/>
  <c r="Z188" i="6"/>
  <c r="Z137" i="6"/>
  <c r="Z138" i="6"/>
  <c r="Z241" i="6"/>
  <c r="Z242" i="6"/>
  <c r="Z243" i="6"/>
  <c r="Z33" i="6"/>
  <c r="Z79" i="6"/>
  <c r="Z113" i="6"/>
  <c r="Z244" i="6"/>
  <c r="Z245" i="6"/>
  <c r="Z284" i="6"/>
  <c r="Z285" i="6"/>
  <c r="Z34" i="6"/>
  <c r="Z176" i="6"/>
  <c r="Z152" i="6"/>
  <c r="Z246" i="6"/>
  <c r="Z274" i="6"/>
  <c r="Z247" i="6"/>
  <c r="Z80" i="6"/>
  <c r="Z248" i="6"/>
  <c r="Z81" i="6"/>
  <c r="Z262" i="6"/>
  <c r="Z160" i="6"/>
  <c r="Z286" i="6"/>
  <c r="Z143" i="6"/>
  <c r="Z59" i="6"/>
  <c r="Z214" i="6"/>
  <c r="Z215" i="6"/>
  <c r="Z216" i="6"/>
  <c r="Z199" i="6"/>
  <c r="Z217" i="6"/>
  <c r="Z128" i="6"/>
  <c r="Z144" i="6"/>
  <c r="Z145" i="6"/>
  <c r="Z177" i="6"/>
  <c r="Z153" i="6"/>
  <c r="Z218" i="6"/>
  <c r="Z200" i="6"/>
  <c r="Z219" i="6"/>
  <c r="Z220" i="6"/>
  <c r="Z201" i="6"/>
  <c r="Z221" i="6"/>
  <c r="Z222" i="6"/>
  <c r="Z223" i="6"/>
  <c r="Z146" i="6"/>
  <c r="Z148" i="6"/>
  <c r="Z82" i="6"/>
  <c r="Z184" i="6"/>
  <c r="Z185" i="6"/>
  <c r="Z186" i="6"/>
  <c r="Z167" i="6"/>
  <c r="Z189" i="6"/>
  <c r="Z191" i="6"/>
  <c r="Z192" i="6"/>
  <c r="Z162" i="6"/>
  <c r="Z249" i="6"/>
  <c r="Z203" i="6"/>
  <c r="Z251" i="6"/>
  <c r="Z252" i="6"/>
  <c r="Z253" i="6"/>
  <c r="Z275" i="6"/>
  <c r="Z254" i="6"/>
  <c r="Z255" i="6"/>
  <c r="Z264" i="6"/>
  <c r="Z265" i="6"/>
  <c r="Z277" i="6"/>
  <c r="Z278" i="6"/>
  <c r="Z279" i="6"/>
  <c r="Z225" i="6"/>
  <c r="Z155" i="6"/>
  <c r="Z35" i="6"/>
  <c r="Z149" i="6"/>
  <c r="Z287" i="6"/>
  <c r="Z266" i="6"/>
  <c r="Z267" i="6"/>
  <c r="Z122" i="6"/>
  <c r="Z226" i="6"/>
  <c r="Z227" i="6"/>
  <c r="Z228" i="6"/>
  <c r="Z256" i="6"/>
  <c r="Z268" i="6"/>
  <c r="Z229" i="6"/>
  <c r="Z83" i="6"/>
  <c r="Z84" i="6"/>
  <c r="Z63" i="6"/>
  <c r="Z60" i="6"/>
  <c r="Z289" i="6"/>
  <c r="Z290" i="6"/>
  <c r="Z291" i="6"/>
  <c r="Z292" i="6"/>
  <c r="Z169" i="6"/>
  <c r="Z170" i="6"/>
  <c r="Z179" i="6"/>
  <c r="Z156" i="6"/>
  <c r="Z171" i="6"/>
  <c r="Z257" i="6"/>
  <c r="Z293" i="6"/>
  <c r="Z61" i="6"/>
  <c r="Z15" i="6"/>
  <c r="Z16" i="6"/>
  <c r="Z17" i="6"/>
  <c r="Z18" i="6"/>
  <c r="Z19" i="6"/>
  <c r="Z20" i="6"/>
  <c r="Z180" i="6"/>
  <c r="Z36" i="6"/>
  <c r="Z181" i="6"/>
  <c r="Z172" i="6"/>
  <c r="Z182" i="6"/>
  <c r="Z183" i="6"/>
  <c r="Z102" i="6"/>
  <c r="Z298" i="6"/>
  <c r="Z304" i="6"/>
  <c r="Z296" i="6"/>
  <c r="Z297" i="6"/>
  <c r="Z299" i="6"/>
  <c r="Z300" i="6"/>
  <c r="Z301" i="6"/>
  <c r="Z302" i="6"/>
  <c r="Z303" i="6"/>
  <c r="Z305" i="6"/>
  <c r="Z306" i="6"/>
  <c r="Z307" i="6"/>
  <c r="Z308" i="6"/>
  <c r="Z309" i="6"/>
  <c r="Z310" i="6"/>
  <c r="Z312" i="6"/>
  <c r="Z313" i="6"/>
  <c r="Z314" i="6"/>
  <c r="Z315" i="6"/>
  <c r="Z316" i="6"/>
  <c r="Z317" i="6"/>
  <c r="Z318" i="6"/>
  <c r="Z319" i="6"/>
  <c r="Z320" i="6"/>
  <c r="Z321" i="6"/>
  <c r="Z322" i="6"/>
  <c r="Z323" i="6"/>
  <c r="Z324" i="6"/>
  <c r="Z325" i="6"/>
  <c r="Z326" i="6"/>
  <c r="Z327" i="6"/>
  <c r="Z328" i="6"/>
  <c r="Z329" i="6"/>
  <c r="Z330" i="6"/>
  <c r="Z331" i="6"/>
  <c r="Z332" i="6"/>
  <c r="Z333" i="6"/>
  <c r="Z334" i="6"/>
  <c r="Z335" i="6"/>
  <c r="Z336" i="6"/>
  <c r="Z337" i="6"/>
  <c r="Z338" i="6"/>
  <c r="Z343" i="6"/>
  <c r="Z339" i="6"/>
  <c r="Z340" i="6"/>
  <c r="Z344" i="6"/>
  <c r="Z341" i="6"/>
  <c r="Z342" i="6"/>
  <c r="Z353" i="6"/>
  <c r="Z363" i="6"/>
  <c r="Z358" i="6"/>
  <c r="Z345" i="6"/>
  <c r="Z359" i="6"/>
  <c r="Z346" i="6"/>
  <c r="Z347" i="6"/>
  <c r="Z348" i="6"/>
  <c r="Z349" i="6"/>
  <c r="Z350" i="6"/>
  <c r="Z351" i="6"/>
  <c r="Z352" i="6"/>
  <c r="Z360" i="6"/>
  <c r="Z361" i="6"/>
  <c r="Z362" i="6"/>
  <c r="Z364" i="6"/>
  <c r="Z365" i="6"/>
  <c r="Z366" i="6"/>
  <c r="Z354" i="6"/>
  <c r="Z355" i="6"/>
  <c r="Z356" i="6"/>
  <c r="Z357" i="6"/>
  <c r="Z377" i="6"/>
  <c r="Z367" i="6"/>
  <c r="Z368" i="6"/>
  <c r="Z369" i="6"/>
  <c r="Z370" i="6"/>
  <c r="Z371" i="6"/>
  <c r="Z372" i="6"/>
  <c r="Z373" i="6"/>
  <c r="Z374" i="6"/>
  <c r="Z375" i="6"/>
  <c r="Z376" i="6"/>
  <c r="Z379" i="6"/>
  <c r="Z382" i="6"/>
  <c r="Z378" i="6"/>
  <c r="Z381" i="6"/>
  <c r="Z380" i="6"/>
  <c r="Z406" i="6"/>
  <c r="Z384" i="6"/>
  <c r="Z405" i="6"/>
  <c r="Z404" i="6"/>
  <c r="Z387" i="6"/>
  <c r="Z388" i="6"/>
  <c r="Z389" i="6"/>
  <c r="Z390" i="6"/>
  <c r="Z391" i="6"/>
  <c r="Z386" i="6"/>
  <c r="Z402" i="6"/>
  <c r="Z392" i="6"/>
  <c r="Z393" i="6"/>
  <c r="Z394" i="6"/>
  <c r="Z395" i="6"/>
  <c r="Z396" i="6"/>
  <c r="Z397" i="6"/>
  <c r="Z383" i="6"/>
  <c r="Z403" i="6"/>
  <c r="Z398" i="6"/>
  <c r="Z385" i="6"/>
  <c r="Z407" i="6"/>
  <c r="Z399" i="6"/>
  <c r="Z400" i="6"/>
  <c r="Z401" i="6"/>
  <c r="Z3" i="6"/>
  <c r="Y22" i="6"/>
  <c r="Y28" i="6"/>
  <c r="Y37" i="6"/>
  <c r="Y40" i="6"/>
  <c r="Y42" i="6"/>
  <c r="Y45" i="6"/>
  <c r="Y52" i="6"/>
  <c r="Y62" i="6"/>
  <c r="Y65" i="6"/>
  <c r="Y85" i="6"/>
  <c r="Y93" i="6"/>
  <c r="Y103" i="6"/>
  <c r="Y104" i="6"/>
  <c r="Y108" i="6"/>
  <c r="Y116" i="6"/>
  <c r="Y124" i="6"/>
  <c r="Y129" i="6"/>
  <c r="Y134" i="6"/>
  <c r="Y136" i="6"/>
  <c r="Y147" i="6"/>
  <c r="Y150" i="6"/>
  <c r="Y154" i="6"/>
  <c r="Y161" i="6"/>
  <c r="Y168" i="6"/>
  <c r="Y178" i="6"/>
  <c r="Y187" i="6"/>
  <c r="Y190" i="6"/>
  <c r="Y193" i="6"/>
  <c r="Y202" i="6"/>
  <c r="Y224" i="6"/>
  <c r="Y250" i="6"/>
  <c r="Y263" i="6"/>
  <c r="Y276" i="6"/>
  <c r="Y288" i="6"/>
  <c r="Y295" i="6"/>
  <c r="Y2" i="6"/>
  <c r="Y4" i="6"/>
  <c r="Y5" i="6"/>
  <c r="Y6" i="6"/>
  <c r="Y21" i="6"/>
  <c r="Y23" i="6"/>
  <c r="Y47" i="6"/>
  <c r="Y7" i="6"/>
  <c r="Y48" i="6"/>
  <c r="Y8" i="6"/>
  <c r="Y27" i="6"/>
  <c r="Y29" i="6"/>
  <c r="Y30" i="6"/>
  <c r="Y86" i="6"/>
  <c r="Y87" i="6"/>
  <c r="Y64" i="6"/>
  <c r="Y88" i="6"/>
  <c r="Y41" i="6"/>
  <c r="Y43" i="6"/>
  <c r="Y280" i="6"/>
  <c r="Y9" i="6"/>
  <c r="Y49" i="6"/>
  <c r="Y50" i="6"/>
  <c r="Y10" i="6"/>
  <c r="Y114" i="6"/>
  <c r="Y11" i="6"/>
  <c r="Y51" i="6"/>
  <c r="Y53" i="6"/>
  <c r="Y66" i="6"/>
  <c r="Y67" i="6"/>
  <c r="Y68" i="6"/>
  <c r="Y69" i="6"/>
  <c r="Y204" i="6"/>
  <c r="Y157" i="6"/>
  <c r="Y70" i="6"/>
  <c r="Y106" i="6"/>
  <c r="Y205" i="6"/>
  <c r="Y89" i="6"/>
  <c r="Y90" i="6"/>
  <c r="Y91" i="6"/>
  <c r="Y92" i="6"/>
  <c r="Y94" i="6"/>
  <c r="Y95" i="6"/>
  <c r="Y96" i="6"/>
  <c r="Y97" i="6"/>
  <c r="Y230" i="6"/>
  <c r="Y231" i="6"/>
  <c r="Y71" i="6"/>
  <c r="Y105" i="6"/>
  <c r="Y98" i="6"/>
  <c r="Y99" i="6"/>
  <c r="Y100" i="6"/>
  <c r="Y107" i="6"/>
  <c r="Y109" i="6"/>
  <c r="Y101" i="6"/>
  <c r="Y54" i="6"/>
  <c r="Y115" i="6"/>
  <c r="Y117" i="6"/>
  <c r="Y55" i="6"/>
  <c r="Y123" i="6"/>
  <c r="Y125" i="6"/>
  <c r="Y130" i="6"/>
  <c r="Y269" i="6"/>
  <c r="Y158" i="6"/>
  <c r="Y110" i="6"/>
  <c r="Y111" i="6"/>
  <c r="Y112" i="6"/>
  <c r="Y31" i="6"/>
  <c r="Y163" i="6"/>
  <c r="Y164" i="6"/>
  <c r="Y165" i="6"/>
  <c r="Y206" i="6"/>
  <c r="Y139" i="6"/>
  <c r="Y166" i="6"/>
  <c r="Y56" i="6"/>
  <c r="Y281" i="6"/>
  <c r="Y232" i="6"/>
  <c r="Y194" i="6"/>
  <c r="Y140" i="6"/>
  <c r="Y173" i="6"/>
  <c r="Y174" i="6"/>
  <c r="Y131" i="6"/>
  <c r="Y12" i="6"/>
  <c r="Y294" i="6"/>
  <c r="Y195" i="6"/>
  <c r="Y207" i="6"/>
  <c r="Y141" i="6"/>
  <c r="Y208" i="6"/>
  <c r="Y132" i="6"/>
  <c r="Y13" i="6"/>
  <c r="Y46" i="6"/>
  <c r="Y258" i="6"/>
  <c r="Y24" i="6"/>
  <c r="Y233" i="6"/>
  <c r="Y196" i="6"/>
  <c r="Y72" i="6"/>
  <c r="Y259" i="6"/>
  <c r="Y38" i="6"/>
  <c r="Y73" i="6"/>
  <c r="Y74" i="6"/>
  <c r="Y282" i="6"/>
  <c r="Y75" i="6"/>
  <c r="Y234" i="6"/>
  <c r="Y235" i="6"/>
  <c r="Y209" i="6"/>
  <c r="Y270" i="6"/>
  <c r="Y210" i="6"/>
  <c r="Y133" i="6"/>
  <c r="Y76" i="6"/>
  <c r="Y211" i="6"/>
  <c r="Y25" i="6"/>
  <c r="Y135" i="6"/>
  <c r="Y236" i="6"/>
  <c r="Y159" i="6"/>
  <c r="Y77" i="6"/>
  <c r="Y260" i="6"/>
  <c r="Y271" i="6"/>
  <c r="Y126" i="6"/>
  <c r="Y142" i="6"/>
  <c r="Y237" i="6"/>
  <c r="Y272" i="6"/>
  <c r="Y57" i="6"/>
  <c r="Y212" i="6"/>
  <c r="Y273" i="6"/>
  <c r="Y283" i="6"/>
  <c r="Y118" i="6"/>
  <c r="Y119" i="6"/>
  <c r="Y14" i="6"/>
  <c r="Y120" i="6"/>
  <c r="Y197" i="6"/>
  <c r="Y151" i="6"/>
  <c r="Y213" i="6"/>
  <c r="Y198" i="6"/>
  <c r="Y26" i="6"/>
  <c r="Y261" i="6"/>
  <c r="Y121" i="6"/>
  <c r="Y127" i="6"/>
  <c r="Y238" i="6"/>
  <c r="Y239" i="6"/>
  <c r="Y240" i="6"/>
  <c r="Y58" i="6"/>
  <c r="Y39" i="6"/>
  <c r="Y44" i="6"/>
  <c r="Y175" i="6"/>
  <c r="Y78" i="6"/>
  <c r="Y32" i="6"/>
  <c r="Y188" i="6"/>
  <c r="Y137" i="6"/>
  <c r="Y138" i="6"/>
  <c r="Y241" i="6"/>
  <c r="Y242" i="6"/>
  <c r="Y243" i="6"/>
  <c r="Y33" i="6"/>
  <c r="Y79" i="6"/>
  <c r="Y113" i="6"/>
  <c r="Y244" i="6"/>
  <c r="Y245" i="6"/>
  <c r="Y284" i="6"/>
  <c r="Y285" i="6"/>
  <c r="Y34" i="6"/>
  <c r="Y176" i="6"/>
  <c r="Y152" i="6"/>
  <c r="Y246" i="6"/>
  <c r="Y274" i="6"/>
  <c r="Y247" i="6"/>
  <c r="Y80" i="6"/>
  <c r="Y248" i="6"/>
  <c r="Y81" i="6"/>
  <c r="Y262" i="6"/>
  <c r="Y160" i="6"/>
  <c r="Y286" i="6"/>
  <c r="Y143" i="6"/>
  <c r="Y59" i="6"/>
  <c r="Y214" i="6"/>
  <c r="Y215" i="6"/>
  <c r="Y216" i="6"/>
  <c r="Y199" i="6"/>
  <c r="Y217" i="6"/>
  <c r="Y128" i="6"/>
  <c r="Y144" i="6"/>
  <c r="Y145" i="6"/>
  <c r="Y177" i="6"/>
  <c r="Y153" i="6"/>
  <c r="Y218" i="6"/>
  <c r="Y200" i="6"/>
  <c r="Y219" i="6"/>
  <c r="Y220" i="6"/>
  <c r="Y201" i="6"/>
  <c r="Y221" i="6"/>
  <c r="Y222" i="6"/>
  <c r="Y223" i="6"/>
  <c r="Y146" i="6"/>
  <c r="Y148" i="6"/>
  <c r="Y82" i="6"/>
  <c r="Y184" i="6"/>
  <c r="Y185" i="6"/>
  <c r="Y186" i="6"/>
  <c r="Y167" i="6"/>
  <c r="Y189" i="6"/>
  <c r="Y191" i="6"/>
  <c r="Y192" i="6"/>
  <c r="Y162" i="6"/>
  <c r="Y249" i="6"/>
  <c r="Y203" i="6"/>
  <c r="Y251" i="6"/>
  <c r="Y252" i="6"/>
  <c r="Y253" i="6"/>
  <c r="Y275" i="6"/>
  <c r="Y254" i="6"/>
  <c r="Y255" i="6"/>
  <c r="Y264" i="6"/>
  <c r="Y265" i="6"/>
  <c r="Y277" i="6"/>
  <c r="Y278" i="6"/>
  <c r="Y279" i="6"/>
  <c r="Y225" i="6"/>
  <c r="Y155" i="6"/>
  <c r="Y35" i="6"/>
  <c r="Y149" i="6"/>
  <c r="Y287" i="6"/>
  <c r="Y266" i="6"/>
  <c r="Y267" i="6"/>
  <c r="Y122" i="6"/>
  <c r="Y226" i="6"/>
  <c r="Y227" i="6"/>
  <c r="Y228" i="6"/>
  <c r="Y256" i="6"/>
  <c r="Y268" i="6"/>
  <c r="Y229" i="6"/>
  <c r="Y83" i="6"/>
  <c r="Y84" i="6"/>
  <c r="Y63" i="6"/>
  <c r="Y60" i="6"/>
  <c r="Y289" i="6"/>
  <c r="Y290" i="6"/>
  <c r="Y291" i="6"/>
  <c r="Y292" i="6"/>
  <c r="Y169" i="6"/>
  <c r="Y170" i="6"/>
  <c r="Y179" i="6"/>
  <c r="Y156" i="6"/>
  <c r="Y171" i="6"/>
  <c r="Y257" i="6"/>
  <c r="Y293" i="6"/>
  <c r="Y61" i="6"/>
  <c r="Y15" i="6"/>
  <c r="Y16" i="6"/>
  <c r="Y17" i="6"/>
  <c r="Y18" i="6"/>
  <c r="Y19" i="6"/>
  <c r="Y20" i="6"/>
  <c r="Y180" i="6"/>
  <c r="Y36" i="6"/>
  <c r="Y181" i="6"/>
  <c r="Y172" i="6"/>
  <c r="Y182" i="6"/>
  <c r="Y183" i="6"/>
  <c r="Y102" i="6"/>
  <c r="Y298" i="6"/>
  <c r="Y304" i="6"/>
  <c r="Y296" i="6"/>
  <c r="Y297" i="6"/>
  <c r="Y299" i="6"/>
  <c r="Y300" i="6"/>
  <c r="Y301" i="6"/>
  <c r="Y302" i="6"/>
  <c r="Y303" i="6"/>
  <c r="Y305" i="6"/>
  <c r="Y306" i="6"/>
  <c r="Y307" i="6"/>
  <c r="Y308" i="6"/>
  <c r="Y309" i="6"/>
  <c r="Y310" i="6"/>
  <c r="Y312" i="6"/>
  <c r="Y313" i="6"/>
  <c r="Y314" i="6"/>
  <c r="Y315" i="6"/>
  <c r="Y316" i="6"/>
  <c r="Y317" i="6"/>
  <c r="Y318" i="6"/>
  <c r="Y319" i="6"/>
  <c r="Y320" i="6"/>
  <c r="Y321" i="6"/>
  <c r="Y322" i="6"/>
  <c r="Y323" i="6"/>
  <c r="Y324" i="6"/>
  <c r="Y325" i="6"/>
  <c r="Y326" i="6"/>
  <c r="Y327" i="6"/>
  <c r="Y328" i="6"/>
  <c r="Y329" i="6"/>
  <c r="Y330" i="6"/>
  <c r="Y331" i="6"/>
  <c r="Y332" i="6"/>
  <c r="Y333" i="6"/>
  <c r="Y334" i="6"/>
  <c r="Y335" i="6"/>
  <c r="Y336" i="6"/>
  <c r="Y337" i="6"/>
  <c r="Y338" i="6"/>
  <c r="Y343" i="6"/>
  <c r="Y339" i="6"/>
  <c r="Y340" i="6"/>
  <c r="Y344" i="6"/>
  <c r="Y341" i="6"/>
  <c r="Y342" i="6"/>
  <c r="Y353" i="6"/>
  <c r="Y363" i="6"/>
  <c r="Y358" i="6"/>
  <c r="Y345" i="6"/>
  <c r="Y359" i="6"/>
  <c r="Y346" i="6"/>
  <c r="Y347" i="6"/>
  <c r="Y348" i="6"/>
  <c r="Y349" i="6"/>
  <c r="Y350" i="6"/>
  <c r="Y351" i="6"/>
  <c r="Y352" i="6"/>
  <c r="Y360" i="6"/>
  <c r="Y361" i="6"/>
  <c r="Y362" i="6"/>
  <c r="Y364" i="6"/>
  <c r="Y365" i="6"/>
  <c r="Y366" i="6"/>
  <c r="Y354" i="6"/>
  <c r="Y355" i="6"/>
  <c r="Y356" i="6"/>
  <c r="Y357" i="6"/>
  <c r="Y377" i="6"/>
  <c r="Y367" i="6"/>
  <c r="Y368" i="6"/>
  <c r="Y369" i="6"/>
  <c r="Y370" i="6"/>
  <c r="Y371" i="6"/>
  <c r="Y372" i="6"/>
  <c r="Y373" i="6"/>
  <c r="Y374" i="6"/>
  <c r="Y375" i="6"/>
  <c r="Y376" i="6"/>
  <c r="Y379" i="6"/>
  <c r="Y382" i="6"/>
  <c r="Y378" i="6"/>
  <c r="Y381" i="6"/>
  <c r="Y380" i="6"/>
  <c r="Y406" i="6"/>
  <c r="Y384" i="6"/>
  <c r="Y405" i="6"/>
  <c r="Y404" i="6"/>
  <c r="Y387" i="6"/>
  <c r="Y388" i="6"/>
  <c r="Y389" i="6"/>
  <c r="Y390" i="6"/>
  <c r="Y391" i="6"/>
  <c r="Y386" i="6"/>
  <c r="Y402" i="6"/>
  <c r="Y392" i="6"/>
  <c r="Y393" i="6"/>
  <c r="Y394" i="6"/>
  <c r="Y395" i="6"/>
  <c r="Y396" i="6"/>
  <c r="Y397" i="6"/>
  <c r="Y383" i="6"/>
  <c r="Y403" i="6"/>
  <c r="Y398" i="6"/>
  <c r="Y385" i="6"/>
  <c r="Y407" i="6"/>
  <c r="Y399" i="6"/>
  <c r="Y400" i="6"/>
  <c r="Y401" i="6"/>
  <c r="Y3" i="6"/>
  <c r="A2" i="1"/>
  <c r="A3" i="1"/>
  <c r="A4" i="1"/>
  <c r="A5" i="1"/>
  <c r="D2" i="1"/>
  <c r="F2" i="1"/>
  <c r="H2" i="1"/>
  <c r="J2" i="1"/>
  <c r="L2" i="1"/>
  <c r="N2" i="1"/>
  <c r="P2" i="1"/>
  <c r="R2" i="1"/>
  <c r="T2" i="1"/>
  <c r="V2" i="1"/>
  <c r="X2" i="1"/>
  <c r="Z2" i="1"/>
  <c r="AB2" i="1"/>
  <c r="AD2" i="1"/>
  <c r="AF2" i="1"/>
  <c r="AH2" i="1"/>
  <c r="AJ2" i="1"/>
  <c r="AL2" i="1"/>
  <c r="AN2" i="1"/>
  <c r="AP2" i="1"/>
  <c r="AR2" i="1"/>
  <c r="AT2" i="1"/>
  <c r="AV2" i="1"/>
  <c r="AX2" i="1"/>
  <c r="D3" i="1"/>
  <c r="F3" i="1"/>
  <c r="H3" i="1"/>
  <c r="J3" i="1"/>
  <c r="L3" i="1"/>
  <c r="N3" i="1"/>
  <c r="P3" i="1"/>
  <c r="R3" i="1"/>
  <c r="T3" i="1"/>
  <c r="V3" i="1"/>
  <c r="X3" i="1"/>
  <c r="Z3" i="1"/>
  <c r="AB3" i="1"/>
  <c r="AD3" i="1"/>
  <c r="AF3" i="1"/>
  <c r="AH3" i="1"/>
  <c r="AJ3" i="1"/>
  <c r="AL3" i="1"/>
  <c r="AN3" i="1"/>
  <c r="AP3" i="1"/>
  <c r="AR3" i="1"/>
  <c r="AT3" i="1"/>
  <c r="AV3" i="1"/>
  <c r="AX3" i="1"/>
  <c r="D4" i="1"/>
  <c r="F4" i="1"/>
  <c r="H4" i="1"/>
  <c r="J4" i="1"/>
  <c r="L4" i="1"/>
  <c r="N4" i="1"/>
  <c r="P4" i="1"/>
  <c r="R4" i="1"/>
  <c r="T4" i="1"/>
  <c r="V4" i="1"/>
  <c r="X4" i="1"/>
  <c r="Z4" i="1"/>
  <c r="AB4" i="1"/>
  <c r="AD4" i="1"/>
  <c r="AF4" i="1"/>
  <c r="AH4" i="1"/>
  <c r="AJ4" i="1"/>
  <c r="AL4" i="1"/>
  <c r="AN4" i="1"/>
  <c r="AP4" i="1"/>
  <c r="AR4" i="1"/>
  <c r="AT4" i="1"/>
  <c r="AV4" i="1"/>
  <c r="AX4" i="1"/>
  <c r="D5" i="1"/>
  <c r="F5" i="1"/>
  <c r="H5" i="1"/>
  <c r="J5" i="1"/>
  <c r="L5" i="1"/>
  <c r="N5" i="1"/>
  <c r="P5" i="1"/>
  <c r="R5" i="1"/>
  <c r="T5" i="1"/>
  <c r="V5" i="1"/>
  <c r="X5" i="1"/>
  <c r="Z5" i="1"/>
  <c r="AB5" i="1"/>
  <c r="AD5" i="1"/>
  <c r="AF5" i="1"/>
  <c r="AH5" i="1"/>
  <c r="AJ5" i="1"/>
  <c r="AL5" i="1"/>
  <c r="AN5" i="1"/>
  <c r="AP5" i="1"/>
  <c r="AR5" i="1"/>
  <c r="AT5" i="1"/>
  <c r="AV5" i="1"/>
  <c r="AX5" i="1"/>
  <c r="A7" i="1"/>
  <c r="D7" i="1"/>
  <c r="F7" i="1"/>
  <c r="H7" i="1"/>
  <c r="J7" i="1"/>
  <c r="L7" i="1"/>
  <c r="N7" i="1"/>
  <c r="P7" i="1"/>
  <c r="R7" i="1"/>
  <c r="T7" i="1"/>
  <c r="V7" i="1"/>
  <c r="X7" i="1"/>
  <c r="Z7" i="1"/>
  <c r="AB7" i="1"/>
  <c r="AD7" i="1"/>
  <c r="AF7" i="1"/>
  <c r="AH7" i="1"/>
  <c r="AJ7" i="1"/>
  <c r="AL7" i="1"/>
  <c r="AN7" i="1"/>
  <c r="AP7" i="1"/>
  <c r="AR7" i="1"/>
  <c r="AT7" i="1"/>
  <c r="AV7" i="1"/>
  <c r="AX7" i="1"/>
  <c r="A6" i="1"/>
  <c r="D6" i="1"/>
  <c r="F6" i="1"/>
  <c r="H6" i="1"/>
  <c r="J6" i="1"/>
  <c r="L6" i="1"/>
  <c r="N6" i="1"/>
  <c r="P6" i="1"/>
  <c r="R6" i="1"/>
  <c r="T6" i="1"/>
  <c r="V6" i="1"/>
  <c r="X6" i="1"/>
  <c r="Z6" i="1"/>
  <c r="AB6" i="1"/>
  <c r="AD6" i="1"/>
  <c r="AF6" i="1"/>
  <c r="AH6" i="1"/>
  <c r="AJ6" i="1"/>
  <c r="AL6" i="1"/>
  <c r="AN6" i="1"/>
  <c r="AP6" i="1"/>
  <c r="AR6" i="1"/>
  <c r="AT6" i="1"/>
  <c r="AV6" i="1"/>
  <c r="AX6" i="1"/>
  <c r="A8" i="1"/>
  <c r="D8" i="1"/>
  <c r="F8" i="1"/>
  <c r="H8" i="1"/>
  <c r="J8" i="1"/>
  <c r="L8" i="1"/>
  <c r="N8" i="1"/>
  <c r="P8" i="1"/>
  <c r="R8" i="1"/>
  <c r="T8" i="1"/>
  <c r="V8" i="1"/>
  <c r="X8" i="1"/>
  <c r="Z8" i="1"/>
  <c r="AB8" i="1"/>
  <c r="AD8" i="1"/>
  <c r="AF8" i="1"/>
  <c r="AH8" i="1"/>
  <c r="AJ8" i="1"/>
  <c r="AL8" i="1"/>
  <c r="AN8" i="1"/>
  <c r="AP8" i="1"/>
  <c r="AR8" i="1"/>
  <c r="AT8" i="1"/>
  <c r="AV8" i="1"/>
  <c r="AX8" i="1"/>
  <c r="A14" i="1"/>
  <c r="D14" i="1"/>
  <c r="F14" i="1"/>
  <c r="H14" i="1"/>
  <c r="J14" i="1"/>
  <c r="L14" i="1"/>
  <c r="N14" i="1"/>
  <c r="P14" i="1"/>
  <c r="R14" i="1"/>
  <c r="T14" i="1"/>
  <c r="V14" i="1"/>
  <c r="X14" i="1"/>
  <c r="Z14" i="1"/>
  <c r="AB14" i="1"/>
  <c r="AD14" i="1"/>
  <c r="AF14" i="1"/>
  <c r="AH14" i="1"/>
  <c r="AJ14" i="1"/>
  <c r="AL14" i="1"/>
  <c r="AN14" i="1"/>
  <c r="AP14" i="1"/>
  <c r="AR14" i="1"/>
  <c r="AT14" i="1"/>
  <c r="AV14" i="1"/>
  <c r="AX14" i="1"/>
  <c r="A13" i="1"/>
  <c r="D13" i="1"/>
  <c r="F13" i="1"/>
  <c r="H13" i="1"/>
  <c r="J13" i="1"/>
  <c r="L13" i="1"/>
  <c r="N13" i="1"/>
  <c r="P13" i="1"/>
  <c r="R13" i="1"/>
  <c r="T13" i="1"/>
  <c r="V13" i="1"/>
  <c r="X13" i="1"/>
  <c r="Z13" i="1"/>
  <c r="AB13" i="1"/>
  <c r="AD13" i="1"/>
  <c r="AF13" i="1"/>
  <c r="AH13" i="1"/>
  <c r="AJ13" i="1"/>
  <c r="AL13" i="1"/>
  <c r="AN13" i="1"/>
  <c r="AP13" i="1"/>
  <c r="AR13" i="1"/>
  <c r="AT13" i="1"/>
  <c r="AV13" i="1"/>
  <c r="AX13" i="1"/>
  <c r="A12" i="1"/>
  <c r="D12" i="1"/>
  <c r="F12" i="1"/>
  <c r="H12" i="1"/>
  <c r="J12" i="1"/>
  <c r="L12" i="1"/>
  <c r="N12" i="1"/>
  <c r="P12" i="1"/>
  <c r="R12" i="1"/>
  <c r="T12" i="1"/>
  <c r="V12" i="1"/>
  <c r="X12" i="1"/>
  <c r="Z12" i="1"/>
  <c r="AB12" i="1"/>
  <c r="AD12" i="1"/>
  <c r="AF12" i="1"/>
  <c r="AH12" i="1"/>
  <c r="AJ12" i="1"/>
  <c r="AL12" i="1"/>
  <c r="AN12" i="1"/>
  <c r="AP12" i="1"/>
  <c r="AR12" i="1"/>
  <c r="AT12" i="1"/>
  <c r="AV12" i="1"/>
  <c r="AX12" i="1"/>
  <c r="A22" i="1"/>
  <c r="D22" i="1"/>
  <c r="F22" i="1"/>
  <c r="H22" i="1"/>
  <c r="J22" i="1"/>
  <c r="L22" i="1"/>
  <c r="N22" i="1"/>
  <c r="P22" i="1"/>
  <c r="R22" i="1"/>
  <c r="T22" i="1"/>
  <c r="V22" i="1"/>
  <c r="X22" i="1"/>
  <c r="Z22" i="1"/>
  <c r="AB22" i="1"/>
  <c r="AD22" i="1"/>
  <c r="AF22" i="1"/>
  <c r="AH22" i="1"/>
  <c r="AJ22" i="1"/>
  <c r="AL22" i="1"/>
  <c r="AN22" i="1"/>
  <c r="AP22" i="1"/>
  <c r="AR22" i="1"/>
  <c r="AT22" i="1"/>
  <c r="AV22" i="1"/>
  <c r="AX22" i="1"/>
  <c r="A20" i="1"/>
  <c r="D20" i="1"/>
  <c r="F20" i="1"/>
  <c r="H20" i="1"/>
  <c r="J20" i="1"/>
  <c r="L20" i="1"/>
  <c r="N20" i="1"/>
  <c r="P20" i="1"/>
  <c r="R20" i="1"/>
  <c r="T20" i="1"/>
  <c r="V20" i="1"/>
  <c r="X20" i="1"/>
  <c r="Z20" i="1"/>
  <c r="AB20" i="1"/>
  <c r="AD20" i="1"/>
  <c r="AF20" i="1"/>
  <c r="AH20" i="1"/>
  <c r="AJ20" i="1"/>
  <c r="AL20" i="1"/>
  <c r="AN20" i="1"/>
  <c r="AP20" i="1"/>
  <c r="AR20" i="1"/>
  <c r="AT20" i="1"/>
  <c r="AV20" i="1"/>
  <c r="AX20" i="1"/>
  <c r="A25" i="1"/>
  <c r="D25" i="1"/>
  <c r="F25" i="1"/>
  <c r="H25" i="1"/>
  <c r="J25" i="1"/>
  <c r="L25" i="1"/>
  <c r="N25" i="1"/>
  <c r="P25" i="1"/>
  <c r="R25" i="1"/>
  <c r="T25" i="1"/>
  <c r="V25" i="1"/>
  <c r="X25" i="1"/>
  <c r="Z25" i="1"/>
  <c r="AB25" i="1"/>
  <c r="AD25" i="1"/>
  <c r="AF25" i="1"/>
  <c r="AH25" i="1"/>
  <c r="AJ25" i="1"/>
  <c r="AL25" i="1"/>
  <c r="AN25" i="1"/>
  <c r="AP25" i="1"/>
  <c r="AR25" i="1"/>
  <c r="AT25" i="1"/>
  <c r="AV25" i="1"/>
  <c r="AX25" i="1"/>
  <c r="A29" i="1"/>
  <c r="D29" i="1"/>
  <c r="F29" i="1"/>
  <c r="H29" i="1"/>
  <c r="J29" i="1"/>
  <c r="L29" i="1"/>
  <c r="N29" i="1"/>
  <c r="P29" i="1"/>
  <c r="R29" i="1"/>
  <c r="T29" i="1"/>
  <c r="V29" i="1"/>
  <c r="X29" i="1"/>
  <c r="Z29" i="1"/>
  <c r="AB29" i="1"/>
  <c r="AD29" i="1"/>
  <c r="AF29" i="1"/>
  <c r="AH29" i="1"/>
  <c r="AJ29" i="1"/>
  <c r="AL29" i="1"/>
  <c r="AN29" i="1"/>
  <c r="AP29" i="1"/>
  <c r="AR29" i="1"/>
  <c r="AT29" i="1"/>
  <c r="AV29" i="1"/>
  <c r="AX29" i="1"/>
  <c r="A30" i="1"/>
  <c r="D30" i="1"/>
  <c r="F30" i="1"/>
  <c r="H30" i="1"/>
  <c r="J30" i="1"/>
  <c r="L30" i="1"/>
  <c r="N30" i="1"/>
  <c r="P30" i="1"/>
  <c r="R30" i="1"/>
  <c r="T30" i="1"/>
  <c r="V30" i="1"/>
  <c r="X30" i="1"/>
  <c r="Z30" i="1"/>
  <c r="AB30" i="1"/>
  <c r="AD30" i="1"/>
  <c r="AF30" i="1"/>
  <c r="AH30" i="1"/>
  <c r="AJ30" i="1"/>
  <c r="AL30" i="1"/>
  <c r="AN30" i="1"/>
  <c r="AP30" i="1"/>
  <c r="AR30" i="1"/>
  <c r="AT30" i="1"/>
  <c r="AV30" i="1"/>
  <c r="AX30" i="1"/>
  <c r="A31" i="1"/>
  <c r="D31" i="1"/>
  <c r="F31" i="1"/>
  <c r="H31" i="1"/>
  <c r="J31" i="1"/>
  <c r="L31" i="1"/>
  <c r="N31" i="1"/>
  <c r="P31" i="1"/>
  <c r="R31" i="1"/>
  <c r="T31" i="1"/>
  <c r="V31" i="1"/>
  <c r="X31" i="1"/>
  <c r="Z31" i="1"/>
  <c r="AB31" i="1"/>
  <c r="AD31" i="1"/>
  <c r="AF31" i="1"/>
  <c r="AH31" i="1"/>
  <c r="AJ31" i="1"/>
  <c r="AL31" i="1"/>
  <c r="AN31" i="1"/>
  <c r="AP31" i="1"/>
  <c r="AR31" i="1"/>
  <c r="AT31" i="1"/>
  <c r="AV31" i="1"/>
  <c r="AX31" i="1"/>
  <c r="D32" i="1"/>
  <c r="F32" i="1"/>
  <c r="H32" i="1"/>
  <c r="J32" i="1"/>
  <c r="L32" i="1"/>
  <c r="N32" i="1"/>
  <c r="P32" i="1"/>
  <c r="R32" i="1"/>
  <c r="T32" i="1"/>
  <c r="V32" i="1"/>
  <c r="X32" i="1"/>
  <c r="Z32" i="1"/>
  <c r="AB32" i="1"/>
  <c r="AD32" i="1"/>
  <c r="AF32" i="1"/>
  <c r="AH32" i="1"/>
  <c r="AJ32" i="1"/>
  <c r="AL32" i="1"/>
  <c r="AN32" i="1"/>
  <c r="AP32" i="1"/>
  <c r="AR32" i="1"/>
  <c r="AT32" i="1"/>
  <c r="AV32" i="1"/>
  <c r="AX32" i="1"/>
  <c r="A21" i="1"/>
  <c r="D21" i="1"/>
  <c r="F21" i="1"/>
  <c r="H21" i="1"/>
  <c r="J21" i="1"/>
  <c r="L21" i="1"/>
  <c r="N21" i="1"/>
  <c r="P21" i="1"/>
  <c r="R21" i="1"/>
  <c r="T21" i="1"/>
  <c r="V21" i="1"/>
  <c r="X21" i="1"/>
  <c r="Z21" i="1"/>
  <c r="AB21" i="1"/>
  <c r="AD21" i="1"/>
  <c r="AF21" i="1"/>
  <c r="AH21" i="1"/>
  <c r="AJ21" i="1"/>
  <c r="AL21" i="1"/>
  <c r="AN21" i="1"/>
  <c r="AP21" i="1"/>
  <c r="AR21" i="1"/>
  <c r="AT21" i="1"/>
  <c r="AV21" i="1"/>
  <c r="AX21" i="1"/>
  <c r="A27" i="1"/>
  <c r="D27" i="1"/>
  <c r="F27" i="1"/>
  <c r="H27" i="1"/>
  <c r="J27" i="1"/>
  <c r="L27" i="1"/>
  <c r="N27" i="1"/>
  <c r="P27" i="1"/>
  <c r="R27" i="1"/>
  <c r="T27" i="1"/>
  <c r="V27" i="1"/>
  <c r="X27" i="1"/>
  <c r="Z27" i="1"/>
  <c r="AB27" i="1"/>
  <c r="AD27" i="1"/>
  <c r="AF27" i="1"/>
  <c r="AH27" i="1"/>
  <c r="AJ27" i="1"/>
  <c r="AL27" i="1"/>
  <c r="AN27" i="1"/>
  <c r="AP27" i="1"/>
  <c r="AR27" i="1"/>
  <c r="AT27" i="1"/>
  <c r="AV27" i="1"/>
  <c r="AX27" i="1"/>
  <c r="A17" i="1"/>
  <c r="D17" i="1"/>
  <c r="F17" i="1"/>
  <c r="H17" i="1"/>
  <c r="J17" i="1"/>
  <c r="L17" i="1"/>
  <c r="N17" i="1"/>
  <c r="P17" i="1"/>
  <c r="R17" i="1"/>
  <c r="T17" i="1"/>
  <c r="V17" i="1"/>
  <c r="X17" i="1"/>
  <c r="Z17" i="1"/>
  <c r="AB17" i="1"/>
  <c r="AD17" i="1"/>
  <c r="AF17" i="1"/>
  <c r="AH17" i="1"/>
  <c r="AJ17" i="1"/>
  <c r="AL17" i="1"/>
  <c r="AN17" i="1"/>
  <c r="AP17" i="1"/>
  <c r="AR17" i="1"/>
  <c r="AT17" i="1"/>
  <c r="AV17" i="1"/>
  <c r="AX17" i="1"/>
  <c r="A18" i="1"/>
  <c r="D18" i="1"/>
  <c r="F18" i="1"/>
  <c r="H18" i="1"/>
  <c r="J18" i="1"/>
  <c r="L18" i="1"/>
  <c r="N18" i="1"/>
  <c r="P18" i="1"/>
  <c r="R18" i="1"/>
  <c r="T18" i="1"/>
  <c r="V18" i="1"/>
  <c r="X18" i="1"/>
  <c r="Z18" i="1"/>
  <c r="AB18" i="1"/>
  <c r="AD18" i="1"/>
  <c r="AF18" i="1"/>
  <c r="AH18" i="1"/>
  <c r="AJ18" i="1"/>
  <c r="AL18" i="1"/>
  <c r="AN18" i="1"/>
  <c r="AP18" i="1"/>
  <c r="AR18" i="1"/>
  <c r="AT18" i="1"/>
  <c r="AV18" i="1"/>
  <c r="AX18" i="1"/>
  <c r="A19" i="1"/>
  <c r="D19" i="1"/>
  <c r="F19" i="1"/>
  <c r="H19" i="1"/>
  <c r="J19" i="1"/>
  <c r="L19" i="1"/>
  <c r="N19" i="1"/>
  <c r="P19" i="1"/>
  <c r="R19" i="1"/>
  <c r="T19" i="1"/>
  <c r="V19" i="1"/>
  <c r="X19" i="1"/>
  <c r="Z19" i="1"/>
  <c r="AB19" i="1"/>
  <c r="AD19" i="1"/>
  <c r="AF19" i="1"/>
  <c r="AH19" i="1"/>
  <c r="AJ19" i="1"/>
  <c r="AL19" i="1"/>
  <c r="AN19" i="1"/>
  <c r="AP19" i="1"/>
  <c r="AR19" i="1"/>
  <c r="AT19" i="1"/>
  <c r="AV19" i="1"/>
  <c r="AX19" i="1"/>
  <c r="A24" i="1"/>
  <c r="D24" i="1"/>
  <c r="F24" i="1"/>
  <c r="H24" i="1"/>
  <c r="J24" i="1"/>
  <c r="L24" i="1"/>
  <c r="N24" i="1"/>
  <c r="P24" i="1"/>
  <c r="R24" i="1"/>
  <c r="T24" i="1"/>
  <c r="V24" i="1"/>
  <c r="X24" i="1"/>
  <c r="Z24" i="1"/>
  <c r="AB24" i="1"/>
  <c r="AD24" i="1"/>
  <c r="AF24" i="1"/>
  <c r="AH24" i="1"/>
  <c r="AJ24" i="1"/>
  <c r="AL24" i="1"/>
  <c r="AN24" i="1"/>
  <c r="AP24" i="1"/>
  <c r="AR24" i="1"/>
  <c r="AT24" i="1"/>
  <c r="AV24" i="1"/>
  <c r="AX24" i="1"/>
  <c r="A26" i="1"/>
  <c r="D26" i="1"/>
  <c r="F26" i="1"/>
  <c r="H26" i="1"/>
  <c r="J26" i="1"/>
  <c r="L26" i="1"/>
  <c r="N26" i="1"/>
  <c r="P26" i="1"/>
  <c r="R26" i="1"/>
  <c r="T26" i="1"/>
  <c r="V26" i="1"/>
  <c r="X26" i="1"/>
  <c r="Z26" i="1"/>
  <c r="AB26" i="1"/>
  <c r="AD26" i="1"/>
  <c r="AF26" i="1"/>
  <c r="AH26" i="1"/>
  <c r="AJ26" i="1"/>
  <c r="AL26" i="1"/>
  <c r="AN26" i="1"/>
  <c r="AP26" i="1"/>
  <c r="AR26" i="1"/>
  <c r="AT26" i="1"/>
  <c r="AV26" i="1"/>
  <c r="AX26" i="1"/>
  <c r="A28" i="1"/>
  <c r="D28" i="1"/>
  <c r="F28" i="1"/>
  <c r="H28" i="1"/>
  <c r="J28" i="1"/>
  <c r="L28" i="1"/>
  <c r="N28" i="1"/>
  <c r="P28" i="1"/>
  <c r="R28" i="1"/>
  <c r="T28" i="1"/>
  <c r="V28" i="1"/>
  <c r="X28" i="1"/>
  <c r="Z28" i="1"/>
  <c r="AB28" i="1"/>
  <c r="AD28" i="1"/>
  <c r="AF28" i="1"/>
  <c r="AH28" i="1"/>
  <c r="AJ28" i="1"/>
  <c r="AL28" i="1"/>
  <c r="AN28" i="1"/>
  <c r="AP28" i="1"/>
  <c r="AR28" i="1"/>
  <c r="AT28" i="1"/>
  <c r="AV28" i="1"/>
  <c r="AX28" i="1"/>
  <c r="A23" i="1"/>
  <c r="D23" i="1"/>
  <c r="F23" i="1"/>
  <c r="H23" i="1"/>
  <c r="J23" i="1"/>
  <c r="L23" i="1"/>
  <c r="N23" i="1"/>
  <c r="P23" i="1"/>
  <c r="R23" i="1"/>
  <c r="T23" i="1"/>
  <c r="V23" i="1"/>
  <c r="X23" i="1"/>
  <c r="Z23" i="1"/>
  <c r="AB23" i="1"/>
  <c r="AD23" i="1"/>
  <c r="AF23" i="1"/>
  <c r="AH23" i="1"/>
  <c r="AJ23" i="1"/>
  <c r="AL23" i="1"/>
  <c r="AN23" i="1"/>
  <c r="AP23" i="1"/>
  <c r="AR23" i="1"/>
  <c r="AT23" i="1"/>
  <c r="AV23" i="1"/>
  <c r="AX23" i="1"/>
  <c r="A16" i="1"/>
  <c r="D16" i="1"/>
  <c r="F16" i="1"/>
  <c r="H16" i="1"/>
  <c r="J16" i="1"/>
  <c r="L16" i="1"/>
  <c r="N16" i="1"/>
  <c r="P16" i="1"/>
  <c r="R16" i="1"/>
  <c r="T16" i="1"/>
  <c r="V16" i="1"/>
  <c r="X16" i="1"/>
  <c r="Z16" i="1"/>
  <c r="AB16" i="1"/>
  <c r="AD16" i="1"/>
  <c r="AF16" i="1"/>
  <c r="AH16" i="1"/>
  <c r="AJ16" i="1"/>
  <c r="AL16" i="1"/>
  <c r="AN16" i="1"/>
  <c r="AP16" i="1"/>
  <c r="AR16" i="1"/>
  <c r="AT16" i="1"/>
  <c r="AV16" i="1"/>
  <c r="AX16" i="1"/>
  <c r="A15" i="1"/>
  <c r="D15" i="1"/>
  <c r="F15" i="1"/>
  <c r="H15" i="1"/>
  <c r="J15" i="1"/>
  <c r="L15" i="1"/>
  <c r="N15" i="1"/>
  <c r="P15" i="1"/>
  <c r="R15" i="1"/>
  <c r="T15" i="1"/>
  <c r="V15" i="1"/>
  <c r="X15" i="1"/>
  <c r="Z15" i="1"/>
  <c r="AB15" i="1"/>
  <c r="AD15" i="1"/>
  <c r="AF15" i="1"/>
  <c r="AH15" i="1"/>
  <c r="AJ15" i="1"/>
  <c r="AL15" i="1"/>
  <c r="AN15" i="1"/>
  <c r="AP15" i="1"/>
  <c r="AR15" i="1"/>
  <c r="AT15" i="1"/>
  <c r="AV15" i="1"/>
  <c r="AX15" i="1"/>
  <c r="A36" i="1"/>
  <c r="D36" i="1"/>
  <c r="F36" i="1"/>
  <c r="H36" i="1"/>
  <c r="J36" i="1"/>
  <c r="L36" i="1"/>
  <c r="N36" i="1"/>
  <c r="P36" i="1"/>
  <c r="R36" i="1"/>
  <c r="T36" i="1"/>
  <c r="V36" i="1"/>
  <c r="X36" i="1"/>
  <c r="Z36" i="1"/>
  <c r="AB36" i="1"/>
  <c r="AD36" i="1"/>
  <c r="AF36" i="1"/>
  <c r="AH36" i="1"/>
  <c r="AJ36" i="1"/>
  <c r="AL36" i="1"/>
  <c r="AN36" i="1"/>
  <c r="AP36" i="1"/>
  <c r="AR36" i="1"/>
  <c r="AT36" i="1"/>
  <c r="AV36" i="1"/>
  <c r="AX36" i="1"/>
  <c r="A37" i="1"/>
  <c r="D37" i="1"/>
  <c r="F37" i="1"/>
  <c r="H37" i="1"/>
  <c r="J37" i="1"/>
  <c r="L37" i="1"/>
  <c r="N37" i="1"/>
  <c r="P37" i="1"/>
  <c r="R37" i="1"/>
  <c r="T37" i="1"/>
  <c r="V37" i="1"/>
  <c r="X37" i="1"/>
  <c r="Z37" i="1"/>
  <c r="AB37" i="1"/>
  <c r="AD37" i="1"/>
  <c r="AF37" i="1"/>
  <c r="AH37" i="1"/>
  <c r="AJ37" i="1"/>
  <c r="AL37" i="1"/>
  <c r="AN37" i="1"/>
  <c r="AP37" i="1"/>
  <c r="AR37" i="1"/>
  <c r="AT37" i="1"/>
  <c r="AV37" i="1"/>
  <c r="AX37" i="1"/>
  <c r="A41" i="1"/>
  <c r="D41" i="1"/>
  <c r="F41" i="1"/>
  <c r="H41" i="1"/>
  <c r="J41" i="1"/>
  <c r="L41" i="1"/>
  <c r="N41" i="1"/>
  <c r="P41" i="1"/>
  <c r="R41" i="1"/>
  <c r="T41" i="1"/>
  <c r="V41" i="1"/>
  <c r="X41" i="1"/>
  <c r="Z41" i="1"/>
  <c r="AB41" i="1"/>
  <c r="AD41" i="1"/>
  <c r="AF41" i="1"/>
  <c r="AH41" i="1"/>
  <c r="AJ41" i="1"/>
  <c r="AL41" i="1"/>
  <c r="AN41" i="1"/>
  <c r="AP41" i="1"/>
  <c r="AR41" i="1"/>
  <c r="AT41" i="1"/>
  <c r="AV41" i="1"/>
  <c r="AX41" i="1"/>
  <c r="A40" i="1"/>
  <c r="D40" i="1"/>
  <c r="F40" i="1"/>
  <c r="H40" i="1"/>
  <c r="J40" i="1"/>
  <c r="L40" i="1"/>
  <c r="N40" i="1"/>
  <c r="P40" i="1"/>
  <c r="R40" i="1"/>
  <c r="T40" i="1"/>
  <c r="V40" i="1"/>
  <c r="X40" i="1"/>
  <c r="Z40" i="1"/>
  <c r="AB40" i="1"/>
  <c r="AD40" i="1"/>
  <c r="AF40" i="1"/>
  <c r="AH40" i="1"/>
  <c r="AJ40" i="1"/>
  <c r="AL40" i="1"/>
  <c r="AN40" i="1"/>
  <c r="AP40" i="1"/>
  <c r="AR40" i="1"/>
  <c r="AT40" i="1"/>
  <c r="AV40" i="1"/>
  <c r="AX40" i="1"/>
  <c r="A38" i="1"/>
  <c r="D38" i="1"/>
  <c r="F38" i="1"/>
  <c r="H38" i="1"/>
  <c r="J38" i="1"/>
  <c r="L38" i="1"/>
  <c r="N38" i="1"/>
  <c r="P38" i="1"/>
  <c r="R38" i="1"/>
  <c r="T38" i="1"/>
  <c r="V38" i="1"/>
  <c r="X38" i="1"/>
  <c r="Z38" i="1"/>
  <c r="AB38" i="1"/>
  <c r="AD38" i="1"/>
  <c r="AF38" i="1"/>
  <c r="AH38" i="1"/>
  <c r="AJ38" i="1"/>
  <c r="AL38" i="1"/>
  <c r="AN38" i="1"/>
  <c r="AP38" i="1"/>
  <c r="AR38" i="1"/>
  <c r="AT38" i="1"/>
  <c r="AV38" i="1"/>
  <c r="AX38" i="1"/>
  <c r="A39" i="1"/>
  <c r="D39" i="1"/>
  <c r="F39" i="1"/>
  <c r="H39" i="1"/>
  <c r="J39" i="1"/>
  <c r="L39" i="1"/>
  <c r="N39" i="1"/>
  <c r="P39" i="1"/>
  <c r="R39" i="1"/>
  <c r="T39" i="1"/>
  <c r="V39" i="1"/>
  <c r="X39" i="1"/>
  <c r="Z39" i="1"/>
  <c r="AB39" i="1"/>
  <c r="AD39" i="1"/>
  <c r="AF39" i="1"/>
  <c r="AH39" i="1"/>
  <c r="AJ39" i="1"/>
  <c r="AL39" i="1"/>
  <c r="AN39" i="1"/>
  <c r="AP39" i="1"/>
  <c r="AR39" i="1"/>
  <c r="AT39" i="1"/>
  <c r="AV39" i="1"/>
  <c r="AX39" i="1"/>
  <c r="A42" i="1"/>
  <c r="D42" i="1"/>
  <c r="F42" i="1"/>
  <c r="H42" i="1"/>
  <c r="J42" i="1"/>
  <c r="L42" i="1"/>
  <c r="N42" i="1"/>
  <c r="P42" i="1"/>
  <c r="R42" i="1"/>
  <c r="T42" i="1"/>
  <c r="V42" i="1"/>
  <c r="X42" i="1"/>
  <c r="Z42" i="1"/>
  <c r="AB42" i="1"/>
  <c r="AD42" i="1"/>
  <c r="AF42" i="1"/>
  <c r="AH42" i="1"/>
  <c r="AJ42" i="1"/>
  <c r="AL42" i="1"/>
  <c r="AN42" i="1"/>
  <c r="AP42" i="1"/>
  <c r="AR42" i="1"/>
  <c r="AT42" i="1"/>
  <c r="AV42" i="1"/>
  <c r="AX42" i="1"/>
  <c r="A43" i="1"/>
  <c r="D43" i="1"/>
  <c r="F43" i="1"/>
  <c r="H43" i="1"/>
  <c r="J43" i="1"/>
  <c r="L43" i="1"/>
  <c r="N43" i="1"/>
  <c r="P43" i="1"/>
  <c r="R43" i="1"/>
  <c r="T43" i="1"/>
  <c r="V43" i="1"/>
  <c r="X43" i="1"/>
  <c r="Z43" i="1"/>
  <c r="AB43" i="1"/>
  <c r="AD43" i="1"/>
  <c r="AF43" i="1"/>
  <c r="AH43" i="1"/>
  <c r="AJ43" i="1"/>
  <c r="AL43" i="1"/>
  <c r="AN43" i="1"/>
  <c r="AP43" i="1"/>
  <c r="AR43" i="1"/>
  <c r="AT43" i="1"/>
  <c r="AV43" i="1"/>
  <c r="AX43" i="1"/>
  <c r="A44" i="1"/>
  <c r="D44" i="1"/>
  <c r="F44" i="1"/>
  <c r="H44" i="1"/>
  <c r="J44" i="1"/>
  <c r="L44" i="1"/>
  <c r="N44" i="1"/>
  <c r="P44" i="1"/>
  <c r="R44" i="1"/>
  <c r="T44" i="1"/>
  <c r="V44" i="1"/>
  <c r="X44" i="1"/>
  <c r="Z44" i="1"/>
  <c r="AB44" i="1"/>
  <c r="AD44" i="1"/>
  <c r="AF44" i="1"/>
  <c r="AH44" i="1"/>
  <c r="AJ44" i="1"/>
  <c r="AL44" i="1"/>
  <c r="AN44" i="1"/>
  <c r="AP44" i="1"/>
  <c r="AR44" i="1"/>
  <c r="AT44" i="1"/>
  <c r="AV44" i="1"/>
  <c r="AX44" i="1"/>
  <c r="A45" i="1"/>
  <c r="D45" i="1"/>
  <c r="F45" i="1"/>
  <c r="H45" i="1"/>
  <c r="J45" i="1"/>
  <c r="L45" i="1"/>
  <c r="N45" i="1"/>
  <c r="P45" i="1"/>
  <c r="R45" i="1"/>
  <c r="T45" i="1"/>
  <c r="V45" i="1"/>
  <c r="X45" i="1"/>
  <c r="Z45" i="1"/>
  <c r="AB45" i="1"/>
  <c r="AD45" i="1"/>
  <c r="AF45" i="1"/>
  <c r="AH45" i="1"/>
  <c r="AJ45" i="1"/>
  <c r="AL45" i="1"/>
  <c r="AN45" i="1"/>
  <c r="AP45" i="1"/>
  <c r="AR45" i="1"/>
  <c r="AT45" i="1"/>
  <c r="AV45" i="1"/>
  <c r="AX45" i="1"/>
  <c r="A46" i="1"/>
  <c r="D46" i="1"/>
  <c r="F46" i="1"/>
  <c r="H46" i="1"/>
  <c r="J46" i="1"/>
  <c r="L46" i="1"/>
  <c r="N46" i="1"/>
  <c r="P46" i="1"/>
  <c r="R46" i="1"/>
  <c r="T46" i="1"/>
  <c r="V46" i="1"/>
  <c r="X46" i="1"/>
  <c r="Z46" i="1"/>
  <c r="AB46" i="1"/>
  <c r="AD46" i="1"/>
  <c r="AF46" i="1"/>
  <c r="AH46" i="1"/>
  <c r="AJ46" i="1"/>
  <c r="AL46" i="1"/>
  <c r="AN46" i="1"/>
  <c r="AP46" i="1"/>
  <c r="AR46" i="1"/>
  <c r="AT46" i="1"/>
  <c r="AV46" i="1"/>
  <c r="AX46" i="1"/>
  <c r="A47" i="1"/>
  <c r="D47" i="1"/>
  <c r="F47" i="1"/>
  <c r="H47" i="1"/>
  <c r="J47" i="1"/>
  <c r="L47" i="1"/>
  <c r="N47" i="1"/>
  <c r="P47" i="1"/>
  <c r="R47" i="1"/>
  <c r="T47" i="1"/>
  <c r="V47" i="1"/>
  <c r="X47" i="1"/>
  <c r="Z47" i="1"/>
  <c r="AB47" i="1"/>
  <c r="AD47" i="1"/>
  <c r="AF47" i="1"/>
  <c r="AH47" i="1"/>
  <c r="AJ47" i="1"/>
  <c r="AL47" i="1"/>
  <c r="AN47" i="1"/>
  <c r="AP47" i="1"/>
  <c r="AR47" i="1"/>
  <c r="AT47" i="1"/>
  <c r="AV47" i="1"/>
  <c r="AX47" i="1"/>
  <c r="A48" i="1"/>
  <c r="D48" i="1"/>
  <c r="F48" i="1"/>
  <c r="H48" i="1"/>
  <c r="J48" i="1"/>
  <c r="L48" i="1"/>
  <c r="N48" i="1"/>
  <c r="P48" i="1"/>
  <c r="R48" i="1"/>
  <c r="T48" i="1"/>
  <c r="V48" i="1"/>
  <c r="X48" i="1"/>
  <c r="Z48" i="1"/>
  <c r="AB48" i="1"/>
  <c r="AD48" i="1"/>
  <c r="AF48" i="1"/>
  <c r="AH48" i="1"/>
  <c r="AJ48" i="1"/>
  <c r="AL48" i="1"/>
  <c r="AN48" i="1"/>
  <c r="AP48" i="1"/>
  <c r="AR48" i="1"/>
  <c r="AT48" i="1"/>
  <c r="AV48" i="1"/>
  <c r="AX48" i="1"/>
  <c r="A49" i="1"/>
  <c r="D49" i="1"/>
  <c r="F49" i="1"/>
  <c r="H49" i="1"/>
  <c r="J49" i="1"/>
  <c r="L49" i="1"/>
  <c r="N49" i="1"/>
  <c r="P49" i="1"/>
  <c r="R49" i="1"/>
  <c r="T49" i="1"/>
  <c r="V49" i="1"/>
  <c r="X49" i="1"/>
  <c r="Z49" i="1"/>
  <c r="AB49" i="1"/>
  <c r="AD49" i="1"/>
  <c r="AF49" i="1"/>
  <c r="AH49" i="1"/>
  <c r="AJ49" i="1"/>
  <c r="AL49" i="1"/>
  <c r="AN49" i="1"/>
  <c r="AP49" i="1"/>
  <c r="AR49" i="1"/>
  <c r="AT49" i="1"/>
  <c r="AV49" i="1"/>
  <c r="AX49" i="1"/>
  <c r="A50" i="1"/>
  <c r="D50" i="1"/>
  <c r="F50" i="1"/>
  <c r="H50" i="1"/>
  <c r="J50" i="1"/>
  <c r="L50" i="1"/>
  <c r="N50" i="1"/>
  <c r="P50" i="1"/>
  <c r="R50" i="1"/>
  <c r="T50" i="1"/>
  <c r="V50" i="1"/>
  <c r="X50" i="1"/>
  <c r="Z50" i="1"/>
  <c r="AB50" i="1"/>
  <c r="AD50" i="1"/>
  <c r="AF50" i="1"/>
  <c r="AH50" i="1"/>
  <c r="AJ50" i="1"/>
  <c r="AL50" i="1"/>
  <c r="AN50" i="1"/>
  <c r="AP50" i="1"/>
  <c r="AR50" i="1"/>
  <c r="AT50" i="1"/>
  <c r="AV50" i="1"/>
  <c r="AX50" i="1"/>
  <c r="A51" i="1"/>
  <c r="D51" i="1"/>
  <c r="F51" i="1"/>
  <c r="H51" i="1"/>
  <c r="J51" i="1"/>
  <c r="L51" i="1"/>
  <c r="N51" i="1"/>
  <c r="P51" i="1"/>
  <c r="R51" i="1"/>
  <c r="T51" i="1"/>
  <c r="V51" i="1"/>
  <c r="X51" i="1"/>
  <c r="Z51" i="1"/>
  <c r="AB51" i="1"/>
  <c r="AD51" i="1"/>
  <c r="AF51" i="1"/>
  <c r="AH51" i="1"/>
  <c r="AJ51" i="1"/>
  <c r="AL51" i="1"/>
  <c r="AN51" i="1"/>
  <c r="AP51" i="1"/>
  <c r="AR51" i="1"/>
  <c r="AT51" i="1"/>
  <c r="AV51" i="1"/>
  <c r="AX51" i="1"/>
  <c r="A54" i="1"/>
  <c r="D54" i="1"/>
  <c r="F54" i="1"/>
  <c r="H54" i="1"/>
  <c r="J54" i="1"/>
  <c r="L54" i="1"/>
  <c r="N54" i="1"/>
  <c r="P54" i="1"/>
  <c r="R54" i="1"/>
  <c r="T54" i="1"/>
  <c r="V54" i="1"/>
  <c r="X54" i="1"/>
  <c r="Z54" i="1"/>
  <c r="AB54" i="1"/>
  <c r="AD54" i="1"/>
  <c r="AF54" i="1"/>
  <c r="AH54" i="1"/>
  <c r="AJ54" i="1"/>
  <c r="AL54" i="1"/>
  <c r="AN54" i="1"/>
  <c r="AP54" i="1"/>
  <c r="AR54" i="1"/>
  <c r="AT54" i="1"/>
  <c r="AV54" i="1"/>
  <c r="AX54" i="1"/>
  <c r="A55" i="1"/>
  <c r="D55" i="1"/>
  <c r="F55" i="1"/>
  <c r="H55" i="1"/>
  <c r="J55" i="1"/>
  <c r="L55" i="1"/>
  <c r="N55" i="1"/>
  <c r="P55" i="1"/>
  <c r="R55" i="1"/>
  <c r="T55" i="1"/>
  <c r="V55" i="1"/>
  <c r="X55" i="1"/>
  <c r="Z55" i="1"/>
  <c r="AB55" i="1"/>
  <c r="AD55" i="1"/>
  <c r="AF55" i="1"/>
  <c r="AH55" i="1"/>
  <c r="AJ55" i="1"/>
  <c r="AL55" i="1"/>
  <c r="AN55" i="1"/>
  <c r="AP55" i="1"/>
  <c r="AR55" i="1"/>
  <c r="AT55" i="1"/>
  <c r="AV55" i="1"/>
  <c r="AX55" i="1"/>
  <c r="A57" i="1"/>
  <c r="D57" i="1"/>
  <c r="F57" i="1"/>
  <c r="H57" i="1"/>
  <c r="J57" i="1"/>
  <c r="L57" i="1"/>
  <c r="N57" i="1"/>
  <c r="P57" i="1"/>
  <c r="R57" i="1"/>
  <c r="T57" i="1"/>
  <c r="V57" i="1"/>
  <c r="X57" i="1"/>
  <c r="Z57" i="1"/>
  <c r="AB57" i="1"/>
  <c r="AD57" i="1"/>
  <c r="AF57" i="1"/>
  <c r="AH57" i="1"/>
  <c r="AJ57" i="1"/>
  <c r="AL57" i="1"/>
  <c r="AN57" i="1"/>
  <c r="AP57" i="1"/>
  <c r="AR57" i="1"/>
  <c r="AT57" i="1"/>
  <c r="AV57" i="1"/>
  <c r="AX57" i="1"/>
  <c r="A58" i="1"/>
  <c r="D58" i="1"/>
  <c r="F58" i="1"/>
  <c r="H58" i="1"/>
  <c r="J58" i="1"/>
  <c r="L58" i="1"/>
  <c r="N58" i="1"/>
  <c r="P58" i="1"/>
  <c r="R58" i="1"/>
  <c r="T58" i="1"/>
  <c r="V58" i="1"/>
  <c r="X58" i="1"/>
  <c r="Z58" i="1"/>
  <c r="AB58" i="1"/>
  <c r="AD58" i="1"/>
  <c r="AF58" i="1"/>
  <c r="AH58" i="1"/>
  <c r="AJ58" i="1"/>
  <c r="AL58" i="1"/>
  <c r="AN58" i="1"/>
  <c r="AP58" i="1"/>
  <c r="AR58" i="1"/>
  <c r="AT58" i="1"/>
  <c r="AV58" i="1"/>
  <c r="AX58" i="1"/>
  <c r="A53" i="1"/>
  <c r="D53" i="1"/>
  <c r="F53" i="1"/>
  <c r="H53" i="1"/>
  <c r="J53" i="1"/>
  <c r="L53" i="1"/>
  <c r="N53" i="1"/>
  <c r="P53" i="1"/>
  <c r="R53" i="1"/>
  <c r="T53" i="1"/>
  <c r="V53" i="1"/>
  <c r="X53" i="1"/>
  <c r="Z53" i="1"/>
  <c r="AB53" i="1"/>
  <c r="AD53" i="1"/>
  <c r="AF53" i="1"/>
  <c r="AH53" i="1"/>
  <c r="AJ53" i="1"/>
  <c r="AL53" i="1"/>
  <c r="AN53" i="1"/>
  <c r="AP53" i="1"/>
  <c r="AR53" i="1"/>
  <c r="AT53" i="1"/>
  <c r="AV53" i="1"/>
  <c r="AX53" i="1"/>
  <c r="A60" i="1"/>
  <c r="D60" i="1"/>
  <c r="F60" i="1"/>
  <c r="H60" i="1"/>
  <c r="J60" i="1"/>
  <c r="L60" i="1"/>
  <c r="N60" i="1"/>
  <c r="P60" i="1"/>
  <c r="R60" i="1"/>
  <c r="T60" i="1"/>
  <c r="V60" i="1"/>
  <c r="X60" i="1"/>
  <c r="Z60" i="1"/>
  <c r="AB60" i="1"/>
  <c r="AD60" i="1"/>
  <c r="AF60" i="1"/>
  <c r="AH60" i="1"/>
  <c r="AJ60" i="1"/>
  <c r="AL60" i="1"/>
  <c r="AN60" i="1"/>
  <c r="AP60" i="1"/>
  <c r="AR60" i="1"/>
  <c r="AT60" i="1"/>
  <c r="AV60" i="1"/>
  <c r="AX60" i="1"/>
  <c r="A56" i="1"/>
  <c r="D56" i="1"/>
  <c r="F56" i="1"/>
  <c r="H56" i="1"/>
  <c r="J56" i="1"/>
  <c r="L56" i="1"/>
  <c r="N56" i="1"/>
  <c r="P56" i="1"/>
  <c r="R56" i="1"/>
  <c r="T56" i="1"/>
  <c r="V56" i="1"/>
  <c r="X56" i="1"/>
  <c r="Z56" i="1"/>
  <c r="AB56" i="1"/>
  <c r="AD56" i="1"/>
  <c r="AF56" i="1"/>
  <c r="AH56" i="1"/>
  <c r="AJ56" i="1"/>
  <c r="AL56" i="1"/>
  <c r="AN56" i="1"/>
  <c r="AP56" i="1"/>
  <c r="AR56" i="1"/>
  <c r="AT56" i="1"/>
  <c r="AV56" i="1"/>
  <c r="AX56" i="1"/>
  <c r="A52" i="1"/>
  <c r="D52" i="1"/>
  <c r="F52" i="1"/>
  <c r="H52" i="1"/>
  <c r="J52" i="1"/>
  <c r="L52" i="1"/>
  <c r="N52" i="1"/>
  <c r="P52" i="1"/>
  <c r="R52" i="1"/>
  <c r="T52" i="1"/>
  <c r="V52" i="1"/>
  <c r="X52" i="1"/>
  <c r="Z52" i="1"/>
  <c r="AB52" i="1"/>
  <c r="AD52" i="1"/>
  <c r="AF52" i="1"/>
  <c r="AH52" i="1"/>
  <c r="AJ52" i="1"/>
  <c r="AL52" i="1"/>
  <c r="AN52" i="1"/>
  <c r="AP52" i="1"/>
  <c r="AR52" i="1"/>
  <c r="AT52" i="1"/>
  <c r="AV52" i="1"/>
  <c r="AX52" i="1"/>
  <c r="A61" i="1"/>
  <c r="D61" i="1"/>
  <c r="F61" i="1"/>
  <c r="H61" i="1"/>
  <c r="J61" i="1"/>
  <c r="L61" i="1"/>
  <c r="N61" i="1"/>
  <c r="P61" i="1"/>
  <c r="R61" i="1"/>
  <c r="T61" i="1"/>
  <c r="V61" i="1"/>
  <c r="X61" i="1"/>
  <c r="Z61" i="1"/>
  <c r="AB61" i="1"/>
  <c r="AD61" i="1"/>
  <c r="AF61" i="1"/>
  <c r="AH61" i="1"/>
  <c r="AJ61" i="1"/>
  <c r="AL61" i="1"/>
  <c r="AN61" i="1"/>
  <c r="AP61" i="1"/>
  <c r="AR61" i="1"/>
  <c r="AT61" i="1"/>
  <c r="AV61" i="1"/>
  <c r="AX61" i="1"/>
  <c r="A59" i="1"/>
  <c r="D59" i="1"/>
  <c r="F59" i="1"/>
  <c r="H59" i="1"/>
  <c r="J59" i="1"/>
  <c r="L59" i="1"/>
  <c r="N59" i="1"/>
  <c r="P59" i="1"/>
  <c r="R59" i="1"/>
  <c r="T59" i="1"/>
  <c r="V59" i="1"/>
  <c r="X59" i="1"/>
  <c r="Z59" i="1"/>
  <c r="AB59" i="1"/>
  <c r="AD59" i="1"/>
  <c r="AF59" i="1"/>
  <c r="AH59" i="1"/>
  <c r="AJ59" i="1"/>
  <c r="AL59" i="1"/>
  <c r="AN59" i="1"/>
  <c r="AP59" i="1"/>
  <c r="AR59" i="1"/>
  <c r="AT59" i="1"/>
  <c r="AV59" i="1"/>
  <c r="AX59" i="1"/>
  <c r="A70" i="1"/>
  <c r="D70" i="1"/>
  <c r="F70" i="1"/>
  <c r="H70" i="1"/>
  <c r="J70" i="1"/>
  <c r="L70" i="1"/>
  <c r="N70" i="1"/>
  <c r="P70" i="1"/>
  <c r="R70" i="1"/>
  <c r="T70" i="1"/>
  <c r="V70" i="1"/>
  <c r="X70" i="1"/>
  <c r="Z70" i="1"/>
  <c r="AB70" i="1"/>
  <c r="AD70" i="1"/>
  <c r="AF70" i="1"/>
  <c r="AH70" i="1"/>
  <c r="AJ70" i="1"/>
  <c r="AL70" i="1"/>
  <c r="AN70" i="1"/>
  <c r="AP70" i="1"/>
  <c r="AR70" i="1"/>
  <c r="AT70" i="1"/>
  <c r="AV70" i="1"/>
  <c r="AX70" i="1"/>
  <c r="A68" i="1"/>
  <c r="D68" i="1"/>
  <c r="F68" i="1"/>
  <c r="H68" i="1"/>
  <c r="J68" i="1"/>
  <c r="L68" i="1"/>
  <c r="N68" i="1"/>
  <c r="P68" i="1"/>
  <c r="R68" i="1"/>
  <c r="T68" i="1"/>
  <c r="V68" i="1"/>
  <c r="X68" i="1"/>
  <c r="Z68" i="1"/>
  <c r="AB68" i="1"/>
  <c r="AD68" i="1"/>
  <c r="AF68" i="1"/>
  <c r="AH68" i="1"/>
  <c r="AJ68" i="1"/>
  <c r="AL68" i="1"/>
  <c r="AN68" i="1"/>
  <c r="AP68" i="1"/>
  <c r="AR68" i="1"/>
  <c r="AT68" i="1"/>
  <c r="AV68" i="1"/>
  <c r="AX68" i="1"/>
  <c r="A71" i="1"/>
  <c r="D71" i="1"/>
  <c r="F71" i="1"/>
  <c r="H71" i="1"/>
  <c r="J71" i="1"/>
  <c r="L71" i="1"/>
  <c r="N71" i="1"/>
  <c r="P71" i="1"/>
  <c r="R71" i="1"/>
  <c r="T71" i="1"/>
  <c r="V71" i="1"/>
  <c r="X71" i="1"/>
  <c r="Z71" i="1"/>
  <c r="AB71" i="1"/>
  <c r="AD71" i="1"/>
  <c r="AF71" i="1"/>
  <c r="AH71" i="1"/>
  <c r="AJ71" i="1"/>
  <c r="AL71" i="1"/>
  <c r="AN71" i="1"/>
  <c r="AP71" i="1"/>
  <c r="AR71" i="1"/>
  <c r="AT71" i="1"/>
  <c r="AV71" i="1"/>
  <c r="AX71" i="1"/>
  <c r="A72" i="1"/>
  <c r="D72" i="1"/>
  <c r="F72" i="1"/>
  <c r="H72" i="1"/>
  <c r="J72" i="1"/>
  <c r="L72" i="1"/>
  <c r="N72" i="1"/>
  <c r="P72" i="1"/>
  <c r="R72" i="1"/>
  <c r="T72" i="1"/>
  <c r="V72" i="1"/>
  <c r="X72" i="1"/>
  <c r="Z72" i="1"/>
  <c r="AB72" i="1"/>
  <c r="AD72" i="1"/>
  <c r="AF72" i="1"/>
  <c r="AH72" i="1"/>
  <c r="AJ72" i="1"/>
  <c r="AL72" i="1"/>
  <c r="AN72" i="1"/>
  <c r="AP72" i="1"/>
  <c r="AR72" i="1"/>
  <c r="AT72" i="1"/>
  <c r="AV72" i="1"/>
  <c r="AX72" i="1"/>
  <c r="A73" i="1"/>
  <c r="D73" i="1"/>
  <c r="F73" i="1"/>
  <c r="H73" i="1"/>
  <c r="J73" i="1"/>
  <c r="L73" i="1"/>
  <c r="N73" i="1"/>
  <c r="P73" i="1"/>
  <c r="R73" i="1"/>
  <c r="T73" i="1"/>
  <c r="V73" i="1"/>
  <c r="X73" i="1"/>
  <c r="Z73" i="1"/>
  <c r="AB73" i="1"/>
  <c r="AD73" i="1"/>
  <c r="AF73" i="1"/>
  <c r="AH73" i="1"/>
  <c r="AJ73" i="1"/>
  <c r="AL73" i="1"/>
  <c r="AN73" i="1"/>
  <c r="AP73" i="1"/>
  <c r="AR73" i="1"/>
  <c r="AT73" i="1"/>
  <c r="AV73" i="1"/>
  <c r="AX73" i="1"/>
  <c r="A74" i="1"/>
  <c r="D74" i="1"/>
  <c r="F74" i="1"/>
  <c r="H74" i="1"/>
  <c r="J74" i="1"/>
  <c r="L74" i="1"/>
  <c r="N74" i="1"/>
  <c r="P74" i="1"/>
  <c r="R74" i="1"/>
  <c r="T74" i="1"/>
  <c r="V74" i="1"/>
  <c r="X74" i="1"/>
  <c r="Z74" i="1"/>
  <c r="AB74" i="1"/>
  <c r="AD74" i="1"/>
  <c r="AF74" i="1"/>
  <c r="AH74" i="1"/>
  <c r="AJ74" i="1"/>
  <c r="AL74" i="1"/>
  <c r="AN74" i="1"/>
  <c r="AP74" i="1"/>
  <c r="AR74" i="1"/>
  <c r="AT74" i="1"/>
  <c r="AV74" i="1"/>
  <c r="AX74" i="1"/>
  <c r="A62" i="1"/>
  <c r="D62" i="1"/>
  <c r="F62" i="1"/>
  <c r="H62" i="1"/>
  <c r="J62" i="1"/>
  <c r="L62" i="1"/>
  <c r="N62" i="1"/>
  <c r="P62" i="1"/>
  <c r="R62" i="1"/>
  <c r="T62" i="1"/>
  <c r="V62" i="1"/>
  <c r="X62" i="1"/>
  <c r="Z62" i="1"/>
  <c r="AB62" i="1"/>
  <c r="AD62" i="1"/>
  <c r="AF62" i="1"/>
  <c r="AH62" i="1"/>
  <c r="AJ62" i="1"/>
  <c r="AL62" i="1"/>
  <c r="AN62" i="1"/>
  <c r="AP62" i="1"/>
  <c r="AR62" i="1"/>
  <c r="AT62" i="1"/>
  <c r="AV62" i="1"/>
  <c r="AX62" i="1"/>
  <c r="A76" i="1"/>
  <c r="D76" i="1"/>
  <c r="F76" i="1"/>
  <c r="H76" i="1"/>
  <c r="J76" i="1"/>
  <c r="L76" i="1"/>
  <c r="N76" i="1"/>
  <c r="P76" i="1"/>
  <c r="R76" i="1"/>
  <c r="T76" i="1"/>
  <c r="V76" i="1"/>
  <c r="X76" i="1"/>
  <c r="Z76" i="1"/>
  <c r="AB76" i="1"/>
  <c r="AD76" i="1"/>
  <c r="AF76" i="1"/>
  <c r="AH76" i="1"/>
  <c r="AJ76" i="1"/>
  <c r="AL76" i="1"/>
  <c r="AN76" i="1"/>
  <c r="AP76" i="1"/>
  <c r="AR76" i="1"/>
  <c r="AT76" i="1"/>
  <c r="AV76" i="1"/>
  <c r="AX76" i="1"/>
  <c r="A69" i="1"/>
  <c r="D69" i="1"/>
  <c r="F69" i="1"/>
  <c r="H69" i="1"/>
  <c r="J69" i="1"/>
  <c r="L69" i="1"/>
  <c r="N69" i="1"/>
  <c r="P69" i="1"/>
  <c r="R69" i="1"/>
  <c r="T69" i="1"/>
  <c r="V69" i="1"/>
  <c r="X69" i="1"/>
  <c r="Z69" i="1"/>
  <c r="AB69" i="1"/>
  <c r="AD69" i="1"/>
  <c r="AF69" i="1"/>
  <c r="AH69" i="1"/>
  <c r="AJ69" i="1"/>
  <c r="AL69" i="1"/>
  <c r="AN69" i="1"/>
  <c r="AP69" i="1"/>
  <c r="AR69" i="1"/>
  <c r="AT69" i="1"/>
  <c r="AV69" i="1"/>
  <c r="AX69" i="1"/>
  <c r="A63" i="1"/>
  <c r="D63" i="1"/>
  <c r="F63" i="1"/>
  <c r="H63" i="1"/>
  <c r="J63" i="1"/>
  <c r="L63" i="1"/>
  <c r="N63" i="1"/>
  <c r="P63" i="1"/>
  <c r="R63" i="1"/>
  <c r="T63" i="1"/>
  <c r="V63" i="1"/>
  <c r="X63" i="1"/>
  <c r="Z63" i="1"/>
  <c r="AB63" i="1"/>
  <c r="AD63" i="1"/>
  <c r="AF63" i="1"/>
  <c r="AH63" i="1"/>
  <c r="AJ63" i="1"/>
  <c r="AL63" i="1"/>
  <c r="AN63" i="1"/>
  <c r="AP63" i="1"/>
  <c r="AR63" i="1"/>
  <c r="AT63" i="1"/>
  <c r="AV63" i="1"/>
  <c r="AX63" i="1"/>
  <c r="A75" i="1"/>
  <c r="D75" i="1"/>
  <c r="F75" i="1"/>
  <c r="H75" i="1"/>
  <c r="J75" i="1"/>
  <c r="L75" i="1"/>
  <c r="N75" i="1"/>
  <c r="P75" i="1"/>
  <c r="R75" i="1"/>
  <c r="T75" i="1"/>
  <c r="V75" i="1"/>
  <c r="X75" i="1"/>
  <c r="Z75" i="1"/>
  <c r="AB75" i="1"/>
  <c r="AD75" i="1"/>
  <c r="AF75" i="1"/>
  <c r="AH75" i="1"/>
  <c r="AJ75" i="1"/>
  <c r="AL75" i="1"/>
  <c r="AN75" i="1"/>
  <c r="AP75" i="1"/>
  <c r="AR75" i="1"/>
  <c r="AT75" i="1"/>
  <c r="AV75" i="1"/>
  <c r="AX75" i="1"/>
  <c r="A64" i="1"/>
  <c r="D64" i="1"/>
  <c r="F64" i="1"/>
  <c r="H64" i="1"/>
  <c r="J64" i="1"/>
  <c r="L64" i="1"/>
  <c r="N64" i="1"/>
  <c r="P64" i="1"/>
  <c r="R64" i="1"/>
  <c r="T64" i="1"/>
  <c r="V64" i="1"/>
  <c r="X64" i="1"/>
  <c r="Z64" i="1"/>
  <c r="AB64" i="1"/>
  <c r="AD64" i="1"/>
  <c r="AF64" i="1"/>
  <c r="AH64" i="1"/>
  <c r="AJ64" i="1"/>
  <c r="AL64" i="1"/>
  <c r="AN64" i="1"/>
  <c r="AP64" i="1"/>
  <c r="AR64" i="1"/>
  <c r="AT64" i="1"/>
  <c r="AV64" i="1"/>
  <c r="AX64" i="1"/>
  <c r="A65" i="1"/>
  <c r="D65" i="1"/>
  <c r="F65" i="1"/>
  <c r="H65" i="1"/>
  <c r="J65" i="1"/>
  <c r="L65" i="1"/>
  <c r="N65" i="1"/>
  <c r="P65" i="1"/>
  <c r="R65" i="1"/>
  <c r="T65" i="1"/>
  <c r="V65" i="1"/>
  <c r="X65" i="1"/>
  <c r="Z65" i="1"/>
  <c r="AB65" i="1"/>
  <c r="AD65" i="1"/>
  <c r="AF65" i="1"/>
  <c r="AH65" i="1"/>
  <c r="AJ65" i="1"/>
  <c r="AL65" i="1"/>
  <c r="AN65" i="1"/>
  <c r="AP65" i="1"/>
  <c r="AR65" i="1"/>
  <c r="AT65" i="1"/>
  <c r="AV65" i="1"/>
  <c r="AX65" i="1"/>
  <c r="A66" i="1"/>
  <c r="D66" i="1"/>
  <c r="F66" i="1"/>
  <c r="H66" i="1"/>
  <c r="J66" i="1"/>
  <c r="L66" i="1"/>
  <c r="N66" i="1"/>
  <c r="P66" i="1"/>
  <c r="R66" i="1"/>
  <c r="T66" i="1"/>
  <c r="V66" i="1"/>
  <c r="X66" i="1"/>
  <c r="Z66" i="1"/>
  <c r="AB66" i="1"/>
  <c r="AD66" i="1"/>
  <c r="AF66" i="1"/>
  <c r="AH66" i="1"/>
  <c r="AJ66" i="1"/>
  <c r="AL66" i="1"/>
  <c r="AN66" i="1"/>
  <c r="AP66" i="1"/>
  <c r="AR66" i="1"/>
  <c r="AT66" i="1"/>
  <c r="AV66" i="1"/>
  <c r="AX66" i="1"/>
  <c r="A67" i="1"/>
  <c r="D67" i="1"/>
  <c r="F67" i="1"/>
  <c r="H67" i="1"/>
  <c r="J67" i="1"/>
  <c r="L67" i="1"/>
  <c r="N67" i="1"/>
  <c r="P67" i="1"/>
  <c r="R67" i="1"/>
  <c r="T67" i="1"/>
  <c r="V67" i="1"/>
  <c r="X67" i="1"/>
  <c r="Z67" i="1"/>
  <c r="AB67" i="1"/>
  <c r="AD67" i="1"/>
  <c r="AF67" i="1"/>
  <c r="AH67" i="1"/>
  <c r="AJ67" i="1"/>
  <c r="AL67" i="1"/>
  <c r="AN67" i="1"/>
  <c r="AP67" i="1"/>
  <c r="AR67" i="1"/>
  <c r="AT67" i="1"/>
  <c r="AV67" i="1"/>
  <c r="AX67" i="1"/>
  <c r="A77" i="1"/>
  <c r="D77" i="1"/>
  <c r="F77" i="1"/>
  <c r="H77" i="1"/>
  <c r="J77" i="1"/>
  <c r="L77" i="1"/>
  <c r="N77" i="1"/>
  <c r="P77" i="1"/>
  <c r="R77" i="1"/>
  <c r="T77" i="1"/>
  <c r="V77" i="1"/>
  <c r="X77" i="1"/>
  <c r="Z77" i="1"/>
  <c r="AB77" i="1"/>
  <c r="AD77" i="1"/>
  <c r="AF77" i="1"/>
  <c r="AH77" i="1"/>
  <c r="AJ77" i="1"/>
  <c r="AL77" i="1"/>
  <c r="AN77" i="1"/>
  <c r="AP77" i="1"/>
  <c r="AR77" i="1"/>
  <c r="AT77" i="1"/>
  <c r="AV77" i="1"/>
  <c r="AX77" i="1"/>
  <c r="A79" i="1"/>
  <c r="D79" i="1"/>
  <c r="F79" i="1"/>
  <c r="H79" i="1"/>
  <c r="J79" i="1"/>
  <c r="L79" i="1"/>
  <c r="N79" i="1"/>
  <c r="P79" i="1"/>
  <c r="R79" i="1"/>
  <c r="T79" i="1"/>
  <c r="V79" i="1"/>
  <c r="X79" i="1"/>
  <c r="Z79" i="1"/>
  <c r="AB79" i="1"/>
  <c r="AD79" i="1"/>
  <c r="AF79" i="1"/>
  <c r="AH79" i="1"/>
  <c r="AJ79" i="1"/>
  <c r="AL79" i="1"/>
  <c r="AN79" i="1"/>
  <c r="AP79" i="1"/>
  <c r="AR79" i="1"/>
  <c r="AT79" i="1"/>
  <c r="AV79" i="1"/>
  <c r="AX79" i="1"/>
  <c r="A80" i="1"/>
  <c r="D80" i="1"/>
  <c r="F80" i="1"/>
  <c r="H80" i="1"/>
  <c r="J80" i="1"/>
  <c r="L80" i="1"/>
  <c r="N80" i="1"/>
  <c r="P80" i="1"/>
  <c r="R80" i="1"/>
  <c r="T80" i="1"/>
  <c r="V80" i="1"/>
  <c r="X80" i="1"/>
  <c r="Z80" i="1"/>
  <c r="AB80" i="1"/>
  <c r="AD80" i="1"/>
  <c r="AF80" i="1"/>
  <c r="AH80" i="1"/>
  <c r="AJ80" i="1"/>
  <c r="AL80" i="1"/>
  <c r="AN80" i="1"/>
  <c r="AP80" i="1"/>
  <c r="AR80" i="1"/>
  <c r="AT80" i="1"/>
  <c r="AV80" i="1"/>
  <c r="AX80" i="1"/>
  <c r="A78" i="1"/>
  <c r="D78" i="1"/>
  <c r="F78" i="1"/>
  <c r="H78" i="1"/>
  <c r="J78" i="1"/>
  <c r="L78" i="1"/>
  <c r="N78" i="1"/>
  <c r="P78" i="1"/>
  <c r="R78" i="1"/>
  <c r="T78" i="1"/>
  <c r="V78" i="1"/>
  <c r="X78" i="1"/>
  <c r="Z78" i="1"/>
  <c r="AB78" i="1"/>
  <c r="AD78" i="1"/>
  <c r="AF78" i="1"/>
  <c r="AH78" i="1"/>
  <c r="AJ78" i="1"/>
  <c r="AL78" i="1"/>
  <c r="AN78" i="1"/>
  <c r="AP78" i="1"/>
  <c r="AR78" i="1"/>
  <c r="AT78" i="1"/>
  <c r="AV78" i="1"/>
  <c r="AX78" i="1"/>
  <c r="A87" i="1"/>
  <c r="D87" i="1"/>
  <c r="F87" i="1"/>
  <c r="H87" i="1"/>
  <c r="J87" i="1"/>
  <c r="L87" i="1"/>
  <c r="N87" i="1"/>
  <c r="P87" i="1"/>
  <c r="R87" i="1"/>
  <c r="T87" i="1"/>
  <c r="V87" i="1"/>
  <c r="X87" i="1"/>
  <c r="Z87" i="1"/>
  <c r="AB87" i="1"/>
  <c r="AD87" i="1"/>
  <c r="AF87" i="1"/>
  <c r="AH87" i="1"/>
  <c r="AJ87" i="1"/>
  <c r="AL87" i="1"/>
  <c r="AN87" i="1"/>
  <c r="AP87" i="1"/>
  <c r="AR87" i="1"/>
  <c r="AT87" i="1"/>
  <c r="AV87" i="1"/>
  <c r="AX87" i="1"/>
  <c r="A88" i="1"/>
  <c r="D88" i="1"/>
  <c r="F88" i="1"/>
  <c r="H88" i="1"/>
  <c r="J88" i="1"/>
  <c r="L88" i="1"/>
  <c r="N88" i="1"/>
  <c r="P88" i="1"/>
  <c r="R88" i="1"/>
  <c r="T88" i="1"/>
  <c r="V88" i="1"/>
  <c r="X88" i="1"/>
  <c r="Z88" i="1"/>
  <c r="AB88" i="1"/>
  <c r="AD88" i="1"/>
  <c r="AF88" i="1"/>
  <c r="AH88" i="1"/>
  <c r="AJ88" i="1"/>
  <c r="AL88" i="1"/>
  <c r="AN88" i="1"/>
  <c r="AP88" i="1"/>
  <c r="AR88" i="1"/>
  <c r="AT88" i="1"/>
  <c r="AV88" i="1"/>
  <c r="AX88" i="1"/>
  <c r="A89" i="1"/>
  <c r="D89" i="1"/>
  <c r="F89" i="1"/>
  <c r="H89" i="1"/>
  <c r="J89" i="1"/>
  <c r="L89" i="1"/>
  <c r="N89" i="1"/>
  <c r="P89" i="1"/>
  <c r="R89" i="1"/>
  <c r="T89" i="1"/>
  <c r="V89" i="1"/>
  <c r="X89" i="1"/>
  <c r="Z89" i="1"/>
  <c r="AB89" i="1"/>
  <c r="AD89" i="1"/>
  <c r="AF89" i="1"/>
  <c r="AH89" i="1"/>
  <c r="AJ89" i="1"/>
  <c r="AL89" i="1"/>
  <c r="AN89" i="1"/>
  <c r="AP89" i="1"/>
  <c r="AR89" i="1"/>
  <c r="AT89" i="1"/>
  <c r="AV89" i="1"/>
  <c r="AX89" i="1"/>
  <c r="A90" i="1"/>
  <c r="D90" i="1"/>
  <c r="F90" i="1"/>
  <c r="H90" i="1"/>
  <c r="J90" i="1"/>
  <c r="L90" i="1"/>
  <c r="N90" i="1"/>
  <c r="P90" i="1"/>
  <c r="R90" i="1"/>
  <c r="T90" i="1"/>
  <c r="V90" i="1"/>
  <c r="X90" i="1"/>
  <c r="Z90" i="1"/>
  <c r="AB90" i="1"/>
  <c r="AD90" i="1"/>
  <c r="AF90" i="1"/>
  <c r="AH90" i="1"/>
  <c r="AJ90" i="1"/>
  <c r="AL90" i="1"/>
  <c r="AN90" i="1"/>
  <c r="AP90" i="1"/>
  <c r="AR90" i="1"/>
  <c r="AT90" i="1"/>
  <c r="AV90" i="1"/>
  <c r="AX90" i="1"/>
  <c r="A92" i="1"/>
  <c r="D92" i="1"/>
  <c r="F92" i="1"/>
  <c r="H92" i="1"/>
  <c r="J92" i="1"/>
  <c r="L92" i="1"/>
  <c r="N92" i="1"/>
  <c r="P92" i="1"/>
  <c r="R92" i="1"/>
  <c r="T92" i="1"/>
  <c r="V92" i="1"/>
  <c r="X92" i="1"/>
  <c r="Z92" i="1"/>
  <c r="AB92" i="1"/>
  <c r="AD92" i="1"/>
  <c r="AF92" i="1"/>
  <c r="AH92" i="1"/>
  <c r="AJ92" i="1"/>
  <c r="AL92" i="1"/>
  <c r="AN92" i="1"/>
  <c r="AP92" i="1"/>
  <c r="AR92" i="1"/>
  <c r="AT92" i="1"/>
  <c r="AV92" i="1"/>
  <c r="AX92" i="1"/>
  <c r="A93" i="1"/>
  <c r="D93" i="1"/>
  <c r="F93" i="1"/>
  <c r="H93" i="1"/>
  <c r="L93" i="1"/>
  <c r="N93" i="1"/>
  <c r="P93" i="1"/>
  <c r="R93" i="1"/>
  <c r="T93" i="1"/>
  <c r="V93" i="1"/>
  <c r="X93" i="1"/>
  <c r="Z93" i="1"/>
  <c r="AB93" i="1"/>
  <c r="AD93" i="1"/>
  <c r="AF93" i="1"/>
  <c r="AH93" i="1"/>
  <c r="AJ93" i="1"/>
  <c r="AL93" i="1"/>
  <c r="AN93" i="1"/>
  <c r="AP93" i="1"/>
  <c r="AR93" i="1"/>
  <c r="AT93" i="1"/>
  <c r="AV93" i="1"/>
  <c r="AX93" i="1"/>
  <c r="A95" i="1"/>
  <c r="D95" i="1"/>
  <c r="F95" i="1"/>
  <c r="H95" i="1"/>
  <c r="J95" i="1"/>
  <c r="L95" i="1"/>
  <c r="N95" i="1"/>
  <c r="P95" i="1"/>
  <c r="R95" i="1"/>
  <c r="T95" i="1"/>
  <c r="V95" i="1"/>
  <c r="X95" i="1"/>
  <c r="Z95" i="1"/>
  <c r="AB95" i="1"/>
  <c r="AD95" i="1"/>
  <c r="AF95" i="1"/>
  <c r="AH95" i="1"/>
  <c r="AJ95" i="1"/>
  <c r="AL95" i="1"/>
  <c r="AN95" i="1"/>
  <c r="AP95" i="1"/>
  <c r="AR95" i="1"/>
  <c r="AT95" i="1"/>
  <c r="AV95" i="1"/>
  <c r="AX95" i="1"/>
  <c r="A96" i="1"/>
  <c r="D96" i="1"/>
  <c r="F96" i="1"/>
  <c r="H96" i="1"/>
  <c r="J96" i="1"/>
  <c r="L96" i="1"/>
  <c r="N96" i="1"/>
  <c r="P96" i="1"/>
  <c r="R96" i="1"/>
  <c r="T96" i="1"/>
  <c r="V96" i="1"/>
  <c r="X96" i="1"/>
  <c r="Z96" i="1"/>
  <c r="AB96" i="1"/>
  <c r="AD96" i="1"/>
  <c r="AF96" i="1"/>
  <c r="AH96" i="1"/>
  <c r="AJ96" i="1"/>
  <c r="AL96" i="1"/>
  <c r="AN96" i="1"/>
  <c r="AP96" i="1"/>
  <c r="AR96" i="1"/>
  <c r="AT96" i="1"/>
  <c r="AV96" i="1"/>
  <c r="AX96" i="1"/>
  <c r="A97" i="1"/>
  <c r="D97" i="1"/>
  <c r="F97" i="1"/>
  <c r="H97" i="1"/>
  <c r="J97" i="1"/>
  <c r="L97" i="1"/>
  <c r="N97" i="1"/>
  <c r="P97" i="1"/>
  <c r="R97" i="1"/>
  <c r="T97" i="1"/>
  <c r="V97" i="1"/>
  <c r="X97" i="1"/>
  <c r="Z97" i="1"/>
  <c r="AB97" i="1"/>
  <c r="AD97" i="1"/>
  <c r="AF97" i="1"/>
  <c r="AH97" i="1"/>
  <c r="AJ97" i="1"/>
  <c r="AL97" i="1"/>
  <c r="AN97" i="1"/>
  <c r="AP97" i="1"/>
  <c r="AR97" i="1"/>
  <c r="AT97" i="1"/>
  <c r="AV97" i="1"/>
  <c r="AX97" i="1"/>
  <c r="A100" i="1"/>
  <c r="D100" i="1"/>
  <c r="F100" i="1"/>
  <c r="H100" i="1"/>
  <c r="J100" i="1"/>
  <c r="L100" i="1"/>
  <c r="N100" i="1"/>
  <c r="P100" i="1"/>
  <c r="R100" i="1"/>
  <c r="T100" i="1"/>
  <c r="V100" i="1"/>
  <c r="X100" i="1"/>
  <c r="Z100" i="1"/>
  <c r="AB100" i="1"/>
  <c r="AD100" i="1"/>
  <c r="AF100" i="1"/>
  <c r="AH100" i="1"/>
  <c r="AJ100" i="1"/>
  <c r="AL100" i="1"/>
  <c r="AN100" i="1"/>
  <c r="AP100" i="1"/>
  <c r="AR100" i="1"/>
  <c r="AT100" i="1"/>
  <c r="AV100" i="1"/>
  <c r="AX100" i="1"/>
  <c r="A101" i="1"/>
  <c r="D101" i="1"/>
  <c r="F101" i="1"/>
  <c r="H101" i="1"/>
  <c r="J101" i="1"/>
  <c r="L101" i="1"/>
  <c r="N101" i="1"/>
  <c r="P101" i="1"/>
  <c r="R101" i="1"/>
  <c r="T101" i="1"/>
  <c r="V101" i="1"/>
  <c r="X101" i="1"/>
  <c r="Z101" i="1"/>
  <c r="AB101" i="1"/>
  <c r="AD101" i="1"/>
  <c r="AF101" i="1"/>
  <c r="AH101" i="1"/>
  <c r="AJ101" i="1"/>
  <c r="AL101" i="1"/>
  <c r="AN101" i="1"/>
  <c r="AP101" i="1"/>
  <c r="AR101" i="1"/>
  <c r="AT101" i="1"/>
  <c r="AV101" i="1"/>
  <c r="AX101" i="1"/>
  <c r="A103" i="1"/>
  <c r="D103" i="1"/>
  <c r="F103" i="1"/>
  <c r="H103" i="1"/>
  <c r="J103" i="1"/>
  <c r="L103" i="1"/>
  <c r="N103" i="1"/>
  <c r="P103" i="1"/>
  <c r="R103" i="1"/>
  <c r="T103" i="1"/>
  <c r="V103" i="1"/>
  <c r="X103" i="1"/>
  <c r="Z103" i="1"/>
  <c r="AB103" i="1"/>
  <c r="AD103" i="1"/>
  <c r="AF103" i="1"/>
  <c r="AH103" i="1"/>
  <c r="AJ103" i="1"/>
  <c r="AL103" i="1"/>
  <c r="AN103" i="1"/>
  <c r="AP103" i="1"/>
  <c r="AR103" i="1"/>
  <c r="AT103" i="1"/>
  <c r="AV103" i="1"/>
  <c r="AX103" i="1"/>
  <c r="A102" i="1"/>
  <c r="D102" i="1"/>
  <c r="F102" i="1"/>
  <c r="H102" i="1"/>
  <c r="J102" i="1"/>
  <c r="L102" i="1"/>
  <c r="N102" i="1"/>
  <c r="P102" i="1"/>
  <c r="R102" i="1"/>
  <c r="T102" i="1"/>
  <c r="V102" i="1"/>
  <c r="X102" i="1"/>
  <c r="Z102" i="1"/>
  <c r="AB102" i="1"/>
  <c r="AD102" i="1"/>
  <c r="AF102" i="1"/>
  <c r="AH102" i="1"/>
  <c r="AJ102" i="1"/>
  <c r="AL102" i="1"/>
  <c r="AN102" i="1"/>
  <c r="AP102" i="1"/>
  <c r="AR102" i="1"/>
  <c r="AT102" i="1"/>
  <c r="AV102" i="1"/>
  <c r="AX102" i="1"/>
  <c r="A104" i="1"/>
  <c r="D104" i="1"/>
  <c r="F104" i="1"/>
  <c r="H104" i="1"/>
  <c r="J104" i="1"/>
  <c r="L104" i="1"/>
  <c r="N104" i="1"/>
  <c r="P104" i="1"/>
  <c r="R104" i="1"/>
  <c r="T104" i="1"/>
  <c r="V104" i="1"/>
  <c r="X104" i="1"/>
  <c r="Z104" i="1"/>
  <c r="AB104" i="1"/>
  <c r="AD104" i="1"/>
  <c r="AF104" i="1"/>
  <c r="AH104" i="1"/>
  <c r="AJ104" i="1"/>
  <c r="AL104" i="1"/>
  <c r="AN104" i="1"/>
  <c r="AP104" i="1"/>
  <c r="AR104" i="1"/>
  <c r="AT104" i="1"/>
  <c r="AV104" i="1"/>
  <c r="AX104" i="1"/>
  <c r="A105" i="1"/>
  <c r="D105" i="1"/>
  <c r="F105" i="1"/>
  <c r="H105" i="1"/>
  <c r="J105" i="1"/>
  <c r="L105" i="1"/>
  <c r="N105" i="1"/>
  <c r="P105" i="1"/>
  <c r="R105" i="1"/>
  <c r="T105" i="1"/>
  <c r="V105" i="1"/>
  <c r="X105" i="1"/>
  <c r="Z105" i="1"/>
  <c r="AB105" i="1"/>
  <c r="AD105" i="1"/>
  <c r="AF105" i="1"/>
  <c r="AH105" i="1"/>
  <c r="AJ105" i="1"/>
  <c r="AL105" i="1"/>
  <c r="AN105" i="1"/>
  <c r="AP105" i="1"/>
  <c r="AR105" i="1"/>
  <c r="AT105" i="1"/>
  <c r="AV105" i="1"/>
  <c r="AX105" i="1"/>
  <c r="A108" i="1"/>
  <c r="D108" i="1"/>
  <c r="F108" i="1"/>
  <c r="H108" i="1"/>
  <c r="J108" i="1"/>
  <c r="L108" i="1"/>
  <c r="N108" i="1"/>
  <c r="P108" i="1"/>
  <c r="R108" i="1"/>
  <c r="T108" i="1"/>
  <c r="V108" i="1"/>
  <c r="X108" i="1"/>
  <c r="Z108" i="1"/>
  <c r="AB108" i="1"/>
  <c r="AD108" i="1"/>
  <c r="AF108" i="1"/>
  <c r="AH108" i="1"/>
  <c r="AJ108" i="1"/>
  <c r="AL108" i="1"/>
  <c r="AN108" i="1"/>
  <c r="AP108" i="1"/>
  <c r="AR108" i="1"/>
  <c r="AT108" i="1"/>
  <c r="AV108" i="1"/>
  <c r="AX108" i="1"/>
  <c r="A107" i="1"/>
  <c r="D107" i="1"/>
  <c r="F107" i="1"/>
  <c r="H107" i="1"/>
  <c r="J107" i="1"/>
  <c r="L107" i="1"/>
  <c r="N107" i="1"/>
  <c r="P107" i="1"/>
  <c r="R107" i="1"/>
  <c r="T107" i="1"/>
  <c r="V107" i="1"/>
  <c r="X107" i="1"/>
  <c r="Z107" i="1"/>
  <c r="AB107" i="1"/>
  <c r="AD107" i="1"/>
  <c r="AF107" i="1"/>
  <c r="AH107" i="1"/>
  <c r="AJ107" i="1"/>
  <c r="AL107" i="1"/>
  <c r="AN107" i="1"/>
  <c r="AP107" i="1"/>
  <c r="AR107" i="1"/>
  <c r="AT107" i="1"/>
  <c r="AV107" i="1"/>
  <c r="AX107" i="1"/>
  <c r="A106" i="1"/>
  <c r="D106" i="1"/>
  <c r="F106" i="1"/>
  <c r="H106" i="1"/>
  <c r="J106" i="1"/>
  <c r="L106" i="1"/>
  <c r="N106" i="1"/>
  <c r="P106" i="1"/>
  <c r="R106" i="1"/>
  <c r="T106" i="1"/>
  <c r="V106" i="1"/>
  <c r="X106" i="1"/>
  <c r="Z106" i="1"/>
  <c r="AB106" i="1"/>
  <c r="AD106" i="1"/>
  <c r="AF106" i="1"/>
  <c r="AH106" i="1"/>
  <c r="AJ106" i="1"/>
  <c r="AL106" i="1"/>
  <c r="AN106" i="1"/>
  <c r="AP106" i="1"/>
  <c r="AR106" i="1"/>
  <c r="AT106" i="1"/>
  <c r="AV106" i="1"/>
  <c r="AX106" i="1"/>
  <c r="A109" i="1"/>
  <c r="D109" i="1"/>
  <c r="F109" i="1"/>
  <c r="H109" i="1"/>
  <c r="J109" i="1"/>
  <c r="L109" i="1"/>
  <c r="N109" i="1"/>
  <c r="P109" i="1"/>
  <c r="R109" i="1"/>
  <c r="T109" i="1"/>
  <c r="V109" i="1"/>
  <c r="X109" i="1"/>
  <c r="Z109" i="1"/>
  <c r="AB109" i="1"/>
  <c r="AD109" i="1"/>
  <c r="AF109" i="1"/>
  <c r="AH109" i="1"/>
  <c r="AJ109" i="1"/>
  <c r="AL109" i="1"/>
  <c r="AN109" i="1"/>
  <c r="AP109" i="1"/>
  <c r="AR109" i="1"/>
  <c r="AT109" i="1"/>
  <c r="AV109" i="1"/>
  <c r="AX109" i="1"/>
  <c r="A110" i="1"/>
  <c r="D110" i="1"/>
  <c r="F110" i="1"/>
  <c r="H110" i="1"/>
  <c r="J110" i="1"/>
  <c r="L110" i="1"/>
  <c r="N110" i="1"/>
  <c r="P110" i="1"/>
  <c r="R110" i="1"/>
  <c r="T110" i="1"/>
  <c r="V110" i="1"/>
  <c r="X110" i="1"/>
  <c r="Z110" i="1"/>
  <c r="AB110" i="1"/>
  <c r="AD110" i="1"/>
  <c r="AF110" i="1"/>
  <c r="AH110" i="1"/>
  <c r="AJ110" i="1"/>
  <c r="AL110" i="1"/>
  <c r="AN110" i="1"/>
  <c r="AP110" i="1"/>
  <c r="AR110" i="1"/>
  <c r="AT110" i="1"/>
  <c r="AV110" i="1"/>
  <c r="AX110" i="1"/>
  <c r="A113" i="1"/>
  <c r="D113" i="1"/>
  <c r="F113" i="1"/>
  <c r="H113" i="1"/>
  <c r="J113" i="1"/>
  <c r="L113" i="1"/>
  <c r="N113" i="1"/>
  <c r="P113" i="1"/>
  <c r="R113" i="1"/>
  <c r="T113" i="1"/>
  <c r="V113" i="1"/>
  <c r="X113" i="1"/>
  <c r="Z113" i="1"/>
  <c r="AB113" i="1"/>
  <c r="AD113" i="1"/>
  <c r="AF113" i="1"/>
  <c r="AH113" i="1"/>
  <c r="AJ113" i="1"/>
  <c r="AL113" i="1"/>
  <c r="AN113" i="1"/>
  <c r="AP113" i="1"/>
  <c r="AR113" i="1"/>
  <c r="AT113" i="1"/>
  <c r="AV113" i="1"/>
  <c r="AX113" i="1"/>
  <c r="A114" i="1"/>
  <c r="D114" i="1"/>
  <c r="F114" i="1"/>
  <c r="H114" i="1"/>
  <c r="J114" i="1"/>
  <c r="L114" i="1"/>
  <c r="N114" i="1"/>
  <c r="P114" i="1"/>
  <c r="R114" i="1"/>
  <c r="T114" i="1"/>
  <c r="V114" i="1"/>
  <c r="X114" i="1"/>
  <c r="Z114" i="1"/>
  <c r="AB114" i="1"/>
  <c r="AD114" i="1"/>
  <c r="AF114" i="1"/>
  <c r="AH114" i="1"/>
  <c r="AJ114" i="1"/>
  <c r="AL114" i="1"/>
  <c r="AN114" i="1"/>
  <c r="AP114" i="1"/>
  <c r="AR114" i="1"/>
  <c r="AT114" i="1"/>
  <c r="AV114" i="1"/>
  <c r="AX114" i="1"/>
  <c r="A115" i="1"/>
  <c r="D115" i="1"/>
  <c r="F115" i="1"/>
  <c r="H115" i="1"/>
  <c r="J115" i="1"/>
  <c r="L115" i="1"/>
  <c r="N115" i="1"/>
  <c r="P115" i="1"/>
  <c r="R115" i="1"/>
  <c r="T115" i="1"/>
  <c r="V115" i="1"/>
  <c r="X115" i="1"/>
  <c r="Z115" i="1"/>
  <c r="AB115" i="1"/>
  <c r="AD115" i="1"/>
  <c r="AF115" i="1"/>
  <c r="AH115" i="1"/>
  <c r="AJ115" i="1"/>
  <c r="AL115" i="1"/>
  <c r="AN115" i="1"/>
  <c r="AP115" i="1"/>
  <c r="AR115" i="1"/>
  <c r="AT115" i="1"/>
  <c r="AV115" i="1"/>
  <c r="AX115" i="1"/>
  <c r="A116" i="1"/>
  <c r="D116" i="1"/>
  <c r="F116" i="1"/>
  <c r="H116" i="1"/>
  <c r="J116" i="1"/>
  <c r="L116" i="1"/>
  <c r="N116" i="1"/>
  <c r="P116" i="1"/>
  <c r="R116" i="1"/>
  <c r="T116" i="1"/>
  <c r="V116" i="1"/>
  <c r="X116" i="1"/>
  <c r="Z116" i="1"/>
  <c r="AB116" i="1"/>
  <c r="AD116" i="1"/>
  <c r="AF116" i="1"/>
  <c r="AH116" i="1"/>
  <c r="AJ116" i="1"/>
  <c r="AL116" i="1"/>
  <c r="AN116" i="1"/>
  <c r="AP116" i="1"/>
  <c r="AR116" i="1"/>
  <c r="AT116" i="1"/>
  <c r="AV116" i="1"/>
  <c r="AX116" i="1"/>
  <c r="A117" i="1"/>
  <c r="D117" i="1"/>
  <c r="F117" i="1"/>
  <c r="H117" i="1"/>
  <c r="J117" i="1"/>
  <c r="L117" i="1"/>
  <c r="N117" i="1"/>
  <c r="P117" i="1"/>
  <c r="R117" i="1"/>
  <c r="T117" i="1"/>
  <c r="V117" i="1"/>
  <c r="X117" i="1"/>
  <c r="Z117" i="1"/>
  <c r="AB117" i="1"/>
  <c r="AD117" i="1"/>
  <c r="AF117" i="1"/>
  <c r="AH117" i="1"/>
  <c r="AJ117" i="1"/>
  <c r="AL117" i="1"/>
  <c r="AN117" i="1"/>
  <c r="AP117" i="1"/>
  <c r="AR117" i="1"/>
  <c r="AT117" i="1"/>
  <c r="AV117" i="1"/>
  <c r="AX117" i="1"/>
  <c r="A118" i="1"/>
  <c r="D118" i="1"/>
  <c r="F118" i="1"/>
  <c r="H118" i="1"/>
  <c r="J118" i="1"/>
  <c r="L118" i="1"/>
  <c r="N118" i="1"/>
  <c r="P118" i="1"/>
  <c r="R118" i="1"/>
  <c r="T118" i="1"/>
  <c r="V118" i="1"/>
  <c r="X118" i="1"/>
  <c r="Z118" i="1"/>
  <c r="AB118" i="1"/>
  <c r="AD118" i="1"/>
  <c r="AF118" i="1"/>
  <c r="AH118" i="1"/>
  <c r="AJ118" i="1"/>
  <c r="AL118" i="1"/>
  <c r="AN118" i="1"/>
  <c r="AP118" i="1"/>
  <c r="AR118" i="1"/>
  <c r="AT118" i="1"/>
  <c r="AV118" i="1"/>
  <c r="AX118" i="1"/>
  <c r="A119" i="1"/>
  <c r="D119" i="1"/>
  <c r="F119" i="1"/>
  <c r="H119" i="1"/>
  <c r="J119" i="1"/>
  <c r="L119" i="1"/>
  <c r="N119" i="1"/>
  <c r="P119" i="1"/>
  <c r="R119" i="1"/>
  <c r="T119" i="1"/>
  <c r="V119" i="1"/>
  <c r="X119" i="1"/>
  <c r="Z119" i="1"/>
  <c r="AB119" i="1"/>
  <c r="AD119" i="1"/>
  <c r="AF119" i="1"/>
  <c r="AH119" i="1"/>
  <c r="AJ119" i="1"/>
  <c r="AL119" i="1"/>
  <c r="AN119" i="1"/>
  <c r="AP119" i="1"/>
  <c r="AR119" i="1"/>
  <c r="AT119" i="1"/>
  <c r="AV119" i="1"/>
  <c r="AX119" i="1"/>
  <c r="A120" i="1"/>
  <c r="D120" i="1"/>
  <c r="F120" i="1"/>
  <c r="H120" i="1"/>
  <c r="J120" i="1"/>
  <c r="L120" i="1"/>
  <c r="N120" i="1"/>
  <c r="P120" i="1"/>
  <c r="R120" i="1"/>
  <c r="T120" i="1"/>
  <c r="V120" i="1"/>
  <c r="X120" i="1"/>
  <c r="Z120" i="1"/>
  <c r="AB120" i="1"/>
  <c r="AD120" i="1"/>
  <c r="AF120" i="1"/>
  <c r="AH120" i="1"/>
  <c r="AJ120" i="1"/>
  <c r="AL120" i="1"/>
  <c r="AN120" i="1"/>
  <c r="AP120" i="1"/>
  <c r="AR120" i="1"/>
  <c r="AT120" i="1"/>
  <c r="AV120" i="1"/>
  <c r="AX120" i="1"/>
  <c r="A123" i="1"/>
  <c r="D123" i="1"/>
  <c r="F123" i="1"/>
  <c r="H123" i="1"/>
  <c r="J123" i="1"/>
  <c r="L123" i="1"/>
  <c r="N123" i="1"/>
  <c r="P123" i="1"/>
  <c r="R123" i="1"/>
  <c r="T123" i="1"/>
  <c r="V123" i="1"/>
  <c r="X123" i="1"/>
  <c r="Z123" i="1"/>
  <c r="AB123" i="1"/>
  <c r="AD123" i="1"/>
  <c r="AF123" i="1"/>
  <c r="AH123" i="1"/>
  <c r="AJ123" i="1"/>
  <c r="AL123" i="1"/>
  <c r="AN123" i="1"/>
  <c r="AP123" i="1"/>
  <c r="AR123" i="1"/>
  <c r="AT123" i="1"/>
  <c r="AV123" i="1"/>
  <c r="AX123" i="1"/>
  <c r="A122" i="1"/>
  <c r="D122" i="1"/>
  <c r="F122" i="1"/>
  <c r="H122" i="1"/>
  <c r="J122" i="1"/>
  <c r="L122" i="1"/>
  <c r="N122" i="1"/>
  <c r="P122" i="1"/>
  <c r="R122" i="1"/>
  <c r="T122" i="1"/>
  <c r="V122" i="1"/>
  <c r="X122" i="1"/>
  <c r="Z122" i="1"/>
  <c r="AB122" i="1"/>
  <c r="AD122" i="1"/>
  <c r="AF122" i="1"/>
  <c r="AH122" i="1"/>
  <c r="AJ122" i="1"/>
  <c r="AL122" i="1"/>
  <c r="AN122" i="1"/>
  <c r="AP122" i="1"/>
  <c r="AR122" i="1"/>
  <c r="AT122" i="1"/>
  <c r="AV122" i="1"/>
  <c r="AX122" i="1"/>
  <c r="A121" i="1"/>
  <c r="D121" i="1"/>
  <c r="F121" i="1"/>
  <c r="H121" i="1"/>
  <c r="J121" i="1"/>
  <c r="L121" i="1"/>
  <c r="N121" i="1"/>
  <c r="P121" i="1"/>
  <c r="R121" i="1"/>
  <c r="T121" i="1"/>
  <c r="V121" i="1"/>
  <c r="X121" i="1"/>
  <c r="Z121" i="1"/>
  <c r="AB121" i="1"/>
  <c r="AD121" i="1"/>
  <c r="AF121" i="1"/>
  <c r="AH121" i="1"/>
  <c r="AJ121" i="1"/>
  <c r="AL121" i="1"/>
  <c r="AN121" i="1"/>
  <c r="AP121" i="1"/>
  <c r="AR121" i="1"/>
  <c r="AT121" i="1"/>
  <c r="AV121" i="1"/>
  <c r="AX121" i="1"/>
  <c r="A125" i="1"/>
  <c r="D125" i="1"/>
  <c r="F125" i="1"/>
  <c r="H125" i="1"/>
  <c r="J125" i="1"/>
  <c r="L125" i="1"/>
  <c r="N125" i="1"/>
  <c r="P125" i="1"/>
  <c r="R125" i="1"/>
  <c r="T125" i="1"/>
  <c r="V125" i="1"/>
  <c r="X125" i="1"/>
  <c r="Z125" i="1"/>
  <c r="AB125" i="1"/>
  <c r="AD125" i="1"/>
  <c r="AF125" i="1"/>
  <c r="AH125" i="1"/>
  <c r="AJ125" i="1"/>
  <c r="AL125" i="1"/>
  <c r="AN125" i="1"/>
  <c r="AP125" i="1"/>
  <c r="AR125" i="1"/>
  <c r="AT125" i="1"/>
  <c r="AV125" i="1"/>
  <c r="AX125" i="1"/>
  <c r="A126" i="1"/>
  <c r="D126" i="1"/>
  <c r="F126" i="1"/>
  <c r="H126" i="1"/>
  <c r="J126" i="1"/>
  <c r="L126" i="1"/>
  <c r="N126" i="1"/>
  <c r="P126" i="1"/>
  <c r="R126" i="1"/>
  <c r="T126" i="1"/>
  <c r="V126" i="1"/>
  <c r="X126" i="1"/>
  <c r="Z126" i="1"/>
  <c r="AB126" i="1"/>
  <c r="AD126" i="1"/>
  <c r="AF126" i="1"/>
  <c r="AH126" i="1"/>
  <c r="AJ126" i="1"/>
  <c r="AL126" i="1"/>
  <c r="AN126" i="1"/>
  <c r="AP126" i="1"/>
  <c r="AR126" i="1"/>
  <c r="AT126" i="1"/>
  <c r="AV126" i="1"/>
  <c r="AX126" i="1"/>
  <c r="A127" i="1"/>
  <c r="D127" i="1"/>
  <c r="F127" i="1"/>
  <c r="H127" i="1"/>
  <c r="J127" i="1"/>
  <c r="L127" i="1"/>
  <c r="N127" i="1"/>
  <c r="P127" i="1"/>
  <c r="R127" i="1"/>
  <c r="T127" i="1"/>
  <c r="V127" i="1"/>
  <c r="X127" i="1"/>
  <c r="Z127" i="1"/>
  <c r="AB127" i="1"/>
  <c r="AD127" i="1"/>
  <c r="AF127" i="1"/>
  <c r="AH127" i="1"/>
  <c r="AJ127" i="1"/>
  <c r="AL127" i="1"/>
  <c r="AN127" i="1"/>
  <c r="AP127" i="1"/>
  <c r="AR127" i="1"/>
  <c r="AT127" i="1"/>
  <c r="AV127" i="1"/>
  <c r="AX127" i="1"/>
  <c r="A128" i="1"/>
  <c r="D128" i="1"/>
  <c r="F128" i="1"/>
  <c r="H128" i="1"/>
  <c r="J128" i="1"/>
  <c r="L128" i="1"/>
  <c r="N128" i="1"/>
  <c r="P128" i="1"/>
  <c r="R128" i="1"/>
  <c r="T128" i="1"/>
  <c r="V128" i="1"/>
  <c r="X128" i="1"/>
  <c r="Z128" i="1"/>
  <c r="AB128" i="1"/>
  <c r="AD128" i="1"/>
  <c r="AF128" i="1"/>
  <c r="AH128" i="1"/>
  <c r="AJ128" i="1"/>
  <c r="AL128" i="1"/>
  <c r="AN128" i="1"/>
  <c r="AP128" i="1"/>
  <c r="AR128" i="1"/>
  <c r="AT128" i="1"/>
  <c r="AV128" i="1"/>
  <c r="AX128" i="1"/>
  <c r="A129" i="1"/>
  <c r="D129" i="1"/>
  <c r="F129" i="1"/>
  <c r="H129" i="1"/>
  <c r="J129" i="1"/>
  <c r="L129" i="1"/>
  <c r="N129" i="1"/>
  <c r="P129" i="1"/>
  <c r="R129" i="1"/>
  <c r="T129" i="1"/>
  <c r="V129" i="1"/>
  <c r="X129" i="1"/>
  <c r="Z129" i="1"/>
  <c r="AB129" i="1"/>
  <c r="AD129" i="1"/>
  <c r="AF129" i="1"/>
  <c r="AH129" i="1"/>
  <c r="AJ129" i="1"/>
  <c r="AL129" i="1"/>
  <c r="AN129" i="1"/>
  <c r="AP129" i="1"/>
  <c r="AR129" i="1"/>
  <c r="AT129" i="1"/>
  <c r="AV129" i="1"/>
  <c r="AX129" i="1"/>
  <c r="A130" i="1"/>
  <c r="D130" i="1"/>
  <c r="F130" i="1"/>
  <c r="H130" i="1"/>
  <c r="J130" i="1"/>
  <c r="L130" i="1"/>
  <c r="N130" i="1"/>
  <c r="P130" i="1"/>
  <c r="R130" i="1"/>
  <c r="T130" i="1"/>
  <c r="V130" i="1"/>
  <c r="X130" i="1"/>
  <c r="Z130" i="1"/>
  <c r="AB130" i="1"/>
  <c r="AD130" i="1"/>
  <c r="AF130" i="1"/>
  <c r="AH130" i="1"/>
  <c r="AJ130" i="1"/>
  <c r="AL130" i="1"/>
  <c r="AN130" i="1"/>
  <c r="AP130" i="1"/>
  <c r="AR130" i="1"/>
  <c r="AT130" i="1"/>
  <c r="AV130" i="1"/>
  <c r="AX130" i="1"/>
  <c r="A131" i="1"/>
  <c r="D131" i="1"/>
  <c r="F131" i="1"/>
  <c r="H131" i="1"/>
  <c r="J131" i="1"/>
  <c r="L131" i="1"/>
  <c r="N131" i="1"/>
  <c r="P131" i="1"/>
  <c r="R131" i="1"/>
  <c r="T131" i="1"/>
  <c r="V131" i="1"/>
  <c r="X131" i="1"/>
  <c r="Z131" i="1"/>
  <c r="AB131" i="1"/>
  <c r="AD131" i="1"/>
  <c r="AF131" i="1"/>
  <c r="AH131" i="1"/>
  <c r="AJ131" i="1"/>
  <c r="AL131" i="1"/>
  <c r="AN131" i="1"/>
  <c r="AP131" i="1"/>
  <c r="AR131" i="1"/>
  <c r="AT131" i="1"/>
  <c r="AV131" i="1"/>
  <c r="AX131" i="1"/>
  <c r="A134" i="1"/>
  <c r="D134" i="1"/>
  <c r="F134" i="1"/>
  <c r="H134" i="1"/>
  <c r="J134" i="1"/>
  <c r="L134" i="1"/>
  <c r="N134" i="1"/>
  <c r="P134" i="1"/>
  <c r="R134" i="1"/>
  <c r="T134" i="1"/>
  <c r="V134" i="1"/>
  <c r="X134" i="1"/>
  <c r="Z134" i="1"/>
  <c r="AB134" i="1"/>
  <c r="AD134" i="1"/>
  <c r="AF134" i="1"/>
  <c r="AH134" i="1"/>
  <c r="AJ134" i="1"/>
  <c r="AL134" i="1"/>
  <c r="AN134" i="1"/>
  <c r="AP134" i="1"/>
  <c r="AR134" i="1"/>
  <c r="AT134" i="1"/>
  <c r="AV134" i="1"/>
  <c r="AX134" i="1"/>
  <c r="A132" i="1"/>
  <c r="D132" i="1"/>
  <c r="F132" i="1"/>
  <c r="H132" i="1"/>
  <c r="J132" i="1"/>
  <c r="L132" i="1"/>
  <c r="N132" i="1"/>
  <c r="P132" i="1"/>
  <c r="R132" i="1"/>
  <c r="T132" i="1"/>
  <c r="V132" i="1"/>
  <c r="X132" i="1"/>
  <c r="Z132" i="1"/>
  <c r="AB132" i="1"/>
  <c r="AD132" i="1"/>
  <c r="AF132" i="1"/>
  <c r="AH132" i="1"/>
  <c r="AJ132" i="1"/>
  <c r="AL132" i="1"/>
  <c r="AN132" i="1"/>
  <c r="AP132" i="1"/>
  <c r="AR132" i="1"/>
  <c r="AT132" i="1"/>
  <c r="AV132" i="1"/>
  <c r="AX132" i="1"/>
  <c r="A133" i="1"/>
  <c r="D133" i="1"/>
  <c r="F133" i="1"/>
  <c r="H133" i="1"/>
  <c r="J133" i="1"/>
  <c r="L133" i="1"/>
  <c r="N133" i="1"/>
  <c r="P133" i="1"/>
  <c r="R133" i="1"/>
  <c r="T133" i="1"/>
  <c r="V133" i="1"/>
  <c r="X133" i="1"/>
  <c r="Z133" i="1"/>
  <c r="AB133" i="1"/>
  <c r="AD133" i="1"/>
  <c r="AF133" i="1"/>
  <c r="AH133" i="1"/>
  <c r="AJ133" i="1"/>
  <c r="AL133" i="1"/>
  <c r="AN133" i="1"/>
  <c r="AP133" i="1"/>
  <c r="AR133" i="1"/>
  <c r="AT133" i="1"/>
  <c r="AV133" i="1"/>
  <c r="AX133" i="1"/>
  <c r="A135" i="1"/>
  <c r="D135" i="1"/>
  <c r="F135" i="1"/>
  <c r="H135" i="1"/>
  <c r="J135" i="1"/>
  <c r="L135" i="1"/>
  <c r="N135" i="1"/>
  <c r="P135" i="1"/>
  <c r="R135" i="1"/>
  <c r="T135" i="1"/>
  <c r="V135" i="1"/>
  <c r="X135" i="1"/>
  <c r="Z135" i="1"/>
  <c r="AB135" i="1"/>
  <c r="AD135" i="1"/>
  <c r="AF135" i="1"/>
  <c r="AH135" i="1"/>
  <c r="AJ135" i="1"/>
  <c r="AL135" i="1"/>
  <c r="AN135" i="1"/>
  <c r="AP135" i="1"/>
  <c r="AR135" i="1"/>
  <c r="AT135" i="1"/>
  <c r="AV135" i="1"/>
  <c r="AX135" i="1"/>
  <c r="A137" i="1"/>
  <c r="D137" i="1"/>
  <c r="F137" i="1"/>
  <c r="H137" i="1"/>
  <c r="J137" i="1"/>
  <c r="L137" i="1"/>
  <c r="N137" i="1"/>
  <c r="P137" i="1"/>
  <c r="R137" i="1"/>
  <c r="T137" i="1"/>
  <c r="V137" i="1"/>
  <c r="X137" i="1"/>
  <c r="Z137" i="1"/>
  <c r="AB137" i="1"/>
  <c r="AD137" i="1"/>
  <c r="AF137" i="1"/>
  <c r="AH137" i="1"/>
  <c r="AJ137" i="1"/>
  <c r="AL137" i="1"/>
  <c r="AN137" i="1"/>
  <c r="AP137" i="1"/>
  <c r="AR137" i="1"/>
  <c r="AT137" i="1"/>
  <c r="AV137" i="1"/>
  <c r="AX137" i="1"/>
  <c r="A136" i="1"/>
  <c r="D136" i="1"/>
  <c r="F136" i="1"/>
  <c r="H136" i="1"/>
  <c r="J136" i="1"/>
  <c r="L136" i="1"/>
  <c r="N136" i="1"/>
  <c r="P136" i="1"/>
  <c r="R136" i="1"/>
  <c r="T136" i="1"/>
  <c r="V136" i="1"/>
  <c r="X136" i="1"/>
  <c r="Z136" i="1"/>
  <c r="AB136" i="1"/>
  <c r="AD136" i="1"/>
  <c r="AF136" i="1"/>
  <c r="AH136" i="1"/>
  <c r="AJ136" i="1"/>
  <c r="AL136" i="1"/>
  <c r="AN136" i="1"/>
  <c r="AP136" i="1"/>
  <c r="AR136" i="1"/>
  <c r="AT136" i="1"/>
  <c r="AV136" i="1"/>
  <c r="AX136" i="1"/>
  <c r="A138" i="1"/>
  <c r="D138" i="1"/>
  <c r="F138" i="1"/>
  <c r="H138" i="1"/>
  <c r="J138" i="1"/>
  <c r="L138" i="1"/>
  <c r="N138" i="1"/>
  <c r="P138" i="1"/>
  <c r="R138" i="1"/>
  <c r="T138" i="1"/>
  <c r="V138" i="1"/>
  <c r="X138" i="1"/>
  <c r="Z138" i="1"/>
  <c r="AB138" i="1"/>
  <c r="AD138" i="1"/>
  <c r="AF138" i="1"/>
  <c r="AH138" i="1"/>
  <c r="AJ138" i="1"/>
  <c r="AL138" i="1"/>
  <c r="AN138" i="1"/>
  <c r="AP138" i="1"/>
  <c r="AR138" i="1"/>
  <c r="AT138" i="1"/>
  <c r="AV138" i="1"/>
  <c r="AX138" i="1"/>
  <c r="A143" i="1"/>
  <c r="D143" i="1"/>
  <c r="F143" i="1"/>
  <c r="H143" i="1"/>
  <c r="J143" i="1"/>
  <c r="L143" i="1"/>
  <c r="N143" i="1"/>
  <c r="P143" i="1"/>
  <c r="R143" i="1"/>
  <c r="T143" i="1"/>
  <c r="V143" i="1"/>
  <c r="X143" i="1"/>
  <c r="Z143" i="1"/>
  <c r="AB143" i="1"/>
  <c r="AD143" i="1"/>
  <c r="AF143" i="1"/>
  <c r="AH143" i="1"/>
  <c r="AJ143" i="1"/>
  <c r="AL143" i="1"/>
  <c r="AN143" i="1"/>
  <c r="AP143" i="1"/>
  <c r="AR143" i="1"/>
  <c r="AT143" i="1"/>
  <c r="AV143" i="1"/>
  <c r="AX143" i="1"/>
  <c r="A144" i="1"/>
  <c r="D144" i="1"/>
  <c r="F144" i="1"/>
  <c r="H144" i="1"/>
  <c r="J144" i="1"/>
  <c r="L144" i="1"/>
  <c r="N144" i="1"/>
  <c r="P144" i="1"/>
  <c r="R144" i="1"/>
  <c r="T144" i="1"/>
  <c r="V144" i="1"/>
  <c r="X144" i="1"/>
  <c r="Z144" i="1"/>
  <c r="AB144" i="1"/>
  <c r="AD144" i="1"/>
  <c r="AF144" i="1"/>
  <c r="AH144" i="1"/>
  <c r="AJ144" i="1"/>
  <c r="AL144" i="1"/>
  <c r="AN144" i="1"/>
  <c r="AP144" i="1"/>
  <c r="AR144" i="1"/>
  <c r="AT144" i="1"/>
  <c r="AV144" i="1"/>
  <c r="AX144" i="1"/>
  <c r="A142" i="1"/>
  <c r="A145" i="1"/>
  <c r="A139" i="1"/>
  <c r="D139" i="1"/>
  <c r="F139" i="1"/>
  <c r="H139" i="1"/>
  <c r="J139" i="1"/>
  <c r="L139" i="1"/>
  <c r="N139" i="1"/>
  <c r="P139" i="1"/>
  <c r="R139" i="1"/>
  <c r="T139" i="1"/>
  <c r="V139" i="1"/>
  <c r="X139" i="1"/>
  <c r="Z139" i="1"/>
  <c r="AB139" i="1"/>
  <c r="AD139" i="1"/>
  <c r="AF139" i="1"/>
  <c r="AH139" i="1"/>
  <c r="AJ139" i="1"/>
  <c r="AL139" i="1"/>
  <c r="AN139" i="1"/>
  <c r="AP139" i="1"/>
  <c r="AR139" i="1"/>
  <c r="AT139" i="1"/>
  <c r="AV139" i="1"/>
  <c r="AX139" i="1"/>
  <c r="A146" i="1"/>
  <c r="D146" i="1"/>
  <c r="F146" i="1"/>
  <c r="H146" i="1"/>
  <c r="J146" i="1"/>
  <c r="L146" i="1"/>
  <c r="N146" i="1"/>
  <c r="P146" i="1"/>
  <c r="R146" i="1"/>
  <c r="T146" i="1"/>
  <c r="V146" i="1"/>
  <c r="X146" i="1"/>
  <c r="Z146" i="1"/>
  <c r="AB146" i="1"/>
  <c r="AD146" i="1"/>
  <c r="AF146" i="1"/>
  <c r="AH146" i="1"/>
  <c r="AJ146" i="1"/>
  <c r="AL146" i="1"/>
  <c r="AN146" i="1"/>
  <c r="AP146" i="1"/>
  <c r="AR146" i="1"/>
  <c r="AT146" i="1"/>
  <c r="AV146" i="1"/>
  <c r="AX146" i="1"/>
  <c r="A147" i="1"/>
  <c r="D147" i="1"/>
  <c r="F147" i="1"/>
  <c r="H147" i="1"/>
  <c r="J147" i="1"/>
  <c r="L147" i="1"/>
  <c r="N147" i="1"/>
  <c r="P147" i="1"/>
  <c r="R147" i="1"/>
  <c r="T147" i="1"/>
  <c r="V147" i="1"/>
  <c r="X147" i="1"/>
  <c r="Z147" i="1"/>
  <c r="AB147" i="1"/>
  <c r="AD147" i="1"/>
  <c r="AF147" i="1"/>
  <c r="AH147" i="1"/>
  <c r="AJ147" i="1"/>
  <c r="AL147" i="1"/>
  <c r="AN147" i="1"/>
  <c r="AP147" i="1"/>
  <c r="AR147" i="1"/>
  <c r="AT147" i="1"/>
  <c r="AV147" i="1"/>
  <c r="AX147" i="1"/>
  <c r="A148" i="1"/>
  <c r="D148" i="1"/>
  <c r="F148" i="1"/>
  <c r="H148" i="1"/>
  <c r="J148" i="1"/>
  <c r="L148" i="1"/>
  <c r="N148" i="1"/>
  <c r="P148" i="1"/>
  <c r="R148" i="1"/>
  <c r="T148" i="1"/>
  <c r="V148" i="1"/>
  <c r="X148" i="1"/>
  <c r="Z148" i="1"/>
  <c r="AB148" i="1"/>
  <c r="AD148" i="1"/>
  <c r="AF148" i="1"/>
  <c r="AH148" i="1"/>
  <c r="AJ148" i="1"/>
  <c r="AL148" i="1"/>
  <c r="AN148" i="1"/>
  <c r="AP148" i="1"/>
  <c r="AR148" i="1"/>
  <c r="AT148" i="1"/>
  <c r="AV148" i="1"/>
  <c r="AX148" i="1"/>
  <c r="A140" i="1"/>
  <c r="D140" i="1"/>
  <c r="F140" i="1"/>
  <c r="H140" i="1"/>
  <c r="J140" i="1"/>
  <c r="L140" i="1"/>
  <c r="N140" i="1"/>
  <c r="P140" i="1"/>
  <c r="R140" i="1"/>
  <c r="T140" i="1"/>
  <c r="V140" i="1"/>
  <c r="X140" i="1"/>
  <c r="Z140" i="1"/>
  <c r="AB140" i="1"/>
  <c r="AD140" i="1"/>
  <c r="AF140" i="1"/>
  <c r="AH140" i="1"/>
  <c r="AJ140" i="1"/>
  <c r="AL140" i="1"/>
  <c r="AN140" i="1"/>
  <c r="AP140" i="1"/>
  <c r="AR140" i="1"/>
  <c r="AT140" i="1"/>
  <c r="AV140" i="1"/>
  <c r="AX140" i="1"/>
  <c r="A141" i="1"/>
  <c r="D141" i="1"/>
  <c r="F141" i="1"/>
  <c r="H141" i="1"/>
  <c r="J141" i="1"/>
  <c r="L141" i="1"/>
  <c r="N141" i="1"/>
  <c r="P141" i="1"/>
  <c r="R141" i="1"/>
  <c r="T141" i="1"/>
  <c r="V141" i="1"/>
  <c r="X141" i="1"/>
  <c r="Z141" i="1"/>
  <c r="AB141" i="1"/>
  <c r="AD141" i="1"/>
  <c r="AF141" i="1"/>
  <c r="AH141" i="1"/>
  <c r="AJ141" i="1"/>
  <c r="AL141" i="1"/>
  <c r="AN141" i="1"/>
  <c r="AP141" i="1"/>
  <c r="AR141" i="1"/>
  <c r="AT141" i="1"/>
  <c r="AV141" i="1"/>
  <c r="AX141" i="1"/>
  <c r="A151" i="1"/>
  <c r="D151" i="1"/>
  <c r="F151" i="1"/>
  <c r="H151" i="1"/>
  <c r="J151" i="1"/>
  <c r="L151" i="1"/>
  <c r="N151" i="1"/>
  <c r="P151" i="1"/>
  <c r="R151" i="1"/>
  <c r="T151" i="1"/>
  <c r="V151" i="1"/>
  <c r="X151" i="1"/>
  <c r="Z151" i="1"/>
  <c r="AB151" i="1"/>
  <c r="AD151" i="1"/>
  <c r="AF151" i="1"/>
  <c r="AH151" i="1"/>
  <c r="AJ151" i="1"/>
  <c r="AL151" i="1"/>
  <c r="AN151" i="1"/>
  <c r="AP151" i="1"/>
  <c r="AR151" i="1"/>
  <c r="AT151" i="1"/>
  <c r="AV151" i="1"/>
  <c r="AX151" i="1"/>
  <c r="A152" i="1"/>
  <c r="D152" i="1"/>
  <c r="F152" i="1"/>
  <c r="H152" i="1"/>
  <c r="J152" i="1"/>
  <c r="L152" i="1"/>
  <c r="N152" i="1"/>
  <c r="P152" i="1"/>
  <c r="R152" i="1"/>
  <c r="T152" i="1"/>
  <c r="V152" i="1"/>
  <c r="X152" i="1"/>
  <c r="Z152" i="1"/>
  <c r="AB152" i="1"/>
  <c r="AD152" i="1"/>
  <c r="AF152" i="1"/>
  <c r="AH152" i="1"/>
  <c r="AJ152" i="1"/>
  <c r="AL152" i="1"/>
  <c r="AN152" i="1"/>
  <c r="AP152" i="1"/>
  <c r="AR152" i="1"/>
  <c r="AT152" i="1"/>
  <c r="AV152" i="1"/>
  <c r="AX152" i="1"/>
  <c r="A153" i="1"/>
  <c r="D153" i="1"/>
  <c r="F153" i="1"/>
  <c r="H153" i="1"/>
  <c r="J153" i="1"/>
  <c r="L153" i="1"/>
  <c r="N153" i="1"/>
  <c r="P153" i="1"/>
  <c r="R153" i="1"/>
  <c r="T153" i="1"/>
  <c r="V153" i="1"/>
  <c r="X153" i="1"/>
  <c r="Z153" i="1"/>
  <c r="AB153" i="1"/>
  <c r="AD153" i="1"/>
  <c r="AF153" i="1"/>
  <c r="AH153" i="1"/>
  <c r="AJ153" i="1"/>
  <c r="AL153" i="1"/>
  <c r="AN153" i="1"/>
  <c r="AP153" i="1"/>
  <c r="AR153" i="1"/>
  <c r="AT153" i="1"/>
  <c r="AV153" i="1"/>
  <c r="AX153" i="1"/>
  <c r="A154" i="1"/>
  <c r="D154" i="1"/>
  <c r="F154" i="1"/>
  <c r="H154" i="1"/>
  <c r="J154" i="1"/>
  <c r="L154" i="1"/>
  <c r="N154" i="1"/>
  <c r="P154" i="1"/>
  <c r="R154" i="1"/>
  <c r="T154" i="1"/>
  <c r="V154" i="1"/>
  <c r="X154" i="1"/>
  <c r="Z154" i="1"/>
  <c r="AB154" i="1"/>
  <c r="AD154" i="1"/>
  <c r="AF154" i="1"/>
  <c r="AH154" i="1"/>
  <c r="AJ154" i="1"/>
  <c r="AL154" i="1"/>
  <c r="AN154" i="1"/>
  <c r="AP154" i="1"/>
  <c r="AR154" i="1"/>
  <c r="AT154" i="1"/>
  <c r="AV154" i="1"/>
  <c r="AX154" i="1"/>
  <c r="A155" i="1"/>
  <c r="D155" i="1"/>
  <c r="F155" i="1"/>
  <c r="H155" i="1"/>
  <c r="J155" i="1"/>
  <c r="L155" i="1"/>
  <c r="N155" i="1"/>
  <c r="P155" i="1"/>
  <c r="R155" i="1"/>
  <c r="T155" i="1"/>
  <c r="V155" i="1"/>
  <c r="X155" i="1"/>
  <c r="Z155" i="1"/>
  <c r="AB155" i="1"/>
  <c r="AD155" i="1"/>
  <c r="AF155" i="1"/>
  <c r="AH155" i="1"/>
  <c r="AJ155" i="1"/>
  <c r="AL155" i="1"/>
  <c r="AN155" i="1"/>
  <c r="AP155" i="1"/>
  <c r="AR155" i="1"/>
  <c r="AT155" i="1"/>
  <c r="AV155" i="1"/>
  <c r="AX155" i="1"/>
  <c r="A156" i="1"/>
  <c r="D156" i="1"/>
  <c r="F156" i="1"/>
  <c r="H156" i="1"/>
  <c r="J156" i="1"/>
  <c r="L156" i="1"/>
  <c r="N156" i="1"/>
  <c r="P156" i="1"/>
  <c r="R156" i="1"/>
  <c r="T156" i="1"/>
  <c r="V156" i="1"/>
  <c r="X156" i="1"/>
  <c r="Z156" i="1"/>
  <c r="AB156" i="1"/>
  <c r="AD156" i="1"/>
  <c r="AF156" i="1"/>
  <c r="AH156" i="1"/>
  <c r="AJ156" i="1"/>
  <c r="AL156" i="1"/>
  <c r="AN156" i="1"/>
  <c r="AP156" i="1"/>
  <c r="AR156" i="1"/>
  <c r="AT156" i="1"/>
  <c r="AV156" i="1"/>
  <c r="AX156" i="1"/>
  <c r="A157" i="1"/>
  <c r="D157" i="1"/>
  <c r="F157" i="1"/>
  <c r="H157" i="1"/>
  <c r="J157" i="1"/>
  <c r="L157" i="1"/>
  <c r="N157" i="1"/>
  <c r="P157" i="1"/>
  <c r="R157" i="1"/>
  <c r="T157" i="1"/>
  <c r="V157" i="1"/>
  <c r="X157" i="1"/>
  <c r="Z157" i="1"/>
  <c r="AB157" i="1"/>
  <c r="AD157" i="1"/>
  <c r="AF157" i="1"/>
  <c r="AH157" i="1"/>
  <c r="AJ157" i="1"/>
  <c r="AL157" i="1"/>
  <c r="AN157" i="1"/>
  <c r="AP157" i="1"/>
  <c r="AR157" i="1"/>
  <c r="AT157" i="1"/>
  <c r="AV157" i="1"/>
  <c r="AX157" i="1"/>
  <c r="A158" i="1"/>
  <c r="D158" i="1"/>
  <c r="F158" i="1"/>
  <c r="H158" i="1"/>
  <c r="J158" i="1"/>
  <c r="L158" i="1"/>
  <c r="N158" i="1"/>
  <c r="P158" i="1"/>
  <c r="R158" i="1"/>
  <c r="T158" i="1"/>
  <c r="V158" i="1"/>
  <c r="X158" i="1"/>
  <c r="Z158" i="1"/>
  <c r="AB158" i="1"/>
  <c r="AD158" i="1"/>
  <c r="AF158" i="1"/>
  <c r="AH158" i="1"/>
  <c r="AJ158" i="1"/>
  <c r="AL158" i="1"/>
  <c r="AN158" i="1"/>
  <c r="AP158" i="1"/>
  <c r="AR158" i="1"/>
  <c r="AT158" i="1"/>
  <c r="AV158" i="1"/>
  <c r="AX158" i="1"/>
  <c r="A159" i="1"/>
  <c r="D159" i="1"/>
  <c r="F159" i="1"/>
  <c r="H159" i="1"/>
  <c r="J159" i="1"/>
  <c r="L159" i="1"/>
  <c r="N159" i="1"/>
  <c r="P159" i="1"/>
  <c r="R159" i="1"/>
  <c r="T159" i="1"/>
  <c r="V159" i="1"/>
  <c r="X159" i="1"/>
  <c r="Z159" i="1"/>
  <c r="AB159" i="1"/>
  <c r="AD159" i="1"/>
  <c r="AF159" i="1"/>
  <c r="AH159" i="1"/>
  <c r="AJ159" i="1"/>
  <c r="AL159" i="1"/>
  <c r="AN159" i="1"/>
  <c r="AP159" i="1"/>
  <c r="AR159" i="1"/>
  <c r="AT159" i="1"/>
  <c r="AV159" i="1"/>
  <c r="AX159" i="1"/>
  <c r="A160" i="1"/>
  <c r="D160" i="1"/>
  <c r="F160" i="1"/>
  <c r="H160" i="1"/>
  <c r="J160" i="1"/>
  <c r="L160" i="1"/>
  <c r="N160" i="1"/>
  <c r="P160" i="1"/>
  <c r="R160" i="1"/>
  <c r="T160" i="1"/>
  <c r="V160" i="1"/>
  <c r="X160" i="1"/>
  <c r="Z160" i="1"/>
  <c r="AB160" i="1"/>
  <c r="AD160" i="1"/>
  <c r="AF160" i="1"/>
  <c r="AH160" i="1"/>
  <c r="AJ160" i="1"/>
  <c r="AL160" i="1"/>
  <c r="AN160" i="1"/>
  <c r="AP160" i="1"/>
  <c r="AR160" i="1"/>
  <c r="AT160" i="1"/>
  <c r="AV160" i="1"/>
  <c r="AX160" i="1"/>
  <c r="A162" i="1"/>
  <c r="D162" i="1"/>
  <c r="F162" i="1"/>
  <c r="H162" i="1"/>
  <c r="J162" i="1"/>
  <c r="L162" i="1"/>
  <c r="N162" i="1"/>
  <c r="P162" i="1"/>
  <c r="R162" i="1"/>
  <c r="T162" i="1"/>
  <c r="V162" i="1"/>
  <c r="X162" i="1"/>
  <c r="Z162" i="1"/>
  <c r="AB162" i="1"/>
  <c r="AD162" i="1"/>
  <c r="AF162" i="1"/>
  <c r="AH162" i="1"/>
  <c r="AJ162" i="1"/>
  <c r="AL162" i="1"/>
  <c r="AN162" i="1"/>
  <c r="AP162" i="1"/>
  <c r="AR162" i="1"/>
  <c r="AT162" i="1"/>
  <c r="AV162" i="1"/>
  <c r="AX162" i="1"/>
  <c r="A161" i="1"/>
  <c r="D161" i="1"/>
  <c r="F161" i="1"/>
  <c r="H161" i="1"/>
  <c r="J161" i="1"/>
  <c r="L161" i="1"/>
  <c r="N161" i="1"/>
  <c r="P161" i="1"/>
  <c r="R161" i="1"/>
  <c r="T161" i="1"/>
  <c r="V161" i="1"/>
  <c r="X161" i="1"/>
  <c r="Z161" i="1"/>
  <c r="AB161" i="1"/>
  <c r="AD161" i="1"/>
  <c r="AF161" i="1"/>
  <c r="AH161" i="1"/>
  <c r="AJ161" i="1"/>
  <c r="AL161" i="1"/>
  <c r="AN161" i="1"/>
  <c r="AP161" i="1"/>
  <c r="AR161" i="1"/>
  <c r="AT161" i="1"/>
  <c r="AV161" i="1"/>
  <c r="AX161" i="1"/>
  <c r="A163" i="1"/>
  <c r="D163" i="1"/>
  <c r="F163" i="1"/>
  <c r="H163" i="1"/>
  <c r="J163" i="1"/>
  <c r="L163" i="1"/>
  <c r="N163" i="1"/>
  <c r="P163" i="1"/>
  <c r="R163" i="1"/>
  <c r="T163" i="1"/>
  <c r="V163" i="1"/>
  <c r="X163" i="1"/>
  <c r="Z163" i="1"/>
  <c r="AB163" i="1"/>
  <c r="AD163" i="1"/>
  <c r="AF163" i="1"/>
  <c r="AH163" i="1"/>
  <c r="AJ163" i="1"/>
  <c r="AL163" i="1"/>
  <c r="AN163" i="1"/>
  <c r="AP163" i="1"/>
  <c r="AR163" i="1"/>
  <c r="AT163" i="1"/>
  <c r="AV163" i="1"/>
  <c r="AX163" i="1"/>
  <c r="A164" i="1"/>
  <c r="D164" i="1"/>
  <c r="F164" i="1"/>
  <c r="H164" i="1"/>
  <c r="J164" i="1"/>
  <c r="L164" i="1"/>
  <c r="N164" i="1"/>
  <c r="P164" i="1"/>
  <c r="R164" i="1"/>
  <c r="T164" i="1"/>
  <c r="V164" i="1"/>
  <c r="X164" i="1"/>
  <c r="Z164" i="1"/>
  <c r="AB164" i="1"/>
  <c r="AD164" i="1"/>
  <c r="AF164" i="1"/>
  <c r="AH164" i="1"/>
  <c r="AJ164" i="1"/>
  <c r="AL164" i="1"/>
  <c r="AN164" i="1"/>
  <c r="AP164" i="1"/>
  <c r="AR164" i="1"/>
  <c r="AT164" i="1"/>
  <c r="AV164" i="1"/>
  <c r="AX164" i="1"/>
  <c r="A165" i="1"/>
  <c r="D165" i="1"/>
  <c r="F165" i="1"/>
  <c r="H165" i="1"/>
  <c r="J165" i="1"/>
  <c r="L165" i="1"/>
  <c r="N165" i="1"/>
  <c r="P165" i="1"/>
  <c r="R165" i="1"/>
  <c r="T165" i="1"/>
  <c r="V165" i="1"/>
  <c r="X165" i="1"/>
  <c r="Z165" i="1"/>
  <c r="AB165" i="1"/>
  <c r="AD165" i="1"/>
  <c r="AF165" i="1"/>
  <c r="AH165" i="1"/>
  <c r="AJ165" i="1"/>
  <c r="AL165" i="1"/>
  <c r="AN165" i="1"/>
  <c r="AP165" i="1"/>
  <c r="AR165" i="1"/>
  <c r="AT165" i="1"/>
  <c r="AV165" i="1"/>
  <c r="AX165" i="1"/>
  <c r="A166" i="1"/>
  <c r="D166" i="1"/>
  <c r="F166" i="1"/>
  <c r="H166" i="1"/>
  <c r="J166" i="1"/>
  <c r="L166" i="1"/>
  <c r="N166" i="1"/>
  <c r="P166" i="1"/>
  <c r="R166" i="1"/>
  <c r="T166" i="1"/>
  <c r="V166" i="1"/>
  <c r="X166" i="1"/>
  <c r="Z166" i="1"/>
  <c r="AB166" i="1"/>
  <c r="AD166" i="1"/>
  <c r="AF166" i="1"/>
  <c r="AH166" i="1"/>
  <c r="AJ166" i="1"/>
  <c r="AL166" i="1"/>
  <c r="AN166" i="1"/>
  <c r="AP166" i="1"/>
  <c r="AR166" i="1"/>
  <c r="AT166" i="1"/>
  <c r="AV166" i="1"/>
  <c r="AX166" i="1"/>
  <c r="A167" i="1"/>
  <c r="D167" i="1"/>
  <c r="F167" i="1"/>
  <c r="H167" i="1"/>
  <c r="J167" i="1"/>
  <c r="L167" i="1"/>
  <c r="N167" i="1"/>
  <c r="P167" i="1"/>
  <c r="R167" i="1"/>
  <c r="T167" i="1"/>
  <c r="V167" i="1"/>
  <c r="X167" i="1"/>
  <c r="Z167" i="1"/>
  <c r="AB167" i="1"/>
  <c r="AD167" i="1"/>
  <c r="AF167" i="1"/>
  <c r="AH167" i="1"/>
  <c r="AJ167" i="1"/>
  <c r="AL167" i="1"/>
  <c r="AN167" i="1"/>
  <c r="AP167" i="1"/>
  <c r="AR167" i="1"/>
  <c r="AT167" i="1"/>
  <c r="AV167" i="1"/>
  <c r="AX167" i="1"/>
  <c r="A168" i="1"/>
  <c r="D168" i="1"/>
  <c r="F168" i="1"/>
  <c r="H168" i="1"/>
  <c r="J168" i="1"/>
  <c r="L168" i="1"/>
  <c r="N168" i="1"/>
  <c r="P168" i="1"/>
  <c r="R168" i="1"/>
  <c r="T168" i="1"/>
  <c r="V168" i="1"/>
  <c r="X168" i="1"/>
  <c r="Z168" i="1"/>
  <c r="AB168" i="1"/>
  <c r="AD168" i="1"/>
  <c r="AF168" i="1"/>
  <c r="AH168" i="1"/>
  <c r="AJ168" i="1"/>
  <c r="AL168" i="1"/>
  <c r="AN168" i="1"/>
  <c r="AP168" i="1"/>
  <c r="AR168" i="1"/>
  <c r="AT168" i="1"/>
  <c r="AV168" i="1"/>
  <c r="AX168" i="1"/>
  <c r="A173" i="1"/>
  <c r="D173" i="1"/>
  <c r="F173" i="1"/>
  <c r="H173" i="1"/>
  <c r="J173" i="1"/>
  <c r="L173" i="1"/>
  <c r="N173" i="1"/>
  <c r="P173" i="1"/>
  <c r="R173" i="1"/>
  <c r="T173" i="1"/>
  <c r="V173" i="1"/>
  <c r="X173" i="1"/>
  <c r="Z173" i="1"/>
  <c r="AB173" i="1"/>
  <c r="AD173" i="1"/>
  <c r="AF173" i="1"/>
  <c r="AH173" i="1"/>
  <c r="AJ173" i="1"/>
  <c r="AL173" i="1"/>
  <c r="AN173" i="1"/>
  <c r="AP173" i="1"/>
  <c r="AR173" i="1"/>
  <c r="AT173" i="1"/>
  <c r="AV173" i="1"/>
  <c r="AX173" i="1"/>
  <c r="A174" i="1"/>
  <c r="D174" i="1"/>
  <c r="F174" i="1"/>
  <c r="H174" i="1"/>
  <c r="J174" i="1"/>
  <c r="L174" i="1"/>
  <c r="N174" i="1"/>
  <c r="P174" i="1"/>
  <c r="R174" i="1"/>
  <c r="T174" i="1"/>
  <c r="V174" i="1"/>
  <c r="X174" i="1"/>
  <c r="Z174" i="1"/>
  <c r="AB174" i="1"/>
  <c r="AD174" i="1"/>
  <c r="AF174" i="1"/>
  <c r="AH174" i="1"/>
  <c r="AJ174" i="1"/>
  <c r="AL174" i="1"/>
  <c r="AN174" i="1"/>
  <c r="AP174" i="1"/>
  <c r="AR174" i="1"/>
  <c r="AT174" i="1"/>
  <c r="AV174" i="1"/>
  <c r="AX174" i="1"/>
  <c r="A176" i="1"/>
  <c r="D176" i="1"/>
  <c r="F176" i="1"/>
  <c r="H176" i="1"/>
  <c r="J176" i="1"/>
  <c r="L176" i="1"/>
  <c r="N176" i="1"/>
  <c r="P176" i="1"/>
  <c r="R176" i="1"/>
  <c r="T176" i="1"/>
  <c r="V176" i="1"/>
  <c r="X176" i="1"/>
  <c r="Z176" i="1"/>
  <c r="AB176" i="1"/>
  <c r="AD176" i="1"/>
  <c r="AF176" i="1"/>
  <c r="AH176" i="1"/>
  <c r="AJ176" i="1"/>
  <c r="AL176" i="1"/>
  <c r="AN176" i="1"/>
  <c r="AP176" i="1"/>
  <c r="AR176" i="1"/>
  <c r="AT176" i="1"/>
  <c r="AV176" i="1"/>
  <c r="AX176" i="1"/>
  <c r="A177" i="1"/>
  <c r="A175" i="1"/>
  <c r="D175" i="1"/>
  <c r="F175" i="1"/>
  <c r="H175" i="1"/>
  <c r="J175" i="1"/>
  <c r="L175" i="1"/>
  <c r="N175" i="1"/>
  <c r="P175" i="1"/>
  <c r="R175" i="1"/>
  <c r="T175" i="1"/>
  <c r="V175" i="1"/>
  <c r="X175" i="1"/>
  <c r="Z175" i="1"/>
  <c r="AB175" i="1"/>
  <c r="AD175" i="1"/>
  <c r="AF175" i="1"/>
  <c r="AH175" i="1"/>
  <c r="AJ175" i="1"/>
  <c r="AL175" i="1"/>
  <c r="AN175" i="1"/>
  <c r="AP175" i="1"/>
  <c r="AR175" i="1"/>
  <c r="AT175" i="1"/>
  <c r="AV175" i="1"/>
  <c r="AX175" i="1"/>
  <c r="A180" i="1"/>
  <c r="D180" i="1"/>
  <c r="F180" i="1"/>
  <c r="H180" i="1"/>
  <c r="J180" i="1"/>
  <c r="L180" i="1"/>
  <c r="N180" i="1"/>
  <c r="P180" i="1"/>
  <c r="R180" i="1"/>
  <c r="T180" i="1"/>
  <c r="V180" i="1"/>
  <c r="X180" i="1"/>
  <c r="Z180" i="1"/>
  <c r="AB180" i="1"/>
  <c r="AD180" i="1"/>
  <c r="AF180" i="1"/>
  <c r="AH180" i="1"/>
  <c r="AJ180" i="1"/>
  <c r="AL180" i="1"/>
  <c r="AN180" i="1"/>
  <c r="AP180" i="1"/>
  <c r="AR180" i="1"/>
  <c r="AT180" i="1"/>
  <c r="AV180" i="1"/>
  <c r="AX180" i="1"/>
  <c r="A184" i="1"/>
  <c r="D184" i="1"/>
  <c r="F184" i="1"/>
  <c r="H184" i="1"/>
  <c r="J184" i="1"/>
  <c r="L184" i="1"/>
  <c r="N184" i="1"/>
  <c r="P184" i="1"/>
  <c r="R184" i="1"/>
  <c r="T184" i="1"/>
  <c r="V184" i="1"/>
  <c r="X184" i="1"/>
  <c r="Z184" i="1"/>
  <c r="AB184" i="1"/>
  <c r="AD184" i="1"/>
  <c r="AF184" i="1"/>
  <c r="AH184" i="1"/>
  <c r="AJ184" i="1"/>
  <c r="AL184" i="1"/>
  <c r="AN184" i="1"/>
  <c r="AP184" i="1"/>
  <c r="AR184" i="1"/>
  <c r="AT184" i="1"/>
  <c r="AV184" i="1"/>
  <c r="AX184" i="1"/>
  <c r="A183" i="1"/>
  <c r="D183" i="1"/>
  <c r="F183" i="1"/>
  <c r="H183" i="1"/>
  <c r="J183" i="1"/>
  <c r="L183" i="1"/>
  <c r="N183" i="1"/>
  <c r="P183" i="1"/>
  <c r="R183" i="1"/>
  <c r="T183" i="1"/>
  <c r="V183" i="1"/>
  <c r="X183" i="1"/>
  <c r="Z183" i="1"/>
  <c r="AB183" i="1"/>
  <c r="AD183" i="1"/>
  <c r="AF183" i="1"/>
  <c r="AH183" i="1"/>
  <c r="AJ183" i="1"/>
  <c r="AL183" i="1"/>
  <c r="AN183" i="1"/>
  <c r="AP183" i="1"/>
  <c r="AR183" i="1"/>
  <c r="AT183" i="1"/>
  <c r="AV183" i="1"/>
  <c r="AX183" i="1"/>
  <c r="A182" i="1"/>
  <c r="D182" i="1"/>
  <c r="F182" i="1"/>
  <c r="H182" i="1"/>
  <c r="J182" i="1"/>
  <c r="L182" i="1"/>
  <c r="N182" i="1"/>
  <c r="P182" i="1"/>
  <c r="R182" i="1"/>
  <c r="T182" i="1"/>
  <c r="V182" i="1"/>
  <c r="X182" i="1"/>
  <c r="Z182" i="1"/>
  <c r="AB182" i="1"/>
  <c r="AD182" i="1"/>
  <c r="AF182" i="1"/>
  <c r="AH182" i="1"/>
  <c r="AJ182" i="1"/>
  <c r="AL182" i="1"/>
  <c r="AN182" i="1"/>
  <c r="AP182" i="1"/>
  <c r="AR182" i="1"/>
  <c r="AT182" i="1"/>
  <c r="AV182" i="1"/>
  <c r="AX182" i="1"/>
  <c r="A181" i="1"/>
  <c r="D181" i="1"/>
  <c r="F181" i="1"/>
  <c r="H181" i="1"/>
  <c r="J181" i="1"/>
  <c r="L181" i="1"/>
  <c r="N181" i="1"/>
  <c r="P181" i="1"/>
  <c r="R181" i="1"/>
  <c r="T181" i="1"/>
  <c r="V181" i="1"/>
  <c r="X181" i="1"/>
  <c r="Z181" i="1"/>
  <c r="AB181" i="1"/>
  <c r="AD181" i="1"/>
  <c r="AF181" i="1"/>
  <c r="AH181" i="1"/>
  <c r="AJ181" i="1"/>
  <c r="AL181" i="1"/>
  <c r="AN181" i="1"/>
  <c r="AP181" i="1"/>
  <c r="AR181" i="1"/>
  <c r="AT181" i="1"/>
  <c r="AV181" i="1"/>
  <c r="AX181" i="1"/>
  <c r="A185" i="1"/>
  <c r="D185" i="1"/>
  <c r="F185" i="1"/>
  <c r="H185" i="1"/>
  <c r="J185" i="1"/>
  <c r="L185" i="1"/>
  <c r="N185" i="1"/>
  <c r="P185" i="1"/>
  <c r="R185" i="1"/>
  <c r="T185" i="1"/>
  <c r="V185" i="1"/>
  <c r="X185" i="1"/>
  <c r="Z185" i="1"/>
  <c r="AB185" i="1"/>
  <c r="AD185" i="1"/>
  <c r="AF185" i="1"/>
  <c r="AH185" i="1"/>
  <c r="AJ185" i="1"/>
  <c r="AL185" i="1"/>
  <c r="AN185" i="1"/>
  <c r="AP185" i="1"/>
  <c r="AR185" i="1"/>
  <c r="AT185" i="1"/>
  <c r="AV185" i="1"/>
  <c r="AX185" i="1"/>
  <c r="A187" i="1"/>
  <c r="D187" i="1"/>
  <c r="F187" i="1"/>
  <c r="H187" i="1"/>
  <c r="J187" i="1"/>
  <c r="L187" i="1"/>
  <c r="N187" i="1"/>
  <c r="P187" i="1"/>
  <c r="R187" i="1"/>
  <c r="T187" i="1"/>
  <c r="V187" i="1"/>
  <c r="X187" i="1"/>
  <c r="Z187" i="1"/>
  <c r="AB187" i="1"/>
  <c r="AD187" i="1"/>
  <c r="AF187" i="1"/>
  <c r="AH187" i="1"/>
  <c r="AJ187" i="1"/>
  <c r="AL187" i="1"/>
  <c r="AN187" i="1"/>
  <c r="AP187" i="1"/>
  <c r="AR187" i="1"/>
  <c r="AT187" i="1"/>
  <c r="AV187" i="1"/>
  <c r="AX187" i="1"/>
  <c r="A186" i="1"/>
  <c r="D186" i="1"/>
  <c r="F186" i="1"/>
  <c r="H186" i="1"/>
  <c r="J186" i="1"/>
  <c r="L186" i="1"/>
  <c r="N186" i="1"/>
  <c r="P186" i="1"/>
  <c r="R186" i="1"/>
  <c r="T186" i="1"/>
  <c r="V186" i="1"/>
  <c r="X186" i="1"/>
  <c r="Z186" i="1"/>
  <c r="AB186" i="1"/>
  <c r="AD186" i="1"/>
  <c r="AF186" i="1"/>
  <c r="AH186" i="1"/>
  <c r="AJ186" i="1"/>
  <c r="AL186" i="1"/>
  <c r="AN186" i="1"/>
  <c r="AP186" i="1"/>
  <c r="AR186" i="1"/>
  <c r="AT186" i="1"/>
  <c r="AV186" i="1"/>
  <c r="AX186" i="1"/>
  <c r="A188" i="1"/>
  <c r="D188" i="1"/>
  <c r="F188" i="1"/>
  <c r="H188" i="1"/>
  <c r="J188" i="1"/>
  <c r="L188" i="1"/>
  <c r="N188" i="1"/>
  <c r="P188" i="1"/>
  <c r="R188" i="1"/>
  <c r="T188" i="1"/>
  <c r="V188" i="1"/>
  <c r="X188" i="1"/>
  <c r="Z188" i="1"/>
  <c r="AB188" i="1"/>
  <c r="AD188" i="1"/>
  <c r="AF188" i="1"/>
  <c r="AH188" i="1"/>
  <c r="AJ188" i="1"/>
  <c r="AL188" i="1"/>
  <c r="AN188" i="1"/>
  <c r="AP188" i="1"/>
  <c r="AR188" i="1"/>
  <c r="AT188" i="1"/>
  <c r="AV188" i="1"/>
  <c r="AX188" i="1"/>
  <c r="A197" i="1"/>
  <c r="D197" i="1"/>
  <c r="F197" i="1"/>
  <c r="H197" i="1"/>
  <c r="J197" i="1"/>
  <c r="L197" i="1"/>
  <c r="N197" i="1"/>
  <c r="P197" i="1"/>
  <c r="R197" i="1"/>
  <c r="T197" i="1"/>
  <c r="V197" i="1"/>
  <c r="X197" i="1"/>
  <c r="Z197" i="1"/>
  <c r="AB197" i="1"/>
  <c r="AD197" i="1"/>
  <c r="AF197" i="1"/>
  <c r="AH197" i="1"/>
  <c r="AJ197" i="1"/>
  <c r="AL197" i="1"/>
  <c r="AN197" i="1"/>
  <c r="AP197" i="1"/>
  <c r="AR197" i="1"/>
  <c r="AT197" i="1"/>
  <c r="AV197" i="1"/>
  <c r="AX197" i="1"/>
  <c r="A198" i="1"/>
  <c r="D198" i="1"/>
  <c r="F198" i="1"/>
  <c r="H198" i="1"/>
  <c r="J198" i="1"/>
  <c r="L198" i="1"/>
  <c r="N198" i="1"/>
  <c r="P198" i="1"/>
  <c r="R198" i="1"/>
  <c r="T198" i="1"/>
  <c r="V198" i="1"/>
  <c r="X198" i="1"/>
  <c r="Z198" i="1"/>
  <c r="AB198" i="1"/>
  <c r="AD198" i="1"/>
  <c r="AF198" i="1"/>
  <c r="AH198" i="1"/>
  <c r="AJ198" i="1"/>
  <c r="AL198" i="1"/>
  <c r="AN198" i="1"/>
  <c r="AP198" i="1"/>
  <c r="AR198" i="1"/>
  <c r="AT198" i="1"/>
  <c r="AV198" i="1"/>
  <c r="AX198" i="1"/>
  <c r="A199" i="1"/>
  <c r="D199" i="1"/>
  <c r="F199" i="1"/>
  <c r="H199" i="1"/>
  <c r="J199" i="1"/>
  <c r="L199" i="1"/>
  <c r="N199" i="1"/>
  <c r="P199" i="1"/>
  <c r="R199" i="1"/>
  <c r="T199" i="1"/>
  <c r="V199" i="1"/>
  <c r="X199" i="1"/>
  <c r="Z199" i="1"/>
  <c r="AB199" i="1"/>
  <c r="AD199" i="1"/>
  <c r="AF199" i="1"/>
  <c r="AH199" i="1"/>
  <c r="AJ199" i="1"/>
  <c r="AL199" i="1"/>
  <c r="AN199" i="1"/>
  <c r="AP199" i="1"/>
  <c r="AR199" i="1"/>
  <c r="AT199" i="1"/>
  <c r="AV199" i="1"/>
  <c r="AX199" i="1"/>
  <c r="A200" i="1"/>
  <c r="D200" i="1"/>
  <c r="F200" i="1"/>
  <c r="H200" i="1"/>
  <c r="J200" i="1"/>
  <c r="L200" i="1"/>
  <c r="N200" i="1"/>
  <c r="P200" i="1"/>
  <c r="R200" i="1"/>
  <c r="T200" i="1"/>
  <c r="V200" i="1"/>
  <c r="X200" i="1"/>
  <c r="Z200" i="1"/>
  <c r="AB200" i="1"/>
  <c r="AD200" i="1"/>
  <c r="AF200" i="1"/>
  <c r="AH200" i="1"/>
  <c r="AJ200" i="1"/>
  <c r="AL200" i="1"/>
  <c r="AN200" i="1"/>
  <c r="AP200" i="1"/>
  <c r="AR200" i="1"/>
  <c r="AT200" i="1"/>
  <c r="AV200" i="1"/>
  <c r="AX200" i="1"/>
  <c r="A201" i="1"/>
  <c r="D201" i="1"/>
  <c r="F201" i="1"/>
  <c r="H201" i="1"/>
  <c r="J201" i="1"/>
  <c r="L201" i="1"/>
  <c r="N201" i="1"/>
  <c r="P201" i="1"/>
  <c r="R201" i="1"/>
  <c r="T201" i="1"/>
  <c r="V201" i="1"/>
  <c r="X201" i="1"/>
  <c r="Z201" i="1"/>
  <c r="AB201" i="1"/>
  <c r="AD201" i="1"/>
  <c r="AF201" i="1"/>
  <c r="AH201" i="1"/>
  <c r="AJ201" i="1"/>
  <c r="AL201" i="1"/>
  <c r="AN201" i="1"/>
  <c r="AP201" i="1"/>
  <c r="AR201" i="1"/>
  <c r="AT201" i="1"/>
  <c r="AV201" i="1"/>
  <c r="AX201" i="1"/>
  <c r="A202" i="1"/>
  <c r="D202" i="1"/>
  <c r="F202" i="1"/>
  <c r="H202" i="1"/>
  <c r="J202" i="1"/>
  <c r="L202" i="1"/>
  <c r="N202" i="1"/>
  <c r="P202" i="1"/>
  <c r="R202" i="1"/>
  <c r="T202" i="1"/>
  <c r="V202" i="1"/>
  <c r="X202" i="1"/>
  <c r="Z202" i="1"/>
  <c r="AB202" i="1"/>
  <c r="AD202" i="1"/>
  <c r="AF202" i="1"/>
  <c r="AH202" i="1"/>
  <c r="AJ202" i="1"/>
  <c r="AL202" i="1"/>
  <c r="AN202" i="1"/>
  <c r="AP202" i="1"/>
  <c r="AR202" i="1"/>
  <c r="AT202" i="1"/>
  <c r="AV202" i="1"/>
  <c r="AX202" i="1"/>
  <c r="A203" i="1"/>
  <c r="D203" i="1"/>
  <c r="F203" i="1"/>
  <c r="H203" i="1"/>
  <c r="J203" i="1"/>
  <c r="L203" i="1"/>
  <c r="N203" i="1"/>
  <c r="P203" i="1"/>
  <c r="R203" i="1"/>
  <c r="T203" i="1"/>
  <c r="V203" i="1"/>
  <c r="X203" i="1"/>
  <c r="Z203" i="1"/>
  <c r="AB203" i="1"/>
  <c r="AD203" i="1"/>
  <c r="AF203" i="1"/>
  <c r="AH203" i="1"/>
  <c r="AJ203" i="1"/>
  <c r="AL203" i="1"/>
  <c r="AN203" i="1"/>
  <c r="AP203" i="1"/>
  <c r="AR203" i="1"/>
  <c r="AT203" i="1"/>
  <c r="AV203" i="1"/>
  <c r="AX203" i="1"/>
  <c r="A205" i="1"/>
  <c r="D205" i="1"/>
  <c r="F205" i="1"/>
  <c r="H205" i="1"/>
  <c r="J205" i="1"/>
  <c r="L205" i="1"/>
  <c r="N205" i="1"/>
  <c r="P205" i="1"/>
  <c r="R205" i="1"/>
  <c r="T205" i="1"/>
  <c r="V205" i="1"/>
  <c r="X205" i="1"/>
  <c r="Z205" i="1"/>
  <c r="AB205" i="1"/>
  <c r="AD205" i="1"/>
  <c r="AF205" i="1"/>
  <c r="AH205" i="1"/>
  <c r="AJ205" i="1"/>
  <c r="AL205" i="1"/>
  <c r="AN205" i="1"/>
  <c r="AP205" i="1"/>
  <c r="AR205" i="1"/>
  <c r="AT205" i="1"/>
  <c r="AV205" i="1"/>
  <c r="AX205" i="1"/>
  <c r="A204" i="1"/>
  <c r="D204" i="1"/>
  <c r="F204" i="1"/>
  <c r="H204" i="1"/>
  <c r="J204" i="1"/>
  <c r="L204" i="1"/>
  <c r="N204" i="1"/>
  <c r="P204" i="1"/>
  <c r="R204" i="1"/>
  <c r="T204" i="1"/>
  <c r="V204" i="1"/>
  <c r="X204" i="1"/>
  <c r="Z204" i="1"/>
  <c r="AB204" i="1"/>
  <c r="AD204" i="1"/>
  <c r="AF204" i="1"/>
  <c r="AH204" i="1"/>
  <c r="AJ204" i="1"/>
  <c r="AL204" i="1"/>
  <c r="AN204" i="1"/>
  <c r="AP204" i="1"/>
  <c r="AR204" i="1"/>
  <c r="AT204" i="1"/>
  <c r="AV204" i="1"/>
  <c r="AX204" i="1"/>
  <c r="A207" i="1"/>
  <c r="D207" i="1"/>
  <c r="F207" i="1"/>
  <c r="H207" i="1"/>
  <c r="J207" i="1"/>
  <c r="L207" i="1"/>
  <c r="N207" i="1"/>
  <c r="P207" i="1"/>
  <c r="R207" i="1"/>
  <c r="T207" i="1"/>
  <c r="V207" i="1"/>
  <c r="X207" i="1"/>
  <c r="Z207" i="1"/>
  <c r="AB207" i="1"/>
  <c r="AD207" i="1"/>
  <c r="AF207" i="1"/>
  <c r="AH207" i="1"/>
  <c r="AJ207" i="1"/>
  <c r="AL207" i="1"/>
  <c r="AN207" i="1"/>
  <c r="AP207" i="1"/>
  <c r="AR207" i="1"/>
  <c r="AT207" i="1"/>
  <c r="AV207" i="1"/>
  <c r="AX207" i="1"/>
  <c r="A208" i="1"/>
  <c r="D208" i="1"/>
  <c r="F208" i="1"/>
  <c r="H208" i="1"/>
  <c r="J208" i="1"/>
  <c r="L208" i="1"/>
  <c r="N208" i="1"/>
  <c r="P208" i="1"/>
  <c r="R208" i="1"/>
  <c r="T208" i="1"/>
  <c r="V208" i="1"/>
  <c r="X208" i="1"/>
  <c r="Z208" i="1"/>
  <c r="AB208" i="1"/>
  <c r="AD208" i="1"/>
  <c r="AF208" i="1"/>
  <c r="AH208" i="1"/>
  <c r="AJ208" i="1"/>
  <c r="AL208" i="1"/>
  <c r="AN208" i="1"/>
  <c r="AP208" i="1"/>
  <c r="AR208" i="1"/>
  <c r="AT208" i="1"/>
  <c r="AV208" i="1"/>
  <c r="AX208" i="1"/>
  <c r="A209" i="1"/>
  <c r="D209" i="1"/>
  <c r="F209" i="1"/>
  <c r="H209" i="1"/>
  <c r="J209" i="1"/>
  <c r="L209" i="1"/>
  <c r="N209" i="1"/>
  <c r="P209" i="1"/>
  <c r="R209" i="1"/>
  <c r="T209" i="1"/>
  <c r="V209" i="1"/>
  <c r="X209" i="1"/>
  <c r="Z209" i="1"/>
  <c r="AB209" i="1"/>
  <c r="AD209" i="1"/>
  <c r="AF209" i="1"/>
  <c r="AH209" i="1"/>
  <c r="AJ209" i="1"/>
  <c r="AL209" i="1"/>
  <c r="AN209" i="1"/>
  <c r="AP209" i="1"/>
  <c r="AR209" i="1"/>
  <c r="AT209" i="1"/>
  <c r="AV209" i="1"/>
  <c r="AX209" i="1"/>
  <c r="A210" i="1"/>
  <c r="D210" i="1"/>
  <c r="F210" i="1"/>
  <c r="H210" i="1"/>
  <c r="J210" i="1"/>
  <c r="L210" i="1"/>
  <c r="N210" i="1"/>
  <c r="P210" i="1"/>
  <c r="R210" i="1"/>
  <c r="T210" i="1"/>
  <c r="V210" i="1"/>
  <c r="X210" i="1"/>
  <c r="Z210" i="1"/>
  <c r="AB210" i="1"/>
  <c r="AD210" i="1"/>
  <c r="AF210" i="1"/>
  <c r="AH210" i="1"/>
  <c r="AJ210" i="1"/>
  <c r="AL210" i="1"/>
  <c r="AN210" i="1"/>
  <c r="AP210" i="1"/>
  <c r="AR210" i="1"/>
  <c r="AT210" i="1"/>
  <c r="AV210" i="1"/>
  <c r="AX210" i="1"/>
  <c r="A206" i="1"/>
  <c r="D206" i="1"/>
  <c r="F206" i="1"/>
  <c r="H206" i="1"/>
  <c r="J206" i="1"/>
  <c r="L206" i="1"/>
  <c r="N206" i="1"/>
  <c r="P206" i="1"/>
  <c r="R206" i="1"/>
  <c r="T206" i="1"/>
  <c r="V206" i="1"/>
  <c r="X206" i="1"/>
  <c r="Z206" i="1"/>
  <c r="AB206" i="1"/>
  <c r="AD206" i="1"/>
  <c r="AF206" i="1"/>
  <c r="AH206" i="1"/>
  <c r="AJ206" i="1"/>
  <c r="AL206" i="1"/>
  <c r="AN206" i="1"/>
  <c r="AP206" i="1"/>
  <c r="AR206" i="1"/>
  <c r="AT206" i="1"/>
  <c r="AV206" i="1"/>
  <c r="AX206" i="1"/>
  <c r="AO20" i="5"/>
  <c r="AO2" i="5"/>
  <c r="AO4" i="5"/>
  <c r="AO3" i="5"/>
  <c r="AO350" i="5"/>
  <c r="AO32" i="5"/>
  <c r="AO10" i="5"/>
  <c r="AO11" i="5"/>
  <c r="AO5" i="5"/>
  <c r="AO26" i="5"/>
  <c r="AO30" i="5"/>
  <c r="AO6" i="5"/>
  <c r="AO25" i="5"/>
  <c r="AO27" i="5"/>
  <c r="AO12" i="5"/>
  <c r="AO16" i="5"/>
  <c r="AO17" i="5"/>
  <c r="AO13" i="5"/>
  <c r="AO384" i="5"/>
  <c r="AO348" i="5"/>
  <c r="AO386" i="5"/>
  <c r="AO357" i="5"/>
  <c r="AO390" i="5"/>
  <c r="AO379" i="5"/>
  <c r="AO29" i="5"/>
  <c r="AO380" i="5"/>
  <c r="AO368" i="5"/>
  <c r="AO392" i="5"/>
  <c r="AO36" i="5"/>
  <c r="AO31" i="5"/>
  <c r="AO393" i="5"/>
  <c r="AO383" i="5"/>
  <c r="AO387" i="5"/>
  <c r="AO385" i="5"/>
  <c r="AO388" i="5"/>
  <c r="AO33" i="5"/>
  <c r="AO7" i="5"/>
  <c r="AO378" i="5"/>
  <c r="AO18" i="5"/>
  <c r="AO8" i="5"/>
  <c r="AO19" i="5"/>
  <c r="AO23" i="5"/>
  <c r="AO24" i="5"/>
  <c r="AO118" i="5"/>
  <c r="AO257" i="5"/>
  <c r="AO49" i="5"/>
  <c r="AO366" i="5"/>
  <c r="AO67" i="5"/>
  <c r="AO267" i="5"/>
  <c r="AO39" i="5"/>
  <c r="AO47" i="5"/>
  <c r="AO269" i="5"/>
  <c r="AO270" i="5"/>
  <c r="AO272" i="5"/>
  <c r="AO268" i="5"/>
  <c r="AO271" i="5"/>
  <c r="AO40" i="5"/>
  <c r="AO65" i="5"/>
  <c r="AO38" i="5"/>
  <c r="AO121" i="5"/>
  <c r="AO62" i="5"/>
  <c r="AO41" i="5"/>
  <c r="AO42" i="5"/>
  <c r="AO241" i="5"/>
  <c r="AO43" i="5"/>
  <c r="AO44" i="5"/>
  <c r="AO45" i="5"/>
  <c r="AO124" i="5"/>
  <c r="AO154" i="5"/>
  <c r="AO279" i="5"/>
  <c r="AO177" i="5"/>
  <c r="AO165" i="5"/>
  <c r="AO274" i="5"/>
  <c r="AO109" i="5"/>
  <c r="AO170" i="5"/>
  <c r="AO223" i="5"/>
  <c r="AO52" i="5"/>
  <c r="AO50" i="5"/>
  <c r="AO51" i="5"/>
  <c r="AO53" i="5"/>
  <c r="AO280" i="5"/>
  <c r="AO55" i="5"/>
  <c r="AO359" i="5"/>
  <c r="AO261" i="5"/>
  <c r="AO56" i="5"/>
  <c r="AO249" i="5"/>
  <c r="AO57" i="5"/>
  <c r="AO58" i="5"/>
  <c r="AO60" i="5"/>
  <c r="AO281" i="5"/>
  <c r="AO59" i="5"/>
  <c r="AO122" i="5"/>
  <c r="AO64" i="5"/>
  <c r="AO98" i="5"/>
  <c r="AO68" i="5"/>
  <c r="AO69" i="5"/>
  <c r="AO71" i="5"/>
  <c r="AO63" i="5"/>
  <c r="AO96" i="5"/>
  <c r="AO46" i="5"/>
  <c r="AO115" i="5"/>
  <c r="AO364" i="5"/>
  <c r="AO266" i="5"/>
  <c r="AO48" i="5"/>
  <c r="AO190" i="5"/>
  <c r="AO162" i="5"/>
  <c r="AO70" i="5"/>
  <c r="AO183" i="5"/>
  <c r="AO185" i="5"/>
  <c r="AO349" i="5"/>
  <c r="AO244" i="5"/>
  <c r="AO245" i="5"/>
  <c r="AO246" i="5"/>
  <c r="AO247" i="5"/>
  <c r="AO248" i="5"/>
  <c r="AO251" i="5"/>
  <c r="AO252" i="5"/>
  <c r="AO253" i="5"/>
  <c r="AO254" i="5"/>
  <c r="AO255" i="5"/>
  <c r="AO256" i="5"/>
  <c r="AO260" i="5"/>
  <c r="AO263" i="5"/>
  <c r="AO264" i="5"/>
  <c r="AO265" i="5"/>
  <c r="AO164" i="5"/>
  <c r="AO397" i="5"/>
  <c r="AO75" i="5"/>
  <c r="AO127" i="5"/>
  <c r="AO125" i="5"/>
  <c r="AO288" i="5"/>
  <c r="AO135" i="5"/>
  <c r="AO232" i="5"/>
  <c r="AO74" i="5"/>
  <c r="AO89" i="5"/>
  <c r="AO78" i="5"/>
  <c r="AO128" i="5"/>
  <c r="AO130" i="5"/>
  <c r="AO73" i="5"/>
  <c r="AO72" i="5"/>
  <c r="AO140" i="5"/>
  <c r="AO199" i="5"/>
  <c r="AO171" i="5"/>
  <c r="AO284" i="5"/>
  <c r="AO28" i="5"/>
  <c r="AO283" i="5"/>
  <c r="AO287" i="5"/>
  <c r="AO54" i="5"/>
  <c r="AO320" i="5"/>
  <c r="AO82" i="5"/>
  <c r="AO84" i="5"/>
  <c r="AO289" i="5"/>
  <c r="AO81" i="5"/>
  <c r="AO83" i="5"/>
  <c r="AO86" i="5"/>
  <c r="AO277" i="5"/>
  <c r="AO285" i="5"/>
  <c r="AO85" i="5"/>
  <c r="AO92" i="5"/>
  <c r="AO276" i="5"/>
  <c r="AO369" i="5"/>
  <c r="AO309" i="5"/>
  <c r="AO322" i="5"/>
  <c r="AO323" i="5"/>
  <c r="AO305" i="5"/>
  <c r="AO316" i="5"/>
  <c r="AO293" i="5"/>
  <c r="AO294" i="5"/>
  <c r="AO346" i="5"/>
  <c r="AO314" i="5"/>
  <c r="AO312" i="5"/>
  <c r="AO313" i="5"/>
  <c r="AO291" i="5"/>
  <c r="AO303" i="5"/>
  <c r="AO292" i="5"/>
  <c r="AO296" i="5"/>
  <c r="AO307" i="5"/>
  <c r="AO297" i="5"/>
  <c r="AO301" i="5"/>
  <c r="AO295" i="5"/>
  <c r="AO298" i="5"/>
  <c r="AO311" i="5"/>
  <c r="AO302" i="5"/>
  <c r="AO306" i="5"/>
  <c r="AO315" i="5"/>
  <c r="AO304" i="5"/>
  <c r="AO299" i="5"/>
  <c r="AO308" i="5"/>
  <c r="AO310" i="5"/>
  <c r="AO300" i="5"/>
  <c r="AO317" i="5"/>
  <c r="AO318" i="5"/>
  <c r="AO325" i="5"/>
  <c r="AO326" i="5"/>
  <c r="AO290" i="5"/>
  <c r="AO337" i="5"/>
  <c r="AO400" i="5"/>
  <c r="AO93" i="5"/>
  <c r="AO95" i="5"/>
  <c r="AO172" i="5"/>
  <c r="AO79" i="5"/>
  <c r="AO94" i="5"/>
  <c r="AO106" i="5"/>
  <c r="AO107" i="5"/>
  <c r="AO108" i="5"/>
  <c r="AO156" i="5"/>
  <c r="AO150" i="5"/>
  <c r="AO367" i="5"/>
  <c r="AO97" i="5"/>
  <c r="AO278" i="5"/>
  <c r="AO286" i="5"/>
  <c r="AO228" i="5"/>
  <c r="AO66" i="5"/>
  <c r="AO365" i="5"/>
  <c r="AO143" i="5"/>
  <c r="AO101" i="5"/>
  <c r="AO100" i="5"/>
  <c r="AO99" i="5"/>
  <c r="AO193" i="5"/>
  <c r="AO157" i="5"/>
  <c r="AO102" i="5"/>
  <c r="AO103" i="5"/>
  <c r="AO324" i="5"/>
  <c r="AO321" i="5"/>
  <c r="AO394" i="5"/>
  <c r="AO343" i="5"/>
  <c r="AO395" i="5"/>
  <c r="AO342" i="5"/>
  <c r="AO391" i="5"/>
  <c r="AO344" i="5"/>
  <c r="AO341" i="5"/>
  <c r="AO398" i="5"/>
  <c r="AO405" i="5"/>
  <c r="AO340" i="5"/>
  <c r="AO406" i="5"/>
  <c r="AO353" i="5"/>
  <c r="AO362" i="5"/>
  <c r="AO396" i="5"/>
  <c r="AO354" i="5"/>
  <c r="AO338" i="5"/>
  <c r="AO370" i="5"/>
  <c r="AO363" i="5"/>
  <c r="AO403" i="5"/>
  <c r="AO401" i="5"/>
  <c r="AO402" i="5"/>
  <c r="AO355" i="5"/>
  <c r="AO358" i="5"/>
  <c r="AO361" i="5"/>
  <c r="AO360" i="5"/>
  <c r="AO319" i="5"/>
  <c r="AO376" i="5"/>
  <c r="AO373" i="5"/>
  <c r="AO375" i="5"/>
  <c r="AO377" i="5"/>
  <c r="AO374" i="5"/>
  <c r="AO372" i="5"/>
  <c r="AO371" i="5"/>
  <c r="AO339" i="5"/>
  <c r="AO161" i="5"/>
  <c r="AO356" i="5"/>
  <c r="AO90" i="5"/>
  <c r="AO91" i="5"/>
  <c r="AO137" i="5"/>
  <c r="AO9" i="5"/>
  <c r="AO189" i="5"/>
  <c r="AO197" i="5"/>
  <c r="AO196" i="5"/>
  <c r="AO194" i="5"/>
  <c r="AO144" i="5"/>
  <c r="AO195" i="5"/>
  <c r="AO114" i="5"/>
  <c r="AO198" i="5"/>
  <c r="AO224" i="5"/>
  <c r="AO119" i="5"/>
  <c r="AO152" i="5"/>
  <c r="AO201" i="5"/>
  <c r="AO202" i="5"/>
  <c r="AO237" i="5"/>
  <c r="AO382" i="5"/>
  <c r="AO179" i="5"/>
  <c r="AO222" i="5"/>
  <c r="AO187" i="5"/>
  <c r="AO208" i="5"/>
  <c r="AO203" i="5"/>
  <c r="AO105" i="5"/>
  <c r="AO139" i="5"/>
  <c r="AO77" i="5"/>
  <c r="AO250" i="5"/>
  <c r="AO204" i="5"/>
  <c r="AO205" i="5"/>
  <c r="AO234" i="5"/>
  <c r="AO235" i="5"/>
  <c r="AO110" i="5"/>
  <c r="AO238" i="5"/>
  <c r="AO111" i="5"/>
  <c r="AO112" i="5"/>
  <c r="AO178" i="5"/>
  <c r="AO206" i="5"/>
  <c r="AO275" i="5"/>
  <c r="AO163" i="5"/>
  <c r="AO236" i="5"/>
  <c r="AO381" i="5"/>
  <c r="AO273" i="5"/>
  <c r="AO117" i="5"/>
  <c r="AO200" i="5"/>
  <c r="AO389" i="5"/>
  <c r="AO14" i="5"/>
  <c r="AO259" i="5"/>
  <c r="AO166" i="5"/>
  <c r="AO15" i="5"/>
  <c r="AO207" i="5"/>
  <c r="AO352" i="5"/>
  <c r="AO34" i="5"/>
  <c r="AO153" i="5"/>
  <c r="AO151" i="5"/>
  <c r="AO243" i="5"/>
  <c r="AO35" i="5"/>
  <c r="AO113" i="5"/>
  <c r="AO76" i="5"/>
  <c r="AO231" i="5"/>
  <c r="AO80" i="5"/>
  <c r="AO147" i="5"/>
  <c r="AO191" i="5"/>
  <c r="AO221" i="5"/>
  <c r="AO134" i="5"/>
  <c r="AO192" i="5"/>
  <c r="AO120" i="5"/>
  <c r="AO136" i="5"/>
  <c r="AO173" i="5"/>
  <c r="AO174" i="5"/>
  <c r="AO180" i="5"/>
  <c r="AO182" i="5"/>
  <c r="AO184" i="5"/>
  <c r="AO242" i="5"/>
  <c r="AO131" i="5"/>
  <c r="AO210" i="5"/>
  <c r="AO214" i="5"/>
  <c r="AO167" i="5"/>
  <c r="AO88" i="5"/>
  <c r="AO347" i="5"/>
  <c r="AO212" i="5"/>
  <c r="AO209" i="5"/>
  <c r="AO211" i="5"/>
  <c r="AO159" i="5"/>
  <c r="AO160" i="5"/>
  <c r="AO282" i="5"/>
  <c r="AO168" i="5"/>
  <c r="AO87" i="5"/>
  <c r="AO132" i="5"/>
  <c r="AO239" i="5"/>
  <c r="AO229" i="5"/>
  <c r="AO145" i="5"/>
  <c r="AO169" i="5"/>
  <c r="AO158" i="5"/>
  <c r="AO138" i="5"/>
  <c r="AO186" i="5"/>
  <c r="AO226" i="5"/>
  <c r="AO345" i="5"/>
  <c r="AO141" i="5"/>
  <c r="AO216" i="5"/>
  <c r="AO155" i="5"/>
  <c r="AO227" i="5"/>
  <c r="AO126" i="5"/>
  <c r="AO215" i="5"/>
  <c r="AO230" i="5"/>
  <c r="AO217" i="5"/>
  <c r="AO123" i="5"/>
  <c r="AO133" i="5"/>
  <c r="AO181" i="5"/>
  <c r="AO218" i="5"/>
  <c r="AO219" i="5"/>
  <c r="AO220" i="5"/>
  <c r="AO213" i="5"/>
  <c r="AO104" i="5"/>
  <c r="AO146" i="5"/>
  <c r="AO148" i="5"/>
  <c r="AO142" i="5"/>
  <c r="AO61" i="5"/>
  <c r="AO116" i="5"/>
  <c r="AO129" i="5"/>
  <c r="AO149" i="5"/>
  <c r="AO175" i="5"/>
  <c r="AO176" i="5"/>
  <c r="AO188" i="5"/>
  <c r="AO225" i="5"/>
  <c r="AO22" i="5"/>
  <c r="AO233" i="5"/>
  <c r="AO37" i="5"/>
  <c r="AO258" i="5"/>
  <c r="AO240" i="5"/>
  <c r="AO327" i="5"/>
  <c r="AO335" i="5"/>
  <c r="AO334" i="5"/>
  <c r="AO329" i="5"/>
  <c r="AO332" i="5"/>
  <c r="AO399" i="5"/>
  <c r="AO336" i="5"/>
  <c r="AO328" i="5"/>
  <c r="AO331" i="5"/>
  <c r="AO330" i="5"/>
  <c r="AO333" i="5"/>
  <c r="AO351" i="5"/>
  <c r="AO262" i="5"/>
  <c r="AO404" i="5"/>
  <c r="AO21" i="5"/>
  <c r="C2" i="7"/>
  <c r="AZ92" i="1"/>
  <c r="BA92" i="1"/>
  <c r="BB92" i="1"/>
  <c r="CG92" i="1"/>
  <c r="CH92" i="1"/>
  <c r="CI92" i="1"/>
  <c r="CJ92" i="1"/>
  <c r="CK92" i="1"/>
  <c r="CL92" i="1"/>
  <c r="CM92" i="1"/>
  <c r="CN92" i="1"/>
  <c r="CO92" i="1"/>
  <c r="CP92" i="1"/>
  <c r="CQ92" i="1"/>
  <c r="CR92" i="1"/>
  <c r="BU92" i="1"/>
  <c r="BV92" i="1"/>
  <c r="BW92" i="1"/>
  <c r="BX92" i="1"/>
  <c r="BY92" i="1"/>
  <c r="BZ92" i="1"/>
  <c r="CA92" i="1"/>
  <c r="CB92" i="1"/>
  <c r="CC92" i="1"/>
  <c r="CD92" i="1"/>
  <c r="CE92" i="1"/>
  <c r="CF92" i="1"/>
  <c r="BC92" i="1"/>
  <c r="CS92" i="1"/>
  <c r="AB37" i="2"/>
  <c r="AB25" i="2"/>
  <c r="AB35" i="2"/>
  <c r="AB43" i="2"/>
  <c r="AB44" i="2"/>
  <c r="AB47" i="2"/>
  <c r="AB48" i="2"/>
  <c r="AB49" i="2"/>
  <c r="AB28" i="2"/>
  <c r="AB29" i="2"/>
  <c r="AB38" i="2"/>
  <c r="AB19" i="2"/>
  <c r="AB26" i="2"/>
  <c r="AB18" i="2"/>
  <c r="AB27" i="2"/>
  <c r="AB22" i="2"/>
  <c r="AB3" i="2"/>
  <c r="AB7" i="2"/>
  <c r="AB23" i="2"/>
  <c r="AB13" i="2"/>
  <c r="AB39" i="2"/>
  <c r="AB33" i="2"/>
  <c r="AB40" i="2"/>
  <c r="AB2" i="2"/>
  <c r="AB14" i="2"/>
  <c r="AB5" i="2"/>
  <c r="AB12" i="2"/>
  <c r="AB20" i="2"/>
  <c r="AB21" i="2"/>
  <c r="AB4" i="2"/>
  <c r="AB8" i="2"/>
  <c r="AB15" i="2"/>
  <c r="AB6" i="2"/>
  <c r="AB30" i="2"/>
  <c r="AB9" i="2"/>
  <c r="AB31" i="2"/>
  <c r="AB32" i="2"/>
  <c r="AB10" i="2"/>
  <c r="AB34" i="2"/>
  <c r="AB36" i="2"/>
  <c r="AB24" i="2"/>
  <c r="BA2" i="1"/>
  <c r="F35" i="5"/>
  <c r="AC36" i="2"/>
  <c r="F34" i="5"/>
  <c r="AC37" i="2"/>
  <c r="F9" i="5"/>
  <c r="AC25" i="2"/>
  <c r="F15" i="5"/>
  <c r="AC35" i="2"/>
  <c r="F14" i="5"/>
  <c r="AC33" i="2"/>
  <c r="F22" i="5"/>
  <c r="AC26" i="2"/>
  <c r="AC23" i="2"/>
  <c r="F58" i="5"/>
  <c r="AC9" i="2"/>
  <c r="F69" i="5"/>
  <c r="AC14" i="2"/>
  <c r="F70" i="5"/>
  <c r="AC13" i="2"/>
  <c r="F59" i="5"/>
  <c r="AC7" i="2"/>
  <c r="F56" i="5"/>
  <c r="AC10" i="2"/>
  <c r="F55" i="5"/>
  <c r="AC8" i="2"/>
  <c r="AC24" i="2"/>
  <c r="F207" i="5"/>
  <c r="AC34" i="2"/>
  <c r="F39" i="5"/>
  <c r="AC5" i="2"/>
  <c r="F51" i="5"/>
  <c r="AC12" i="2"/>
  <c r="F44" i="5"/>
  <c r="AC6" i="2"/>
  <c r="F206" i="5"/>
  <c r="AC30" i="2"/>
  <c r="F205" i="5"/>
  <c r="AC31" i="2"/>
  <c r="F203" i="5"/>
  <c r="AC29" i="2"/>
  <c r="F201" i="5"/>
  <c r="AC32" i="2"/>
  <c r="F202" i="5"/>
  <c r="AC28" i="2"/>
  <c r="AC40" i="2"/>
  <c r="F197" i="5"/>
  <c r="AC27" i="2"/>
  <c r="AC39" i="2"/>
  <c r="F85" i="5"/>
  <c r="AC21" i="2"/>
  <c r="F72" i="5"/>
  <c r="AC15" i="2"/>
  <c r="F94" i="5"/>
  <c r="AC19" i="2"/>
  <c r="F100" i="5"/>
  <c r="AC22" i="2"/>
  <c r="AC38" i="2"/>
  <c r="F90" i="5"/>
  <c r="AC18" i="2"/>
  <c r="F28" i="5"/>
  <c r="AC2" i="2"/>
  <c r="F82" i="5"/>
  <c r="AC3" i="2"/>
  <c r="F286" i="5"/>
  <c r="AC4" i="2"/>
  <c r="AC20" i="2"/>
  <c r="AC43" i="2"/>
  <c r="AC44" i="2"/>
  <c r="F370" i="5"/>
  <c r="AC48" i="2"/>
  <c r="F374" i="5"/>
  <c r="AC47" i="2"/>
  <c r="AC49" i="2"/>
  <c r="BA13" i="1"/>
  <c r="BA41" i="1"/>
  <c r="BA40" i="1"/>
  <c r="BA70" i="1"/>
  <c r="BA68" i="1"/>
  <c r="BA71" i="1"/>
  <c r="BA72" i="1"/>
  <c r="BA73" i="1"/>
  <c r="BA74" i="1"/>
  <c r="BA134" i="1"/>
  <c r="BA143" i="1"/>
  <c r="BA144" i="1"/>
  <c r="BA176" i="1"/>
  <c r="BA3" i="1"/>
  <c r="BA4" i="1"/>
  <c r="BA5" i="1"/>
  <c r="BA7" i="1"/>
  <c r="BA6" i="1"/>
  <c r="BA8" i="1"/>
  <c r="BA12" i="1"/>
  <c r="BA22" i="1"/>
  <c r="BA20" i="1"/>
  <c r="BA25" i="1"/>
  <c r="BA29" i="1"/>
  <c r="BA30" i="1"/>
  <c r="BA31" i="1"/>
  <c r="BA32" i="1"/>
  <c r="BA21" i="1"/>
  <c r="BA27" i="1"/>
  <c r="BA17" i="1"/>
  <c r="BA18" i="1"/>
  <c r="BA19" i="1"/>
  <c r="BA24" i="1"/>
  <c r="BA26" i="1"/>
  <c r="BA28" i="1"/>
  <c r="BA23" i="1"/>
  <c r="BA16" i="1"/>
  <c r="BA15" i="1"/>
  <c r="BA36" i="1"/>
  <c r="BA37" i="1"/>
  <c r="BA38" i="1"/>
  <c r="BA39" i="1"/>
  <c r="BA42" i="1"/>
  <c r="BA43" i="1"/>
  <c r="BA44" i="1"/>
  <c r="BA45" i="1"/>
  <c r="BA46" i="1"/>
  <c r="BA47" i="1"/>
  <c r="BA48" i="1"/>
  <c r="BA49" i="1"/>
  <c r="BA50" i="1"/>
  <c r="BA51" i="1"/>
  <c r="BA54" i="1"/>
  <c r="BA55" i="1"/>
  <c r="BA57" i="1"/>
  <c r="BA58" i="1"/>
  <c r="BA53" i="1"/>
  <c r="BA60" i="1"/>
  <c r="BA56" i="1"/>
  <c r="BA52" i="1"/>
  <c r="BA61" i="1"/>
  <c r="BA59" i="1"/>
  <c r="BA62" i="1"/>
  <c r="BA76" i="1"/>
  <c r="BA69" i="1"/>
  <c r="BA63" i="1"/>
  <c r="BA75" i="1"/>
  <c r="BA64" i="1"/>
  <c r="BA65" i="1"/>
  <c r="BA66" i="1"/>
  <c r="BA67" i="1"/>
  <c r="BA77" i="1"/>
  <c r="BA79" i="1"/>
  <c r="BA80" i="1"/>
  <c r="BA78" i="1"/>
  <c r="BA87" i="1"/>
  <c r="BA88" i="1"/>
  <c r="BA89" i="1"/>
  <c r="BA90" i="1"/>
  <c r="BA93" i="1"/>
  <c r="BA95" i="1"/>
  <c r="BA96" i="1"/>
  <c r="BA97" i="1"/>
  <c r="BA180" i="1"/>
  <c r="BA184" i="1"/>
  <c r="BA183" i="1"/>
  <c r="BA182" i="1"/>
  <c r="BA181" i="1"/>
  <c r="BA100" i="1"/>
  <c r="BA101" i="1"/>
  <c r="BA103" i="1"/>
  <c r="BA102" i="1"/>
  <c r="BA104" i="1"/>
  <c r="BA105" i="1"/>
  <c r="BA108" i="1"/>
  <c r="BA107" i="1"/>
  <c r="BA106" i="1"/>
  <c r="BA109" i="1"/>
  <c r="BA110" i="1"/>
  <c r="BA185" i="1"/>
  <c r="BA187" i="1"/>
  <c r="BA186" i="1"/>
  <c r="BA188" i="1"/>
  <c r="BA197" i="1"/>
  <c r="BA198" i="1"/>
  <c r="BA199" i="1"/>
  <c r="BA200" i="1"/>
  <c r="BA201" i="1"/>
  <c r="BA202" i="1"/>
  <c r="BA113" i="1"/>
  <c r="BA114" i="1"/>
  <c r="BA115" i="1"/>
  <c r="BA116" i="1"/>
  <c r="BA117" i="1"/>
  <c r="BA118" i="1"/>
  <c r="BA119" i="1"/>
  <c r="BA120" i="1"/>
  <c r="BA123" i="1"/>
  <c r="BA122" i="1"/>
  <c r="BA121" i="1"/>
  <c r="BA125" i="1"/>
  <c r="BA126" i="1"/>
  <c r="BA127" i="1"/>
  <c r="BA128" i="1"/>
  <c r="BA129" i="1"/>
  <c r="BA130" i="1"/>
  <c r="BA131" i="1"/>
  <c r="BA132" i="1"/>
  <c r="BA133" i="1"/>
  <c r="BA135" i="1"/>
  <c r="BA137" i="1"/>
  <c r="BA136" i="1"/>
  <c r="BA138" i="1"/>
  <c r="BA139" i="1"/>
  <c r="BA146" i="1"/>
  <c r="BA147" i="1"/>
  <c r="BA148" i="1"/>
  <c r="BA140" i="1"/>
  <c r="BA141" i="1"/>
  <c r="BA151" i="1"/>
  <c r="BA152" i="1"/>
  <c r="BA153" i="1"/>
  <c r="BA154" i="1"/>
  <c r="BA155" i="1"/>
  <c r="BA156" i="1"/>
  <c r="BA157" i="1"/>
  <c r="BA158" i="1"/>
  <c r="BA159" i="1"/>
  <c r="BA160" i="1"/>
  <c r="BA162" i="1"/>
  <c r="BA161" i="1"/>
  <c r="BA163" i="1"/>
  <c r="BA164" i="1"/>
  <c r="BA165" i="1"/>
  <c r="BA166" i="1"/>
  <c r="BA167" i="1"/>
  <c r="BA168" i="1"/>
  <c r="BA173" i="1"/>
  <c r="BA174" i="1"/>
  <c r="BA203" i="1"/>
  <c r="BA205" i="1"/>
  <c r="BA204" i="1"/>
  <c r="BA207" i="1"/>
  <c r="BA208" i="1"/>
  <c r="BA209" i="1"/>
  <c r="BA210" i="1"/>
  <c r="BA206" i="1"/>
  <c r="BA175" i="1"/>
  <c r="BA14" i="1"/>
  <c r="AZ14" i="1"/>
  <c r="G3" i="2"/>
  <c r="K3" i="2"/>
  <c r="T3" i="2"/>
  <c r="U3" i="2"/>
  <c r="V3" i="2"/>
  <c r="W3" i="2"/>
  <c r="AA3" i="2"/>
  <c r="H82" i="5"/>
  <c r="I82" i="5"/>
  <c r="AD3" i="2"/>
  <c r="AE3" i="2"/>
  <c r="L82" i="5"/>
  <c r="AF3" i="2"/>
  <c r="AG3" i="2"/>
  <c r="AH3" i="2"/>
  <c r="AI3" i="2"/>
  <c r="AJ3" i="2"/>
  <c r="N82" i="5"/>
  <c r="O82" i="5"/>
  <c r="AK3" i="2"/>
  <c r="AL3" i="2"/>
  <c r="AM3" i="2"/>
  <c r="AZ88" i="1"/>
  <c r="BB88" i="1"/>
  <c r="CG88" i="1"/>
  <c r="CH88" i="1"/>
  <c r="CI88" i="1"/>
  <c r="CJ88" i="1"/>
  <c r="CK88" i="1"/>
  <c r="CL88" i="1"/>
  <c r="CM88" i="1"/>
  <c r="CN88" i="1"/>
  <c r="CO88" i="1"/>
  <c r="CP88" i="1"/>
  <c r="CQ88" i="1"/>
  <c r="CR88" i="1"/>
  <c r="BU88" i="1"/>
  <c r="BV88" i="1"/>
  <c r="BW88" i="1"/>
  <c r="BX88" i="1"/>
  <c r="BY88" i="1"/>
  <c r="BZ88" i="1"/>
  <c r="CA88" i="1"/>
  <c r="CB88" i="1"/>
  <c r="CC88" i="1"/>
  <c r="CD88" i="1"/>
  <c r="CE88" i="1"/>
  <c r="CF88" i="1"/>
  <c r="BC88" i="1"/>
  <c r="CS88" i="1"/>
  <c r="CS87" i="1"/>
  <c r="CR87" i="1"/>
  <c r="CQ87" i="1"/>
  <c r="CP87" i="1"/>
  <c r="CO87" i="1"/>
  <c r="CN87" i="1"/>
  <c r="CM87" i="1"/>
  <c r="CL87" i="1"/>
  <c r="CK87" i="1"/>
  <c r="CJ87" i="1"/>
  <c r="CI87" i="1"/>
  <c r="CH87" i="1"/>
  <c r="CG87" i="1"/>
  <c r="CF87" i="1"/>
  <c r="CE87" i="1"/>
  <c r="CD87" i="1"/>
  <c r="CC87" i="1"/>
  <c r="CB87" i="1"/>
  <c r="CA87" i="1"/>
  <c r="BZ87" i="1"/>
  <c r="BY87" i="1"/>
  <c r="BX87" i="1"/>
  <c r="BW87" i="1"/>
  <c r="BV87" i="1"/>
  <c r="BU87" i="1"/>
  <c r="BC87" i="1"/>
  <c r="BB87" i="1"/>
  <c r="AZ87" i="1"/>
  <c r="BB144" i="1"/>
  <c r="BB4" i="1"/>
  <c r="BB8" i="1"/>
  <c r="BB141" i="1"/>
  <c r="BB143" i="1"/>
  <c r="BB146" i="1"/>
  <c r="BB147" i="1"/>
  <c r="BB148" i="1"/>
  <c r="BB151" i="1"/>
  <c r="BB27" i="1"/>
  <c r="BB28" i="1"/>
  <c r="BB29" i="1"/>
  <c r="BB30" i="1"/>
  <c r="BB31" i="1"/>
  <c r="BB32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9" i="1"/>
  <c r="BB90" i="1"/>
  <c r="BB93" i="1"/>
  <c r="BB95" i="1"/>
  <c r="BB96" i="1"/>
  <c r="BB97" i="1"/>
  <c r="BB180" i="1"/>
  <c r="BB181" i="1"/>
  <c r="BB182" i="1"/>
  <c r="BB183" i="1"/>
  <c r="BB184" i="1"/>
  <c r="BB100" i="1"/>
  <c r="BB101" i="1"/>
  <c r="BB102" i="1"/>
  <c r="BB103" i="1"/>
  <c r="BB104" i="1"/>
  <c r="BB105" i="1"/>
  <c r="BB106" i="1"/>
  <c r="BB107" i="1"/>
  <c r="BB108" i="1"/>
  <c r="BB109" i="1"/>
  <c r="BB110" i="1"/>
  <c r="BB185" i="1"/>
  <c r="BB186" i="1"/>
  <c r="BB187" i="1"/>
  <c r="BB188" i="1"/>
  <c r="BB197" i="1"/>
  <c r="BB198" i="1"/>
  <c r="BB199" i="1"/>
  <c r="BB200" i="1"/>
  <c r="BB201" i="1"/>
  <c r="BB202" i="1"/>
  <c r="BB113" i="1"/>
  <c r="BB114" i="1"/>
  <c r="BB115" i="1"/>
  <c r="BB116" i="1"/>
  <c r="BB117" i="1"/>
  <c r="BB118" i="1"/>
  <c r="BB119" i="1"/>
  <c r="BB120" i="1"/>
  <c r="BB121" i="1"/>
  <c r="BB122" i="1"/>
  <c r="BB123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24" i="1"/>
  <c r="BB25" i="1"/>
  <c r="BB26" i="1"/>
  <c r="AZ24" i="1"/>
  <c r="AZ143" i="1"/>
  <c r="AZ144" i="1"/>
  <c r="AZ146" i="1"/>
  <c r="AZ147" i="1"/>
  <c r="AZ148" i="1"/>
  <c r="BU96" i="1"/>
  <c r="BV96" i="1"/>
  <c r="BW96" i="1"/>
  <c r="BX96" i="1"/>
  <c r="BY96" i="1"/>
  <c r="BZ96" i="1"/>
  <c r="CA96" i="1"/>
  <c r="CB96" i="1"/>
  <c r="CC96" i="1"/>
  <c r="CD96" i="1"/>
  <c r="CE96" i="1"/>
  <c r="CF96" i="1"/>
  <c r="CG96" i="1"/>
  <c r="CH96" i="1"/>
  <c r="CI96" i="1"/>
  <c r="CJ96" i="1"/>
  <c r="CK96" i="1"/>
  <c r="CL96" i="1"/>
  <c r="CM96" i="1"/>
  <c r="CN96" i="1"/>
  <c r="CO96" i="1"/>
  <c r="CP96" i="1"/>
  <c r="CQ96" i="1"/>
  <c r="CR96" i="1"/>
  <c r="CS96" i="1"/>
  <c r="BU93" i="1"/>
  <c r="BV93" i="1"/>
  <c r="BW93" i="1"/>
  <c r="BX93" i="1"/>
  <c r="BY93" i="1"/>
  <c r="BZ93" i="1"/>
  <c r="CA93" i="1"/>
  <c r="CB93" i="1"/>
  <c r="CC93" i="1"/>
  <c r="CD93" i="1"/>
  <c r="CE93" i="1"/>
  <c r="CF93" i="1"/>
  <c r="CG93" i="1"/>
  <c r="CH93" i="1"/>
  <c r="CI93" i="1"/>
  <c r="CJ93" i="1"/>
  <c r="CK93" i="1"/>
  <c r="CL93" i="1"/>
  <c r="CM93" i="1"/>
  <c r="CN93" i="1"/>
  <c r="CO93" i="1"/>
  <c r="CP93" i="1"/>
  <c r="CQ93" i="1"/>
  <c r="CR93" i="1"/>
  <c r="CS93" i="1"/>
  <c r="BU210" i="1"/>
  <c r="BV210" i="1"/>
  <c r="BW210" i="1"/>
  <c r="BX210" i="1"/>
  <c r="BY210" i="1"/>
  <c r="BZ210" i="1"/>
  <c r="CA210" i="1"/>
  <c r="CB210" i="1"/>
  <c r="CC210" i="1"/>
  <c r="CD210" i="1"/>
  <c r="CE210" i="1"/>
  <c r="CF210" i="1"/>
  <c r="CG210" i="1"/>
  <c r="CH210" i="1"/>
  <c r="CI210" i="1"/>
  <c r="CJ210" i="1"/>
  <c r="CK210" i="1"/>
  <c r="CL210" i="1"/>
  <c r="CM210" i="1"/>
  <c r="CN210" i="1"/>
  <c r="CO210" i="1"/>
  <c r="CP210" i="1"/>
  <c r="CQ210" i="1"/>
  <c r="CR210" i="1"/>
  <c r="CS210" i="1"/>
  <c r="BU209" i="1"/>
  <c r="BV209" i="1"/>
  <c r="BW209" i="1"/>
  <c r="BX209" i="1"/>
  <c r="BY209" i="1"/>
  <c r="BZ209" i="1"/>
  <c r="CA209" i="1"/>
  <c r="CB209" i="1"/>
  <c r="CC209" i="1"/>
  <c r="CD209" i="1"/>
  <c r="CE209" i="1"/>
  <c r="CF209" i="1"/>
  <c r="CG209" i="1"/>
  <c r="CH209" i="1"/>
  <c r="CI209" i="1"/>
  <c r="CJ209" i="1"/>
  <c r="CK209" i="1"/>
  <c r="CL209" i="1"/>
  <c r="CM209" i="1"/>
  <c r="CN209" i="1"/>
  <c r="CO209" i="1"/>
  <c r="CP209" i="1"/>
  <c r="CQ209" i="1"/>
  <c r="CR209" i="1"/>
  <c r="CS209" i="1"/>
  <c r="BU32" i="1"/>
  <c r="BV32" i="1"/>
  <c r="BW32" i="1"/>
  <c r="BX32" i="1"/>
  <c r="BY32" i="1"/>
  <c r="BZ32" i="1"/>
  <c r="CA32" i="1"/>
  <c r="CB32" i="1"/>
  <c r="CC32" i="1"/>
  <c r="CD32" i="1"/>
  <c r="CE32" i="1"/>
  <c r="CF32" i="1"/>
  <c r="CG32" i="1"/>
  <c r="CH32" i="1"/>
  <c r="CI32" i="1"/>
  <c r="CJ32" i="1"/>
  <c r="CK32" i="1"/>
  <c r="CL32" i="1"/>
  <c r="CM32" i="1"/>
  <c r="CN32" i="1"/>
  <c r="CO32" i="1"/>
  <c r="CP32" i="1"/>
  <c r="CQ32" i="1"/>
  <c r="CR32" i="1"/>
  <c r="CS32" i="1"/>
  <c r="BU31" i="1"/>
  <c r="BV31" i="1"/>
  <c r="BW31" i="1"/>
  <c r="BX31" i="1"/>
  <c r="BY31" i="1"/>
  <c r="BZ31" i="1"/>
  <c r="CA31" i="1"/>
  <c r="CB31" i="1"/>
  <c r="CC31" i="1"/>
  <c r="CD31" i="1"/>
  <c r="CE31" i="1"/>
  <c r="CF31" i="1"/>
  <c r="CG31" i="1"/>
  <c r="CH31" i="1"/>
  <c r="CI31" i="1"/>
  <c r="CJ31" i="1"/>
  <c r="CK31" i="1"/>
  <c r="CL31" i="1"/>
  <c r="CM31" i="1"/>
  <c r="CN31" i="1"/>
  <c r="CO31" i="1"/>
  <c r="CP31" i="1"/>
  <c r="CQ31" i="1"/>
  <c r="CR31" i="1"/>
  <c r="CS31" i="1"/>
  <c r="BU30" i="1"/>
  <c r="BV30" i="1"/>
  <c r="BW30" i="1"/>
  <c r="BX30" i="1"/>
  <c r="BY30" i="1"/>
  <c r="BZ30" i="1"/>
  <c r="CA30" i="1"/>
  <c r="CB30" i="1"/>
  <c r="CC30" i="1"/>
  <c r="CD30" i="1"/>
  <c r="CE30" i="1"/>
  <c r="CF30" i="1"/>
  <c r="CG30" i="1"/>
  <c r="CH30" i="1"/>
  <c r="CI30" i="1"/>
  <c r="CJ30" i="1"/>
  <c r="CK30" i="1"/>
  <c r="CL30" i="1"/>
  <c r="CM30" i="1"/>
  <c r="CN30" i="1"/>
  <c r="CO30" i="1"/>
  <c r="CP30" i="1"/>
  <c r="CQ30" i="1"/>
  <c r="CR30" i="1"/>
  <c r="CS30" i="1"/>
  <c r="BU29" i="1"/>
  <c r="BV29" i="1"/>
  <c r="BW29" i="1"/>
  <c r="BX29" i="1"/>
  <c r="BY29" i="1"/>
  <c r="BZ29" i="1"/>
  <c r="CA29" i="1"/>
  <c r="CB29" i="1"/>
  <c r="CC29" i="1"/>
  <c r="CD29" i="1"/>
  <c r="CE29" i="1"/>
  <c r="CF29" i="1"/>
  <c r="CG29" i="1"/>
  <c r="CH29" i="1"/>
  <c r="CI29" i="1"/>
  <c r="CJ29" i="1"/>
  <c r="CK29" i="1"/>
  <c r="CL29" i="1"/>
  <c r="CM29" i="1"/>
  <c r="CN29" i="1"/>
  <c r="CO29" i="1"/>
  <c r="CP29" i="1"/>
  <c r="CQ29" i="1"/>
  <c r="CR29" i="1"/>
  <c r="CS29" i="1"/>
  <c r="BU76" i="1"/>
  <c r="BV76" i="1"/>
  <c r="BW76" i="1"/>
  <c r="BX76" i="1"/>
  <c r="BY76" i="1"/>
  <c r="BZ76" i="1"/>
  <c r="CA76" i="1"/>
  <c r="CB76" i="1"/>
  <c r="CC76" i="1"/>
  <c r="CD76" i="1"/>
  <c r="CE76" i="1"/>
  <c r="CF76" i="1"/>
  <c r="CG76" i="1"/>
  <c r="CH76" i="1"/>
  <c r="CI76" i="1"/>
  <c r="CJ76" i="1"/>
  <c r="CK76" i="1"/>
  <c r="CL76" i="1"/>
  <c r="CM76" i="1"/>
  <c r="CN76" i="1"/>
  <c r="CO76" i="1"/>
  <c r="CP76" i="1"/>
  <c r="CQ76" i="1"/>
  <c r="CR76" i="1"/>
  <c r="CS76" i="1"/>
  <c r="BU28" i="1"/>
  <c r="BV28" i="1"/>
  <c r="BW28" i="1"/>
  <c r="BX28" i="1"/>
  <c r="BY28" i="1"/>
  <c r="BZ28" i="1"/>
  <c r="CA28" i="1"/>
  <c r="CB28" i="1"/>
  <c r="CC28" i="1"/>
  <c r="CD28" i="1"/>
  <c r="CE28" i="1"/>
  <c r="CF28" i="1"/>
  <c r="CG28" i="1"/>
  <c r="CH28" i="1"/>
  <c r="CI28" i="1"/>
  <c r="CJ28" i="1"/>
  <c r="CK28" i="1"/>
  <c r="CL28" i="1"/>
  <c r="CM28" i="1"/>
  <c r="CN28" i="1"/>
  <c r="CO28" i="1"/>
  <c r="CP28" i="1"/>
  <c r="CQ28" i="1"/>
  <c r="CR28" i="1"/>
  <c r="CS28" i="1"/>
  <c r="BU27" i="1"/>
  <c r="BV27" i="1"/>
  <c r="BW27" i="1"/>
  <c r="BX27" i="1"/>
  <c r="BY27" i="1"/>
  <c r="BZ27" i="1"/>
  <c r="CA27" i="1"/>
  <c r="CB27" i="1"/>
  <c r="CC27" i="1"/>
  <c r="CD27" i="1"/>
  <c r="CE27" i="1"/>
  <c r="CF27" i="1"/>
  <c r="CG27" i="1"/>
  <c r="CH27" i="1"/>
  <c r="CI27" i="1"/>
  <c r="CJ27" i="1"/>
  <c r="CK27" i="1"/>
  <c r="CL27" i="1"/>
  <c r="CM27" i="1"/>
  <c r="CN27" i="1"/>
  <c r="CO27" i="1"/>
  <c r="CP27" i="1"/>
  <c r="CQ27" i="1"/>
  <c r="CR27" i="1"/>
  <c r="CS27" i="1"/>
  <c r="BU26" i="1"/>
  <c r="BV26" i="1"/>
  <c r="BW26" i="1"/>
  <c r="BX26" i="1"/>
  <c r="BY26" i="1"/>
  <c r="BZ26" i="1"/>
  <c r="CA26" i="1"/>
  <c r="CB26" i="1"/>
  <c r="CC26" i="1"/>
  <c r="CD26" i="1"/>
  <c r="CE26" i="1"/>
  <c r="CF26" i="1"/>
  <c r="CG26" i="1"/>
  <c r="CH26" i="1"/>
  <c r="CI26" i="1"/>
  <c r="CJ26" i="1"/>
  <c r="CK26" i="1"/>
  <c r="CL26" i="1"/>
  <c r="CM26" i="1"/>
  <c r="CN26" i="1"/>
  <c r="CO26" i="1"/>
  <c r="CP26" i="1"/>
  <c r="CQ26" i="1"/>
  <c r="CR26" i="1"/>
  <c r="CS26" i="1"/>
  <c r="BU25" i="1"/>
  <c r="BV25" i="1"/>
  <c r="BW25" i="1"/>
  <c r="BX25" i="1"/>
  <c r="BY25" i="1"/>
  <c r="BZ25" i="1"/>
  <c r="CA25" i="1"/>
  <c r="CB25" i="1"/>
  <c r="CC25" i="1"/>
  <c r="CD25" i="1"/>
  <c r="CE25" i="1"/>
  <c r="CF25" i="1"/>
  <c r="CG25" i="1"/>
  <c r="CH25" i="1"/>
  <c r="CI25" i="1"/>
  <c r="CJ25" i="1"/>
  <c r="CK25" i="1"/>
  <c r="CL25" i="1"/>
  <c r="CM25" i="1"/>
  <c r="CN25" i="1"/>
  <c r="CO25" i="1"/>
  <c r="CP25" i="1"/>
  <c r="CQ25" i="1"/>
  <c r="CR25" i="1"/>
  <c r="CS25" i="1"/>
  <c r="BU24" i="1"/>
  <c r="BV24" i="1"/>
  <c r="BW24" i="1"/>
  <c r="BX24" i="1"/>
  <c r="BY24" i="1"/>
  <c r="BZ24" i="1"/>
  <c r="CA24" i="1"/>
  <c r="CB24" i="1"/>
  <c r="CC24" i="1"/>
  <c r="CD24" i="1"/>
  <c r="CE24" i="1"/>
  <c r="CF24" i="1"/>
  <c r="CG24" i="1"/>
  <c r="CH24" i="1"/>
  <c r="CI24" i="1"/>
  <c r="CJ24" i="1"/>
  <c r="CK24" i="1"/>
  <c r="CL24" i="1"/>
  <c r="CM24" i="1"/>
  <c r="CN24" i="1"/>
  <c r="CO24" i="1"/>
  <c r="CP24" i="1"/>
  <c r="CQ24" i="1"/>
  <c r="CR24" i="1"/>
  <c r="CS24" i="1"/>
  <c r="BU108" i="1"/>
  <c r="BV108" i="1"/>
  <c r="BW108" i="1"/>
  <c r="BX108" i="1"/>
  <c r="BY108" i="1"/>
  <c r="BZ108" i="1"/>
  <c r="CA108" i="1"/>
  <c r="CB108" i="1"/>
  <c r="CC108" i="1"/>
  <c r="CD108" i="1"/>
  <c r="CE108" i="1"/>
  <c r="CF108" i="1"/>
  <c r="CG108" i="1"/>
  <c r="CH108" i="1"/>
  <c r="CI108" i="1"/>
  <c r="CJ108" i="1"/>
  <c r="CK108" i="1"/>
  <c r="CL108" i="1"/>
  <c r="CM108" i="1"/>
  <c r="CN108" i="1"/>
  <c r="CO108" i="1"/>
  <c r="CP108" i="1"/>
  <c r="CQ108" i="1"/>
  <c r="CR108" i="1"/>
  <c r="CS108" i="1"/>
  <c r="BU107" i="1"/>
  <c r="BV107" i="1"/>
  <c r="BW107" i="1"/>
  <c r="BX107" i="1"/>
  <c r="BY107" i="1"/>
  <c r="BZ107" i="1"/>
  <c r="CA107" i="1"/>
  <c r="CB107" i="1"/>
  <c r="CC107" i="1"/>
  <c r="CD107" i="1"/>
  <c r="CE107" i="1"/>
  <c r="CF107" i="1"/>
  <c r="CG107" i="1"/>
  <c r="CH107" i="1"/>
  <c r="CI107" i="1"/>
  <c r="CJ107" i="1"/>
  <c r="CK107" i="1"/>
  <c r="CL107" i="1"/>
  <c r="CM107" i="1"/>
  <c r="CN107" i="1"/>
  <c r="CO107" i="1"/>
  <c r="CP107" i="1"/>
  <c r="CQ107" i="1"/>
  <c r="CR107" i="1"/>
  <c r="CS107" i="1"/>
  <c r="BU23" i="1"/>
  <c r="BV23" i="1"/>
  <c r="BW23" i="1"/>
  <c r="BX23" i="1"/>
  <c r="BY23" i="1"/>
  <c r="BZ23" i="1"/>
  <c r="CA23" i="1"/>
  <c r="CB23" i="1"/>
  <c r="CC23" i="1"/>
  <c r="CD23" i="1"/>
  <c r="CE23" i="1"/>
  <c r="CF23" i="1"/>
  <c r="CG23" i="1"/>
  <c r="CH23" i="1"/>
  <c r="CI23" i="1"/>
  <c r="CJ23" i="1"/>
  <c r="CK23" i="1"/>
  <c r="CL23" i="1"/>
  <c r="CM23" i="1"/>
  <c r="CN23" i="1"/>
  <c r="CO23" i="1"/>
  <c r="CP23" i="1"/>
  <c r="CQ23" i="1"/>
  <c r="CR23" i="1"/>
  <c r="CS23" i="1"/>
  <c r="BU61" i="1"/>
  <c r="BV61" i="1"/>
  <c r="BW61" i="1"/>
  <c r="BX61" i="1"/>
  <c r="BY61" i="1"/>
  <c r="BZ61" i="1"/>
  <c r="CA61" i="1"/>
  <c r="CB61" i="1"/>
  <c r="CC61" i="1"/>
  <c r="CD61" i="1"/>
  <c r="CE61" i="1"/>
  <c r="CF61" i="1"/>
  <c r="CG61" i="1"/>
  <c r="CH61" i="1"/>
  <c r="CI61" i="1"/>
  <c r="CJ61" i="1"/>
  <c r="CK61" i="1"/>
  <c r="CL61" i="1"/>
  <c r="CM61" i="1"/>
  <c r="CN61" i="1"/>
  <c r="CO61" i="1"/>
  <c r="CP61" i="1"/>
  <c r="CQ61" i="1"/>
  <c r="CR61" i="1"/>
  <c r="CS61" i="1"/>
  <c r="BU148" i="1"/>
  <c r="BV148" i="1"/>
  <c r="BW148" i="1"/>
  <c r="BX148" i="1"/>
  <c r="BY148" i="1"/>
  <c r="BZ148" i="1"/>
  <c r="CA148" i="1"/>
  <c r="CB148" i="1"/>
  <c r="CC148" i="1"/>
  <c r="CD148" i="1"/>
  <c r="CE148" i="1"/>
  <c r="CF148" i="1"/>
  <c r="CG148" i="1"/>
  <c r="CH148" i="1"/>
  <c r="CI148" i="1"/>
  <c r="CJ148" i="1"/>
  <c r="CK148" i="1"/>
  <c r="CL148" i="1"/>
  <c r="CM148" i="1"/>
  <c r="CN148" i="1"/>
  <c r="CO148" i="1"/>
  <c r="CP148" i="1"/>
  <c r="CQ148" i="1"/>
  <c r="CR148" i="1"/>
  <c r="CS148" i="1"/>
  <c r="BU188" i="1"/>
  <c r="BV188" i="1"/>
  <c r="BW188" i="1"/>
  <c r="BX188" i="1"/>
  <c r="BY188" i="1"/>
  <c r="BZ188" i="1"/>
  <c r="CA188" i="1"/>
  <c r="CB188" i="1"/>
  <c r="CC188" i="1"/>
  <c r="CD188" i="1"/>
  <c r="CE188" i="1"/>
  <c r="CF188" i="1"/>
  <c r="CG188" i="1"/>
  <c r="CH188" i="1"/>
  <c r="CI188" i="1"/>
  <c r="CJ188" i="1"/>
  <c r="CK188" i="1"/>
  <c r="CL188" i="1"/>
  <c r="CM188" i="1"/>
  <c r="CN188" i="1"/>
  <c r="CO188" i="1"/>
  <c r="CP188" i="1"/>
  <c r="CQ188" i="1"/>
  <c r="CR188" i="1"/>
  <c r="CS188" i="1"/>
  <c r="BU147" i="1"/>
  <c r="BV147" i="1"/>
  <c r="BW147" i="1"/>
  <c r="BX147" i="1"/>
  <c r="BY147" i="1"/>
  <c r="BZ147" i="1"/>
  <c r="CA147" i="1"/>
  <c r="CB147" i="1"/>
  <c r="CC147" i="1"/>
  <c r="CD147" i="1"/>
  <c r="CE147" i="1"/>
  <c r="CF147" i="1"/>
  <c r="CG147" i="1"/>
  <c r="CH147" i="1"/>
  <c r="CI147" i="1"/>
  <c r="CJ147" i="1"/>
  <c r="CK147" i="1"/>
  <c r="CL147" i="1"/>
  <c r="CM147" i="1"/>
  <c r="CN147" i="1"/>
  <c r="CO147" i="1"/>
  <c r="CP147" i="1"/>
  <c r="CQ147" i="1"/>
  <c r="CR147" i="1"/>
  <c r="CS147" i="1"/>
  <c r="BU46" i="1"/>
  <c r="BV46" i="1"/>
  <c r="BW46" i="1"/>
  <c r="BX46" i="1"/>
  <c r="BY46" i="1"/>
  <c r="BZ46" i="1"/>
  <c r="CA46" i="1"/>
  <c r="CB46" i="1"/>
  <c r="CC46" i="1"/>
  <c r="CD46" i="1"/>
  <c r="CE46" i="1"/>
  <c r="CF46" i="1"/>
  <c r="CG46" i="1"/>
  <c r="CH46" i="1"/>
  <c r="CI46" i="1"/>
  <c r="CJ46" i="1"/>
  <c r="CK46" i="1"/>
  <c r="CL46" i="1"/>
  <c r="CM46" i="1"/>
  <c r="CN46" i="1"/>
  <c r="CO46" i="1"/>
  <c r="CP46" i="1"/>
  <c r="CQ46" i="1"/>
  <c r="CR46" i="1"/>
  <c r="CS46" i="1"/>
  <c r="BU138" i="1"/>
  <c r="BV138" i="1"/>
  <c r="BW138" i="1"/>
  <c r="BX138" i="1"/>
  <c r="BY138" i="1"/>
  <c r="BZ138" i="1"/>
  <c r="CA138" i="1"/>
  <c r="CB138" i="1"/>
  <c r="CC138" i="1"/>
  <c r="CD138" i="1"/>
  <c r="CE138" i="1"/>
  <c r="CF138" i="1"/>
  <c r="CG138" i="1"/>
  <c r="CH138" i="1"/>
  <c r="CI138" i="1"/>
  <c r="CJ138" i="1"/>
  <c r="CK138" i="1"/>
  <c r="CL138" i="1"/>
  <c r="CM138" i="1"/>
  <c r="CN138" i="1"/>
  <c r="CO138" i="1"/>
  <c r="CP138" i="1"/>
  <c r="CQ138" i="1"/>
  <c r="CR138" i="1"/>
  <c r="CS138" i="1"/>
  <c r="BU137" i="1"/>
  <c r="BV137" i="1"/>
  <c r="BW137" i="1"/>
  <c r="BX137" i="1"/>
  <c r="BY137" i="1"/>
  <c r="BZ137" i="1"/>
  <c r="CA137" i="1"/>
  <c r="CB137" i="1"/>
  <c r="CC137" i="1"/>
  <c r="CD137" i="1"/>
  <c r="CE137" i="1"/>
  <c r="CF137" i="1"/>
  <c r="CG137" i="1"/>
  <c r="CH137" i="1"/>
  <c r="CI137" i="1"/>
  <c r="CJ137" i="1"/>
  <c r="CK137" i="1"/>
  <c r="CL137" i="1"/>
  <c r="CM137" i="1"/>
  <c r="CN137" i="1"/>
  <c r="CO137" i="1"/>
  <c r="CP137" i="1"/>
  <c r="CQ137" i="1"/>
  <c r="CR137" i="1"/>
  <c r="CS137" i="1"/>
  <c r="BU75" i="1"/>
  <c r="BV75" i="1"/>
  <c r="BW75" i="1"/>
  <c r="BX75" i="1"/>
  <c r="BY75" i="1"/>
  <c r="BZ75" i="1"/>
  <c r="CA75" i="1"/>
  <c r="CB75" i="1"/>
  <c r="CC75" i="1"/>
  <c r="CD75" i="1"/>
  <c r="CE75" i="1"/>
  <c r="CF75" i="1"/>
  <c r="CG75" i="1"/>
  <c r="CH75" i="1"/>
  <c r="CI75" i="1"/>
  <c r="CJ75" i="1"/>
  <c r="CK75" i="1"/>
  <c r="CL75" i="1"/>
  <c r="CM75" i="1"/>
  <c r="CN75" i="1"/>
  <c r="CO75" i="1"/>
  <c r="CP75" i="1"/>
  <c r="CQ75" i="1"/>
  <c r="CR75" i="1"/>
  <c r="CS75" i="1"/>
  <c r="BU37" i="1"/>
  <c r="BV37" i="1"/>
  <c r="BW37" i="1"/>
  <c r="BX37" i="1"/>
  <c r="BY37" i="1"/>
  <c r="BZ37" i="1"/>
  <c r="CA37" i="1"/>
  <c r="CB37" i="1"/>
  <c r="CC37" i="1"/>
  <c r="CD37" i="1"/>
  <c r="CE37" i="1"/>
  <c r="CF37" i="1"/>
  <c r="CG37" i="1"/>
  <c r="CH37" i="1"/>
  <c r="CI37" i="1"/>
  <c r="CJ37" i="1"/>
  <c r="CK37" i="1"/>
  <c r="CL37" i="1"/>
  <c r="CM37" i="1"/>
  <c r="CN37" i="1"/>
  <c r="CO37" i="1"/>
  <c r="CP37" i="1"/>
  <c r="CQ37" i="1"/>
  <c r="CR37" i="1"/>
  <c r="CS37" i="1"/>
  <c r="BU202" i="1"/>
  <c r="BV202" i="1"/>
  <c r="BW202" i="1"/>
  <c r="BX202" i="1"/>
  <c r="BY202" i="1"/>
  <c r="BZ202" i="1"/>
  <c r="CA202" i="1"/>
  <c r="CB202" i="1"/>
  <c r="CC202" i="1"/>
  <c r="CD202" i="1"/>
  <c r="CE202" i="1"/>
  <c r="CF202" i="1"/>
  <c r="CG202" i="1"/>
  <c r="CH202" i="1"/>
  <c r="CI202" i="1"/>
  <c r="CJ202" i="1"/>
  <c r="CK202" i="1"/>
  <c r="CL202" i="1"/>
  <c r="CM202" i="1"/>
  <c r="CN202" i="1"/>
  <c r="CO202" i="1"/>
  <c r="CP202" i="1"/>
  <c r="CQ202" i="1"/>
  <c r="CR202" i="1"/>
  <c r="CS202" i="1"/>
  <c r="BU201" i="1"/>
  <c r="BV201" i="1"/>
  <c r="BW201" i="1"/>
  <c r="BX201" i="1"/>
  <c r="BY201" i="1"/>
  <c r="BZ201" i="1"/>
  <c r="CA201" i="1"/>
  <c r="CB201" i="1"/>
  <c r="CC201" i="1"/>
  <c r="CD201" i="1"/>
  <c r="CE201" i="1"/>
  <c r="CF201" i="1"/>
  <c r="CG201" i="1"/>
  <c r="CH201" i="1"/>
  <c r="CI201" i="1"/>
  <c r="CJ201" i="1"/>
  <c r="CK201" i="1"/>
  <c r="CL201" i="1"/>
  <c r="CM201" i="1"/>
  <c r="CN201" i="1"/>
  <c r="CO201" i="1"/>
  <c r="CP201" i="1"/>
  <c r="CQ201" i="1"/>
  <c r="CR201" i="1"/>
  <c r="CS201" i="1"/>
  <c r="BU134" i="1"/>
  <c r="BV134" i="1"/>
  <c r="BW134" i="1"/>
  <c r="BX134" i="1"/>
  <c r="BY134" i="1"/>
  <c r="BZ134" i="1"/>
  <c r="CA134" i="1"/>
  <c r="CB134" i="1"/>
  <c r="CC134" i="1"/>
  <c r="CD134" i="1"/>
  <c r="CE134" i="1"/>
  <c r="CF134" i="1"/>
  <c r="CG134" i="1"/>
  <c r="CH134" i="1"/>
  <c r="CI134" i="1"/>
  <c r="CJ134" i="1"/>
  <c r="CK134" i="1"/>
  <c r="CL134" i="1"/>
  <c r="CM134" i="1"/>
  <c r="CN134" i="1"/>
  <c r="CO134" i="1"/>
  <c r="CP134" i="1"/>
  <c r="CQ134" i="1"/>
  <c r="CR134" i="1"/>
  <c r="CS134" i="1"/>
  <c r="BU60" i="1"/>
  <c r="BV60" i="1"/>
  <c r="BW60" i="1"/>
  <c r="BX60" i="1"/>
  <c r="BY60" i="1"/>
  <c r="BZ60" i="1"/>
  <c r="CA60" i="1"/>
  <c r="CB60" i="1"/>
  <c r="CC60" i="1"/>
  <c r="CD60" i="1"/>
  <c r="CE60" i="1"/>
  <c r="CF60" i="1"/>
  <c r="CG60" i="1"/>
  <c r="CH60" i="1"/>
  <c r="CI60" i="1"/>
  <c r="CJ60" i="1"/>
  <c r="CK60" i="1"/>
  <c r="CL60" i="1"/>
  <c r="CM60" i="1"/>
  <c r="CN60" i="1"/>
  <c r="CO60" i="1"/>
  <c r="CP60" i="1"/>
  <c r="CQ60" i="1"/>
  <c r="CR60" i="1"/>
  <c r="CS60" i="1"/>
  <c r="BU152" i="1"/>
  <c r="BV152" i="1"/>
  <c r="BW152" i="1"/>
  <c r="BX152" i="1"/>
  <c r="BY152" i="1"/>
  <c r="BZ152" i="1"/>
  <c r="CA152" i="1"/>
  <c r="CB152" i="1"/>
  <c r="CC152" i="1"/>
  <c r="CD152" i="1"/>
  <c r="CE152" i="1"/>
  <c r="CF152" i="1"/>
  <c r="CG152" i="1"/>
  <c r="CH152" i="1"/>
  <c r="CI152" i="1"/>
  <c r="CJ152" i="1"/>
  <c r="CK152" i="1"/>
  <c r="CL152" i="1"/>
  <c r="CM152" i="1"/>
  <c r="CN152" i="1"/>
  <c r="CO152" i="1"/>
  <c r="CP152" i="1"/>
  <c r="CQ152" i="1"/>
  <c r="CR152" i="1"/>
  <c r="CS152" i="1"/>
  <c r="BU80" i="1"/>
  <c r="BV80" i="1"/>
  <c r="BW80" i="1"/>
  <c r="BX80" i="1"/>
  <c r="BY80" i="1"/>
  <c r="BZ80" i="1"/>
  <c r="CA80" i="1"/>
  <c r="CB80" i="1"/>
  <c r="CC80" i="1"/>
  <c r="CD80" i="1"/>
  <c r="CE80" i="1"/>
  <c r="CF80" i="1"/>
  <c r="CG80" i="1"/>
  <c r="CH80" i="1"/>
  <c r="CI80" i="1"/>
  <c r="CJ80" i="1"/>
  <c r="CK80" i="1"/>
  <c r="CL80" i="1"/>
  <c r="CM80" i="1"/>
  <c r="CN80" i="1"/>
  <c r="CO80" i="1"/>
  <c r="CP80" i="1"/>
  <c r="CQ80" i="1"/>
  <c r="CR80" i="1"/>
  <c r="CS80" i="1"/>
  <c r="BU157" i="1"/>
  <c r="BV157" i="1"/>
  <c r="BW157" i="1"/>
  <c r="BX157" i="1"/>
  <c r="BY157" i="1"/>
  <c r="BZ157" i="1"/>
  <c r="CA157" i="1"/>
  <c r="CB157" i="1"/>
  <c r="CC157" i="1"/>
  <c r="CD157" i="1"/>
  <c r="CE157" i="1"/>
  <c r="CF157" i="1"/>
  <c r="CG157" i="1"/>
  <c r="CH157" i="1"/>
  <c r="CI157" i="1"/>
  <c r="CJ157" i="1"/>
  <c r="CK157" i="1"/>
  <c r="CL157" i="1"/>
  <c r="CM157" i="1"/>
  <c r="CN157" i="1"/>
  <c r="CO157" i="1"/>
  <c r="CP157" i="1"/>
  <c r="CQ157" i="1"/>
  <c r="CR157" i="1"/>
  <c r="CS157" i="1"/>
  <c r="BU156" i="1"/>
  <c r="BV156" i="1"/>
  <c r="BW156" i="1"/>
  <c r="BX156" i="1"/>
  <c r="BY156" i="1"/>
  <c r="BZ156" i="1"/>
  <c r="CA156" i="1"/>
  <c r="CB156" i="1"/>
  <c r="CC156" i="1"/>
  <c r="CD156" i="1"/>
  <c r="CE156" i="1"/>
  <c r="CF156" i="1"/>
  <c r="CG156" i="1"/>
  <c r="CH156" i="1"/>
  <c r="CI156" i="1"/>
  <c r="CJ156" i="1"/>
  <c r="CK156" i="1"/>
  <c r="CL156" i="1"/>
  <c r="CM156" i="1"/>
  <c r="CN156" i="1"/>
  <c r="CO156" i="1"/>
  <c r="CP156" i="1"/>
  <c r="CQ156" i="1"/>
  <c r="CR156" i="1"/>
  <c r="CS156" i="1"/>
  <c r="BU183" i="1"/>
  <c r="BV183" i="1"/>
  <c r="BW183" i="1"/>
  <c r="BX183" i="1"/>
  <c r="BY183" i="1"/>
  <c r="BZ183" i="1"/>
  <c r="CA183" i="1"/>
  <c r="CB183" i="1"/>
  <c r="CC183" i="1"/>
  <c r="CD183" i="1"/>
  <c r="CE183" i="1"/>
  <c r="CF183" i="1"/>
  <c r="CG183" i="1"/>
  <c r="CH183" i="1"/>
  <c r="CI183" i="1"/>
  <c r="CJ183" i="1"/>
  <c r="CK183" i="1"/>
  <c r="CL183" i="1"/>
  <c r="CM183" i="1"/>
  <c r="CN183" i="1"/>
  <c r="CO183" i="1"/>
  <c r="CP183" i="1"/>
  <c r="CQ183" i="1"/>
  <c r="CR183" i="1"/>
  <c r="CS183" i="1"/>
  <c r="BU118" i="1"/>
  <c r="BV118" i="1"/>
  <c r="BW118" i="1"/>
  <c r="BX118" i="1"/>
  <c r="BY118" i="1"/>
  <c r="BZ118" i="1"/>
  <c r="CA118" i="1"/>
  <c r="CB118" i="1"/>
  <c r="CC118" i="1"/>
  <c r="CD118" i="1"/>
  <c r="CE118" i="1"/>
  <c r="CF118" i="1"/>
  <c r="CG118" i="1"/>
  <c r="CH118" i="1"/>
  <c r="CI118" i="1"/>
  <c r="CJ118" i="1"/>
  <c r="CK118" i="1"/>
  <c r="CL118" i="1"/>
  <c r="CM118" i="1"/>
  <c r="CN118" i="1"/>
  <c r="CO118" i="1"/>
  <c r="CP118" i="1"/>
  <c r="CQ118" i="1"/>
  <c r="CR118" i="1"/>
  <c r="CS118" i="1"/>
  <c r="BU117" i="1"/>
  <c r="BV117" i="1"/>
  <c r="BW117" i="1"/>
  <c r="BX117" i="1"/>
  <c r="BY117" i="1"/>
  <c r="BZ117" i="1"/>
  <c r="CA117" i="1"/>
  <c r="CB117" i="1"/>
  <c r="CC117" i="1"/>
  <c r="CD117" i="1"/>
  <c r="CE117" i="1"/>
  <c r="CF117" i="1"/>
  <c r="CG117" i="1"/>
  <c r="CH117" i="1"/>
  <c r="CI117" i="1"/>
  <c r="CJ117" i="1"/>
  <c r="CK117" i="1"/>
  <c r="CL117" i="1"/>
  <c r="CM117" i="1"/>
  <c r="CN117" i="1"/>
  <c r="CO117" i="1"/>
  <c r="CP117" i="1"/>
  <c r="CQ117" i="1"/>
  <c r="CR117" i="1"/>
  <c r="CS117" i="1"/>
  <c r="BU116" i="1"/>
  <c r="BV116" i="1"/>
  <c r="BW116" i="1"/>
  <c r="BX116" i="1"/>
  <c r="BY116" i="1"/>
  <c r="BZ116" i="1"/>
  <c r="CA116" i="1"/>
  <c r="CB116" i="1"/>
  <c r="CC116" i="1"/>
  <c r="CD116" i="1"/>
  <c r="CE116" i="1"/>
  <c r="CF116" i="1"/>
  <c r="CG116" i="1"/>
  <c r="CH116" i="1"/>
  <c r="CI116" i="1"/>
  <c r="CJ116" i="1"/>
  <c r="CK116" i="1"/>
  <c r="CL116" i="1"/>
  <c r="CM116" i="1"/>
  <c r="CN116" i="1"/>
  <c r="CO116" i="1"/>
  <c r="CP116" i="1"/>
  <c r="CQ116" i="1"/>
  <c r="CR116" i="1"/>
  <c r="CS116" i="1"/>
  <c r="BU78" i="1"/>
  <c r="BV78" i="1"/>
  <c r="BW78" i="1"/>
  <c r="BX78" i="1"/>
  <c r="BY78" i="1"/>
  <c r="BZ78" i="1"/>
  <c r="CA78" i="1"/>
  <c r="CB78" i="1"/>
  <c r="CC78" i="1"/>
  <c r="CD78" i="1"/>
  <c r="CE78" i="1"/>
  <c r="CF78" i="1"/>
  <c r="CG78" i="1"/>
  <c r="CH78" i="1"/>
  <c r="CI78" i="1"/>
  <c r="CJ78" i="1"/>
  <c r="CK78" i="1"/>
  <c r="CL78" i="1"/>
  <c r="CM78" i="1"/>
  <c r="CN78" i="1"/>
  <c r="CO78" i="1"/>
  <c r="CP78" i="1"/>
  <c r="CQ78" i="1"/>
  <c r="CR78" i="1"/>
  <c r="CS78" i="1"/>
  <c r="BU176" i="1"/>
  <c r="BV176" i="1"/>
  <c r="BW176" i="1"/>
  <c r="BX176" i="1"/>
  <c r="BY176" i="1"/>
  <c r="BZ176" i="1"/>
  <c r="CA176" i="1"/>
  <c r="CB176" i="1"/>
  <c r="CC176" i="1"/>
  <c r="CD176" i="1"/>
  <c r="CE176" i="1"/>
  <c r="CF176" i="1"/>
  <c r="CG176" i="1"/>
  <c r="CH176" i="1"/>
  <c r="CI176" i="1"/>
  <c r="CJ176" i="1"/>
  <c r="CK176" i="1"/>
  <c r="CL176" i="1"/>
  <c r="CM176" i="1"/>
  <c r="CN176" i="1"/>
  <c r="CO176" i="1"/>
  <c r="CP176" i="1"/>
  <c r="CQ176" i="1"/>
  <c r="CR176" i="1"/>
  <c r="CS176" i="1"/>
  <c r="BU162" i="1"/>
  <c r="BV162" i="1"/>
  <c r="BW162" i="1"/>
  <c r="BX162" i="1"/>
  <c r="BY162" i="1"/>
  <c r="BZ162" i="1"/>
  <c r="CA162" i="1"/>
  <c r="CB162" i="1"/>
  <c r="CC162" i="1"/>
  <c r="CD162" i="1"/>
  <c r="CE162" i="1"/>
  <c r="CF162" i="1"/>
  <c r="CG162" i="1"/>
  <c r="CH162" i="1"/>
  <c r="CI162" i="1"/>
  <c r="CJ162" i="1"/>
  <c r="CK162" i="1"/>
  <c r="CL162" i="1"/>
  <c r="CM162" i="1"/>
  <c r="CN162" i="1"/>
  <c r="CO162" i="1"/>
  <c r="CP162" i="1"/>
  <c r="CQ162" i="1"/>
  <c r="CR162" i="1"/>
  <c r="CS162" i="1"/>
  <c r="BU161" i="1"/>
  <c r="BV161" i="1"/>
  <c r="BW161" i="1"/>
  <c r="BX161" i="1"/>
  <c r="BY161" i="1"/>
  <c r="BZ161" i="1"/>
  <c r="CA161" i="1"/>
  <c r="CB161" i="1"/>
  <c r="CC161" i="1"/>
  <c r="CD161" i="1"/>
  <c r="CE161" i="1"/>
  <c r="CF161" i="1"/>
  <c r="CG161" i="1"/>
  <c r="CH161" i="1"/>
  <c r="CI161" i="1"/>
  <c r="CJ161" i="1"/>
  <c r="CK161" i="1"/>
  <c r="CL161" i="1"/>
  <c r="CM161" i="1"/>
  <c r="CN161" i="1"/>
  <c r="CO161" i="1"/>
  <c r="CP161" i="1"/>
  <c r="CQ161" i="1"/>
  <c r="CR161" i="1"/>
  <c r="CS161" i="1"/>
  <c r="BU123" i="1"/>
  <c r="BV123" i="1"/>
  <c r="BW123" i="1"/>
  <c r="BX123" i="1"/>
  <c r="BY123" i="1"/>
  <c r="BZ123" i="1"/>
  <c r="CA123" i="1"/>
  <c r="CB123" i="1"/>
  <c r="CC123" i="1"/>
  <c r="CD123" i="1"/>
  <c r="CE123" i="1"/>
  <c r="CF123" i="1"/>
  <c r="CG123" i="1"/>
  <c r="CH123" i="1"/>
  <c r="CI123" i="1"/>
  <c r="CJ123" i="1"/>
  <c r="CK123" i="1"/>
  <c r="CL123" i="1"/>
  <c r="CM123" i="1"/>
  <c r="CN123" i="1"/>
  <c r="CO123" i="1"/>
  <c r="CP123" i="1"/>
  <c r="CQ123" i="1"/>
  <c r="CR123" i="1"/>
  <c r="CS123" i="1"/>
  <c r="BU122" i="1"/>
  <c r="BV122" i="1"/>
  <c r="BW122" i="1"/>
  <c r="BX122" i="1"/>
  <c r="BY122" i="1"/>
  <c r="BZ122" i="1"/>
  <c r="CA122" i="1"/>
  <c r="CB122" i="1"/>
  <c r="CC122" i="1"/>
  <c r="CD122" i="1"/>
  <c r="CE122" i="1"/>
  <c r="CF122" i="1"/>
  <c r="CG122" i="1"/>
  <c r="CH122" i="1"/>
  <c r="CI122" i="1"/>
  <c r="CJ122" i="1"/>
  <c r="CK122" i="1"/>
  <c r="CL122" i="1"/>
  <c r="CM122" i="1"/>
  <c r="CN122" i="1"/>
  <c r="CO122" i="1"/>
  <c r="CP122" i="1"/>
  <c r="CQ122" i="1"/>
  <c r="CR122" i="1"/>
  <c r="CS122" i="1"/>
  <c r="BU22" i="1"/>
  <c r="BV22" i="1"/>
  <c r="BW22" i="1"/>
  <c r="BX22" i="1"/>
  <c r="BY22" i="1"/>
  <c r="BZ22" i="1"/>
  <c r="CA22" i="1"/>
  <c r="CB22" i="1"/>
  <c r="CC22" i="1"/>
  <c r="CD22" i="1"/>
  <c r="CE22" i="1"/>
  <c r="CF22" i="1"/>
  <c r="CG22" i="1"/>
  <c r="CH22" i="1"/>
  <c r="CI22" i="1"/>
  <c r="CJ22" i="1"/>
  <c r="CK22" i="1"/>
  <c r="CL22" i="1"/>
  <c r="CM22" i="1"/>
  <c r="CN22" i="1"/>
  <c r="CO22" i="1"/>
  <c r="CP22" i="1"/>
  <c r="CQ22" i="1"/>
  <c r="CR22" i="1"/>
  <c r="CS22" i="1"/>
  <c r="BU44" i="1"/>
  <c r="BV44" i="1"/>
  <c r="BW44" i="1"/>
  <c r="BX44" i="1"/>
  <c r="BY44" i="1"/>
  <c r="BZ44" i="1"/>
  <c r="CA44" i="1"/>
  <c r="CB44" i="1"/>
  <c r="CC44" i="1"/>
  <c r="CD44" i="1"/>
  <c r="CE44" i="1"/>
  <c r="CF44" i="1"/>
  <c r="CG44" i="1"/>
  <c r="CH44" i="1"/>
  <c r="CI44" i="1"/>
  <c r="CJ44" i="1"/>
  <c r="CK44" i="1"/>
  <c r="CL44" i="1"/>
  <c r="CM44" i="1"/>
  <c r="CN44" i="1"/>
  <c r="CO44" i="1"/>
  <c r="CP44" i="1"/>
  <c r="CQ44" i="1"/>
  <c r="CR44" i="1"/>
  <c r="CS44" i="1"/>
  <c r="BU43" i="1"/>
  <c r="BV43" i="1"/>
  <c r="BW43" i="1"/>
  <c r="BX43" i="1"/>
  <c r="BY43" i="1"/>
  <c r="BZ43" i="1"/>
  <c r="CA43" i="1"/>
  <c r="CB43" i="1"/>
  <c r="CC43" i="1"/>
  <c r="CD43" i="1"/>
  <c r="CE43" i="1"/>
  <c r="CF43" i="1"/>
  <c r="CG43" i="1"/>
  <c r="CH43" i="1"/>
  <c r="CI43" i="1"/>
  <c r="CJ43" i="1"/>
  <c r="CK43" i="1"/>
  <c r="CL43" i="1"/>
  <c r="CM43" i="1"/>
  <c r="CN43" i="1"/>
  <c r="CO43" i="1"/>
  <c r="CP43" i="1"/>
  <c r="CQ43" i="1"/>
  <c r="CR43" i="1"/>
  <c r="CS43" i="1"/>
  <c r="BU159" i="1"/>
  <c r="BV159" i="1"/>
  <c r="BW159" i="1"/>
  <c r="BX159" i="1"/>
  <c r="BY159" i="1"/>
  <c r="BZ159" i="1"/>
  <c r="CA159" i="1"/>
  <c r="CB159" i="1"/>
  <c r="CC159" i="1"/>
  <c r="CD159" i="1"/>
  <c r="CE159" i="1"/>
  <c r="CF159" i="1"/>
  <c r="CG159" i="1"/>
  <c r="CH159" i="1"/>
  <c r="CI159" i="1"/>
  <c r="CJ159" i="1"/>
  <c r="CK159" i="1"/>
  <c r="CL159" i="1"/>
  <c r="CM159" i="1"/>
  <c r="CN159" i="1"/>
  <c r="CO159" i="1"/>
  <c r="CP159" i="1"/>
  <c r="CQ159" i="1"/>
  <c r="CR159" i="1"/>
  <c r="CS159" i="1"/>
  <c r="BU103" i="1"/>
  <c r="BV103" i="1"/>
  <c r="BW103" i="1"/>
  <c r="BX103" i="1"/>
  <c r="BY103" i="1"/>
  <c r="BZ103" i="1"/>
  <c r="CA103" i="1"/>
  <c r="CB103" i="1"/>
  <c r="CC103" i="1"/>
  <c r="CD103" i="1"/>
  <c r="CE103" i="1"/>
  <c r="CF103" i="1"/>
  <c r="CG103" i="1"/>
  <c r="CH103" i="1"/>
  <c r="CI103" i="1"/>
  <c r="CJ103" i="1"/>
  <c r="CK103" i="1"/>
  <c r="CL103" i="1"/>
  <c r="CM103" i="1"/>
  <c r="CN103" i="1"/>
  <c r="CO103" i="1"/>
  <c r="CP103" i="1"/>
  <c r="CQ103" i="1"/>
  <c r="CR103" i="1"/>
  <c r="CS103" i="1"/>
  <c r="BU127" i="1"/>
  <c r="BV127" i="1"/>
  <c r="BW127" i="1"/>
  <c r="BX127" i="1"/>
  <c r="BY127" i="1"/>
  <c r="BZ127" i="1"/>
  <c r="CA127" i="1"/>
  <c r="CB127" i="1"/>
  <c r="CC127" i="1"/>
  <c r="CD127" i="1"/>
  <c r="CE127" i="1"/>
  <c r="CF127" i="1"/>
  <c r="CG127" i="1"/>
  <c r="CH127" i="1"/>
  <c r="CI127" i="1"/>
  <c r="CJ127" i="1"/>
  <c r="CK127" i="1"/>
  <c r="CL127" i="1"/>
  <c r="CM127" i="1"/>
  <c r="CN127" i="1"/>
  <c r="CO127" i="1"/>
  <c r="CP127" i="1"/>
  <c r="CQ127" i="1"/>
  <c r="CR127" i="1"/>
  <c r="CS127" i="1"/>
  <c r="BU74" i="1"/>
  <c r="BV74" i="1"/>
  <c r="BW74" i="1"/>
  <c r="BX74" i="1"/>
  <c r="BY74" i="1"/>
  <c r="BZ74" i="1"/>
  <c r="CA74" i="1"/>
  <c r="CB74" i="1"/>
  <c r="CC74" i="1"/>
  <c r="CD74" i="1"/>
  <c r="CE74" i="1"/>
  <c r="CF74" i="1"/>
  <c r="CG74" i="1"/>
  <c r="CH74" i="1"/>
  <c r="CI74" i="1"/>
  <c r="CJ74" i="1"/>
  <c r="CK74" i="1"/>
  <c r="CL74" i="1"/>
  <c r="CM74" i="1"/>
  <c r="CN74" i="1"/>
  <c r="CO74" i="1"/>
  <c r="CP74" i="1"/>
  <c r="CQ74" i="1"/>
  <c r="CR74" i="1"/>
  <c r="CS74" i="1"/>
  <c r="BU208" i="1"/>
  <c r="BV208" i="1"/>
  <c r="BW208" i="1"/>
  <c r="BX208" i="1"/>
  <c r="BY208" i="1"/>
  <c r="BZ208" i="1"/>
  <c r="CA208" i="1"/>
  <c r="CB208" i="1"/>
  <c r="CC208" i="1"/>
  <c r="CD208" i="1"/>
  <c r="CE208" i="1"/>
  <c r="CF208" i="1"/>
  <c r="CG208" i="1"/>
  <c r="CH208" i="1"/>
  <c r="CI208" i="1"/>
  <c r="CJ208" i="1"/>
  <c r="CK208" i="1"/>
  <c r="CL208" i="1"/>
  <c r="CM208" i="1"/>
  <c r="CN208" i="1"/>
  <c r="CO208" i="1"/>
  <c r="CP208" i="1"/>
  <c r="CQ208" i="1"/>
  <c r="CR208" i="1"/>
  <c r="CS208" i="1"/>
  <c r="BU207" i="1"/>
  <c r="BV207" i="1"/>
  <c r="BW207" i="1"/>
  <c r="BX207" i="1"/>
  <c r="BY207" i="1"/>
  <c r="BZ207" i="1"/>
  <c r="CA207" i="1"/>
  <c r="CB207" i="1"/>
  <c r="CC207" i="1"/>
  <c r="CD207" i="1"/>
  <c r="CE207" i="1"/>
  <c r="CF207" i="1"/>
  <c r="CG207" i="1"/>
  <c r="CH207" i="1"/>
  <c r="CI207" i="1"/>
  <c r="CJ207" i="1"/>
  <c r="CK207" i="1"/>
  <c r="CL207" i="1"/>
  <c r="CM207" i="1"/>
  <c r="CN207" i="1"/>
  <c r="CO207" i="1"/>
  <c r="CP207" i="1"/>
  <c r="CQ207" i="1"/>
  <c r="CR207" i="1"/>
  <c r="CS207" i="1"/>
  <c r="BU166" i="1"/>
  <c r="BV166" i="1"/>
  <c r="BW166" i="1"/>
  <c r="BX166" i="1"/>
  <c r="BY166" i="1"/>
  <c r="BZ166" i="1"/>
  <c r="CA166" i="1"/>
  <c r="CB166" i="1"/>
  <c r="CC166" i="1"/>
  <c r="CD166" i="1"/>
  <c r="CE166" i="1"/>
  <c r="CF166" i="1"/>
  <c r="CG166" i="1"/>
  <c r="CH166" i="1"/>
  <c r="CI166" i="1"/>
  <c r="CJ166" i="1"/>
  <c r="CK166" i="1"/>
  <c r="CL166" i="1"/>
  <c r="CM166" i="1"/>
  <c r="CN166" i="1"/>
  <c r="CO166" i="1"/>
  <c r="CP166" i="1"/>
  <c r="CQ166" i="1"/>
  <c r="CR166" i="1"/>
  <c r="CS166" i="1"/>
  <c r="BU165" i="1"/>
  <c r="BV165" i="1"/>
  <c r="BW165" i="1"/>
  <c r="BX165" i="1"/>
  <c r="BY165" i="1"/>
  <c r="BZ165" i="1"/>
  <c r="CA165" i="1"/>
  <c r="CB165" i="1"/>
  <c r="CC165" i="1"/>
  <c r="CD165" i="1"/>
  <c r="CE165" i="1"/>
  <c r="CF165" i="1"/>
  <c r="CG165" i="1"/>
  <c r="CH165" i="1"/>
  <c r="CI165" i="1"/>
  <c r="CJ165" i="1"/>
  <c r="CK165" i="1"/>
  <c r="CL165" i="1"/>
  <c r="CM165" i="1"/>
  <c r="CN165" i="1"/>
  <c r="CO165" i="1"/>
  <c r="CP165" i="1"/>
  <c r="CQ165" i="1"/>
  <c r="CR165" i="1"/>
  <c r="CS165" i="1"/>
  <c r="BU110" i="1"/>
  <c r="BV110" i="1"/>
  <c r="BW110" i="1"/>
  <c r="BX110" i="1"/>
  <c r="BY110" i="1"/>
  <c r="BZ110" i="1"/>
  <c r="CA110" i="1"/>
  <c r="CB110" i="1"/>
  <c r="CC110" i="1"/>
  <c r="CD110" i="1"/>
  <c r="CE110" i="1"/>
  <c r="CF110" i="1"/>
  <c r="CG110" i="1"/>
  <c r="CH110" i="1"/>
  <c r="CI110" i="1"/>
  <c r="CJ110" i="1"/>
  <c r="CK110" i="1"/>
  <c r="CL110" i="1"/>
  <c r="CM110" i="1"/>
  <c r="CN110" i="1"/>
  <c r="CO110" i="1"/>
  <c r="CP110" i="1"/>
  <c r="CQ110" i="1"/>
  <c r="CR110" i="1"/>
  <c r="CS110" i="1"/>
  <c r="BU198" i="1"/>
  <c r="BV198" i="1"/>
  <c r="BW198" i="1"/>
  <c r="BX198" i="1"/>
  <c r="BY198" i="1"/>
  <c r="BZ198" i="1"/>
  <c r="CA198" i="1"/>
  <c r="CB198" i="1"/>
  <c r="CC198" i="1"/>
  <c r="CD198" i="1"/>
  <c r="CE198" i="1"/>
  <c r="CF198" i="1"/>
  <c r="CG198" i="1"/>
  <c r="CH198" i="1"/>
  <c r="CI198" i="1"/>
  <c r="CJ198" i="1"/>
  <c r="CK198" i="1"/>
  <c r="CL198" i="1"/>
  <c r="CM198" i="1"/>
  <c r="CN198" i="1"/>
  <c r="CO198" i="1"/>
  <c r="CP198" i="1"/>
  <c r="CQ198" i="1"/>
  <c r="CR198" i="1"/>
  <c r="CS198" i="1"/>
  <c r="BU200" i="1"/>
  <c r="BV200" i="1"/>
  <c r="BW200" i="1"/>
  <c r="BX200" i="1"/>
  <c r="BY200" i="1"/>
  <c r="BZ200" i="1"/>
  <c r="CA200" i="1"/>
  <c r="CB200" i="1"/>
  <c r="CC200" i="1"/>
  <c r="CD200" i="1"/>
  <c r="CE200" i="1"/>
  <c r="CF200" i="1"/>
  <c r="CG200" i="1"/>
  <c r="CH200" i="1"/>
  <c r="CI200" i="1"/>
  <c r="CJ200" i="1"/>
  <c r="CK200" i="1"/>
  <c r="CL200" i="1"/>
  <c r="CM200" i="1"/>
  <c r="CN200" i="1"/>
  <c r="CO200" i="1"/>
  <c r="CP200" i="1"/>
  <c r="CQ200" i="1"/>
  <c r="CR200" i="1"/>
  <c r="CS200" i="1"/>
  <c r="BU206" i="1"/>
  <c r="BV206" i="1"/>
  <c r="BW206" i="1"/>
  <c r="BX206" i="1"/>
  <c r="BY206" i="1"/>
  <c r="BZ206" i="1"/>
  <c r="CA206" i="1"/>
  <c r="CB206" i="1"/>
  <c r="CC206" i="1"/>
  <c r="CD206" i="1"/>
  <c r="CE206" i="1"/>
  <c r="CF206" i="1"/>
  <c r="CG206" i="1"/>
  <c r="CH206" i="1"/>
  <c r="CI206" i="1"/>
  <c r="CJ206" i="1"/>
  <c r="CK206" i="1"/>
  <c r="CL206" i="1"/>
  <c r="CM206" i="1"/>
  <c r="CN206" i="1"/>
  <c r="CO206" i="1"/>
  <c r="CP206" i="1"/>
  <c r="CQ206" i="1"/>
  <c r="CR206" i="1"/>
  <c r="CS206" i="1"/>
  <c r="BU164" i="1"/>
  <c r="BV164" i="1"/>
  <c r="BW164" i="1"/>
  <c r="BX164" i="1"/>
  <c r="BY164" i="1"/>
  <c r="BZ164" i="1"/>
  <c r="CA164" i="1"/>
  <c r="CB164" i="1"/>
  <c r="CC164" i="1"/>
  <c r="CD164" i="1"/>
  <c r="CE164" i="1"/>
  <c r="CF164" i="1"/>
  <c r="CG164" i="1"/>
  <c r="CH164" i="1"/>
  <c r="CI164" i="1"/>
  <c r="CJ164" i="1"/>
  <c r="CK164" i="1"/>
  <c r="CL164" i="1"/>
  <c r="CM164" i="1"/>
  <c r="CN164" i="1"/>
  <c r="CO164" i="1"/>
  <c r="CP164" i="1"/>
  <c r="CQ164" i="1"/>
  <c r="CR164" i="1"/>
  <c r="CS164" i="1"/>
  <c r="BU8" i="1"/>
  <c r="BV8" i="1"/>
  <c r="BW8" i="1"/>
  <c r="BX8" i="1"/>
  <c r="BY8" i="1"/>
  <c r="BZ8" i="1"/>
  <c r="CA8" i="1"/>
  <c r="CB8" i="1"/>
  <c r="CC8" i="1"/>
  <c r="CD8" i="1"/>
  <c r="CE8" i="1"/>
  <c r="CF8" i="1"/>
  <c r="CG8" i="1"/>
  <c r="CH8" i="1"/>
  <c r="CI8" i="1"/>
  <c r="CJ8" i="1"/>
  <c r="CK8" i="1"/>
  <c r="CL8" i="1"/>
  <c r="CM8" i="1"/>
  <c r="CN8" i="1"/>
  <c r="CO8" i="1"/>
  <c r="CP8" i="1"/>
  <c r="CQ8" i="1"/>
  <c r="CR8" i="1"/>
  <c r="CS8" i="1"/>
  <c r="BU126" i="1"/>
  <c r="BV126" i="1"/>
  <c r="BW126" i="1"/>
  <c r="BX126" i="1"/>
  <c r="BY126" i="1"/>
  <c r="BZ126" i="1"/>
  <c r="CA126" i="1"/>
  <c r="CB126" i="1"/>
  <c r="CC126" i="1"/>
  <c r="CD126" i="1"/>
  <c r="CE126" i="1"/>
  <c r="CF126" i="1"/>
  <c r="CG126" i="1"/>
  <c r="CH126" i="1"/>
  <c r="CI126" i="1"/>
  <c r="CJ126" i="1"/>
  <c r="CK126" i="1"/>
  <c r="CL126" i="1"/>
  <c r="CM126" i="1"/>
  <c r="CN126" i="1"/>
  <c r="CO126" i="1"/>
  <c r="CP126" i="1"/>
  <c r="CQ126" i="1"/>
  <c r="CR126" i="1"/>
  <c r="CS126" i="1"/>
  <c r="BU205" i="1"/>
  <c r="BV205" i="1"/>
  <c r="BW205" i="1"/>
  <c r="BX205" i="1"/>
  <c r="BY205" i="1"/>
  <c r="BZ205" i="1"/>
  <c r="CA205" i="1"/>
  <c r="CB205" i="1"/>
  <c r="CC205" i="1"/>
  <c r="CD205" i="1"/>
  <c r="CE205" i="1"/>
  <c r="CF205" i="1"/>
  <c r="CG205" i="1"/>
  <c r="CH205" i="1"/>
  <c r="CI205" i="1"/>
  <c r="CJ205" i="1"/>
  <c r="CK205" i="1"/>
  <c r="CL205" i="1"/>
  <c r="CM205" i="1"/>
  <c r="CN205" i="1"/>
  <c r="CO205" i="1"/>
  <c r="CP205" i="1"/>
  <c r="CQ205" i="1"/>
  <c r="CR205" i="1"/>
  <c r="CS205" i="1"/>
  <c r="BU41" i="1"/>
  <c r="BV41" i="1"/>
  <c r="BW41" i="1"/>
  <c r="BX41" i="1"/>
  <c r="BY41" i="1"/>
  <c r="BZ41" i="1"/>
  <c r="CA41" i="1"/>
  <c r="CB41" i="1"/>
  <c r="CC41" i="1"/>
  <c r="CD41" i="1"/>
  <c r="CE41" i="1"/>
  <c r="CF41" i="1"/>
  <c r="CG41" i="1"/>
  <c r="CH41" i="1"/>
  <c r="CI41" i="1"/>
  <c r="CJ41" i="1"/>
  <c r="CK41" i="1"/>
  <c r="CL41" i="1"/>
  <c r="CM41" i="1"/>
  <c r="CN41" i="1"/>
  <c r="CO41" i="1"/>
  <c r="CP41" i="1"/>
  <c r="CQ41" i="1"/>
  <c r="CR41" i="1"/>
  <c r="CS41" i="1"/>
  <c r="BU40" i="1"/>
  <c r="BV40" i="1"/>
  <c r="BW40" i="1"/>
  <c r="BX40" i="1"/>
  <c r="BY40" i="1"/>
  <c r="BZ40" i="1"/>
  <c r="CA40" i="1"/>
  <c r="CB40" i="1"/>
  <c r="CC40" i="1"/>
  <c r="CD40" i="1"/>
  <c r="CE40" i="1"/>
  <c r="CF40" i="1"/>
  <c r="CG40" i="1"/>
  <c r="CH40" i="1"/>
  <c r="CI40" i="1"/>
  <c r="CJ40" i="1"/>
  <c r="CK40" i="1"/>
  <c r="CL40" i="1"/>
  <c r="CM40" i="1"/>
  <c r="CN40" i="1"/>
  <c r="CO40" i="1"/>
  <c r="CP40" i="1"/>
  <c r="CQ40" i="1"/>
  <c r="CR40" i="1"/>
  <c r="CS40" i="1"/>
  <c r="BU90" i="1"/>
  <c r="BV90" i="1"/>
  <c r="BW90" i="1"/>
  <c r="BX90" i="1"/>
  <c r="BY90" i="1"/>
  <c r="BZ90" i="1"/>
  <c r="CA90" i="1"/>
  <c r="CB90" i="1"/>
  <c r="CC90" i="1"/>
  <c r="CD90" i="1"/>
  <c r="CE90" i="1"/>
  <c r="CF90" i="1"/>
  <c r="CG90" i="1"/>
  <c r="CH90" i="1"/>
  <c r="CI90" i="1"/>
  <c r="CJ90" i="1"/>
  <c r="CK90" i="1"/>
  <c r="CL90" i="1"/>
  <c r="CM90" i="1"/>
  <c r="CN90" i="1"/>
  <c r="CO90" i="1"/>
  <c r="CP90" i="1"/>
  <c r="CQ90" i="1"/>
  <c r="CR90" i="1"/>
  <c r="CS90" i="1"/>
  <c r="BU73" i="1"/>
  <c r="BV73" i="1"/>
  <c r="BW73" i="1"/>
  <c r="BX73" i="1"/>
  <c r="BY73" i="1"/>
  <c r="BZ73" i="1"/>
  <c r="CA73" i="1"/>
  <c r="CB73" i="1"/>
  <c r="CC73" i="1"/>
  <c r="CD73" i="1"/>
  <c r="CE73" i="1"/>
  <c r="CF73" i="1"/>
  <c r="CG73" i="1"/>
  <c r="CH73" i="1"/>
  <c r="CI73" i="1"/>
  <c r="CJ73" i="1"/>
  <c r="CK73" i="1"/>
  <c r="CL73" i="1"/>
  <c r="CM73" i="1"/>
  <c r="CN73" i="1"/>
  <c r="CO73" i="1"/>
  <c r="CP73" i="1"/>
  <c r="CQ73" i="1"/>
  <c r="CR73" i="1"/>
  <c r="CS73" i="1"/>
  <c r="BU72" i="1"/>
  <c r="BV72" i="1"/>
  <c r="BW72" i="1"/>
  <c r="BX72" i="1"/>
  <c r="BY72" i="1"/>
  <c r="BZ72" i="1"/>
  <c r="CA72" i="1"/>
  <c r="CB72" i="1"/>
  <c r="CC72" i="1"/>
  <c r="CD72" i="1"/>
  <c r="CE72" i="1"/>
  <c r="CF72" i="1"/>
  <c r="CG72" i="1"/>
  <c r="CH72" i="1"/>
  <c r="CI72" i="1"/>
  <c r="CJ72" i="1"/>
  <c r="CK72" i="1"/>
  <c r="CL72" i="1"/>
  <c r="CM72" i="1"/>
  <c r="CN72" i="1"/>
  <c r="CO72" i="1"/>
  <c r="CP72" i="1"/>
  <c r="CQ72" i="1"/>
  <c r="CR72" i="1"/>
  <c r="CS72" i="1"/>
  <c r="BU71" i="1"/>
  <c r="BV71" i="1"/>
  <c r="BW71" i="1"/>
  <c r="BX71" i="1"/>
  <c r="BY71" i="1"/>
  <c r="BZ71" i="1"/>
  <c r="CA71" i="1"/>
  <c r="CB71" i="1"/>
  <c r="CC71" i="1"/>
  <c r="CD71" i="1"/>
  <c r="CE71" i="1"/>
  <c r="CF71" i="1"/>
  <c r="CG71" i="1"/>
  <c r="CH71" i="1"/>
  <c r="CI71" i="1"/>
  <c r="CJ71" i="1"/>
  <c r="CK71" i="1"/>
  <c r="CL71" i="1"/>
  <c r="CM71" i="1"/>
  <c r="CN71" i="1"/>
  <c r="CO71" i="1"/>
  <c r="CP71" i="1"/>
  <c r="CQ71" i="1"/>
  <c r="CR71" i="1"/>
  <c r="CS71" i="1"/>
  <c r="BU186" i="1"/>
  <c r="BV186" i="1"/>
  <c r="BW186" i="1"/>
  <c r="BX186" i="1"/>
  <c r="BY186" i="1"/>
  <c r="BZ186" i="1"/>
  <c r="CA186" i="1"/>
  <c r="CB186" i="1"/>
  <c r="CC186" i="1"/>
  <c r="CD186" i="1"/>
  <c r="CE186" i="1"/>
  <c r="CF186" i="1"/>
  <c r="CG186" i="1"/>
  <c r="CH186" i="1"/>
  <c r="CI186" i="1"/>
  <c r="CJ186" i="1"/>
  <c r="CK186" i="1"/>
  <c r="CL186" i="1"/>
  <c r="CM186" i="1"/>
  <c r="CN186" i="1"/>
  <c r="CO186" i="1"/>
  <c r="CP186" i="1"/>
  <c r="CQ186" i="1"/>
  <c r="CR186" i="1"/>
  <c r="CS186" i="1"/>
  <c r="BU181" i="1"/>
  <c r="BV181" i="1"/>
  <c r="BW181" i="1"/>
  <c r="BX181" i="1"/>
  <c r="BY181" i="1"/>
  <c r="BZ181" i="1"/>
  <c r="CA181" i="1"/>
  <c r="CB181" i="1"/>
  <c r="CC181" i="1"/>
  <c r="CD181" i="1"/>
  <c r="CE181" i="1"/>
  <c r="CF181" i="1"/>
  <c r="CG181" i="1"/>
  <c r="CH181" i="1"/>
  <c r="CI181" i="1"/>
  <c r="CJ181" i="1"/>
  <c r="CK181" i="1"/>
  <c r="CL181" i="1"/>
  <c r="CM181" i="1"/>
  <c r="CN181" i="1"/>
  <c r="CO181" i="1"/>
  <c r="CP181" i="1"/>
  <c r="CQ181" i="1"/>
  <c r="CR181" i="1"/>
  <c r="CS181" i="1"/>
  <c r="BU204" i="1"/>
  <c r="BV204" i="1"/>
  <c r="BW204" i="1"/>
  <c r="BX204" i="1"/>
  <c r="BY204" i="1"/>
  <c r="BZ204" i="1"/>
  <c r="CA204" i="1"/>
  <c r="CB204" i="1"/>
  <c r="CC204" i="1"/>
  <c r="CD204" i="1"/>
  <c r="CE204" i="1"/>
  <c r="CF204" i="1"/>
  <c r="CG204" i="1"/>
  <c r="CH204" i="1"/>
  <c r="CI204" i="1"/>
  <c r="CJ204" i="1"/>
  <c r="CK204" i="1"/>
  <c r="CL204" i="1"/>
  <c r="CM204" i="1"/>
  <c r="CN204" i="1"/>
  <c r="CO204" i="1"/>
  <c r="CP204" i="1"/>
  <c r="CQ204" i="1"/>
  <c r="CR204" i="1"/>
  <c r="CS204" i="1"/>
  <c r="BU146" i="1"/>
  <c r="BV146" i="1"/>
  <c r="BW146" i="1"/>
  <c r="BX146" i="1"/>
  <c r="BY146" i="1"/>
  <c r="BZ146" i="1"/>
  <c r="CA146" i="1"/>
  <c r="CB146" i="1"/>
  <c r="CC146" i="1"/>
  <c r="CD146" i="1"/>
  <c r="CE146" i="1"/>
  <c r="CF146" i="1"/>
  <c r="CG146" i="1"/>
  <c r="CH146" i="1"/>
  <c r="CI146" i="1"/>
  <c r="CJ146" i="1"/>
  <c r="CK146" i="1"/>
  <c r="CL146" i="1"/>
  <c r="CM146" i="1"/>
  <c r="CN146" i="1"/>
  <c r="CO146" i="1"/>
  <c r="CP146" i="1"/>
  <c r="CQ146" i="1"/>
  <c r="CR146" i="1"/>
  <c r="CS146" i="1"/>
  <c r="BU6" i="1"/>
  <c r="BV6" i="1"/>
  <c r="BW6" i="1"/>
  <c r="BX6" i="1"/>
  <c r="BY6" i="1"/>
  <c r="BZ6" i="1"/>
  <c r="CA6" i="1"/>
  <c r="CB6" i="1"/>
  <c r="CC6" i="1"/>
  <c r="CD6" i="1"/>
  <c r="CE6" i="1"/>
  <c r="CF6" i="1"/>
  <c r="CG6" i="1"/>
  <c r="CH6" i="1"/>
  <c r="CI6" i="1"/>
  <c r="CJ6" i="1"/>
  <c r="CK6" i="1"/>
  <c r="CL6" i="1"/>
  <c r="CM6" i="1"/>
  <c r="CN6" i="1"/>
  <c r="CO6" i="1"/>
  <c r="CP6" i="1"/>
  <c r="CQ6" i="1"/>
  <c r="CR6" i="1"/>
  <c r="CS6" i="1"/>
  <c r="BU4" i="1"/>
  <c r="BV4" i="1"/>
  <c r="BW4" i="1"/>
  <c r="BX4" i="1"/>
  <c r="BY4" i="1"/>
  <c r="BZ4" i="1"/>
  <c r="CA4" i="1"/>
  <c r="CB4" i="1"/>
  <c r="CC4" i="1"/>
  <c r="CD4" i="1"/>
  <c r="CE4" i="1"/>
  <c r="CF4" i="1"/>
  <c r="CG4" i="1"/>
  <c r="CH4" i="1"/>
  <c r="CI4" i="1"/>
  <c r="CJ4" i="1"/>
  <c r="CK4" i="1"/>
  <c r="CL4" i="1"/>
  <c r="CM4" i="1"/>
  <c r="CN4" i="1"/>
  <c r="CO4" i="1"/>
  <c r="CP4" i="1"/>
  <c r="CQ4" i="1"/>
  <c r="CR4" i="1"/>
  <c r="CS4" i="1"/>
  <c r="BU3" i="1"/>
  <c r="BV3" i="1"/>
  <c r="BW3" i="1"/>
  <c r="BX3" i="1"/>
  <c r="BY3" i="1"/>
  <c r="BZ3" i="1"/>
  <c r="CA3" i="1"/>
  <c r="CB3" i="1"/>
  <c r="CC3" i="1"/>
  <c r="CD3" i="1"/>
  <c r="CE3" i="1"/>
  <c r="CF3" i="1"/>
  <c r="CG3" i="1"/>
  <c r="CH3" i="1"/>
  <c r="CI3" i="1"/>
  <c r="CJ3" i="1"/>
  <c r="CK3" i="1"/>
  <c r="CL3" i="1"/>
  <c r="CM3" i="1"/>
  <c r="CN3" i="1"/>
  <c r="CO3" i="1"/>
  <c r="CP3" i="1"/>
  <c r="CQ3" i="1"/>
  <c r="CR3" i="1"/>
  <c r="CS3" i="1"/>
  <c r="BU121" i="1"/>
  <c r="BV121" i="1"/>
  <c r="BW121" i="1"/>
  <c r="BX121" i="1"/>
  <c r="BY121" i="1"/>
  <c r="BZ121" i="1"/>
  <c r="CA121" i="1"/>
  <c r="CB121" i="1"/>
  <c r="CC121" i="1"/>
  <c r="CD121" i="1"/>
  <c r="CE121" i="1"/>
  <c r="CF121" i="1"/>
  <c r="CG121" i="1"/>
  <c r="CH121" i="1"/>
  <c r="CI121" i="1"/>
  <c r="CJ121" i="1"/>
  <c r="CK121" i="1"/>
  <c r="CL121" i="1"/>
  <c r="CM121" i="1"/>
  <c r="CN121" i="1"/>
  <c r="CO121" i="1"/>
  <c r="CP121" i="1"/>
  <c r="CQ121" i="1"/>
  <c r="CR121" i="1"/>
  <c r="CS121" i="1"/>
  <c r="BU59" i="1"/>
  <c r="BV59" i="1"/>
  <c r="BW59" i="1"/>
  <c r="BX59" i="1"/>
  <c r="BY59" i="1"/>
  <c r="BZ59" i="1"/>
  <c r="CA59" i="1"/>
  <c r="CB59" i="1"/>
  <c r="CC59" i="1"/>
  <c r="CD59" i="1"/>
  <c r="CE59" i="1"/>
  <c r="CF59" i="1"/>
  <c r="CG59" i="1"/>
  <c r="CH59" i="1"/>
  <c r="CI59" i="1"/>
  <c r="CJ59" i="1"/>
  <c r="CK59" i="1"/>
  <c r="CL59" i="1"/>
  <c r="CM59" i="1"/>
  <c r="CN59" i="1"/>
  <c r="CO59" i="1"/>
  <c r="CP59" i="1"/>
  <c r="CQ59" i="1"/>
  <c r="CR59" i="1"/>
  <c r="CS59" i="1"/>
  <c r="BU129" i="1"/>
  <c r="BV129" i="1"/>
  <c r="BW129" i="1"/>
  <c r="BX129" i="1"/>
  <c r="BY129" i="1"/>
  <c r="BZ129" i="1"/>
  <c r="CA129" i="1"/>
  <c r="CB129" i="1"/>
  <c r="CC129" i="1"/>
  <c r="CD129" i="1"/>
  <c r="CE129" i="1"/>
  <c r="CF129" i="1"/>
  <c r="CG129" i="1"/>
  <c r="CH129" i="1"/>
  <c r="CI129" i="1"/>
  <c r="CJ129" i="1"/>
  <c r="CK129" i="1"/>
  <c r="CL129" i="1"/>
  <c r="CM129" i="1"/>
  <c r="CN129" i="1"/>
  <c r="CO129" i="1"/>
  <c r="CP129" i="1"/>
  <c r="CQ129" i="1"/>
  <c r="CR129" i="1"/>
  <c r="CS129" i="1"/>
  <c r="BU21" i="1"/>
  <c r="BV21" i="1"/>
  <c r="BW21" i="1"/>
  <c r="BX21" i="1"/>
  <c r="BY21" i="1"/>
  <c r="BZ21" i="1"/>
  <c r="CA21" i="1"/>
  <c r="CB21" i="1"/>
  <c r="CC21" i="1"/>
  <c r="CD21" i="1"/>
  <c r="CE21" i="1"/>
  <c r="CF21" i="1"/>
  <c r="CG21" i="1"/>
  <c r="CH21" i="1"/>
  <c r="CI21" i="1"/>
  <c r="CJ21" i="1"/>
  <c r="CK21" i="1"/>
  <c r="CL21" i="1"/>
  <c r="CM21" i="1"/>
  <c r="CN21" i="1"/>
  <c r="CO21" i="1"/>
  <c r="CP21" i="1"/>
  <c r="CQ21" i="1"/>
  <c r="CR21" i="1"/>
  <c r="CS21" i="1"/>
  <c r="BU136" i="1"/>
  <c r="BV136" i="1"/>
  <c r="BW136" i="1"/>
  <c r="BX136" i="1"/>
  <c r="BY136" i="1"/>
  <c r="BZ136" i="1"/>
  <c r="CA136" i="1"/>
  <c r="CB136" i="1"/>
  <c r="CC136" i="1"/>
  <c r="CD136" i="1"/>
  <c r="CE136" i="1"/>
  <c r="CF136" i="1"/>
  <c r="CG136" i="1"/>
  <c r="CH136" i="1"/>
  <c r="CI136" i="1"/>
  <c r="CJ136" i="1"/>
  <c r="CK136" i="1"/>
  <c r="CL136" i="1"/>
  <c r="CM136" i="1"/>
  <c r="CN136" i="1"/>
  <c r="CO136" i="1"/>
  <c r="CP136" i="1"/>
  <c r="CQ136" i="1"/>
  <c r="CR136" i="1"/>
  <c r="CS136" i="1"/>
  <c r="BU133" i="1"/>
  <c r="BV133" i="1"/>
  <c r="BW133" i="1"/>
  <c r="BX133" i="1"/>
  <c r="BY133" i="1"/>
  <c r="BZ133" i="1"/>
  <c r="CA133" i="1"/>
  <c r="CB133" i="1"/>
  <c r="CC133" i="1"/>
  <c r="CD133" i="1"/>
  <c r="CE133" i="1"/>
  <c r="CF133" i="1"/>
  <c r="CG133" i="1"/>
  <c r="CH133" i="1"/>
  <c r="CI133" i="1"/>
  <c r="CJ133" i="1"/>
  <c r="CK133" i="1"/>
  <c r="CL133" i="1"/>
  <c r="CM133" i="1"/>
  <c r="CN133" i="1"/>
  <c r="CO133" i="1"/>
  <c r="CP133" i="1"/>
  <c r="CQ133" i="1"/>
  <c r="CR133" i="1"/>
  <c r="CS133" i="1"/>
  <c r="BU131" i="1"/>
  <c r="BV131" i="1"/>
  <c r="BW131" i="1"/>
  <c r="BX131" i="1"/>
  <c r="BY131" i="1"/>
  <c r="BZ131" i="1"/>
  <c r="CA131" i="1"/>
  <c r="CB131" i="1"/>
  <c r="CC131" i="1"/>
  <c r="CD131" i="1"/>
  <c r="CE131" i="1"/>
  <c r="CF131" i="1"/>
  <c r="CG131" i="1"/>
  <c r="CH131" i="1"/>
  <c r="CI131" i="1"/>
  <c r="CJ131" i="1"/>
  <c r="CK131" i="1"/>
  <c r="CL131" i="1"/>
  <c r="CM131" i="1"/>
  <c r="CN131" i="1"/>
  <c r="CO131" i="1"/>
  <c r="CP131" i="1"/>
  <c r="CQ131" i="1"/>
  <c r="CR131" i="1"/>
  <c r="CS131" i="1"/>
  <c r="BU58" i="1"/>
  <c r="BV58" i="1"/>
  <c r="BW58" i="1"/>
  <c r="BX58" i="1"/>
  <c r="BY58" i="1"/>
  <c r="BZ58" i="1"/>
  <c r="CA58" i="1"/>
  <c r="CB58" i="1"/>
  <c r="CC58" i="1"/>
  <c r="CD58" i="1"/>
  <c r="CE58" i="1"/>
  <c r="CF58" i="1"/>
  <c r="CG58" i="1"/>
  <c r="CH58" i="1"/>
  <c r="CI58" i="1"/>
  <c r="CJ58" i="1"/>
  <c r="CK58" i="1"/>
  <c r="CL58" i="1"/>
  <c r="CM58" i="1"/>
  <c r="CN58" i="1"/>
  <c r="CO58" i="1"/>
  <c r="CP58" i="1"/>
  <c r="CQ58" i="1"/>
  <c r="CR58" i="1"/>
  <c r="CS58" i="1"/>
  <c r="BU120" i="1"/>
  <c r="BV120" i="1"/>
  <c r="BW120" i="1"/>
  <c r="BX120" i="1"/>
  <c r="BY120" i="1"/>
  <c r="BZ120" i="1"/>
  <c r="CA120" i="1"/>
  <c r="CB120" i="1"/>
  <c r="CC120" i="1"/>
  <c r="CD120" i="1"/>
  <c r="CE120" i="1"/>
  <c r="CF120" i="1"/>
  <c r="CG120" i="1"/>
  <c r="CH120" i="1"/>
  <c r="CI120" i="1"/>
  <c r="CJ120" i="1"/>
  <c r="CK120" i="1"/>
  <c r="CL120" i="1"/>
  <c r="CM120" i="1"/>
  <c r="CN120" i="1"/>
  <c r="CO120" i="1"/>
  <c r="CP120" i="1"/>
  <c r="CQ120" i="1"/>
  <c r="CR120" i="1"/>
  <c r="CS120" i="1"/>
  <c r="BU57" i="1"/>
  <c r="BV57" i="1"/>
  <c r="BW57" i="1"/>
  <c r="BX57" i="1"/>
  <c r="BY57" i="1"/>
  <c r="BZ57" i="1"/>
  <c r="CA57" i="1"/>
  <c r="CB57" i="1"/>
  <c r="CC57" i="1"/>
  <c r="CD57" i="1"/>
  <c r="CE57" i="1"/>
  <c r="CF57" i="1"/>
  <c r="CG57" i="1"/>
  <c r="CH57" i="1"/>
  <c r="CI57" i="1"/>
  <c r="CJ57" i="1"/>
  <c r="CK57" i="1"/>
  <c r="CL57" i="1"/>
  <c r="CM57" i="1"/>
  <c r="CN57" i="1"/>
  <c r="CO57" i="1"/>
  <c r="CP57" i="1"/>
  <c r="CQ57" i="1"/>
  <c r="CR57" i="1"/>
  <c r="CS57" i="1"/>
  <c r="BU56" i="1"/>
  <c r="BV56" i="1"/>
  <c r="BW56" i="1"/>
  <c r="BX56" i="1"/>
  <c r="BY56" i="1"/>
  <c r="BZ56" i="1"/>
  <c r="CA56" i="1"/>
  <c r="CB56" i="1"/>
  <c r="CC56" i="1"/>
  <c r="CD56" i="1"/>
  <c r="CE56" i="1"/>
  <c r="CF56" i="1"/>
  <c r="CG56" i="1"/>
  <c r="CH56" i="1"/>
  <c r="CI56" i="1"/>
  <c r="CJ56" i="1"/>
  <c r="CK56" i="1"/>
  <c r="CL56" i="1"/>
  <c r="CM56" i="1"/>
  <c r="CN56" i="1"/>
  <c r="CO56" i="1"/>
  <c r="CP56" i="1"/>
  <c r="CQ56" i="1"/>
  <c r="CR56" i="1"/>
  <c r="CS56" i="1"/>
  <c r="BU55" i="1"/>
  <c r="BV55" i="1"/>
  <c r="BW55" i="1"/>
  <c r="BX55" i="1"/>
  <c r="BY55" i="1"/>
  <c r="BZ55" i="1"/>
  <c r="CA55" i="1"/>
  <c r="CB55" i="1"/>
  <c r="CC55" i="1"/>
  <c r="CD55" i="1"/>
  <c r="CE55" i="1"/>
  <c r="CF55" i="1"/>
  <c r="CG55" i="1"/>
  <c r="CH55" i="1"/>
  <c r="CI55" i="1"/>
  <c r="CJ55" i="1"/>
  <c r="CK55" i="1"/>
  <c r="CL55" i="1"/>
  <c r="CM55" i="1"/>
  <c r="CN55" i="1"/>
  <c r="CO55" i="1"/>
  <c r="CP55" i="1"/>
  <c r="CQ55" i="1"/>
  <c r="CR55" i="1"/>
  <c r="CS55" i="1"/>
  <c r="BU54" i="1"/>
  <c r="BV54" i="1"/>
  <c r="BW54" i="1"/>
  <c r="BX54" i="1"/>
  <c r="BY54" i="1"/>
  <c r="BZ54" i="1"/>
  <c r="CA54" i="1"/>
  <c r="CB54" i="1"/>
  <c r="CC54" i="1"/>
  <c r="CD54" i="1"/>
  <c r="CE54" i="1"/>
  <c r="CF54" i="1"/>
  <c r="CG54" i="1"/>
  <c r="CH54" i="1"/>
  <c r="CI54" i="1"/>
  <c r="CJ54" i="1"/>
  <c r="CK54" i="1"/>
  <c r="CL54" i="1"/>
  <c r="CM54" i="1"/>
  <c r="CN54" i="1"/>
  <c r="CO54" i="1"/>
  <c r="CP54" i="1"/>
  <c r="CQ54" i="1"/>
  <c r="CR54" i="1"/>
  <c r="CS54" i="1"/>
  <c r="BU168" i="1"/>
  <c r="BV168" i="1"/>
  <c r="BW168" i="1"/>
  <c r="BX168" i="1"/>
  <c r="BY168" i="1"/>
  <c r="BZ168" i="1"/>
  <c r="CA168" i="1"/>
  <c r="CB168" i="1"/>
  <c r="CC168" i="1"/>
  <c r="CD168" i="1"/>
  <c r="CE168" i="1"/>
  <c r="CF168" i="1"/>
  <c r="CG168" i="1"/>
  <c r="CH168" i="1"/>
  <c r="CI168" i="1"/>
  <c r="CJ168" i="1"/>
  <c r="CK168" i="1"/>
  <c r="CL168" i="1"/>
  <c r="CM168" i="1"/>
  <c r="CN168" i="1"/>
  <c r="CO168" i="1"/>
  <c r="CP168" i="1"/>
  <c r="CQ168" i="1"/>
  <c r="CR168" i="1"/>
  <c r="CS168" i="1"/>
  <c r="BU20" i="1"/>
  <c r="BV20" i="1"/>
  <c r="BW20" i="1"/>
  <c r="BX20" i="1"/>
  <c r="BY20" i="1"/>
  <c r="BZ20" i="1"/>
  <c r="CA20" i="1"/>
  <c r="CB20" i="1"/>
  <c r="CC20" i="1"/>
  <c r="CD20" i="1"/>
  <c r="CE20" i="1"/>
  <c r="CF20" i="1"/>
  <c r="CG20" i="1"/>
  <c r="CH20" i="1"/>
  <c r="CI20" i="1"/>
  <c r="CJ20" i="1"/>
  <c r="CK20" i="1"/>
  <c r="CL20" i="1"/>
  <c r="CM20" i="1"/>
  <c r="CN20" i="1"/>
  <c r="CO20" i="1"/>
  <c r="CP20" i="1"/>
  <c r="CQ20" i="1"/>
  <c r="CR20" i="1"/>
  <c r="CS20" i="1"/>
  <c r="BU174" i="1"/>
  <c r="BV174" i="1"/>
  <c r="BW174" i="1"/>
  <c r="BX174" i="1"/>
  <c r="BY174" i="1"/>
  <c r="BZ174" i="1"/>
  <c r="CA174" i="1"/>
  <c r="CB174" i="1"/>
  <c r="CC174" i="1"/>
  <c r="CD174" i="1"/>
  <c r="CE174" i="1"/>
  <c r="CF174" i="1"/>
  <c r="CG174" i="1"/>
  <c r="CH174" i="1"/>
  <c r="CI174" i="1"/>
  <c r="CJ174" i="1"/>
  <c r="CK174" i="1"/>
  <c r="CL174" i="1"/>
  <c r="CM174" i="1"/>
  <c r="CN174" i="1"/>
  <c r="CO174" i="1"/>
  <c r="CP174" i="1"/>
  <c r="CQ174" i="1"/>
  <c r="CR174" i="1"/>
  <c r="CS174" i="1"/>
  <c r="BU19" i="1"/>
  <c r="BV19" i="1"/>
  <c r="BW19" i="1"/>
  <c r="BX19" i="1"/>
  <c r="BY19" i="1"/>
  <c r="BZ19" i="1"/>
  <c r="CA19" i="1"/>
  <c r="CB19" i="1"/>
  <c r="CC19" i="1"/>
  <c r="CD19" i="1"/>
  <c r="CE19" i="1"/>
  <c r="CF19" i="1"/>
  <c r="CG19" i="1"/>
  <c r="CH19" i="1"/>
  <c r="CI19" i="1"/>
  <c r="CJ19" i="1"/>
  <c r="CK19" i="1"/>
  <c r="CL19" i="1"/>
  <c r="CM19" i="1"/>
  <c r="CN19" i="1"/>
  <c r="CO19" i="1"/>
  <c r="CP19" i="1"/>
  <c r="CQ19" i="1"/>
  <c r="CR19" i="1"/>
  <c r="CS19" i="1"/>
  <c r="BU18" i="1"/>
  <c r="BV18" i="1"/>
  <c r="BW18" i="1"/>
  <c r="BX18" i="1"/>
  <c r="BY18" i="1"/>
  <c r="BZ18" i="1"/>
  <c r="CA18" i="1"/>
  <c r="CB18" i="1"/>
  <c r="CC18" i="1"/>
  <c r="CD18" i="1"/>
  <c r="CE18" i="1"/>
  <c r="CF18" i="1"/>
  <c r="CG18" i="1"/>
  <c r="CH18" i="1"/>
  <c r="CI18" i="1"/>
  <c r="CJ18" i="1"/>
  <c r="CK18" i="1"/>
  <c r="CL18" i="1"/>
  <c r="CM18" i="1"/>
  <c r="CN18" i="1"/>
  <c r="CO18" i="1"/>
  <c r="CP18" i="1"/>
  <c r="CQ18" i="1"/>
  <c r="CR18" i="1"/>
  <c r="CS18" i="1"/>
  <c r="BU39" i="1"/>
  <c r="BV39" i="1"/>
  <c r="BW39" i="1"/>
  <c r="BX39" i="1"/>
  <c r="BY39" i="1"/>
  <c r="BZ39" i="1"/>
  <c r="CA39" i="1"/>
  <c r="CB39" i="1"/>
  <c r="CC39" i="1"/>
  <c r="CD39" i="1"/>
  <c r="CE39" i="1"/>
  <c r="CF39" i="1"/>
  <c r="CG39" i="1"/>
  <c r="CH39" i="1"/>
  <c r="CI39" i="1"/>
  <c r="CJ39" i="1"/>
  <c r="CK39" i="1"/>
  <c r="CL39" i="1"/>
  <c r="CM39" i="1"/>
  <c r="CN39" i="1"/>
  <c r="CO39" i="1"/>
  <c r="CP39" i="1"/>
  <c r="CQ39" i="1"/>
  <c r="CR39" i="1"/>
  <c r="CS39" i="1"/>
  <c r="BU70" i="1"/>
  <c r="BV70" i="1"/>
  <c r="BW70" i="1"/>
  <c r="BX70" i="1"/>
  <c r="BY70" i="1"/>
  <c r="BZ70" i="1"/>
  <c r="CA70" i="1"/>
  <c r="CB70" i="1"/>
  <c r="CC70" i="1"/>
  <c r="CD70" i="1"/>
  <c r="CE70" i="1"/>
  <c r="CF70" i="1"/>
  <c r="CG70" i="1"/>
  <c r="CH70" i="1"/>
  <c r="CI70" i="1"/>
  <c r="CJ70" i="1"/>
  <c r="CK70" i="1"/>
  <c r="CL70" i="1"/>
  <c r="CM70" i="1"/>
  <c r="CN70" i="1"/>
  <c r="CO70" i="1"/>
  <c r="CP70" i="1"/>
  <c r="CQ70" i="1"/>
  <c r="CR70" i="1"/>
  <c r="CS70" i="1"/>
  <c r="BU114" i="1"/>
  <c r="BV114" i="1"/>
  <c r="BW114" i="1"/>
  <c r="BX114" i="1"/>
  <c r="BY114" i="1"/>
  <c r="BZ114" i="1"/>
  <c r="CA114" i="1"/>
  <c r="CB114" i="1"/>
  <c r="CC114" i="1"/>
  <c r="CD114" i="1"/>
  <c r="CE114" i="1"/>
  <c r="CF114" i="1"/>
  <c r="CG114" i="1"/>
  <c r="CH114" i="1"/>
  <c r="CI114" i="1"/>
  <c r="CJ114" i="1"/>
  <c r="CK114" i="1"/>
  <c r="CL114" i="1"/>
  <c r="CM114" i="1"/>
  <c r="CN114" i="1"/>
  <c r="CO114" i="1"/>
  <c r="CP114" i="1"/>
  <c r="CQ114" i="1"/>
  <c r="CR114" i="1"/>
  <c r="CS114" i="1"/>
  <c r="BU17" i="1"/>
  <c r="BV17" i="1"/>
  <c r="BW17" i="1"/>
  <c r="BX17" i="1"/>
  <c r="BY17" i="1"/>
  <c r="BZ17" i="1"/>
  <c r="CA17" i="1"/>
  <c r="CB17" i="1"/>
  <c r="CC17" i="1"/>
  <c r="CD17" i="1"/>
  <c r="CE17" i="1"/>
  <c r="CF17" i="1"/>
  <c r="CG17" i="1"/>
  <c r="CH17" i="1"/>
  <c r="CI17" i="1"/>
  <c r="CJ17" i="1"/>
  <c r="CK17" i="1"/>
  <c r="CL17" i="1"/>
  <c r="CM17" i="1"/>
  <c r="CN17" i="1"/>
  <c r="CO17" i="1"/>
  <c r="CP17" i="1"/>
  <c r="CQ17" i="1"/>
  <c r="CR17" i="1"/>
  <c r="CS17" i="1"/>
  <c r="BU16" i="1"/>
  <c r="BV16" i="1"/>
  <c r="BW16" i="1"/>
  <c r="BX16" i="1"/>
  <c r="BY16" i="1"/>
  <c r="BZ16" i="1"/>
  <c r="CA16" i="1"/>
  <c r="CB16" i="1"/>
  <c r="CC16" i="1"/>
  <c r="CD16" i="1"/>
  <c r="CE16" i="1"/>
  <c r="CF16" i="1"/>
  <c r="CG16" i="1"/>
  <c r="CH16" i="1"/>
  <c r="CI16" i="1"/>
  <c r="CJ16" i="1"/>
  <c r="CK16" i="1"/>
  <c r="CL16" i="1"/>
  <c r="CM16" i="1"/>
  <c r="CN16" i="1"/>
  <c r="CO16" i="1"/>
  <c r="CP16" i="1"/>
  <c r="CQ16" i="1"/>
  <c r="CR16" i="1"/>
  <c r="CS16" i="1"/>
  <c r="BU15" i="1"/>
  <c r="BV15" i="1"/>
  <c r="BW15" i="1"/>
  <c r="BX15" i="1"/>
  <c r="BY15" i="1"/>
  <c r="BZ15" i="1"/>
  <c r="CA15" i="1"/>
  <c r="CB15" i="1"/>
  <c r="CC15" i="1"/>
  <c r="CD15" i="1"/>
  <c r="CE15" i="1"/>
  <c r="CF15" i="1"/>
  <c r="CG15" i="1"/>
  <c r="CH15" i="1"/>
  <c r="CI15" i="1"/>
  <c r="CJ15" i="1"/>
  <c r="CK15" i="1"/>
  <c r="CL15" i="1"/>
  <c r="CM15" i="1"/>
  <c r="CN15" i="1"/>
  <c r="CO15" i="1"/>
  <c r="CP15" i="1"/>
  <c r="CQ15" i="1"/>
  <c r="CR15" i="1"/>
  <c r="CS15" i="1"/>
  <c r="BU144" i="1"/>
  <c r="BV144" i="1"/>
  <c r="BW144" i="1"/>
  <c r="BX144" i="1"/>
  <c r="BY144" i="1"/>
  <c r="BZ144" i="1"/>
  <c r="CA144" i="1"/>
  <c r="CB144" i="1"/>
  <c r="CC144" i="1"/>
  <c r="CD144" i="1"/>
  <c r="CE144" i="1"/>
  <c r="CF144" i="1"/>
  <c r="CG144" i="1"/>
  <c r="CH144" i="1"/>
  <c r="CI144" i="1"/>
  <c r="CJ144" i="1"/>
  <c r="CK144" i="1"/>
  <c r="CL144" i="1"/>
  <c r="CM144" i="1"/>
  <c r="CN144" i="1"/>
  <c r="CO144" i="1"/>
  <c r="CP144" i="1"/>
  <c r="CQ144" i="1"/>
  <c r="CR144" i="1"/>
  <c r="CS144" i="1"/>
  <c r="BU69" i="1"/>
  <c r="BV69" i="1"/>
  <c r="BW69" i="1"/>
  <c r="BX69" i="1"/>
  <c r="BY69" i="1"/>
  <c r="BZ69" i="1"/>
  <c r="CA69" i="1"/>
  <c r="CB69" i="1"/>
  <c r="CC69" i="1"/>
  <c r="CD69" i="1"/>
  <c r="CE69" i="1"/>
  <c r="CF69" i="1"/>
  <c r="CG69" i="1"/>
  <c r="CH69" i="1"/>
  <c r="CI69" i="1"/>
  <c r="CJ69" i="1"/>
  <c r="CK69" i="1"/>
  <c r="CL69" i="1"/>
  <c r="CM69" i="1"/>
  <c r="CN69" i="1"/>
  <c r="CO69" i="1"/>
  <c r="CP69" i="1"/>
  <c r="CQ69" i="1"/>
  <c r="CR69" i="1"/>
  <c r="CS69" i="1"/>
  <c r="BU105" i="1"/>
  <c r="BV105" i="1"/>
  <c r="BW105" i="1"/>
  <c r="BX105" i="1"/>
  <c r="BY105" i="1"/>
  <c r="BZ105" i="1"/>
  <c r="CA105" i="1"/>
  <c r="CB105" i="1"/>
  <c r="CC105" i="1"/>
  <c r="CD105" i="1"/>
  <c r="CE105" i="1"/>
  <c r="CF105" i="1"/>
  <c r="CG105" i="1"/>
  <c r="CH105" i="1"/>
  <c r="CI105" i="1"/>
  <c r="CJ105" i="1"/>
  <c r="CK105" i="1"/>
  <c r="CL105" i="1"/>
  <c r="CM105" i="1"/>
  <c r="CN105" i="1"/>
  <c r="CO105" i="1"/>
  <c r="CP105" i="1"/>
  <c r="CQ105" i="1"/>
  <c r="CR105" i="1"/>
  <c r="CS105" i="1"/>
  <c r="BU68" i="1"/>
  <c r="BV68" i="1"/>
  <c r="BW68" i="1"/>
  <c r="BX68" i="1"/>
  <c r="BY68" i="1"/>
  <c r="BZ68" i="1"/>
  <c r="CA68" i="1"/>
  <c r="CB68" i="1"/>
  <c r="CC68" i="1"/>
  <c r="CD68" i="1"/>
  <c r="CE68" i="1"/>
  <c r="CF68" i="1"/>
  <c r="CG68" i="1"/>
  <c r="CH68" i="1"/>
  <c r="CI68" i="1"/>
  <c r="CJ68" i="1"/>
  <c r="CK68" i="1"/>
  <c r="CL68" i="1"/>
  <c r="CM68" i="1"/>
  <c r="CN68" i="1"/>
  <c r="CO68" i="1"/>
  <c r="CP68" i="1"/>
  <c r="CQ68" i="1"/>
  <c r="CR68" i="1"/>
  <c r="CS68" i="1"/>
  <c r="BU102" i="1"/>
  <c r="BV102" i="1"/>
  <c r="BW102" i="1"/>
  <c r="BX102" i="1"/>
  <c r="BY102" i="1"/>
  <c r="BZ102" i="1"/>
  <c r="CA102" i="1"/>
  <c r="CB102" i="1"/>
  <c r="CC102" i="1"/>
  <c r="CD102" i="1"/>
  <c r="CE102" i="1"/>
  <c r="CF102" i="1"/>
  <c r="CG102" i="1"/>
  <c r="CH102" i="1"/>
  <c r="CI102" i="1"/>
  <c r="CJ102" i="1"/>
  <c r="CK102" i="1"/>
  <c r="CL102" i="1"/>
  <c r="CM102" i="1"/>
  <c r="CN102" i="1"/>
  <c r="CO102" i="1"/>
  <c r="CP102" i="1"/>
  <c r="CQ102" i="1"/>
  <c r="CR102" i="1"/>
  <c r="CS102" i="1"/>
  <c r="BU101" i="1"/>
  <c r="BV101" i="1"/>
  <c r="BW101" i="1"/>
  <c r="BX101" i="1"/>
  <c r="BY101" i="1"/>
  <c r="BZ101" i="1"/>
  <c r="CA101" i="1"/>
  <c r="CB101" i="1"/>
  <c r="CC101" i="1"/>
  <c r="CD101" i="1"/>
  <c r="CE101" i="1"/>
  <c r="CF101" i="1"/>
  <c r="CG101" i="1"/>
  <c r="CH101" i="1"/>
  <c r="CI101" i="1"/>
  <c r="CJ101" i="1"/>
  <c r="CK101" i="1"/>
  <c r="CL101" i="1"/>
  <c r="CM101" i="1"/>
  <c r="CN101" i="1"/>
  <c r="CO101" i="1"/>
  <c r="CP101" i="1"/>
  <c r="CQ101" i="1"/>
  <c r="CR101" i="1"/>
  <c r="CS101" i="1"/>
  <c r="BU67" i="1"/>
  <c r="BV67" i="1"/>
  <c r="BW67" i="1"/>
  <c r="BX67" i="1"/>
  <c r="BY67" i="1"/>
  <c r="BZ67" i="1"/>
  <c r="CA67" i="1"/>
  <c r="CB67" i="1"/>
  <c r="CC67" i="1"/>
  <c r="CD67" i="1"/>
  <c r="CE67" i="1"/>
  <c r="CF67" i="1"/>
  <c r="CG67" i="1"/>
  <c r="CH67" i="1"/>
  <c r="CI67" i="1"/>
  <c r="CJ67" i="1"/>
  <c r="CK67" i="1"/>
  <c r="CL67" i="1"/>
  <c r="CM67" i="1"/>
  <c r="CN67" i="1"/>
  <c r="CO67" i="1"/>
  <c r="CP67" i="1"/>
  <c r="CQ67" i="1"/>
  <c r="CR67" i="1"/>
  <c r="CS67" i="1"/>
  <c r="BU66" i="1"/>
  <c r="BV66" i="1"/>
  <c r="BW66" i="1"/>
  <c r="BX66" i="1"/>
  <c r="BY66" i="1"/>
  <c r="BZ66" i="1"/>
  <c r="CA66" i="1"/>
  <c r="CB66" i="1"/>
  <c r="CC66" i="1"/>
  <c r="CD66" i="1"/>
  <c r="CE66" i="1"/>
  <c r="CF66" i="1"/>
  <c r="CG66" i="1"/>
  <c r="CH66" i="1"/>
  <c r="CI66" i="1"/>
  <c r="CJ66" i="1"/>
  <c r="CK66" i="1"/>
  <c r="CL66" i="1"/>
  <c r="CM66" i="1"/>
  <c r="CN66" i="1"/>
  <c r="CO66" i="1"/>
  <c r="CP66" i="1"/>
  <c r="CQ66" i="1"/>
  <c r="CR66" i="1"/>
  <c r="CS66" i="1"/>
  <c r="BU65" i="1"/>
  <c r="BV65" i="1"/>
  <c r="BW65" i="1"/>
  <c r="BX65" i="1"/>
  <c r="BY65" i="1"/>
  <c r="BZ65" i="1"/>
  <c r="CA65" i="1"/>
  <c r="CB65" i="1"/>
  <c r="CC65" i="1"/>
  <c r="CD65" i="1"/>
  <c r="CE65" i="1"/>
  <c r="CF65" i="1"/>
  <c r="CG65" i="1"/>
  <c r="CH65" i="1"/>
  <c r="CI65" i="1"/>
  <c r="CJ65" i="1"/>
  <c r="CK65" i="1"/>
  <c r="CL65" i="1"/>
  <c r="CM65" i="1"/>
  <c r="CN65" i="1"/>
  <c r="CO65" i="1"/>
  <c r="CP65" i="1"/>
  <c r="CQ65" i="1"/>
  <c r="CR65" i="1"/>
  <c r="CS65" i="1"/>
  <c r="BU143" i="1"/>
  <c r="BV143" i="1"/>
  <c r="BW143" i="1"/>
  <c r="BX143" i="1"/>
  <c r="BY143" i="1"/>
  <c r="BZ143" i="1"/>
  <c r="CA143" i="1"/>
  <c r="CB143" i="1"/>
  <c r="CC143" i="1"/>
  <c r="CD143" i="1"/>
  <c r="CE143" i="1"/>
  <c r="CF143" i="1"/>
  <c r="CG143" i="1"/>
  <c r="CH143" i="1"/>
  <c r="CI143" i="1"/>
  <c r="CJ143" i="1"/>
  <c r="CK143" i="1"/>
  <c r="CL143" i="1"/>
  <c r="CM143" i="1"/>
  <c r="CN143" i="1"/>
  <c r="CO143" i="1"/>
  <c r="CP143" i="1"/>
  <c r="CQ143" i="1"/>
  <c r="CR143" i="1"/>
  <c r="CS143" i="1"/>
  <c r="BU64" i="1"/>
  <c r="BV64" i="1"/>
  <c r="BW64" i="1"/>
  <c r="BX64" i="1"/>
  <c r="BY64" i="1"/>
  <c r="BZ64" i="1"/>
  <c r="CA64" i="1"/>
  <c r="CB64" i="1"/>
  <c r="CC64" i="1"/>
  <c r="CD64" i="1"/>
  <c r="CE64" i="1"/>
  <c r="CF64" i="1"/>
  <c r="CG64" i="1"/>
  <c r="CH64" i="1"/>
  <c r="CI64" i="1"/>
  <c r="CJ64" i="1"/>
  <c r="CK64" i="1"/>
  <c r="CL64" i="1"/>
  <c r="CM64" i="1"/>
  <c r="CN64" i="1"/>
  <c r="CO64" i="1"/>
  <c r="CP64" i="1"/>
  <c r="CQ64" i="1"/>
  <c r="CR64" i="1"/>
  <c r="CS64" i="1"/>
  <c r="BU154" i="1"/>
  <c r="BV154" i="1"/>
  <c r="BW154" i="1"/>
  <c r="BX154" i="1"/>
  <c r="BY154" i="1"/>
  <c r="BZ154" i="1"/>
  <c r="CA154" i="1"/>
  <c r="CB154" i="1"/>
  <c r="CC154" i="1"/>
  <c r="CD154" i="1"/>
  <c r="CE154" i="1"/>
  <c r="CF154" i="1"/>
  <c r="CG154" i="1"/>
  <c r="CH154" i="1"/>
  <c r="CI154" i="1"/>
  <c r="CJ154" i="1"/>
  <c r="CK154" i="1"/>
  <c r="CL154" i="1"/>
  <c r="CM154" i="1"/>
  <c r="CN154" i="1"/>
  <c r="CO154" i="1"/>
  <c r="CP154" i="1"/>
  <c r="CQ154" i="1"/>
  <c r="CR154" i="1"/>
  <c r="CS154" i="1"/>
  <c r="BU14" i="1"/>
  <c r="BV14" i="1"/>
  <c r="BW14" i="1"/>
  <c r="BX14" i="1"/>
  <c r="BY14" i="1"/>
  <c r="BZ14" i="1"/>
  <c r="CA14" i="1"/>
  <c r="CB14" i="1"/>
  <c r="CC14" i="1"/>
  <c r="CD14" i="1"/>
  <c r="CE14" i="1"/>
  <c r="CF14" i="1"/>
  <c r="CG14" i="1"/>
  <c r="CH14" i="1"/>
  <c r="CI14" i="1"/>
  <c r="CJ14" i="1"/>
  <c r="CK14" i="1"/>
  <c r="CL14" i="1"/>
  <c r="CM14" i="1"/>
  <c r="CN14" i="1"/>
  <c r="CO14" i="1"/>
  <c r="CP14" i="1"/>
  <c r="CQ14" i="1"/>
  <c r="CR14" i="1"/>
  <c r="CS14" i="1"/>
  <c r="BU13" i="1"/>
  <c r="BV13" i="1"/>
  <c r="BW13" i="1"/>
  <c r="BX13" i="1"/>
  <c r="BY13" i="1"/>
  <c r="BZ13" i="1"/>
  <c r="CA13" i="1"/>
  <c r="CB13" i="1"/>
  <c r="CC13" i="1"/>
  <c r="CD13" i="1"/>
  <c r="CE13" i="1"/>
  <c r="CF13" i="1"/>
  <c r="CG13" i="1"/>
  <c r="CH13" i="1"/>
  <c r="CI13" i="1"/>
  <c r="CJ13" i="1"/>
  <c r="CK13" i="1"/>
  <c r="CL13" i="1"/>
  <c r="CM13" i="1"/>
  <c r="CN13" i="1"/>
  <c r="CO13" i="1"/>
  <c r="CP13" i="1"/>
  <c r="CQ13" i="1"/>
  <c r="CR13" i="1"/>
  <c r="CS13" i="1"/>
  <c r="BU53" i="1"/>
  <c r="BV53" i="1"/>
  <c r="BW53" i="1"/>
  <c r="BX53" i="1"/>
  <c r="BY53" i="1"/>
  <c r="BZ53" i="1"/>
  <c r="CA53" i="1"/>
  <c r="CB53" i="1"/>
  <c r="CC53" i="1"/>
  <c r="CD53" i="1"/>
  <c r="CE53" i="1"/>
  <c r="CF53" i="1"/>
  <c r="CG53" i="1"/>
  <c r="CH53" i="1"/>
  <c r="CI53" i="1"/>
  <c r="CJ53" i="1"/>
  <c r="CK53" i="1"/>
  <c r="CL53" i="1"/>
  <c r="CM53" i="1"/>
  <c r="CN53" i="1"/>
  <c r="CO53" i="1"/>
  <c r="CP53" i="1"/>
  <c r="CQ53" i="1"/>
  <c r="CR53" i="1"/>
  <c r="CS53" i="1"/>
  <c r="BU52" i="1"/>
  <c r="BV52" i="1"/>
  <c r="BW52" i="1"/>
  <c r="BX52" i="1"/>
  <c r="BY52" i="1"/>
  <c r="BZ52" i="1"/>
  <c r="CA52" i="1"/>
  <c r="CB52" i="1"/>
  <c r="CC52" i="1"/>
  <c r="CD52" i="1"/>
  <c r="CE52" i="1"/>
  <c r="CF52" i="1"/>
  <c r="CG52" i="1"/>
  <c r="CH52" i="1"/>
  <c r="CI52" i="1"/>
  <c r="CJ52" i="1"/>
  <c r="CK52" i="1"/>
  <c r="CL52" i="1"/>
  <c r="CM52" i="1"/>
  <c r="CN52" i="1"/>
  <c r="CO52" i="1"/>
  <c r="CP52" i="1"/>
  <c r="CQ52" i="1"/>
  <c r="CR52" i="1"/>
  <c r="CS52" i="1"/>
  <c r="BU51" i="1"/>
  <c r="BV51" i="1"/>
  <c r="BW51" i="1"/>
  <c r="BX51" i="1"/>
  <c r="BY51" i="1"/>
  <c r="BZ51" i="1"/>
  <c r="CA51" i="1"/>
  <c r="CB51" i="1"/>
  <c r="CC51" i="1"/>
  <c r="CD51" i="1"/>
  <c r="CE51" i="1"/>
  <c r="CF51" i="1"/>
  <c r="CG51" i="1"/>
  <c r="CH51" i="1"/>
  <c r="CI51" i="1"/>
  <c r="CJ51" i="1"/>
  <c r="CK51" i="1"/>
  <c r="CL51" i="1"/>
  <c r="CM51" i="1"/>
  <c r="CN51" i="1"/>
  <c r="CO51" i="1"/>
  <c r="CP51" i="1"/>
  <c r="CQ51" i="1"/>
  <c r="CR51" i="1"/>
  <c r="CS51" i="1"/>
  <c r="BU50" i="1"/>
  <c r="BV50" i="1"/>
  <c r="BW50" i="1"/>
  <c r="BX50" i="1"/>
  <c r="BY50" i="1"/>
  <c r="BZ50" i="1"/>
  <c r="CA50" i="1"/>
  <c r="CB50" i="1"/>
  <c r="CC50" i="1"/>
  <c r="CD50" i="1"/>
  <c r="CE50" i="1"/>
  <c r="CF50" i="1"/>
  <c r="CG50" i="1"/>
  <c r="CH50" i="1"/>
  <c r="CI50" i="1"/>
  <c r="CJ50" i="1"/>
  <c r="CK50" i="1"/>
  <c r="CL50" i="1"/>
  <c r="CM50" i="1"/>
  <c r="CN50" i="1"/>
  <c r="CO50" i="1"/>
  <c r="CP50" i="1"/>
  <c r="CQ50" i="1"/>
  <c r="CR50" i="1"/>
  <c r="CS50" i="1"/>
  <c r="BU49" i="1"/>
  <c r="BV49" i="1"/>
  <c r="BW49" i="1"/>
  <c r="BX49" i="1"/>
  <c r="BY49" i="1"/>
  <c r="BZ49" i="1"/>
  <c r="CA49" i="1"/>
  <c r="CB49" i="1"/>
  <c r="CC49" i="1"/>
  <c r="CD49" i="1"/>
  <c r="CE49" i="1"/>
  <c r="CF49" i="1"/>
  <c r="CG49" i="1"/>
  <c r="CH49" i="1"/>
  <c r="CI49" i="1"/>
  <c r="CJ49" i="1"/>
  <c r="CK49" i="1"/>
  <c r="CL49" i="1"/>
  <c r="CM49" i="1"/>
  <c r="CN49" i="1"/>
  <c r="CO49" i="1"/>
  <c r="CP49" i="1"/>
  <c r="CQ49" i="1"/>
  <c r="CR49" i="1"/>
  <c r="CS49" i="1"/>
  <c r="BU48" i="1"/>
  <c r="BV48" i="1"/>
  <c r="BW48" i="1"/>
  <c r="BX48" i="1"/>
  <c r="BY48" i="1"/>
  <c r="BZ48" i="1"/>
  <c r="CA48" i="1"/>
  <c r="CB48" i="1"/>
  <c r="CC48" i="1"/>
  <c r="CD48" i="1"/>
  <c r="CE48" i="1"/>
  <c r="CF48" i="1"/>
  <c r="CG48" i="1"/>
  <c r="CH48" i="1"/>
  <c r="CI48" i="1"/>
  <c r="CJ48" i="1"/>
  <c r="CK48" i="1"/>
  <c r="CL48" i="1"/>
  <c r="CM48" i="1"/>
  <c r="CN48" i="1"/>
  <c r="CO48" i="1"/>
  <c r="CP48" i="1"/>
  <c r="CQ48" i="1"/>
  <c r="CR48" i="1"/>
  <c r="CS48" i="1"/>
  <c r="BU63" i="1"/>
  <c r="BV63" i="1"/>
  <c r="BW63" i="1"/>
  <c r="BX63" i="1"/>
  <c r="BY63" i="1"/>
  <c r="BZ63" i="1"/>
  <c r="CA63" i="1"/>
  <c r="CB63" i="1"/>
  <c r="CC63" i="1"/>
  <c r="CD63" i="1"/>
  <c r="CE63" i="1"/>
  <c r="CF63" i="1"/>
  <c r="CG63" i="1"/>
  <c r="CH63" i="1"/>
  <c r="CI63" i="1"/>
  <c r="CJ63" i="1"/>
  <c r="CK63" i="1"/>
  <c r="CL63" i="1"/>
  <c r="CM63" i="1"/>
  <c r="CN63" i="1"/>
  <c r="CO63" i="1"/>
  <c r="CP63" i="1"/>
  <c r="CQ63" i="1"/>
  <c r="CR63" i="1"/>
  <c r="CS63" i="1"/>
  <c r="BU141" i="1"/>
  <c r="BV141" i="1"/>
  <c r="BW141" i="1"/>
  <c r="BX141" i="1"/>
  <c r="BY141" i="1"/>
  <c r="BZ141" i="1"/>
  <c r="CA141" i="1"/>
  <c r="CB141" i="1"/>
  <c r="CC141" i="1"/>
  <c r="CD141" i="1"/>
  <c r="CE141" i="1"/>
  <c r="CF141" i="1"/>
  <c r="CG141" i="1"/>
  <c r="CH141" i="1"/>
  <c r="CI141" i="1"/>
  <c r="CJ141" i="1"/>
  <c r="CK141" i="1"/>
  <c r="CL141" i="1"/>
  <c r="CM141" i="1"/>
  <c r="CN141" i="1"/>
  <c r="CO141" i="1"/>
  <c r="CP141" i="1"/>
  <c r="CQ141" i="1"/>
  <c r="CR141" i="1"/>
  <c r="CS141" i="1"/>
  <c r="BU140" i="1"/>
  <c r="BV140" i="1"/>
  <c r="BW140" i="1"/>
  <c r="BX140" i="1"/>
  <c r="BY140" i="1"/>
  <c r="BZ140" i="1"/>
  <c r="CA140" i="1"/>
  <c r="CB140" i="1"/>
  <c r="CC140" i="1"/>
  <c r="CD140" i="1"/>
  <c r="CE140" i="1"/>
  <c r="CF140" i="1"/>
  <c r="CG140" i="1"/>
  <c r="CH140" i="1"/>
  <c r="CI140" i="1"/>
  <c r="CJ140" i="1"/>
  <c r="CK140" i="1"/>
  <c r="CL140" i="1"/>
  <c r="CM140" i="1"/>
  <c r="CN140" i="1"/>
  <c r="CO140" i="1"/>
  <c r="CP140" i="1"/>
  <c r="CQ140" i="1"/>
  <c r="CR140" i="1"/>
  <c r="CS140" i="1"/>
  <c r="BU2" i="1"/>
  <c r="BV2" i="1"/>
  <c r="BW2" i="1"/>
  <c r="BX2" i="1"/>
  <c r="BY2" i="1"/>
  <c r="BZ2" i="1"/>
  <c r="CA2" i="1"/>
  <c r="CB2" i="1"/>
  <c r="CC2" i="1"/>
  <c r="CD2" i="1"/>
  <c r="CE2" i="1"/>
  <c r="CF2" i="1"/>
  <c r="CG2" i="1"/>
  <c r="CH2" i="1"/>
  <c r="CI2" i="1"/>
  <c r="CJ2" i="1"/>
  <c r="CK2" i="1"/>
  <c r="CL2" i="1"/>
  <c r="CM2" i="1"/>
  <c r="CN2" i="1"/>
  <c r="CO2" i="1"/>
  <c r="CP2" i="1"/>
  <c r="CQ2" i="1"/>
  <c r="CR2" i="1"/>
  <c r="CS2" i="1"/>
  <c r="BU5" i="1"/>
  <c r="BV5" i="1"/>
  <c r="BW5" i="1"/>
  <c r="BX5" i="1"/>
  <c r="BY5" i="1"/>
  <c r="BZ5" i="1"/>
  <c r="CA5" i="1"/>
  <c r="CB5" i="1"/>
  <c r="CC5" i="1"/>
  <c r="CD5" i="1"/>
  <c r="CE5" i="1"/>
  <c r="CF5" i="1"/>
  <c r="CG5" i="1"/>
  <c r="CH5" i="1"/>
  <c r="CI5" i="1"/>
  <c r="CJ5" i="1"/>
  <c r="CK5" i="1"/>
  <c r="CL5" i="1"/>
  <c r="CM5" i="1"/>
  <c r="CN5" i="1"/>
  <c r="CO5" i="1"/>
  <c r="CP5" i="1"/>
  <c r="CQ5" i="1"/>
  <c r="CR5" i="1"/>
  <c r="CS5" i="1"/>
  <c r="BU12" i="1"/>
  <c r="BV12" i="1"/>
  <c r="BW12" i="1"/>
  <c r="BX12" i="1"/>
  <c r="BY12" i="1"/>
  <c r="BZ12" i="1"/>
  <c r="CA12" i="1"/>
  <c r="CB12" i="1"/>
  <c r="CC12" i="1"/>
  <c r="CD12" i="1"/>
  <c r="CE12" i="1"/>
  <c r="CF12" i="1"/>
  <c r="CG12" i="1"/>
  <c r="CH12" i="1"/>
  <c r="CI12" i="1"/>
  <c r="CJ12" i="1"/>
  <c r="CK12" i="1"/>
  <c r="CL12" i="1"/>
  <c r="CM12" i="1"/>
  <c r="CN12" i="1"/>
  <c r="CO12" i="1"/>
  <c r="CP12" i="1"/>
  <c r="CQ12" i="1"/>
  <c r="CR12" i="1"/>
  <c r="CS12" i="1"/>
  <c r="BU36" i="1"/>
  <c r="BV36" i="1"/>
  <c r="BW36" i="1"/>
  <c r="BX36" i="1"/>
  <c r="BY36" i="1"/>
  <c r="BZ36" i="1"/>
  <c r="CA36" i="1"/>
  <c r="CB36" i="1"/>
  <c r="CC36" i="1"/>
  <c r="CD36" i="1"/>
  <c r="CE36" i="1"/>
  <c r="CF36" i="1"/>
  <c r="CG36" i="1"/>
  <c r="CH36" i="1"/>
  <c r="CI36" i="1"/>
  <c r="CJ36" i="1"/>
  <c r="CK36" i="1"/>
  <c r="CL36" i="1"/>
  <c r="CM36" i="1"/>
  <c r="CN36" i="1"/>
  <c r="CO36" i="1"/>
  <c r="CP36" i="1"/>
  <c r="CQ36" i="1"/>
  <c r="CR36" i="1"/>
  <c r="CS36" i="1"/>
  <c r="BU38" i="1"/>
  <c r="BV38" i="1"/>
  <c r="BW38" i="1"/>
  <c r="BX38" i="1"/>
  <c r="BY38" i="1"/>
  <c r="BZ38" i="1"/>
  <c r="CA38" i="1"/>
  <c r="CB38" i="1"/>
  <c r="CC38" i="1"/>
  <c r="CD38" i="1"/>
  <c r="CE38" i="1"/>
  <c r="CF38" i="1"/>
  <c r="CG38" i="1"/>
  <c r="CH38" i="1"/>
  <c r="CI38" i="1"/>
  <c r="CJ38" i="1"/>
  <c r="CK38" i="1"/>
  <c r="CL38" i="1"/>
  <c r="CM38" i="1"/>
  <c r="CN38" i="1"/>
  <c r="CO38" i="1"/>
  <c r="CP38" i="1"/>
  <c r="CQ38" i="1"/>
  <c r="CR38" i="1"/>
  <c r="CS38" i="1"/>
  <c r="BU42" i="1"/>
  <c r="BV42" i="1"/>
  <c r="BW42" i="1"/>
  <c r="BX42" i="1"/>
  <c r="BY42" i="1"/>
  <c r="BZ42" i="1"/>
  <c r="CA42" i="1"/>
  <c r="CB42" i="1"/>
  <c r="CC42" i="1"/>
  <c r="CD42" i="1"/>
  <c r="CE42" i="1"/>
  <c r="CF42" i="1"/>
  <c r="CG42" i="1"/>
  <c r="CH42" i="1"/>
  <c r="CI42" i="1"/>
  <c r="CJ42" i="1"/>
  <c r="CK42" i="1"/>
  <c r="CL42" i="1"/>
  <c r="CM42" i="1"/>
  <c r="CN42" i="1"/>
  <c r="CO42" i="1"/>
  <c r="CP42" i="1"/>
  <c r="CQ42" i="1"/>
  <c r="CR42" i="1"/>
  <c r="CS42" i="1"/>
  <c r="BU45" i="1"/>
  <c r="BV45" i="1"/>
  <c r="BW45" i="1"/>
  <c r="BX45" i="1"/>
  <c r="BY45" i="1"/>
  <c r="BZ45" i="1"/>
  <c r="CA45" i="1"/>
  <c r="CB45" i="1"/>
  <c r="CC45" i="1"/>
  <c r="CD45" i="1"/>
  <c r="CE45" i="1"/>
  <c r="CF45" i="1"/>
  <c r="CG45" i="1"/>
  <c r="CH45" i="1"/>
  <c r="CI45" i="1"/>
  <c r="CJ45" i="1"/>
  <c r="CK45" i="1"/>
  <c r="CL45" i="1"/>
  <c r="CM45" i="1"/>
  <c r="CN45" i="1"/>
  <c r="CO45" i="1"/>
  <c r="CP45" i="1"/>
  <c r="CQ45" i="1"/>
  <c r="CR45" i="1"/>
  <c r="CS45" i="1"/>
  <c r="BU47" i="1"/>
  <c r="BV47" i="1"/>
  <c r="BW47" i="1"/>
  <c r="BX47" i="1"/>
  <c r="BY47" i="1"/>
  <c r="BZ47" i="1"/>
  <c r="CA47" i="1"/>
  <c r="CB47" i="1"/>
  <c r="CC47" i="1"/>
  <c r="CD47" i="1"/>
  <c r="CE47" i="1"/>
  <c r="CF47" i="1"/>
  <c r="CG47" i="1"/>
  <c r="CH47" i="1"/>
  <c r="CI47" i="1"/>
  <c r="CJ47" i="1"/>
  <c r="CK47" i="1"/>
  <c r="CL47" i="1"/>
  <c r="CM47" i="1"/>
  <c r="CN47" i="1"/>
  <c r="CO47" i="1"/>
  <c r="CP47" i="1"/>
  <c r="CQ47" i="1"/>
  <c r="CR47" i="1"/>
  <c r="CS47" i="1"/>
  <c r="BU62" i="1"/>
  <c r="BV62" i="1"/>
  <c r="BW62" i="1"/>
  <c r="BX62" i="1"/>
  <c r="BY62" i="1"/>
  <c r="BZ62" i="1"/>
  <c r="CA62" i="1"/>
  <c r="CB62" i="1"/>
  <c r="CC62" i="1"/>
  <c r="CD62" i="1"/>
  <c r="CE62" i="1"/>
  <c r="CF62" i="1"/>
  <c r="CG62" i="1"/>
  <c r="CH62" i="1"/>
  <c r="CI62" i="1"/>
  <c r="CJ62" i="1"/>
  <c r="CK62" i="1"/>
  <c r="CL62" i="1"/>
  <c r="CM62" i="1"/>
  <c r="CN62" i="1"/>
  <c r="CO62" i="1"/>
  <c r="CP62" i="1"/>
  <c r="CQ62" i="1"/>
  <c r="CR62" i="1"/>
  <c r="CS62" i="1"/>
  <c r="BU77" i="1"/>
  <c r="BV77" i="1"/>
  <c r="BW77" i="1"/>
  <c r="BX77" i="1"/>
  <c r="BY77" i="1"/>
  <c r="BZ77" i="1"/>
  <c r="CA77" i="1"/>
  <c r="CB77" i="1"/>
  <c r="CC77" i="1"/>
  <c r="CD77" i="1"/>
  <c r="CE77" i="1"/>
  <c r="CF77" i="1"/>
  <c r="CG77" i="1"/>
  <c r="CH77" i="1"/>
  <c r="CI77" i="1"/>
  <c r="CJ77" i="1"/>
  <c r="CK77" i="1"/>
  <c r="CL77" i="1"/>
  <c r="CM77" i="1"/>
  <c r="CN77" i="1"/>
  <c r="CO77" i="1"/>
  <c r="CP77" i="1"/>
  <c r="CQ77" i="1"/>
  <c r="CR77" i="1"/>
  <c r="CS77" i="1"/>
  <c r="BU89" i="1"/>
  <c r="BV89" i="1"/>
  <c r="BW89" i="1"/>
  <c r="BX89" i="1"/>
  <c r="BY89" i="1"/>
  <c r="BZ89" i="1"/>
  <c r="CA89" i="1"/>
  <c r="CB89" i="1"/>
  <c r="CC89" i="1"/>
  <c r="CD89" i="1"/>
  <c r="CE89" i="1"/>
  <c r="CF89" i="1"/>
  <c r="CG89" i="1"/>
  <c r="CH89" i="1"/>
  <c r="CI89" i="1"/>
  <c r="CJ89" i="1"/>
  <c r="CK89" i="1"/>
  <c r="CL89" i="1"/>
  <c r="CM89" i="1"/>
  <c r="CN89" i="1"/>
  <c r="CO89" i="1"/>
  <c r="CP89" i="1"/>
  <c r="CQ89" i="1"/>
  <c r="CR89" i="1"/>
  <c r="CS89" i="1"/>
  <c r="BU95" i="1"/>
  <c r="BV95" i="1"/>
  <c r="BW95" i="1"/>
  <c r="BX95" i="1"/>
  <c r="BY95" i="1"/>
  <c r="BZ95" i="1"/>
  <c r="CA95" i="1"/>
  <c r="CB95" i="1"/>
  <c r="CC95" i="1"/>
  <c r="CD95" i="1"/>
  <c r="CE95" i="1"/>
  <c r="CF95" i="1"/>
  <c r="CG95" i="1"/>
  <c r="CH95" i="1"/>
  <c r="CI95" i="1"/>
  <c r="CJ95" i="1"/>
  <c r="CK95" i="1"/>
  <c r="CL95" i="1"/>
  <c r="CM95" i="1"/>
  <c r="CN95" i="1"/>
  <c r="CO95" i="1"/>
  <c r="CP95" i="1"/>
  <c r="CQ95" i="1"/>
  <c r="CR95" i="1"/>
  <c r="CS95" i="1"/>
  <c r="BU180" i="1"/>
  <c r="BV180" i="1"/>
  <c r="BW180" i="1"/>
  <c r="BX180" i="1"/>
  <c r="BY180" i="1"/>
  <c r="BZ180" i="1"/>
  <c r="CA180" i="1"/>
  <c r="CB180" i="1"/>
  <c r="CC180" i="1"/>
  <c r="CD180" i="1"/>
  <c r="CE180" i="1"/>
  <c r="CF180" i="1"/>
  <c r="CG180" i="1"/>
  <c r="CH180" i="1"/>
  <c r="CI180" i="1"/>
  <c r="CJ180" i="1"/>
  <c r="CK180" i="1"/>
  <c r="CL180" i="1"/>
  <c r="CM180" i="1"/>
  <c r="CN180" i="1"/>
  <c r="CO180" i="1"/>
  <c r="CP180" i="1"/>
  <c r="CQ180" i="1"/>
  <c r="CR180" i="1"/>
  <c r="CS180" i="1"/>
  <c r="BU100" i="1"/>
  <c r="BV100" i="1"/>
  <c r="BW100" i="1"/>
  <c r="BX100" i="1"/>
  <c r="BY100" i="1"/>
  <c r="BZ100" i="1"/>
  <c r="CA100" i="1"/>
  <c r="CB100" i="1"/>
  <c r="CC100" i="1"/>
  <c r="CD100" i="1"/>
  <c r="CE100" i="1"/>
  <c r="CF100" i="1"/>
  <c r="CG100" i="1"/>
  <c r="CH100" i="1"/>
  <c r="CI100" i="1"/>
  <c r="CJ100" i="1"/>
  <c r="CK100" i="1"/>
  <c r="CL100" i="1"/>
  <c r="CM100" i="1"/>
  <c r="CN100" i="1"/>
  <c r="CO100" i="1"/>
  <c r="CP100" i="1"/>
  <c r="CQ100" i="1"/>
  <c r="CR100" i="1"/>
  <c r="CS100" i="1"/>
  <c r="BU104" i="1"/>
  <c r="BV104" i="1"/>
  <c r="BW104" i="1"/>
  <c r="BX104" i="1"/>
  <c r="BY104" i="1"/>
  <c r="BZ104" i="1"/>
  <c r="CA104" i="1"/>
  <c r="CB104" i="1"/>
  <c r="CC104" i="1"/>
  <c r="CD104" i="1"/>
  <c r="CE104" i="1"/>
  <c r="CF104" i="1"/>
  <c r="CG104" i="1"/>
  <c r="CH104" i="1"/>
  <c r="CI104" i="1"/>
  <c r="CJ104" i="1"/>
  <c r="CK104" i="1"/>
  <c r="CL104" i="1"/>
  <c r="CM104" i="1"/>
  <c r="CN104" i="1"/>
  <c r="CO104" i="1"/>
  <c r="CP104" i="1"/>
  <c r="CQ104" i="1"/>
  <c r="CR104" i="1"/>
  <c r="CS104" i="1"/>
  <c r="BU187" i="1"/>
  <c r="BV187" i="1"/>
  <c r="BW187" i="1"/>
  <c r="BX187" i="1"/>
  <c r="BY187" i="1"/>
  <c r="BZ187" i="1"/>
  <c r="CA187" i="1"/>
  <c r="CB187" i="1"/>
  <c r="CC187" i="1"/>
  <c r="CD187" i="1"/>
  <c r="CE187" i="1"/>
  <c r="CF187" i="1"/>
  <c r="CG187" i="1"/>
  <c r="CH187" i="1"/>
  <c r="CI187" i="1"/>
  <c r="CJ187" i="1"/>
  <c r="CK187" i="1"/>
  <c r="CL187" i="1"/>
  <c r="CM187" i="1"/>
  <c r="CN187" i="1"/>
  <c r="CO187" i="1"/>
  <c r="CP187" i="1"/>
  <c r="CQ187" i="1"/>
  <c r="CR187" i="1"/>
  <c r="CS187" i="1"/>
  <c r="BC108" i="1"/>
  <c r="BC107" i="1"/>
  <c r="BC23" i="1"/>
  <c r="BC61" i="1"/>
  <c r="BC148" i="1"/>
  <c r="BC188" i="1"/>
  <c r="AJ47" i="2"/>
  <c r="AJ43" i="2"/>
  <c r="AJ44" i="2"/>
  <c r="AJ23" i="2"/>
  <c r="AJ9" i="2"/>
  <c r="AJ25" i="2"/>
  <c r="AJ14" i="2"/>
  <c r="AJ13" i="2"/>
  <c r="AJ7" i="2"/>
  <c r="AJ10" i="2"/>
  <c r="AJ8" i="2"/>
  <c r="AJ24" i="2"/>
  <c r="AJ34" i="2"/>
  <c r="AJ35" i="2"/>
  <c r="AJ33" i="2"/>
  <c r="AJ4" i="2"/>
  <c r="AJ5" i="2"/>
  <c r="AJ26" i="2"/>
  <c r="AJ12" i="2"/>
  <c r="AJ6" i="2"/>
  <c r="AJ30" i="2"/>
  <c r="AJ31" i="2"/>
  <c r="AJ29" i="2"/>
  <c r="AJ32" i="2"/>
  <c r="AJ28" i="2"/>
  <c r="AJ40" i="2"/>
  <c r="AJ36" i="2"/>
  <c r="AJ37" i="2"/>
  <c r="AJ27" i="2"/>
  <c r="AJ2" i="2"/>
  <c r="AJ39" i="2"/>
  <c r="AJ21" i="2"/>
  <c r="AJ15" i="2"/>
  <c r="AJ19" i="2"/>
  <c r="AJ22" i="2"/>
  <c r="AJ20" i="2"/>
  <c r="AJ38" i="2"/>
  <c r="AJ49" i="2"/>
  <c r="AJ18" i="2"/>
  <c r="AJ48" i="2"/>
  <c r="AE259" i="4"/>
  <c r="AE272" i="4"/>
  <c r="AE269" i="4"/>
  <c r="AE290" i="4"/>
  <c r="AE295" i="4"/>
  <c r="AE273" i="4"/>
  <c r="AE275" i="4"/>
  <c r="AE291" i="4"/>
  <c r="AE274" i="4"/>
  <c r="AE267" i="4"/>
  <c r="AE263" i="4"/>
  <c r="AE2" i="4"/>
  <c r="AE287" i="4"/>
  <c r="AE278" i="4"/>
  <c r="AE280" i="4"/>
  <c r="AE285" i="4"/>
  <c r="AE289" i="4"/>
  <c r="AE3" i="4"/>
  <c r="AE277" i="4"/>
  <c r="AE279" i="4"/>
  <c r="AE283" i="4"/>
  <c r="AE284" i="4"/>
  <c r="AE5" i="4"/>
  <c r="AE4" i="4"/>
  <c r="AE288" i="4"/>
  <c r="AE286" i="4"/>
  <c r="AE8" i="4"/>
  <c r="AE292" i="4"/>
  <c r="AE293" i="4"/>
  <c r="AE271" i="4"/>
  <c r="AE266" i="4"/>
  <c r="AE7" i="4"/>
  <c r="AE6" i="4"/>
  <c r="AE10" i="4"/>
  <c r="AE11" i="4"/>
  <c r="AE30" i="4"/>
  <c r="AE33" i="4"/>
  <c r="AE17" i="4"/>
  <c r="AE18" i="4"/>
  <c r="AE32" i="4"/>
  <c r="AE31" i="4"/>
  <c r="AE15" i="4"/>
  <c r="AE25" i="4"/>
  <c r="AE9" i="4"/>
  <c r="AE26" i="4"/>
  <c r="AE20" i="4"/>
  <c r="AE24" i="4"/>
  <c r="AE19" i="4"/>
  <c r="AE35" i="4"/>
  <c r="AE34" i="4"/>
  <c r="AE14" i="4"/>
  <c r="AE23" i="4"/>
  <c r="AE12" i="4"/>
  <c r="AE276" i="4"/>
  <c r="AE13" i="4"/>
  <c r="AE27" i="4"/>
  <c r="AE28" i="4"/>
  <c r="AE29" i="4"/>
  <c r="AE16" i="4"/>
  <c r="AE21" i="4"/>
  <c r="AE22" i="4"/>
  <c r="AE181" i="4"/>
  <c r="AE182" i="4"/>
  <c r="AE184" i="4"/>
  <c r="AE185" i="4"/>
  <c r="AE140" i="4"/>
  <c r="AE135" i="4"/>
  <c r="AE147" i="4"/>
  <c r="AE127" i="4"/>
  <c r="AE131" i="4"/>
  <c r="AE146" i="4"/>
  <c r="AE52" i="4"/>
  <c r="AE90" i="4"/>
  <c r="AE50" i="4"/>
  <c r="AE116" i="4"/>
  <c r="AE93" i="4"/>
  <c r="AE125" i="4"/>
  <c r="AE91" i="4"/>
  <c r="AE82" i="4"/>
  <c r="AE84" i="4"/>
  <c r="AE249" i="4"/>
  <c r="AE80" i="4"/>
  <c r="AE51" i="4"/>
  <c r="AE48" i="4"/>
  <c r="AE169" i="4"/>
  <c r="AE170" i="4"/>
  <c r="AE232" i="4"/>
  <c r="AE89" i="4"/>
  <c r="AE96" i="4"/>
  <c r="AE103" i="4"/>
  <c r="AE94" i="4"/>
  <c r="AE221" i="4"/>
  <c r="AE79" i="4"/>
  <c r="AE81" i="4"/>
  <c r="AE231" i="4"/>
  <c r="AE234" i="4"/>
  <c r="AE237" i="4"/>
  <c r="AE202" i="4"/>
  <c r="AE233" i="4"/>
  <c r="AE166" i="4"/>
  <c r="AE167" i="4"/>
  <c r="AE236" i="4"/>
  <c r="AE178" i="4"/>
  <c r="AE137" i="4"/>
  <c r="AE115" i="4"/>
  <c r="AE165" i="4"/>
  <c r="AE235" i="4"/>
  <c r="AE130" i="4"/>
  <c r="AE76" i="4"/>
  <c r="AE104" i="4"/>
  <c r="AE123" i="4"/>
  <c r="AE138" i="4"/>
  <c r="AE180" i="4"/>
  <c r="AE75" i="4"/>
  <c r="AE102" i="4"/>
  <c r="AE133" i="4"/>
  <c r="AE230" i="4"/>
  <c r="AE101" i="4"/>
  <c r="AE265" i="4"/>
  <c r="AE129" i="4"/>
  <c r="AE143" i="4"/>
  <c r="AE157" i="4"/>
  <c r="AE158" i="4"/>
  <c r="AE197" i="4"/>
  <c r="AE206" i="4"/>
  <c r="AE207" i="4"/>
  <c r="AE212" i="4"/>
  <c r="AE227" i="4"/>
  <c r="AE85" i="4"/>
  <c r="AE121" i="4"/>
  <c r="AE156" i="4"/>
  <c r="AE211" i="4"/>
  <c r="AE117" i="4"/>
  <c r="AE210" i="4"/>
  <c r="AE73" i="4"/>
  <c r="AE128" i="4"/>
  <c r="AE228" i="4"/>
  <c r="AE108" i="4"/>
  <c r="AE209" i="4"/>
  <c r="AE215" i="4"/>
  <c r="AE72" i="4"/>
  <c r="AE124" i="4"/>
  <c r="AE139" i="4"/>
  <c r="AE176" i="4"/>
  <c r="AE109" i="4"/>
  <c r="AE110" i="4"/>
  <c r="AE112" i="4"/>
  <c r="AE187" i="4"/>
  <c r="AE188" i="4"/>
  <c r="AE189" i="4"/>
  <c r="AE160" i="4"/>
  <c r="AE240" i="4"/>
  <c r="AE242" i="4"/>
  <c r="AE74" i="4"/>
  <c r="AE155" i="4"/>
  <c r="AE177" i="4"/>
  <c r="AE161" i="4"/>
  <c r="AE241" i="4"/>
  <c r="AE198" i="4"/>
  <c r="AE239" i="4"/>
  <c r="AE243" i="4"/>
  <c r="AE245" i="4"/>
  <c r="AE132" i="4"/>
  <c r="AE248" i="4"/>
  <c r="AE149" i="4"/>
  <c r="AE246" i="4"/>
  <c r="AE119" i="4"/>
  <c r="AE224" i="4"/>
  <c r="AE69" i="4"/>
  <c r="AE61" i="4"/>
  <c r="AE62" i="4"/>
  <c r="AE151" i="4"/>
  <c r="AE66" i="4"/>
  <c r="AE38" i="4"/>
  <c r="AE39" i="4"/>
  <c r="AE40" i="4"/>
  <c r="AE111" i="4"/>
  <c r="AE36" i="4"/>
  <c r="AE63" i="4"/>
  <c r="AE64" i="4"/>
  <c r="AE113" i="4"/>
  <c r="AE58" i="4"/>
  <c r="AE55" i="4"/>
  <c r="AE77" i="4"/>
  <c r="AE179" i="4"/>
  <c r="AE105" i="4"/>
  <c r="AE136" i="4"/>
  <c r="AE191" i="4"/>
  <c r="AE229" i="4"/>
  <c r="AE172" i="4"/>
  <c r="AE217" i="4"/>
  <c r="AE126" i="4"/>
  <c r="AE86" i="4"/>
  <c r="AE114" i="4"/>
  <c r="AE244" i="4"/>
  <c r="AE60" i="4"/>
  <c r="AE183" i="4"/>
  <c r="AE262" i="4"/>
  <c r="AE220" i="4"/>
  <c r="AE71" i="4"/>
  <c r="AE190" i="4"/>
  <c r="AE145" i="4"/>
  <c r="AE134" i="4"/>
  <c r="AE78" i="4"/>
  <c r="AE218" i="4"/>
  <c r="AE87" i="4"/>
  <c r="AE144" i="4"/>
  <c r="AE214" i="4"/>
  <c r="AE46" i="4"/>
  <c r="AE65" i="4"/>
  <c r="AE106" i="4"/>
  <c r="AE153" i="4"/>
  <c r="AE171" i="4"/>
  <c r="AE193" i="4"/>
  <c r="AE122" i="4"/>
  <c r="AE152" i="4"/>
  <c r="AE192" i="4"/>
  <c r="AE45" i="4"/>
  <c r="AE47" i="4"/>
  <c r="AE41" i="4"/>
  <c r="AE43" i="4"/>
  <c r="AE95" i="4"/>
  <c r="AE270" i="4"/>
  <c r="AE142" i="4"/>
  <c r="AE194" i="4"/>
  <c r="AE148" i="4"/>
  <c r="AE196" i="4"/>
  <c r="AE118" i="4"/>
  <c r="AE238" i="4"/>
  <c r="AE225" i="4"/>
  <c r="AE223" i="4"/>
  <c r="AE222" i="4"/>
  <c r="AE120" i="4"/>
  <c r="AE174" i="4"/>
  <c r="AE226" i="4"/>
  <c r="AE97" i="4"/>
  <c r="AE59" i="4"/>
  <c r="AE175" i="4"/>
  <c r="AE186" i="4"/>
  <c r="AE173" i="4"/>
  <c r="AE219" i="4"/>
  <c r="AE162" i="4"/>
  <c r="AE163" i="4"/>
  <c r="AE164" i="4"/>
  <c r="AE107" i="4"/>
  <c r="AE168" i="4"/>
  <c r="AE247" i="4"/>
  <c r="AE268" i="4"/>
  <c r="AE83" i="4"/>
  <c r="AE92" i="4"/>
  <c r="AE49" i="4"/>
  <c r="AE88" i="4"/>
  <c r="AE199" i="4"/>
  <c r="AE203" i="4"/>
  <c r="AE204" i="4"/>
  <c r="AE200" i="4"/>
  <c r="AE201" i="4"/>
  <c r="AE100" i="4"/>
  <c r="AE208" i="4"/>
  <c r="AE216" i="4"/>
  <c r="AE70" i="4"/>
  <c r="AE213" i="4"/>
  <c r="AE68" i="4"/>
  <c r="AE67" i="4"/>
  <c r="AE37" i="4"/>
  <c r="AE53" i="4"/>
  <c r="AE54" i="4"/>
  <c r="AE57" i="4"/>
  <c r="AE159" i="4"/>
  <c r="AE56" i="4"/>
  <c r="AE98" i="4"/>
  <c r="AE205" i="4"/>
  <c r="AE42" i="4"/>
  <c r="AE195" i="4"/>
  <c r="AE250" i="4"/>
  <c r="AE264" i="4"/>
  <c r="AE254" i="4"/>
  <c r="AE99" i="4"/>
  <c r="AE141" i="4"/>
  <c r="AE251" i="4"/>
  <c r="AE255" i="4"/>
  <c r="AE44" i="4"/>
  <c r="AE253" i="4"/>
  <c r="AE252" i="4"/>
  <c r="AE154" i="4"/>
  <c r="AE257" i="4"/>
  <c r="AE281" i="4"/>
  <c r="AE282" i="4"/>
  <c r="AE256" i="4"/>
  <c r="AE258" i="4"/>
  <c r="AE260" i="4"/>
  <c r="AE294" i="4"/>
  <c r="AE150" i="4"/>
  <c r="AE310" i="4"/>
  <c r="AE299" i="4"/>
  <c r="AE296" i="4"/>
  <c r="AE297" i="4"/>
  <c r="AE300" i="4"/>
  <c r="AE305" i="4"/>
  <c r="AE308" i="4"/>
  <c r="AE309" i="4"/>
  <c r="AE301" i="4"/>
  <c r="AE302" i="4"/>
  <c r="AE303" i="4"/>
  <c r="AE307" i="4"/>
  <c r="AE306" i="4"/>
  <c r="AE298" i="4"/>
  <c r="AE304" i="4"/>
  <c r="AE339" i="4"/>
  <c r="AE315" i="4"/>
  <c r="AE316" i="4"/>
  <c r="AE343" i="4"/>
  <c r="AE341" i="4"/>
  <c r="AE342" i="4"/>
  <c r="AE317" i="4"/>
  <c r="AE335" i="4"/>
  <c r="AE336" i="4"/>
  <c r="AE337" i="4"/>
  <c r="AE338" i="4"/>
  <c r="AE318" i="4"/>
  <c r="AE344" i="4"/>
  <c r="AE340" i="4"/>
  <c r="AE328" i="4"/>
  <c r="AE331" i="4"/>
  <c r="AE329" i="4"/>
  <c r="AE333" i="4"/>
  <c r="AE330" i="4"/>
  <c r="AE332" i="4"/>
  <c r="AE334" i="4"/>
  <c r="AE325" i="4"/>
  <c r="AE326" i="4"/>
  <c r="AE323" i="4"/>
  <c r="AE324" i="4"/>
  <c r="AE327" i="4"/>
  <c r="AE319" i="4"/>
  <c r="AE320" i="4"/>
  <c r="AE321" i="4"/>
  <c r="AE322" i="4"/>
  <c r="AE314" i="4"/>
  <c r="AE312" i="4"/>
  <c r="AE313" i="4"/>
  <c r="AE349" i="4"/>
  <c r="AE350" i="4"/>
  <c r="AE351" i="4"/>
  <c r="AE352" i="4"/>
  <c r="AE353" i="4"/>
  <c r="AE363" i="4"/>
  <c r="AE347" i="4"/>
  <c r="AE354" i="4"/>
  <c r="AE348" i="4"/>
  <c r="AE345" i="4"/>
  <c r="AE356" i="4"/>
  <c r="AE357" i="4"/>
  <c r="AE358" i="4"/>
  <c r="AE360" i="4"/>
  <c r="AE361" i="4"/>
  <c r="AE362" i="4"/>
  <c r="AE346" i="4"/>
  <c r="AE364" i="4"/>
  <c r="AE365" i="4"/>
  <c r="AE366" i="4"/>
  <c r="AE355" i="4"/>
  <c r="AE359" i="4"/>
  <c r="AE372" i="4"/>
  <c r="AE368" i="4"/>
  <c r="AE376" i="4"/>
  <c r="AE367" i="4"/>
  <c r="AE369" i="4"/>
  <c r="AE371" i="4"/>
  <c r="AE374" i="4"/>
  <c r="AE370" i="4"/>
  <c r="AE373" i="4"/>
  <c r="AE375" i="4"/>
  <c r="AE377" i="4"/>
  <c r="AE380" i="4"/>
  <c r="AE382" i="4"/>
  <c r="AE381" i="4"/>
  <c r="AE378" i="4"/>
  <c r="AE379" i="4"/>
  <c r="AE386" i="4"/>
  <c r="AE401" i="4"/>
  <c r="AE404" i="4"/>
  <c r="AE387" i="4"/>
  <c r="AE388" i="4"/>
  <c r="AE389" i="4"/>
  <c r="AE390" i="4"/>
  <c r="AE396" i="4"/>
  <c r="AE398" i="4"/>
  <c r="AE399" i="4"/>
  <c r="AE403" i="4"/>
  <c r="AE397" i="4"/>
  <c r="AE385" i="4"/>
  <c r="AE383" i="4"/>
  <c r="AE384" i="4"/>
  <c r="AE392" i="4"/>
  <c r="AE393" i="4"/>
  <c r="AE394" i="4"/>
  <c r="AE395" i="4"/>
  <c r="AE400" i="4"/>
  <c r="AE402" i="4"/>
  <c r="AE405" i="4"/>
  <c r="AE406" i="4"/>
  <c r="AE407" i="4"/>
  <c r="AE391" i="4"/>
  <c r="AE261" i="4"/>
  <c r="AD250" i="4"/>
  <c r="BC118" i="5"/>
  <c r="B7" i="3"/>
  <c r="C7" i="3"/>
  <c r="E7" i="3"/>
  <c r="B8" i="3"/>
  <c r="C8" i="3"/>
  <c r="E8" i="3"/>
  <c r="I8" i="3"/>
  <c r="J8" i="3"/>
  <c r="G2" i="2"/>
  <c r="K2" i="2"/>
  <c r="T2" i="2"/>
  <c r="U2" i="2"/>
  <c r="V2" i="2"/>
  <c r="W2" i="2"/>
  <c r="AA2" i="2"/>
  <c r="H28" i="5"/>
  <c r="I28" i="5"/>
  <c r="AD2" i="2"/>
  <c r="AE2" i="2"/>
  <c r="L28" i="5"/>
  <c r="AF2" i="2"/>
  <c r="AG2" i="2"/>
  <c r="AH2" i="2"/>
  <c r="AI2" i="2"/>
  <c r="N28" i="5"/>
  <c r="O28" i="5"/>
  <c r="AK2" i="2"/>
  <c r="AL2" i="2"/>
  <c r="AM2" i="2"/>
  <c r="D67" i="6"/>
  <c r="D204" i="6"/>
  <c r="D90" i="6"/>
  <c r="D91" i="6"/>
  <c r="D98" i="6"/>
  <c r="D100" i="6"/>
  <c r="D107" i="6"/>
  <c r="D109" i="6"/>
  <c r="D117" i="6"/>
  <c r="D123" i="6"/>
  <c r="D124" i="6"/>
  <c r="D125" i="6"/>
  <c r="D158" i="6"/>
  <c r="D163" i="6"/>
  <c r="D139" i="6"/>
  <c r="D166" i="6"/>
  <c r="D126" i="6"/>
  <c r="D142" i="6"/>
  <c r="D57" i="6"/>
  <c r="D14" i="6"/>
  <c r="D127" i="6"/>
  <c r="D242" i="6"/>
  <c r="D79" i="6"/>
  <c r="D113" i="6"/>
  <c r="D152" i="6"/>
  <c r="D143" i="6"/>
  <c r="D216" i="6"/>
  <c r="D199" i="6"/>
  <c r="D217" i="6"/>
  <c r="D128" i="6"/>
  <c r="D201" i="6"/>
  <c r="D146" i="6"/>
  <c r="D147" i="6"/>
  <c r="D148" i="6"/>
  <c r="D279" i="6"/>
  <c r="D226" i="6"/>
  <c r="D227" i="6"/>
  <c r="D228" i="6"/>
  <c r="D295" i="6"/>
  <c r="D157" i="6"/>
  <c r="D103" i="6"/>
  <c r="D222" i="6"/>
  <c r="D210" i="6"/>
  <c r="D212" i="6"/>
  <c r="D198" i="6"/>
  <c r="D232" i="6"/>
  <c r="D151" i="6"/>
  <c r="D176" i="6"/>
  <c r="D169" i="6"/>
  <c r="D170" i="6"/>
  <c r="D214" i="6"/>
  <c r="D257" i="6"/>
  <c r="D205" i="6"/>
  <c r="D206" i="6"/>
  <c r="D258" i="6"/>
  <c r="D234" i="6"/>
  <c r="D218" i="6"/>
  <c r="D200" i="6"/>
  <c r="D202" i="6"/>
  <c r="D224" i="6"/>
  <c r="D278" i="6"/>
  <c r="D44" i="6"/>
  <c r="D207" i="6"/>
  <c r="D72" i="6"/>
  <c r="D21" i="6"/>
  <c r="D23" i="6"/>
  <c r="D87" i="6"/>
  <c r="D64" i="6"/>
  <c r="D88" i="6"/>
  <c r="D65" i="6"/>
  <c r="D66" i="6"/>
  <c r="D68" i="6"/>
  <c r="D69" i="6"/>
  <c r="D89" i="6"/>
  <c r="D85" i="6"/>
  <c r="D92" i="6"/>
  <c r="D93" i="6"/>
  <c r="D95" i="6"/>
  <c r="D230" i="6"/>
  <c r="D71" i="6"/>
  <c r="D99" i="6"/>
  <c r="D101" i="6"/>
  <c r="D115" i="6"/>
  <c r="D116" i="6"/>
  <c r="D164" i="6"/>
  <c r="D165" i="6"/>
  <c r="D194" i="6"/>
  <c r="D141" i="6"/>
  <c r="D196" i="6"/>
  <c r="D77" i="6"/>
  <c r="D273" i="6"/>
  <c r="D213" i="6"/>
  <c r="D261" i="6"/>
  <c r="D175" i="6"/>
  <c r="D243" i="6"/>
  <c r="D144" i="6"/>
  <c r="D145" i="6"/>
  <c r="D219" i="6"/>
  <c r="D220" i="6"/>
  <c r="D221" i="6"/>
  <c r="D223" i="6"/>
  <c r="D203" i="6"/>
  <c r="D83" i="6"/>
  <c r="D171" i="6"/>
  <c r="D172" i="6"/>
  <c r="D182" i="6"/>
  <c r="D183" i="6"/>
  <c r="D86" i="6"/>
  <c r="D70" i="6"/>
  <c r="D106" i="6"/>
  <c r="D96" i="6"/>
  <c r="D97" i="6"/>
  <c r="D108" i="6"/>
  <c r="D110" i="6"/>
  <c r="D111" i="6"/>
  <c r="D112" i="6"/>
  <c r="D259" i="6"/>
  <c r="D235" i="6"/>
  <c r="D236" i="6"/>
  <c r="D277" i="6"/>
  <c r="D155" i="6"/>
  <c r="D84" i="6"/>
  <c r="D156" i="6"/>
  <c r="D181" i="6"/>
  <c r="D173" i="6"/>
  <c r="D209" i="6"/>
  <c r="D134" i="6"/>
  <c r="D59" i="6"/>
  <c r="D215" i="6"/>
  <c r="D177" i="6"/>
  <c r="D153" i="6"/>
  <c r="D249" i="6"/>
  <c r="D276" i="6"/>
  <c r="D179" i="6"/>
  <c r="D39" i="6"/>
  <c r="D104" i="6"/>
  <c r="D31" i="6"/>
  <c r="D195" i="6"/>
  <c r="D24" i="6"/>
  <c r="D38" i="6"/>
  <c r="D25" i="6"/>
  <c r="D118" i="6"/>
  <c r="D120" i="6"/>
  <c r="D26" i="6"/>
  <c r="D32" i="6"/>
  <c r="D188" i="6"/>
  <c r="D33" i="6"/>
  <c r="D184" i="6"/>
  <c r="D187" i="6"/>
  <c r="D190" i="6"/>
  <c r="D193" i="6"/>
  <c r="D255" i="6"/>
  <c r="D265" i="6"/>
  <c r="D35" i="6"/>
  <c r="D287" i="6"/>
  <c r="D267" i="6"/>
  <c r="D268" i="6"/>
  <c r="D63" i="6"/>
  <c r="D60" i="6"/>
  <c r="D61" i="6"/>
  <c r="D15" i="6"/>
  <c r="D36" i="6"/>
  <c r="D130" i="6"/>
  <c r="D269" i="6"/>
  <c r="D13" i="6"/>
  <c r="D233" i="6"/>
  <c r="D159" i="6"/>
  <c r="D272" i="6"/>
  <c r="D253" i="6"/>
  <c r="D254" i="6"/>
  <c r="D225" i="6"/>
  <c r="D149" i="6"/>
  <c r="D266" i="6"/>
  <c r="D122" i="6"/>
  <c r="D180" i="6"/>
  <c r="D133" i="6"/>
  <c r="D260" i="6"/>
  <c r="D27" i="6"/>
  <c r="D28" i="6"/>
  <c r="D29" i="6"/>
  <c r="D30" i="6"/>
  <c r="D280" i="6"/>
  <c r="D281" i="6"/>
  <c r="D74" i="6"/>
  <c r="D282" i="6"/>
  <c r="D75" i="6"/>
  <c r="D76" i="6"/>
  <c r="D135" i="6"/>
  <c r="D283" i="6"/>
  <c r="D119" i="6"/>
  <c r="D78" i="6"/>
  <c r="D136" i="6"/>
  <c r="D137" i="6"/>
  <c r="D138" i="6"/>
  <c r="D241" i="6"/>
  <c r="D284" i="6"/>
  <c r="D285" i="6"/>
  <c r="D34" i="6"/>
  <c r="D150" i="6"/>
  <c r="D154" i="6"/>
  <c r="D161" i="6"/>
  <c r="D167" i="6"/>
  <c r="D168" i="6"/>
  <c r="D178" i="6"/>
  <c r="D229" i="6"/>
  <c r="D288" i="6"/>
  <c r="D289" i="6"/>
  <c r="D290" i="6"/>
  <c r="D291" i="6"/>
  <c r="D292" i="6"/>
  <c r="D293" i="6"/>
  <c r="D274" i="6"/>
  <c r="D250" i="6"/>
  <c r="D129" i="6"/>
  <c r="D271" i="6"/>
  <c r="D252" i="6"/>
  <c r="D275" i="6"/>
  <c r="D237" i="6"/>
  <c r="D245" i="6"/>
  <c r="D246" i="6"/>
  <c r="D162" i="6"/>
  <c r="D256" i="6"/>
  <c r="D12" i="6"/>
  <c r="D211" i="6"/>
  <c r="D251" i="6"/>
  <c r="D2" i="6"/>
  <c r="D3" i="6"/>
  <c r="D4" i="6"/>
  <c r="D5" i="6"/>
  <c r="D6" i="6"/>
  <c r="D47" i="6"/>
  <c r="D7" i="6"/>
  <c r="D48" i="6"/>
  <c r="D9" i="6"/>
  <c r="D49" i="6"/>
  <c r="D50" i="6"/>
  <c r="D10" i="6"/>
  <c r="D114" i="6"/>
  <c r="D11" i="6"/>
  <c r="D51" i="6"/>
  <c r="D52" i="6"/>
  <c r="D62" i="6"/>
  <c r="D53" i="6"/>
  <c r="D94" i="6"/>
  <c r="D231" i="6"/>
  <c r="D105" i="6"/>
  <c r="D54" i="6"/>
  <c r="D55" i="6"/>
  <c r="D56" i="6"/>
  <c r="D131" i="6"/>
  <c r="D294" i="6"/>
  <c r="D208" i="6"/>
  <c r="D46" i="6"/>
  <c r="D197" i="6"/>
  <c r="D58" i="6"/>
  <c r="D248" i="6"/>
  <c r="D81" i="6"/>
  <c r="D262" i="6"/>
  <c r="D160" i="6"/>
  <c r="D286" i="6"/>
  <c r="D82" i="6"/>
  <c r="D185" i="6"/>
  <c r="D189" i="6"/>
  <c r="D263" i="6"/>
  <c r="D264" i="6"/>
  <c r="D16" i="6"/>
  <c r="D18" i="6"/>
  <c r="D19" i="6"/>
  <c r="D20" i="6"/>
  <c r="D102" i="6"/>
  <c r="D8" i="6"/>
  <c r="D140" i="6"/>
  <c r="D174" i="6"/>
  <c r="D73" i="6"/>
  <c r="D270" i="6"/>
  <c r="D238" i="6"/>
  <c r="D239" i="6"/>
  <c r="D240" i="6"/>
  <c r="D244" i="6"/>
  <c r="D247" i="6"/>
  <c r="D186" i="6"/>
  <c r="D191" i="6"/>
  <c r="D192" i="6"/>
  <c r="D17" i="6"/>
  <c r="D132" i="6"/>
  <c r="D121" i="6"/>
  <c r="D80" i="6"/>
  <c r="D37" i="6"/>
  <c r="D40" i="6"/>
  <c r="D41" i="6"/>
  <c r="D42" i="6"/>
  <c r="D45" i="6"/>
  <c r="D43" i="6"/>
  <c r="D301" i="6"/>
  <c r="D302" i="6"/>
  <c r="D303" i="6"/>
  <c r="D304" i="6"/>
  <c r="D297" i="6"/>
  <c r="D298" i="6"/>
  <c r="D299" i="6"/>
  <c r="D310" i="6"/>
  <c r="D296" i="6"/>
  <c r="D300" i="6"/>
  <c r="D309" i="6"/>
  <c r="D305" i="6"/>
  <c r="D306" i="6"/>
  <c r="D307" i="6"/>
  <c r="D308" i="6"/>
  <c r="D324" i="6"/>
  <c r="D325" i="6"/>
  <c r="D326" i="6"/>
  <c r="D312" i="6"/>
  <c r="D313" i="6"/>
  <c r="D314" i="6"/>
  <c r="D317" i="6"/>
  <c r="D322" i="6"/>
  <c r="D344" i="6"/>
  <c r="D323" i="6"/>
  <c r="D327" i="6"/>
  <c r="D339" i="6"/>
  <c r="D340" i="6"/>
  <c r="D315" i="6"/>
  <c r="D316" i="6"/>
  <c r="D318" i="6"/>
  <c r="D319" i="6"/>
  <c r="D320" i="6"/>
  <c r="D321" i="6"/>
  <c r="D328" i="6"/>
  <c r="D329" i="6"/>
  <c r="D330" i="6"/>
  <c r="D331" i="6"/>
  <c r="D332" i="6"/>
  <c r="D333" i="6"/>
  <c r="D334" i="6"/>
  <c r="D335" i="6"/>
  <c r="D336" i="6"/>
  <c r="D337" i="6"/>
  <c r="D338" i="6"/>
  <c r="D343" i="6"/>
  <c r="D341" i="6"/>
  <c r="D342" i="6"/>
  <c r="D347" i="6"/>
  <c r="D349" i="6"/>
  <c r="D351" i="6"/>
  <c r="D354" i="6"/>
  <c r="D358" i="6"/>
  <c r="D352" i="6"/>
  <c r="D355" i="6"/>
  <c r="D357" i="6"/>
  <c r="D348" i="6"/>
  <c r="D362" i="6"/>
  <c r="D363" i="6"/>
  <c r="D345" i="6"/>
  <c r="D359" i="6"/>
  <c r="D346" i="6"/>
  <c r="D364" i="6"/>
  <c r="D350" i="6"/>
  <c r="D353" i="6"/>
  <c r="D360" i="6"/>
  <c r="D361" i="6"/>
  <c r="D365" i="6"/>
  <c r="D366" i="6"/>
  <c r="D356" i="6"/>
  <c r="D372" i="6"/>
  <c r="D375" i="6"/>
  <c r="D367" i="6"/>
  <c r="D368" i="6"/>
  <c r="D369" i="6"/>
  <c r="D370" i="6"/>
  <c r="D371" i="6"/>
  <c r="D373" i="6"/>
  <c r="D374" i="6"/>
  <c r="D376" i="6"/>
  <c r="D377" i="6"/>
  <c r="D379" i="6"/>
  <c r="D378" i="6"/>
  <c r="D382" i="6"/>
  <c r="D381" i="6"/>
  <c r="D380" i="6"/>
  <c r="D387" i="6"/>
  <c r="D388" i="6"/>
  <c r="D389" i="6"/>
  <c r="D390" i="6"/>
  <c r="D394" i="6"/>
  <c r="D395" i="6"/>
  <c r="D396" i="6"/>
  <c r="D397" i="6"/>
  <c r="D393" i="6"/>
  <c r="D383" i="6"/>
  <c r="D385" i="6"/>
  <c r="D399" i="6"/>
  <c r="D398" i="6"/>
  <c r="D391" i="6"/>
  <c r="D392" i="6"/>
  <c r="D401" i="6"/>
  <c r="D406" i="6"/>
  <c r="D384" i="6"/>
  <c r="D405" i="6"/>
  <c r="D407" i="6"/>
  <c r="D400" i="6"/>
  <c r="D403" i="6"/>
  <c r="D386" i="6"/>
  <c r="D402" i="6"/>
  <c r="D404" i="6"/>
  <c r="D22" i="6"/>
  <c r="A171" i="8"/>
  <c r="C171" i="8"/>
  <c r="AZ93" i="1"/>
  <c r="BC93" i="1"/>
  <c r="AZ97" i="1"/>
  <c r="CG97" i="1"/>
  <c r="CH97" i="1"/>
  <c r="CI97" i="1"/>
  <c r="CJ97" i="1"/>
  <c r="CK97" i="1"/>
  <c r="CL97" i="1"/>
  <c r="CM97" i="1"/>
  <c r="CN97" i="1"/>
  <c r="CO97" i="1"/>
  <c r="CP97" i="1"/>
  <c r="CQ97" i="1"/>
  <c r="CR97" i="1"/>
  <c r="BU97" i="1"/>
  <c r="BV97" i="1"/>
  <c r="BW97" i="1"/>
  <c r="BX97" i="1"/>
  <c r="BY97" i="1"/>
  <c r="BZ97" i="1"/>
  <c r="CA97" i="1"/>
  <c r="CB97" i="1"/>
  <c r="CC97" i="1"/>
  <c r="CD97" i="1"/>
  <c r="CE97" i="1"/>
  <c r="CF97" i="1"/>
  <c r="BC97" i="1"/>
  <c r="CS97" i="1"/>
  <c r="K32" i="2"/>
  <c r="K199" i="4"/>
  <c r="K31" i="2"/>
  <c r="K29" i="2"/>
  <c r="K203" i="4"/>
  <c r="K30" i="2"/>
  <c r="K6" i="2"/>
  <c r="K13" i="2"/>
  <c r="K204" i="4"/>
  <c r="K28" i="2"/>
  <c r="K200" i="4"/>
  <c r="K201" i="4"/>
  <c r="K25" i="2"/>
  <c r="K16" i="4"/>
  <c r="K29" i="4"/>
  <c r="AJ181" i="4"/>
  <c r="AJ261" i="4"/>
  <c r="AJ182" i="4"/>
  <c r="AJ184" i="4"/>
  <c r="AJ185" i="4"/>
  <c r="AJ140" i="4"/>
  <c r="AJ135" i="4"/>
  <c r="AJ147" i="4"/>
  <c r="AJ131" i="4"/>
  <c r="AJ146" i="4"/>
  <c r="AJ267" i="4"/>
  <c r="AJ272" i="4"/>
  <c r="AJ52" i="4"/>
  <c r="AJ263" i="4"/>
  <c r="AJ90" i="4"/>
  <c r="AJ10" i="4"/>
  <c r="AJ259" i="4"/>
  <c r="AJ50" i="4"/>
  <c r="AJ116" i="4"/>
  <c r="AJ83" i="4"/>
  <c r="AJ93" i="4"/>
  <c r="AJ125" i="4"/>
  <c r="AJ264" i="4"/>
  <c r="AJ91" i="4"/>
  <c r="AJ92" i="4"/>
  <c r="AJ11" i="4"/>
  <c r="AJ82" i="4"/>
  <c r="AJ257" i="4"/>
  <c r="AJ49" i="4"/>
  <c r="AJ258" i="4"/>
  <c r="AJ169" i="4"/>
  <c r="AJ170" i="4"/>
  <c r="AJ30" i="4"/>
  <c r="AJ33" i="4"/>
  <c r="AJ281" i="4"/>
  <c r="AJ232" i="4"/>
  <c r="AJ17" i="4"/>
  <c r="AJ18" i="4"/>
  <c r="AJ29" i="4"/>
  <c r="AJ89" i="4"/>
  <c r="AJ32" i="4"/>
  <c r="AJ96" i="4"/>
  <c r="AJ103" i="4"/>
  <c r="AJ94" i="4"/>
  <c r="AJ221" i="4"/>
  <c r="AJ254" i="4"/>
  <c r="AJ88" i="4"/>
  <c r="AJ79" i="4"/>
  <c r="AJ81" i="4"/>
  <c r="AJ199" i="4"/>
  <c r="AJ203" i="4"/>
  <c r="AJ204" i="4"/>
  <c r="AJ231" i="4"/>
  <c r="AJ234" i="4"/>
  <c r="AJ2" i="4"/>
  <c r="AJ237" i="4"/>
  <c r="AJ282" i="4"/>
  <c r="AJ200" i="4"/>
  <c r="AJ202" i="4"/>
  <c r="AJ233" i="4"/>
  <c r="AJ166" i="4"/>
  <c r="AJ167" i="4"/>
  <c r="AJ236" i="4"/>
  <c r="AJ201" i="4"/>
  <c r="AJ31" i="4"/>
  <c r="AJ178" i="4"/>
  <c r="AJ256" i="4"/>
  <c r="AJ137" i="4"/>
  <c r="AJ115" i="4"/>
  <c r="AJ15" i="4"/>
  <c r="AJ25" i="4"/>
  <c r="AJ165" i="4"/>
  <c r="AJ76" i="4"/>
  <c r="AJ104" i="4"/>
  <c r="AJ123" i="4"/>
  <c r="AJ138" i="4"/>
  <c r="AJ180" i="4"/>
  <c r="AJ75" i="4"/>
  <c r="AJ102" i="4"/>
  <c r="AJ100" i="4"/>
  <c r="AJ133" i="4"/>
  <c r="AJ230" i="4"/>
  <c r="AJ101" i="4"/>
  <c r="AJ265" i="4"/>
  <c r="AJ129" i="4"/>
  <c r="AJ143" i="4"/>
  <c r="AJ157" i="4"/>
  <c r="AJ158" i="4"/>
  <c r="AJ197" i="4"/>
  <c r="AJ206" i="4"/>
  <c r="AJ207" i="4"/>
  <c r="AJ208" i="4"/>
  <c r="AJ212" i="4"/>
  <c r="AJ216" i="4"/>
  <c r="AJ227" i="4"/>
  <c r="AJ85" i="4"/>
  <c r="AJ121" i="4"/>
  <c r="AJ156" i="4"/>
  <c r="AJ211" i="4"/>
  <c r="AJ70" i="4"/>
  <c r="AJ9" i="4"/>
  <c r="AJ117" i="4"/>
  <c r="AJ210" i="4"/>
  <c r="AJ26" i="4"/>
  <c r="AJ73" i="4"/>
  <c r="AJ128" i="4"/>
  <c r="AJ228" i="4"/>
  <c r="AJ108" i="4"/>
  <c r="AJ209" i="4"/>
  <c r="AJ213" i="4"/>
  <c r="AJ215" i="4"/>
  <c r="AJ72" i="4"/>
  <c r="AJ124" i="4"/>
  <c r="AJ139" i="4"/>
  <c r="AJ176" i="4"/>
  <c r="AJ109" i="4"/>
  <c r="AJ20" i="4"/>
  <c r="AJ21" i="4"/>
  <c r="AJ22" i="4"/>
  <c r="AJ24" i="4"/>
  <c r="AJ99" i="4"/>
  <c r="AJ141" i="4"/>
  <c r="AJ110" i="4"/>
  <c r="AJ112" i="4"/>
  <c r="AJ187" i="4"/>
  <c r="AJ188" i="4"/>
  <c r="AJ189" i="4"/>
  <c r="AJ287" i="4"/>
  <c r="AJ160" i="4"/>
  <c r="AJ278" i="4"/>
  <c r="AJ280" i="4"/>
  <c r="AJ285" i="4"/>
  <c r="AJ289" i="4"/>
  <c r="AJ3" i="4"/>
  <c r="AJ277" i="4"/>
  <c r="AJ279" i="4"/>
  <c r="AJ290" i="4"/>
  <c r="AJ19" i="4"/>
  <c r="AJ240" i="4"/>
  <c r="AJ242" i="4"/>
  <c r="AJ74" i="4"/>
  <c r="AJ155" i="4"/>
  <c r="AJ177" i="4"/>
  <c r="AJ283" i="4"/>
  <c r="AJ284" i="4"/>
  <c r="AJ161" i="4"/>
  <c r="AJ294" i="4"/>
  <c r="AJ241" i="4"/>
  <c r="AJ198" i="4"/>
  <c r="AJ239" i="4"/>
  <c r="AJ243" i="4"/>
  <c r="AJ245" i="4"/>
  <c r="AJ132" i="4"/>
  <c r="AJ5" i="4"/>
  <c r="AJ248" i="4"/>
  <c r="AJ149" i="4"/>
  <c r="AJ273" i="4"/>
  <c r="AJ68" i="4"/>
  <c r="AJ246" i="4"/>
  <c r="AJ7" i="4"/>
  <c r="AJ119" i="4"/>
  <c r="AJ35" i="4"/>
  <c r="AJ67" i="4"/>
  <c r="AJ6" i="4"/>
  <c r="AJ224" i="4"/>
  <c r="AJ69" i="4"/>
  <c r="AJ61" i="4"/>
  <c r="AJ62" i="4"/>
  <c r="AJ151" i="4"/>
  <c r="AJ66" i="4"/>
  <c r="AJ4" i="4"/>
  <c r="AJ38" i="4"/>
  <c r="AJ37" i="4"/>
  <c r="AJ39" i="4"/>
  <c r="AJ40" i="4"/>
  <c r="AJ111" i="4"/>
  <c r="AJ36" i="4"/>
  <c r="AJ288" i="4"/>
  <c r="AJ53" i="4"/>
  <c r="AJ63" i="4"/>
  <c r="AJ251" i="4"/>
  <c r="AJ64" i="4"/>
  <c r="AJ54" i="4"/>
  <c r="AJ57" i="4"/>
  <c r="AJ113" i="4"/>
  <c r="AJ159" i="4"/>
  <c r="AJ58" i="4"/>
  <c r="AJ55" i="4"/>
  <c r="AJ56" i="4"/>
  <c r="AJ98" i="4"/>
  <c r="AJ77" i="4"/>
  <c r="AJ179" i="4"/>
  <c r="AJ105" i="4"/>
  <c r="AJ136" i="4"/>
  <c r="AJ255" i="4"/>
  <c r="AJ191" i="4"/>
  <c r="AJ229" i="4"/>
  <c r="AJ34" i="4"/>
  <c r="AJ172" i="4"/>
  <c r="AJ217" i="4"/>
  <c r="AJ126" i="4"/>
  <c r="AJ86" i="4"/>
  <c r="AJ14" i="4"/>
  <c r="AJ114" i="4"/>
  <c r="AJ244" i="4"/>
  <c r="AJ60" i="4"/>
  <c r="AJ183" i="4"/>
  <c r="AJ262" i="4"/>
  <c r="AJ220" i="4"/>
  <c r="AJ71" i="4"/>
  <c r="AJ190" i="4"/>
  <c r="AJ145" i="4"/>
  <c r="AJ134" i="4"/>
  <c r="AJ78" i="4"/>
  <c r="AJ218" i="4"/>
  <c r="AJ87" i="4"/>
  <c r="AJ144" i="4"/>
  <c r="AJ214" i="4"/>
  <c r="AJ23" i="4"/>
  <c r="AJ275" i="4"/>
  <c r="AJ46" i="4"/>
  <c r="AJ65" i="4"/>
  <c r="AJ171" i="4"/>
  <c r="AJ12" i="4"/>
  <c r="AJ193" i="4"/>
  <c r="AJ8" i="4"/>
  <c r="AJ205" i="4"/>
  <c r="AJ122" i="4"/>
  <c r="AJ152" i="4"/>
  <c r="AJ192" i="4"/>
  <c r="AJ45" i="4"/>
  <c r="AJ47" i="4"/>
  <c r="AJ41" i="4"/>
  <c r="AJ43" i="4"/>
  <c r="AJ42" i="4"/>
  <c r="AJ276" i="4"/>
  <c r="AJ260" i="4"/>
  <c r="AJ95" i="4"/>
  <c r="AJ292" i="4"/>
  <c r="AJ293" i="4"/>
  <c r="AJ270" i="4"/>
  <c r="AJ269" i="4"/>
  <c r="AJ142" i="4"/>
  <c r="AJ194" i="4"/>
  <c r="AJ195" i="4"/>
  <c r="AJ148" i="4"/>
  <c r="AJ196" i="4"/>
  <c r="AJ271" i="4"/>
  <c r="AJ274" i="4"/>
  <c r="AJ118" i="4"/>
  <c r="AJ238" i="4"/>
  <c r="AJ225" i="4"/>
  <c r="AJ150" i="4"/>
  <c r="AJ223" i="4"/>
  <c r="AJ222" i="4"/>
  <c r="AJ120" i="4"/>
  <c r="AJ252" i="4"/>
  <c r="AJ174" i="4"/>
  <c r="AJ226" i="4"/>
  <c r="AJ97" i="4"/>
  <c r="AJ59" i="4"/>
  <c r="AJ175" i="4"/>
  <c r="AJ186" i="4"/>
  <c r="AJ173" i="4"/>
  <c r="AJ219" i="4"/>
  <c r="AJ162" i="4"/>
  <c r="AJ163" i="4"/>
  <c r="AJ164" i="4"/>
  <c r="AJ107" i="4"/>
  <c r="AJ168" i="4"/>
  <c r="AJ247" i="4"/>
  <c r="AJ27" i="4"/>
  <c r="AJ28" i="4"/>
  <c r="AJ266" i="4"/>
  <c r="AJ154" i="4"/>
  <c r="AJ268" i="4"/>
  <c r="AJ299" i="4"/>
  <c r="AJ298" i="4"/>
  <c r="AJ296" i="4"/>
  <c r="AJ297" i="4"/>
  <c r="AJ300" i="4"/>
  <c r="AJ305" i="4"/>
  <c r="AJ308" i="4"/>
  <c r="AJ309" i="4"/>
  <c r="AJ310" i="4"/>
  <c r="AJ301" i="4"/>
  <c r="AJ302" i="4"/>
  <c r="AJ303" i="4"/>
  <c r="AJ304" i="4"/>
  <c r="AJ307" i="4"/>
  <c r="AJ306" i="4"/>
  <c r="AJ343" i="4"/>
  <c r="AJ341" i="4"/>
  <c r="AJ342" i="4"/>
  <c r="AJ339" i="4"/>
  <c r="AJ317" i="4"/>
  <c r="AJ319" i="4"/>
  <c r="AJ320" i="4"/>
  <c r="AJ321" i="4"/>
  <c r="AJ322" i="4"/>
  <c r="AJ335" i="4"/>
  <c r="AJ336" i="4"/>
  <c r="AJ337" i="4"/>
  <c r="AJ338" i="4"/>
  <c r="AJ318" i="4"/>
  <c r="AJ315" i="4"/>
  <c r="AJ316" i="4"/>
  <c r="AJ328" i="4"/>
  <c r="AJ344" i="4"/>
  <c r="AJ331" i="4"/>
  <c r="AJ329" i="4"/>
  <c r="AJ333" i="4"/>
  <c r="AJ340" i="4"/>
  <c r="AJ330" i="4"/>
  <c r="AJ314" i="4"/>
  <c r="AJ312" i="4"/>
  <c r="AJ313" i="4"/>
  <c r="AJ332" i="4"/>
  <c r="AJ325" i="4"/>
  <c r="AJ326" i="4"/>
  <c r="AJ323" i="4"/>
  <c r="AJ324" i="4"/>
  <c r="AJ327" i="4"/>
  <c r="AJ334" i="4"/>
  <c r="AJ354" i="4"/>
  <c r="AJ345" i="4"/>
  <c r="AJ349" i="4"/>
  <c r="AJ350" i="4"/>
  <c r="AJ355" i="4"/>
  <c r="AJ356" i="4"/>
  <c r="AJ357" i="4"/>
  <c r="AJ358" i="4"/>
  <c r="AJ359" i="4"/>
  <c r="AJ360" i="4"/>
  <c r="AJ361" i="4"/>
  <c r="AJ362" i="4"/>
  <c r="AJ364" i="4"/>
  <c r="AJ365" i="4"/>
  <c r="AJ366" i="4"/>
  <c r="AJ351" i="4"/>
  <c r="AJ352" i="4"/>
  <c r="AJ353" i="4"/>
  <c r="AJ363" i="4"/>
  <c r="AJ348" i="4"/>
  <c r="AJ346" i="4"/>
  <c r="AJ347" i="4"/>
  <c r="AJ372" i="4"/>
  <c r="AJ368" i="4"/>
  <c r="AJ376" i="4"/>
  <c r="AJ367" i="4"/>
  <c r="AJ369" i="4"/>
  <c r="AJ371" i="4"/>
  <c r="AJ374" i="4"/>
  <c r="AJ377" i="4"/>
  <c r="AJ370" i="4"/>
  <c r="AJ373" i="4"/>
  <c r="AJ375" i="4"/>
  <c r="AJ382" i="4"/>
  <c r="AJ381" i="4"/>
  <c r="AJ380" i="4"/>
  <c r="AJ379" i="4"/>
  <c r="AJ378" i="4"/>
  <c r="AJ386" i="4"/>
  <c r="AJ401" i="4"/>
  <c r="AJ404" i="4"/>
  <c r="AJ387" i="4"/>
  <c r="AJ388" i="4"/>
  <c r="AJ389" i="4"/>
  <c r="AJ390" i="4"/>
  <c r="AJ396" i="4"/>
  <c r="AJ398" i="4"/>
  <c r="AJ399" i="4"/>
  <c r="AJ403" i="4"/>
  <c r="AJ397" i="4"/>
  <c r="AJ385" i="4"/>
  <c r="AJ383" i="4"/>
  <c r="AJ384" i="4"/>
  <c r="AJ392" i="4"/>
  <c r="AJ393" i="4"/>
  <c r="AJ394" i="4"/>
  <c r="AJ395" i="4"/>
  <c r="AJ400" i="4"/>
  <c r="AJ402" i="4"/>
  <c r="AJ405" i="4"/>
  <c r="AJ406" i="4"/>
  <c r="AJ407" i="4"/>
  <c r="AJ391" i="4"/>
  <c r="AJ127" i="4"/>
  <c r="AJ84" i="4"/>
  <c r="AJ249" i="4"/>
  <c r="AJ80" i="4"/>
  <c r="AJ51" i="4"/>
  <c r="AJ48" i="4"/>
  <c r="AJ295" i="4"/>
  <c r="AJ235" i="4"/>
  <c r="AJ16" i="4"/>
  <c r="AJ130" i="4"/>
  <c r="AJ106" i="4"/>
  <c r="AJ153" i="4"/>
  <c r="AJ286" i="4"/>
  <c r="AJ44" i="4"/>
  <c r="AJ291" i="4"/>
  <c r="AJ253" i="4"/>
  <c r="AJ13" i="4"/>
  <c r="AJ250" i="4"/>
  <c r="H90" i="5"/>
  <c r="F88" i="4"/>
  <c r="F91" i="5"/>
  <c r="H91" i="5"/>
  <c r="F89" i="4"/>
  <c r="I91" i="5"/>
  <c r="E89" i="4"/>
  <c r="E88" i="4"/>
  <c r="M88" i="4"/>
  <c r="T18" i="2"/>
  <c r="U18" i="2"/>
  <c r="AA18" i="2"/>
  <c r="AD18" i="2"/>
  <c r="AE18" i="2"/>
  <c r="AF18" i="2"/>
  <c r="AG18" i="2"/>
  <c r="AH18" i="2"/>
  <c r="AI18" i="2"/>
  <c r="AK18" i="2"/>
  <c r="AL18" i="2"/>
  <c r="AM18" i="2"/>
  <c r="AZ95" i="1"/>
  <c r="BC95" i="1"/>
  <c r="AZ96" i="1"/>
  <c r="BC96" i="1"/>
  <c r="BC147" i="1"/>
  <c r="AZ138" i="1"/>
  <c r="BC138" i="1"/>
  <c r="AZ137" i="1"/>
  <c r="BC137" i="1"/>
  <c r="AZ61" i="1"/>
  <c r="AZ210" i="1"/>
  <c r="BC210" i="1"/>
  <c r="BB210" i="1"/>
  <c r="AZ209" i="1"/>
  <c r="BC209" i="1"/>
  <c r="BB209" i="1"/>
  <c r="AZ123" i="1"/>
  <c r="BC123" i="1"/>
  <c r="AZ122" i="1"/>
  <c r="BC122" i="1"/>
  <c r="AZ28" i="1"/>
  <c r="BC28" i="1"/>
  <c r="AZ27" i="1"/>
  <c r="BC27" i="1"/>
  <c r="AZ26" i="1"/>
  <c r="BC26" i="1"/>
  <c r="AZ25" i="1"/>
  <c r="BC25" i="1"/>
  <c r="BC24" i="1"/>
  <c r="AZ76" i="1"/>
  <c r="BC76" i="1"/>
  <c r="AZ75" i="1"/>
  <c r="BC75" i="1"/>
  <c r="AZ32" i="1"/>
  <c r="BC32" i="1"/>
  <c r="AZ31" i="1"/>
  <c r="BC31" i="1"/>
  <c r="AZ3" i="1"/>
  <c r="AZ4" i="1"/>
  <c r="AZ5" i="1"/>
  <c r="AZ6" i="1"/>
  <c r="AZ7" i="1"/>
  <c r="AZ8" i="1"/>
  <c r="AZ12" i="1"/>
  <c r="AZ13" i="1"/>
  <c r="AZ15" i="1"/>
  <c r="AZ16" i="1"/>
  <c r="AZ17" i="1"/>
  <c r="AZ18" i="1"/>
  <c r="AZ19" i="1"/>
  <c r="AZ20" i="1"/>
  <c r="AZ21" i="1"/>
  <c r="AZ22" i="1"/>
  <c r="AZ23" i="1"/>
  <c r="AZ29" i="1"/>
  <c r="AZ30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7" i="1"/>
  <c r="AZ78" i="1"/>
  <c r="AZ79" i="1"/>
  <c r="AZ80" i="1"/>
  <c r="AZ89" i="1"/>
  <c r="AZ90" i="1"/>
  <c r="AZ100" i="1"/>
  <c r="AZ101" i="1"/>
  <c r="AZ102" i="1"/>
  <c r="AZ103" i="1"/>
  <c r="AZ104" i="1"/>
  <c r="AZ105" i="1"/>
  <c r="AZ106" i="1"/>
  <c r="AZ107" i="1"/>
  <c r="AZ108" i="1"/>
  <c r="AZ109" i="1"/>
  <c r="AZ110" i="1"/>
  <c r="AZ113" i="1"/>
  <c r="AZ114" i="1"/>
  <c r="AZ115" i="1"/>
  <c r="AZ116" i="1"/>
  <c r="AZ117" i="1"/>
  <c r="AZ118" i="1"/>
  <c r="AZ119" i="1"/>
  <c r="AZ120" i="1"/>
  <c r="AZ121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9" i="1"/>
  <c r="AZ140" i="1"/>
  <c r="AZ141" i="1"/>
  <c r="AZ151" i="1"/>
  <c r="AZ152" i="1"/>
  <c r="AZ153" i="1"/>
  <c r="AZ154" i="1"/>
  <c r="AZ155" i="1"/>
  <c r="AZ156" i="1"/>
  <c r="AZ157" i="1"/>
  <c r="AZ158" i="1"/>
  <c r="AZ159" i="1"/>
  <c r="AZ160" i="1"/>
  <c r="AZ161" i="1"/>
  <c r="AZ162" i="1"/>
  <c r="AZ163" i="1"/>
  <c r="AZ164" i="1"/>
  <c r="AZ165" i="1"/>
  <c r="AZ166" i="1"/>
  <c r="AZ167" i="1"/>
  <c r="AZ168" i="1"/>
  <c r="AZ173" i="1"/>
  <c r="AZ174" i="1"/>
  <c r="AZ175" i="1"/>
  <c r="AZ176" i="1"/>
  <c r="AZ180" i="1"/>
  <c r="AZ181" i="1"/>
  <c r="AZ182" i="1"/>
  <c r="AZ183" i="1"/>
  <c r="AZ184" i="1"/>
  <c r="AZ185" i="1"/>
  <c r="AZ186" i="1"/>
  <c r="AZ187" i="1"/>
  <c r="AZ188" i="1"/>
  <c r="AZ197" i="1"/>
  <c r="AZ198" i="1"/>
  <c r="AZ199" i="1"/>
  <c r="AZ200" i="1"/>
  <c r="AZ201" i="1"/>
  <c r="AZ202" i="1"/>
  <c r="AZ203" i="1"/>
  <c r="AZ204" i="1"/>
  <c r="AZ205" i="1"/>
  <c r="AZ206" i="1"/>
  <c r="AZ207" i="1"/>
  <c r="AZ208" i="1"/>
  <c r="AZ2" i="1"/>
  <c r="BC30" i="1"/>
  <c r="BC29" i="1"/>
  <c r="BC127" i="1"/>
  <c r="BB208" i="1"/>
  <c r="BC208" i="1"/>
  <c r="BB207" i="1"/>
  <c r="BC207" i="1"/>
  <c r="BB206" i="1"/>
  <c r="BC206" i="1"/>
  <c r="BB205" i="1"/>
  <c r="BC205" i="1"/>
  <c r="BB204" i="1"/>
  <c r="BC204" i="1"/>
  <c r="CS203" i="1"/>
  <c r="CR203" i="1"/>
  <c r="CQ203" i="1"/>
  <c r="CP203" i="1"/>
  <c r="CO203" i="1"/>
  <c r="CN203" i="1"/>
  <c r="CM203" i="1"/>
  <c r="CL203" i="1"/>
  <c r="CK203" i="1"/>
  <c r="CJ203" i="1"/>
  <c r="CI203" i="1"/>
  <c r="CH203" i="1"/>
  <c r="CG203" i="1"/>
  <c r="CF203" i="1"/>
  <c r="CE203" i="1"/>
  <c r="CD203" i="1"/>
  <c r="CC203" i="1"/>
  <c r="CB203" i="1"/>
  <c r="CA203" i="1"/>
  <c r="BZ203" i="1"/>
  <c r="BY203" i="1"/>
  <c r="BX203" i="1"/>
  <c r="BW203" i="1"/>
  <c r="BV203" i="1"/>
  <c r="BU203" i="1"/>
  <c r="BB203" i="1"/>
  <c r="BC203" i="1"/>
  <c r="BC202" i="1"/>
  <c r="BC201" i="1"/>
  <c r="BC200" i="1"/>
  <c r="CS199" i="1"/>
  <c r="CR199" i="1"/>
  <c r="CQ199" i="1"/>
  <c r="CP199" i="1"/>
  <c r="CO199" i="1"/>
  <c r="CN199" i="1"/>
  <c r="CM199" i="1"/>
  <c r="CL199" i="1"/>
  <c r="CK199" i="1"/>
  <c r="CJ199" i="1"/>
  <c r="CI199" i="1"/>
  <c r="CH199" i="1"/>
  <c r="CG199" i="1"/>
  <c r="CF199" i="1"/>
  <c r="CE199" i="1"/>
  <c r="CD199" i="1"/>
  <c r="CC199" i="1"/>
  <c r="CB199" i="1"/>
  <c r="CA199" i="1"/>
  <c r="BZ199" i="1"/>
  <c r="BY199" i="1"/>
  <c r="BX199" i="1"/>
  <c r="BW199" i="1"/>
  <c r="BV199" i="1"/>
  <c r="BU199" i="1"/>
  <c r="BC199" i="1"/>
  <c r="BC198" i="1"/>
  <c r="CS197" i="1"/>
  <c r="CR197" i="1"/>
  <c r="CQ197" i="1"/>
  <c r="CP197" i="1"/>
  <c r="CO197" i="1"/>
  <c r="CN197" i="1"/>
  <c r="CM197" i="1"/>
  <c r="CL197" i="1"/>
  <c r="CK197" i="1"/>
  <c r="CJ197" i="1"/>
  <c r="CI197" i="1"/>
  <c r="CH197" i="1"/>
  <c r="CG197" i="1"/>
  <c r="CF197" i="1"/>
  <c r="CE197" i="1"/>
  <c r="CD197" i="1"/>
  <c r="CC197" i="1"/>
  <c r="CB197" i="1"/>
  <c r="CA197" i="1"/>
  <c r="BZ197" i="1"/>
  <c r="BY197" i="1"/>
  <c r="BX197" i="1"/>
  <c r="BW197" i="1"/>
  <c r="BV197" i="1"/>
  <c r="BU197" i="1"/>
  <c r="BC197" i="1"/>
  <c r="BC187" i="1"/>
  <c r="BC186" i="1"/>
  <c r="CS185" i="1"/>
  <c r="CR185" i="1"/>
  <c r="CQ185" i="1"/>
  <c r="CP185" i="1"/>
  <c r="CO185" i="1"/>
  <c r="CN185" i="1"/>
  <c r="CM185" i="1"/>
  <c r="CL185" i="1"/>
  <c r="CK185" i="1"/>
  <c r="CJ185" i="1"/>
  <c r="CI185" i="1"/>
  <c r="CH185" i="1"/>
  <c r="CG185" i="1"/>
  <c r="CF185" i="1"/>
  <c r="CE185" i="1"/>
  <c r="CD185" i="1"/>
  <c r="CC185" i="1"/>
  <c r="CB185" i="1"/>
  <c r="CA185" i="1"/>
  <c r="BZ185" i="1"/>
  <c r="BY185" i="1"/>
  <c r="BX185" i="1"/>
  <c r="BW185" i="1"/>
  <c r="BV185" i="1"/>
  <c r="BU185" i="1"/>
  <c r="BC185" i="1"/>
  <c r="CS184" i="1"/>
  <c r="CR184" i="1"/>
  <c r="CQ184" i="1"/>
  <c r="CP184" i="1"/>
  <c r="CO184" i="1"/>
  <c r="CN184" i="1"/>
  <c r="CM184" i="1"/>
  <c r="CL184" i="1"/>
  <c r="CK184" i="1"/>
  <c r="CJ184" i="1"/>
  <c r="CI184" i="1"/>
  <c r="CH184" i="1"/>
  <c r="CG184" i="1"/>
  <c r="CF184" i="1"/>
  <c r="CE184" i="1"/>
  <c r="CD184" i="1"/>
  <c r="CC184" i="1"/>
  <c r="CB184" i="1"/>
  <c r="CA184" i="1"/>
  <c r="BZ184" i="1"/>
  <c r="BY184" i="1"/>
  <c r="BX184" i="1"/>
  <c r="BW184" i="1"/>
  <c r="BV184" i="1"/>
  <c r="BU184" i="1"/>
  <c r="BC184" i="1"/>
  <c r="BC183" i="1"/>
  <c r="CS182" i="1"/>
  <c r="CR182" i="1"/>
  <c r="CQ182" i="1"/>
  <c r="CP182" i="1"/>
  <c r="CO182" i="1"/>
  <c r="CN182" i="1"/>
  <c r="CM182" i="1"/>
  <c r="CL182" i="1"/>
  <c r="CK182" i="1"/>
  <c r="CJ182" i="1"/>
  <c r="CI182" i="1"/>
  <c r="CH182" i="1"/>
  <c r="CG182" i="1"/>
  <c r="CF182" i="1"/>
  <c r="CE182" i="1"/>
  <c r="CD182" i="1"/>
  <c r="CC182" i="1"/>
  <c r="CB182" i="1"/>
  <c r="CA182" i="1"/>
  <c r="BZ182" i="1"/>
  <c r="BY182" i="1"/>
  <c r="BX182" i="1"/>
  <c r="BW182" i="1"/>
  <c r="BV182" i="1"/>
  <c r="BU182" i="1"/>
  <c r="BC182" i="1"/>
  <c r="BC181" i="1"/>
  <c r="BC180" i="1"/>
  <c r="BB176" i="1"/>
  <c r="BC176" i="1"/>
  <c r="CS175" i="1"/>
  <c r="CR175" i="1"/>
  <c r="CQ175" i="1"/>
  <c r="CP175" i="1"/>
  <c r="CO175" i="1"/>
  <c r="CN175" i="1"/>
  <c r="CM175" i="1"/>
  <c r="CL175" i="1"/>
  <c r="CK175" i="1"/>
  <c r="CJ175" i="1"/>
  <c r="CI175" i="1"/>
  <c r="CH175" i="1"/>
  <c r="CG175" i="1"/>
  <c r="CF175" i="1"/>
  <c r="CE175" i="1"/>
  <c r="CD175" i="1"/>
  <c r="CC175" i="1"/>
  <c r="CB175" i="1"/>
  <c r="CA175" i="1"/>
  <c r="BZ175" i="1"/>
  <c r="BY175" i="1"/>
  <c r="BX175" i="1"/>
  <c r="BW175" i="1"/>
  <c r="BV175" i="1"/>
  <c r="BU175" i="1"/>
  <c r="BB175" i="1"/>
  <c r="BC175" i="1"/>
  <c r="BB174" i="1"/>
  <c r="BC174" i="1"/>
  <c r="CS173" i="1"/>
  <c r="CR173" i="1"/>
  <c r="CQ173" i="1"/>
  <c r="CP173" i="1"/>
  <c r="CO173" i="1"/>
  <c r="CN173" i="1"/>
  <c r="CM173" i="1"/>
  <c r="CL173" i="1"/>
  <c r="CK173" i="1"/>
  <c r="CJ173" i="1"/>
  <c r="CI173" i="1"/>
  <c r="CH173" i="1"/>
  <c r="CG173" i="1"/>
  <c r="CF173" i="1"/>
  <c r="CE173" i="1"/>
  <c r="CD173" i="1"/>
  <c r="CC173" i="1"/>
  <c r="CB173" i="1"/>
  <c r="CA173" i="1"/>
  <c r="BZ173" i="1"/>
  <c r="BY173" i="1"/>
  <c r="BX173" i="1"/>
  <c r="BW173" i="1"/>
  <c r="BV173" i="1"/>
  <c r="BU173" i="1"/>
  <c r="BB173" i="1"/>
  <c r="BC173" i="1"/>
  <c r="BB168" i="1"/>
  <c r="BC168" i="1"/>
  <c r="CS167" i="1"/>
  <c r="CR167" i="1"/>
  <c r="CQ167" i="1"/>
  <c r="CP167" i="1"/>
  <c r="CO167" i="1"/>
  <c r="CN167" i="1"/>
  <c r="CM167" i="1"/>
  <c r="CL167" i="1"/>
  <c r="CK167" i="1"/>
  <c r="CJ167" i="1"/>
  <c r="CI167" i="1"/>
  <c r="CH167" i="1"/>
  <c r="CG167" i="1"/>
  <c r="CF167" i="1"/>
  <c r="CE167" i="1"/>
  <c r="CD167" i="1"/>
  <c r="CC167" i="1"/>
  <c r="CB167" i="1"/>
  <c r="CA167" i="1"/>
  <c r="BZ167" i="1"/>
  <c r="BY167" i="1"/>
  <c r="BX167" i="1"/>
  <c r="BW167" i="1"/>
  <c r="BV167" i="1"/>
  <c r="BU167" i="1"/>
  <c r="BB167" i="1"/>
  <c r="BC167" i="1"/>
  <c r="BB166" i="1"/>
  <c r="BC166" i="1"/>
  <c r="BB165" i="1"/>
  <c r="BC165" i="1"/>
  <c r="BB164" i="1"/>
  <c r="BC164" i="1"/>
  <c r="CS163" i="1"/>
  <c r="CR163" i="1"/>
  <c r="CQ163" i="1"/>
  <c r="CP163" i="1"/>
  <c r="CO163" i="1"/>
  <c r="CN163" i="1"/>
  <c r="CM163" i="1"/>
  <c r="CL163" i="1"/>
  <c r="CK163" i="1"/>
  <c r="CJ163" i="1"/>
  <c r="CI163" i="1"/>
  <c r="CH163" i="1"/>
  <c r="CG163" i="1"/>
  <c r="CF163" i="1"/>
  <c r="CE163" i="1"/>
  <c r="CD163" i="1"/>
  <c r="CC163" i="1"/>
  <c r="CB163" i="1"/>
  <c r="CA163" i="1"/>
  <c r="BZ163" i="1"/>
  <c r="BY163" i="1"/>
  <c r="BX163" i="1"/>
  <c r="BW163" i="1"/>
  <c r="BV163" i="1"/>
  <c r="BU163" i="1"/>
  <c r="BB163" i="1"/>
  <c r="BC163" i="1"/>
  <c r="BB162" i="1"/>
  <c r="BC162" i="1"/>
  <c r="BB161" i="1"/>
  <c r="BC161" i="1"/>
  <c r="CS160" i="1"/>
  <c r="CR160" i="1"/>
  <c r="CQ160" i="1"/>
  <c r="CP160" i="1"/>
  <c r="CO160" i="1"/>
  <c r="CN160" i="1"/>
  <c r="CM160" i="1"/>
  <c r="CL160" i="1"/>
  <c r="CK160" i="1"/>
  <c r="CJ160" i="1"/>
  <c r="CI160" i="1"/>
  <c r="CH160" i="1"/>
  <c r="CG160" i="1"/>
  <c r="CF160" i="1"/>
  <c r="CE160" i="1"/>
  <c r="CD160" i="1"/>
  <c r="CC160" i="1"/>
  <c r="CB160" i="1"/>
  <c r="CA160" i="1"/>
  <c r="BZ160" i="1"/>
  <c r="BY160" i="1"/>
  <c r="BX160" i="1"/>
  <c r="BW160" i="1"/>
  <c r="BV160" i="1"/>
  <c r="BU160" i="1"/>
  <c r="BB160" i="1"/>
  <c r="BC160" i="1"/>
  <c r="BB159" i="1"/>
  <c r="BC159" i="1"/>
  <c r="CS158" i="1"/>
  <c r="CR158" i="1"/>
  <c r="CQ158" i="1"/>
  <c r="CP158" i="1"/>
  <c r="CO158" i="1"/>
  <c r="CN158" i="1"/>
  <c r="CM158" i="1"/>
  <c r="CL158" i="1"/>
  <c r="CK158" i="1"/>
  <c r="CJ158" i="1"/>
  <c r="CI158" i="1"/>
  <c r="CH158" i="1"/>
  <c r="CG158" i="1"/>
  <c r="CF158" i="1"/>
  <c r="CE158" i="1"/>
  <c r="CD158" i="1"/>
  <c r="CC158" i="1"/>
  <c r="CB158" i="1"/>
  <c r="CA158" i="1"/>
  <c r="BZ158" i="1"/>
  <c r="BY158" i="1"/>
  <c r="BX158" i="1"/>
  <c r="BW158" i="1"/>
  <c r="BV158" i="1"/>
  <c r="BU158" i="1"/>
  <c r="BB158" i="1"/>
  <c r="BC158" i="1"/>
  <c r="BB157" i="1"/>
  <c r="BC157" i="1"/>
  <c r="BB156" i="1"/>
  <c r="BC156" i="1"/>
  <c r="CS155" i="1"/>
  <c r="CR155" i="1"/>
  <c r="CQ155" i="1"/>
  <c r="CP155" i="1"/>
  <c r="CO155" i="1"/>
  <c r="CN155" i="1"/>
  <c r="CM155" i="1"/>
  <c r="CL155" i="1"/>
  <c r="CK155" i="1"/>
  <c r="CJ155" i="1"/>
  <c r="CI155" i="1"/>
  <c r="CH155" i="1"/>
  <c r="CG155" i="1"/>
  <c r="CF155" i="1"/>
  <c r="CE155" i="1"/>
  <c r="CD155" i="1"/>
  <c r="CC155" i="1"/>
  <c r="CB155" i="1"/>
  <c r="CA155" i="1"/>
  <c r="BZ155" i="1"/>
  <c r="BY155" i="1"/>
  <c r="BX155" i="1"/>
  <c r="BW155" i="1"/>
  <c r="BV155" i="1"/>
  <c r="BU155" i="1"/>
  <c r="BB155" i="1"/>
  <c r="BC155" i="1"/>
  <c r="BB154" i="1"/>
  <c r="BC154" i="1"/>
  <c r="CS153" i="1"/>
  <c r="CR153" i="1"/>
  <c r="CQ153" i="1"/>
  <c r="CP153" i="1"/>
  <c r="CO153" i="1"/>
  <c r="CN153" i="1"/>
  <c r="CM153" i="1"/>
  <c r="CL153" i="1"/>
  <c r="CK153" i="1"/>
  <c r="CJ153" i="1"/>
  <c r="CI153" i="1"/>
  <c r="CH153" i="1"/>
  <c r="CG153" i="1"/>
  <c r="CF153" i="1"/>
  <c r="CE153" i="1"/>
  <c r="CD153" i="1"/>
  <c r="CC153" i="1"/>
  <c r="CB153" i="1"/>
  <c r="CA153" i="1"/>
  <c r="BZ153" i="1"/>
  <c r="BY153" i="1"/>
  <c r="BX153" i="1"/>
  <c r="BW153" i="1"/>
  <c r="BV153" i="1"/>
  <c r="BU153" i="1"/>
  <c r="BB153" i="1"/>
  <c r="BC153" i="1"/>
  <c r="BB152" i="1"/>
  <c r="BC152" i="1"/>
  <c r="CS151" i="1"/>
  <c r="CR151" i="1"/>
  <c r="CQ151" i="1"/>
  <c r="CP151" i="1"/>
  <c r="CO151" i="1"/>
  <c r="CN151" i="1"/>
  <c r="CM151" i="1"/>
  <c r="CL151" i="1"/>
  <c r="CK151" i="1"/>
  <c r="CJ151" i="1"/>
  <c r="CI151" i="1"/>
  <c r="CH151" i="1"/>
  <c r="CG151" i="1"/>
  <c r="CF151" i="1"/>
  <c r="CE151" i="1"/>
  <c r="CD151" i="1"/>
  <c r="CC151" i="1"/>
  <c r="CB151" i="1"/>
  <c r="CA151" i="1"/>
  <c r="BZ151" i="1"/>
  <c r="BY151" i="1"/>
  <c r="BX151" i="1"/>
  <c r="BW151" i="1"/>
  <c r="BV151" i="1"/>
  <c r="BU151" i="1"/>
  <c r="BC151" i="1"/>
  <c r="BC146" i="1"/>
  <c r="BC144" i="1"/>
  <c r="BC143" i="1"/>
  <c r="BC141" i="1"/>
  <c r="BC140" i="1"/>
  <c r="CS139" i="1"/>
  <c r="CR139" i="1"/>
  <c r="CQ139" i="1"/>
  <c r="CP139" i="1"/>
  <c r="CO139" i="1"/>
  <c r="CN139" i="1"/>
  <c r="CM139" i="1"/>
  <c r="CL139" i="1"/>
  <c r="CK139" i="1"/>
  <c r="CJ139" i="1"/>
  <c r="CI139" i="1"/>
  <c r="CH139" i="1"/>
  <c r="CG139" i="1"/>
  <c r="CF139" i="1"/>
  <c r="CE139" i="1"/>
  <c r="CD139" i="1"/>
  <c r="CC139" i="1"/>
  <c r="CB139" i="1"/>
  <c r="CA139" i="1"/>
  <c r="BZ139" i="1"/>
  <c r="BY139" i="1"/>
  <c r="BX139" i="1"/>
  <c r="BW139" i="1"/>
  <c r="BV139" i="1"/>
  <c r="BU139" i="1"/>
  <c r="BC139" i="1"/>
  <c r="BC136" i="1"/>
  <c r="CS135" i="1"/>
  <c r="CR135" i="1"/>
  <c r="CQ135" i="1"/>
  <c r="CP135" i="1"/>
  <c r="CO135" i="1"/>
  <c r="CN135" i="1"/>
  <c r="CM135" i="1"/>
  <c r="CL135" i="1"/>
  <c r="CK135" i="1"/>
  <c r="CJ135" i="1"/>
  <c r="CI135" i="1"/>
  <c r="CH135" i="1"/>
  <c r="CG135" i="1"/>
  <c r="CF135" i="1"/>
  <c r="CE135" i="1"/>
  <c r="CD135" i="1"/>
  <c r="CC135" i="1"/>
  <c r="CB135" i="1"/>
  <c r="CA135" i="1"/>
  <c r="BZ135" i="1"/>
  <c r="BY135" i="1"/>
  <c r="BX135" i="1"/>
  <c r="BW135" i="1"/>
  <c r="BV135" i="1"/>
  <c r="BU135" i="1"/>
  <c r="BC135" i="1"/>
  <c r="BC134" i="1"/>
  <c r="BC133" i="1"/>
  <c r="CS132" i="1"/>
  <c r="CR132" i="1"/>
  <c r="CQ132" i="1"/>
  <c r="CP132" i="1"/>
  <c r="CO132" i="1"/>
  <c r="CN132" i="1"/>
  <c r="CM132" i="1"/>
  <c r="CL132" i="1"/>
  <c r="CK132" i="1"/>
  <c r="CJ132" i="1"/>
  <c r="CI132" i="1"/>
  <c r="CH132" i="1"/>
  <c r="CG132" i="1"/>
  <c r="CF132" i="1"/>
  <c r="CE132" i="1"/>
  <c r="CD132" i="1"/>
  <c r="CC132" i="1"/>
  <c r="CB132" i="1"/>
  <c r="CA132" i="1"/>
  <c r="BZ132" i="1"/>
  <c r="BY132" i="1"/>
  <c r="BX132" i="1"/>
  <c r="BW132" i="1"/>
  <c r="BV132" i="1"/>
  <c r="BU132" i="1"/>
  <c r="BC132" i="1"/>
  <c r="BC131" i="1"/>
  <c r="CS130" i="1"/>
  <c r="CR130" i="1"/>
  <c r="CQ130" i="1"/>
  <c r="CP130" i="1"/>
  <c r="CO130" i="1"/>
  <c r="CN130" i="1"/>
  <c r="CM130" i="1"/>
  <c r="CL130" i="1"/>
  <c r="CK130" i="1"/>
  <c r="CJ130" i="1"/>
  <c r="CI130" i="1"/>
  <c r="CH130" i="1"/>
  <c r="CG130" i="1"/>
  <c r="CF130" i="1"/>
  <c r="CE130" i="1"/>
  <c r="CD130" i="1"/>
  <c r="CC130" i="1"/>
  <c r="CB130" i="1"/>
  <c r="CA130" i="1"/>
  <c r="BZ130" i="1"/>
  <c r="BY130" i="1"/>
  <c r="BX130" i="1"/>
  <c r="BW130" i="1"/>
  <c r="BV130" i="1"/>
  <c r="BU130" i="1"/>
  <c r="BC130" i="1"/>
  <c r="BC129" i="1"/>
  <c r="CS128" i="1"/>
  <c r="CR128" i="1"/>
  <c r="CQ128" i="1"/>
  <c r="CP128" i="1"/>
  <c r="CO128" i="1"/>
  <c r="CN128" i="1"/>
  <c r="CM128" i="1"/>
  <c r="CL128" i="1"/>
  <c r="CK128" i="1"/>
  <c r="CJ128" i="1"/>
  <c r="CI128" i="1"/>
  <c r="CH128" i="1"/>
  <c r="CG128" i="1"/>
  <c r="CF128" i="1"/>
  <c r="CE128" i="1"/>
  <c r="CD128" i="1"/>
  <c r="CC128" i="1"/>
  <c r="CB128" i="1"/>
  <c r="CA128" i="1"/>
  <c r="BZ128" i="1"/>
  <c r="BY128" i="1"/>
  <c r="BX128" i="1"/>
  <c r="BW128" i="1"/>
  <c r="BV128" i="1"/>
  <c r="BU128" i="1"/>
  <c r="BC128" i="1"/>
  <c r="BC126" i="1"/>
  <c r="CS125" i="1"/>
  <c r="CR125" i="1"/>
  <c r="CQ125" i="1"/>
  <c r="CP125" i="1"/>
  <c r="CO125" i="1"/>
  <c r="CN125" i="1"/>
  <c r="CM125" i="1"/>
  <c r="CL125" i="1"/>
  <c r="CK125" i="1"/>
  <c r="CJ125" i="1"/>
  <c r="CI125" i="1"/>
  <c r="CH125" i="1"/>
  <c r="CG125" i="1"/>
  <c r="CF125" i="1"/>
  <c r="CE125" i="1"/>
  <c r="CD125" i="1"/>
  <c r="CC125" i="1"/>
  <c r="CB125" i="1"/>
  <c r="CA125" i="1"/>
  <c r="BZ125" i="1"/>
  <c r="BY125" i="1"/>
  <c r="BX125" i="1"/>
  <c r="BW125" i="1"/>
  <c r="BV125" i="1"/>
  <c r="BU125" i="1"/>
  <c r="BC125" i="1"/>
  <c r="BC121" i="1"/>
  <c r="BC120" i="1"/>
  <c r="CS119" i="1"/>
  <c r="CR119" i="1"/>
  <c r="CQ119" i="1"/>
  <c r="CP119" i="1"/>
  <c r="CO119" i="1"/>
  <c r="CN119" i="1"/>
  <c r="CM119" i="1"/>
  <c r="CL119" i="1"/>
  <c r="CK119" i="1"/>
  <c r="CJ119" i="1"/>
  <c r="CI119" i="1"/>
  <c r="CH119" i="1"/>
  <c r="CG119" i="1"/>
  <c r="CF119" i="1"/>
  <c r="CE119" i="1"/>
  <c r="CD119" i="1"/>
  <c r="CC119" i="1"/>
  <c r="CB119" i="1"/>
  <c r="CA119" i="1"/>
  <c r="BZ119" i="1"/>
  <c r="BY119" i="1"/>
  <c r="BX119" i="1"/>
  <c r="BW119" i="1"/>
  <c r="BV119" i="1"/>
  <c r="BU119" i="1"/>
  <c r="BC119" i="1"/>
  <c r="BC118" i="1"/>
  <c r="BC117" i="1"/>
  <c r="BC116" i="1"/>
  <c r="CS115" i="1"/>
  <c r="CR115" i="1"/>
  <c r="CQ115" i="1"/>
  <c r="CP115" i="1"/>
  <c r="CO115" i="1"/>
  <c r="CN115" i="1"/>
  <c r="CM115" i="1"/>
  <c r="CL115" i="1"/>
  <c r="CK115" i="1"/>
  <c r="CJ115" i="1"/>
  <c r="CI115" i="1"/>
  <c r="CH115" i="1"/>
  <c r="CG115" i="1"/>
  <c r="CF115" i="1"/>
  <c r="CE115" i="1"/>
  <c r="CD115" i="1"/>
  <c r="CC115" i="1"/>
  <c r="CB115" i="1"/>
  <c r="CA115" i="1"/>
  <c r="BZ115" i="1"/>
  <c r="BY115" i="1"/>
  <c r="BX115" i="1"/>
  <c r="BW115" i="1"/>
  <c r="BV115" i="1"/>
  <c r="BU115" i="1"/>
  <c r="BC115" i="1"/>
  <c r="BC114" i="1"/>
  <c r="CS113" i="1"/>
  <c r="CR113" i="1"/>
  <c r="CQ113" i="1"/>
  <c r="CP113" i="1"/>
  <c r="CO113" i="1"/>
  <c r="CN113" i="1"/>
  <c r="CM113" i="1"/>
  <c r="CL113" i="1"/>
  <c r="CK113" i="1"/>
  <c r="CJ113" i="1"/>
  <c r="CI113" i="1"/>
  <c r="CH113" i="1"/>
  <c r="CG113" i="1"/>
  <c r="CF113" i="1"/>
  <c r="CE113" i="1"/>
  <c r="CD113" i="1"/>
  <c r="CC113" i="1"/>
  <c r="CB113" i="1"/>
  <c r="CA113" i="1"/>
  <c r="BZ113" i="1"/>
  <c r="BY113" i="1"/>
  <c r="BX113" i="1"/>
  <c r="BW113" i="1"/>
  <c r="BV113" i="1"/>
  <c r="BU113" i="1"/>
  <c r="BC113" i="1"/>
  <c r="BC110" i="1"/>
  <c r="CS109" i="1"/>
  <c r="CR109" i="1"/>
  <c r="CQ109" i="1"/>
  <c r="CP109" i="1"/>
  <c r="CO109" i="1"/>
  <c r="CN109" i="1"/>
  <c r="CM109" i="1"/>
  <c r="CL109" i="1"/>
  <c r="CK109" i="1"/>
  <c r="CJ109" i="1"/>
  <c r="CI109" i="1"/>
  <c r="CH109" i="1"/>
  <c r="CG109" i="1"/>
  <c r="CF109" i="1"/>
  <c r="CE109" i="1"/>
  <c r="CD109" i="1"/>
  <c r="CC109" i="1"/>
  <c r="CB109" i="1"/>
  <c r="CA109" i="1"/>
  <c r="BZ109" i="1"/>
  <c r="BY109" i="1"/>
  <c r="BX109" i="1"/>
  <c r="BW109" i="1"/>
  <c r="BV109" i="1"/>
  <c r="BU109" i="1"/>
  <c r="BC109" i="1"/>
  <c r="BC105" i="1"/>
  <c r="BC104" i="1"/>
  <c r="BC103" i="1"/>
  <c r="BC102" i="1"/>
  <c r="BC101" i="1"/>
  <c r="BC100" i="1"/>
  <c r="BC90" i="1"/>
  <c r="BC89" i="1"/>
  <c r="BC80" i="1"/>
  <c r="CS79" i="1"/>
  <c r="CR79" i="1"/>
  <c r="CQ79" i="1"/>
  <c r="CP79" i="1"/>
  <c r="CO79" i="1"/>
  <c r="CN79" i="1"/>
  <c r="CM79" i="1"/>
  <c r="CL79" i="1"/>
  <c r="CK79" i="1"/>
  <c r="CJ79" i="1"/>
  <c r="CI79" i="1"/>
  <c r="CH79" i="1"/>
  <c r="CG79" i="1"/>
  <c r="CF79" i="1"/>
  <c r="CE79" i="1"/>
  <c r="CD79" i="1"/>
  <c r="CC79" i="1"/>
  <c r="CB79" i="1"/>
  <c r="CA79" i="1"/>
  <c r="BZ79" i="1"/>
  <c r="BY79" i="1"/>
  <c r="BX79" i="1"/>
  <c r="BW79" i="1"/>
  <c r="BV79" i="1"/>
  <c r="BU79" i="1"/>
  <c r="BC79" i="1"/>
  <c r="BC78" i="1"/>
  <c r="BC77" i="1"/>
  <c r="BC74" i="1"/>
  <c r="BC73" i="1"/>
  <c r="BC72" i="1"/>
  <c r="BC71" i="1"/>
  <c r="BC70" i="1"/>
  <c r="BC69" i="1"/>
  <c r="BC68" i="1"/>
  <c r="BC67" i="1"/>
  <c r="BC66" i="1"/>
  <c r="BC65" i="1"/>
  <c r="BC64" i="1"/>
  <c r="BC63" i="1"/>
  <c r="BC62" i="1"/>
  <c r="BC60" i="1"/>
  <c r="BC59" i="1"/>
  <c r="BC58" i="1"/>
  <c r="BC57" i="1"/>
  <c r="BC56" i="1"/>
  <c r="BC55" i="1"/>
  <c r="BC54" i="1"/>
  <c r="BC53" i="1"/>
  <c r="BC52" i="1"/>
  <c r="BC51" i="1"/>
  <c r="BC50" i="1"/>
  <c r="BC49" i="1"/>
  <c r="BC48" i="1"/>
  <c r="BC47" i="1"/>
  <c r="BC46" i="1"/>
  <c r="BC45" i="1"/>
  <c r="BC44" i="1"/>
  <c r="BC43" i="1"/>
  <c r="BC42" i="1"/>
  <c r="BC41" i="1"/>
  <c r="BC40" i="1"/>
  <c r="BC39" i="1"/>
  <c r="BC38" i="1"/>
  <c r="BC37" i="1"/>
  <c r="BC36" i="1"/>
  <c r="BB23" i="1"/>
  <c r="BB22" i="1"/>
  <c r="BC22" i="1"/>
  <c r="BB21" i="1"/>
  <c r="BC21" i="1"/>
  <c r="BB20" i="1"/>
  <c r="BC20" i="1"/>
  <c r="BB19" i="1"/>
  <c r="BC19" i="1"/>
  <c r="BB18" i="1"/>
  <c r="BC18" i="1"/>
  <c r="BB17" i="1"/>
  <c r="BC17" i="1"/>
  <c r="BB16" i="1"/>
  <c r="BC16" i="1"/>
  <c r="BB15" i="1"/>
  <c r="BC15" i="1"/>
  <c r="BB14" i="1"/>
  <c r="BC14" i="1"/>
  <c r="BB13" i="1"/>
  <c r="BC13" i="1"/>
  <c r="BB12" i="1"/>
  <c r="BC12" i="1"/>
  <c r="BC8" i="1"/>
  <c r="CS7" i="1"/>
  <c r="CR7" i="1"/>
  <c r="CQ7" i="1"/>
  <c r="CP7" i="1"/>
  <c r="CO7" i="1"/>
  <c r="CN7" i="1"/>
  <c r="CM7" i="1"/>
  <c r="CL7" i="1"/>
  <c r="CK7" i="1"/>
  <c r="CJ7" i="1"/>
  <c r="CI7" i="1"/>
  <c r="CH7" i="1"/>
  <c r="CG7" i="1"/>
  <c r="CF7" i="1"/>
  <c r="CE7" i="1"/>
  <c r="CD7" i="1"/>
  <c r="CC7" i="1"/>
  <c r="CB7" i="1"/>
  <c r="CA7" i="1"/>
  <c r="BZ7" i="1"/>
  <c r="BY7" i="1"/>
  <c r="BX7" i="1"/>
  <c r="BW7" i="1"/>
  <c r="BV7" i="1"/>
  <c r="BU7" i="1"/>
  <c r="BB7" i="1"/>
  <c r="BC7" i="1"/>
  <c r="BB6" i="1"/>
  <c r="BC6" i="1"/>
  <c r="BB5" i="1"/>
  <c r="BC5" i="1"/>
  <c r="BC4" i="1"/>
  <c r="BB3" i="1"/>
  <c r="BC3" i="1"/>
  <c r="BB2" i="1"/>
  <c r="BC2" i="1"/>
  <c r="B268" i="6"/>
  <c r="F41" i="3"/>
  <c r="A41" i="3"/>
  <c r="G41" i="3"/>
  <c r="H41" i="3"/>
  <c r="F42" i="3"/>
  <c r="F43" i="3"/>
  <c r="F44" i="3"/>
  <c r="A42" i="3"/>
  <c r="H42" i="3"/>
  <c r="A43" i="3"/>
  <c r="H43" i="3"/>
  <c r="A44" i="3"/>
  <c r="H44" i="3"/>
  <c r="AH208" i="4"/>
  <c r="AH205" i="4"/>
  <c r="U205" i="4" a="1"/>
  <c r="U205" i="4"/>
  <c r="AH7" i="4"/>
  <c r="AH6" i="4"/>
  <c r="G42" i="3"/>
  <c r="G43" i="3"/>
  <c r="G44" i="3"/>
  <c r="T205" i="4" a="1"/>
  <c r="T205" i="4"/>
  <c r="T7" i="4" a="1"/>
  <c r="T7" i="4"/>
  <c r="T6" i="4" a="1"/>
  <c r="T6" i="4"/>
  <c r="B26" i="3"/>
  <c r="C26" i="3"/>
  <c r="E26" i="3"/>
  <c r="G22" i="2"/>
  <c r="K22" i="2"/>
  <c r="T22" i="2"/>
  <c r="AA22" i="2"/>
  <c r="I100" i="5"/>
  <c r="AD22" i="2"/>
  <c r="AE22" i="2"/>
  <c r="L100" i="5"/>
  <c r="AF22" i="2"/>
  <c r="AG22" i="2"/>
  <c r="AH22" i="2"/>
  <c r="AI22" i="2"/>
  <c r="N100" i="5"/>
  <c r="O100" i="5"/>
  <c r="AK22" i="2"/>
  <c r="AL22" i="2"/>
  <c r="Z116" i="5"/>
  <c r="Z225" i="5"/>
  <c r="Z359" i="5"/>
  <c r="Z120" i="5"/>
  <c r="Z365" i="5"/>
  <c r="Z142" i="5"/>
  <c r="Z138" i="5"/>
  <c r="Z281" i="5"/>
  <c r="Z103" i="5"/>
  <c r="Z66" i="5"/>
  <c r="Z158" i="5"/>
  <c r="Z123" i="5"/>
  <c r="Z117" i="5"/>
  <c r="Z53" i="5"/>
  <c r="Z51" i="5"/>
  <c r="Z171" i="5"/>
  <c r="Z169" i="5"/>
  <c r="Z148" i="5"/>
  <c r="Z145" i="5"/>
  <c r="Z122" i="5"/>
  <c r="Z146" i="5"/>
  <c r="Z104" i="5"/>
  <c r="Z50" i="5"/>
  <c r="Z229" i="5"/>
  <c r="Z228" i="5"/>
  <c r="Z102" i="5"/>
  <c r="Z279" i="5"/>
  <c r="Z52" i="5"/>
  <c r="Z239" i="5"/>
  <c r="Z217" i="5"/>
  <c r="Z199" i="5"/>
  <c r="Z112" i="5"/>
  <c r="Z77" i="5"/>
  <c r="Z42" i="5"/>
  <c r="Z404" i="5"/>
  <c r="Z230" i="5"/>
  <c r="Z87" i="5"/>
  <c r="Z41" i="5"/>
  <c r="Z162" i="5"/>
  <c r="Z124" i="5"/>
  <c r="Z356" i="5"/>
  <c r="Z276" i="5"/>
  <c r="Z215" i="5"/>
  <c r="Z213" i="5"/>
  <c r="Z168" i="5"/>
  <c r="Z111" i="5"/>
  <c r="Z92" i="5"/>
  <c r="Z108" i="5"/>
  <c r="Z107" i="5"/>
  <c r="Z106" i="5"/>
  <c r="Z62" i="5"/>
  <c r="Z56" i="5"/>
  <c r="Z282" i="5"/>
  <c r="Z190" i="5"/>
  <c r="Z160" i="5"/>
  <c r="Z159" i="5"/>
  <c r="Z192" i="5"/>
  <c r="Z121" i="5"/>
  <c r="Z85" i="5"/>
  <c r="Z55" i="5"/>
  <c r="Z273" i="5"/>
  <c r="Z140" i="5"/>
  <c r="Z378" i="5"/>
  <c r="Z161" i="5"/>
  <c r="Z285" i="5"/>
  <c r="Z72" i="5"/>
  <c r="Z48" i="5"/>
  <c r="Z18" i="5"/>
  <c r="Z379" i="5"/>
  <c r="Z126" i="5"/>
  <c r="Z286" i="5"/>
  <c r="Z277" i="5"/>
  <c r="Z73" i="5"/>
  <c r="Z266" i="5"/>
  <c r="Z222" i="5"/>
  <c r="Z364" i="5"/>
  <c r="Z119" i="5"/>
  <c r="Z115" i="5"/>
  <c r="Z278" i="5"/>
  <c r="Z221" i="5"/>
  <c r="Z211" i="5"/>
  <c r="Z209" i="5"/>
  <c r="Z12" i="5"/>
  <c r="Z86" i="5"/>
  <c r="Z83" i="5"/>
  <c r="Z81" i="5"/>
  <c r="Z60" i="5"/>
  <c r="Z13" i="5"/>
  <c r="Z289" i="5"/>
  <c r="Z46" i="5"/>
  <c r="Z212" i="5"/>
  <c r="Z97" i="5"/>
  <c r="Z59" i="5"/>
  <c r="Z238" i="5"/>
  <c r="Z227" i="5"/>
  <c r="Z207" i="5"/>
  <c r="Z96" i="5"/>
  <c r="Z94" i="5"/>
  <c r="Z79" i="5"/>
  <c r="Z224" i="5"/>
  <c r="Z390" i="5"/>
  <c r="Z15" i="5"/>
  <c r="Z14" i="5"/>
  <c r="Z128" i="5"/>
  <c r="Z110" i="5"/>
  <c r="Z88" i="5"/>
  <c r="Z84" i="5"/>
  <c r="Z38" i="5"/>
  <c r="Z223" i="5"/>
  <c r="Z389" i="5"/>
  <c r="Z381" i="5"/>
  <c r="Z167" i="5"/>
  <c r="Z280" i="5"/>
  <c r="Z78" i="5"/>
  <c r="Z65" i="5"/>
  <c r="Z40" i="5"/>
  <c r="Z271" i="5"/>
  <c r="Z268" i="5"/>
  <c r="Z367" i="5"/>
  <c r="Z89" i="5"/>
  <c r="Z74" i="5"/>
  <c r="Z272" i="5"/>
  <c r="Z270" i="5"/>
  <c r="Z191" i="5"/>
  <c r="Z82" i="5"/>
  <c r="Z236" i="5"/>
  <c r="Z232" i="5"/>
  <c r="Z214" i="5"/>
  <c r="Z163" i="5"/>
  <c r="Z139" i="5"/>
  <c r="Z320" i="5"/>
  <c r="Z70" i="5"/>
  <c r="Z269" i="5"/>
  <c r="Z357" i="5"/>
  <c r="Z47" i="5"/>
  <c r="Z360" i="5"/>
  <c r="Z235" i="5"/>
  <c r="Z147" i="5"/>
  <c r="Z216" i="5"/>
  <c r="Z198" i="5"/>
  <c r="Z105" i="5"/>
  <c r="Z275" i="5"/>
  <c r="Z63" i="5"/>
  <c r="Z54" i="5"/>
  <c r="Z287" i="5"/>
  <c r="Z157" i="5"/>
  <c r="Z80" i="5"/>
  <c r="Z71" i="5"/>
  <c r="Z288" i="5"/>
  <c r="Z290" i="5"/>
  <c r="Z33" i="5"/>
  <c r="Z382" i="5"/>
  <c r="Z32" i="5"/>
  <c r="Z283" i="5"/>
  <c r="Z237" i="5"/>
  <c r="Z202" i="5"/>
  <c r="Z201" i="5"/>
  <c r="Z388" i="5"/>
  <c r="Z385" i="5"/>
  <c r="Z193" i="5"/>
  <c r="Z114" i="5"/>
  <c r="Z69" i="5"/>
  <c r="Z39" i="5"/>
  <c r="Z206" i="5"/>
  <c r="Z30" i="5"/>
  <c r="Z267" i="5"/>
  <c r="Z231" i="5"/>
  <c r="Z387" i="5"/>
  <c r="Z361" i="5"/>
  <c r="Z210" i="5"/>
  <c r="Z34" i="5"/>
  <c r="Z172" i="5"/>
  <c r="Z125" i="5"/>
  <c r="Z95" i="5"/>
  <c r="Z67" i="5"/>
  <c r="Z17" i="5"/>
  <c r="Z16" i="5"/>
  <c r="Z386" i="5"/>
  <c r="Z383" i="5"/>
  <c r="Z93" i="5"/>
  <c r="Z76" i="5"/>
  <c r="Z195" i="5"/>
  <c r="Z141" i="5"/>
  <c r="Z127" i="5"/>
  <c r="Z113" i="5"/>
  <c r="Z45" i="5"/>
  <c r="Z44" i="5"/>
  <c r="Z234" i="5"/>
  <c r="Z393" i="5"/>
  <c r="Z35" i="5"/>
  <c r="Z203" i="5"/>
  <c r="Z144" i="5"/>
  <c r="Z31" i="5"/>
  <c r="Z284" i="5"/>
  <c r="Z36" i="5"/>
  <c r="Z75" i="5"/>
  <c r="Z68" i="5"/>
  <c r="Z392" i="5"/>
  <c r="Z205" i="5"/>
  <c r="Z98" i="5"/>
  <c r="Z204" i="5"/>
  <c r="Z194" i="5"/>
  <c r="Z58" i="5"/>
  <c r="Z200" i="5"/>
  <c r="Z57" i="5"/>
  <c r="Z196" i="5"/>
  <c r="Z368" i="5"/>
  <c r="Z197" i="5"/>
  <c r="Z19" i="5"/>
  <c r="Z43" i="5"/>
  <c r="Z220" i="5"/>
  <c r="Z366" i="5"/>
  <c r="Z49" i="5"/>
  <c r="Z380" i="5"/>
  <c r="Z189" i="5"/>
  <c r="Z208" i="5"/>
  <c r="Z99" i="5"/>
  <c r="Z64" i="5"/>
  <c r="Z219" i="5"/>
  <c r="Z218" i="5"/>
  <c r="Z100" i="5"/>
  <c r="Z406" i="5"/>
  <c r="Z340" i="5"/>
  <c r="Z326" i="5"/>
  <c r="Z405" i="5"/>
  <c r="Z341" i="5"/>
  <c r="Z101" i="5"/>
  <c r="Z325" i="5"/>
  <c r="Z344" i="5"/>
  <c r="Z391" i="5"/>
  <c r="Z342" i="5"/>
  <c r="Z395" i="5"/>
  <c r="Z384" i="5"/>
  <c r="Z318" i="5"/>
  <c r="Z343" i="5"/>
  <c r="Z394" i="5"/>
  <c r="Z333" i="5"/>
  <c r="Z300" i="5"/>
  <c r="Z330" i="5"/>
  <c r="Z331" i="5"/>
  <c r="Z328" i="5"/>
  <c r="Z336" i="5"/>
  <c r="Z332" i="5"/>
  <c r="Z329" i="5"/>
  <c r="Z334" i="5"/>
  <c r="Z143" i="5"/>
  <c r="Z310" i="5"/>
  <c r="Z308" i="5"/>
  <c r="Z335" i="5"/>
  <c r="Z327" i="5"/>
  <c r="Z170" i="5"/>
  <c r="Z109" i="5"/>
  <c r="Z299" i="5"/>
  <c r="Z358" i="5"/>
  <c r="Z20" i="5"/>
  <c r="Z274" i="5"/>
  <c r="Z355" i="5"/>
  <c r="Z21" i="5"/>
  <c r="Z304" i="5"/>
  <c r="Z315" i="5"/>
  <c r="Z306" i="5"/>
  <c r="Z302" i="5"/>
  <c r="Z311" i="5"/>
  <c r="Z339" i="5"/>
  <c r="Z321" i="5"/>
  <c r="Z164" i="5"/>
  <c r="Z298" i="5"/>
  <c r="Z165" i="5"/>
  <c r="Z166" i="5"/>
  <c r="Z402" i="5"/>
  <c r="Z401" i="5"/>
  <c r="Z371" i="5"/>
  <c r="Z403" i="5"/>
  <c r="Z372" i="5"/>
  <c r="Z374" i="5"/>
  <c r="Z295" i="5"/>
  <c r="Z377" i="5"/>
  <c r="Z375" i="5"/>
  <c r="Z363" i="5"/>
  <c r="Z373" i="5"/>
  <c r="Z370" i="5"/>
  <c r="Z376" i="5"/>
  <c r="Z338" i="5"/>
  <c r="Z301" i="5"/>
  <c r="Z319" i="5"/>
  <c r="Z297" i="5"/>
  <c r="Z307" i="5"/>
  <c r="Z296" i="5"/>
  <c r="Z292" i="5"/>
  <c r="Z303" i="5"/>
  <c r="Z291" i="5"/>
  <c r="Z313" i="5"/>
  <c r="Z312" i="5"/>
  <c r="Z314" i="5"/>
  <c r="Z294" i="5"/>
  <c r="Z293" i="5"/>
  <c r="Z316" i="5"/>
  <c r="Z305" i="5"/>
  <c r="Z323" i="5"/>
  <c r="Z322" i="5"/>
  <c r="Z324" i="5"/>
  <c r="Z309" i="5"/>
  <c r="R43" i="2"/>
  <c r="R331" i="4"/>
  <c r="R343" i="4"/>
  <c r="R341" i="4"/>
  <c r="R342" i="4"/>
  <c r="R327" i="4"/>
  <c r="R339" i="4"/>
  <c r="R315" i="4"/>
  <c r="R316" i="4"/>
  <c r="R333" i="4"/>
  <c r="R337" i="4"/>
  <c r="R335" i="4"/>
  <c r="R336" i="4"/>
  <c r="R313" i="4"/>
  <c r="R325" i="4"/>
  <c r="R314" i="4"/>
  <c r="R318" i="4"/>
  <c r="R329" i="4"/>
  <c r="R319" i="4"/>
  <c r="R47" i="2"/>
  <c r="R345" i="4"/>
  <c r="R323" i="4"/>
  <c r="R346" i="4"/>
  <c r="R361" i="4"/>
  <c r="R355" i="4"/>
  <c r="R358" i="4"/>
  <c r="R354" i="4"/>
  <c r="R360" i="4"/>
  <c r="R362" i="4"/>
  <c r="R317" i="4"/>
  <c r="R359" i="4"/>
  <c r="R357" i="4"/>
  <c r="R366" i="4"/>
  <c r="R356" i="4"/>
  <c r="R364" i="4"/>
  <c r="R365" i="4"/>
  <c r="R33" i="2"/>
  <c r="R164" i="4"/>
  <c r="R163" i="4"/>
  <c r="R320" i="4"/>
  <c r="R162" i="4"/>
  <c r="R340" i="4"/>
  <c r="R347" i="4"/>
  <c r="R334" i="4"/>
  <c r="R324" i="4"/>
  <c r="R328" i="4"/>
  <c r="R338" i="4"/>
  <c r="R326" i="4"/>
  <c r="R28" i="4"/>
  <c r="R349" i="4"/>
  <c r="R247" i="4"/>
  <c r="R27" i="4"/>
  <c r="R350" i="4"/>
  <c r="R321" i="4"/>
  <c r="R107" i="4"/>
  <c r="R34" i="2"/>
  <c r="R168" i="4"/>
  <c r="R367" i="4"/>
  <c r="R375" i="4"/>
  <c r="R330" i="4"/>
  <c r="R332" i="4"/>
  <c r="R141" i="4"/>
  <c r="R374" i="4"/>
  <c r="R369" i="4"/>
  <c r="R372" i="4"/>
  <c r="R377" i="4"/>
  <c r="R376" i="4"/>
  <c r="R368" i="4"/>
  <c r="R371" i="4"/>
  <c r="R370" i="4"/>
  <c r="R322" i="4"/>
  <c r="R373" i="4"/>
  <c r="R296" i="4"/>
  <c r="R306" i="4"/>
  <c r="R303" i="4"/>
  <c r="R297" i="4"/>
  <c r="R284" i="4"/>
  <c r="R307" i="4"/>
  <c r="R302" i="4"/>
  <c r="R305" i="4"/>
  <c r="R304" i="4"/>
  <c r="R298" i="4"/>
  <c r="R99" i="4"/>
  <c r="R301" i="4"/>
  <c r="R308" i="4"/>
  <c r="R309" i="4"/>
  <c r="R299" i="4"/>
  <c r="R300" i="4"/>
  <c r="R310" i="4"/>
  <c r="R176" i="4"/>
  <c r="R266" i="4"/>
  <c r="R98" i="4"/>
  <c r="R216" i="4"/>
  <c r="R217" i="4"/>
  <c r="R294" i="4"/>
  <c r="R62" i="4"/>
  <c r="R97" i="4"/>
  <c r="R206" i="4"/>
  <c r="R187" i="4"/>
  <c r="R280" i="4"/>
  <c r="R47" i="4"/>
  <c r="R275" i="4"/>
  <c r="R218" i="4"/>
  <c r="R41" i="4"/>
  <c r="R26" i="4"/>
  <c r="R195" i="4"/>
  <c r="R277" i="4"/>
  <c r="R194" i="4"/>
  <c r="R7" i="2"/>
  <c r="R55" i="4"/>
  <c r="R198" i="4"/>
  <c r="R56" i="4"/>
  <c r="R192" i="4"/>
  <c r="R202" i="4"/>
  <c r="R96" i="4"/>
  <c r="R269" i="4"/>
  <c r="R203" i="4"/>
  <c r="R292" i="4"/>
  <c r="R66" i="4"/>
  <c r="R73" i="4"/>
  <c r="R8" i="4"/>
  <c r="R257" i="4"/>
  <c r="R3" i="4"/>
  <c r="R142" i="4"/>
  <c r="R201" i="4"/>
  <c r="R7" i="4"/>
  <c r="R129" i="4"/>
  <c r="R293" i="4"/>
  <c r="R232" i="4"/>
  <c r="R42" i="4"/>
  <c r="R43" i="4"/>
  <c r="R111" i="4"/>
  <c r="R125" i="4"/>
  <c r="R139" i="4"/>
  <c r="R193" i="4"/>
  <c r="R74" i="4"/>
  <c r="R91" i="4"/>
  <c r="R283" i="4"/>
  <c r="R286" i="4"/>
  <c r="R23" i="4"/>
  <c r="R24" i="4"/>
  <c r="R34" i="4"/>
  <c r="R65" i="4"/>
  <c r="R93" i="4"/>
  <c r="R123" i="4"/>
  <c r="R170" i="4"/>
  <c r="R6" i="4"/>
  <c r="R208" i="4"/>
  <c r="R352" i="4"/>
  <c r="R287" i="4"/>
  <c r="R229" i="4"/>
  <c r="R240" i="4"/>
  <c r="R2" i="4"/>
  <c r="R204" i="4"/>
  <c r="R37" i="4"/>
  <c r="R67" i="4"/>
  <c r="R33" i="4"/>
  <c r="R258" i="4"/>
  <c r="R112" i="4"/>
  <c r="R23" i="2"/>
  <c r="R191" i="4"/>
  <c r="R285" i="4"/>
  <c r="R288" i="4"/>
  <c r="R199" i="4"/>
  <c r="R200" i="4"/>
  <c r="R235" i="4"/>
  <c r="R256" i="4"/>
  <c r="R4" i="4"/>
  <c r="R282" i="4"/>
  <c r="R5" i="4"/>
  <c r="R312" i="4"/>
  <c r="R262" i="4"/>
  <c r="R69" i="4"/>
  <c r="R78" i="4"/>
  <c r="R11" i="4"/>
  <c r="R155" i="4"/>
  <c r="R261" i="4"/>
  <c r="R52" i="4"/>
  <c r="R61" i="4"/>
  <c r="R9" i="4"/>
  <c r="R148" i="4"/>
  <c r="R248" i="4"/>
  <c r="R103" i="4"/>
  <c r="R196" i="4"/>
  <c r="R214" i="4"/>
  <c r="R145" i="4"/>
  <c r="R233" i="4"/>
  <c r="R351" i="4"/>
  <c r="R45" i="4"/>
  <c r="R271" i="4"/>
  <c r="R153" i="4"/>
  <c r="R242" i="4"/>
  <c r="R68" i="4"/>
  <c r="R264" i="4"/>
  <c r="R133" i="4"/>
  <c r="R137" i="4"/>
  <c r="R161" i="4"/>
  <c r="R212" i="4"/>
  <c r="R230" i="4"/>
  <c r="R234" i="4"/>
  <c r="R80" i="4"/>
  <c r="R189" i="4"/>
  <c r="R243" i="4"/>
  <c r="R245" i="4"/>
  <c r="R72" i="4"/>
  <c r="R87" i="4"/>
  <c r="R276" i="4"/>
  <c r="R241" i="4"/>
  <c r="R244" i="4"/>
  <c r="R38" i="4"/>
  <c r="R63" i="4"/>
  <c r="R76" i="4"/>
  <c r="R253" i="4"/>
  <c r="R165" i="4"/>
  <c r="R281" i="4"/>
  <c r="R290" i="4"/>
  <c r="R36" i="4"/>
  <c r="R82" i="4"/>
  <c r="R86" i="4"/>
  <c r="R10" i="4"/>
  <c r="R108" i="4"/>
  <c r="R14" i="4"/>
  <c r="R126" i="4"/>
  <c r="R21" i="4"/>
  <c r="R22" i="4"/>
  <c r="R291" i="4"/>
  <c r="R222" i="4"/>
  <c r="R77" i="4"/>
  <c r="R92" i="4"/>
  <c r="R94" i="4"/>
  <c r="R265" i="4"/>
  <c r="R205" i="4"/>
  <c r="R236" i="4"/>
  <c r="R35" i="4"/>
  <c r="R57" i="4"/>
  <c r="R95" i="4"/>
  <c r="R210" i="4"/>
  <c r="R44" i="4"/>
  <c r="R263" i="4"/>
  <c r="R177" i="4"/>
  <c r="R20" i="4"/>
  <c r="R58" i="4"/>
  <c r="R79" i="4"/>
  <c r="R81" i="4"/>
  <c r="R84" i="4"/>
  <c r="R128" i="4"/>
  <c r="R19" i="4"/>
  <c r="R207" i="4"/>
  <c r="R209" i="4"/>
  <c r="R219" i="4"/>
  <c r="R251" i="4"/>
  <c r="R113" i="4"/>
  <c r="R117" i="4"/>
  <c r="R273" i="4"/>
  <c r="R220" i="4"/>
  <c r="R239" i="4"/>
  <c r="R71" i="4"/>
  <c r="R250" i="4"/>
  <c r="R260" i="4"/>
  <c r="R124" i="4"/>
  <c r="R132" i="4"/>
  <c r="R279" i="4"/>
  <c r="R25" i="4"/>
  <c r="R46" i="4"/>
  <c r="R70" i="4"/>
  <c r="R259" i="4"/>
  <c r="R159" i="4"/>
  <c r="R278" i="4"/>
  <c r="R138" i="4"/>
  <c r="R246" i="4"/>
  <c r="R53" i="4"/>
  <c r="R83" i="4"/>
  <c r="R119" i="4"/>
  <c r="R190" i="4"/>
  <c r="R157" i="4"/>
  <c r="R158" i="4"/>
  <c r="R188" i="4"/>
  <c r="R255" i="4"/>
  <c r="R54" i="4"/>
  <c r="R60" i="4"/>
  <c r="R104" i="4"/>
  <c r="R105" i="4"/>
  <c r="R106" i="4"/>
  <c r="R90" i="4"/>
  <c r="R109" i="4"/>
  <c r="R166" i="4"/>
  <c r="R211" i="4"/>
  <c r="R213" i="4"/>
  <c r="R249" i="4"/>
  <c r="R270" i="4"/>
  <c r="R122" i="4"/>
  <c r="R160" i="4"/>
  <c r="R39" i="4"/>
  <c r="R85" i="4"/>
  <c r="R228" i="4"/>
  <c r="R295" i="4"/>
  <c r="R40" i="4"/>
  <c r="R75" i="4"/>
  <c r="R110" i="4"/>
  <c r="R130" i="4"/>
  <c r="R152" i="4"/>
  <c r="R197" i="4"/>
  <c r="R215" i="4"/>
  <c r="R237" i="4"/>
  <c r="R50" i="4"/>
  <c r="R252" i="4"/>
  <c r="R100" i="4"/>
  <c r="R226" i="4"/>
  <c r="R227" i="4"/>
  <c r="R48" i="4"/>
  <c r="R102" i="4"/>
  <c r="R144" i="4"/>
  <c r="R120" i="4"/>
  <c r="R15" i="4"/>
  <c r="R143" i="4"/>
  <c r="R146" i="4"/>
  <c r="R151" i="4"/>
  <c r="R167" i="4"/>
  <c r="R169" i="4"/>
  <c r="R49" i="4"/>
  <c r="R51" i="4"/>
  <c r="R115" i="4"/>
  <c r="R121" i="4"/>
  <c r="R156" i="4"/>
  <c r="R64" i="4"/>
  <c r="R101" i="4"/>
  <c r="R254" i="4"/>
  <c r="R136" i="4"/>
  <c r="R140" i="4"/>
  <c r="R274" i="4"/>
  <c r="R118" i="4"/>
  <c r="R134" i="4"/>
  <c r="R149" i="4"/>
  <c r="Z369" i="5"/>
  <c r="H325" i="5"/>
  <c r="I325" i="5"/>
  <c r="Z352" i="4"/>
  <c r="Z353" i="4"/>
  <c r="Z363" i="4"/>
  <c r="U2" i="12"/>
  <c r="R238" i="4"/>
  <c r="R223" i="4"/>
  <c r="R114" i="4"/>
  <c r="R344" i="4"/>
  <c r="Q2" i="12"/>
  <c r="O2" i="12"/>
  <c r="N383" i="4"/>
  <c r="N404" i="4"/>
  <c r="M2" i="12"/>
  <c r="K2" i="12"/>
  <c r="J77" i="4"/>
  <c r="J171" i="4"/>
  <c r="J217" i="4"/>
  <c r="J218" i="4"/>
  <c r="J238" i="4"/>
  <c r="J76" i="4"/>
  <c r="J79" i="4"/>
  <c r="J264" i="4"/>
  <c r="J81" i="4"/>
  <c r="J82" i="4"/>
  <c r="J256" i="4"/>
  <c r="J257" i="4"/>
  <c r="J84" i="4"/>
  <c r="J258" i="4"/>
  <c r="J87" i="4"/>
  <c r="J10" i="4"/>
  <c r="J11" i="4"/>
  <c r="J91" i="4"/>
  <c r="J92" i="4"/>
  <c r="J259" i="4"/>
  <c r="J104" i="4"/>
  <c r="J105" i="4"/>
  <c r="J106" i="4"/>
  <c r="J123" i="4"/>
  <c r="J126" i="4"/>
  <c r="J137" i="4"/>
  <c r="J138" i="4"/>
  <c r="J169" i="4"/>
  <c r="J220" i="4"/>
  <c r="J249" i="4"/>
  <c r="J75" i="4"/>
  <c r="J80" i="4"/>
  <c r="J83" i="4"/>
  <c r="J93" i="4"/>
  <c r="J102" i="4"/>
  <c r="J115" i="4"/>
  <c r="J144" i="4"/>
  <c r="J23" i="2"/>
  <c r="J100" i="4"/>
  <c r="J133" i="4"/>
  <c r="J230" i="4"/>
  <c r="J101" i="4"/>
  <c r="J107" i="4"/>
  <c r="J265" i="4"/>
  <c r="J129" i="4"/>
  <c r="J143" i="4"/>
  <c r="J157" i="4"/>
  <c r="J158" i="4"/>
  <c r="J166" i="4"/>
  <c r="J168" i="4"/>
  <c r="J170" i="4"/>
  <c r="J197" i="4"/>
  <c r="J206" i="4"/>
  <c r="J207" i="4"/>
  <c r="J208" i="4"/>
  <c r="J212" i="4"/>
  <c r="J216" i="4"/>
  <c r="J227" i="4"/>
  <c r="J247" i="4"/>
  <c r="J85" i="4"/>
  <c r="J156" i="4"/>
  <c r="J211" i="4"/>
  <c r="J30" i="4"/>
  <c r="J70" i="4"/>
  <c r="J9" i="4"/>
  <c r="J12" i="4"/>
  <c r="J117" i="4"/>
  <c r="J15" i="4"/>
  <c r="J125" i="4"/>
  <c r="J130" i="4"/>
  <c r="J136" i="4"/>
  <c r="J165" i="4"/>
  <c r="J167" i="4"/>
  <c r="J210" i="4"/>
  <c r="J25" i="4"/>
  <c r="J26" i="4"/>
  <c r="J237" i="4"/>
  <c r="J73" i="4"/>
  <c r="J86" i="4"/>
  <c r="J267" i="4"/>
  <c r="J128" i="4"/>
  <c r="J153" i="4"/>
  <c r="J228" i="4"/>
  <c r="J71" i="4"/>
  <c r="J108" i="4"/>
  <c r="J209" i="4"/>
  <c r="J255" i="4"/>
  <c r="J214" i="4"/>
  <c r="J225" i="4"/>
  <c r="J236" i="4"/>
  <c r="J33" i="4"/>
  <c r="J72" i="4"/>
  <c r="J14" i="4"/>
  <c r="J124" i="4"/>
  <c r="J139" i="4"/>
  <c r="J150" i="4"/>
  <c r="J176" i="4"/>
  <c r="J281" i="4"/>
  <c r="J282" i="4"/>
  <c r="J199" i="4"/>
  <c r="J201" i="4"/>
  <c r="J202" i="4"/>
  <c r="J204" i="4"/>
  <c r="J31" i="4"/>
  <c r="J231" i="4"/>
  <c r="J232" i="4"/>
  <c r="J233" i="4"/>
  <c r="J235" i="4"/>
  <c r="J109" i="4"/>
  <c r="J190" i="4"/>
  <c r="J286" i="4"/>
  <c r="J20" i="4"/>
  <c r="J22" i="4"/>
  <c r="J23" i="4"/>
  <c r="J24" i="4"/>
  <c r="J28" i="4"/>
  <c r="J98" i="4"/>
  <c r="J141" i="4"/>
  <c r="J97" i="4"/>
  <c r="J110" i="4"/>
  <c r="J112" i="4"/>
  <c r="J187" i="4"/>
  <c r="J188" i="4"/>
  <c r="J189" i="4"/>
  <c r="J287" i="4"/>
  <c r="J223" i="4"/>
  <c r="J234" i="4"/>
  <c r="J50" i="4"/>
  <c r="J160" i="4"/>
  <c r="J278" i="4"/>
  <c r="J280" i="4"/>
  <c r="J193" i="4"/>
  <c r="J285" i="4"/>
  <c r="J289" i="4"/>
  <c r="J292" i="4"/>
  <c r="J293" i="4"/>
  <c r="J51" i="4"/>
  <c r="J3" i="4"/>
  <c r="J277" i="4"/>
  <c r="J16" i="4"/>
  <c r="J17" i="4"/>
  <c r="J18" i="4"/>
  <c r="J279" i="4"/>
  <c r="J290" i="4"/>
  <c r="J19" i="4"/>
  <c r="J8" i="4"/>
  <c r="J240" i="4"/>
  <c r="J242" i="4"/>
  <c r="J48" i="4"/>
  <c r="J74" i="4"/>
  <c r="J155" i="4"/>
  <c r="J177" i="4"/>
  <c r="J191" i="4"/>
  <c r="J283" i="4"/>
  <c r="J284" i="4"/>
  <c r="J29" i="4"/>
  <c r="J49" i="4"/>
  <c r="J2" i="4"/>
  <c r="J161" i="4"/>
  <c r="J229" i="4"/>
  <c r="J294" i="4"/>
  <c r="J32" i="4"/>
  <c r="J241" i="4"/>
  <c r="J271" i="4"/>
  <c r="J198" i="4"/>
  <c r="J239" i="4"/>
  <c r="J243" i="4"/>
  <c r="J244" i="4"/>
  <c r="J245" i="4"/>
  <c r="J122" i="4"/>
  <c r="J152" i="4"/>
  <c r="J5" i="4"/>
  <c r="J116" i="4"/>
  <c r="J192" i="4"/>
  <c r="J248" i="4"/>
  <c r="J44" i="4"/>
  <c r="J194" i="4"/>
  <c r="J96" i="4"/>
  <c r="J273" i="4"/>
  <c r="J275" i="4"/>
  <c r="J103" i="4"/>
  <c r="J118" i="4"/>
  <c r="J68" i="4"/>
  <c r="J291" i="4"/>
  <c r="J246" i="4"/>
  <c r="J34" i="4"/>
  <c r="J94" i="4"/>
  <c r="J148" i="4"/>
  <c r="J46" i="4"/>
  <c r="J7" i="4"/>
  <c r="J119" i="4"/>
  <c r="J35" i="4"/>
  <c r="J6" i="4"/>
  <c r="J45" i="4"/>
  <c r="J47" i="4"/>
  <c r="J60" i="4"/>
  <c r="J69" i="4"/>
  <c r="J41" i="4"/>
  <c r="J61" i="4"/>
  <c r="J196" i="4"/>
  <c r="J7" i="2"/>
  <c r="J120" i="4"/>
  <c r="J221" i="4"/>
  <c r="J62" i="4"/>
  <c r="J43" i="4"/>
  <c r="J66" i="4"/>
  <c r="J38" i="4"/>
  <c r="J78" i="4"/>
  <c r="J37" i="4"/>
  <c r="J42" i="4"/>
  <c r="J39" i="4"/>
  <c r="J268" i="4"/>
  <c r="J40" i="4"/>
  <c r="J111" i="4"/>
  <c r="J10" i="2"/>
  <c r="J254" i="4"/>
  <c r="J260" i="4"/>
  <c r="J36" i="4"/>
  <c r="J288" i="4"/>
  <c r="J8" i="2"/>
  <c r="J253" i="4"/>
  <c r="J65" i="4"/>
  <c r="J53" i="4"/>
  <c r="J63" i="4"/>
  <c r="J251" i="4"/>
  <c r="J64" i="4"/>
  <c r="J54" i="4"/>
  <c r="J95" i="4"/>
  <c r="J57" i="4"/>
  <c r="J113" i="4"/>
  <c r="J159" i="4"/>
  <c r="J58" i="4"/>
  <c r="J55" i="4"/>
  <c r="I2" i="12"/>
  <c r="H19" i="4"/>
  <c r="H198" i="4"/>
  <c r="G2" i="12"/>
  <c r="F250" i="4"/>
  <c r="F43" i="2"/>
  <c r="F52" i="4"/>
  <c r="F262" i="4"/>
  <c r="F263" i="4"/>
  <c r="F79" i="4"/>
  <c r="F264" i="4"/>
  <c r="F81" i="4"/>
  <c r="F82" i="4"/>
  <c r="F256" i="4"/>
  <c r="F257" i="4"/>
  <c r="F84" i="4"/>
  <c r="F258" i="4"/>
  <c r="F90" i="4"/>
  <c r="F10" i="4"/>
  <c r="F11" i="4"/>
  <c r="F91" i="4"/>
  <c r="F92" i="4"/>
  <c r="F259" i="4"/>
  <c r="F123" i="4"/>
  <c r="F169" i="4"/>
  <c r="F49" i="2"/>
  <c r="F295" i="4"/>
  <c r="F249" i="4"/>
  <c r="F80" i="4"/>
  <c r="F83" i="4"/>
  <c r="F93" i="4"/>
  <c r="F115" i="4"/>
  <c r="F133" i="4"/>
  <c r="F230" i="4"/>
  <c r="F107" i="4"/>
  <c r="F166" i="4"/>
  <c r="F34" i="2"/>
  <c r="F168" i="4"/>
  <c r="F170" i="4"/>
  <c r="F206" i="4"/>
  <c r="F216" i="4"/>
  <c r="F247" i="4"/>
  <c r="F30" i="4"/>
  <c r="F70" i="4"/>
  <c r="F125" i="4"/>
  <c r="F131" i="4"/>
  <c r="F136" i="4"/>
  <c r="F165" i="4"/>
  <c r="F167" i="4"/>
  <c r="F9" i="2"/>
  <c r="F8" i="2"/>
  <c r="F59" i="4"/>
  <c r="F73" i="4"/>
  <c r="F140" i="4"/>
  <c r="F255" i="4"/>
  <c r="F225" i="4"/>
  <c r="F236" i="4"/>
  <c r="F33" i="4"/>
  <c r="F72" i="4"/>
  <c r="F124" i="4"/>
  <c r="F176" i="4"/>
  <c r="F281" i="4"/>
  <c r="F282" i="4"/>
  <c r="F199" i="4"/>
  <c r="F200" i="4"/>
  <c r="F201" i="4"/>
  <c r="F202" i="4"/>
  <c r="F203" i="4"/>
  <c r="F204" i="4"/>
  <c r="F31" i="4"/>
  <c r="F231" i="4"/>
  <c r="F232" i="4"/>
  <c r="F233" i="4"/>
  <c r="F235" i="4"/>
  <c r="F109" i="4"/>
  <c r="F190" i="4"/>
  <c r="F286" i="4"/>
  <c r="F20" i="4"/>
  <c r="F21" i="4"/>
  <c r="F22" i="4"/>
  <c r="F23" i="4"/>
  <c r="F24" i="4"/>
  <c r="F27" i="4"/>
  <c r="F28" i="4"/>
  <c r="F98" i="4"/>
  <c r="F99" i="4"/>
  <c r="F141" i="4"/>
  <c r="F97" i="4"/>
  <c r="F110" i="4"/>
  <c r="F112" i="4"/>
  <c r="F187" i="4"/>
  <c r="F188" i="4"/>
  <c r="F189" i="4"/>
  <c r="F287" i="4"/>
  <c r="F234" i="4"/>
  <c r="F50" i="4"/>
  <c r="F160" i="4"/>
  <c r="F278" i="4"/>
  <c r="F280" i="4"/>
  <c r="F193" i="4"/>
  <c r="F285" i="4"/>
  <c r="F289" i="4"/>
  <c r="F292" i="4"/>
  <c r="F293" i="4"/>
  <c r="F51" i="4"/>
  <c r="F3" i="4"/>
  <c r="F277" i="4"/>
  <c r="F16" i="4"/>
  <c r="F17" i="4"/>
  <c r="F18" i="4"/>
  <c r="F174" i="4"/>
  <c r="F175" i="4"/>
  <c r="F279" i="4"/>
  <c r="F290" i="4"/>
  <c r="F19" i="4"/>
  <c r="F8" i="4"/>
  <c r="F5" i="2"/>
  <c r="F240" i="4"/>
  <c r="F242" i="4"/>
  <c r="F48" i="4"/>
  <c r="F74" i="4"/>
  <c r="F266" i="4"/>
  <c r="F135" i="4"/>
  <c r="F147" i="4"/>
  <c r="F155" i="4"/>
  <c r="F186" i="4"/>
  <c r="F191" i="4"/>
  <c r="F283" i="4"/>
  <c r="F173" i="4"/>
  <c r="F284" i="4"/>
  <c r="F29" i="4"/>
  <c r="F49" i="4"/>
  <c r="F2" i="4"/>
  <c r="F154" i="4"/>
  <c r="F161" i="4"/>
  <c r="F229" i="4"/>
  <c r="F294" i="4"/>
  <c r="F32" i="4"/>
  <c r="F241" i="4"/>
  <c r="F10" i="2"/>
  <c r="F272" i="4"/>
  <c r="F271" i="4"/>
  <c r="F198" i="4"/>
  <c r="F205" i="4"/>
  <c r="F239" i="4"/>
  <c r="F243" i="4"/>
  <c r="F244" i="4"/>
  <c r="F245" i="4"/>
  <c r="F132" i="4"/>
  <c r="F122" i="4"/>
  <c r="F145" i="4"/>
  <c r="F152" i="4"/>
  <c r="F116" i="4"/>
  <c r="F192" i="4"/>
  <c r="F248" i="4"/>
  <c r="F44" i="4"/>
  <c r="F194" i="4"/>
  <c r="F222" i="4"/>
  <c r="F134" i="4"/>
  <c r="F149" i="4"/>
  <c r="F96" i="4"/>
  <c r="F195" i="4"/>
  <c r="F273" i="4"/>
  <c r="F275" i="4"/>
  <c r="F118" i="4"/>
  <c r="F68" i="4"/>
  <c r="F291" i="4"/>
  <c r="F246" i="4"/>
  <c r="F34" i="4"/>
  <c r="F94" i="4"/>
  <c r="F46" i="4"/>
  <c r="F7" i="4"/>
  <c r="F119" i="4"/>
  <c r="F35" i="4"/>
  <c r="F67" i="4"/>
  <c r="F6" i="4"/>
  <c r="F45" i="4"/>
  <c r="F47" i="4"/>
  <c r="F60" i="4"/>
  <c r="F69" i="4"/>
  <c r="F41" i="4"/>
  <c r="F61" i="4"/>
  <c r="F7" i="2"/>
  <c r="F120" i="4"/>
  <c r="F221" i="4"/>
  <c r="F62" i="4"/>
  <c r="F151" i="4"/>
  <c r="F43" i="4"/>
  <c r="F66" i="4"/>
  <c r="F4" i="4"/>
  <c r="F38" i="4"/>
  <c r="F78" i="4"/>
  <c r="F37" i="4"/>
  <c r="F42" i="4"/>
  <c r="F252" i="4"/>
  <c r="F39" i="4"/>
  <c r="F40" i="4"/>
  <c r="F111" i="4"/>
  <c r="F276" i="4"/>
  <c r="F254" i="4"/>
  <c r="F260" i="4"/>
  <c r="F36" i="4"/>
  <c r="F288" i="4"/>
  <c r="F253" i="4"/>
  <c r="F65" i="4"/>
  <c r="F53" i="4"/>
  <c r="F63" i="4"/>
  <c r="F251" i="4"/>
  <c r="F64" i="4"/>
  <c r="F54" i="4"/>
  <c r="F95" i="4"/>
  <c r="F57" i="4"/>
  <c r="F113" i="4"/>
  <c r="F47" i="2"/>
  <c r="F159" i="4"/>
  <c r="F58" i="4"/>
  <c r="F55" i="4"/>
  <c r="F56" i="4"/>
  <c r="F296" i="4"/>
  <c r="F297" i="4"/>
  <c r="F298" i="4"/>
  <c r="F299" i="4"/>
  <c r="F301" i="4"/>
  <c r="F302" i="4"/>
  <c r="F303" i="4"/>
  <c r="F304" i="4"/>
  <c r="F300" i="4"/>
  <c r="F305" i="4"/>
  <c r="F308" i="4"/>
  <c r="F309" i="4"/>
  <c r="F310" i="4"/>
  <c r="F306" i="4"/>
  <c r="F48" i="2"/>
  <c r="F307" i="4"/>
  <c r="F328" i="4"/>
  <c r="F343" i="4"/>
  <c r="F341" i="4"/>
  <c r="F342" i="4"/>
  <c r="F332" i="4"/>
  <c r="F344" i="4"/>
  <c r="F331" i="4"/>
  <c r="F339" i="4"/>
  <c r="F324" i="4"/>
  <c r="F326" i="4"/>
  <c r="F329" i="4"/>
  <c r="F334" i="4"/>
  <c r="F333" i="4"/>
  <c r="F317" i="4"/>
  <c r="F319" i="4"/>
  <c r="F320" i="4"/>
  <c r="F321" i="4"/>
  <c r="F322" i="4"/>
  <c r="F323" i="4"/>
  <c r="F325" i="4"/>
  <c r="F327" i="4"/>
  <c r="F335" i="4"/>
  <c r="F336" i="4"/>
  <c r="F337" i="4"/>
  <c r="F338" i="4"/>
  <c r="F340" i="4"/>
  <c r="F330" i="4"/>
  <c r="F318" i="4"/>
  <c r="F315" i="4"/>
  <c r="F316" i="4"/>
  <c r="F314" i="4"/>
  <c r="F312" i="4"/>
  <c r="F313" i="4"/>
  <c r="F354" i="4"/>
  <c r="F345" i="4"/>
  <c r="F349" i="4"/>
  <c r="F350" i="4"/>
  <c r="F355" i="4"/>
  <c r="F356" i="4"/>
  <c r="F357" i="4"/>
  <c r="F358" i="4"/>
  <c r="F359" i="4"/>
  <c r="F360" i="4"/>
  <c r="F361" i="4"/>
  <c r="F362" i="4"/>
  <c r="F364" i="4"/>
  <c r="F365" i="4"/>
  <c r="F366" i="4"/>
  <c r="F346" i="4"/>
  <c r="F347" i="4"/>
  <c r="F348" i="4"/>
  <c r="F351" i="4"/>
  <c r="F352" i="4"/>
  <c r="F353" i="4"/>
  <c r="F363" i="4"/>
  <c r="F367" i="4"/>
  <c r="F368" i="4"/>
  <c r="F369" i="4"/>
  <c r="F370" i="4"/>
  <c r="F371" i="4"/>
  <c r="F372" i="4"/>
  <c r="F373" i="4"/>
  <c r="F374" i="4"/>
  <c r="F376" i="4"/>
  <c r="F375" i="4"/>
  <c r="F377" i="4"/>
  <c r="F386" i="4"/>
  <c r="F385" i="4"/>
  <c r="F383" i="4"/>
  <c r="F384" i="4"/>
  <c r="F387" i="4"/>
  <c r="F388" i="4"/>
  <c r="F389" i="4"/>
  <c r="F390" i="4"/>
  <c r="F391" i="4"/>
  <c r="F392" i="4"/>
  <c r="F393" i="4"/>
  <c r="F394" i="4"/>
  <c r="F395" i="4"/>
  <c r="F396" i="4"/>
  <c r="F398" i="4"/>
  <c r="F399" i="4"/>
  <c r="F400" i="4"/>
  <c r="F401" i="4"/>
  <c r="F402" i="4"/>
  <c r="F403" i="4"/>
  <c r="F404" i="4"/>
  <c r="F405" i="4"/>
  <c r="F406" i="4"/>
  <c r="F407" i="4"/>
  <c r="F397" i="4"/>
  <c r="E2" i="12"/>
  <c r="C2" i="12"/>
  <c r="E250" i="4"/>
  <c r="E43" i="2"/>
  <c r="E52" i="4"/>
  <c r="E262" i="4"/>
  <c r="E263" i="4"/>
  <c r="E79" i="4"/>
  <c r="E264" i="4"/>
  <c r="E81" i="4"/>
  <c r="E82" i="4"/>
  <c r="E256" i="4"/>
  <c r="E257" i="4"/>
  <c r="E84" i="4"/>
  <c r="E258" i="4"/>
  <c r="E90" i="4"/>
  <c r="E10" i="4"/>
  <c r="E11" i="4"/>
  <c r="E91" i="4"/>
  <c r="E92" i="4"/>
  <c r="E259" i="4"/>
  <c r="E123" i="4"/>
  <c r="E169" i="4"/>
  <c r="E49" i="2"/>
  <c r="E295" i="4"/>
  <c r="E249" i="4"/>
  <c r="E80" i="4"/>
  <c r="E83" i="4"/>
  <c r="E93" i="4"/>
  <c r="E115" i="4"/>
  <c r="E133" i="4"/>
  <c r="E230" i="4"/>
  <c r="E107" i="4"/>
  <c r="E166" i="4"/>
  <c r="E34" i="2"/>
  <c r="E168" i="4"/>
  <c r="E170" i="4"/>
  <c r="E206" i="4"/>
  <c r="E216" i="4"/>
  <c r="E247" i="4"/>
  <c r="E30" i="4"/>
  <c r="E70" i="4"/>
  <c r="E125" i="4"/>
  <c r="E131" i="4"/>
  <c r="E136" i="4"/>
  <c r="E165" i="4"/>
  <c r="E167" i="4"/>
  <c r="E9" i="2"/>
  <c r="E8" i="2"/>
  <c r="E59" i="4"/>
  <c r="E73" i="4"/>
  <c r="E140" i="4"/>
  <c r="E255" i="4"/>
  <c r="E225" i="4"/>
  <c r="E236" i="4"/>
  <c r="E33" i="4"/>
  <c r="E72" i="4"/>
  <c r="E124" i="4"/>
  <c r="E176" i="4"/>
  <c r="E281" i="4"/>
  <c r="E282" i="4"/>
  <c r="E199" i="4"/>
  <c r="E200" i="4"/>
  <c r="E201" i="4"/>
  <c r="E202" i="4"/>
  <c r="E203" i="4"/>
  <c r="E204" i="4"/>
  <c r="E31" i="4"/>
  <c r="E231" i="4"/>
  <c r="E232" i="4"/>
  <c r="E233" i="4"/>
  <c r="E235" i="4"/>
  <c r="E109" i="4"/>
  <c r="E190" i="4"/>
  <c r="E286" i="4"/>
  <c r="E20" i="4"/>
  <c r="E21" i="4"/>
  <c r="E22" i="4"/>
  <c r="E23" i="4"/>
  <c r="E24" i="4"/>
  <c r="E27" i="4"/>
  <c r="E28" i="4"/>
  <c r="E98" i="4"/>
  <c r="E99" i="4"/>
  <c r="E141" i="4"/>
  <c r="E97" i="4"/>
  <c r="E110" i="4"/>
  <c r="E112" i="4"/>
  <c r="E187" i="4"/>
  <c r="E188" i="4"/>
  <c r="E189" i="4"/>
  <c r="E287" i="4"/>
  <c r="E234" i="4"/>
  <c r="E50" i="4"/>
  <c r="E160" i="4"/>
  <c r="E278" i="4"/>
  <c r="E280" i="4"/>
  <c r="E193" i="4"/>
  <c r="E285" i="4"/>
  <c r="E289" i="4"/>
  <c r="E292" i="4"/>
  <c r="E293" i="4"/>
  <c r="E51" i="4"/>
  <c r="E3" i="4"/>
  <c r="E277" i="4"/>
  <c r="E16" i="4"/>
  <c r="E17" i="4"/>
  <c r="E18" i="4"/>
  <c r="E174" i="4"/>
  <c r="E175" i="4"/>
  <c r="E279" i="4"/>
  <c r="E290" i="4"/>
  <c r="E19" i="4"/>
  <c r="E8" i="4"/>
  <c r="E5" i="2"/>
  <c r="E240" i="4"/>
  <c r="E242" i="4"/>
  <c r="E48" i="4"/>
  <c r="E74" i="4"/>
  <c r="E266" i="4"/>
  <c r="E135" i="4"/>
  <c r="E147" i="4"/>
  <c r="E155" i="4"/>
  <c r="E186" i="4"/>
  <c r="E191" i="4"/>
  <c r="E283" i="4"/>
  <c r="E173" i="4"/>
  <c r="E284" i="4"/>
  <c r="E29" i="4"/>
  <c r="E49" i="4"/>
  <c r="E2" i="4"/>
  <c r="E154" i="4"/>
  <c r="E161" i="4"/>
  <c r="E229" i="4"/>
  <c r="E294" i="4"/>
  <c r="E32" i="4"/>
  <c r="E241" i="4"/>
  <c r="E10" i="2"/>
  <c r="E272" i="4"/>
  <c r="E271" i="4"/>
  <c r="E198" i="4"/>
  <c r="E205" i="4"/>
  <c r="E239" i="4"/>
  <c r="E243" i="4"/>
  <c r="E244" i="4"/>
  <c r="E245" i="4"/>
  <c r="E132" i="4"/>
  <c r="E122" i="4"/>
  <c r="E145" i="4"/>
  <c r="E152" i="4"/>
  <c r="E116" i="4"/>
  <c r="E192" i="4"/>
  <c r="E248" i="4"/>
  <c r="E44" i="4"/>
  <c r="E194" i="4"/>
  <c r="E222" i="4"/>
  <c r="E134" i="4"/>
  <c r="E149" i="4"/>
  <c r="E96" i="4"/>
  <c r="E195" i="4"/>
  <c r="E273" i="4"/>
  <c r="E275" i="4"/>
  <c r="E118" i="4"/>
  <c r="E68" i="4"/>
  <c r="E291" i="4"/>
  <c r="E246" i="4"/>
  <c r="E34" i="4"/>
  <c r="E94" i="4"/>
  <c r="E46" i="4"/>
  <c r="E7" i="4"/>
  <c r="E119" i="4"/>
  <c r="E35" i="4"/>
  <c r="E67" i="4"/>
  <c r="E6" i="4"/>
  <c r="E45" i="4"/>
  <c r="E47" i="4"/>
  <c r="E60" i="4"/>
  <c r="E69" i="4"/>
  <c r="E41" i="4"/>
  <c r="E61" i="4"/>
  <c r="E7" i="2"/>
  <c r="E120" i="4"/>
  <c r="E221" i="4"/>
  <c r="E62" i="4"/>
  <c r="E151" i="4"/>
  <c r="E43" i="4"/>
  <c r="E66" i="4"/>
  <c r="E4" i="4"/>
  <c r="E38" i="4"/>
  <c r="E78" i="4"/>
  <c r="E37" i="4"/>
  <c r="E42" i="4"/>
  <c r="E252" i="4"/>
  <c r="E39" i="4"/>
  <c r="E40" i="4"/>
  <c r="E111" i="4"/>
  <c r="E276" i="4"/>
  <c r="E254" i="4"/>
  <c r="E260" i="4"/>
  <c r="E36" i="4"/>
  <c r="E288" i="4"/>
  <c r="E253" i="4"/>
  <c r="E65" i="4"/>
  <c r="E53" i="4"/>
  <c r="E63" i="4"/>
  <c r="E251" i="4"/>
  <c r="E64" i="4"/>
  <c r="E54" i="4"/>
  <c r="E95" i="4"/>
  <c r="E57" i="4"/>
  <c r="E113" i="4"/>
  <c r="E47" i="2"/>
  <c r="E159" i="4"/>
  <c r="E58" i="4"/>
  <c r="E55" i="4"/>
  <c r="E56" i="4"/>
  <c r="E296" i="4"/>
  <c r="E297" i="4"/>
  <c r="E298" i="4"/>
  <c r="E299" i="4"/>
  <c r="E301" i="4"/>
  <c r="E302" i="4"/>
  <c r="E303" i="4"/>
  <c r="E304" i="4"/>
  <c r="E300" i="4"/>
  <c r="E305" i="4"/>
  <c r="E308" i="4"/>
  <c r="E309" i="4"/>
  <c r="E310" i="4"/>
  <c r="E306" i="4"/>
  <c r="E48" i="2"/>
  <c r="E307" i="4"/>
  <c r="E328" i="4"/>
  <c r="E343" i="4"/>
  <c r="E341" i="4"/>
  <c r="E342" i="4"/>
  <c r="E332" i="4"/>
  <c r="E344" i="4"/>
  <c r="E331" i="4"/>
  <c r="E339" i="4"/>
  <c r="E324" i="4"/>
  <c r="E326" i="4"/>
  <c r="E329" i="4"/>
  <c r="E334" i="4"/>
  <c r="E333" i="4"/>
  <c r="E317" i="4"/>
  <c r="E319" i="4"/>
  <c r="E320" i="4"/>
  <c r="E321" i="4"/>
  <c r="E322" i="4"/>
  <c r="E323" i="4"/>
  <c r="E325" i="4"/>
  <c r="E327" i="4"/>
  <c r="E335" i="4"/>
  <c r="E336" i="4"/>
  <c r="E337" i="4"/>
  <c r="E338" i="4"/>
  <c r="E340" i="4"/>
  <c r="E330" i="4"/>
  <c r="E318" i="4"/>
  <c r="E315" i="4"/>
  <c r="E316" i="4"/>
  <c r="E314" i="4"/>
  <c r="E312" i="4"/>
  <c r="E313" i="4"/>
  <c r="E354" i="4"/>
  <c r="E345" i="4"/>
  <c r="E349" i="4"/>
  <c r="E350" i="4"/>
  <c r="E355" i="4"/>
  <c r="E356" i="4"/>
  <c r="E357" i="4"/>
  <c r="E358" i="4"/>
  <c r="E359" i="4"/>
  <c r="E360" i="4"/>
  <c r="E361" i="4"/>
  <c r="E362" i="4"/>
  <c r="E364" i="4"/>
  <c r="E365" i="4"/>
  <c r="E366" i="4"/>
  <c r="E346" i="4"/>
  <c r="E347" i="4"/>
  <c r="E348" i="4"/>
  <c r="E351" i="4"/>
  <c r="E352" i="4"/>
  <c r="E353" i="4"/>
  <c r="E363" i="4"/>
  <c r="E367" i="4"/>
  <c r="E368" i="4"/>
  <c r="E369" i="4"/>
  <c r="E370" i="4"/>
  <c r="E371" i="4"/>
  <c r="E372" i="4"/>
  <c r="E373" i="4"/>
  <c r="E374" i="4"/>
  <c r="E376" i="4"/>
  <c r="E375" i="4"/>
  <c r="E377" i="4"/>
  <c r="E386" i="4"/>
  <c r="E385" i="4"/>
  <c r="E383" i="4"/>
  <c r="E384" i="4"/>
  <c r="E387" i="4"/>
  <c r="E388" i="4"/>
  <c r="E389" i="4"/>
  <c r="E390" i="4"/>
  <c r="E391" i="4"/>
  <c r="E392" i="4"/>
  <c r="E393" i="4"/>
  <c r="E394" i="4"/>
  <c r="E395" i="4"/>
  <c r="E396" i="4"/>
  <c r="E398" i="4"/>
  <c r="E399" i="4"/>
  <c r="E400" i="4"/>
  <c r="E401" i="4"/>
  <c r="E402" i="4"/>
  <c r="E403" i="4"/>
  <c r="E404" i="4"/>
  <c r="E405" i="4"/>
  <c r="E406" i="4"/>
  <c r="E407" i="4"/>
  <c r="E397" i="4"/>
  <c r="D2" i="12"/>
  <c r="F2" i="12"/>
  <c r="I77" i="4"/>
  <c r="I171" i="4"/>
  <c r="I217" i="4"/>
  <c r="I218" i="4"/>
  <c r="I238" i="4"/>
  <c r="I76" i="4"/>
  <c r="I79" i="4"/>
  <c r="I264" i="4"/>
  <c r="I81" i="4"/>
  <c r="I82" i="4"/>
  <c r="I256" i="4"/>
  <c r="I257" i="4"/>
  <c r="I84" i="4"/>
  <c r="I258" i="4"/>
  <c r="I87" i="4"/>
  <c r="I10" i="4"/>
  <c r="I11" i="4"/>
  <c r="I91" i="4"/>
  <c r="I92" i="4"/>
  <c r="I259" i="4"/>
  <c r="I104" i="4"/>
  <c r="I105" i="4"/>
  <c r="I106" i="4"/>
  <c r="I123" i="4"/>
  <c r="I126" i="4"/>
  <c r="I137" i="4"/>
  <c r="I138" i="4"/>
  <c r="I169" i="4"/>
  <c r="I220" i="4"/>
  <c r="I249" i="4"/>
  <c r="I75" i="4"/>
  <c r="I80" i="4"/>
  <c r="I83" i="4"/>
  <c r="I93" i="4"/>
  <c r="I102" i="4"/>
  <c r="I115" i="4"/>
  <c r="I144" i="4"/>
  <c r="I23" i="2"/>
  <c r="I100" i="4"/>
  <c r="I133" i="4"/>
  <c r="I230" i="4"/>
  <c r="I101" i="4"/>
  <c r="I265" i="4"/>
  <c r="I129" i="4"/>
  <c r="I143" i="4"/>
  <c r="I157" i="4"/>
  <c r="I158" i="4"/>
  <c r="I166" i="4"/>
  <c r="I170" i="4"/>
  <c r="I197" i="4"/>
  <c r="I206" i="4"/>
  <c r="I207" i="4"/>
  <c r="I208" i="4"/>
  <c r="I212" i="4"/>
  <c r="I216" i="4"/>
  <c r="I227" i="4"/>
  <c r="I85" i="4"/>
  <c r="I156" i="4"/>
  <c r="I211" i="4"/>
  <c r="I30" i="4"/>
  <c r="I70" i="4"/>
  <c r="I9" i="4"/>
  <c r="I12" i="4"/>
  <c r="I117" i="4"/>
  <c r="I15" i="4"/>
  <c r="I125" i="4"/>
  <c r="I130" i="4"/>
  <c r="I136" i="4"/>
  <c r="I165" i="4"/>
  <c r="I167" i="4"/>
  <c r="I210" i="4"/>
  <c r="I25" i="4"/>
  <c r="I26" i="4"/>
  <c r="I237" i="4"/>
  <c r="I73" i="4"/>
  <c r="I86" i="4"/>
  <c r="I267" i="4"/>
  <c r="I128" i="4"/>
  <c r="I153" i="4"/>
  <c r="I228" i="4"/>
  <c r="I71" i="4"/>
  <c r="I108" i="4"/>
  <c r="I209" i="4"/>
  <c r="I255" i="4"/>
  <c r="I214" i="4"/>
  <c r="I25" i="2"/>
  <c r="I225" i="4"/>
  <c r="I236" i="4"/>
  <c r="I33" i="4"/>
  <c r="I72" i="4"/>
  <c r="I14" i="4"/>
  <c r="I124" i="4"/>
  <c r="I139" i="4"/>
  <c r="I150" i="4"/>
  <c r="I176" i="4"/>
  <c r="I281" i="4"/>
  <c r="I282" i="4"/>
  <c r="I199" i="4"/>
  <c r="I201" i="4"/>
  <c r="I202" i="4"/>
  <c r="I204" i="4"/>
  <c r="I31" i="4"/>
  <c r="I231" i="4"/>
  <c r="I232" i="4"/>
  <c r="I233" i="4"/>
  <c r="I235" i="4"/>
  <c r="I109" i="4"/>
  <c r="I190" i="4"/>
  <c r="I286" i="4"/>
  <c r="I20" i="4"/>
  <c r="I22" i="4"/>
  <c r="I23" i="4"/>
  <c r="I24" i="4"/>
  <c r="I28" i="4"/>
  <c r="I98" i="4"/>
  <c r="I141" i="4"/>
  <c r="I97" i="4"/>
  <c r="I110" i="4"/>
  <c r="I112" i="4"/>
  <c r="I187" i="4"/>
  <c r="I188" i="4"/>
  <c r="I189" i="4"/>
  <c r="I287" i="4"/>
  <c r="I234" i="4"/>
  <c r="I50" i="4"/>
  <c r="I160" i="4"/>
  <c r="I278" i="4"/>
  <c r="I280" i="4"/>
  <c r="I193" i="4"/>
  <c r="I285" i="4"/>
  <c r="I289" i="4"/>
  <c r="I292" i="4"/>
  <c r="I293" i="4"/>
  <c r="I51" i="4"/>
  <c r="I3" i="4"/>
  <c r="I277" i="4"/>
  <c r="I16" i="4"/>
  <c r="I17" i="4"/>
  <c r="I18" i="4"/>
  <c r="I279" i="4"/>
  <c r="I290" i="4"/>
  <c r="I19" i="4"/>
  <c r="I8" i="4"/>
  <c r="I240" i="4"/>
  <c r="I242" i="4"/>
  <c r="I48" i="4"/>
  <c r="I74" i="4"/>
  <c r="I155" i="4"/>
  <c r="I177" i="4"/>
  <c r="I191" i="4"/>
  <c r="I283" i="4"/>
  <c r="I284" i="4"/>
  <c r="I29" i="4"/>
  <c r="I49" i="4"/>
  <c r="I2" i="4"/>
  <c r="I161" i="4"/>
  <c r="I229" i="4"/>
  <c r="I294" i="4"/>
  <c r="I32" i="4"/>
  <c r="I241" i="4"/>
  <c r="I271" i="4"/>
  <c r="I198" i="4"/>
  <c r="I239" i="4"/>
  <c r="I243" i="4"/>
  <c r="I244" i="4"/>
  <c r="I245" i="4"/>
  <c r="I122" i="4"/>
  <c r="I152" i="4"/>
  <c r="I5" i="4"/>
  <c r="I116" i="4"/>
  <c r="I192" i="4"/>
  <c r="I248" i="4"/>
  <c r="I44" i="4"/>
  <c r="I194" i="4"/>
  <c r="I96" i="4"/>
  <c r="I273" i="4"/>
  <c r="I275" i="4"/>
  <c r="I103" i="4"/>
  <c r="I118" i="4"/>
  <c r="I68" i="4"/>
  <c r="I291" i="4"/>
  <c r="I246" i="4"/>
  <c r="I34" i="4"/>
  <c r="I94" i="4"/>
  <c r="I148" i="4"/>
  <c r="I46" i="4"/>
  <c r="I7" i="4"/>
  <c r="I119" i="4"/>
  <c r="I35" i="4"/>
  <c r="I6" i="4"/>
  <c r="I45" i="4"/>
  <c r="I47" i="4"/>
  <c r="I60" i="4"/>
  <c r="I69" i="4"/>
  <c r="I41" i="4"/>
  <c r="I61" i="4"/>
  <c r="I196" i="4"/>
  <c r="I7" i="2"/>
  <c r="I120" i="4"/>
  <c r="I221" i="4"/>
  <c r="I62" i="4"/>
  <c r="I43" i="4"/>
  <c r="I66" i="4"/>
  <c r="I38" i="4"/>
  <c r="I78" i="4"/>
  <c r="I37" i="4"/>
  <c r="I42" i="4"/>
  <c r="I39" i="4"/>
  <c r="I268" i="4"/>
  <c r="I40" i="4"/>
  <c r="I111" i="4"/>
  <c r="I10" i="2"/>
  <c r="I254" i="4"/>
  <c r="I260" i="4"/>
  <c r="I36" i="4"/>
  <c r="I288" i="4"/>
  <c r="I8" i="2"/>
  <c r="I253" i="4"/>
  <c r="I65" i="4"/>
  <c r="I53" i="4"/>
  <c r="I63" i="4"/>
  <c r="I251" i="4"/>
  <c r="I64" i="4"/>
  <c r="I54" i="4"/>
  <c r="I95" i="4"/>
  <c r="I57" i="4"/>
  <c r="I113" i="4"/>
  <c r="I159" i="4"/>
  <c r="I58" i="4"/>
  <c r="I55" i="4"/>
  <c r="H2" i="12"/>
  <c r="J2" i="12"/>
  <c r="M59" i="4"/>
  <c r="M174" i="4"/>
  <c r="M127" i="4"/>
  <c r="M135" i="4"/>
  <c r="M147" i="4"/>
  <c r="M186" i="4"/>
  <c r="M173" i="4"/>
  <c r="M89" i="4"/>
  <c r="M268" i="4"/>
  <c r="M386" i="4"/>
  <c r="M385" i="4"/>
  <c r="M383" i="4"/>
  <c r="M384" i="4"/>
  <c r="M387" i="4"/>
  <c r="M388" i="4"/>
  <c r="M389" i="4"/>
  <c r="M390" i="4"/>
  <c r="M391" i="4"/>
  <c r="M392" i="4"/>
  <c r="M393" i="4"/>
  <c r="M394" i="4"/>
  <c r="M395" i="4"/>
  <c r="M396" i="4"/>
  <c r="M398" i="4"/>
  <c r="M399" i="4"/>
  <c r="M400" i="4"/>
  <c r="M401" i="4"/>
  <c r="M402" i="4"/>
  <c r="M403" i="4"/>
  <c r="M404" i="4"/>
  <c r="M405" i="4"/>
  <c r="M406" i="4"/>
  <c r="M407" i="4"/>
  <c r="M397" i="4"/>
  <c r="L2" i="12"/>
  <c r="N2" i="12"/>
  <c r="Q238" i="4"/>
  <c r="Q223" i="4"/>
  <c r="Q114" i="4"/>
  <c r="P2" i="12"/>
  <c r="R2" i="12"/>
  <c r="V2" i="12"/>
  <c r="Y324" i="4"/>
  <c r="Y363" i="4"/>
  <c r="B379" i="4"/>
  <c r="C379" i="4"/>
  <c r="B380" i="4"/>
  <c r="C380" i="4"/>
  <c r="B382" i="4"/>
  <c r="C382" i="4"/>
  <c r="C378" i="4"/>
  <c r="B2" i="12"/>
  <c r="AF3" i="6"/>
  <c r="AG3" i="6"/>
  <c r="AF4" i="6"/>
  <c r="AG4" i="6"/>
  <c r="AF5" i="6"/>
  <c r="AG5" i="6"/>
  <c r="AF6" i="6"/>
  <c r="AG6" i="6"/>
  <c r="AF21" i="6"/>
  <c r="AG21" i="6"/>
  <c r="AF22" i="6"/>
  <c r="AG22" i="6"/>
  <c r="AF23" i="6"/>
  <c r="AG23" i="6"/>
  <c r="AF47" i="6"/>
  <c r="AG47" i="6"/>
  <c r="AF7" i="6"/>
  <c r="AG7" i="6"/>
  <c r="AF48" i="6"/>
  <c r="AG48" i="6"/>
  <c r="AF8" i="6"/>
  <c r="AG8" i="6"/>
  <c r="AF27" i="6"/>
  <c r="AG27" i="6"/>
  <c r="AF28" i="6"/>
  <c r="AG28" i="6"/>
  <c r="AF29" i="6"/>
  <c r="AG29" i="6"/>
  <c r="AF30" i="6"/>
  <c r="AG30" i="6"/>
  <c r="AF86" i="6"/>
  <c r="AG86" i="6"/>
  <c r="AF87" i="6"/>
  <c r="AG87" i="6"/>
  <c r="AF64" i="6"/>
  <c r="AG64" i="6"/>
  <c r="AF88" i="6"/>
  <c r="AG88" i="6"/>
  <c r="AF37" i="6"/>
  <c r="AG37" i="6"/>
  <c r="AF40" i="6"/>
  <c r="AG40" i="6"/>
  <c r="AF41" i="6"/>
  <c r="AG41" i="6"/>
  <c r="AF42" i="6"/>
  <c r="AG42" i="6"/>
  <c r="AF45" i="6"/>
  <c r="AG45" i="6"/>
  <c r="AF43" i="6"/>
  <c r="AG43" i="6"/>
  <c r="AF280" i="6"/>
  <c r="AG280" i="6"/>
  <c r="AF9" i="6"/>
  <c r="AG9" i="6"/>
  <c r="AF49" i="6"/>
  <c r="AG49" i="6"/>
  <c r="AF50" i="6"/>
  <c r="AG50" i="6"/>
  <c r="AF10" i="6"/>
  <c r="AG10" i="6"/>
  <c r="AF114" i="6"/>
  <c r="AG114" i="6"/>
  <c r="AF11" i="6"/>
  <c r="AG11" i="6"/>
  <c r="AF51" i="6"/>
  <c r="AG51" i="6"/>
  <c r="AF52" i="6"/>
  <c r="AG52" i="6"/>
  <c r="AF62" i="6"/>
  <c r="AG62" i="6"/>
  <c r="AF53" i="6"/>
  <c r="AG53" i="6"/>
  <c r="AF65" i="6"/>
  <c r="AG65" i="6"/>
  <c r="AF66" i="6"/>
  <c r="AG66" i="6"/>
  <c r="AF67" i="6"/>
  <c r="AG67" i="6"/>
  <c r="AF68" i="6"/>
  <c r="AG68" i="6"/>
  <c r="AF69" i="6"/>
  <c r="AG69" i="6"/>
  <c r="AF204" i="6"/>
  <c r="AG204" i="6"/>
  <c r="AF157" i="6"/>
  <c r="AG157" i="6"/>
  <c r="AF70" i="6"/>
  <c r="AG70" i="6"/>
  <c r="AF106" i="6"/>
  <c r="AG106" i="6"/>
  <c r="AF205" i="6"/>
  <c r="AG205" i="6"/>
  <c r="AF89" i="6"/>
  <c r="AG89" i="6"/>
  <c r="AF90" i="6"/>
  <c r="AG90" i="6"/>
  <c r="AF85" i="6"/>
  <c r="AG85" i="6"/>
  <c r="AF91" i="6"/>
  <c r="AG91" i="6"/>
  <c r="AF92" i="6"/>
  <c r="AG92" i="6"/>
  <c r="AF93" i="6"/>
  <c r="AG93" i="6"/>
  <c r="AF94" i="6"/>
  <c r="AG94" i="6"/>
  <c r="AF95" i="6"/>
  <c r="AG95" i="6"/>
  <c r="AF96" i="6"/>
  <c r="AG96" i="6"/>
  <c r="AF103" i="6"/>
  <c r="AG103" i="6"/>
  <c r="AF97" i="6"/>
  <c r="AG97" i="6"/>
  <c r="AF230" i="6"/>
  <c r="AG230" i="6"/>
  <c r="AF231" i="6"/>
  <c r="AG231" i="6"/>
  <c r="AF71" i="6"/>
  <c r="AG71" i="6"/>
  <c r="AF104" i="6"/>
  <c r="AG104" i="6"/>
  <c r="AF105" i="6"/>
  <c r="AG105" i="6"/>
  <c r="AF98" i="6"/>
  <c r="AG98" i="6"/>
  <c r="AF99" i="6"/>
  <c r="AG99" i="6"/>
  <c r="AF100" i="6"/>
  <c r="AG100" i="6"/>
  <c r="AF107" i="6"/>
  <c r="AG107" i="6"/>
  <c r="AF108" i="6"/>
  <c r="AG108" i="6"/>
  <c r="AF109" i="6"/>
  <c r="AG109" i="6"/>
  <c r="AF101" i="6"/>
  <c r="AG101" i="6"/>
  <c r="AF54" i="6"/>
  <c r="AG54" i="6"/>
  <c r="AF115" i="6"/>
  <c r="AG115" i="6"/>
  <c r="AF116" i="6"/>
  <c r="AG116" i="6"/>
  <c r="AF117" i="6"/>
  <c r="AG117" i="6"/>
  <c r="AF55" i="6"/>
  <c r="AG55" i="6"/>
  <c r="AF123" i="6"/>
  <c r="AG123" i="6"/>
  <c r="AF124" i="6"/>
  <c r="AG124" i="6"/>
  <c r="AF125" i="6"/>
  <c r="AG125" i="6"/>
  <c r="AF129" i="6"/>
  <c r="AG129" i="6"/>
  <c r="AF130" i="6"/>
  <c r="AG130" i="6"/>
  <c r="AF269" i="6"/>
  <c r="AG269" i="6"/>
  <c r="AF158" i="6"/>
  <c r="AG158" i="6"/>
  <c r="AF110" i="6"/>
  <c r="AG110" i="6"/>
  <c r="AF111" i="6"/>
  <c r="AG111" i="6"/>
  <c r="AF112" i="6"/>
  <c r="AG112" i="6"/>
  <c r="AF31" i="6"/>
  <c r="AG31" i="6"/>
  <c r="AF163" i="6"/>
  <c r="AG163" i="6"/>
  <c r="AF164" i="6"/>
  <c r="AG164" i="6"/>
  <c r="AF165" i="6"/>
  <c r="AG165" i="6"/>
  <c r="AF206" i="6"/>
  <c r="AG206" i="6"/>
  <c r="AF139" i="6"/>
  <c r="AG139" i="6"/>
  <c r="AF166" i="6"/>
  <c r="AG166" i="6"/>
  <c r="AF56" i="6"/>
  <c r="AG56" i="6"/>
  <c r="AF281" i="6"/>
  <c r="AG281" i="6"/>
  <c r="AF232" i="6"/>
  <c r="AG232" i="6"/>
  <c r="AF194" i="6"/>
  <c r="AG194" i="6"/>
  <c r="AF140" i="6"/>
  <c r="AG140" i="6"/>
  <c r="AF173" i="6"/>
  <c r="AG173" i="6"/>
  <c r="AF174" i="6"/>
  <c r="AG174" i="6"/>
  <c r="AF131" i="6"/>
  <c r="AG131" i="6"/>
  <c r="AF12" i="6"/>
  <c r="AG12" i="6"/>
  <c r="AF294" i="6"/>
  <c r="AG294" i="6"/>
  <c r="AF195" i="6"/>
  <c r="AG195" i="6"/>
  <c r="AF207" i="6"/>
  <c r="AG207" i="6"/>
  <c r="AF141" i="6"/>
  <c r="AG141" i="6"/>
  <c r="AF208" i="6"/>
  <c r="AG208" i="6"/>
  <c r="AF132" i="6"/>
  <c r="AG132" i="6"/>
  <c r="AF13" i="6"/>
  <c r="AG13" i="6"/>
  <c r="AF46" i="6"/>
  <c r="AG46" i="6"/>
  <c r="AF258" i="6"/>
  <c r="AG258" i="6"/>
  <c r="AF24" i="6"/>
  <c r="AG24" i="6"/>
  <c r="AF233" i="6"/>
  <c r="AG233" i="6"/>
  <c r="AF196" i="6"/>
  <c r="AG196" i="6"/>
  <c r="AF72" i="6"/>
  <c r="AG72" i="6"/>
  <c r="AF259" i="6"/>
  <c r="AG259" i="6"/>
  <c r="AF38" i="6"/>
  <c r="AG38" i="6"/>
  <c r="AF73" i="6"/>
  <c r="AG73" i="6"/>
  <c r="AF74" i="6"/>
  <c r="AG74" i="6"/>
  <c r="AF282" i="6"/>
  <c r="AG282" i="6"/>
  <c r="AF75" i="6"/>
  <c r="AG75" i="6"/>
  <c r="AF234" i="6"/>
  <c r="AG234" i="6"/>
  <c r="AF235" i="6"/>
  <c r="AG235" i="6"/>
  <c r="AF209" i="6"/>
  <c r="AG209" i="6"/>
  <c r="AF270" i="6"/>
  <c r="AG270" i="6"/>
  <c r="AF210" i="6"/>
  <c r="AG210" i="6"/>
  <c r="AF133" i="6"/>
  <c r="AG133" i="6"/>
  <c r="AF76" i="6"/>
  <c r="AG76" i="6"/>
  <c r="AF211" i="6"/>
  <c r="AG211" i="6"/>
  <c r="AF25" i="6"/>
  <c r="AG25" i="6"/>
  <c r="AF135" i="6"/>
  <c r="AG135" i="6"/>
  <c r="AF236" i="6"/>
  <c r="AG236" i="6"/>
  <c r="AF159" i="6"/>
  <c r="AG159" i="6"/>
  <c r="AF77" i="6"/>
  <c r="AG77" i="6"/>
  <c r="AF260" i="6"/>
  <c r="AG260" i="6"/>
  <c r="AF271" i="6"/>
  <c r="AG271" i="6"/>
  <c r="AF126" i="6"/>
  <c r="AG126" i="6"/>
  <c r="AF142" i="6"/>
  <c r="AG142" i="6"/>
  <c r="AF237" i="6"/>
  <c r="AG237" i="6"/>
  <c r="AF272" i="6"/>
  <c r="AG272" i="6"/>
  <c r="AF57" i="6"/>
  <c r="AG57" i="6"/>
  <c r="AF212" i="6"/>
  <c r="AG212" i="6"/>
  <c r="AF273" i="6"/>
  <c r="AG273" i="6"/>
  <c r="AF283" i="6"/>
  <c r="AG283" i="6"/>
  <c r="AF118" i="6"/>
  <c r="AG118" i="6"/>
  <c r="AF119" i="6"/>
  <c r="AG119" i="6"/>
  <c r="AF14" i="6"/>
  <c r="AG14" i="6"/>
  <c r="AF120" i="6"/>
  <c r="AG120" i="6"/>
  <c r="AF197" i="6"/>
  <c r="AG197" i="6"/>
  <c r="AF151" i="6"/>
  <c r="AG151" i="6"/>
  <c r="AF213" i="6"/>
  <c r="AG213" i="6"/>
  <c r="AF198" i="6"/>
  <c r="AG198" i="6"/>
  <c r="AF26" i="6"/>
  <c r="AG26" i="6"/>
  <c r="AF261" i="6"/>
  <c r="AG261" i="6"/>
  <c r="AF121" i="6"/>
  <c r="AG121" i="6"/>
  <c r="AF127" i="6"/>
  <c r="AG127" i="6"/>
  <c r="AF238" i="6"/>
  <c r="AG238" i="6"/>
  <c r="AF239" i="6"/>
  <c r="AG239" i="6"/>
  <c r="AF240" i="6"/>
  <c r="AG240" i="6"/>
  <c r="AF134" i="6"/>
  <c r="AG134" i="6"/>
  <c r="AF58" i="6"/>
  <c r="AG58" i="6"/>
  <c r="AF39" i="6"/>
  <c r="AG39" i="6"/>
  <c r="AF44" i="6"/>
  <c r="AG44" i="6"/>
  <c r="AF175" i="6"/>
  <c r="AG175" i="6"/>
  <c r="AF78" i="6"/>
  <c r="AG78" i="6"/>
  <c r="AF32" i="6"/>
  <c r="AG32" i="6"/>
  <c r="AF188" i="6"/>
  <c r="AG188" i="6"/>
  <c r="AF136" i="6"/>
  <c r="AG136" i="6"/>
  <c r="AF137" i="6"/>
  <c r="AG137" i="6"/>
  <c r="AF138" i="6"/>
  <c r="AG138" i="6"/>
  <c r="AF241" i="6"/>
  <c r="AG241" i="6"/>
  <c r="AF242" i="6"/>
  <c r="AG242" i="6"/>
  <c r="AF243" i="6"/>
  <c r="AG243" i="6"/>
  <c r="AF33" i="6"/>
  <c r="AG33" i="6"/>
  <c r="AF79" i="6"/>
  <c r="AG79" i="6"/>
  <c r="AF113" i="6"/>
  <c r="AG113" i="6"/>
  <c r="AF244" i="6"/>
  <c r="AG244" i="6"/>
  <c r="AF245" i="6"/>
  <c r="AG245" i="6"/>
  <c r="AF284" i="6"/>
  <c r="AG284" i="6"/>
  <c r="AF285" i="6"/>
  <c r="AG285" i="6"/>
  <c r="AF34" i="6"/>
  <c r="AG34" i="6"/>
  <c r="AF176" i="6"/>
  <c r="AG176" i="6"/>
  <c r="AF152" i="6"/>
  <c r="AG152" i="6"/>
  <c r="AF246" i="6"/>
  <c r="AG246" i="6"/>
  <c r="AF274" i="6"/>
  <c r="AG274" i="6"/>
  <c r="AF247" i="6"/>
  <c r="AG247" i="6"/>
  <c r="AF80" i="6"/>
  <c r="AG80" i="6"/>
  <c r="AF248" i="6"/>
  <c r="AG248" i="6"/>
  <c r="AF81" i="6"/>
  <c r="AG81" i="6"/>
  <c r="AF262" i="6"/>
  <c r="AG262" i="6"/>
  <c r="AF160" i="6"/>
  <c r="AG160" i="6"/>
  <c r="AF286" i="6"/>
  <c r="AG286" i="6"/>
  <c r="AF143" i="6"/>
  <c r="AG143" i="6"/>
  <c r="AF59" i="6"/>
  <c r="AG59" i="6"/>
  <c r="AF214" i="6"/>
  <c r="AG214" i="6"/>
  <c r="AF215" i="6"/>
  <c r="AG215" i="6"/>
  <c r="AF216" i="6"/>
  <c r="AG216" i="6"/>
  <c r="AF199" i="6"/>
  <c r="AG199" i="6"/>
  <c r="AF217" i="6"/>
  <c r="AG217" i="6"/>
  <c r="AF128" i="6"/>
  <c r="AG128" i="6"/>
  <c r="AF144" i="6"/>
  <c r="AG144" i="6"/>
  <c r="AF145" i="6"/>
  <c r="AG145" i="6"/>
  <c r="AF177" i="6"/>
  <c r="AG177" i="6"/>
  <c r="AF153" i="6"/>
  <c r="AG153" i="6"/>
  <c r="AF218" i="6"/>
  <c r="AG218" i="6"/>
  <c r="AF200" i="6"/>
  <c r="AG200" i="6"/>
  <c r="AF219" i="6"/>
  <c r="AG219" i="6"/>
  <c r="AF220" i="6"/>
  <c r="AG220" i="6"/>
  <c r="AF201" i="6"/>
  <c r="AG201" i="6"/>
  <c r="AF221" i="6"/>
  <c r="AG221" i="6"/>
  <c r="AF222" i="6"/>
  <c r="AG222" i="6"/>
  <c r="AF223" i="6"/>
  <c r="AG223" i="6"/>
  <c r="AF146" i="6"/>
  <c r="AG146" i="6"/>
  <c r="AF147" i="6"/>
  <c r="AG147" i="6"/>
  <c r="AF148" i="6"/>
  <c r="AG148" i="6"/>
  <c r="AF82" i="6"/>
  <c r="AG82" i="6"/>
  <c r="AF184" i="6"/>
  <c r="AG184" i="6"/>
  <c r="AF185" i="6"/>
  <c r="AG185" i="6"/>
  <c r="AF186" i="6"/>
  <c r="AG186" i="6"/>
  <c r="AF150" i="6"/>
  <c r="AG150" i="6"/>
  <c r="AF154" i="6"/>
  <c r="AG154" i="6"/>
  <c r="AF161" i="6"/>
  <c r="AG161" i="6"/>
  <c r="AF167" i="6"/>
  <c r="AG167" i="6"/>
  <c r="AF168" i="6"/>
  <c r="AG168" i="6"/>
  <c r="AF178" i="6"/>
  <c r="AG178" i="6"/>
  <c r="AF189" i="6"/>
  <c r="AG189" i="6"/>
  <c r="AF187" i="6"/>
  <c r="AG187" i="6"/>
  <c r="AF190" i="6"/>
  <c r="AG190" i="6"/>
  <c r="AF193" i="6"/>
  <c r="AG193" i="6"/>
  <c r="AF191" i="6"/>
  <c r="AG191" i="6"/>
  <c r="AF192" i="6"/>
  <c r="AG192" i="6"/>
  <c r="AF202" i="6"/>
  <c r="AG202" i="6"/>
  <c r="AF224" i="6"/>
  <c r="AG224" i="6"/>
  <c r="AF162" i="6"/>
  <c r="AG162" i="6"/>
  <c r="AF249" i="6"/>
  <c r="AG249" i="6"/>
  <c r="AF203" i="6"/>
  <c r="AG203" i="6"/>
  <c r="AF250" i="6"/>
  <c r="AG250" i="6"/>
  <c r="AF251" i="6"/>
  <c r="AG251" i="6"/>
  <c r="AF252" i="6"/>
  <c r="AG252" i="6"/>
  <c r="AF253" i="6"/>
  <c r="AG253" i="6"/>
  <c r="AF275" i="6"/>
  <c r="AG275" i="6"/>
  <c r="AF254" i="6"/>
  <c r="AG254" i="6"/>
  <c r="AF255" i="6"/>
  <c r="AG255" i="6"/>
  <c r="AF263" i="6"/>
  <c r="AG263" i="6"/>
  <c r="AF264" i="6"/>
  <c r="AG264" i="6"/>
  <c r="AF265" i="6"/>
  <c r="AG265" i="6"/>
  <c r="AF276" i="6"/>
  <c r="AG276" i="6"/>
  <c r="AF277" i="6"/>
  <c r="AG277" i="6"/>
  <c r="AF278" i="6"/>
  <c r="AG278" i="6"/>
  <c r="AF279" i="6"/>
  <c r="AG279" i="6"/>
  <c r="AF225" i="6"/>
  <c r="AG225" i="6"/>
  <c r="AF155" i="6"/>
  <c r="AG155" i="6"/>
  <c r="AF35" i="6"/>
  <c r="AG35" i="6"/>
  <c r="AF149" i="6"/>
  <c r="AG149" i="6"/>
  <c r="AF287" i="6"/>
  <c r="AG287" i="6"/>
  <c r="AF266" i="6"/>
  <c r="AG266" i="6"/>
  <c r="AF267" i="6"/>
  <c r="AG267" i="6"/>
  <c r="AF122" i="6"/>
  <c r="AG122" i="6"/>
  <c r="AF226" i="6"/>
  <c r="AG226" i="6"/>
  <c r="AF227" i="6"/>
  <c r="AG227" i="6"/>
  <c r="AF228" i="6"/>
  <c r="AG228" i="6"/>
  <c r="AF256" i="6"/>
  <c r="AG256" i="6"/>
  <c r="AF268" i="6"/>
  <c r="AG268" i="6"/>
  <c r="AF229" i="6"/>
  <c r="AG229" i="6"/>
  <c r="AF83" i="6"/>
  <c r="AG83" i="6"/>
  <c r="AF84" i="6"/>
  <c r="AG84" i="6"/>
  <c r="AF63" i="6"/>
  <c r="AG63" i="6"/>
  <c r="AF60" i="6"/>
  <c r="AG60" i="6"/>
  <c r="AF288" i="6"/>
  <c r="AG288" i="6"/>
  <c r="AF289" i="6"/>
  <c r="AG289" i="6"/>
  <c r="AF290" i="6"/>
  <c r="AG290" i="6"/>
  <c r="AF291" i="6"/>
  <c r="AG291" i="6"/>
  <c r="AF292" i="6"/>
  <c r="AG292" i="6"/>
  <c r="AF169" i="6"/>
  <c r="AG169" i="6"/>
  <c r="AF170" i="6"/>
  <c r="AG170" i="6"/>
  <c r="AF179" i="6"/>
  <c r="AG179" i="6"/>
  <c r="AF156" i="6"/>
  <c r="AG156" i="6"/>
  <c r="AF171" i="6"/>
  <c r="AG171" i="6"/>
  <c r="AF257" i="6"/>
  <c r="AG257" i="6"/>
  <c r="AF293" i="6"/>
  <c r="AG293" i="6"/>
  <c r="AF61" i="6"/>
  <c r="AG61" i="6"/>
  <c r="AF15" i="6"/>
  <c r="AG15" i="6"/>
  <c r="AF16" i="6"/>
  <c r="AG16" i="6"/>
  <c r="AF17" i="6"/>
  <c r="AG17" i="6"/>
  <c r="AF18" i="6"/>
  <c r="AG18" i="6"/>
  <c r="AF19" i="6"/>
  <c r="AG19" i="6"/>
  <c r="AF20" i="6"/>
  <c r="AG20" i="6"/>
  <c r="AF180" i="6"/>
  <c r="AG180" i="6"/>
  <c r="AF36" i="6"/>
  <c r="AG36" i="6"/>
  <c r="AF181" i="6"/>
  <c r="AG181" i="6"/>
  <c r="AF295" i="6"/>
  <c r="AG295" i="6"/>
  <c r="AF172" i="6"/>
  <c r="AG172" i="6"/>
  <c r="AF182" i="6"/>
  <c r="AG182" i="6"/>
  <c r="AF183" i="6"/>
  <c r="AG183" i="6"/>
  <c r="AF102" i="6"/>
  <c r="AG102" i="6"/>
  <c r="AF296" i="6"/>
  <c r="AG296" i="6"/>
  <c r="AF297" i="6"/>
  <c r="AG297" i="6"/>
  <c r="AF298" i="6"/>
  <c r="AG298" i="6"/>
  <c r="AF299" i="6"/>
  <c r="AG299" i="6"/>
  <c r="AF300" i="6"/>
  <c r="AG300" i="6"/>
  <c r="AF301" i="6"/>
  <c r="AG301" i="6"/>
  <c r="AF302" i="6"/>
  <c r="AG302" i="6"/>
  <c r="AF303" i="6"/>
  <c r="AG303" i="6"/>
  <c r="AF304" i="6"/>
  <c r="AG304" i="6"/>
  <c r="AF305" i="6"/>
  <c r="AG305" i="6"/>
  <c r="AF306" i="6"/>
  <c r="AG306" i="6"/>
  <c r="AF307" i="6"/>
  <c r="AG307" i="6"/>
  <c r="AF308" i="6"/>
  <c r="AG308" i="6"/>
  <c r="AF309" i="6"/>
  <c r="AG309" i="6"/>
  <c r="AF310" i="6"/>
  <c r="AG310" i="6"/>
  <c r="AF312" i="6"/>
  <c r="AG312" i="6"/>
  <c r="AF313" i="6"/>
  <c r="AG313" i="6"/>
  <c r="AF314" i="6"/>
  <c r="AG314" i="6"/>
  <c r="AF315" i="6"/>
  <c r="AG315" i="6"/>
  <c r="AF316" i="6"/>
  <c r="AG316" i="6"/>
  <c r="AF317" i="6"/>
  <c r="AG317" i="6"/>
  <c r="AF318" i="6"/>
  <c r="AG318" i="6"/>
  <c r="AF319" i="6"/>
  <c r="AG319" i="6"/>
  <c r="AF320" i="6"/>
  <c r="AG320" i="6"/>
  <c r="AF321" i="6"/>
  <c r="AG321" i="6"/>
  <c r="AF322" i="6"/>
  <c r="AG322" i="6"/>
  <c r="AF323" i="6"/>
  <c r="AG323" i="6"/>
  <c r="AF324" i="6"/>
  <c r="AG324" i="6"/>
  <c r="AF325" i="6"/>
  <c r="AG325" i="6"/>
  <c r="AF326" i="6"/>
  <c r="AG326" i="6"/>
  <c r="AF327" i="6"/>
  <c r="AG327" i="6"/>
  <c r="AF328" i="6"/>
  <c r="AG328" i="6"/>
  <c r="AF329" i="6"/>
  <c r="AG329" i="6"/>
  <c r="AF330" i="6"/>
  <c r="AG330" i="6"/>
  <c r="AF331" i="6"/>
  <c r="AG331" i="6"/>
  <c r="AF332" i="6"/>
  <c r="AG332" i="6"/>
  <c r="AF333" i="6"/>
  <c r="AG333" i="6"/>
  <c r="AF334" i="6"/>
  <c r="AG334" i="6"/>
  <c r="AF335" i="6"/>
  <c r="AG335" i="6"/>
  <c r="AF336" i="6"/>
  <c r="AG336" i="6"/>
  <c r="AF337" i="6"/>
  <c r="AG337" i="6"/>
  <c r="AF338" i="6"/>
  <c r="AG338" i="6"/>
  <c r="AF343" i="6"/>
  <c r="AG343" i="6"/>
  <c r="AF339" i="6"/>
  <c r="AG339" i="6"/>
  <c r="AF340" i="6"/>
  <c r="AG340" i="6"/>
  <c r="AF344" i="6"/>
  <c r="AG344" i="6"/>
  <c r="AF341" i="6"/>
  <c r="AG341" i="6"/>
  <c r="AF342" i="6"/>
  <c r="AG342" i="6"/>
  <c r="AF358" i="6"/>
  <c r="AG358" i="6"/>
  <c r="AF345" i="6"/>
  <c r="AG345" i="6"/>
  <c r="AF359" i="6"/>
  <c r="AG359" i="6"/>
  <c r="AF346" i="6"/>
  <c r="AG346" i="6"/>
  <c r="AF347" i="6"/>
  <c r="AG347" i="6"/>
  <c r="AF348" i="6"/>
  <c r="AG348" i="6"/>
  <c r="AF349" i="6"/>
  <c r="AG349" i="6"/>
  <c r="AF350" i="6"/>
  <c r="AG350" i="6"/>
  <c r="AF351" i="6"/>
  <c r="AG351" i="6"/>
  <c r="AF352" i="6"/>
  <c r="AG352" i="6"/>
  <c r="AF353" i="6"/>
  <c r="AG353" i="6"/>
  <c r="AF360" i="6"/>
  <c r="AG360" i="6"/>
  <c r="AF361" i="6"/>
  <c r="AG361" i="6"/>
  <c r="AF362" i="6"/>
  <c r="AG362" i="6"/>
  <c r="AF363" i="6"/>
  <c r="AG363" i="6"/>
  <c r="AF364" i="6"/>
  <c r="AG364" i="6"/>
  <c r="AF365" i="6"/>
  <c r="AG365" i="6"/>
  <c r="AF366" i="6"/>
  <c r="AG366" i="6"/>
  <c r="AF354" i="6"/>
  <c r="AG354" i="6"/>
  <c r="AF355" i="6"/>
  <c r="AG355" i="6"/>
  <c r="AF356" i="6"/>
  <c r="AG356" i="6"/>
  <c r="AF357" i="6"/>
  <c r="AG357" i="6"/>
  <c r="AF367" i="6"/>
  <c r="AG367" i="6"/>
  <c r="AF368" i="6"/>
  <c r="AG368" i="6"/>
  <c r="AF369" i="6"/>
  <c r="AG369" i="6"/>
  <c r="AF370" i="6"/>
  <c r="AG370" i="6"/>
  <c r="AF371" i="6"/>
  <c r="AG371" i="6"/>
  <c r="AF372" i="6"/>
  <c r="AG372" i="6"/>
  <c r="AF373" i="6"/>
  <c r="AG373" i="6"/>
  <c r="AF374" i="6"/>
  <c r="AG374" i="6"/>
  <c r="AF375" i="6"/>
  <c r="AG375" i="6"/>
  <c r="AF376" i="6"/>
  <c r="AG376" i="6"/>
  <c r="AF377" i="6"/>
  <c r="AG377" i="6"/>
  <c r="AF379" i="6"/>
  <c r="AG379" i="6"/>
  <c r="AF382" i="6"/>
  <c r="AG382" i="6"/>
  <c r="AF378" i="6"/>
  <c r="AG378" i="6"/>
  <c r="AF381" i="6"/>
  <c r="AG381" i="6"/>
  <c r="AF380" i="6"/>
  <c r="AG380" i="6"/>
  <c r="AF406" i="6"/>
  <c r="AG406" i="6"/>
  <c r="AF384" i="6"/>
  <c r="AG384" i="6"/>
  <c r="AF405" i="6"/>
  <c r="AG405" i="6"/>
  <c r="AF404" i="6"/>
  <c r="AG404" i="6"/>
  <c r="AF387" i="6"/>
  <c r="AG387" i="6"/>
  <c r="AF388" i="6"/>
  <c r="AG388" i="6"/>
  <c r="AF389" i="6"/>
  <c r="AG389" i="6"/>
  <c r="AF390" i="6"/>
  <c r="AG390" i="6"/>
  <c r="AF391" i="6"/>
  <c r="AG391" i="6"/>
  <c r="AF386" i="6"/>
  <c r="AG386" i="6"/>
  <c r="AF402" i="6"/>
  <c r="AG402" i="6"/>
  <c r="AF392" i="6"/>
  <c r="AG392" i="6"/>
  <c r="AF393" i="6"/>
  <c r="AG393" i="6"/>
  <c r="AF394" i="6"/>
  <c r="AG394" i="6"/>
  <c r="AF395" i="6"/>
  <c r="AG395" i="6"/>
  <c r="AF396" i="6"/>
  <c r="AG396" i="6"/>
  <c r="AF397" i="6"/>
  <c r="AG397" i="6"/>
  <c r="AF383" i="6"/>
  <c r="AG383" i="6"/>
  <c r="AF403" i="6"/>
  <c r="AG403" i="6"/>
  <c r="AF398" i="6"/>
  <c r="AG398" i="6"/>
  <c r="AF385" i="6"/>
  <c r="AG385" i="6"/>
  <c r="AF407" i="6"/>
  <c r="AG407" i="6"/>
  <c r="AF399" i="6"/>
  <c r="AG399" i="6"/>
  <c r="AF400" i="6"/>
  <c r="AG400" i="6"/>
  <c r="AF401" i="6"/>
  <c r="AG401" i="6"/>
  <c r="AG2" i="6"/>
  <c r="AF2" i="6"/>
  <c r="AE3" i="6"/>
  <c r="AE4" i="6"/>
  <c r="AE5" i="6"/>
  <c r="AE6" i="6"/>
  <c r="AE21" i="6"/>
  <c r="AE22" i="6"/>
  <c r="AE23" i="6"/>
  <c r="AE47" i="6"/>
  <c r="AE7" i="6"/>
  <c r="AE48" i="6"/>
  <c r="AE8" i="6"/>
  <c r="AE27" i="6"/>
  <c r="AE28" i="6"/>
  <c r="AE29" i="6"/>
  <c r="AE30" i="6"/>
  <c r="AE86" i="6"/>
  <c r="AE87" i="6"/>
  <c r="AE64" i="6"/>
  <c r="AE88" i="6"/>
  <c r="AE37" i="6"/>
  <c r="AE40" i="6"/>
  <c r="AE41" i="6"/>
  <c r="AE42" i="6"/>
  <c r="AE45" i="6"/>
  <c r="AE43" i="6"/>
  <c r="AE280" i="6"/>
  <c r="AE9" i="6"/>
  <c r="AE49" i="6"/>
  <c r="AE50" i="6"/>
  <c r="AE10" i="6"/>
  <c r="AE114" i="6"/>
  <c r="AE11" i="6"/>
  <c r="AE51" i="6"/>
  <c r="AE52" i="6"/>
  <c r="AE62" i="6"/>
  <c r="AE53" i="6"/>
  <c r="AE65" i="6"/>
  <c r="AE66" i="6"/>
  <c r="AE67" i="6"/>
  <c r="AE68" i="6"/>
  <c r="AE69" i="6"/>
  <c r="AE204" i="6"/>
  <c r="AE157" i="6"/>
  <c r="AE70" i="6"/>
  <c r="AE106" i="6"/>
  <c r="AE205" i="6"/>
  <c r="AE89" i="6"/>
  <c r="AE90" i="6"/>
  <c r="AE85" i="6"/>
  <c r="AE91" i="6"/>
  <c r="AE92" i="6"/>
  <c r="AE93" i="6"/>
  <c r="AE94" i="6"/>
  <c r="AE95" i="6"/>
  <c r="AE96" i="6"/>
  <c r="AE103" i="6"/>
  <c r="AE97" i="6"/>
  <c r="AE230" i="6"/>
  <c r="AE231" i="6"/>
  <c r="AE71" i="6"/>
  <c r="AE104" i="6"/>
  <c r="AE105" i="6"/>
  <c r="AE98" i="6"/>
  <c r="AE99" i="6"/>
  <c r="AE100" i="6"/>
  <c r="AE107" i="6"/>
  <c r="AE108" i="6"/>
  <c r="AE109" i="6"/>
  <c r="AE101" i="6"/>
  <c r="AE54" i="6"/>
  <c r="AE115" i="6"/>
  <c r="AE116" i="6"/>
  <c r="AE117" i="6"/>
  <c r="AE55" i="6"/>
  <c r="AE123" i="6"/>
  <c r="AE124" i="6"/>
  <c r="AE125" i="6"/>
  <c r="AE129" i="6"/>
  <c r="AE130" i="6"/>
  <c r="AE269" i="6"/>
  <c r="AE158" i="6"/>
  <c r="AE110" i="6"/>
  <c r="AE111" i="6"/>
  <c r="AE112" i="6"/>
  <c r="AE31" i="6"/>
  <c r="AE163" i="6"/>
  <c r="AE164" i="6"/>
  <c r="AE165" i="6"/>
  <c r="AE206" i="6"/>
  <c r="AE139" i="6"/>
  <c r="AE166" i="6"/>
  <c r="AE56" i="6"/>
  <c r="AE281" i="6"/>
  <c r="AE232" i="6"/>
  <c r="AE194" i="6"/>
  <c r="AE140" i="6"/>
  <c r="AE173" i="6"/>
  <c r="AE174" i="6"/>
  <c r="AE131" i="6"/>
  <c r="AE12" i="6"/>
  <c r="AE294" i="6"/>
  <c r="AE195" i="6"/>
  <c r="AE207" i="6"/>
  <c r="AE141" i="6"/>
  <c r="AE208" i="6"/>
  <c r="AE132" i="6"/>
  <c r="AE13" i="6"/>
  <c r="AE46" i="6"/>
  <c r="AE258" i="6"/>
  <c r="AE24" i="6"/>
  <c r="AE233" i="6"/>
  <c r="AE196" i="6"/>
  <c r="AE72" i="6"/>
  <c r="AE259" i="6"/>
  <c r="AE38" i="6"/>
  <c r="AE73" i="6"/>
  <c r="AE74" i="6"/>
  <c r="AE282" i="6"/>
  <c r="AE75" i="6"/>
  <c r="AE234" i="6"/>
  <c r="AE235" i="6"/>
  <c r="AE209" i="6"/>
  <c r="AE270" i="6"/>
  <c r="AE210" i="6"/>
  <c r="AE133" i="6"/>
  <c r="AE76" i="6"/>
  <c r="AE211" i="6"/>
  <c r="AE25" i="6"/>
  <c r="AE135" i="6"/>
  <c r="AE236" i="6"/>
  <c r="AE159" i="6"/>
  <c r="AE77" i="6"/>
  <c r="AE260" i="6"/>
  <c r="AE271" i="6"/>
  <c r="AE126" i="6"/>
  <c r="AE142" i="6"/>
  <c r="AE237" i="6"/>
  <c r="AE272" i="6"/>
  <c r="AE57" i="6"/>
  <c r="AE212" i="6"/>
  <c r="AE273" i="6"/>
  <c r="AE283" i="6"/>
  <c r="AE118" i="6"/>
  <c r="AE119" i="6"/>
  <c r="AE14" i="6"/>
  <c r="AE120" i="6"/>
  <c r="AE197" i="6"/>
  <c r="AE151" i="6"/>
  <c r="AE213" i="6"/>
  <c r="AE198" i="6"/>
  <c r="AE26" i="6"/>
  <c r="AE261" i="6"/>
  <c r="AE121" i="6"/>
  <c r="AE127" i="6"/>
  <c r="AE238" i="6"/>
  <c r="AE239" i="6"/>
  <c r="AE240" i="6"/>
  <c r="AE134" i="6"/>
  <c r="AE58" i="6"/>
  <c r="AE39" i="6"/>
  <c r="AE44" i="6"/>
  <c r="AE175" i="6"/>
  <c r="AE78" i="6"/>
  <c r="AE32" i="6"/>
  <c r="AE188" i="6"/>
  <c r="AE136" i="6"/>
  <c r="AE137" i="6"/>
  <c r="AE138" i="6"/>
  <c r="AE241" i="6"/>
  <c r="AE242" i="6"/>
  <c r="AE243" i="6"/>
  <c r="AE33" i="6"/>
  <c r="AE79" i="6"/>
  <c r="AE113" i="6"/>
  <c r="AE244" i="6"/>
  <c r="AE245" i="6"/>
  <c r="AE284" i="6"/>
  <c r="AE285" i="6"/>
  <c r="AE34" i="6"/>
  <c r="AE176" i="6"/>
  <c r="AE152" i="6"/>
  <c r="AE246" i="6"/>
  <c r="AE274" i="6"/>
  <c r="AE247" i="6"/>
  <c r="AE80" i="6"/>
  <c r="AE248" i="6"/>
  <c r="AE81" i="6"/>
  <c r="AE262" i="6"/>
  <c r="AE160" i="6"/>
  <c r="AE286" i="6"/>
  <c r="AE143" i="6"/>
  <c r="AE59" i="6"/>
  <c r="AE214" i="6"/>
  <c r="AE215" i="6"/>
  <c r="AE216" i="6"/>
  <c r="AE199" i="6"/>
  <c r="AE217" i="6"/>
  <c r="AE128" i="6"/>
  <c r="AE144" i="6"/>
  <c r="AE145" i="6"/>
  <c r="AE177" i="6"/>
  <c r="AE153" i="6"/>
  <c r="AE218" i="6"/>
  <c r="AE200" i="6"/>
  <c r="AE219" i="6"/>
  <c r="AE220" i="6"/>
  <c r="AE201" i="6"/>
  <c r="AE221" i="6"/>
  <c r="AE222" i="6"/>
  <c r="AE223" i="6"/>
  <c r="AE146" i="6"/>
  <c r="AE147" i="6"/>
  <c r="AE148" i="6"/>
  <c r="AE82" i="6"/>
  <c r="AE184" i="6"/>
  <c r="AE185" i="6"/>
  <c r="AE186" i="6"/>
  <c r="AE150" i="6"/>
  <c r="AE154" i="6"/>
  <c r="AE161" i="6"/>
  <c r="AE167" i="6"/>
  <c r="AE168" i="6"/>
  <c r="AE178" i="6"/>
  <c r="AE189" i="6"/>
  <c r="AE187" i="6"/>
  <c r="AE190" i="6"/>
  <c r="AE193" i="6"/>
  <c r="AE191" i="6"/>
  <c r="AE192" i="6"/>
  <c r="AE202" i="6"/>
  <c r="AE224" i="6"/>
  <c r="AE162" i="6"/>
  <c r="AE249" i="6"/>
  <c r="AE203" i="6"/>
  <c r="AE250" i="6"/>
  <c r="AE251" i="6"/>
  <c r="AE252" i="6"/>
  <c r="AE253" i="6"/>
  <c r="AE275" i="6"/>
  <c r="AE254" i="6"/>
  <c r="AE255" i="6"/>
  <c r="AE263" i="6"/>
  <c r="AE264" i="6"/>
  <c r="AE265" i="6"/>
  <c r="AE276" i="6"/>
  <c r="AE277" i="6"/>
  <c r="AE278" i="6"/>
  <c r="AE279" i="6"/>
  <c r="AE225" i="6"/>
  <c r="AE155" i="6"/>
  <c r="AE35" i="6"/>
  <c r="AE149" i="6"/>
  <c r="AE287" i="6"/>
  <c r="AE266" i="6"/>
  <c r="AE267" i="6"/>
  <c r="AE122" i="6"/>
  <c r="AE226" i="6"/>
  <c r="AE227" i="6"/>
  <c r="AE228" i="6"/>
  <c r="AE256" i="6"/>
  <c r="AE268" i="6"/>
  <c r="AE229" i="6"/>
  <c r="AE83" i="6"/>
  <c r="AE84" i="6"/>
  <c r="AE63" i="6"/>
  <c r="AE60" i="6"/>
  <c r="AE288" i="6"/>
  <c r="AE289" i="6"/>
  <c r="AE290" i="6"/>
  <c r="AE291" i="6"/>
  <c r="AE292" i="6"/>
  <c r="AE169" i="6"/>
  <c r="AE170" i="6"/>
  <c r="AE179" i="6"/>
  <c r="AE156" i="6"/>
  <c r="AE171" i="6"/>
  <c r="AE257" i="6"/>
  <c r="AE293" i="6"/>
  <c r="AE61" i="6"/>
  <c r="AE15" i="6"/>
  <c r="AE16" i="6"/>
  <c r="AE17" i="6"/>
  <c r="AE18" i="6"/>
  <c r="AE19" i="6"/>
  <c r="AE20" i="6"/>
  <c r="AE180" i="6"/>
  <c r="AE36" i="6"/>
  <c r="AE181" i="6"/>
  <c r="AE295" i="6"/>
  <c r="AE172" i="6"/>
  <c r="AE182" i="6"/>
  <c r="AE183" i="6"/>
  <c r="AE102" i="6"/>
  <c r="AE296" i="6"/>
  <c r="AE297" i="6"/>
  <c r="AE298" i="6"/>
  <c r="AE299" i="6"/>
  <c r="AE300" i="6"/>
  <c r="AE301" i="6"/>
  <c r="AE302" i="6"/>
  <c r="AE303" i="6"/>
  <c r="AE304" i="6"/>
  <c r="AE305" i="6"/>
  <c r="AE306" i="6"/>
  <c r="AE307" i="6"/>
  <c r="AE308" i="6"/>
  <c r="AE309" i="6"/>
  <c r="AE310" i="6"/>
  <c r="AE312" i="6"/>
  <c r="AE313" i="6"/>
  <c r="AE314" i="6"/>
  <c r="AE315" i="6"/>
  <c r="AE316" i="6"/>
  <c r="AE317" i="6"/>
  <c r="AE318" i="6"/>
  <c r="AE319" i="6"/>
  <c r="AE320" i="6"/>
  <c r="AE321" i="6"/>
  <c r="AE322" i="6"/>
  <c r="AE323" i="6"/>
  <c r="AE324" i="6"/>
  <c r="AE325" i="6"/>
  <c r="AE326" i="6"/>
  <c r="AE327" i="6"/>
  <c r="AE328" i="6"/>
  <c r="AE329" i="6"/>
  <c r="AE330" i="6"/>
  <c r="AE331" i="6"/>
  <c r="AE332" i="6"/>
  <c r="AE333" i="6"/>
  <c r="AE334" i="6"/>
  <c r="AE335" i="6"/>
  <c r="AE336" i="6"/>
  <c r="AE337" i="6"/>
  <c r="AE338" i="6"/>
  <c r="AE343" i="6"/>
  <c r="AE339" i="6"/>
  <c r="AE340" i="6"/>
  <c r="AE344" i="6"/>
  <c r="AE341" i="6"/>
  <c r="AE342" i="6"/>
  <c r="AE358" i="6"/>
  <c r="AE345" i="6"/>
  <c r="AE359" i="6"/>
  <c r="AE346" i="6"/>
  <c r="AE347" i="6"/>
  <c r="AE348" i="6"/>
  <c r="AE349" i="6"/>
  <c r="AE350" i="6"/>
  <c r="AE351" i="6"/>
  <c r="AE352" i="6"/>
  <c r="AE353" i="6"/>
  <c r="AE360" i="6"/>
  <c r="AE361" i="6"/>
  <c r="AE362" i="6"/>
  <c r="AE363" i="6"/>
  <c r="AE364" i="6"/>
  <c r="AE365" i="6"/>
  <c r="AE366" i="6"/>
  <c r="AE354" i="6"/>
  <c r="AE355" i="6"/>
  <c r="AE356" i="6"/>
  <c r="AE357" i="6"/>
  <c r="AE367" i="6"/>
  <c r="AE368" i="6"/>
  <c r="AE369" i="6"/>
  <c r="AE370" i="6"/>
  <c r="AE371" i="6"/>
  <c r="AE372" i="6"/>
  <c r="AE373" i="6"/>
  <c r="AE374" i="6"/>
  <c r="AE375" i="6"/>
  <c r="AE376" i="6"/>
  <c r="AE377" i="6"/>
  <c r="AE379" i="6"/>
  <c r="AE382" i="6"/>
  <c r="AE378" i="6"/>
  <c r="AE381" i="6"/>
  <c r="AE380" i="6"/>
  <c r="AE406" i="6"/>
  <c r="AE384" i="6"/>
  <c r="AE405" i="6"/>
  <c r="AE404" i="6"/>
  <c r="AE387" i="6"/>
  <c r="AE388" i="6"/>
  <c r="AE389" i="6"/>
  <c r="AE390" i="6"/>
  <c r="AE391" i="6"/>
  <c r="AE386" i="6"/>
  <c r="AE402" i="6"/>
  <c r="AE392" i="6"/>
  <c r="AE393" i="6"/>
  <c r="AE394" i="6"/>
  <c r="AE395" i="6"/>
  <c r="AE396" i="6"/>
  <c r="AE397" i="6"/>
  <c r="AE383" i="6"/>
  <c r="AE403" i="6"/>
  <c r="AE398" i="6"/>
  <c r="AE385" i="6"/>
  <c r="AE407" i="6"/>
  <c r="AE399" i="6"/>
  <c r="AE400" i="6"/>
  <c r="AE401" i="6"/>
  <c r="AE2" i="6"/>
  <c r="AA3" i="6"/>
  <c r="AB3" i="6"/>
  <c r="AC3" i="6"/>
  <c r="AD3" i="6"/>
  <c r="AA4" i="6"/>
  <c r="AB4" i="6"/>
  <c r="AC4" i="6"/>
  <c r="AD4" i="6"/>
  <c r="AA5" i="6"/>
  <c r="AB5" i="6"/>
  <c r="AC5" i="6"/>
  <c r="AD5" i="6"/>
  <c r="AA6" i="6"/>
  <c r="AB6" i="6"/>
  <c r="AC6" i="6"/>
  <c r="AD6" i="6"/>
  <c r="AA21" i="6"/>
  <c r="AB21" i="6"/>
  <c r="AC21" i="6"/>
  <c r="AD21" i="6"/>
  <c r="AA22" i="6"/>
  <c r="AB22" i="6"/>
  <c r="AC22" i="6"/>
  <c r="AD22" i="6"/>
  <c r="AA23" i="6"/>
  <c r="AB23" i="6"/>
  <c r="AC23" i="6"/>
  <c r="AD23" i="6"/>
  <c r="AA47" i="6"/>
  <c r="AB47" i="6"/>
  <c r="AC47" i="6"/>
  <c r="AD47" i="6"/>
  <c r="AA7" i="6"/>
  <c r="AB7" i="6"/>
  <c r="AC7" i="6"/>
  <c r="AD7" i="6"/>
  <c r="AA48" i="6"/>
  <c r="AB48" i="6"/>
  <c r="AC48" i="6"/>
  <c r="AD48" i="6"/>
  <c r="AA8" i="6"/>
  <c r="AB8" i="6"/>
  <c r="AC8" i="6"/>
  <c r="AD8" i="6"/>
  <c r="AA27" i="6"/>
  <c r="AB27" i="6"/>
  <c r="AC27" i="6"/>
  <c r="AD27" i="6"/>
  <c r="AA28" i="6"/>
  <c r="AB28" i="6"/>
  <c r="AC28" i="6"/>
  <c r="AD28" i="6"/>
  <c r="AA29" i="6"/>
  <c r="AB29" i="6"/>
  <c r="AC29" i="6"/>
  <c r="AD29" i="6"/>
  <c r="AA30" i="6"/>
  <c r="AB30" i="6"/>
  <c r="AC30" i="6"/>
  <c r="AD30" i="6"/>
  <c r="AA86" i="6"/>
  <c r="AB86" i="6"/>
  <c r="AC86" i="6"/>
  <c r="AD86" i="6"/>
  <c r="AA87" i="6"/>
  <c r="AB87" i="6"/>
  <c r="AC87" i="6"/>
  <c r="AD87" i="6"/>
  <c r="AA64" i="6"/>
  <c r="AB64" i="6"/>
  <c r="AC64" i="6"/>
  <c r="AD64" i="6"/>
  <c r="AA88" i="6"/>
  <c r="AB88" i="6"/>
  <c r="AC88" i="6"/>
  <c r="AD88" i="6"/>
  <c r="AA37" i="6"/>
  <c r="AB37" i="6"/>
  <c r="AC37" i="6"/>
  <c r="AD37" i="6"/>
  <c r="AA40" i="6"/>
  <c r="AB40" i="6"/>
  <c r="AC40" i="6"/>
  <c r="AD40" i="6"/>
  <c r="AA41" i="6"/>
  <c r="AB41" i="6"/>
  <c r="AC41" i="6"/>
  <c r="AD41" i="6"/>
  <c r="AA42" i="6"/>
  <c r="AB42" i="6"/>
  <c r="AC42" i="6"/>
  <c r="AD42" i="6"/>
  <c r="AA45" i="6"/>
  <c r="AB45" i="6"/>
  <c r="AC45" i="6"/>
  <c r="AD45" i="6"/>
  <c r="AA43" i="6"/>
  <c r="AB43" i="6"/>
  <c r="AC43" i="6"/>
  <c r="AD43" i="6"/>
  <c r="AA280" i="6"/>
  <c r="AB280" i="6"/>
  <c r="AC280" i="6"/>
  <c r="AD280" i="6"/>
  <c r="AA9" i="6"/>
  <c r="AB9" i="6"/>
  <c r="AC9" i="6"/>
  <c r="AD9" i="6"/>
  <c r="AA49" i="6"/>
  <c r="AB49" i="6"/>
  <c r="AC49" i="6"/>
  <c r="AD49" i="6"/>
  <c r="AA50" i="6"/>
  <c r="AB50" i="6"/>
  <c r="AC50" i="6"/>
  <c r="AD50" i="6"/>
  <c r="AA10" i="6"/>
  <c r="AB10" i="6"/>
  <c r="AC10" i="6"/>
  <c r="AD10" i="6"/>
  <c r="AA114" i="6"/>
  <c r="AB114" i="6"/>
  <c r="AC114" i="6"/>
  <c r="AD114" i="6"/>
  <c r="AA11" i="6"/>
  <c r="AB11" i="6"/>
  <c r="AC11" i="6"/>
  <c r="AD11" i="6"/>
  <c r="AA51" i="6"/>
  <c r="AB51" i="6"/>
  <c r="AC51" i="6"/>
  <c r="AD51" i="6"/>
  <c r="AA52" i="6"/>
  <c r="AB52" i="6"/>
  <c r="AC52" i="6"/>
  <c r="AD52" i="6"/>
  <c r="AA62" i="6"/>
  <c r="AB62" i="6"/>
  <c r="AC62" i="6"/>
  <c r="AD62" i="6"/>
  <c r="AA53" i="6"/>
  <c r="AB53" i="6"/>
  <c r="AC53" i="6"/>
  <c r="AD53" i="6"/>
  <c r="AA65" i="6"/>
  <c r="AB65" i="6"/>
  <c r="AC65" i="6"/>
  <c r="AD65" i="6"/>
  <c r="AA66" i="6"/>
  <c r="AB66" i="6"/>
  <c r="AC66" i="6"/>
  <c r="AD66" i="6"/>
  <c r="AA67" i="6"/>
  <c r="AB67" i="6"/>
  <c r="AC67" i="6"/>
  <c r="AD67" i="6"/>
  <c r="AA68" i="6"/>
  <c r="AB68" i="6"/>
  <c r="AC68" i="6"/>
  <c r="AD68" i="6"/>
  <c r="AA69" i="6"/>
  <c r="AB69" i="6"/>
  <c r="AC69" i="6"/>
  <c r="AD69" i="6"/>
  <c r="AA204" i="6"/>
  <c r="AB204" i="6"/>
  <c r="AC204" i="6"/>
  <c r="AD204" i="6"/>
  <c r="AA157" i="6"/>
  <c r="AB157" i="6"/>
  <c r="AC157" i="6"/>
  <c r="AD157" i="6"/>
  <c r="AA70" i="6"/>
  <c r="AB70" i="6"/>
  <c r="AC70" i="6"/>
  <c r="AD70" i="6"/>
  <c r="AA106" i="6"/>
  <c r="AB106" i="6"/>
  <c r="AC106" i="6"/>
  <c r="AD106" i="6"/>
  <c r="AA205" i="6"/>
  <c r="AB205" i="6"/>
  <c r="AC205" i="6"/>
  <c r="AD205" i="6"/>
  <c r="AA89" i="6"/>
  <c r="AB89" i="6"/>
  <c r="AC89" i="6"/>
  <c r="AD89" i="6"/>
  <c r="AA90" i="6"/>
  <c r="AB90" i="6"/>
  <c r="AC90" i="6"/>
  <c r="AD90" i="6"/>
  <c r="AA85" i="6"/>
  <c r="AB85" i="6"/>
  <c r="AC85" i="6"/>
  <c r="AD85" i="6"/>
  <c r="AA91" i="6"/>
  <c r="AB91" i="6"/>
  <c r="AC91" i="6"/>
  <c r="AD91" i="6"/>
  <c r="AA92" i="6"/>
  <c r="AB92" i="6"/>
  <c r="AC92" i="6"/>
  <c r="AD92" i="6"/>
  <c r="AA93" i="6"/>
  <c r="AB93" i="6"/>
  <c r="AC93" i="6"/>
  <c r="AD93" i="6"/>
  <c r="AA94" i="6"/>
  <c r="AB94" i="6"/>
  <c r="AC94" i="6"/>
  <c r="AD94" i="6"/>
  <c r="AA95" i="6"/>
  <c r="AB95" i="6"/>
  <c r="AC95" i="6"/>
  <c r="AD95" i="6"/>
  <c r="AA96" i="6"/>
  <c r="AB96" i="6"/>
  <c r="AC96" i="6"/>
  <c r="AD96" i="6"/>
  <c r="AA103" i="6"/>
  <c r="AB103" i="6"/>
  <c r="AC103" i="6"/>
  <c r="AD103" i="6"/>
  <c r="AA97" i="6"/>
  <c r="AB97" i="6"/>
  <c r="AC97" i="6"/>
  <c r="AD97" i="6"/>
  <c r="AA230" i="6"/>
  <c r="AB230" i="6"/>
  <c r="AC230" i="6"/>
  <c r="AD230" i="6"/>
  <c r="AA231" i="6"/>
  <c r="AB231" i="6"/>
  <c r="AC231" i="6"/>
  <c r="AD231" i="6"/>
  <c r="AA71" i="6"/>
  <c r="AB71" i="6"/>
  <c r="AC71" i="6"/>
  <c r="AD71" i="6"/>
  <c r="AA104" i="6"/>
  <c r="AB104" i="6"/>
  <c r="AC104" i="6"/>
  <c r="AD104" i="6"/>
  <c r="AA105" i="6"/>
  <c r="AB105" i="6"/>
  <c r="AC105" i="6"/>
  <c r="AD105" i="6"/>
  <c r="AA98" i="6"/>
  <c r="AB98" i="6"/>
  <c r="AC98" i="6"/>
  <c r="AD98" i="6"/>
  <c r="AA99" i="6"/>
  <c r="AB99" i="6"/>
  <c r="AC99" i="6"/>
  <c r="AD99" i="6"/>
  <c r="AA100" i="6"/>
  <c r="AB100" i="6"/>
  <c r="AC100" i="6"/>
  <c r="AD100" i="6"/>
  <c r="AA107" i="6"/>
  <c r="AB107" i="6"/>
  <c r="AC107" i="6"/>
  <c r="AD107" i="6"/>
  <c r="AA108" i="6"/>
  <c r="AB108" i="6"/>
  <c r="AC108" i="6"/>
  <c r="AD108" i="6"/>
  <c r="AA109" i="6"/>
  <c r="AB109" i="6"/>
  <c r="AC109" i="6"/>
  <c r="AD109" i="6"/>
  <c r="AA101" i="6"/>
  <c r="AB101" i="6"/>
  <c r="AC101" i="6"/>
  <c r="AD101" i="6"/>
  <c r="AA54" i="6"/>
  <c r="AB54" i="6"/>
  <c r="AC54" i="6"/>
  <c r="AD54" i="6"/>
  <c r="AA115" i="6"/>
  <c r="AB115" i="6"/>
  <c r="AC115" i="6"/>
  <c r="AD115" i="6"/>
  <c r="AA116" i="6"/>
  <c r="AB116" i="6"/>
  <c r="AC116" i="6"/>
  <c r="AD116" i="6"/>
  <c r="AA117" i="6"/>
  <c r="AB117" i="6"/>
  <c r="AC117" i="6"/>
  <c r="AD117" i="6"/>
  <c r="AA55" i="6"/>
  <c r="AB55" i="6"/>
  <c r="AC55" i="6"/>
  <c r="AD55" i="6"/>
  <c r="AA123" i="6"/>
  <c r="AB123" i="6"/>
  <c r="AC123" i="6"/>
  <c r="AD123" i="6"/>
  <c r="AA124" i="6"/>
  <c r="AB124" i="6"/>
  <c r="AC124" i="6"/>
  <c r="AD124" i="6"/>
  <c r="AA125" i="6"/>
  <c r="AB125" i="6"/>
  <c r="AC125" i="6"/>
  <c r="AD125" i="6"/>
  <c r="AA129" i="6"/>
  <c r="AB129" i="6"/>
  <c r="AC129" i="6"/>
  <c r="AD129" i="6"/>
  <c r="AA130" i="6"/>
  <c r="AB130" i="6"/>
  <c r="AC130" i="6"/>
  <c r="AD130" i="6"/>
  <c r="AA269" i="6"/>
  <c r="AB269" i="6"/>
  <c r="AC269" i="6"/>
  <c r="AD269" i="6"/>
  <c r="AA158" i="6"/>
  <c r="AB158" i="6"/>
  <c r="AC158" i="6"/>
  <c r="AD158" i="6"/>
  <c r="AA110" i="6"/>
  <c r="AB110" i="6"/>
  <c r="AC110" i="6"/>
  <c r="AD110" i="6"/>
  <c r="AA111" i="6"/>
  <c r="AB111" i="6"/>
  <c r="AC111" i="6"/>
  <c r="AD111" i="6"/>
  <c r="AA112" i="6"/>
  <c r="AB112" i="6"/>
  <c r="AC112" i="6"/>
  <c r="AD112" i="6"/>
  <c r="AA31" i="6"/>
  <c r="AB31" i="6"/>
  <c r="AC31" i="6"/>
  <c r="AD31" i="6"/>
  <c r="AA163" i="6"/>
  <c r="AB163" i="6"/>
  <c r="AC163" i="6"/>
  <c r="AD163" i="6"/>
  <c r="AA164" i="6"/>
  <c r="AB164" i="6"/>
  <c r="AC164" i="6"/>
  <c r="AD164" i="6"/>
  <c r="AA165" i="6"/>
  <c r="AB165" i="6"/>
  <c r="AC165" i="6"/>
  <c r="AD165" i="6"/>
  <c r="AA206" i="6"/>
  <c r="AB206" i="6"/>
  <c r="AC206" i="6"/>
  <c r="AD206" i="6"/>
  <c r="AA139" i="6"/>
  <c r="AB139" i="6"/>
  <c r="AC139" i="6"/>
  <c r="AD139" i="6"/>
  <c r="AA166" i="6"/>
  <c r="AB166" i="6"/>
  <c r="AC166" i="6"/>
  <c r="AD166" i="6"/>
  <c r="AA56" i="6"/>
  <c r="AB56" i="6"/>
  <c r="AC56" i="6"/>
  <c r="AD56" i="6"/>
  <c r="AA281" i="6"/>
  <c r="AB281" i="6"/>
  <c r="AC281" i="6"/>
  <c r="AD281" i="6"/>
  <c r="AA232" i="6"/>
  <c r="AB232" i="6"/>
  <c r="AC232" i="6"/>
  <c r="AD232" i="6"/>
  <c r="AA194" i="6"/>
  <c r="AB194" i="6"/>
  <c r="AC194" i="6"/>
  <c r="AD194" i="6"/>
  <c r="AA140" i="6"/>
  <c r="AB140" i="6"/>
  <c r="AC140" i="6"/>
  <c r="AD140" i="6"/>
  <c r="AA173" i="6"/>
  <c r="AB173" i="6"/>
  <c r="AC173" i="6"/>
  <c r="AD173" i="6"/>
  <c r="AA174" i="6"/>
  <c r="AB174" i="6"/>
  <c r="AC174" i="6"/>
  <c r="AD174" i="6"/>
  <c r="AA131" i="6"/>
  <c r="AB131" i="6"/>
  <c r="AC131" i="6"/>
  <c r="AD131" i="6"/>
  <c r="AA12" i="6"/>
  <c r="AB12" i="6"/>
  <c r="AC12" i="6"/>
  <c r="AD12" i="6"/>
  <c r="AA294" i="6"/>
  <c r="AB294" i="6"/>
  <c r="AC294" i="6"/>
  <c r="AD294" i="6"/>
  <c r="AA195" i="6"/>
  <c r="AB195" i="6"/>
  <c r="AC195" i="6"/>
  <c r="AD195" i="6"/>
  <c r="AA207" i="6"/>
  <c r="AB207" i="6"/>
  <c r="AC207" i="6"/>
  <c r="AD207" i="6"/>
  <c r="AA141" i="6"/>
  <c r="AB141" i="6"/>
  <c r="AC141" i="6"/>
  <c r="AD141" i="6"/>
  <c r="AA208" i="6"/>
  <c r="AB208" i="6"/>
  <c r="AC208" i="6"/>
  <c r="AD208" i="6"/>
  <c r="AA132" i="6"/>
  <c r="AB132" i="6"/>
  <c r="AC132" i="6"/>
  <c r="AD132" i="6"/>
  <c r="AA13" i="6"/>
  <c r="AB13" i="6"/>
  <c r="AC13" i="6"/>
  <c r="AD13" i="6"/>
  <c r="AA46" i="6"/>
  <c r="AB46" i="6"/>
  <c r="AC46" i="6"/>
  <c r="AD46" i="6"/>
  <c r="AA258" i="6"/>
  <c r="AB258" i="6"/>
  <c r="AC258" i="6"/>
  <c r="AD258" i="6"/>
  <c r="AA24" i="6"/>
  <c r="AB24" i="6"/>
  <c r="AC24" i="6"/>
  <c r="AD24" i="6"/>
  <c r="AA233" i="6"/>
  <c r="AB233" i="6"/>
  <c r="AC233" i="6"/>
  <c r="AD233" i="6"/>
  <c r="AA196" i="6"/>
  <c r="AB196" i="6"/>
  <c r="AC196" i="6"/>
  <c r="AD196" i="6"/>
  <c r="AA72" i="6"/>
  <c r="AB72" i="6"/>
  <c r="AC72" i="6"/>
  <c r="AD72" i="6"/>
  <c r="AA259" i="6"/>
  <c r="AB259" i="6"/>
  <c r="AC259" i="6"/>
  <c r="AD259" i="6"/>
  <c r="AA38" i="6"/>
  <c r="AB38" i="6"/>
  <c r="AC38" i="6"/>
  <c r="AD38" i="6"/>
  <c r="AA73" i="6"/>
  <c r="AB73" i="6"/>
  <c r="AC73" i="6"/>
  <c r="AD73" i="6"/>
  <c r="AA74" i="6"/>
  <c r="AB74" i="6"/>
  <c r="AC74" i="6"/>
  <c r="AD74" i="6"/>
  <c r="AA282" i="6"/>
  <c r="AB282" i="6"/>
  <c r="AC282" i="6"/>
  <c r="AD282" i="6"/>
  <c r="AA75" i="6"/>
  <c r="AB75" i="6"/>
  <c r="AC75" i="6"/>
  <c r="AD75" i="6"/>
  <c r="AA234" i="6"/>
  <c r="AB234" i="6"/>
  <c r="AC234" i="6"/>
  <c r="AD234" i="6"/>
  <c r="AA235" i="6"/>
  <c r="AB235" i="6"/>
  <c r="AC235" i="6"/>
  <c r="AD235" i="6"/>
  <c r="AA209" i="6"/>
  <c r="AB209" i="6"/>
  <c r="AC209" i="6"/>
  <c r="AD209" i="6"/>
  <c r="AA270" i="6"/>
  <c r="AB270" i="6"/>
  <c r="AC270" i="6"/>
  <c r="AD270" i="6"/>
  <c r="AA210" i="6"/>
  <c r="AB210" i="6"/>
  <c r="AC210" i="6"/>
  <c r="AD210" i="6"/>
  <c r="AA133" i="6"/>
  <c r="AB133" i="6"/>
  <c r="AC133" i="6"/>
  <c r="AD133" i="6"/>
  <c r="AA76" i="6"/>
  <c r="AB76" i="6"/>
  <c r="AC76" i="6"/>
  <c r="AD76" i="6"/>
  <c r="AA211" i="6"/>
  <c r="AB211" i="6"/>
  <c r="AC211" i="6"/>
  <c r="AD211" i="6"/>
  <c r="AA25" i="6"/>
  <c r="AB25" i="6"/>
  <c r="AC25" i="6"/>
  <c r="AD25" i="6"/>
  <c r="AA135" i="6"/>
  <c r="AB135" i="6"/>
  <c r="AC135" i="6"/>
  <c r="AD135" i="6"/>
  <c r="AA236" i="6"/>
  <c r="AB236" i="6"/>
  <c r="AC236" i="6"/>
  <c r="AD236" i="6"/>
  <c r="AA159" i="6"/>
  <c r="AB159" i="6"/>
  <c r="AC159" i="6"/>
  <c r="AD159" i="6"/>
  <c r="AA77" i="6"/>
  <c r="AB77" i="6"/>
  <c r="AC77" i="6"/>
  <c r="AD77" i="6"/>
  <c r="AA260" i="6"/>
  <c r="AB260" i="6"/>
  <c r="AC260" i="6"/>
  <c r="AD260" i="6"/>
  <c r="AA271" i="6"/>
  <c r="AB271" i="6"/>
  <c r="AC271" i="6"/>
  <c r="AD271" i="6"/>
  <c r="AA126" i="6"/>
  <c r="AB126" i="6"/>
  <c r="AC126" i="6"/>
  <c r="AD126" i="6"/>
  <c r="AA142" i="6"/>
  <c r="AB142" i="6"/>
  <c r="AC142" i="6"/>
  <c r="AD142" i="6"/>
  <c r="AA237" i="6"/>
  <c r="AB237" i="6"/>
  <c r="AC237" i="6"/>
  <c r="AD237" i="6"/>
  <c r="AA272" i="6"/>
  <c r="AB272" i="6"/>
  <c r="AC272" i="6"/>
  <c r="AD272" i="6"/>
  <c r="AA57" i="6"/>
  <c r="AB57" i="6"/>
  <c r="AC57" i="6"/>
  <c r="AD57" i="6"/>
  <c r="AA212" i="6"/>
  <c r="AB212" i="6"/>
  <c r="AC212" i="6"/>
  <c r="AD212" i="6"/>
  <c r="AA273" i="6"/>
  <c r="AB273" i="6"/>
  <c r="AC273" i="6"/>
  <c r="AD273" i="6"/>
  <c r="AA283" i="6"/>
  <c r="AB283" i="6"/>
  <c r="AC283" i="6"/>
  <c r="AD283" i="6"/>
  <c r="AA118" i="6"/>
  <c r="AB118" i="6"/>
  <c r="AC118" i="6"/>
  <c r="AD118" i="6"/>
  <c r="AA119" i="6"/>
  <c r="AB119" i="6"/>
  <c r="AC119" i="6"/>
  <c r="AD119" i="6"/>
  <c r="AA14" i="6"/>
  <c r="AB14" i="6"/>
  <c r="AC14" i="6"/>
  <c r="AD14" i="6"/>
  <c r="AA120" i="6"/>
  <c r="AB120" i="6"/>
  <c r="AC120" i="6"/>
  <c r="AD120" i="6"/>
  <c r="AA197" i="6"/>
  <c r="AB197" i="6"/>
  <c r="AC197" i="6"/>
  <c r="AD197" i="6"/>
  <c r="AA151" i="6"/>
  <c r="AB151" i="6"/>
  <c r="AC151" i="6"/>
  <c r="AD151" i="6"/>
  <c r="AA213" i="6"/>
  <c r="AB213" i="6"/>
  <c r="AC213" i="6"/>
  <c r="AD213" i="6"/>
  <c r="AA198" i="6"/>
  <c r="AB198" i="6"/>
  <c r="AC198" i="6"/>
  <c r="AD198" i="6"/>
  <c r="AA26" i="6"/>
  <c r="AB26" i="6"/>
  <c r="AC26" i="6"/>
  <c r="AD26" i="6"/>
  <c r="AA261" i="6"/>
  <c r="AB261" i="6"/>
  <c r="AC261" i="6"/>
  <c r="AD261" i="6"/>
  <c r="AA121" i="6"/>
  <c r="AB121" i="6"/>
  <c r="AC121" i="6"/>
  <c r="AD121" i="6"/>
  <c r="AA127" i="6"/>
  <c r="AB127" i="6"/>
  <c r="AC127" i="6"/>
  <c r="AD127" i="6"/>
  <c r="AA238" i="6"/>
  <c r="AB238" i="6"/>
  <c r="AC238" i="6"/>
  <c r="AD238" i="6"/>
  <c r="AA239" i="6"/>
  <c r="AB239" i="6"/>
  <c r="AC239" i="6"/>
  <c r="AD239" i="6"/>
  <c r="AA240" i="6"/>
  <c r="AB240" i="6"/>
  <c r="AC240" i="6"/>
  <c r="AD240" i="6"/>
  <c r="AA134" i="6"/>
  <c r="AB134" i="6"/>
  <c r="AC134" i="6"/>
  <c r="AD134" i="6"/>
  <c r="AA58" i="6"/>
  <c r="AB58" i="6"/>
  <c r="AC58" i="6"/>
  <c r="AD58" i="6"/>
  <c r="AA39" i="6"/>
  <c r="AB39" i="6"/>
  <c r="AC39" i="6"/>
  <c r="AD39" i="6"/>
  <c r="AA44" i="6"/>
  <c r="AB44" i="6"/>
  <c r="AC44" i="6"/>
  <c r="AD44" i="6"/>
  <c r="AA175" i="6"/>
  <c r="AB175" i="6"/>
  <c r="AC175" i="6"/>
  <c r="AD175" i="6"/>
  <c r="AA78" i="6"/>
  <c r="AB78" i="6"/>
  <c r="AC78" i="6"/>
  <c r="AD78" i="6"/>
  <c r="AA32" i="6"/>
  <c r="AB32" i="6"/>
  <c r="AC32" i="6"/>
  <c r="AD32" i="6"/>
  <c r="AA188" i="6"/>
  <c r="AB188" i="6"/>
  <c r="AC188" i="6"/>
  <c r="AD188" i="6"/>
  <c r="AA136" i="6"/>
  <c r="AB136" i="6"/>
  <c r="AC136" i="6"/>
  <c r="AD136" i="6"/>
  <c r="AA137" i="6"/>
  <c r="AB137" i="6"/>
  <c r="AC137" i="6"/>
  <c r="AD137" i="6"/>
  <c r="AA138" i="6"/>
  <c r="AB138" i="6"/>
  <c r="AC138" i="6"/>
  <c r="AD138" i="6"/>
  <c r="AA241" i="6"/>
  <c r="AB241" i="6"/>
  <c r="AC241" i="6"/>
  <c r="AD241" i="6"/>
  <c r="AA242" i="6"/>
  <c r="AB242" i="6"/>
  <c r="AC242" i="6"/>
  <c r="AD242" i="6"/>
  <c r="AA243" i="6"/>
  <c r="AB243" i="6"/>
  <c r="AC243" i="6"/>
  <c r="AD243" i="6"/>
  <c r="AA33" i="6"/>
  <c r="AB33" i="6"/>
  <c r="AC33" i="6"/>
  <c r="AD33" i="6"/>
  <c r="AA79" i="6"/>
  <c r="AB79" i="6"/>
  <c r="AC79" i="6"/>
  <c r="AD79" i="6"/>
  <c r="AA113" i="6"/>
  <c r="AB113" i="6"/>
  <c r="AC113" i="6"/>
  <c r="AD113" i="6"/>
  <c r="AA244" i="6"/>
  <c r="AB244" i="6"/>
  <c r="AC244" i="6"/>
  <c r="AD244" i="6"/>
  <c r="AA245" i="6"/>
  <c r="AB245" i="6"/>
  <c r="AC245" i="6"/>
  <c r="AD245" i="6"/>
  <c r="AA284" i="6"/>
  <c r="AB284" i="6"/>
  <c r="AC284" i="6"/>
  <c r="AD284" i="6"/>
  <c r="AA285" i="6"/>
  <c r="AB285" i="6"/>
  <c r="AC285" i="6"/>
  <c r="AD285" i="6"/>
  <c r="AA34" i="6"/>
  <c r="AB34" i="6"/>
  <c r="AC34" i="6"/>
  <c r="AD34" i="6"/>
  <c r="AA176" i="6"/>
  <c r="AB176" i="6"/>
  <c r="AC176" i="6"/>
  <c r="AD176" i="6"/>
  <c r="AA152" i="6"/>
  <c r="AB152" i="6"/>
  <c r="AC152" i="6"/>
  <c r="AD152" i="6"/>
  <c r="AA246" i="6"/>
  <c r="AB246" i="6"/>
  <c r="AC246" i="6"/>
  <c r="AD246" i="6"/>
  <c r="AA274" i="6"/>
  <c r="AB274" i="6"/>
  <c r="AC274" i="6"/>
  <c r="AD274" i="6"/>
  <c r="AA247" i="6"/>
  <c r="AB247" i="6"/>
  <c r="AC247" i="6"/>
  <c r="AD247" i="6"/>
  <c r="AA80" i="6"/>
  <c r="AB80" i="6"/>
  <c r="AC80" i="6"/>
  <c r="AD80" i="6"/>
  <c r="AA248" i="6"/>
  <c r="AB248" i="6"/>
  <c r="AC248" i="6"/>
  <c r="AD248" i="6"/>
  <c r="AA81" i="6"/>
  <c r="AB81" i="6"/>
  <c r="AC81" i="6"/>
  <c r="AD81" i="6"/>
  <c r="AA262" i="6"/>
  <c r="AB262" i="6"/>
  <c r="AC262" i="6"/>
  <c r="AD262" i="6"/>
  <c r="AA160" i="6"/>
  <c r="AB160" i="6"/>
  <c r="AC160" i="6"/>
  <c r="AD160" i="6"/>
  <c r="AA286" i="6"/>
  <c r="AB286" i="6"/>
  <c r="AC286" i="6"/>
  <c r="AD286" i="6"/>
  <c r="AA143" i="6"/>
  <c r="AB143" i="6"/>
  <c r="AC143" i="6"/>
  <c r="AD143" i="6"/>
  <c r="AA59" i="6"/>
  <c r="AB59" i="6"/>
  <c r="AC59" i="6"/>
  <c r="AD59" i="6"/>
  <c r="AA214" i="6"/>
  <c r="AB214" i="6"/>
  <c r="AC214" i="6"/>
  <c r="AD214" i="6"/>
  <c r="AA215" i="6"/>
  <c r="AB215" i="6"/>
  <c r="AC215" i="6"/>
  <c r="AD215" i="6"/>
  <c r="AA216" i="6"/>
  <c r="AB216" i="6"/>
  <c r="AC216" i="6"/>
  <c r="AD216" i="6"/>
  <c r="AA199" i="6"/>
  <c r="AB199" i="6"/>
  <c r="AC199" i="6"/>
  <c r="AD199" i="6"/>
  <c r="AA217" i="6"/>
  <c r="AB217" i="6"/>
  <c r="AC217" i="6"/>
  <c r="AD217" i="6"/>
  <c r="AA128" i="6"/>
  <c r="AB128" i="6"/>
  <c r="AC128" i="6"/>
  <c r="AD128" i="6"/>
  <c r="AA144" i="6"/>
  <c r="AB144" i="6"/>
  <c r="AC144" i="6"/>
  <c r="AD144" i="6"/>
  <c r="AA145" i="6"/>
  <c r="AB145" i="6"/>
  <c r="AC145" i="6"/>
  <c r="AD145" i="6"/>
  <c r="AA177" i="6"/>
  <c r="AB177" i="6"/>
  <c r="AC177" i="6"/>
  <c r="AD177" i="6"/>
  <c r="AA153" i="6"/>
  <c r="AB153" i="6"/>
  <c r="AC153" i="6"/>
  <c r="AD153" i="6"/>
  <c r="AA218" i="6"/>
  <c r="AB218" i="6"/>
  <c r="AC218" i="6"/>
  <c r="AD218" i="6"/>
  <c r="AA200" i="6"/>
  <c r="AB200" i="6"/>
  <c r="AC200" i="6"/>
  <c r="AD200" i="6"/>
  <c r="AA219" i="6"/>
  <c r="AB219" i="6"/>
  <c r="AC219" i="6"/>
  <c r="AD219" i="6"/>
  <c r="AA220" i="6"/>
  <c r="AB220" i="6"/>
  <c r="AC220" i="6"/>
  <c r="AD220" i="6"/>
  <c r="AA201" i="6"/>
  <c r="AB201" i="6"/>
  <c r="AC201" i="6"/>
  <c r="AD201" i="6"/>
  <c r="AA221" i="6"/>
  <c r="AB221" i="6"/>
  <c r="AC221" i="6"/>
  <c r="AD221" i="6"/>
  <c r="AA222" i="6"/>
  <c r="AB222" i="6"/>
  <c r="AC222" i="6"/>
  <c r="AD222" i="6"/>
  <c r="AA223" i="6"/>
  <c r="AB223" i="6"/>
  <c r="AC223" i="6"/>
  <c r="AD223" i="6"/>
  <c r="AA146" i="6"/>
  <c r="AB146" i="6"/>
  <c r="AC146" i="6"/>
  <c r="AD146" i="6"/>
  <c r="AA147" i="6"/>
  <c r="AB147" i="6"/>
  <c r="AC147" i="6"/>
  <c r="AD147" i="6"/>
  <c r="AA148" i="6"/>
  <c r="AB148" i="6"/>
  <c r="AC148" i="6"/>
  <c r="AD148" i="6"/>
  <c r="AA82" i="6"/>
  <c r="AB82" i="6"/>
  <c r="AC82" i="6"/>
  <c r="AD82" i="6"/>
  <c r="AA184" i="6"/>
  <c r="AB184" i="6"/>
  <c r="AC184" i="6"/>
  <c r="AD184" i="6"/>
  <c r="AA185" i="6"/>
  <c r="AB185" i="6"/>
  <c r="AC185" i="6"/>
  <c r="AD185" i="6"/>
  <c r="AA186" i="6"/>
  <c r="AB186" i="6"/>
  <c r="AC186" i="6"/>
  <c r="AD186" i="6"/>
  <c r="AA150" i="6"/>
  <c r="AB150" i="6"/>
  <c r="AC150" i="6"/>
  <c r="AD150" i="6"/>
  <c r="AA154" i="6"/>
  <c r="AB154" i="6"/>
  <c r="AC154" i="6"/>
  <c r="AD154" i="6"/>
  <c r="AA161" i="6"/>
  <c r="AB161" i="6"/>
  <c r="AC161" i="6"/>
  <c r="AD161" i="6"/>
  <c r="AA167" i="6"/>
  <c r="AB167" i="6"/>
  <c r="AC167" i="6"/>
  <c r="AD167" i="6"/>
  <c r="AA168" i="6"/>
  <c r="AB168" i="6"/>
  <c r="AC168" i="6"/>
  <c r="AD168" i="6"/>
  <c r="AA178" i="6"/>
  <c r="AB178" i="6"/>
  <c r="AC178" i="6"/>
  <c r="AD178" i="6"/>
  <c r="AA189" i="6"/>
  <c r="AB189" i="6"/>
  <c r="AC189" i="6"/>
  <c r="AD189" i="6"/>
  <c r="AA187" i="6"/>
  <c r="AB187" i="6"/>
  <c r="AC187" i="6"/>
  <c r="AD187" i="6"/>
  <c r="AA190" i="6"/>
  <c r="AB190" i="6"/>
  <c r="AC190" i="6"/>
  <c r="AD190" i="6"/>
  <c r="AA193" i="6"/>
  <c r="AB193" i="6"/>
  <c r="AC193" i="6"/>
  <c r="AD193" i="6"/>
  <c r="AA191" i="6"/>
  <c r="AB191" i="6"/>
  <c r="AC191" i="6"/>
  <c r="AD191" i="6"/>
  <c r="AA192" i="6"/>
  <c r="AB192" i="6"/>
  <c r="AC192" i="6"/>
  <c r="AD192" i="6"/>
  <c r="AA202" i="6"/>
  <c r="AB202" i="6"/>
  <c r="AC202" i="6"/>
  <c r="AD202" i="6"/>
  <c r="AA224" i="6"/>
  <c r="AB224" i="6"/>
  <c r="AC224" i="6"/>
  <c r="AD224" i="6"/>
  <c r="AA162" i="6"/>
  <c r="AB162" i="6"/>
  <c r="AC162" i="6"/>
  <c r="AD162" i="6"/>
  <c r="AA249" i="6"/>
  <c r="AB249" i="6"/>
  <c r="AC249" i="6"/>
  <c r="AD249" i="6"/>
  <c r="AA203" i="6"/>
  <c r="AB203" i="6"/>
  <c r="AC203" i="6"/>
  <c r="AD203" i="6"/>
  <c r="AA250" i="6"/>
  <c r="AB250" i="6"/>
  <c r="AC250" i="6"/>
  <c r="AD250" i="6"/>
  <c r="AA251" i="6"/>
  <c r="AB251" i="6"/>
  <c r="AC251" i="6"/>
  <c r="AD251" i="6"/>
  <c r="AA252" i="6"/>
  <c r="AB252" i="6"/>
  <c r="AC252" i="6"/>
  <c r="AD252" i="6"/>
  <c r="AA253" i="6"/>
  <c r="AB253" i="6"/>
  <c r="AC253" i="6"/>
  <c r="AD253" i="6"/>
  <c r="AA275" i="6"/>
  <c r="AB275" i="6"/>
  <c r="AC275" i="6"/>
  <c r="AD275" i="6"/>
  <c r="AA254" i="6"/>
  <c r="AB254" i="6"/>
  <c r="AC254" i="6"/>
  <c r="AD254" i="6"/>
  <c r="AA255" i="6"/>
  <c r="AB255" i="6"/>
  <c r="AC255" i="6"/>
  <c r="AD255" i="6"/>
  <c r="AA263" i="6"/>
  <c r="AB263" i="6"/>
  <c r="AC263" i="6"/>
  <c r="AD263" i="6"/>
  <c r="AA264" i="6"/>
  <c r="AB264" i="6"/>
  <c r="AC264" i="6"/>
  <c r="AD264" i="6"/>
  <c r="AA265" i="6"/>
  <c r="AB265" i="6"/>
  <c r="AC265" i="6"/>
  <c r="AD265" i="6"/>
  <c r="AA276" i="6"/>
  <c r="AB276" i="6"/>
  <c r="AC276" i="6"/>
  <c r="AD276" i="6"/>
  <c r="AA277" i="6"/>
  <c r="AB277" i="6"/>
  <c r="AC277" i="6"/>
  <c r="AD277" i="6"/>
  <c r="AA278" i="6"/>
  <c r="AB278" i="6"/>
  <c r="AC278" i="6"/>
  <c r="AD278" i="6"/>
  <c r="AA279" i="6"/>
  <c r="AB279" i="6"/>
  <c r="AC279" i="6"/>
  <c r="AD279" i="6"/>
  <c r="AA225" i="6"/>
  <c r="AB225" i="6"/>
  <c r="AC225" i="6"/>
  <c r="AD225" i="6"/>
  <c r="AA155" i="6"/>
  <c r="AB155" i="6"/>
  <c r="AC155" i="6"/>
  <c r="AD155" i="6"/>
  <c r="AA35" i="6"/>
  <c r="AB35" i="6"/>
  <c r="AC35" i="6"/>
  <c r="AD35" i="6"/>
  <c r="AA149" i="6"/>
  <c r="AB149" i="6"/>
  <c r="AC149" i="6"/>
  <c r="AD149" i="6"/>
  <c r="AA287" i="6"/>
  <c r="AB287" i="6"/>
  <c r="AC287" i="6"/>
  <c r="AD287" i="6"/>
  <c r="AA266" i="6"/>
  <c r="AB266" i="6"/>
  <c r="AC266" i="6"/>
  <c r="AD266" i="6"/>
  <c r="AA267" i="6"/>
  <c r="AB267" i="6"/>
  <c r="AC267" i="6"/>
  <c r="AD267" i="6"/>
  <c r="AA122" i="6"/>
  <c r="AB122" i="6"/>
  <c r="AC122" i="6"/>
  <c r="AD122" i="6"/>
  <c r="AA226" i="6"/>
  <c r="AB226" i="6"/>
  <c r="AC226" i="6"/>
  <c r="AD226" i="6"/>
  <c r="AA227" i="6"/>
  <c r="AB227" i="6"/>
  <c r="AC227" i="6"/>
  <c r="AD227" i="6"/>
  <c r="AA228" i="6"/>
  <c r="AB228" i="6"/>
  <c r="AC228" i="6"/>
  <c r="AD228" i="6"/>
  <c r="AA256" i="6"/>
  <c r="AB256" i="6"/>
  <c r="AC256" i="6"/>
  <c r="AD256" i="6"/>
  <c r="AA268" i="6"/>
  <c r="AB268" i="6"/>
  <c r="AC268" i="6"/>
  <c r="AD268" i="6"/>
  <c r="AA229" i="6"/>
  <c r="AB229" i="6"/>
  <c r="AC229" i="6"/>
  <c r="AD229" i="6"/>
  <c r="AA83" i="6"/>
  <c r="AB83" i="6"/>
  <c r="AC83" i="6"/>
  <c r="AD83" i="6"/>
  <c r="AA84" i="6"/>
  <c r="AB84" i="6"/>
  <c r="AC84" i="6"/>
  <c r="AD84" i="6"/>
  <c r="AA63" i="6"/>
  <c r="AB63" i="6"/>
  <c r="AC63" i="6"/>
  <c r="AD63" i="6"/>
  <c r="AA60" i="6"/>
  <c r="AB60" i="6"/>
  <c r="AC60" i="6"/>
  <c r="AD60" i="6"/>
  <c r="AA288" i="6"/>
  <c r="AB288" i="6"/>
  <c r="AC288" i="6"/>
  <c r="AD288" i="6"/>
  <c r="AA289" i="6"/>
  <c r="AB289" i="6"/>
  <c r="AC289" i="6"/>
  <c r="AD289" i="6"/>
  <c r="AA290" i="6"/>
  <c r="AB290" i="6"/>
  <c r="AC290" i="6"/>
  <c r="AD290" i="6"/>
  <c r="AA291" i="6"/>
  <c r="AB291" i="6"/>
  <c r="AC291" i="6"/>
  <c r="AD291" i="6"/>
  <c r="AA292" i="6"/>
  <c r="AB292" i="6"/>
  <c r="AC292" i="6"/>
  <c r="AD292" i="6"/>
  <c r="AA169" i="6"/>
  <c r="AB169" i="6"/>
  <c r="AC169" i="6"/>
  <c r="AD169" i="6"/>
  <c r="AA170" i="6"/>
  <c r="AB170" i="6"/>
  <c r="AC170" i="6"/>
  <c r="AD170" i="6"/>
  <c r="AA179" i="6"/>
  <c r="AB179" i="6"/>
  <c r="AC179" i="6"/>
  <c r="AD179" i="6"/>
  <c r="AA156" i="6"/>
  <c r="AB156" i="6"/>
  <c r="AC156" i="6"/>
  <c r="AD156" i="6"/>
  <c r="AA171" i="6"/>
  <c r="AB171" i="6"/>
  <c r="AC171" i="6"/>
  <c r="AD171" i="6"/>
  <c r="AA257" i="6"/>
  <c r="AB257" i="6"/>
  <c r="AC257" i="6"/>
  <c r="AD257" i="6"/>
  <c r="AA293" i="6"/>
  <c r="AB293" i="6"/>
  <c r="AC293" i="6"/>
  <c r="AD293" i="6"/>
  <c r="AA61" i="6"/>
  <c r="AB61" i="6"/>
  <c r="AC61" i="6"/>
  <c r="AD61" i="6"/>
  <c r="AA15" i="6"/>
  <c r="AB15" i="6"/>
  <c r="AC15" i="6"/>
  <c r="AD15" i="6"/>
  <c r="AA16" i="6"/>
  <c r="AB16" i="6"/>
  <c r="AC16" i="6"/>
  <c r="AD16" i="6"/>
  <c r="AA17" i="6"/>
  <c r="AB17" i="6"/>
  <c r="AC17" i="6"/>
  <c r="AD17" i="6"/>
  <c r="AA18" i="6"/>
  <c r="AB18" i="6"/>
  <c r="AC18" i="6"/>
  <c r="AD18" i="6"/>
  <c r="AA19" i="6"/>
  <c r="AB19" i="6"/>
  <c r="AC19" i="6"/>
  <c r="AD19" i="6"/>
  <c r="AA20" i="6"/>
  <c r="AB20" i="6"/>
  <c r="AC20" i="6"/>
  <c r="AD20" i="6"/>
  <c r="AA180" i="6"/>
  <c r="AB180" i="6"/>
  <c r="AC180" i="6"/>
  <c r="AD180" i="6"/>
  <c r="AA36" i="6"/>
  <c r="AB36" i="6"/>
  <c r="AC36" i="6"/>
  <c r="AD36" i="6"/>
  <c r="AA181" i="6"/>
  <c r="AB181" i="6"/>
  <c r="AC181" i="6"/>
  <c r="AD181" i="6"/>
  <c r="AA295" i="6"/>
  <c r="AB295" i="6"/>
  <c r="AC295" i="6"/>
  <c r="AD295" i="6"/>
  <c r="AA172" i="6"/>
  <c r="AB172" i="6"/>
  <c r="AC172" i="6"/>
  <c r="AD172" i="6"/>
  <c r="AA182" i="6"/>
  <c r="AB182" i="6"/>
  <c r="AC182" i="6"/>
  <c r="AD182" i="6"/>
  <c r="AA183" i="6"/>
  <c r="AB183" i="6"/>
  <c r="AC183" i="6"/>
  <c r="AD183" i="6"/>
  <c r="AA102" i="6"/>
  <c r="AB102" i="6"/>
  <c r="AC102" i="6"/>
  <c r="AD102" i="6"/>
  <c r="AA296" i="6"/>
  <c r="AB296" i="6"/>
  <c r="AC296" i="6"/>
  <c r="AD296" i="6"/>
  <c r="AA297" i="6"/>
  <c r="AB297" i="6"/>
  <c r="AC297" i="6"/>
  <c r="AD297" i="6"/>
  <c r="AA298" i="6"/>
  <c r="AB298" i="6"/>
  <c r="AC298" i="6"/>
  <c r="AD298" i="6"/>
  <c r="AA299" i="6"/>
  <c r="AB299" i="6"/>
  <c r="AC299" i="6"/>
  <c r="AD299" i="6"/>
  <c r="AA300" i="6"/>
  <c r="AB300" i="6"/>
  <c r="AC300" i="6"/>
  <c r="AD300" i="6"/>
  <c r="AA301" i="6"/>
  <c r="AB301" i="6"/>
  <c r="AC301" i="6"/>
  <c r="AD301" i="6"/>
  <c r="AA302" i="6"/>
  <c r="AB302" i="6"/>
  <c r="AC302" i="6"/>
  <c r="AD302" i="6"/>
  <c r="AA303" i="6"/>
  <c r="AB303" i="6"/>
  <c r="AC303" i="6"/>
  <c r="AD303" i="6"/>
  <c r="AA304" i="6"/>
  <c r="AB304" i="6"/>
  <c r="AC304" i="6"/>
  <c r="AD304" i="6"/>
  <c r="AA305" i="6"/>
  <c r="AB305" i="6"/>
  <c r="AC305" i="6"/>
  <c r="AD305" i="6"/>
  <c r="AA306" i="6"/>
  <c r="AB306" i="6"/>
  <c r="AC306" i="6"/>
  <c r="AD306" i="6"/>
  <c r="AA307" i="6"/>
  <c r="AB307" i="6"/>
  <c r="AC307" i="6"/>
  <c r="AD307" i="6"/>
  <c r="AA308" i="6"/>
  <c r="AB308" i="6"/>
  <c r="AC308" i="6"/>
  <c r="AD308" i="6"/>
  <c r="AA309" i="6"/>
  <c r="AB309" i="6"/>
  <c r="AC309" i="6"/>
  <c r="AD309" i="6"/>
  <c r="AA310" i="6"/>
  <c r="AB310" i="6"/>
  <c r="AC310" i="6"/>
  <c r="AD310" i="6"/>
  <c r="AA312" i="6"/>
  <c r="AB312" i="6"/>
  <c r="AC312" i="6"/>
  <c r="AD312" i="6"/>
  <c r="AA313" i="6"/>
  <c r="AB313" i="6"/>
  <c r="AC313" i="6"/>
  <c r="AD313" i="6"/>
  <c r="AA314" i="6"/>
  <c r="AB314" i="6"/>
  <c r="AC314" i="6"/>
  <c r="AD314" i="6"/>
  <c r="AA315" i="6"/>
  <c r="AB315" i="6"/>
  <c r="AC315" i="6"/>
  <c r="AD315" i="6"/>
  <c r="AA316" i="6"/>
  <c r="AB316" i="6"/>
  <c r="AC316" i="6"/>
  <c r="AD316" i="6"/>
  <c r="AA317" i="6"/>
  <c r="AB317" i="6"/>
  <c r="AC317" i="6"/>
  <c r="AD317" i="6"/>
  <c r="AA318" i="6"/>
  <c r="AB318" i="6"/>
  <c r="AC318" i="6"/>
  <c r="AD318" i="6"/>
  <c r="AA319" i="6"/>
  <c r="AB319" i="6"/>
  <c r="AC319" i="6"/>
  <c r="AD319" i="6"/>
  <c r="AA320" i="6"/>
  <c r="AB320" i="6"/>
  <c r="AC320" i="6"/>
  <c r="AD320" i="6"/>
  <c r="AA321" i="6"/>
  <c r="AB321" i="6"/>
  <c r="AC321" i="6"/>
  <c r="AD321" i="6"/>
  <c r="AA322" i="6"/>
  <c r="AB322" i="6"/>
  <c r="AC322" i="6"/>
  <c r="AD322" i="6"/>
  <c r="AA323" i="6"/>
  <c r="AB323" i="6"/>
  <c r="AC323" i="6"/>
  <c r="AD323" i="6"/>
  <c r="AA324" i="6"/>
  <c r="AB324" i="6"/>
  <c r="AC324" i="6"/>
  <c r="AD324" i="6"/>
  <c r="AA325" i="6"/>
  <c r="AB325" i="6"/>
  <c r="AC325" i="6"/>
  <c r="AD325" i="6"/>
  <c r="AA326" i="6"/>
  <c r="AB326" i="6"/>
  <c r="AC326" i="6"/>
  <c r="AD326" i="6"/>
  <c r="AA327" i="6"/>
  <c r="AB327" i="6"/>
  <c r="AC327" i="6"/>
  <c r="AD327" i="6"/>
  <c r="AA328" i="6"/>
  <c r="AB328" i="6"/>
  <c r="AC328" i="6"/>
  <c r="AD328" i="6"/>
  <c r="AA329" i="6"/>
  <c r="AB329" i="6"/>
  <c r="AC329" i="6"/>
  <c r="AD329" i="6"/>
  <c r="AA330" i="6"/>
  <c r="AB330" i="6"/>
  <c r="AC330" i="6"/>
  <c r="AD330" i="6"/>
  <c r="AA331" i="6"/>
  <c r="AB331" i="6"/>
  <c r="AC331" i="6"/>
  <c r="AD331" i="6"/>
  <c r="AA332" i="6"/>
  <c r="AB332" i="6"/>
  <c r="AC332" i="6"/>
  <c r="AD332" i="6"/>
  <c r="AA333" i="6"/>
  <c r="AB333" i="6"/>
  <c r="AC333" i="6"/>
  <c r="AD333" i="6"/>
  <c r="AA334" i="6"/>
  <c r="AB334" i="6"/>
  <c r="AC334" i="6"/>
  <c r="AD334" i="6"/>
  <c r="AA335" i="6"/>
  <c r="AB335" i="6"/>
  <c r="AC335" i="6"/>
  <c r="AD335" i="6"/>
  <c r="AA336" i="6"/>
  <c r="AB336" i="6"/>
  <c r="AC336" i="6"/>
  <c r="AD336" i="6"/>
  <c r="AA337" i="6"/>
  <c r="AB337" i="6"/>
  <c r="AC337" i="6"/>
  <c r="AD337" i="6"/>
  <c r="AA338" i="6"/>
  <c r="AB338" i="6"/>
  <c r="AC338" i="6"/>
  <c r="AD338" i="6"/>
  <c r="AA343" i="6"/>
  <c r="AB343" i="6"/>
  <c r="AC343" i="6"/>
  <c r="AD343" i="6"/>
  <c r="AA339" i="6"/>
  <c r="AB339" i="6"/>
  <c r="AC339" i="6"/>
  <c r="AD339" i="6"/>
  <c r="AA340" i="6"/>
  <c r="AB340" i="6"/>
  <c r="AC340" i="6"/>
  <c r="AD340" i="6"/>
  <c r="AA344" i="6"/>
  <c r="AB344" i="6"/>
  <c r="AC344" i="6"/>
  <c r="AD344" i="6"/>
  <c r="AA341" i="6"/>
  <c r="AB341" i="6"/>
  <c r="AC341" i="6"/>
  <c r="AD341" i="6"/>
  <c r="AA342" i="6"/>
  <c r="AB342" i="6"/>
  <c r="AC342" i="6"/>
  <c r="AD342" i="6"/>
  <c r="AA358" i="6"/>
  <c r="AB358" i="6"/>
  <c r="AC358" i="6"/>
  <c r="AD358" i="6"/>
  <c r="AA345" i="6"/>
  <c r="AB345" i="6"/>
  <c r="AC345" i="6"/>
  <c r="AD345" i="6"/>
  <c r="AA359" i="6"/>
  <c r="AB359" i="6"/>
  <c r="AC359" i="6"/>
  <c r="AD359" i="6"/>
  <c r="AA346" i="6"/>
  <c r="AB346" i="6"/>
  <c r="AC346" i="6"/>
  <c r="AD346" i="6"/>
  <c r="AA347" i="6"/>
  <c r="AB347" i="6"/>
  <c r="AC347" i="6"/>
  <c r="AD347" i="6"/>
  <c r="AA348" i="6"/>
  <c r="AB348" i="6"/>
  <c r="AC348" i="6"/>
  <c r="AD348" i="6"/>
  <c r="AA349" i="6"/>
  <c r="AB349" i="6"/>
  <c r="AC349" i="6"/>
  <c r="AD349" i="6"/>
  <c r="AA350" i="6"/>
  <c r="AB350" i="6"/>
  <c r="AC350" i="6"/>
  <c r="AD350" i="6"/>
  <c r="AA351" i="6"/>
  <c r="AB351" i="6"/>
  <c r="AC351" i="6"/>
  <c r="AD351" i="6"/>
  <c r="AA352" i="6"/>
  <c r="AB352" i="6"/>
  <c r="AC352" i="6"/>
  <c r="AD352" i="6"/>
  <c r="AA353" i="6"/>
  <c r="AB353" i="6"/>
  <c r="AC353" i="6"/>
  <c r="AD353" i="6"/>
  <c r="AA360" i="6"/>
  <c r="AB360" i="6"/>
  <c r="AC360" i="6"/>
  <c r="AD360" i="6"/>
  <c r="AA361" i="6"/>
  <c r="AB361" i="6"/>
  <c r="AC361" i="6"/>
  <c r="AD361" i="6"/>
  <c r="AA362" i="6"/>
  <c r="AB362" i="6"/>
  <c r="AC362" i="6"/>
  <c r="AD362" i="6"/>
  <c r="AA363" i="6"/>
  <c r="AB363" i="6"/>
  <c r="AC363" i="6"/>
  <c r="AD363" i="6"/>
  <c r="AA364" i="6"/>
  <c r="AB364" i="6"/>
  <c r="AC364" i="6"/>
  <c r="AD364" i="6"/>
  <c r="AA365" i="6"/>
  <c r="AB365" i="6"/>
  <c r="AC365" i="6"/>
  <c r="AD365" i="6"/>
  <c r="AA366" i="6"/>
  <c r="AB366" i="6"/>
  <c r="AC366" i="6"/>
  <c r="AD366" i="6"/>
  <c r="AA354" i="6"/>
  <c r="AB354" i="6"/>
  <c r="AC354" i="6"/>
  <c r="AD354" i="6"/>
  <c r="AA355" i="6"/>
  <c r="AB355" i="6"/>
  <c r="AC355" i="6"/>
  <c r="AD355" i="6"/>
  <c r="AA356" i="6"/>
  <c r="AB356" i="6"/>
  <c r="AC356" i="6"/>
  <c r="AD356" i="6"/>
  <c r="AA357" i="6"/>
  <c r="AB357" i="6"/>
  <c r="AC357" i="6"/>
  <c r="AD357" i="6"/>
  <c r="AA367" i="6"/>
  <c r="AB367" i="6"/>
  <c r="AC367" i="6"/>
  <c r="AD367" i="6"/>
  <c r="AA368" i="6"/>
  <c r="AB368" i="6"/>
  <c r="AC368" i="6"/>
  <c r="AD368" i="6"/>
  <c r="AA369" i="6"/>
  <c r="AB369" i="6"/>
  <c r="AC369" i="6"/>
  <c r="AD369" i="6"/>
  <c r="AA370" i="6"/>
  <c r="AB370" i="6"/>
  <c r="AC370" i="6"/>
  <c r="AD370" i="6"/>
  <c r="AA371" i="6"/>
  <c r="AB371" i="6"/>
  <c r="AC371" i="6"/>
  <c r="AD371" i="6"/>
  <c r="AA372" i="6"/>
  <c r="AB372" i="6"/>
  <c r="AC372" i="6"/>
  <c r="AD372" i="6"/>
  <c r="AA373" i="6"/>
  <c r="AB373" i="6"/>
  <c r="AC373" i="6"/>
  <c r="AD373" i="6"/>
  <c r="AA374" i="6"/>
  <c r="AB374" i="6"/>
  <c r="AC374" i="6"/>
  <c r="AD374" i="6"/>
  <c r="AA375" i="6"/>
  <c r="AB375" i="6"/>
  <c r="AC375" i="6"/>
  <c r="AD375" i="6"/>
  <c r="AA376" i="6"/>
  <c r="AB376" i="6"/>
  <c r="AC376" i="6"/>
  <c r="AD376" i="6"/>
  <c r="AA377" i="6"/>
  <c r="AB377" i="6"/>
  <c r="AC377" i="6"/>
  <c r="AD377" i="6"/>
  <c r="AA379" i="6"/>
  <c r="AB379" i="6"/>
  <c r="AC379" i="6"/>
  <c r="AD379" i="6"/>
  <c r="AA382" i="6"/>
  <c r="AB382" i="6"/>
  <c r="AC382" i="6"/>
  <c r="AD382" i="6"/>
  <c r="AA378" i="6"/>
  <c r="AB378" i="6"/>
  <c r="AC378" i="6"/>
  <c r="AD378" i="6"/>
  <c r="AA381" i="6"/>
  <c r="AB381" i="6"/>
  <c r="AC381" i="6"/>
  <c r="AD381" i="6"/>
  <c r="AA380" i="6"/>
  <c r="AB380" i="6"/>
  <c r="AC380" i="6"/>
  <c r="AD380" i="6"/>
  <c r="AA406" i="6"/>
  <c r="AB406" i="6"/>
  <c r="AC406" i="6"/>
  <c r="AD406" i="6"/>
  <c r="AA384" i="6"/>
  <c r="AB384" i="6"/>
  <c r="AC384" i="6"/>
  <c r="AD384" i="6"/>
  <c r="AA405" i="6"/>
  <c r="AB405" i="6"/>
  <c r="AC405" i="6"/>
  <c r="AD405" i="6"/>
  <c r="AA404" i="6"/>
  <c r="AB404" i="6"/>
  <c r="AC404" i="6"/>
  <c r="AD404" i="6"/>
  <c r="AA387" i="6"/>
  <c r="AB387" i="6"/>
  <c r="AC387" i="6"/>
  <c r="AD387" i="6"/>
  <c r="AA388" i="6"/>
  <c r="AB388" i="6"/>
  <c r="AC388" i="6"/>
  <c r="AD388" i="6"/>
  <c r="AA389" i="6"/>
  <c r="AB389" i="6"/>
  <c r="AC389" i="6"/>
  <c r="AD389" i="6"/>
  <c r="AA390" i="6"/>
  <c r="AB390" i="6"/>
  <c r="AC390" i="6"/>
  <c r="AD390" i="6"/>
  <c r="AA391" i="6"/>
  <c r="AB391" i="6"/>
  <c r="AC391" i="6"/>
  <c r="AD391" i="6"/>
  <c r="AA386" i="6"/>
  <c r="AB386" i="6"/>
  <c r="AC386" i="6"/>
  <c r="AD386" i="6"/>
  <c r="AA402" i="6"/>
  <c r="AB402" i="6"/>
  <c r="AC402" i="6"/>
  <c r="AD402" i="6"/>
  <c r="AA392" i="6"/>
  <c r="AB392" i="6"/>
  <c r="AC392" i="6"/>
  <c r="AD392" i="6"/>
  <c r="AA393" i="6"/>
  <c r="AB393" i="6"/>
  <c r="AC393" i="6"/>
  <c r="AD393" i="6"/>
  <c r="AA394" i="6"/>
  <c r="AB394" i="6"/>
  <c r="AC394" i="6"/>
  <c r="AD394" i="6"/>
  <c r="AA395" i="6"/>
  <c r="AB395" i="6"/>
  <c r="AC395" i="6"/>
  <c r="AD395" i="6"/>
  <c r="AA396" i="6"/>
  <c r="AB396" i="6"/>
  <c r="AC396" i="6"/>
  <c r="AD396" i="6"/>
  <c r="AA397" i="6"/>
  <c r="AB397" i="6"/>
  <c r="AC397" i="6"/>
  <c r="AD397" i="6"/>
  <c r="AA383" i="6"/>
  <c r="AB383" i="6"/>
  <c r="AC383" i="6"/>
  <c r="AD383" i="6"/>
  <c r="AA403" i="6"/>
  <c r="AB403" i="6"/>
  <c r="AC403" i="6"/>
  <c r="AD403" i="6"/>
  <c r="AA398" i="6"/>
  <c r="AB398" i="6"/>
  <c r="AC398" i="6"/>
  <c r="AD398" i="6"/>
  <c r="AA385" i="6"/>
  <c r="AB385" i="6"/>
  <c r="AC385" i="6"/>
  <c r="AD385" i="6"/>
  <c r="AA407" i="6"/>
  <c r="AB407" i="6"/>
  <c r="AC407" i="6"/>
  <c r="AD407" i="6"/>
  <c r="AA399" i="6"/>
  <c r="AB399" i="6"/>
  <c r="AC399" i="6"/>
  <c r="AD399" i="6"/>
  <c r="AA400" i="6"/>
  <c r="AB400" i="6"/>
  <c r="AC400" i="6"/>
  <c r="AD400" i="6"/>
  <c r="AA401" i="6"/>
  <c r="AB401" i="6"/>
  <c r="AC401" i="6"/>
  <c r="AD401" i="6"/>
  <c r="AA2" i="6"/>
  <c r="AB2" i="6"/>
  <c r="AC2" i="6"/>
  <c r="AD2" i="6"/>
  <c r="X2" i="6"/>
  <c r="W2" i="6"/>
  <c r="V2" i="6"/>
  <c r="U2" i="6"/>
  <c r="U3" i="6"/>
  <c r="V3" i="6"/>
  <c r="W3" i="6"/>
  <c r="X3" i="6"/>
  <c r="U4" i="6"/>
  <c r="V4" i="6"/>
  <c r="W4" i="6"/>
  <c r="X4" i="6"/>
  <c r="U5" i="6"/>
  <c r="V5" i="6"/>
  <c r="W5" i="6"/>
  <c r="X5" i="6"/>
  <c r="U6" i="6"/>
  <c r="V6" i="6"/>
  <c r="W6" i="6"/>
  <c r="X6" i="6"/>
  <c r="U21" i="6"/>
  <c r="V21" i="6"/>
  <c r="W21" i="6"/>
  <c r="X21" i="6"/>
  <c r="U22" i="6"/>
  <c r="V22" i="6"/>
  <c r="W22" i="6"/>
  <c r="X22" i="6"/>
  <c r="U23" i="6"/>
  <c r="V23" i="6"/>
  <c r="W23" i="6"/>
  <c r="X23" i="6"/>
  <c r="U47" i="6"/>
  <c r="V47" i="6"/>
  <c r="W47" i="6"/>
  <c r="X47" i="6"/>
  <c r="U7" i="6"/>
  <c r="V7" i="6"/>
  <c r="W7" i="6"/>
  <c r="X7" i="6"/>
  <c r="U48" i="6"/>
  <c r="V48" i="6"/>
  <c r="W48" i="6"/>
  <c r="X48" i="6"/>
  <c r="U8" i="6"/>
  <c r="V8" i="6"/>
  <c r="W8" i="6"/>
  <c r="X8" i="6"/>
  <c r="U27" i="6"/>
  <c r="V27" i="6"/>
  <c r="W27" i="6"/>
  <c r="X27" i="6"/>
  <c r="U28" i="6"/>
  <c r="V28" i="6"/>
  <c r="W28" i="6"/>
  <c r="X28" i="6"/>
  <c r="U29" i="6"/>
  <c r="V29" i="6"/>
  <c r="W29" i="6"/>
  <c r="X29" i="6"/>
  <c r="U30" i="6"/>
  <c r="V30" i="6"/>
  <c r="W30" i="6"/>
  <c r="X30" i="6"/>
  <c r="U86" i="6"/>
  <c r="V86" i="6"/>
  <c r="W86" i="6"/>
  <c r="X86" i="6"/>
  <c r="U87" i="6"/>
  <c r="V87" i="6"/>
  <c r="W87" i="6"/>
  <c r="X87" i="6"/>
  <c r="U64" i="6"/>
  <c r="V64" i="6"/>
  <c r="W64" i="6"/>
  <c r="X64" i="6"/>
  <c r="U88" i="6"/>
  <c r="V88" i="6"/>
  <c r="W88" i="6"/>
  <c r="X88" i="6"/>
  <c r="U37" i="6"/>
  <c r="V37" i="6"/>
  <c r="W37" i="6"/>
  <c r="X37" i="6"/>
  <c r="U40" i="6"/>
  <c r="V40" i="6"/>
  <c r="W40" i="6"/>
  <c r="X40" i="6"/>
  <c r="U41" i="6"/>
  <c r="V41" i="6"/>
  <c r="W41" i="6"/>
  <c r="X41" i="6"/>
  <c r="U42" i="6"/>
  <c r="V42" i="6"/>
  <c r="W42" i="6"/>
  <c r="X42" i="6"/>
  <c r="U45" i="6"/>
  <c r="V45" i="6"/>
  <c r="W45" i="6"/>
  <c r="X45" i="6"/>
  <c r="U43" i="6"/>
  <c r="V43" i="6"/>
  <c r="W43" i="6"/>
  <c r="X43" i="6"/>
  <c r="U280" i="6"/>
  <c r="V280" i="6"/>
  <c r="W280" i="6"/>
  <c r="X280" i="6"/>
  <c r="U9" i="6"/>
  <c r="V9" i="6"/>
  <c r="W9" i="6"/>
  <c r="X9" i="6"/>
  <c r="U49" i="6"/>
  <c r="V49" i="6"/>
  <c r="W49" i="6"/>
  <c r="X49" i="6"/>
  <c r="U50" i="6"/>
  <c r="V50" i="6"/>
  <c r="W50" i="6"/>
  <c r="X50" i="6"/>
  <c r="U10" i="6"/>
  <c r="V10" i="6"/>
  <c r="W10" i="6"/>
  <c r="X10" i="6"/>
  <c r="U114" i="6"/>
  <c r="V114" i="6"/>
  <c r="W114" i="6"/>
  <c r="X114" i="6"/>
  <c r="U11" i="6"/>
  <c r="V11" i="6"/>
  <c r="W11" i="6"/>
  <c r="X11" i="6"/>
  <c r="U51" i="6"/>
  <c r="V51" i="6"/>
  <c r="W51" i="6"/>
  <c r="X51" i="6"/>
  <c r="U52" i="6"/>
  <c r="V52" i="6"/>
  <c r="W52" i="6"/>
  <c r="X52" i="6"/>
  <c r="U62" i="6"/>
  <c r="V62" i="6"/>
  <c r="W62" i="6"/>
  <c r="X62" i="6"/>
  <c r="U53" i="6"/>
  <c r="V53" i="6"/>
  <c r="W53" i="6"/>
  <c r="X53" i="6"/>
  <c r="U65" i="6"/>
  <c r="V65" i="6"/>
  <c r="W65" i="6"/>
  <c r="X65" i="6"/>
  <c r="U66" i="6"/>
  <c r="V66" i="6"/>
  <c r="W66" i="6"/>
  <c r="X66" i="6"/>
  <c r="U67" i="6"/>
  <c r="V67" i="6"/>
  <c r="W67" i="6"/>
  <c r="X67" i="6"/>
  <c r="U68" i="6"/>
  <c r="V68" i="6"/>
  <c r="W68" i="6"/>
  <c r="X68" i="6"/>
  <c r="U69" i="6"/>
  <c r="V69" i="6"/>
  <c r="W69" i="6"/>
  <c r="X69" i="6"/>
  <c r="U204" i="6"/>
  <c r="V204" i="6"/>
  <c r="W204" i="6"/>
  <c r="X204" i="6"/>
  <c r="U157" i="6"/>
  <c r="V157" i="6"/>
  <c r="W157" i="6"/>
  <c r="X157" i="6"/>
  <c r="U70" i="6"/>
  <c r="V70" i="6"/>
  <c r="W70" i="6"/>
  <c r="X70" i="6"/>
  <c r="U106" i="6"/>
  <c r="V106" i="6"/>
  <c r="W106" i="6"/>
  <c r="X106" i="6"/>
  <c r="U205" i="6"/>
  <c r="V205" i="6"/>
  <c r="W205" i="6"/>
  <c r="X205" i="6"/>
  <c r="U89" i="6"/>
  <c r="V89" i="6"/>
  <c r="W89" i="6"/>
  <c r="X89" i="6"/>
  <c r="U90" i="6"/>
  <c r="V90" i="6"/>
  <c r="W90" i="6"/>
  <c r="X90" i="6"/>
  <c r="U85" i="6"/>
  <c r="V85" i="6"/>
  <c r="W85" i="6"/>
  <c r="X85" i="6"/>
  <c r="U91" i="6"/>
  <c r="V91" i="6"/>
  <c r="W91" i="6"/>
  <c r="X91" i="6"/>
  <c r="U92" i="6"/>
  <c r="V92" i="6"/>
  <c r="W92" i="6"/>
  <c r="X92" i="6"/>
  <c r="U93" i="6"/>
  <c r="V93" i="6"/>
  <c r="W93" i="6"/>
  <c r="X93" i="6"/>
  <c r="U94" i="6"/>
  <c r="V94" i="6"/>
  <c r="W94" i="6"/>
  <c r="X94" i="6"/>
  <c r="U95" i="6"/>
  <c r="V95" i="6"/>
  <c r="W95" i="6"/>
  <c r="X95" i="6"/>
  <c r="U96" i="6"/>
  <c r="V96" i="6"/>
  <c r="W96" i="6"/>
  <c r="X96" i="6"/>
  <c r="U103" i="6"/>
  <c r="V103" i="6"/>
  <c r="W103" i="6"/>
  <c r="X103" i="6"/>
  <c r="U97" i="6"/>
  <c r="V97" i="6"/>
  <c r="W97" i="6"/>
  <c r="X97" i="6"/>
  <c r="U230" i="6"/>
  <c r="V230" i="6"/>
  <c r="W230" i="6"/>
  <c r="X230" i="6"/>
  <c r="U231" i="6"/>
  <c r="V231" i="6"/>
  <c r="W231" i="6"/>
  <c r="X231" i="6"/>
  <c r="U71" i="6"/>
  <c r="V71" i="6"/>
  <c r="W71" i="6"/>
  <c r="X71" i="6"/>
  <c r="U104" i="6"/>
  <c r="V104" i="6"/>
  <c r="W104" i="6"/>
  <c r="X104" i="6"/>
  <c r="U105" i="6"/>
  <c r="V105" i="6"/>
  <c r="W105" i="6"/>
  <c r="X105" i="6"/>
  <c r="U98" i="6"/>
  <c r="V98" i="6"/>
  <c r="W98" i="6"/>
  <c r="X98" i="6"/>
  <c r="U99" i="6"/>
  <c r="V99" i="6"/>
  <c r="W99" i="6"/>
  <c r="X99" i="6"/>
  <c r="U100" i="6"/>
  <c r="V100" i="6"/>
  <c r="W100" i="6"/>
  <c r="X100" i="6"/>
  <c r="U107" i="6"/>
  <c r="V107" i="6"/>
  <c r="W107" i="6"/>
  <c r="X107" i="6"/>
  <c r="U108" i="6"/>
  <c r="V108" i="6"/>
  <c r="W108" i="6"/>
  <c r="X108" i="6"/>
  <c r="U109" i="6"/>
  <c r="V109" i="6"/>
  <c r="W109" i="6"/>
  <c r="X109" i="6"/>
  <c r="U101" i="6"/>
  <c r="V101" i="6"/>
  <c r="W101" i="6"/>
  <c r="X101" i="6"/>
  <c r="U54" i="6"/>
  <c r="V54" i="6"/>
  <c r="W54" i="6"/>
  <c r="X54" i="6"/>
  <c r="U115" i="6"/>
  <c r="V115" i="6"/>
  <c r="W115" i="6"/>
  <c r="X115" i="6"/>
  <c r="U116" i="6"/>
  <c r="V116" i="6"/>
  <c r="W116" i="6"/>
  <c r="X116" i="6"/>
  <c r="U117" i="6"/>
  <c r="V117" i="6"/>
  <c r="W117" i="6"/>
  <c r="X117" i="6"/>
  <c r="U55" i="6"/>
  <c r="V55" i="6"/>
  <c r="W55" i="6"/>
  <c r="X55" i="6"/>
  <c r="U123" i="6"/>
  <c r="V123" i="6"/>
  <c r="W123" i="6"/>
  <c r="X123" i="6"/>
  <c r="U124" i="6"/>
  <c r="V124" i="6"/>
  <c r="W124" i="6"/>
  <c r="X124" i="6"/>
  <c r="U125" i="6"/>
  <c r="V125" i="6"/>
  <c r="W125" i="6"/>
  <c r="X125" i="6"/>
  <c r="U129" i="6"/>
  <c r="V129" i="6"/>
  <c r="W129" i="6"/>
  <c r="X129" i="6"/>
  <c r="U130" i="6"/>
  <c r="V130" i="6"/>
  <c r="W130" i="6"/>
  <c r="X130" i="6"/>
  <c r="U269" i="6"/>
  <c r="V269" i="6"/>
  <c r="W269" i="6"/>
  <c r="X269" i="6"/>
  <c r="U158" i="6"/>
  <c r="V158" i="6"/>
  <c r="W158" i="6"/>
  <c r="X158" i="6"/>
  <c r="U110" i="6"/>
  <c r="V110" i="6"/>
  <c r="W110" i="6"/>
  <c r="X110" i="6"/>
  <c r="U111" i="6"/>
  <c r="V111" i="6"/>
  <c r="W111" i="6"/>
  <c r="X111" i="6"/>
  <c r="U112" i="6"/>
  <c r="V112" i="6"/>
  <c r="W112" i="6"/>
  <c r="X112" i="6"/>
  <c r="U31" i="6"/>
  <c r="V31" i="6"/>
  <c r="W31" i="6"/>
  <c r="X31" i="6"/>
  <c r="U163" i="6"/>
  <c r="V163" i="6"/>
  <c r="W163" i="6"/>
  <c r="X163" i="6"/>
  <c r="U164" i="6"/>
  <c r="V164" i="6"/>
  <c r="W164" i="6"/>
  <c r="X164" i="6"/>
  <c r="U165" i="6"/>
  <c r="V165" i="6"/>
  <c r="W165" i="6"/>
  <c r="X165" i="6"/>
  <c r="U206" i="6"/>
  <c r="V206" i="6"/>
  <c r="W206" i="6"/>
  <c r="X206" i="6"/>
  <c r="U139" i="6"/>
  <c r="V139" i="6"/>
  <c r="W139" i="6"/>
  <c r="X139" i="6"/>
  <c r="U166" i="6"/>
  <c r="V166" i="6"/>
  <c r="W166" i="6"/>
  <c r="X166" i="6"/>
  <c r="U56" i="6"/>
  <c r="V56" i="6"/>
  <c r="W56" i="6"/>
  <c r="X56" i="6"/>
  <c r="U281" i="6"/>
  <c r="V281" i="6"/>
  <c r="W281" i="6"/>
  <c r="X281" i="6"/>
  <c r="U232" i="6"/>
  <c r="V232" i="6"/>
  <c r="W232" i="6"/>
  <c r="X232" i="6"/>
  <c r="U194" i="6"/>
  <c r="V194" i="6"/>
  <c r="W194" i="6"/>
  <c r="X194" i="6"/>
  <c r="U140" i="6"/>
  <c r="V140" i="6"/>
  <c r="W140" i="6"/>
  <c r="X140" i="6"/>
  <c r="U173" i="6"/>
  <c r="V173" i="6"/>
  <c r="W173" i="6"/>
  <c r="X173" i="6"/>
  <c r="U174" i="6"/>
  <c r="V174" i="6"/>
  <c r="W174" i="6"/>
  <c r="X174" i="6"/>
  <c r="U131" i="6"/>
  <c r="V131" i="6"/>
  <c r="W131" i="6"/>
  <c r="X131" i="6"/>
  <c r="U12" i="6"/>
  <c r="V12" i="6"/>
  <c r="W12" i="6"/>
  <c r="X12" i="6"/>
  <c r="U294" i="6"/>
  <c r="V294" i="6"/>
  <c r="W294" i="6"/>
  <c r="X294" i="6"/>
  <c r="U195" i="6"/>
  <c r="V195" i="6"/>
  <c r="W195" i="6"/>
  <c r="X195" i="6"/>
  <c r="U207" i="6"/>
  <c r="V207" i="6"/>
  <c r="W207" i="6"/>
  <c r="X207" i="6"/>
  <c r="U141" i="6"/>
  <c r="V141" i="6"/>
  <c r="W141" i="6"/>
  <c r="X141" i="6"/>
  <c r="U208" i="6"/>
  <c r="V208" i="6"/>
  <c r="W208" i="6"/>
  <c r="X208" i="6"/>
  <c r="U132" i="6"/>
  <c r="V132" i="6"/>
  <c r="W132" i="6"/>
  <c r="X132" i="6"/>
  <c r="U13" i="6"/>
  <c r="V13" i="6"/>
  <c r="W13" i="6"/>
  <c r="X13" i="6"/>
  <c r="U46" i="6"/>
  <c r="V46" i="6"/>
  <c r="W46" i="6"/>
  <c r="X46" i="6"/>
  <c r="U258" i="6"/>
  <c r="V258" i="6"/>
  <c r="W258" i="6"/>
  <c r="X258" i="6"/>
  <c r="U24" i="6"/>
  <c r="V24" i="6"/>
  <c r="W24" i="6"/>
  <c r="X24" i="6"/>
  <c r="U233" i="6"/>
  <c r="V233" i="6"/>
  <c r="W233" i="6"/>
  <c r="X233" i="6"/>
  <c r="U196" i="6"/>
  <c r="V196" i="6"/>
  <c r="W196" i="6"/>
  <c r="X196" i="6"/>
  <c r="U72" i="6"/>
  <c r="V72" i="6"/>
  <c r="W72" i="6"/>
  <c r="X72" i="6"/>
  <c r="U259" i="6"/>
  <c r="V259" i="6"/>
  <c r="W259" i="6"/>
  <c r="X259" i="6"/>
  <c r="U38" i="6"/>
  <c r="V38" i="6"/>
  <c r="W38" i="6"/>
  <c r="X38" i="6"/>
  <c r="U73" i="6"/>
  <c r="V73" i="6"/>
  <c r="W73" i="6"/>
  <c r="X73" i="6"/>
  <c r="U74" i="6"/>
  <c r="V74" i="6"/>
  <c r="W74" i="6"/>
  <c r="X74" i="6"/>
  <c r="U282" i="6"/>
  <c r="V282" i="6"/>
  <c r="W282" i="6"/>
  <c r="X282" i="6"/>
  <c r="U75" i="6"/>
  <c r="V75" i="6"/>
  <c r="W75" i="6"/>
  <c r="X75" i="6"/>
  <c r="U234" i="6"/>
  <c r="V234" i="6"/>
  <c r="W234" i="6"/>
  <c r="X234" i="6"/>
  <c r="U235" i="6"/>
  <c r="V235" i="6"/>
  <c r="W235" i="6"/>
  <c r="X235" i="6"/>
  <c r="U209" i="6"/>
  <c r="V209" i="6"/>
  <c r="W209" i="6"/>
  <c r="X209" i="6"/>
  <c r="U270" i="6"/>
  <c r="V270" i="6"/>
  <c r="W270" i="6"/>
  <c r="X270" i="6"/>
  <c r="U210" i="6"/>
  <c r="V210" i="6"/>
  <c r="W210" i="6"/>
  <c r="X210" i="6"/>
  <c r="U133" i="6"/>
  <c r="V133" i="6"/>
  <c r="W133" i="6"/>
  <c r="X133" i="6"/>
  <c r="U76" i="6"/>
  <c r="V76" i="6"/>
  <c r="W76" i="6"/>
  <c r="X76" i="6"/>
  <c r="U211" i="6"/>
  <c r="V211" i="6"/>
  <c r="W211" i="6"/>
  <c r="X211" i="6"/>
  <c r="U25" i="6"/>
  <c r="V25" i="6"/>
  <c r="W25" i="6"/>
  <c r="X25" i="6"/>
  <c r="U135" i="6"/>
  <c r="V135" i="6"/>
  <c r="W135" i="6"/>
  <c r="X135" i="6"/>
  <c r="U236" i="6"/>
  <c r="V236" i="6"/>
  <c r="W236" i="6"/>
  <c r="X236" i="6"/>
  <c r="U159" i="6"/>
  <c r="V159" i="6"/>
  <c r="W159" i="6"/>
  <c r="X159" i="6"/>
  <c r="U77" i="6"/>
  <c r="V77" i="6"/>
  <c r="W77" i="6"/>
  <c r="X77" i="6"/>
  <c r="U260" i="6"/>
  <c r="V260" i="6"/>
  <c r="W260" i="6"/>
  <c r="X260" i="6"/>
  <c r="U271" i="6"/>
  <c r="V271" i="6"/>
  <c r="W271" i="6"/>
  <c r="X271" i="6"/>
  <c r="U126" i="6"/>
  <c r="V126" i="6"/>
  <c r="W126" i="6"/>
  <c r="X126" i="6"/>
  <c r="U142" i="6"/>
  <c r="V142" i="6"/>
  <c r="W142" i="6"/>
  <c r="X142" i="6"/>
  <c r="U237" i="6"/>
  <c r="V237" i="6"/>
  <c r="W237" i="6"/>
  <c r="X237" i="6"/>
  <c r="U272" i="6"/>
  <c r="V272" i="6"/>
  <c r="W272" i="6"/>
  <c r="X272" i="6"/>
  <c r="U57" i="6"/>
  <c r="V57" i="6"/>
  <c r="W57" i="6"/>
  <c r="X57" i="6"/>
  <c r="U212" i="6"/>
  <c r="V212" i="6"/>
  <c r="W212" i="6"/>
  <c r="X212" i="6"/>
  <c r="U273" i="6"/>
  <c r="V273" i="6"/>
  <c r="W273" i="6"/>
  <c r="X273" i="6"/>
  <c r="U283" i="6"/>
  <c r="V283" i="6"/>
  <c r="W283" i="6"/>
  <c r="X283" i="6"/>
  <c r="U118" i="6"/>
  <c r="V118" i="6"/>
  <c r="W118" i="6"/>
  <c r="X118" i="6"/>
  <c r="U119" i="6"/>
  <c r="V119" i="6"/>
  <c r="W119" i="6"/>
  <c r="X119" i="6"/>
  <c r="U14" i="6"/>
  <c r="V14" i="6"/>
  <c r="W14" i="6"/>
  <c r="X14" i="6"/>
  <c r="U120" i="6"/>
  <c r="V120" i="6"/>
  <c r="W120" i="6"/>
  <c r="X120" i="6"/>
  <c r="U197" i="6"/>
  <c r="V197" i="6"/>
  <c r="W197" i="6"/>
  <c r="X197" i="6"/>
  <c r="U151" i="6"/>
  <c r="V151" i="6"/>
  <c r="W151" i="6"/>
  <c r="X151" i="6"/>
  <c r="U213" i="6"/>
  <c r="V213" i="6"/>
  <c r="W213" i="6"/>
  <c r="X213" i="6"/>
  <c r="U198" i="6"/>
  <c r="V198" i="6"/>
  <c r="W198" i="6"/>
  <c r="X198" i="6"/>
  <c r="U26" i="6"/>
  <c r="V26" i="6"/>
  <c r="W26" i="6"/>
  <c r="X26" i="6"/>
  <c r="U261" i="6"/>
  <c r="V261" i="6"/>
  <c r="W261" i="6"/>
  <c r="X261" i="6"/>
  <c r="U121" i="6"/>
  <c r="V121" i="6"/>
  <c r="W121" i="6"/>
  <c r="X121" i="6"/>
  <c r="U127" i="6"/>
  <c r="V127" i="6"/>
  <c r="W127" i="6"/>
  <c r="X127" i="6"/>
  <c r="U238" i="6"/>
  <c r="V238" i="6"/>
  <c r="W238" i="6"/>
  <c r="X238" i="6"/>
  <c r="U239" i="6"/>
  <c r="V239" i="6"/>
  <c r="W239" i="6"/>
  <c r="X239" i="6"/>
  <c r="U240" i="6"/>
  <c r="V240" i="6"/>
  <c r="W240" i="6"/>
  <c r="X240" i="6"/>
  <c r="U134" i="6"/>
  <c r="V134" i="6"/>
  <c r="W134" i="6"/>
  <c r="X134" i="6"/>
  <c r="U58" i="6"/>
  <c r="V58" i="6"/>
  <c r="W58" i="6"/>
  <c r="X58" i="6"/>
  <c r="U39" i="6"/>
  <c r="V39" i="6"/>
  <c r="W39" i="6"/>
  <c r="X39" i="6"/>
  <c r="U44" i="6"/>
  <c r="V44" i="6"/>
  <c r="W44" i="6"/>
  <c r="X44" i="6"/>
  <c r="U175" i="6"/>
  <c r="V175" i="6"/>
  <c r="W175" i="6"/>
  <c r="X175" i="6"/>
  <c r="U78" i="6"/>
  <c r="V78" i="6"/>
  <c r="W78" i="6"/>
  <c r="X78" i="6"/>
  <c r="U32" i="6"/>
  <c r="V32" i="6"/>
  <c r="W32" i="6"/>
  <c r="X32" i="6"/>
  <c r="U188" i="6"/>
  <c r="V188" i="6"/>
  <c r="W188" i="6"/>
  <c r="X188" i="6"/>
  <c r="U136" i="6"/>
  <c r="V136" i="6"/>
  <c r="W136" i="6"/>
  <c r="X136" i="6"/>
  <c r="U137" i="6"/>
  <c r="V137" i="6"/>
  <c r="W137" i="6"/>
  <c r="X137" i="6"/>
  <c r="U138" i="6"/>
  <c r="V138" i="6"/>
  <c r="W138" i="6"/>
  <c r="X138" i="6"/>
  <c r="U241" i="6"/>
  <c r="V241" i="6"/>
  <c r="W241" i="6"/>
  <c r="X241" i="6"/>
  <c r="U242" i="6"/>
  <c r="V242" i="6"/>
  <c r="W242" i="6"/>
  <c r="X242" i="6"/>
  <c r="U243" i="6"/>
  <c r="V243" i="6"/>
  <c r="W243" i="6"/>
  <c r="X243" i="6"/>
  <c r="U33" i="6"/>
  <c r="V33" i="6"/>
  <c r="W33" i="6"/>
  <c r="X33" i="6"/>
  <c r="U79" i="6"/>
  <c r="V79" i="6"/>
  <c r="W79" i="6"/>
  <c r="X79" i="6"/>
  <c r="U113" i="6"/>
  <c r="V113" i="6"/>
  <c r="W113" i="6"/>
  <c r="X113" i="6"/>
  <c r="U244" i="6"/>
  <c r="V244" i="6"/>
  <c r="W244" i="6"/>
  <c r="X244" i="6"/>
  <c r="U245" i="6"/>
  <c r="V245" i="6"/>
  <c r="W245" i="6"/>
  <c r="X245" i="6"/>
  <c r="U284" i="6"/>
  <c r="V284" i="6"/>
  <c r="W284" i="6"/>
  <c r="X284" i="6"/>
  <c r="U285" i="6"/>
  <c r="V285" i="6"/>
  <c r="W285" i="6"/>
  <c r="X285" i="6"/>
  <c r="U34" i="6"/>
  <c r="V34" i="6"/>
  <c r="W34" i="6"/>
  <c r="X34" i="6"/>
  <c r="U176" i="6"/>
  <c r="V176" i="6"/>
  <c r="W176" i="6"/>
  <c r="X176" i="6"/>
  <c r="U152" i="6"/>
  <c r="V152" i="6"/>
  <c r="W152" i="6"/>
  <c r="X152" i="6"/>
  <c r="U246" i="6"/>
  <c r="V246" i="6"/>
  <c r="W246" i="6"/>
  <c r="X246" i="6"/>
  <c r="U274" i="6"/>
  <c r="V274" i="6"/>
  <c r="W274" i="6"/>
  <c r="X274" i="6"/>
  <c r="U247" i="6"/>
  <c r="V247" i="6"/>
  <c r="W247" i="6"/>
  <c r="X247" i="6"/>
  <c r="U80" i="6"/>
  <c r="V80" i="6"/>
  <c r="W80" i="6"/>
  <c r="X80" i="6"/>
  <c r="U248" i="6"/>
  <c r="V248" i="6"/>
  <c r="W248" i="6"/>
  <c r="X248" i="6"/>
  <c r="U81" i="6"/>
  <c r="V81" i="6"/>
  <c r="W81" i="6"/>
  <c r="X81" i="6"/>
  <c r="U262" i="6"/>
  <c r="V262" i="6"/>
  <c r="W262" i="6"/>
  <c r="X262" i="6"/>
  <c r="U160" i="6"/>
  <c r="V160" i="6"/>
  <c r="W160" i="6"/>
  <c r="X160" i="6"/>
  <c r="U286" i="6"/>
  <c r="V286" i="6"/>
  <c r="W286" i="6"/>
  <c r="X286" i="6"/>
  <c r="U143" i="6"/>
  <c r="V143" i="6"/>
  <c r="W143" i="6"/>
  <c r="X143" i="6"/>
  <c r="U59" i="6"/>
  <c r="V59" i="6"/>
  <c r="W59" i="6"/>
  <c r="X59" i="6"/>
  <c r="U214" i="6"/>
  <c r="V214" i="6"/>
  <c r="W214" i="6"/>
  <c r="X214" i="6"/>
  <c r="U215" i="6"/>
  <c r="V215" i="6"/>
  <c r="W215" i="6"/>
  <c r="X215" i="6"/>
  <c r="U216" i="6"/>
  <c r="V216" i="6"/>
  <c r="W216" i="6"/>
  <c r="X216" i="6"/>
  <c r="U199" i="6"/>
  <c r="V199" i="6"/>
  <c r="W199" i="6"/>
  <c r="X199" i="6"/>
  <c r="U217" i="6"/>
  <c r="V217" i="6"/>
  <c r="W217" i="6"/>
  <c r="X217" i="6"/>
  <c r="U128" i="6"/>
  <c r="V128" i="6"/>
  <c r="W128" i="6"/>
  <c r="X128" i="6"/>
  <c r="U144" i="6"/>
  <c r="V144" i="6"/>
  <c r="W144" i="6"/>
  <c r="X144" i="6"/>
  <c r="U145" i="6"/>
  <c r="V145" i="6"/>
  <c r="W145" i="6"/>
  <c r="X145" i="6"/>
  <c r="U177" i="6"/>
  <c r="V177" i="6"/>
  <c r="W177" i="6"/>
  <c r="X177" i="6"/>
  <c r="U153" i="6"/>
  <c r="V153" i="6"/>
  <c r="W153" i="6"/>
  <c r="X153" i="6"/>
  <c r="U218" i="6"/>
  <c r="V218" i="6"/>
  <c r="W218" i="6"/>
  <c r="X218" i="6"/>
  <c r="U200" i="6"/>
  <c r="V200" i="6"/>
  <c r="W200" i="6"/>
  <c r="X200" i="6"/>
  <c r="U219" i="6"/>
  <c r="V219" i="6"/>
  <c r="W219" i="6"/>
  <c r="X219" i="6"/>
  <c r="U220" i="6"/>
  <c r="V220" i="6"/>
  <c r="W220" i="6"/>
  <c r="X220" i="6"/>
  <c r="U201" i="6"/>
  <c r="V201" i="6"/>
  <c r="W201" i="6"/>
  <c r="X201" i="6"/>
  <c r="U221" i="6"/>
  <c r="V221" i="6"/>
  <c r="W221" i="6"/>
  <c r="X221" i="6"/>
  <c r="U222" i="6"/>
  <c r="V222" i="6"/>
  <c r="W222" i="6"/>
  <c r="X222" i="6"/>
  <c r="U223" i="6"/>
  <c r="V223" i="6"/>
  <c r="W223" i="6"/>
  <c r="X223" i="6"/>
  <c r="U146" i="6"/>
  <c r="V146" i="6"/>
  <c r="W146" i="6"/>
  <c r="X146" i="6"/>
  <c r="U147" i="6"/>
  <c r="V147" i="6"/>
  <c r="W147" i="6"/>
  <c r="X147" i="6"/>
  <c r="U148" i="6"/>
  <c r="V148" i="6"/>
  <c r="W148" i="6"/>
  <c r="X148" i="6"/>
  <c r="U82" i="6"/>
  <c r="V82" i="6"/>
  <c r="W82" i="6"/>
  <c r="X82" i="6"/>
  <c r="U184" i="6"/>
  <c r="V184" i="6"/>
  <c r="W184" i="6"/>
  <c r="X184" i="6"/>
  <c r="U185" i="6"/>
  <c r="V185" i="6"/>
  <c r="W185" i="6"/>
  <c r="X185" i="6"/>
  <c r="U186" i="6"/>
  <c r="V186" i="6"/>
  <c r="W186" i="6"/>
  <c r="X186" i="6"/>
  <c r="U150" i="6"/>
  <c r="V150" i="6"/>
  <c r="W150" i="6"/>
  <c r="X150" i="6"/>
  <c r="U154" i="6"/>
  <c r="V154" i="6"/>
  <c r="W154" i="6"/>
  <c r="X154" i="6"/>
  <c r="U161" i="6"/>
  <c r="V161" i="6"/>
  <c r="W161" i="6"/>
  <c r="X161" i="6"/>
  <c r="U167" i="6"/>
  <c r="V167" i="6"/>
  <c r="W167" i="6"/>
  <c r="X167" i="6"/>
  <c r="U168" i="6"/>
  <c r="V168" i="6"/>
  <c r="W168" i="6"/>
  <c r="X168" i="6"/>
  <c r="U178" i="6"/>
  <c r="V178" i="6"/>
  <c r="W178" i="6"/>
  <c r="X178" i="6"/>
  <c r="U189" i="6"/>
  <c r="V189" i="6"/>
  <c r="W189" i="6"/>
  <c r="X189" i="6"/>
  <c r="U187" i="6"/>
  <c r="V187" i="6"/>
  <c r="W187" i="6"/>
  <c r="X187" i="6"/>
  <c r="U190" i="6"/>
  <c r="V190" i="6"/>
  <c r="W190" i="6"/>
  <c r="X190" i="6"/>
  <c r="U193" i="6"/>
  <c r="V193" i="6"/>
  <c r="W193" i="6"/>
  <c r="X193" i="6"/>
  <c r="U191" i="6"/>
  <c r="V191" i="6"/>
  <c r="W191" i="6"/>
  <c r="X191" i="6"/>
  <c r="U192" i="6"/>
  <c r="V192" i="6"/>
  <c r="W192" i="6"/>
  <c r="X192" i="6"/>
  <c r="U202" i="6"/>
  <c r="V202" i="6"/>
  <c r="W202" i="6"/>
  <c r="X202" i="6"/>
  <c r="U224" i="6"/>
  <c r="V224" i="6"/>
  <c r="W224" i="6"/>
  <c r="X224" i="6"/>
  <c r="U162" i="6"/>
  <c r="V162" i="6"/>
  <c r="W162" i="6"/>
  <c r="X162" i="6"/>
  <c r="U249" i="6"/>
  <c r="V249" i="6"/>
  <c r="W249" i="6"/>
  <c r="X249" i="6"/>
  <c r="U203" i="6"/>
  <c r="V203" i="6"/>
  <c r="W203" i="6"/>
  <c r="X203" i="6"/>
  <c r="U250" i="6"/>
  <c r="V250" i="6"/>
  <c r="W250" i="6"/>
  <c r="X250" i="6"/>
  <c r="U251" i="6"/>
  <c r="V251" i="6"/>
  <c r="W251" i="6"/>
  <c r="X251" i="6"/>
  <c r="U252" i="6"/>
  <c r="V252" i="6"/>
  <c r="W252" i="6"/>
  <c r="X252" i="6"/>
  <c r="U253" i="6"/>
  <c r="V253" i="6"/>
  <c r="W253" i="6"/>
  <c r="X253" i="6"/>
  <c r="U275" i="6"/>
  <c r="V275" i="6"/>
  <c r="W275" i="6"/>
  <c r="X275" i="6"/>
  <c r="U254" i="6"/>
  <c r="V254" i="6"/>
  <c r="W254" i="6"/>
  <c r="X254" i="6"/>
  <c r="U255" i="6"/>
  <c r="V255" i="6"/>
  <c r="W255" i="6"/>
  <c r="X255" i="6"/>
  <c r="U263" i="6"/>
  <c r="V263" i="6"/>
  <c r="W263" i="6"/>
  <c r="X263" i="6"/>
  <c r="U264" i="6"/>
  <c r="V264" i="6"/>
  <c r="W264" i="6"/>
  <c r="X264" i="6"/>
  <c r="U265" i="6"/>
  <c r="V265" i="6"/>
  <c r="W265" i="6"/>
  <c r="X265" i="6"/>
  <c r="U276" i="6"/>
  <c r="V276" i="6"/>
  <c r="W276" i="6"/>
  <c r="X276" i="6"/>
  <c r="U277" i="6"/>
  <c r="V277" i="6"/>
  <c r="W277" i="6"/>
  <c r="X277" i="6"/>
  <c r="U278" i="6"/>
  <c r="V278" i="6"/>
  <c r="W278" i="6"/>
  <c r="X278" i="6"/>
  <c r="U279" i="6"/>
  <c r="V279" i="6"/>
  <c r="W279" i="6"/>
  <c r="X279" i="6"/>
  <c r="U225" i="6"/>
  <c r="V225" i="6"/>
  <c r="W225" i="6"/>
  <c r="X225" i="6"/>
  <c r="U155" i="6"/>
  <c r="V155" i="6"/>
  <c r="W155" i="6"/>
  <c r="X155" i="6"/>
  <c r="U35" i="6"/>
  <c r="V35" i="6"/>
  <c r="W35" i="6"/>
  <c r="X35" i="6"/>
  <c r="U149" i="6"/>
  <c r="V149" i="6"/>
  <c r="W149" i="6"/>
  <c r="X149" i="6"/>
  <c r="U287" i="6"/>
  <c r="V287" i="6"/>
  <c r="W287" i="6"/>
  <c r="X287" i="6"/>
  <c r="U266" i="6"/>
  <c r="V266" i="6"/>
  <c r="W266" i="6"/>
  <c r="X266" i="6"/>
  <c r="U267" i="6"/>
  <c r="V267" i="6"/>
  <c r="W267" i="6"/>
  <c r="X267" i="6"/>
  <c r="U122" i="6"/>
  <c r="V122" i="6"/>
  <c r="W122" i="6"/>
  <c r="X122" i="6"/>
  <c r="U226" i="6"/>
  <c r="V226" i="6"/>
  <c r="W226" i="6"/>
  <c r="X226" i="6"/>
  <c r="U227" i="6"/>
  <c r="V227" i="6"/>
  <c r="W227" i="6"/>
  <c r="X227" i="6"/>
  <c r="U228" i="6"/>
  <c r="V228" i="6"/>
  <c r="W228" i="6"/>
  <c r="X228" i="6"/>
  <c r="U256" i="6"/>
  <c r="V256" i="6"/>
  <c r="W256" i="6"/>
  <c r="X256" i="6"/>
  <c r="U268" i="6"/>
  <c r="V268" i="6"/>
  <c r="W268" i="6"/>
  <c r="X268" i="6"/>
  <c r="U229" i="6"/>
  <c r="V229" i="6"/>
  <c r="W229" i="6"/>
  <c r="X229" i="6"/>
  <c r="U83" i="6"/>
  <c r="V83" i="6"/>
  <c r="W83" i="6"/>
  <c r="X83" i="6"/>
  <c r="U84" i="6"/>
  <c r="V84" i="6"/>
  <c r="W84" i="6"/>
  <c r="X84" i="6"/>
  <c r="U63" i="6"/>
  <c r="V63" i="6"/>
  <c r="W63" i="6"/>
  <c r="X63" i="6"/>
  <c r="U60" i="6"/>
  <c r="V60" i="6"/>
  <c r="W60" i="6"/>
  <c r="X60" i="6"/>
  <c r="U288" i="6"/>
  <c r="V288" i="6"/>
  <c r="W288" i="6"/>
  <c r="X288" i="6"/>
  <c r="U289" i="6"/>
  <c r="V289" i="6"/>
  <c r="W289" i="6"/>
  <c r="X289" i="6"/>
  <c r="U290" i="6"/>
  <c r="V290" i="6"/>
  <c r="W290" i="6"/>
  <c r="X290" i="6"/>
  <c r="U291" i="6"/>
  <c r="V291" i="6"/>
  <c r="W291" i="6"/>
  <c r="X291" i="6"/>
  <c r="U292" i="6"/>
  <c r="V292" i="6"/>
  <c r="W292" i="6"/>
  <c r="X292" i="6"/>
  <c r="U169" i="6"/>
  <c r="V169" i="6"/>
  <c r="W169" i="6"/>
  <c r="X169" i="6"/>
  <c r="U170" i="6"/>
  <c r="V170" i="6"/>
  <c r="W170" i="6"/>
  <c r="X170" i="6"/>
  <c r="U179" i="6"/>
  <c r="V179" i="6"/>
  <c r="W179" i="6"/>
  <c r="X179" i="6"/>
  <c r="U156" i="6"/>
  <c r="V156" i="6"/>
  <c r="W156" i="6"/>
  <c r="X156" i="6"/>
  <c r="U171" i="6"/>
  <c r="V171" i="6"/>
  <c r="W171" i="6"/>
  <c r="X171" i="6"/>
  <c r="U257" i="6"/>
  <c r="V257" i="6"/>
  <c r="W257" i="6"/>
  <c r="X257" i="6"/>
  <c r="U293" i="6"/>
  <c r="V293" i="6"/>
  <c r="W293" i="6"/>
  <c r="X293" i="6"/>
  <c r="U61" i="6"/>
  <c r="V61" i="6"/>
  <c r="W61" i="6"/>
  <c r="X61" i="6"/>
  <c r="U15" i="6"/>
  <c r="V15" i="6"/>
  <c r="W15" i="6"/>
  <c r="X15" i="6"/>
  <c r="U16" i="6"/>
  <c r="V16" i="6"/>
  <c r="W16" i="6"/>
  <c r="X16" i="6"/>
  <c r="U17" i="6"/>
  <c r="V17" i="6"/>
  <c r="W17" i="6"/>
  <c r="X17" i="6"/>
  <c r="U18" i="6"/>
  <c r="V18" i="6"/>
  <c r="W18" i="6"/>
  <c r="X18" i="6"/>
  <c r="U19" i="6"/>
  <c r="V19" i="6"/>
  <c r="W19" i="6"/>
  <c r="X19" i="6"/>
  <c r="U20" i="6"/>
  <c r="V20" i="6"/>
  <c r="W20" i="6"/>
  <c r="X20" i="6"/>
  <c r="U180" i="6"/>
  <c r="V180" i="6"/>
  <c r="W180" i="6"/>
  <c r="X180" i="6"/>
  <c r="U36" i="6"/>
  <c r="V36" i="6"/>
  <c r="W36" i="6"/>
  <c r="X36" i="6"/>
  <c r="U181" i="6"/>
  <c r="V181" i="6"/>
  <c r="W181" i="6"/>
  <c r="X181" i="6"/>
  <c r="U295" i="6"/>
  <c r="V295" i="6"/>
  <c r="W295" i="6"/>
  <c r="X295" i="6"/>
  <c r="U172" i="6"/>
  <c r="V172" i="6"/>
  <c r="W172" i="6"/>
  <c r="X172" i="6"/>
  <c r="U182" i="6"/>
  <c r="V182" i="6"/>
  <c r="W182" i="6"/>
  <c r="X182" i="6"/>
  <c r="U183" i="6"/>
  <c r="V183" i="6"/>
  <c r="W183" i="6"/>
  <c r="X183" i="6"/>
  <c r="U102" i="6"/>
  <c r="V102" i="6"/>
  <c r="W102" i="6"/>
  <c r="X102" i="6"/>
  <c r="U296" i="6"/>
  <c r="V296" i="6"/>
  <c r="W296" i="6"/>
  <c r="X296" i="6"/>
  <c r="U297" i="6"/>
  <c r="V297" i="6"/>
  <c r="W297" i="6"/>
  <c r="X297" i="6"/>
  <c r="U298" i="6"/>
  <c r="V298" i="6"/>
  <c r="W298" i="6"/>
  <c r="X298" i="6"/>
  <c r="U299" i="6"/>
  <c r="V299" i="6"/>
  <c r="W299" i="6"/>
  <c r="X299" i="6"/>
  <c r="U300" i="6"/>
  <c r="V300" i="6"/>
  <c r="W300" i="6"/>
  <c r="X300" i="6"/>
  <c r="U301" i="6"/>
  <c r="V301" i="6"/>
  <c r="W301" i="6"/>
  <c r="X301" i="6"/>
  <c r="U302" i="6"/>
  <c r="V302" i="6"/>
  <c r="W302" i="6"/>
  <c r="X302" i="6"/>
  <c r="U303" i="6"/>
  <c r="V303" i="6"/>
  <c r="W303" i="6"/>
  <c r="X303" i="6"/>
  <c r="U304" i="6"/>
  <c r="V304" i="6"/>
  <c r="W304" i="6"/>
  <c r="X304" i="6"/>
  <c r="U305" i="6"/>
  <c r="V305" i="6"/>
  <c r="W305" i="6"/>
  <c r="X305" i="6"/>
  <c r="U306" i="6"/>
  <c r="V306" i="6"/>
  <c r="W306" i="6"/>
  <c r="X306" i="6"/>
  <c r="U307" i="6"/>
  <c r="V307" i="6"/>
  <c r="W307" i="6"/>
  <c r="X307" i="6"/>
  <c r="U308" i="6"/>
  <c r="V308" i="6"/>
  <c r="W308" i="6"/>
  <c r="X308" i="6"/>
  <c r="U309" i="6"/>
  <c r="V309" i="6"/>
  <c r="W309" i="6"/>
  <c r="X309" i="6"/>
  <c r="U310" i="6"/>
  <c r="V310" i="6"/>
  <c r="W310" i="6"/>
  <c r="X310" i="6"/>
  <c r="U312" i="6"/>
  <c r="V312" i="6"/>
  <c r="W312" i="6"/>
  <c r="X312" i="6"/>
  <c r="U313" i="6"/>
  <c r="V313" i="6"/>
  <c r="W313" i="6"/>
  <c r="X313" i="6"/>
  <c r="U314" i="6"/>
  <c r="V314" i="6"/>
  <c r="W314" i="6"/>
  <c r="X314" i="6"/>
  <c r="U315" i="6"/>
  <c r="V315" i="6"/>
  <c r="W315" i="6"/>
  <c r="X315" i="6"/>
  <c r="U316" i="6"/>
  <c r="V316" i="6"/>
  <c r="W316" i="6"/>
  <c r="X316" i="6"/>
  <c r="U317" i="6"/>
  <c r="V317" i="6"/>
  <c r="W317" i="6"/>
  <c r="X317" i="6"/>
  <c r="U318" i="6"/>
  <c r="V318" i="6"/>
  <c r="W318" i="6"/>
  <c r="X318" i="6"/>
  <c r="U319" i="6"/>
  <c r="V319" i="6"/>
  <c r="W319" i="6"/>
  <c r="X319" i="6"/>
  <c r="U320" i="6"/>
  <c r="V320" i="6"/>
  <c r="W320" i="6"/>
  <c r="X320" i="6"/>
  <c r="U321" i="6"/>
  <c r="V321" i="6"/>
  <c r="W321" i="6"/>
  <c r="X321" i="6"/>
  <c r="U322" i="6"/>
  <c r="V322" i="6"/>
  <c r="W322" i="6"/>
  <c r="X322" i="6"/>
  <c r="U323" i="6"/>
  <c r="V323" i="6"/>
  <c r="W323" i="6"/>
  <c r="X323" i="6"/>
  <c r="U324" i="6"/>
  <c r="V324" i="6"/>
  <c r="W324" i="6"/>
  <c r="X324" i="6"/>
  <c r="U325" i="6"/>
  <c r="V325" i="6"/>
  <c r="W325" i="6"/>
  <c r="X325" i="6"/>
  <c r="U326" i="6"/>
  <c r="V326" i="6"/>
  <c r="W326" i="6"/>
  <c r="X326" i="6"/>
  <c r="U327" i="6"/>
  <c r="V327" i="6"/>
  <c r="W327" i="6"/>
  <c r="X327" i="6"/>
  <c r="U328" i="6"/>
  <c r="V328" i="6"/>
  <c r="W328" i="6"/>
  <c r="X328" i="6"/>
  <c r="U329" i="6"/>
  <c r="V329" i="6"/>
  <c r="W329" i="6"/>
  <c r="X329" i="6"/>
  <c r="U330" i="6"/>
  <c r="V330" i="6"/>
  <c r="W330" i="6"/>
  <c r="X330" i="6"/>
  <c r="U331" i="6"/>
  <c r="V331" i="6"/>
  <c r="W331" i="6"/>
  <c r="X331" i="6"/>
  <c r="U332" i="6"/>
  <c r="V332" i="6"/>
  <c r="W332" i="6"/>
  <c r="X332" i="6"/>
  <c r="U333" i="6"/>
  <c r="V333" i="6"/>
  <c r="W333" i="6"/>
  <c r="X333" i="6"/>
  <c r="U334" i="6"/>
  <c r="V334" i="6"/>
  <c r="W334" i="6"/>
  <c r="X334" i="6"/>
  <c r="U335" i="6"/>
  <c r="V335" i="6"/>
  <c r="W335" i="6"/>
  <c r="X335" i="6"/>
  <c r="U336" i="6"/>
  <c r="V336" i="6"/>
  <c r="W336" i="6"/>
  <c r="X336" i="6"/>
  <c r="U337" i="6"/>
  <c r="V337" i="6"/>
  <c r="W337" i="6"/>
  <c r="X337" i="6"/>
  <c r="U338" i="6"/>
  <c r="V338" i="6"/>
  <c r="W338" i="6"/>
  <c r="X338" i="6"/>
  <c r="U343" i="6"/>
  <c r="V343" i="6"/>
  <c r="W343" i="6"/>
  <c r="X343" i="6"/>
  <c r="U339" i="6"/>
  <c r="V339" i="6"/>
  <c r="W339" i="6"/>
  <c r="X339" i="6"/>
  <c r="U340" i="6"/>
  <c r="V340" i="6"/>
  <c r="W340" i="6"/>
  <c r="X340" i="6"/>
  <c r="U344" i="6"/>
  <c r="V344" i="6"/>
  <c r="W344" i="6"/>
  <c r="X344" i="6"/>
  <c r="U341" i="6"/>
  <c r="V341" i="6"/>
  <c r="W341" i="6"/>
  <c r="X341" i="6"/>
  <c r="U342" i="6"/>
  <c r="V342" i="6"/>
  <c r="W342" i="6"/>
  <c r="X342" i="6"/>
  <c r="U358" i="6"/>
  <c r="V358" i="6"/>
  <c r="W358" i="6"/>
  <c r="X358" i="6"/>
  <c r="U345" i="6"/>
  <c r="V345" i="6"/>
  <c r="W345" i="6"/>
  <c r="X345" i="6"/>
  <c r="U359" i="6"/>
  <c r="V359" i="6"/>
  <c r="W359" i="6"/>
  <c r="X359" i="6"/>
  <c r="U346" i="6"/>
  <c r="V346" i="6"/>
  <c r="W346" i="6"/>
  <c r="X346" i="6"/>
  <c r="U347" i="6"/>
  <c r="V347" i="6"/>
  <c r="W347" i="6"/>
  <c r="X347" i="6"/>
  <c r="U348" i="6"/>
  <c r="V348" i="6"/>
  <c r="W348" i="6"/>
  <c r="X348" i="6"/>
  <c r="U349" i="6"/>
  <c r="V349" i="6"/>
  <c r="W349" i="6"/>
  <c r="X349" i="6"/>
  <c r="U350" i="6"/>
  <c r="V350" i="6"/>
  <c r="W350" i="6"/>
  <c r="X350" i="6"/>
  <c r="U351" i="6"/>
  <c r="V351" i="6"/>
  <c r="W351" i="6"/>
  <c r="X351" i="6"/>
  <c r="U352" i="6"/>
  <c r="V352" i="6"/>
  <c r="W352" i="6"/>
  <c r="X352" i="6"/>
  <c r="U353" i="6"/>
  <c r="V353" i="6"/>
  <c r="W353" i="6"/>
  <c r="X353" i="6"/>
  <c r="U360" i="6"/>
  <c r="V360" i="6"/>
  <c r="W360" i="6"/>
  <c r="X360" i="6"/>
  <c r="U361" i="6"/>
  <c r="V361" i="6"/>
  <c r="W361" i="6"/>
  <c r="X361" i="6"/>
  <c r="U362" i="6"/>
  <c r="V362" i="6"/>
  <c r="W362" i="6"/>
  <c r="X362" i="6"/>
  <c r="U363" i="6"/>
  <c r="V363" i="6"/>
  <c r="W363" i="6"/>
  <c r="X363" i="6"/>
  <c r="U364" i="6"/>
  <c r="V364" i="6"/>
  <c r="W364" i="6"/>
  <c r="X364" i="6"/>
  <c r="U365" i="6"/>
  <c r="V365" i="6"/>
  <c r="W365" i="6"/>
  <c r="X365" i="6"/>
  <c r="U366" i="6"/>
  <c r="V366" i="6"/>
  <c r="W366" i="6"/>
  <c r="X366" i="6"/>
  <c r="U354" i="6"/>
  <c r="V354" i="6"/>
  <c r="W354" i="6"/>
  <c r="X354" i="6"/>
  <c r="U355" i="6"/>
  <c r="V355" i="6"/>
  <c r="W355" i="6"/>
  <c r="X355" i="6"/>
  <c r="U356" i="6"/>
  <c r="V356" i="6"/>
  <c r="W356" i="6"/>
  <c r="X356" i="6"/>
  <c r="U357" i="6"/>
  <c r="V357" i="6"/>
  <c r="W357" i="6"/>
  <c r="X357" i="6"/>
  <c r="U367" i="6"/>
  <c r="V367" i="6"/>
  <c r="W367" i="6"/>
  <c r="X367" i="6"/>
  <c r="U368" i="6"/>
  <c r="V368" i="6"/>
  <c r="W368" i="6"/>
  <c r="X368" i="6"/>
  <c r="U369" i="6"/>
  <c r="V369" i="6"/>
  <c r="W369" i="6"/>
  <c r="X369" i="6"/>
  <c r="U370" i="6"/>
  <c r="V370" i="6"/>
  <c r="W370" i="6"/>
  <c r="X370" i="6"/>
  <c r="U371" i="6"/>
  <c r="V371" i="6"/>
  <c r="W371" i="6"/>
  <c r="X371" i="6"/>
  <c r="U372" i="6"/>
  <c r="V372" i="6"/>
  <c r="W372" i="6"/>
  <c r="X372" i="6"/>
  <c r="U373" i="6"/>
  <c r="V373" i="6"/>
  <c r="W373" i="6"/>
  <c r="X373" i="6"/>
  <c r="U374" i="6"/>
  <c r="V374" i="6"/>
  <c r="W374" i="6"/>
  <c r="X374" i="6"/>
  <c r="U375" i="6"/>
  <c r="V375" i="6"/>
  <c r="W375" i="6"/>
  <c r="X375" i="6"/>
  <c r="U376" i="6"/>
  <c r="V376" i="6"/>
  <c r="W376" i="6"/>
  <c r="X376" i="6"/>
  <c r="U377" i="6"/>
  <c r="V377" i="6"/>
  <c r="W377" i="6"/>
  <c r="X377" i="6"/>
  <c r="U379" i="6"/>
  <c r="V379" i="6"/>
  <c r="W379" i="6"/>
  <c r="X379" i="6"/>
  <c r="U382" i="6"/>
  <c r="V382" i="6"/>
  <c r="W382" i="6"/>
  <c r="X382" i="6"/>
  <c r="U378" i="6"/>
  <c r="V378" i="6"/>
  <c r="W378" i="6"/>
  <c r="X378" i="6"/>
  <c r="U381" i="6"/>
  <c r="V381" i="6"/>
  <c r="W381" i="6"/>
  <c r="X381" i="6"/>
  <c r="U380" i="6"/>
  <c r="V380" i="6"/>
  <c r="W380" i="6"/>
  <c r="X380" i="6"/>
  <c r="U406" i="6"/>
  <c r="V406" i="6"/>
  <c r="W406" i="6"/>
  <c r="X406" i="6"/>
  <c r="U384" i="6"/>
  <c r="V384" i="6"/>
  <c r="W384" i="6"/>
  <c r="X384" i="6"/>
  <c r="U405" i="6"/>
  <c r="V405" i="6"/>
  <c r="W405" i="6"/>
  <c r="X405" i="6"/>
  <c r="U404" i="6"/>
  <c r="V404" i="6"/>
  <c r="W404" i="6"/>
  <c r="X404" i="6"/>
  <c r="U387" i="6"/>
  <c r="V387" i="6"/>
  <c r="W387" i="6"/>
  <c r="X387" i="6"/>
  <c r="U388" i="6"/>
  <c r="V388" i="6"/>
  <c r="W388" i="6"/>
  <c r="X388" i="6"/>
  <c r="U389" i="6"/>
  <c r="V389" i="6"/>
  <c r="W389" i="6"/>
  <c r="X389" i="6"/>
  <c r="U390" i="6"/>
  <c r="V390" i="6"/>
  <c r="W390" i="6"/>
  <c r="X390" i="6"/>
  <c r="U391" i="6"/>
  <c r="V391" i="6"/>
  <c r="W391" i="6"/>
  <c r="X391" i="6"/>
  <c r="U386" i="6"/>
  <c r="V386" i="6"/>
  <c r="W386" i="6"/>
  <c r="X386" i="6"/>
  <c r="U402" i="6"/>
  <c r="V402" i="6"/>
  <c r="W402" i="6"/>
  <c r="X402" i="6"/>
  <c r="U392" i="6"/>
  <c r="V392" i="6"/>
  <c r="W392" i="6"/>
  <c r="X392" i="6"/>
  <c r="U393" i="6"/>
  <c r="V393" i="6"/>
  <c r="W393" i="6"/>
  <c r="X393" i="6"/>
  <c r="U394" i="6"/>
  <c r="V394" i="6"/>
  <c r="W394" i="6"/>
  <c r="X394" i="6"/>
  <c r="U395" i="6"/>
  <c r="V395" i="6"/>
  <c r="W395" i="6"/>
  <c r="X395" i="6"/>
  <c r="U396" i="6"/>
  <c r="V396" i="6"/>
  <c r="W396" i="6"/>
  <c r="X396" i="6"/>
  <c r="U397" i="6"/>
  <c r="V397" i="6"/>
  <c r="W397" i="6"/>
  <c r="X397" i="6"/>
  <c r="U383" i="6"/>
  <c r="V383" i="6"/>
  <c r="W383" i="6"/>
  <c r="X383" i="6"/>
  <c r="U403" i="6"/>
  <c r="V403" i="6"/>
  <c r="W403" i="6"/>
  <c r="X403" i="6"/>
  <c r="U398" i="6"/>
  <c r="V398" i="6"/>
  <c r="W398" i="6"/>
  <c r="X398" i="6"/>
  <c r="U385" i="6"/>
  <c r="V385" i="6"/>
  <c r="W385" i="6"/>
  <c r="X385" i="6"/>
  <c r="U407" i="6"/>
  <c r="V407" i="6"/>
  <c r="W407" i="6"/>
  <c r="X407" i="6"/>
  <c r="U399" i="6"/>
  <c r="V399" i="6"/>
  <c r="W399" i="6"/>
  <c r="X399" i="6"/>
  <c r="U400" i="6"/>
  <c r="V400" i="6"/>
  <c r="W400" i="6"/>
  <c r="X400" i="6"/>
  <c r="U401" i="6"/>
  <c r="V401" i="6"/>
  <c r="W401" i="6"/>
  <c r="X401" i="6"/>
  <c r="C404" i="6"/>
  <c r="C153" i="6"/>
  <c r="C116" i="6"/>
  <c r="C115" i="6"/>
  <c r="C385" i="6"/>
  <c r="C322" i="6"/>
  <c r="C387" i="6"/>
  <c r="C395" i="6"/>
  <c r="C397" i="6"/>
  <c r="C134" i="6"/>
  <c r="C117" i="6"/>
  <c r="C286" i="6"/>
  <c r="C6" i="6"/>
  <c r="C34" i="6"/>
  <c r="C7" i="6"/>
  <c r="C384" i="6"/>
  <c r="C403" i="6"/>
  <c r="C173" i="6"/>
  <c r="C383" i="6"/>
  <c r="C280" i="6"/>
  <c r="C177" i="6"/>
  <c r="C222" i="6"/>
  <c r="C332" i="6"/>
  <c r="C129" i="6"/>
  <c r="C5" i="6"/>
  <c r="C4" i="6"/>
  <c r="C3" i="6"/>
  <c r="C337" i="6"/>
  <c r="C392" i="6"/>
  <c r="C400" i="6"/>
  <c r="C2" i="6"/>
  <c r="C114" i="6"/>
  <c r="C284" i="6"/>
  <c r="C330" i="6"/>
  <c r="C10" i="6"/>
  <c r="C369" i="6"/>
  <c r="C374" i="6"/>
  <c r="C367" i="6"/>
  <c r="C356" i="6"/>
  <c r="C407" i="6"/>
  <c r="C30" i="6"/>
  <c r="C151" i="6"/>
  <c r="C402" i="6"/>
  <c r="C40" i="6"/>
  <c r="C45" i="6"/>
  <c r="C386" i="6"/>
  <c r="C11" i="6"/>
  <c r="C198" i="6"/>
  <c r="C253" i="6"/>
  <c r="C355" i="6"/>
  <c r="C27" i="6"/>
  <c r="C406" i="6"/>
  <c r="C388" i="6"/>
  <c r="C390" i="6"/>
  <c r="C393" i="6"/>
  <c r="C394" i="6"/>
  <c r="C396" i="6"/>
  <c r="C401" i="6"/>
  <c r="C273" i="6"/>
  <c r="C285" i="6"/>
  <c r="C398" i="6"/>
  <c r="C271" i="6"/>
  <c r="C328" i="6"/>
  <c r="C29" i="6"/>
  <c r="C399" i="6"/>
  <c r="C26" i="6"/>
  <c r="C77" i="6"/>
  <c r="C86" i="6"/>
  <c r="C44" i="6"/>
  <c r="C19" i="6"/>
  <c r="C152" i="6"/>
  <c r="C39" i="6"/>
  <c r="C17" i="6"/>
  <c r="C135" i="6"/>
  <c r="C282" i="6"/>
  <c r="C283" i="6"/>
  <c r="C24" i="6"/>
  <c r="C254" i="6"/>
  <c r="C300" i="6"/>
  <c r="C391" i="6"/>
  <c r="C61" i="6"/>
  <c r="C293" i="6"/>
  <c r="C16" i="6"/>
  <c r="C18" i="6"/>
  <c r="C249" i="6"/>
  <c r="C12" i="6"/>
  <c r="C364" i="6"/>
  <c r="C405" i="6"/>
  <c r="C258" i="6"/>
  <c r="C379" i="6"/>
  <c r="C228" i="6"/>
  <c r="C357" i="6"/>
  <c r="C80" i="6"/>
  <c r="C236" i="6"/>
  <c r="C225" i="6"/>
  <c r="C131" i="6"/>
  <c r="C15" i="6"/>
  <c r="C25" i="6"/>
  <c r="C43" i="6"/>
  <c r="C20" i="6"/>
  <c r="C319" i="6"/>
  <c r="C389" i="6"/>
  <c r="C257" i="6"/>
  <c r="C68" i="6"/>
  <c r="C264" i="6"/>
  <c r="C299" i="6"/>
  <c r="C308" i="6"/>
  <c r="C298" i="6"/>
  <c r="C326" i="6"/>
  <c r="C158" i="6"/>
  <c r="C159" i="6"/>
  <c r="C233" i="6"/>
  <c r="C274" i="6"/>
  <c r="C35" i="6"/>
  <c r="C231" i="6"/>
  <c r="C371" i="6"/>
  <c r="C320" i="6"/>
  <c r="C230" i="6"/>
  <c r="C37" i="6"/>
  <c r="C187" i="6"/>
  <c r="C190" i="6"/>
  <c r="C219" i="6"/>
  <c r="C191" i="6"/>
  <c r="C192" i="6"/>
  <c r="C234" i="6"/>
  <c r="C176" i="6"/>
  <c r="C66" i="6"/>
  <c r="C279" i="6"/>
  <c r="C211" i="6"/>
  <c r="C149" i="6"/>
  <c r="C97" i="6"/>
  <c r="C139" i="6"/>
  <c r="C287" i="6"/>
  <c r="C265" i="6"/>
  <c r="C235" i="6"/>
  <c r="C246" i="6"/>
  <c r="C244" i="6"/>
  <c r="C189" i="6"/>
  <c r="C99" i="6"/>
  <c r="C212" i="6"/>
  <c r="C64" i="6"/>
  <c r="C382" i="6"/>
  <c r="C343" i="6"/>
  <c r="C132" i="6"/>
  <c r="C263" i="6"/>
  <c r="C210" i="6"/>
  <c r="C102" i="6"/>
  <c r="C106" i="6"/>
  <c r="C163" i="6"/>
  <c r="C183" i="6"/>
  <c r="C261" i="6"/>
  <c r="C100" i="6"/>
  <c r="C256" i="6"/>
  <c r="C157" i="6"/>
  <c r="C88" i="6"/>
  <c r="C42" i="6"/>
  <c r="C41" i="6"/>
  <c r="C121" i="6"/>
  <c r="C57" i="6"/>
  <c r="C70" i="6"/>
  <c r="C302" i="6"/>
  <c r="C174" i="6"/>
  <c r="C110" i="6"/>
  <c r="C111" i="6"/>
  <c r="C81" i="6"/>
  <c r="C186" i="6"/>
  <c r="C74" i="6"/>
  <c r="C250" i="6"/>
  <c r="C380" i="6"/>
  <c r="C73" i="6"/>
  <c r="C14" i="6"/>
  <c r="C381" i="6"/>
  <c r="C38" i="6"/>
  <c r="C248" i="6"/>
  <c r="C160" i="6"/>
  <c r="C108" i="6"/>
  <c r="C109" i="6"/>
  <c r="C107" i="6"/>
  <c r="C161" i="6"/>
  <c r="C310" i="6"/>
  <c r="C321" i="6"/>
  <c r="C268" i="6"/>
  <c r="C112" i="6"/>
  <c r="C178" i="6"/>
  <c r="C227" i="6"/>
  <c r="C226" i="6"/>
  <c r="C277" i="6"/>
  <c r="C262" i="6"/>
  <c r="C76" i="6"/>
  <c r="C90" i="6"/>
  <c r="C247" i="6"/>
  <c r="C103" i="6"/>
  <c r="C95" i="6"/>
  <c r="C276" i="6"/>
  <c r="C243" i="6"/>
  <c r="C255" i="6"/>
  <c r="C148" i="6"/>
  <c r="C136" i="6"/>
  <c r="C150" i="6"/>
  <c r="C154" i="6"/>
  <c r="C101" i="6"/>
  <c r="C56" i="6"/>
  <c r="C89" i="6"/>
  <c r="C91" i="6"/>
  <c r="C221" i="6"/>
  <c r="C361" i="6"/>
  <c r="C130" i="6"/>
  <c r="C59" i="6"/>
  <c r="C65" i="6"/>
  <c r="C93" i="6"/>
  <c r="C259" i="6"/>
  <c r="C96" i="6"/>
  <c r="C71" i="6"/>
  <c r="C214" i="6"/>
  <c r="C146" i="6"/>
  <c r="C305" i="6"/>
  <c r="C325" i="6"/>
  <c r="C281" i="6"/>
  <c r="C137" i="6"/>
  <c r="C75" i="6"/>
  <c r="C92" i="6"/>
  <c r="C260" i="6"/>
  <c r="C147" i="6"/>
  <c r="C309" i="6"/>
  <c r="C360" i="6"/>
  <c r="C267" i="6"/>
  <c r="C170" i="6"/>
  <c r="C201" i="6"/>
  <c r="C69" i="6"/>
  <c r="C124" i="6"/>
  <c r="C143" i="6"/>
  <c r="C94" i="6"/>
  <c r="C206" i="6"/>
  <c r="C123" i="6"/>
  <c r="C368" i="6"/>
  <c r="C318" i="6"/>
  <c r="C252" i="6"/>
  <c r="C241" i="6"/>
  <c r="C205" i="6"/>
  <c r="C270" i="6"/>
  <c r="C31" i="6"/>
  <c r="C138" i="6"/>
  <c r="C295" i="6"/>
  <c r="C171" i="6"/>
  <c r="C105" i="6"/>
  <c r="C203" i="6"/>
  <c r="C301" i="6"/>
  <c r="C98" i="6"/>
  <c r="C168" i="6"/>
  <c r="C167" i="6"/>
  <c r="C376" i="6"/>
  <c r="C53" i="6"/>
  <c r="C127" i="6"/>
  <c r="C84" i="6"/>
  <c r="C372" i="6"/>
  <c r="C60" i="6"/>
  <c r="C275" i="6"/>
  <c r="C245" i="6"/>
  <c r="C297" i="6"/>
  <c r="C304" i="6"/>
  <c r="C317" i="6"/>
  <c r="C79" i="6"/>
  <c r="C289" i="6"/>
  <c r="C220" i="6"/>
  <c r="C126" i="6"/>
  <c r="C133" i="6"/>
  <c r="C125" i="6"/>
  <c r="C33" i="6"/>
  <c r="C128" i="6"/>
  <c r="C269" i="6"/>
  <c r="C272" i="6"/>
  <c r="C238" i="6"/>
  <c r="C202" i="6"/>
  <c r="C169" i="6"/>
  <c r="C162" i="6"/>
  <c r="C323" i="6"/>
  <c r="C366" i="6"/>
  <c r="C362" i="6"/>
  <c r="C365" i="6"/>
  <c r="C140" i="6"/>
  <c r="C239" i="6"/>
  <c r="C67" i="6"/>
  <c r="C85" i="6"/>
  <c r="C197" i="6"/>
  <c r="C204" i="6"/>
  <c r="C113" i="6"/>
  <c r="C172" i="6"/>
  <c r="C296" i="6"/>
  <c r="C58" i="6"/>
  <c r="C251" i="6"/>
  <c r="C288" i="6"/>
  <c r="C144" i="6"/>
  <c r="C232" i="6"/>
  <c r="C87" i="6"/>
  <c r="C333" i="6"/>
  <c r="C181" i="6"/>
  <c r="C242" i="6"/>
  <c r="C175" i="6"/>
  <c r="C104" i="6"/>
  <c r="C237" i="6"/>
  <c r="C47" i="6"/>
  <c r="C156" i="6"/>
  <c r="C63" i="6"/>
  <c r="C36" i="6"/>
  <c r="C327" i="6"/>
  <c r="C165" i="6"/>
  <c r="C82" i="6"/>
  <c r="C291" i="6"/>
  <c r="C32" i="6"/>
  <c r="C119" i="6"/>
  <c r="C180" i="6"/>
  <c r="C83" i="6"/>
  <c r="C213" i="6"/>
  <c r="C351" i="6"/>
  <c r="C290" i="6"/>
  <c r="C224" i="6"/>
  <c r="C72" i="6"/>
  <c r="C195" i="6"/>
  <c r="C182" i="6"/>
  <c r="C209" i="6"/>
  <c r="C354" i="6"/>
  <c r="C62" i="6"/>
  <c r="C200" i="6"/>
  <c r="C145" i="6"/>
  <c r="C375" i="6"/>
  <c r="C155" i="6"/>
  <c r="C352" i="6"/>
  <c r="C331" i="6"/>
  <c r="C23" i="6"/>
  <c r="C199" i="6"/>
  <c r="C292" i="6"/>
  <c r="C21" i="6"/>
  <c r="C240" i="6"/>
  <c r="C184" i="6"/>
  <c r="C122" i="6"/>
  <c r="C164" i="6"/>
  <c r="C378" i="6"/>
  <c r="C8" i="6"/>
  <c r="C229" i="6"/>
  <c r="C51" i="6"/>
  <c r="C218" i="6"/>
  <c r="C22" i="6"/>
  <c r="C345" i="6"/>
  <c r="C216" i="6"/>
  <c r="C341" i="6"/>
  <c r="C303" i="6"/>
  <c r="C179" i="6"/>
  <c r="C194" i="6"/>
  <c r="C142" i="6"/>
  <c r="C118" i="6"/>
  <c r="C349" i="6"/>
  <c r="C217" i="6"/>
  <c r="C28" i="6"/>
  <c r="C207" i="6"/>
  <c r="C54" i="6"/>
  <c r="C55" i="6"/>
  <c r="C48" i="6"/>
  <c r="C306" i="6"/>
  <c r="C307" i="6"/>
  <c r="C185" i="6"/>
  <c r="C193" i="6"/>
  <c r="C329" i="6"/>
  <c r="C350" i="6"/>
  <c r="C188" i="6"/>
  <c r="C9" i="6"/>
  <c r="C52" i="6"/>
  <c r="C78" i="6"/>
  <c r="C342" i="6"/>
  <c r="C266" i="6"/>
  <c r="C120" i="6"/>
  <c r="C370" i="6"/>
  <c r="C50" i="6"/>
  <c r="C49" i="6"/>
  <c r="C141" i="6"/>
  <c r="C359" i="6"/>
  <c r="C196" i="6"/>
  <c r="C13" i="6"/>
  <c r="C373" i="6"/>
  <c r="C358" i="6"/>
  <c r="C312" i="6"/>
  <c r="C377" i="6"/>
  <c r="C46" i="6"/>
  <c r="C313" i="6"/>
  <c r="C314" i="6"/>
  <c r="C339" i="6"/>
  <c r="C340" i="6"/>
  <c r="C208" i="6"/>
  <c r="C215" i="6"/>
  <c r="C336" i="6"/>
  <c r="C353" i="6"/>
  <c r="C294" i="6"/>
  <c r="C335" i="6"/>
  <c r="C316" i="6"/>
  <c r="C334" i="6"/>
  <c r="C315" i="6"/>
  <c r="C363" i="6"/>
  <c r="C338" i="6"/>
  <c r="C346" i="6"/>
  <c r="C344" i="6"/>
  <c r="C347" i="6"/>
  <c r="C348" i="6"/>
  <c r="C166" i="6"/>
  <c r="C278" i="6"/>
  <c r="C324" i="6"/>
  <c r="C223" i="6"/>
  <c r="B324" i="6"/>
  <c r="B278" i="6"/>
  <c r="B166" i="6"/>
  <c r="B348" i="6"/>
  <c r="B347" i="6"/>
  <c r="B344" i="6"/>
  <c r="B346" i="6"/>
  <c r="B338" i="6"/>
  <c r="B363" i="6"/>
  <c r="B315" i="6"/>
  <c r="B334" i="6"/>
  <c r="B316" i="6"/>
  <c r="B335" i="6"/>
  <c r="B294" i="6"/>
  <c r="B353" i="6"/>
  <c r="B336" i="6"/>
  <c r="B215" i="6"/>
  <c r="B208" i="6"/>
  <c r="B340" i="6"/>
  <c r="B339" i="6"/>
  <c r="B314" i="6"/>
  <c r="B313" i="6"/>
  <c r="B46" i="6"/>
  <c r="B377" i="6"/>
  <c r="B312" i="6"/>
  <c r="B358" i="6"/>
  <c r="B373" i="6"/>
  <c r="B13" i="6"/>
  <c r="B196" i="6"/>
  <c r="B359" i="6"/>
  <c r="B141" i="6"/>
  <c r="B49" i="6"/>
  <c r="B50" i="6"/>
  <c r="B370" i="6"/>
  <c r="B120" i="6"/>
  <c r="B266" i="6"/>
  <c r="B342" i="6"/>
  <c r="B78" i="6"/>
  <c r="B52" i="6"/>
  <c r="B9" i="6"/>
  <c r="B188" i="6"/>
  <c r="B350" i="6"/>
  <c r="B329" i="6"/>
  <c r="B193" i="6"/>
  <c r="B307" i="6"/>
  <c r="B306" i="6"/>
  <c r="B48" i="6"/>
  <c r="B55" i="6"/>
  <c r="B54" i="6"/>
  <c r="B207" i="6"/>
  <c r="B28" i="6"/>
  <c r="B217" i="6"/>
  <c r="B349" i="6"/>
  <c r="B118" i="6"/>
  <c r="B142" i="6"/>
  <c r="B194" i="6"/>
  <c r="B179" i="6"/>
  <c r="B303" i="6"/>
  <c r="B341" i="6"/>
  <c r="B216" i="6"/>
  <c r="B345" i="6"/>
  <c r="B22" i="6"/>
  <c r="B218" i="6"/>
  <c r="B51" i="6"/>
  <c r="B229" i="6"/>
  <c r="B8" i="6"/>
  <c r="B378" i="6"/>
  <c r="B164" i="6"/>
  <c r="B122" i="6"/>
  <c r="B184" i="6"/>
  <c r="B240" i="6"/>
  <c r="B21" i="6"/>
  <c r="B292" i="6"/>
  <c r="B199" i="6"/>
  <c r="B23" i="6"/>
  <c r="B331" i="6"/>
  <c r="B352" i="6"/>
  <c r="B155" i="6"/>
  <c r="B375" i="6"/>
  <c r="B145" i="6"/>
  <c r="B200" i="6"/>
  <c r="B62" i="6"/>
  <c r="B354" i="6"/>
  <c r="B209" i="6"/>
  <c r="B182" i="6"/>
  <c r="B195" i="6"/>
  <c r="B72" i="6"/>
  <c r="B224" i="6"/>
  <c r="B290" i="6"/>
  <c r="B351" i="6"/>
  <c r="B213" i="6"/>
  <c r="B83" i="6"/>
  <c r="B180" i="6"/>
  <c r="B119" i="6"/>
  <c r="B32" i="6"/>
  <c r="B291" i="6"/>
  <c r="B82" i="6"/>
  <c r="B165" i="6"/>
  <c r="B327" i="6"/>
  <c r="B36" i="6"/>
  <c r="B63" i="6"/>
  <c r="B156" i="6"/>
  <c r="B47" i="6"/>
  <c r="B237" i="6"/>
  <c r="B104" i="6"/>
  <c r="B175" i="6"/>
  <c r="B242" i="6"/>
  <c r="B181" i="6"/>
  <c r="B333" i="6"/>
  <c r="B87" i="6"/>
  <c r="B232" i="6"/>
  <c r="B144" i="6"/>
  <c r="B288" i="6"/>
  <c r="B251" i="6"/>
  <c r="B58" i="6"/>
  <c r="B296" i="6"/>
  <c r="B172" i="6"/>
  <c r="B113" i="6"/>
  <c r="B204" i="6"/>
  <c r="B197" i="6"/>
  <c r="B85" i="6"/>
  <c r="B67" i="6"/>
  <c r="B239" i="6"/>
  <c r="B140" i="6"/>
  <c r="B365" i="6"/>
  <c r="B362" i="6"/>
  <c r="B366" i="6"/>
  <c r="B323" i="6"/>
  <c r="B162" i="6"/>
  <c r="B169" i="6"/>
  <c r="B202" i="6"/>
  <c r="B238" i="6"/>
  <c r="B272" i="6"/>
  <c r="B269" i="6"/>
  <c r="B128" i="6"/>
  <c r="B33" i="6"/>
  <c r="B125" i="6"/>
  <c r="B133" i="6"/>
  <c r="B126" i="6"/>
  <c r="B220" i="6"/>
  <c r="B289" i="6"/>
  <c r="B79" i="6"/>
  <c r="B317" i="6"/>
  <c r="B304" i="6"/>
  <c r="B297" i="6"/>
  <c r="B245" i="6"/>
  <c r="B275" i="6"/>
  <c r="B60" i="6"/>
  <c r="B372" i="6"/>
  <c r="B84" i="6"/>
  <c r="B127" i="6"/>
  <c r="B53" i="6"/>
  <c r="B376" i="6"/>
  <c r="B167" i="6"/>
  <c r="B168" i="6"/>
  <c r="B98" i="6"/>
  <c r="B301" i="6"/>
  <c r="B203" i="6"/>
  <c r="B105" i="6"/>
  <c r="B171" i="6"/>
  <c r="B295" i="6"/>
  <c r="B138" i="6"/>
  <c r="B31" i="6"/>
  <c r="B270" i="6"/>
  <c r="B205" i="6"/>
  <c r="B241" i="6"/>
  <c r="B252" i="6"/>
  <c r="B318" i="6"/>
  <c r="B368" i="6"/>
  <c r="B123" i="6"/>
  <c r="B206" i="6"/>
  <c r="B94" i="6"/>
  <c r="B143" i="6"/>
  <c r="B124" i="6"/>
  <c r="B69" i="6"/>
  <c r="B201" i="6"/>
  <c r="B170" i="6"/>
  <c r="B267" i="6"/>
  <c r="B360" i="6"/>
  <c r="B309" i="6"/>
  <c r="B147" i="6"/>
  <c r="B260" i="6"/>
  <c r="B92" i="6"/>
  <c r="B75" i="6"/>
  <c r="B137" i="6"/>
  <c r="B281" i="6"/>
  <c r="B325" i="6"/>
  <c r="B305" i="6"/>
  <c r="B146" i="6"/>
  <c r="B214" i="6"/>
  <c r="B71" i="6"/>
  <c r="B96" i="6"/>
  <c r="B259" i="6"/>
  <c r="B93" i="6"/>
  <c r="B65" i="6"/>
  <c r="B59" i="6"/>
  <c r="B130" i="6"/>
  <c r="B361" i="6"/>
  <c r="B221" i="6"/>
  <c r="B91" i="6"/>
  <c r="B89" i="6"/>
  <c r="B56" i="6"/>
  <c r="B101" i="6"/>
  <c r="B154" i="6"/>
  <c r="B150" i="6"/>
  <c r="B136" i="6"/>
  <c r="B148" i="6"/>
  <c r="B255" i="6"/>
  <c r="B243" i="6"/>
  <c r="B276" i="6"/>
  <c r="B95" i="6"/>
  <c r="B103" i="6"/>
  <c r="B247" i="6"/>
  <c r="B90" i="6"/>
  <c r="B76" i="6"/>
  <c r="B262" i="6"/>
  <c r="B277" i="6"/>
  <c r="B226" i="6"/>
  <c r="B227" i="6"/>
  <c r="B178" i="6"/>
  <c r="B112" i="6"/>
  <c r="B321" i="6"/>
  <c r="B310" i="6"/>
  <c r="B161" i="6"/>
  <c r="B107" i="6"/>
  <c r="B109" i="6"/>
  <c r="B108" i="6"/>
  <c r="B160" i="6"/>
  <c r="B248" i="6"/>
  <c r="B38" i="6"/>
  <c r="B381" i="6"/>
  <c r="B14" i="6"/>
  <c r="B73" i="6"/>
  <c r="B380" i="6"/>
  <c r="B250" i="6"/>
  <c r="B74" i="6"/>
  <c r="B81" i="6"/>
  <c r="B111" i="6"/>
  <c r="B110" i="6"/>
  <c r="B174" i="6"/>
  <c r="B302" i="6"/>
  <c r="B70" i="6"/>
  <c r="B57" i="6"/>
  <c r="B121" i="6"/>
  <c r="B41" i="6"/>
  <c r="B42" i="6"/>
  <c r="B88" i="6"/>
  <c r="B157" i="6"/>
  <c r="B256" i="6"/>
  <c r="B100" i="6"/>
  <c r="B261" i="6"/>
  <c r="B183" i="6"/>
  <c r="B163" i="6"/>
  <c r="B106" i="6"/>
  <c r="B102" i="6"/>
  <c r="B210" i="6"/>
  <c r="B263" i="6"/>
  <c r="B132" i="6"/>
  <c r="B343" i="6"/>
  <c r="B382" i="6"/>
  <c r="B64" i="6"/>
  <c r="B212" i="6"/>
  <c r="B99" i="6"/>
  <c r="B189" i="6"/>
  <c r="B244" i="6"/>
  <c r="B246" i="6"/>
  <c r="B235" i="6"/>
  <c r="B265" i="6"/>
  <c r="B287" i="6"/>
  <c r="B139" i="6"/>
  <c r="B97" i="6"/>
  <c r="B149" i="6"/>
  <c r="B211" i="6"/>
  <c r="B279" i="6"/>
  <c r="B176" i="6"/>
  <c r="B234" i="6"/>
  <c r="B192" i="6"/>
  <c r="B191" i="6"/>
  <c r="B219" i="6"/>
  <c r="B190" i="6"/>
  <c r="B187" i="6"/>
  <c r="B37" i="6"/>
  <c r="B230" i="6"/>
  <c r="B320" i="6"/>
  <c r="B371" i="6"/>
  <c r="B231" i="6"/>
  <c r="B35" i="6"/>
  <c r="B274" i="6"/>
  <c r="B233" i="6"/>
  <c r="B159" i="6"/>
  <c r="B158" i="6"/>
  <c r="B326" i="6"/>
  <c r="B298" i="6"/>
  <c r="B308" i="6"/>
  <c r="B299" i="6"/>
  <c r="B264" i="6"/>
  <c r="B68" i="6"/>
  <c r="B257" i="6"/>
  <c r="B389" i="6"/>
  <c r="B319" i="6"/>
  <c r="B20" i="6"/>
  <c r="B43" i="6"/>
  <c r="B25" i="6"/>
  <c r="B15" i="6"/>
  <c r="B131" i="6"/>
  <c r="B225" i="6"/>
  <c r="B236" i="6"/>
  <c r="B80" i="6"/>
  <c r="B357" i="6"/>
  <c r="B228" i="6"/>
  <c r="B379" i="6"/>
  <c r="B258" i="6"/>
  <c r="B405" i="6"/>
  <c r="B364" i="6"/>
  <c r="B12" i="6"/>
  <c r="B249" i="6"/>
  <c r="B18" i="6"/>
  <c r="B16" i="6"/>
  <c r="B293" i="6"/>
  <c r="B61" i="6"/>
  <c r="B391" i="6"/>
  <c r="B300" i="6"/>
  <c r="B254" i="6"/>
  <c r="B24" i="6"/>
  <c r="B283" i="6"/>
  <c r="B282" i="6"/>
  <c r="B135" i="6"/>
  <c r="B17" i="6"/>
  <c r="B39" i="6"/>
  <c r="B152" i="6"/>
  <c r="B19" i="6"/>
  <c r="B44" i="6"/>
  <c r="B86" i="6"/>
  <c r="B77" i="6"/>
  <c r="B26" i="6"/>
  <c r="B399" i="6"/>
  <c r="B29" i="6"/>
  <c r="B328" i="6"/>
  <c r="B271" i="6"/>
  <c r="B398" i="6"/>
  <c r="B285" i="6"/>
  <c r="B273" i="6"/>
  <c r="B401" i="6"/>
  <c r="B396" i="6"/>
  <c r="B394" i="6"/>
  <c r="B393" i="6"/>
  <c r="B390" i="6"/>
  <c r="B388" i="6"/>
  <c r="B406" i="6"/>
  <c r="B27" i="6"/>
  <c r="B355" i="6"/>
  <c r="B253" i="6"/>
  <c r="B198" i="6"/>
  <c r="B11" i="6"/>
  <c r="B386" i="6"/>
  <c r="B45" i="6"/>
  <c r="B40" i="6"/>
  <c r="B402" i="6"/>
  <c r="B151" i="6"/>
  <c r="B30" i="6"/>
  <c r="B407" i="6"/>
  <c r="B356" i="6"/>
  <c r="B367" i="6"/>
  <c r="B374" i="6"/>
  <c r="B369" i="6"/>
  <c r="B10" i="6"/>
  <c r="B330" i="6"/>
  <c r="B284" i="6"/>
  <c r="B114" i="6"/>
  <c r="B2" i="6"/>
  <c r="B400" i="6"/>
  <c r="B392" i="6"/>
  <c r="B337" i="6"/>
  <c r="B3" i="6"/>
  <c r="B4" i="6"/>
  <c r="B5" i="6"/>
  <c r="B129" i="6"/>
  <c r="B332" i="6"/>
  <c r="B222" i="6"/>
  <c r="B177" i="6"/>
  <c r="B280" i="6"/>
  <c r="B383" i="6"/>
  <c r="B173" i="6"/>
  <c r="B403" i="6"/>
  <c r="B384" i="6"/>
  <c r="B7" i="6"/>
  <c r="B34" i="6"/>
  <c r="B6" i="6"/>
  <c r="B286" i="6"/>
  <c r="B117" i="6"/>
  <c r="B134" i="6"/>
  <c r="B397" i="6"/>
  <c r="B395" i="6"/>
  <c r="B387" i="6"/>
  <c r="B322" i="6"/>
  <c r="B385" i="6"/>
  <c r="B115" i="6"/>
  <c r="B116" i="6"/>
  <c r="B153" i="6"/>
  <c r="B404" i="6"/>
  <c r="B223" i="6"/>
  <c r="A3" i="8"/>
  <c r="F262" i="5"/>
  <c r="E262" i="5"/>
  <c r="F259" i="5"/>
  <c r="E259" i="5"/>
  <c r="AD3" i="8"/>
  <c r="H48" i="5"/>
  <c r="H133" i="5"/>
  <c r="H272" i="5"/>
  <c r="H39" i="5"/>
  <c r="H26" i="5"/>
  <c r="H368" i="5"/>
  <c r="H262" i="5"/>
  <c r="H11" i="5"/>
  <c r="H259" i="5"/>
  <c r="H12" i="5"/>
  <c r="AE3" i="8"/>
  <c r="AF3" i="8"/>
  <c r="N48" i="5"/>
  <c r="N272" i="5"/>
  <c r="N39" i="5"/>
  <c r="N26" i="5"/>
  <c r="AG3" i="8"/>
  <c r="AH3" i="8"/>
  <c r="T262" i="5"/>
  <c r="T259" i="5"/>
  <c r="AI3" i="8"/>
  <c r="AJ3" i="8"/>
  <c r="AK3" i="8"/>
  <c r="AL3" i="8"/>
  <c r="A4" i="8"/>
  <c r="F241" i="5"/>
  <c r="E241" i="5"/>
  <c r="F261" i="5"/>
  <c r="E261" i="5"/>
  <c r="AD4" i="8"/>
  <c r="H59" i="5"/>
  <c r="H124" i="5"/>
  <c r="H241" i="5"/>
  <c r="H379" i="5"/>
  <c r="H20" i="5"/>
  <c r="H22" i="5"/>
  <c r="H261" i="5"/>
  <c r="AE4" i="8"/>
  <c r="AF4" i="8"/>
  <c r="N124" i="5"/>
  <c r="N379" i="5"/>
  <c r="AG4" i="8"/>
  <c r="AH4" i="8"/>
  <c r="T241" i="5"/>
  <c r="T261" i="5"/>
  <c r="AI4" i="8"/>
  <c r="AJ4" i="8"/>
  <c r="AK4" i="8"/>
  <c r="AL4" i="8"/>
  <c r="A5" i="8"/>
  <c r="F252" i="5"/>
  <c r="E252" i="5"/>
  <c r="F251" i="5"/>
  <c r="E251" i="5"/>
  <c r="AD5" i="8"/>
  <c r="H62" i="5"/>
  <c r="H177" i="5"/>
  <c r="H45" i="5"/>
  <c r="H10" i="5"/>
  <c r="H252" i="5"/>
  <c r="H25" i="5"/>
  <c r="H251" i="5"/>
  <c r="H29" i="5"/>
  <c r="AE5" i="8"/>
  <c r="AF5" i="8"/>
  <c r="N62" i="5"/>
  <c r="N45" i="5"/>
  <c r="N25" i="5"/>
  <c r="N29" i="5"/>
  <c r="AG5" i="8"/>
  <c r="AH5" i="8"/>
  <c r="T252" i="5"/>
  <c r="T251" i="5"/>
  <c r="AI5" i="8"/>
  <c r="AJ5" i="8"/>
  <c r="AK5" i="8"/>
  <c r="AL5" i="8"/>
  <c r="A6" i="8"/>
  <c r="AD6" i="8"/>
  <c r="H162" i="5"/>
  <c r="H58" i="5"/>
  <c r="H24" i="5"/>
  <c r="H122" i="5"/>
  <c r="H46" i="5"/>
  <c r="AE6" i="8"/>
  <c r="AF6" i="8"/>
  <c r="N78" i="5"/>
  <c r="N162" i="5"/>
  <c r="N118" i="5"/>
  <c r="N122" i="5"/>
  <c r="N46" i="5"/>
  <c r="AG6" i="8"/>
  <c r="AH6" i="8"/>
  <c r="AI6" i="8"/>
  <c r="AJ6" i="8"/>
  <c r="AK6" i="8"/>
  <c r="AL6" i="8"/>
  <c r="A7" i="8"/>
  <c r="F257" i="5"/>
  <c r="E257" i="5"/>
  <c r="AD7" i="8"/>
  <c r="H92" i="5"/>
  <c r="H60" i="5"/>
  <c r="H56" i="5"/>
  <c r="H257" i="5"/>
  <c r="H9" i="5"/>
  <c r="H27" i="5"/>
  <c r="H171" i="5"/>
  <c r="H47" i="5"/>
  <c r="AE7" i="8"/>
  <c r="AF7" i="8"/>
  <c r="N79" i="5"/>
  <c r="N27" i="5"/>
  <c r="N171" i="5"/>
  <c r="N47" i="5"/>
  <c r="AG7" i="8"/>
  <c r="AH7" i="8"/>
  <c r="T257" i="5"/>
  <c r="AI7" i="8"/>
  <c r="AJ7" i="8"/>
  <c r="AK7" i="8"/>
  <c r="AL7" i="8"/>
  <c r="A8" i="8"/>
  <c r="AD8" i="8"/>
  <c r="H84" i="5"/>
  <c r="H61" i="5"/>
  <c r="H266" i="5"/>
  <c r="H111" i="5"/>
  <c r="AE8" i="8"/>
  <c r="AF8" i="8"/>
  <c r="N84" i="5"/>
  <c r="N266" i="5"/>
  <c r="N111" i="5"/>
  <c r="AG8" i="8"/>
  <c r="AH8" i="8"/>
  <c r="AI8" i="8"/>
  <c r="AJ8" i="8"/>
  <c r="AK8" i="8"/>
  <c r="AL8" i="8"/>
  <c r="A9" i="8"/>
  <c r="F254" i="5"/>
  <c r="E254" i="5"/>
  <c r="F255" i="5"/>
  <c r="E255" i="5"/>
  <c r="AD9" i="8"/>
  <c r="H40" i="5"/>
  <c r="H85" i="5"/>
  <c r="H277" i="5"/>
  <c r="H254" i="5"/>
  <c r="H255" i="5"/>
  <c r="H23" i="5"/>
  <c r="H121" i="5"/>
  <c r="AE9" i="8"/>
  <c r="AF9" i="8"/>
  <c r="N130" i="5"/>
  <c r="N40" i="5"/>
  <c r="N85" i="5"/>
  <c r="N121" i="5"/>
  <c r="AG9" i="8"/>
  <c r="AH9" i="8"/>
  <c r="T254" i="5"/>
  <c r="T255" i="5"/>
  <c r="AI9" i="8"/>
  <c r="AJ9" i="8"/>
  <c r="AK9" i="8"/>
  <c r="AL9" i="8"/>
  <c r="A10" i="8"/>
  <c r="F256" i="5"/>
  <c r="E256" i="5"/>
  <c r="AD10" i="8"/>
  <c r="H65" i="5"/>
  <c r="H21" i="5"/>
  <c r="H285" i="5"/>
  <c r="H256" i="5"/>
  <c r="H112" i="5"/>
  <c r="AE10" i="8"/>
  <c r="AF10" i="8"/>
  <c r="N131" i="5"/>
  <c r="N65" i="5"/>
  <c r="N285" i="5"/>
  <c r="N112" i="5"/>
  <c r="AG10" i="8"/>
  <c r="AH10" i="8"/>
  <c r="T256" i="5"/>
  <c r="AI10" i="8"/>
  <c r="AJ10" i="8"/>
  <c r="AK10" i="8"/>
  <c r="AL10" i="8"/>
  <c r="A11" i="8"/>
  <c r="F260" i="5"/>
  <c r="E260" i="5"/>
  <c r="AD11" i="8"/>
  <c r="H276" i="5"/>
  <c r="H260" i="5"/>
  <c r="H113" i="5"/>
  <c r="AE11" i="8"/>
  <c r="AF11" i="8"/>
  <c r="N132" i="5"/>
  <c r="N276" i="5"/>
  <c r="N113" i="5"/>
  <c r="N159" i="5"/>
  <c r="AG11" i="8"/>
  <c r="AH11" i="8"/>
  <c r="T260" i="5"/>
  <c r="AI11" i="8"/>
  <c r="AJ11" i="8"/>
  <c r="AK11" i="8"/>
  <c r="AL11" i="8"/>
  <c r="A12" i="8"/>
  <c r="AD12" i="8"/>
  <c r="H394" i="5"/>
  <c r="H298" i="5"/>
  <c r="H284" i="5"/>
  <c r="H81" i="5"/>
  <c r="H136" i="5"/>
  <c r="H37" i="5"/>
  <c r="H97" i="5"/>
  <c r="AE12" i="8"/>
  <c r="AF12" i="8"/>
  <c r="N284" i="5"/>
  <c r="N81" i="5"/>
  <c r="N97" i="5"/>
  <c r="AG12" i="8"/>
  <c r="AH12" i="8"/>
  <c r="AI12" i="8"/>
  <c r="AJ12" i="8"/>
  <c r="AK12" i="8"/>
  <c r="AL12" i="8"/>
  <c r="AM12" i="8"/>
  <c r="AN12" i="8"/>
  <c r="AO12" i="8"/>
  <c r="A13" i="8"/>
  <c r="AD13" i="8"/>
  <c r="H54" i="5"/>
  <c r="H326" i="5"/>
  <c r="H86" i="5"/>
  <c r="H94" i="5"/>
  <c r="AE13" i="8"/>
  <c r="AF13" i="8"/>
  <c r="N158" i="5"/>
  <c r="N86" i="5"/>
  <c r="N106" i="5"/>
  <c r="N94" i="5"/>
  <c r="N157" i="5"/>
  <c r="AG13" i="8"/>
  <c r="AH13" i="8"/>
  <c r="AI13" i="8"/>
  <c r="AJ13" i="8"/>
  <c r="AK13" i="8"/>
  <c r="AL13" i="8"/>
  <c r="AM13" i="8"/>
  <c r="AN13" i="8"/>
  <c r="AO13" i="8"/>
  <c r="A14" i="8"/>
  <c r="AD14" i="8"/>
  <c r="H208" i="5"/>
  <c r="H170" i="5"/>
  <c r="AE14" i="8"/>
  <c r="AF14" i="8"/>
  <c r="N208" i="5"/>
  <c r="N160" i="5"/>
  <c r="N105" i="5"/>
  <c r="N170" i="5"/>
  <c r="AG14" i="8"/>
  <c r="AH14" i="8"/>
  <c r="AI14" i="8"/>
  <c r="AJ14" i="8"/>
  <c r="AK14" i="8"/>
  <c r="AL14" i="8"/>
  <c r="A15" i="8"/>
  <c r="F249" i="5"/>
  <c r="E249" i="5"/>
  <c r="AD15" i="8"/>
  <c r="H202" i="5"/>
  <c r="H197" i="5"/>
  <c r="H168" i="5"/>
  <c r="H249" i="5"/>
  <c r="H178" i="5"/>
  <c r="AE15" i="8"/>
  <c r="AF15" i="8"/>
  <c r="N168" i="5"/>
  <c r="AG15" i="8"/>
  <c r="AH15" i="8"/>
  <c r="T249" i="5"/>
  <c r="AI15" i="8"/>
  <c r="AJ15" i="8"/>
  <c r="AK15" i="8"/>
  <c r="AL15" i="8"/>
  <c r="A16" i="8"/>
  <c r="AD16" i="8"/>
  <c r="H69" i="5"/>
  <c r="H57" i="5"/>
  <c r="H98" i="5"/>
  <c r="AE16" i="8"/>
  <c r="AF16" i="8"/>
  <c r="N99" i="5"/>
  <c r="N98" i="5"/>
  <c r="AG16" i="8"/>
  <c r="AH16" i="8"/>
  <c r="AI16" i="8"/>
  <c r="AJ16" i="8"/>
  <c r="AK16" i="8"/>
  <c r="AL16" i="8"/>
  <c r="A17" i="8"/>
  <c r="AD17" i="8"/>
  <c r="H67" i="5"/>
  <c r="H205" i="5"/>
  <c r="H201" i="5"/>
  <c r="H80" i="5"/>
  <c r="H238" i="5"/>
  <c r="H30" i="5"/>
  <c r="H188" i="5"/>
  <c r="AE17" i="8"/>
  <c r="AF17" i="8"/>
  <c r="N67" i="5"/>
  <c r="N80" i="5"/>
  <c r="N238" i="5"/>
  <c r="N30" i="5"/>
  <c r="AG17" i="8"/>
  <c r="AH17" i="8"/>
  <c r="AI17" i="8"/>
  <c r="AJ17" i="8"/>
  <c r="AK17" i="8"/>
  <c r="AL17" i="8"/>
  <c r="AM17" i="8"/>
  <c r="AN17" i="8"/>
  <c r="AO17" i="8"/>
  <c r="A18" i="8"/>
  <c r="AD18" i="8"/>
  <c r="H386" i="5"/>
  <c r="H235" i="5"/>
  <c r="AE18" i="8"/>
  <c r="AF18" i="8"/>
  <c r="N386" i="5"/>
  <c r="N77" i="5"/>
  <c r="N235" i="5"/>
  <c r="AG18" i="8"/>
  <c r="AH18" i="8"/>
  <c r="AI18" i="8"/>
  <c r="AJ18" i="8"/>
  <c r="AK18" i="8"/>
  <c r="AL18" i="8"/>
  <c r="AM18" i="8"/>
  <c r="AN18" i="8"/>
  <c r="AO18" i="8"/>
  <c r="A19" i="8"/>
  <c r="AD19" i="8"/>
  <c r="H194" i="5"/>
  <c r="H44" i="5"/>
  <c r="H95" i="5"/>
  <c r="H191" i="5"/>
  <c r="H193" i="5"/>
  <c r="AE19" i="8"/>
  <c r="AF19" i="8"/>
  <c r="N194" i="5"/>
  <c r="N44" i="5"/>
  <c r="N95" i="5"/>
  <c r="N191" i="5"/>
  <c r="N193" i="5"/>
  <c r="AG19" i="8"/>
  <c r="AH19" i="8"/>
  <c r="AI19" i="8"/>
  <c r="AJ19" i="8"/>
  <c r="AK19" i="8"/>
  <c r="AL19" i="8"/>
  <c r="AM19" i="8"/>
  <c r="AN19" i="8"/>
  <c r="AO19" i="8"/>
  <c r="A20" i="8"/>
  <c r="AD20" i="8"/>
  <c r="H195" i="5"/>
  <c r="H172" i="5"/>
  <c r="H234" i="5"/>
  <c r="H192" i="5"/>
  <c r="AE20" i="8"/>
  <c r="AF20" i="8"/>
  <c r="N195" i="5"/>
  <c r="N172" i="5"/>
  <c r="N234" i="5"/>
  <c r="N192" i="5"/>
  <c r="AG20" i="8"/>
  <c r="AH20" i="8"/>
  <c r="AI20" i="8"/>
  <c r="AJ20" i="8"/>
  <c r="AK20" i="8"/>
  <c r="AL20" i="8"/>
  <c r="AM20" i="8"/>
  <c r="AN20" i="8"/>
  <c r="AO20" i="8"/>
  <c r="A21" i="8"/>
  <c r="AD21" i="8"/>
  <c r="H381" i="5"/>
  <c r="H236" i="5"/>
  <c r="H232" i="5"/>
  <c r="H203" i="5"/>
  <c r="AE21" i="8"/>
  <c r="AF21" i="8"/>
  <c r="N381" i="5"/>
  <c r="N236" i="5"/>
  <c r="AG21" i="8"/>
  <c r="AH21" i="8"/>
  <c r="AI21" i="8"/>
  <c r="AJ21" i="8"/>
  <c r="AK21" i="8"/>
  <c r="AL21" i="8"/>
  <c r="AM21" i="8"/>
  <c r="AN21" i="8"/>
  <c r="AO21" i="8"/>
  <c r="A22" i="8"/>
  <c r="AD22" i="8"/>
  <c r="H31" i="5"/>
  <c r="H17" i="5"/>
  <c r="H278" i="5"/>
  <c r="H233" i="5"/>
  <c r="H231" i="5"/>
  <c r="AE22" i="8"/>
  <c r="AF22" i="8"/>
  <c r="N31" i="5"/>
  <c r="N212" i="5"/>
  <c r="AG22" i="8"/>
  <c r="AH22" i="8"/>
  <c r="AI22" i="8"/>
  <c r="AJ22" i="8"/>
  <c r="AK22" i="8"/>
  <c r="AL22" i="8"/>
  <c r="AM22" i="8"/>
  <c r="AN22" i="8"/>
  <c r="AO22" i="8"/>
  <c r="A23" i="8"/>
  <c r="AD23" i="8"/>
  <c r="H196" i="5"/>
  <c r="H286" i="5"/>
  <c r="H273" i="5"/>
  <c r="H283" i="5"/>
  <c r="H267" i="5"/>
  <c r="AE23" i="8"/>
  <c r="AF23" i="8"/>
  <c r="N196" i="5"/>
  <c r="N286" i="5"/>
  <c r="N273" i="5"/>
  <c r="N283" i="5"/>
  <c r="N267" i="5"/>
  <c r="N213" i="5"/>
  <c r="AG23" i="8"/>
  <c r="AH23" i="8"/>
  <c r="AI23" i="8"/>
  <c r="AJ23" i="8"/>
  <c r="AK23" i="8"/>
  <c r="AL23" i="8"/>
  <c r="AM23" i="8"/>
  <c r="AN23" i="8"/>
  <c r="AO23" i="8"/>
  <c r="A24" i="8"/>
  <c r="AD24" i="8"/>
  <c r="H13" i="5"/>
  <c r="AE24" i="8"/>
  <c r="AF24" i="8"/>
  <c r="AG24" i="8"/>
  <c r="AH24" i="8"/>
  <c r="AI24" i="8"/>
  <c r="AJ24" i="8"/>
  <c r="AK24" i="8"/>
  <c r="AL24" i="8"/>
  <c r="A25" i="8"/>
  <c r="F245" i="5"/>
  <c r="E245" i="5"/>
  <c r="AD25" i="8"/>
  <c r="H75" i="5"/>
  <c r="H245" i="5"/>
  <c r="AE25" i="8"/>
  <c r="AF25" i="8"/>
  <c r="N209" i="5"/>
  <c r="N75" i="5"/>
  <c r="AG25" i="8"/>
  <c r="AH25" i="8"/>
  <c r="T245" i="5"/>
  <c r="AI25" i="8"/>
  <c r="AJ25" i="8"/>
  <c r="AK25" i="8"/>
  <c r="AL25" i="8"/>
  <c r="A26" i="8"/>
  <c r="AD26" i="8"/>
  <c r="AE26" i="8"/>
  <c r="AF26" i="8"/>
  <c r="AG26" i="8"/>
  <c r="AH26" i="8"/>
  <c r="AI26" i="8"/>
  <c r="AJ26" i="8"/>
  <c r="AK26" i="8"/>
  <c r="AL26" i="8"/>
  <c r="A27" i="8"/>
  <c r="AD27" i="8"/>
  <c r="H269" i="5"/>
  <c r="H200" i="5"/>
  <c r="AE27" i="8"/>
  <c r="AF27" i="8"/>
  <c r="N269" i="5"/>
  <c r="AG27" i="8"/>
  <c r="AH27" i="8"/>
  <c r="AI27" i="8"/>
  <c r="AJ27" i="8"/>
  <c r="AK27" i="8"/>
  <c r="AL27" i="8"/>
  <c r="A28" i="8"/>
  <c r="AD28" i="8"/>
  <c r="H281" i="5"/>
  <c r="AE28" i="8"/>
  <c r="AF28" i="8"/>
  <c r="N89" i="5"/>
  <c r="N119" i="5"/>
  <c r="N281" i="5"/>
  <c r="AG28" i="8"/>
  <c r="AH28" i="8"/>
  <c r="AI28" i="8"/>
  <c r="AJ28" i="8"/>
  <c r="AK28" i="8"/>
  <c r="AL28" i="8"/>
  <c r="A29" i="8"/>
  <c r="AD29" i="8"/>
  <c r="H34" i="5"/>
  <c r="AE29" i="8"/>
  <c r="AF29" i="8"/>
  <c r="AG29" i="8"/>
  <c r="AH29" i="8"/>
  <c r="AI29" i="8"/>
  <c r="AJ29" i="8"/>
  <c r="AK29" i="8"/>
  <c r="AL29" i="8"/>
  <c r="A30" i="8"/>
  <c r="F243" i="5"/>
  <c r="E243" i="5"/>
  <c r="AD30" i="8"/>
  <c r="H243" i="5"/>
  <c r="AE30" i="8"/>
  <c r="AF30" i="8"/>
  <c r="AG30" i="8"/>
  <c r="AH30" i="8"/>
  <c r="T243" i="5"/>
  <c r="AI30" i="8"/>
  <c r="AJ30" i="8"/>
  <c r="AK30" i="8"/>
  <c r="AL30" i="8"/>
  <c r="A31" i="8"/>
  <c r="AD31" i="8"/>
  <c r="H115" i="5"/>
  <c r="H120" i="5"/>
  <c r="H324" i="5"/>
  <c r="AE31" i="8"/>
  <c r="AF31" i="8"/>
  <c r="N115" i="5"/>
  <c r="N120" i="5"/>
  <c r="AG31" i="8"/>
  <c r="AH31" i="8"/>
  <c r="AI31" i="8"/>
  <c r="AJ31" i="8"/>
  <c r="AK31" i="8"/>
  <c r="AL31" i="8"/>
  <c r="A32" i="8"/>
  <c r="AD32" i="8"/>
  <c r="H137" i="5"/>
  <c r="H282" i="5"/>
  <c r="H333" i="5"/>
  <c r="AE32" i="8"/>
  <c r="AF32" i="8"/>
  <c r="N282" i="5"/>
  <c r="AG32" i="8"/>
  <c r="AH32" i="8"/>
  <c r="AI32" i="8"/>
  <c r="AJ32" i="8"/>
  <c r="AK32" i="8"/>
  <c r="AL32" i="8"/>
  <c r="A33" i="8"/>
  <c r="AD33" i="8"/>
  <c r="H371" i="5"/>
  <c r="H169" i="5"/>
  <c r="H395" i="5"/>
  <c r="AE33" i="8"/>
  <c r="AF33" i="8"/>
  <c r="N108" i="5"/>
  <c r="N169" i="5"/>
  <c r="AG33" i="8"/>
  <c r="AH33" i="8"/>
  <c r="AI33" i="8"/>
  <c r="AJ33" i="8"/>
  <c r="AK33" i="8"/>
  <c r="AL33" i="8"/>
  <c r="A34" i="8"/>
  <c r="AD34" i="8"/>
  <c r="AE34" i="8"/>
  <c r="AF34" i="8"/>
  <c r="AG34" i="8"/>
  <c r="AH34" i="8"/>
  <c r="AI34" i="8"/>
  <c r="AJ34" i="8"/>
  <c r="AK34" i="8"/>
  <c r="AL34" i="8"/>
  <c r="A35" i="8"/>
  <c r="AD35" i="8"/>
  <c r="H328" i="5"/>
  <c r="H367" i="5"/>
  <c r="AE35" i="8"/>
  <c r="AF35" i="8"/>
  <c r="AG35" i="8"/>
  <c r="AH35" i="8"/>
  <c r="AI35" i="8"/>
  <c r="AJ35" i="8"/>
  <c r="AK35" i="8"/>
  <c r="AL35" i="8"/>
  <c r="A36" i="8"/>
  <c r="AD36" i="8"/>
  <c r="H176" i="5"/>
  <c r="H374" i="5"/>
  <c r="H376" i="5"/>
  <c r="H384" i="5"/>
  <c r="H383" i="5"/>
  <c r="AE36" i="8"/>
  <c r="AF36" i="8"/>
  <c r="N104" i="5"/>
  <c r="N384" i="5"/>
  <c r="N383" i="5"/>
  <c r="AG36" i="8"/>
  <c r="AH36" i="8"/>
  <c r="AI36" i="8"/>
  <c r="AJ36" i="8"/>
  <c r="AK36" i="8"/>
  <c r="AL36" i="8"/>
  <c r="A37" i="8"/>
  <c r="F250" i="5"/>
  <c r="E250" i="5"/>
  <c r="F240" i="5"/>
  <c r="E240" i="5"/>
  <c r="AD37" i="8"/>
  <c r="H250" i="5"/>
  <c r="H51" i="5"/>
  <c r="H240" i="5"/>
  <c r="H390" i="5"/>
  <c r="H392" i="5"/>
  <c r="AE37" i="8"/>
  <c r="AF37" i="8"/>
  <c r="N51" i="5"/>
  <c r="N390" i="5"/>
  <c r="AG37" i="8"/>
  <c r="AH37" i="8"/>
  <c r="T250" i="5"/>
  <c r="T240" i="5"/>
  <c r="AI37" i="8"/>
  <c r="AJ37" i="8"/>
  <c r="AK37" i="8"/>
  <c r="AL37" i="8"/>
  <c r="AM37" i="8"/>
  <c r="AN37" i="8"/>
  <c r="A38" i="8"/>
  <c r="AD38" i="8"/>
  <c r="H332" i="5"/>
  <c r="AE38" i="8"/>
  <c r="AF38" i="8"/>
  <c r="N103" i="5"/>
  <c r="AG38" i="8"/>
  <c r="AH38" i="8"/>
  <c r="AI38" i="8"/>
  <c r="AJ38" i="8"/>
  <c r="AK38" i="8"/>
  <c r="AL38" i="8"/>
  <c r="AM38" i="8"/>
  <c r="AN38" i="8"/>
  <c r="AO38" i="8"/>
  <c r="A39" i="8"/>
  <c r="AD39" i="8"/>
  <c r="H38" i="5"/>
  <c r="AE39" i="8"/>
  <c r="AF39" i="8"/>
  <c r="N38" i="5"/>
  <c r="AG39" i="8"/>
  <c r="AH39" i="8"/>
  <c r="AI39" i="8"/>
  <c r="AJ39" i="8"/>
  <c r="AK39" i="8"/>
  <c r="AL39" i="8"/>
  <c r="A40" i="8"/>
  <c r="AD40" i="8"/>
  <c r="H52" i="5"/>
  <c r="AE40" i="8"/>
  <c r="AF40" i="8"/>
  <c r="N52" i="5"/>
  <c r="AG40" i="8"/>
  <c r="AH40" i="8"/>
  <c r="AI40" i="8"/>
  <c r="AJ40" i="8"/>
  <c r="AK40" i="8"/>
  <c r="AL40" i="8"/>
  <c r="AM40" i="8"/>
  <c r="AN40" i="8"/>
  <c r="A41" i="8"/>
  <c r="AD41" i="8"/>
  <c r="H49" i="5"/>
  <c r="H32" i="5"/>
  <c r="AE41" i="8"/>
  <c r="AF41" i="8"/>
  <c r="N49" i="5"/>
  <c r="AG41" i="8"/>
  <c r="AH41" i="8"/>
  <c r="AI41" i="8"/>
  <c r="AJ41" i="8"/>
  <c r="AK41" i="8"/>
  <c r="AL41" i="8"/>
  <c r="A42" i="8"/>
  <c r="AD42" i="8"/>
  <c r="H42" i="5"/>
  <c r="H138" i="5"/>
  <c r="AE42" i="8"/>
  <c r="AF42" i="8"/>
  <c r="N42" i="5"/>
  <c r="N102" i="5"/>
  <c r="AG42" i="8"/>
  <c r="AH42" i="8"/>
  <c r="AI42" i="8"/>
  <c r="AJ42" i="8"/>
  <c r="AK42" i="8"/>
  <c r="AL42" i="8"/>
  <c r="A43" i="8"/>
  <c r="AD43" i="8"/>
  <c r="H43" i="5"/>
  <c r="H35" i="5"/>
  <c r="AE43" i="8"/>
  <c r="AF43" i="8"/>
  <c r="N43" i="5"/>
  <c r="AG43" i="8"/>
  <c r="AH43" i="8"/>
  <c r="AI43" i="8"/>
  <c r="AJ43" i="8"/>
  <c r="AK43" i="8"/>
  <c r="AL43" i="8"/>
  <c r="A44" i="8"/>
  <c r="AD44" i="8"/>
  <c r="H36" i="5"/>
  <c r="AE44" i="8"/>
  <c r="AF44" i="8"/>
  <c r="AG44" i="8"/>
  <c r="AH44" i="8"/>
  <c r="AI44" i="8"/>
  <c r="AJ44" i="8"/>
  <c r="AK44" i="8"/>
  <c r="AL44" i="8"/>
  <c r="A45" i="8"/>
  <c r="AD45" i="8"/>
  <c r="H66" i="5"/>
  <c r="H366" i="5"/>
  <c r="H378" i="5"/>
  <c r="H50" i="5"/>
  <c r="AE45" i="8"/>
  <c r="AF45" i="8"/>
  <c r="N66" i="5"/>
  <c r="N378" i="5"/>
  <c r="N50" i="5"/>
  <c r="AG45" i="8"/>
  <c r="AH45" i="8"/>
  <c r="AI45" i="8"/>
  <c r="AJ45" i="8"/>
  <c r="AK45" i="8"/>
  <c r="AL45" i="8"/>
  <c r="A46" i="8"/>
  <c r="AD46" i="8"/>
  <c r="AE46" i="8"/>
  <c r="AF46" i="8"/>
  <c r="AG46" i="8"/>
  <c r="AH46" i="8"/>
  <c r="AI46" i="8"/>
  <c r="AJ46" i="8"/>
  <c r="AK46" i="8"/>
  <c r="AL46" i="8"/>
  <c r="A47" i="8"/>
  <c r="AD47" i="8"/>
  <c r="H270" i="5"/>
  <c r="H380" i="5"/>
  <c r="AE47" i="8"/>
  <c r="AF47" i="8"/>
  <c r="N129" i="5"/>
  <c r="N270" i="5"/>
  <c r="N380" i="5"/>
  <c r="AG47" i="8"/>
  <c r="AH47" i="8"/>
  <c r="AI47" i="8"/>
  <c r="AJ47" i="8"/>
  <c r="AK47" i="8"/>
  <c r="AL47" i="8"/>
  <c r="A48" i="8"/>
  <c r="AD48" i="8"/>
  <c r="H268" i="5"/>
  <c r="H385" i="5"/>
  <c r="AE48" i="8"/>
  <c r="AF48" i="8"/>
  <c r="N268" i="5"/>
  <c r="N385" i="5"/>
  <c r="AG48" i="8"/>
  <c r="AH48" i="8"/>
  <c r="AI48" i="8"/>
  <c r="AJ48" i="8"/>
  <c r="AK48" i="8"/>
  <c r="AL48" i="8"/>
  <c r="A49" i="8"/>
  <c r="AD49" i="8"/>
  <c r="H271" i="5"/>
  <c r="H387" i="5"/>
  <c r="H53" i="5"/>
  <c r="H14" i="5"/>
  <c r="AE49" i="8"/>
  <c r="AF49" i="8"/>
  <c r="N271" i="5"/>
  <c r="N387" i="5"/>
  <c r="N53" i="5"/>
  <c r="AG49" i="8"/>
  <c r="AH49" i="8"/>
  <c r="AI49" i="8"/>
  <c r="AJ49" i="8"/>
  <c r="AK49" i="8"/>
  <c r="AL49" i="8"/>
  <c r="A50" i="8"/>
  <c r="AD50" i="8"/>
  <c r="H388" i="5"/>
  <c r="H15" i="5"/>
  <c r="AE50" i="8"/>
  <c r="AF50" i="8"/>
  <c r="N388" i="5"/>
  <c r="AG50" i="8"/>
  <c r="AH50" i="8"/>
  <c r="AI50" i="8"/>
  <c r="AJ50" i="8"/>
  <c r="AK50" i="8"/>
  <c r="AL50" i="8"/>
  <c r="A51" i="8"/>
  <c r="AD51" i="8"/>
  <c r="H393" i="5"/>
  <c r="H16" i="5"/>
  <c r="AE51" i="8"/>
  <c r="AF51" i="8"/>
  <c r="N117" i="5"/>
  <c r="AG51" i="8"/>
  <c r="AH51" i="8"/>
  <c r="AI51" i="8"/>
  <c r="AJ51" i="8"/>
  <c r="AK51" i="8"/>
  <c r="AL51" i="8"/>
  <c r="A52" i="8"/>
  <c r="F244" i="5"/>
  <c r="E244" i="5"/>
  <c r="AD52" i="8"/>
  <c r="H244" i="5"/>
  <c r="AE52" i="8"/>
  <c r="AF52" i="8"/>
  <c r="AG52" i="8"/>
  <c r="AH52" i="8"/>
  <c r="T244" i="5"/>
  <c r="AI52" i="8"/>
  <c r="AJ52" i="8"/>
  <c r="AK52" i="8"/>
  <c r="AL52" i="8"/>
  <c r="A53" i="8"/>
  <c r="AD53" i="8"/>
  <c r="AE53" i="8"/>
  <c r="AF53" i="8"/>
  <c r="AG53" i="8"/>
  <c r="AH53" i="8"/>
  <c r="AI53" i="8"/>
  <c r="AJ53" i="8"/>
  <c r="AK53" i="8"/>
  <c r="AL53" i="8"/>
  <c r="A54" i="8"/>
  <c r="F246" i="5"/>
  <c r="E246" i="5"/>
  <c r="AD54" i="8"/>
  <c r="H246" i="5"/>
  <c r="AE54" i="8"/>
  <c r="AF54" i="8"/>
  <c r="AG54" i="8"/>
  <c r="AH54" i="8"/>
  <c r="T246" i="5"/>
  <c r="AI54" i="8"/>
  <c r="AJ54" i="8"/>
  <c r="AK54" i="8"/>
  <c r="AL54" i="8"/>
  <c r="A55" i="8"/>
  <c r="F247" i="5"/>
  <c r="E247" i="5"/>
  <c r="AD55" i="8"/>
  <c r="H41" i="5"/>
  <c r="H247" i="5"/>
  <c r="AE55" i="8"/>
  <c r="AF55" i="8"/>
  <c r="N41" i="5"/>
  <c r="AG55" i="8"/>
  <c r="AH55" i="8"/>
  <c r="T247" i="5"/>
  <c r="AI55" i="8"/>
  <c r="AJ55" i="8"/>
  <c r="AK55" i="8"/>
  <c r="AL55" i="8"/>
  <c r="A56" i="8"/>
  <c r="F253" i="5"/>
  <c r="E253" i="5"/>
  <c r="AD56" i="8"/>
  <c r="H253" i="5"/>
  <c r="AE56" i="8"/>
  <c r="AF56" i="8"/>
  <c r="AG56" i="8"/>
  <c r="AH56" i="8"/>
  <c r="T253" i="5"/>
  <c r="AI56" i="8"/>
  <c r="AJ56" i="8"/>
  <c r="AK56" i="8"/>
  <c r="AL56" i="8"/>
  <c r="A57" i="8"/>
  <c r="AD57" i="8"/>
  <c r="H55" i="5"/>
  <c r="H175" i="5"/>
  <c r="AE57" i="8"/>
  <c r="AF57" i="8"/>
  <c r="AG57" i="8"/>
  <c r="AH57" i="8"/>
  <c r="AI57" i="8"/>
  <c r="AJ57" i="8"/>
  <c r="AK57" i="8"/>
  <c r="AL57" i="8"/>
  <c r="AM57" i="8"/>
  <c r="AN57" i="8"/>
  <c r="A58" i="8"/>
  <c r="AD58" i="8"/>
  <c r="AE58" i="8"/>
  <c r="AF58" i="8"/>
  <c r="AG58" i="8"/>
  <c r="AH58" i="8"/>
  <c r="AI58" i="8"/>
  <c r="AJ58" i="8"/>
  <c r="AK58" i="8"/>
  <c r="AL58" i="8"/>
  <c r="A59" i="8"/>
  <c r="AD59" i="8"/>
  <c r="AE59" i="8"/>
  <c r="AF59" i="8"/>
  <c r="AG59" i="8"/>
  <c r="AH59" i="8"/>
  <c r="AI59" i="8"/>
  <c r="AJ59" i="8"/>
  <c r="AK59" i="8"/>
  <c r="AL59" i="8"/>
  <c r="A60" i="8"/>
  <c r="AD60" i="8"/>
  <c r="AE60" i="8"/>
  <c r="AF60" i="8"/>
  <c r="AG60" i="8"/>
  <c r="AH60" i="8"/>
  <c r="AI60" i="8"/>
  <c r="AJ60" i="8"/>
  <c r="AK60" i="8"/>
  <c r="AL60" i="8"/>
  <c r="A61" i="8"/>
  <c r="F242" i="5"/>
  <c r="E242" i="5"/>
  <c r="AD61" i="8"/>
  <c r="H242" i="5"/>
  <c r="AE61" i="8"/>
  <c r="AF61" i="8"/>
  <c r="AG61" i="8"/>
  <c r="AH61" i="8"/>
  <c r="T242" i="5"/>
  <c r="AI61" i="8"/>
  <c r="AJ61" i="8"/>
  <c r="AK61" i="8"/>
  <c r="AL61" i="8"/>
  <c r="A62" i="8"/>
  <c r="AD62" i="8"/>
  <c r="H279" i="5"/>
  <c r="AE62" i="8"/>
  <c r="AF62" i="8"/>
  <c r="AG62" i="8"/>
  <c r="AH62" i="8"/>
  <c r="AI62" i="8"/>
  <c r="AJ62" i="8"/>
  <c r="AK62" i="8"/>
  <c r="AL62" i="8"/>
  <c r="A63" i="8"/>
  <c r="AD63" i="8"/>
  <c r="H63" i="5"/>
  <c r="AE63" i="8"/>
  <c r="AF63" i="8"/>
  <c r="N63" i="5"/>
  <c r="AG63" i="8"/>
  <c r="AH63" i="8"/>
  <c r="AI63" i="8"/>
  <c r="AJ63" i="8"/>
  <c r="AK63" i="8"/>
  <c r="AL63" i="8"/>
  <c r="A64" i="8"/>
  <c r="F263" i="5"/>
  <c r="E263" i="5"/>
  <c r="AD64" i="8"/>
  <c r="H64" i="5"/>
  <c r="H274" i="5"/>
  <c r="H263" i="5"/>
  <c r="AE64" i="8"/>
  <c r="AF64" i="8"/>
  <c r="N64" i="5"/>
  <c r="N274" i="5"/>
  <c r="AG64" i="8"/>
  <c r="AH64" i="8"/>
  <c r="T263" i="5"/>
  <c r="AI64" i="8"/>
  <c r="AJ64" i="8"/>
  <c r="AK64" i="8"/>
  <c r="AL64" i="8"/>
  <c r="A65" i="8"/>
  <c r="F264" i="5"/>
  <c r="E264" i="5"/>
  <c r="AD65" i="8"/>
  <c r="H264" i="5"/>
  <c r="AE65" i="8"/>
  <c r="AF65" i="8"/>
  <c r="N109" i="5"/>
  <c r="AG65" i="8"/>
  <c r="AH65" i="8"/>
  <c r="T264" i="5"/>
  <c r="AI65" i="8"/>
  <c r="AJ65" i="8"/>
  <c r="AK65" i="8"/>
  <c r="AL65" i="8"/>
  <c r="A66" i="8"/>
  <c r="F265" i="5"/>
  <c r="E265" i="5"/>
  <c r="AD66" i="8"/>
  <c r="H265" i="5"/>
  <c r="AE66" i="8"/>
  <c r="AF66" i="8"/>
  <c r="AG66" i="8"/>
  <c r="AH66" i="8"/>
  <c r="T265" i="5"/>
  <c r="AI66" i="8"/>
  <c r="AJ66" i="8"/>
  <c r="AK66" i="8"/>
  <c r="AL66" i="8"/>
  <c r="A67" i="8"/>
  <c r="AD67" i="8"/>
  <c r="AE67" i="8"/>
  <c r="AF67" i="8"/>
  <c r="AG67" i="8"/>
  <c r="AH67" i="8"/>
  <c r="AI67" i="8"/>
  <c r="AJ67" i="8"/>
  <c r="AK67" i="8"/>
  <c r="AL67" i="8"/>
  <c r="A68" i="8"/>
  <c r="AD68" i="8"/>
  <c r="H68" i="5"/>
  <c r="AE68" i="8"/>
  <c r="AF68" i="8"/>
  <c r="N68" i="5"/>
  <c r="AG68" i="8"/>
  <c r="AH68" i="8"/>
  <c r="AI68" i="8"/>
  <c r="AJ68" i="8"/>
  <c r="AK68" i="8"/>
  <c r="AL68" i="8"/>
  <c r="A69" i="8"/>
  <c r="AD69" i="8"/>
  <c r="AE69" i="8"/>
  <c r="AF69" i="8"/>
  <c r="AG69" i="8"/>
  <c r="AH69" i="8"/>
  <c r="AI69" i="8"/>
  <c r="AJ69" i="8"/>
  <c r="AK69" i="8"/>
  <c r="AL69" i="8"/>
  <c r="A70" i="8"/>
  <c r="AD70" i="8"/>
  <c r="H70" i="5"/>
  <c r="AE70" i="8"/>
  <c r="AF70" i="8"/>
  <c r="N70" i="5"/>
  <c r="AG70" i="8"/>
  <c r="AH70" i="8"/>
  <c r="AI70" i="8"/>
  <c r="AJ70" i="8"/>
  <c r="AK70" i="8"/>
  <c r="AL70" i="8"/>
  <c r="A71" i="8"/>
  <c r="AD71" i="8"/>
  <c r="H71" i="5"/>
  <c r="AE71" i="8"/>
  <c r="AF71" i="8"/>
  <c r="N71" i="5"/>
  <c r="AG71" i="8"/>
  <c r="AH71" i="8"/>
  <c r="AI71" i="8"/>
  <c r="AJ71" i="8"/>
  <c r="AK71" i="8"/>
  <c r="AL71" i="8"/>
  <c r="A72" i="8"/>
  <c r="AD72" i="8"/>
  <c r="H72" i="5"/>
  <c r="H280" i="5"/>
  <c r="AE72" i="8"/>
  <c r="AF72" i="8"/>
  <c r="N72" i="5"/>
  <c r="N239" i="5"/>
  <c r="N280" i="5"/>
  <c r="AG72" i="8"/>
  <c r="AH72" i="8"/>
  <c r="AI72" i="8"/>
  <c r="AJ72" i="8"/>
  <c r="AK72" i="8"/>
  <c r="AL72" i="8"/>
  <c r="A73" i="8"/>
  <c r="AD73" i="8"/>
  <c r="AE73" i="8"/>
  <c r="AF73" i="8"/>
  <c r="AG73" i="8"/>
  <c r="AH73" i="8"/>
  <c r="AI73" i="8"/>
  <c r="AJ73" i="8"/>
  <c r="AK73" i="8"/>
  <c r="AL73" i="8"/>
  <c r="A74" i="8"/>
  <c r="AD74" i="8"/>
  <c r="AE74" i="8"/>
  <c r="AF74" i="8"/>
  <c r="N73" i="5"/>
  <c r="N87" i="5"/>
  <c r="AG74" i="8"/>
  <c r="AH74" i="8"/>
  <c r="AI74" i="8"/>
  <c r="AJ74" i="8"/>
  <c r="AK74" i="8"/>
  <c r="AL74" i="8"/>
  <c r="A75" i="8"/>
  <c r="AD75" i="8"/>
  <c r="H74" i="5"/>
  <c r="AE75" i="8"/>
  <c r="AF75" i="8"/>
  <c r="N74" i="5"/>
  <c r="AG75" i="8"/>
  <c r="AH75" i="8"/>
  <c r="AI75" i="8"/>
  <c r="AJ75" i="8"/>
  <c r="AK75" i="8"/>
  <c r="AL75" i="8"/>
  <c r="AM75" i="8"/>
  <c r="AN75" i="8"/>
  <c r="A76" i="8"/>
  <c r="AD76" i="8"/>
  <c r="AE76" i="8"/>
  <c r="AF76" i="8"/>
  <c r="AG76" i="8"/>
  <c r="AH76" i="8"/>
  <c r="AI76" i="8"/>
  <c r="AJ76" i="8"/>
  <c r="AK76" i="8"/>
  <c r="AL76" i="8"/>
  <c r="A77" i="8"/>
  <c r="AD77" i="8"/>
  <c r="H76" i="5"/>
  <c r="AE77" i="8"/>
  <c r="AF77" i="8"/>
  <c r="N76" i="5"/>
  <c r="AG77" i="8"/>
  <c r="AH77" i="8"/>
  <c r="AI77" i="8"/>
  <c r="AJ77" i="8"/>
  <c r="AK77" i="8"/>
  <c r="AL77" i="8"/>
  <c r="AM77" i="8"/>
  <c r="AN77" i="8"/>
  <c r="A78" i="8"/>
  <c r="AD78" i="8"/>
  <c r="AE78" i="8"/>
  <c r="AF78" i="8"/>
  <c r="AG78" i="8"/>
  <c r="AH78" i="8"/>
  <c r="AI78" i="8"/>
  <c r="AJ78" i="8"/>
  <c r="AK78" i="8"/>
  <c r="AL78" i="8"/>
  <c r="A79" i="8"/>
  <c r="AD79" i="8"/>
  <c r="AE79" i="8"/>
  <c r="AF79" i="8"/>
  <c r="AG79" i="8"/>
  <c r="AH79" i="8"/>
  <c r="AI79" i="8"/>
  <c r="AJ79" i="8"/>
  <c r="AK79" i="8"/>
  <c r="AL79" i="8"/>
  <c r="A80" i="8"/>
  <c r="AD80" i="8"/>
  <c r="AE80" i="8"/>
  <c r="AF80" i="8"/>
  <c r="AG80" i="8"/>
  <c r="AH80" i="8"/>
  <c r="AI80" i="8"/>
  <c r="AJ80" i="8"/>
  <c r="AK80" i="8"/>
  <c r="AL80" i="8"/>
  <c r="A81" i="8"/>
  <c r="AD81" i="8"/>
  <c r="AE81" i="8"/>
  <c r="AF81" i="8"/>
  <c r="AG81" i="8"/>
  <c r="AH81" i="8"/>
  <c r="AI81" i="8"/>
  <c r="AJ81" i="8"/>
  <c r="AK81" i="8"/>
  <c r="AL81" i="8"/>
  <c r="A82" i="8"/>
  <c r="AD82" i="8"/>
  <c r="AE82" i="8"/>
  <c r="AF82" i="8"/>
  <c r="AG82" i="8"/>
  <c r="AH82" i="8"/>
  <c r="AI82" i="8"/>
  <c r="AJ82" i="8"/>
  <c r="AK82" i="8"/>
  <c r="AL82" i="8"/>
  <c r="A83" i="8"/>
  <c r="AD83" i="8"/>
  <c r="H83" i="5"/>
  <c r="AE83" i="8"/>
  <c r="AF83" i="8"/>
  <c r="N83" i="5"/>
  <c r="AG83" i="8"/>
  <c r="AH83" i="8"/>
  <c r="AI83" i="8"/>
  <c r="AJ83" i="8"/>
  <c r="AK83" i="8"/>
  <c r="AL83" i="8"/>
  <c r="A84" i="8"/>
  <c r="AD84" i="8"/>
  <c r="AE84" i="8"/>
  <c r="AF84" i="8"/>
  <c r="AG84" i="8"/>
  <c r="AH84" i="8"/>
  <c r="AI84" i="8"/>
  <c r="AJ84" i="8"/>
  <c r="AK84" i="8"/>
  <c r="AL84" i="8"/>
  <c r="A85" i="8"/>
  <c r="AD85" i="8"/>
  <c r="AE85" i="8"/>
  <c r="AF85" i="8"/>
  <c r="AG85" i="8"/>
  <c r="AH85" i="8"/>
  <c r="AI85" i="8"/>
  <c r="AJ85" i="8"/>
  <c r="AK85" i="8"/>
  <c r="AL85" i="8"/>
  <c r="A86" i="8"/>
  <c r="AD86" i="8"/>
  <c r="AE86" i="8"/>
  <c r="AF86" i="8"/>
  <c r="AG86" i="8"/>
  <c r="AH86" i="8"/>
  <c r="AI86" i="8"/>
  <c r="AJ86" i="8"/>
  <c r="AK86" i="8"/>
  <c r="AL86" i="8"/>
  <c r="A87" i="8"/>
  <c r="AD87" i="8"/>
  <c r="AE87" i="8"/>
  <c r="AF87" i="8"/>
  <c r="N107" i="5"/>
  <c r="AG87" i="8"/>
  <c r="AH87" i="8"/>
  <c r="AI87" i="8"/>
  <c r="AJ87" i="8"/>
  <c r="AK87" i="8"/>
  <c r="AL87" i="8"/>
  <c r="A88" i="8"/>
  <c r="AD88" i="8"/>
  <c r="AE88" i="8"/>
  <c r="AF88" i="8"/>
  <c r="AG88" i="8"/>
  <c r="AH88" i="8"/>
  <c r="AI88" i="8"/>
  <c r="AJ88" i="8"/>
  <c r="AK88" i="8"/>
  <c r="AL88" i="8"/>
  <c r="A89" i="8"/>
  <c r="AD89" i="8"/>
  <c r="H96" i="5"/>
  <c r="AE89" i="8"/>
  <c r="AF89" i="8"/>
  <c r="N96" i="5"/>
  <c r="AG89" i="8"/>
  <c r="AH89" i="8"/>
  <c r="AI89" i="8"/>
  <c r="AJ89" i="8"/>
  <c r="AK89" i="8"/>
  <c r="AL89" i="8"/>
  <c r="A90" i="8"/>
  <c r="F248" i="5"/>
  <c r="E248" i="5"/>
  <c r="AD90" i="8"/>
  <c r="H248" i="5"/>
  <c r="AE90" i="8"/>
  <c r="AF90" i="8"/>
  <c r="AG90" i="8"/>
  <c r="AH90" i="8"/>
  <c r="T248" i="5"/>
  <c r="AI90" i="8"/>
  <c r="AJ90" i="8"/>
  <c r="AK90" i="8"/>
  <c r="AL90" i="8"/>
  <c r="A91" i="8"/>
  <c r="AD91" i="8"/>
  <c r="H190" i="5"/>
  <c r="AE91" i="8"/>
  <c r="AF91" i="8"/>
  <c r="N190" i="5"/>
  <c r="AG91" i="8"/>
  <c r="AH91" i="8"/>
  <c r="AI91" i="8"/>
  <c r="AJ91" i="8"/>
  <c r="AK91" i="8"/>
  <c r="AL91" i="8"/>
  <c r="A92" i="8"/>
  <c r="AD92" i="8"/>
  <c r="AE92" i="8"/>
  <c r="AF92" i="8"/>
  <c r="N88" i="5"/>
  <c r="AG92" i="8"/>
  <c r="AH92" i="8"/>
  <c r="AI92" i="8"/>
  <c r="AJ92" i="8"/>
  <c r="AK92" i="8"/>
  <c r="AL92" i="8"/>
  <c r="A93" i="8"/>
  <c r="AD93" i="8"/>
  <c r="AE93" i="8"/>
  <c r="AF93" i="8"/>
  <c r="AG93" i="8"/>
  <c r="AH93" i="8"/>
  <c r="AI93" i="8"/>
  <c r="AJ93" i="8"/>
  <c r="AK93" i="8"/>
  <c r="AL93" i="8"/>
  <c r="A94" i="8"/>
  <c r="AD94" i="8"/>
  <c r="AE94" i="8"/>
  <c r="AF94" i="8"/>
  <c r="AG94" i="8"/>
  <c r="AH94" i="8"/>
  <c r="AI94" i="8"/>
  <c r="AJ94" i="8"/>
  <c r="AK94" i="8"/>
  <c r="AL94" i="8"/>
  <c r="A95" i="8"/>
  <c r="AD95" i="8"/>
  <c r="AE95" i="8"/>
  <c r="AF95" i="8"/>
  <c r="AG95" i="8"/>
  <c r="AH95" i="8"/>
  <c r="AI95" i="8"/>
  <c r="AJ95" i="8"/>
  <c r="AK95" i="8"/>
  <c r="AL95" i="8"/>
  <c r="A96" i="8"/>
  <c r="AD96" i="8"/>
  <c r="AE96" i="8"/>
  <c r="AF96" i="8"/>
  <c r="AG96" i="8"/>
  <c r="AH96" i="8"/>
  <c r="AI96" i="8"/>
  <c r="AJ96" i="8"/>
  <c r="AK96" i="8"/>
  <c r="AL96" i="8"/>
  <c r="A97" i="8"/>
  <c r="AD97" i="8"/>
  <c r="AE97" i="8"/>
  <c r="AF97" i="8"/>
  <c r="AG97" i="8"/>
  <c r="AH97" i="8"/>
  <c r="AI97" i="8"/>
  <c r="AJ97" i="8"/>
  <c r="AK97" i="8"/>
  <c r="AL97" i="8"/>
  <c r="AO97" i="8"/>
  <c r="A98" i="8"/>
  <c r="AD98" i="8"/>
  <c r="AE98" i="8"/>
  <c r="AF98" i="8"/>
  <c r="AG98" i="8"/>
  <c r="AH98" i="8"/>
  <c r="AI98" i="8"/>
  <c r="AJ98" i="8"/>
  <c r="AK98" i="8"/>
  <c r="AL98" i="8"/>
  <c r="AO98" i="8"/>
  <c r="A99" i="8"/>
  <c r="AD99" i="8"/>
  <c r="H93" i="5"/>
  <c r="AE99" i="8"/>
  <c r="AF99" i="8"/>
  <c r="N93" i="5"/>
  <c r="AG99" i="8"/>
  <c r="AH99" i="8"/>
  <c r="AI99" i="8"/>
  <c r="AJ99" i="8"/>
  <c r="AK99" i="8"/>
  <c r="AL99" i="8"/>
  <c r="A100" i="8"/>
  <c r="AD100" i="8"/>
  <c r="AE100" i="8"/>
  <c r="AF100" i="8"/>
  <c r="AG100" i="8"/>
  <c r="AH100" i="8"/>
  <c r="AI100" i="8"/>
  <c r="AJ100" i="8"/>
  <c r="AK100" i="8"/>
  <c r="AL100" i="8"/>
  <c r="A101" i="8"/>
  <c r="AD101" i="8"/>
  <c r="AE101" i="8"/>
  <c r="AF101" i="8"/>
  <c r="AG101" i="8"/>
  <c r="AH101" i="8"/>
  <c r="AI101" i="8"/>
  <c r="AJ101" i="8"/>
  <c r="AK101" i="8"/>
  <c r="AL101" i="8"/>
  <c r="AM101" i="8"/>
  <c r="AN101" i="8"/>
  <c r="AO101" i="8"/>
  <c r="A102" i="8"/>
  <c r="AD102" i="8"/>
  <c r="H161" i="5"/>
  <c r="AE102" i="8"/>
  <c r="AF102" i="8"/>
  <c r="N161" i="5"/>
  <c r="AG102" i="8"/>
  <c r="AH102" i="8"/>
  <c r="AI102" i="8"/>
  <c r="AJ102" i="8"/>
  <c r="AK102" i="8"/>
  <c r="AL102" i="8"/>
  <c r="AM102" i="8"/>
  <c r="AN102" i="8"/>
  <c r="A103" i="8"/>
  <c r="AD103" i="8"/>
  <c r="AE103" i="8"/>
  <c r="AF103" i="8"/>
  <c r="AG103" i="8"/>
  <c r="AH103" i="8"/>
  <c r="AI103" i="8"/>
  <c r="AJ103" i="8"/>
  <c r="AK103" i="8"/>
  <c r="AL103" i="8"/>
  <c r="AM103" i="8"/>
  <c r="AN103" i="8"/>
  <c r="A104" i="8"/>
  <c r="AD104" i="8"/>
  <c r="AE104" i="8"/>
  <c r="AF104" i="8"/>
  <c r="AG104" i="8"/>
  <c r="AH104" i="8"/>
  <c r="AI104" i="8"/>
  <c r="AJ104" i="8"/>
  <c r="AK104" i="8"/>
  <c r="AL104" i="8"/>
  <c r="AM104" i="8"/>
  <c r="AN104" i="8"/>
  <c r="A105" i="8"/>
  <c r="AD105" i="8"/>
  <c r="AE105" i="8"/>
  <c r="AF105" i="8"/>
  <c r="AG105" i="8"/>
  <c r="AH105" i="8"/>
  <c r="AI105" i="8"/>
  <c r="AJ105" i="8"/>
  <c r="AK105" i="8"/>
  <c r="AL105" i="8"/>
  <c r="AM105" i="8"/>
  <c r="AN105" i="8"/>
  <c r="A106" i="8"/>
  <c r="AD106" i="8"/>
  <c r="AE106" i="8"/>
  <c r="AF106" i="8"/>
  <c r="AG106" i="8"/>
  <c r="AH106" i="8"/>
  <c r="AI106" i="8"/>
  <c r="AJ106" i="8"/>
  <c r="AK106" i="8"/>
  <c r="AL106" i="8"/>
  <c r="AM106" i="8"/>
  <c r="AN106" i="8"/>
  <c r="A107" i="8"/>
  <c r="AD107" i="8"/>
  <c r="H126" i="5"/>
  <c r="AE107" i="8"/>
  <c r="AF107" i="8"/>
  <c r="N126" i="5"/>
  <c r="AG107" i="8"/>
  <c r="AH107" i="8"/>
  <c r="AI107" i="8"/>
  <c r="AJ107" i="8"/>
  <c r="AK107" i="8"/>
  <c r="AL107" i="8"/>
  <c r="AM107" i="8"/>
  <c r="AN107" i="8"/>
  <c r="A108" i="8"/>
  <c r="AD108" i="8"/>
  <c r="H134" i="5"/>
  <c r="AE108" i="8"/>
  <c r="AF108" i="8"/>
  <c r="AG108" i="8"/>
  <c r="AH108" i="8"/>
  <c r="AI108" i="8"/>
  <c r="AJ108" i="8"/>
  <c r="AK108" i="8"/>
  <c r="AL108" i="8"/>
  <c r="AM108" i="8"/>
  <c r="AN108" i="8"/>
  <c r="A109" i="8"/>
  <c r="AD109" i="8"/>
  <c r="AE109" i="8"/>
  <c r="AF109" i="8"/>
  <c r="AG109" i="8"/>
  <c r="AH109" i="8"/>
  <c r="AI109" i="8"/>
  <c r="AJ109" i="8"/>
  <c r="AK109" i="8"/>
  <c r="AL109" i="8"/>
  <c r="AM109" i="8"/>
  <c r="AN109" i="8"/>
  <c r="A110" i="8"/>
  <c r="AD110" i="8"/>
  <c r="H322" i="5"/>
  <c r="AE110" i="8"/>
  <c r="AF110" i="8"/>
  <c r="AG110" i="8"/>
  <c r="AH110" i="8"/>
  <c r="AI110" i="8"/>
  <c r="AJ110" i="8"/>
  <c r="AK110" i="8"/>
  <c r="AL110" i="8"/>
  <c r="AM110" i="8"/>
  <c r="AN110" i="8"/>
  <c r="A111" i="8"/>
  <c r="AD111" i="8"/>
  <c r="H323" i="5"/>
  <c r="AE111" i="8"/>
  <c r="AF111" i="8"/>
  <c r="AG111" i="8"/>
  <c r="AH111" i="8"/>
  <c r="AI111" i="8"/>
  <c r="AJ111" i="8"/>
  <c r="AK111" i="8"/>
  <c r="AL111" i="8"/>
  <c r="AM111" i="8"/>
  <c r="AN111" i="8"/>
  <c r="A112" i="8"/>
  <c r="AD112" i="8"/>
  <c r="AE112" i="8"/>
  <c r="AF112" i="8"/>
  <c r="AG112" i="8"/>
  <c r="AH112" i="8"/>
  <c r="AI112" i="8"/>
  <c r="AJ112" i="8"/>
  <c r="AK112" i="8"/>
  <c r="AL112" i="8"/>
  <c r="AM112" i="8"/>
  <c r="AN112" i="8"/>
  <c r="A113" i="8"/>
  <c r="AD113" i="8"/>
  <c r="AE113" i="8"/>
  <c r="AF113" i="8"/>
  <c r="AG113" i="8"/>
  <c r="AH113" i="8"/>
  <c r="AI113" i="8"/>
  <c r="AJ113" i="8"/>
  <c r="AK113" i="8"/>
  <c r="AL113" i="8"/>
  <c r="AM113" i="8"/>
  <c r="AN113" i="8"/>
  <c r="A114" i="8"/>
  <c r="AD114" i="8"/>
  <c r="AE114" i="8"/>
  <c r="AF114" i="8"/>
  <c r="AG114" i="8"/>
  <c r="AH114" i="8"/>
  <c r="AI114" i="8"/>
  <c r="AJ114" i="8"/>
  <c r="AK114" i="8"/>
  <c r="AL114" i="8"/>
  <c r="AM114" i="8"/>
  <c r="AN114" i="8"/>
  <c r="A115" i="8"/>
  <c r="AD115" i="8"/>
  <c r="AE115" i="8"/>
  <c r="AF115" i="8"/>
  <c r="AG115" i="8"/>
  <c r="AH115" i="8"/>
  <c r="AI115" i="8"/>
  <c r="AJ115" i="8"/>
  <c r="AK115" i="8"/>
  <c r="AL115" i="8"/>
  <c r="AM115" i="8"/>
  <c r="AN115" i="8"/>
  <c r="A116" i="8"/>
  <c r="AD116" i="8"/>
  <c r="AE116" i="8"/>
  <c r="AF116" i="8"/>
  <c r="AG116" i="8"/>
  <c r="AH116" i="8"/>
  <c r="AI116" i="8"/>
  <c r="AJ116" i="8"/>
  <c r="AK116" i="8"/>
  <c r="AL116" i="8"/>
  <c r="AM116" i="8"/>
  <c r="AN116" i="8"/>
  <c r="A117" i="8"/>
  <c r="AD117" i="8"/>
  <c r="AE117" i="8"/>
  <c r="AF117" i="8"/>
  <c r="AG117" i="8"/>
  <c r="AH117" i="8"/>
  <c r="AI117" i="8"/>
  <c r="AJ117" i="8"/>
  <c r="AK117" i="8"/>
  <c r="AL117" i="8"/>
  <c r="A118" i="8"/>
  <c r="AD118" i="8"/>
  <c r="AE118" i="8"/>
  <c r="AF118" i="8"/>
  <c r="AG118" i="8"/>
  <c r="AH118" i="8"/>
  <c r="AI118" i="8"/>
  <c r="AJ118" i="8"/>
  <c r="AK118" i="8"/>
  <c r="AL118" i="8"/>
  <c r="A119" i="8"/>
  <c r="AD119" i="8"/>
  <c r="AE119" i="8"/>
  <c r="AF119" i="8"/>
  <c r="N110" i="5"/>
  <c r="AG119" i="8"/>
  <c r="AH119" i="8"/>
  <c r="AI119" i="8"/>
  <c r="AJ119" i="8"/>
  <c r="AK119" i="8"/>
  <c r="AL119" i="8"/>
  <c r="A120" i="8"/>
  <c r="AD120" i="8"/>
  <c r="H127" i="5"/>
  <c r="AE120" i="8"/>
  <c r="AF120" i="8"/>
  <c r="N127" i="5"/>
  <c r="AG120" i="8"/>
  <c r="AH120" i="8"/>
  <c r="AI120" i="8"/>
  <c r="AJ120" i="8"/>
  <c r="AK120" i="8"/>
  <c r="AL120" i="8"/>
  <c r="A121" i="8"/>
  <c r="AD121" i="8"/>
  <c r="H125" i="5"/>
  <c r="AE121" i="8"/>
  <c r="AF121" i="8"/>
  <c r="N125" i="5"/>
  <c r="AG121" i="8"/>
  <c r="AH121" i="8"/>
  <c r="AI121" i="8"/>
  <c r="AJ121" i="8"/>
  <c r="AK121" i="8"/>
  <c r="AL121" i="8"/>
  <c r="A122" i="8"/>
  <c r="AD122" i="8"/>
  <c r="AE122" i="8"/>
  <c r="AF122" i="8"/>
  <c r="AG122" i="8"/>
  <c r="AH122" i="8"/>
  <c r="AI122" i="8"/>
  <c r="AJ122" i="8"/>
  <c r="AK122" i="8"/>
  <c r="AL122" i="8"/>
  <c r="A123" i="8"/>
  <c r="AD123" i="8"/>
  <c r="H114" i="5"/>
  <c r="AE123" i="8"/>
  <c r="AF123" i="8"/>
  <c r="N114" i="5"/>
  <c r="AG123" i="8"/>
  <c r="AH123" i="8"/>
  <c r="AI123" i="8"/>
  <c r="AJ123" i="8"/>
  <c r="AK123" i="8"/>
  <c r="AL123" i="8"/>
  <c r="A124" i="8"/>
  <c r="AD124" i="8"/>
  <c r="H135" i="5"/>
  <c r="AE124" i="8"/>
  <c r="AF124" i="8"/>
  <c r="N211" i="5"/>
  <c r="AG124" i="8"/>
  <c r="AH124" i="8"/>
  <c r="AI124" i="8"/>
  <c r="AJ124" i="8"/>
  <c r="AK124" i="8"/>
  <c r="AL124" i="8"/>
  <c r="A125" i="8"/>
  <c r="AD125" i="8"/>
  <c r="AE125" i="8"/>
  <c r="AF125" i="8"/>
  <c r="AG125" i="8"/>
  <c r="AH125" i="8"/>
  <c r="AI125" i="8"/>
  <c r="AJ125" i="8"/>
  <c r="AK125" i="8"/>
  <c r="AL125" i="8"/>
  <c r="A126" i="8"/>
  <c r="AD126" i="8"/>
  <c r="AE126" i="8"/>
  <c r="AF126" i="8"/>
  <c r="AG126" i="8"/>
  <c r="AH126" i="8"/>
  <c r="AI126" i="8"/>
  <c r="AJ126" i="8"/>
  <c r="AK126" i="8"/>
  <c r="AL126" i="8"/>
  <c r="A127" i="8"/>
  <c r="AD127" i="8"/>
  <c r="AE127" i="8"/>
  <c r="AF127" i="8"/>
  <c r="AG127" i="8"/>
  <c r="AH127" i="8"/>
  <c r="AI127" i="8"/>
  <c r="AJ127" i="8"/>
  <c r="AK127" i="8"/>
  <c r="AL127" i="8"/>
  <c r="A128" i="8"/>
  <c r="AD128" i="8"/>
  <c r="AE128" i="8"/>
  <c r="AF128" i="8"/>
  <c r="AG128" i="8"/>
  <c r="AH128" i="8"/>
  <c r="AI128" i="8"/>
  <c r="AJ128" i="8"/>
  <c r="AK128" i="8"/>
  <c r="AL128" i="8"/>
  <c r="A129" i="8"/>
  <c r="AD129" i="8"/>
  <c r="AE129" i="8"/>
  <c r="AF129" i="8"/>
  <c r="N128" i="5"/>
  <c r="AG129" i="8"/>
  <c r="AH129" i="8"/>
  <c r="AI129" i="8"/>
  <c r="AJ129" i="8"/>
  <c r="AK129" i="8"/>
  <c r="AL129" i="8"/>
  <c r="A130" i="8"/>
  <c r="AD130" i="8"/>
  <c r="H370" i="5"/>
  <c r="AE130" i="8"/>
  <c r="AF130" i="8"/>
  <c r="AG130" i="8"/>
  <c r="AH130" i="8"/>
  <c r="AI130" i="8"/>
  <c r="AJ130" i="8"/>
  <c r="AK130" i="8"/>
  <c r="AL130" i="8"/>
  <c r="A131" i="8"/>
  <c r="AD131" i="8"/>
  <c r="H373" i="5"/>
  <c r="AE131" i="8"/>
  <c r="AF131" i="8"/>
  <c r="AG131" i="8"/>
  <c r="AH131" i="8"/>
  <c r="AI131" i="8"/>
  <c r="AJ131" i="8"/>
  <c r="AK131" i="8"/>
  <c r="AL131" i="8"/>
  <c r="A132" i="8"/>
  <c r="AD132" i="8"/>
  <c r="AE132" i="8"/>
  <c r="AF132" i="8"/>
  <c r="AG132" i="8"/>
  <c r="AH132" i="8"/>
  <c r="AI132" i="8"/>
  <c r="AJ132" i="8"/>
  <c r="AK132" i="8"/>
  <c r="AL132" i="8"/>
  <c r="A133" i="8"/>
  <c r="AD133" i="8"/>
  <c r="H375" i="5"/>
  <c r="AE133" i="8"/>
  <c r="AF133" i="8"/>
  <c r="AG133" i="8"/>
  <c r="AH133" i="8"/>
  <c r="AI133" i="8"/>
  <c r="AJ133" i="8"/>
  <c r="AK133" i="8"/>
  <c r="AL133" i="8"/>
  <c r="A134" i="8"/>
  <c r="AD134" i="8"/>
  <c r="H377" i="5"/>
  <c r="AE134" i="8"/>
  <c r="AF134" i="8"/>
  <c r="AG134" i="8"/>
  <c r="AH134" i="8"/>
  <c r="AI134" i="8"/>
  <c r="AJ134" i="8"/>
  <c r="AK134" i="8"/>
  <c r="AL134" i="8"/>
  <c r="A135" i="8"/>
  <c r="AD135" i="8"/>
  <c r="AE135" i="8"/>
  <c r="AF135" i="8"/>
  <c r="AG135" i="8"/>
  <c r="AH135" i="8"/>
  <c r="AI135" i="8"/>
  <c r="AJ135" i="8"/>
  <c r="AK135" i="8"/>
  <c r="AL135" i="8"/>
  <c r="A136" i="8"/>
  <c r="AD136" i="8"/>
  <c r="AE136" i="8"/>
  <c r="AF136" i="8"/>
  <c r="AG136" i="8"/>
  <c r="AH136" i="8"/>
  <c r="AI136" i="8"/>
  <c r="AJ136" i="8"/>
  <c r="AK136" i="8"/>
  <c r="AL136" i="8"/>
  <c r="A137" i="8"/>
  <c r="AD137" i="8"/>
  <c r="H207" i="5"/>
  <c r="H372" i="5"/>
  <c r="AE137" i="8"/>
  <c r="AF137" i="8"/>
  <c r="AG137" i="8"/>
  <c r="AH137" i="8"/>
  <c r="AI137" i="8"/>
  <c r="AJ137" i="8"/>
  <c r="AK137" i="8"/>
  <c r="AL137" i="8"/>
  <c r="A138" i="8"/>
  <c r="AD138" i="8"/>
  <c r="AE138" i="8"/>
  <c r="AF138" i="8"/>
  <c r="N214" i="5"/>
  <c r="AG138" i="8"/>
  <c r="AH138" i="8"/>
  <c r="AI138" i="8"/>
  <c r="AJ138" i="8"/>
  <c r="AK138" i="8"/>
  <c r="AL138" i="8"/>
  <c r="A139" i="8"/>
  <c r="AD139" i="8"/>
  <c r="AE139" i="8"/>
  <c r="AF139" i="8"/>
  <c r="AG139" i="8"/>
  <c r="AH139" i="8"/>
  <c r="AI139" i="8"/>
  <c r="AJ139" i="8"/>
  <c r="AK139" i="8"/>
  <c r="AL139" i="8"/>
  <c r="A140" i="8"/>
  <c r="AD140" i="8"/>
  <c r="AE140" i="8"/>
  <c r="AF140" i="8"/>
  <c r="AG140" i="8"/>
  <c r="AH140" i="8"/>
  <c r="AI140" i="8"/>
  <c r="AJ140" i="8"/>
  <c r="AK140" i="8"/>
  <c r="AL140" i="8"/>
  <c r="A141" i="8"/>
  <c r="AD141" i="8"/>
  <c r="AE141" i="8"/>
  <c r="AF141" i="8"/>
  <c r="AG141" i="8"/>
  <c r="AH141" i="8"/>
  <c r="AI141" i="8"/>
  <c r="AJ141" i="8"/>
  <c r="AK141" i="8"/>
  <c r="AL141" i="8"/>
  <c r="A142" i="8"/>
  <c r="AD142" i="8"/>
  <c r="AE142" i="8"/>
  <c r="AF142" i="8"/>
  <c r="AG142" i="8"/>
  <c r="AH142" i="8"/>
  <c r="AI142" i="8"/>
  <c r="AJ142" i="8"/>
  <c r="AK142" i="8"/>
  <c r="AL142" i="8"/>
  <c r="A143" i="8"/>
  <c r="AD143" i="8"/>
  <c r="AE143" i="8"/>
  <c r="AF143" i="8"/>
  <c r="AG143" i="8"/>
  <c r="AH143" i="8"/>
  <c r="AI143" i="8"/>
  <c r="AJ143" i="8"/>
  <c r="AK143" i="8"/>
  <c r="AL143" i="8"/>
  <c r="A144" i="8"/>
  <c r="AD144" i="8"/>
  <c r="AE144" i="8"/>
  <c r="AF144" i="8"/>
  <c r="AG144" i="8"/>
  <c r="AH144" i="8"/>
  <c r="AI144" i="8"/>
  <c r="AJ144" i="8"/>
  <c r="AK144" i="8"/>
  <c r="AL144" i="8"/>
  <c r="A145" i="8"/>
  <c r="AD145" i="8"/>
  <c r="AE145" i="8"/>
  <c r="AF145" i="8"/>
  <c r="AG145" i="8"/>
  <c r="AH145" i="8"/>
  <c r="AI145" i="8"/>
  <c r="AJ145" i="8"/>
  <c r="AK145" i="8"/>
  <c r="AL145" i="8"/>
  <c r="A146" i="8"/>
  <c r="AD146" i="8"/>
  <c r="AE146" i="8"/>
  <c r="AF146" i="8"/>
  <c r="AG146" i="8"/>
  <c r="AH146" i="8"/>
  <c r="AI146" i="8"/>
  <c r="AJ146" i="8"/>
  <c r="AK146" i="8"/>
  <c r="AL146" i="8"/>
  <c r="A147" i="8"/>
  <c r="AD147" i="8"/>
  <c r="AE147" i="8"/>
  <c r="AF147" i="8"/>
  <c r="AG147" i="8"/>
  <c r="AH147" i="8"/>
  <c r="AI147" i="8"/>
  <c r="AJ147" i="8"/>
  <c r="AK147" i="8"/>
  <c r="AL147" i="8"/>
  <c r="A148" i="8"/>
  <c r="AD148" i="8"/>
  <c r="AE148" i="8"/>
  <c r="AF148" i="8"/>
  <c r="AG148" i="8"/>
  <c r="AH148" i="8"/>
  <c r="AI148" i="8"/>
  <c r="AJ148" i="8"/>
  <c r="AK148" i="8"/>
  <c r="AL148" i="8"/>
  <c r="A149" i="8"/>
  <c r="AD149" i="8"/>
  <c r="AE149" i="8"/>
  <c r="AF149" i="8"/>
  <c r="AG149" i="8"/>
  <c r="AH149" i="8"/>
  <c r="AI149" i="8"/>
  <c r="AJ149" i="8"/>
  <c r="AK149" i="8"/>
  <c r="AL149" i="8"/>
  <c r="A150" i="8"/>
  <c r="AD150" i="8"/>
  <c r="AE150" i="8"/>
  <c r="AF150" i="8"/>
  <c r="AG150" i="8"/>
  <c r="AH150" i="8"/>
  <c r="AI150" i="8"/>
  <c r="AJ150" i="8"/>
  <c r="AK150" i="8"/>
  <c r="AL150" i="8"/>
  <c r="A151" i="8"/>
  <c r="AD151" i="8"/>
  <c r="AE151" i="8"/>
  <c r="AF151" i="8"/>
  <c r="AG151" i="8"/>
  <c r="AH151" i="8"/>
  <c r="AI151" i="8"/>
  <c r="AJ151" i="8"/>
  <c r="AK151" i="8"/>
  <c r="AL151" i="8"/>
  <c r="AM151" i="8"/>
  <c r="AN151" i="8"/>
  <c r="AO151" i="8"/>
  <c r="A152" i="8"/>
  <c r="AD152" i="8"/>
  <c r="H167" i="5"/>
  <c r="AE152" i="8"/>
  <c r="AF152" i="8"/>
  <c r="N167" i="5"/>
  <c r="AG152" i="8"/>
  <c r="AH152" i="8"/>
  <c r="AI152" i="8"/>
  <c r="AJ152" i="8"/>
  <c r="AK152" i="8"/>
  <c r="AL152" i="8"/>
  <c r="AM152" i="8"/>
  <c r="AN152" i="8"/>
  <c r="AO152" i="8"/>
  <c r="A153" i="8"/>
  <c r="AD153" i="8"/>
  <c r="AE153" i="8"/>
  <c r="AF153" i="8"/>
  <c r="AG153" i="8"/>
  <c r="AH153" i="8"/>
  <c r="AI153" i="8"/>
  <c r="AJ153" i="8"/>
  <c r="AK153" i="8"/>
  <c r="AL153" i="8"/>
  <c r="AM153" i="8"/>
  <c r="AN153" i="8"/>
  <c r="AO153" i="8"/>
  <c r="A154" i="8"/>
  <c r="AD154" i="8"/>
  <c r="H389" i="5"/>
  <c r="H299" i="5"/>
  <c r="AE154" i="8"/>
  <c r="AF154" i="8"/>
  <c r="N389" i="5"/>
  <c r="AG154" i="8"/>
  <c r="AH154" i="8"/>
  <c r="AI154" i="8"/>
  <c r="AJ154" i="8"/>
  <c r="AK154" i="8"/>
  <c r="AL154" i="8"/>
  <c r="AM154" i="8"/>
  <c r="AN154" i="8"/>
  <c r="AO154" i="8"/>
  <c r="A155" i="8"/>
  <c r="AD155" i="8"/>
  <c r="AE155" i="8"/>
  <c r="AF155" i="8"/>
  <c r="AG155" i="8"/>
  <c r="AH155" i="8"/>
  <c r="AI155" i="8"/>
  <c r="AJ155" i="8"/>
  <c r="AK155" i="8"/>
  <c r="AL155" i="8"/>
  <c r="AM155" i="8"/>
  <c r="AN155" i="8"/>
  <c r="AO155" i="8"/>
  <c r="A156" i="8"/>
  <c r="AD156" i="8"/>
  <c r="AE156" i="8"/>
  <c r="AF156" i="8"/>
  <c r="AG156" i="8"/>
  <c r="AH156" i="8"/>
  <c r="AI156" i="8"/>
  <c r="AJ156" i="8"/>
  <c r="AK156" i="8"/>
  <c r="AL156" i="8"/>
  <c r="AM156" i="8"/>
  <c r="AN156" i="8"/>
  <c r="AO156" i="8"/>
  <c r="A157" i="8"/>
  <c r="AD157" i="8"/>
  <c r="H327" i="5"/>
  <c r="AE157" i="8"/>
  <c r="AF157" i="8"/>
  <c r="AG157" i="8"/>
  <c r="AH157" i="8"/>
  <c r="AI157" i="8"/>
  <c r="AJ157" i="8"/>
  <c r="AK157" i="8"/>
  <c r="AL157" i="8"/>
  <c r="AM157" i="8"/>
  <c r="AN157" i="8"/>
  <c r="AO157" i="8"/>
  <c r="A158" i="8"/>
  <c r="AD158" i="8"/>
  <c r="H335" i="5"/>
  <c r="AE158" i="8"/>
  <c r="AF158" i="8"/>
  <c r="AG158" i="8"/>
  <c r="AH158" i="8"/>
  <c r="AI158" i="8"/>
  <c r="AJ158" i="8"/>
  <c r="AK158" i="8"/>
  <c r="AL158" i="8"/>
  <c r="AM158" i="8"/>
  <c r="AN158" i="8"/>
  <c r="AO158" i="8"/>
  <c r="A159" i="8"/>
  <c r="AD159" i="8"/>
  <c r="AE159" i="8"/>
  <c r="AF159" i="8"/>
  <c r="AG159" i="8"/>
  <c r="AH159" i="8"/>
  <c r="AI159" i="8"/>
  <c r="AJ159" i="8"/>
  <c r="AK159" i="8"/>
  <c r="AL159" i="8"/>
  <c r="AM159" i="8"/>
  <c r="AN159" i="8"/>
  <c r="AO159" i="8"/>
  <c r="A160" i="8"/>
  <c r="AD160" i="8"/>
  <c r="AE160" i="8"/>
  <c r="AF160" i="8"/>
  <c r="AG160" i="8"/>
  <c r="AH160" i="8"/>
  <c r="AI160" i="8"/>
  <c r="AJ160" i="8"/>
  <c r="AK160" i="8"/>
  <c r="AL160" i="8"/>
  <c r="AM160" i="8"/>
  <c r="AN160" i="8"/>
  <c r="AO160" i="8"/>
  <c r="A161" i="8"/>
  <c r="AD161" i="8"/>
  <c r="AE161" i="8"/>
  <c r="AF161" i="8"/>
  <c r="AG161" i="8"/>
  <c r="AH161" i="8"/>
  <c r="AI161" i="8"/>
  <c r="AJ161" i="8"/>
  <c r="AK161" i="8"/>
  <c r="AL161" i="8"/>
  <c r="AM161" i="8"/>
  <c r="AN161" i="8"/>
  <c r="AO161" i="8"/>
  <c r="A162" i="8"/>
  <c r="AD162" i="8"/>
  <c r="H334" i="5"/>
  <c r="AE162" i="8"/>
  <c r="AF162" i="8"/>
  <c r="AG162" i="8"/>
  <c r="AH162" i="8"/>
  <c r="AI162" i="8"/>
  <c r="AJ162" i="8"/>
  <c r="AK162" i="8"/>
  <c r="AL162" i="8"/>
  <c r="AM162" i="8"/>
  <c r="AN162" i="8"/>
  <c r="AO162" i="8"/>
  <c r="A163" i="8"/>
  <c r="AD163" i="8"/>
  <c r="H329" i="5"/>
  <c r="AE163" i="8"/>
  <c r="AF163" i="8"/>
  <c r="AG163" i="8"/>
  <c r="AH163" i="8"/>
  <c r="AI163" i="8"/>
  <c r="AJ163" i="8"/>
  <c r="AK163" i="8"/>
  <c r="AL163" i="8"/>
  <c r="AM163" i="8"/>
  <c r="AN163" i="8"/>
  <c r="AO163" i="8"/>
  <c r="A164" i="8"/>
  <c r="AD164" i="8"/>
  <c r="AE164" i="8"/>
  <c r="AF164" i="8"/>
  <c r="AG164" i="8"/>
  <c r="AH164" i="8"/>
  <c r="AI164" i="8"/>
  <c r="AJ164" i="8"/>
  <c r="AK164" i="8"/>
  <c r="AL164" i="8"/>
  <c r="AM164" i="8"/>
  <c r="AN164" i="8"/>
  <c r="AO164" i="8"/>
  <c r="A165" i="8"/>
  <c r="AD165" i="8"/>
  <c r="AE165" i="8"/>
  <c r="AF165" i="8"/>
  <c r="AG165" i="8"/>
  <c r="AH165" i="8"/>
  <c r="AI165" i="8"/>
  <c r="AJ165" i="8"/>
  <c r="AK165" i="8"/>
  <c r="AL165" i="8"/>
  <c r="AM165" i="8"/>
  <c r="AN165" i="8"/>
  <c r="AO165" i="8"/>
  <c r="A166" i="8"/>
  <c r="AD166" i="8"/>
  <c r="H336" i="5"/>
  <c r="AE166" i="8"/>
  <c r="AF166" i="8"/>
  <c r="AG166" i="8"/>
  <c r="AH166" i="8"/>
  <c r="AI166" i="8"/>
  <c r="AJ166" i="8"/>
  <c r="AK166" i="8"/>
  <c r="AL166" i="8"/>
  <c r="AM166" i="8"/>
  <c r="AN166" i="8"/>
  <c r="AO166" i="8"/>
  <c r="A167" i="8"/>
  <c r="AD167" i="8"/>
  <c r="AE167" i="8"/>
  <c r="AF167" i="8"/>
  <c r="AG167" i="8"/>
  <c r="AH167" i="8"/>
  <c r="AI167" i="8"/>
  <c r="AJ167" i="8"/>
  <c r="AK167" i="8"/>
  <c r="AL167" i="8"/>
  <c r="AM167" i="8"/>
  <c r="AN167" i="8"/>
  <c r="AO167" i="8"/>
  <c r="A168" i="8"/>
  <c r="AD168" i="8"/>
  <c r="H331" i="5"/>
  <c r="AE168" i="8"/>
  <c r="AF168" i="8"/>
  <c r="AG168" i="8"/>
  <c r="AH168" i="8"/>
  <c r="AI168" i="8"/>
  <c r="AJ168" i="8"/>
  <c r="AK168" i="8"/>
  <c r="AL168" i="8"/>
  <c r="AM168" i="8"/>
  <c r="AN168" i="8"/>
  <c r="AO168" i="8"/>
  <c r="A169" i="8"/>
  <c r="AD169" i="8"/>
  <c r="H163" i="5"/>
  <c r="H330" i="5"/>
  <c r="AE169" i="8"/>
  <c r="AF169" i="8"/>
  <c r="N163" i="5"/>
  <c r="AG169" i="8"/>
  <c r="AH169" i="8"/>
  <c r="AI169" i="8"/>
  <c r="AJ169" i="8"/>
  <c r="AK169" i="8"/>
  <c r="AL169" i="8"/>
  <c r="AM169" i="8"/>
  <c r="AN169" i="8"/>
  <c r="AO169" i="8"/>
  <c r="A170" i="8"/>
  <c r="AD170" i="8"/>
  <c r="H300" i="5"/>
  <c r="AE170" i="8"/>
  <c r="AF170" i="8"/>
  <c r="AG170" i="8"/>
  <c r="AH170" i="8"/>
  <c r="AI170" i="8"/>
  <c r="AJ170" i="8"/>
  <c r="AK170" i="8"/>
  <c r="AL170" i="8"/>
  <c r="AM170" i="8"/>
  <c r="AN170" i="8"/>
  <c r="AO170" i="8"/>
  <c r="AD171" i="8"/>
  <c r="AE171" i="8"/>
  <c r="AF171" i="8"/>
  <c r="AG171" i="8"/>
  <c r="AH171" i="8"/>
  <c r="AI171" i="8"/>
  <c r="AJ171" i="8"/>
  <c r="AK171" i="8"/>
  <c r="AL171" i="8"/>
  <c r="AM171" i="8"/>
  <c r="AN171" i="8"/>
  <c r="AO171" i="8"/>
  <c r="A172" i="8"/>
  <c r="AD172" i="8"/>
  <c r="AE172" i="8"/>
  <c r="AF172" i="8"/>
  <c r="AG172" i="8"/>
  <c r="AH172" i="8"/>
  <c r="AI172" i="8"/>
  <c r="AJ172" i="8"/>
  <c r="AK172" i="8"/>
  <c r="AL172" i="8"/>
  <c r="AM172" i="8"/>
  <c r="AN172" i="8"/>
  <c r="AO172" i="8"/>
  <c r="A173" i="8"/>
  <c r="AD173" i="8"/>
  <c r="AE173" i="8"/>
  <c r="AF173" i="8"/>
  <c r="AG173" i="8"/>
  <c r="AH173" i="8"/>
  <c r="AI173" i="8"/>
  <c r="AJ173" i="8"/>
  <c r="AK173" i="8"/>
  <c r="AL173" i="8"/>
  <c r="AM173" i="8"/>
  <c r="AN173" i="8"/>
  <c r="AO173" i="8"/>
  <c r="A174" i="8"/>
  <c r="AD174" i="8"/>
  <c r="AE174" i="8"/>
  <c r="AF174" i="8"/>
  <c r="AG174" i="8"/>
  <c r="AH174" i="8"/>
  <c r="AI174" i="8"/>
  <c r="AJ174" i="8"/>
  <c r="AK174" i="8"/>
  <c r="AL174" i="8"/>
  <c r="AM174" i="8"/>
  <c r="AN174" i="8"/>
  <c r="AO174" i="8"/>
  <c r="A175" i="8"/>
  <c r="AD175" i="8"/>
  <c r="AE175" i="8"/>
  <c r="AF175" i="8"/>
  <c r="AG175" i="8"/>
  <c r="AH175" i="8"/>
  <c r="AI175" i="8"/>
  <c r="AJ175" i="8"/>
  <c r="AK175" i="8"/>
  <c r="AL175" i="8"/>
  <c r="AM175" i="8"/>
  <c r="AN175" i="8"/>
  <c r="AO175" i="8"/>
  <c r="A176" i="8"/>
  <c r="AD176" i="8"/>
  <c r="AE176" i="8"/>
  <c r="AF176" i="8"/>
  <c r="AG176" i="8"/>
  <c r="AH176" i="8"/>
  <c r="AI176" i="8"/>
  <c r="AJ176" i="8"/>
  <c r="AK176" i="8"/>
  <c r="AL176" i="8"/>
  <c r="AM176" i="8"/>
  <c r="AN176" i="8"/>
  <c r="AO176" i="8"/>
  <c r="A177" i="8"/>
  <c r="AD177" i="8"/>
  <c r="AE177" i="8"/>
  <c r="AF177" i="8"/>
  <c r="AG177" i="8"/>
  <c r="AH177" i="8"/>
  <c r="AI177" i="8"/>
  <c r="AJ177" i="8"/>
  <c r="AK177" i="8"/>
  <c r="AL177" i="8"/>
  <c r="AM177" i="8"/>
  <c r="AN177" i="8"/>
  <c r="AO177" i="8"/>
  <c r="A178" i="8"/>
  <c r="AD178" i="8"/>
  <c r="H391" i="5"/>
  <c r="AE178" i="8"/>
  <c r="AF178" i="8"/>
  <c r="AG178" i="8"/>
  <c r="AH178" i="8"/>
  <c r="AI178" i="8"/>
  <c r="AJ178" i="8"/>
  <c r="AK178" i="8"/>
  <c r="AL178" i="8"/>
  <c r="AM178" i="8"/>
  <c r="AN178" i="8"/>
  <c r="AO178" i="8"/>
  <c r="A179" i="8"/>
  <c r="AD179" i="8"/>
  <c r="AE179" i="8"/>
  <c r="AF179" i="8"/>
  <c r="AG179" i="8"/>
  <c r="AH179" i="8"/>
  <c r="AI179" i="8"/>
  <c r="AJ179" i="8"/>
  <c r="AK179" i="8"/>
  <c r="AL179" i="8"/>
  <c r="AM179" i="8"/>
  <c r="AN179" i="8"/>
  <c r="AO179" i="8"/>
  <c r="A180" i="8"/>
  <c r="AD180" i="8"/>
  <c r="AE180" i="8"/>
  <c r="AF180" i="8"/>
  <c r="AG180" i="8"/>
  <c r="AH180" i="8"/>
  <c r="AI180" i="8"/>
  <c r="AJ180" i="8"/>
  <c r="AK180" i="8"/>
  <c r="AL180" i="8"/>
  <c r="AM180" i="8"/>
  <c r="AN180" i="8"/>
  <c r="AO180" i="8"/>
  <c r="A181" i="8"/>
  <c r="AD181" i="8"/>
  <c r="AE181" i="8"/>
  <c r="AF181" i="8"/>
  <c r="AG181" i="8"/>
  <c r="AH181" i="8"/>
  <c r="AI181" i="8"/>
  <c r="AJ181" i="8"/>
  <c r="AK181" i="8"/>
  <c r="AL181" i="8"/>
  <c r="AM181" i="8"/>
  <c r="AN181" i="8"/>
  <c r="AO181" i="8"/>
  <c r="A182" i="8"/>
  <c r="AD182" i="8"/>
  <c r="AE182" i="8"/>
  <c r="AF182" i="8"/>
  <c r="AG182" i="8"/>
  <c r="AH182" i="8"/>
  <c r="AI182" i="8"/>
  <c r="AJ182" i="8"/>
  <c r="AK182" i="8"/>
  <c r="AL182" i="8"/>
  <c r="AM182" i="8"/>
  <c r="AN182" i="8"/>
  <c r="AO182" i="8"/>
  <c r="A183" i="8"/>
  <c r="AD183" i="8"/>
  <c r="AE183" i="8"/>
  <c r="AF183" i="8"/>
  <c r="AG183" i="8"/>
  <c r="AH183" i="8"/>
  <c r="AI183" i="8"/>
  <c r="AJ183" i="8"/>
  <c r="AK183" i="8"/>
  <c r="AL183" i="8"/>
  <c r="AM183" i="8"/>
  <c r="AN183" i="8"/>
  <c r="AO183" i="8"/>
  <c r="A184" i="8"/>
  <c r="AD184" i="8"/>
  <c r="AE184" i="8"/>
  <c r="AF184" i="8"/>
  <c r="AG184" i="8"/>
  <c r="AH184" i="8"/>
  <c r="AI184" i="8"/>
  <c r="AJ184" i="8"/>
  <c r="AK184" i="8"/>
  <c r="AL184" i="8"/>
  <c r="AM184" i="8"/>
  <c r="AN184" i="8"/>
  <c r="AO184" i="8"/>
  <c r="A185" i="8"/>
  <c r="AD185" i="8"/>
  <c r="AE185" i="8"/>
  <c r="AF185" i="8"/>
  <c r="AG185" i="8"/>
  <c r="AH185" i="8"/>
  <c r="AI185" i="8"/>
  <c r="AJ185" i="8"/>
  <c r="AK185" i="8"/>
  <c r="AL185" i="8"/>
  <c r="AM185" i="8"/>
  <c r="AN185" i="8"/>
  <c r="AO185" i="8"/>
  <c r="A186" i="8"/>
  <c r="AD186" i="8"/>
  <c r="H275" i="5"/>
  <c r="AE186" i="8"/>
  <c r="AF186" i="8"/>
  <c r="N275" i="5"/>
  <c r="AG186" i="8"/>
  <c r="AH186" i="8"/>
  <c r="AI186" i="8"/>
  <c r="AJ186" i="8"/>
  <c r="AK186" i="8"/>
  <c r="AL186" i="8"/>
  <c r="A187" i="8"/>
  <c r="AD187" i="8"/>
  <c r="AE187" i="8"/>
  <c r="AF187" i="8"/>
  <c r="AG187" i="8"/>
  <c r="AH187" i="8"/>
  <c r="AI187" i="8"/>
  <c r="AJ187" i="8"/>
  <c r="AK187" i="8"/>
  <c r="AL187" i="8"/>
  <c r="A188" i="8"/>
  <c r="AD188" i="8"/>
  <c r="AE188" i="8"/>
  <c r="AF188" i="8"/>
  <c r="AG188" i="8"/>
  <c r="AH188" i="8"/>
  <c r="AI188" i="8"/>
  <c r="AJ188" i="8"/>
  <c r="AK188" i="8"/>
  <c r="AL188" i="8"/>
  <c r="A189" i="8"/>
  <c r="AD189" i="8"/>
  <c r="AE189" i="8"/>
  <c r="AF189" i="8"/>
  <c r="AG189" i="8"/>
  <c r="AH189" i="8"/>
  <c r="AI189" i="8"/>
  <c r="AJ189" i="8"/>
  <c r="AK189" i="8"/>
  <c r="AL189" i="8"/>
  <c r="A190" i="8"/>
  <c r="AD190" i="8"/>
  <c r="AE190" i="8"/>
  <c r="AF190" i="8"/>
  <c r="AG190" i="8"/>
  <c r="AH190" i="8"/>
  <c r="AI190" i="8"/>
  <c r="AJ190" i="8"/>
  <c r="AK190" i="8"/>
  <c r="AL190" i="8"/>
  <c r="A191" i="8"/>
  <c r="AD191" i="8"/>
  <c r="AE191" i="8"/>
  <c r="AF191" i="8"/>
  <c r="AG191" i="8"/>
  <c r="AH191" i="8"/>
  <c r="AI191" i="8"/>
  <c r="AJ191" i="8"/>
  <c r="AK191" i="8"/>
  <c r="AL191" i="8"/>
  <c r="A192" i="8"/>
  <c r="AD192" i="8"/>
  <c r="AE192" i="8"/>
  <c r="AF192" i="8"/>
  <c r="AG192" i="8"/>
  <c r="AH192" i="8"/>
  <c r="AI192" i="8"/>
  <c r="AJ192" i="8"/>
  <c r="AK192" i="8"/>
  <c r="AL192" i="8"/>
  <c r="A193" i="8"/>
  <c r="AD193" i="8"/>
  <c r="AE193" i="8"/>
  <c r="AF193" i="8"/>
  <c r="AG193" i="8"/>
  <c r="AH193" i="8"/>
  <c r="AI193" i="8"/>
  <c r="AJ193" i="8"/>
  <c r="AK193" i="8"/>
  <c r="AL193" i="8"/>
  <c r="A194" i="8"/>
  <c r="AD194" i="8"/>
  <c r="H382" i="5"/>
  <c r="AE194" i="8"/>
  <c r="AF194" i="8"/>
  <c r="N382" i="5"/>
  <c r="AG194" i="8"/>
  <c r="AH194" i="8"/>
  <c r="AI194" i="8"/>
  <c r="AJ194" i="8"/>
  <c r="AK194" i="8"/>
  <c r="AL194" i="8"/>
  <c r="A195" i="8"/>
  <c r="AD195" i="8"/>
  <c r="H189" i="5"/>
  <c r="AE195" i="8"/>
  <c r="AF195" i="8"/>
  <c r="N189" i="5"/>
  <c r="AG195" i="8"/>
  <c r="AH195" i="8"/>
  <c r="AI195" i="8"/>
  <c r="AJ195" i="8"/>
  <c r="AK195" i="8"/>
  <c r="AL195" i="8"/>
  <c r="A196" i="8"/>
  <c r="AD196" i="8"/>
  <c r="AE196" i="8"/>
  <c r="AF196" i="8"/>
  <c r="AG196" i="8"/>
  <c r="AH196" i="8"/>
  <c r="AI196" i="8"/>
  <c r="AJ196" i="8"/>
  <c r="AK196" i="8"/>
  <c r="AL196" i="8"/>
  <c r="A197" i="8"/>
  <c r="AD197" i="8"/>
  <c r="AE197" i="8"/>
  <c r="AF197" i="8"/>
  <c r="AG197" i="8"/>
  <c r="AH197" i="8"/>
  <c r="AI197" i="8"/>
  <c r="AJ197" i="8"/>
  <c r="AK197" i="8"/>
  <c r="AL197" i="8"/>
  <c r="A198" i="8"/>
  <c r="AD198" i="8"/>
  <c r="AE198" i="8"/>
  <c r="AF198" i="8"/>
  <c r="AG198" i="8"/>
  <c r="AH198" i="8"/>
  <c r="AI198" i="8"/>
  <c r="AJ198" i="8"/>
  <c r="AK198" i="8"/>
  <c r="AL198" i="8"/>
  <c r="A199" i="8"/>
  <c r="AD199" i="8"/>
  <c r="AE199" i="8"/>
  <c r="AF199" i="8"/>
  <c r="AG199" i="8"/>
  <c r="AH199" i="8"/>
  <c r="AI199" i="8"/>
  <c r="AJ199" i="8"/>
  <c r="AK199" i="8"/>
  <c r="AL199" i="8"/>
  <c r="A200" i="8"/>
  <c r="AD200" i="8"/>
  <c r="AE200" i="8"/>
  <c r="AF200" i="8"/>
  <c r="AG200" i="8"/>
  <c r="AH200" i="8"/>
  <c r="AI200" i="8"/>
  <c r="AJ200" i="8"/>
  <c r="AK200" i="8"/>
  <c r="AL200" i="8"/>
  <c r="A201" i="8"/>
  <c r="AD201" i="8"/>
  <c r="AE201" i="8"/>
  <c r="AF201" i="8"/>
  <c r="AG201" i="8"/>
  <c r="AH201" i="8"/>
  <c r="AI201" i="8"/>
  <c r="AJ201" i="8"/>
  <c r="AK201" i="8"/>
  <c r="AL201" i="8"/>
  <c r="A202" i="8"/>
  <c r="AD202" i="8"/>
  <c r="H237" i="5"/>
  <c r="AE202" i="8"/>
  <c r="AF202" i="8"/>
  <c r="N237" i="5"/>
  <c r="AG202" i="8"/>
  <c r="AH202" i="8"/>
  <c r="AI202" i="8"/>
  <c r="AJ202" i="8"/>
  <c r="AK202" i="8"/>
  <c r="AL202" i="8"/>
  <c r="A203" i="8"/>
  <c r="AD203" i="8"/>
  <c r="AE203" i="8"/>
  <c r="AF203" i="8"/>
  <c r="AG203" i="8"/>
  <c r="AH203" i="8"/>
  <c r="AI203" i="8"/>
  <c r="AJ203" i="8"/>
  <c r="AK203" i="8"/>
  <c r="AL203" i="8"/>
  <c r="A204" i="8"/>
  <c r="AD204" i="8"/>
  <c r="AE204" i="8"/>
  <c r="AF204" i="8"/>
  <c r="AG204" i="8"/>
  <c r="AH204" i="8"/>
  <c r="AI204" i="8"/>
  <c r="AJ204" i="8"/>
  <c r="AK204" i="8"/>
  <c r="AL204" i="8"/>
  <c r="A205" i="8"/>
  <c r="AD205" i="8"/>
  <c r="AE205" i="8"/>
  <c r="AF205" i="8"/>
  <c r="AG205" i="8"/>
  <c r="AH205" i="8"/>
  <c r="AI205" i="8"/>
  <c r="AJ205" i="8"/>
  <c r="AK205" i="8"/>
  <c r="AL205" i="8"/>
  <c r="A206" i="8"/>
  <c r="AD206" i="8"/>
  <c r="H206" i="5"/>
  <c r="AE206" i="8"/>
  <c r="AF206" i="8"/>
  <c r="AG206" i="8"/>
  <c r="AH206" i="8"/>
  <c r="AI206" i="8"/>
  <c r="AJ206" i="8"/>
  <c r="AK206" i="8"/>
  <c r="AL206" i="8"/>
  <c r="A207" i="8"/>
  <c r="AD207" i="8"/>
  <c r="H204" i="5"/>
  <c r="AE207" i="8"/>
  <c r="AF207" i="8"/>
  <c r="AG207" i="8"/>
  <c r="AH207" i="8"/>
  <c r="AI207" i="8"/>
  <c r="AJ207" i="8"/>
  <c r="AK207" i="8"/>
  <c r="AL207" i="8"/>
  <c r="A208" i="8"/>
  <c r="AD208" i="8"/>
  <c r="AE208" i="8"/>
  <c r="AF208" i="8"/>
  <c r="AG208" i="8"/>
  <c r="AH208" i="8"/>
  <c r="AI208" i="8"/>
  <c r="AJ208" i="8"/>
  <c r="AK208" i="8"/>
  <c r="AL208" i="8"/>
  <c r="AM208" i="8"/>
  <c r="AN208" i="8"/>
  <c r="AO208" i="8"/>
  <c r="A209" i="8"/>
  <c r="AD209" i="8"/>
  <c r="AE209" i="8"/>
  <c r="AF209" i="8"/>
  <c r="AG209" i="8"/>
  <c r="AH209" i="8"/>
  <c r="AI209" i="8"/>
  <c r="AJ209" i="8"/>
  <c r="AK209" i="8"/>
  <c r="AL209" i="8"/>
  <c r="AM209" i="8"/>
  <c r="AN209" i="8"/>
  <c r="AO209" i="8"/>
  <c r="A210" i="8"/>
  <c r="AD210" i="8"/>
  <c r="AE210" i="8"/>
  <c r="AF210" i="8"/>
  <c r="AG210" i="8"/>
  <c r="AH210" i="8"/>
  <c r="AI210" i="8"/>
  <c r="AJ210" i="8"/>
  <c r="AK210" i="8"/>
  <c r="AL210" i="8"/>
  <c r="AM210" i="8"/>
  <c r="AN210" i="8"/>
  <c r="AO210" i="8"/>
  <c r="A211" i="8"/>
  <c r="AD211" i="8"/>
  <c r="AE211" i="8"/>
  <c r="AF211" i="8"/>
  <c r="AG211" i="8"/>
  <c r="AH211" i="8"/>
  <c r="AI211" i="8"/>
  <c r="AJ211" i="8"/>
  <c r="AK211" i="8"/>
  <c r="AL211" i="8"/>
  <c r="AM211" i="8"/>
  <c r="AN211" i="8"/>
  <c r="AO211" i="8"/>
  <c r="A212" i="8"/>
  <c r="AD212" i="8"/>
  <c r="AE212" i="8"/>
  <c r="AF212" i="8"/>
  <c r="AG212" i="8"/>
  <c r="AH212" i="8"/>
  <c r="AI212" i="8"/>
  <c r="AJ212" i="8"/>
  <c r="AK212" i="8"/>
  <c r="AL212" i="8"/>
  <c r="AM212" i="8"/>
  <c r="AN212" i="8"/>
  <c r="AO212" i="8"/>
  <c r="A213" i="8"/>
  <c r="AD213" i="8"/>
  <c r="AE213" i="8"/>
  <c r="AF213" i="8"/>
  <c r="AG213" i="8"/>
  <c r="AH213" i="8"/>
  <c r="AI213" i="8"/>
  <c r="AJ213" i="8"/>
  <c r="AK213" i="8"/>
  <c r="AL213" i="8"/>
  <c r="AM213" i="8"/>
  <c r="AN213" i="8"/>
  <c r="AO213" i="8"/>
  <c r="A214" i="8"/>
  <c r="AD214" i="8"/>
  <c r="AE214" i="8"/>
  <c r="AF214" i="8"/>
  <c r="N210" i="5"/>
  <c r="AG214" i="8"/>
  <c r="AH214" i="8"/>
  <c r="AI214" i="8"/>
  <c r="AJ214" i="8"/>
  <c r="AK214" i="8"/>
  <c r="AL214" i="8"/>
  <c r="AM214" i="8"/>
  <c r="AN214" i="8"/>
  <c r="AO214" i="8"/>
  <c r="A215" i="8"/>
  <c r="AD215" i="8"/>
  <c r="AE215" i="8"/>
  <c r="AF215" i="8"/>
  <c r="AG215" i="8"/>
  <c r="AH215" i="8"/>
  <c r="AI215" i="8"/>
  <c r="AJ215" i="8"/>
  <c r="AK215" i="8"/>
  <c r="AL215" i="8"/>
  <c r="AM215" i="8"/>
  <c r="AN215" i="8"/>
  <c r="AO215" i="8"/>
  <c r="A216" i="8"/>
  <c r="AD216" i="8"/>
  <c r="AE216" i="8"/>
  <c r="AF216" i="8"/>
  <c r="AG216" i="8"/>
  <c r="AH216" i="8"/>
  <c r="AI216" i="8"/>
  <c r="AJ216" i="8"/>
  <c r="AK216" i="8"/>
  <c r="AL216" i="8"/>
  <c r="AM216" i="8"/>
  <c r="AN216" i="8"/>
  <c r="AO216" i="8"/>
  <c r="A217" i="8"/>
  <c r="AD217" i="8"/>
  <c r="AE217" i="8"/>
  <c r="AF217" i="8"/>
  <c r="AG217" i="8"/>
  <c r="AH217" i="8"/>
  <c r="AI217" i="8"/>
  <c r="AJ217" i="8"/>
  <c r="AK217" i="8"/>
  <c r="AL217" i="8"/>
  <c r="AM217" i="8"/>
  <c r="AN217" i="8"/>
  <c r="AO217" i="8"/>
  <c r="A218" i="8"/>
  <c r="AD218" i="8"/>
  <c r="AE218" i="8"/>
  <c r="AF218" i="8"/>
  <c r="AG218" i="8"/>
  <c r="AH218" i="8"/>
  <c r="AI218" i="8"/>
  <c r="AJ218" i="8"/>
  <c r="AK218" i="8"/>
  <c r="AL218" i="8"/>
  <c r="AM218" i="8"/>
  <c r="AN218" i="8"/>
  <c r="AO218" i="8"/>
  <c r="A219" i="8"/>
  <c r="AD219" i="8"/>
  <c r="AE219" i="8"/>
  <c r="AF219" i="8"/>
  <c r="AG219" i="8"/>
  <c r="AH219" i="8"/>
  <c r="AI219" i="8"/>
  <c r="AJ219" i="8"/>
  <c r="AK219" i="8"/>
  <c r="AL219" i="8"/>
  <c r="AM219" i="8"/>
  <c r="AN219" i="8"/>
  <c r="AO219" i="8"/>
  <c r="A220" i="8"/>
  <c r="AD220" i="8"/>
  <c r="AE220" i="8"/>
  <c r="AF220" i="8"/>
  <c r="AG220" i="8"/>
  <c r="AH220" i="8"/>
  <c r="AI220" i="8"/>
  <c r="AJ220" i="8"/>
  <c r="AK220" i="8"/>
  <c r="AL220" i="8"/>
  <c r="AM220" i="8"/>
  <c r="AN220" i="8"/>
  <c r="AO220" i="8"/>
  <c r="A221" i="8"/>
  <c r="AD221" i="8"/>
  <c r="AE221" i="8"/>
  <c r="AF221" i="8"/>
  <c r="AG221" i="8"/>
  <c r="AH221" i="8"/>
  <c r="AI221" i="8"/>
  <c r="AJ221" i="8"/>
  <c r="AK221" i="8"/>
  <c r="AL221" i="8"/>
  <c r="AM221" i="8"/>
  <c r="AN221" i="8"/>
  <c r="AO221" i="8"/>
  <c r="A222" i="8"/>
  <c r="AD222" i="8"/>
  <c r="AE222" i="8"/>
  <c r="AF222" i="8"/>
  <c r="AG222" i="8"/>
  <c r="AH222" i="8"/>
  <c r="AI222" i="8"/>
  <c r="AJ222" i="8"/>
  <c r="AK222" i="8"/>
  <c r="AL222" i="8"/>
  <c r="AM222" i="8"/>
  <c r="AN222" i="8"/>
  <c r="AO222" i="8"/>
  <c r="A223" i="8"/>
  <c r="AD223" i="8"/>
  <c r="AE223" i="8"/>
  <c r="AF223" i="8"/>
  <c r="AG223" i="8"/>
  <c r="AH223" i="8"/>
  <c r="AI223" i="8"/>
  <c r="AJ223" i="8"/>
  <c r="AK223" i="8"/>
  <c r="AL223" i="8"/>
  <c r="AM223" i="8"/>
  <c r="AN223" i="8"/>
  <c r="AO223" i="8"/>
  <c r="A224" i="8"/>
  <c r="AD224" i="8"/>
  <c r="AE224" i="8"/>
  <c r="AF224" i="8"/>
  <c r="AG224" i="8"/>
  <c r="AH224" i="8"/>
  <c r="AI224" i="8"/>
  <c r="AJ224" i="8"/>
  <c r="AK224" i="8"/>
  <c r="AL224" i="8"/>
  <c r="AM224" i="8"/>
  <c r="AN224" i="8"/>
  <c r="AO224" i="8"/>
  <c r="A225" i="8"/>
  <c r="AD225" i="8"/>
  <c r="AE225" i="8"/>
  <c r="AF225" i="8"/>
  <c r="AG225" i="8"/>
  <c r="AH225" i="8"/>
  <c r="AI225" i="8"/>
  <c r="AJ225" i="8"/>
  <c r="AK225" i="8"/>
  <c r="AL225" i="8"/>
  <c r="AM225" i="8"/>
  <c r="AN225" i="8"/>
  <c r="AO225" i="8"/>
  <c r="A226" i="8"/>
  <c r="AD226" i="8"/>
  <c r="AE226" i="8"/>
  <c r="AF226" i="8"/>
  <c r="AG226" i="8"/>
  <c r="AH226" i="8"/>
  <c r="AI226" i="8"/>
  <c r="AJ226" i="8"/>
  <c r="AK226" i="8"/>
  <c r="AL226" i="8"/>
  <c r="AM226" i="8"/>
  <c r="AN226" i="8"/>
  <c r="AO226" i="8"/>
  <c r="A227" i="8"/>
  <c r="AD227" i="8"/>
  <c r="AE227" i="8"/>
  <c r="AF227" i="8"/>
  <c r="AG227" i="8"/>
  <c r="AH227" i="8"/>
  <c r="AI227" i="8"/>
  <c r="AJ227" i="8"/>
  <c r="AK227" i="8"/>
  <c r="AL227" i="8"/>
  <c r="AM227" i="8"/>
  <c r="AN227" i="8"/>
  <c r="AO227" i="8"/>
  <c r="A228" i="8"/>
  <c r="AD228" i="8"/>
  <c r="AE228" i="8"/>
  <c r="AF228" i="8"/>
  <c r="AG228" i="8"/>
  <c r="AH228" i="8"/>
  <c r="AI228" i="8"/>
  <c r="AJ228" i="8"/>
  <c r="AK228" i="8"/>
  <c r="AL228" i="8"/>
  <c r="AM228" i="8"/>
  <c r="AN228" i="8"/>
  <c r="AO228" i="8"/>
  <c r="A229" i="8"/>
  <c r="AD229" i="8"/>
  <c r="AE229" i="8"/>
  <c r="AF229" i="8"/>
  <c r="AG229" i="8"/>
  <c r="AH229" i="8"/>
  <c r="AI229" i="8"/>
  <c r="AJ229" i="8"/>
  <c r="AK229" i="8"/>
  <c r="AL229" i="8"/>
  <c r="AM229" i="8"/>
  <c r="AN229" i="8"/>
  <c r="AO229" i="8"/>
  <c r="A230" i="8"/>
  <c r="AD230" i="8"/>
  <c r="AE230" i="8"/>
  <c r="AF230" i="8"/>
  <c r="AG230" i="8"/>
  <c r="AH230" i="8"/>
  <c r="AI230" i="8"/>
  <c r="AJ230" i="8"/>
  <c r="AK230" i="8"/>
  <c r="AL230" i="8"/>
  <c r="AM230" i="8"/>
  <c r="AN230" i="8"/>
  <c r="AO230" i="8"/>
  <c r="A231" i="8"/>
  <c r="AD231" i="8"/>
  <c r="AE231" i="8"/>
  <c r="AF231" i="8"/>
  <c r="AG231" i="8"/>
  <c r="AH231" i="8"/>
  <c r="AI231" i="8"/>
  <c r="AJ231" i="8"/>
  <c r="AK231" i="8"/>
  <c r="AL231" i="8"/>
  <c r="AM231" i="8"/>
  <c r="AN231" i="8"/>
  <c r="AO231" i="8"/>
  <c r="A232" i="8"/>
  <c r="AD232" i="8"/>
  <c r="AE232" i="8"/>
  <c r="AF232" i="8"/>
  <c r="AG232" i="8"/>
  <c r="AH232" i="8"/>
  <c r="AI232" i="8"/>
  <c r="AJ232" i="8"/>
  <c r="AK232" i="8"/>
  <c r="AL232" i="8"/>
  <c r="AM232" i="8"/>
  <c r="AN232" i="8"/>
  <c r="AO232" i="8"/>
  <c r="A233" i="8"/>
  <c r="AD233" i="8"/>
  <c r="AE233" i="8"/>
  <c r="AF233" i="8"/>
  <c r="AG233" i="8"/>
  <c r="AH233" i="8"/>
  <c r="AI233" i="8"/>
  <c r="AJ233" i="8"/>
  <c r="AK233" i="8"/>
  <c r="AL233" i="8"/>
  <c r="AM233" i="8"/>
  <c r="AN233" i="8"/>
  <c r="AO233" i="8"/>
  <c r="A234" i="8"/>
  <c r="AD234" i="8"/>
  <c r="AE234" i="8"/>
  <c r="AF234" i="8"/>
  <c r="AG234" i="8"/>
  <c r="AH234" i="8"/>
  <c r="AI234" i="8"/>
  <c r="AJ234" i="8"/>
  <c r="AK234" i="8"/>
  <c r="AL234" i="8"/>
  <c r="AM234" i="8"/>
  <c r="AN234" i="8"/>
  <c r="AO234" i="8"/>
  <c r="A235" i="8"/>
  <c r="AD235" i="8"/>
  <c r="AE235" i="8"/>
  <c r="AF235" i="8"/>
  <c r="AG235" i="8"/>
  <c r="AH235" i="8"/>
  <c r="AI235" i="8"/>
  <c r="AJ235" i="8"/>
  <c r="AK235" i="8"/>
  <c r="AL235" i="8"/>
  <c r="AM235" i="8"/>
  <c r="AN235" i="8"/>
  <c r="AO235" i="8"/>
  <c r="A236" i="8"/>
  <c r="AD236" i="8"/>
  <c r="AE236" i="8"/>
  <c r="AF236" i="8"/>
  <c r="AG236" i="8"/>
  <c r="AH236" i="8"/>
  <c r="AI236" i="8"/>
  <c r="AJ236" i="8"/>
  <c r="AK236" i="8"/>
  <c r="AL236" i="8"/>
  <c r="AM236" i="8"/>
  <c r="AN236" i="8"/>
  <c r="AO236" i="8"/>
  <c r="A237" i="8"/>
  <c r="AD237" i="8"/>
  <c r="AE237" i="8"/>
  <c r="AF237" i="8"/>
  <c r="AG237" i="8"/>
  <c r="AH237" i="8"/>
  <c r="AI237" i="8"/>
  <c r="AJ237" i="8"/>
  <c r="AK237" i="8"/>
  <c r="AL237" i="8"/>
  <c r="A238" i="8"/>
  <c r="AD238" i="8"/>
  <c r="AE238" i="8"/>
  <c r="AF238" i="8"/>
  <c r="AG238" i="8"/>
  <c r="AH238" i="8"/>
  <c r="AI238" i="8"/>
  <c r="AJ238" i="8"/>
  <c r="AK238" i="8"/>
  <c r="AL238" i="8"/>
  <c r="A239" i="8"/>
  <c r="AD239" i="8"/>
  <c r="AE239" i="8"/>
  <c r="AF239" i="8"/>
  <c r="AG239" i="8"/>
  <c r="AH239" i="8"/>
  <c r="AI239" i="8"/>
  <c r="AJ239" i="8"/>
  <c r="AK239" i="8"/>
  <c r="AL239" i="8"/>
  <c r="A240" i="8"/>
  <c r="AD240" i="8"/>
  <c r="AE240" i="8"/>
  <c r="AF240" i="8"/>
  <c r="AG240" i="8"/>
  <c r="AH240" i="8"/>
  <c r="AI240" i="8"/>
  <c r="AJ240" i="8"/>
  <c r="AK240" i="8"/>
  <c r="AL240" i="8"/>
  <c r="A241" i="8"/>
  <c r="AD241" i="8"/>
  <c r="AE241" i="8"/>
  <c r="AF241" i="8"/>
  <c r="AG241" i="8"/>
  <c r="AH241" i="8"/>
  <c r="AI241" i="8"/>
  <c r="AJ241" i="8"/>
  <c r="AK241" i="8"/>
  <c r="AL241" i="8"/>
  <c r="A242" i="8"/>
  <c r="AD242" i="8"/>
  <c r="AE242" i="8"/>
  <c r="AF242" i="8"/>
  <c r="AG242" i="8"/>
  <c r="AH242" i="8"/>
  <c r="AI242" i="8"/>
  <c r="AJ242" i="8"/>
  <c r="AK242" i="8"/>
  <c r="AL242" i="8"/>
  <c r="A243" i="8"/>
  <c r="AD243" i="8"/>
  <c r="AE243" i="8"/>
  <c r="AF243" i="8"/>
  <c r="AG243" i="8"/>
  <c r="AH243" i="8"/>
  <c r="AI243" i="8"/>
  <c r="AJ243" i="8"/>
  <c r="AK243" i="8"/>
  <c r="AL243" i="8"/>
  <c r="A244" i="8"/>
  <c r="AD244" i="8"/>
  <c r="AE244" i="8"/>
  <c r="AF244" i="8"/>
  <c r="AG244" i="8"/>
  <c r="AH244" i="8"/>
  <c r="AI244" i="8"/>
  <c r="AJ244" i="8"/>
  <c r="AK244" i="8"/>
  <c r="AL244" i="8"/>
  <c r="A245" i="8"/>
  <c r="AD245" i="8"/>
  <c r="AE245" i="8"/>
  <c r="AF245" i="8"/>
  <c r="AG245" i="8"/>
  <c r="AH245" i="8"/>
  <c r="AI245" i="8"/>
  <c r="AJ245" i="8"/>
  <c r="AK245" i="8"/>
  <c r="AL245" i="8"/>
  <c r="A246" i="8"/>
  <c r="AD246" i="8"/>
  <c r="AE246" i="8"/>
  <c r="AF246" i="8"/>
  <c r="AG246" i="8"/>
  <c r="AH246" i="8"/>
  <c r="AI246" i="8"/>
  <c r="AJ246" i="8"/>
  <c r="AK246" i="8"/>
  <c r="AL246" i="8"/>
  <c r="A247" i="8"/>
  <c r="AD247" i="8"/>
  <c r="AE247" i="8"/>
  <c r="AF247" i="8"/>
  <c r="AG247" i="8"/>
  <c r="AH247" i="8"/>
  <c r="AI247" i="8"/>
  <c r="AJ247" i="8"/>
  <c r="AK247" i="8"/>
  <c r="AL247" i="8"/>
  <c r="A248" i="8"/>
  <c r="AD248" i="8"/>
  <c r="AE248" i="8"/>
  <c r="AF248" i="8"/>
  <c r="AG248" i="8"/>
  <c r="AH248" i="8"/>
  <c r="AI248" i="8"/>
  <c r="AJ248" i="8"/>
  <c r="AK248" i="8"/>
  <c r="AL248" i="8"/>
  <c r="A249" i="8"/>
  <c r="AD249" i="8"/>
  <c r="AE249" i="8"/>
  <c r="AF249" i="8"/>
  <c r="AG249" i="8"/>
  <c r="AH249" i="8"/>
  <c r="AI249" i="8"/>
  <c r="AJ249" i="8"/>
  <c r="AK249" i="8"/>
  <c r="AL249" i="8"/>
  <c r="A250" i="8"/>
  <c r="AD250" i="8"/>
  <c r="AE250" i="8"/>
  <c r="AF250" i="8"/>
  <c r="AG250" i="8"/>
  <c r="AH250" i="8"/>
  <c r="AI250" i="8"/>
  <c r="AJ250" i="8"/>
  <c r="AK250" i="8"/>
  <c r="AL250" i="8"/>
  <c r="A251" i="8"/>
  <c r="AD251" i="8"/>
  <c r="AE251" i="8"/>
  <c r="AF251" i="8"/>
  <c r="AG251" i="8"/>
  <c r="AH251" i="8"/>
  <c r="AI251" i="8"/>
  <c r="AJ251" i="8"/>
  <c r="AK251" i="8"/>
  <c r="AL251" i="8"/>
  <c r="A252" i="8"/>
  <c r="AD252" i="8"/>
  <c r="AE252" i="8"/>
  <c r="AF252" i="8"/>
  <c r="AG252" i="8"/>
  <c r="AH252" i="8"/>
  <c r="AI252" i="8"/>
  <c r="AJ252" i="8"/>
  <c r="AK252" i="8"/>
  <c r="AL252" i="8"/>
  <c r="A253" i="8"/>
  <c r="AD253" i="8"/>
  <c r="AE253" i="8"/>
  <c r="AF253" i="8"/>
  <c r="AG253" i="8"/>
  <c r="AH253" i="8"/>
  <c r="AI253" i="8"/>
  <c r="AJ253" i="8"/>
  <c r="AK253" i="8"/>
  <c r="AL253" i="8"/>
  <c r="A254" i="8"/>
  <c r="AD254" i="8"/>
  <c r="AE254" i="8"/>
  <c r="AF254" i="8"/>
  <c r="AG254" i="8"/>
  <c r="AH254" i="8"/>
  <c r="AI254" i="8"/>
  <c r="AJ254" i="8"/>
  <c r="AK254" i="8"/>
  <c r="AL254" i="8"/>
  <c r="A255" i="8"/>
  <c r="AD255" i="8"/>
  <c r="AE255" i="8"/>
  <c r="AF255" i="8"/>
  <c r="AG255" i="8"/>
  <c r="AH255" i="8"/>
  <c r="AI255" i="8"/>
  <c r="AJ255" i="8"/>
  <c r="AK255" i="8"/>
  <c r="AL255" i="8"/>
  <c r="A256" i="8"/>
  <c r="AD256" i="8"/>
  <c r="AE256" i="8"/>
  <c r="AF256" i="8"/>
  <c r="AG256" i="8"/>
  <c r="AH256" i="8"/>
  <c r="AI256" i="8"/>
  <c r="AJ256" i="8"/>
  <c r="AK256" i="8"/>
  <c r="AL256" i="8"/>
  <c r="A257" i="8"/>
  <c r="AD257" i="8"/>
  <c r="AE257" i="8"/>
  <c r="AF257" i="8"/>
  <c r="AG257" i="8"/>
  <c r="AH257" i="8"/>
  <c r="AI257" i="8"/>
  <c r="AJ257" i="8"/>
  <c r="AK257" i="8"/>
  <c r="AL257" i="8"/>
  <c r="A258" i="8"/>
  <c r="AD258" i="8"/>
  <c r="AE258" i="8"/>
  <c r="AF258" i="8"/>
  <c r="AG258" i="8"/>
  <c r="AH258" i="8"/>
  <c r="AI258" i="8"/>
  <c r="AJ258" i="8"/>
  <c r="AK258" i="8"/>
  <c r="AL258" i="8"/>
  <c r="A259" i="8"/>
  <c r="AD259" i="8"/>
  <c r="AE259" i="8"/>
  <c r="AF259" i="8"/>
  <c r="AG259" i="8"/>
  <c r="AH259" i="8"/>
  <c r="AI259" i="8"/>
  <c r="AJ259" i="8"/>
  <c r="AK259" i="8"/>
  <c r="AL259" i="8"/>
  <c r="A260" i="8"/>
  <c r="AD260" i="8"/>
  <c r="AE260" i="8"/>
  <c r="AF260" i="8"/>
  <c r="AG260" i="8"/>
  <c r="AH260" i="8"/>
  <c r="AI260" i="8"/>
  <c r="AJ260" i="8"/>
  <c r="AK260" i="8"/>
  <c r="AL260" i="8"/>
  <c r="A261" i="8"/>
  <c r="AD261" i="8"/>
  <c r="AE261" i="8"/>
  <c r="AF261" i="8"/>
  <c r="AG261" i="8"/>
  <c r="AH261" i="8"/>
  <c r="AI261" i="8"/>
  <c r="AJ261" i="8"/>
  <c r="AK261" i="8"/>
  <c r="AL261" i="8"/>
  <c r="A262" i="8"/>
  <c r="AD262" i="8"/>
  <c r="AE262" i="8"/>
  <c r="AF262" i="8"/>
  <c r="AG262" i="8"/>
  <c r="AH262" i="8"/>
  <c r="AI262" i="8"/>
  <c r="AJ262" i="8"/>
  <c r="AK262" i="8"/>
  <c r="AL262" i="8"/>
  <c r="A263" i="8"/>
  <c r="AD263" i="8"/>
  <c r="AE263" i="8"/>
  <c r="AF263" i="8"/>
  <c r="AG263" i="8"/>
  <c r="AH263" i="8"/>
  <c r="AI263" i="8"/>
  <c r="AJ263" i="8"/>
  <c r="AK263" i="8"/>
  <c r="AL263" i="8"/>
  <c r="A264" i="8"/>
  <c r="AD264" i="8"/>
  <c r="AE264" i="8"/>
  <c r="AF264" i="8"/>
  <c r="AG264" i="8"/>
  <c r="AH264" i="8"/>
  <c r="AI264" i="8"/>
  <c r="AJ264" i="8"/>
  <c r="AK264" i="8"/>
  <c r="AL264" i="8"/>
  <c r="A265" i="8"/>
  <c r="AD265" i="8"/>
  <c r="AE265" i="8"/>
  <c r="AF265" i="8"/>
  <c r="AG265" i="8"/>
  <c r="AH265" i="8"/>
  <c r="AI265" i="8"/>
  <c r="AJ265" i="8"/>
  <c r="AK265" i="8"/>
  <c r="AL265" i="8"/>
  <c r="A266" i="8"/>
  <c r="AD266" i="8"/>
  <c r="AE266" i="8"/>
  <c r="AF266" i="8"/>
  <c r="AG266" i="8"/>
  <c r="AH266" i="8"/>
  <c r="AI266" i="8"/>
  <c r="AJ266" i="8"/>
  <c r="AK266" i="8"/>
  <c r="AL266" i="8"/>
  <c r="A267" i="8"/>
  <c r="AD267" i="8"/>
  <c r="AE267" i="8"/>
  <c r="AF267" i="8"/>
  <c r="AG267" i="8"/>
  <c r="AH267" i="8"/>
  <c r="AI267" i="8"/>
  <c r="AJ267" i="8"/>
  <c r="AK267" i="8"/>
  <c r="AL267" i="8"/>
  <c r="A268" i="8"/>
  <c r="AD268" i="8"/>
  <c r="AE268" i="8"/>
  <c r="AF268" i="8"/>
  <c r="AG268" i="8"/>
  <c r="AH268" i="8"/>
  <c r="AI268" i="8"/>
  <c r="AJ268" i="8"/>
  <c r="AK268" i="8"/>
  <c r="AL268" i="8"/>
  <c r="AM268" i="8"/>
  <c r="AN268" i="8"/>
  <c r="A269" i="8"/>
  <c r="AD269" i="8"/>
  <c r="AE269" i="8"/>
  <c r="AF269" i="8"/>
  <c r="AG269" i="8"/>
  <c r="AH269" i="8"/>
  <c r="AI269" i="8"/>
  <c r="AJ269" i="8"/>
  <c r="AK269" i="8"/>
  <c r="AL269" i="8"/>
  <c r="A270" i="8"/>
  <c r="AD270" i="8"/>
  <c r="AE270" i="8"/>
  <c r="AF270" i="8"/>
  <c r="AG270" i="8"/>
  <c r="AH270" i="8"/>
  <c r="AI270" i="8"/>
  <c r="AJ270" i="8"/>
  <c r="AK270" i="8"/>
  <c r="AL270" i="8"/>
  <c r="A271" i="8"/>
  <c r="AD271" i="8"/>
  <c r="AE271" i="8"/>
  <c r="AF271" i="8"/>
  <c r="AG271" i="8"/>
  <c r="AH271" i="8"/>
  <c r="AI271" i="8"/>
  <c r="AJ271" i="8"/>
  <c r="AK271" i="8"/>
  <c r="AL271" i="8"/>
  <c r="A272" i="8"/>
  <c r="AD272" i="8"/>
  <c r="AE272" i="8"/>
  <c r="AF272" i="8"/>
  <c r="AG272" i="8"/>
  <c r="AH272" i="8"/>
  <c r="AI272" i="8"/>
  <c r="AJ272" i="8"/>
  <c r="AK272" i="8"/>
  <c r="AL272" i="8"/>
  <c r="A273" i="8"/>
  <c r="AD273" i="8"/>
  <c r="AE273" i="8"/>
  <c r="AF273" i="8"/>
  <c r="AG273" i="8"/>
  <c r="AH273" i="8"/>
  <c r="AI273" i="8"/>
  <c r="AJ273" i="8"/>
  <c r="AK273" i="8"/>
  <c r="AL273" i="8"/>
  <c r="A274" i="8"/>
  <c r="AD274" i="8"/>
  <c r="AE274" i="8"/>
  <c r="AF274" i="8"/>
  <c r="AG274" i="8"/>
  <c r="AH274" i="8"/>
  <c r="AI274" i="8"/>
  <c r="AJ274" i="8"/>
  <c r="AK274" i="8"/>
  <c r="AL274" i="8"/>
  <c r="A275" i="8"/>
  <c r="AD275" i="8"/>
  <c r="AE275" i="8"/>
  <c r="AF275" i="8"/>
  <c r="AG275" i="8"/>
  <c r="AH275" i="8"/>
  <c r="AI275" i="8"/>
  <c r="AJ275" i="8"/>
  <c r="AK275" i="8"/>
  <c r="AL275" i="8"/>
  <c r="A276" i="8"/>
  <c r="AD276" i="8"/>
  <c r="AE276" i="8"/>
  <c r="AF276" i="8"/>
  <c r="AG276" i="8"/>
  <c r="AH276" i="8"/>
  <c r="AI276" i="8"/>
  <c r="AJ276" i="8"/>
  <c r="AK276" i="8"/>
  <c r="AL276" i="8"/>
  <c r="A277" i="8"/>
  <c r="AD277" i="8"/>
  <c r="AE277" i="8"/>
  <c r="AF277" i="8"/>
  <c r="AG277" i="8"/>
  <c r="AH277" i="8"/>
  <c r="AI277" i="8"/>
  <c r="AJ277" i="8"/>
  <c r="AK277" i="8"/>
  <c r="AL277" i="8"/>
  <c r="A278" i="8"/>
  <c r="AD278" i="8"/>
  <c r="AE278" i="8"/>
  <c r="AF278" i="8"/>
  <c r="AG278" i="8"/>
  <c r="AH278" i="8"/>
  <c r="AI278" i="8"/>
  <c r="AJ278" i="8"/>
  <c r="AK278" i="8"/>
  <c r="AL278" i="8"/>
  <c r="A279" i="8"/>
  <c r="AD279" i="8"/>
  <c r="AE279" i="8"/>
  <c r="AF279" i="8"/>
  <c r="AG279" i="8"/>
  <c r="AH279" i="8"/>
  <c r="AI279" i="8"/>
  <c r="AJ279" i="8"/>
  <c r="AK279" i="8"/>
  <c r="AL279" i="8"/>
  <c r="A280" i="8"/>
  <c r="AD280" i="8"/>
  <c r="AE280" i="8"/>
  <c r="AF280" i="8"/>
  <c r="AG280" i="8"/>
  <c r="AH280" i="8"/>
  <c r="AI280" i="8"/>
  <c r="AJ280" i="8"/>
  <c r="AK280" i="8"/>
  <c r="AL280" i="8"/>
  <c r="A281" i="8"/>
  <c r="AD281" i="8"/>
  <c r="AE281" i="8"/>
  <c r="AF281" i="8"/>
  <c r="AG281" i="8"/>
  <c r="AH281" i="8"/>
  <c r="AI281" i="8"/>
  <c r="AJ281" i="8"/>
  <c r="AK281" i="8"/>
  <c r="AL281" i="8"/>
  <c r="A282" i="8"/>
  <c r="AD282" i="8"/>
  <c r="AE282" i="8"/>
  <c r="AF282" i="8"/>
  <c r="AG282" i="8"/>
  <c r="AH282" i="8"/>
  <c r="AI282" i="8"/>
  <c r="AJ282" i="8"/>
  <c r="AK282" i="8"/>
  <c r="AL282" i="8"/>
  <c r="A283" i="8"/>
  <c r="AD283" i="8"/>
  <c r="AE283" i="8"/>
  <c r="AF283" i="8"/>
  <c r="AG283" i="8"/>
  <c r="AH283" i="8"/>
  <c r="AI283" i="8"/>
  <c r="AJ283" i="8"/>
  <c r="AK283" i="8"/>
  <c r="AL283" i="8"/>
  <c r="A284" i="8"/>
  <c r="AD284" i="8"/>
  <c r="AE284" i="8"/>
  <c r="AF284" i="8"/>
  <c r="AG284" i="8"/>
  <c r="AH284" i="8"/>
  <c r="AI284" i="8"/>
  <c r="AJ284" i="8"/>
  <c r="AK284" i="8"/>
  <c r="AL284" i="8"/>
  <c r="A285" i="8"/>
  <c r="AD285" i="8"/>
  <c r="AE285" i="8"/>
  <c r="AF285" i="8"/>
  <c r="AG285" i="8"/>
  <c r="AH285" i="8"/>
  <c r="AI285" i="8"/>
  <c r="AJ285" i="8"/>
  <c r="AK285" i="8"/>
  <c r="AL285" i="8"/>
  <c r="A286" i="8"/>
  <c r="AD286" i="8"/>
  <c r="AE286" i="8"/>
  <c r="AF286" i="8"/>
  <c r="AG286" i="8"/>
  <c r="AH286" i="8"/>
  <c r="AI286" i="8"/>
  <c r="AJ286" i="8"/>
  <c r="AK286" i="8"/>
  <c r="AL286" i="8"/>
  <c r="A287" i="8"/>
  <c r="AD287" i="8"/>
  <c r="AE287" i="8"/>
  <c r="AF287" i="8"/>
  <c r="AG287" i="8"/>
  <c r="AH287" i="8"/>
  <c r="AI287" i="8"/>
  <c r="AJ287" i="8"/>
  <c r="AK287" i="8"/>
  <c r="AL287" i="8"/>
  <c r="AO287" i="8"/>
  <c r="A288" i="8"/>
  <c r="AD288" i="8"/>
  <c r="AE288" i="8"/>
  <c r="AF288" i="8"/>
  <c r="AG288" i="8"/>
  <c r="AH288" i="8"/>
  <c r="AI288" i="8"/>
  <c r="AJ288" i="8"/>
  <c r="AK288" i="8"/>
  <c r="AL288" i="8"/>
  <c r="A289" i="8"/>
  <c r="AD289" i="8"/>
  <c r="AE289" i="8"/>
  <c r="AF289" i="8"/>
  <c r="AG289" i="8"/>
  <c r="AH289" i="8"/>
  <c r="AI289" i="8"/>
  <c r="AJ289" i="8"/>
  <c r="AK289" i="8"/>
  <c r="AL289" i="8"/>
  <c r="A290" i="8"/>
  <c r="AD290" i="8"/>
  <c r="AE290" i="8"/>
  <c r="AF290" i="8"/>
  <c r="AG290" i="8"/>
  <c r="AH290" i="8"/>
  <c r="AI290" i="8"/>
  <c r="AJ290" i="8"/>
  <c r="AK290" i="8"/>
  <c r="AL290" i="8"/>
  <c r="A291" i="8"/>
  <c r="AD291" i="8"/>
  <c r="AE291" i="8"/>
  <c r="AF291" i="8"/>
  <c r="AG291" i="8"/>
  <c r="AH291" i="8"/>
  <c r="AI291" i="8"/>
  <c r="AJ291" i="8"/>
  <c r="AK291" i="8"/>
  <c r="AL291" i="8"/>
  <c r="A292" i="8"/>
  <c r="AD292" i="8"/>
  <c r="AE292" i="8"/>
  <c r="AF292" i="8"/>
  <c r="AG292" i="8"/>
  <c r="AH292" i="8"/>
  <c r="AI292" i="8"/>
  <c r="AJ292" i="8"/>
  <c r="AK292" i="8"/>
  <c r="AL292" i="8"/>
  <c r="AM292" i="8"/>
  <c r="AN292" i="8"/>
  <c r="A293" i="8"/>
  <c r="AD293" i="8"/>
  <c r="AE293" i="8"/>
  <c r="AF293" i="8"/>
  <c r="AG293" i="8"/>
  <c r="AH293" i="8"/>
  <c r="AI293" i="8"/>
  <c r="AJ293" i="8"/>
  <c r="AK293" i="8"/>
  <c r="AL293" i="8"/>
  <c r="A294" i="8"/>
  <c r="AD294" i="8"/>
  <c r="AE294" i="8"/>
  <c r="AF294" i="8"/>
  <c r="AG294" i="8"/>
  <c r="AH294" i="8"/>
  <c r="AI294" i="8"/>
  <c r="AJ294" i="8"/>
  <c r="AK294" i="8"/>
  <c r="AL294" i="8"/>
  <c r="A295" i="8"/>
  <c r="AD295" i="8"/>
  <c r="AE295" i="8"/>
  <c r="AF295" i="8"/>
  <c r="AG295" i="8"/>
  <c r="AH295" i="8"/>
  <c r="AI295" i="8"/>
  <c r="AJ295" i="8"/>
  <c r="AK295" i="8"/>
  <c r="AL295" i="8"/>
  <c r="A296" i="8"/>
  <c r="AD296" i="8"/>
  <c r="AE296" i="8"/>
  <c r="AF296" i="8"/>
  <c r="AG296" i="8"/>
  <c r="AH296" i="8"/>
  <c r="AI296" i="8"/>
  <c r="AJ296" i="8"/>
  <c r="AK296" i="8"/>
  <c r="AL296" i="8"/>
  <c r="A297" i="8"/>
  <c r="AD297" i="8"/>
  <c r="AE297" i="8"/>
  <c r="AF297" i="8"/>
  <c r="AG297" i="8"/>
  <c r="AH297" i="8"/>
  <c r="AI297" i="8"/>
  <c r="AJ297" i="8"/>
  <c r="AK297" i="8"/>
  <c r="AL297" i="8"/>
  <c r="A298" i="8"/>
  <c r="AD298" i="8"/>
  <c r="AE298" i="8"/>
  <c r="AF298" i="8"/>
  <c r="AG298" i="8"/>
  <c r="AH298" i="8"/>
  <c r="AI298" i="8"/>
  <c r="AJ298" i="8"/>
  <c r="AK298" i="8"/>
  <c r="AL298" i="8"/>
  <c r="A299" i="8"/>
  <c r="AD299" i="8"/>
  <c r="AE299" i="8"/>
  <c r="AF299" i="8"/>
  <c r="AG299" i="8"/>
  <c r="AH299" i="8"/>
  <c r="AI299" i="8"/>
  <c r="AJ299" i="8"/>
  <c r="AK299" i="8"/>
  <c r="AL299" i="8"/>
  <c r="A300" i="8"/>
  <c r="AD300" i="8"/>
  <c r="AE300" i="8"/>
  <c r="AF300" i="8"/>
  <c r="AG300" i="8"/>
  <c r="AH300" i="8"/>
  <c r="AI300" i="8"/>
  <c r="AJ300" i="8"/>
  <c r="AK300" i="8"/>
  <c r="AL300" i="8"/>
  <c r="A301" i="8"/>
  <c r="AD301" i="8"/>
  <c r="AE301" i="8"/>
  <c r="AF301" i="8"/>
  <c r="AG301" i="8"/>
  <c r="AH301" i="8"/>
  <c r="AI301" i="8"/>
  <c r="AJ301" i="8"/>
  <c r="AK301" i="8"/>
  <c r="AL301" i="8"/>
  <c r="A302" i="8"/>
  <c r="AD302" i="8"/>
  <c r="AE302" i="8"/>
  <c r="AF302" i="8"/>
  <c r="AG302" i="8"/>
  <c r="AH302" i="8"/>
  <c r="AI302" i="8"/>
  <c r="AJ302" i="8"/>
  <c r="AK302" i="8"/>
  <c r="AL302" i="8"/>
  <c r="A303" i="8"/>
  <c r="AD303" i="8"/>
  <c r="AE303" i="8"/>
  <c r="AF303" i="8"/>
  <c r="AG303" i="8"/>
  <c r="AH303" i="8"/>
  <c r="AI303" i="8"/>
  <c r="AJ303" i="8"/>
  <c r="AK303" i="8"/>
  <c r="AL303" i="8"/>
  <c r="A304" i="8"/>
  <c r="AD304" i="8"/>
  <c r="AE304" i="8"/>
  <c r="AF304" i="8"/>
  <c r="AG304" i="8"/>
  <c r="AH304" i="8"/>
  <c r="AI304" i="8"/>
  <c r="AJ304" i="8"/>
  <c r="AK304" i="8"/>
  <c r="AL304" i="8"/>
  <c r="A305" i="8"/>
  <c r="AD305" i="8"/>
  <c r="AE305" i="8"/>
  <c r="AF305" i="8"/>
  <c r="AG305" i="8"/>
  <c r="AH305" i="8"/>
  <c r="AI305" i="8"/>
  <c r="AJ305" i="8"/>
  <c r="AK305" i="8"/>
  <c r="AL305" i="8"/>
  <c r="A306" i="8"/>
  <c r="AD306" i="8"/>
  <c r="AE306" i="8"/>
  <c r="AF306" i="8"/>
  <c r="AG306" i="8"/>
  <c r="AH306" i="8"/>
  <c r="AI306" i="8"/>
  <c r="AJ306" i="8"/>
  <c r="AK306" i="8"/>
  <c r="AL306" i="8"/>
  <c r="A307" i="8"/>
  <c r="AD307" i="8"/>
  <c r="AE307" i="8"/>
  <c r="AF307" i="8"/>
  <c r="AG307" i="8"/>
  <c r="AH307" i="8"/>
  <c r="AI307" i="8"/>
  <c r="AJ307" i="8"/>
  <c r="AK307" i="8"/>
  <c r="AL307" i="8"/>
  <c r="A308" i="8"/>
  <c r="AD308" i="8"/>
  <c r="AE308" i="8"/>
  <c r="AF308" i="8"/>
  <c r="AG308" i="8"/>
  <c r="AH308" i="8"/>
  <c r="AI308" i="8"/>
  <c r="AJ308" i="8"/>
  <c r="AK308" i="8"/>
  <c r="AL308" i="8"/>
  <c r="A309" i="8"/>
  <c r="AD309" i="8"/>
  <c r="AE309" i="8"/>
  <c r="AF309" i="8"/>
  <c r="AG309" i="8"/>
  <c r="AH309" i="8"/>
  <c r="AI309" i="8"/>
  <c r="AJ309" i="8"/>
  <c r="AK309" i="8"/>
  <c r="AL309" i="8"/>
  <c r="AM309" i="8"/>
  <c r="AN309" i="8"/>
  <c r="A310" i="8"/>
  <c r="AD310" i="8"/>
  <c r="AE310" i="8"/>
  <c r="AF310" i="8"/>
  <c r="AG310" i="8"/>
  <c r="AH310" i="8"/>
  <c r="AI310" i="8"/>
  <c r="AJ310" i="8"/>
  <c r="AK310" i="8"/>
  <c r="AL310" i="8"/>
  <c r="A311" i="8"/>
  <c r="AD311" i="8"/>
  <c r="AE311" i="8"/>
  <c r="AF311" i="8"/>
  <c r="AG311" i="8"/>
  <c r="AH311" i="8"/>
  <c r="AI311" i="8"/>
  <c r="AJ311" i="8"/>
  <c r="AK311" i="8"/>
  <c r="AL311" i="8"/>
  <c r="A312" i="8"/>
  <c r="AD312" i="8"/>
  <c r="AE312" i="8"/>
  <c r="AF312" i="8"/>
  <c r="AG312" i="8"/>
  <c r="AH312" i="8"/>
  <c r="AI312" i="8"/>
  <c r="AJ312" i="8"/>
  <c r="AK312" i="8"/>
  <c r="AL312" i="8"/>
  <c r="AO312" i="8"/>
  <c r="A313" i="8"/>
  <c r="AD313" i="8"/>
  <c r="AE313" i="8"/>
  <c r="AF313" i="8"/>
  <c r="AG313" i="8"/>
  <c r="AH313" i="8"/>
  <c r="AI313" i="8"/>
  <c r="AJ313" i="8"/>
  <c r="AK313" i="8"/>
  <c r="AL313" i="8"/>
  <c r="A314" i="8"/>
  <c r="AD314" i="8"/>
  <c r="AE314" i="8"/>
  <c r="AF314" i="8"/>
  <c r="AG314" i="8"/>
  <c r="AH314" i="8"/>
  <c r="AI314" i="8"/>
  <c r="AJ314" i="8"/>
  <c r="AK314" i="8"/>
  <c r="AL314" i="8"/>
  <c r="A315" i="8"/>
  <c r="AD315" i="8"/>
  <c r="AE315" i="8"/>
  <c r="AF315" i="8"/>
  <c r="AG315" i="8"/>
  <c r="AH315" i="8"/>
  <c r="AI315" i="8"/>
  <c r="AJ315" i="8"/>
  <c r="AK315" i="8"/>
  <c r="AL315" i="8"/>
  <c r="A316" i="8"/>
  <c r="AD316" i="8"/>
  <c r="AE316" i="8"/>
  <c r="AF316" i="8"/>
  <c r="AG316" i="8"/>
  <c r="AH316" i="8"/>
  <c r="AI316" i="8"/>
  <c r="AJ316" i="8"/>
  <c r="AK316" i="8"/>
  <c r="AL316" i="8"/>
  <c r="AO316" i="8"/>
  <c r="A317" i="8"/>
  <c r="AD317" i="8"/>
  <c r="AE317" i="8"/>
  <c r="AF317" i="8"/>
  <c r="AG317" i="8"/>
  <c r="AH317" i="8"/>
  <c r="AI317" i="8"/>
  <c r="AJ317" i="8"/>
  <c r="AK317" i="8"/>
  <c r="AL317" i="8"/>
  <c r="A318" i="8"/>
  <c r="AD318" i="8"/>
  <c r="AE318" i="8"/>
  <c r="AF318" i="8"/>
  <c r="AG318" i="8"/>
  <c r="AH318" i="8"/>
  <c r="AI318" i="8"/>
  <c r="AJ318" i="8"/>
  <c r="AK318" i="8"/>
  <c r="AL318" i="8"/>
  <c r="A319" i="8"/>
  <c r="AD319" i="8"/>
  <c r="AE319" i="8"/>
  <c r="AF319" i="8"/>
  <c r="AG319" i="8"/>
  <c r="AH319" i="8"/>
  <c r="AI319" i="8"/>
  <c r="AJ319" i="8"/>
  <c r="AK319" i="8"/>
  <c r="AL319" i="8"/>
  <c r="A320" i="8"/>
  <c r="AD320" i="8"/>
  <c r="AE320" i="8"/>
  <c r="AF320" i="8"/>
  <c r="AG320" i="8"/>
  <c r="AH320" i="8"/>
  <c r="AI320" i="8"/>
  <c r="AJ320" i="8"/>
  <c r="AK320" i="8"/>
  <c r="AL320" i="8"/>
  <c r="A321" i="8"/>
  <c r="AD321" i="8"/>
  <c r="AE321" i="8"/>
  <c r="AF321" i="8"/>
  <c r="AG321" i="8"/>
  <c r="AH321" i="8"/>
  <c r="AI321" i="8"/>
  <c r="AJ321" i="8"/>
  <c r="AK321" i="8"/>
  <c r="AL321" i="8"/>
  <c r="A322" i="8"/>
  <c r="AD322" i="8"/>
  <c r="AE322" i="8"/>
  <c r="AF322" i="8"/>
  <c r="AG322" i="8"/>
  <c r="AH322" i="8"/>
  <c r="AI322" i="8"/>
  <c r="AJ322" i="8"/>
  <c r="AK322" i="8"/>
  <c r="AL322" i="8"/>
  <c r="A323" i="8"/>
  <c r="AD323" i="8"/>
  <c r="AE323" i="8"/>
  <c r="AF323" i="8"/>
  <c r="AG323" i="8"/>
  <c r="AH323" i="8"/>
  <c r="AI323" i="8"/>
  <c r="AJ323" i="8"/>
  <c r="AK323" i="8"/>
  <c r="AL323" i="8"/>
  <c r="A324" i="8"/>
  <c r="AD324" i="8"/>
  <c r="AE324" i="8"/>
  <c r="AF324" i="8"/>
  <c r="AG324" i="8"/>
  <c r="AH324" i="8"/>
  <c r="AI324" i="8"/>
  <c r="AJ324" i="8"/>
  <c r="AK324" i="8"/>
  <c r="AL324" i="8"/>
  <c r="A325" i="8"/>
  <c r="AD325" i="8"/>
  <c r="AE325" i="8"/>
  <c r="AF325" i="8"/>
  <c r="AG325" i="8"/>
  <c r="AH325" i="8"/>
  <c r="AI325" i="8"/>
  <c r="AJ325" i="8"/>
  <c r="AK325" i="8"/>
  <c r="AL325" i="8"/>
  <c r="A326" i="8"/>
  <c r="AD326" i="8"/>
  <c r="AE326" i="8"/>
  <c r="AF326" i="8"/>
  <c r="AG326" i="8"/>
  <c r="AH326" i="8"/>
  <c r="AI326" i="8"/>
  <c r="AJ326" i="8"/>
  <c r="AK326" i="8"/>
  <c r="AL326" i="8"/>
  <c r="A327" i="8"/>
  <c r="AD327" i="8"/>
  <c r="AE327" i="8"/>
  <c r="AF327" i="8"/>
  <c r="AG327" i="8"/>
  <c r="AH327" i="8"/>
  <c r="AI327" i="8"/>
  <c r="AJ327" i="8"/>
  <c r="AK327" i="8"/>
  <c r="AL327" i="8"/>
  <c r="A328" i="8"/>
  <c r="AD328" i="8"/>
  <c r="AE328" i="8"/>
  <c r="AF328" i="8"/>
  <c r="AG328" i="8"/>
  <c r="AH328" i="8"/>
  <c r="AI328" i="8"/>
  <c r="AJ328" i="8"/>
  <c r="AK328" i="8"/>
  <c r="AL328" i="8"/>
  <c r="A329" i="8"/>
  <c r="AD329" i="8"/>
  <c r="AE329" i="8"/>
  <c r="AF329" i="8"/>
  <c r="AG329" i="8"/>
  <c r="AH329" i="8"/>
  <c r="AI329" i="8"/>
  <c r="AJ329" i="8"/>
  <c r="AK329" i="8"/>
  <c r="AL329" i="8"/>
  <c r="A330" i="8"/>
  <c r="AD330" i="8"/>
  <c r="AE330" i="8"/>
  <c r="AF330" i="8"/>
  <c r="AG330" i="8"/>
  <c r="AH330" i="8"/>
  <c r="AI330" i="8"/>
  <c r="AJ330" i="8"/>
  <c r="AK330" i="8"/>
  <c r="AL330" i="8"/>
  <c r="A331" i="8"/>
  <c r="AD331" i="8"/>
  <c r="AE331" i="8"/>
  <c r="AF331" i="8"/>
  <c r="AG331" i="8"/>
  <c r="AH331" i="8"/>
  <c r="AI331" i="8"/>
  <c r="AJ331" i="8"/>
  <c r="AK331" i="8"/>
  <c r="AL331" i="8"/>
  <c r="A332" i="8"/>
  <c r="AD332" i="8"/>
  <c r="AE332" i="8"/>
  <c r="AF332" i="8"/>
  <c r="AG332" i="8"/>
  <c r="AH332" i="8"/>
  <c r="AI332" i="8"/>
  <c r="AJ332" i="8"/>
  <c r="AK332" i="8"/>
  <c r="AL332" i="8"/>
  <c r="A333" i="8"/>
  <c r="AD333" i="8"/>
  <c r="AE333" i="8"/>
  <c r="AF333" i="8"/>
  <c r="AG333" i="8"/>
  <c r="AH333" i="8"/>
  <c r="AI333" i="8"/>
  <c r="AJ333" i="8"/>
  <c r="AK333" i="8"/>
  <c r="AL333" i="8"/>
  <c r="A334" i="8"/>
  <c r="AD334" i="8"/>
  <c r="AE334" i="8"/>
  <c r="AF334" i="8"/>
  <c r="AG334" i="8"/>
  <c r="AH334" i="8"/>
  <c r="AI334" i="8"/>
  <c r="AJ334" i="8"/>
  <c r="AK334" i="8"/>
  <c r="AL334" i="8"/>
  <c r="A335" i="8"/>
  <c r="AD335" i="8"/>
  <c r="AE335" i="8"/>
  <c r="AF335" i="8"/>
  <c r="AG335" i="8"/>
  <c r="AH335" i="8"/>
  <c r="AI335" i="8"/>
  <c r="AJ335" i="8"/>
  <c r="AK335" i="8"/>
  <c r="AL335" i="8"/>
  <c r="A336" i="8"/>
  <c r="AD336" i="8"/>
  <c r="AE336" i="8"/>
  <c r="AF336" i="8"/>
  <c r="AG336" i="8"/>
  <c r="AH336" i="8"/>
  <c r="AI336" i="8"/>
  <c r="AJ336" i="8"/>
  <c r="AK336" i="8"/>
  <c r="AL336" i="8"/>
  <c r="A337" i="8"/>
  <c r="AD337" i="8"/>
  <c r="AE337" i="8"/>
  <c r="AF337" i="8"/>
  <c r="AG337" i="8"/>
  <c r="AH337" i="8"/>
  <c r="AI337" i="8"/>
  <c r="AJ337" i="8"/>
  <c r="AK337" i="8"/>
  <c r="AL337" i="8"/>
  <c r="A338" i="8"/>
  <c r="AD338" i="8"/>
  <c r="AE338" i="8"/>
  <c r="AF338" i="8"/>
  <c r="AG338" i="8"/>
  <c r="AH338" i="8"/>
  <c r="AI338" i="8"/>
  <c r="AJ338" i="8"/>
  <c r="AK338" i="8"/>
  <c r="AL338" i="8"/>
  <c r="AM338" i="8"/>
  <c r="AN338" i="8"/>
  <c r="A339" i="8"/>
  <c r="AD339" i="8"/>
  <c r="AE339" i="8"/>
  <c r="AF339" i="8"/>
  <c r="AG339" i="8"/>
  <c r="AH339" i="8"/>
  <c r="AI339" i="8"/>
  <c r="AJ339" i="8"/>
  <c r="AK339" i="8"/>
  <c r="AL339" i="8"/>
  <c r="A340" i="8"/>
  <c r="AD340" i="8"/>
  <c r="AE340" i="8"/>
  <c r="AF340" i="8"/>
  <c r="AG340" i="8"/>
  <c r="AH340" i="8"/>
  <c r="AI340" i="8"/>
  <c r="AJ340" i="8"/>
  <c r="AK340" i="8"/>
  <c r="AL340" i="8"/>
  <c r="A341" i="8"/>
  <c r="AD341" i="8"/>
  <c r="AE341" i="8"/>
  <c r="AF341" i="8"/>
  <c r="AG341" i="8"/>
  <c r="AH341" i="8"/>
  <c r="AI341" i="8"/>
  <c r="AJ341" i="8"/>
  <c r="AK341" i="8"/>
  <c r="AL341" i="8"/>
  <c r="A342" i="8"/>
  <c r="AD342" i="8"/>
  <c r="AE342" i="8"/>
  <c r="AF342" i="8"/>
  <c r="AG342" i="8"/>
  <c r="AH342" i="8"/>
  <c r="AI342" i="8"/>
  <c r="AJ342" i="8"/>
  <c r="AK342" i="8"/>
  <c r="AL342" i="8"/>
  <c r="A343" i="8"/>
  <c r="AD343" i="8"/>
  <c r="AE343" i="8"/>
  <c r="AF343" i="8"/>
  <c r="AG343" i="8"/>
  <c r="AH343" i="8"/>
  <c r="AI343" i="8"/>
  <c r="AJ343" i="8"/>
  <c r="AK343" i="8"/>
  <c r="AL343" i="8"/>
  <c r="A344" i="8"/>
  <c r="AD344" i="8"/>
  <c r="AE344" i="8"/>
  <c r="AF344" i="8"/>
  <c r="AG344" i="8"/>
  <c r="AH344" i="8"/>
  <c r="AI344" i="8"/>
  <c r="AJ344" i="8"/>
  <c r="AK344" i="8"/>
  <c r="AL344" i="8"/>
  <c r="A345" i="8"/>
  <c r="AD345" i="8"/>
  <c r="AE345" i="8"/>
  <c r="AF345" i="8"/>
  <c r="AG345" i="8"/>
  <c r="AH345" i="8"/>
  <c r="AI345" i="8"/>
  <c r="AJ345" i="8"/>
  <c r="AK345" i="8"/>
  <c r="AL345" i="8"/>
  <c r="A346" i="8"/>
  <c r="AD346" i="8"/>
  <c r="AE346" i="8"/>
  <c r="AF346" i="8"/>
  <c r="AG346" i="8"/>
  <c r="AH346" i="8"/>
  <c r="AI346" i="8"/>
  <c r="AJ346" i="8"/>
  <c r="AK346" i="8"/>
  <c r="AL346" i="8"/>
  <c r="A347" i="8"/>
  <c r="AD347" i="8"/>
  <c r="AE347" i="8"/>
  <c r="AF347" i="8"/>
  <c r="AG347" i="8"/>
  <c r="AH347" i="8"/>
  <c r="AI347" i="8"/>
  <c r="AJ347" i="8"/>
  <c r="AK347" i="8"/>
  <c r="AL347" i="8"/>
  <c r="A348" i="8"/>
  <c r="AD348" i="8"/>
  <c r="AE348" i="8"/>
  <c r="AF348" i="8"/>
  <c r="AG348" i="8"/>
  <c r="AH348" i="8"/>
  <c r="AI348" i="8"/>
  <c r="AJ348" i="8"/>
  <c r="AK348" i="8"/>
  <c r="AL348" i="8"/>
  <c r="A349" i="8"/>
  <c r="AD349" i="8"/>
  <c r="AE349" i="8"/>
  <c r="AF349" i="8"/>
  <c r="AG349" i="8"/>
  <c r="AH349" i="8"/>
  <c r="AI349" i="8"/>
  <c r="AJ349" i="8"/>
  <c r="AK349" i="8"/>
  <c r="AL349" i="8"/>
  <c r="A350" i="8"/>
  <c r="AD350" i="8"/>
  <c r="AE350" i="8"/>
  <c r="AF350" i="8"/>
  <c r="AG350" i="8"/>
  <c r="AH350" i="8"/>
  <c r="AI350" i="8"/>
  <c r="AJ350" i="8"/>
  <c r="AK350" i="8"/>
  <c r="AL350" i="8"/>
  <c r="A351" i="8"/>
  <c r="AD351" i="8"/>
  <c r="AE351" i="8"/>
  <c r="AF351" i="8"/>
  <c r="AG351" i="8"/>
  <c r="AH351" i="8"/>
  <c r="AI351" i="8"/>
  <c r="AJ351" i="8"/>
  <c r="AK351" i="8"/>
  <c r="AL351" i="8"/>
  <c r="A352" i="8"/>
  <c r="AD352" i="8"/>
  <c r="AE352" i="8"/>
  <c r="AF352" i="8"/>
  <c r="AG352" i="8"/>
  <c r="AH352" i="8"/>
  <c r="AI352" i="8"/>
  <c r="AJ352" i="8"/>
  <c r="AK352" i="8"/>
  <c r="AL352" i="8"/>
  <c r="A353" i="8"/>
  <c r="AD353" i="8"/>
  <c r="AE353" i="8"/>
  <c r="AF353" i="8"/>
  <c r="AG353" i="8"/>
  <c r="AH353" i="8"/>
  <c r="AI353" i="8"/>
  <c r="AJ353" i="8"/>
  <c r="AK353" i="8"/>
  <c r="AL353" i="8"/>
  <c r="A354" i="8"/>
  <c r="AD354" i="8"/>
  <c r="AE354" i="8"/>
  <c r="AF354" i="8"/>
  <c r="AG354" i="8"/>
  <c r="AH354" i="8"/>
  <c r="AI354" i="8"/>
  <c r="AJ354" i="8"/>
  <c r="AK354" i="8"/>
  <c r="AL354" i="8"/>
  <c r="A355" i="8"/>
  <c r="AD355" i="8"/>
  <c r="AE355" i="8"/>
  <c r="AF355" i="8"/>
  <c r="AG355" i="8"/>
  <c r="AH355" i="8"/>
  <c r="AI355" i="8"/>
  <c r="AJ355" i="8"/>
  <c r="AK355" i="8"/>
  <c r="AL355" i="8"/>
  <c r="A356" i="8"/>
  <c r="AD356" i="8"/>
  <c r="AE356" i="8"/>
  <c r="AF356" i="8"/>
  <c r="AG356" i="8"/>
  <c r="AH356" i="8"/>
  <c r="AI356" i="8"/>
  <c r="AJ356" i="8"/>
  <c r="AK356" i="8"/>
  <c r="AL356" i="8"/>
  <c r="A357" i="8"/>
  <c r="AD357" i="8"/>
  <c r="AE357" i="8"/>
  <c r="AF357" i="8"/>
  <c r="AG357" i="8"/>
  <c r="AH357" i="8"/>
  <c r="AI357" i="8"/>
  <c r="AJ357" i="8"/>
  <c r="AK357" i="8"/>
  <c r="AL357" i="8"/>
  <c r="A358" i="8"/>
  <c r="AD358" i="8"/>
  <c r="AE358" i="8"/>
  <c r="AF358" i="8"/>
  <c r="AG358" i="8"/>
  <c r="AH358" i="8"/>
  <c r="AI358" i="8"/>
  <c r="AJ358" i="8"/>
  <c r="AK358" i="8"/>
  <c r="AL358" i="8"/>
  <c r="A359" i="8"/>
  <c r="AD359" i="8"/>
  <c r="AE359" i="8"/>
  <c r="AF359" i="8"/>
  <c r="AG359" i="8"/>
  <c r="AH359" i="8"/>
  <c r="AI359" i="8"/>
  <c r="AJ359" i="8"/>
  <c r="AK359" i="8"/>
  <c r="AL359" i="8"/>
  <c r="A360" i="8"/>
  <c r="AD360" i="8"/>
  <c r="AE360" i="8"/>
  <c r="AF360" i="8"/>
  <c r="AG360" i="8"/>
  <c r="AH360" i="8"/>
  <c r="AI360" i="8"/>
  <c r="AJ360" i="8"/>
  <c r="AK360" i="8"/>
  <c r="AL360" i="8"/>
  <c r="A361" i="8"/>
  <c r="AD361" i="8"/>
  <c r="AE361" i="8"/>
  <c r="AF361" i="8"/>
  <c r="AG361" i="8"/>
  <c r="AH361" i="8"/>
  <c r="AI361" i="8"/>
  <c r="AJ361" i="8"/>
  <c r="AK361" i="8"/>
  <c r="AL361" i="8"/>
  <c r="A362" i="8"/>
  <c r="AD362" i="8"/>
  <c r="AE362" i="8"/>
  <c r="AF362" i="8"/>
  <c r="AG362" i="8"/>
  <c r="AH362" i="8"/>
  <c r="AI362" i="8"/>
  <c r="AJ362" i="8"/>
  <c r="AK362" i="8"/>
  <c r="AL362" i="8"/>
  <c r="AM362" i="8"/>
  <c r="AN362" i="8"/>
  <c r="AO362" i="8"/>
  <c r="A363" i="8"/>
  <c r="AD363" i="8"/>
  <c r="AE363" i="8"/>
  <c r="AF363" i="8"/>
  <c r="AG363" i="8"/>
  <c r="AH363" i="8"/>
  <c r="AI363" i="8"/>
  <c r="AJ363" i="8"/>
  <c r="AK363" i="8"/>
  <c r="AL363" i="8"/>
  <c r="A364" i="8"/>
  <c r="AD364" i="8"/>
  <c r="AE364" i="8"/>
  <c r="AF364" i="8"/>
  <c r="AG364" i="8"/>
  <c r="AH364" i="8"/>
  <c r="AI364" i="8"/>
  <c r="AJ364" i="8"/>
  <c r="AK364" i="8"/>
  <c r="AL364" i="8"/>
  <c r="A365" i="8"/>
  <c r="AD365" i="8"/>
  <c r="AE365" i="8"/>
  <c r="AF365" i="8"/>
  <c r="AG365" i="8"/>
  <c r="AH365" i="8"/>
  <c r="AI365" i="8"/>
  <c r="AJ365" i="8"/>
  <c r="AK365" i="8"/>
  <c r="AL365" i="8"/>
  <c r="A366" i="8"/>
  <c r="AD366" i="8"/>
  <c r="AE366" i="8"/>
  <c r="AF366" i="8"/>
  <c r="AG366" i="8"/>
  <c r="AH366" i="8"/>
  <c r="AI366" i="8"/>
  <c r="AJ366" i="8"/>
  <c r="AK366" i="8"/>
  <c r="AL366" i="8"/>
  <c r="A367" i="8"/>
  <c r="AD367" i="8"/>
  <c r="AE367" i="8"/>
  <c r="AF367" i="8"/>
  <c r="AG367" i="8"/>
  <c r="AH367" i="8"/>
  <c r="AI367" i="8"/>
  <c r="AJ367" i="8"/>
  <c r="AK367" i="8"/>
  <c r="AL367" i="8"/>
  <c r="A368" i="8"/>
  <c r="AD368" i="8"/>
  <c r="AE368" i="8"/>
  <c r="AF368" i="8"/>
  <c r="AG368" i="8"/>
  <c r="AH368" i="8"/>
  <c r="AI368" i="8"/>
  <c r="AJ368" i="8"/>
  <c r="AK368" i="8"/>
  <c r="AL368" i="8"/>
  <c r="A369" i="8"/>
  <c r="AD369" i="8"/>
  <c r="AE369" i="8"/>
  <c r="AF369" i="8"/>
  <c r="AG369" i="8"/>
  <c r="AH369" i="8"/>
  <c r="AI369" i="8"/>
  <c r="AJ369" i="8"/>
  <c r="AK369" i="8"/>
  <c r="AL369" i="8"/>
  <c r="A370" i="8"/>
  <c r="AD370" i="8"/>
  <c r="AE370" i="8"/>
  <c r="AF370" i="8"/>
  <c r="AG370" i="8"/>
  <c r="AH370" i="8"/>
  <c r="AI370" i="8"/>
  <c r="AJ370" i="8"/>
  <c r="AK370" i="8"/>
  <c r="AL370" i="8"/>
  <c r="A371" i="8"/>
  <c r="AD371" i="8"/>
  <c r="AE371" i="8"/>
  <c r="AF371" i="8"/>
  <c r="AG371" i="8"/>
  <c r="AH371" i="8"/>
  <c r="AI371" i="8"/>
  <c r="AJ371" i="8"/>
  <c r="AK371" i="8"/>
  <c r="AL371" i="8"/>
  <c r="A372" i="8"/>
  <c r="AD372" i="8"/>
  <c r="AE372" i="8"/>
  <c r="AF372" i="8"/>
  <c r="AG372" i="8"/>
  <c r="AH372" i="8"/>
  <c r="AI372" i="8"/>
  <c r="AJ372" i="8"/>
  <c r="AK372" i="8"/>
  <c r="AL372" i="8"/>
  <c r="A373" i="8"/>
  <c r="AD373" i="8"/>
  <c r="AE373" i="8"/>
  <c r="AF373" i="8"/>
  <c r="AG373" i="8"/>
  <c r="AH373" i="8"/>
  <c r="AI373" i="8"/>
  <c r="AJ373" i="8"/>
  <c r="AK373" i="8"/>
  <c r="AL373" i="8"/>
  <c r="AO373" i="8"/>
  <c r="A374" i="8"/>
  <c r="AD374" i="8"/>
  <c r="AE374" i="8"/>
  <c r="AF374" i="8"/>
  <c r="AG374" i="8"/>
  <c r="AH374" i="8"/>
  <c r="AI374" i="8"/>
  <c r="AJ374" i="8"/>
  <c r="AK374" i="8"/>
  <c r="AL374" i="8"/>
  <c r="A375" i="8"/>
  <c r="AD375" i="8"/>
  <c r="AE375" i="8"/>
  <c r="AF375" i="8"/>
  <c r="AG375" i="8"/>
  <c r="AH375" i="8"/>
  <c r="AI375" i="8"/>
  <c r="AJ375" i="8"/>
  <c r="AK375" i="8"/>
  <c r="AL375" i="8"/>
  <c r="A376" i="8"/>
  <c r="AD376" i="8"/>
  <c r="AE376" i="8"/>
  <c r="AF376" i="8"/>
  <c r="AG376" i="8"/>
  <c r="AH376" i="8"/>
  <c r="AI376" i="8"/>
  <c r="AJ376" i="8"/>
  <c r="AK376" i="8"/>
  <c r="AL376" i="8"/>
  <c r="A377" i="8"/>
  <c r="AD377" i="8"/>
  <c r="AE377" i="8"/>
  <c r="AF377" i="8"/>
  <c r="AG377" i="8"/>
  <c r="AH377" i="8"/>
  <c r="AI377" i="8"/>
  <c r="AJ377" i="8"/>
  <c r="AK377" i="8"/>
  <c r="AL377" i="8"/>
  <c r="A378" i="8"/>
  <c r="AD378" i="8"/>
  <c r="AE378" i="8"/>
  <c r="AF378" i="8"/>
  <c r="AG378" i="8"/>
  <c r="AH378" i="8"/>
  <c r="AI378" i="8"/>
  <c r="AJ378" i="8"/>
  <c r="AK378" i="8"/>
  <c r="AL378" i="8"/>
  <c r="A379" i="8"/>
  <c r="AD379" i="8"/>
  <c r="AE379" i="8"/>
  <c r="AF379" i="8"/>
  <c r="AG379" i="8"/>
  <c r="AH379" i="8"/>
  <c r="AI379" i="8"/>
  <c r="AJ379" i="8"/>
  <c r="AK379" i="8"/>
  <c r="AL379" i="8"/>
  <c r="A380" i="8"/>
  <c r="AD380" i="8"/>
  <c r="AE380" i="8"/>
  <c r="AF380" i="8"/>
  <c r="AG380" i="8"/>
  <c r="AH380" i="8"/>
  <c r="AI380" i="8"/>
  <c r="AJ380" i="8"/>
  <c r="AK380" i="8"/>
  <c r="AL380" i="8"/>
  <c r="A381" i="8"/>
  <c r="AD381" i="8"/>
  <c r="AE381" i="8"/>
  <c r="AF381" i="8"/>
  <c r="AG381" i="8"/>
  <c r="AH381" i="8"/>
  <c r="AI381" i="8"/>
  <c r="AJ381" i="8"/>
  <c r="AK381" i="8"/>
  <c r="AL381" i="8"/>
  <c r="A382" i="8"/>
  <c r="AD382" i="8"/>
  <c r="AE382" i="8"/>
  <c r="AF382" i="8"/>
  <c r="AG382" i="8"/>
  <c r="AH382" i="8"/>
  <c r="AI382" i="8"/>
  <c r="AJ382" i="8"/>
  <c r="AK382" i="8"/>
  <c r="AL382" i="8"/>
  <c r="A383" i="8"/>
  <c r="AD383" i="8"/>
  <c r="AE383" i="8"/>
  <c r="AF383" i="8"/>
  <c r="AG383" i="8"/>
  <c r="AH383" i="8"/>
  <c r="AI383" i="8"/>
  <c r="AJ383" i="8"/>
  <c r="AK383" i="8"/>
  <c r="AL383" i="8"/>
  <c r="A384" i="8"/>
  <c r="AD384" i="8"/>
  <c r="AE384" i="8"/>
  <c r="AF384" i="8"/>
  <c r="AG384" i="8"/>
  <c r="AH384" i="8"/>
  <c r="AI384" i="8"/>
  <c r="AJ384" i="8"/>
  <c r="AK384" i="8"/>
  <c r="AL384" i="8"/>
  <c r="A385" i="8"/>
  <c r="AD385" i="8"/>
  <c r="AE385" i="8"/>
  <c r="AF385" i="8"/>
  <c r="AG385" i="8"/>
  <c r="AH385" i="8"/>
  <c r="AI385" i="8"/>
  <c r="AJ385" i="8"/>
  <c r="AK385" i="8"/>
  <c r="AL385" i="8"/>
  <c r="A386" i="8"/>
  <c r="AD386" i="8"/>
  <c r="AE386" i="8"/>
  <c r="AF386" i="8"/>
  <c r="AG386" i="8"/>
  <c r="AH386" i="8"/>
  <c r="AI386" i="8"/>
  <c r="AJ386" i="8"/>
  <c r="AK386" i="8"/>
  <c r="AL386" i="8"/>
  <c r="A387" i="8"/>
  <c r="AD387" i="8"/>
  <c r="AE387" i="8"/>
  <c r="AF387" i="8"/>
  <c r="AG387" i="8"/>
  <c r="AH387" i="8"/>
  <c r="AI387" i="8"/>
  <c r="AJ387" i="8"/>
  <c r="AK387" i="8"/>
  <c r="AL387" i="8"/>
  <c r="A388" i="8"/>
  <c r="AD388" i="8"/>
  <c r="AE388" i="8"/>
  <c r="AF388" i="8"/>
  <c r="AG388" i="8"/>
  <c r="AH388" i="8"/>
  <c r="AI388" i="8"/>
  <c r="AJ388" i="8"/>
  <c r="AK388" i="8"/>
  <c r="AL388" i="8"/>
  <c r="A389" i="8"/>
  <c r="AD389" i="8"/>
  <c r="AE389" i="8"/>
  <c r="AF389" i="8"/>
  <c r="AG389" i="8"/>
  <c r="AH389" i="8"/>
  <c r="AI389" i="8"/>
  <c r="AJ389" i="8"/>
  <c r="AK389" i="8"/>
  <c r="AL389" i="8"/>
  <c r="A390" i="8"/>
  <c r="AD390" i="8"/>
  <c r="AE390" i="8"/>
  <c r="AF390" i="8"/>
  <c r="AG390" i="8"/>
  <c r="AH390" i="8"/>
  <c r="AI390" i="8"/>
  <c r="AJ390" i="8"/>
  <c r="AK390" i="8"/>
  <c r="AL390" i="8"/>
  <c r="A391" i="8"/>
  <c r="AD391" i="8"/>
  <c r="AE391" i="8"/>
  <c r="AF391" i="8"/>
  <c r="AG391" i="8"/>
  <c r="AH391" i="8"/>
  <c r="AI391" i="8"/>
  <c r="AJ391" i="8"/>
  <c r="AK391" i="8"/>
  <c r="AL391" i="8"/>
  <c r="A392" i="8"/>
  <c r="AD392" i="8"/>
  <c r="AE392" i="8"/>
  <c r="AF392" i="8"/>
  <c r="AG392" i="8"/>
  <c r="AH392" i="8"/>
  <c r="AI392" i="8"/>
  <c r="AJ392" i="8"/>
  <c r="AK392" i="8"/>
  <c r="AL392" i="8"/>
  <c r="A393" i="8"/>
  <c r="AD393" i="8"/>
  <c r="AE393" i="8"/>
  <c r="AF393" i="8"/>
  <c r="AG393" i="8"/>
  <c r="AH393" i="8"/>
  <c r="AI393" i="8"/>
  <c r="AJ393" i="8"/>
  <c r="AK393" i="8"/>
  <c r="AL393" i="8"/>
  <c r="A394" i="8"/>
  <c r="AD394" i="8"/>
  <c r="AE394" i="8"/>
  <c r="AF394" i="8"/>
  <c r="AG394" i="8"/>
  <c r="AH394" i="8"/>
  <c r="AI394" i="8"/>
  <c r="AJ394" i="8"/>
  <c r="AK394" i="8"/>
  <c r="AL394" i="8"/>
  <c r="AM394" i="8"/>
  <c r="AN394" i="8"/>
  <c r="AO394" i="8"/>
  <c r="A395" i="8"/>
  <c r="AD395" i="8"/>
  <c r="AE395" i="8"/>
  <c r="AF395" i="8"/>
  <c r="AG395" i="8"/>
  <c r="AH395" i="8"/>
  <c r="AI395" i="8"/>
  <c r="AJ395" i="8"/>
  <c r="AK395" i="8"/>
  <c r="AL395" i="8"/>
  <c r="AM395" i="8"/>
  <c r="AN395" i="8"/>
  <c r="AO395" i="8"/>
  <c r="A396" i="8"/>
  <c r="AD396" i="8"/>
  <c r="AE396" i="8"/>
  <c r="AF396" i="8"/>
  <c r="AG396" i="8"/>
  <c r="AH396" i="8"/>
  <c r="AI396" i="8"/>
  <c r="AJ396" i="8"/>
  <c r="AK396" i="8"/>
  <c r="AL396" i="8"/>
  <c r="AM396" i="8"/>
  <c r="AN396" i="8"/>
  <c r="AO396" i="8"/>
  <c r="A397" i="8"/>
  <c r="AD397" i="8"/>
  <c r="AE397" i="8"/>
  <c r="AF397" i="8"/>
  <c r="AG397" i="8"/>
  <c r="AH397" i="8"/>
  <c r="AI397" i="8"/>
  <c r="AJ397" i="8"/>
  <c r="AK397" i="8"/>
  <c r="AL397" i="8"/>
  <c r="AM397" i="8"/>
  <c r="AN397" i="8"/>
  <c r="AO397" i="8"/>
  <c r="A398" i="8"/>
  <c r="AD398" i="8"/>
  <c r="AE398" i="8"/>
  <c r="AF398" i="8"/>
  <c r="AG398" i="8"/>
  <c r="AH398" i="8"/>
  <c r="AI398" i="8"/>
  <c r="AJ398" i="8"/>
  <c r="AK398" i="8"/>
  <c r="AL398" i="8"/>
  <c r="AM398" i="8"/>
  <c r="AN398" i="8"/>
  <c r="AO398" i="8"/>
  <c r="A399" i="8"/>
  <c r="AD399" i="8"/>
  <c r="AE399" i="8"/>
  <c r="AF399" i="8"/>
  <c r="AG399" i="8"/>
  <c r="AH399" i="8"/>
  <c r="AI399" i="8"/>
  <c r="AJ399" i="8"/>
  <c r="AK399" i="8"/>
  <c r="AL399" i="8"/>
  <c r="AM399" i="8"/>
  <c r="AN399" i="8"/>
  <c r="AO399" i="8"/>
  <c r="A400" i="8"/>
  <c r="AD400" i="8"/>
  <c r="AE400" i="8"/>
  <c r="AF400" i="8"/>
  <c r="AG400" i="8"/>
  <c r="AH400" i="8"/>
  <c r="AI400" i="8"/>
  <c r="AJ400" i="8"/>
  <c r="AK400" i="8"/>
  <c r="AL400" i="8"/>
  <c r="AM400" i="8"/>
  <c r="AN400" i="8"/>
  <c r="AO400" i="8"/>
  <c r="A401" i="8"/>
  <c r="AD401" i="8"/>
  <c r="AE401" i="8"/>
  <c r="AF401" i="8"/>
  <c r="AG401" i="8"/>
  <c r="AH401" i="8"/>
  <c r="AI401" i="8"/>
  <c r="AJ401" i="8"/>
  <c r="AK401" i="8"/>
  <c r="AL401" i="8"/>
  <c r="AM401" i="8"/>
  <c r="AN401" i="8"/>
  <c r="AO401" i="8"/>
  <c r="A402" i="8"/>
  <c r="AD402" i="8"/>
  <c r="AE402" i="8"/>
  <c r="AF402" i="8"/>
  <c r="AG402" i="8"/>
  <c r="AH402" i="8"/>
  <c r="AI402" i="8"/>
  <c r="AJ402" i="8"/>
  <c r="AK402" i="8"/>
  <c r="AL402" i="8"/>
  <c r="AM402" i="8"/>
  <c r="AN402" i="8"/>
  <c r="AO402" i="8"/>
  <c r="A403" i="8"/>
  <c r="AD403" i="8"/>
  <c r="AE403" i="8"/>
  <c r="AF403" i="8"/>
  <c r="AG403" i="8"/>
  <c r="AH403" i="8"/>
  <c r="AI403" i="8"/>
  <c r="AJ403" i="8"/>
  <c r="AK403" i="8"/>
  <c r="AL403" i="8"/>
  <c r="AM403" i="8"/>
  <c r="AN403" i="8"/>
  <c r="AO403" i="8"/>
  <c r="A404" i="8"/>
  <c r="AD404" i="8"/>
  <c r="AE404" i="8"/>
  <c r="AF404" i="8"/>
  <c r="AG404" i="8"/>
  <c r="AH404" i="8"/>
  <c r="AI404" i="8"/>
  <c r="AJ404" i="8"/>
  <c r="AK404" i="8"/>
  <c r="AL404" i="8"/>
  <c r="A405" i="8"/>
  <c r="AD405" i="8"/>
  <c r="AE405" i="8"/>
  <c r="AF405" i="8"/>
  <c r="AG405" i="8"/>
  <c r="AH405" i="8"/>
  <c r="AI405" i="8"/>
  <c r="AJ405" i="8"/>
  <c r="AK405" i="8"/>
  <c r="AL405" i="8"/>
  <c r="AM405" i="8"/>
  <c r="AN405" i="8"/>
  <c r="A406" i="8"/>
  <c r="AD406" i="8"/>
  <c r="AE406" i="8"/>
  <c r="AF406" i="8"/>
  <c r="AG406" i="8"/>
  <c r="AH406" i="8"/>
  <c r="AI406" i="8"/>
  <c r="AJ406" i="8"/>
  <c r="AK406" i="8"/>
  <c r="AL406" i="8"/>
  <c r="A2" i="8"/>
  <c r="AL2" i="8"/>
  <c r="AK2" i="8"/>
  <c r="AJ2" i="8"/>
  <c r="AI2" i="8"/>
  <c r="AH2" i="8"/>
  <c r="AG2" i="8"/>
  <c r="AF2" i="8"/>
  <c r="AE2" i="8"/>
  <c r="AD2" i="8"/>
  <c r="AA39" i="2"/>
  <c r="R39" i="8"/>
  <c r="R40" i="8"/>
  <c r="F200" i="5"/>
  <c r="F20" i="5"/>
  <c r="F52" i="5"/>
  <c r="F30" i="5"/>
  <c r="S40" i="8"/>
  <c r="I200" i="5"/>
  <c r="I243" i="5"/>
  <c r="I39" i="5"/>
  <c r="I257" i="5"/>
  <c r="I20" i="5"/>
  <c r="I52" i="5"/>
  <c r="I30" i="5"/>
  <c r="I51" i="5"/>
  <c r="T40" i="8"/>
  <c r="L39" i="5"/>
  <c r="L30" i="5"/>
  <c r="U40" i="8"/>
  <c r="O39" i="5"/>
  <c r="O52" i="5"/>
  <c r="O30" i="5"/>
  <c r="O51" i="5"/>
  <c r="V40" i="8"/>
  <c r="R243" i="5"/>
  <c r="R257" i="5"/>
  <c r="W40" i="8"/>
  <c r="X40" i="8"/>
  <c r="Y40" i="8"/>
  <c r="Z40" i="8"/>
  <c r="AA40" i="8"/>
  <c r="AB40" i="8"/>
  <c r="AC40" i="8"/>
  <c r="R41" i="8"/>
  <c r="F29" i="5"/>
  <c r="F382" i="5"/>
  <c r="F40" i="5"/>
  <c r="F136" i="5"/>
  <c r="F49" i="5"/>
  <c r="F32" i="5"/>
  <c r="S41" i="8"/>
  <c r="I29" i="5"/>
  <c r="I382" i="5"/>
  <c r="I40" i="5"/>
  <c r="I136" i="5"/>
  <c r="I49" i="5"/>
  <c r="I32" i="5"/>
  <c r="T41" i="8"/>
  <c r="L29" i="5"/>
  <c r="L382" i="5"/>
  <c r="L40" i="5"/>
  <c r="L49" i="5"/>
  <c r="L79" i="5"/>
  <c r="U41" i="8"/>
  <c r="O29" i="5"/>
  <c r="O382" i="5"/>
  <c r="O40" i="5"/>
  <c r="O49" i="5"/>
  <c r="O79" i="5"/>
  <c r="V41" i="8"/>
  <c r="W41" i="8"/>
  <c r="X41" i="8"/>
  <c r="Y41" i="8"/>
  <c r="Z41" i="8"/>
  <c r="AA41" i="8"/>
  <c r="AB41" i="8"/>
  <c r="AC41" i="8"/>
  <c r="R2" i="8"/>
  <c r="F41" i="5"/>
  <c r="S2" i="8"/>
  <c r="I286" i="5"/>
  <c r="I41" i="5"/>
  <c r="I120" i="5"/>
  <c r="I366" i="5"/>
  <c r="I34" i="5"/>
  <c r="T2" i="8"/>
  <c r="L286" i="5"/>
  <c r="L41" i="5"/>
  <c r="L120" i="5"/>
  <c r="U2" i="8"/>
  <c r="O286" i="5"/>
  <c r="O41" i="5"/>
  <c r="O120" i="5"/>
  <c r="V2" i="8"/>
  <c r="W2" i="8"/>
  <c r="X2" i="8"/>
  <c r="Y2" i="8"/>
  <c r="Z2" i="8"/>
  <c r="AA2" i="8"/>
  <c r="AB2" i="8"/>
  <c r="AC2" i="8"/>
  <c r="R42" i="8"/>
  <c r="F278" i="5"/>
  <c r="F42" i="5"/>
  <c r="F138" i="5"/>
  <c r="F67" i="5"/>
  <c r="F384" i="5"/>
  <c r="F31" i="5"/>
  <c r="S42" i="8"/>
  <c r="I278" i="5"/>
  <c r="I42" i="5"/>
  <c r="I138" i="5"/>
  <c r="I67" i="5"/>
  <c r="I384" i="5"/>
  <c r="I31" i="5"/>
  <c r="T42" i="8"/>
  <c r="L42" i="5"/>
  <c r="L67" i="5"/>
  <c r="L118" i="5"/>
  <c r="L384" i="5"/>
  <c r="L31" i="5"/>
  <c r="L102" i="5"/>
  <c r="U42" i="8"/>
  <c r="O42" i="5"/>
  <c r="O67" i="5"/>
  <c r="O118" i="5"/>
  <c r="O384" i="5"/>
  <c r="O31" i="5"/>
  <c r="O102" i="5"/>
  <c r="V42" i="8"/>
  <c r="W42" i="8"/>
  <c r="X42" i="8"/>
  <c r="Y42" i="8"/>
  <c r="Z42" i="8"/>
  <c r="AA42" i="8"/>
  <c r="AB42" i="8"/>
  <c r="AC42" i="8"/>
  <c r="R43" i="8"/>
  <c r="F43" i="5"/>
  <c r="F267" i="5"/>
  <c r="S43" i="8"/>
  <c r="I261" i="5"/>
  <c r="I43" i="5"/>
  <c r="I267" i="5"/>
  <c r="I35" i="5"/>
  <c r="T43" i="8"/>
  <c r="L43" i="5"/>
  <c r="L267" i="5"/>
  <c r="U43" i="8"/>
  <c r="O43" i="5"/>
  <c r="O267" i="5"/>
  <c r="V43" i="8"/>
  <c r="R261" i="5"/>
  <c r="W43" i="8"/>
  <c r="X43" i="8"/>
  <c r="Y43" i="8"/>
  <c r="Z43" i="8"/>
  <c r="AA43" i="8"/>
  <c r="AB43" i="8"/>
  <c r="AC43" i="8"/>
  <c r="R44" i="8"/>
  <c r="F386" i="5"/>
  <c r="F36" i="5"/>
  <c r="S44" i="8"/>
  <c r="I300" i="5"/>
  <c r="I44" i="5"/>
  <c r="I386" i="5"/>
  <c r="I368" i="5"/>
  <c r="I36" i="5"/>
  <c r="T44" i="8"/>
  <c r="L44" i="5"/>
  <c r="L386" i="5"/>
  <c r="U44" i="8"/>
  <c r="O44" i="5"/>
  <c r="O386" i="5"/>
  <c r="V44" i="8"/>
  <c r="W44" i="8"/>
  <c r="X44" i="8"/>
  <c r="Y44" i="8"/>
  <c r="Z44" i="8"/>
  <c r="AA44" i="8"/>
  <c r="AB44" i="8"/>
  <c r="AC44" i="8"/>
  <c r="R45" i="8"/>
  <c r="F45" i="5"/>
  <c r="F66" i="5"/>
  <c r="F47" i="5"/>
  <c r="F10" i="5"/>
  <c r="F378" i="5"/>
  <c r="F50" i="5"/>
  <c r="S45" i="8"/>
  <c r="I244" i="5"/>
  <c r="I45" i="5"/>
  <c r="I66" i="5"/>
  <c r="I47" i="5"/>
  <c r="I10" i="5"/>
  <c r="I378" i="5"/>
  <c r="I50" i="5"/>
  <c r="I9" i="5"/>
  <c r="T45" i="8"/>
  <c r="L45" i="5"/>
  <c r="L66" i="5"/>
  <c r="L47" i="5"/>
  <c r="L378" i="5"/>
  <c r="U45" i="8"/>
  <c r="O45" i="5"/>
  <c r="O66" i="5"/>
  <c r="O47" i="5"/>
  <c r="O378" i="5"/>
  <c r="O50" i="5"/>
  <c r="V45" i="8"/>
  <c r="R244" i="5"/>
  <c r="W45" i="8"/>
  <c r="X45" i="8"/>
  <c r="Y45" i="8"/>
  <c r="Z45" i="8"/>
  <c r="AA45" i="8"/>
  <c r="AB45" i="8"/>
  <c r="AC45" i="8"/>
  <c r="R46" i="8"/>
  <c r="F46" i="5"/>
  <c r="F269" i="5"/>
  <c r="F11" i="5"/>
  <c r="F379" i="5"/>
  <c r="S46" i="8"/>
  <c r="I254" i="5"/>
  <c r="I46" i="5"/>
  <c r="I269" i="5"/>
  <c r="I11" i="5"/>
  <c r="I379" i="5"/>
  <c r="T46" i="8"/>
  <c r="L46" i="5"/>
  <c r="L103" i="5"/>
  <c r="L269" i="5"/>
  <c r="L379" i="5"/>
  <c r="U46" i="8"/>
  <c r="O46" i="5"/>
  <c r="O103" i="5"/>
  <c r="O269" i="5"/>
  <c r="O379" i="5"/>
  <c r="V46" i="8"/>
  <c r="R254" i="5"/>
  <c r="W46" i="8"/>
  <c r="X46" i="8"/>
  <c r="Y46" i="8"/>
  <c r="Z46" i="8"/>
  <c r="AA46" i="8"/>
  <c r="AB46" i="8"/>
  <c r="AC46" i="8"/>
  <c r="R47" i="8"/>
  <c r="F281" i="5"/>
  <c r="F270" i="5"/>
  <c r="F380" i="5"/>
  <c r="S47" i="8"/>
  <c r="I256" i="5"/>
  <c r="I281" i="5"/>
  <c r="I270" i="5"/>
  <c r="I380" i="5"/>
  <c r="I259" i="5"/>
  <c r="T47" i="8"/>
  <c r="L281" i="5"/>
  <c r="L129" i="5"/>
  <c r="L270" i="5"/>
  <c r="L380" i="5"/>
  <c r="U47" i="8"/>
  <c r="O281" i="5"/>
  <c r="O129" i="5"/>
  <c r="O270" i="5"/>
  <c r="O380" i="5"/>
  <c r="V47" i="8"/>
  <c r="R256" i="5"/>
  <c r="R259" i="5"/>
  <c r="W47" i="8"/>
  <c r="X47" i="8"/>
  <c r="Y47" i="8"/>
  <c r="Z47" i="8"/>
  <c r="AA47" i="8"/>
  <c r="AB47" i="8"/>
  <c r="AC47" i="8"/>
  <c r="R3" i="8"/>
  <c r="F48" i="5"/>
  <c r="F133" i="5"/>
  <c r="F272" i="5"/>
  <c r="F26" i="5"/>
  <c r="F12" i="5"/>
  <c r="S3" i="8"/>
  <c r="I161" i="5"/>
  <c r="I48" i="5"/>
  <c r="I133" i="5"/>
  <c r="I272" i="5"/>
  <c r="I26" i="5"/>
  <c r="I262" i="5"/>
  <c r="I12" i="5"/>
  <c r="T3" i="8"/>
  <c r="L161" i="5"/>
  <c r="L48" i="5"/>
  <c r="L272" i="5"/>
  <c r="U3" i="8"/>
  <c r="O161" i="5"/>
  <c r="O48" i="5"/>
  <c r="O272" i="5"/>
  <c r="O26" i="5"/>
  <c r="V3" i="8"/>
  <c r="R262" i="5"/>
  <c r="W3" i="8"/>
  <c r="X3" i="8"/>
  <c r="Y3" i="8"/>
  <c r="Z3" i="8"/>
  <c r="AA3" i="8"/>
  <c r="AB3" i="8"/>
  <c r="AC3" i="8"/>
  <c r="R48" i="8"/>
  <c r="F97" i="5"/>
  <c r="F137" i="5"/>
  <c r="F268" i="5"/>
  <c r="F392" i="5"/>
  <c r="F385" i="5"/>
  <c r="F13" i="5"/>
  <c r="S48" i="8"/>
  <c r="I97" i="5"/>
  <c r="I137" i="5"/>
  <c r="I268" i="5"/>
  <c r="I392" i="5"/>
  <c r="I385" i="5"/>
  <c r="I13" i="5"/>
  <c r="T48" i="8"/>
  <c r="L97" i="5"/>
  <c r="L158" i="5"/>
  <c r="L268" i="5"/>
  <c r="L385" i="5"/>
  <c r="U48" i="8"/>
  <c r="O97" i="5"/>
  <c r="O158" i="5"/>
  <c r="O268" i="5"/>
  <c r="O385" i="5"/>
  <c r="V48" i="8"/>
  <c r="W48" i="8"/>
  <c r="X48" i="8"/>
  <c r="Y48" i="8"/>
  <c r="Z48" i="8"/>
  <c r="AA48" i="8"/>
  <c r="AB48" i="8"/>
  <c r="AC48" i="8"/>
  <c r="R49" i="8"/>
  <c r="F188" i="5"/>
  <c r="F271" i="5"/>
  <c r="F387" i="5"/>
  <c r="F53" i="5"/>
  <c r="F23" i="5"/>
  <c r="S49" i="8"/>
  <c r="I188" i="5"/>
  <c r="I271" i="5"/>
  <c r="I387" i="5"/>
  <c r="I53" i="5"/>
  <c r="I23" i="5"/>
  <c r="I14" i="5"/>
  <c r="T49" i="8"/>
  <c r="L271" i="5"/>
  <c r="L387" i="5"/>
  <c r="U49" i="8"/>
  <c r="O271" i="5"/>
  <c r="O387" i="5"/>
  <c r="O53" i="5"/>
  <c r="V49" i="8"/>
  <c r="W49" i="8"/>
  <c r="X49" i="8"/>
  <c r="Y49" i="8"/>
  <c r="Z49" i="8"/>
  <c r="AA49" i="8"/>
  <c r="AB49" i="8"/>
  <c r="AC49" i="8"/>
  <c r="R50" i="8"/>
  <c r="F25" i="5"/>
  <c r="F388" i="5"/>
  <c r="S50" i="8"/>
  <c r="I25" i="5"/>
  <c r="I388" i="5"/>
  <c r="I15" i="5"/>
  <c r="T50" i="8"/>
  <c r="L25" i="5"/>
  <c r="L388" i="5"/>
  <c r="U50" i="8"/>
  <c r="O25" i="5"/>
  <c r="O388" i="5"/>
  <c r="V50" i="8"/>
  <c r="W50" i="8"/>
  <c r="X50" i="8"/>
  <c r="Y50" i="8"/>
  <c r="Z50" i="8"/>
  <c r="AA50" i="8"/>
  <c r="AB50" i="8"/>
  <c r="AC50" i="8"/>
  <c r="R51" i="8"/>
  <c r="F65" i="5"/>
  <c r="F27" i="5"/>
  <c r="F393" i="5"/>
  <c r="F16" i="5"/>
  <c r="S51" i="8"/>
  <c r="I177" i="5"/>
  <c r="I65" i="5"/>
  <c r="I27" i="5"/>
  <c r="I393" i="5"/>
  <c r="I240" i="5"/>
  <c r="I16" i="5"/>
  <c r="T51" i="8"/>
  <c r="L117" i="5"/>
  <c r="L65" i="5"/>
  <c r="U51" i="8"/>
  <c r="O117" i="5"/>
  <c r="O65" i="5"/>
  <c r="O27" i="5"/>
  <c r="V51" i="8"/>
  <c r="R240" i="5"/>
  <c r="W51" i="8"/>
  <c r="X51" i="8"/>
  <c r="Y51" i="8"/>
  <c r="Z51" i="8"/>
  <c r="AA51" i="8"/>
  <c r="AB51" i="8"/>
  <c r="AC51" i="8"/>
  <c r="R52" i="8"/>
  <c r="F38" i="5"/>
  <c r="F383" i="5"/>
  <c r="F17" i="5"/>
  <c r="S52" i="8"/>
  <c r="I122" i="5"/>
  <c r="I38" i="5"/>
  <c r="I383" i="5"/>
  <c r="I17" i="5"/>
  <c r="T52" i="8"/>
  <c r="L122" i="5"/>
  <c r="L38" i="5"/>
  <c r="L383" i="5"/>
  <c r="U52" i="8"/>
  <c r="O122" i="5"/>
  <c r="O38" i="5"/>
  <c r="O383" i="5"/>
  <c r="V52" i="8"/>
  <c r="W52" i="8"/>
  <c r="X52" i="8"/>
  <c r="Y52" i="8"/>
  <c r="Z52" i="8"/>
  <c r="AA52" i="8"/>
  <c r="AB52" i="8"/>
  <c r="AC52" i="8"/>
  <c r="R53" i="8"/>
  <c r="S53" i="8"/>
  <c r="I241" i="5"/>
  <c r="I121" i="5"/>
  <c r="I245" i="5"/>
  <c r="T53" i="8"/>
  <c r="L121" i="5"/>
  <c r="U53" i="8"/>
  <c r="O121" i="5"/>
  <c r="V53" i="8"/>
  <c r="R241" i="5"/>
  <c r="R245" i="5"/>
  <c r="W53" i="8"/>
  <c r="X53" i="8"/>
  <c r="Y53" i="8"/>
  <c r="Z53" i="8"/>
  <c r="AA53" i="8"/>
  <c r="AB53" i="8"/>
  <c r="AC53" i="8"/>
  <c r="R54" i="8"/>
  <c r="F54" i="5"/>
  <c r="F62" i="5"/>
  <c r="F37" i="5"/>
  <c r="S54" i="8"/>
  <c r="I54" i="5"/>
  <c r="I62" i="5"/>
  <c r="I246" i="5"/>
  <c r="I37" i="5"/>
  <c r="T54" i="8"/>
  <c r="L62" i="5"/>
  <c r="U54" i="8"/>
  <c r="O62" i="5"/>
  <c r="V54" i="8"/>
  <c r="R246" i="5"/>
  <c r="W54" i="8"/>
  <c r="X54" i="8"/>
  <c r="Y54" i="8"/>
  <c r="Z54" i="8"/>
  <c r="AA54" i="8"/>
  <c r="AB54" i="8"/>
  <c r="AC54" i="8"/>
  <c r="R55" i="8"/>
  <c r="S55" i="8"/>
  <c r="I247" i="5"/>
  <c r="T55" i="8"/>
  <c r="U55" i="8"/>
  <c r="V55" i="8"/>
  <c r="R247" i="5"/>
  <c r="W55" i="8"/>
  <c r="X55" i="8"/>
  <c r="Y55" i="8"/>
  <c r="Z55" i="8"/>
  <c r="AA55" i="8"/>
  <c r="AB55" i="8"/>
  <c r="AC55" i="8"/>
  <c r="R56" i="8"/>
  <c r="F21" i="5"/>
  <c r="S56" i="8"/>
  <c r="I253" i="5"/>
  <c r="I21" i="5"/>
  <c r="T56" i="8"/>
  <c r="U56" i="8"/>
  <c r="V56" i="8"/>
  <c r="R253" i="5"/>
  <c r="W56" i="8"/>
  <c r="X56" i="8"/>
  <c r="Y56" i="8"/>
  <c r="Z56" i="8"/>
  <c r="AA56" i="8"/>
  <c r="AB56" i="8"/>
  <c r="AC56" i="8"/>
  <c r="R57" i="8"/>
  <c r="F61" i="5"/>
  <c r="F169" i="5"/>
  <c r="S57" i="8"/>
  <c r="I61" i="5"/>
  <c r="I55" i="5"/>
  <c r="I169" i="5"/>
  <c r="I175" i="5"/>
  <c r="I22" i="5"/>
  <c r="T57" i="8"/>
  <c r="L169" i="5"/>
  <c r="U57" i="8"/>
  <c r="O169" i="5"/>
  <c r="V57" i="8"/>
  <c r="W57" i="8"/>
  <c r="X57" i="8"/>
  <c r="Y57" i="8"/>
  <c r="Z57" i="8"/>
  <c r="AA57" i="8"/>
  <c r="AB57" i="8"/>
  <c r="AC57" i="8"/>
  <c r="R58" i="8"/>
  <c r="F381" i="5"/>
  <c r="F171" i="5"/>
  <c r="S58" i="8"/>
  <c r="I381" i="5"/>
  <c r="I56" i="5"/>
  <c r="I171" i="5"/>
  <c r="I176" i="5"/>
  <c r="I255" i="5"/>
  <c r="T58" i="8"/>
  <c r="L381" i="5"/>
  <c r="L171" i="5"/>
  <c r="U58" i="8"/>
  <c r="O381" i="5"/>
  <c r="O171" i="5"/>
  <c r="V58" i="8"/>
  <c r="R255" i="5"/>
  <c r="W58" i="8"/>
  <c r="X58" i="8"/>
  <c r="Y58" i="8"/>
  <c r="Z58" i="8"/>
  <c r="AA58" i="8"/>
  <c r="AB58" i="8"/>
  <c r="AC58" i="8"/>
  <c r="R59" i="8"/>
  <c r="F57" i="5"/>
  <c r="F24" i="5"/>
  <c r="S59" i="8"/>
  <c r="I57" i="5"/>
  <c r="I24" i="5"/>
  <c r="T59" i="8"/>
  <c r="U59" i="8"/>
  <c r="V59" i="8"/>
  <c r="W59" i="8"/>
  <c r="X59" i="8"/>
  <c r="Y59" i="8"/>
  <c r="Z59" i="8"/>
  <c r="AA59" i="8"/>
  <c r="AB59" i="8"/>
  <c r="AC59" i="8"/>
  <c r="R60" i="8"/>
  <c r="F390" i="5"/>
  <c r="S60" i="8"/>
  <c r="I58" i="5"/>
  <c r="I390" i="5"/>
  <c r="T60" i="8"/>
  <c r="L104" i="5"/>
  <c r="L390" i="5"/>
  <c r="U60" i="8"/>
  <c r="O104" i="5"/>
  <c r="O390" i="5"/>
  <c r="V60" i="8"/>
  <c r="W60" i="8"/>
  <c r="X60" i="8"/>
  <c r="Y60" i="8"/>
  <c r="Z60" i="8"/>
  <c r="AA60" i="8"/>
  <c r="AB60" i="8"/>
  <c r="AC60" i="8"/>
  <c r="R4" i="8"/>
  <c r="S4" i="8"/>
  <c r="I59" i="5"/>
  <c r="I124" i="5"/>
  <c r="T4" i="8"/>
  <c r="L124" i="5"/>
  <c r="U4" i="8"/>
  <c r="O124" i="5"/>
  <c r="V4" i="8"/>
  <c r="W4" i="8"/>
  <c r="X4" i="8"/>
  <c r="Y4" i="8"/>
  <c r="Z4" i="8"/>
  <c r="AA4" i="8"/>
  <c r="AB4" i="8"/>
  <c r="AC4" i="8"/>
  <c r="R61" i="8"/>
  <c r="F60" i="5"/>
  <c r="S61" i="8"/>
  <c r="I60" i="5"/>
  <c r="I242" i="5"/>
  <c r="T61" i="8"/>
  <c r="U61" i="8"/>
  <c r="V61" i="8"/>
  <c r="R242" i="5"/>
  <c r="W61" i="8"/>
  <c r="X61" i="8"/>
  <c r="Y61" i="8"/>
  <c r="Z61" i="8"/>
  <c r="AA61" i="8"/>
  <c r="AB61" i="8"/>
  <c r="AC61" i="8"/>
  <c r="R62" i="8"/>
  <c r="F279" i="5"/>
  <c r="S62" i="8"/>
  <c r="I279" i="5"/>
  <c r="I251" i="5"/>
  <c r="T62" i="8"/>
  <c r="U62" i="8"/>
  <c r="V62" i="8"/>
  <c r="R251" i="5"/>
  <c r="W62" i="8"/>
  <c r="X62" i="8"/>
  <c r="Y62" i="8"/>
  <c r="Z62" i="8"/>
  <c r="AA62" i="8"/>
  <c r="AB62" i="8"/>
  <c r="AC62" i="8"/>
  <c r="R5" i="8"/>
  <c r="S5" i="8"/>
  <c r="I252" i="5"/>
  <c r="T5" i="8"/>
  <c r="U5" i="8"/>
  <c r="V5" i="8"/>
  <c r="R252" i="5"/>
  <c r="W5" i="8"/>
  <c r="X5" i="8"/>
  <c r="Y5" i="8"/>
  <c r="Z5" i="8"/>
  <c r="AA5" i="8"/>
  <c r="AB5" i="8"/>
  <c r="AC5" i="8"/>
  <c r="R63" i="8"/>
  <c r="F63" i="5"/>
  <c r="S63" i="8"/>
  <c r="I63" i="5"/>
  <c r="I260" i="5"/>
  <c r="T63" i="8"/>
  <c r="L63" i="5"/>
  <c r="U63" i="8"/>
  <c r="O63" i="5"/>
  <c r="V63" i="8"/>
  <c r="R260" i="5"/>
  <c r="W63" i="8"/>
  <c r="X63" i="8"/>
  <c r="Y63" i="8"/>
  <c r="Z63" i="8"/>
  <c r="AA63" i="8"/>
  <c r="AB63" i="8"/>
  <c r="AC63" i="8"/>
  <c r="R64" i="8"/>
  <c r="F64" i="5"/>
  <c r="F274" i="5"/>
  <c r="S64" i="8"/>
  <c r="I64" i="5"/>
  <c r="I274" i="5"/>
  <c r="I263" i="5"/>
  <c r="T64" i="8"/>
  <c r="L64" i="5"/>
  <c r="L274" i="5"/>
  <c r="U64" i="8"/>
  <c r="O64" i="5"/>
  <c r="O274" i="5"/>
  <c r="V64" i="8"/>
  <c r="R263" i="5"/>
  <c r="W64" i="8"/>
  <c r="X64" i="8"/>
  <c r="Y64" i="8"/>
  <c r="Z64" i="8"/>
  <c r="AA64" i="8"/>
  <c r="AB64" i="8"/>
  <c r="AC64" i="8"/>
  <c r="R65" i="8"/>
  <c r="S65" i="8"/>
  <c r="I264" i="5"/>
  <c r="T65" i="8"/>
  <c r="L109" i="5"/>
  <c r="U65" i="8"/>
  <c r="O109" i="5"/>
  <c r="V65" i="8"/>
  <c r="R264" i="5"/>
  <c r="W65" i="8"/>
  <c r="X65" i="8"/>
  <c r="Y65" i="8"/>
  <c r="Z65" i="8"/>
  <c r="AA65" i="8"/>
  <c r="AB65" i="8"/>
  <c r="AC65" i="8"/>
  <c r="R66" i="8"/>
  <c r="F170" i="5"/>
  <c r="S66" i="8"/>
  <c r="I170" i="5"/>
  <c r="I265" i="5"/>
  <c r="T66" i="8"/>
  <c r="L77" i="5"/>
  <c r="L170" i="5"/>
  <c r="U66" i="8"/>
  <c r="O77" i="5"/>
  <c r="O170" i="5"/>
  <c r="V66" i="8"/>
  <c r="R265" i="5"/>
  <c r="W66" i="8"/>
  <c r="X66" i="8"/>
  <c r="Y66" i="8"/>
  <c r="Z66" i="8"/>
  <c r="AA66" i="8"/>
  <c r="AB66" i="8"/>
  <c r="AC66" i="8"/>
  <c r="R67" i="8"/>
  <c r="S67" i="8"/>
  <c r="I112" i="5"/>
  <c r="T67" i="8"/>
  <c r="L112" i="5"/>
  <c r="U67" i="8"/>
  <c r="O112" i="5"/>
  <c r="V67" i="8"/>
  <c r="W67" i="8"/>
  <c r="X67" i="8"/>
  <c r="Y67" i="8"/>
  <c r="Z67" i="8"/>
  <c r="AA67" i="8"/>
  <c r="AB67" i="8"/>
  <c r="AC67" i="8"/>
  <c r="R68" i="8"/>
  <c r="F68" i="5"/>
  <c r="S68" i="8"/>
  <c r="I68" i="5"/>
  <c r="T68" i="8"/>
  <c r="L68" i="5"/>
  <c r="L132" i="5"/>
  <c r="U68" i="8"/>
  <c r="O68" i="5"/>
  <c r="O132" i="5"/>
  <c r="V68" i="8"/>
  <c r="W68" i="8"/>
  <c r="X68" i="8"/>
  <c r="Y68" i="8"/>
  <c r="Z68" i="8"/>
  <c r="AA68" i="8"/>
  <c r="AB68" i="8"/>
  <c r="AC68" i="8"/>
  <c r="R69" i="8"/>
  <c r="S69" i="8"/>
  <c r="I69" i="5"/>
  <c r="T69" i="8"/>
  <c r="U69" i="8"/>
  <c r="V69" i="8"/>
  <c r="W69" i="8"/>
  <c r="X69" i="8"/>
  <c r="Y69" i="8"/>
  <c r="Z69" i="8"/>
  <c r="AA69" i="8"/>
  <c r="AB69" i="8"/>
  <c r="AC69" i="8"/>
  <c r="R70" i="8"/>
  <c r="S70" i="8"/>
  <c r="I70" i="5"/>
  <c r="T70" i="8"/>
  <c r="L70" i="5"/>
  <c r="U70" i="8"/>
  <c r="O70" i="5"/>
  <c r="V70" i="8"/>
  <c r="W70" i="8"/>
  <c r="X70" i="8"/>
  <c r="Y70" i="8"/>
  <c r="Z70" i="8"/>
  <c r="AA70" i="8"/>
  <c r="AB70" i="8"/>
  <c r="AC70" i="8"/>
  <c r="R71" i="8"/>
  <c r="F329" i="5"/>
  <c r="F71" i="5"/>
  <c r="S71" i="8"/>
  <c r="I329" i="5"/>
  <c r="I71" i="5"/>
  <c r="T71" i="8"/>
  <c r="L71" i="5"/>
  <c r="U71" i="8"/>
  <c r="O71" i="5"/>
  <c r="V71" i="8"/>
  <c r="W71" i="8"/>
  <c r="X71" i="8"/>
  <c r="Y71" i="8"/>
  <c r="Z71" i="8"/>
  <c r="AA71" i="8"/>
  <c r="AB71" i="8"/>
  <c r="AC71" i="8"/>
  <c r="R72" i="8"/>
  <c r="F334" i="5"/>
  <c r="F280" i="5"/>
  <c r="S72" i="8"/>
  <c r="I334" i="5"/>
  <c r="I72" i="5"/>
  <c r="I280" i="5"/>
  <c r="T72" i="8"/>
  <c r="L72" i="5"/>
  <c r="L239" i="5"/>
  <c r="L280" i="5"/>
  <c r="U72" i="8"/>
  <c r="O72" i="5"/>
  <c r="O239" i="5"/>
  <c r="O280" i="5"/>
  <c r="V72" i="8"/>
  <c r="W72" i="8"/>
  <c r="X72" i="8"/>
  <c r="Y72" i="8"/>
  <c r="Z72" i="8"/>
  <c r="AA72" i="8"/>
  <c r="AB72" i="8"/>
  <c r="AC72" i="8"/>
  <c r="R73" i="8"/>
  <c r="F327" i="5"/>
  <c r="F233" i="5"/>
  <c r="S73" i="8"/>
  <c r="I327" i="5"/>
  <c r="I233" i="5"/>
  <c r="T73" i="8"/>
  <c r="U73" i="8"/>
  <c r="V73" i="8"/>
  <c r="W73" i="8"/>
  <c r="X73" i="8"/>
  <c r="Y73" i="8"/>
  <c r="Z73" i="8"/>
  <c r="AA73" i="8"/>
  <c r="AB73" i="8"/>
  <c r="AC73" i="8"/>
  <c r="R74" i="8"/>
  <c r="S74" i="8"/>
  <c r="T74" i="8"/>
  <c r="L73" i="5"/>
  <c r="L87" i="5"/>
  <c r="U74" i="8"/>
  <c r="O73" i="5"/>
  <c r="O87" i="5"/>
  <c r="V74" i="8"/>
  <c r="W74" i="8"/>
  <c r="X74" i="8"/>
  <c r="Y74" i="8"/>
  <c r="Z74" i="8"/>
  <c r="AA74" i="8"/>
  <c r="AB74" i="8"/>
  <c r="AC74" i="8"/>
  <c r="R75" i="8"/>
  <c r="S75" i="8"/>
  <c r="I74" i="5"/>
  <c r="T75" i="8"/>
  <c r="L74" i="5"/>
  <c r="U75" i="8"/>
  <c r="O74" i="5"/>
  <c r="V75" i="8"/>
  <c r="W75" i="8"/>
  <c r="X75" i="8"/>
  <c r="Y75" i="8"/>
  <c r="Z75" i="8"/>
  <c r="AA75" i="8"/>
  <c r="AB75" i="8"/>
  <c r="AC75" i="8"/>
  <c r="R76" i="8"/>
  <c r="S76" i="8"/>
  <c r="I75" i="5"/>
  <c r="T76" i="8"/>
  <c r="L75" i="5"/>
  <c r="U76" i="8"/>
  <c r="O75" i="5"/>
  <c r="V76" i="8"/>
  <c r="W76" i="8"/>
  <c r="X76" i="8"/>
  <c r="Y76" i="8"/>
  <c r="Z76" i="8"/>
  <c r="AA76" i="8"/>
  <c r="AB76" i="8"/>
  <c r="AC76" i="8"/>
  <c r="R77" i="8"/>
  <c r="S77" i="8"/>
  <c r="I76" i="5"/>
  <c r="I249" i="5"/>
  <c r="T77" i="8"/>
  <c r="L76" i="5"/>
  <c r="U77" i="8"/>
  <c r="O76" i="5"/>
  <c r="V77" i="8"/>
  <c r="R249" i="5"/>
  <c r="W77" i="8"/>
  <c r="X77" i="8"/>
  <c r="Y77" i="8"/>
  <c r="Z77" i="8"/>
  <c r="AA77" i="8"/>
  <c r="AB77" i="8"/>
  <c r="AC77" i="8"/>
  <c r="R78" i="8"/>
  <c r="S78" i="8"/>
  <c r="I250" i="5"/>
  <c r="T78" i="8"/>
  <c r="U78" i="8"/>
  <c r="V78" i="8"/>
  <c r="R250" i="5"/>
  <c r="W78" i="8"/>
  <c r="X78" i="8"/>
  <c r="Y78" i="8"/>
  <c r="Z78" i="8"/>
  <c r="AA78" i="8"/>
  <c r="AB78" i="8"/>
  <c r="AC78" i="8"/>
  <c r="R6" i="8"/>
  <c r="S6" i="8"/>
  <c r="I162" i="5"/>
  <c r="T6" i="8"/>
  <c r="L78" i="5"/>
  <c r="L162" i="5"/>
  <c r="U6" i="8"/>
  <c r="O78" i="5"/>
  <c r="O162" i="5"/>
  <c r="V6" i="8"/>
  <c r="W6" i="8"/>
  <c r="X6" i="8"/>
  <c r="Y6" i="8"/>
  <c r="Z6" i="8"/>
  <c r="AA6" i="8"/>
  <c r="AB6" i="8"/>
  <c r="AC6" i="8"/>
  <c r="R7" i="8"/>
  <c r="F92" i="5"/>
  <c r="S7" i="8"/>
  <c r="I92" i="5"/>
  <c r="T7" i="8"/>
  <c r="U7" i="8"/>
  <c r="V7" i="8"/>
  <c r="W7" i="8"/>
  <c r="X7" i="8"/>
  <c r="Y7" i="8"/>
  <c r="Z7" i="8"/>
  <c r="AA7" i="8"/>
  <c r="AB7" i="8"/>
  <c r="AC7" i="8"/>
  <c r="R79" i="8"/>
  <c r="F80" i="5"/>
  <c r="S79" i="8"/>
  <c r="I80" i="5"/>
  <c r="I111" i="5"/>
  <c r="T79" i="8"/>
  <c r="L80" i="5"/>
  <c r="L111" i="5"/>
  <c r="U79" i="8"/>
  <c r="O80" i="5"/>
  <c r="O111" i="5"/>
  <c r="V79" i="8"/>
  <c r="W79" i="8"/>
  <c r="X79" i="8"/>
  <c r="Y79" i="8"/>
  <c r="Z79" i="8"/>
  <c r="AA79" i="8"/>
  <c r="AB79" i="8"/>
  <c r="AC79" i="8"/>
  <c r="R80" i="8"/>
  <c r="F81" i="5"/>
  <c r="F168" i="5"/>
  <c r="S80" i="8"/>
  <c r="I81" i="5"/>
  <c r="I168" i="5"/>
  <c r="T80" i="8"/>
  <c r="L81" i="5"/>
  <c r="L168" i="5"/>
  <c r="U80" i="8"/>
  <c r="O81" i="5"/>
  <c r="O168" i="5"/>
  <c r="V80" i="8"/>
  <c r="W80" i="8"/>
  <c r="X80" i="8"/>
  <c r="Y80" i="8"/>
  <c r="Z80" i="8"/>
  <c r="AA80" i="8"/>
  <c r="AB80" i="8"/>
  <c r="AC80" i="8"/>
  <c r="R81" i="8"/>
  <c r="S81" i="8"/>
  <c r="T81" i="8"/>
  <c r="L213" i="5"/>
  <c r="U81" i="8"/>
  <c r="O213" i="5"/>
  <c r="V81" i="8"/>
  <c r="W81" i="8"/>
  <c r="X81" i="8"/>
  <c r="Y81" i="8"/>
  <c r="Z81" i="8"/>
  <c r="AA81" i="8"/>
  <c r="AB81" i="8"/>
  <c r="AC81" i="8"/>
  <c r="R82" i="8"/>
  <c r="F282" i="5"/>
  <c r="S82" i="8"/>
  <c r="I282" i="5"/>
  <c r="T82" i="8"/>
  <c r="L282" i="5"/>
  <c r="U82" i="8"/>
  <c r="O282" i="5"/>
  <c r="V82" i="8"/>
  <c r="W82" i="8"/>
  <c r="X82" i="8"/>
  <c r="Y82" i="8"/>
  <c r="Z82" i="8"/>
  <c r="AA82" i="8"/>
  <c r="AB82" i="8"/>
  <c r="AC82" i="8"/>
  <c r="R83" i="8"/>
  <c r="F83" i="5"/>
  <c r="F276" i="5"/>
  <c r="S83" i="8"/>
  <c r="I83" i="5"/>
  <c r="I276" i="5"/>
  <c r="T83" i="8"/>
  <c r="L83" i="5"/>
  <c r="L276" i="5"/>
  <c r="U83" i="8"/>
  <c r="O83" i="5"/>
  <c r="O276" i="5"/>
  <c r="V83" i="8"/>
  <c r="W83" i="8"/>
  <c r="X83" i="8"/>
  <c r="Y83" i="8"/>
  <c r="Z83" i="8"/>
  <c r="AA83" i="8"/>
  <c r="AB83" i="8"/>
  <c r="AC83" i="8"/>
  <c r="R84" i="8"/>
  <c r="F84" i="5"/>
  <c r="F98" i="5"/>
  <c r="S84" i="8"/>
  <c r="I84" i="5"/>
  <c r="I98" i="5"/>
  <c r="T84" i="8"/>
  <c r="L84" i="5"/>
  <c r="L98" i="5"/>
  <c r="U84" i="8"/>
  <c r="O84" i="5"/>
  <c r="O98" i="5"/>
  <c r="V84" i="8"/>
  <c r="W84" i="8"/>
  <c r="X84" i="8"/>
  <c r="Y84" i="8"/>
  <c r="Z84" i="8"/>
  <c r="AA84" i="8"/>
  <c r="AB84" i="8"/>
  <c r="AC84" i="8"/>
  <c r="R85" i="8"/>
  <c r="S85" i="8"/>
  <c r="I85" i="5"/>
  <c r="T85" i="8"/>
  <c r="L85" i="5"/>
  <c r="U85" i="8"/>
  <c r="O85" i="5"/>
  <c r="V85" i="8"/>
  <c r="W85" i="8"/>
  <c r="X85" i="8"/>
  <c r="Y85" i="8"/>
  <c r="Z85" i="8"/>
  <c r="AA85" i="8"/>
  <c r="AB85" i="8"/>
  <c r="AC85" i="8"/>
  <c r="R86" i="8"/>
  <c r="F283" i="5"/>
  <c r="S86" i="8"/>
  <c r="I283" i="5"/>
  <c r="T86" i="8"/>
  <c r="L283" i="5"/>
  <c r="L106" i="5"/>
  <c r="U86" i="8"/>
  <c r="O283" i="5"/>
  <c r="O106" i="5"/>
  <c r="V86" i="8"/>
  <c r="W86" i="8"/>
  <c r="X86" i="8"/>
  <c r="Y86" i="8"/>
  <c r="Z86" i="8"/>
  <c r="AA86" i="8"/>
  <c r="AB86" i="8"/>
  <c r="AC86" i="8"/>
  <c r="R87" i="8"/>
  <c r="F284" i="5"/>
  <c r="S87" i="8"/>
  <c r="I284" i="5"/>
  <c r="T87" i="8"/>
  <c r="L284" i="5"/>
  <c r="L107" i="5"/>
  <c r="U87" i="8"/>
  <c r="O284" i="5"/>
  <c r="O107" i="5"/>
  <c r="V87" i="8"/>
  <c r="W87" i="8"/>
  <c r="X87" i="8"/>
  <c r="Y87" i="8"/>
  <c r="Z87" i="8"/>
  <c r="AA87" i="8"/>
  <c r="AB87" i="8"/>
  <c r="AC87" i="8"/>
  <c r="R88" i="8"/>
  <c r="F86" i="5"/>
  <c r="S88" i="8"/>
  <c r="I86" i="5"/>
  <c r="T88" i="8"/>
  <c r="L86" i="5"/>
  <c r="L108" i="5"/>
  <c r="U88" i="8"/>
  <c r="O86" i="5"/>
  <c r="O108" i="5"/>
  <c r="V88" i="8"/>
  <c r="W88" i="8"/>
  <c r="X88" i="8"/>
  <c r="Y88" i="8"/>
  <c r="Z88" i="8"/>
  <c r="AA88" i="8"/>
  <c r="AB88" i="8"/>
  <c r="AC88" i="8"/>
  <c r="R89" i="8"/>
  <c r="F96" i="5"/>
  <c r="S89" i="8"/>
  <c r="I96" i="5"/>
  <c r="T89" i="8"/>
  <c r="L159" i="5"/>
  <c r="L96" i="5"/>
  <c r="U89" i="8"/>
  <c r="O159" i="5"/>
  <c r="O96" i="5"/>
  <c r="V89" i="8"/>
  <c r="W89" i="8"/>
  <c r="X89" i="8"/>
  <c r="Y89" i="8"/>
  <c r="Z89" i="8"/>
  <c r="AA89" i="8"/>
  <c r="AB89" i="8"/>
  <c r="AC89" i="8"/>
  <c r="R90" i="8"/>
  <c r="F277" i="5"/>
  <c r="S90" i="8"/>
  <c r="I277" i="5"/>
  <c r="I248" i="5"/>
  <c r="T90" i="8"/>
  <c r="L160" i="5"/>
  <c r="U90" i="8"/>
  <c r="O160" i="5"/>
  <c r="V90" i="8"/>
  <c r="R248" i="5"/>
  <c r="W90" i="8"/>
  <c r="X90" i="8"/>
  <c r="Y90" i="8"/>
  <c r="Z90" i="8"/>
  <c r="AA90" i="8"/>
  <c r="AB90" i="8"/>
  <c r="AC90" i="8"/>
  <c r="R91" i="8"/>
  <c r="F190" i="5"/>
  <c r="S91" i="8"/>
  <c r="I190" i="5"/>
  <c r="I115" i="5"/>
  <c r="T91" i="8"/>
  <c r="L190" i="5"/>
  <c r="L115" i="5"/>
  <c r="U91" i="8"/>
  <c r="O190" i="5"/>
  <c r="O115" i="5"/>
  <c r="V91" i="8"/>
  <c r="W91" i="8"/>
  <c r="X91" i="8"/>
  <c r="Y91" i="8"/>
  <c r="Z91" i="8"/>
  <c r="AA91" i="8"/>
  <c r="AB91" i="8"/>
  <c r="AC91" i="8"/>
  <c r="R92" i="8"/>
  <c r="S92" i="8"/>
  <c r="T92" i="8"/>
  <c r="L88" i="5"/>
  <c r="U92" i="8"/>
  <c r="O88" i="5"/>
  <c r="V92" i="8"/>
  <c r="W92" i="8"/>
  <c r="X92" i="8"/>
  <c r="Y92" i="8"/>
  <c r="Z92" i="8"/>
  <c r="AA92" i="8"/>
  <c r="AB92" i="8"/>
  <c r="AC92" i="8"/>
  <c r="R93" i="8"/>
  <c r="F266" i="5"/>
  <c r="S93" i="8"/>
  <c r="I266" i="5"/>
  <c r="T93" i="8"/>
  <c r="L89" i="5"/>
  <c r="L266" i="5"/>
  <c r="U93" i="8"/>
  <c r="O89" i="5"/>
  <c r="O266" i="5"/>
  <c r="V93" i="8"/>
  <c r="W93" i="8"/>
  <c r="X93" i="8"/>
  <c r="Y93" i="8"/>
  <c r="Z93" i="8"/>
  <c r="AA93" i="8"/>
  <c r="AB93" i="8"/>
  <c r="AC93" i="8"/>
  <c r="R94" i="8"/>
  <c r="S94" i="8"/>
  <c r="T94" i="8"/>
  <c r="U94" i="8"/>
  <c r="V94" i="8"/>
  <c r="W94" i="8"/>
  <c r="X94" i="8"/>
  <c r="Y94" i="8"/>
  <c r="Z94" i="8"/>
  <c r="AA94" i="8"/>
  <c r="AB94" i="8"/>
  <c r="AC94" i="8"/>
  <c r="R95" i="8"/>
  <c r="S95" i="8"/>
  <c r="T95" i="8"/>
  <c r="U95" i="8"/>
  <c r="V95" i="8"/>
  <c r="W95" i="8"/>
  <c r="X95" i="8"/>
  <c r="Y95" i="8"/>
  <c r="Z95" i="8"/>
  <c r="AA95" i="8"/>
  <c r="AB95" i="8"/>
  <c r="AC95" i="8"/>
  <c r="R96" i="8"/>
  <c r="F192" i="5"/>
  <c r="S96" i="8"/>
  <c r="I192" i="5"/>
  <c r="T96" i="8"/>
  <c r="L192" i="5"/>
  <c r="U96" i="8"/>
  <c r="O192" i="5"/>
  <c r="V96" i="8"/>
  <c r="W96" i="8"/>
  <c r="X96" i="8"/>
  <c r="Y96" i="8"/>
  <c r="Z96" i="8"/>
  <c r="AA96" i="8"/>
  <c r="AB96" i="8"/>
  <c r="AC96" i="8"/>
  <c r="R97" i="8"/>
  <c r="S97" i="8"/>
  <c r="T97" i="8"/>
  <c r="U97" i="8"/>
  <c r="V97" i="8"/>
  <c r="W97" i="8"/>
  <c r="X97" i="8"/>
  <c r="Y97" i="8"/>
  <c r="Z97" i="8"/>
  <c r="AA97" i="8"/>
  <c r="AB97" i="8"/>
  <c r="AC97" i="8"/>
  <c r="R98" i="8"/>
  <c r="F273" i="5"/>
  <c r="S98" i="8"/>
  <c r="I273" i="5"/>
  <c r="T98" i="8"/>
  <c r="L273" i="5"/>
  <c r="U98" i="8"/>
  <c r="O273" i="5"/>
  <c r="V98" i="8"/>
  <c r="W98" i="8"/>
  <c r="X98" i="8"/>
  <c r="Y98" i="8"/>
  <c r="Z98" i="8"/>
  <c r="AA98" i="8"/>
  <c r="AB98" i="8"/>
  <c r="AC98" i="8"/>
  <c r="R99" i="8"/>
  <c r="F93" i="5"/>
  <c r="S99" i="8"/>
  <c r="I93" i="5"/>
  <c r="T99" i="8"/>
  <c r="L93" i="5"/>
  <c r="U99" i="8"/>
  <c r="O93" i="5"/>
  <c r="V99" i="8"/>
  <c r="W99" i="8"/>
  <c r="X99" i="8"/>
  <c r="Y99" i="8"/>
  <c r="Z99" i="8"/>
  <c r="AA99" i="8"/>
  <c r="AB99" i="8"/>
  <c r="AC99" i="8"/>
  <c r="R100" i="8"/>
  <c r="S100" i="8"/>
  <c r="I94" i="5"/>
  <c r="T100" i="8"/>
  <c r="L94" i="5"/>
  <c r="U100" i="8"/>
  <c r="O94" i="5"/>
  <c r="V100" i="8"/>
  <c r="W100" i="8"/>
  <c r="X100" i="8"/>
  <c r="Y100" i="8"/>
  <c r="Z100" i="8"/>
  <c r="AA100" i="8"/>
  <c r="AB100" i="8"/>
  <c r="AC100" i="8"/>
  <c r="R101" i="8"/>
  <c r="F95" i="5"/>
  <c r="F285" i="5"/>
  <c r="S101" i="8"/>
  <c r="I95" i="5"/>
  <c r="I285" i="5"/>
  <c r="T101" i="8"/>
  <c r="L95" i="5"/>
  <c r="L285" i="5"/>
  <c r="U101" i="8"/>
  <c r="O95" i="5"/>
  <c r="O285" i="5"/>
  <c r="V101" i="8"/>
  <c r="W101" i="8"/>
  <c r="X101" i="8"/>
  <c r="Y101" i="8"/>
  <c r="Z101" i="8"/>
  <c r="AA101" i="8"/>
  <c r="AB101" i="8"/>
  <c r="AC101" i="8"/>
  <c r="R102" i="8"/>
  <c r="S102" i="8"/>
  <c r="T102" i="8"/>
  <c r="U102" i="8"/>
  <c r="V102" i="8"/>
  <c r="W102" i="8"/>
  <c r="X102" i="8"/>
  <c r="Y102" i="8"/>
  <c r="Z102" i="8"/>
  <c r="AA102" i="8"/>
  <c r="AB102" i="8"/>
  <c r="AC102" i="8"/>
  <c r="R103" i="8"/>
  <c r="S103" i="8"/>
  <c r="T103" i="8"/>
  <c r="U103" i="8"/>
  <c r="V103" i="8"/>
  <c r="W103" i="8"/>
  <c r="X103" i="8"/>
  <c r="Y103" i="8"/>
  <c r="Z103" i="8"/>
  <c r="AA103" i="8"/>
  <c r="AB103" i="8"/>
  <c r="AC103" i="8"/>
  <c r="R104" i="8"/>
  <c r="S104" i="8"/>
  <c r="T104" i="8"/>
  <c r="U104" i="8"/>
  <c r="V104" i="8"/>
  <c r="W104" i="8"/>
  <c r="X104" i="8"/>
  <c r="Y104" i="8"/>
  <c r="Z104" i="8"/>
  <c r="AA104" i="8"/>
  <c r="AB104" i="8"/>
  <c r="AC104" i="8"/>
  <c r="R105" i="8"/>
  <c r="S105" i="8"/>
  <c r="T105" i="8"/>
  <c r="U105" i="8"/>
  <c r="V105" i="8"/>
  <c r="W105" i="8"/>
  <c r="X105" i="8"/>
  <c r="Y105" i="8"/>
  <c r="Z105" i="8"/>
  <c r="AA105" i="8"/>
  <c r="AB105" i="8"/>
  <c r="AC105" i="8"/>
  <c r="R106" i="8"/>
  <c r="S106" i="8"/>
  <c r="T106" i="8"/>
  <c r="U106" i="8"/>
  <c r="V106" i="8"/>
  <c r="W106" i="8"/>
  <c r="X106" i="8"/>
  <c r="Y106" i="8"/>
  <c r="Z106" i="8"/>
  <c r="AA106" i="8"/>
  <c r="AB106" i="8"/>
  <c r="AC106" i="8"/>
  <c r="R107" i="8"/>
  <c r="S107" i="8"/>
  <c r="I126" i="5"/>
  <c r="T107" i="8"/>
  <c r="L126" i="5"/>
  <c r="U107" i="8"/>
  <c r="O126" i="5"/>
  <c r="V107" i="8"/>
  <c r="W107" i="8"/>
  <c r="X107" i="8"/>
  <c r="Y107" i="8"/>
  <c r="Z107" i="8"/>
  <c r="AA107" i="8"/>
  <c r="AB107" i="8"/>
  <c r="AC107" i="8"/>
  <c r="R108" i="8"/>
  <c r="F99" i="5"/>
  <c r="F134" i="5"/>
  <c r="S108" i="8"/>
  <c r="I99" i="5"/>
  <c r="I134" i="5"/>
  <c r="T108" i="8"/>
  <c r="L99" i="5"/>
  <c r="U108" i="8"/>
  <c r="O99" i="5"/>
  <c r="V108" i="8"/>
  <c r="W108" i="8"/>
  <c r="X108" i="8"/>
  <c r="Y108" i="8"/>
  <c r="Z108" i="8"/>
  <c r="AA108" i="8"/>
  <c r="AB108" i="8"/>
  <c r="AC108" i="8"/>
  <c r="R109" i="8"/>
  <c r="S109" i="8"/>
  <c r="I324" i="5"/>
  <c r="T109" i="8"/>
  <c r="U109" i="8"/>
  <c r="V109" i="8"/>
  <c r="W109" i="8"/>
  <c r="X109" i="8"/>
  <c r="Y109" i="8"/>
  <c r="Z109" i="8"/>
  <c r="AA109" i="8"/>
  <c r="AB109" i="8"/>
  <c r="AC109" i="8"/>
  <c r="R110" i="8"/>
  <c r="F101" i="5"/>
  <c r="S110" i="8"/>
  <c r="I322" i="5"/>
  <c r="T110" i="8"/>
  <c r="U110" i="8"/>
  <c r="V110" i="8"/>
  <c r="W110" i="8"/>
  <c r="X110" i="8"/>
  <c r="Y110" i="8"/>
  <c r="Z110" i="8"/>
  <c r="AA110" i="8"/>
  <c r="AB110" i="8"/>
  <c r="AC110" i="8"/>
  <c r="R111" i="8"/>
  <c r="S111" i="8"/>
  <c r="I323" i="5"/>
  <c r="T111" i="8"/>
  <c r="U111" i="8"/>
  <c r="V111" i="8"/>
  <c r="W111" i="8"/>
  <c r="X111" i="8"/>
  <c r="Y111" i="8"/>
  <c r="Z111" i="8"/>
  <c r="AA111" i="8"/>
  <c r="AB111" i="8"/>
  <c r="AC111" i="8"/>
  <c r="R112" i="8"/>
  <c r="S112" i="8"/>
  <c r="T112" i="8"/>
  <c r="U112" i="8"/>
  <c r="V112" i="8"/>
  <c r="W112" i="8"/>
  <c r="X112" i="8"/>
  <c r="Y112" i="8"/>
  <c r="Z112" i="8"/>
  <c r="AA112" i="8"/>
  <c r="AB112" i="8"/>
  <c r="AC112" i="8"/>
  <c r="R113" i="8"/>
  <c r="S113" i="8"/>
  <c r="T113" i="8"/>
  <c r="L119" i="5"/>
  <c r="U113" i="8"/>
  <c r="O119" i="5"/>
  <c r="V113" i="8"/>
  <c r="W113" i="8"/>
  <c r="X113" i="8"/>
  <c r="Y113" i="8"/>
  <c r="Z113" i="8"/>
  <c r="AA113" i="8"/>
  <c r="AB113" i="8"/>
  <c r="AC113" i="8"/>
  <c r="R114" i="8"/>
  <c r="S114" i="8"/>
  <c r="T114" i="8"/>
  <c r="L105" i="5"/>
  <c r="U114" i="8"/>
  <c r="O105" i="5"/>
  <c r="V114" i="8"/>
  <c r="W114" i="8"/>
  <c r="X114" i="8"/>
  <c r="Y114" i="8"/>
  <c r="Z114" i="8"/>
  <c r="AA114" i="8"/>
  <c r="AB114" i="8"/>
  <c r="AC114" i="8"/>
  <c r="R115" i="8"/>
  <c r="S115" i="8"/>
  <c r="T115" i="8"/>
  <c r="U115" i="8"/>
  <c r="V115" i="8"/>
  <c r="W115" i="8"/>
  <c r="X115" i="8"/>
  <c r="Y115" i="8"/>
  <c r="Z115" i="8"/>
  <c r="AA115" i="8"/>
  <c r="AB115" i="8"/>
  <c r="AC115" i="8"/>
  <c r="R116" i="8"/>
  <c r="S116" i="8"/>
  <c r="T116" i="8"/>
  <c r="U116" i="8"/>
  <c r="V116" i="8"/>
  <c r="W116" i="8"/>
  <c r="X116" i="8"/>
  <c r="Y116" i="8"/>
  <c r="Z116" i="8"/>
  <c r="AA116" i="8"/>
  <c r="AB116" i="8"/>
  <c r="AC116" i="8"/>
  <c r="R117" i="8"/>
  <c r="S117" i="8"/>
  <c r="T117" i="8"/>
  <c r="U117" i="8"/>
  <c r="V117" i="8"/>
  <c r="W117" i="8"/>
  <c r="X117" i="8"/>
  <c r="Y117" i="8"/>
  <c r="Z117" i="8"/>
  <c r="AA117" i="8"/>
  <c r="AB117" i="8"/>
  <c r="AC117" i="8"/>
  <c r="R118" i="8"/>
  <c r="S118" i="8"/>
  <c r="T118" i="8"/>
  <c r="L209" i="5"/>
  <c r="U118" i="8"/>
  <c r="O209" i="5"/>
  <c r="V118" i="8"/>
  <c r="W118" i="8"/>
  <c r="X118" i="8"/>
  <c r="Y118" i="8"/>
  <c r="Z118" i="8"/>
  <c r="AA118" i="8"/>
  <c r="AB118" i="8"/>
  <c r="AC118" i="8"/>
  <c r="R119" i="8"/>
  <c r="S119" i="8"/>
  <c r="T119" i="8"/>
  <c r="L110" i="5"/>
  <c r="U119" i="8"/>
  <c r="O110" i="5"/>
  <c r="V119" i="8"/>
  <c r="W119" i="8"/>
  <c r="X119" i="8"/>
  <c r="Y119" i="8"/>
  <c r="Z119" i="8"/>
  <c r="AA119" i="8"/>
  <c r="AB119" i="8"/>
  <c r="AC119" i="8"/>
  <c r="R120" i="8"/>
  <c r="F375" i="5"/>
  <c r="S120" i="8"/>
  <c r="I375" i="5"/>
  <c r="I127" i="5"/>
  <c r="T120" i="8"/>
  <c r="L127" i="5"/>
  <c r="U120" i="8"/>
  <c r="O127" i="5"/>
  <c r="V120" i="8"/>
  <c r="W120" i="8"/>
  <c r="X120" i="8"/>
  <c r="Y120" i="8"/>
  <c r="Z120" i="8"/>
  <c r="AA120" i="8"/>
  <c r="AB120" i="8"/>
  <c r="AC120" i="8"/>
  <c r="R121" i="8"/>
  <c r="S121" i="8"/>
  <c r="I125" i="5"/>
  <c r="T121" i="8"/>
  <c r="L130" i="5"/>
  <c r="L125" i="5"/>
  <c r="U121" i="8"/>
  <c r="O130" i="5"/>
  <c r="O125" i="5"/>
  <c r="V121" i="8"/>
  <c r="W121" i="8"/>
  <c r="X121" i="8"/>
  <c r="Y121" i="8"/>
  <c r="Z121" i="8"/>
  <c r="AA121" i="8"/>
  <c r="AB121" i="8"/>
  <c r="AC121" i="8"/>
  <c r="R122" i="8"/>
  <c r="S122" i="8"/>
  <c r="I113" i="5"/>
  <c r="T122" i="8"/>
  <c r="L113" i="5"/>
  <c r="U122" i="8"/>
  <c r="O113" i="5"/>
  <c r="V122" i="8"/>
  <c r="W122" i="8"/>
  <c r="X122" i="8"/>
  <c r="Y122" i="8"/>
  <c r="Z122" i="8"/>
  <c r="AA122" i="8"/>
  <c r="AB122" i="8"/>
  <c r="AC122" i="8"/>
  <c r="R123" i="8"/>
  <c r="S123" i="8"/>
  <c r="I114" i="5"/>
  <c r="T123" i="8"/>
  <c r="L114" i="5"/>
  <c r="U123" i="8"/>
  <c r="O114" i="5"/>
  <c r="V123" i="8"/>
  <c r="W123" i="8"/>
  <c r="X123" i="8"/>
  <c r="Y123" i="8"/>
  <c r="Z123" i="8"/>
  <c r="AA123" i="8"/>
  <c r="AB123" i="8"/>
  <c r="AC123" i="8"/>
  <c r="R124" i="8"/>
  <c r="F135" i="5"/>
  <c r="S124" i="8"/>
  <c r="I135" i="5"/>
  <c r="T124" i="8"/>
  <c r="L211" i="5"/>
  <c r="U124" i="8"/>
  <c r="O211" i="5"/>
  <c r="V124" i="8"/>
  <c r="W124" i="8"/>
  <c r="X124" i="8"/>
  <c r="Y124" i="8"/>
  <c r="Z124" i="8"/>
  <c r="AA124" i="8"/>
  <c r="AB124" i="8"/>
  <c r="AC124" i="8"/>
  <c r="R125" i="8"/>
  <c r="F232" i="5"/>
  <c r="S125" i="8"/>
  <c r="I232" i="5"/>
  <c r="T125" i="8"/>
  <c r="U125" i="8"/>
  <c r="V125" i="8"/>
  <c r="W125" i="8"/>
  <c r="X125" i="8"/>
  <c r="Y125" i="8"/>
  <c r="Z125" i="8"/>
  <c r="AA125" i="8"/>
  <c r="AB125" i="8"/>
  <c r="AC125" i="8"/>
  <c r="R126" i="8"/>
  <c r="S126" i="8"/>
  <c r="T126" i="8"/>
  <c r="U126" i="8"/>
  <c r="V126" i="8"/>
  <c r="W126" i="8"/>
  <c r="X126" i="8"/>
  <c r="Y126" i="8"/>
  <c r="Z126" i="8"/>
  <c r="AA126" i="8"/>
  <c r="AB126" i="8"/>
  <c r="AC126" i="8"/>
  <c r="R127" i="8"/>
  <c r="S127" i="8"/>
  <c r="T127" i="8"/>
  <c r="U127" i="8"/>
  <c r="V127" i="8"/>
  <c r="W127" i="8"/>
  <c r="X127" i="8"/>
  <c r="Y127" i="8"/>
  <c r="Z127" i="8"/>
  <c r="AA127" i="8"/>
  <c r="AB127" i="8"/>
  <c r="AC127" i="8"/>
  <c r="R128" i="8"/>
  <c r="S128" i="8"/>
  <c r="T128" i="8"/>
  <c r="U128" i="8"/>
  <c r="V128" i="8"/>
  <c r="W128" i="8"/>
  <c r="X128" i="8"/>
  <c r="Y128" i="8"/>
  <c r="Z128" i="8"/>
  <c r="AA128" i="8"/>
  <c r="AB128" i="8"/>
  <c r="AC128" i="8"/>
  <c r="R129" i="8"/>
  <c r="F376" i="5"/>
  <c r="S129" i="8"/>
  <c r="I376" i="5"/>
  <c r="T129" i="8"/>
  <c r="L128" i="5"/>
  <c r="U129" i="8"/>
  <c r="O128" i="5"/>
  <c r="V129" i="8"/>
  <c r="W129" i="8"/>
  <c r="X129" i="8"/>
  <c r="Y129" i="8"/>
  <c r="Z129" i="8"/>
  <c r="AA129" i="8"/>
  <c r="AB129" i="8"/>
  <c r="AC129" i="8"/>
  <c r="R130" i="8"/>
  <c r="S130" i="8"/>
  <c r="I370" i="5"/>
  <c r="T130" i="8"/>
  <c r="U130" i="8"/>
  <c r="V130" i="8"/>
  <c r="W130" i="8"/>
  <c r="X130" i="8"/>
  <c r="Y130" i="8"/>
  <c r="Z130" i="8"/>
  <c r="AA130" i="8"/>
  <c r="AB130" i="8"/>
  <c r="AC130" i="8"/>
  <c r="R131" i="8"/>
  <c r="F373" i="5"/>
  <c r="S131" i="8"/>
  <c r="I373" i="5"/>
  <c r="T131" i="8"/>
  <c r="U131" i="8"/>
  <c r="V131" i="8"/>
  <c r="W131" i="8"/>
  <c r="X131" i="8"/>
  <c r="Y131" i="8"/>
  <c r="Z131" i="8"/>
  <c r="AA131" i="8"/>
  <c r="AB131" i="8"/>
  <c r="AC131" i="8"/>
  <c r="R132" i="8"/>
  <c r="S132" i="8"/>
  <c r="T132" i="8"/>
  <c r="L212" i="5"/>
  <c r="U132" i="8"/>
  <c r="O212" i="5"/>
  <c r="V132" i="8"/>
  <c r="W132" i="8"/>
  <c r="X132" i="8"/>
  <c r="Y132" i="8"/>
  <c r="Z132" i="8"/>
  <c r="AA132" i="8"/>
  <c r="AB132" i="8"/>
  <c r="AC132" i="8"/>
  <c r="R133" i="8"/>
  <c r="S133" i="8"/>
  <c r="T133" i="8"/>
  <c r="U133" i="8"/>
  <c r="V133" i="8"/>
  <c r="W133" i="8"/>
  <c r="X133" i="8"/>
  <c r="Y133" i="8"/>
  <c r="Z133" i="8"/>
  <c r="AA133" i="8"/>
  <c r="AB133" i="8"/>
  <c r="AC133" i="8"/>
  <c r="R134" i="8"/>
  <c r="F377" i="5"/>
  <c r="S134" i="8"/>
  <c r="I377" i="5"/>
  <c r="T134" i="8"/>
  <c r="U134" i="8"/>
  <c r="V134" i="8"/>
  <c r="W134" i="8"/>
  <c r="X134" i="8"/>
  <c r="Y134" i="8"/>
  <c r="Z134" i="8"/>
  <c r="AA134" i="8"/>
  <c r="AB134" i="8"/>
  <c r="AC134" i="8"/>
  <c r="R135" i="8"/>
  <c r="S135" i="8"/>
  <c r="T135" i="8"/>
  <c r="U135" i="8"/>
  <c r="V135" i="8"/>
  <c r="W135" i="8"/>
  <c r="X135" i="8"/>
  <c r="Y135" i="8"/>
  <c r="Z135" i="8"/>
  <c r="AA135" i="8"/>
  <c r="AB135" i="8"/>
  <c r="AC135" i="8"/>
  <c r="R136" i="8"/>
  <c r="S136" i="8"/>
  <c r="I374" i="5"/>
  <c r="T136" i="8"/>
  <c r="U136" i="8"/>
  <c r="V136" i="8"/>
  <c r="W136" i="8"/>
  <c r="X136" i="8"/>
  <c r="Y136" i="8"/>
  <c r="Z136" i="8"/>
  <c r="AA136" i="8"/>
  <c r="AB136" i="8"/>
  <c r="AC136" i="8"/>
  <c r="R137" i="8"/>
  <c r="F372" i="5"/>
  <c r="S137" i="8"/>
  <c r="I207" i="5"/>
  <c r="I372" i="5"/>
  <c r="T137" i="8"/>
  <c r="U137" i="8"/>
  <c r="V137" i="8"/>
  <c r="W137" i="8"/>
  <c r="X137" i="8"/>
  <c r="Y137" i="8"/>
  <c r="Z137" i="8"/>
  <c r="AA137" i="8"/>
  <c r="AB137" i="8"/>
  <c r="AC137" i="8"/>
  <c r="R138" i="8"/>
  <c r="S138" i="8"/>
  <c r="T138" i="8"/>
  <c r="L214" i="5"/>
  <c r="U138" i="8"/>
  <c r="O214" i="5"/>
  <c r="V138" i="8"/>
  <c r="W138" i="8"/>
  <c r="X138" i="8"/>
  <c r="Y138" i="8"/>
  <c r="Z138" i="8"/>
  <c r="AA138" i="8"/>
  <c r="AB138" i="8"/>
  <c r="AC138" i="8"/>
  <c r="R139" i="8"/>
  <c r="F238" i="5"/>
  <c r="F371" i="5"/>
  <c r="S139" i="8"/>
  <c r="I326" i="5"/>
  <c r="I238" i="5"/>
  <c r="I371" i="5"/>
  <c r="T139" i="8"/>
  <c r="L238" i="5"/>
  <c r="U139" i="8"/>
  <c r="O238" i="5"/>
  <c r="V139" i="8"/>
  <c r="W139" i="8"/>
  <c r="X139" i="8"/>
  <c r="Y139" i="8"/>
  <c r="Z139" i="8"/>
  <c r="AA139" i="8"/>
  <c r="AB139" i="8"/>
  <c r="AC139" i="8"/>
  <c r="R140" i="8"/>
  <c r="S140" i="8"/>
  <c r="T140" i="8"/>
  <c r="U140" i="8"/>
  <c r="V140" i="8"/>
  <c r="W140" i="8"/>
  <c r="X140" i="8"/>
  <c r="Y140" i="8"/>
  <c r="Z140" i="8"/>
  <c r="AA140" i="8"/>
  <c r="AB140" i="8"/>
  <c r="AC140" i="8"/>
  <c r="R141" i="8"/>
  <c r="S141" i="8"/>
  <c r="T141" i="8"/>
  <c r="U141" i="8"/>
  <c r="V141" i="8"/>
  <c r="W141" i="8"/>
  <c r="X141" i="8"/>
  <c r="Y141" i="8"/>
  <c r="Z141" i="8"/>
  <c r="AA141" i="8"/>
  <c r="AB141" i="8"/>
  <c r="AC141" i="8"/>
  <c r="R8" i="8"/>
  <c r="S8" i="8"/>
  <c r="T8" i="8"/>
  <c r="U8" i="8"/>
  <c r="V8" i="8"/>
  <c r="W8" i="8"/>
  <c r="X8" i="8"/>
  <c r="Y8" i="8"/>
  <c r="Z8" i="8"/>
  <c r="AA8" i="8"/>
  <c r="AB8" i="8"/>
  <c r="AC8" i="8"/>
  <c r="R142" i="8"/>
  <c r="S142" i="8"/>
  <c r="T142" i="8"/>
  <c r="U142" i="8"/>
  <c r="V142" i="8"/>
  <c r="W142" i="8"/>
  <c r="X142" i="8"/>
  <c r="Y142" i="8"/>
  <c r="Z142" i="8"/>
  <c r="AA142" i="8"/>
  <c r="AB142" i="8"/>
  <c r="AC142" i="8"/>
  <c r="R143" i="8"/>
  <c r="S143" i="8"/>
  <c r="I298" i="5"/>
  <c r="T143" i="8"/>
  <c r="U143" i="8"/>
  <c r="V143" i="8"/>
  <c r="W143" i="8"/>
  <c r="X143" i="8"/>
  <c r="Y143" i="8"/>
  <c r="Z143" i="8"/>
  <c r="AA143" i="8"/>
  <c r="AB143" i="8"/>
  <c r="AC143" i="8"/>
  <c r="R144" i="8"/>
  <c r="S144" i="8"/>
  <c r="T144" i="8"/>
  <c r="U144" i="8"/>
  <c r="V144" i="8"/>
  <c r="W144" i="8"/>
  <c r="X144" i="8"/>
  <c r="Y144" i="8"/>
  <c r="Z144" i="8"/>
  <c r="AA144" i="8"/>
  <c r="AB144" i="8"/>
  <c r="AC144" i="8"/>
  <c r="R145" i="8"/>
  <c r="S145" i="8"/>
  <c r="T145" i="8"/>
  <c r="U145" i="8"/>
  <c r="V145" i="8"/>
  <c r="W145" i="8"/>
  <c r="X145" i="8"/>
  <c r="Y145" i="8"/>
  <c r="Z145" i="8"/>
  <c r="AA145" i="8"/>
  <c r="AB145" i="8"/>
  <c r="AC145" i="8"/>
  <c r="R146" i="8"/>
  <c r="S146" i="8"/>
  <c r="T146" i="8"/>
  <c r="U146" i="8"/>
  <c r="V146" i="8"/>
  <c r="W146" i="8"/>
  <c r="X146" i="8"/>
  <c r="Y146" i="8"/>
  <c r="Z146" i="8"/>
  <c r="AA146" i="8"/>
  <c r="AB146" i="8"/>
  <c r="AC146" i="8"/>
  <c r="R147" i="8"/>
  <c r="S147" i="8"/>
  <c r="T147" i="8"/>
  <c r="U147" i="8"/>
  <c r="V147" i="8"/>
  <c r="W147" i="8"/>
  <c r="X147" i="8"/>
  <c r="Y147" i="8"/>
  <c r="Z147" i="8"/>
  <c r="AA147" i="8"/>
  <c r="AB147" i="8"/>
  <c r="AC147" i="8"/>
  <c r="R148" i="8"/>
  <c r="F331" i="5"/>
  <c r="S148" i="8"/>
  <c r="I331" i="5"/>
  <c r="T148" i="8"/>
  <c r="U148" i="8"/>
  <c r="V148" i="8"/>
  <c r="W148" i="8"/>
  <c r="X148" i="8"/>
  <c r="Y148" i="8"/>
  <c r="Z148" i="8"/>
  <c r="AA148" i="8"/>
  <c r="AB148" i="8"/>
  <c r="AC148" i="8"/>
  <c r="R149" i="8"/>
  <c r="S149" i="8"/>
  <c r="T149" i="8"/>
  <c r="U149" i="8"/>
  <c r="V149" i="8"/>
  <c r="W149" i="8"/>
  <c r="X149" i="8"/>
  <c r="Y149" i="8"/>
  <c r="Z149" i="8"/>
  <c r="AA149" i="8"/>
  <c r="AB149" i="8"/>
  <c r="AC149" i="8"/>
  <c r="R150" i="8"/>
  <c r="S150" i="8"/>
  <c r="T150" i="8"/>
  <c r="U150" i="8"/>
  <c r="V150" i="8"/>
  <c r="W150" i="8"/>
  <c r="X150" i="8"/>
  <c r="Y150" i="8"/>
  <c r="Z150" i="8"/>
  <c r="AA150" i="8"/>
  <c r="AB150" i="8"/>
  <c r="AC150" i="8"/>
  <c r="R9" i="8"/>
  <c r="S9" i="8"/>
  <c r="T9" i="8"/>
  <c r="U9" i="8"/>
  <c r="V9" i="8"/>
  <c r="W9" i="8"/>
  <c r="X9" i="8"/>
  <c r="Y9" i="8"/>
  <c r="Z9" i="8"/>
  <c r="AA9" i="8"/>
  <c r="AB9" i="8"/>
  <c r="AC9" i="8"/>
  <c r="R10" i="8"/>
  <c r="S10" i="8"/>
  <c r="T10" i="8"/>
  <c r="L131" i="5"/>
  <c r="U10" i="8"/>
  <c r="O131" i="5"/>
  <c r="V10" i="8"/>
  <c r="W10" i="8"/>
  <c r="X10" i="8"/>
  <c r="Y10" i="8"/>
  <c r="Z10" i="8"/>
  <c r="AA10" i="8"/>
  <c r="AB10" i="8"/>
  <c r="AC10" i="8"/>
  <c r="R11" i="8"/>
  <c r="S11" i="8"/>
  <c r="T11" i="8"/>
  <c r="U11" i="8"/>
  <c r="V11" i="8"/>
  <c r="W11" i="8"/>
  <c r="X11" i="8"/>
  <c r="Y11" i="8"/>
  <c r="Z11" i="8"/>
  <c r="AA11" i="8"/>
  <c r="AB11" i="8"/>
  <c r="AC11" i="8"/>
  <c r="R151" i="8"/>
  <c r="S151" i="8"/>
  <c r="T151" i="8"/>
  <c r="U151" i="8"/>
  <c r="V151" i="8"/>
  <c r="W151" i="8"/>
  <c r="X151" i="8"/>
  <c r="Y151" i="8"/>
  <c r="Z151" i="8"/>
  <c r="AA151" i="8"/>
  <c r="AB151" i="8"/>
  <c r="AC151" i="8"/>
  <c r="R152" i="8"/>
  <c r="F167" i="5"/>
  <c r="S152" i="8"/>
  <c r="I167" i="5"/>
  <c r="T152" i="8"/>
  <c r="L167" i="5"/>
  <c r="U152" i="8"/>
  <c r="O167" i="5"/>
  <c r="V152" i="8"/>
  <c r="W152" i="8"/>
  <c r="X152" i="8"/>
  <c r="Y152" i="8"/>
  <c r="Z152" i="8"/>
  <c r="AA152" i="8"/>
  <c r="AB152" i="8"/>
  <c r="AC152" i="8"/>
  <c r="R153" i="8"/>
  <c r="S153" i="8"/>
  <c r="T153" i="8"/>
  <c r="U153" i="8"/>
  <c r="V153" i="8"/>
  <c r="W153" i="8"/>
  <c r="X153" i="8"/>
  <c r="Y153" i="8"/>
  <c r="Z153" i="8"/>
  <c r="AA153" i="8"/>
  <c r="AB153" i="8"/>
  <c r="AC153" i="8"/>
  <c r="R154" i="8"/>
  <c r="F389" i="5"/>
  <c r="S154" i="8"/>
  <c r="I389" i="5"/>
  <c r="I299" i="5"/>
  <c r="T154" i="8"/>
  <c r="L389" i="5"/>
  <c r="U154" i="8"/>
  <c r="O389" i="5"/>
  <c r="V154" i="8"/>
  <c r="W154" i="8"/>
  <c r="X154" i="8"/>
  <c r="Y154" i="8"/>
  <c r="Z154" i="8"/>
  <c r="AA154" i="8"/>
  <c r="AB154" i="8"/>
  <c r="AC154" i="8"/>
  <c r="R155" i="8"/>
  <c r="S155" i="8"/>
  <c r="I178" i="5"/>
  <c r="T155" i="8"/>
  <c r="U155" i="8"/>
  <c r="V155" i="8"/>
  <c r="W155" i="8"/>
  <c r="X155" i="8"/>
  <c r="Y155" i="8"/>
  <c r="Z155" i="8"/>
  <c r="AA155" i="8"/>
  <c r="AB155" i="8"/>
  <c r="AC155" i="8"/>
  <c r="R156" i="8"/>
  <c r="S156" i="8"/>
  <c r="T156" i="8"/>
  <c r="U156" i="8"/>
  <c r="V156" i="8"/>
  <c r="W156" i="8"/>
  <c r="X156" i="8"/>
  <c r="Y156" i="8"/>
  <c r="Z156" i="8"/>
  <c r="AA156" i="8"/>
  <c r="AB156" i="8"/>
  <c r="AC156" i="8"/>
  <c r="R157" i="8"/>
  <c r="S157" i="8"/>
  <c r="T157" i="8"/>
  <c r="U157" i="8"/>
  <c r="V157" i="8"/>
  <c r="W157" i="8"/>
  <c r="X157" i="8"/>
  <c r="Y157" i="8"/>
  <c r="Z157" i="8"/>
  <c r="AA157" i="8"/>
  <c r="AB157" i="8"/>
  <c r="AC157" i="8"/>
  <c r="R158" i="8"/>
  <c r="F335" i="5"/>
  <c r="S158" i="8"/>
  <c r="I367" i="5"/>
  <c r="I335" i="5"/>
  <c r="T158" i="8"/>
  <c r="U158" i="8"/>
  <c r="V158" i="8"/>
  <c r="W158" i="8"/>
  <c r="X158" i="8"/>
  <c r="Y158" i="8"/>
  <c r="Z158" i="8"/>
  <c r="AA158" i="8"/>
  <c r="AB158" i="8"/>
  <c r="AC158" i="8"/>
  <c r="R159" i="8"/>
  <c r="S159" i="8"/>
  <c r="T159" i="8"/>
  <c r="U159" i="8"/>
  <c r="V159" i="8"/>
  <c r="W159" i="8"/>
  <c r="X159" i="8"/>
  <c r="Y159" i="8"/>
  <c r="Z159" i="8"/>
  <c r="AA159" i="8"/>
  <c r="AB159" i="8"/>
  <c r="AC159" i="8"/>
  <c r="R160" i="8"/>
  <c r="S160" i="8"/>
  <c r="T160" i="8"/>
  <c r="U160" i="8"/>
  <c r="V160" i="8"/>
  <c r="W160" i="8"/>
  <c r="X160" i="8"/>
  <c r="Y160" i="8"/>
  <c r="Z160" i="8"/>
  <c r="AA160" i="8"/>
  <c r="AB160" i="8"/>
  <c r="AC160" i="8"/>
  <c r="R161" i="8"/>
  <c r="S161" i="8"/>
  <c r="T161" i="8"/>
  <c r="U161" i="8"/>
  <c r="V161" i="8"/>
  <c r="W161" i="8"/>
  <c r="X161" i="8"/>
  <c r="Y161" i="8"/>
  <c r="Z161" i="8"/>
  <c r="AA161" i="8"/>
  <c r="AB161" i="8"/>
  <c r="AC161" i="8"/>
  <c r="R162" i="8"/>
  <c r="F191" i="5"/>
  <c r="S162" i="8"/>
  <c r="I191" i="5"/>
  <c r="T162" i="8"/>
  <c r="L191" i="5"/>
  <c r="U162" i="8"/>
  <c r="O191" i="5"/>
  <c r="V162" i="8"/>
  <c r="W162" i="8"/>
  <c r="X162" i="8"/>
  <c r="Y162" i="8"/>
  <c r="Z162" i="8"/>
  <c r="AA162" i="8"/>
  <c r="AB162" i="8"/>
  <c r="AC162" i="8"/>
  <c r="R163" i="8"/>
  <c r="S163" i="8"/>
  <c r="T163" i="8"/>
  <c r="U163" i="8"/>
  <c r="V163" i="8"/>
  <c r="W163" i="8"/>
  <c r="X163" i="8"/>
  <c r="Y163" i="8"/>
  <c r="Z163" i="8"/>
  <c r="AA163" i="8"/>
  <c r="AB163" i="8"/>
  <c r="AC163" i="8"/>
  <c r="R164" i="8"/>
  <c r="F332" i="5"/>
  <c r="S164" i="8"/>
  <c r="I332" i="5"/>
  <c r="T164" i="8"/>
  <c r="U164" i="8"/>
  <c r="V164" i="8"/>
  <c r="W164" i="8"/>
  <c r="X164" i="8"/>
  <c r="Y164" i="8"/>
  <c r="Z164" i="8"/>
  <c r="AA164" i="8"/>
  <c r="AB164" i="8"/>
  <c r="AC164" i="8"/>
  <c r="R165" i="8"/>
  <c r="S165" i="8"/>
  <c r="T165" i="8"/>
  <c r="U165" i="8"/>
  <c r="V165" i="8"/>
  <c r="W165" i="8"/>
  <c r="X165" i="8"/>
  <c r="Y165" i="8"/>
  <c r="Z165" i="8"/>
  <c r="AA165" i="8"/>
  <c r="AB165" i="8"/>
  <c r="AC165" i="8"/>
  <c r="R166" i="8"/>
  <c r="F336" i="5"/>
  <c r="S166" i="8"/>
  <c r="I336" i="5"/>
  <c r="T166" i="8"/>
  <c r="U166" i="8"/>
  <c r="V166" i="8"/>
  <c r="W166" i="8"/>
  <c r="X166" i="8"/>
  <c r="Y166" i="8"/>
  <c r="Z166" i="8"/>
  <c r="AA166" i="8"/>
  <c r="AB166" i="8"/>
  <c r="AC166" i="8"/>
  <c r="R167" i="8"/>
  <c r="F328" i="5"/>
  <c r="S167" i="8"/>
  <c r="I328" i="5"/>
  <c r="T167" i="8"/>
  <c r="U167" i="8"/>
  <c r="V167" i="8"/>
  <c r="W167" i="8"/>
  <c r="X167" i="8"/>
  <c r="Y167" i="8"/>
  <c r="Z167" i="8"/>
  <c r="AA167" i="8"/>
  <c r="AB167" i="8"/>
  <c r="AC167" i="8"/>
  <c r="R168" i="8"/>
  <c r="S168" i="8"/>
  <c r="T168" i="8"/>
  <c r="U168" i="8"/>
  <c r="V168" i="8"/>
  <c r="W168" i="8"/>
  <c r="X168" i="8"/>
  <c r="Y168" i="8"/>
  <c r="Z168" i="8"/>
  <c r="AA168" i="8"/>
  <c r="AB168" i="8"/>
  <c r="AC168" i="8"/>
  <c r="R169" i="8"/>
  <c r="F330" i="5"/>
  <c r="S169" i="8"/>
  <c r="I163" i="5"/>
  <c r="I330" i="5"/>
  <c r="T169" i="8"/>
  <c r="L163" i="5"/>
  <c r="U169" i="8"/>
  <c r="O163" i="5"/>
  <c r="V169" i="8"/>
  <c r="W169" i="8"/>
  <c r="X169" i="8"/>
  <c r="Y169" i="8"/>
  <c r="Z169" i="8"/>
  <c r="AA169" i="8"/>
  <c r="AB169" i="8"/>
  <c r="AC169" i="8"/>
  <c r="R170" i="8"/>
  <c r="S170" i="8"/>
  <c r="T170" i="8"/>
  <c r="U170" i="8"/>
  <c r="V170" i="8"/>
  <c r="W170" i="8"/>
  <c r="X170" i="8"/>
  <c r="Y170" i="8"/>
  <c r="Z170" i="8"/>
  <c r="AA170" i="8"/>
  <c r="AB170" i="8"/>
  <c r="AC170" i="8"/>
  <c r="R171" i="8"/>
  <c r="F333" i="5"/>
  <c r="S171" i="8"/>
  <c r="I333" i="5"/>
  <c r="T171" i="8"/>
  <c r="U171" i="8"/>
  <c r="V171" i="8"/>
  <c r="W171" i="8"/>
  <c r="X171" i="8"/>
  <c r="Y171" i="8"/>
  <c r="Z171" i="8"/>
  <c r="AA171" i="8"/>
  <c r="AB171" i="8"/>
  <c r="AC171" i="8"/>
  <c r="R172" i="8"/>
  <c r="F236" i="5"/>
  <c r="S172" i="8"/>
  <c r="I236" i="5"/>
  <c r="T172" i="8"/>
  <c r="L236" i="5"/>
  <c r="U172" i="8"/>
  <c r="O236" i="5"/>
  <c r="V172" i="8"/>
  <c r="W172" i="8"/>
  <c r="X172" i="8"/>
  <c r="Y172" i="8"/>
  <c r="Z172" i="8"/>
  <c r="AA172" i="8"/>
  <c r="AB172" i="8"/>
  <c r="AC172" i="8"/>
  <c r="R12" i="8"/>
  <c r="F394" i="5"/>
  <c r="S12" i="8"/>
  <c r="I394" i="5"/>
  <c r="T12" i="8"/>
  <c r="U12" i="8"/>
  <c r="V12" i="8"/>
  <c r="W12" i="8"/>
  <c r="X12" i="8"/>
  <c r="Y12" i="8"/>
  <c r="Z12" i="8"/>
  <c r="AA12" i="8"/>
  <c r="AB12" i="8"/>
  <c r="AC12" i="8"/>
  <c r="R173" i="8"/>
  <c r="S173" i="8"/>
  <c r="T173" i="8"/>
  <c r="U173" i="8"/>
  <c r="V173" i="8"/>
  <c r="W173" i="8"/>
  <c r="X173" i="8"/>
  <c r="Y173" i="8"/>
  <c r="Z173" i="8"/>
  <c r="AA173" i="8"/>
  <c r="AB173" i="8"/>
  <c r="AC173" i="8"/>
  <c r="R174" i="8"/>
  <c r="S174" i="8"/>
  <c r="T174" i="8"/>
  <c r="U174" i="8"/>
  <c r="V174" i="8"/>
  <c r="W174" i="8"/>
  <c r="X174" i="8"/>
  <c r="Y174" i="8"/>
  <c r="Z174" i="8"/>
  <c r="AA174" i="8"/>
  <c r="AB174" i="8"/>
  <c r="AC174" i="8"/>
  <c r="R175" i="8"/>
  <c r="S175" i="8"/>
  <c r="T175" i="8"/>
  <c r="U175" i="8"/>
  <c r="V175" i="8"/>
  <c r="W175" i="8"/>
  <c r="X175" i="8"/>
  <c r="Y175" i="8"/>
  <c r="Z175" i="8"/>
  <c r="AA175" i="8"/>
  <c r="AB175" i="8"/>
  <c r="AC175" i="8"/>
  <c r="R176" i="8"/>
  <c r="F395" i="5"/>
  <c r="S176" i="8"/>
  <c r="I395" i="5"/>
  <c r="T176" i="8"/>
  <c r="U176" i="8"/>
  <c r="V176" i="8"/>
  <c r="W176" i="8"/>
  <c r="X176" i="8"/>
  <c r="Y176" i="8"/>
  <c r="Z176" i="8"/>
  <c r="AA176" i="8"/>
  <c r="AB176" i="8"/>
  <c r="AC176" i="8"/>
  <c r="R177" i="8"/>
  <c r="F235" i="5"/>
  <c r="S177" i="8"/>
  <c r="I235" i="5"/>
  <c r="T177" i="8"/>
  <c r="L235" i="5"/>
  <c r="U177" i="8"/>
  <c r="O235" i="5"/>
  <c r="V177" i="8"/>
  <c r="W177" i="8"/>
  <c r="X177" i="8"/>
  <c r="Y177" i="8"/>
  <c r="Z177" i="8"/>
  <c r="AA177" i="8"/>
  <c r="AB177" i="8"/>
  <c r="AC177" i="8"/>
  <c r="R178" i="8"/>
  <c r="F275" i="5"/>
  <c r="F391" i="5"/>
  <c r="S178" i="8"/>
  <c r="I275" i="5"/>
  <c r="I391" i="5"/>
  <c r="T178" i="8"/>
  <c r="L275" i="5"/>
  <c r="U178" i="8"/>
  <c r="O275" i="5"/>
  <c r="V178" i="8"/>
  <c r="W178" i="8"/>
  <c r="X178" i="8"/>
  <c r="Y178" i="8"/>
  <c r="Z178" i="8"/>
  <c r="AA178" i="8"/>
  <c r="AB178" i="8"/>
  <c r="AC178" i="8"/>
  <c r="R179" i="8"/>
  <c r="S179" i="8"/>
  <c r="T179" i="8"/>
  <c r="U179" i="8"/>
  <c r="V179" i="8"/>
  <c r="W179" i="8"/>
  <c r="X179" i="8"/>
  <c r="Y179" i="8"/>
  <c r="Z179" i="8"/>
  <c r="AA179" i="8"/>
  <c r="AB179" i="8"/>
  <c r="AC179" i="8"/>
  <c r="R180" i="8"/>
  <c r="F172" i="5"/>
  <c r="S180" i="8"/>
  <c r="I172" i="5"/>
  <c r="T180" i="8"/>
  <c r="L172" i="5"/>
  <c r="U180" i="8"/>
  <c r="O172" i="5"/>
  <c r="V180" i="8"/>
  <c r="W180" i="8"/>
  <c r="X180" i="8"/>
  <c r="Y180" i="8"/>
  <c r="Z180" i="8"/>
  <c r="AA180" i="8"/>
  <c r="AB180" i="8"/>
  <c r="AC180" i="8"/>
  <c r="R181" i="8"/>
  <c r="S181" i="8"/>
  <c r="T181" i="8"/>
  <c r="U181" i="8"/>
  <c r="V181" i="8"/>
  <c r="W181" i="8"/>
  <c r="X181" i="8"/>
  <c r="Y181" i="8"/>
  <c r="Z181" i="8"/>
  <c r="AA181" i="8"/>
  <c r="AB181" i="8"/>
  <c r="AC181" i="8"/>
  <c r="R182" i="8"/>
  <c r="S182" i="8"/>
  <c r="T182" i="8"/>
  <c r="L157" i="5"/>
  <c r="U182" i="8"/>
  <c r="O157" i="5"/>
  <c r="V182" i="8"/>
  <c r="W182" i="8"/>
  <c r="X182" i="8"/>
  <c r="Y182" i="8"/>
  <c r="Z182" i="8"/>
  <c r="AA182" i="8"/>
  <c r="AB182" i="8"/>
  <c r="AC182" i="8"/>
  <c r="R13" i="8"/>
  <c r="S13" i="8"/>
  <c r="T13" i="8"/>
  <c r="U13" i="8"/>
  <c r="V13" i="8"/>
  <c r="W13" i="8"/>
  <c r="X13" i="8"/>
  <c r="Y13" i="8"/>
  <c r="Z13" i="8"/>
  <c r="AA13" i="8"/>
  <c r="AB13" i="8"/>
  <c r="AC13" i="8"/>
  <c r="R183" i="8"/>
  <c r="S183" i="8"/>
  <c r="T183" i="8"/>
  <c r="U183" i="8"/>
  <c r="V183" i="8"/>
  <c r="W183" i="8"/>
  <c r="X183" i="8"/>
  <c r="Y183" i="8"/>
  <c r="Z183" i="8"/>
  <c r="AA183" i="8"/>
  <c r="AB183" i="8"/>
  <c r="AC183" i="8"/>
  <c r="R184" i="8"/>
  <c r="S184" i="8"/>
  <c r="T184" i="8"/>
  <c r="U184" i="8"/>
  <c r="V184" i="8"/>
  <c r="W184" i="8"/>
  <c r="X184" i="8"/>
  <c r="Y184" i="8"/>
  <c r="Z184" i="8"/>
  <c r="AA184" i="8"/>
  <c r="AB184" i="8"/>
  <c r="AC184" i="8"/>
  <c r="R185" i="8"/>
  <c r="S185" i="8"/>
  <c r="T185" i="8"/>
  <c r="U185" i="8"/>
  <c r="V185" i="8"/>
  <c r="W185" i="8"/>
  <c r="X185" i="8"/>
  <c r="Y185" i="8"/>
  <c r="Z185" i="8"/>
  <c r="AA185" i="8"/>
  <c r="AB185" i="8"/>
  <c r="AC185" i="8"/>
  <c r="R186" i="8"/>
  <c r="S186" i="8"/>
  <c r="T186" i="8"/>
  <c r="U186" i="8"/>
  <c r="V186" i="8"/>
  <c r="W186" i="8"/>
  <c r="X186" i="8"/>
  <c r="Y186" i="8"/>
  <c r="Z186" i="8"/>
  <c r="AA186" i="8"/>
  <c r="AB186" i="8"/>
  <c r="AC186" i="8"/>
  <c r="R187" i="8"/>
  <c r="S187" i="8"/>
  <c r="T187" i="8"/>
  <c r="U187" i="8"/>
  <c r="V187" i="8"/>
  <c r="W187" i="8"/>
  <c r="X187" i="8"/>
  <c r="Y187" i="8"/>
  <c r="Z187" i="8"/>
  <c r="AA187" i="8"/>
  <c r="AB187" i="8"/>
  <c r="AC187" i="8"/>
  <c r="R188" i="8"/>
  <c r="S188" i="8"/>
  <c r="T188" i="8"/>
  <c r="U188" i="8"/>
  <c r="V188" i="8"/>
  <c r="W188" i="8"/>
  <c r="X188" i="8"/>
  <c r="Y188" i="8"/>
  <c r="Z188" i="8"/>
  <c r="AA188" i="8"/>
  <c r="AB188" i="8"/>
  <c r="AC188" i="8"/>
  <c r="R189" i="8"/>
  <c r="S189" i="8"/>
  <c r="T189" i="8"/>
  <c r="U189" i="8"/>
  <c r="V189" i="8"/>
  <c r="W189" i="8"/>
  <c r="X189" i="8"/>
  <c r="Y189" i="8"/>
  <c r="Z189" i="8"/>
  <c r="AA189" i="8"/>
  <c r="AB189" i="8"/>
  <c r="AC189" i="8"/>
  <c r="R190" i="8"/>
  <c r="S190" i="8"/>
  <c r="T190" i="8"/>
  <c r="U190" i="8"/>
  <c r="V190" i="8"/>
  <c r="W190" i="8"/>
  <c r="X190" i="8"/>
  <c r="Y190" i="8"/>
  <c r="Z190" i="8"/>
  <c r="AA190" i="8"/>
  <c r="AB190" i="8"/>
  <c r="AC190" i="8"/>
  <c r="R191" i="8"/>
  <c r="S191" i="8"/>
  <c r="T191" i="8"/>
  <c r="U191" i="8"/>
  <c r="V191" i="8"/>
  <c r="W191" i="8"/>
  <c r="X191" i="8"/>
  <c r="Y191" i="8"/>
  <c r="Z191" i="8"/>
  <c r="AA191" i="8"/>
  <c r="AB191" i="8"/>
  <c r="AC191" i="8"/>
  <c r="R192" i="8"/>
  <c r="S192" i="8"/>
  <c r="T192" i="8"/>
  <c r="U192" i="8"/>
  <c r="V192" i="8"/>
  <c r="W192" i="8"/>
  <c r="X192" i="8"/>
  <c r="Y192" i="8"/>
  <c r="Z192" i="8"/>
  <c r="AA192" i="8"/>
  <c r="AB192" i="8"/>
  <c r="AC192" i="8"/>
  <c r="R193" i="8"/>
  <c r="S193" i="8"/>
  <c r="T193" i="8"/>
  <c r="U193" i="8"/>
  <c r="V193" i="8"/>
  <c r="W193" i="8"/>
  <c r="X193" i="8"/>
  <c r="Y193" i="8"/>
  <c r="Z193" i="8"/>
  <c r="AA193" i="8"/>
  <c r="AB193" i="8"/>
  <c r="AC193" i="8"/>
  <c r="R194" i="8"/>
  <c r="F193" i="5"/>
  <c r="S194" i="8"/>
  <c r="I193" i="5"/>
  <c r="T194" i="8"/>
  <c r="L193" i="5"/>
  <c r="U194" i="8"/>
  <c r="O193" i="5"/>
  <c r="V194" i="8"/>
  <c r="W194" i="8"/>
  <c r="X194" i="8"/>
  <c r="Y194" i="8"/>
  <c r="Z194" i="8"/>
  <c r="AA194" i="8"/>
  <c r="AB194" i="8"/>
  <c r="AC194" i="8"/>
  <c r="R14" i="8"/>
  <c r="F208" i="5"/>
  <c r="S14" i="8"/>
  <c r="I208" i="5"/>
  <c r="T14" i="8"/>
  <c r="L210" i="5"/>
  <c r="L208" i="5"/>
  <c r="U14" i="8"/>
  <c r="O210" i="5"/>
  <c r="O208" i="5"/>
  <c r="V14" i="8"/>
  <c r="W14" i="8"/>
  <c r="X14" i="8"/>
  <c r="Y14" i="8"/>
  <c r="Z14" i="8"/>
  <c r="AA14" i="8"/>
  <c r="AB14" i="8"/>
  <c r="AC14" i="8"/>
  <c r="R195" i="8"/>
  <c r="F189" i="5"/>
  <c r="S195" i="8"/>
  <c r="I189" i="5"/>
  <c r="T195" i="8"/>
  <c r="L189" i="5"/>
  <c r="U195" i="8"/>
  <c r="O189" i="5"/>
  <c r="V195" i="8"/>
  <c r="W195" i="8"/>
  <c r="X195" i="8"/>
  <c r="Y195" i="8"/>
  <c r="Z195" i="8"/>
  <c r="AA195" i="8"/>
  <c r="AB195" i="8"/>
  <c r="AC195" i="8"/>
  <c r="R196" i="8"/>
  <c r="S196" i="8"/>
  <c r="T196" i="8"/>
  <c r="U196" i="8"/>
  <c r="V196" i="8"/>
  <c r="W196" i="8"/>
  <c r="X196" i="8"/>
  <c r="Y196" i="8"/>
  <c r="Z196" i="8"/>
  <c r="AA196" i="8"/>
  <c r="AB196" i="8"/>
  <c r="AC196" i="8"/>
  <c r="R197" i="8"/>
  <c r="S197" i="8"/>
  <c r="T197" i="8"/>
  <c r="U197" i="8"/>
  <c r="V197" i="8"/>
  <c r="W197" i="8"/>
  <c r="X197" i="8"/>
  <c r="Y197" i="8"/>
  <c r="Z197" i="8"/>
  <c r="AA197" i="8"/>
  <c r="AB197" i="8"/>
  <c r="AC197" i="8"/>
  <c r="R198" i="8"/>
  <c r="S198" i="8"/>
  <c r="T198" i="8"/>
  <c r="U198" i="8"/>
  <c r="V198" i="8"/>
  <c r="W198" i="8"/>
  <c r="X198" i="8"/>
  <c r="Y198" i="8"/>
  <c r="Z198" i="8"/>
  <c r="AA198" i="8"/>
  <c r="AB198" i="8"/>
  <c r="AC198" i="8"/>
  <c r="R199" i="8"/>
  <c r="S199" i="8"/>
  <c r="T199" i="8"/>
  <c r="U199" i="8"/>
  <c r="V199" i="8"/>
  <c r="W199" i="8"/>
  <c r="X199" i="8"/>
  <c r="Y199" i="8"/>
  <c r="Z199" i="8"/>
  <c r="AA199" i="8"/>
  <c r="AB199" i="8"/>
  <c r="AC199" i="8"/>
  <c r="R200" i="8"/>
  <c r="S200" i="8"/>
  <c r="T200" i="8"/>
  <c r="U200" i="8"/>
  <c r="V200" i="8"/>
  <c r="W200" i="8"/>
  <c r="X200" i="8"/>
  <c r="Y200" i="8"/>
  <c r="Z200" i="8"/>
  <c r="AA200" i="8"/>
  <c r="AB200" i="8"/>
  <c r="AC200" i="8"/>
  <c r="R201" i="8"/>
  <c r="S201" i="8"/>
  <c r="I201" i="5"/>
  <c r="T201" i="8"/>
  <c r="U201" i="8"/>
  <c r="V201" i="8"/>
  <c r="W201" i="8"/>
  <c r="X201" i="8"/>
  <c r="Y201" i="8"/>
  <c r="Z201" i="8"/>
  <c r="AA201" i="8"/>
  <c r="AB201" i="8"/>
  <c r="AC201" i="8"/>
  <c r="R15" i="8"/>
  <c r="S15" i="8"/>
  <c r="I202" i="5"/>
  <c r="I197" i="5"/>
  <c r="T15" i="8"/>
  <c r="U15" i="8"/>
  <c r="V15" i="8"/>
  <c r="W15" i="8"/>
  <c r="X15" i="8"/>
  <c r="Y15" i="8"/>
  <c r="Z15" i="8"/>
  <c r="AA15" i="8"/>
  <c r="AB15" i="8"/>
  <c r="AC15" i="8"/>
  <c r="R202" i="8"/>
  <c r="F237" i="5"/>
  <c r="F196" i="5"/>
  <c r="S202" i="8"/>
  <c r="I237" i="5"/>
  <c r="I196" i="5"/>
  <c r="T202" i="8"/>
  <c r="L237" i="5"/>
  <c r="L196" i="5"/>
  <c r="U202" i="8"/>
  <c r="O237" i="5"/>
  <c r="O196" i="5"/>
  <c r="V202" i="8"/>
  <c r="W202" i="8"/>
  <c r="X202" i="8"/>
  <c r="Y202" i="8"/>
  <c r="Z202" i="8"/>
  <c r="AA202" i="8"/>
  <c r="AB202" i="8"/>
  <c r="AC202" i="8"/>
  <c r="R203" i="8"/>
  <c r="F194" i="5"/>
  <c r="S203" i="8"/>
  <c r="I194" i="5"/>
  <c r="T203" i="8"/>
  <c r="L194" i="5"/>
  <c r="U203" i="8"/>
  <c r="O194" i="5"/>
  <c r="V203" i="8"/>
  <c r="W203" i="8"/>
  <c r="X203" i="8"/>
  <c r="Y203" i="8"/>
  <c r="Z203" i="8"/>
  <c r="AA203" i="8"/>
  <c r="AB203" i="8"/>
  <c r="AC203" i="8"/>
  <c r="R16" i="8"/>
  <c r="S16" i="8"/>
  <c r="I203" i="5"/>
  <c r="T16" i="8"/>
  <c r="U16" i="8"/>
  <c r="V16" i="8"/>
  <c r="W16" i="8"/>
  <c r="X16" i="8"/>
  <c r="Y16" i="8"/>
  <c r="Z16" i="8"/>
  <c r="AA16" i="8"/>
  <c r="AB16" i="8"/>
  <c r="AC16" i="8"/>
  <c r="R204" i="8"/>
  <c r="F195" i="5"/>
  <c r="S204" i="8"/>
  <c r="I195" i="5"/>
  <c r="T204" i="8"/>
  <c r="L195" i="5"/>
  <c r="U204" i="8"/>
  <c r="O195" i="5"/>
  <c r="V204" i="8"/>
  <c r="W204" i="8"/>
  <c r="X204" i="8"/>
  <c r="Y204" i="8"/>
  <c r="Z204" i="8"/>
  <c r="AA204" i="8"/>
  <c r="AB204" i="8"/>
  <c r="AC204" i="8"/>
  <c r="R205" i="8"/>
  <c r="S205" i="8"/>
  <c r="T205" i="8"/>
  <c r="U205" i="8"/>
  <c r="V205" i="8"/>
  <c r="W205" i="8"/>
  <c r="X205" i="8"/>
  <c r="Y205" i="8"/>
  <c r="Z205" i="8"/>
  <c r="AA205" i="8"/>
  <c r="AB205" i="8"/>
  <c r="AC205" i="8"/>
  <c r="R206" i="8"/>
  <c r="S206" i="8"/>
  <c r="I206" i="5"/>
  <c r="T206" i="8"/>
  <c r="U206" i="8"/>
  <c r="V206" i="8"/>
  <c r="W206" i="8"/>
  <c r="X206" i="8"/>
  <c r="Y206" i="8"/>
  <c r="Z206" i="8"/>
  <c r="AA206" i="8"/>
  <c r="AB206" i="8"/>
  <c r="AC206" i="8"/>
  <c r="R207" i="8"/>
  <c r="F204" i="5"/>
  <c r="S207" i="8"/>
  <c r="I204" i="5"/>
  <c r="T207" i="8"/>
  <c r="U207" i="8"/>
  <c r="V207" i="8"/>
  <c r="W207" i="8"/>
  <c r="X207" i="8"/>
  <c r="Y207" i="8"/>
  <c r="Z207" i="8"/>
  <c r="AA207" i="8"/>
  <c r="AB207" i="8"/>
  <c r="AC207" i="8"/>
  <c r="R208" i="8"/>
  <c r="F231" i="5"/>
  <c r="S208" i="8"/>
  <c r="I231" i="5"/>
  <c r="T208" i="8"/>
  <c r="U208" i="8"/>
  <c r="V208" i="8"/>
  <c r="W208" i="8"/>
  <c r="X208" i="8"/>
  <c r="Y208" i="8"/>
  <c r="Z208" i="8"/>
  <c r="AA208" i="8"/>
  <c r="AB208" i="8"/>
  <c r="AC208" i="8"/>
  <c r="R209" i="8"/>
  <c r="S209" i="8"/>
  <c r="T209" i="8"/>
  <c r="U209" i="8"/>
  <c r="V209" i="8"/>
  <c r="W209" i="8"/>
  <c r="X209" i="8"/>
  <c r="Y209" i="8"/>
  <c r="Z209" i="8"/>
  <c r="AA209" i="8"/>
  <c r="AB209" i="8"/>
  <c r="AC209" i="8"/>
  <c r="R17" i="8"/>
  <c r="S17" i="8"/>
  <c r="I205" i="5"/>
  <c r="T17" i="8"/>
  <c r="U17" i="8"/>
  <c r="V17" i="8"/>
  <c r="W17" i="8"/>
  <c r="X17" i="8"/>
  <c r="Y17" i="8"/>
  <c r="Z17" i="8"/>
  <c r="AA17" i="8"/>
  <c r="AB17" i="8"/>
  <c r="AC17" i="8"/>
  <c r="R210" i="8"/>
  <c r="S210" i="8"/>
  <c r="T210" i="8"/>
  <c r="U210" i="8"/>
  <c r="V210" i="8"/>
  <c r="W210" i="8"/>
  <c r="X210" i="8"/>
  <c r="Y210" i="8"/>
  <c r="Z210" i="8"/>
  <c r="AA210" i="8"/>
  <c r="AB210" i="8"/>
  <c r="AC210" i="8"/>
  <c r="R211" i="8"/>
  <c r="S211" i="8"/>
  <c r="T211" i="8"/>
  <c r="U211" i="8"/>
  <c r="V211" i="8"/>
  <c r="W211" i="8"/>
  <c r="X211" i="8"/>
  <c r="Y211" i="8"/>
  <c r="Z211" i="8"/>
  <c r="AA211" i="8"/>
  <c r="AB211" i="8"/>
  <c r="AC211" i="8"/>
  <c r="R212" i="8"/>
  <c r="S212" i="8"/>
  <c r="T212" i="8"/>
  <c r="U212" i="8"/>
  <c r="V212" i="8"/>
  <c r="W212" i="8"/>
  <c r="X212" i="8"/>
  <c r="Y212" i="8"/>
  <c r="Z212" i="8"/>
  <c r="AA212" i="8"/>
  <c r="AB212" i="8"/>
  <c r="AC212" i="8"/>
  <c r="R213" i="8"/>
  <c r="S213" i="8"/>
  <c r="T213" i="8"/>
  <c r="U213" i="8"/>
  <c r="V213" i="8"/>
  <c r="W213" i="8"/>
  <c r="X213" i="8"/>
  <c r="Y213" i="8"/>
  <c r="Z213" i="8"/>
  <c r="AA213" i="8"/>
  <c r="AB213" i="8"/>
  <c r="AC213" i="8"/>
  <c r="R214" i="8"/>
  <c r="S214" i="8"/>
  <c r="T214" i="8"/>
  <c r="U214" i="8"/>
  <c r="V214" i="8"/>
  <c r="W214" i="8"/>
  <c r="X214" i="8"/>
  <c r="Y214" i="8"/>
  <c r="Z214" i="8"/>
  <c r="AA214" i="8"/>
  <c r="AB214" i="8"/>
  <c r="AC214" i="8"/>
  <c r="R215" i="8"/>
  <c r="S215" i="8"/>
  <c r="T215" i="8"/>
  <c r="U215" i="8"/>
  <c r="V215" i="8"/>
  <c r="W215" i="8"/>
  <c r="X215" i="8"/>
  <c r="Y215" i="8"/>
  <c r="Z215" i="8"/>
  <c r="AA215" i="8"/>
  <c r="AB215" i="8"/>
  <c r="AC215" i="8"/>
  <c r="R216" i="8"/>
  <c r="S216" i="8"/>
  <c r="T216" i="8"/>
  <c r="U216" i="8"/>
  <c r="V216" i="8"/>
  <c r="W216" i="8"/>
  <c r="X216" i="8"/>
  <c r="Y216" i="8"/>
  <c r="Z216" i="8"/>
  <c r="AA216" i="8"/>
  <c r="AB216" i="8"/>
  <c r="AC216" i="8"/>
  <c r="R217" i="8"/>
  <c r="S217" i="8"/>
  <c r="T217" i="8"/>
  <c r="U217" i="8"/>
  <c r="V217" i="8"/>
  <c r="W217" i="8"/>
  <c r="X217" i="8"/>
  <c r="Y217" i="8"/>
  <c r="Z217" i="8"/>
  <c r="AA217" i="8"/>
  <c r="AB217" i="8"/>
  <c r="AC217" i="8"/>
  <c r="R218" i="8"/>
  <c r="S218" i="8"/>
  <c r="T218" i="8"/>
  <c r="U218" i="8"/>
  <c r="V218" i="8"/>
  <c r="W218" i="8"/>
  <c r="X218" i="8"/>
  <c r="Y218" i="8"/>
  <c r="Z218" i="8"/>
  <c r="AA218" i="8"/>
  <c r="AB218" i="8"/>
  <c r="AC218" i="8"/>
  <c r="R18" i="8"/>
  <c r="S18" i="8"/>
  <c r="T18" i="8"/>
  <c r="U18" i="8"/>
  <c r="V18" i="8"/>
  <c r="W18" i="8"/>
  <c r="X18" i="8"/>
  <c r="Y18" i="8"/>
  <c r="Z18" i="8"/>
  <c r="AA18" i="8"/>
  <c r="AB18" i="8"/>
  <c r="AC18" i="8"/>
  <c r="R219" i="8"/>
  <c r="S219" i="8"/>
  <c r="T219" i="8"/>
  <c r="U219" i="8"/>
  <c r="V219" i="8"/>
  <c r="W219" i="8"/>
  <c r="X219" i="8"/>
  <c r="Y219" i="8"/>
  <c r="Z219" i="8"/>
  <c r="AA219" i="8"/>
  <c r="AB219" i="8"/>
  <c r="AC219" i="8"/>
  <c r="R220" i="8"/>
  <c r="F234" i="5"/>
  <c r="S220" i="8"/>
  <c r="I234" i="5"/>
  <c r="T220" i="8"/>
  <c r="L234" i="5"/>
  <c r="U220" i="8"/>
  <c r="O234" i="5"/>
  <c r="V220" i="8"/>
  <c r="W220" i="8"/>
  <c r="X220" i="8"/>
  <c r="Y220" i="8"/>
  <c r="Z220" i="8"/>
  <c r="AA220" i="8"/>
  <c r="AB220" i="8"/>
  <c r="AC220" i="8"/>
  <c r="R19" i="8"/>
  <c r="S19" i="8"/>
  <c r="T19" i="8"/>
  <c r="U19" i="8"/>
  <c r="V19" i="8"/>
  <c r="W19" i="8"/>
  <c r="X19" i="8"/>
  <c r="Y19" i="8"/>
  <c r="Z19" i="8"/>
  <c r="AA19" i="8"/>
  <c r="AB19" i="8"/>
  <c r="AC19" i="8"/>
  <c r="R20" i="8"/>
  <c r="S20" i="8"/>
  <c r="T20" i="8"/>
  <c r="U20" i="8"/>
  <c r="V20" i="8"/>
  <c r="W20" i="8"/>
  <c r="X20" i="8"/>
  <c r="Y20" i="8"/>
  <c r="Z20" i="8"/>
  <c r="AA20" i="8"/>
  <c r="AB20" i="8"/>
  <c r="AC20" i="8"/>
  <c r="R21" i="8"/>
  <c r="S21" i="8"/>
  <c r="T21" i="8"/>
  <c r="U21" i="8"/>
  <c r="V21" i="8"/>
  <c r="W21" i="8"/>
  <c r="X21" i="8"/>
  <c r="Y21" i="8"/>
  <c r="Z21" i="8"/>
  <c r="AA21" i="8"/>
  <c r="AB21" i="8"/>
  <c r="AC21" i="8"/>
  <c r="R221" i="8"/>
  <c r="S221" i="8"/>
  <c r="T221" i="8"/>
  <c r="U221" i="8"/>
  <c r="V221" i="8"/>
  <c r="W221" i="8"/>
  <c r="X221" i="8"/>
  <c r="Y221" i="8"/>
  <c r="Z221" i="8"/>
  <c r="AA221" i="8"/>
  <c r="AB221" i="8"/>
  <c r="AC221" i="8"/>
  <c r="R222" i="8"/>
  <c r="S222" i="8"/>
  <c r="T222" i="8"/>
  <c r="U222" i="8"/>
  <c r="V222" i="8"/>
  <c r="W222" i="8"/>
  <c r="X222" i="8"/>
  <c r="Y222" i="8"/>
  <c r="Z222" i="8"/>
  <c r="AA222" i="8"/>
  <c r="AB222" i="8"/>
  <c r="AC222" i="8"/>
  <c r="R223" i="8"/>
  <c r="S223" i="8"/>
  <c r="T223" i="8"/>
  <c r="U223" i="8"/>
  <c r="V223" i="8"/>
  <c r="W223" i="8"/>
  <c r="X223" i="8"/>
  <c r="Y223" i="8"/>
  <c r="Z223" i="8"/>
  <c r="AA223" i="8"/>
  <c r="AB223" i="8"/>
  <c r="AC223" i="8"/>
  <c r="R224" i="8"/>
  <c r="S224" i="8"/>
  <c r="T224" i="8"/>
  <c r="U224" i="8"/>
  <c r="V224" i="8"/>
  <c r="W224" i="8"/>
  <c r="X224" i="8"/>
  <c r="Y224" i="8"/>
  <c r="Z224" i="8"/>
  <c r="AA224" i="8"/>
  <c r="AB224" i="8"/>
  <c r="AC224" i="8"/>
  <c r="R225" i="8"/>
  <c r="S225" i="8"/>
  <c r="T225" i="8"/>
  <c r="U225" i="8"/>
  <c r="V225" i="8"/>
  <c r="W225" i="8"/>
  <c r="X225" i="8"/>
  <c r="Y225" i="8"/>
  <c r="Z225" i="8"/>
  <c r="AA225" i="8"/>
  <c r="AB225" i="8"/>
  <c r="AC225" i="8"/>
  <c r="R226" i="8"/>
  <c r="S226" i="8"/>
  <c r="T226" i="8"/>
  <c r="U226" i="8"/>
  <c r="V226" i="8"/>
  <c r="W226" i="8"/>
  <c r="X226" i="8"/>
  <c r="Y226" i="8"/>
  <c r="Z226" i="8"/>
  <c r="AA226" i="8"/>
  <c r="AB226" i="8"/>
  <c r="AC226" i="8"/>
  <c r="R227" i="8"/>
  <c r="S227" i="8"/>
  <c r="T227" i="8"/>
  <c r="U227" i="8"/>
  <c r="V227" i="8"/>
  <c r="W227" i="8"/>
  <c r="X227" i="8"/>
  <c r="Y227" i="8"/>
  <c r="Z227" i="8"/>
  <c r="AA227" i="8"/>
  <c r="AB227" i="8"/>
  <c r="AC227" i="8"/>
  <c r="R228" i="8"/>
  <c r="S228" i="8"/>
  <c r="T228" i="8"/>
  <c r="U228" i="8"/>
  <c r="V228" i="8"/>
  <c r="W228" i="8"/>
  <c r="X228" i="8"/>
  <c r="Y228" i="8"/>
  <c r="Z228" i="8"/>
  <c r="AA228" i="8"/>
  <c r="AB228" i="8"/>
  <c r="AC228" i="8"/>
  <c r="R22" i="8"/>
  <c r="S22" i="8"/>
  <c r="T22" i="8"/>
  <c r="U22" i="8"/>
  <c r="V22" i="8"/>
  <c r="W22" i="8"/>
  <c r="X22" i="8"/>
  <c r="Y22" i="8"/>
  <c r="Z22" i="8"/>
  <c r="AA22" i="8"/>
  <c r="AB22" i="8"/>
  <c r="AC22" i="8"/>
  <c r="R23" i="8"/>
  <c r="S23" i="8"/>
  <c r="T23" i="8"/>
  <c r="U23" i="8"/>
  <c r="V23" i="8"/>
  <c r="W23" i="8"/>
  <c r="X23" i="8"/>
  <c r="Y23" i="8"/>
  <c r="Z23" i="8"/>
  <c r="AA23" i="8"/>
  <c r="AB23" i="8"/>
  <c r="AC23" i="8"/>
  <c r="R229" i="8"/>
  <c r="S229" i="8"/>
  <c r="T229" i="8"/>
  <c r="U229" i="8"/>
  <c r="V229" i="8"/>
  <c r="W229" i="8"/>
  <c r="X229" i="8"/>
  <c r="Y229" i="8"/>
  <c r="Z229" i="8"/>
  <c r="AA229" i="8"/>
  <c r="AB229" i="8"/>
  <c r="AC229" i="8"/>
  <c r="R230" i="8"/>
  <c r="S230" i="8"/>
  <c r="T230" i="8"/>
  <c r="U230" i="8"/>
  <c r="V230" i="8"/>
  <c r="W230" i="8"/>
  <c r="X230" i="8"/>
  <c r="Y230" i="8"/>
  <c r="Z230" i="8"/>
  <c r="AA230" i="8"/>
  <c r="AB230" i="8"/>
  <c r="AC230" i="8"/>
  <c r="R231" i="8"/>
  <c r="S231" i="8"/>
  <c r="T231" i="8"/>
  <c r="U231" i="8"/>
  <c r="V231" i="8"/>
  <c r="W231" i="8"/>
  <c r="X231" i="8"/>
  <c r="Y231" i="8"/>
  <c r="Z231" i="8"/>
  <c r="AA231" i="8"/>
  <c r="AB231" i="8"/>
  <c r="AC231" i="8"/>
  <c r="R232" i="8"/>
  <c r="S232" i="8"/>
  <c r="T232" i="8"/>
  <c r="U232" i="8"/>
  <c r="V232" i="8"/>
  <c r="W232" i="8"/>
  <c r="X232" i="8"/>
  <c r="Y232" i="8"/>
  <c r="Z232" i="8"/>
  <c r="AA232" i="8"/>
  <c r="AB232" i="8"/>
  <c r="AC232" i="8"/>
  <c r="R233" i="8"/>
  <c r="S233" i="8"/>
  <c r="T233" i="8"/>
  <c r="U233" i="8"/>
  <c r="V233" i="8"/>
  <c r="W233" i="8"/>
  <c r="X233" i="8"/>
  <c r="Y233" i="8"/>
  <c r="Z233" i="8"/>
  <c r="AA233" i="8"/>
  <c r="AB233" i="8"/>
  <c r="AC233" i="8"/>
  <c r="R234" i="8"/>
  <c r="S234" i="8"/>
  <c r="T234" i="8"/>
  <c r="U234" i="8"/>
  <c r="V234" i="8"/>
  <c r="W234" i="8"/>
  <c r="X234" i="8"/>
  <c r="Y234" i="8"/>
  <c r="Z234" i="8"/>
  <c r="AA234" i="8"/>
  <c r="AB234" i="8"/>
  <c r="AC234" i="8"/>
  <c r="R235" i="8"/>
  <c r="S235" i="8"/>
  <c r="T235" i="8"/>
  <c r="U235" i="8"/>
  <c r="V235" i="8"/>
  <c r="W235" i="8"/>
  <c r="X235" i="8"/>
  <c r="Y235" i="8"/>
  <c r="Z235" i="8"/>
  <c r="AA235" i="8"/>
  <c r="AB235" i="8"/>
  <c r="AC235" i="8"/>
  <c r="R236" i="8"/>
  <c r="S236" i="8"/>
  <c r="T236" i="8"/>
  <c r="U236" i="8"/>
  <c r="V236" i="8"/>
  <c r="W236" i="8"/>
  <c r="X236" i="8"/>
  <c r="Y236" i="8"/>
  <c r="Z236" i="8"/>
  <c r="AA236" i="8"/>
  <c r="AB236" i="8"/>
  <c r="AC236" i="8"/>
  <c r="R237" i="8"/>
  <c r="S237" i="8"/>
  <c r="T237" i="8"/>
  <c r="U237" i="8"/>
  <c r="V237" i="8"/>
  <c r="W237" i="8"/>
  <c r="X237" i="8"/>
  <c r="Y237" i="8"/>
  <c r="Z237" i="8"/>
  <c r="AA237" i="8"/>
  <c r="AB237" i="8"/>
  <c r="AC237" i="8"/>
  <c r="R238" i="8"/>
  <c r="S238" i="8"/>
  <c r="T238" i="8"/>
  <c r="U238" i="8"/>
  <c r="V238" i="8"/>
  <c r="W238" i="8"/>
  <c r="X238" i="8"/>
  <c r="Y238" i="8"/>
  <c r="Z238" i="8"/>
  <c r="AA238" i="8"/>
  <c r="AB238" i="8"/>
  <c r="AC238" i="8"/>
  <c r="R239" i="8"/>
  <c r="S239" i="8"/>
  <c r="T239" i="8"/>
  <c r="U239" i="8"/>
  <c r="V239" i="8"/>
  <c r="W239" i="8"/>
  <c r="X239" i="8"/>
  <c r="Y239" i="8"/>
  <c r="Z239" i="8"/>
  <c r="AA239" i="8"/>
  <c r="AB239" i="8"/>
  <c r="AC239" i="8"/>
  <c r="R240" i="8"/>
  <c r="S240" i="8"/>
  <c r="T240" i="8"/>
  <c r="U240" i="8"/>
  <c r="V240" i="8"/>
  <c r="W240" i="8"/>
  <c r="X240" i="8"/>
  <c r="Y240" i="8"/>
  <c r="Z240" i="8"/>
  <c r="AA240" i="8"/>
  <c r="AB240" i="8"/>
  <c r="AC240" i="8"/>
  <c r="R24" i="8"/>
  <c r="S24" i="8"/>
  <c r="T24" i="8"/>
  <c r="U24" i="8"/>
  <c r="V24" i="8"/>
  <c r="W24" i="8"/>
  <c r="X24" i="8"/>
  <c r="Y24" i="8"/>
  <c r="Z24" i="8"/>
  <c r="AA24" i="8"/>
  <c r="AB24" i="8"/>
  <c r="AC24" i="8"/>
  <c r="R241" i="8"/>
  <c r="S241" i="8"/>
  <c r="T241" i="8"/>
  <c r="U241" i="8"/>
  <c r="V241" i="8"/>
  <c r="W241" i="8"/>
  <c r="X241" i="8"/>
  <c r="Y241" i="8"/>
  <c r="Z241" i="8"/>
  <c r="AA241" i="8"/>
  <c r="AB241" i="8"/>
  <c r="AC241" i="8"/>
  <c r="R242" i="8"/>
  <c r="S242" i="8"/>
  <c r="T242" i="8"/>
  <c r="U242" i="8"/>
  <c r="V242" i="8"/>
  <c r="W242" i="8"/>
  <c r="X242" i="8"/>
  <c r="Y242" i="8"/>
  <c r="Z242" i="8"/>
  <c r="AA242" i="8"/>
  <c r="AB242" i="8"/>
  <c r="AC242" i="8"/>
  <c r="R243" i="8"/>
  <c r="S243" i="8"/>
  <c r="T243" i="8"/>
  <c r="U243" i="8"/>
  <c r="V243" i="8"/>
  <c r="W243" i="8"/>
  <c r="X243" i="8"/>
  <c r="Y243" i="8"/>
  <c r="Z243" i="8"/>
  <c r="AA243" i="8"/>
  <c r="AB243" i="8"/>
  <c r="AC243" i="8"/>
  <c r="R244" i="8"/>
  <c r="S244" i="8"/>
  <c r="T244" i="8"/>
  <c r="U244" i="8"/>
  <c r="V244" i="8"/>
  <c r="W244" i="8"/>
  <c r="X244" i="8"/>
  <c r="Y244" i="8"/>
  <c r="Z244" i="8"/>
  <c r="AA244" i="8"/>
  <c r="AB244" i="8"/>
  <c r="AC244" i="8"/>
  <c r="R245" i="8"/>
  <c r="S245" i="8"/>
  <c r="T245" i="8"/>
  <c r="U245" i="8"/>
  <c r="V245" i="8"/>
  <c r="W245" i="8"/>
  <c r="X245" i="8"/>
  <c r="Y245" i="8"/>
  <c r="Z245" i="8"/>
  <c r="AA245" i="8"/>
  <c r="AB245" i="8"/>
  <c r="AC245" i="8"/>
  <c r="R246" i="8"/>
  <c r="S246" i="8"/>
  <c r="T246" i="8"/>
  <c r="U246" i="8"/>
  <c r="V246" i="8"/>
  <c r="W246" i="8"/>
  <c r="X246" i="8"/>
  <c r="Y246" i="8"/>
  <c r="Z246" i="8"/>
  <c r="AA246" i="8"/>
  <c r="AB246" i="8"/>
  <c r="AC246" i="8"/>
  <c r="R247" i="8"/>
  <c r="S247" i="8"/>
  <c r="T247" i="8"/>
  <c r="U247" i="8"/>
  <c r="V247" i="8"/>
  <c r="W247" i="8"/>
  <c r="X247" i="8"/>
  <c r="Y247" i="8"/>
  <c r="Z247" i="8"/>
  <c r="AA247" i="8"/>
  <c r="AB247" i="8"/>
  <c r="AC247" i="8"/>
  <c r="R248" i="8"/>
  <c r="S248" i="8"/>
  <c r="T248" i="8"/>
  <c r="U248" i="8"/>
  <c r="V248" i="8"/>
  <c r="W248" i="8"/>
  <c r="X248" i="8"/>
  <c r="Y248" i="8"/>
  <c r="Z248" i="8"/>
  <c r="AA248" i="8"/>
  <c r="AB248" i="8"/>
  <c r="AC248" i="8"/>
  <c r="R249" i="8"/>
  <c r="S249" i="8"/>
  <c r="T249" i="8"/>
  <c r="U249" i="8"/>
  <c r="V249" i="8"/>
  <c r="W249" i="8"/>
  <c r="X249" i="8"/>
  <c r="Y249" i="8"/>
  <c r="Z249" i="8"/>
  <c r="AA249" i="8"/>
  <c r="AB249" i="8"/>
  <c r="AC249" i="8"/>
  <c r="R250" i="8"/>
  <c r="S250" i="8"/>
  <c r="T250" i="8"/>
  <c r="U250" i="8"/>
  <c r="V250" i="8"/>
  <c r="W250" i="8"/>
  <c r="X250" i="8"/>
  <c r="Y250" i="8"/>
  <c r="Z250" i="8"/>
  <c r="AA250" i="8"/>
  <c r="AB250" i="8"/>
  <c r="AC250" i="8"/>
  <c r="R251" i="8"/>
  <c r="S251" i="8"/>
  <c r="T251" i="8"/>
  <c r="U251" i="8"/>
  <c r="V251" i="8"/>
  <c r="W251" i="8"/>
  <c r="X251" i="8"/>
  <c r="Y251" i="8"/>
  <c r="Z251" i="8"/>
  <c r="AA251" i="8"/>
  <c r="AB251" i="8"/>
  <c r="AC251" i="8"/>
  <c r="R252" i="8"/>
  <c r="S252" i="8"/>
  <c r="T252" i="8"/>
  <c r="U252" i="8"/>
  <c r="V252" i="8"/>
  <c r="W252" i="8"/>
  <c r="X252" i="8"/>
  <c r="Y252" i="8"/>
  <c r="Z252" i="8"/>
  <c r="AA252" i="8"/>
  <c r="AB252" i="8"/>
  <c r="AC252" i="8"/>
  <c r="R253" i="8"/>
  <c r="S253" i="8"/>
  <c r="T253" i="8"/>
  <c r="U253" i="8"/>
  <c r="V253" i="8"/>
  <c r="W253" i="8"/>
  <c r="X253" i="8"/>
  <c r="Y253" i="8"/>
  <c r="Z253" i="8"/>
  <c r="AA253" i="8"/>
  <c r="AB253" i="8"/>
  <c r="AC253" i="8"/>
  <c r="R254" i="8"/>
  <c r="S254" i="8"/>
  <c r="T254" i="8"/>
  <c r="U254" i="8"/>
  <c r="V254" i="8"/>
  <c r="W254" i="8"/>
  <c r="X254" i="8"/>
  <c r="Y254" i="8"/>
  <c r="Z254" i="8"/>
  <c r="AA254" i="8"/>
  <c r="AB254" i="8"/>
  <c r="AC254" i="8"/>
  <c r="R255" i="8"/>
  <c r="S255" i="8"/>
  <c r="T255" i="8"/>
  <c r="U255" i="8"/>
  <c r="V255" i="8"/>
  <c r="W255" i="8"/>
  <c r="X255" i="8"/>
  <c r="Y255" i="8"/>
  <c r="Z255" i="8"/>
  <c r="AA255" i="8"/>
  <c r="AB255" i="8"/>
  <c r="AC255" i="8"/>
  <c r="R256" i="8"/>
  <c r="S256" i="8"/>
  <c r="T256" i="8"/>
  <c r="U256" i="8"/>
  <c r="V256" i="8"/>
  <c r="W256" i="8"/>
  <c r="X256" i="8"/>
  <c r="Y256" i="8"/>
  <c r="Z256" i="8"/>
  <c r="AA256" i="8"/>
  <c r="AB256" i="8"/>
  <c r="AC256" i="8"/>
  <c r="R257" i="8"/>
  <c r="S257" i="8"/>
  <c r="T257" i="8"/>
  <c r="U257" i="8"/>
  <c r="V257" i="8"/>
  <c r="W257" i="8"/>
  <c r="X257" i="8"/>
  <c r="Y257" i="8"/>
  <c r="Z257" i="8"/>
  <c r="AA257" i="8"/>
  <c r="AB257" i="8"/>
  <c r="AC257" i="8"/>
  <c r="R258" i="8"/>
  <c r="S258" i="8"/>
  <c r="T258" i="8"/>
  <c r="U258" i="8"/>
  <c r="V258" i="8"/>
  <c r="W258" i="8"/>
  <c r="X258" i="8"/>
  <c r="Y258" i="8"/>
  <c r="Z258" i="8"/>
  <c r="AA258" i="8"/>
  <c r="AB258" i="8"/>
  <c r="AC258" i="8"/>
  <c r="R25" i="8"/>
  <c r="S25" i="8"/>
  <c r="T25" i="8"/>
  <c r="U25" i="8"/>
  <c r="V25" i="8"/>
  <c r="W25" i="8"/>
  <c r="X25" i="8"/>
  <c r="Y25" i="8"/>
  <c r="Z25" i="8"/>
  <c r="AA25" i="8"/>
  <c r="AB25" i="8"/>
  <c r="AC25" i="8"/>
  <c r="R259" i="8"/>
  <c r="S259" i="8"/>
  <c r="T259" i="8"/>
  <c r="U259" i="8"/>
  <c r="V259" i="8"/>
  <c r="W259" i="8"/>
  <c r="X259" i="8"/>
  <c r="Y259" i="8"/>
  <c r="Z259" i="8"/>
  <c r="AA259" i="8"/>
  <c r="AB259" i="8"/>
  <c r="AC259" i="8"/>
  <c r="R260" i="8"/>
  <c r="S260" i="8"/>
  <c r="T260" i="8"/>
  <c r="U260" i="8"/>
  <c r="V260" i="8"/>
  <c r="W260" i="8"/>
  <c r="X260" i="8"/>
  <c r="Y260" i="8"/>
  <c r="Z260" i="8"/>
  <c r="AA260" i="8"/>
  <c r="AB260" i="8"/>
  <c r="AC260" i="8"/>
  <c r="R261" i="8"/>
  <c r="S261" i="8"/>
  <c r="T261" i="8"/>
  <c r="U261" i="8"/>
  <c r="V261" i="8"/>
  <c r="W261" i="8"/>
  <c r="X261" i="8"/>
  <c r="Y261" i="8"/>
  <c r="Z261" i="8"/>
  <c r="AA261" i="8"/>
  <c r="AB261" i="8"/>
  <c r="AC261" i="8"/>
  <c r="R262" i="8"/>
  <c r="S262" i="8"/>
  <c r="T262" i="8"/>
  <c r="U262" i="8"/>
  <c r="V262" i="8"/>
  <c r="W262" i="8"/>
  <c r="X262" i="8"/>
  <c r="Y262" i="8"/>
  <c r="Z262" i="8"/>
  <c r="AA262" i="8"/>
  <c r="AB262" i="8"/>
  <c r="AC262" i="8"/>
  <c r="R263" i="8"/>
  <c r="S263" i="8"/>
  <c r="T263" i="8"/>
  <c r="U263" i="8"/>
  <c r="V263" i="8"/>
  <c r="W263" i="8"/>
  <c r="X263" i="8"/>
  <c r="Y263" i="8"/>
  <c r="Z263" i="8"/>
  <c r="AA263" i="8"/>
  <c r="AB263" i="8"/>
  <c r="AC263" i="8"/>
  <c r="R26" i="8"/>
  <c r="S26" i="8"/>
  <c r="T26" i="8"/>
  <c r="U26" i="8"/>
  <c r="V26" i="8"/>
  <c r="W26" i="8"/>
  <c r="X26" i="8"/>
  <c r="Y26" i="8"/>
  <c r="Z26" i="8"/>
  <c r="AA26" i="8"/>
  <c r="AB26" i="8"/>
  <c r="AC26" i="8"/>
  <c r="R264" i="8"/>
  <c r="S264" i="8"/>
  <c r="T264" i="8"/>
  <c r="U264" i="8"/>
  <c r="V264" i="8"/>
  <c r="W264" i="8"/>
  <c r="X264" i="8"/>
  <c r="Y264" i="8"/>
  <c r="Z264" i="8"/>
  <c r="AA264" i="8"/>
  <c r="AB264" i="8"/>
  <c r="AC264" i="8"/>
  <c r="R265" i="8"/>
  <c r="S265" i="8"/>
  <c r="T265" i="8"/>
  <c r="U265" i="8"/>
  <c r="V265" i="8"/>
  <c r="W265" i="8"/>
  <c r="X265" i="8"/>
  <c r="Y265" i="8"/>
  <c r="Z265" i="8"/>
  <c r="AA265" i="8"/>
  <c r="AB265" i="8"/>
  <c r="AC265" i="8"/>
  <c r="R266" i="8"/>
  <c r="S266" i="8"/>
  <c r="T266" i="8"/>
  <c r="U266" i="8"/>
  <c r="V266" i="8"/>
  <c r="W266" i="8"/>
  <c r="X266" i="8"/>
  <c r="Y266" i="8"/>
  <c r="Z266" i="8"/>
  <c r="AA266" i="8"/>
  <c r="AB266" i="8"/>
  <c r="AC266" i="8"/>
  <c r="R267" i="8"/>
  <c r="S267" i="8"/>
  <c r="T267" i="8"/>
  <c r="U267" i="8"/>
  <c r="V267" i="8"/>
  <c r="W267" i="8"/>
  <c r="X267" i="8"/>
  <c r="Y267" i="8"/>
  <c r="Z267" i="8"/>
  <c r="AA267" i="8"/>
  <c r="AB267" i="8"/>
  <c r="AC267" i="8"/>
  <c r="R268" i="8"/>
  <c r="S268" i="8"/>
  <c r="T268" i="8"/>
  <c r="U268" i="8"/>
  <c r="V268" i="8"/>
  <c r="W268" i="8"/>
  <c r="X268" i="8"/>
  <c r="Y268" i="8"/>
  <c r="Z268" i="8"/>
  <c r="AA268" i="8"/>
  <c r="AB268" i="8"/>
  <c r="AC268" i="8"/>
  <c r="R269" i="8"/>
  <c r="S269" i="8"/>
  <c r="T269" i="8"/>
  <c r="U269" i="8"/>
  <c r="V269" i="8"/>
  <c r="W269" i="8"/>
  <c r="X269" i="8"/>
  <c r="Y269" i="8"/>
  <c r="Z269" i="8"/>
  <c r="AA269" i="8"/>
  <c r="AB269" i="8"/>
  <c r="AC269" i="8"/>
  <c r="R270" i="8"/>
  <c r="S270" i="8"/>
  <c r="T270" i="8"/>
  <c r="U270" i="8"/>
  <c r="V270" i="8"/>
  <c r="W270" i="8"/>
  <c r="X270" i="8"/>
  <c r="Y270" i="8"/>
  <c r="Z270" i="8"/>
  <c r="AA270" i="8"/>
  <c r="AB270" i="8"/>
  <c r="AC270" i="8"/>
  <c r="R271" i="8"/>
  <c r="S271" i="8"/>
  <c r="T271" i="8"/>
  <c r="U271" i="8"/>
  <c r="V271" i="8"/>
  <c r="W271" i="8"/>
  <c r="X271" i="8"/>
  <c r="Y271" i="8"/>
  <c r="Z271" i="8"/>
  <c r="AA271" i="8"/>
  <c r="AB271" i="8"/>
  <c r="AC271" i="8"/>
  <c r="R272" i="8"/>
  <c r="S272" i="8"/>
  <c r="T272" i="8"/>
  <c r="U272" i="8"/>
  <c r="V272" i="8"/>
  <c r="W272" i="8"/>
  <c r="X272" i="8"/>
  <c r="Y272" i="8"/>
  <c r="Z272" i="8"/>
  <c r="AA272" i="8"/>
  <c r="AB272" i="8"/>
  <c r="AC272" i="8"/>
  <c r="R273" i="8"/>
  <c r="S273" i="8"/>
  <c r="T273" i="8"/>
  <c r="U273" i="8"/>
  <c r="V273" i="8"/>
  <c r="W273" i="8"/>
  <c r="X273" i="8"/>
  <c r="Y273" i="8"/>
  <c r="Z273" i="8"/>
  <c r="AA273" i="8"/>
  <c r="AB273" i="8"/>
  <c r="AC273" i="8"/>
  <c r="R27" i="8"/>
  <c r="S27" i="8"/>
  <c r="T27" i="8"/>
  <c r="U27" i="8"/>
  <c r="V27" i="8"/>
  <c r="W27" i="8"/>
  <c r="X27" i="8"/>
  <c r="Y27" i="8"/>
  <c r="Z27" i="8"/>
  <c r="AA27" i="8"/>
  <c r="AB27" i="8"/>
  <c r="AC27" i="8"/>
  <c r="R274" i="8"/>
  <c r="S274" i="8"/>
  <c r="T274" i="8"/>
  <c r="U274" i="8"/>
  <c r="V274" i="8"/>
  <c r="W274" i="8"/>
  <c r="X274" i="8"/>
  <c r="Y274" i="8"/>
  <c r="Z274" i="8"/>
  <c r="AA274" i="8"/>
  <c r="AB274" i="8"/>
  <c r="AC274" i="8"/>
  <c r="R275" i="8"/>
  <c r="S275" i="8"/>
  <c r="T275" i="8"/>
  <c r="U275" i="8"/>
  <c r="V275" i="8"/>
  <c r="W275" i="8"/>
  <c r="X275" i="8"/>
  <c r="Y275" i="8"/>
  <c r="Z275" i="8"/>
  <c r="AA275" i="8"/>
  <c r="AB275" i="8"/>
  <c r="AC275" i="8"/>
  <c r="R276" i="8"/>
  <c r="S276" i="8"/>
  <c r="T276" i="8"/>
  <c r="U276" i="8"/>
  <c r="V276" i="8"/>
  <c r="W276" i="8"/>
  <c r="X276" i="8"/>
  <c r="Y276" i="8"/>
  <c r="Z276" i="8"/>
  <c r="AA276" i="8"/>
  <c r="AB276" i="8"/>
  <c r="AC276" i="8"/>
  <c r="R277" i="8"/>
  <c r="S277" i="8"/>
  <c r="T277" i="8"/>
  <c r="U277" i="8"/>
  <c r="V277" i="8"/>
  <c r="W277" i="8"/>
  <c r="X277" i="8"/>
  <c r="Y277" i="8"/>
  <c r="Z277" i="8"/>
  <c r="AA277" i="8"/>
  <c r="AB277" i="8"/>
  <c r="AC277" i="8"/>
  <c r="R278" i="8"/>
  <c r="S278" i="8"/>
  <c r="T278" i="8"/>
  <c r="U278" i="8"/>
  <c r="V278" i="8"/>
  <c r="W278" i="8"/>
  <c r="X278" i="8"/>
  <c r="Y278" i="8"/>
  <c r="Z278" i="8"/>
  <c r="AA278" i="8"/>
  <c r="AB278" i="8"/>
  <c r="AC278" i="8"/>
  <c r="R279" i="8"/>
  <c r="S279" i="8"/>
  <c r="T279" i="8"/>
  <c r="U279" i="8"/>
  <c r="V279" i="8"/>
  <c r="W279" i="8"/>
  <c r="X279" i="8"/>
  <c r="Y279" i="8"/>
  <c r="Z279" i="8"/>
  <c r="AA279" i="8"/>
  <c r="AB279" i="8"/>
  <c r="AC279" i="8"/>
  <c r="R280" i="8"/>
  <c r="S280" i="8"/>
  <c r="T280" i="8"/>
  <c r="U280" i="8"/>
  <c r="V280" i="8"/>
  <c r="W280" i="8"/>
  <c r="X280" i="8"/>
  <c r="Y280" i="8"/>
  <c r="Z280" i="8"/>
  <c r="AA280" i="8"/>
  <c r="AB280" i="8"/>
  <c r="AC280" i="8"/>
  <c r="R281" i="8"/>
  <c r="S281" i="8"/>
  <c r="T281" i="8"/>
  <c r="U281" i="8"/>
  <c r="V281" i="8"/>
  <c r="W281" i="8"/>
  <c r="X281" i="8"/>
  <c r="Y281" i="8"/>
  <c r="Z281" i="8"/>
  <c r="AA281" i="8"/>
  <c r="AB281" i="8"/>
  <c r="AC281" i="8"/>
  <c r="R282" i="8"/>
  <c r="S282" i="8"/>
  <c r="T282" i="8"/>
  <c r="U282" i="8"/>
  <c r="V282" i="8"/>
  <c r="W282" i="8"/>
  <c r="X282" i="8"/>
  <c r="Y282" i="8"/>
  <c r="Z282" i="8"/>
  <c r="AA282" i="8"/>
  <c r="AB282" i="8"/>
  <c r="AC282" i="8"/>
  <c r="R283" i="8"/>
  <c r="S283" i="8"/>
  <c r="T283" i="8"/>
  <c r="U283" i="8"/>
  <c r="V283" i="8"/>
  <c r="W283" i="8"/>
  <c r="X283" i="8"/>
  <c r="Y283" i="8"/>
  <c r="Z283" i="8"/>
  <c r="AA283" i="8"/>
  <c r="AB283" i="8"/>
  <c r="AC283" i="8"/>
  <c r="R284" i="8"/>
  <c r="S284" i="8"/>
  <c r="T284" i="8"/>
  <c r="U284" i="8"/>
  <c r="V284" i="8"/>
  <c r="W284" i="8"/>
  <c r="X284" i="8"/>
  <c r="Y284" i="8"/>
  <c r="Z284" i="8"/>
  <c r="AA284" i="8"/>
  <c r="AB284" i="8"/>
  <c r="AC284" i="8"/>
  <c r="R285" i="8"/>
  <c r="S285" i="8"/>
  <c r="T285" i="8"/>
  <c r="U285" i="8"/>
  <c r="V285" i="8"/>
  <c r="W285" i="8"/>
  <c r="X285" i="8"/>
  <c r="Y285" i="8"/>
  <c r="Z285" i="8"/>
  <c r="AA285" i="8"/>
  <c r="AB285" i="8"/>
  <c r="AC285" i="8"/>
  <c r="R286" i="8"/>
  <c r="S286" i="8"/>
  <c r="T286" i="8"/>
  <c r="U286" i="8"/>
  <c r="V286" i="8"/>
  <c r="W286" i="8"/>
  <c r="X286" i="8"/>
  <c r="Y286" i="8"/>
  <c r="Z286" i="8"/>
  <c r="AA286" i="8"/>
  <c r="AB286" i="8"/>
  <c r="AC286" i="8"/>
  <c r="R28" i="8"/>
  <c r="S28" i="8"/>
  <c r="T28" i="8"/>
  <c r="U28" i="8"/>
  <c r="V28" i="8"/>
  <c r="W28" i="8"/>
  <c r="X28" i="8"/>
  <c r="Y28" i="8"/>
  <c r="Z28" i="8"/>
  <c r="AA28" i="8"/>
  <c r="AB28" i="8"/>
  <c r="AC28" i="8"/>
  <c r="R287" i="8"/>
  <c r="S287" i="8"/>
  <c r="T287" i="8"/>
  <c r="U287" i="8"/>
  <c r="V287" i="8"/>
  <c r="W287" i="8"/>
  <c r="X287" i="8"/>
  <c r="Y287" i="8"/>
  <c r="Z287" i="8"/>
  <c r="AA287" i="8"/>
  <c r="AB287" i="8"/>
  <c r="AC287" i="8"/>
  <c r="R288" i="8"/>
  <c r="S288" i="8"/>
  <c r="T288" i="8"/>
  <c r="U288" i="8"/>
  <c r="V288" i="8"/>
  <c r="W288" i="8"/>
  <c r="X288" i="8"/>
  <c r="Y288" i="8"/>
  <c r="Z288" i="8"/>
  <c r="AA288" i="8"/>
  <c r="AB288" i="8"/>
  <c r="AC288" i="8"/>
  <c r="R289" i="8"/>
  <c r="S289" i="8"/>
  <c r="T289" i="8"/>
  <c r="U289" i="8"/>
  <c r="V289" i="8"/>
  <c r="W289" i="8"/>
  <c r="X289" i="8"/>
  <c r="Y289" i="8"/>
  <c r="Z289" i="8"/>
  <c r="AA289" i="8"/>
  <c r="AB289" i="8"/>
  <c r="AC289" i="8"/>
  <c r="R290" i="8"/>
  <c r="S290" i="8"/>
  <c r="T290" i="8"/>
  <c r="U290" i="8"/>
  <c r="V290" i="8"/>
  <c r="W290" i="8"/>
  <c r="X290" i="8"/>
  <c r="Y290" i="8"/>
  <c r="Z290" i="8"/>
  <c r="AA290" i="8"/>
  <c r="AB290" i="8"/>
  <c r="AC290" i="8"/>
  <c r="R291" i="8"/>
  <c r="S291" i="8"/>
  <c r="T291" i="8"/>
  <c r="U291" i="8"/>
  <c r="V291" i="8"/>
  <c r="W291" i="8"/>
  <c r="X291" i="8"/>
  <c r="Y291" i="8"/>
  <c r="Z291" i="8"/>
  <c r="AA291" i="8"/>
  <c r="AB291" i="8"/>
  <c r="AC291" i="8"/>
  <c r="R292" i="8"/>
  <c r="S292" i="8"/>
  <c r="T292" i="8"/>
  <c r="U292" i="8"/>
  <c r="V292" i="8"/>
  <c r="W292" i="8"/>
  <c r="X292" i="8"/>
  <c r="Y292" i="8"/>
  <c r="Z292" i="8"/>
  <c r="AA292" i="8"/>
  <c r="AB292" i="8"/>
  <c r="AC292" i="8"/>
  <c r="R293" i="8"/>
  <c r="S293" i="8"/>
  <c r="T293" i="8"/>
  <c r="U293" i="8"/>
  <c r="V293" i="8"/>
  <c r="W293" i="8"/>
  <c r="X293" i="8"/>
  <c r="Y293" i="8"/>
  <c r="Z293" i="8"/>
  <c r="AA293" i="8"/>
  <c r="AB293" i="8"/>
  <c r="AC293" i="8"/>
  <c r="R294" i="8"/>
  <c r="S294" i="8"/>
  <c r="T294" i="8"/>
  <c r="U294" i="8"/>
  <c r="V294" i="8"/>
  <c r="W294" i="8"/>
  <c r="X294" i="8"/>
  <c r="Y294" i="8"/>
  <c r="Z294" i="8"/>
  <c r="AA294" i="8"/>
  <c r="AB294" i="8"/>
  <c r="AC294" i="8"/>
  <c r="R295" i="8"/>
  <c r="S295" i="8"/>
  <c r="T295" i="8"/>
  <c r="U295" i="8"/>
  <c r="V295" i="8"/>
  <c r="W295" i="8"/>
  <c r="X295" i="8"/>
  <c r="Y295" i="8"/>
  <c r="Z295" i="8"/>
  <c r="AA295" i="8"/>
  <c r="AB295" i="8"/>
  <c r="AC295" i="8"/>
  <c r="R296" i="8"/>
  <c r="S296" i="8"/>
  <c r="T296" i="8"/>
  <c r="U296" i="8"/>
  <c r="V296" i="8"/>
  <c r="W296" i="8"/>
  <c r="X296" i="8"/>
  <c r="Y296" i="8"/>
  <c r="Z296" i="8"/>
  <c r="AA296" i="8"/>
  <c r="AB296" i="8"/>
  <c r="AC296" i="8"/>
  <c r="R297" i="8"/>
  <c r="S297" i="8"/>
  <c r="T297" i="8"/>
  <c r="U297" i="8"/>
  <c r="V297" i="8"/>
  <c r="W297" i="8"/>
  <c r="X297" i="8"/>
  <c r="Y297" i="8"/>
  <c r="Z297" i="8"/>
  <c r="AA297" i="8"/>
  <c r="AB297" i="8"/>
  <c r="AC297" i="8"/>
  <c r="R298" i="8"/>
  <c r="S298" i="8"/>
  <c r="T298" i="8"/>
  <c r="U298" i="8"/>
  <c r="V298" i="8"/>
  <c r="W298" i="8"/>
  <c r="X298" i="8"/>
  <c r="Y298" i="8"/>
  <c r="Z298" i="8"/>
  <c r="AA298" i="8"/>
  <c r="AB298" i="8"/>
  <c r="AC298" i="8"/>
  <c r="R299" i="8"/>
  <c r="S299" i="8"/>
  <c r="T299" i="8"/>
  <c r="U299" i="8"/>
  <c r="V299" i="8"/>
  <c r="W299" i="8"/>
  <c r="X299" i="8"/>
  <c r="Y299" i="8"/>
  <c r="Z299" i="8"/>
  <c r="AA299" i="8"/>
  <c r="AB299" i="8"/>
  <c r="AC299" i="8"/>
  <c r="R300" i="8"/>
  <c r="S300" i="8"/>
  <c r="T300" i="8"/>
  <c r="U300" i="8"/>
  <c r="V300" i="8"/>
  <c r="W300" i="8"/>
  <c r="X300" i="8"/>
  <c r="Y300" i="8"/>
  <c r="Z300" i="8"/>
  <c r="AA300" i="8"/>
  <c r="AB300" i="8"/>
  <c r="AC300" i="8"/>
  <c r="R301" i="8"/>
  <c r="S301" i="8"/>
  <c r="T301" i="8"/>
  <c r="U301" i="8"/>
  <c r="V301" i="8"/>
  <c r="W301" i="8"/>
  <c r="X301" i="8"/>
  <c r="Y301" i="8"/>
  <c r="Z301" i="8"/>
  <c r="AA301" i="8"/>
  <c r="AB301" i="8"/>
  <c r="AC301" i="8"/>
  <c r="R302" i="8"/>
  <c r="S302" i="8"/>
  <c r="T302" i="8"/>
  <c r="U302" i="8"/>
  <c r="V302" i="8"/>
  <c r="W302" i="8"/>
  <c r="X302" i="8"/>
  <c r="Y302" i="8"/>
  <c r="Z302" i="8"/>
  <c r="AA302" i="8"/>
  <c r="AB302" i="8"/>
  <c r="AC302" i="8"/>
  <c r="R29" i="8"/>
  <c r="S29" i="8"/>
  <c r="T29" i="8"/>
  <c r="U29" i="8"/>
  <c r="V29" i="8"/>
  <c r="W29" i="8"/>
  <c r="X29" i="8"/>
  <c r="Y29" i="8"/>
  <c r="Z29" i="8"/>
  <c r="AA29" i="8"/>
  <c r="AB29" i="8"/>
  <c r="AC29" i="8"/>
  <c r="R303" i="8"/>
  <c r="S303" i="8"/>
  <c r="T303" i="8"/>
  <c r="U303" i="8"/>
  <c r="V303" i="8"/>
  <c r="W303" i="8"/>
  <c r="X303" i="8"/>
  <c r="Y303" i="8"/>
  <c r="Z303" i="8"/>
  <c r="AA303" i="8"/>
  <c r="AB303" i="8"/>
  <c r="AC303" i="8"/>
  <c r="R304" i="8"/>
  <c r="S304" i="8"/>
  <c r="T304" i="8"/>
  <c r="U304" i="8"/>
  <c r="V304" i="8"/>
  <c r="W304" i="8"/>
  <c r="X304" i="8"/>
  <c r="Y304" i="8"/>
  <c r="Z304" i="8"/>
  <c r="AA304" i="8"/>
  <c r="AB304" i="8"/>
  <c r="AC304" i="8"/>
  <c r="R305" i="8"/>
  <c r="S305" i="8"/>
  <c r="T305" i="8"/>
  <c r="U305" i="8"/>
  <c r="V305" i="8"/>
  <c r="W305" i="8"/>
  <c r="X305" i="8"/>
  <c r="Y305" i="8"/>
  <c r="Z305" i="8"/>
  <c r="AA305" i="8"/>
  <c r="AB305" i="8"/>
  <c r="AC305" i="8"/>
  <c r="R306" i="8"/>
  <c r="S306" i="8"/>
  <c r="T306" i="8"/>
  <c r="U306" i="8"/>
  <c r="V306" i="8"/>
  <c r="W306" i="8"/>
  <c r="X306" i="8"/>
  <c r="Y306" i="8"/>
  <c r="Z306" i="8"/>
  <c r="AA306" i="8"/>
  <c r="AB306" i="8"/>
  <c r="AC306" i="8"/>
  <c r="R307" i="8"/>
  <c r="S307" i="8"/>
  <c r="T307" i="8"/>
  <c r="U307" i="8"/>
  <c r="V307" i="8"/>
  <c r="W307" i="8"/>
  <c r="X307" i="8"/>
  <c r="Y307" i="8"/>
  <c r="Z307" i="8"/>
  <c r="AA307" i="8"/>
  <c r="AB307" i="8"/>
  <c r="AC307" i="8"/>
  <c r="R308" i="8"/>
  <c r="S308" i="8"/>
  <c r="T308" i="8"/>
  <c r="U308" i="8"/>
  <c r="V308" i="8"/>
  <c r="W308" i="8"/>
  <c r="X308" i="8"/>
  <c r="Y308" i="8"/>
  <c r="Z308" i="8"/>
  <c r="AA308" i="8"/>
  <c r="AB308" i="8"/>
  <c r="AC308" i="8"/>
  <c r="R309" i="8"/>
  <c r="S309" i="8"/>
  <c r="T309" i="8"/>
  <c r="U309" i="8"/>
  <c r="V309" i="8"/>
  <c r="W309" i="8"/>
  <c r="X309" i="8"/>
  <c r="Y309" i="8"/>
  <c r="Z309" i="8"/>
  <c r="AA309" i="8"/>
  <c r="AB309" i="8"/>
  <c r="AC309" i="8"/>
  <c r="R310" i="8"/>
  <c r="S310" i="8"/>
  <c r="T310" i="8"/>
  <c r="U310" i="8"/>
  <c r="V310" i="8"/>
  <c r="W310" i="8"/>
  <c r="X310" i="8"/>
  <c r="Y310" i="8"/>
  <c r="Z310" i="8"/>
  <c r="AA310" i="8"/>
  <c r="AB310" i="8"/>
  <c r="AC310" i="8"/>
  <c r="R311" i="8"/>
  <c r="S311" i="8"/>
  <c r="T311" i="8"/>
  <c r="U311" i="8"/>
  <c r="V311" i="8"/>
  <c r="W311" i="8"/>
  <c r="X311" i="8"/>
  <c r="Y311" i="8"/>
  <c r="Z311" i="8"/>
  <c r="AA311" i="8"/>
  <c r="AB311" i="8"/>
  <c r="AC311" i="8"/>
  <c r="R312" i="8"/>
  <c r="S312" i="8"/>
  <c r="T312" i="8"/>
  <c r="U312" i="8"/>
  <c r="V312" i="8"/>
  <c r="W312" i="8"/>
  <c r="X312" i="8"/>
  <c r="Y312" i="8"/>
  <c r="Z312" i="8"/>
  <c r="AA312" i="8"/>
  <c r="AB312" i="8"/>
  <c r="AC312" i="8"/>
  <c r="R313" i="8"/>
  <c r="S313" i="8"/>
  <c r="T313" i="8"/>
  <c r="U313" i="8"/>
  <c r="V313" i="8"/>
  <c r="W313" i="8"/>
  <c r="X313" i="8"/>
  <c r="Y313" i="8"/>
  <c r="Z313" i="8"/>
  <c r="AA313" i="8"/>
  <c r="AB313" i="8"/>
  <c r="AC313" i="8"/>
  <c r="R314" i="8"/>
  <c r="S314" i="8"/>
  <c r="T314" i="8"/>
  <c r="U314" i="8"/>
  <c r="V314" i="8"/>
  <c r="W314" i="8"/>
  <c r="X314" i="8"/>
  <c r="Y314" i="8"/>
  <c r="Z314" i="8"/>
  <c r="AA314" i="8"/>
  <c r="AB314" i="8"/>
  <c r="AC314" i="8"/>
  <c r="R315" i="8"/>
  <c r="S315" i="8"/>
  <c r="T315" i="8"/>
  <c r="U315" i="8"/>
  <c r="V315" i="8"/>
  <c r="W315" i="8"/>
  <c r="X315" i="8"/>
  <c r="Y315" i="8"/>
  <c r="Z315" i="8"/>
  <c r="AA315" i="8"/>
  <c r="AB315" i="8"/>
  <c r="AC315" i="8"/>
  <c r="R316" i="8"/>
  <c r="S316" i="8"/>
  <c r="T316" i="8"/>
  <c r="U316" i="8"/>
  <c r="V316" i="8"/>
  <c r="W316" i="8"/>
  <c r="X316" i="8"/>
  <c r="Y316" i="8"/>
  <c r="Z316" i="8"/>
  <c r="AA316" i="8"/>
  <c r="AB316" i="8"/>
  <c r="AC316" i="8"/>
  <c r="R317" i="8"/>
  <c r="S317" i="8"/>
  <c r="T317" i="8"/>
  <c r="U317" i="8"/>
  <c r="V317" i="8"/>
  <c r="W317" i="8"/>
  <c r="X317" i="8"/>
  <c r="Y317" i="8"/>
  <c r="Z317" i="8"/>
  <c r="AA317" i="8"/>
  <c r="AB317" i="8"/>
  <c r="AC317" i="8"/>
  <c r="R318" i="8"/>
  <c r="S318" i="8"/>
  <c r="T318" i="8"/>
  <c r="U318" i="8"/>
  <c r="V318" i="8"/>
  <c r="W318" i="8"/>
  <c r="X318" i="8"/>
  <c r="Y318" i="8"/>
  <c r="Z318" i="8"/>
  <c r="AA318" i="8"/>
  <c r="AB318" i="8"/>
  <c r="AC318" i="8"/>
  <c r="R319" i="8"/>
  <c r="S319" i="8"/>
  <c r="T319" i="8"/>
  <c r="U319" i="8"/>
  <c r="V319" i="8"/>
  <c r="W319" i="8"/>
  <c r="X319" i="8"/>
  <c r="Y319" i="8"/>
  <c r="Z319" i="8"/>
  <c r="AA319" i="8"/>
  <c r="AB319" i="8"/>
  <c r="AC319" i="8"/>
  <c r="R320" i="8"/>
  <c r="S320" i="8"/>
  <c r="T320" i="8"/>
  <c r="U320" i="8"/>
  <c r="V320" i="8"/>
  <c r="W320" i="8"/>
  <c r="X320" i="8"/>
  <c r="Y320" i="8"/>
  <c r="Z320" i="8"/>
  <c r="AA320" i="8"/>
  <c r="AB320" i="8"/>
  <c r="AC320" i="8"/>
  <c r="R321" i="8"/>
  <c r="S321" i="8"/>
  <c r="T321" i="8"/>
  <c r="U321" i="8"/>
  <c r="V321" i="8"/>
  <c r="W321" i="8"/>
  <c r="X321" i="8"/>
  <c r="Y321" i="8"/>
  <c r="Z321" i="8"/>
  <c r="AA321" i="8"/>
  <c r="AB321" i="8"/>
  <c r="AC321" i="8"/>
  <c r="R322" i="8"/>
  <c r="S322" i="8"/>
  <c r="T322" i="8"/>
  <c r="U322" i="8"/>
  <c r="V322" i="8"/>
  <c r="W322" i="8"/>
  <c r="X322" i="8"/>
  <c r="Y322" i="8"/>
  <c r="Z322" i="8"/>
  <c r="AA322" i="8"/>
  <c r="AB322" i="8"/>
  <c r="AC322" i="8"/>
  <c r="R323" i="8"/>
  <c r="S323" i="8"/>
  <c r="T323" i="8"/>
  <c r="U323" i="8"/>
  <c r="V323" i="8"/>
  <c r="W323" i="8"/>
  <c r="X323" i="8"/>
  <c r="Y323" i="8"/>
  <c r="Z323" i="8"/>
  <c r="AA323" i="8"/>
  <c r="AB323" i="8"/>
  <c r="AC323" i="8"/>
  <c r="R324" i="8"/>
  <c r="S324" i="8"/>
  <c r="T324" i="8"/>
  <c r="U324" i="8"/>
  <c r="V324" i="8"/>
  <c r="W324" i="8"/>
  <c r="X324" i="8"/>
  <c r="Y324" i="8"/>
  <c r="Z324" i="8"/>
  <c r="AA324" i="8"/>
  <c r="AB324" i="8"/>
  <c r="AC324" i="8"/>
  <c r="R325" i="8"/>
  <c r="S325" i="8"/>
  <c r="T325" i="8"/>
  <c r="U325" i="8"/>
  <c r="V325" i="8"/>
  <c r="W325" i="8"/>
  <c r="X325" i="8"/>
  <c r="Y325" i="8"/>
  <c r="Z325" i="8"/>
  <c r="AA325" i="8"/>
  <c r="AB325" i="8"/>
  <c r="AC325" i="8"/>
  <c r="R326" i="8"/>
  <c r="S326" i="8"/>
  <c r="T326" i="8"/>
  <c r="U326" i="8"/>
  <c r="V326" i="8"/>
  <c r="W326" i="8"/>
  <c r="X326" i="8"/>
  <c r="Y326" i="8"/>
  <c r="Z326" i="8"/>
  <c r="AA326" i="8"/>
  <c r="AB326" i="8"/>
  <c r="AC326" i="8"/>
  <c r="R30" i="8"/>
  <c r="S30" i="8"/>
  <c r="T30" i="8"/>
  <c r="U30" i="8"/>
  <c r="V30" i="8"/>
  <c r="W30" i="8"/>
  <c r="X30" i="8"/>
  <c r="Y30" i="8"/>
  <c r="Z30" i="8"/>
  <c r="AA30" i="8"/>
  <c r="AB30" i="8"/>
  <c r="AC30" i="8"/>
  <c r="R327" i="8"/>
  <c r="S327" i="8"/>
  <c r="T327" i="8"/>
  <c r="U327" i="8"/>
  <c r="V327" i="8"/>
  <c r="W327" i="8"/>
  <c r="X327" i="8"/>
  <c r="Y327" i="8"/>
  <c r="Z327" i="8"/>
  <c r="AA327" i="8"/>
  <c r="AB327" i="8"/>
  <c r="AC327" i="8"/>
  <c r="R328" i="8"/>
  <c r="S328" i="8"/>
  <c r="T328" i="8"/>
  <c r="U328" i="8"/>
  <c r="V328" i="8"/>
  <c r="W328" i="8"/>
  <c r="X328" i="8"/>
  <c r="Y328" i="8"/>
  <c r="Z328" i="8"/>
  <c r="AA328" i="8"/>
  <c r="AB328" i="8"/>
  <c r="AC328" i="8"/>
  <c r="R329" i="8"/>
  <c r="S329" i="8"/>
  <c r="T329" i="8"/>
  <c r="U329" i="8"/>
  <c r="V329" i="8"/>
  <c r="W329" i="8"/>
  <c r="X329" i="8"/>
  <c r="Y329" i="8"/>
  <c r="Z329" i="8"/>
  <c r="AA329" i="8"/>
  <c r="AB329" i="8"/>
  <c r="AC329" i="8"/>
  <c r="R330" i="8"/>
  <c r="S330" i="8"/>
  <c r="T330" i="8"/>
  <c r="U330" i="8"/>
  <c r="V330" i="8"/>
  <c r="W330" i="8"/>
  <c r="X330" i="8"/>
  <c r="Y330" i="8"/>
  <c r="Z330" i="8"/>
  <c r="AA330" i="8"/>
  <c r="AB330" i="8"/>
  <c r="AC330" i="8"/>
  <c r="R331" i="8"/>
  <c r="S331" i="8"/>
  <c r="T331" i="8"/>
  <c r="U331" i="8"/>
  <c r="V331" i="8"/>
  <c r="W331" i="8"/>
  <c r="X331" i="8"/>
  <c r="Y331" i="8"/>
  <c r="Z331" i="8"/>
  <c r="AA331" i="8"/>
  <c r="AB331" i="8"/>
  <c r="AC331" i="8"/>
  <c r="R31" i="8"/>
  <c r="S31" i="8"/>
  <c r="T31" i="8"/>
  <c r="U31" i="8"/>
  <c r="V31" i="8"/>
  <c r="W31" i="8"/>
  <c r="X31" i="8"/>
  <c r="Y31" i="8"/>
  <c r="Z31" i="8"/>
  <c r="AA31" i="8"/>
  <c r="AB31" i="8"/>
  <c r="AC31" i="8"/>
  <c r="R332" i="8"/>
  <c r="S332" i="8"/>
  <c r="T332" i="8"/>
  <c r="U332" i="8"/>
  <c r="V332" i="8"/>
  <c r="W332" i="8"/>
  <c r="X332" i="8"/>
  <c r="Y332" i="8"/>
  <c r="Z332" i="8"/>
  <c r="AA332" i="8"/>
  <c r="AB332" i="8"/>
  <c r="AC332" i="8"/>
  <c r="R333" i="8"/>
  <c r="S333" i="8"/>
  <c r="T333" i="8"/>
  <c r="U333" i="8"/>
  <c r="V333" i="8"/>
  <c r="W333" i="8"/>
  <c r="X333" i="8"/>
  <c r="Y333" i="8"/>
  <c r="Z333" i="8"/>
  <c r="AA333" i="8"/>
  <c r="AB333" i="8"/>
  <c r="AC333" i="8"/>
  <c r="R334" i="8"/>
  <c r="S334" i="8"/>
  <c r="T334" i="8"/>
  <c r="U334" i="8"/>
  <c r="V334" i="8"/>
  <c r="W334" i="8"/>
  <c r="X334" i="8"/>
  <c r="Y334" i="8"/>
  <c r="Z334" i="8"/>
  <c r="AA334" i="8"/>
  <c r="AB334" i="8"/>
  <c r="AC334" i="8"/>
  <c r="R335" i="8"/>
  <c r="S335" i="8"/>
  <c r="T335" i="8"/>
  <c r="U335" i="8"/>
  <c r="V335" i="8"/>
  <c r="W335" i="8"/>
  <c r="X335" i="8"/>
  <c r="Y335" i="8"/>
  <c r="Z335" i="8"/>
  <c r="AA335" i="8"/>
  <c r="AB335" i="8"/>
  <c r="AC335" i="8"/>
  <c r="R336" i="8"/>
  <c r="S336" i="8"/>
  <c r="T336" i="8"/>
  <c r="U336" i="8"/>
  <c r="V336" i="8"/>
  <c r="W336" i="8"/>
  <c r="X336" i="8"/>
  <c r="Y336" i="8"/>
  <c r="Z336" i="8"/>
  <c r="AA336" i="8"/>
  <c r="AB336" i="8"/>
  <c r="AC336" i="8"/>
  <c r="R337" i="8"/>
  <c r="S337" i="8"/>
  <c r="T337" i="8"/>
  <c r="U337" i="8"/>
  <c r="V337" i="8"/>
  <c r="W337" i="8"/>
  <c r="X337" i="8"/>
  <c r="Y337" i="8"/>
  <c r="Z337" i="8"/>
  <c r="AA337" i="8"/>
  <c r="AB337" i="8"/>
  <c r="AC337" i="8"/>
  <c r="R338" i="8"/>
  <c r="S338" i="8"/>
  <c r="T338" i="8"/>
  <c r="U338" i="8"/>
  <c r="V338" i="8"/>
  <c r="W338" i="8"/>
  <c r="X338" i="8"/>
  <c r="Y338" i="8"/>
  <c r="Z338" i="8"/>
  <c r="AA338" i="8"/>
  <c r="AB338" i="8"/>
  <c r="AC338" i="8"/>
  <c r="R339" i="8"/>
  <c r="S339" i="8"/>
  <c r="T339" i="8"/>
  <c r="U339" i="8"/>
  <c r="V339" i="8"/>
  <c r="W339" i="8"/>
  <c r="X339" i="8"/>
  <c r="Y339" i="8"/>
  <c r="Z339" i="8"/>
  <c r="AA339" i="8"/>
  <c r="AB339" i="8"/>
  <c r="AC339" i="8"/>
  <c r="R340" i="8"/>
  <c r="S340" i="8"/>
  <c r="T340" i="8"/>
  <c r="U340" i="8"/>
  <c r="V340" i="8"/>
  <c r="W340" i="8"/>
  <c r="X340" i="8"/>
  <c r="Y340" i="8"/>
  <c r="Z340" i="8"/>
  <c r="AA340" i="8"/>
  <c r="AB340" i="8"/>
  <c r="AC340" i="8"/>
  <c r="R341" i="8"/>
  <c r="S341" i="8"/>
  <c r="T341" i="8"/>
  <c r="U341" i="8"/>
  <c r="V341" i="8"/>
  <c r="W341" i="8"/>
  <c r="X341" i="8"/>
  <c r="Y341" i="8"/>
  <c r="Z341" i="8"/>
  <c r="AA341" i="8"/>
  <c r="AB341" i="8"/>
  <c r="AC341" i="8"/>
  <c r="R342" i="8"/>
  <c r="S342" i="8"/>
  <c r="T342" i="8"/>
  <c r="U342" i="8"/>
  <c r="V342" i="8"/>
  <c r="W342" i="8"/>
  <c r="X342" i="8"/>
  <c r="Y342" i="8"/>
  <c r="Z342" i="8"/>
  <c r="AA342" i="8"/>
  <c r="AB342" i="8"/>
  <c r="AC342" i="8"/>
  <c r="R343" i="8"/>
  <c r="S343" i="8"/>
  <c r="T343" i="8"/>
  <c r="U343" i="8"/>
  <c r="V343" i="8"/>
  <c r="W343" i="8"/>
  <c r="X343" i="8"/>
  <c r="Y343" i="8"/>
  <c r="Z343" i="8"/>
  <c r="AA343" i="8"/>
  <c r="AB343" i="8"/>
  <c r="AC343" i="8"/>
  <c r="R344" i="8"/>
  <c r="S344" i="8"/>
  <c r="T344" i="8"/>
  <c r="U344" i="8"/>
  <c r="V344" i="8"/>
  <c r="W344" i="8"/>
  <c r="X344" i="8"/>
  <c r="Y344" i="8"/>
  <c r="Z344" i="8"/>
  <c r="AA344" i="8"/>
  <c r="AB344" i="8"/>
  <c r="AC344" i="8"/>
  <c r="R345" i="8"/>
  <c r="S345" i="8"/>
  <c r="T345" i="8"/>
  <c r="U345" i="8"/>
  <c r="V345" i="8"/>
  <c r="W345" i="8"/>
  <c r="X345" i="8"/>
  <c r="Y345" i="8"/>
  <c r="Z345" i="8"/>
  <c r="AA345" i="8"/>
  <c r="AB345" i="8"/>
  <c r="AC345" i="8"/>
  <c r="R346" i="8"/>
  <c r="S346" i="8"/>
  <c r="T346" i="8"/>
  <c r="U346" i="8"/>
  <c r="V346" i="8"/>
  <c r="W346" i="8"/>
  <c r="X346" i="8"/>
  <c r="Y346" i="8"/>
  <c r="Z346" i="8"/>
  <c r="AA346" i="8"/>
  <c r="AB346" i="8"/>
  <c r="AC346" i="8"/>
  <c r="R347" i="8"/>
  <c r="S347" i="8"/>
  <c r="T347" i="8"/>
  <c r="U347" i="8"/>
  <c r="V347" i="8"/>
  <c r="W347" i="8"/>
  <c r="X347" i="8"/>
  <c r="Y347" i="8"/>
  <c r="Z347" i="8"/>
  <c r="AA347" i="8"/>
  <c r="AB347" i="8"/>
  <c r="AC347" i="8"/>
  <c r="R348" i="8"/>
  <c r="S348" i="8"/>
  <c r="T348" i="8"/>
  <c r="U348" i="8"/>
  <c r="V348" i="8"/>
  <c r="W348" i="8"/>
  <c r="X348" i="8"/>
  <c r="Y348" i="8"/>
  <c r="Z348" i="8"/>
  <c r="AA348" i="8"/>
  <c r="AB348" i="8"/>
  <c r="AC348" i="8"/>
  <c r="R349" i="8"/>
  <c r="S349" i="8"/>
  <c r="T349" i="8"/>
  <c r="U349" i="8"/>
  <c r="V349" i="8"/>
  <c r="W349" i="8"/>
  <c r="X349" i="8"/>
  <c r="Y349" i="8"/>
  <c r="Z349" i="8"/>
  <c r="AA349" i="8"/>
  <c r="AB349" i="8"/>
  <c r="AC349" i="8"/>
  <c r="R350" i="8"/>
  <c r="S350" i="8"/>
  <c r="T350" i="8"/>
  <c r="U350" i="8"/>
  <c r="V350" i="8"/>
  <c r="W350" i="8"/>
  <c r="X350" i="8"/>
  <c r="Y350" i="8"/>
  <c r="Z350" i="8"/>
  <c r="AA350" i="8"/>
  <c r="AB350" i="8"/>
  <c r="AC350" i="8"/>
  <c r="R32" i="8"/>
  <c r="S32" i="8"/>
  <c r="T32" i="8"/>
  <c r="U32" i="8"/>
  <c r="V32" i="8"/>
  <c r="W32" i="8"/>
  <c r="X32" i="8"/>
  <c r="Y32" i="8"/>
  <c r="Z32" i="8"/>
  <c r="AA32" i="8"/>
  <c r="AB32" i="8"/>
  <c r="AC32" i="8"/>
  <c r="R351" i="8"/>
  <c r="S351" i="8"/>
  <c r="T351" i="8"/>
  <c r="U351" i="8"/>
  <c r="V351" i="8"/>
  <c r="W351" i="8"/>
  <c r="X351" i="8"/>
  <c r="Y351" i="8"/>
  <c r="Z351" i="8"/>
  <c r="AA351" i="8"/>
  <c r="AB351" i="8"/>
  <c r="AC351" i="8"/>
  <c r="R352" i="8"/>
  <c r="S352" i="8"/>
  <c r="T352" i="8"/>
  <c r="U352" i="8"/>
  <c r="V352" i="8"/>
  <c r="W352" i="8"/>
  <c r="X352" i="8"/>
  <c r="Y352" i="8"/>
  <c r="Z352" i="8"/>
  <c r="AA352" i="8"/>
  <c r="AB352" i="8"/>
  <c r="AC352" i="8"/>
  <c r="R353" i="8"/>
  <c r="S353" i="8"/>
  <c r="T353" i="8"/>
  <c r="U353" i="8"/>
  <c r="V353" i="8"/>
  <c r="W353" i="8"/>
  <c r="X353" i="8"/>
  <c r="Y353" i="8"/>
  <c r="Z353" i="8"/>
  <c r="AA353" i="8"/>
  <c r="AB353" i="8"/>
  <c r="AC353" i="8"/>
  <c r="R354" i="8"/>
  <c r="S354" i="8"/>
  <c r="T354" i="8"/>
  <c r="U354" i="8"/>
  <c r="V354" i="8"/>
  <c r="W354" i="8"/>
  <c r="X354" i="8"/>
  <c r="Y354" i="8"/>
  <c r="Z354" i="8"/>
  <c r="AA354" i="8"/>
  <c r="AB354" i="8"/>
  <c r="AC354" i="8"/>
  <c r="R355" i="8"/>
  <c r="S355" i="8"/>
  <c r="T355" i="8"/>
  <c r="U355" i="8"/>
  <c r="V355" i="8"/>
  <c r="W355" i="8"/>
  <c r="X355" i="8"/>
  <c r="Y355" i="8"/>
  <c r="Z355" i="8"/>
  <c r="AA355" i="8"/>
  <c r="AB355" i="8"/>
  <c r="AC355" i="8"/>
  <c r="R356" i="8"/>
  <c r="S356" i="8"/>
  <c r="T356" i="8"/>
  <c r="U356" i="8"/>
  <c r="V356" i="8"/>
  <c r="W356" i="8"/>
  <c r="X356" i="8"/>
  <c r="Y356" i="8"/>
  <c r="Z356" i="8"/>
  <c r="AA356" i="8"/>
  <c r="AB356" i="8"/>
  <c r="AC356" i="8"/>
  <c r="R357" i="8"/>
  <c r="S357" i="8"/>
  <c r="T357" i="8"/>
  <c r="U357" i="8"/>
  <c r="V357" i="8"/>
  <c r="W357" i="8"/>
  <c r="X357" i="8"/>
  <c r="Y357" i="8"/>
  <c r="Z357" i="8"/>
  <c r="AA357" i="8"/>
  <c r="AB357" i="8"/>
  <c r="AC357" i="8"/>
  <c r="R358" i="8"/>
  <c r="S358" i="8"/>
  <c r="T358" i="8"/>
  <c r="U358" i="8"/>
  <c r="V358" i="8"/>
  <c r="W358" i="8"/>
  <c r="X358" i="8"/>
  <c r="Y358" i="8"/>
  <c r="Z358" i="8"/>
  <c r="AA358" i="8"/>
  <c r="AB358" i="8"/>
  <c r="AC358" i="8"/>
  <c r="R359" i="8"/>
  <c r="S359" i="8"/>
  <c r="T359" i="8"/>
  <c r="U359" i="8"/>
  <c r="V359" i="8"/>
  <c r="W359" i="8"/>
  <c r="X359" i="8"/>
  <c r="Y359" i="8"/>
  <c r="Z359" i="8"/>
  <c r="AA359" i="8"/>
  <c r="AB359" i="8"/>
  <c r="AC359" i="8"/>
  <c r="R360" i="8"/>
  <c r="S360" i="8"/>
  <c r="T360" i="8"/>
  <c r="U360" i="8"/>
  <c r="V360" i="8"/>
  <c r="W360" i="8"/>
  <c r="X360" i="8"/>
  <c r="Y360" i="8"/>
  <c r="Z360" i="8"/>
  <c r="AA360" i="8"/>
  <c r="AB360" i="8"/>
  <c r="AC360" i="8"/>
  <c r="R33" i="8"/>
  <c r="S33" i="8"/>
  <c r="T33" i="8"/>
  <c r="U33" i="8"/>
  <c r="V33" i="8"/>
  <c r="W33" i="8"/>
  <c r="X33" i="8"/>
  <c r="Y33" i="8"/>
  <c r="Z33" i="8"/>
  <c r="AA33" i="8"/>
  <c r="AB33" i="8"/>
  <c r="AC33" i="8"/>
  <c r="R361" i="8"/>
  <c r="S361" i="8"/>
  <c r="T361" i="8"/>
  <c r="U361" i="8"/>
  <c r="V361" i="8"/>
  <c r="W361" i="8"/>
  <c r="X361" i="8"/>
  <c r="Y361" i="8"/>
  <c r="Z361" i="8"/>
  <c r="AA361" i="8"/>
  <c r="AB361" i="8"/>
  <c r="AC361" i="8"/>
  <c r="R362" i="8"/>
  <c r="S362" i="8"/>
  <c r="T362" i="8"/>
  <c r="U362" i="8"/>
  <c r="V362" i="8"/>
  <c r="W362" i="8"/>
  <c r="X362" i="8"/>
  <c r="Y362" i="8"/>
  <c r="Z362" i="8"/>
  <c r="AA362" i="8"/>
  <c r="AB362" i="8"/>
  <c r="AC362" i="8"/>
  <c r="R363" i="8"/>
  <c r="S363" i="8"/>
  <c r="T363" i="8"/>
  <c r="U363" i="8"/>
  <c r="V363" i="8"/>
  <c r="W363" i="8"/>
  <c r="X363" i="8"/>
  <c r="Y363" i="8"/>
  <c r="Z363" i="8"/>
  <c r="AA363" i="8"/>
  <c r="AB363" i="8"/>
  <c r="AC363" i="8"/>
  <c r="R364" i="8"/>
  <c r="S364" i="8"/>
  <c r="T364" i="8"/>
  <c r="U364" i="8"/>
  <c r="V364" i="8"/>
  <c r="W364" i="8"/>
  <c r="X364" i="8"/>
  <c r="Y364" i="8"/>
  <c r="Z364" i="8"/>
  <c r="AA364" i="8"/>
  <c r="AB364" i="8"/>
  <c r="AC364" i="8"/>
  <c r="R365" i="8"/>
  <c r="S365" i="8"/>
  <c r="T365" i="8"/>
  <c r="U365" i="8"/>
  <c r="V365" i="8"/>
  <c r="W365" i="8"/>
  <c r="X365" i="8"/>
  <c r="Y365" i="8"/>
  <c r="Z365" i="8"/>
  <c r="AA365" i="8"/>
  <c r="AB365" i="8"/>
  <c r="AC365" i="8"/>
  <c r="R366" i="8"/>
  <c r="S366" i="8"/>
  <c r="T366" i="8"/>
  <c r="U366" i="8"/>
  <c r="V366" i="8"/>
  <c r="W366" i="8"/>
  <c r="X366" i="8"/>
  <c r="Y366" i="8"/>
  <c r="Z366" i="8"/>
  <c r="AA366" i="8"/>
  <c r="AB366" i="8"/>
  <c r="AC366" i="8"/>
  <c r="R367" i="8"/>
  <c r="S367" i="8"/>
  <c r="T367" i="8"/>
  <c r="U367" i="8"/>
  <c r="V367" i="8"/>
  <c r="W367" i="8"/>
  <c r="X367" i="8"/>
  <c r="Y367" i="8"/>
  <c r="Z367" i="8"/>
  <c r="AA367" i="8"/>
  <c r="AB367" i="8"/>
  <c r="AC367" i="8"/>
  <c r="R34" i="8"/>
  <c r="S34" i="8"/>
  <c r="T34" i="8"/>
  <c r="U34" i="8"/>
  <c r="V34" i="8"/>
  <c r="W34" i="8"/>
  <c r="X34" i="8"/>
  <c r="Y34" i="8"/>
  <c r="Z34" i="8"/>
  <c r="AA34" i="8"/>
  <c r="AB34" i="8"/>
  <c r="AC34" i="8"/>
  <c r="R368" i="8"/>
  <c r="S368" i="8"/>
  <c r="T368" i="8"/>
  <c r="U368" i="8"/>
  <c r="V368" i="8"/>
  <c r="W368" i="8"/>
  <c r="X368" i="8"/>
  <c r="Y368" i="8"/>
  <c r="Z368" i="8"/>
  <c r="AA368" i="8"/>
  <c r="AB368" i="8"/>
  <c r="AC368" i="8"/>
  <c r="R369" i="8"/>
  <c r="S369" i="8"/>
  <c r="T369" i="8"/>
  <c r="U369" i="8"/>
  <c r="V369" i="8"/>
  <c r="W369" i="8"/>
  <c r="X369" i="8"/>
  <c r="Y369" i="8"/>
  <c r="Z369" i="8"/>
  <c r="AA369" i="8"/>
  <c r="AB369" i="8"/>
  <c r="AC369" i="8"/>
  <c r="R370" i="8"/>
  <c r="S370" i="8"/>
  <c r="T370" i="8"/>
  <c r="U370" i="8"/>
  <c r="V370" i="8"/>
  <c r="W370" i="8"/>
  <c r="X370" i="8"/>
  <c r="Y370" i="8"/>
  <c r="Z370" i="8"/>
  <c r="AA370" i="8"/>
  <c r="AB370" i="8"/>
  <c r="AC370" i="8"/>
  <c r="R35" i="8"/>
  <c r="S35" i="8"/>
  <c r="T35" i="8"/>
  <c r="U35" i="8"/>
  <c r="V35" i="8"/>
  <c r="W35" i="8"/>
  <c r="X35" i="8"/>
  <c r="Y35" i="8"/>
  <c r="Z35" i="8"/>
  <c r="AA35" i="8"/>
  <c r="AB35" i="8"/>
  <c r="AC35" i="8"/>
  <c r="R371" i="8"/>
  <c r="S371" i="8"/>
  <c r="T371" i="8"/>
  <c r="U371" i="8"/>
  <c r="V371" i="8"/>
  <c r="W371" i="8"/>
  <c r="X371" i="8"/>
  <c r="Y371" i="8"/>
  <c r="Z371" i="8"/>
  <c r="AA371" i="8"/>
  <c r="AB371" i="8"/>
  <c r="AC371" i="8"/>
  <c r="R372" i="8"/>
  <c r="S372" i="8"/>
  <c r="T372" i="8"/>
  <c r="U372" i="8"/>
  <c r="V372" i="8"/>
  <c r="W372" i="8"/>
  <c r="X372" i="8"/>
  <c r="Y372" i="8"/>
  <c r="Z372" i="8"/>
  <c r="AA372" i="8"/>
  <c r="AB372" i="8"/>
  <c r="AC372" i="8"/>
  <c r="R373" i="8"/>
  <c r="S373" i="8"/>
  <c r="T373" i="8"/>
  <c r="U373" i="8"/>
  <c r="V373" i="8"/>
  <c r="W373" i="8"/>
  <c r="X373" i="8"/>
  <c r="Y373" i="8"/>
  <c r="Z373" i="8"/>
  <c r="AA373" i="8"/>
  <c r="AB373" i="8"/>
  <c r="AC373" i="8"/>
  <c r="R374" i="8"/>
  <c r="S374" i="8"/>
  <c r="T374" i="8"/>
  <c r="U374" i="8"/>
  <c r="V374" i="8"/>
  <c r="W374" i="8"/>
  <c r="X374" i="8"/>
  <c r="Y374" i="8"/>
  <c r="Z374" i="8"/>
  <c r="AA374" i="8"/>
  <c r="AB374" i="8"/>
  <c r="AC374" i="8"/>
  <c r="R375" i="8"/>
  <c r="S375" i="8"/>
  <c r="T375" i="8"/>
  <c r="U375" i="8"/>
  <c r="V375" i="8"/>
  <c r="W375" i="8"/>
  <c r="X375" i="8"/>
  <c r="Y375" i="8"/>
  <c r="Z375" i="8"/>
  <c r="AA375" i="8"/>
  <c r="AB375" i="8"/>
  <c r="AC375" i="8"/>
  <c r="R376" i="8"/>
  <c r="S376" i="8"/>
  <c r="T376" i="8"/>
  <c r="U376" i="8"/>
  <c r="V376" i="8"/>
  <c r="W376" i="8"/>
  <c r="X376" i="8"/>
  <c r="Y376" i="8"/>
  <c r="Z376" i="8"/>
  <c r="AA376" i="8"/>
  <c r="AB376" i="8"/>
  <c r="AC376" i="8"/>
  <c r="R377" i="8"/>
  <c r="S377" i="8"/>
  <c r="T377" i="8"/>
  <c r="U377" i="8"/>
  <c r="V377" i="8"/>
  <c r="W377" i="8"/>
  <c r="X377" i="8"/>
  <c r="Y377" i="8"/>
  <c r="Z377" i="8"/>
  <c r="AA377" i="8"/>
  <c r="AB377" i="8"/>
  <c r="AC377" i="8"/>
  <c r="R378" i="8"/>
  <c r="S378" i="8"/>
  <c r="T378" i="8"/>
  <c r="U378" i="8"/>
  <c r="V378" i="8"/>
  <c r="W378" i="8"/>
  <c r="X378" i="8"/>
  <c r="Y378" i="8"/>
  <c r="Z378" i="8"/>
  <c r="AA378" i="8"/>
  <c r="AB378" i="8"/>
  <c r="AC378" i="8"/>
  <c r="R379" i="8"/>
  <c r="S379" i="8"/>
  <c r="T379" i="8"/>
  <c r="U379" i="8"/>
  <c r="V379" i="8"/>
  <c r="W379" i="8"/>
  <c r="X379" i="8"/>
  <c r="Y379" i="8"/>
  <c r="Z379" i="8"/>
  <c r="AA379" i="8"/>
  <c r="AB379" i="8"/>
  <c r="AC379" i="8"/>
  <c r="R380" i="8"/>
  <c r="S380" i="8"/>
  <c r="T380" i="8"/>
  <c r="U380" i="8"/>
  <c r="V380" i="8"/>
  <c r="W380" i="8"/>
  <c r="X380" i="8"/>
  <c r="Y380" i="8"/>
  <c r="Z380" i="8"/>
  <c r="AA380" i="8"/>
  <c r="AB380" i="8"/>
  <c r="AC380" i="8"/>
  <c r="R381" i="8"/>
  <c r="S381" i="8"/>
  <c r="T381" i="8"/>
  <c r="U381" i="8"/>
  <c r="V381" i="8"/>
  <c r="W381" i="8"/>
  <c r="X381" i="8"/>
  <c r="Y381" i="8"/>
  <c r="Z381" i="8"/>
  <c r="AA381" i="8"/>
  <c r="AB381" i="8"/>
  <c r="AC381" i="8"/>
  <c r="R382" i="8"/>
  <c r="S382" i="8"/>
  <c r="T382" i="8"/>
  <c r="U382" i="8"/>
  <c r="V382" i="8"/>
  <c r="W382" i="8"/>
  <c r="X382" i="8"/>
  <c r="Y382" i="8"/>
  <c r="Z382" i="8"/>
  <c r="AA382" i="8"/>
  <c r="AB382" i="8"/>
  <c r="AC382" i="8"/>
  <c r="R383" i="8"/>
  <c r="S383" i="8"/>
  <c r="T383" i="8"/>
  <c r="U383" i="8"/>
  <c r="V383" i="8"/>
  <c r="W383" i="8"/>
  <c r="X383" i="8"/>
  <c r="Y383" i="8"/>
  <c r="Z383" i="8"/>
  <c r="AA383" i="8"/>
  <c r="AB383" i="8"/>
  <c r="AC383" i="8"/>
  <c r="R384" i="8"/>
  <c r="S384" i="8"/>
  <c r="T384" i="8"/>
  <c r="U384" i="8"/>
  <c r="V384" i="8"/>
  <c r="W384" i="8"/>
  <c r="X384" i="8"/>
  <c r="Y384" i="8"/>
  <c r="Z384" i="8"/>
  <c r="AA384" i="8"/>
  <c r="AB384" i="8"/>
  <c r="AC384" i="8"/>
  <c r="R385" i="8"/>
  <c r="S385" i="8"/>
  <c r="T385" i="8"/>
  <c r="U385" i="8"/>
  <c r="V385" i="8"/>
  <c r="W385" i="8"/>
  <c r="X385" i="8"/>
  <c r="Y385" i="8"/>
  <c r="Z385" i="8"/>
  <c r="AA385" i="8"/>
  <c r="AB385" i="8"/>
  <c r="AC385" i="8"/>
  <c r="R36" i="8"/>
  <c r="S36" i="8"/>
  <c r="T36" i="8"/>
  <c r="U36" i="8"/>
  <c r="V36" i="8"/>
  <c r="W36" i="8"/>
  <c r="X36" i="8"/>
  <c r="Y36" i="8"/>
  <c r="Z36" i="8"/>
  <c r="AA36" i="8"/>
  <c r="AB36" i="8"/>
  <c r="AC36" i="8"/>
  <c r="R386" i="8"/>
  <c r="S386" i="8"/>
  <c r="T386" i="8"/>
  <c r="U386" i="8"/>
  <c r="V386" i="8"/>
  <c r="W386" i="8"/>
  <c r="X386" i="8"/>
  <c r="Y386" i="8"/>
  <c r="Z386" i="8"/>
  <c r="AA386" i="8"/>
  <c r="AB386" i="8"/>
  <c r="AC386" i="8"/>
  <c r="R387" i="8"/>
  <c r="S387" i="8"/>
  <c r="T387" i="8"/>
  <c r="U387" i="8"/>
  <c r="V387" i="8"/>
  <c r="W387" i="8"/>
  <c r="X387" i="8"/>
  <c r="Y387" i="8"/>
  <c r="Z387" i="8"/>
  <c r="AA387" i="8"/>
  <c r="AB387" i="8"/>
  <c r="AC387" i="8"/>
  <c r="R388" i="8"/>
  <c r="S388" i="8"/>
  <c r="T388" i="8"/>
  <c r="U388" i="8"/>
  <c r="V388" i="8"/>
  <c r="W388" i="8"/>
  <c r="X388" i="8"/>
  <c r="Y388" i="8"/>
  <c r="Z388" i="8"/>
  <c r="AA388" i="8"/>
  <c r="AB388" i="8"/>
  <c r="AC388" i="8"/>
  <c r="R389" i="8"/>
  <c r="S389" i="8"/>
  <c r="T389" i="8"/>
  <c r="U389" i="8"/>
  <c r="V389" i="8"/>
  <c r="W389" i="8"/>
  <c r="X389" i="8"/>
  <c r="Y389" i="8"/>
  <c r="Z389" i="8"/>
  <c r="AA389" i="8"/>
  <c r="AB389" i="8"/>
  <c r="AC389" i="8"/>
  <c r="R390" i="8"/>
  <c r="S390" i="8"/>
  <c r="T390" i="8"/>
  <c r="U390" i="8"/>
  <c r="V390" i="8"/>
  <c r="W390" i="8"/>
  <c r="X390" i="8"/>
  <c r="Y390" i="8"/>
  <c r="Z390" i="8"/>
  <c r="AA390" i="8"/>
  <c r="AB390" i="8"/>
  <c r="AC390" i="8"/>
  <c r="R391" i="8"/>
  <c r="S391" i="8"/>
  <c r="T391" i="8"/>
  <c r="U391" i="8"/>
  <c r="V391" i="8"/>
  <c r="W391" i="8"/>
  <c r="X391" i="8"/>
  <c r="Y391" i="8"/>
  <c r="Z391" i="8"/>
  <c r="AA391" i="8"/>
  <c r="AB391" i="8"/>
  <c r="AC391" i="8"/>
  <c r="R392" i="8"/>
  <c r="S392" i="8"/>
  <c r="T392" i="8"/>
  <c r="U392" i="8"/>
  <c r="V392" i="8"/>
  <c r="W392" i="8"/>
  <c r="X392" i="8"/>
  <c r="Y392" i="8"/>
  <c r="Z392" i="8"/>
  <c r="AA392" i="8"/>
  <c r="AB392" i="8"/>
  <c r="AC392" i="8"/>
  <c r="R393" i="8"/>
  <c r="S393" i="8"/>
  <c r="T393" i="8"/>
  <c r="U393" i="8"/>
  <c r="V393" i="8"/>
  <c r="W393" i="8"/>
  <c r="X393" i="8"/>
  <c r="Y393" i="8"/>
  <c r="Z393" i="8"/>
  <c r="AA393" i="8"/>
  <c r="AB393" i="8"/>
  <c r="AC393" i="8"/>
  <c r="R37" i="8"/>
  <c r="S37" i="8"/>
  <c r="T37" i="8"/>
  <c r="U37" i="8"/>
  <c r="V37" i="8"/>
  <c r="W37" i="8"/>
  <c r="X37" i="8"/>
  <c r="Y37" i="8"/>
  <c r="Z37" i="8"/>
  <c r="AA37" i="8"/>
  <c r="AB37" i="8"/>
  <c r="AC37" i="8"/>
  <c r="R394" i="8"/>
  <c r="S394" i="8"/>
  <c r="T394" i="8"/>
  <c r="U394" i="8"/>
  <c r="V394" i="8"/>
  <c r="W394" i="8"/>
  <c r="X394" i="8"/>
  <c r="Y394" i="8"/>
  <c r="Z394" i="8"/>
  <c r="AA394" i="8"/>
  <c r="AB394" i="8"/>
  <c r="AC394" i="8"/>
  <c r="R395" i="8"/>
  <c r="S395" i="8"/>
  <c r="T395" i="8"/>
  <c r="U395" i="8"/>
  <c r="V395" i="8"/>
  <c r="W395" i="8"/>
  <c r="X395" i="8"/>
  <c r="Y395" i="8"/>
  <c r="Z395" i="8"/>
  <c r="AA395" i="8"/>
  <c r="AB395" i="8"/>
  <c r="AC395" i="8"/>
  <c r="R396" i="8"/>
  <c r="S396" i="8"/>
  <c r="T396" i="8"/>
  <c r="U396" i="8"/>
  <c r="V396" i="8"/>
  <c r="W396" i="8"/>
  <c r="X396" i="8"/>
  <c r="Y396" i="8"/>
  <c r="Z396" i="8"/>
  <c r="AA396" i="8"/>
  <c r="AB396" i="8"/>
  <c r="AC396" i="8"/>
  <c r="R397" i="8"/>
  <c r="S397" i="8"/>
  <c r="T397" i="8"/>
  <c r="U397" i="8"/>
  <c r="V397" i="8"/>
  <c r="W397" i="8"/>
  <c r="X397" i="8"/>
  <c r="Y397" i="8"/>
  <c r="Z397" i="8"/>
  <c r="AA397" i="8"/>
  <c r="AB397" i="8"/>
  <c r="AC397" i="8"/>
  <c r="R398" i="8"/>
  <c r="S398" i="8"/>
  <c r="T398" i="8"/>
  <c r="U398" i="8"/>
  <c r="V398" i="8"/>
  <c r="W398" i="8"/>
  <c r="X398" i="8"/>
  <c r="Y398" i="8"/>
  <c r="Z398" i="8"/>
  <c r="AA398" i="8"/>
  <c r="AB398" i="8"/>
  <c r="AC398" i="8"/>
  <c r="R38" i="8"/>
  <c r="S38" i="8"/>
  <c r="T38" i="8"/>
  <c r="U38" i="8"/>
  <c r="V38" i="8"/>
  <c r="W38" i="8"/>
  <c r="X38" i="8"/>
  <c r="Y38" i="8"/>
  <c r="Z38" i="8"/>
  <c r="AA38" i="8"/>
  <c r="AB38" i="8"/>
  <c r="AC38" i="8"/>
  <c r="R399" i="8"/>
  <c r="S399" i="8"/>
  <c r="T399" i="8"/>
  <c r="U399" i="8"/>
  <c r="V399" i="8"/>
  <c r="W399" i="8"/>
  <c r="X399" i="8"/>
  <c r="Y399" i="8"/>
  <c r="Z399" i="8"/>
  <c r="AA399" i="8"/>
  <c r="AB399" i="8"/>
  <c r="AC399" i="8"/>
  <c r="R400" i="8"/>
  <c r="S400" i="8"/>
  <c r="T400" i="8"/>
  <c r="U400" i="8"/>
  <c r="V400" i="8"/>
  <c r="W400" i="8"/>
  <c r="X400" i="8"/>
  <c r="Y400" i="8"/>
  <c r="Z400" i="8"/>
  <c r="AA400" i="8"/>
  <c r="AB400" i="8"/>
  <c r="AC400" i="8"/>
  <c r="R401" i="8"/>
  <c r="S401" i="8"/>
  <c r="T401" i="8"/>
  <c r="U401" i="8"/>
  <c r="V401" i="8"/>
  <c r="W401" i="8"/>
  <c r="X401" i="8"/>
  <c r="Y401" i="8"/>
  <c r="Z401" i="8"/>
  <c r="AA401" i="8"/>
  <c r="AB401" i="8"/>
  <c r="AC401" i="8"/>
  <c r="R402" i="8"/>
  <c r="S402" i="8"/>
  <c r="T402" i="8"/>
  <c r="U402" i="8"/>
  <c r="V402" i="8"/>
  <c r="W402" i="8"/>
  <c r="X402" i="8"/>
  <c r="Y402" i="8"/>
  <c r="Z402" i="8"/>
  <c r="AA402" i="8"/>
  <c r="AB402" i="8"/>
  <c r="AC402" i="8"/>
  <c r="R403" i="8"/>
  <c r="S403" i="8"/>
  <c r="T403" i="8"/>
  <c r="U403" i="8"/>
  <c r="V403" i="8"/>
  <c r="W403" i="8"/>
  <c r="X403" i="8"/>
  <c r="Y403" i="8"/>
  <c r="Z403" i="8"/>
  <c r="AA403" i="8"/>
  <c r="AB403" i="8"/>
  <c r="AC403" i="8"/>
  <c r="R404" i="8"/>
  <c r="S404" i="8"/>
  <c r="T404" i="8"/>
  <c r="U404" i="8"/>
  <c r="V404" i="8"/>
  <c r="W404" i="8"/>
  <c r="X404" i="8"/>
  <c r="Y404" i="8"/>
  <c r="Z404" i="8"/>
  <c r="AA404" i="8"/>
  <c r="AB404" i="8"/>
  <c r="AC404" i="8"/>
  <c r="R405" i="8"/>
  <c r="S405" i="8"/>
  <c r="T405" i="8"/>
  <c r="U405" i="8"/>
  <c r="V405" i="8"/>
  <c r="W405" i="8"/>
  <c r="X405" i="8"/>
  <c r="Y405" i="8"/>
  <c r="Z405" i="8"/>
  <c r="AA405" i="8"/>
  <c r="AB405" i="8"/>
  <c r="AC405" i="8"/>
  <c r="R406" i="8"/>
  <c r="S406" i="8"/>
  <c r="T406" i="8"/>
  <c r="U406" i="8"/>
  <c r="V406" i="8"/>
  <c r="W406" i="8"/>
  <c r="X406" i="8"/>
  <c r="Y406" i="8"/>
  <c r="Z406" i="8"/>
  <c r="AA406" i="8"/>
  <c r="AB406" i="8"/>
  <c r="AC406" i="8"/>
  <c r="AC39" i="8"/>
  <c r="AB39" i="8"/>
  <c r="AA39" i="8"/>
  <c r="Z39" i="8"/>
  <c r="Y39" i="8"/>
  <c r="X39" i="8"/>
  <c r="W39" i="8"/>
  <c r="V39" i="8"/>
  <c r="U39" i="8"/>
  <c r="T39" i="8"/>
  <c r="S39" i="8"/>
  <c r="AP39" i="8"/>
  <c r="E39" i="8"/>
  <c r="F39" i="8"/>
  <c r="BA219" i="5"/>
  <c r="BA300" i="5"/>
  <c r="BA117" i="5"/>
  <c r="BA310" i="5"/>
  <c r="BA315" i="5"/>
  <c r="BA308" i="5"/>
  <c r="BA329" i="5"/>
  <c r="BA334" i="5"/>
  <c r="BA327" i="5"/>
  <c r="BA402" i="5"/>
  <c r="BA401" i="5"/>
  <c r="BA306" i="5"/>
  <c r="BA340" i="5"/>
  <c r="BA375" i="5"/>
  <c r="BA337" i="5"/>
  <c r="BA403" i="5"/>
  <c r="BA297" i="5"/>
  <c r="BA326" i="5"/>
  <c r="BA398" i="5"/>
  <c r="BA325" i="5"/>
  <c r="BA304" i="5"/>
  <c r="BA331" i="5"/>
  <c r="BA298" i="5"/>
  <c r="BA345" i="5"/>
  <c r="BA321" i="5"/>
  <c r="BA342" i="5"/>
  <c r="BA400" i="5"/>
  <c r="BA354" i="5"/>
  <c r="BA406" i="5"/>
  <c r="BA299" i="5"/>
  <c r="BA393" i="5"/>
  <c r="BA392" i="5"/>
  <c r="BA372" i="5"/>
  <c r="BA391" i="5"/>
  <c r="BA303" i="5"/>
  <c r="BA405" i="5"/>
  <c r="BA371" i="5"/>
  <c r="BA328" i="5"/>
  <c r="BA296" i="5"/>
  <c r="BA341" i="5"/>
  <c r="BA336" i="5"/>
  <c r="BA332" i="5"/>
  <c r="BA318" i="5"/>
  <c r="BA344" i="5"/>
  <c r="BA295" i="5"/>
  <c r="BA301" i="5"/>
  <c r="BA377" i="5"/>
  <c r="BA373" i="5"/>
  <c r="BA376" i="5"/>
  <c r="BA317" i="5"/>
  <c r="BA311" i="5"/>
  <c r="BA20" i="5"/>
  <c r="BA305" i="5"/>
  <c r="BA362" i="5"/>
  <c r="BA396" i="5"/>
  <c r="BA70" i="5"/>
  <c r="BA335" i="5"/>
  <c r="BA363" i="5"/>
  <c r="BA309" i="5"/>
  <c r="BA349" i="5"/>
  <c r="BA338" i="5"/>
  <c r="BA346" i="5"/>
  <c r="BA343" i="5"/>
  <c r="BA360" i="5"/>
  <c r="BA394" i="5"/>
  <c r="BA395" i="5"/>
  <c r="BA307" i="5"/>
  <c r="BA361" i="5"/>
  <c r="BA369" i="5"/>
  <c r="BA330" i="5"/>
  <c r="BA339" i="5"/>
  <c r="BA333" i="5"/>
  <c r="BA319" i="5"/>
  <c r="BA290" i="5"/>
  <c r="BA399" i="5"/>
  <c r="BA291" i="5"/>
  <c r="BA292" i="5"/>
  <c r="BA322" i="5"/>
  <c r="BA323" i="5"/>
  <c r="BA314" i="5"/>
  <c r="BA370" i="5"/>
  <c r="BA313" i="5"/>
  <c r="BA294" i="5"/>
  <c r="BA312" i="5"/>
  <c r="BA293" i="5"/>
  <c r="BA374" i="5"/>
  <c r="BA316" i="5"/>
  <c r="BA353" i="5"/>
  <c r="BA324" i="5"/>
  <c r="BA355" i="5"/>
  <c r="BA358" i="5"/>
  <c r="BA302" i="5"/>
  <c r="BA243" i="5"/>
  <c r="BF219" i="5"/>
  <c r="BF300" i="5"/>
  <c r="BF302" i="5"/>
  <c r="BF308" i="5"/>
  <c r="BF310" i="5"/>
  <c r="BF315" i="5"/>
  <c r="BF243" i="5"/>
  <c r="BF278" i="5"/>
  <c r="BF286" i="5"/>
  <c r="BF261" i="5"/>
  <c r="BF244" i="5"/>
  <c r="BF254" i="5"/>
  <c r="BF256" i="5"/>
  <c r="BF97" i="5"/>
  <c r="BF161" i="5"/>
  <c r="BF188" i="5"/>
  <c r="BF42" i="5"/>
  <c r="BF47" i="5"/>
  <c r="BF177" i="5"/>
  <c r="BF241" i="5"/>
  <c r="BF257" i="5"/>
  <c r="BF259" i="5"/>
  <c r="BF61" i="5"/>
  <c r="BF117" i="5"/>
  <c r="BF381" i="5"/>
  <c r="BF388" i="5"/>
  <c r="BF39" i="5"/>
  <c r="BF40" i="5"/>
  <c r="BF41" i="5"/>
  <c r="BF102" i="5"/>
  <c r="BF306" i="5"/>
  <c r="BF251" i="5"/>
  <c r="BF264" i="5"/>
  <c r="BF38" i="5"/>
  <c r="BF66" i="5"/>
  <c r="BF175" i="5"/>
  <c r="BF65" i="5"/>
  <c r="BF67" i="5"/>
  <c r="BF402" i="5"/>
  <c r="BF327" i="5"/>
  <c r="BF329" i="5"/>
  <c r="BF334" i="5"/>
  <c r="BF249" i="5"/>
  <c r="BF250" i="5"/>
  <c r="BF262" i="5"/>
  <c r="BF53" i="5"/>
  <c r="BF56" i="5"/>
  <c r="BF59" i="5"/>
  <c r="BF153" i="5"/>
  <c r="BF282" i="5"/>
  <c r="BF401" i="5"/>
  <c r="BF50" i="5"/>
  <c r="BF240" i="5"/>
  <c r="BF245" i="5"/>
  <c r="BF247" i="5"/>
  <c r="BF252" i="5"/>
  <c r="BF253" i="5"/>
  <c r="BF255" i="5"/>
  <c r="BF265" i="5"/>
  <c r="BF148" i="5"/>
  <c r="BF152" i="5"/>
  <c r="BF297" i="5"/>
  <c r="BF176" i="5"/>
  <c r="BF304" i="5"/>
  <c r="BF260" i="5"/>
  <c r="BF142" i="5"/>
  <c r="BF263" i="5"/>
  <c r="BF52" i="5"/>
  <c r="BF287" i="5"/>
  <c r="BF140" i="5"/>
  <c r="BF154" i="5"/>
  <c r="BF298" i="5"/>
  <c r="BF129" i="5"/>
  <c r="BF137" i="5"/>
  <c r="BF149" i="5"/>
  <c r="BF281" i="5"/>
  <c r="BF179" i="5"/>
  <c r="BF269" i="5"/>
  <c r="BF271" i="5"/>
  <c r="BF124" i="5"/>
  <c r="BF280" i="5"/>
  <c r="BF18" i="5"/>
  <c r="BF225" i="5"/>
  <c r="BF340" i="5"/>
  <c r="BF248" i="5"/>
  <c r="BF118" i="5"/>
  <c r="BF209" i="5"/>
  <c r="BF266" i="5"/>
  <c r="BF268" i="5"/>
  <c r="BF270" i="5"/>
  <c r="BF375" i="5"/>
  <c r="BF242" i="5"/>
  <c r="BF123" i="5"/>
  <c r="BF36" i="5"/>
  <c r="BF321" i="5"/>
  <c r="BF403" i="5"/>
  <c r="BF337" i="5"/>
  <c r="BF350" i="5"/>
  <c r="BF138" i="5"/>
  <c r="BF183" i="5"/>
  <c r="BF221" i="5"/>
  <c r="BF258" i="5"/>
  <c r="BF267" i="5"/>
  <c r="BF60" i="5"/>
  <c r="BF279" i="5"/>
  <c r="BF272" i="5"/>
  <c r="BF246" i="5"/>
  <c r="BF74" i="5"/>
  <c r="BF216" i="5"/>
  <c r="BF239" i="5"/>
  <c r="BF325" i="5"/>
  <c r="BF326" i="5"/>
  <c r="BF398" i="5"/>
  <c r="BF105" i="5"/>
  <c r="BF139" i="5"/>
  <c r="BF88" i="5"/>
  <c r="BF8" i="5"/>
  <c r="BF181" i="5"/>
  <c r="BF299" i="5"/>
  <c r="BF331" i="5"/>
  <c r="BF55" i="5"/>
  <c r="BF87" i="5"/>
  <c r="BF131" i="5"/>
  <c r="BF178" i="5"/>
  <c r="BF33" i="5"/>
  <c r="BF14" i="5"/>
  <c r="BF15" i="5"/>
  <c r="BF16" i="5"/>
  <c r="BF17" i="5"/>
  <c r="BF2" i="5"/>
  <c r="BF136" i="5"/>
  <c r="BF180" i="5"/>
  <c r="BF220" i="5"/>
  <c r="BF277" i="5"/>
  <c r="BF114" i="5"/>
  <c r="BF224" i="5"/>
  <c r="BF288" i="5"/>
  <c r="BF3" i="5"/>
  <c r="BF132" i="5"/>
  <c r="BF147" i="5"/>
  <c r="BF173" i="5"/>
  <c r="BF13" i="5"/>
  <c r="BF217" i="5"/>
  <c r="BF345" i="5"/>
  <c r="BF382" i="5"/>
  <c r="BE382" i="5"/>
  <c r="E116" i="7"/>
  <c r="E117" i="7"/>
  <c r="E118" i="7"/>
  <c r="E119" i="7"/>
  <c r="E120" i="7"/>
  <c r="E121" i="7"/>
  <c r="E122" i="7"/>
  <c r="E123" i="7"/>
  <c r="E124" i="7"/>
  <c r="E125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39" i="7"/>
  <c r="E140" i="7"/>
  <c r="E141" i="7"/>
  <c r="E142" i="7"/>
  <c r="E143" i="7"/>
  <c r="E144" i="7"/>
  <c r="E145" i="7"/>
  <c r="E146" i="7"/>
  <c r="E99" i="7"/>
  <c r="E100" i="7"/>
  <c r="E44" i="7"/>
  <c r="E45" i="7"/>
  <c r="E33" i="7"/>
  <c r="E147" i="7"/>
  <c r="E148" i="7"/>
  <c r="E149" i="7"/>
  <c r="E150" i="7"/>
  <c r="E151" i="7"/>
  <c r="E152" i="7"/>
  <c r="E153" i="7"/>
  <c r="E154" i="7"/>
  <c r="E155" i="7"/>
  <c r="E156" i="7"/>
  <c r="E157" i="7"/>
  <c r="E158" i="7"/>
  <c r="E159" i="7"/>
  <c r="E160" i="7"/>
  <c r="E161" i="7"/>
  <c r="E162" i="7"/>
  <c r="E163" i="7"/>
  <c r="E164" i="7"/>
  <c r="E165" i="7"/>
  <c r="E166" i="7"/>
  <c r="E167" i="7"/>
  <c r="E168" i="7"/>
  <c r="E169" i="7"/>
  <c r="E170" i="7"/>
  <c r="E171" i="7"/>
  <c r="E172" i="7"/>
  <c r="E173" i="7"/>
  <c r="E174" i="7"/>
  <c r="E175" i="7"/>
  <c r="E176" i="7"/>
  <c r="E177" i="7"/>
  <c r="E178" i="7"/>
  <c r="E179" i="7"/>
  <c r="E180" i="7"/>
  <c r="E181" i="7"/>
  <c r="E182" i="7"/>
  <c r="E183" i="7"/>
  <c r="E184" i="7"/>
  <c r="E185" i="7"/>
  <c r="E186" i="7"/>
  <c r="E187" i="7"/>
  <c r="E188" i="7"/>
  <c r="E189" i="7"/>
  <c r="E190" i="7"/>
  <c r="E191" i="7"/>
  <c r="E192" i="7"/>
  <c r="E193" i="7"/>
  <c r="E194" i="7"/>
  <c r="E195" i="7"/>
  <c r="E196" i="7"/>
  <c r="E197" i="7"/>
  <c r="E198" i="7"/>
  <c r="E199" i="7"/>
  <c r="E200" i="7"/>
  <c r="E201" i="7"/>
  <c r="E202" i="7"/>
  <c r="E203" i="7"/>
  <c r="E204" i="7"/>
  <c r="E205" i="7"/>
  <c r="E206" i="7"/>
  <c r="E207" i="7"/>
  <c r="E208" i="7"/>
  <c r="E209" i="7"/>
  <c r="E210" i="7"/>
  <c r="E211" i="7"/>
  <c r="E212" i="7"/>
  <c r="E213" i="7"/>
  <c r="E2" i="7"/>
  <c r="E214" i="7"/>
  <c r="E215" i="7"/>
  <c r="E216" i="7"/>
  <c r="E217" i="7"/>
  <c r="E218" i="7"/>
  <c r="E219" i="7"/>
  <c r="E220" i="7"/>
  <c r="E221" i="7"/>
  <c r="E222" i="7"/>
  <c r="E223" i="7"/>
  <c r="E224" i="7"/>
  <c r="E225" i="7"/>
  <c r="E226" i="7"/>
  <c r="E227" i="7"/>
  <c r="E228" i="7"/>
  <c r="E229" i="7"/>
  <c r="E230" i="7"/>
  <c r="E231" i="7"/>
  <c r="E232" i="7"/>
  <c r="E233" i="7"/>
  <c r="E234" i="7"/>
  <c r="E235" i="7"/>
  <c r="E236" i="7"/>
  <c r="E237" i="7"/>
  <c r="E3" i="7"/>
  <c r="E238" i="7"/>
  <c r="E239" i="7"/>
  <c r="E240" i="7"/>
  <c r="E241" i="7"/>
  <c r="E242" i="7"/>
  <c r="E243" i="7"/>
  <c r="E244" i="7"/>
  <c r="E245" i="7"/>
  <c r="E246" i="7"/>
  <c r="E247" i="7"/>
  <c r="E248" i="7"/>
  <c r="E249" i="7"/>
  <c r="E250" i="7"/>
  <c r="E251" i="7"/>
  <c r="E252" i="7"/>
  <c r="E4" i="7"/>
  <c r="E253" i="7"/>
  <c r="E254" i="7"/>
  <c r="E255" i="7"/>
  <c r="E256" i="7"/>
  <c r="E257" i="7"/>
  <c r="E258" i="7"/>
  <c r="E259" i="7"/>
  <c r="E260" i="7"/>
  <c r="E261" i="7"/>
  <c r="E262" i="7"/>
  <c r="E263" i="7"/>
  <c r="E264" i="7"/>
  <c r="E265" i="7"/>
  <c r="E266" i="7"/>
  <c r="E267" i="7"/>
  <c r="E268" i="7"/>
  <c r="E269" i="7"/>
  <c r="E270" i="7"/>
  <c r="E271" i="7"/>
  <c r="E272" i="7"/>
  <c r="E273" i="7"/>
  <c r="E274" i="7"/>
  <c r="E275" i="7"/>
  <c r="E276" i="7"/>
  <c r="E277" i="7"/>
  <c r="E278" i="7"/>
  <c r="E279" i="7"/>
  <c r="E280" i="7"/>
  <c r="E281" i="7"/>
  <c r="E5" i="7"/>
  <c r="E282" i="7"/>
  <c r="E283" i="7"/>
  <c r="E284" i="7"/>
  <c r="E285" i="7"/>
  <c r="E286" i="7"/>
  <c r="E287" i="7"/>
  <c r="E288" i="7"/>
  <c r="E289" i="7"/>
  <c r="E290" i="7"/>
  <c r="E291" i="7"/>
  <c r="E292" i="7"/>
  <c r="E293" i="7"/>
  <c r="E294" i="7"/>
  <c r="E295" i="7"/>
  <c r="E296" i="7"/>
  <c r="E297" i="7"/>
  <c r="E298" i="7"/>
  <c r="E299" i="7"/>
  <c r="E300" i="7"/>
  <c r="E301" i="7"/>
  <c r="E302" i="7"/>
  <c r="E303" i="7"/>
  <c r="E304" i="7"/>
  <c r="E305" i="7"/>
  <c r="E306" i="7"/>
  <c r="E307" i="7"/>
  <c r="E308" i="7"/>
  <c r="E309" i="7"/>
  <c r="E310" i="7"/>
  <c r="E311" i="7"/>
  <c r="E312" i="7"/>
  <c r="E313" i="7"/>
  <c r="E314" i="7"/>
  <c r="E315" i="7"/>
  <c r="E316" i="7"/>
  <c r="E317" i="7"/>
  <c r="E318" i="7"/>
  <c r="E319" i="7"/>
  <c r="E320" i="7"/>
  <c r="E321" i="7"/>
  <c r="E322" i="7"/>
  <c r="E323" i="7"/>
  <c r="E324" i="7"/>
  <c r="E325" i="7"/>
  <c r="E326" i="7"/>
  <c r="E327" i="7"/>
  <c r="E328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329" i="7"/>
  <c r="E330" i="7"/>
  <c r="E331" i="7"/>
  <c r="E332" i="7"/>
  <c r="E333" i="7"/>
  <c r="E334" i="7"/>
  <c r="E335" i="7"/>
  <c r="E336" i="7"/>
  <c r="E337" i="7"/>
  <c r="E338" i="7"/>
  <c r="E339" i="7"/>
  <c r="E340" i="7"/>
  <c r="E341" i="7"/>
  <c r="E342" i="7"/>
  <c r="E343" i="7"/>
  <c r="E344" i="7"/>
  <c r="E345" i="7"/>
  <c r="E346" i="7"/>
  <c r="E347" i="7"/>
  <c r="E348" i="7"/>
  <c r="E349" i="7"/>
  <c r="E350" i="7"/>
  <c r="E351" i="7"/>
  <c r="E352" i="7"/>
  <c r="E353" i="7"/>
  <c r="E354" i="7"/>
  <c r="E355" i="7"/>
  <c r="E356" i="7"/>
  <c r="E357" i="7"/>
  <c r="E358" i="7"/>
  <c r="E359" i="7"/>
  <c r="E360" i="7"/>
  <c r="E361" i="7"/>
  <c r="E362" i="7"/>
  <c r="E363" i="7"/>
  <c r="E364" i="7"/>
  <c r="E365" i="7"/>
  <c r="E366" i="7"/>
  <c r="E367" i="7"/>
  <c r="E368" i="7"/>
  <c r="E369" i="7"/>
  <c r="E370" i="7"/>
  <c r="E371" i="7"/>
  <c r="E372" i="7"/>
  <c r="E373" i="7"/>
  <c r="E374" i="7"/>
  <c r="E375" i="7"/>
  <c r="E376" i="7"/>
  <c r="E377" i="7"/>
  <c r="E378" i="7"/>
  <c r="E379" i="7"/>
  <c r="E380" i="7"/>
  <c r="E381" i="7"/>
  <c r="E382" i="7"/>
  <c r="E383" i="7"/>
  <c r="E384" i="7"/>
  <c r="E385" i="7"/>
  <c r="E386" i="7"/>
  <c r="E387" i="7"/>
  <c r="E388" i="7"/>
  <c r="E389" i="7"/>
  <c r="E390" i="7"/>
  <c r="E391" i="7"/>
  <c r="E392" i="7"/>
  <c r="E393" i="7"/>
  <c r="E394" i="7"/>
  <c r="E395" i="7"/>
  <c r="E396" i="7"/>
  <c r="E397" i="7"/>
  <c r="E398" i="7"/>
  <c r="E399" i="7"/>
  <c r="E400" i="7"/>
  <c r="E401" i="7"/>
  <c r="E402" i="7"/>
  <c r="E403" i="7"/>
  <c r="E404" i="7"/>
  <c r="E405" i="7"/>
  <c r="E406" i="7"/>
  <c r="E407" i="7"/>
  <c r="E408" i="7"/>
  <c r="E409" i="7"/>
  <c r="E101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66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34" i="7"/>
  <c r="E35" i="7"/>
  <c r="E36" i="7"/>
  <c r="E37" i="7"/>
  <c r="E38" i="7"/>
  <c r="E39" i="7"/>
  <c r="E40" i="7"/>
  <c r="E41" i="7"/>
  <c r="E42" i="7"/>
  <c r="E43" i="7"/>
  <c r="E27" i="7"/>
  <c r="E28" i="7"/>
  <c r="E29" i="7"/>
  <c r="E30" i="7"/>
  <c r="E31" i="7"/>
  <c r="E32" i="7"/>
  <c r="E115" i="7"/>
  <c r="AM29" i="5"/>
  <c r="T39" i="2"/>
  <c r="T19" i="2"/>
  <c r="K43" i="2"/>
  <c r="K39" i="2"/>
  <c r="K19" i="2"/>
  <c r="BE400" i="5"/>
  <c r="BE38" i="5"/>
  <c r="BE39" i="5"/>
  <c r="BE40" i="5"/>
  <c r="BE41" i="5"/>
  <c r="BE42" i="5"/>
  <c r="BE43" i="5"/>
  <c r="BE44" i="5"/>
  <c r="BE45" i="5"/>
  <c r="BE46" i="5"/>
  <c r="BE47" i="5"/>
  <c r="BE48" i="5"/>
  <c r="BE49" i="5"/>
  <c r="BE50" i="5"/>
  <c r="BE51" i="5"/>
  <c r="BE52" i="5"/>
  <c r="BE53" i="5"/>
  <c r="BE287" i="5"/>
  <c r="BE54" i="5"/>
  <c r="BE288" i="5"/>
  <c r="BE289" i="5"/>
  <c r="BE55" i="5"/>
  <c r="BE56" i="5"/>
  <c r="BE57" i="5"/>
  <c r="BE58" i="5"/>
  <c r="BE59" i="5"/>
  <c r="BE60" i="5"/>
  <c r="BE61" i="5"/>
  <c r="BE62" i="5"/>
  <c r="BE63" i="5"/>
  <c r="BE64" i="5"/>
  <c r="BE65" i="5"/>
  <c r="BE66" i="5"/>
  <c r="BE67" i="5"/>
  <c r="BE68" i="5"/>
  <c r="BE69" i="5"/>
  <c r="BE70" i="5"/>
  <c r="BE71" i="5"/>
  <c r="BE72" i="5"/>
  <c r="BE2" i="5"/>
  <c r="BE73" i="5"/>
  <c r="BE74" i="5"/>
  <c r="BE75" i="5"/>
  <c r="BE76" i="5"/>
  <c r="BE77" i="5"/>
  <c r="BE78" i="5"/>
  <c r="BE79" i="5"/>
  <c r="BE80" i="5"/>
  <c r="BE81" i="5"/>
  <c r="BE320" i="5"/>
  <c r="BE82" i="5"/>
  <c r="BE83" i="5"/>
  <c r="BE84" i="5"/>
  <c r="BE85" i="5"/>
  <c r="BE283" i="5"/>
  <c r="BE284" i="5"/>
  <c r="BE86" i="5"/>
  <c r="BE28" i="5"/>
  <c r="BE277" i="5"/>
  <c r="BE87" i="5"/>
  <c r="BE88" i="5"/>
  <c r="BE89" i="5"/>
  <c r="BE90" i="5"/>
  <c r="BE91" i="5"/>
  <c r="BE92" i="5"/>
  <c r="BE3" i="5"/>
  <c r="BE4" i="5"/>
  <c r="BE93" i="5"/>
  <c r="BE94" i="5"/>
  <c r="BE95" i="5"/>
  <c r="BE285" i="5"/>
  <c r="BE96" i="5"/>
  <c r="BE278" i="5"/>
  <c r="BE286" i="5"/>
  <c r="BE97" i="5"/>
  <c r="BE98" i="5"/>
  <c r="BE99" i="5"/>
  <c r="BE100" i="5"/>
  <c r="BE101" i="5"/>
  <c r="BE102" i="5"/>
  <c r="BE103" i="5"/>
  <c r="BE104" i="5"/>
  <c r="BE105" i="5"/>
  <c r="BE106" i="5"/>
  <c r="BE107" i="5"/>
  <c r="BE108" i="5"/>
  <c r="BE109" i="5"/>
  <c r="BE110" i="5"/>
  <c r="BE111" i="5"/>
  <c r="BE112" i="5"/>
  <c r="BE113" i="5"/>
  <c r="BE114" i="5"/>
  <c r="BE30" i="5"/>
  <c r="BE115" i="5"/>
  <c r="BE116" i="5"/>
  <c r="BE347" i="5"/>
  <c r="BE348" i="5"/>
  <c r="BE5" i="5"/>
  <c r="BE117" i="5"/>
  <c r="BE6" i="5"/>
  <c r="BE350" i="5"/>
  <c r="BE118" i="5"/>
  <c r="BE351" i="5"/>
  <c r="BE352" i="5"/>
  <c r="BE7" i="5"/>
  <c r="BE119" i="5"/>
  <c r="BE120" i="5"/>
  <c r="BE356" i="5"/>
  <c r="BE121" i="5"/>
  <c r="BE122" i="5"/>
  <c r="BE123" i="5"/>
  <c r="BE124" i="5"/>
  <c r="BE8" i="5"/>
  <c r="BE357" i="5"/>
  <c r="BE125" i="5"/>
  <c r="BE126" i="5"/>
  <c r="BE359" i="5"/>
  <c r="BE127" i="5"/>
  <c r="BE128" i="5"/>
  <c r="BE129" i="5"/>
  <c r="BE130" i="5"/>
  <c r="BE131" i="5"/>
  <c r="BE132" i="5"/>
  <c r="BE31" i="5"/>
  <c r="BE133" i="5"/>
  <c r="BE134" i="5"/>
  <c r="BE32" i="5"/>
  <c r="BE135" i="5"/>
  <c r="BE136" i="5"/>
  <c r="BE279" i="5"/>
  <c r="BE137" i="5"/>
  <c r="BE138" i="5"/>
  <c r="BE139" i="5"/>
  <c r="BE140" i="5"/>
  <c r="BE141" i="5"/>
  <c r="BE142" i="5"/>
  <c r="BE143" i="5"/>
  <c r="BE144" i="5"/>
  <c r="BE145" i="5"/>
  <c r="BE146" i="5"/>
  <c r="BE364" i="5"/>
  <c r="BE147" i="5"/>
  <c r="BE148" i="5"/>
  <c r="BE149" i="5"/>
  <c r="BE150" i="5"/>
  <c r="BE365" i="5"/>
  <c r="BE366" i="5"/>
  <c r="BE367" i="5"/>
  <c r="BE151" i="5"/>
  <c r="BE152" i="5"/>
  <c r="BE368" i="5"/>
  <c r="BE153" i="5"/>
  <c r="BE154" i="5"/>
  <c r="BE155" i="5"/>
  <c r="BE156" i="5"/>
  <c r="BE157" i="5"/>
  <c r="BE158" i="5"/>
  <c r="BE159" i="5"/>
  <c r="BE160" i="5"/>
  <c r="BE161" i="5"/>
  <c r="BE162" i="5"/>
  <c r="BE280" i="5"/>
  <c r="BE281" i="5"/>
  <c r="BE163" i="5"/>
  <c r="BE164" i="5"/>
  <c r="BE165" i="5"/>
  <c r="BE166" i="5"/>
  <c r="BE9" i="5"/>
  <c r="BE10" i="5"/>
  <c r="BE11" i="5"/>
  <c r="BE167" i="5"/>
  <c r="BE168" i="5"/>
  <c r="BE169" i="5"/>
  <c r="BE170" i="5"/>
  <c r="BE171" i="5"/>
  <c r="BE172" i="5"/>
  <c r="BE173" i="5"/>
  <c r="BE174" i="5"/>
  <c r="BE175" i="5"/>
  <c r="BE176" i="5"/>
  <c r="BE177" i="5"/>
  <c r="BE178" i="5"/>
  <c r="BE179" i="5"/>
  <c r="BE180" i="5"/>
  <c r="BE181" i="5"/>
  <c r="BE182" i="5"/>
  <c r="BE183" i="5"/>
  <c r="BE184" i="5"/>
  <c r="BE185" i="5"/>
  <c r="BE186" i="5"/>
  <c r="BE187" i="5"/>
  <c r="BE188" i="5"/>
  <c r="BE189" i="5"/>
  <c r="BE190" i="5"/>
  <c r="BE191" i="5"/>
  <c r="BE192" i="5"/>
  <c r="BE378" i="5"/>
  <c r="BE379" i="5"/>
  <c r="BE380" i="5"/>
  <c r="BE193" i="5"/>
  <c r="BE194" i="5"/>
  <c r="BE195" i="5"/>
  <c r="BE381" i="5"/>
  <c r="BE383" i="5"/>
  <c r="BE384" i="5"/>
  <c r="BE33" i="5"/>
  <c r="BE385" i="5"/>
  <c r="BE386" i="5"/>
  <c r="BE387" i="5"/>
  <c r="BE388" i="5"/>
  <c r="BE196" i="5"/>
  <c r="BE197" i="5"/>
  <c r="BE198" i="5"/>
  <c r="BE199" i="5"/>
  <c r="BE389" i="5"/>
  <c r="BE200" i="5"/>
  <c r="BE12" i="5"/>
  <c r="BE201" i="5"/>
  <c r="BE202" i="5"/>
  <c r="BE203" i="5"/>
  <c r="BE204" i="5"/>
  <c r="BE205" i="5"/>
  <c r="BE206" i="5"/>
  <c r="BE13" i="5"/>
  <c r="BE14" i="5"/>
  <c r="BE15" i="5"/>
  <c r="BE207" i="5"/>
  <c r="BE16" i="5"/>
  <c r="BE17" i="5"/>
  <c r="BE34" i="5"/>
  <c r="BE35" i="5"/>
  <c r="BE208" i="5"/>
  <c r="BE209" i="5"/>
  <c r="BE390" i="5"/>
  <c r="BE210" i="5"/>
  <c r="BE211" i="5"/>
  <c r="BE212" i="5"/>
  <c r="BE282" i="5"/>
  <c r="BE213" i="5"/>
  <c r="BE18" i="5"/>
  <c r="BE214" i="5"/>
  <c r="BE215" i="5"/>
  <c r="BE216" i="5"/>
  <c r="BE217" i="5"/>
  <c r="BE218" i="5"/>
  <c r="BE19" i="5"/>
  <c r="BE219" i="5"/>
  <c r="BE220" i="5"/>
  <c r="BE221" i="5"/>
  <c r="BE222" i="5"/>
  <c r="BE223" i="5"/>
  <c r="BE224" i="5"/>
  <c r="BE225" i="5"/>
  <c r="BE226" i="5"/>
  <c r="BE227" i="5"/>
  <c r="BE228" i="5"/>
  <c r="BE392" i="5"/>
  <c r="BE393" i="5"/>
  <c r="BE36" i="5"/>
  <c r="BE229" i="5"/>
  <c r="BE230" i="5"/>
  <c r="BE231" i="5"/>
  <c r="BE397" i="5"/>
  <c r="BE232" i="5"/>
  <c r="BE20" i="5"/>
  <c r="BE21" i="5"/>
  <c r="BE22" i="5"/>
  <c r="BE23" i="5"/>
  <c r="BE24" i="5"/>
  <c r="BE233" i="5"/>
  <c r="BE37" i="5"/>
  <c r="BE234" i="5"/>
  <c r="BE235" i="5"/>
  <c r="BE236" i="5"/>
  <c r="BE237" i="5"/>
  <c r="BE238" i="5"/>
  <c r="BE239" i="5"/>
  <c r="BE258" i="5"/>
  <c r="BE266" i="5"/>
  <c r="BE267" i="5"/>
  <c r="BE268" i="5"/>
  <c r="BE269" i="5"/>
  <c r="BE270" i="5"/>
  <c r="BE271" i="5"/>
  <c r="BE272" i="5"/>
  <c r="BE273" i="5"/>
  <c r="BE274" i="5"/>
  <c r="BE25" i="5"/>
  <c r="BE404" i="5"/>
  <c r="BE26" i="5"/>
  <c r="BE27" i="5"/>
  <c r="BE275" i="5"/>
  <c r="BE276" i="5"/>
  <c r="BE317" i="5"/>
  <c r="BE318" i="5"/>
  <c r="BE325" i="5"/>
  <c r="BE326" i="5"/>
  <c r="BE340" i="5"/>
  <c r="BE341" i="5"/>
  <c r="BE342" i="5"/>
  <c r="BE343" i="5"/>
  <c r="BE344" i="5"/>
  <c r="BE391" i="5"/>
  <c r="BE394" i="5"/>
  <c r="BE395" i="5"/>
  <c r="BE398" i="5"/>
  <c r="BE405" i="5"/>
  <c r="BE406" i="5"/>
  <c r="BE290" i="5"/>
  <c r="BE291" i="5"/>
  <c r="BE292" i="5"/>
  <c r="BE293" i="5"/>
  <c r="BE294" i="5"/>
  <c r="BE295" i="5"/>
  <c r="BE296" i="5"/>
  <c r="BE297" i="5"/>
  <c r="BE298" i="5"/>
  <c r="BE299" i="5"/>
  <c r="BE300" i="5"/>
  <c r="BE301" i="5"/>
  <c r="BE302" i="5"/>
  <c r="BE303" i="5"/>
  <c r="BE304" i="5"/>
  <c r="BE305" i="5"/>
  <c r="BE306" i="5"/>
  <c r="BE307" i="5"/>
  <c r="BE308" i="5"/>
  <c r="BE309" i="5"/>
  <c r="BE310" i="5"/>
  <c r="BE311" i="5"/>
  <c r="BE312" i="5"/>
  <c r="BE313" i="5"/>
  <c r="BE314" i="5"/>
  <c r="BE315" i="5"/>
  <c r="BE316" i="5"/>
  <c r="BE321" i="5"/>
  <c r="BE322" i="5"/>
  <c r="BE323" i="5"/>
  <c r="BE324" i="5"/>
  <c r="BE346" i="5"/>
  <c r="BE369" i="5"/>
  <c r="BE319" i="5"/>
  <c r="BE338" i="5"/>
  <c r="BE339" i="5"/>
  <c r="BE353" i="5"/>
  <c r="BE355" i="5"/>
  <c r="BE358" i="5"/>
  <c r="BE360" i="5"/>
  <c r="BE361" i="5"/>
  <c r="BE362" i="5"/>
  <c r="BE363" i="5"/>
  <c r="BE370" i="5"/>
  <c r="BE371" i="5"/>
  <c r="BE372" i="5"/>
  <c r="BE373" i="5"/>
  <c r="BE374" i="5"/>
  <c r="BE375" i="5"/>
  <c r="BE376" i="5"/>
  <c r="BE377" i="5"/>
  <c r="BE396" i="5"/>
  <c r="BE401" i="5"/>
  <c r="BE402" i="5"/>
  <c r="BE403" i="5"/>
  <c r="BE327" i="5"/>
  <c r="BE328" i="5"/>
  <c r="BE329" i="5"/>
  <c r="BE330" i="5"/>
  <c r="BE331" i="5"/>
  <c r="BE332" i="5"/>
  <c r="BE333" i="5"/>
  <c r="BE334" i="5"/>
  <c r="BE335" i="5"/>
  <c r="BE336" i="5"/>
  <c r="BE399" i="5"/>
  <c r="BE337" i="5"/>
  <c r="BE345" i="5"/>
  <c r="BE349" i="5"/>
  <c r="BE354" i="5"/>
  <c r="BE240" i="5"/>
  <c r="BE241" i="5"/>
  <c r="BE242" i="5"/>
  <c r="BE243" i="5"/>
  <c r="BE244" i="5"/>
  <c r="BE245" i="5"/>
  <c r="BE246" i="5"/>
  <c r="BE247" i="5"/>
  <c r="BE248" i="5"/>
  <c r="BE249" i="5"/>
  <c r="BE250" i="5"/>
  <c r="BE251" i="5"/>
  <c r="BE252" i="5"/>
  <c r="BE253" i="5"/>
  <c r="BE254" i="5"/>
  <c r="BE255" i="5"/>
  <c r="BE256" i="5"/>
  <c r="BE257" i="5"/>
  <c r="BE259" i="5"/>
  <c r="BE260" i="5"/>
  <c r="BE261" i="5"/>
  <c r="BE262" i="5"/>
  <c r="BE263" i="5"/>
  <c r="BE264" i="5"/>
  <c r="BE265" i="5"/>
  <c r="BE29" i="5"/>
  <c r="BC29" i="5"/>
  <c r="BC400" i="5"/>
  <c r="BC38" i="5"/>
  <c r="BC39" i="5"/>
  <c r="BC40" i="5"/>
  <c r="BC41" i="5"/>
  <c r="BC42" i="5"/>
  <c r="BC43" i="5"/>
  <c r="BC44" i="5"/>
  <c r="BC45" i="5"/>
  <c r="BC46" i="5"/>
  <c r="BC47" i="5"/>
  <c r="BC48" i="5"/>
  <c r="BC49" i="5"/>
  <c r="BC50" i="5"/>
  <c r="BC51" i="5"/>
  <c r="BC52" i="5"/>
  <c r="BC53" i="5"/>
  <c r="BC287" i="5"/>
  <c r="BC54" i="5"/>
  <c r="BC288" i="5"/>
  <c r="BC289" i="5"/>
  <c r="BC55" i="5"/>
  <c r="BC56" i="5"/>
  <c r="BC57" i="5"/>
  <c r="BC58" i="5"/>
  <c r="BC59" i="5"/>
  <c r="BC60" i="5"/>
  <c r="BC61" i="5"/>
  <c r="BC62" i="5"/>
  <c r="BC63" i="5"/>
  <c r="BC64" i="5"/>
  <c r="BC65" i="5"/>
  <c r="BC66" i="5"/>
  <c r="BC67" i="5"/>
  <c r="BC68" i="5"/>
  <c r="BC69" i="5"/>
  <c r="BC70" i="5"/>
  <c r="BC71" i="5"/>
  <c r="BC72" i="5"/>
  <c r="BC2" i="5"/>
  <c r="BC73" i="5"/>
  <c r="BC74" i="5"/>
  <c r="BC75" i="5"/>
  <c r="BC76" i="5"/>
  <c r="BC77" i="5"/>
  <c r="BC78" i="5"/>
  <c r="BC79" i="5"/>
  <c r="BC80" i="5"/>
  <c r="BC81" i="5"/>
  <c r="BC320" i="5"/>
  <c r="BC82" i="5"/>
  <c r="BC83" i="5"/>
  <c r="BC84" i="5"/>
  <c r="BC85" i="5"/>
  <c r="BC283" i="5"/>
  <c r="BC284" i="5"/>
  <c r="BC86" i="5"/>
  <c r="BC28" i="5"/>
  <c r="BC277" i="5"/>
  <c r="BC87" i="5"/>
  <c r="BC88" i="5"/>
  <c r="BC89" i="5"/>
  <c r="BC90" i="5"/>
  <c r="BC91" i="5"/>
  <c r="BC92" i="5"/>
  <c r="BC3" i="5"/>
  <c r="BC4" i="5"/>
  <c r="BC93" i="5"/>
  <c r="BC94" i="5"/>
  <c r="BC95" i="5"/>
  <c r="BC285" i="5"/>
  <c r="BC96" i="5"/>
  <c r="BC278" i="5"/>
  <c r="BC286" i="5"/>
  <c r="BC97" i="5"/>
  <c r="BC98" i="5"/>
  <c r="BC99" i="5"/>
  <c r="BC100" i="5"/>
  <c r="BC101" i="5"/>
  <c r="BC102" i="5"/>
  <c r="BC103" i="5"/>
  <c r="BC104" i="5"/>
  <c r="BC105" i="5"/>
  <c r="BC106" i="5"/>
  <c r="BC107" i="5"/>
  <c r="BC108" i="5"/>
  <c r="BC109" i="5"/>
  <c r="BC110" i="5"/>
  <c r="BC111" i="5"/>
  <c r="BC112" i="5"/>
  <c r="BC113" i="5"/>
  <c r="BC114" i="5"/>
  <c r="BC30" i="5"/>
  <c r="BC115" i="5"/>
  <c r="BC116" i="5"/>
  <c r="BC347" i="5"/>
  <c r="BC348" i="5"/>
  <c r="BC5" i="5"/>
  <c r="BC117" i="5"/>
  <c r="BC6" i="5"/>
  <c r="BC350" i="5"/>
  <c r="BC351" i="5"/>
  <c r="BC352" i="5"/>
  <c r="BC7" i="5"/>
  <c r="BC119" i="5"/>
  <c r="BC120" i="5"/>
  <c r="BC356" i="5"/>
  <c r="BC121" i="5"/>
  <c r="BC122" i="5"/>
  <c r="BC123" i="5"/>
  <c r="BC124" i="5"/>
  <c r="BC8" i="5"/>
  <c r="BC357" i="5"/>
  <c r="BC125" i="5"/>
  <c r="BC126" i="5"/>
  <c r="BC359" i="5"/>
  <c r="BC127" i="5"/>
  <c r="BC128" i="5"/>
  <c r="BC129" i="5"/>
  <c r="BC130" i="5"/>
  <c r="BC131" i="5"/>
  <c r="BC132" i="5"/>
  <c r="BC31" i="5"/>
  <c r="BC133" i="5"/>
  <c r="BC134" i="5"/>
  <c r="BC32" i="5"/>
  <c r="BC135" i="5"/>
  <c r="BC136" i="5"/>
  <c r="BC279" i="5"/>
  <c r="BC137" i="5"/>
  <c r="BC138" i="5"/>
  <c r="BC139" i="5"/>
  <c r="BC140" i="5"/>
  <c r="BC141" i="5"/>
  <c r="BC142" i="5"/>
  <c r="BC143" i="5"/>
  <c r="BC144" i="5"/>
  <c r="BC145" i="5"/>
  <c r="BC146" i="5"/>
  <c r="BC364" i="5"/>
  <c r="BC147" i="5"/>
  <c r="BC148" i="5"/>
  <c r="BC149" i="5"/>
  <c r="BC150" i="5"/>
  <c r="BC365" i="5"/>
  <c r="BC366" i="5"/>
  <c r="BC367" i="5"/>
  <c r="BC151" i="5"/>
  <c r="BC152" i="5"/>
  <c r="BC368" i="5"/>
  <c r="BC153" i="5"/>
  <c r="BC154" i="5"/>
  <c r="BC155" i="5"/>
  <c r="BC156" i="5"/>
  <c r="BC157" i="5"/>
  <c r="BC158" i="5"/>
  <c r="BC159" i="5"/>
  <c r="BC160" i="5"/>
  <c r="BC161" i="5"/>
  <c r="BC162" i="5"/>
  <c r="BC280" i="5"/>
  <c r="BC281" i="5"/>
  <c r="BC163" i="5"/>
  <c r="BC164" i="5"/>
  <c r="BC165" i="5"/>
  <c r="BC166" i="5"/>
  <c r="BC9" i="5"/>
  <c r="BC10" i="5"/>
  <c r="BC11" i="5"/>
  <c r="BC167" i="5"/>
  <c r="BC168" i="5"/>
  <c r="BC169" i="5"/>
  <c r="BC170" i="5"/>
  <c r="BC171" i="5"/>
  <c r="BC172" i="5"/>
  <c r="BC173" i="5"/>
  <c r="BC174" i="5"/>
  <c r="BC175" i="5"/>
  <c r="BC176" i="5"/>
  <c r="BC177" i="5"/>
  <c r="BC178" i="5"/>
  <c r="BC179" i="5"/>
  <c r="BC180" i="5"/>
  <c r="BC181" i="5"/>
  <c r="BC182" i="5"/>
  <c r="BC183" i="5"/>
  <c r="BC184" i="5"/>
  <c r="BC185" i="5"/>
  <c r="BC186" i="5"/>
  <c r="BC187" i="5"/>
  <c r="BC188" i="5"/>
  <c r="BC189" i="5"/>
  <c r="BC190" i="5"/>
  <c r="BC191" i="5"/>
  <c r="BC192" i="5"/>
  <c r="BC378" i="5"/>
  <c r="BC379" i="5"/>
  <c r="BC380" i="5"/>
  <c r="BC193" i="5"/>
  <c r="BC194" i="5"/>
  <c r="BC195" i="5"/>
  <c r="BC381" i="5"/>
  <c r="BC382" i="5"/>
  <c r="BC383" i="5"/>
  <c r="BC384" i="5"/>
  <c r="BC33" i="5"/>
  <c r="BC385" i="5"/>
  <c r="BC386" i="5"/>
  <c r="BC387" i="5"/>
  <c r="BC388" i="5"/>
  <c r="BC196" i="5"/>
  <c r="BC197" i="5"/>
  <c r="BC198" i="5"/>
  <c r="BC199" i="5"/>
  <c r="BC389" i="5"/>
  <c r="BC200" i="5"/>
  <c r="BC12" i="5"/>
  <c r="BC201" i="5"/>
  <c r="BC202" i="5"/>
  <c r="BC203" i="5"/>
  <c r="BC204" i="5"/>
  <c r="BC205" i="5"/>
  <c r="BC206" i="5"/>
  <c r="BC13" i="5"/>
  <c r="BC14" i="5"/>
  <c r="BC15" i="5"/>
  <c r="BC207" i="5"/>
  <c r="BC16" i="5"/>
  <c r="BC17" i="5"/>
  <c r="BC34" i="5"/>
  <c r="BC35" i="5"/>
  <c r="BC208" i="5"/>
  <c r="BC209" i="5"/>
  <c r="BC390" i="5"/>
  <c r="BC210" i="5"/>
  <c r="BC211" i="5"/>
  <c r="BC212" i="5"/>
  <c r="BC282" i="5"/>
  <c r="BC213" i="5"/>
  <c r="BC18" i="5"/>
  <c r="BC214" i="5"/>
  <c r="BC215" i="5"/>
  <c r="BC216" i="5"/>
  <c r="BC217" i="5"/>
  <c r="BC218" i="5"/>
  <c r="BC19" i="5"/>
  <c r="BC219" i="5"/>
  <c r="BC220" i="5"/>
  <c r="BC221" i="5"/>
  <c r="BC222" i="5"/>
  <c r="BC223" i="5"/>
  <c r="BC224" i="5"/>
  <c r="BC225" i="5"/>
  <c r="BC226" i="5"/>
  <c r="BC227" i="5"/>
  <c r="BC228" i="5"/>
  <c r="BC392" i="5"/>
  <c r="BC393" i="5"/>
  <c r="BC36" i="5"/>
  <c r="BC229" i="5"/>
  <c r="BC230" i="5"/>
  <c r="BC231" i="5"/>
  <c r="BC397" i="5"/>
  <c r="BC232" i="5"/>
  <c r="BC20" i="5"/>
  <c r="BC21" i="5"/>
  <c r="BC22" i="5"/>
  <c r="BC23" i="5"/>
  <c r="BC24" i="5"/>
  <c r="BC233" i="5"/>
  <c r="BC37" i="5"/>
  <c r="BC234" i="5"/>
  <c r="BC235" i="5"/>
  <c r="BC236" i="5"/>
  <c r="BC237" i="5"/>
  <c r="BC238" i="5"/>
  <c r="BC239" i="5"/>
  <c r="BC258" i="5"/>
  <c r="BC266" i="5"/>
  <c r="BC267" i="5"/>
  <c r="BC268" i="5"/>
  <c r="BC269" i="5"/>
  <c r="BC270" i="5"/>
  <c r="BC271" i="5"/>
  <c r="BC272" i="5"/>
  <c r="BC273" i="5"/>
  <c r="BC274" i="5"/>
  <c r="BC25" i="5"/>
  <c r="BC404" i="5"/>
  <c r="BC26" i="5"/>
  <c r="BC27" i="5"/>
  <c r="BC275" i="5"/>
  <c r="BC276" i="5"/>
  <c r="BC317" i="5"/>
  <c r="BC318" i="5"/>
  <c r="BC325" i="5"/>
  <c r="BC326" i="5"/>
  <c r="BC340" i="5"/>
  <c r="BC341" i="5"/>
  <c r="BC342" i="5"/>
  <c r="BC343" i="5"/>
  <c r="BC344" i="5"/>
  <c r="BC391" i="5"/>
  <c r="BC394" i="5"/>
  <c r="BC395" i="5"/>
  <c r="BC398" i="5"/>
  <c r="BC405" i="5"/>
  <c r="BC406" i="5"/>
  <c r="BC290" i="5"/>
  <c r="BC291" i="5"/>
  <c r="BC292" i="5"/>
  <c r="BC293" i="5"/>
  <c r="BC294" i="5"/>
  <c r="BC295" i="5"/>
  <c r="BC296" i="5"/>
  <c r="BC297" i="5"/>
  <c r="BC298" i="5"/>
  <c r="BC299" i="5"/>
  <c r="BC300" i="5"/>
  <c r="BC301" i="5"/>
  <c r="BC302" i="5"/>
  <c r="BC303" i="5"/>
  <c r="BC304" i="5"/>
  <c r="BC305" i="5"/>
  <c r="BC306" i="5"/>
  <c r="BC307" i="5"/>
  <c r="BC308" i="5"/>
  <c r="BC309" i="5"/>
  <c r="BC310" i="5"/>
  <c r="BC311" i="5"/>
  <c r="BC312" i="5"/>
  <c r="BC313" i="5"/>
  <c r="BC314" i="5"/>
  <c r="BC315" i="5"/>
  <c r="BC316" i="5"/>
  <c r="BC321" i="5"/>
  <c r="BC322" i="5"/>
  <c r="BC323" i="5"/>
  <c r="BC324" i="5"/>
  <c r="BC346" i="5"/>
  <c r="BC369" i="5"/>
  <c r="BC319" i="5"/>
  <c r="BC338" i="5"/>
  <c r="BC339" i="5"/>
  <c r="BC353" i="5"/>
  <c r="BC355" i="5"/>
  <c r="BC358" i="5"/>
  <c r="BC360" i="5"/>
  <c r="BC361" i="5"/>
  <c r="BC362" i="5"/>
  <c r="BC363" i="5"/>
  <c r="BC370" i="5"/>
  <c r="BC371" i="5"/>
  <c r="BC372" i="5"/>
  <c r="BC373" i="5"/>
  <c r="BC374" i="5"/>
  <c r="BC375" i="5"/>
  <c r="BC376" i="5"/>
  <c r="BC377" i="5"/>
  <c r="BC396" i="5"/>
  <c r="BC401" i="5"/>
  <c r="BC402" i="5"/>
  <c r="BC403" i="5"/>
  <c r="BC327" i="5"/>
  <c r="BC328" i="5"/>
  <c r="BC329" i="5"/>
  <c r="BC330" i="5"/>
  <c r="BC331" i="5"/>
  <c r="BC332" i="5"/>
  <c r="BC333" i="5"/>
  <c r="BC334" i="5"/>
  <c r="BC335" i="5"/>
  <c r="BC336" i="5"/>
  <c r="BC399" i="5"/>
  <c r="BC337" i="5"/>
  <c r="BC345" i="5"/>
  <c r="BC349" i="5"/>
  <c r="BC354" i="5"/>
  <c r="BC240" i="5"/>
  <c r="BC241" i="5"/>
  <c r="BC242" i="5"/>
  <c r="BC243" i="5"/>
  <c r="BC244" i="5"/>
  <c r="BC245" i="5"/>
  <c r="BC246" i="5"/>
  <c r="BC247" i="5"/>
  <c r="BC248" i="5"/>
  <c r="BC249" i="5"/>
  <c r="BC250" i="5"/>
  <c r="BC251" i="5"/>
  <c r="BC252" i="5"/>
  <c r="BC253" i="5"/>
  <c r="BC254" i="5"/>
  <c r="BC255" i="5"/>
  <c r="BC256" i="5"/>
  <c r="BC257" i="5"/>
  <c r="BC259" i="5"/>
  <c r="BC260" i="5"/>
  <c r="BC261" i="5"/>
  <c r="BC262" i="5"/>
  <c r="BC263" i="5"/>
  <c r="BC264" i="5"/>
  <c r="BC265" i="5"/>
  <c r="BB400" i="5"/>
  <c r="BB38" i="5"/>
  <c r="BB39" i="5"/>
  <c r="BB40" i="5"/>
  <c r="BB41" i="5"/>
  <c r="BB42" i="5"/>
  <c r="BB43" i="5"/>
  <c r="BB44" i="5"/>
  <c r="BB45" i="5"/>
  <c r="BB46" i="5"/>
  <c r="BB47" i="5"/>
  <c r="BB48" i="5"/>
  <c r="BB49" i="5"/>
  <c r="BB50" i="5"/>
  <c r="BB51" i="5"/>
  <c r="BB52" i="5"/>
  <c r="BB53" i="5"/>
  <c r="BB287" i="5"/>
  <c r="BB54" i="5"/>
  <c r="BB288" i="5"/>
  <c r="BB289" i="5"/>
  <c r="BB55" i="5"/>
  <c r="BB56" i="5"/>
  <c r="BB57" i="5"/>
  <c r="BB58" i="5"/>
  <c r="BB59" i="5"/>
  <c r="BB60" i="5"/>
  <c r="BB61" i="5"/>
  <c r="BB62" i="5"/>
  <c r="BB63" i="5"/>
  <c r="BB64" i="5"/>
  <c r="BB65" i="5"/>
  <c r="BB66" i="5"/>
  <c r="BB67" i="5"/>
  <c r="BB68" i="5"/>
  <c r="BB69" i="5"/>
  <c r="BB70" i="5"/>
  <c r="BB71" i="5"/>
  <c r="BB72" i="5"/>
  <c r="BB2" i="5"/>
  <c r="BB73" i="5"/>
  <c r="BB74" i="5"/>
  <c r="BB75" i="5"/>
  <c r="BB76" i="5"/>
  <c r="BB77" i="5"/>
  <c r="BB78" i="5"/>
  <c r="BB79" i="5"/>
  <c r="BB80" i="5"/>
  <c r="BB81" i="5"/>
  <c r="BB320" i="5"/>
  <c r="BB82" i="5"/>
  <c r="BB83" i="5"/>
  <c r="BB84" i="5"/>
  <c r="BB85" i="5"/>
  <c r="BB283" i="5"/>
  <c r="BB284" i="5"/>
  <c r="BB86" i="5"/>
  <c r="BB28" i="5"/>
  <c r="BB277" i="5"/>
  <c r="BB87" i="5"/>
  <c r="BB88" i="5"/>
  <c r="BB89" i="5"/>
  <c r="BB90" i="5"/>
  <c r="BB91" i="5"/>
  <c r="BB92" i="5"/>
  <c r="BB3" i="5"/>
  <c r="BB4" i="5"/>
  <c r="BB93" i="5"/>
  <c r="BB94" i="5"/>
  <c r="BB95" i="5"/>
  <c r="BB285" i="5"/>
  <c r="BB96" i="5"/>
  <c r="BB278" i="5"/>
  <c r="BB286" i="5"/>
  <c r="BB97" i="5"/>
  <c r="BB98" i="5"/>
  <c r="BB99" i="5"/>
  <c r="BB100" i="5"/>
  <c r="BB101" i="5"/>
  <c r="BB102" i="5"/>
  <c r="BB103" i="5"/>
  <c r="BB104" i="5"/>
  <c r="BB105" i="5"/>
  <c r="BB106" i="5"/>
  <c r="BB107" i="5"/>
  <c r="BB108" i="5"/>
  <c r="BB109" i="5"/>
  <c r="BB110" i="5"/>
  <c r="BB111" i="5"/>
  <c r="BB112" i="5"/>
  <c r="BB113" i="5"/>
  <c r="BB114" i="5"/>
  <c r="BB30" i="5"/>
  <c r="BB115" i="5"/>
  <c r="BB116" i="5"/>
  <c r="BB347" i="5"/>
  <c r="BB348" i="5"/>
  <c r="BB5" i="5"/>
  <c r="BB117" i="5"/>
  <c r="BB6" i="5"/>
  <c r="BB350" i="5"/>
  <c r="BB118" i="5"/>
  <c r="BB351" i="5"/>
  <c r="BB352" i="5"/>
  <c r="BB7" i="5"/>
  <c r="BB119" i="5"/>
  <c r="BB120" i="5"/>
  <c r="BB356" i="5"/>
  <c r="BB121" i="5"/>
  <c r="BB122" i="5"/>
  <c r="BB123" i="5"/>
  <c r="BB124" i="5"/>
  <c r="BB8" i="5"/>
  <c r="BB357" i="5"/>
  <c r="BB125" i="5"/>
  <c r="BB126" i="5"/>
  <c r="BB359" i="5"/>
  <c r="BB127" i="5"/>
  <c r="BB128" i="5"/>
  <c r="BB129" i="5"/>
  <c r="BB130" i="5"/>
  <c r="BB131" i="5"/>
  <c r="BB132" i="5"/>
  <c r="BB31" i="5"/>
  <c r="BB133" i="5"/>
  <c r="BB134" i="5"/>
  <c r="BB32" i="5"/>
  <c r="BB135" i="5"/>
  <c r="BB136" i="5"/>
  <c r="BB279" i="5"/>
  <c r="BB137" i="5"/>
  <c r="BB138" i="5"/>
  <c r="BB139" i="5"/>
  <c r="BB140" i="5"/>
  <c r="BB141" i="5"/>
  <c r="BB142" i="5"/>
  <c r="BB143" i="5"/>
  <c r="BB144" i="5"/>
  <c r="BB145" i="5"/>
  <c r="BB146" i="5"/>
  <c r="BB364" i="5"/>
  <c r="BB147" i="5"/>
  <c r="BB148" i="5"/>
  <c r="BB149" i="5"/>
  <c r="BB150" i="5"/>
  <c r="BB365" i="5"/>
  <c r="BB366" i="5"/>
  <c r="BB367" i="5"/>
  <c r="BB151" i="5"/>
  <c r="BB152" i="5"/>
  <c r="BB368" i="5"/>
  <c r="BB153" i="5"/>
  <c r="BB154" i="5"/>
  <c r="BB155" i="5"/>
  <c r="BB156" i="5"/>
  <c r="BB157" i="5"/>
  <c r="BB158" i="5"/>
  <c r="BB159" i="5"/>
  <c r="BB160" i="5"/>
  <c r="BB161" i="5"/>
  <c r="BB162" i="5"/>
  <c r="BB280" i="5"/>
  <c r="BB281" i="5"/>
  <c r="BB163" i="5"/>
  <c r="BB164" i="5"/>
  <c r="BB165" i="5"/>
  <c r="BB166" i="5"/>
  <c r="BB9" i="5"/>
  <c r="BB10" i="5"/>
  <c r="BB11" i="5"/>
  <c r="BB167" i="5"/>
  <c r="BB168" i="5"/>
  <c r="BB169" i="5"/>
  <c r="BB170" i="5"/>
  <c r="BB171" i="5"/>
  <c r="BB172" i="5"/>
  <c r="BB173" i="5"/>
  <c r="BB174" i="5"/>
  <c r="BB175" i="5"/>
  <c r="BB176" i="5"/>
  <c r="BB177" i="5"/>
  <c r="BB178" i="5"/>
  <c r="BB179" i="5"/>
  <c r="BB180" i="5"/>
  <c r="BB181" i="5"/>
  <c r="BB182" i="5"/>
  <c r="BB183" i="5"/>
  <c r="BB184" i="5"/>
  <c r="BB185" i="5"/>
  <c r="BB186" i="5"/>
  <c r="BB187" i="5"/>
  <c r="BB188" i="5"/>
  <c r="BB189" i="5"/>
  <c r="BB190" i="5"/>
  <c r="BB191" i="5"/>
  <c r="BB192" i="5"/>
  <c r="BB378" i="5"/>
  <c r="BB379" i="5"/>
  <c r="BB380" i="5"/>
  <c r="BB193" i="5"/>
  <c r="BB194" i="5"/>
  <c r="BB195" i="5"/>
  <c r="BB381" i="5"/>
  <c r="BB382" i="5"/>
  <c r="BB383" i="5"/>
  <c r="BB384" i="5"/>
  <c r="BB33" i="5"/>
  <c r="BB385" i="5"/>
  <c r="BB386" i="5"/>
  <c r="BB387" i="5"/>
  <c r="BB388" i="5"/>
  <c r="BB196" i="5"/>
  <c r="BB197" i="5"/>
  <c r="BB198" i="5"/>
  <c r="BB199" i="5"/>
  <c r="BB389" i="5"/>
  <c r="BB200" i="5"/>
  <c r="BB12" i="5"/>
  <c r="BB201" i="5"/>
  <c r="BB202" i="5"/>
  <c r="BB203" i="5"/>
  <c r="BB204" i="5"/>
  <c r="BB205" i="5"/>
  <c r="BB206" i="5"/>
  <c r="BB13" i="5"/>
  <c r="BB14" i="5"/>
  <c r="BB15" i="5"/>
  <c r="BB207" i="5"/>
  <c r="BB16" i="5"/>
  <c r="BB17" i="5"/>
  <c r="BB34" i="5"/>
  <c r="BB35" i="5"/>
  <c r="BB208" i="5"/>
  <c r="BB209" i="5"/>
  <c r="BB390" i="5"/>
  <c r="BB210" i="5"/>
  <c r="BB211" i="5"/>
  <c r="BB212" i="5"/>
  <c r="BB282" i="5"/>
  <c r="BB213" i="5"/>
  <c r="BB18" i="5"/>
  <c r="BB214" i="5"/>
  <c r="BB215" i="5"/>
  <c r="BB216" i="5"/>
  <c r="BB217" i="5"/>
  <c r="BB218" i="5"/>
  <c r="BB19" i="5"/>
  <c r="BB219" i="5"/>
  <c r="BB220" i="5"/>
  <c r="BB221" i="5"/>
  <c r="BB222" i="5"/>
  <c r="BB223" i="5"/>
  <c r="BB224" i="5"/>
  <c r="BB225" i="5"/>
  <c r="BB226" i="5"/>
  <c r="BB227" i="5"/>
  <c r="BB228" i="5"/>
  <c r="BB392" i="5"/>
  <c r="BB393" i="5"/>
  <c r="BB36" i="5"/>
  <c r="BB229" i="5"/>
  <c r="BB230" i="5"/>
  <c r="BB231" i="5"/>
  <c r="BB397" i="5"/>
  <c r="BB232" i="5"/>
  <c r="BB20" i="5"/>
  <c r="BB21" i="5"/>
  <c r="BB22" i="5"/>
  <c r="BB23" i="5"/>
  <c r="BB24" i="5"/>
  <c r="BB233" i="5"/>
  <c r="BB37" i="5"/>
  <c r="BB234" i="5"/>
  <c r="BB235" i="5"/>
  <c r="BB236" i="5"/>
  <c r="BB237" i="5"/>
  <c r="BB238" i="5"/>
  <c r="BB239" i="5"/>
  <c r="BB258" i="5"/>
  <c r="BB266" i="5"/>
  <c r="BB267" i="5"/>
  <c r="BB268" i="5"/>
  <c r="BB269" i="5"/>
  <c r="BB270" i="5"/>
  <c r="BB271" i="5"/>
  <c r="BB272" i="5"/>
  <c r="BB273" i="5"/>
  <c r="BB274" i="5"/>
  <c r="BB25" i="5"/>
  <c r="BB404" i="5"/>
  <c r="BB26" i="5"/>
  <c r="BB27" i="5"/>
  <c r="BB275" i="5"/>
  <c r="BB276" i="5"/>
  <c r="BB317" i="5"/>
  <c r="BB318" i="5"/>
  <c r="BB325" i="5"/>
  <c r="BB326" i="5"/>
  <c r="BB340" i="5"/>
  <c r="BB341" i="5"/>
  <c r="BB342" i="5"/>
  <c r="BB343" i="5"/>
  <c r="BB344" i="5"/>
  <c r="BB391" i="5"/>
  <c r="BB394" i="5"/>
  <c r="BB395" i="5"/>
  <c r="BB398" i="5"/>
  <c r="BB405" i="5"/>
  <c r="BB406" i="5"/>
  <c r="BB290" i="5"/>
  <c r="BB291" i="5"/>
  <c r="BB292" i="5"/>
  <c r="BB293" i="5"/>
  <c r="BB294" i="5"/>
  <c r="BB295" i="5"/>
  <c r="BB296" i="5"/>
  <c r="BB297" i="5"/>
  <c r="BB298" i="5"/>
  <c r="BB299" i="5"/>
  <c r="BB300" i="5"/>
  <c r="BB301" i="5"/>
  <c r="BB302" i="5"/>
  <c r="BB303" i="5"/>
  <c r="BB304" i="5"/>
  <c r="BB305" i="5"/>
  <c r="BB306" i="5"/>
  <c r="BB307" i="5"/>
  <c r="BB308" i="5"/>
  <c r="BB309" i="5"/>
  <c r="BB310" i="5"/>
  <c r="BB311" i="5"/>
  <c r="BB312" i="5"/>
  <c r="BB313" i="5"/>
  <c r="BB314" i="5"/>
  <c r="BB315" i="5"/>
  <c r="BB316" i="5"/>
  <c r="BB321" i="5"/>
  <c r="BB322" i="5"/>
  <c r="BB323" i="5"/>
  <c r="BB324" i="5"/>
  <c r="BB346" i="5"/>
  <c r="BB369" i="5"/>
  <c r="BB319" i="5"/>
  <c r="BB338" i="5"/>
  <c r="BB339" i="5"/>
  <c r="BB353" i="5"/>
  <c r="BB355" i="5"/>
  <c r="BB358" i="5"/>
  <c r="BB360" i="5"/>
  <c r="BB361" i="5"/>
  <c r="BB362" i="5"/>
  <c r="BB363" i="5"/>
  <c r="BB370" i="5"/>
  <c r="BB371" i="5"/>
  <c r="BB372" i="5"/>
  <c r="BB373" i="5"/>
  <c r="BB374" i="5"/>
  <c r="BB375" i="5"/>
  <c r="BB376" i="5"/>
  <c r="BB377" i="5"/>
  <c r="BB396" i="5"/>
  <c r="BB401" i="5"/>
  <c r="BB402" i="5"/>
  <c r="BB403" i="5"/>
  <c r="BB327" i="5"/>
  <c r="BB328" i="5"/>
  <c r="BB329" i="5"/>
  <c r="BB330" i="5"/>
  <c r="BB331" i="5"/>
  <c r="BB332" i="5"/>
  <c r="BB333" i="5"/>
  <c r="BB334" i="5"/>
  <c r="BB335" i="5"/>
  <c r="BB336" i="5"/>
  <c r="BB399" i="5"/>
  <c r="BB337" i="5"/>
  <c r="BB345" i="5"/>
  <c r="BB349" i="5"/>
  <c r="BB354" i="5"/>
  <c r="BB240" i="5"/>
  <c r="BB241" i="5"/>
  <c r="BB242" i="5"/>
  <c r="BB243" i="5"/>
  <c r="BB244" i="5"/>
  <c r="BB245" i="5"/>
  <c r="BB246" i="5"/>
  <c r="BB247" i="5"/>
  <c r="BB248" i="5"/>
  <c r="BB249" i="5"/>
  <c r="BB250" i="5"/>
  <c r="BB251" i="5"/>
  <c r="BB252" i="5"/>
  <c r="BB253" i="5"/>
  <c r="BB254" i="5"/>
  <c r="BB255" i="5"/>
  <c r="BB256" i="5"/>
  <c r="BB257" i="5"/>
  <c r="BB259" i="5"/>
  <c r="BB260" i="5"/>
  <c r="BB261" i="5"/>
  <c r="BB262" i="5"/>
  <c r="BB263" i="5"/>
  <c r="BB264" i="5"/>
  <c r="BB265" i="5"/>
  <c r="BB29" i="5"/>
  <c r="W43" i="2"/>
  <c r="H43" i="2"/>
  <c r="T29" i="2"/>
  <c r="T38" i="2"/>
  <c r="T40" i="2"/>
  <c r="T32" i="2"/>
  <c r="T31" i="2"/>
  <c r="T30" i="2"/>
  <c r="T23" i="2"/>
  <c r="T12" i="2"/>
  <c r="T6" i="2"/>
  <c r="T27" i="2"/>
  <c r="T5" i="2"/>
  <c r="T36" i="2"/>
  <c r="T37" i="2"/>
  <c r="T35" i="2"/>
  <c r="T33" i="2"/>
  <c r="T13" i="2"/>
  <c r="T25" i="2"/>
  <c r="T4" i="2"/>
  <c r="T7" i="2"/>
  <c r="T9" i="2"/>
  <c r="T8" i="2"/>
  <c r="T10" i="2"/>
  <c r="AH296" i="4"/>
  <c r="AH297" i="4"/>
  <c r="AH298" i="4"/>
  <c r="AH299" i="4"/>
  <c r="AH302" i="4"/>
  <c r="AH303" i="4"/>
  <c r="AH304" i="4"/>
  <c r="AH305" i="4"/>
  <c r="AH308" i="4"/>
  <c r="AH309" i="4"/>
  <c r="AH310" i="4"/>
  <c r="AH306" i="4"/>
  <c r="AH307" i="4"/>
  <c r="AH328" i="4"/>
  <c r="AH343" i="4"/>
  <c r="AH341" i="4"/>
  <c r="AH342" i="4"/>
  <c r="AH332" i="4"/>
  <c r="AH344" i="4"/>
  <c r="AH331" i="4"/>
  <c r="AH339" i="4"/>
  <c r="AH324" i="4"/>
  <c r="AH326" i="4"/>
  <c r="AH329" i="4"/>
  <c r="AH334" i="4"/>
  <c r="AH333" i="4"/>
  <c r="AH317" i="4"/>
  <c r="AH319" i="4"/>
  <c r="AH320" i="4"/>
  <c r="AH321" i="4"/>
  <c r="AH322" i="4"/>
  <c r="AH323" i="4"/>
  <c r="AH325" i="4"/>
  <c r="AH327" i="4"/>
  <c r="AH335" i="4"/>
  <c r="AH336" i="4"/>
  <c r="AH337" i="4"/>
  <c r="AH338" i="4"/>
  <c r="AH340" i="4"/>
  <c r="AH330" i="4"/>
  <c r="AH318" i="4"/>
  <c r="AH315" i="4"/>
  <c r="AH316" i="4"/>
  <c r="AH314" i="4"/>
  <c r="AH312" i="4"/>
  <c r="AH313" i="4"/>
  <c r="AH354" i="4"/>
  <c r="AH345" i="4"/>
  <c r="AH349" i="4"/>
  <c r="AH350" i="4"/>
  <c r="AH355" i="4"/>
  <c r="AH356" i="4"/>
  <c r="AH357" i="4"/>
  <c r="AH358" i="4"/>
  <c r="AH359" i="4"/>
  <c r="AH360" i="4"/>
  <c r="AH361" i="4"/>
  <c r="AH362" i="4"/>
  <c r="AH364" i="4"/>
  <c r="AH365" i="4"/>
  <c r="AH366" i="4"/>
  <c r="AH346" i="4"/>
  <c r="AH347" i="4"/>
  <c r="AH348" i="4"/>
  <c r="AH351" i="4"/>
  <c r="AH352" i="4"/>
  <c r="AH353" i="4"/>
  <c r="AH363" i="4"/>
  <c r="AH367" i="4"/>
  <c r="AH368" i="4"/>
  <c r="AH369" i="4"/>
  <c r="AH370" i="4"/>
  <c r="AH371" i="4"/>
  <c r="AH372" i="4"/>
  <c r="AH373" i="4"/>
  <c r="AH374" i="4"/>
  <c r="AH376" i="4"/>
  <c r="AH375" i="4"/>
  <c r="AH377" i="4"/>
  <c r="AH379" i="4"/>
  <c r="AH380" i="4"/>
  <c r="AH381" i="4"/>
  <c r="AH382" i="4"/>
  <c r="AH378" i="4"/>
  <c r="AH386" i="4"/>
  <c r="AH385" i="4"/>
  <c r="AH383" i="4"/>
  <c r="AH384" i="4"/>
  <c r="AH387" i="4"/>
  <c r="AH388" i="4"/>
  <c r="AH389" i="4"/>
  <c r="AH390" i="4"/>
  <c r="AH391" i="4"/>
  <c r="AH392" i="4"/>
  <c r="AH393" i="4"/>
  <c r="AH394" i="4"/>
  <c r="AH395" i="4"/>
  <c r="AH396" i="4"/>
  <c r="AH398" i="4"/>
  <c r="AH399" i="4"/>
  <c r="AH400" i="4"/>
  <c r="AH401" i="4"/>
  <c r="AH402" i="4"/>
  <c r="AH403" i="4"/>
  <c r="AH404" i="4"/>
  <c r="AH405" i="4"/>
  <c r="AH406" i="4"/>
  <c r="AH407" i="4"/>
  <c r="AH397" i="4"/>
  <c r="BF79" i="5"/>
  <c r="I44" i="3"/>
  <c r="E9" i="3"/>
  <c r="E10" i="3"/>
  <c r="E11" i="3"/>
  <c r="E12" i="3"/>
  <c r="E14" i="3"/>
  <c r="E15" i="3"/>
  <c r="E19" i="3"/>
  <c r="E20" i="3"/>
  <c r="E21" i="3"/>
  <c r="E22" i="3"/>
  <c r="E23" i="3"/>
  <c r="E24" i="3"/>
  <c r="E25" i="3"/>
  <c r="E27" i="3"/>
  <c r="E29" i="3"/>
  <c r="E30" i="3"/>
  <c r="E41" i="3"/>
  <c r="E31" i="3"/>
  <c r="E32" i="3"/>
  <c r="E42" i="3"/>
  <c r="E43" i="3"/>
  <c r="E44" i="3"/>
  <c r="E33" i="3"/>
  <c r="E34" i="3"/>
  <c r="E35" i="3"/>
  <c r="E36" i="3"/>
  <c r="E37" i="3"/>
  <c r="E38" i="3"/>
  <c r="E39" i="3"/>
  <c r="E40" i="3"/>
  <c r="E6" i="3"/>
  <c r="I37" i="3"/>
  <c r="I32" i="3"/>
  <c r="I22" i="3"/>
  <c r="I30" i="3"/>
  <c r="AM287" i="5"/>
  <c r="D40" i="8"/>
  <c r="D41" i="8"/>
  <c r="D2" i="8"/>
  <c r="D42" i="8"/>
  <c r="D43" i="8"/>
  <c r="D44" i="8"/>
  <c r="D45" i="8"/>
  <c r="D46" i="8"/>
  <c r="D47" i="8"/>
  <c r="D3" i="8"/>
  <c r="D48" i="8"/>
  <c r="D49" i="8"/>
  <c r="D50" i="8"/>
  <c r="D51" i="8"/>
  <c r="D52" i="8"/>
  <c r="D53" i="8"/>
  <c r="D54" i="8"/>
  <c r="D55" i="8"/>
  <c r="D56" i="8"/>
  <c r="D57" i="8"/>
  <c r="D58" i="8"/>
  <c r="D59" i="8"/>
  <c r="D60" i="8"/>
  <c r="D4" i="8"/>
  <c r="D61" i="8"/>
  <c r="D62" i="8"/>
  <c r="D5" i="8"/>
  <c r="D63" i="8"/>
  <c r="D64" i="8"/>
  <c r="D65" i="8"/>
  <c r="D66" i="8"/>
  <c r="D67" i="8"/>
  <c r="D68" i="8"/>
  <c r="D69" i="8"/>
  <c r="D70" i="8"/>
  <c r="D71" i="8"/>
  <c r="D72" i="8"/>
  <c r="D73" i="8"/>
  <c r="D74" i="8"/>
  <c r="D75" i="8"/>
  <c r="D76" i="8"/>
  <c r="D77" i="8"/>
  <c r="D78" i="8"/>
  <c r="D6" i="8"/>
  <c r="D7" i="8"/>
  <c r="D79" i="8"/>
  <c r="D80" i="8"/>
  <c r="D81" i="8"/>
  <c r="D82" i="8"/>
  <c r="D83" i="8"/>
  <c r="D84" i="8"/>
  <c r="D85" i="8"/>
  <c r="D86" i="8"/>
  <c r="D87" i="8"/>
  <c r="D88" i="8"/>
  <c r="D89" i="8"/>
  <c r="D90" i="8"/>
  <c r="D91" i="8"/>
  <c r="D92" i="8"/>
  <c r="D93" i="8"/>
  <c r="D94" i="8"/>
  <c r="D95" i="8"/>
  <c r="D96" i="8"/>
  <c r="D97" i="8"/>
  <c r="D98" i="8"/>
  <c r="D99" i="8"/>
  <c r="D100" i="8"/>
  <c r="D101" i="8"/>
  <c r="D102" i="8"/>
  <c r="D103" i="8"/>
  <c r="D104" i="8"/>
  <c r="D105" i="8"/>
  <c r="D106" i="8"/>
  <c r="D107" i="8"/>
  <c r="D108" i="8"/>
  <c r="D109" i="8"/>
  <c r="D110" i="8"/>
  <c r="D111" i="8"/>
  <c r="D112" i="8"/>
  <c r="D113" i="8"/>
  <c r="D114" i="8"/>
  <c r="D115" i="8"/>
  <c r="D116" i="8"/>
  <c r="D117" i="8"/>
  <c r="D118" i="8"/>
  <c r="D119" i="8"/>
  <c r="D120" i="8"/>
  <c r="D121" i="8"/>
  <c r="D122" i="8"/>
  <c r="D123" i="8"/>
  <c r="D124" i="8"/>
  <c r="D125" i="8"/>
  <c r="D126" i="8"/>
  <c r="D127" i="8"/>
  <c r="D128" i="8"/>
  <c r="D129" i="8"/>
  <c r="D130" i="8"/>
  <c r="D131" i="8"/>
  <c r="D132" i="8"/>
  <c r="D133" i="8"/>
  <c r="D134" i="8"/>
  <c r="D135" i="8"/>
  <c r="D136" i="8"/>
  <c r="D137" i="8"/>
  <c r="D138" i="8"/>
  <c r="D139" i="8"/>
  <c r="D140" i="8"/>
  <c r="D141" i="8"/>
  <c r="D8" i="8"/>
  <c r="D142" i="8"/>
  <c r="D143" i="8"/>
  <c r="D144" i="8"/>
  <c r="D145" i="8"/>
  <c r="D146" i="8"/>
  <c r="D147" i="8"/>
  <c r="D148" i="8"/>
  <c r="D149" i="8"/>
  <c r="D150" i="8"/>
  <c r="D9" i="8"/>
  <c r="D10" i="8"/>
  <c r="D11" i="8"/>
  <c r="D151" i="8"/>
  <c r="D152" i="8"/>
  <c r="D153" i="8"/>
  <c r="D154" i="8"/>
  <c r="D155" i="8"/>
  <c r="D156" i="8"/>
  <c r="D157" i="8"/>
  <c r="D158" i="8"/>
  <c r="D159" i="8"/>
  <c r="D160" i="8"/>
  <c r="D161" i="8"/>
  <c r="D162" i="8"/>
  <c r="D163" i="8"/>
  <c r="D164" i="8"/>
  <c r="D165" i="8"/>
  <c r="D166" i="8"/>
  <c r="D167" i="8"/>
  <c r="D168" i="8"/>
  <c r="D169" i="8"/>
  <c r="D170" i="8"/>
  <c r="D171" i="8"/>
  <c r="D172" i="8"/>
  <c r="D12" i="8"/>
  <c r="D173" i="8"/>
  <c r="D174" i="8"/>
  <c r="D175" i="8"/>
  <c r="D176" i="8"/>
  <c r="D177" i="8"/>
  <c r="D178" i="8"/>
  <c r="D179" i="8"/>
  <c r="D180" i="8"/>
  <c r="D181" i="8"/>
  <c r="D182" i="8"/>
  <c r="D13" i="8"/>
  <c r="D183" i="8"/>
  <c r="D184" i="8"/>
  <c r="D185" i="8"/>
  <c r="D186" i="8"/>
  <c r="D187" i="8"/>
  <c r="D188" i="8"/>
  <c r="D189" i="8"/>
  <c r="D190" i="8"/>
  <c r="D191" i="8"/>
  <c r="D192" i="8"/>
  <c r="D193" i="8"/>
  <c r="D194" i="8"/>
  <c r="D14" i="8"/>
  <c r="D195" i="8"/>
  <c r="D196" i="8"/>
  <c r="D197" i="8"/>
  <c r="D198" i="8"/>
  <c r="D199" i="8"/>
  <c r="D200" i="8"/>
  <c r="D201" i="8"/>
  <c r="D15" i="8"/>
  <c r="D202" i="8"/>
  <c r="D203" i="8"/>
  <c r="D16" i="8"/>
  <c r="D204" i="8"/>
  <c r="D205" i="8"/>
  <c r="D206" i="8"/>
  <c r="D207" i="8"/>
  <c r="D208" i="8"/>
  <c r="D209" i="8"/>
  <c r="D17" i="8"/>
  <c r="D210" i="8"/>
  <c r="D211" i="8"/>
  <c r="D212" i="8"/>
  <c r="D213" i="8"/>
  <c r="D214" i="8"/>
  <c r="D215" i="8"/>
  <c r="D216" i="8"/>
  <c r="D217" i="8"/>
  <c r="D218" i="8"/>
  <c r="D18" i="8"/>
  <c r="D219" i="8"/>
  <c r="D220" i="8"/>
  <c r="D19" i="8"/>
  <c r="D20" i="8"/>
  <c r="D21" i="8"/>
  <c r="D221" i="8"/>
  <c r="D222" i="8"/>
  <c r="D223" i="8"/>
  <c r="D224" i="8"/>
  <c r="D225" i="8"/>
  <c r="D226" i="8"/>
  <c r="D227" i="8"/>
  <c r="D228" i="8"/>
  <c r="D22" i="8"/>
  <c r="D23" i="8"/>
  <c r="D229" i="8"/>
  <c r="D230" i="8"/>
  <c r="D231" i="8"/>
  <c r="D232" i="8"/>
  <c r="D233" i="8"/>
  <c r="D234" i="8"/>
  <c r="D235" i="8"/>
  <c r="D236" i="8"/>
  <c r="D237" i="8"/>
  <c r="D238" i="8"/>
  <c r="D239" i="8"/>
  <c r="D240" i="8"/>
  <c r="D24" i="8"/>
  <c r="D241" i="8"/>
  <c r="D242" i="8"/>
  <c r="D243" i="8"/>
  <c r="D244" i="8"/>
  <c r="D245" i="8"/>
  <c r="D246" i="8"/>
  <c r="D247" i="8"/>
  <c r="D248" i="8"/>
  <c r="D249" i="8"/>
  <c r="D250" i="8"/>
  <c r="D251" i="8"/>
  <c r="D252" i="8"/>
  <c r="D253" i="8"/>
  <c r="D254" i="8"/>
  <c r="D255" i="8"/>
  <c r="D256" i="8"/>
  <c r="D257" i="8"/>
  <c r="D258" i="8"/>
  <c r="D25" i="8"/>
  <c r="D259" i="8"/>
  <c r="D260" i="8"/>
  <c r="D261" i="8"/>
  <c r="D262" i="8"/>
  <c r="D263" i="8"/>
  <c r="D26" i="8"/>
  <c r="D264" i="8"/>
  <c r="D265" i="8"/>
  <c r="D266" i="8"/>
  <c r="D267" i="8"/>
  <c r="D268" i="8"/>
  <c r="D269" i="8"/>
  <c r="D270" i="8"/>
  <c r="D271" i="8"/>
  <c r="D272" i="8"/>
  <c r="D273" i="8"/>
  <c r="D27" i="8"/>
  <c r="D274" i="8"/>
  <c r="D275" i="8"/>
  <c r="D276" i="8"/>
  <c r="D277" i="8"/>
  <c r="D278" i="8"/>
  <c r="D279" i="8"/>
  <c r="D280" i="8"/>
  <c r="D281" i="8"/>
  <c r="D282" i="8"/>
  <c r="D283" i="8"/>
  <c r="D284" i="8"/>
  <c r="D285" i="8"/>
  <c r="D286" i="8"/>
  <c r="D28" i="8"/>
  <c r="D287" i="8"/>
  <c r="D288" i="8"/>
  <c r="D289" i="8"/>
  <c r="D290" i="8"/>
  <c r="D291" i="8"/>
  <c r="D292" i="8"/>
  <c r="D293" i="8"/>
  <c r="D294" i="8"/>
  <c r="D295" i="8"/>
  <c r="D296" i="8"/>
  <c r="D297" i="8"/>
  <c r="D298" i="8"/>
  <c r="D299" i="8"/>
  <c r="D300" i="8"/>
  <c r="D301" i="8"/>
  <c r="D302" i="8"/>
  <c r="D29" i="8"/>
  <c r="D303" i="8"/>
  <c r="D304" i="8"/>
  <c r="D305" i="8"/>
  <c r="D306" i="8"/>
  <c r="D307" i="8"/>
  <c r="D308" i="8"/>
  <c r="D309" i="8"/>
  <c r="D310" i="8"/>
  <c r="D311" i="8"/>
  <c r="D312" i="8"/>
  <c r="D313" i="8"/>
  <c r="D314" i="8"/>
  <c r="D315" i="8"/>
  <c r="D316" i="8"/>
  <c r="D317" i="8"/>
  <c r="D318" i="8"/>
  <c r="D319" i="8"/>
  <c r="D320" i="8"/>
  <c r="D321" i="8"/>
  <c r="D322" i="8"/>
  <c r="D323" i="8"/>
  <c r="D324" i="8"/>
  <c r="D325" i="8"/>
  <c r="D326" i="8"/>
  <c r="D30" i="8"/>
  <c r="D327" i="8"/>
  <c r="D328" i="8"/>
  <c r="D329" i="8"/>
  <c r="D330" i="8"/>
  <c r="D331" i="8"/>
  <c r="D31" i="8"/>
  <c r="D332" i="8"/>
  <c r="D333" i="8"/>
  <c r="D334" i="8"/>
  <c r="D335" i="8"/>
  <c r="D336" i="8"/>
  <c r="D337" i="8"/>
  <c r="D338" i="8"/>
  <c r="D339" i="8"/>
  <c r="D340" i="8"/>
  <c r="D341" i="8"/>
  <c r="D342" i="8"/>
  <c r="D343" i="8"/>
  <c r="D344" i="8"/>
  <c r="D345" i="8"/>
  <c r="D346" i="8"/>
  <c r="D347" i="8"/>
  <c r="D348" i="8"/>
  <c r="D349" i="8"/>
  <c r="D350" i="8"/>
  <c r="D32" i="8"/>
  <c r="D351" i="8"/>
  <c r="D352" i="8"/>
  <c r="D353" i="8"/>
  <c r="D354" i="8"/>
  <c r="D355" i="8"/>
  <c r="D356" i="8"/>
  <c r="D357" i="8"/>
  <c r="D358" i="8"/>
  <c r="D359" i="8"/>
  <c r="D360" i="8"/>
  <c r="D33" i="8"/>
  <c r="D361" i="8"/>
  <c r="D362" i="8"/>
  <c r="D363" i="8"/>
  <c r="D364" i="8"/>
  <c r="D365" i="8"/>
  <c r="D366" i="8"/>
  <c r="D367" i="8"/>
  <c r="D34" i="8"/>
  <c r="D368" i="8"/>
  <c r="D369" i="8"/>
  <c r="D370" i="8"/>
  <c r="D35" i="8"/>
  <c r="D371" i="8"/>
  <c r="D372" i="8"/>
  <c r="D373" i="8"/>
  <c r="D374" i="8"/>
  <c r="D375" i="8"/>
  <c r="D376" i="8"/>
  <c r="D377" i="8"/>
  <c r="D378" i="8"/>
  <c r="D379" i="8"/>
  <c r="D380" i="8"/>
  <c r="D381" i="8"/>
  <c r="D382" i="8"/>
  <c r="D383" i="8"/>
  <c r="D384" i="8"/>
  <c r="D385" i="8"/>
  <c r="D36" i="8"/>
  <c r="D386" i="8"/>
  <c r="D387" i="8"/>
  <c r="D388" i="8"/>
  <c r="D389" i="8"/>
  <c r="D390" i="8"/>
  <c r="D391" i="8"/>
  <c r="D392" i="8"/>
  <c r="D393" i="8"/>
  <c r="D37" i="8"/>
  <c r="D394" i="8"/>
  <c r="D395" i="8"/>
  <c r="D396" i="8"/>
  <c r="D397" i="8"/>
  <c r="D398" i="8"/>
  <c r="D38" i="8"/>
  <c r="D399" i="8"/>
  <c r="D400" i="8"/>
  <c r="D401" i="8"/>
  <c r="D402" i="8"/>
  <c r="D403" i="8"/>
  <c r="D404" i="8"/>
  <c r="D405" i="8"/>
  <c r="D406" i="8"/>
  <c r="D39" i="8"/>
  <c r="G21" i="2"/>
  <c r="K21" i="2"/>
  <c r="G30" i="2"/>
  <c r="G31" i="2"/>
  <c r="G40" i="2"/>
  <c r="K40" i="2"/>
  <c r="G29" i="2"/>
  <c r="G15" i="2"/>
  <c r="K15" i="2"/>
  <c r="G14" i="2"/>
  <c r="K14" i="2"/>
  <c r="T14" i="2"/>
  <c r="G13" i="2"/>
  <c r="G7" i="2"/>
  <c r="K7" i="2"/>
  <c r="S7" i="2"/>
  <c r="G12" i="2"/>
  <c r="K12" i="2"/>
  <c r="G10" i="2"/>
  <c r="K10" i="2"/>
  <c r="S10" i="2"/>
  <c r="G8" i="2"/>
  <c r="K8" i="2"/>
  <c r="G9" i="2"/>
  <c r="K9" i="2"/>
  <c r="S9" i="2"/>
  <c r="G35" i="2"/>
  <c r="K35" i="2"/>
  <c r="G33" i="2"/>
  <c r="K33" i="2"/>
  <c r="G5" i="2"/>
  <c r="K5" i="2"/>
  <c r="G4" i="2"/>
  <c r="K4" i="2"/>
  <c r="G36" i="2"/>
  <c r="K36" i="2"/>
  <c r="G37" i="2"/>
  <c r="K37" i="2"/>
  <c r="G6" i="2"/>
  <c r="G24" i="2"/>
  <c r="G34" i="2"/>
  <c r="K34" i="2"/>
  <c r="T34" i="2"/>
  <c r="G39" i="2"/>
  <c r="G38" i="2"/>
  <c r="K38" i="2"/>
  <c r="G23" i="2"/>
  <c r="K23" i="2"/>
  <c r="G43" i="2"/>
  <c r="G44" i="2"/>
  <c r="K44" i="2"/>
  <c r="W44" i="2"/>
  <c r="G48" i="2"/>
  <c r="G47" i="2"/>
  <c r="G49" i="2"/>
  <c r="G20" i="2"/>
  <c r="G28" i="2"/>
  <c r="T28" i="2"/>
  <c r="G19" i="2"/>
  <c r="G32" i="2"/>
  <c r="G25" i="2"/>
  <c r="G26" i="2"/>
  <c r="AP165" i="5"/>
  <c r="AQ165" i="5"/>
  <c r="AR165" i="5"/>
  <c r="AS165" i="5"/>
  <c r="AT165" i="5"/>
  <c r="AU165" i="5"/>
  <c r="AV165" i="5"/>
  <c r="AW165" i="5"/>
  <c r="AP109" i="5"/>
  <c r="AR109" i="5"/>
  <c r="AT109" i="5"/>
  <c r="AU109" i="5"/>
  <c r="AV109" i="5"/>
  <c r="AW109" i="5"/>
  <c r="AP166" i="5"/>
  <c r="AQ166" i="5"/>
  <c r="AR166" i="5"/>
  <c r="AS166" i="5"/>
  <c r="AT166" i="5"/>
  <c r="AU166" i="5"/>
  <c r="AV166" i="5"/>
  <c r="AW166" i="5"/>
  <c r="AP170" i="5"/>
  <c r="AR170" i="5"/>
  <c r="AT170" i="5"/>
  <c r="AU170" i="5"/>
  <c r="AV170" i="5"/>
  <c r="AW170" i="5"/>
  <c r="AP274" i="5"/>
  <c r="AR274" i="5"/>
  <c r="AT274" i="5"/>
  <c r="AU274" i="5"/>
  <c r="AV274" i="5"/>
  <c r="AW274" i="5"/>
  <c r="AP173" i="5"/>
  <c r="AQ173" i="5"/>
  <c r="AR173" i="5"/>
  <c r="AS173" i="5"/>
  <c r="AT173" i="5"/>
  <c r="AU173" i="5"/>
  <c r="AV173" i="5"/>
  <c r="AW173" i="5"/>
  <c r="AP184" i="5"/>
  <c r="AQ184" i="5"/>
  <c r="AR184" i="5"/>
  <c r="AS184" i="5"/>
  <c r="AT184" i="5"/>
  <c r="AU184" i="5"/>
  <c r="AV184" i="5"/>
  <c r="AW184" i="5"/>
  <c r="AP186" i="5"/>
  <c r="AQ186" i="5"/>
  <c r="AR186" i="5"/>
  <c r="AS186" i="5"/>
  <c r="AT186" i="5"/>
  <c r="AU186" i="5"/>
  <c r="AV186" i="5"/>
  <c r="AW186" i="5"/>
  <c r="AP187" i="5"/>
  <c r="AQ187" i="5"/>
  <c r="AR187" i="5"/>
  <c r="AS187" i="5"/>
  <c r="AT187" i="5"/>
  <c r="AU187" i="5"/>
  <c r="AV187" i="5"/>
  <c r="AW187" i="5"/>
  <c r="AP139" i="5"/>
  <c r="AQ139" i="5"/>
  <c r="AR139" i="5"/>
  <c r="AT139" i="5"/>
  <c r="AU139" i="5"/>
  <c r="AV139" i="5"/>
  <c r="AW139" i="5"/>
  <c r="AP171" i="5"/>
  <c r="AR171" i="5"/>
  <c r="AT171" i="5"/>
  <c r="AU171" i="5"/>
  <c r="AV171" i="5"/>
  <c r="AW171" i="5"/>
  <c r="AP222" i="5"/>
  <c r="AQ222" i="5"/>
  <c r="AR222" i="5"/>
  <c r="AT222" i="5"/>
  <c r="AU222" i="5"/>
  <c r="AV222" i="5"/>
  <c r="AW222" i="5"/>
  <c r="AP77" i="5"/>
  <c r="AQ77" i="5"/>
  <c r="AR77" i="5"/>
  <c r="AT77" i="5"/>
  <c r="AU77" i="5"/>
  <c r="AV77" i="5"/>
  <c r="AW77" i="5"/>
  <c r="AP79" i="5"/>
  <c r="AQ79" i="5"/>
  <c r="AR79" i="5"/>
  <c r="AT79" i="5"/>
  <c r="AU79" i="5"/>
  <c r="AV79" i="5"/>
  <c r="AW79" i="5"/>
  <c r="AP117" i="5"/>
  <c r="AR117" i="5"/>
  <c r="AT117" i="5"/>
  <c r="AU117" i="5"/>
  <c r="AV117" i="5"/>
  <c r="AW117" i="5"/>
  <c r="AP258" i="5"/>
  <c r="AQ258" i="5"/>
  <c r="AR258" i="5"/>
  <c r="AT258" i="5"/>
  <c r="AU258" i="5"/>
  <c r="AV258" i="5"/>
  <c r="AW258" i="5"/>
  <c r="AP287" i="5"/>
  <c r="AQ287" i="5"/>
  <c r="AR287" i="5"/>
  <c r="AS287" i="5"/>
  <c r="AT287" i="5"/>
  <c r="AU287" i="5"/>
  <c r="AV287" i="5"/>
  <c r="AW287" i="5"/>
  <c r="AP227" i="5"/>
  <c r="AR227" i="5"/>
  <c r="AT227" i="5"/>
  <c r="AU227" i="5"/>
  <c r="AV227" i="5"/>
  <c r="AW227" i="5"/>
  <c r="AP183" i="5"/>
  <c r="AQ183" i="5"/>
  <c r="AR183" i="5"/>
  <c r="AS183" i="5"/>
  <c r="AT183" i="5"/>
  <c r="AU183" i="5"/>
  <c r="AV183" i="5"/>
  <c r="AW183" i="5"/>
  <c r="AP208" i="5"/>
  <c r="AR208" i="5"/>
  <c r="AT208" i="5"/>
  <c r="AU208" i="5"/>
  <c r="AV208" i="5"/>
  <c r="AW208" i="5"/>
  <c r="AP225" i="5"/>
  <c r="AQ225" i="5"/>
  <c r="AR225" i="5"/>
  <c r="AT225" i="5"/>
  <c r="AU225" i="5"/>
  <c r="AV225" i="5"/>
  <c r="AW225" i="5"/>
  <c r="AP52" i="5"/>
  <c r="AR52" i="5"/>
  <c r="AT52" i="5"/>
  <c r="AU52" i="5"/>
  <c r="AV52" i="5"/>
  <c r="AW52" i="5"/>
  <c r="AP119" i="5"/>
  <c r="AQ119" i="5"/>
  <c r="AR119" i="5"/>
  <c r="AT119" i="5"/>
  <c r="AU119" i="5"/>
  <c r="AV119" i="5"/>
  <c r="AW119" i="5"/>
  <c r="AP174" i="5"/>
  <c r="AQ174" i="5"/>
  <c r="AR174" i="5"/>
  <c r="AS174" i="5"/>
  <c r="AT174" i="5"/>
  <c r="AU174" i="5"/>
  <c r="AV174" i="5"/>
  <c r="AW174" i="5"/>
  <c r="AP181" i="5"/>
  <c r="AQ181" i="5"/>
  <c r="AR181" i="5"/>
  <c r="AS181" i="5"/>
  <c r="AT181" i="5"/>
  <c r="AU181" i="5"/>
  <c r="AV181" i="5"/>
  <c r="AW181" i="5"/>
  <c r="AP185" i="5"/>
  <c r="AQ185" i="5"/>
  <c r="AR185" i="5"/>
  <c r="AS185" i="5"/>
  <c r="AT185" i="5"/>
  <c r="AU185" i="5"/>
  <c r="AV185" i="5"/>
  <c r="AW185" i="5"/>
  <c r="AP219" i="5"/>
  <c r="AQ219" i="5"/>
  <c r="AR219" i="5"/>
  <c r="AT219" i="5"/>
  <c r="AU219" i="5"/>
  <c r="AV219" i="5"/>
  <c r="AW219" i="5"/>
  <c r="AP220" i="5"/>
  <c r="AQ220" i="5"/>
  <c r="AR220" i="5"/>
  <c r="AT220" i="5"/>
  <c r="AU220" i="5"/>
  <c r="AV220" i="5"/>
  <c r="AW220" i="5"/>
  <c r="AP53" i="5"/>
  <c r="AR53" i="5"/>
  <c r="AT53" i="5"/>
  <c r="AU53" i="5"/>
  <c r="AV53" i="5"/>
  <c r="AW53" i="5"/>
  <c r="AP288" i="5"/>
  <c r="AR288" i="5"/>
  <c r="AS288" i="5"/>
  <c r="AT288" i="5"/>
  <c r="AU288" i="5"/>
  <c r="AV288" i="5"/>
  <c r="AW288" i="5"/>
  <c r="AP78" i="5"/>
  <c r="AQ78" i="5"/>
  <c r="AR78" i="5"/>
  <c r="AT78" i="5"/>
  <c r="AU78" i="5"/>
  <c r="AV78" i="5"/>
  <c r="AW78" i="5"/>
  <c r="AP89" i="5"/>
  <c r="AQ89" i="5"/>
  <c r="AR89" i="5"/>
  <c r="AT89" i="5"/>
  <c r="AU89" i="5"/>
  <c r="AV89" i="5"/>
  <c r="AW89" i="5"/>
  <c r="AP5" i="5"/>
  <c r="AQ5" i="5"/>
  <c r="AR5" i="5"/>
  <c r="AS5" i="5"/>
  <c r="AT5" i="5"/>
  <c r="AU5" i="5"/>
  <c r="AV5" i="5"/>
  <c r="AW5" i="5"/>
  <c r="AP356" i="5"/>
  <c r="AQ356" i="5"/>
  <c r="AR356" i="5"/>
  <c r="AS356" i="5"/>
  <c r="AT356" i="5"/>
  <c r="AU356" i="5"/>
  <c r="AV356" i="5"/>
  <c r="AW356" i="5"/>
  <c r="AP125" i="5"/>
  <c r="AR125" i="5"/>
  <c r="AT125" i="5"/>
  <c r="AU125" i="5"/>
  <c r="AV125" i="5"/>
  <c r="AW125" i="5"/>
  <c r="AP128" i="5"/>
  <c r="AQ128" i="5"/>
  <c r="AR128" i="5"/>
  <c r="AT128" i="5"/>
  <c r="AU128" i="5"/>
  <c r="AV128" i="5"/>
  <c r="AW128" i="5"/>
  <c r="AP140" i="5"/>
  <c r="AQ140" i="5"/>
  <c r="AR140" i="5"/>
  <c r="AT140" i="5"/>
  <c r="AU140" i="5"/>
  <c r="AV140" i="5"/>
  <c r="AW140" i="5"/>
  <c r="AP177" i="5"/>
  <c r="AR177" i="5"/>
  <c r="AS177" i="5"/>
  <c r="AT177" i="5"/>
  <c r="AU177" i="5"/>
  <c r="AV177" i="5"/>
  <c r="AW177" i="5"/>
  <c r="AP182" i="5"/>
  <c r="AQ182" i="5"/>
  <c r="AR182" i="5"/>
  <c r="AS182" i="5"/>
  <c r="AT182" i="5"/>
  <c r="AU182" i="5"/>
  <c r="AV182" i="5"/>
  <c r="AW182" i="5"/>
  <c r="AP20" i="5"/>
  <c r="AR20" i="5"/>
  <c r="AS20" i="5"/>
  <c r="AT20" i="5"/>
  <c r="AU20" i="5"/>
  <c r="AV20" i="5"/>
  <c r="AW20" i="5"/>
  <c r="AZ20" i="5"/>
  <c r="AP21" i="5"/>
  <c r="AR21" i="5"/>
  <c r="AT21" i="5"/>
  <c r="AU21" i="5"/>
  <c r="AV21" i="5"/>
  <c r="AW21" i="5"/>
  <c r="AP23" i="5"/>
  <c r="AR23" i="5"/>
  <c r="AU23" i="5"/>
  <c r="AP50" i="5"/>
  <c r="AR50" i="5"/>
  <c r="AT50" i="5"/>
  <c r="AU50" i="5"/>
  <c r="AV50" i="5"/>
  <c r="AW50" i="5"/>
  <c r="AP277" i="5"/>
  <c r="AR277" i="5"/>
  <c r="AS277" i="5"/>
  <c r="AT277" i="5"/>
  <c r="AU277" i="5"/>
  <c r="AV277" i="5"/>
  <c r="AW277" i="5"/>
  <c r="AP104" i="5"/>
  <c r="AQ104" i="5"/>
  <c r="AR104" i="5"/>
  <c r="AT104" i="5"/>
  <c r="AU104" i="5"/>
  <c r="AV104" i="5"/>
  <c r="AW104" i="5"/>
  <c r="AP350" i="5"/>
  <c r="AQ350" i="5"/>
  <c r="AR350" i="5"/>
  <c r="AT350" i="5"/>
  <c r="AU350" i="5"/>
  <c r="AV350" i="5"/>
  <c r="AW350" i="5"/>
  <c r="AP123" i="5"/>
  <c r="AQ123" i="5"/>
  <c r="AR123" i="5"/>
  <c r="AS123" i="5"/>
  <c r="AT123" i="5"/>
  <c r="AU123" i="5"/>
  <c r="AV123" i="5"/>
  <c r="AW123" i="5"/>
  <c r="AP146" i="5"/>
  <c r="AQ146" i="5"/>
  <c r="AR146" i="5"/>
  <c r="AT146" i="5"/>
  <c r="AU146" i="5"/>
  <c r="AV146" i="5"/>
  <c r="AW146" i="5"/>
  <c r="AP180" i="5"/>
  <c r="AQ180" i="5"/>
  <c r="AR180" i="5"/>
  <c r="AS180" i="5"/>
  <c r="AT180" i="5"/>
  <c r="AU180" i="5"/>
  <c r="AV180" i="5"/>
  <c r="AW180" i="5"/>
  <c r="AP13" i="5"/>
  <c r="AR13" i="5"/>
  <c r="AT13" i="5"/>
  <c r="AU13" i="5"/>
  <c r="AV13" i="5"/>
  <c r="AW13" i="5"/>
  <c r="AP14" i="5"/>
  <c r="AR14" i="5"/>
  <c r="AS14" i="5"/>
  <c r="AT14" i="5"/>
  <c r="AU14" i="5"/>
  <c r="AV14" i="5"/>
  <c r="AW14" i="5"/>
  <c r="AP15" i="5"/>
  <c r="AR15" i="5"/>
  <c r="AT15" i="5"/>
  <c r="AU15" i="5"/>
  <c r="AV15" i="5"/>
  <c r="AW15" i="5"/>
  <c r="AP16" i="5"/>
  <c r="AR16" i="5"/>
  <c r="AT16" i="5"/>
  <c r="AU16" i="5"/>
  <c r="AV16" i="5"/>
  <c r="AW16" i="5"/>
  <c r="AP17" i="5"/>
  <c r="AR17" i="5"/>
  <c r="AT17" i="5"/>
  <c r="AU17" i="5"/>
  <c r="AV17" i="5"/>
  <c r="AW17" i="5"/>
  <c r="AP404" i="5"/>
  <c r="AR404" i="5"/>
  <c r="AS404" i="5"/>
  <c r="AT404" i="5"/>
  <c r="AU404" i="5"/>
  <c r="AV404" i="5"/>
  <c r="AW404" i="5"/>
  <c r="AP61" i="5"/>
  <c r="AR61" i="5"/>
  <c r="AS61" i="5"/>
  <c r="AU61" i="5"/>
  <c r="AP110" i="5"/>
  <c r="AQ110" i="5"/>
  <c r="AR110" i="5"/>
  <c r="AT110" i="5"/>
  <c r="AU110" i="5"/>
  <c r="AV110" i="5"/>
  <c r="AW110" i="5"/>
  <c r="AP7" i="5"/>
  <c r="AQ7" i="5"/>
  <c r="AR7" i="5"/>
  <c r="AT7" i="5"/>
  <c r="AU7" i="5"/>
  <c r="AV7" i="5"/>
  <c r="AW7" i="5"/>
  <c r="AP135" i="5"/>
  <c r="AR135" i="5"/>
  <c r="AT135" i="5"/>
  <c r="AU135" i="5"/>
  <c r="AV135" i="5"/>
  <c r="AW135" i="5"/>
  <c r="AP164" i="5"/>
  <c r="AQ164" i="5"/>
  <c r="AR164" i="5"/>
  <c r="AS164" i="5"/>
  <c r="AT164" i="5"/>
  <c r="AU164" i="5"/>
  <c r="AV164" i="5"/>
  <c r="AW164" i="5"/>
  <c r="AP232" i="5"/>
  <c r="AR232" i="5"/>
  <c r="AT232" i="5"/>
  <c r="AU232" i="5"/>
  <c r="AV232" i="5"/>
  <c r="AW232" i="5"/>
  <c r="AP238" i="5"/>
  <c r="AR238" i="5"/>
  <c r="AT238" i="5"/>
  <c r="AU238" i="5"/>
  <c r="AV238" i="5"/>
  <c r="AW238" i="5"/>
  <c r="AP25" i="5"/>
  <c r="AR25" i="5"/>
  <c r="AT25" i="5"/>
  <c r="AU25" i="5"/>
  <c r="AV25" i="5"/>
  <c r="AW25" i="5"/>
  <c r="AP51" i="5"/>
  <c r="AR51" i="5"/>
  <c r="AT51" i="5"/>
  <c r="AU51" i="5"/>
  <c r="AV51" i="5"/>
  <c r="AW51" i="5"/>
  <c r="AP54" i="5"/>
  <c r="AR54" i="5"/>
  <c r="AS54" i="5"/>
  <c r="AT54" i="5"/>
  <c r="AU54" i="5"/>
  <c r="AV54" i="5"/>
  <c r="AW54" i="5"/>
  <c r="AP289" i="5"/>
  <c r="AR289" i="5"/>
  <c r="AS289" i="5"/>
  <c r="AT289" i="5"/>
  <c r="AU289" i="5"/>
  <c r="AV289" i="5"/>
  <c r="AW289" i="5"/>
  <c r="AP81" i="5"/>
  <c r="AR81" i="5"/>
  <c r="AT81" i="5"/>
  <c r="AU81" i="5"/>
  <c r="AV81" i="5"/>
  <c r="AW81" i="5"/>
  <c r="AP320" i="5"/>
  <c r="AR320" i="5"/>
  <c r="AT320" i="5"/>
  <c r="AU320" i="5"/>
  <c r="AV320" i="5"/>
  <c r="AW320" i="5"/>
  <c r="AP83" i="5"/>
  <c r="AR83" i="5"/>
  <c r="AT83" i="5"/>
  <c r="AU83" i="5"/>
  <c r="AV83" i="5"/>
  <c r="AW83" i="5"/>
  <c r="AP84" i="5"/>
  <c r="AR84" i="5"/>
  <c r="AT84" i="5"/>
  <c r="AU84" i="5"/>
  <c r="AV84" i="5"/>
  <c r="AW84" i="5"/>
  <c r="AP283" i="5"/>
  <c r="AR283" i="5"/>
  <c r="AT283" i="5"/>
  <c r="AU283" i="5"/>
  <c r="AV283" i="5"/>
  <c r="AW283" i="5"/>
  <c r="AP284" i="5"/>
  <c r="AR284" i="5"/>
  <c r="AT284" i="5"/>
  <c r="AU284" i="5"/>
  <c r="AV284" i="5"/>
  <c r="AW284" i="5"/>
  <c r="AP86" i="5"/>
  <c r="AR86" i="5"/>
  <c r="AT86" i="5"/>
  <c r="AU86" i="5"/>
  <c r="AV86" i="5"/>
  <c r="AW86" i="5"/>
  <c r="AP28" i="5"/>
  <c r="AR28" i="5"/>
  <c r="AT28" i="5"/>
  <c r="AU28" i="5"/>
  <c r="AV28" i="5"/>
  <c r="AW28" i="5"/>
  <c r="AP92" i="5"/>
  <c r="AR92" i="5"/>
  <c r="AS92" i="5"/>
  <c r="AT92" i="5"/>
  <c r="AU92" i="5"/>
  <c r="AV92" i="5"/>
  <c r="AW92" i="5"/>
  <c r="AP3" i="5"/>
  <c r="AR3" i="5"/>
  <c r="AT3" i="5"/>
  <c r="AU3" i="5"/>
  <c r="AV3" i="5"/>
  <c r="AW3" i="5"/>
  <c r="AP4" i="5"/>
  <c r="AR4" i="5"/>
  <c r="AT4" i="5"/>
  <c r="AU4" i="5"/>
  <c r="AV4" i="5"/>
  <c r="AW4" i="5"/>
  <c r="AP93" i="5"/>
  <c r="AR93" i="5"/>
  <c r="AT93" i="5"/>
  <c r="AU93" i="5"/>
  <c r="AV93" i="5"/>
  <c r="AW93" i="5"/>
  <c r="AP94" i="5"/>
  <c r="AR94" i="5"/>
  <c r="AT94" i="5"/>
  <c r="AU94" i="5"/>
  <c r="AV94" i="5"/>
  <c r="AW94" i="5"/>
  <c r="AP285" i="5"/>
  <c r="AR285" i="5"/>
  <c r="AT285" i="5"/>
  <c r="AU285" i="5"/>
  <c r="AV285" i="5"/>
  <c r="AW285" i="5"/>
  <c r="AP102" i="5"/>
  <c r="AQ102" i="5"/>
  <c r="AR102" i="5"/>
  <c r="AT102" i="5"/>
  <c r="AU102" i="5"/>
  <c r="AV102" i="5"/>
  <c r="AW102" i="5"/>
  <c r="AP103" i="5"/>
  <c r="AQ103" i="5"/>
  <c r="AR103" i="5"/>
  <c r="AT103" i="5"/>
  <c r="AU103" i="5"/>
  <c r="AV103" i="5"/>
  <c r="AW103" i="5"/>
  <c r="AP106" i="5"/>
  <c r="AQ106" i="5"/>
  <c r="AR106" i="5"/>
  <c r="AT106" i="5"/>
  <c r="AU106" i="5"/>
  <c r="AV106" i="5"/>
  <c r="AW106" i="5"/>
  <c r="AP107" i="5"/>
  <c r="AQ107" i="5"/>
  <c r="AR107" i="5"/>
  <c r="AT107" i="5"/>
  <c r="AU107" i="5"/>
  <c r="AV107" i="5"/>
  <c r="AW107" i="5"/>
  <c r="AP108" i="5"/>
  <c r="AQ108" i="5"/>
  <c r="AR108" i="5"/>
  <c r="AT108" i="5"/>
  <c r="AU108" i="5"/>
  <c r="AV108" i="5"/>
  <c r="AW108" i="5"/>
  <c r="AP347" i="5"/>
  <c r="AQ347" i="5"/>
  <c r="AR347" i="5"/>
  <c r="AT347" i="5"/>
  <c r="AU347" i="5"/>
  <c r="AV347" i="5"/>
  <c r="AW347" i="5"/>
  <c r="AP131" i="5"/>
  <c r="AQ131" i="5"/>
  <c r="AR131" i="5"/>
  <c r="AT131" i="5"/>
  <c r="AU131" i="5"/>
  <c r="AV131" i="5"/>
  <c r="AW131" i="5"/>
  <c r="AP145" i="5"/>
  <c r="AQ145" i="5"/>
  <c r="AR145" i="5"/>
  <c r="AT145" i="5"/>
  <c r="AU145" i="5"/>
  <c r="AV145" i="5"/>
  <c r="AW145" i="5"/>
  <c r="AP155" i="5"/>
  <c r="AQ155" i="5"/>
  <c r="AR155" i="5"/>
  <c r="AT155" i="5"/>
  <c r="AU155" i="5"/>
  <c r="AV155" i="5"/>
  <c r="AW155" i="5"/>
  <c r="AP159" i="5"/>
  <c r="AQ159" i="5"/>
  <c r="AR159" i="5"/>
  <c r="AT159" i="5"/>
  <c r="AU159" i="5"/>
  <c r="AV159" i="5"/>
  <c r="AW159" i="5"/>
  <c r="AP160" i="5"/>
  <c r="AQ160" i="5"/>
  <c r="AR160" i="5"/>
  <c r="AT160" i="5"/>
  <c r="AU160" i="5"/>
  <c r="AV160" i="5"/>
  <c r="AW160" i="5"/>
  <c r="AP162" i="5"/>
  <c r="AR162" i="5"/>
  <c r="AT162" i="5"/>
  <c r="AU162" i="5"/>
  <c r="AV162" i="5"/>
  <c r="AW162" i="5"/>
  <c r="AP168" i="5"/>
  <c r="AR168" i="5"/>
  <c r="AT168" i="5"/>
  <c r="AU168" i="5"/>
  <c r="AV168" i="5"/>
  <c r="AW168" i="5"/>
  <c r="AP178" i="5"/>
  <c r="AR178" i="5"/>
  <c r="AT178" i="5"/>
  <c r="AU178" i="5"/>
  <c r="AV178" i="5"/>
  <c r="AW178" i="5"/>
  <c r="AP192" i="5"/>
  <c r="AR192" i="5"/>
  <c r="AT192" i="5"/>
  <c r="AU192" i="5"/>
  <c r="AV192" i="5"/>
  <c r="AW192" i="5"/>
  <c r="AP381" i="5"/>
  <c r="AR381" i="5"/>
  <c r="AT381" i="5"/>
  <c r="AU381" i="5"/>
  <c r="AV381" i="5"/>
  <c r="AW381" i="5"/>
  <c r="AP382" i="5"/>
  <c r="AR382" i="5"/>
  <c r="AT382" i="5"/>
  <c r="AU382" i="5"/>
  <c r="AV382" i="5"/>
  <c r="AW382" i="5"/>
  <c r="AP386" i="5"/>
  <c r="AR386" i="5"/>
  <c r="AT386" i="5"/>
  <c r="AU386" i="5"/>
  <c r="AV386" i="5"/>
  <c r="AW386" i="5"/>
  <c r="AP199" i="5"/>
  <c r="AQ199" i="5"/>
  <c r="AR199" i="5"/>
  <c r="AT199" i="5"/>
  <c r="AU199" i="5"/>
  <c r="AV199" i="5"/>
  <c r="AW199" i="5"/>
  <c r="AP201" i="5"/>
  <c r="AR201" i="5"/>
  <c r="AT201" i="5"/>
  <c r="AU201" i="5"/>
  <c r="AV201" i="5"/>
  <c r="AW201" i="5"/>
  <c r="AP202" i="5"/>
  <c r="AR202" i="5"/>
  <c r="AS202" i="5"/>
  <c r="AT202" i="5"/>
  <c r="AU202" i="5"/>
  <c r="AV202" i="5"/>
  <c r="AW202" i="5"/>
  <c r="AP203" i="5"/>
  <c r="AR203" i="5"/>
  <c r="AT203" i="5"/>
  <c r="AU203" i="5"/>
  <c r="AV203" i="5"/>
  <c r="AW203" i="5"/>
  <c r="AP204" i="5"/>
  <c r="AR204" i="5"/>
  <c r="AT204" i="5"/>
  <c r="AU204" i="5"/>
  <c r="AV204" i="5"/>
  <c r="AW204" i="5"/>
  <c r="AP205" i="5"/>
  <c r="AR205" i="5"/>
  <c r="AS205" i="5"/>
  <c r="AT205" i="5"/>
  <c r="AU205" i="5"/>
  <c r="AV205" i="5"/>
  <c r="AW205" i="5"/>
  <c r="AP206" i="5"/>
  <c r="AR206" i="5"/>
  <c r="AT206" i="5"/>
  <c r="AU206" i="5"/>
  <c r="AV206" i="5"/>
  <c r="AW206" i="5"/>
  <c r="AP209" i="5"/>
  <c r="AQ209" i="5"/>
  <c r="AR209" i="5"/>
  <c r="AT209" i="5"/>
  <c r="AU209" i="5"/>
  <c r="AV209" i="5"/>
  <c r="AW209" i="5"/>
  <c r="AP210" i="5"/>
  <c r="AQ210" i="5"/>
  <c r="AR210" i="5"/>
  <c r="AT210" i="5"/>
  <c r="AU210" i="5"/>
  <c r="AV210" i="5"/>
  <c r="AW210" i="5"/>
  <c r="AP214" i="5"/>
  <c r="AQ214" i="5"/>
  <c r="AR214" i="5"/>
  <c r="AT214" i="5"/>
  <c r="AU214" i="5"/>
  <c r="AV214" i="5"/>
  <c r="AW214" i="5"/>
  <c r="AP218" i="5"/>
  <c r="AR218" i="5"/>
  <c r="AT218" i="5"/>
  <c r="AU218" i="5"/>
  <c r="AV218" i="5"/>
  <c r="AW218" i="5"/>
  <c r="AP229" i="5"/>
  <c r="AQ229" i="5"/>
  <c r="AR229" i="5"/>
  <c r="AT229" i="5"/>
  <c r="AU229" i="5"/>
  <c r="AV229" i="5"/>
  <c r="AW229" i="5"/>
  <c r="AP230" i="5"/>
  <c r="AQ230" i="5"/>
  <c r="AR230" i="5"/>
  <c r="AT230" i="5"/>
  <c r="AU230" i="5"/>
  <c r="AV230" i="5"/>
  <c r="AW230" i="5"/>
  <c r="AP234" i="5"/>
  <c r="AR234" i="5"/>
  <c r="AT234" i="5"/>
  <c r="AU234" i="5"/>
  <c r="AV234" i="5"/>
  <c r="AW234" i="5"/>
  <c r="AP235" i="5"/>
  <c r="AR235" i="5"/>
  <c r="AT235" i="5"/>
  <c r="AU235" i="5"/>
  <c r="AV235" i="5"/>
  <c r="AW235" i="5"/>
  <c r="AP237" i="5"/>
  <c r="AR237" i="5"/>
  <c r="AT237" i="5"/>
  <c r="AU237" i="5"/>
  <c r="AV237" i="5"/>
  <c r="AW237" i="5"/>
  <c r="AP267" i="5"/>
  <c r="AR267" i="5"/>
  <c r="AT267" i="5"/>
  <c r="AU267" i="5"/>
  <c r="AV267" i="5"/>
  <c r="AW267" i="5"/>
  <c r="AP269" i="5"/>
  <c r="AR269" i="5"/>
  <c r="AT269" i="5"/>
  <c r="AU269" i="5"/>
  <c r="AV269" i="5"/>
  <c r="AW269" i="5"/>
  <c r="AP276" i="5"/>
  <c r="AR276" i="5"/>
  <c r="AT276" i="5"/>
  <c r="AU276" i="5"/>
  <c r="AV276" i="5"/>
  <c r="AW276" i="5"/>
  <c r="AP82" i="5"/>
  <c r="AR82" i="5"/>
  <c r="AT82" i="5"/>
  <c r="AU82" i="5"/>
  <c r="AV82" i="5"/>
  <c r="AW82" i="5"/>
  <c r="AP85" i="5"/>
  <c r="AR85" i="5"/>
  <c r="AT85" i="5"/>
  <c r="AU85" i="5"/>
  <c r="AV85" i="5"/>
  <c r="AW85" i="5"/>
  <c r="AP87" i="5"/>
  <c r="AQ87" i="5"/>
  <c r="AR87" i="5"/>
  <c r="AT87" i="5"/>
  <c r="AU87" i="5"/>
  <c r="AV87" i="5"/>
  <c r="AW87" i="5"/>
  <c r="AP95" i="5"/>
  <c r="AR95" i="5"/>
  <c r="AT95" i="5"/>
  <c r="AU95" i="5"/>
  <c r="AV95" i="5"/>
  <c r="AW95" i="5"/>
  <c r="AP101" i="5"/>
  <c r="AR101" i="5"/>
  <c r="AS101" i="5"/>
  <c r="AT101" i="5"/>
  <c r="AU101" i="5"/>
  <c r="AV101" i="5"/>
  <c r="AW101" i="5"/>
  <c r="AP111" i="5"/>
  <c r="AR111" i="5"/>
  <c r="AT111" i="5"/>
  <c r="AU111" i="5"/>
  <c r="AV111" i="5"/>
  <c r="AW111" i="5"/>
  <c r="AP143" i="5"/>
  <c r="AR143" i="5"/>
  <c r="AT143" i="5"/>
  <c r="AU143" i="5"/>
  <c r="AV143" i="5"/>
  <c r="AW143" i="5"/>
  <c r="AP158" i="5"/>
  <c r="AQ158" i="5"/>
  <c r="AR158" i="5"/>
  <c r="AT158" i="5"/>
  <c r="AU158" i="5"/>
  <c r="AV158" i="5"/>
  <c r="AW158" i="5"/>
  <c r="AP213" i="5"/>
  <c r="AQ213" i="5"/>
  <c r="AR213" i="5"/>
  <c r="AT213" i="5"/>
  <c r="AU213" i="5"/>
  <c r="AV213" i="5"/>
  <c r="AW213" i="5"/>
  <c r="AP215" i="5"/>
  <c r="AQ215" i="5"/>
  <c r="AR215" i="5"/>
  <c r="AS215" i="5"/>
  <c r="AT215" i="5"/>
  <c r="AU215" i="5"/>
  <c r="AV215" i="5"/>
  <c r="AW215" i="5"/>
  <c r="AP216" i="5"/>
  <c r="AQ216" i="5"/>
  <c r="AR216" i="5"/>
  <c r="AS216" i="5"/>
  <c r="AT216" i="5"/>
  <c r="AU216" i="5"/>
  <c r="AV216" i="5"/>
  <c r="AW216" i="5"/>
  <c r="AP217" i="5"/>
  <c r="AQ217" i="5"/>
  <c r="AR217" i="5"/>
  <c r="AS217" i="5"/>
  <c r="AT217" i="5"/>
  <c r="AU217" i="5"/>
  <c r="AV217" i="5"/>
  <c r="AW217" i="5"/>
  <c r="AP24" i="5"/>
  <c r="AR24" i="5"/>
  <c r="AU24" i="5"/>
  <c r="AP233" i="5"/>
  <c r="AR233" i="5"/>
  <c r="AU233" i="5"/>
  <c r="AP72" i="5"/>
  <c r="AR72" i="5"/>
  <c r="AT72" i="5"/>
  <c r="AU72" i="5"/>
  <c r="AV72" i="5"/>
  <c r="AW72" i="5"/>
  <c r="AP2" i="5"/>
  <c r="AQ2" i="5"/>
  <c r="AR2" i="5"/>
  <c r="AT2" i="5"/>
  <c r="AU2" i="5"/>
  <c r="AV2" i="5"/>
  <c r="AW2" i="5"/>
  <c r="AP100" i="5"/>
  <c r="AR100" i="5"/>
  <c r="AT100" i="5"/>
  <c r="AU100" i="5"/>
  <c r="AV100" i="5"/>
  <c r="AW100" i="5"/>
  <c r="AP114" i="5"/>
  <c r="AR114" i="5"/>
  <c r="AT114" i="5"/>
  <c r="AU114" i="5"/>
  <c r="AV114" i="5"/>
  <c r="AW114" i="5"/>
  <c r="AP8" i="5"/>
  <c r="AQ8" i="5"/>
  <c r="AR8" i="5"/>
  <c r="AT8" i="5"/>
  <c r="AU8" i="5"/>
  <c r="AV8" i="5"/>
  <c r="AW8" i="5"/>
  <c r="AP132" i="5"/>
  <c r="AQ132" i="5"/>
  <c r="AR132" i="5"/>
  <c r="AT132" i="5"/>
  <c r="AU132" i="5"/>
  <c r="AV132" i="5"/>
  <c r="AW132" i="5"/>
  <c r="AP133" i="5"/>
  <c r="AR133" i="5"/>
  <c r="AS133" i="5"/>
  <c r="AT133" i="5"/>
  <c r="AU133" i="5"/>
  <c r="AV133" i="5"/>
  <c r="AW133" i="5"/>
  <c r="AP138" i="5"/>
  <c r="AR138" i="5"/>
  <c r="AT138" i="5"/>
  <c r="AU138" i="5"/>
  <c r="AV138" i="5"/>
  <c r="AW138" i="5"/>
  <c r="AP141" i="5"/>
  <c r="AQ141" i="5"/>
  <c r="AR141" i="5"/>
  <c r="AT141" i="5"/>
  <c r="AU141" i="5"/>
  <c r="AV141" i="5"/>
  <c r="AW141" i="5"/>
  <c r="AP148" i="5"/>
  <c r="AQ148" i="5"/>
  <c r="AR148" i="5"/>
  <c r="AS148" i="5"/>
  <c r="AT148" i="5"/>
  <c r="AU148" i="5"/>
  <c r="AV148" i="5"/>
  <c r="AW148" i="5"/>
  <c r="AP152" i="5"/>
  <c r="AQ152" i="5"/>
  <c r="AR152" i="5"/>
  <c r="AT152" i="5"/>
  <c r="AU152" i="5"/>
  <c r="AV152" i="5"/>
  <c r="AW152" i="5"/>
  <c r="AP167" i="5"/>
  <c r="AR167" i="5"/>
  <c r="AT167" i="5"/>
  <c r="AU167" i="5"/>
  <c r="AV167" i="5"/>
  <c r="AW167" i="5"/>
  <c r="AP169" i="5"/>
  <c r="AR169" i="5"/>
  <c r="AT169" i="5"/>
  <c r="AU169" i="5"/>
  <c r="AV169" i="5"/>
  <c r="AW169" i="5"/>
  <c r="AP189" i="5"/>
  <c r="AR189" i="5"/>
  <c r="AT189" i="5"/>
  <c r="AU189" i="5"/>
  <c r="AV189" i="5"/>
  <c r="AW189" i="5"/>
  <c r="AP191" i="5"/>
  <c r="AR191" i="5"/>
  <c r="AT191" i="5"/>
  <c r="AU191" i="5"/>
  <c r="AV191" i="5"/>
  <c r="AW191" i="5"/>
  <c r="AP387" i="5"/>
  <c r="AR387" i="5"/>
  <c r="AT387" i="5"/>
  <c r="AU387" i="5"/>
  <c r="AV387" i="5"/>
  <c r="AW387" i="5"/>
  <c r="AP389" i="5"/>
  <c r="AR389" i="5"/>
  <c r="AT389" i="5"/>
  <c r="AU389" i="5"/>
  <c r="AV389" i="5"/>
  <c r="AW389" i="5"/>
  <c r="AP12" i="5"/>
  <c r="AR12" i="5"/>
  <c r="AT12" i="5"/>
  <c r="AU12" i="5"/>
  <c r="AV12" i="5"/>
  <c r="AW12" i="5"/>
  <c r="AP212" i="5"/>
  <c r="AQ212" i="5"/>
  <c r="AR212" i="5"/>
  <c r="AT212" i="5"/>
  <c r="AU212" i="5"/>
  <c r="AV212" i="5"/>
  <c r="AW212" i="5"/>
  <c r="AP18" i="5"/>
  <c r="AQ18" i="5"/>
  <c r="AR18" i="5"/>
  <c r="AT18" i="5"/>
  <c r="AU18" i="5"/>
  <c r="AV18" i="5"/>
  <c r="AW18" i="5"/>
  <c r="AP19" i="5"/>
  <c r="AR19" i="5"/>
  <c r="AT19" i="5"/>
  <c r="AU19" i="5"/>
  <c r="AV19" i="5"/>
  <c r="AW19" i="5"/>
  <c r="AP239" i="5"/>
  <c r="AQ239" i="5"/>
  <c r="AR239" i="5"/>
  <c r="AT239" i="5"/>
  <c r="AU239" i="5"/>
  <c r="AV239" i="5"/>
  <c r="AW239" i="5"/>
  <c r="AP75" i="5"/>
  <c r="AR75" i="5"/>
  <c r="AT75" i="5"/>
  <c r="AU75" i="5"/>
  <c r="AV75" i="5"/>
  <c r="AW75" i="5"/>
  <c r="AP88" i="5"/>
  <c r="AQ88" i="5"/>
  <c r="AR88" i="5"/>
  <c r="AT88" i="5"/>
  <c r="AU88" i="5"/>
  <c r="AV88" i="5"/>
  <c r="AW88" i="5"/>
  <c r="AP99" i="5"/>
  <c r="AR99" i="5"/>
  <c r="AT99" i="5"/>
  <c r="AU99" i="5"/>
  <c r="AV99" i="5"/>
  <c r="AW99" i="5"/>
  <c r="AP112" i="5"/>
  <c r="AR112" i="5"/>
  <c r="AT112" i="5"/>
  <c r="AU112" i="5"/>
  <c r="AV112" i="5"/>
  <c r="AW112" i="5"/>
  <c r="AP130" i="5"/>
  <c r="AQ130" i="5"/>
  <c r="AR130" i="5"/>
  <c r="AT130" i="5"/>
  <c r="AU130" i="5"/>
  <c r="AV130" i="5"/>
  <c r="AW130" i="5"/>
  <c r="AP142" i="5"/>
  <c r="AR142" i="5"/>
  <c r="AS142" i="5"/>
  <c r="AT142" i="5"/>
  <c r="AU142" i="5"/>
  <c r="AV142" i="5"/>
  <c r="AW142" i="5"/>
  <c r="AP156" i="5"/>
  <c r="AR156" i="5"/>
  <c r="AS156" i="5"/>
  <c r="AT156" i="5"/>
  <c r="AU156" i="5"/>
  <c r="AV156" i="5"/>
  <c r="AW156" i="5"/>
  <c r="AP172" i="5"/>
  <c r="AR172" i="5"/>
  <c r="AT172" i="5"/>
  <c r="AU172" i="5"/>
  <c r="AV172" i="5"/>
  <c r="AW172" i="5"/>
  <c r="AP190" i="5"/>
  <c r="AR190" i="5"/>
  <c r="AT190" i="5"/>
  <c r="AU190" i="5"/>
  <c r="AV190" i="5"/>
  <c r="AW190" i="5"/>
  <c r="AP378" i="5"/>
  <c r="AR378" i="5"/>
  <c r="AT378" i="5"/>
  <c r="AU378" i="5"/>
  <c r="AV378" i="5"/>
  <c r="AW378" i="5"/>
  <c r="AP380" i="5"/>
  <c r="AR380" i="5"/>
  <c r="AT380" i="5"/>
  <c r="AU380" i="5"/>
  <c r="AV380" i="5"/>
  <c r="AW380" i="5"/>
  <c r="AP195" i="5"/>
  <c r="AR195" i="5"/>
  <c r="AT195" i="5"/>
  <c r="AU195" i="5"/>
  <c r="AV195" i="5"/>
  <c r="AW195" i="5"/>
  <c r="AP385" i="5"/>
  <c r="AR385" i="5"/>
  <c r="AT385" i="5"/>
  <c r="AU385" i="5"/>
  <c r="AV385" i="5"/>
  <c r="AW385" i="5"/>
  <c r="AP29" i="5"/>
  <c r="AR29" i="5"/>
  <c r="AT29" i="5"/>
  <c r="AU29" i="5"/>
  <c r="AV29" i="5"/>
  <c r="AW29" i="5"/>
  <c r="AP392" i="5"/>
  <c r="AR392" i="5"/>
  <c r="AT392" i="5"/>
  <c r="AU392" i="5"/>
  <c r="AV392" i="5"/>
  <c r="AW392" i="5"/>
  <c r="AP393" i="5"/>
  <c r="AR393" i="5"/>
  <c r="AT393" i="5"/>
  <c r="AU393" i="5"/>
  <c r="AV393" i="5"/>
  <c r="AW393" i="5"/>
  <c r="AP236" i="5"/>
  <c r="AR236" i="5"/>
  <c r="AT236" i="5"/>
  <c r="AU236" i="5"/>
  <c r="AV236" i="5"/>
  <c r="AW236" i="5"/>
  <c r="AP73" i="5"/>
  <c r="AQ73" i="5"/>
  <c r="AR73" i="5"/>
  <c r="AT73" i="5"/>
  <c r="AU73" i="5"/>
  <c r="AV73" i="5"/>
  <c r="AW73" i="5"/>
  <c r="AP6" i="5"/>
  <c r="AQ6" i="5"/>
  <c r="AR6" i="5"/>
  <c r="AS6" i="5"/>
  <c r="AT6" i="5"/>
  <c r="AU6" i="5"/>
  <c r="AV6" i="5"/>
  <c r="AW6" i="5"/>
  <c r="AP31" i="5"/>
  <c r="AR31" i="5"/>
  <c r="AT31" i="5"/>
  <c r="AU31" i="5"/>
  <c r="AV31" i="5"/>
  <c r="AW31" i="5"/>
  <c r="AP368" i="5"/>
  <c r="AR368" i="5"/>
  <c r="AT368" i="5"/>
  <c r="AU368" i="5"/>
  <c r="AV368" i="5"/>
  <c r="AW368" i="5"/>
  <c r="AP9" i="5"/>
  <c r="AR9" i="5"/>
  <c r="AT9" i="5"/>
  <c r="AU9" i="5"/>
  <c r="AV9" i="5"/>
  <c r="AW9" i="5"/>
  <c r="AP10" i="5"/>
  <c r="AR10" i="5"/>
  <c r="AT10" i="5"/>
  <c r="AU10" i="5"/>
  <c r="AV10" i="5"/>
  <c r="AW10" i="5"/>
  <c r="AP11" i="5"/>
  <c r="AR11" i="5"/>
  <c r="AT11" i="5"/>
  <c r="AU11" i="5"/>
  <c r="AV11" i="5"/>
  <c r="AW11" i="5"/>
  <c r="AP379" i="5"/>
  <c r="AR379" i="5"/>
  <c r="AT379" i="5"/>
  <c r="AU379" i="5"/>
  <c r="AV379" i="5"/>
  <c r="AW379" i="5"/>
  <c r="AP211" i="5"/>
  <c r="AQ211" i="5"/>
  <c r="AR211" i="5"/>
  <c r="AT211" i="5"/>
  <c r="AU211" i="5"/>
  <c r="AV211" i="5"/>
  <c r="AW211" i="5"/>
  <c r="AP282" i="5"/>
  <c r="AR282" i="5"/>
  <c r="AT282" i="5"/>
  <c r="AU282" i="5"/>
  <c r="AV282" i="5"/>
  <c r="AW282" i="5"/>
  <c r="AP36" i="5"/>
  <c r="AR36" i="5"/>
  <c r="AT36" i="5"/>
  <c r="AU36" i="5"/>
  <c r="AV36" i="5"/>
  <c r="AW36" i="5"/>
  <c r="AP74" i="5"/>
  <c r="AR74" i="5"/>
  <c r="AT74" i="5"/>
  <c r="AU74" i="5"/>
  <c r="AV74" i="5"/>
  <c r="AW74" i="5"/>
  <c r="AP76" i="5"/>
  <c r="AR76" i="5"/>
  <c r="AT76" i="5"/>
  <c r="AU76" i="5"/>
  <c r="AV76" i="5"/>
  <c r="AW76" i="5"/>
  <c r="AP348" i="5"/>
  <c r="AR348" i="5"/>
  <c r="AS348" i="5"/>
  <c r="AT348" i="5"/>
  <c r="AU348" i="5"/>
  <c r="AV348" i="5"/>
  <c r="AW348" i="5"/>
  <c r="AP126" i="5"/>
  <c r="AR126" i="5"/>
  <c r="AT126" i="5"/>
  <c r="AU126" i="5"/>
  <c r="AV126" i="5"/>
  <c r="AW126" i="5"/>
  <c r="AP127" i="5"/>
  <c r="AR127" i="5"/>
  <c r="AT127" i="5"/>
  <c r="AU127" i="5"/>
  <c r="AV127" i="5"/>
  <c r="AW127" i="5"/>
  <c r="AP137" i="5"/>
  <c r="AR137" i="5"/>
  <c r="AT137" i="5"/>
  <c r="AU137" i="5"/>
  <c r="AV137" i="5"/>
  <c r="AW137" i="5"/>
  <c r="AP157" i="5"/>
  <c r="AR157" i="5"/>
  <c r="AT157" i="5"/>
  <c r="AU157" i="5"/>
  <c r="AV157" i="5"/>
  <c r="AW157" i="5"/>
  <c r="AP193" i="5"/>
  <c r="AR193" i="5"/>
  <c r="AT193" i="5"/>
  <c r="AU193" i="5"/>
  <c r="AV193" i="5"/>
  <c r="AW193" i="5"/>
  <c r="AP383" i="5"/>
  <c r="AR383" i="5"/>
  <c r="AT383" i="5"/>
  <c r="AU383" i="5"/>
  <c r="AV383" i="5"/>
  <c r="AW383" i="5"/>
  <c r="AP176" i="5"/>
  <c r="AR176" i="5"/>
  <c r="AS176" i="5"/>
  <c r="AU176" i="5"/>
  <c r="AP179" i="5"/>
  <c r="AQ179" i="5"/>
  <c r="AR179" i="5"/>
  <c r="AT179" i="5"/>
  <c r="AU179" i="5"/>
  <c r="AV179" i="5"/>
  <c r="AW179" i="5"/>
  <c r="AP384" i="5"/>
  <c r="AR384" i="5"/>
  <c r="AT384" i="5"/>
  <c r="AU384" i="5"/>
  <c r="AV384" i="5"/>
  <c r="AW384" i="5"/>
  <c r="AP268" i="5"/>
  <c r="AR268" i="5"/>
  <c r="AT268" i="5"/>
  <c r="AU268" i="5"/>
  <c r="AV268" i="5"/>
  <c r="AW268" i="5"/>
  <c r="AP91" i="5"/>
  <c r="AR91" i="5"/>
  <c r="AS91" i="5"/>
  <c r="AT91" i="5"/>
  <c r="AU91" i="5"/>
  <c r="AV91" i="5"/>
  <c r="AW91" i="5"/>
  <c r="AP129" i="5"/>
  <c r="AQ129" i="5"/>
  <c r="AR129" i="5"/>
  <c r="AU129" i="5"/>
  <c r="AP149" i="5"/>
  <c r="AR149" i="5"/>
  <c r="AU149" i="5"/>
  <c r="AP188" i="5"/>
  <c r="AR188" i="5"/>
  <c r="AS188" i="5"/>
  <c r="AU188" i="5"/>
  <c r="AP30" i="5"/>
  <c r="AR30" i="5"/>
  <c r="AT30" i="5"/>
  <c r="AU30" i="5"/>
  <c r="AV30" i="5"/>
  <c r="AW30" i="5"/>
  <c r="AP124" i="5"/>
  <c r="AR124" i="5"/>
  <c r="AT124" i="5"/>
  <c r="AU124" i="5"/>
  <c r="AV124" i="5"/>
  <c r="AW124" i="5"/>
  <c r="AP175" i="5"/>
  <c r="AR175" i="5"/>
  <c r="AS175" i="5"/>
  <c r="AU175" i="5"/>
  <c r="AP22" i="5"/>
  <c r="AR22" i="5"/>
  <c r="AU22" i="5"/>
  <c r="AP270" i="5"/>
  <c r="AR270" i="5"/>
  <c r="AT270" i="5"/>
  <c r="AU270" i="5"/>
  <c r="AV270" i="5"/>
  <c r="AW270" i="5"/>
  <c r="AP271" i="5"/>
  <c r="AR271" i="5"/>
  <c r="AT271" i="5"/>
  <c r="AU271" i="5"/>
  <c r="AV271" i="5"/>
  <c r="AW271" i="5"/>
  <c r="AP272" i="5"/>
  <c r="AR272" i="5"/>
  <c r="AT272" i="5"/>
  <c r="AU272" i="5"/>
  <c r="AV272" i="5"/>
  <c r="AW272" i="5"/>
  <c r="AP116" i="5"/>
  <c r="AQ116" i="5"/>
  <c r="AR116" i="5"/>
  <c r="AS116" i="5"/>
  <c r="AT116" i="5"/>
  <c r="AU116" i="5"/>
  <c r="AV116" i="5"/>
  <c r="AW116" i="5"/>
  <c r="AP154" i="5"/>
  <c r="AR154" i="5"/>
  <c r="AT154" i="5"/>
  <c r="AU154" i="5"/>
  <c r="AV154" i="5"/>
  <c r="AW154" i="5"/>
  <c r="AP266" i="5"/>
  <c r="AR266" i="5"/>
  <c r="AT266" i="5"/>
  <c r="AU266" i="5"/>
  <c r="AV266" i="5"/>
  <c r="AW266" i="5"/>
  <c r="AP200" i="5"/>
  <c r="AR200" i="5"/>
  <c r="AT200" i="5"/>
  <c r="AU200" i="5"/>
  <c r="AV200" i="5"/>
  <c r="AW200" i="5"/>
  <c r="AP207" i="5"/>
  <c r="AR207" i="5"/>
  <c r="AS207" i="5"/>
  <c r="AT207" i="5"/>
  <c r="AU207" i="5"/>
  <c r="AV207" i="5"/>
  <c r="AW207" i="5"/>
  <c r="AP231" i="5"/>
  <c r="AR231" i="5"/>
  <c r="AT231" i="5"/>
  <c r="AU231" i="5"/>
  <c r="AV231" i="5"/>
  <c r="AW231" i="5"/>
  <c r="AP359" i="5"/>
  <c r="AR359" i="5"/>
  <c r="AS359" i="5"/>
  <c r="AT359" i="5"/>
  <c r="AU359" i="5"/>
  <c r="AV359" i="5"/>
  <c r="AW359" i="5"/>
  <c r="AP163" i="5"/>
  <c r="AR163" i="5"/>
  <c r="AT163" i="5"/>
  <c r="AU163" i="5"/>
  <c r="AV163" i="5"/>
  <c r="AW163" i="5"/>
  <c r="AP228" i="5"/>
  <c r="AQ228" i="5"/>
  <c r="AR228" i="5"/>
  <c r="AS228" i="5"/>
  <c r="AT228" i="5"/>
  <c r="AU228" i="5"/>
  <c r="AV228" i="5"/>
  <c r="AW228" i="5"/>
  <c r="AP118" i="5"/>
  <c r="AR118" i="5"/>
  <c r="AT118" i="5"/>
  <c r="AU118" i="5"/>
  <c r="AV118" i="5"/>
  <c r="AW118" i="5"/>
  <c r="AP357" i="5"/>
  <c r="AR357" i="5"/>
  <c r="AT357" i="5"/>
  <c r="AU357" i="5"/>
  <c r="AV357" i="5"/>
  <c r="AW357" i="5"/>
  <c r="AP37" i="5"/>
  <c r="AR37" i="5"/>
  <c r="AU37" i="5"/>
  <c r="AP134" i="5"/>
  <c r="AR134" i="5"/>
  <c r="AS134" i="5"/>
  <c r="AT134" i="5"/>
  <c r="AU134" i="5"/>
  <c r="AV134" i="5"/>
  <c r="AW134" i="5"/>
  <c r="AP352" i="5"/>
  <c r="AQ352" i="5"/>
  <c r="AR352" i="5"/>
  <c r="AS352" i="5"/>
  <c r="AT352" i="5"/>
  <c r="AU352" i="5"/>
  <c r="AV352" i="5"/>
  <c r="AW352" i="5"/>
  <c r="AP136" i="5"/>
  <c r="AR136" i="5"/>
  <c r="AS136" i="5"/>
  <c r="AT136" i="5"/>
  <c r="AU136" i="5"/>
  <c r="AV136" i="5"/>
  <c r="AW136" i="5"/>
  <c r="AP147" i="5"/>
  <c r="AR147" i="5"/>
  <c r="AS147" i="5"/>
  <c r="AT147" i="5"/>
  <c r="AU147" i="5"/>
  <c r="AV147" i="5"/>
  <c r="AW147" i="5"/>
  <c r="AP365" i="5"/>
  <c r="AQ365" i="5"/>
  <c r="AR365" i="5"/>
  <c r="AS365" i="5"/>
  <c r="AT365" i="5"/>
  <c r="AU365" i="5"/>
  <c r="AV365" i="5"/>
  <c r="AW365" i="5"/>
  <c r="AP46" i="5"/>
  <c r="AR46" i="5"/>
  <c r="AT46" i="5"/>
  <c r="AU46" i="5"/>
  <c r="AV46" i="5"/>
  <c r="AW46" i="5"/>
  <c r="AP144" i="5"/>
  <c r="AQ144" i="5"/>
  <c r="AR144" i="5"/>
  <c r="AS144" i="5"/>
  <c r="AT144" i="5"/>
  <c r="AU144" i="5"/>
  <c r="AV144" i="5"/>
  <c r="AW144" i="5"/>
  <c r="AP33" i="5"/>
  <c r="AQ33" i="5"/>
  <c r="AR33" i="5"/>
  <c r="AT33" i="5"/>
  <c r="AU33" i="5"/>
  <c r="AV33" i="5"/>
  <c r="AW33" i="5"/>
  <c r="AP221" i="5"/>
  <c r="AQ221" i="5"/>
  <c r="AR221" i="5"/>
  <c r="AS221" i="5"/>
  <c r="AT221" i="5"/>
  <c r="AU221" i="5"/>
  <c r="AV221" i="5"/>
  <c r="AW221" i="5"/>
  <c r="AP397" i="5"/>
  <c r="AR397" i="5"/>
  <c r="AT397" i="5"/>
  <c r="AU397" i="5"/>
  <c r="AV397" i="5"/>
  <c r="AW397" i="5"/>
  <c r="AP366" i="5"/>
  <c r="AR366" i="5"/>
  <c r="AT366" i="5"/>
  <c r="AU366" i="5"/>
  <c r="AV366" i="5"/>
  <c r="AW366" i="5"/>
  <c r="AP194" i="5"/>
  <c r="AR194" i="5"/>
  <c r="AT194" i="5"/>
  <c r="AU194" i="5"/>
  <c r="AV194" i="5"/>
  <c r="AW194" i="5"/>
  <c r="AP196" i="5"/>
  <c r="AR196" i="5"/>
  <c r="AT196" i="5"/>
  <c r="AU196" i="5"/>
  <c r="AV196" i="5"/>
  <c r="AW196" i="5"/>
  <c r="AP224" i="5"/>
  <c r="AR224" i="5"/>
  <c r="AS224" i="5"/>
  <c r="AT224" i="5"/>
  <c r="AU224" i="5"/>
  <c r="AV224" i="5"/>
  <c r="AW224" i="5"/>
  <c r="AP275" i="5"/>
  <c r="AR275" i="5"/>
  <c r="AT275" i="5"/>
  <c r="AU275" i="5"/>
  <c r="AV275" i="5"/>
  <c r="AW275" i="5"/>
  <c r="AP98" i="5"/>
  <c r="AR98" i="5"/>
  <c r="AT98" i="5"/>
  <c r="AU98" i="5"/>
  <c r="AV98" i="5"/>
  <c r="AW98" i="5"/>
  <c r="AP120" i="5"/>
  <c r="AR120" i="5"/>
  <c r="AT120" i="5"/>
  <c r="AU120" i="5"/>
  <c r="AV120" i="5"/>
  <c r="AW120" i="5"/>
  <c r="AP90" i="5"/>
  <c r="AR90" i="5"/>
  <c r="AS90" i="5"/>
  <c r="AT90" i="5"/>
  <c r="AU90" i="5"/>
  <c r="AV90" i="5"/>
  <c r="AW90" i="5"/>
  <c r="AP364" i="5"/>
  <c r="AR364" i="5"/>
  <c r="AT364" i="5"/>
  <c r="AU364" i="5"/>
  <c r="AV364" i="5"/>
  <c r="AW364" i="5"/>
  <c r="AP151" i="5"/>
  <c r="AR151" i="5"/>
  <c r="AS151" i="5"/>
  <c r="AT151" i="5"/>
  <c r="AU151" i="5"/>
  <c r="AV151" i="5"/>
  <c r="AW151" i="5"/>
  <c r="AP70" i="5"/>
  <c r="AR70" i="5"/>
  <c r="AT70" i="5"/>
  <c r="AU70" i="5"/>
  <c r="AV70" i="5"/>
  <c r="AW70" i="5"/>
  <c r="AZ70" i="5"/>
  <c r="AP197" i="5"/>
  <c r="AR197" i="5"/>
  <c r="AS197" i="5"/>
  <c r="AT197" i="5"/>
  <c r="AU197" i="5"/>
  <c r="AV197" i="5"/>
  <c r="AW197" i="5"/>
  <c r="AP150" i="5"/>
  <c r="AQ150" i="5"/>
  <c r="AR150" i="5"/>
  <c r="AT150" i="5"/>
  <c r="AU150" i="5"/>
  <c r="AV150" i="5"/>
  <c r="AW150" i="5"/>
  <c r="AP105" i="5"/>
  <c r="AQ105" i="5"/>
  <c r="AR105" i="5"/>
  <c r="AT105" i="5"/>
  <c r="AU105" i="5"/>
  <c r="AV105" i="5"/>
  <c r="AW105" i="5"/>
  <c r="AP96" i="5"/>
  <c r="AR96" i="5"/>
  <c r="AT96" i="5"/>
  <c r="AU96" i="5"/>
  <c r="AV96" i="5"/>
  <c r="AW96" i="5"/>
  <c r="AP390" i="5"/>
  <c r="AR390" i="5"/>
  <c r="AT390" i="5"/>
  <c r="AU390" i="5"/>
  <c r="AV390" i="5"/>
  <c r="AW390" i="5"/>
  <c r="AP48" i="5"/>
  <c r="AR48" i="5"/>
  <c r="AT48" i="5"/>
  <c r="AU48" i="5"/>
  <c r="AV48" i="5"/>
  <c r="AW48" i="5"/>
  <c r="AP273" i="5"/>
  <c r="AR273" i="5"/>
  <c r="AT273" i="5"/>
  <c r="AU273" i="5"/>
  <c r="AV273" i="5"/>
  <c r="AW273" i="5"/>
  <c r="AP26" i="5"/>
  <c r="AR26" i="5"/>
  <c r="AT26" i="5"/>
  <c r="AU26" i="5"/>
  <c r="AV26" i="5"/>
  <c r="AW26" i="5"/>
  <c r="AP121" i="5"/>
  <c r="AR121" i="5"/>
  <c r="AT121" i="5"/>
  <c r="AU121" i="5"/>
  <c r="AV121" i="5"/>
  <c r="AW121" i="5"/>
  <c r="AP69" i="5"/>
  <c r="AR69" i="5"/>
  <c r="AS69" i="5"/>
  <c r="AT69" i="5"/>
  <c r="AU69" i="5"/>
  <c r="AV69" i="5"/>
  <c r="AW69" i="5"/>
  <c r="AP47" i="5"/>
  <c r="AR47" i="5"/>
  <c r="AT47" i="5"/>
  <c r="AU47" i="5"/>
  <c r="AV47" i="5"/>
  <c r="AW47" i="5"/>
  <c r="AP35" i="5"/>
  <c r="AR35" i="5"/>
  <c r="AT35" i="5"/>
  <c r="AU35" i="5"/>
  <c r="AV35" i="5"/>
  <c r="AW35" i="5"/>
  <c r="AP43" i="5"/>
  <c r="AR43" i="5"/>
  <c r="AT43" i="5"/>
  <c r="AU43" i="5"/>
  <c r="AV43" i="5"/>
  <c r="AW43" i="5"/>
  <c r="AP34" i="5"/>
  <c r="AR34" i="5"/>
  <c r="AT34" i="5"/>
  <c r="AU34" i="5"/>
  <c r="AV34" i="5"/>
  <c r="AW34" i="5"/>
  <c r="AP27" i="5"/>
  <c r="AR27" i="5"/>
  <c r="AT27" i="5"/>
  <c r="AU27" i="5"/>
  <c r="AV27" i="5"/>
  <c r="AW27" i="5"/>
  <c r="AP49" i="5"/>
  <c r="AR49" i="5"/>
  <c r="AT49" i="5"/>
  <c r="AU49" i="5"/>
  <c r="AV49" i="5"/>
  <c r="AW49" i="5"/>
  <c r="AP62" i="5"/>
  <c r="AR62" i="5"/>
  <c r="AT62" i="5"/>
  <c r="AU62" i="5"/>
  <c r="AV62" i="5"/>
  <c r="AW62" i="5"/>
  <c r="AP71" i="5"/>
  <c r="AR71" i="5"/>
  <c r="AT71" i="5"/>
  <c r="AU71" i="5"/>
  <c r="AV71" i="5"/>
  <c r="AW71" i="5"/>
  <c r="AP63" i="5"/>
  <c r="AR63" i="5"/>
  <c r="AT63" i="5"/>
  <c r="AU63" i="5"/>
  <c r="AV63" i="5"/>
  <c r="AW63" i="5"/>
  <c r="AP122" i="5"/>
  <c r="AR122" i="5"/>
  <c r="AT122" i="5"/>
  <c r="AU122" i="5"/>
  <c r="AV122" i="5"/>
  <c r="AW122" i="5"/>
  <c r="AP226" i="5"/>
  <c r="AQ226" i="5"/>
  <c r="AR226" i="5"/>
  <c r="AS226" i="5"/>
  <c r="AT226" i="5"/>
  <c r="AU226" i="5"/>
  <c r="AV226" i="5"/>
  <c r="AW226" i="5"/>
  <c r="AP45" i="5"/>
  <c r="AR45" i="5"/>
  <c r="AT45" i="5"/>
  <c r="AU45" i="5"/>
  <c r="AV45" i="5"/>
  <c r="AW45" i="5"/>
  <c r="AP64" i="5"/>
  <c r="AR64" i="5"/>
  <c r="AT64" i="5"/>
  <c r="AU64" i="5"/>
  <c r="AV64" i="5"/>
  <c r="AW64" i="5"/>
  <c r="AP198" i="5"/>
  <c r="AQ198" i="5"/>
  <c r="AR198" i="5"/>
  <c r="AT198" i="5"/>
  <c r="AU198" i="5"/>
  <c r="AV198" i="5"/>
  <c r="AW198" i="5"/>
  <c r="AP32" i="5"/>
  <c r="AR32" i="5"/>
  <c r="AS32" i="5"/>
  <c r="AT32" i="5"/>
  <c r="AU32" i="5"/>
  <c r="AV32" i="5"/>
  <c r="AW32" i="5"/>
  <c r="AP223" i="5"/>
  <c r="AR223" i="5"/>
  <c r="AT223" i="5"/>
  <c r="AU223" i="5"/>
  <c r="AV223" i="5"/>
  <c r="AW223" i="5"/>
  <c r="AP153" i="5"/>
  <c r="AR153" i="5"/>
  <c r="AS153" i="5"/>
  <c r="AT153" i="5"/>
  <c r="AU153" i="5"/>
  <c r="AV153" i="5"/>
  <c r="AW153" i="5"/>
  <c r="AP68" i="5"/>
  <c r="AR68" i="5"/>
  <c r="AT68" i="5"/>
  <c r="AU68" i="5"/>
  <c r="AV68" i="5"/>
  <c r="AW68" i="5"/>
  <c r="AP40" i="5"/>
  <c r="AR40" i="5"/>
  <c r="AT40" i="5"/>
  <c r="AU40" i="5"/>
  <c r="AV40" i="5"/>
  <c r="AW40" i="5"/>
  <c r="AP44" i="5"/>
  <c r="AR44" i="5"/>
  <c r="AT44" i="5"/>
  <c r="AU44" i="5"/>
  <c r="AV44" i="5"/>
  <c r="AW44" i="5"/>
  <c r="AP279" i="5"/>
  <c r="AR279" i="5"/>
  <c r="AS279" i="5"/>
  <c r="AT279" i="5"/>
  <c r="AU279" i="5"/>
  <c r="AV279" i="5"/>
  <c r="AW279" i="5"/>
  <c r="AP39" i="5"/>
  <c r="AR39" i="5"/>
  <c r="AT39" i="5"/>
  <c r="AU39" i="5"/>
  <c r="AV39" i="5"/>
  <c r="AW39" i="5"/>
  <c r="AP80" i="5"/>
  <c r="AR80" i="5"/>
  <c r="AT80" i="5"/>
  <c r="AU80" i="5"/>
  <c r="AV80" i="5"/>
  <c r="AW80" i="5"/>
  <c r="AP41" i="5"/>
  <c r="AR41" i="5"/>
  <c r="AT41" i="5"/>
  <c r="AU41" i="5"/>
  <c r="AV41" i="5"/>
  <c r="AW41" i="5"/>
  <c r="AP42" i="5"/>
  <c r="AR42" i="5"/>
  <c r="AT42" i="5"/>
  <c r="AU42" i="5"/>
  <c r="AV42" i="5"/>
  <c r="AW42" i="5"/>
  <c r="AP113" i="5"/>
  <c r="AR113" i="5"/>
  <c r="AT113" i="5"/>
  <c r="AU113" i="5"/>
  <c r="AV113" i="5"/>
  <c r="AW113" i="5"/>
  <c r="AP351" i="5"/>
  <c r="AQ351" i="5"/>
  <c r="AR351" i="5"/>
  <c r="AT351" i="5"/>
  <c r="AU351" i="5"/>
  <c r="AV351" i="5"/>
  <c r="AW351" i="5"/>
  <c r="AP281" i="5"/>
  <c r="AR281" i="5"/>
  <c r="AT281" i="5"/>
  <c r="AU281" i="5"/>
  <c r="AV281" i="5"/>
  <c r="AW281" i="5"/>
  <c r="AP367" i="5"/>
  <c r="AR367" i="5"/>
  <c r="AS367" i="5"/>
  <c r="AT367" i="5"/>
  <c r="AU367" i="5"/>
  <c r="AV367" i="5"/>
  <c r="AW367" i="5"/>
  <c r="AP286" i="5"/>
  <c r="AR286" i="5"/>
  <c r="AT286" i="5"/>
  <c r="AU286" i="5"/>
  <c r="AV286" i="5"/>
  <c r="AW286" i="5"/>
  <c r="AP38" i="5"/>
  <c r="AR38" i="5"/>
  <c r="AT38" i="5"/>
  <c r="AU38" i="5"/>
  <c r="AV38" i="5"/>
  <c r="AW38" i="5"/>
  <c r="AP280" i="5"/>
  <c r="AR280" i="5"/>
  <c r="AT280" i="5"/>
  <c r="AU280" i="5"/>
  <c r="AV280" i="5"/>
  <c r="AW280" i="5"/>
  <c r="AP388" i="5"/>
  <c r="AR388" i="5"/>
  <c r="AT388" i="5"/>
  <c r="AU388" i="5"/>
  <c r="AV388" i="5"/>
  <c r="AW388" i="5"/>
  <c r="AP67" i="5"/>
  <c r="AR67" i="5"/>
  <c r="AT67" i="5"/>
  <c r="AU67" i="5"/>
  <c r="AV67" i="5"/>
  <c r="AW67" i="5"/>
  <c r="AP55" i="5"/>
  <c r="AR55" i="5"/>
  <c r="AT55" i="5"/>
  <c r="AU55" i="5"/>
  <c r="AV55" i="5"/>
  <c r="AW55" i="5"/>
  <c r="AP65" i="5"/>
  <c r="AR65" i="5"/>
  <c r="AT65" i="5"/>
  <c r="AU65" i="5"/>
  <c r="AV65" i="5"/>
  <c r="AW65" i="5"/>
  <c r="AP278" i="5"/>
  <c r="AR278" i="5"/>
  <c r="AT278" i="5"/>
  <c r="AU278" i="5"/>
  <c r="AV278" i="5"/>
  <c r="AW278" i="5"/>
  <c r="AP66" i="5"/>
  <c r="AR66" i="5"/>
  <c r="AT66" i="5"/>
  <c r="AU66" i="5"/>
  <c r="AV66" i="5"/>
  <c r="AW66" i="5"/>
  <c r="AP56" i="5"/>
  <c r="AR56" i="5"/>
  <c r="AT56" i="5"/>
  <c r="AU56" i="5"/>
  <c r="AV56" i="5"/>
  <c r="AW56" i="5"/>
  <c r="AP97" i="5"/>
  <c r="AR97" i="5"/>
  <c r="AT97" i="5"/>
  <c r="AU97" i="5"/>
  <c r="AV97" i="5"/>
  <c r="AW97" i="5"/>
  <c r="AP59" i="5"/>
  <c r="AR59" i="5"/>
  <c r="AT59" i="5"/>
  <c r="AU59" i="5"/>
  <c r="AV59" i="5"/>
  <c r="AW59" i="5"/>
  <c r="AP115" i="5"/>
  <c r="AR115" i="5"/>
  <c r="AT115" i="5"/>
  <c r="AU115" i="5"/>
  <c r="AV115" i="5"/>
  <c r="AW115" i="5"/>
  <c r="AP161" i="5"/>
  <c r="AR161" i="5"/>
  <c r="AT161" i="5"/>
  <c r="AU161" i="5"/>
  <c r="AV161" i="5"/>
  <c r="AW161" i="5"/>
  <c r="AP60" i="5"/>
  <c r="AR60" i="5"/>
  <c r="AT60" i="5"/>
  <c r="AU60" i="5"/>
  <c r="AV60" i="5"/>
  <c r="AW60" i="5"/>
  <c r="AP57" i="5"/>
  <c r="AR57" i="5"/>
  <c r="AT57" i="5"/>
  <c r="AU57" i="5"/>
  <c r="AV57" i="5"/>
  <c r="AW57" i="5"/>
  <c r="AP58" i="5"/>
  <c r="AR58" i="5"/>
  <c r="AS58" i="5"/>
  <c r="AT58" i="5"/>
  <c r="AU58" i="5"/>
  <c r="AV58" i="5"/>
  <c r="AW58" i="5"/>
  <c r="AP317" i="5"/>
  <c r="AR317" i="5"/>
  <c r="AS317" i="5"/>
  <c r="AT317" i="5"/>
  <c r="AU317" i="5"/>
  <c r="AV317" i="5"/>
  <c r="AW317" i="5"/>
  <c r="AX317" i="5"/>
  <c r="AY317" i="5"/>
  <c r="AZ317" i="5"/>
  <c r="AP318" i="5"/>
  <c r="AR318" i="5"/>
  <c r="AS318" i="5"/>
  <c r="AT318" i="5"/>
  <c r="AU318" i="5"/>
  <c r="AV318" i="5"/>
  <c r="AW318" i="5"/>
  <c r="AX318" i="5"/>
  <c r="AY318" i="5"/>
  <c r="AZ318" i="5"/>
  <c r="AP325" i="5"/>
  <c r="AR325" i="5"/>
  <c r="AS325" i="5"/>
  <c r="AT325" i="5"/>
  <c r="AU325" i="5"/>
  <c r="AV325" i="5"/>
  <c r="AW325" i="5"/>
  <c r="AX325" i="5"/>
  <c r="AY325" i="5"/>
  <c r="AZ325" i="5"/>
  <c r="AP326" i="5"/>
  <c r="AR326" i="5"/>
  <c r="AS326" i="5"/>
  <c r="AT326" i="5"/>
  <c r="AU326" i="5"/>
  <c r="AV326" i="5"/>
  <c r="AW326" i="5"/>
  <c r="AX326" i="5"/>
  <c r="AY326" i="5"/>
  <c r="AZ326" i="5"/>
  <c r="AP341" i="5"/>
  <c r="AR341" i="5"/>
  <c r="AS341" i="5"/>
  <c r="AT341" i="5"/>
  <c r="AU341" i="5"/>
  <c r="AV341" i="5"/>
  <c r="AW341" i="5"/>
  <c r="AX341" i="5"/>
  <c r="AY341" i="5"/>
  <c r="AZ341" i="5"/>
  <c r="AP342" i="5"/>
  <c r="AR342" i="5"/>
  <c r="AS342" i="5"/>
  <c r="AT342" i="5"/>
  <c r="AU342" i="5"/>
  <c r="AV342" i="5"/>
  <c r="AW342" i="5"/>
  <c r="AX342" i="5"/>
  <c r="AY342" i="5"/>
  <c r="AZ342" i="5"/>
  <c r="AP343" i="5"/>
  <c r="AR343" i="5"/>
  <c r="AS343" i="5"/>
  <c r="AT343" i="5"/>
  <c r="AU343" i="5"/>
  <c r="AV343" i="5"/>
  <c r="AW343" i="5"/>
  <c r="AX343" i="5"/>
  <c r="AY343" i="5"/>
  <c r="AZ343" i="5"/>
  <c r="AP344" i="5"/>
  <c r="AR344" i="5"/>
  <c r="AS344" i="5"/>
  <c r="AT344" i="5"/>
  <c r="AU344" i="5"/>
  <c r="AV344" i="5"/>
  <c r="AW344" i="5"/>
  <c r="AX344" i="5"/>
  <c r="AY344" i="5"/>
  <c r="AZ344" i="5"/>
  <c r="AP340" i="5"/>
  <c r="AR340" i="5"/>
  <c r="AS340" i="5"/>
  <c r="AT340" i="5"/>
  <c r="AU340" i="5"/>
  <c r="AV340" i="5"/>
  <c r="AW340" i="5"/>
  <c r="AX340" i="5"/>
  <c r="AY340" i="5"/>
  <c r="AZ340" i="5"/>
  <c r="AP391" i="5"/>
  <c r="AR391" i="5"/>
  <c r="AS391" i="5"/>
  <c r="AT391" i="5"/>
  <c r="AU391" i="5"/>
  <c r="AV391" i="5"/>
  <c r="AW391" i="5"/>
  <c r="AX391" i="5"/>
  <c r="AY391" i="5"/>
  <c r="AZ391" i="5"/>
  <c r="AP398" i="5"/>
  <c r="AR398" i="5"/>
  <c r="AS398" i="5"/>
  <c r="AT398" i="5"/>
  <c r="AU398" i="5"/>
  <c r="AV398" i="5"/>
  <c r="AW398" i="5"/>
  <c r="AX398" i="5"/>
  <c r="AY398" i="5"/>
  <c r="AZ398" i="5"/>
  <c r="AP405" i="5"/>
  <c r="AR405" i="5"/>
  <c r="AS405" i="5"/>
  <c r="AT405" i="5"/>
  <c r="AU405" i="5"/>
  <c r="AV405" i="5"/>
  <c r="AW405" i="5"/>
  <c r="AX405" i="5"/>
  <c r="AY405" i="5"/>
  <c r="AZ405" i="5"/>
  <c r="AP406" i="5"/>
  <c r="AR406" i="5"/>
  <c r="AS406" i="5"/>
  <c r="AT406" i="5"/>
  <c r="AU406" i="5"/>
  <c r="AV406" i="5"/>
  <c r="AW406" i="5"/>
  <c r="AX406" i="5"/>
  <c r="AY406" i="5"/>
  <c r="AZ406" i="5"/>
  <c r="AP394" i="5"/>
  <c r="AR394" i="5"/>
  <c r="AS394" i="5"/>
  <c r="AT394" i="5"/>
  <c r="AU394" i="5"/>
  <c r="AV394" i="5"/>
  <c r="AW394" i="5"/>
  <c r="AX394" i="5"/>
  <c r="AY394" i="5"/>
  <c r="AZ394" i="5"/>
  <c r="AP395" i="5"/>
  <c r="AR395" i="5"/>
  <c r="AS395" i="5"/>
  <c r="AT395" i="5"/>
  <c r="AU395" i="5"/>
  <c r="AV395" i="5"/>
  <c r="AW395" i="5"/>
  <c r="AX395" i="5"/>
  <c r="AY395" i="5"/>
  <c r="AZ395" i="5"/>
  <c r="AP324" i="5"/>
  <c r="AR324" i="5"/>
  <c r="AS324" i="5"/>
  <c r="AT324" i="5"/>
  <c r="AU324" i="5"/>
  <c r="AV324" i="5"/>
  <c r="AW324" i="5"/>
  <c r="AX324" i="5"/>
  <c r="AY324" i="5"/>
  <c r="AZ324" i="5"/>
  <c r="AP306" i="5"/>
  <c r="AR306" i="5"/>
  <c r="AS306" i="5"/>
  <c r="AT306" i="5"/>
  <c r="AU306" i="5"/>
  <c r="AV306" i="5"/>
  <c r="AW306" i="5"/>
  <c r="AX306" i="5"/>
  <c r="AY306" i="5"/>
  <c r="AZ306" i="5"/>
  <c r="AP322" i="5"/>
  <c r="AR322" i="5"/>
  <c r="AS322" i="5"/>
  <c r="AT322" i="5"/>
  <c r="AU322" i="5"/>
  <c r="AV322" i="5"/>
  <c r="AW322" i="5"/>
  <c r="AX322" i="5"/>
  <c r="AY322" i="5"/>
  <c r="AZ322" i="5"/>
  <c r="AP323" i="5"/>
  <c r="AR323" i="5"/>
  <c r="AS323" i="5"/>
  <c r="AT323" i="5"/>
  <c r="AU323" i="5"/>
  <c r="AV323" i="5"/>
  <c r="AW323" i="5"/>
  <c r="AX323" i="5"/>
  <c r="AY323" i="5"/>
  <c r="AZ323" i="5"/>
  <c r="AP369" i="5"/>
  <c r="AR369" i="5"/>
  <c r="AS369" i="5"/>
  <c r="AT369" i="5"/>
  <c r="AU369" i="5"/>
  <c r="AV369" i="5"/>
  <c r="AW369" i="5"/>
  <c r="AX369" i="5"/>
  <c r="AY369" i="5"/>
  <c r="AZ369" i="5"/>
  <c r="AP309" i="5"/>
  <c r="AR309" i="5"/>
  <c r="AS309" i="5"/>
  <c r="AT309" i="5"/>
  <c r="AU309" i="5"/>
  <c r="AV309" i="5"/>
  <c r="AW309" i="5"/>
  <c r="AX309" i="5"/>
  <c r="AY309" i="5"/>
  <c r="AZ309" i="5"/>
  <c r="AP316" i="5"/>
  <c r="AR316" i="5"/>
  <c r="AS316" i="5"/>
  <c r="AT316" i="5"/>
  <c r="AU316" i="5"/>
  <c r="AV316" i="5"/>
  <c r="AW316" i="5"/>
  <c r="AX316" i="5"/>
  <c r="AY316" i="5"/>
  <c r="AZ316" i="5"/>
  <c r="AP302" i="5"/>
  <c r="AR302" i="5"/>
  <c r="AS302" i="5"/>
  <c r="AT302" i="5"/>
  <c r="AU302" i="5"/>
  <c r="AV302" i="5"/>
  <c r="AW302" i="5"/>
  <c r="AX302" i="5"/>
  <c r="AY302" i="5"/>
  <c r="AZ302" i="5"/>
  <c r="AP304" i="5"/>
  <c r="AR304" i="5"/>
  <c r="AS304" i="5"/>
  <c r="AT304" i="5"/>
  <c r="AU304" i="5"/>
  <c r="AV304" i="5"/>
  <c r="AW304" i="5"/>
  <c r="AX304" i="5"/>
  <c r="AY304" i="5"/>
  <c r="AZ304" i="5"/>
  <c r="AP307" i="5"/>
  <c r="AR307" i="5"/>
  <c r="AS307" i="5"/>
  <c r="AT307" i="5"/>
  <c r="AU307" i="5"/>
  <c r="AV307" i="5"/>
  <c r="AW307" i="5"/>
  <c r="AX307" i="5"/>
  <c r="AY307" i="5"/>
  <c r="AZ307" i="5"/>
  <c r="AP310" i="5"/>
  <c r="AR310" i="5"/>
  <c r="AS310" i="5"/>
  <c r="AT310" i="5"/>
  <c r="AU310" i="5"/>
  <c r="AV310" i="5"/>
  <c r="AW310" i="5"/>
  <c r="AX310" i="5"/>
  <c r="AY310" i="5"/>
  <c r="AZ310" i="5"/>
  <c r="AP311" i="5"/>
  <c r="AR311" i="5"/>
  <c r="AS311" i="5"/>
  <c r="AT311" i="5"/>
  <c r="AU311" i="5"/>
  <c r="AV311" i="5"/>
  <c r="AW311" i="5"/>
  <c r="AX311" i="5"/>
  <c r="AY311" i="5"/>
  <c r="AZ311" i="5"/>
  <c r="AP346" i="5"/>
  <c r="AR346" i="5"/>
  <c r="AS346" i="5"/>
  <c r="AT346" i="5"/>
  <c r="AU346" i="5"/>
  <c r="AV346" i="5"/>
  <c r="AW346" i="5"/>
  <c r="AX346" i="5"/>
  <c r="AY346" i="5"/>
  <c r="AZ346" i="5"/>
  <c r="AP295" i="5"/>
  <c r="AR295" i="5"/>
  <c r="AS295" i="5"/>
  <c r="AT295" i="5"/>
  <c r="AU295" i="5"/>
  <c r="AV295" i="5"/>
  <c r="AW295" i="5"/>
  <c r="AX295" i="5"/>
  <c r="AY295" i="5"/>
  <c r="AZ295" i="5"/>
  <c r="AP297" i="5"/>
  <c r="AR297" i="5"/>
  <c r="AS297" i="5"/>
  <c r="AT297" i="5"/>
  <c r="AU297" i="5"/>
  <c r="AV297" i="5"/>
  <c r="AW297" i="5"/>
  <c r="AX297" i="5"/>
  <c r="AY297" i="5"/>
  <c r="AZ297" i="5"/>
  <c r="AP298" i="5"/>
  <c r="AR298" i="5"/>
  <c r="AS298" i="5"/>
  <c r="AT298" i="5"/>
  <c r="AU298" i="5"/>
  <c r="AV298" i="5"/>
  <c r="AW298" i="5"/>
  <c r="AX298" i="5"/>
  <c r="AY298" i="5"/>
  <c r="AZ298" i="5"/>
  <c r="AP299" i="5"/>
  <c r="AR299" i="5"/>
  <c r="AS299" i="5"/>
  <c r="AT299" i="5"/>
  <c r="AU299" i="5"/>
  <c r="AV299" i="5"/>
  <c r="AW299" i="5"/>
  <c r="AX299" i="5"/>
  <c r="AY299" i="5"/>
  <c r="AZ299" i="5"/>
  <c r="AP300" i="5"/>
  <c r="AR300" i="5"/>
  <c r="AS300" i="5"/>
  <c r="AT300" i="5"/>
  <c r="AU300" i="5"/>
  <c r="AV300" i="5"/>
  <c r="AW300" i="5"/>
  <c r="AX300" i="5"/>
  <c r="AY300" i="5"/>
  <c r="AZ300" i="5"/>
  <c r="AP301" i="5"/>
  <c r="AR301" i="5"/>
  <c r="AS301" i="5"/>
  <c r="AT301" i="5"/>
  <c r="AU301" i="5"/>
  <c r="AV301" i="5"/>
  <c r="AW301" i="5"/>
  <c r="AX301" i="5"/>
  <c r="AY301" i="5"/>
  <c r="AZ301" i="5"/>
  <c r="AP303" i="5"/>
  <c r="AR303" i="5"/>
  <c r="AS303" i="5"/>
  <c r="AT303" i="5"/>
  <c r="AU303" i="5"/>
  <c r="AV303" i="5"/>
  <c r="AW303" i="5"/>
  <c r="AX303" i="5"/>
  <c r="AY303" i="5"/>
  <c r="AZ303" i="5"/>
  <c r="AP305" i="5"/>
  <c r="AR305" i="5"/>
  <c r="AS305" i="5"/>
  <c r="AT305" i="5"/>
  <c r="AU305" i="5"/>
  <c r="AV305" i="5"/>
  <c r="AW305" i="5"/>
  <c r="AX305" i="5"/>
  <c r="AY305" i="5"/>
  <c r="AZ305" i="5"/>
  <c r="AP312" i="5"/>
  <c r="AR312" i="5"/>
  <c r="AS312" i="5"/>
  <c r="AT312" i="5"/>
  <c r="AU312" i="5"/>
  <c r="AV312" i="5"/>
  <c r="AW312" i="5"/>
  <c r="AX312" i="5"/>
  <c r="AY312" i="5"/>
  <c r="AZ312" i="5"/>
  <c r="AP313" i="5"/>
  <c r="AR313" i="5"/>
  <c r="AS313" i="5"/>
  <c r="AT313" i="5"/>
  <c r="AU313" i="5"/>
  <c r="AV313" i="5"/>
  <c r="AW313" i="5"/>
  <c r="AX313" i="5"/>
  <c r="AY313" i="5"/>
  <c r="AZ313" i="5"/>
  <c r="AP314" i="5"/>
  <c r="AR314" i="5"/>
  <c r="AS314" i="5"/>
  <c r="AT314" i="5"/>
  <c r="AU314" i="5"/>
  <c r="AV314" i="5"/>
  <c r="AW314" i="5"/>
  <c r="AX314" i="5"/>
  <c r="AY314" i="5"/>
  <c r="AZ314" i="5"/>
  <c r="AP315" i="5"/>
  <c r="AR315" i="5"/>
  <c r="AS315" i="5"/>
  <c r="AT315" i="5"/>
  <c r="AU315" i="5"/>
  <c r="AV315" i="5"/>
  <c r="AW315" i="5"/>
  <c r="AX315" i="5"/>
  <c r="AY315" i="5"/>
  <c r="AZ315" i="5"/>
  <c r="AP308" i="5"/>
  <c r="AR308" i="5"/>
  <c r="AS308" i="5"/>
  <c r="AT308" i="5"/>
  <c r="AU308" i="5"/>
  <c r="AV308" i="5"/>
  <c r="AW308" i="5"/>
  <c r="AX308" i="5"/>
  <c r="AY308" i="5"/>
  <c r="AZ308" i="5"/>
  <c r="AP321" i="5"/>
  <c r="AR321" i="5"/>
  <c r="AS321" i="5"/>
  <c r="AT321" i="5"/>
  <c r="AU321" i="5"/>
  <c r="AV321" i="5"/>
  <c r="AW321" i="5"/>
  <c r="AX321" i="5"/>
  <c r="AY321" i="5"/>
  <c r="AZ321" i="5"/>
  <c r="AP296" i="5"/>
  <c r="AR296" i="5"/>
  <c r="AS296" i="5"/>
  <c r="AT296" i="5"/>
  <c r="AU296" i="5"/>
  <c r="AV296" i="5"/>
  <c r="AW296" i="5"/>
  <c r="AX296" i="5"/>
  <c r="AY296" i="5"/>
  <c r="AZ296" i="5"/>
  <c r="AP293" i="5"/>
  <c r="AR293" i="5"/>
  <c r="AS293" i="5"/>
  <c r="AT293" i="5"/>
  <c r="AU293" i="5"/>
  <c r="AV293" i="5"/>
  <c r="AW293" i="5"/>
  <c r="AX293" i="5"/>
  <c r="AY293" i="5"/>
  <c r="AZ293" i="5"/>
  <c r="AP294" i="5"/>
  <c r="AR294" i="5"/>
  <c r="AS294" i="5"/>
  <c r="AT294" i="5"/>
  <c r="AU294" i="5"/>
  <c r="AV294" i="5"/>
  <c r="AW294" i="5"/>
  <c r="AX294" i="5"/>
  <c r="AY294" i="5"/>
  <c r="AZ294" i="5"/>
  <c r="AP292" i="5"/>
  <c r="AR292" i="5"/>
  <c r="AS292" i="5"/>
  <c r="AT292" i="5"/>
  <c r="AU292" i="5"/>
  <c r="AV292" i="5"/>
  <c r="AW292" i="5"/>
  <c r="AX292" i="5"/>
  <c r="AY292" i="5"/>
  <c r="AZ292" i="5"/>
  <c r="AP290" i="5"/>
  <c r="AR290" i="5"/>
  <c r="AS290" i="5"/>
  <c r="AT290" i="5"/>
  <c r="AU290" i="5"/>
  <c r="AV290" i="5"/>
  <c r="AW290" i="5"/>
  <c r="AX290" i="5"/>
  <c r="AY290" i="5"/>
  <c r="AZ290" i="5"/>
  <c r="AP291" i="5"/>
  <c r="AR291" i="5"/>
  <c r="AS291" i="5"/>
  <c r="AT291" i="5"/>
  <c r="AU291" i="5"/>
  <c r="AV291" i="5"/>
  <c r="AW291" i="5"/>
  <c r="AX291" i="5"/>
  <c r="AY291" i="5"/>
  <c r="AZ291" i="5"/>
  <c r="AP363" i="5"/>
  <c r="AR363" i="5"/>
  <c r="AS363" i="5"/>
  <c r="AT363" i="5"/>
  <c r="AU363" i="5"/>
  <c r="AV363" i="5"/>
  <c r="AW363" i="5"/>
  <c r="AX363" i="5"/>
  <c r="AY363" i="5"/>
  <c r="AZ363" i="5"/>
  <c r="AP319" i="5"/>
  <c r="AR319" i="5"/>
  <c r="AS319" i="5"/>
  <c r="AT319" i="5"/>
  <c r="AU319" i="5"/>
  <c r="AV319" i="5"/>
  <c r="AW319" i="5"/>
  <c r="AX319" i="5"/>
  <c r="AY319" i="5"/>
  <c r="AZ319" i="5"/>
  <c r="AP355" i="5"/>
  <c r="AR355" i="5"/>
  <c r="AS355" i="5"/>
  <c r="AT355" i="5"/>
  <c r="AU355" i="5"/>
  <c r="AV355" i="5"/>
  <c r="AW355" i="5"/>
  <c r="AX355" i="5"/>
  <c r="AY355" i="5"/>
  <c r="AZ355" i="5"/>
  <c r="AP358" i="5"/>
  <c r="AR358" i="5"/>
  <c r="AS358" i="5"/>
  <c r="AT358" i="5"/>
  <c r="AU358" i="5"/>
  <c r="AV358" i="5"/>
  <c r="AW358" i="5"/>
  <c r="AX358" i="5"/>
  <c r="AY358" i="5"/>
  <c r="AZ358" i="5"/>
  <c r="AP370" i="5"/>
  <c r="AR370" i="5"/>
  <c r="AS370" i="5"/>
  <c r="AT370" i="5"/>
  <c r="AU370" i="5"/>
  <c r="AV370" i="5"/>
  <c r="AW370" i="5"/>
  <c r="AX370" i="5"/>
  <c r="AY370" i="5"/>
  <c r="AZ370" i="5"/>
  <c r="AP371" i="5"/>
  <c r="AR371" i="5"/>
  <c r="AS371" i="5"/>
  <c r="AT371" i="5"/>
  <c r="AU371" i="5"/>
  <c r="AV371" i="5"/>
  <c r="AW371" i="5"/>
  <c r="AX371" i="5"/>
  <c r="AY371" i="5"/>
  <c r="AZ371" i="5"/>
  <c r="AP372" i="5"/>
  <c r="AR372" i="5"/>
  <c r="AS372" i="5"/>
  <c r="AT372" i="5"/>
  <c r="AU372" i="5"/>
  <c r="AV372" i="5"/>
  <c r="AW372" i="5"/>
  <c r="AX372" i="5"/>
  <c r="AY372" i="5"/>
  <c r="AZ372" i="5"/>
  <c r="AP373" i="5"/>
  <c r="AR373" i="5"/>
  <c r="AS373" i="5"/>
  <c r="AT373" i="5"/>
  <c r="AU373" i="5"/>
  <c r="AV373" i="5"/>
  <c r="AW373" i="5"/>
  <c r="AX373" i="5"/>
  <c r="AY373" i="5"/>
  <c r="AZ373" i="5"/>
  <c r="AP374" i="5"/>
  <c r="AR374" i="5"/>
  <c r="AS374" i="5"/>
  <c r="AT374" i="5"/>
  <c r="AU374" i="5"/>
  <c r="AV374" i="5"/>
  <c r="AW374" i="5"/>
  <c r="AX374" i="5"/>
  <c r="AY374" i="5"/>
  <c r="AZ374" i="5"/>
  <c r="AP375" i="5"/>
  <c r="AR375" i="5"/>
  <c r="AS375" i="5"/>
  <c r="AT375" i="5"/>
  <c r="AU375" i="5"/>
  <c r="AV375" i="5"/>
  <c r="AW375" i="5"/>
  <c r="AX375" i="5"/>
  <c r="AY375" i="5"/>
  <c r="AZ375" i="5"/>
  <c r="AP376" i="5"/>
  <c r="AR376" i="5"/>
  <c r="AS376" i="5"/>
  <c r="AT376" i="5"/>
  <c r="AU376" i="5"/>
  <c r="AV376" i="5"/>
  <c r="AW376" i="5"/>
  <c r="AX376" i="5"/>
  <c r="AY376" i="5"/>
  <c r="AZ376" i="5"/>
  <c r="AP377" i="5"/>
  <c r="AR377" i="5"/>
  <c r="AS377" i="5"/>
  <c r="AT377" i="5"/>
  <c r="AU377" i="5"/>
  <c r="AV377" i="5"/>
  <c r="AW377" i="5"/>
  <c r="AX377" i="5"/>
  <c r="AY377" i="5"/>
  <c r="AZ377" i="5"/>
  <c r="AP401" i="5"/>
  <c r="AR401" i="5"/>
  <c r="AS401" i="5"/>
  <c r="AT401" i="5"/>
  <c r="AU401" i="5"/>
  <c r="AV401" i="5"/>
  <c r="AW401" i="5"/>
  <c r="AX401" i="5"/>
  <c r="AY401" i="5"/>
  <c r="AZ401" i="5"/>
  <c r="AP402" i="5"/>
  <c r="AR402" i="5"/>
  <c r="AS402" i="5"/>
  <c r="AT402" i="5"/>
  <c r="AU402" i="5"/>
  <c r="AV402" i="5"/>
  <c r="AW402" i="5"/>
  <c r="AX402" i="5"/>
  <c r="AY402" i="5"/>
  <c r="AZ402" i="5"/>
  <c r="AP403" i="5"/>
  <c r="AR403" i="5"/>
  <c r="AS403" i="5"/>
  <c r="AT403" i="5"/>
  <c r="AU403" i="5"/>
  <c r="AV403" i="5"/>
  <c r="AW403" i="5"/>
  <c r="AX403" i="5"/>
  <c r="AY403" i="5"/>
  <c r="AZ403" i="5"/>
  <c r="AP338" i="5"/>
  <c r="AR338" i="5"/>
  <c r="AS338" i="5"/>
  <c r="AT338" i="5"/>
  <c r="AU338" i="5"/>
  <c r="AV338" i="5"/>
  <c r="AW338" i="5"/>
  <c r="AX338" i="5"/>
  <c r="AY338" i="5"/>
  <c r="AZ338" i="5"/>
  <c r="AP339" i="5"/>
  <c r="AR339" i="5"/>
  <c r="AS339" i="5"/>
  <c r="AT339" i="5"/>
  <c r="AU339" i="5"/>
  <c r="AV339" i="5"/>
  <c r="AW339" i="5"/>
  <c r="AX339" i="5"/>
  <c r="AY339" i="5"/>
  <c r="AZ339" i="5"/>
  <c r="AP353" i="5"/>
  <c r="AR353" i="5"/>
  <c r="AS353" i="5"/>
  <c r="AT353" i="5"/>
  <c r="AU353" i="5"/>
  <c r="AV353" i="5"/>
  <c r="AW353" i="5"/>
  <c r="AX353" i="5"/>
  <c r="AY353" i="5"/>
  <c r="AZ353" i="5"/>
  <c r="AP360" i="5"/>
  <c r="AR360" i="5"/>
  <c r="AS360" i="5"/>
  <c r="AT360" i="5"/>
  <c r="AU360" i="5"/>
  <c r="AV360" i="5"/>
  <c r="AW360" i="5"/>
  <c r="AX360" i="5"/>
  <c r="AY360" i="5"/>
  <c r="AZ360" i="5"/>
  <c r="AP361" i="5"/>
  <c r="AR361" i="5"/>
  <c r="AS361" i="5"/>
  <c r="AT361" i="5"/>
  <c r="AU361" i="5"/>
  <c r="AV361" i="5"/>
  <c r="AW361" i="5"/>
  <c r="AX361" i="5"/>
  <c r="AY361" i="5"/>
  <c r="AZ361" i="5"/>
  <c r="AP362" i="5"/>
  <c r="AR362" i="5"/>
  <c r="AS362" i="5"/>
  <c r="AT362" i="5"/>
  <c r="AU362" i="5"/>
  <c r="AV362" i="5"/>
  <c r="AW362" i="5"/>
  <c r="AX362" i="5"/>
  <c r="AY362" i="5"/>
  <c r="AZ362" i="5"/>
  <c r="AP396" i="5"/>
  <c r="AR396" i="5"/>
  <c r="AS396" i="5"/>
  <c r="AT396" i="5"/>
  <c r="AU396" i="5"/>
  <c r="AV396" i="5"/>
  <c r="AW396" i="5"/>
  <c r="AX396" i="5"/>
  <c r="AY396" i="5"/>
  <c r="AZ396" i="5"/>
  <c r="AP327" i="5"/>
  <c r="AR327" i="5"/>
  <c r="AS327" i="5"/>
  <c r="AT327" i="5"/>
  <c r="AU327" i="5"/>
  <c r="AV327" i="5"/>
  <c r="AW327" i="5"/>
  <c r="AX327" i="5"/>
  <c r="AY327" i="5"/>
  <c r="AZ327" i="5"/>
  <c r="AP328" i="5"/>
  <c r="AR328" i="5"/>
  <c r="AS328" i="5"/>
  <c r="AT328" i="5"/>
  <c r="AU328" i="5"/>
  <c r="AV328" i="5"/>
  <c r="AW328" i="5"/>
  <c r="AX328" i="5"/>
  <c r="AY328" i="5"/>
  <c r="AZ328" i="5"/>
  <c r="AP329" i="5"/>
  <c r="AR329" i="5"/>
  <c r="AS329" i="5"/>
  <c r="AT329" i="5"/>
  <c r="AU329" i="5"/>
  <c r="AV329" i="5"/>
  <c r="AW329" i="5"/>
  <c r="AX329" i="5"/>
  <c r="AY329" i="5"/>
  <c r="AZ329" i="5"/>
  <c r="AP330" i="5"/>
  <c r="AR330" i="5"/>
  <c r="AS330" i="5"/>
  <c r="AT330" i="5"/>
  <c r="AU330" i="5"/>
  <c r="AV330" i="5"/>
  <c r="AW330" i="5"/>
  <c r="AX330" i="5"/>
  <c r="AY330" i="5"/>
  <c r="AZ330" i="5"/>
  <c r="AP331" i="5"/>
  <c r="AR331" i="5"/>
  <c r="AS331" i="5"/>
  <c r="AT331" i="5"/>
  <c r="AU331" i="5"/>
  <c r="AV331" i="5"/>
  <c r="AW331" i="5"/>
  <c r="AX331" i="5"/>
  <c r="AY331" i="5"/>
  <c r="AZ331" i="5"/>
  <c r="AP332" i="5"/>
  <c r="AR332" i="5"/>
  <c r="AS332" i="5"/>
  <c r="AT332" i="5"/>
  <c r="AU332" i="5"/>
  <c r="AV332" i="5"/>
  <c r="AW332" i="5"/>
  <c r="AX332" i="5"/>
  <c r="AY332" i="5"/>
  <c r="AZ332" i="5"/>
  <c r="AP333" i="5"/>
  <c r="AR333" i="5"/>
  <c r="AS333" i="5"/>
  <c r="AT333" i="5"/>
  <c r="AU333" i="5"/>
  <c r="AV333" i="5"/>
  <c r="AW333" i="5"/>
  <c r="AX333" i="5"/>
  <c r="AY333" i="5"/>
  <c r="AZ333" i="5"/>
  <c r="AP334" i="5"/>
  <c r="AR334" i="5"/>
  <c r="AS334" i="5"/>
  <c r="AT334" i="5"/>
  <c r="AU334" i="5"/>
  <c r="AV334" i="5"/>
  <c r="AW334" i="5"/>
  <c r="AX334" i="5"/>
  <c r="AY334" i="5"/>
  <c r="AZ334" i="5"/>
  <c r="AP336" i="5"/>
  <c r="AR336" i="5"/>
  <c r="AS336" i="5"/>
  <c r="AT336" i="5"/>
  <c r="AU336" i="5"/>
  <c r="AV336" i="5"/>
  <c r="AW336" i="5"/>
  <c r="AX336" i="5"/>
  <c r="AY336" i="5"/>
  <c r="AZ336" i="5"/>
  <c r="AP335" i="5"/>
  <c r="AR335" i="5"/>
  <c r="AS335" i="5"/>
  <c r="AT335" i="5"/>
  <c r="AU335" i="5"/>
  <c r="AV335" i="5"/>
  <c r="AW335" i="5"/>
  <c r="AX335" i="5"/>
  <c r="AY335" i="5"/>
  <c r="AZ335" i="5"/>
  <c r="AP399" i="5"/>
  <c r="AR399" i="5"/>
  <c r="AS399" i="5"/>
  <c r="AT399" i="5"/>
  <c r="AU399" i="5"/>
  <c r="AV399" i="5"/>
  <c r="AW399" i="5"/>
  <c r="AX399" i="5"/>
  <c r="AY399" i="5"/>
  <c r="AZ399" i="5"/>
  <c r="AP345" i="5"/>
  <c r="AQ345" i="5"/>
  <c r="AR345" i="5"/>
  <c r="AS345" i="5"/>
  <c r="AT345" i="5"/>
  <c r="AU345" i="5"/>
  <c r="AV345" i="5"/>
  <c r="AW345" i="5"/>
  <c r="AX345" i="5"/>
  <c r="AY345" i="5"/>
  <c r="AZ345" i="5"/>
  <c r="AP349" i="5"/>
  <c r="AQ349" i="5"/>
  <c r="AR349" i="5"/>
  <c r="AS349" i="5"/>
  <c r="AT349" i="5"/>
  <c r="AU349" i="5"/>
  <c r="AV349" i="5"/>
  <c r="AW349" i="5"/>
  <c r="AX349" i="5"/>
  <c r="AY349" i="5"/>
  <c r="AZ349" i="5"/>
  <c r="AP354" i="5"/>
  <c r="AQ354" i="5"/>
  <c r="AR354" i="5"/>
  <c r="AS354" i="5"/>
  <c r="AT354" i="5"/>
  <c r="AU354" i="5"/>
  <c r="AV354" i="5"/>
  <c r="AW354" i="5"/>
  <c r="AX354" i="5"/>
  <c r="AY354" i="5"/>
  <c r="AZ354" i="5"/>
  <c r="AP337" i="5"/>
  <c r="AQ337" i="5"/>
  <c r="AR337" i="5"/>
  <c r="AS337" i="5"/>
  <c r="AT337" i="5"/>
  <c r="AU337" i="5"/>
  <c r="AV337" i="5"/>
  <c r="AW337" i="5"/>
  <c r="AX337" i="5"/>
  <c r="AY337" i="5"/>
  <c r="AZ337" i="5"/>
  <c r="AP400" i="5"/>
  <c r="AQ400" i="5"/>
  <c r="AR400" i="5"/>
  <c r="AS400" i="5"/>
  <c r="AT400" i="5"/>
  <c r="AU400" i="5"/>
  <c r="AV400" i="5"/>
  <c r="AW400" i="5"/>
  <c r="AX400" i="5"/>
  <c r="AY400" i="5"/>
  <c r="AZ400" i="5"/>
  <c r="AR243" i="5"/>
  <c r="AS243" i="5"/>
  <c r="AT243" i="5"/>
  <c r="AU243" i="5"/>
  <c r="AV243" i="5"/>
  <c r="AW243" i="5"/>
  <c r="AX243" i="5"/>
  <c r="AY243" i="5"/>
  <c r="AR242" i="5"/>
  <c r="AS242" i="5"/>
  <c r="AT242" i="5"/>
  <c r="AU242" i="5"/>
  <c r="AV242" i="5"/>
  <c r="AW242" i="5"/>
  <c r="AX242" i="5"/>
  <c r="AY242" i="5"/>
  <c r="AR240" i="5"/>
  <c r="AS240" i="5"/>
  <c r="AT240" i="5"/>
  <c r="AU240" i="5"/>
  <c r="AV240" i="5"/>
  <c r="AW240" i="5"/>
  <c r="AX240" i="5"/>
  <c r="AY240" i="5"/>
  <c r="AR241" i="5"/>
  <c r="AS241" i="5"/>
  <c r="AT241" i="5"/>
  <c r="AU241" i="5"/>
  <c r="AV241" i="5"/>
  <c r="AW241" i="5"/>
  <c r="AX241" i="5"/>
  <c r="AY241" i="5"/>
  <c r="AR244" i="5"/>
  <c r="AS244" i="5"/>
  <c r="AT244" i="5"/>
  <c r="AU244" i="5"/>
  <c r="AV244" i="5"/>
  <c r="AW244" i="5"/>
  <c r="AX244" i="5"/>
  <c r="AY244" i="5"/>
  <c r="AR245" i="5"/>
  <c r="AS245" i="5"/>
  <c r="AT245" i="5"/>
  <c r="AU245" i="5"/>
  <c r="AV245" i="5"/>
  <c r="AW245" i="5"/>
  <c r="AX245" i="5"/>
  <c r="AY245" i="5"/>
  <c r="AR246" i="5"/>
  <c r="AS246" i="5"/>
  <c r="AT246" i="5"/>
  <c r="AU246" i="5"/>
  <c r="AV246" i="5"/>
  <c r="AW246" i="5"/>
  <c r="AX246" i="5"/>
  <c r="AY246" i="5"/>
  <c r="AR247" i="5"/>
  <c r="AS247" i="5"/>
  <c r="AT247" i="5"/>
  <c r="AU247" i="5"/>
  <c r="AV247" i="5"/>
  <c r="AW247" i="5"/>
  <c r="AX247" i="5"/>
  <c r="AY247" i="5"/>
  <c r="AR248" i="5"/>
  <c r="AS248" i="5"/>
  <c r="AT248" i="5"/>
  <c r="AU248" i="5"/>
  <c r="AV248" i="5"/>
  <c r="AW248" i="5"/>
  <c r="AX248" i="5"/>
  <c r="AY248" i="5"/>
  <c r="AR249" i="5"/>
  <c r="AS249" i="5"/>
  <c r="AT249" i="5"/>
  <c r="AU249" i="5"/>
  <c r="AV249" i="5"/>
  <c r="AW249" i="5"/>
  <c r="AX249" i="5"/>
  <c r="AY249" i="5"/>
  <c r="AR250" i="5"/>
  <c r="AS250" i="5"/>
  <c r="AT250" i="5"/>
  <c r="AU250" i="5"/>
  <c r="AV250" i="5"/>
  <c r="AW250" i="5"/>
  <c r="AX250" i="5"/>
  <c r="AY250" i="5"/>
  <c r="AR251" i="5"/>
  <c r="AS251" i="5"/>
  <c r="AT251" i="5"/>
  <c r="AU251" i="5"/>
  <c r="AV251" i="5"/>
  <c r="AW251" i="5"/>
  <c r="AX251" i="5"/>
  <c r="AY251" i="5"/>
  <c r="AR252" i="5"/>
  <c r="AS252" i="5"/>
  <c r="AT252" i="5"/>
  <c r="AU252" i="5"/>
  <c r="AV252" i="5"/>
  <c r="AW252" i="5"/>
  <c r="AX252" i="5"/>
  <c r="AY252" i="5"/>
  <c r="AR253" i="5"/>
  <c r="AS253" i="5"/>
  <c r="AT253" i="5"/>
  <c r="AU253" i="5"/>
  <c r="AV253" i="5"/>
  <c r="AW253" i="5"/>
  <c r="AX253" i="5"/>
  <c r="AY253" i="5"/>
  <c r="AR255" i="5"/>
  <c r="AS255" i="5"/>
  <c r="AT255" i="5"/>
  <c r="AU255" i="5"/>
  <c r="AV255" i="5"/>
  <c r="AW255" i="5"/>
  <c r="AX255" i="5"/>
  <c r="AY255" i="5"/>
  <c r="AR256" i="5"/>
  <c r="AS256" i="5"/>
  <c r="AT256" i="5"/>
  <c r="AU256" i="5"/>
  <c r="AV256" i="5"/>
  <c r="AW256" i="5"/>
  <c r="AX256" i="5"/>
  <c r="AY256" i="5"/>
  <c r="AR257" i="5"/>
  <c r="AS257" i="5"/>
  <c r="AT257" i="5"/>
  <c r="AU257" i="5"/>
  <c r="AV257" i="5"/>
  <c r="AW257" i="5"/>
  <c r="AX257" i="5"/>
  <c r="AY257" i="5"/>
  <c r="AR259" i="5"/>
  <c r="AS259" i="5"/>
  <c r="AT259" i="5"/>
  <c r="AU259" i="5"/>
  <c r="AV259" i="5"/>
  <c r="AW259" i="5"/>
  <c r="AX259" i="5"/>
  <c r="AY259" i="5"/>
  <c r="AR260" i="5"/>
  <c r="AS260" i="5"/>
  <c r="AT260" i="5"/>
  <c r="AU260" i="5"/>
  <c r="AV260" i="5"/>
  <c r="AW260" i="5"/>
  <c r="AX260" i="5"/>
  <c r="AY260" i="5"/>
  <c r="AR261" i="5"/>
  <c r="AS261" i="5"/>
  <c r="AT261" i="5"/>
  <c r="AU261" i="5"/>
  <c r="AV261" i="5"/>
  <c r="AW261" i="5"/>
  <c r="AX261" i="5"/>
  <c r="AY261" i="5"/>
  <c r="AR262" i="5"/>
  <c r="AS262" i="5"/>
  <c r="AT262" i="5"/>
  <c r="AU262" i="5"/>
  <c r="AV262" i="5"/>
  <c r="AW262" i="5"/>
  <c r="AX262" i="5"/>
  <c r="AY262" i="5"/>
  <c r="AR263" i="5"/>
  <c r="AS263" i="5"/>
  <c r="AT263" i="5"/>
  <c r="AU263" i="5"/>
  <c r="AV263" i="5"/>
  <c r="AW263" i="5"/>
  <c r="AX263" i="5"/>
  <c r="AY263" i="5"/>
  <c r="AR264" i="5"/>
  <c r="AS264" i="5"/>
  <c r="AT264" i="5"/>
  <c r="AU264" i="5"/>
  <c r="AV264" i="5"/>
  <c r="AW264" i="5"/>
  <c r="AX264" i="5"/>
  <c r="AY264" i="5"/>
  <c r="AR265" i="5"/>
  <c r="AS265" i="5"/>
  <c r="AT265" i="5"/>
  <c r="AU265" i="5"/>
  <c r="AV265" i="5"/>
  <c r="AW265" i="5"/>
  <c r="AX265" i="5"/>
  <c r="AY265" i="5"/>
  <c r="AR254" i="5"/>
  <c r="AS254" i="5"/>
  <c r="AT254" i="5"/>
  <c r="AU254" i="5"/>
  <c r="AV254" i="5"/>
  <c r="AW254" i="5"/>
  <c r="AX254" i="5"/>
  <c r="AY254" i="5"/>
  <c r="AL25" i="2"/>
  <c r="AL32" i="2"/>
  <c r="AL19" i="2"/>
  <c r="AL28" i="2"/>
  <c r="AL20" i="2"/>
  <c r="AL21" i="2"/>
  <c r="AL30" i="2"/>
  <c r="AL31" i="2"/>
  <c r="AL40" i="2"/>
  <c r="AL29" i="2"/>
  <c r="AL15" i="2"/>
  <c r="AL14" i="2"/>
  <c r="AL13" i="2"/>
  <c r="AL7" i="2"/>
  <c r="AL12" i="2"/>
  <c r="AL10" i="2"/>
  <c r="AL8" i="2"/>
  <c r="AL9" i="2"/>
  <c r="AL35" i="2"/>
  <c r="AL33" i="2"/>
  <c r="AL5" i="2"/>
  <c r="AL4" i="2"/>
  <c r="AL36" i="2"/>
  <c r="AL37" i="2"/>
  <c r="AL6" i="2"/>
  <c r="AL24" i="2"/>
  <c r="AL27" i="2"/>
  <c r="AL34" i="2"/>
  <c r="AL39" i="2"/>
  <c r="AL38" i="2"/>
  <c r="AL23" i="2"/>
  <c r="AL43" i="2"/>
  <c r="AL44" i="2"/>
  <c r="AL48" i="2"/>
  <c r="AL47" i="2"/>
  <c r="AL49" i="2"/>
  <c r="AK26" i="2"/>
  <c r="AD26" i="2"/>
  <c r="AD25" i="2"/>
  <c r="AD32" i="2"/>
  <c r="AD19" i="2"/>
  <c r="AD28" i="2"/>
  <c r="AD20" i="2"/>
  <c r="AD21" i="2"/>
  <c r="AD30" i="2"/>
  <c r="AD31" i="2"/>
  <c r="AD40" i="2"/>
  <c r="AD29" i="2"/>
  <c r="AD15" i="2"/>
  <c r="AD14" i="2"/>
  <c r="AD13" i="2"/>
  <c r="AD7" i="2"/>
  <c r="AD12" i="2"/>
  <c r="AD10" i="2"/>
  <c r="AD8" i="2"/>
  <c r="AD9" i="2"/>
  <c r="AD35" i="2"/>
  <c r="AD33" i="2"/>
  <c r="AD5" i="2"/>
  <c r="AD4" i="2"/>
  <c r="AD36" i="2"/>
  <c r="AD37" i="2"/>
  <c r="AD6" i="2"/>
  <c r="AD24" i="2"/>
  <c r="AD27" i="2"/>
  <c r="AD34" i="2"/>
  <c r="AD39" i="2"/>
  <c r="AD38" i="2"/>
  <c r="AD23" i="2"/>
  <c r="AD43" i="2"/>
  <c r="AD44" i="2"/>
  <c r="AD48" i="2"/>
  <c r="AD47" i="2"/>
  <c r="AD49" i="2"/>
  <c r="AE26" i="2"/>
  <c r="AB181" i="4"/>
  <c r="AB261" i="4"/>
  <c r="AB127" i="4"/>
  <c r="AB135" i="4"/>
  <c r="AB140" i="4"/>
  <c r="AB147" i="4"/>
  <c r="AB182" i="4"/>
  <c r="AB184" i="4"/>
  <c r="AB185" i="4"/>
  <c r="AB267" i="4"/>
  <c r="AB272" i="4"/>
  <c r="AB131" i="4"/>
  <c r="AB146" i="4"/>
  <c r="AB48" i="4"/>
  <c r="AB49" i="4"/>
  <c r="AB50" i="4"/>
  <c r="AB51" i="4"/>
  <c r="AB52" i="4"/>
  <c r="AB263" i="4"/>
  <c r="AB264" i="4"/>
  <c r="AB80" i="4"/>
  <c r="AB82" i="4"/>
  <c r="AB83" i="4"/>
  <c r="AB257" i="4"/>
  <c r="AB84" i="4"/>
  <c r="AB258" i="4"/>
  <c r="AB90" i="4"/>
  <c r="AB10" i="4"/>
  <c r="AB11" i="4"/>
  <c r="AB91" i="4"/>
  <c r="AB92" i="4"/>
  <c r="AB93" i="4"/>
  <c r="AB259" i="4"/>
  <c r="AB116" i="4"/>
  <c r="AB125" i="4"/>
  <c r="AB295" i="4"/>
  <c r="AB249" i="4"/>
  <c r="AB79" i="4"/>
  <c r="AB81" i="4"/>
  <c r="AB256" i="4"/>
  <c r="AB88" i="4"/>
  <c r="AB89" i="4"/>
  <c r="AB94" i="4"/>
  <c r="AB96" i="4"/>
  <c r="AB103" i="4"/>
  <c r="AB2" i="4"/>
  <c r="AB115" i="4"/>
  <c r="AB15" i="4"/>
  <c r="AB130" i="4"/>
  <c r="AB137" i="4"/>
  <c r="AB254" i="4"/>
  <c r="AB16" i="4"/>
  <c r="AB17" i="4"/>
  <c r="AB18" i="4"/>
  <c r="AB165" i="4"/>
  <c r="AB166" i="4"/>
  <c r="AB167" i="4"/>
  <c r="AB169" i="4"/>
  <c r="AB170" i="4"/>
  <c r="AB178" i="4"/>
  <c r="AB281" i="4"/>
  <c r="AB282" i="4"/>
  <c r="AB199" i="4"/>
  <c r="AB200" i="4"/>
  <c r="AB201" i="4"/>
  <c r="AB202" i="4"/>
  <c r="AB203" i="4"/>
  <c r="AB204" i="4"/>
  <c r="AB25" i="4"/>
  <c r="AB221" i="4"/>
  <c r="AB29" i="4"/>
  <c r="AB30" i="4"/>
  <c r="AB31" i="4"/>
  <c r="AB231" i="4"/>
  <c r="AB32" i="4"/>
  <c r="AB232" i="4"/>
  <c r="AB233" i="4"/>
  <c r="AB234" i="4"/>
  <c r="AB235" i="4"/>
  <c r="AB236" i="4"/>
  <c r="AB237" i="4"/>
  <c r="AB33" i="4"/>
  <c r="AB36" i="4"/>
  <c r="AB37" i="4"/>
  <c r="AB38" i="4"/>
  <c r="AB39" i="4"/>
  <c r="AB40" i="4"/>
  <c r="AB44" i="4"/>
  <c r="AB46" i="4"/>
  <c r="AB262" i="4"/>
  <c r="AB53" i="4"/>
  <c r="AB54" i="4"/>
  <c r="AB55" i="4"/>
  <c r="AB56" i="4"/>
  <c r="AB57" i="4"/>
  <c r="AB58" i="4"/>
  <c r="AB60" i="4"/>
  <c r="AB61" i="4"/>
  <c r="AB62" i="4"/>
  <c r="AB63" i="4"/>
  <c r="AB64" i="4"/>
  <c r="AB65" i="4"/>
  <c r="AB66" i="4"/>
  <c r="AB67" i="4"/>
  <c r="AB68" i="4"/>
  <c r="AB69" i="4"/>
  <c r="AB70" i="4"/>
  <c r="AB9" i="4"/>
  <c r="AB71" i="4"/>
  <c r="AB72" i="4"/>
  <c r="AB73" i="4"/>
  <c r="AB74" i="4"/>
  <c r="AB75" i="4"/>
  <c r="AB76" i="4"/>
  <c r="AB77" i="4"/>
  <c r="AB78" i="4"/>
  <c r="AB85" i="4"/>
  <c r="AB86" i="4"/>
  <c r="AB87" i="4"/>
  <c r="AB251" i="4"/>
  <c r="AB98" i="4"/>
  <c r="AB99" i="4"/>
  <c r="AB100" i="4"/>
  <c r="AB101" i="4"/>
  <c r="AB102" i="4"/>
  <c r="AB104" i="4"/>
  <c r="AB105" i="4"/>
  <c r="AB106" i="4"/>
  <c r="AB108" i="4"/>
  <c r="AB109" i="4"/>
  <c r="AB110" i="4"/>
  <c r="AB111" i="4"/>
  <c r="AB112" i="4"/>
  <c r="AB113" i="4"/>
  <c r="AB114" i="4"/>
  <c r="AB265" i="4"/>
  <c r="AB14" i="4"/>
  <c r="AB117" i="4"/>
  <c r="AB119" i="4"/>
  <c r="AB121" i="4"/>
  <c r="AB123" i="4"/>
  <c r="AB124" i="4"/>
  <c r="AB126" i="4"/>
  <c r="AB128" i="4"/>
  <c r="AB129" i="4"/>
  <c r="AB3" i="4"/>
  <c r="AB132" i="4"/>
  <c r="AB4" i="4"/>
  <c r="AB133" i="4"/>
  <c r="AB134" i="4"/>
  <c r="AB136" i="4"/>
  <c r="AB138" i="4"/>
  <c r="AB139" i="4"/>
  <c r="AB141" i="4"/>
  <c r="AB143" i="4"/>
  <c r="AB144" i="4"/>
  <c r="AB273" i="4"/>
  <c r="AB145" i="4"/>
  <c r="AB275" i="4"/>
  <c r="AB149" i="4"/>
  <c r="AB277" i="4"/>
  <c r="AB151" i="4"/>
  <c r="AB153" i="4"/>
  <c r="AB155" i="4"/>
  <c r="AB156" i="4"/>
  <c r="AB157" i="4"/>
  <c r="AB158" i="4"/>
  <c r="AB159" i="4"/>
  <c r="AB160" i="4"/>
  <c r="AB253" i="4"/>
  <c r="AB161" i="4"/>
  <c r="AB172" i="4"/>
  <c r="AB176" i="4"/>
  <c r="AB177" i="4"/>
  <c r="AB179" i="4"/>
  <c r="AB180" i="4"/>
  <c r="AB183" i="4"/>
  <c r="AB187" i="4"/>
  <c r="AB188" i="4"/>
  <c r="AB189" i="4"/>
  <c r="AB190" i="4"/>
  <c r="AB278" i="4"/>
  <c r="AB279" i="4"/>
  <c r="AB280" i="4"/>
  <c r="AB191" i="4"/>
  <c r="AB283" i="4"/>
  <c r="AB284" i="4"/>
  <c r="AB5" i="4"/>
  <c r="AB285" i="4"/>
  <c r="AB286" i="4"/>
  <c r="AB287" i="4"/>
  <c r="AB288" i="4"/>
  <c r="AB289" i="4"/>
  <c r="AB197" i="4"/>
  <c r="AB290" i="4"/>
  <c r="AB198" i="4"/>
  <c r="AB19" i="4"/>
  <c r="AB20" i="4"/>
  <c r="AB21" i="4"/>
  <c r="AB22" i="4"/>
  <c r="AB23" i="4"/>
  <c r="AB24" i="4"/>
  <c r="AB6" i="4"/>
  <c r="AB7" i="4"/>
  <c r="AB206" i="4"/>
  <c r="AB207" i="4"/>
  <c r="AB291" i="4"/>
  <c r="AB208" i="4"/>
  <c r="AB209" i="4"/>
  <c r="AB210" i="4"/>
  <c r="AB255" i="4"/>
  <c r="AB211" i="4"/>
  <c r="AB212" i="4"/>
  <c r="AB213" i="4"/>
  <c r="AB214" i="4"/>
  <c r="AB215" i="4"/>
  <c r="AB216" i="4"/>
  <c r="AB26" i="4"/>
  <c r="AB217" i="4"/>
  <c r="AB218" i="4"/>
  <c r="AB220" i="4"/>
  <c r="AB224" i="4"/>
  <c r="AB227" i="4"/>
  <c r="AB228" i="4"/>
  <c r="AB229" i="4"/>
  <c r="AB294" i="4"/>
  <c r="AB230" i="4"/>
  <c r="AB239" i="4"/>
  <c r="AB240" i="4"/>
  <c r="AB241" i="4"/>
  <c r="AB242" i="4"/>
  <c r="AB243" i="4"/>
  <c r="AB244" i="4"/>
  <c r="AB245" i="4"/>
  <c r="AB246" i="4"/>
  <c r="AB34" i="4"/>
  <c r="AB35" i="4"/>
  <c r="AB248" i="4"/>
  <c r="AB41" i="4"/>
  <c r="AB42" i="4"/>
  <c r="AB43" i="4"/>
  <c r="AB45" i="4"/>
  <c r="AB47" i="4"/>
  <c r="AB260" i="4"/>
  <c r="AB95" i="4"/>
  <c r="AB12" i="4"/>
  <c r="AB13" i="4"/>
  <c r="AB122" i="4"/>
  <c r="AB276" i="4"/>
  <c r="AB152" i="4"/>
  <c r="AB171" i="4"/>
  <c r="AB192" i="4"/>
  <c r="AB193" i="4"/>
  <c r="AB205" i="4"/>
  <c r="AB8" i="4"/>
  <c r="AB269" i="4"/>
  <c r="AB270" i="4"/>
  <c r="AB142" i="4"/>
  <c r="AB148" i="4"/>
  <c r="AB194" i="4"/>
  <c r="AB195" i="4"/>
  <c r="AB196" i="4"/>
  <c r="AB292" i="4"/>
  <c r="AB293" i="4"/>
  <c r="AB118" i="4"/>
  <c r="AB271" i="4"/>
  <c r="AB274" i="4"/>
  <c r="AB120" i="4"/>
  <c r="AB252" i="4"/>
  <c r="AB150" i="4"/>
  <c r="AB222" i="4"/>
  <c r="AB223" i="4"/>
  <c r="AB225" i="4"/>
  <c r="AB238" i="4"/>
  <c r="AB97" i="4"/>
  <c r="AB174" i="4"/>
  <c r="AB226" i="4"/>
  <c r="AB59" i="4"/>
  <c r="AB173" i="4"/>
  <c r="AB175" i="4"/>
  <c r="AB186" i="4"/>
  <c r="AB219" i="4"/>
  <c r="AB107" i="4"/>
  <c r="AB162" i="4"/>
  <c r="AB163" i="4"/>
  <c r="AB164" i="4"/>
  <c r="AB168" i="4"/>
  <c r="AB27" i="4"/>
  <c r="AB28" i="4"/>
  <c r="AB247" i="4"/>
  <c r="AB266" i="4"/>
  <c r="AB154" i="4"/>
  <c r="AB268" i="4"/>
  <c r="AB299" i="4"/>
  <c r="AB298" i="4"/>
  <c r="AB296" i="4"/>
  <c r="AB297" i="4"/>
  <c r="AB300" i="4"/>
  <c r="AB305" i="4"/>
  <c r="AB308" i="4"/>
  <c r="AB309" i="4"/>
  <c r="AB310" i="4"/>
  <c r="AB301" i="4"/>
  <c r="AB302" i="4"/>
  <c r="AB303" i="4"/>
  <c r="AB304" i="4"/>
  <c r="AB307" i="4"/>
  <c r="AB306" i="4"/>
  <c r="AB315" i="4"/>
  <c r="AB316" i="4"/>
  <c r="AB317" i="4"/>
  <c r="AB318" i="4"/>
  <c r="AB319" i="4"/>
  <c r="AB320" i="4"/>
  <c r="AB321" i="4"/>
  <c r="AB322" i="4"/>
  <c r="AB335" i="4"/>
  <c r="AB336" i="4"/>
  <c r="AB337" i="4"/>
  <c r="AB338" i="4"/>
  <c r="AB339" i="4"/>
  <c r="AB341" i="4"/>
  <c r="AB342" i="4"/>
  <c r="AB343" i="4"/>
  <c r="AB312" i="4"/>
  <c r="AB313" i="4"/>
  <c r="AB314" i="4"/>
  <c r="AB328" i="4"/>
  <c r="AB329" i="4"/>
  <c r="AB330" i="4"/>
  <c r="AB331" i="4"/>
  <c r="AB340" i="4"/>
  <c r="AB333" i="4"/>
  <c r="AB344" i="4"/>
  <c r="AB332" i="4"/>
  <c r="AB325" i="4"/>
  <c r="AB323" i="4"/>
  <c r="AB324" i="4"/>
  <c r="AB326" i="4"/>
  <c r="AB327" i="4"/>
  <c r="AB334" i="4"/>
  <c r="AB345" i="4"/>
  <c r="AB349" i="4"/>
  <c r="AB350" i="4"/>
  <c r="AB351" i="4"/>
  <c r="AB352" i="4"/>
  <c r="AB353" i="4"/>
  <c r="AB354" i="4"/>
  <c r="AB355" i="4"/>
  <c r="AB356" i="4"/>
  <c r="AB357" i="4"/>
  <c r="AB358" i="4"/>
  <c r="AB359" i="4"/>
  <c r="AB360" i="4"/>
  <c r="AB361" i="4"/>
  <c r="AB362" i="4"/>
  <c r="AB363" i="4"/>
  <c r="AB364" i="4"/>
  <c r="AB365" i="4"/>
  <c r="AB366" i="4"/>
  <c r="AB348" i="4"/>
  <c r="AB346" i="4"/>
  <c r="AB347" i="4"/>
  <c r="AB372" i="4"/>
  <c r="AB368" i="4"/>
  <c r="AB376" i="4"/>
  <c r="AB367" i="4"/>
  <c r="AB369" i="4"/>
  <c r="AB371" i="4"/>
  <c r="AB374" i="4"/>
  <c r="AB377" i="4"/>
  <c r="AB370" i="4"/>
  <c r="AB373" i="4"/>
  <c r="AB375" i="4"/>
  <c r="AB382" i="4"/>
  <c r="AB381" i="4"/>
  <c r="AB380" i="4"/>
  <c r="AB379" i="4"/>
  <c r="AB378" i="4"/>
  <c r="AB386" i="4"/>
  <c r="AB401" i="4"/>
  <c r="AB404" i="4"/>
  <c r="AB387" i="4"/>
  <c r="AB388" i="4"/>
  <c r="AB389" i="4"/>
  <c r="AB390" i="4"/>
  <c r="AB396" i="4"/>
  <c r="AB397" i="4"/>
  <c r="AB398" i="4"/>
  <c r="AB399" i="4"/>
  <c r="AB403" i="4"/>
  <c r="AB383" i="4"/>
  <c r="AB384" i="4"/>
  <c r="AB385" i="4"/>
  <c r="AB392" i="4"/>
  <c r="AB393" i="4"/>
  <c r="AB394" i="4"/>
  <c r="AB395" i="4"/>
  <c r="AB400" i="4"/>
  <c r="AB402" i="4"/>
  <c r="AB405" i="4"/>
  <c r="AB406" i="4"/>
  <c r="AB407" i="4"/>
  <c r="AB391" i="4"/>
  <c r="AB250" i="4"/>
  <c r="AC250" i="4"/>
  <c r="BD114" i="5"/>
  <c r="BD195" i="5"/>
  <c r="BD194" i="5"/>
  <c r="BD12" i="5"/>
  <c r="BD170" i="5"/>
  <c r="BD109" i="5"/>
  <c r="BD274" i="5"/>
  <c r="BD117" i="5"/>
  <c r="BD171" i="5"/>
  <c r="BD29" i="5"/>
  <c r="BD227" i="5"/>
  <c r="BD139" i="5"/>
  <c r="BD77" i="5"/>
  <c r="BD258" i="5"/>
  <c r="BD222" i="5"/>
  <c r="BD79" i="5"/>
  <c r="BD173" i="5"/>
  <c r="BD287" i="5"/>
  <c r="BD165" i="5"/>
  <c r="BD166" i="5"/>
  <c r="BD184" i="5"/>
  <c r="BD186" i="5"/>
  <c r="BD187" i="5"/>
  <c r="BD306" i="5"/>
  <c r="BD400" i="5"/>
  <c r="BD337" i="5"/>
  <c r="BD345" i="5"/>
  <c r="BD244" i="5"/>
  <c r="BD261" i="5"/>
  <c r="BD262" i="5"/>
  <c r="BD241" i="5"/>
  <c r="BD51" i="5"/>
  <c r="BD52" i="5"/>
  <c r="BD120" i="5"/>
  <c r="BD50" i="5"/>
  <c r="BD53" i="5"/>
  <c r="BD66" i="5"/>
  <c r="BD122" i="5"/>
  <c r="BD138" i="5"/>
  <c r="BD281" i="5"/>
  <c r="BD169" i="5"/>
  <c r="BD162" i="5"/>
  <c r="BD154" i="5"/>
  <c r="BD168" i="5"/>
  <c r="BD41" i="5"/>
  <c r="BD124" i="5"/>
  <c r="BD42" i="5"/>
  <c r="BD56" i="5"/>
  <c r="BD266" i="5"/>
  <c r="BD55" i="5"/>
  <c r="BD111" i="5"/>
  <c r="BD273" i="5"/>
  <c r="BD48" i="5"/>
  <c r="BD62" i="5"/>
  <c r="BD282" i="5"/>
  <c r="BD121" i="5"/>
  <c r="BD161" i="5"/>
  <c r="BD190" i="5"/>
  <c r="BD192" i="5"/>
  <c r="BD72" i="5"/>
  <c r="BD286" i="5"/>
  <c r="BD85" i="5"/>
  <c r="BD11" i="5"/>
  <c r="BD60" i="5"/>
  <c r="BD285" i="5"/>
  <c r="BD276" i="5"/>
  <c r="BD268" i="5"/>
  <c r="BD271" i="5"/>
  <c r="BD115" i="5"/>
  <c r="BD126" i="5"/>
  <c r="BD10" i="5"/>
  <c r="BD59" i="5"/>
  <c r="BD378" i="5"/>
  <c r="BD270" i="5"/>
  <c r="BD272" i="5"/>
  <c r="BD23" i="5"/>
  <c r="BD65" i="5"/>
  <c r="BD70" i="5"/>
  <c r="BD379" i="5"/>
  <c r="BD27" i="5"/>
  <c r="BD81" i="5"/>
  <c r="BD83" i="5"/>
  <c r="BD278" i="5"/>
  <c r="BD364" i="5"/>
  <c r="BD280" i="5"/>
  <c r="BD13" i="5"/>
  <c r="BD269" i="5"/>
  <c r="BD97" i="5"/>
  <c r="BD207" i="5"/>
  <c r="BD86" i="5"/>
  <c r="BD37" i="5"/>
  <c r="BD38" i="5"/>
  <c r="BD381" i="5"/>
  <c r="BD71" i="5"/>
  <c r="BD14" i="5"/>
  <c r="BD15" i="5"/>
  <c r="BD74" i="5"/>
  <c r="BD94" i="5"/>
  <c r="BD40" i="5"/>
  <c r="BD84" i="5"/>
  <c r="BD3" i="5"/>
  <c r="BD390" i="5"/>
  <c r="BD24" i="5"/>
  <c r="BD167" i="5"/>
  <c r="BD135" i="5"/>
  <c r="BD137" i="5"/>
  <c r="BD238" i="5"/>
  <c r="BD157" i="5"/>
  <c r="BD191" i="5"/>
  <c r="BD385" i="5"/>
  <c r="BD47" i="5"/>
  <c r="BD69" i="5"/>
  <c r="BD80" i="5"/>
  <c r="BD387" i="5"/>
  <c r="BD388" i="5"/>
  <c r="BD389" i="5"/>
  <c r="BD357" i="5"/>
  <c r="BD82" i="5"/>
  <c r="BD30" i="5"/>
  <c r="BD163" i="5"/>
  <c r="BD235" i="5"/>
  <c r="BD193" i="5"/>
  <c r="BD383" i="5"/>
  <c r="BD267" i="5"/>
  <c r="BD236" i="5"/>
  <c r="BD22" i="5"/>
  <c r="BD382" i="5"/>
  <c r="BD63" i="5"/>
  <c r="BD231" i="5"/>
  <c r="BD233" i="5"/>
  <c r="BD283" i="5"/>
  <c r="BD34" i="5"/>
  <c r="BD237" i="5"/>
  <c r="BD76" i="5"/>
  <c r="BD28" i="5"/>
  <c r="BD4" i="5"/>
  <c r="BD9" i="5"/>
  <c r="BD201" i="5"/>
  <c r="BD202" i="5"/>
  <c r="BD39" i="5"/>
  <c r="BD386" i="5"/>
  <c r="BD95" i="5"/>
  <c r="BD26" i="5"/>
  <c r="BD206" i="5"/>
  <c r="BD25" i="5"/>
  <c r="BD67" i="5"/>
  <c r="BD93" i="5"/>
  <c r="BD17" i="5"/>
  <c r="BD16" i="5"/>
  <c r="BD125" i="5"/>
  <c r="BD45" i="5"/>
  <c r="BD393" i="5"/>
  <c r="BD113" i="5"/>
  <c r="BD35" i="5"/>
  <c r="BD44" i="5"/>
  <c r="BD75" i="5"/>
  <c r="BD284" i="5"/>
  <c r="BD234" i="5"/>
  <c r="BD68" i="5"/>
  <c r="BD127" i="5"/>
  <c r="BD203" i="5"/>
  <c r="BD36" i="5"/>
  <c r="BD392" i="5"/>
  <c r="BD196" i="5"/>
  <c r="BD197" i="5"/>
  <c r="BD31" i="5"/>
  <c r="BD58" i="5"/>
  <c r="BD205" i="5"/>
  <c r="BD57" i="5"/>
  <c r="BD204" i="5"/>
  <c r="BD200" i="5"/>
  <c r="BD368" i="5"/>
  <c r="BD149" i="5"/>
  <c r="BD43" i="5"/>
  <c r="BD19" i="5"/>
  <c r="BD99" i="5"/>
  <c r="BD366" i="5"/>
  <c r="BD49" i="5"/>
  <c r="BD380" i="5"/>
  <c r="BD208" i="5"/>
  <c r="BD64" i="5"/>
  <c r="BD100" i="5"/>
  <c r="BD218" i="5"/>
  <c r="BD384" i="5"/>
  <c r="BD143" i="5"/>
  <c r="BD21" i="5"/>
  <c r="BD279" i="5"/>
  <c r="BD142" i="5"/>
  <c r="BD153" i="5"/>
  <c r="BD61" i="5"/>
  <c r="BD92" i="5"/>
  <c r="BD156" i="5"/>
  <c r="BD404" i="5"/>
  <c r="BD177" i="5"/>
  <c r="BD277" i="5"/>
  <c r="BD175" i="5"/>
  <c r="BD188" i="5"/>
  <c r="BD289" i="5"/>
  <c r="BD288" i="5"/>
  <c r="BD367" i="5"/>
  <c r="BD176" i="5"/>
  <c r="BD54" i="5"/>
  <c r="BD133" i="5"/>
  <c r="BD348" i="5"/>
  <c r="BD101" i="5"/>
  <c r="BD20" i="5"/>
  <c r="BD46" i="5"/>
  <c r="BD96" i="5"/>
  <c r="BD275" i="5"/>
  <c r="BD98" i="5"/>
  <c r="BD232" i="5"/>
  <c r="BD320" i="5"/>
  <c r="BD118" i="5"/>
  <c r="BD172" i="5"/>
  <c r="BD397" i="5"/>
  <c r="BD151" i="5"/>
  <c r="BD359" i="5"/>
  <c r="BD134" i="5"/>
  <c r="BD91" i="5"/>
  <c r="BD147" i="5"/>
  <c r="BD32" i="5"/>
  <c r="BD90" i="5"/>
  <c r="BD136" i="5"/>
  <c r="BD223" i="5"/>
  <c r="BD178" i="5"/>
  <c r="BD224" i="5"/>
  <c r="BD112" i="5"/>
  <c r="BD159" i="5"/>
  <c r="BD152" i="5"/>
  <c r="BD8" i="5"/>
  <c r="BD132" i="5"/>
  <c r="BD239" i="5"/>
  <c r="BD119" i="5"/>
  <c r="BD18" i="5"/>
  <c r="BD105" i="5"/>
  <c r="BD7" i="5"/>
  <c r="BD129" i="5"/>
  <c r="BD33" i="5"/>
  <c r="BD102" i="5"/>
  <c r="BD103" i="5"/>
  <c r="BD229" i="5"/>
  <c r="BD104" i="5"/>
  <c r="BD146" i="5"/>
  <c r="BD158" i="5"/>
  <c r="BD230" i="5"/>
  <c r="BD145" i="5"/>
  <c r="BD199" i="5"/>
  <c r="BD87" i="5"/>
  <c r="BD213" i="5"/>
  <c r="BD106" i="5"/>
  <c r="BD107" i="5"/>
  <c r="BD108" i="5"/>
  <c r="BD160" i="5"/>
  <c r="BD140" i="5"/>
  <c r="BD350" i="5"/>
  <c r="BD73" i="5"/>
  <c r="BD214" i="5"/>
  <c r="BD130" i="5"/>
  <c r="BD179" i="5"/>
  <c r="BD209" i="5"/>
  <c r="BD211" i="5"/>
  <c r="BD110" i="5"/>
  <c r="BD198" i="5"/>
  <c r="BD212" i="5"/>
  <c r="BD78" i="5"/>
  <c r="BD128" i="5"/>
  <c r="BD88" i="5"/>
  <c r="BD89" i="5"/>
  <c r="BD155" i="5"/>
  <c r="BD150" i="5"/>
  <c r="BD347" i="5"/>
  <c r="BD2" i="5"/>
  <c r="BD210" i="5"/>
  <c r="BD141" i="5"/>
  <c r="BD225" i="5"/>
  <c r="BD131" i="5"/>
  <c r="BD220" i="5"/>
  <c r="BD219" i="5"/>
  <c r="BD351" i="5"/>
  <c r="BD5" i="5"/>
  <c r="BD216" i="5"/>
  <c r="BD116" i="5"/>
  <c r="BD6" i="5"/>
  <c r="BD352" i="5"/>
  <c r="BD356" i="5"/>
  <c r="BD123" i="5"/>
  <c r="BD144" i="5"/>
  <c r="BD148" i="5"/>
  <c r="BD365" i="5"/>
  <c r="BD164" i="5"/>
  <c r="BD174" i="5"/>
  <c r="BD180" i="5"/>
  <c r="BD181" i="5"/>
  <c r="BD182" i="5"/>
  <c r="BD183" i="5"/>
  <c r="BD185" i="5"/>
  <c r="BD215" i="5"/>
  <c r="BD217" i="5"/>
  <c r="BD221" i="5"/>
  <c r="BD226" i="5"/>
  <c r="BD228" i="5"/>
  <c r="BD326" i="5"/>
  <c r="BD406" i="5"/>
  <c r="BD340" i="5"/>
  <c r="BD341" i="5"/>
  <c r="BD318" i="5"/>
  <c r="BD344" i="5"/>
  <c r="BD398" i="5"/>
  <c r="BD405" i="5"/>
  <c r="BD342" i="5"/>
  <c r="BD395" i="5"/>
  <c r="BD325" i="5"/>
  <c r="BD391" i="5"/>
  <c r="BD343" i="5"/>
  <c r="BD317" i="5"/>
  <c r="BD394" i="5"/>
  <c r="BD300" i="5"/>
  <c r="BD299" i="5"/>
  <c r="BD298" i="5"/>
  <c r="BD312" i="5"/>
  <c r="BD314" i="5"/>
  <c r="BD323" i="5"/>
  <c r="BD322" i="5"/>
  <c r="BD324" i="5"/>
  <c r="BD346" i="5"/>
  <c r="BD305" i="5"/>
  <c r="BD295" i="5"/>
  <c r="BD290" i="5"/>
  <c r="BD291" i="5"/>
  <c r="BD292" i="5"/>
  <c r="BD293" i="5"/>
  <c r="BD294" i="5"/>
  <c r="BD296" i="5"/>
  <c r="BD297" i="5"/>
  <c r="BD301" i="5"/>
  <c r="BD302" i="5"/>
  <c r="BD303" i="5"/>
  <c r="BD304" i="5"/>
  <c r="BD307" i="5"/>
  <c r="BD308" i="5"/>
  <c r="BD309" i="5"/>
  <c r="BD310" i="5"/>
  <c r="BD311" i="5"/>
  <c r="BD313" i="5"/>
  <c r="BD315" i="5"/>
  <c r="BD316" i="5"/>
  <c r="BD321" i="5"/>
  <c r="BD369" i="5"/>
  <c r="BD353" i="5"/>
  <c r="BD358" i="5"/>
  <c r="BD355" i="5"/>
  <c r="BD339" i="5"/>
  <c r="BD402" i="5"/>
  <c r="BD401" i="5"/>
  <c r="BD371" i="5"/>
  <c r="BD403" i="5"/>
  <c r="BD372" i="5"/>
  <c r="BD374" i="5"/>
  <c r="BD377" i="5"/>
  <c r="BD375" i="5"/>
  <c r="BD373" i="5"/>
  <c r="BD376" i="5"/>
  <c r="BD338" i="5"/>
  <c r="BD370" i="5"/>
  <c r="BD319" i="5"/>
  <c r="BD363" i="5"/>
  <c r="BD362" i="5"/>
  <c r="BD396" i="5"/>
  <c r="BD361" i="5"/>
  <c r="BD360" i="5"/>
  <c r="BD333" i="5"/>
  <c r="BD330" i="5"/>
  <c r="BD331" i="5"/>
  <c r="BD328" i="5"/>
  <c r="BD399" i="5"/>
  <c r="BD336" i="5"/>
  <c r="BD332" i="5"/>
  <c r="BD329" i="5"/>
  <c r="BD334" i="5"/>
  <c r="BD335" i="5"/>
  <c r="BD327" i="5"/>
  <c r="BD349" i="5"/>
  <c r="BD354" i="5"/>
  <c r="BD240" i="5"/>
  <c r="BD242" i="5"/>
  <c r="BD245" i="5"/>
  <c r="BD246" i="5"/>
  <c r="BD247" i="5"/>
  <c r="BD251" i="5"/>
  <c r="BD252" i="5"/>
  <c r="BD253" i="5"/>
  <c r="BD254" i="5"/>
  <c r="BD255" i="5"/>
  <c r="BD256" i="5"/>
  <c r="BD259" i="5"/>
  <c r="BD260" i="5"/>
  <c r="BD263" i="5"/>
  <c r="BD264" i="5"/>
  <c r="BD265" i="5"/>
  <c r="BD243" i="5"/>
  <c r="BD248" i="5"/>
  <c r="BD257" i="5"/>
  <c r="BD250" i="5"/>
  <c r="BD249" i="5"/>
  <c r="BD189" i="5"/>
  <c r="AI19" i="2"/>
  <c r="AI25" i="2"/>
  <c r="AI26" i="2"/>
  <c r="AI12" i="2"/>
  <c r="AI30" i="2"/>
  <c r="AI29" i="2"/>
  <c r="AI31" i="2"/>
  <c r="AI32" i="2"/>
  <c r="AI28" i="2"/>
  <c r="AI8" i="2"/>
  <c r="AI10" i="2"/>
  <c r="AI7" i="2"/>
  <c r="AI9" i="2"/>
  <c r="AI24" i="2"/>
  <c r="AI13" i="2"/>
  <c r="AI14" i="2"/>
  <c r="AI35" i="2"/>
  <c r="AI33" i="2"/>
  <c r="AI5" i="2"/>
  <c r="AI37" i="2"/>
  <c r="AI36" i="2"/>
  <c r="AI38" i="2"/>
  <c r="AI23" i="2"/>
  <c r="AI40" i="2"/>
  <c r="AI15" i="2"/>
  <c r="AI4" i="2"/>
  <c r="AI6" i="2"/>
  <c r="AI27" i="2"/>
  <c r="AI34" i="2"/>
  <c r="AI20" i="2"/>
  <c r="AI39" i="2"/>
  <c r="AI43" i="2"/>
  <c r="AI44" i="2"/>
  <c r="AI48" i="2"/>
  <c r="AI47" i="2"/>
  <c r="AI49" i="2"/>
  <c r="AI21" i="2"/>
  <c r="AH21" i="2"/>
  <c r="AK21" i="2"/>
  <c r="AK19" i="2"/>
  <c r="AK25" i="2"/>
  <c r="AK12" i="2"/>
  <c r="AK30" i="2"/>
  <c r="AK29" i="2"/>
  <c r="AK31" i="2"/>
  <c r="AK32" i="2"/>
  <c r="AK28" i="2"/>
  <c r="AK8" i="2"/>
  <c r="AK10" i="2"/>
  <c r="AK7" i="2"/>
  <c r="AK9" i="2"/>
  <c r="AK24" i="2"/>
  <c r="AK13" i="2"/>
  <c r="AK14" i="2"/>
  <c r="AK35" i="2"/>
  <c r="AK33" i="2"/>
  <c r="AK5" i="2"/>
  <c r="AK37" i="2"/>
  <c r="AK36" i="2"/>
  <c r="AK38" i="2"/>
  <c r="AK23" i="2"/>
  <c r="AK40" i="2"/>
  <c r="AK15" i="2"/>
  <c r="AK4" i="2"/>
  <c r="AK6" i="2"/>
  <c r="AK27" i="2"/>
  <c r="AK34" i="2"/>
  <c r="AK20" i="2"/>
  <c r="AK39" i="2"/>
  <c r="AK43" i="2"/>
  <c r="AK44" i="2"/>
  <c r="AK48" i="2"/>
  <c r="AK47" i="2"/>
  <c r="AK49" i="2"/>
  <c r="AG21" i="2"/>
  <c r="AG19" i="2"/>
  <c r="AG20" i="2"/>
  <c r="AG25" i="2"/>
  <c r="AG26" i="2"/>
  <c r="AG30" i="2"/>
  <c r="AG29" i="2"/>
  <c r="AG31" i="2"/>
  <c r="AG32" i="2"/>
  <c r="AG28" i="2"/>
  <c r="AG38" i="2"/>
  <c r="AG23" i="2"/>
  <c r="AG40" i="2"/>
  <c r="AG15" i="2"/>
  <c r="AG39" i="2"/>
  <c r="AG8" i="2"/>
  <c r="AG10" i="2"/>
  <c r="AG7" i="2"/>
  <c r="AG9" i="2"/>
  <c r="AG24" i="2"/>
  <c r="AG13" i="2"/>
  <c r="AG14" i="2"/>
  <c r="AG35" i="2"/>
  <c r="AG33" i="2"/>
  <c r="AG5" i="2"/>
  <c r="AG37" i="2"/>
  <c r="AG36" i="2"/>
  <c r="AG4" i="2"/>
  <c r="AG6" i="2"/>
  <c r="AG34" i="2"/>
  <c r="AG27" i="2"/>
  <c r="AG43" i="2"/>
  <c r="AG44" i="2"/>
  <c r="AG48" i="2"/>
  <c r="AG47" i="2"/>
  <c r="AG49" i="2"/>
  <c r="AG12" i="2"/>
  <c r="AF12" i="2"/>
  <c r="AF21" i="2"/>
  <c r="AF19" i="2"/>
  <c r="AF20" i="2"/>
  <c r="AF25" i="2"/>
  <c r="AF26" i="2"/>
  <c r="AF30" i="2"/>
  <c r="AF29" i="2"/>
  <c r="AF31" i="2"/>
  <c r="AF32" i="2"/>
  <c r="AF28" i="2"/>
  <c r="AF38" i="2"/>
  <c r="AF23" i="2"/>
  <c r="AF40" i="2"/>
  <c r="AF15" i="2"/>
  <c r="AF39" i="2"/>
  <c r="AF8" i="2"/>
  <c r="AF10" i="2"/>
  <c r="AF7" i="2"/>
  <c r="AF9" i="2"/>
  <c r="AF24" i="2"/>
  <c r="AF13" i="2"/>
  <c r="AF14" i="2"/>
  <c r="AF35" i="2"/>
  <c r="AF33" i="2"/>
  <c r="AF5" i="2"/>
  <c r="AF37" i="2"/>
  <c r="AF36" i="2"/>
  <c r="AF4" i="2"/>
  <c r="AF6" i="2"/>
  <c r="AF34" i="2"/>
  <c r="AF27" i="2"/>
  <c r="AF43" i="2"/>
  <c r="AF44" i="2"/>
  <c r="AF48" i="2"/>
  <c r="AF47" i="2"/>
  <c r="AF49" i="2"/>
  <c r="AE12" i="2"/>
  <c r="AC181" i="4"/>
  <c r="AC261" i="4"/>
  <c r="AC127" i="4"/>
  <c r="AC135" i="4"/>
  <c r="AC140" i="4"/>
  <c r="AC147" i="4"/>
  <c r="AC182" i="4"/>
  <c r="AC184" i="4"/>
  <c r="AC185" i="4"/>
  <c r="AC267" i="4"/>
  <c r="AC272" i="4"/>
  <c r="AC131" i="4"/>
  <c r="AC146" i="4"/>
  <c r="AC48" i="4"/>
  <c r="AC49" i="4"/>
  <c r="AC50" i="4"/>
  <c r="AC51" i="4"/>
  <c r="AC52" i="4"/>
  <c r="AC263" i="4"/>
  <c r="AC264" i="4"/>
  <c r="AC80" i="4"/>
  <c r="AC82" i="4"/>
  <c r="AC83" i="4"/>
  <c r="AC257" i="4"/>
  <c r="AC84" i="4"/>
  <c r="AC258" i="4"/>
  <c r="AC90" i="4"/>
  <c r="AC10" i="4"/>
  <c r="AC11" i="4"/>
  <c r="AC91" i="4"/>
  <c r="AC92" i="4"/>
  <c r="AC93" i="4"/>
  <c r="AC259" i="4"/>
  <c r="AC116" i="4"/>
  <c r="AC125" i="4"/>
  <c r="AC295" i="4"/>
  <c r="AC249" i="4"/>
  <c r="AC79" i="4"/>
  <c r="AC81" i="4"/>
  <c r="AC256" i="4"/>
  <c r="AC88" i="4"/>
  <c r="AC89" i="4"/>
  <c r="AC94" i="4"/>
  <c r="AC96" i="4"/>
  <c r="AC103" i="4"/>
  <c r="AC2" i="4"/>
  <c r="AC115" i="4"/>
  <c r="AC15" i="4"/>
  <c r="AC130" i="4"/>
  <c r="AC137" i="4"/>
  <c r="AC254" i="4"/>
  <c r="AC16" i="4"/>
  <c r="AC17" i="4"/>
  <c r="AC18" i="4"/>
  <c r="AC165" i="4"/>
  <c r="AC166" i="4"/>
  <c r="AC167" i="4"/>
  <c r="AC169" i="4"/>
  <c r="AC170" i="4"/>
  <c r="AC178" i="4"/>
  <c r="AC281" i="4"/>
  <c r="AC282" i="4"/>
  <c r="AC199" i="4"/>
  <c r="AC200" i="4"/>
  <c r="AC201" i="4"/>
  <c r="AC202" i="4"/>
  <c r="AC203" i="4"/>
  <c r="AC204" i="4"/>
  <c r="AC25" i="4"/>
  <c r="AC221" i="4"/>
  <c r="AC29" i="4"/>
  <c r="AC30" i="4"/>
  <c r="AC31" i="4"/>
  <c r="AC231" i="4"/>
  <c r="AC32" i="4"/>
  <c r="AC232" i="4"/>
  <c r="AC233" i="4"/>
  <c r="AC234" i="4"/>
  <c r="AC235" i="4"/>
  <c r="AC236" i="4"/>
  <c r="AC237" i="4"/>
  <c r="AC33" i="4"/>
  <c r="AC36" i="4"/>
  <c r="AC37" i="4"/>
  <c r="AC38" i="4"/>
  <c r="AC39" i="4"/>
  <c r="AC40" i="4"/>
  <c r="AC44" i="4"/>
  <c r="AC46" i="4"/>
  <c r="AC262" i="4"/>
  <c r="AC53" i="4"/>
  <c r="AC54" i="4"/>
  <c r="AC55" i="4"/>
  <c r="AC56" i="4"/>
  <c r="AC57" i="4"/>
  <c r="AC58" i="4"/>
  <c r="AC60" i="4"/>
  <c r="AC61" i="4"/>
  <c r="AC62" i="4"/>
  <c r="AC63" i="4"/>
  <c r="AC64" i="4"/>
  <c r="AC65" i="4"/>
  <c r="AC66" i="4"/>
  <c r="AC67" i="4"/>
  <c r="AC68" i="4"/>
  <c r="AC69" i="4"/>
  <c r="AC70" i="4"/>
  <c r="AC9" i="4"/>
  <c r="AC71" i="4"/>
  <c r="AC72" i="4"/>
  <c r="AC73" i="4"/>
  <c r="AC74" i="4"/>
  <c r="AC75" i="4"/>
  <c r="AC76" i="4"/>
  <c r="AC77" i="4"/>
  <c r="AC78" i="4"/>
  <c r="AC85" i="4"/>
  <c r="AC86" i="4"/>
  <c r="AC87" i="4"/>
  <c r="AC251" i="4"/>
  <c r="AC98" i="4"/>
  <c r="AC99" i="4"/>
  <c r="AC100" i="4"/>
  <c r="AC101" i="4"/>
  <c r="AC102" i="4"/>
  <c r="AC104" i="4"/>
  <c r="AC105" i="4"/>
  <c r="AC106" i="4"/>
  <c r="AC108" i="4"/>
  <c r="AC109" i="4"/>
  <c r="AC110" i="4"/>
  <c r="AC111" i="4"/>
  <c r="AC112" i="4"/>
  <c r="AC113" i="4"/>
  <c r="AC114" i="4"/>
  <c r="AC265" i="4"/>
  <c r="AC14" i="4"/>
  <c r="AC117" i="4"/>
  <c r="AC119" i="4"/>
  <c r="AC121" i="4"/>
  <c r="AC123" i="4"/>
  <c r="AC124" i="4"/>
  <c r="AC126" i="4"/>
  <c r="AC128" i="4"/>
  <c r="AC129" i="4"/>
  <c r="AC3" i="4"/>
  <c r="AC132" i="4"/>
  <c r="AC4" i="4"/>
  <c r="AC133" i="4"/>
  <c r="AC134" i="4"/>
  <c r="AC136" i="4"/>
  <c r="AC138" i="4"/>
  <c r="AC139" i="4"/>
  <c r="AC141" i="4"/>
  <c r="AC143" i="4"/>
  <c r="AC144" i="4"/>
  <c r="AC273" i="4"/>
  <c r="AC145" i="4"/>
  <c r="AC275" i="4"/>
  <c r="AC149" i="4"/>
  <c r="AC277" i="4"/>
  <c r="AC151" i="4"/>
  <c r="AC153" i="4"/>
  <c r="AC155" i="4"/>
  <c r="AC156" i="4"/>
  <c r="AC157" i="4"/>
  <c r="AC158" i="4"/>
  <c r="AC159" i="4"/>
  <c r="AC160" i="4"/>
  <c r="AC253" i="4"/>
  <c r="AC161" i="4"/>
  <c r="AC172" i="4"/>
  <c r="AC176" i="4"/>
  <c r="AC177" i="4"/>
  <c r="AC179" i="4"/>
  <c r="AC180" i="4"/>
  <c r="AC183" i="4"/>
  <c r="AC187" i="4"/>
  <c r="AC188" i="4"/>
  <c r="AC189" i="4"/>
  <c r="AC190" i="4"/>
  <c r="AC278" i="4"/>
  <c r="AC279" i="4"/>
  <c r="AC280" i="4"/>
  <c r="AC191" i="4"/>
  <c r="AC283" i="4"/>
  <c r="AC284" i="4"/>
  <c r="AC5" i="4"/>
  <c r="AC285" i="4"/>
  <c r="AC286" i="4"/>
  <c r="AC287" i="4"/>
  <c r="AC288" i="4"/>
  <c r="AC289" i="4"/>
  <c r="AC197" i="4"/>
  <c r="AC290" i="4"/>
  <c r="AC198" i="4"/>
  <c r="AC19" i="4"/>
  <c r="AC20" i="4"/>
  <c r="AC21" i="4"/>
  <c r="AC22" i="4"/>
  <c r="AC23" i="4"/>
  <c r="AC24" i="4"/>
  <c r="AC6" i="4"/>
  <c r="AC7" i="4"/>
  <c r="AC206" i="4"/>
  <c r="AC207" i="4"/>
  <c r="AC291" i="4"/>
  <c r="AC208" i="4"/>
  <c r="AC209" i="4"/>
  <c r="AC210" i="4"/>
  <c r="AC255" i="4"/>
  <c r="AC211" i="4"/>
  <c r="AC212" i="4"/>
  <c r="AC213" i="4"/>
  <c r="AC214" i="4"/>
  <c r="AC215" i="4"/>
  <c r="AC216" i="4"/>
  <c r="AC26" i="4"/>
  <c r="AC217" i="4"/>
  <c r="AC218" i="4"/>
  <c r="AC220" i="4"/>
  <c r="AC224" i="4"/>
  <c r="AC227" i="4"/>
  <c r="AC228" i="4"/>
  <c r="AC229" i="4"/>
  <c r="AC294" i="4"/>
  <c r="AC230" i="4"/>
  <c r="AC239" i="4"/>
  <c r="AC240" i="4"/>
  <c r="AC241" i="4"/>
  <c r="AC242" i="4"/>
  <c r="AC243" i="4"/>
  <c r="AC244" i="4"/>
  <c r="AC245" i="4"/>
  <c r="AC246" i="4"/>
  <c r="AC34" i="4"/>
  <c r="AC35" i="4"/>
  <c r="AC248" i="4"/>
  <c r="AC41" i="4"/>
  <c r="AC42" i="4"/>
  <c r="AC43" i="4"/>
  <c r="AC45" i="4"/>
  <c r="AC47" i="4"/>
  <c r="AC260" i="4"/>
  <c r="AC95" i="4"/>
  <c r="AC12" i="4"/>
  <c r="AC13" i="4"/>
  <c r="AC122" i="4"/>
  <c r="AC276" i="4"/>
  <c r="AC152" i="4"/>
  <c r="AC171" i="4"/>
  <c r="AC192" i="4"/>
  <c r="AC193" i="4"/>
  <c r="AC205" i="4"/>
  <c r="AC8" i="4"/>
  <c r="AC269" i="4"/>
  <c r="AC270" i="4"/>
  <c r="AC142" i="4"/>
  <c r="AC148" i="4"/>
  <c r="AC194" i="4"/>
  <c r="AC195" i="4"/>
  <c r="AC196" i="4"/>
  <c r="AC292" i="4"/>
  <c r="AC293" i="4"/>
  <c r="AC118" i="4"/>
  <c r="AC271" i="4"/>
  <c r="AC274" i="4"/>
  <c r="AC120" i="4"/>
  <c r="AC252" i="4"/>
  <c r="AC150" i="4"/>
  <c r="AC222" i="4"/>
  <c r="AC223" i="4"/>
  <c r="AC225" i="4"/>
  <c r="AC238" i="4"/>
  <c r="AC97" i="4"/>
  <c r="AC174" i="4"/>
  <c r="AC226" i="4"/>
  <c r="AC59" i="4"/>
  <c r="AC173" i="4"/>
  <c r="AC175" i="4"/>
  <c r="AC186" i="4"/>
  <c r="AC219" i="4"/>
  <c r="AC107" i="4"/>
  <c r="AC162" i="4"/>
  <c r="AC163" i="4"/>
  <c r="AC164" i="4"/>
  <c r="AC168" i="4"/>
  <c r="AC27" i="4"/>
  <c r="AC28" i="4"/>
  <c r="AC247" i="4"/>
  <c r="AC266" i="4"/>
  <c r="AC154" i="4"/>
  <c r="AC268" i="4"/>
  <c r="AC299" i="4"/>
  <c r="AC298" i="4"/>
  <c r="AC296" i="4"/>
  <c r="AC297" i="4"/>
  <c r="AC300" i="4"/>
  <c r="AC305" i="4"/>
  <c r="AC308" i="4"/>
  <c r="AC309" i="4"/>
  <c r="AC310" i="4"/>
  <c r="AC301" i="4"/>
  <c r="AC302" i="4"/>
  <c r="AC303" i="4"/>
  <c r="AC304" i="4"/>
  <c r="AC307" i="4"/>
  <c r="AC306" i="4"/>
  <c r="AC315" i="4"/>
  <c r="AC316" i="4"/>
  <c r="AC317" i="4"/>
  <c r="AC318" i="4"/>
  <c r="AC319" i="4"/>
  <c r="AC320" i="4"/>
  <c r="AC321" i="4"/>
  <c r="AC322" i="4"/>
  <c r="AC335" i="4"/>
  <c r="AC336" i="4"/>
  <c r="AC337" i="4"/>
  <c r="AC338" i="4"/>
  <c r="AC339" i="4"/>
  <c r="AC341" i="4"/>
  <c r="AC342" i="4"/>
  <c r="AC343" i="4"/>
  <c r="AC312" i="4"/>
  <c r="AC313" i="4"/>
  <c r="AC314" i="4"/>
  <c r="AC328" i="4"/>
  <c r="AC329" i="4"/>
  <c r="AC330" i="4"/>
  <c r="AC331" i="4"/>
  <c r="AC340" i="4"/>
  <c r="AC333" i="4"/>
  <c r="AC344" i="4"/>
  <c r="AC332" i="4"/>
  <c r="AC325" i="4"/>
  <c r="AC323" i="4"/>
  <c r="AC324" i="4"/>
  <c r="AC326" i="4"/>
  <c r="AC327" i="4"/>
  <c r="AC334" i="4"/>
  <c r="AC345" i="4"/>
  <c r="AC349" i="4"/>
  <c r="AC350" i="4"/>
  <c r="AC351" i="4"/>
  <c r="AC352" i="4"/>
  <c r="AC353" i="4"/>
  <c r="AC354" i="4"/>
  <c r="AC355" i="4"/>
  <c r="AC356" i="4"/>
  <c r="AC357" i="4"/>
  <c r="AC358" i="4"/>
  <c r="AC359" i="4"/>
  <c r="AC360" i="4"/>
  <c r="AC361" i="4"/>
  <c r="AC362" i="4"/>
  <c r="AC363" i="4"/>
  <c r="AC364" i="4"/>
  <c r="AC365" i="4"/>
  <c r="AC366" i="4"/>
  <c r="AC348" i="4"/>
  <c r="AC346" i="4"/>
  <c r="AC347" i="4"/>
  <c r="AC372" i="4"/>
  <c r="AC368" i="4"/>
  <c r="AC376" i="4"/>
  <c r="AC367" i="4"/>
  <c r="AC369" i="4"/>
  <c r="AC371" i="4"/>
  <c r="AC374" i="4"/>
  <c r="AC377" i="4"/>
  <c r="AC370" i="4"/>
  <c r="AC373" i="4"/>
  <c r="AC375" i="4"/>
  <c r="AC382" i="4"/>
  <c r="AC381" i="4"/>
  <c r="AC380" i="4"/>
  <c r="AC379" i="4"/>
  <c r="AC378" i="4"/>
  <c r="AC386" i="4"/>
  <c r="AC401" i="4"/>
  <c r="AC404" i="4"/>
  <c r="AC387" i="4"/>
  <c r="AC388" i="4"/>
  <c r="AC389" i="4"/>
  <c r="AC390" i="4"/>
  <c r="AC396" i="4"/>
  <c r="AC397" i="4"/>
  <c r="AC398" i="4"/>
  <c r="AC399" i="4"/>
  <c r="AC403" i="4"/>
  <c r="AC383" i="4"/>
  <c r="AC384" i="4"/>
  <c r="AC385" i="4"/>
  <c r="AC392" i="4"/>
  <c r="AC393" i="4"/>
  <c r="AC394" i="4"/>
  <c r="AC395" i="4"/>
  <c r="AC400" i="4"/>
  <c r="AC402" i="4"/>
  <c r="AC405" i="4"/>
  <c r="AC406" i="4"/>
  <c r="AC407" i="4"/>
  <c r="AC391" i="4"/>
  <c r="AE8" i="2"/>
  <c r="AE10" i="2"/>
  <c r="AE7" i="2"/>
  <c r="AE9" i="2"/>
  <c r="AE24" i="2"/>
  <c r="AE13" i="2"/>
  <c r="AE14" i="2"/>
  <c r="AE25" i="2"/>
  <c r="AE4" i="2"/>
  <c r="AE35" i="2"/>
  <c r="AE34" i="2"/>
  <c r="AE33" i="2"/>
  <c r="AE5" i="2"/>
  <c r="AE30" i="2"/>
  <c r="AE29" i="2"/>
  <c r="AE31" i="2"/>
  <c r="AE6" i="2"/>
  <c r="AE32" i="2"/>
  <c r="AE28" i="2"/>
  <c r="AE40" i="2"/>
  <c r="AE37" i="2"/>
  <c r="AE36" i="2"/>
  <c r="AE27" i="2"/>
  <c r="AE15" i="2"/>
  <c r="AE39" i="2"/>
  <c r="AE21" i="2"/>
  <c r="AE19" i="2"/>
  <c r="AE20" i="2"/>
  <c r="AE38" i="2"/>
  <c r="AE43" i="2"/>
  <c r="AE44" i="2"/>
  <c r="AE48" i="2"/>
  <c r="AE47" i="2"/>
  <c r="AE49" i="2"/>
  <c r="AE23" i="2"/>
  <c r="AH23" i="2"/>
  <c r="AD274" i="4"/>
  <c r="AD127" i="4"/>
  <c r="AD135" i="4"/>
  <c r="AD147" i="4"/>
  <c r="AD172" i="4"/>
  <c r="AD101" i="4"/>
  <c r="AD102" i="4"/>
  <c r="AD144" i="4"/>
  <c r="AD151" i="4"/>
  <c r="AD222" i="4"/>
  <c r="AD46" i="4"/>
  <c r="AD51" i="4"/>
  <c r="AD63" i="4"/>
  <c r="AD100" i="4"/>
  <c r="AD268" i="4"/>
  <c r="AD118" i="4"/>
  <c r="AD120" i="4"/>
  <c r="AD132" i="4"/>
  <c r="AD145" i="4"/>
  <c r="AD154" i="4"/>
  <c r="AD171" i="4"/>
  <c r="AD179" i="4"/>
  <c r="AD180" i="4"/>
  <c r="AD181" i="4"/>
  <c r="AD232" i="4"/>
  <c r="AD235" i="4"/>
  <c r="AD39" i="4"/>
  <c r="AD44" i="4"/>
  <c r="AD45" i="4"/>
  <c r="AD53" i="4"/>
  <c r="AD54" i="4"/>
  <c r="AD55" i="4"/>
  <c r="AD56" i="4"/>
  <c r="AD57" i="4"/>
  <c r="AD58" i="4"/>
  <c r="AD66" i="4"/>
  <c r="AD67" i="4"/>
  <c r="AD68" i="4"/>
  <c r="AD251" i="4"/>
  <c r="AD270" i="4"/>
  <c r="AD134" i="4"/>
  <c r="AD149" i="4"/>
  <c r="AD277" i="4"/>
  <c r="AD159" i="4"/>
  <c r="AD16" i="4"/>
  <c r="AD226" i="4"/>
  <c r="AD27" i="4"/>
  <c r="AD28" i="4"/>
  <c r="AD239" i="4"/>
  <c r="AD240" i="4"/>
  <c r="AD241" i="4"/>
  <c r="AD242" i="4"/>
  <c r="AD243" i="4"/>
  <c r="AD244" i="4"/>
  <c r="AD245" i="4"/>
  <c r="AD260" i="4"/>
  <c r="AD95" i="4"/>
  <c r="AD40" i="4"/>
  <c r="AD48" i="4"/>
  <c r="AD60" i="4"/>
  <c r="AD61" i="4"/>
  <c r="AD62" i="4"/>
  <c r="AD69" i="4"/>
  <c r="AD88" i="4"/>
  <c r="AD89" i="4"/>
  <c r="AD107" i="4"/>
  <c r="AD114" i="4"/>
  <c r="AD119" i="4"/>
  <c r="AD122" i="4"/>
  <c r="AD271" i="4"/>
  <c r="AD130" i="4"/>
  <c r="AD3" i="4"/>
  <c r="AD4" i="4"/>
  <c r="AD252" i="4"/>
  <c r="AD138" i="4"/>
  <c r="AD148" i="4"/>
  <c r="AD152" i="4"/>
  <c r="AD160" i="4"/>
  <c r="AD253" i="4"/>
  <c r="AD162" i="4"/>
  <c r="AD163" i="4"/>
  <c r="AD164" i="4"/>
  <c r="AD17" i="4"/>
  <c r="AD18" i="4"/>
  <c r="AD168" i="4"/>
  <c r="AD290" i="4"/>
  <c r="AD198" i="4"/>
  <c r="AD19" i="4"/>
  <c r="AD20" i="4"/>
  <c r="AD21" i="4"/>
  <c r="AD22" i="4"/>
  <c r="AD205" i="4"/>
  <c r="AD23" i="4"/>
  <c r="AD24" i="4"/>
  <c r="AD291" i="4"/>
  <c r="AD221" i="4"/>
  <c r="AD246" i="4"/>
  <c r="AD247" i="4"/>
  <c r="AD248" i="4"/>
  <c r="AD36" i="4"/>
  <c r="AD37" i="4"/>
  <c r="AD38" i="4"/>
  <c r="AD49" i="4"/>
  <c r="AD64" i="4"/>
  <c r="AD65" i="4"/>
  <c r="AD113" i="4"/>
  <c r="AD276" i="4"/>
  <c r="AD254" i="4"/>
  <c r="AD176" i="4"/>
  <c r="AD177" i="4"/>
  <c r="AD178" i="4"/>
  <c r="AD225" i="4"/>
  <c r="AD29" i="4"/>
  <c r="AD30" i="4"/>
  <c r="AD31" i="4"/>
  <c r="AD32" i="4"/>
  <c r="AD42" i="4"/>
  <c r="AD50" i="4"/>
  <c r="AD87" i="4"/>
  <c r="AD108" i="4"/>
  <c r="AD109" i="4"/>
  <c r="AD110" i="4"/>
  <c r="AD2" i="4"/>
  <c r="AD266" i="4"/>
  <c r="AD14" i="4"/>
  <c r="AD272" i="4"/>
  <c r="AD131" i="4"/>
  <c r="AD182" i="4"/>
  <c r="AD183" i="4"/>
  <c r="AD184" i="4"/>
  <c r="AD185" i="4"/>
  <c r="AD281" i="4"/>
  <c r="AD282" i="4"/>
  <c r="AD5" i="4"/>
  <c r="AD201" i="4"/>
  <c r="AD202" i="4"/>
  <c r="AD203" i="4"/>
  <c r="AD204" i="4"/>
  <c r="AD211" i="4"/>
  <c r="AD231" i="4"/>
  <c r="AD233" i="4"/>
  <c r="AD234" i="4"/>
  <c r="AD236" i="4"/>
  <c r="AD41" i="4"/>
  <c r="AD43" i="4"/>
  <c r="AD47" i="4"/>
  <c r="AD59" i="4"/>
  <c r="AD78" i="4"/>
  <c r="AD259" i="4"/>
  <c r="AD99" i="4"/>
  <c r="AD103" i="4"/>
  <c r="AD111" i="4"/>
  <c r="AD12" i="4"/>
  <c r="AD13" i="4"/>
  <c r="AD269" i="4"/>
  <c r="AD141" i="4"/>
  <c r="AD273" i="4"/>
  <c r="AD275" i="4"/>
  <c r="AD173" i="4"/>
  <c r="AD174" i="4"/>
  <c r="AD175" i="4"/>
  <c r="AD186" i="4"/>
  <c r="AD187" i="4"/>
  <c r="AD188" i="4"/>
  <c r="AD189" i="4"/>
  <c r="AD190" i="4"/>
  <c r="AD278" i="4"/>
  <c r="AD279" i="4"/>
  <c r="AD280" i="4"/>
  <c r="AD285" i="4"/>
  <c r="AD286" i="4"/>
  <c r="AD287" i="4"/>
  <c r="AD288" i="4"/>
  <c r="AD199" i="4"/>
  <c r="AD200" i="4"/>
  <c r="AD224" i="4"/>
  <c r="AD8" i="4"/>
  <c r="AD33" i="4"/>
  <c r="AD34" i="4"/>
  <c r="AD35" i="4"/>
  <c r="AD26" i="4"/>
  <c r="AD217" i="4"/>
  <c r="AD218" i="4"/>
  <c r="AD75" i="4"/>
  <c r="AD76" i="4"/>
  <c r="AD77" i="4"/>
  <c r="AD86" i="4"/>
  <c r="AD115" i="4"/>
  <c r="AD117" i="4"/>
  <c r="AD126" i="4"/>
  <c r="AD155" i="4"/>
  <c r="AD156" i="4"/>
  <c r="AD191" i="4"/>
  <c r="AD197" i="4"/>
  <c r="AD219" i="4"/>
  <c r="AD220" i="4"/>
  <c r="AD292" i="4"/>
  <c r="AD293" i="4"/>
  <c r="AD216" i="4"/>
  <c r="AD74" i="4"/>
  <c r="AD94" i="4"/>
  <c r="AD140" i="4"/>
  <c r="AD192" i="4"/>
  <c r="AD193" i="4"/>
  <c r="AD283" i="4"/>
  <c r="AD284" i="4"/>
  <c r="AD229" i="4"/>
  <c r="AD104" i="4"/>
  <c r="AD112" i="4"/>
  <c r="AD136" i="4"/>
  <c r="AD137" i="4"/>
  <c r="AD150" i="4"/>
  <c r="AD161" i="4"/>
  <c r="AD6" i="4"/>
  <c r="AD7" i="4"/>
  <c r="AD206" i="4"/>
  <c r="AD71" i="4"/>
  <c r="AD105" i="4"/>
  <c r="AD106" i="4"/>
  <c r="AD128" i="4"/>
  <c r="AD139" i="4"/>
  <c r="AD142" i="4"/>
  <c r="AD194" i="4"/>
  <c r="AD195" i="4"/>
  <c r="AD196" i="4"/>
  <c r="AD207" i="4"/>
  <c r="AD209" i="4"/>
  <c r="AD210" i="4"/>
  <c r="AD228" i="4"/>
  <c r="AD52" i="4"/>
  <c r="AD70" i="4"/>
  <c r="AD9" i="4"/>
  <c r="AD72" i="4"/>
  <c r="AD73" i="4"/>
  <c r="AD85" i="4"/>
  <c r="AD90" i="4"/>
  <c r="AD121" i="4"/>
  <c r="AD15" i="4"/>
  <c r="AD123" i="4"/>
  <c r="AD129" i="4"/>
  <c r="AD143" i="4"/>
  <c r="AD146" i="4"/>
  <c r="AD153" i="4"/>
  <c r="AD165" i="4"/>
  <c r="AD167" i="4"/>
  <c r="AD255" i="4"/>
  <c r="AD25" i="4"/>
  <c r="AD213" i="4"/>
  <c r="AD214" i="4"/>
  <c r="AD215" i="4"/>
  <c r="AD249" i="4"/>
  <c r="AD79" i="4"/>
  <c r="AD80" i="4"/>
  <c r="AD81" i="4"/>
  <c r="AD82" i="4"/>
  <c r="AD83" i="4"/>
  <c r="AD256" i="4"/>
  <c r="AD84" i="4"/>
  <c r="AD262" i="4"/>
  <c r="AD263" i="4"/>
  <c r="AD10" i="4"/>
  <c r="AD11" i="4"/>
  <c r="AD91" i="4"/>
  <c r="AD92" i="4"/>
  <c r="AD93" i="4"/>
  <c r="AD96" i="4"/>
  <c r="AD97" i="4"/>
  <c r="AD98" i="4"/>
  <c r="AD267" i="4"/>
  <c r="AD133" i="4"/>
  <c r="AD157" i="4"/>
  <c r="AD158" i="4"/>
  <c r="AD166" i="4"/>
  <c r="AD294" i="4"/>
  <c r="AD230" i="4"/>
  <c r="AD237" i="4"/>
  <c r="AD238" i="4"/>
  <c r="AD295" i="4"/>
  <c r="AD264" i="4"/>
  <c r="AD257" i="4"/>
  <c r="AD258" i="4"/>
  <c r="AD261" i="4"/>
  <c r="AD124" i="4"/>
  <c r="AD169" i="4"/>
  <c r="AD170" i="4"/>
  <c r="AD208" i="4"/>
  <c r="AD223" i="4"/>
  <c r="AD227" i="4"/>
  <c r="AD125" i="4"/>
  <c r="AD265" i="4"/>
  <c r="AD212" i="4"/>
  <c r="AD289" i="4"/>
  <c r="AD308" i="4"/>
  <c r="AD300" i="4"/>
  <c r="AD305" i="4"/>
  <c r="AD309" i="4"/>
  <c r="AD310" i="4"/>
  <c r="AD296" i="4"/>
  <c r="AD297" i="4"/>
  <c r="AD298" i="4"/>
  <c r="AD299" i="4"/>
  <c r="AD307" i="4"/>
  <c r="AD301" i="4"/>
  <c r="AD302" i="4"/>
  <c r="AD303" i="4"/>
  <c r="AD304" i="4"/>
  <c r="AD306" i="4"/>
  <c r="AD318" i="4"/>
  <c r="AD330" i="4"/>
  <c r="AD317" i="4"/>
  <c r="AD319" i="4"/>
  <c r="AD320" i="4"/>
  <c r="AD321" i="4"/>
  <c r="AD329" i="4"/>
  <c r="AD331" i="4"/>
  <c r="AD332" i="4"/>
  <c r="AD335" i="4"/>
  <c r="AD336" i="4"/>
  <c r="AD337" i="4"/>
  <c r="AD338" i="4"/>
  <c r="AD340" i="4"/>
  <c r="AD341" i="4"/>
  <c r="AD342" i="4"/>
  <c r="AD343" i="4"/>
  <c r="AD333" i="4"/>
  <c r="AD344" i="4"/>
  <c r="AD315" i="4"/>
  <c r="AD316" i="4"/>
  <c r="AD323" i="4"/>
  <c r="AD324" i="4"/>
  <c r="AD325" i="4"/>
  <c r="AD326" i="4"/>
  <c r="AD327" i="4"/>
  <c r="AD339" i="4"/>
  <c r="AD328" i="4"/>
  <c r="AD312" i="4"/>
  <c r="AD313" i="4"/>
  <c r="AD314" i="4"/>
  <c r="AD334" i="4"/>
  <c r="AD322" i="4"/>
  <c r="AD355" i="4"/>
  <c r="AD359" i="4"/>
  <c r="AD345" i="4"/>
  <c r="AD354" i="4"/>
  <c r="AD364" i="4"/>
  <c r="AD365" i="4"/>
  <c r="AD366" i="4"/>
  <c r="AD348" i="4"/>
  <c r="AD363" i="4"/>
  <c r="AD346" i="4"/>
  <c r="AD347" i="4"/>
  <c r="AD356" i="4"/>
  <c r="AD357" i="4"/>
  <c r="AD349" i="4"/>
  <c r="AD350" i="4"/>
  <c r="AD352" i="4"/>
  <c r="AD351" i="4"/>
  <c r="AD353" i="4"/>
  <c r="AD358" i="4"/>
  <c r="AD360" i="4"/>
  <c r="AD361" i="4"/>
  <c r="AD362" i="4"/>
  <c r="AD371" i="4"/>
  <c r="AD372" i="4"/>
  <c r="AD375" i="4"/>
  <c r="AD369" i="4"/>
  <c r="AD370" i="4"/>
  <c r="AD373" i="4"/>
  <c r="AD374" i="4"/>
  <c r="AD368" i="4"/>
  <c r="AD376" i="4"/>
  <c r="AD367" i="4"/>
  <c r="AD377" i="4"/>
  <c r="AD378" i="4"/>
  <c r="AD382" i="4"/>
  <c r="AD379" i="4"/>
  <c r="AD381" i="4"/>
  <c r="AD380" i="4"/>
  <c r="AD397" i="4"/>
  <c r="AD384" i="4"/>
  <c r="AD385" i="4"/>
  <c r="AD386" i="4"/>
  <c r="AD392" i="4"/>
  <c r="AD393" i="4"/>
  <c r="AD394" i="4"/>
  <c r="AD400" i="4"/>
  <c r="AD401" i="4"/>
  <c r="AD383" i="4"/>
  <c r="AD387" i="4"/>
  <c r="AD388" i="4"/>
  <c r="AD389" i="4"/>
  <c r="AD390" i="4"/>
  <c r="AD391" i="4"/>
  <c r="AD395" i="4"/>
  <c r="AD396" i="4"/>
  <c r="AD398" i="4"/>
  <c r="AD399" i="4"/>
  <c r="AD402" i="4"/>
  <c r="AD403" i="4"/>
  <c r="AD404" i="4"/>
  <c r="AD405" i="4"/>
  <c r="AD406" i="4"/>
  <c r="AD407" i="4"/>
  <c r="AD116" i="4"/>
  <c r="AH8" i="2"/>
  <c r="AH10" i="2"/>
  <c r="AH7" i="2"/>
  <c r="AH9" i="2"/>
  <c r="AH24" i="2"/>
  <c r="AH13" i="2"/>
  <c r="AH14" i="2"/>
  <c r="AH25" i="2"/>
  <c r="AH4" i="2"/>
  <c r="AH35" i="2"/>
  <c r="AH34" i="2"/>
  <c r="AH33" i="2"/>
  <c r="AH5" i="2"/>
  <c r="AH12" i="2"/>
  <c r="AH26" i="2"/>
  <c r="AH30" i="2"/>
  <c r="AH29" i="2"/>
  <c r="AH31" i="2"/>
  <c r="AH6" i="2"/>
  <c r="AH32" i="2"/>
  <c r="AH28" i="2"/>
  <c r="AH40" i="2"/>
  <c r="AH37" i="2"/>
  <c r="AH36" i="2"/>
  <c r="AH27" i="2"/>
  <c r="AH15" i="2"/>
  <c r="AH39" i="2"/>
  <c r="AH19" i="2"/>
  <c r="AH20" i="2"/>
  <c r="AH38" i="2"/>
  <c r="AH43" i="2"/>
  <c r="AH44" i="2"/>
  <c r="AH48" i="2"/>
  <c r="AH47" i="2"/>
  <c r="AH49" i="2"/>
  <c r="AF381" i="4"/>
  <c r="AF380" i="4"/>
  <c r="AF378" i="4"/>
  <c r="AF379" i="4"/>
  <c r="AF382" i="4"/>
  <c r="AF383" i="4"/>
  <c r="AF384" i="4"/>
  <c r="AF385" i="4"/>
  <c r="AF386" i="4"/>
  <c r="AF387" i="4"/>
  <c r="AF388" i="4"/>
  <c r="AF389" i="4"/>
  <c r="AF390" i="4"/>
  <c r="AF391" i="4"/>
  <c r="AF392" i="4"/>
  <c r="AF393" i="4"/>
  <c r="AF394" i="4"/>
  <c r="AF395" i="4"/>
  <c r="AF396" i="4"/>
  <c r="AF397" i="4"/>
  <c r="AF398" i="4"/>
  <c r="AF399" i="4"/>
  <c r="AF400" i="4"/>
  <c r="AF401" i="4"/>
  <c r="AF402" i="4"/>
  <c r="AF403" i="4"/>
  <c r="AF404" i="4"/>
  <c r="AF405" i="4"/>
  <c r="AF406" i="4"/>
  <c r="AF407" i="4"/>
  <c r="AI296" i="4"/>
  <c r="AI297" i="4"/>
  <c r="AI298" i="4"/>
  <c r="AI299" i="4"/>
  <c r="AI300" i="4"/>
  <c r="AI301" i="4"/>
  <c r="AI302" i="4"/>
  <c r="AI303" i="4"/>
  <c r="AI304" i="4"/>
  <c r="AI305" i="4"/>
  <c r="AI306" i="4"/>
  <c r="AI307" i="4"/>
  <c r="AI308" i="4"/>
  <c r="AI309" i="4"/>
  <c r="AI310" i="4"/>
  <c r="AI312" i="4"/>
  <c r="AI313" i="4"/>
  <c r="AI314" i="4"/>
  <c r="AI315" i="4"/>
  <c r="AI316" i="4"/>
  <c r="AI317" i="4"/>
  <c r="AI318" i="4"/>
  <c r="AI319" i="4"/>
  <c r="AI320" i="4"/>
  <c r="AI321" i="4"/>
  <c r="AI322" i="4"/>
  <c r="AI323" i="4"/>
  <c r="AI324" i="4"/>
  <c r="AI325" i="4"/>
  <c r="AI326" i="4"/>
  <c r="AI327" i="4"/>
  <c r="AI328" i="4"/>
  <c r="AI329" i="4"/>
  <c r="AI330" i="4"/>
  <c r="AI331" i="4"/>
  <c r="AI334" i="4"/>
  <c r="AI335" i="4"/>
  <c r="AI336" i="4"/>
  <c r="AI337" i="4"/>
  <c r="AI338" i="4"/>
  <c r="AI339" i="4"/>
  <c r="AI341" i="4"/>
  <c r="AI342" i="4"/>
  <c r="AI343" i="4"/>
  <c r="AI333" i="4"/>
  <c r="AI344" i="4"/>
  <c r="AI332" i="4"/>
  <c r="AI340" i="4"/>
  <c r="AI345" i="4"/>
  <c r="AI346" i="4"/>
  <c r="AI347" i="4"/>
  <c r="AI348" i="4"/>
  <c r="AI349" i="4"/>
  <c r="AI350" i="4"/>
  <c r="AI351" i="4"/>
  <c r="AI352" i="4"/>
  <c r="AI353" i="4"/>
  <c r="AI354" i="4"/>
  <c r="AI355" i="4"/>
  <c r="AI356" i="4"/>
  <c r="AI357" i="4"/>
  <c r="AI358" i="4"/>
  <c r="AI359" i="4"/>
  <c r="AI360" i="4"/>
  <c r="AI361" i="4"/>
  <c r="AI362" i="4"/>
  <c r="AI363" i="4"/>
  <c r="AI364" i="4"/>
  <c r="AI365" i="4"/>
  <c r="AI366" i="4"/>
  <c r="AI367" i="4"/>
  <c r="AI368" i="4"/>
  <c r="AI369" i="4"/>
  <c r="AI370" i="4"/>
  <c r="AI371" i="4"/>
  <c r="AI372" i="4"/>
  <c r="AI373" i="4"/>
  <c r="AI374" i="4"/>
  <c r="AI375" i="4"/>
  <c r="AI376" i="4"/>
  <c r="AI377" i="4"/>
  <c r="AI381" i="4"/>
  <c r="AI380" i="4"/>
  <c r="AI378" i="4"/>
  <c r="AI379" i="4"/>
  <c r="AI382" i="4"/>
  <c r="AI383" i="4"/>
  <c r="AI384" i="4"/>
  <c r="AI385" i="4"/>
  <c r="AI386" i="4"/>
  <c r="AI387" i="4"/>
  <c r="AI388" i="4"/>
  <c r="AI389" i="4"/>
  <c r="AI390" i="4"/>
  <c r="AI391" i="4"/>
  <c r="AI392" i="4"/>
  <c r="AI393" i="4"/>
  <c r="AI394" i="4"/>
  <c r="AI395" i="4"/>
  <c r="AI396" i="4"/>
  <c r="AI397" i="4"/>
  <c r="AI398" i="4"/>
  <c r="AI399" i="4"/>
  <c r="AI400" i="4"/>
  <c r="AI401" i="4"/>
  <c r="AI402" i="4"/>
  <c r="AI403" i="4"/>
  <c r="AI404" i="4"/>
  <c r="AI405" i="4"/>
  <c r="AI406" i="4"/>
  <c r="AI407" i="4"/>
  <c r="AF44" i="4"/>
  <c r="AF61" i="4"/>
  <c r="AF62" i="4"/>
  <c r="AF66" i="4"/>
  <c r="AF67" i="4"/>
  <c r="AF68" i="4"/>
  <c r="AF69" i="4"/>
  <c r="AF94" i="4"/>
  <c r="AF96" i="4"/>
  <c r="AF114" i="4"/>
  <c r="AF273" i="4"/>
  <c r="AF160" i="4"/>
  <c r="AF27" i="4"/>
  <c r="AF28" i="4"/>
  <c r="AF239" i="4"/>
  <c r="AF53" i="4"/>
  <c r="AF54" i="4"/>
  <c r="AF57" i="4"/>
  <c r="AF159" i="4"/>
  <c r="AF119" i="4"/>
  <c r="AF4" i="4"/>
  <c r="AF118" i="4"/>
  <c r="AF270" i="4"/>
  <c r="AF88" i="4"/>
  <c r="AF89" i="4"/>
  <c r="AF272" i="4"/>
  <c r="AF135" i="4"/>
  <c r="AF16" i="4"/>
  <c r="AF17" i="4"/>
  <c r="AF18" i="4"/>
  <c r="AF55" i="4"/>
  <c r="AF56" i="4"/>
  <c r="AF58" i="4"/>
  <c r="AF253" i="4"/>
  <c r="AF254" i="4"/>
  <c r="AF260" i="4"/>
  <c r="AF64" i="4"/>
  <c r="AF65" i="4"/>
  <c r="AF251" i="4"/>
  <c r="AF95" i="4"/>
  <c r="AF134" i="4"/>
  <c r="AF148" i="4"/>
  <c r="AF274" i="4"/>
  <c r="AF275" i="4"/>
  <c r="AF154" i="4"/>
  <c r="AF19" i="4"/>
  <c r="AF20" i="4"/>
  <c r="AF22" i="4"/>
  <c r="AF205" i="4"/>
  <c r="AF23" i="4"/>
  <c r="AF24" i="4"/>
  <c r="AF290" i="4"/>
  <c r="AF198" i="4"/>
  <c r="AF21" i="4"/>
  <c r="AF36" i="4"/>
  <c r="AF37" i="4"/>
  <c r="AF38" i="4"/>
  <c r="AF39" i="4"/>
  <c r="AF40" i="4"/>
  <c r="AF45" i="4"/>
  <c r="AF46" i="4"/>
  <c r="AF47" i="4"/>
  <c r="AF60" i="4"/>
  <c r="AF63" i="4"/>
  <c r="AF116" i="4"/>
  <c r="AF120" i="4"/>
  <c r="AF225" i="4"/>
  <c r="AF240" i="4"/>
  <c r="AF241" i="4"/>
  <c r="AF242" i="4"/>
  <c r="AF243" i="4"/>
  <c r="AF244" i="4"/>
  <c r="AF245" i="4"/>
  <c r="AF127" i="4"/>
  <c r="AF147" i="4"/>
  <c r="AF29" i="4"/>
  <c r="AF30" i="4"/>
  <c r="AF31" i="4"/>
  <c r="AF231" i="4"/>
  <c r="AF32" i="4"/>
  <c r="AF59" i="4"/>
  <c r="AF173" i="4"/>
  <c r="AF174" i="4"/>
  <c r="AF186" i="4"/>
  <c r="AF48" i="4"/>
  <c r="AF49" i="4"/>
  <c r="AF50" i="4"/>
  <c r="AF51" i="4"/>
  <c r="AF107" i="4"/>
  <c r="AF163" i="4"/>
  <c r="AF168" i="4"/>
  <c r="AF175" i="4"/>
  <c r="AF223" i="4"/>
  <c r="AF247" i="4"/>
  <c r="AF41" i="4"/>
  <c r="AF42" i="4"/>
  <c r="AF43" i="4"/>
  <c r="AF122" i="4"/>
  <c r="AF252" i="4"/>
  <c r="AF152" i="4"/>
  <c r="AF164" i="4"/>
  <c r="AF109" i="4"/>
  <c r="AF110" i="4"/>
  <c r="AF115" i="4"/>
  <c r="AF267" i="4"/>
  <c r="AF161" i="4"/>
  <c r="AF176" i="4"/>
  <c r="AF281" i="4"/>
  <c r="AF204" i="4"/>
  <c r="AF234" i="4"/>
  <c r="AF236" i="4"/>
  <c r="AF246" i="4"/>
  <c r="AF33" i="4"/>
  <c r="AF248" i="4"/>
  <c r="AF97" i="4"/>
  <c r="AF98" i="4"/>
  <c r="AF103" i="4"/>
  <c r="AF108" i="4"/>
  <c r="AF12" i="4"/>
  <c r="AF137" i="4"/>
  <c r="AF169" i="4"/>
  <c r="AF171" i="4"/>
  <c r="AF182" i="4"/>
  <c r="AF184" i="4"/>
  <c r="AF185" i="4"/>
  <c r="AF188" i="4"/>
  <c r="AF201" i="4"/>
  <c r="AF206" i="4"/>
  <c r="AF75" i="4"/>
  <c r="AF2" i="4"/>
  <c r="AF202" i="4"/>
  <c r="AF203" i="4"/>
  <c r="AF232" i="4"/>
  <c r="AF233" i="4"/>
  <c r="AF34" i="4"/>
  <c r="AF35" i="4"/>
  <c r="AF177" i="4"/>
  <c r="AF282" i="4"/>
  <c r="AF199" i="4"/>
  <c r="AF200" i="4"/>
  <c r="AF220" i="4"/>
  <c r="AF221" i="4"/>
  <c r="AF235" i="4"/>
  <c r="AF101" i="4"/>
  <c r="AF102" i="4"/>
  <c r="AF124" i="4"/>
  <c r="AF131" i="4"/>
  <c r="AF140" i="4"/>
  <c r="AF144" i="4"/>
  <c r="AF146" i="4"/>
  <c r="AF165" i="4"/>
  <c r="AF166" i="4"/>
  <c r="AF167" i="4"/>
  <c r="AF179" i="4"/>
  <c r="AF211" i="4"/>
  <c r="AF216" i="4"/>
  <c r="AF26" i="4"/>
  <c r="AF217" i="4"/>
  <c r="AF218" i="4"/>
  <c r="AF74" i="4"/>
  <c r="AF78" i="4"/>
  <c r="AF99" i="4"/>
  <c r="AF111" i="4"/>
  <c r="AF266" i="4"/>
  <c r="AF269" i="4"/>
  <c r="AF271" i="4"/>
  <c r="AF3" i="4"/>
  <c r="AF132" i="4"/>
  <c r="AF141" i="4"/>
  <c r="AF145" i="4"/>
  <c r="AF149" i="4"/>
  <c r="AF277" i="4"/>
  <c r="AF151" i="4"/>
  <c r="AF155" i="4"/>
  <c r="AF189" i="4"/>
  <c r="AF190" i="4"/>
  <c r="AF278" i="4"/>
  <c r="AF279" i="4"/>
  <c r="AF280" i="4"/>
  <c r="AF191" i="4"/>
  <c r="AF283" i="4"/>
  <c r="AF284" i="4"/>
  <c r="AF5" i="4"/>
  <c r="AF285" i="4"/>
  <c r="AF286" i="4"/>
  <c r="AF287" i="4"/>
  <c r="AF288" i="4"/>
  <c r="AF289" i="4"/>
  <c r="AF6" i="4"/>
  <c r="AF7" i="4"/>
  <c r="AF291" i="4"/>
  <c r="AF292" i="4"/>
  <c r="AF293" i="4"/>
  <c r="AF8" i="4"/>
  <c r="AF229" i="4"/>
  <c r="AF112" i="4"/>
  <c r="AF14" i="4"/>
  <c r="AF117" i="4"/>
  <c r="AF142" i="4"/>
  <c r="AF187" i="4"/>
  <c r="AF192" i="4"/>
  <c r="AF193" i="4"/>
  <c r="AF194" i="4"/>
  <c r="AF195" i="4"/>
  <c r="AF196" i="4"/>
  <c r="AF219" i="4"/>
  <c r="AF222" i="4"/>
  <c r="AF125" i="4"/>
  <c r="AF121" i="4"/>
  <c r="AF139" i="4"/>
  <c r="AF150" i="4"/>
  <c r="AF153" i="4"/>
  <c r="AF213" i="4"/>
  <c r="AF214" i="4"/>
  <c r="AF215" i="4"/>
  <c r="AF224" i="4"/>
  <c r="AF228" i="4"/>
  <c r="AF238" i="4"/>
  <c r="AF261" i="4"/>
  <c r="AF52" i="4"/>
  <c r="AF263" i="4"/>
  <c r="AF79" i="4"/>
  <c r="AF264" i="4"/>
  <c r="AF80" i="4"/>
  <c r="AF81" i="4"/>
  <c r="AF82" i="4"/>
  <c r="AF83" i="4"/>
  <c r="AF256" i="4"/>
  <c r="AF257" i="4"/>
  <c r="AF84" i="4"/>
  <c r="AF258" i="4"/>
  <c r="AF250" i="4"/>
  <c r="AF90" i="4"/>
  <c r="AF10" i="4"/>
  <c r="AF11" i="4"/>
  <c r="AF259" i="4"/>
  <c r="AF113" i="4"/>
  <c r="AF13" i="4"/>
  <c r="AF249" i="4"/>
  <c r="AF262" i="4"/>
  <c r="AF70" i="4"/>
  <c r="AF9" i="4"/>
  <c r="AF71" i="4"/>
  <c r="AF72" i="4"/>
  <c r="AF73" i="4"/>
  <c r="AF76" i="4"/>
  <c r="AF87" i="4"/>
  <c r="AF123" i="4"/>
  <c r="AF126" i="4"/>
  <c r="AF128" i="4"/>
  <c r="AF133" i="4"/>
  <c r="AF138" i="4"/>
  <c r="AF162" i="4"/>
  <c r="AF178" i="4"/>
  <c r="AF181" i="4"/>
  <c r="AF183" i="4"/>
  <c r="AF197" i="4"/>
  <c r="AF294" i="4"/>
  <c r="AF230" i="4"/>
  <c r="AF77" i="4"/>
  <c r="AF91" i="4"/>
  <c r="AF92" i="4"/>
  <c r="AF93" i="4"/>
  <c r="AF104" i="4"/>
  <c r="AF105" i="4"/>
  <c r="AF106" i="4"/>
  <c r="AF170" i="4"/>
  <c r="AF268" i="4"/>
  <c r="AF276" i="4"/>
  <c r="AF295" i="4"/>
  <c r="AF85" i="4"/>
  <c r="AF86" i="4"/>
  <c r="AF265" i="4"/>
  <c r="AF15" i="4"/>
  <c r="AF129" i="4"/>
  <c r="AF130" i="4"/>
  <c r="AF136" i="4"/>
  <c r="AF143" i="4"/>
  <c r="AF156" i="4"/>
  <c r="AF157" i="4"/>
  <c r="AF158" i="4"/>
  <c r="AF172" i="4"/>
  <c r="AF180" i="4"/>
  <c r="AF207" i="4"/>
  <c r="AF208" i="4"/>
  <c r="AF209" i="4"/>
  <c r="AF210" i="4"/>
  <c r="AF255" i="4"/>
  <c r="AF25" i="4"/>
  <c r="AF212" i="4"/>
  <c r="AF226" i="4"/>
  <c r="AF227" i="4"/>
  <c r="AF237" i="4"/>
  <c r="AF296" i="4"/>
  <c r="AF297" i="4"/>
  <c r="AF298" i="4"/>
  <c r="AF299" i="4"/>
  <c r="AF300" i="4"/>
  <c r="AF301" i="4"/>
  <c r="AF302" i="4"/>
  <c r="AF303" i="4"/>
  <c r="AF304" i="4"/>
  <c r="AF305" i="4"/>
  <c r="AF306" i="4"/>
  <c r="AF307" i="4"/>
  <c r="AF308" i="4"/>
  <c r="AF309" i="4"/>
  <c r="AF310" i="4"/>
  <c r="AF312" i="4"/>
  <c r="AF313" i="4"/>
  <c r="AF314" i="4"/>
  <c r="AF315" i="4"/>
  <c r="AF316" i="4"/>
  <c r="AF317" i="4"/>
  <c r="AF318" i="4"/>
  <c r="AF319" i="4"/>
  <c r="AF320" i="4"/>
  <c r="AF321" i="4"/>
  <c r="AF322" i="4"/>
  <c r="AF323" i="4"/>
  <c r="AF324" i="4"/>
  <c r="AF325" i="4"/>
  <c r="AF326" i="4"/>
  <c r="AF327" i="4"/>
  <c r="AF328" i="4"/>
  <c r="AF329" i="4"/>
  <c r="AF330" i="4"/>
  <c r="AF331" i="4"/>
  <c r="AF334" i="4"/>
  <c r="AF335" i="4"/>
  <c r="AF336" i="4"/>
  <c r="AF337" i="4"/>
  <c r="AF338" i="4"/>
  <c r="AF339" i="4"/>
  <c r="AF341" i="4"/>
  <c r="AF342" i="4"/>
  <c r="AF343" i="4"/>
  <c r="AF333" i="4"/>
  <c r="AF344" i="4"/>
  <c r="AF332" i="4"/>
  <c r="AF340" i="4"/>
  <c r="AF345" i="4"/>
  <c r="AF346" i="4"/>
  <c r="AF347" i="4"/>
  <c r="AF348" i="4"/>
  <c r="AF349" i="4"/>
  <c r="AF350" i="4"/>
  <c r="AF351" i="4"/>
  <c r="AF352" i="4"/>
  <c r="AF353" i="4"/>
  <c r="AF354" i="4"/>
  <c r="AF355" i="4"/>
  <c r="AF356" i="4"/>
  <c r="AF357" i="4"/>
  <c r="AF358" i="4"/>
  <c r="AF359" i="4"/>
  <c r="AF360" i="4"/>
  <c r="AF361" i="4"/>
  <c r="AF362" i="4"/>
  <c r="AF363" i="4"/>
  <c r="AF364" i="4"/>
  <c r="AF365" i="4"/>
  <c r="AF366" i="4"/>
  <c r="AF367" i="4"/>
  <c r="AF368" i="4"/>
  <c r="AF369" i="4"/>
  <c r="AF370" i="4"/>
  <c r="AF371" i="4"/>
  <c r="AF372" i="4"/>
  <c r="AF373" i="4"/>
  <c r="AF374" i="4"/>
  <c r="AF375" i="4"/>
  <c r="AF376" i="4"/>
  <c r="AF377" i="4"/>
  <c r="AF100" i="4"/>
  <c r="B404" i="5"/>
  <c r="AM404" i="5"/>
  <c r="AQ404" i="5"/>
  <c r="B202" i="5"/>
  <c r="AM202" i="5"/>
  <c r="AQ202" i="5"/>
  <c r="B205" i="5"/>
  <c r="AM205" i="5"/>
  <c r="AQ205" i="5"/>
  <c r="B197" i="5"/>
  <c r="AM197" i="5"/>
  <c r="AQ197" i="5"/>
  <c r="B207" i="5"/>
  <c r="AM207" i="5"/>
  <c r="AQ207" i="5"/>
  <c r="B14" i="5"/>
  <c r="AM14" i="5"/>
  <c r="AQ14" i="5"/>
  <c r="B69" i="5"/>
  <c r="AM69" i="5"/>
  <c r="AQ69" i="5"/>
  <c r="AM44" i="2"/>
  <c r="AM43" i="2"/>
  <c r="AM48" i="2"/>
  <c r="AM47" i="2"/>
  <c r="AM49" i="2"/>
  <c r="AP55" i="2"/>
  <c r="AP54" i="2"/>
  <c r="AP56" i="2"/>
  <c r="AP61" i="2"/>
  <c r="AP58" i="2"/>
  <c r="AP57" i="2"/>
  <c r="AP59" i="2"/>
  <c r="AP60" i="2"/>
  <c r="AP62" i="2"/>
  <c r="AP64" i="2"/>
  <c r="AP63" i="2"/>
  <c r="AP65" i="2"/>
  <c r="AP66" i="2"/>
  <c r="AQ55" i="2"/>
  <c r="AQ54" i="2"/>
  <c r="AQ56" i="2"/>
  <c r="AQ61" i="2"/>
  <c r="AQ58" i="2"/>
  <c r="AQ57" i="2"/>
  <c r="AQ59" i="2"/>
  <c r="AQ60" i="2"/>
  <c r="AQ62" i="2"/>
  <c r="AQ64" i="2"/>
  <c r="AQ63" i="2"/>
  <c r="AQ65" i="2"/>
  <c r="AQ66" i="2"/>
  <c r="AR55" i="2"/>
  <c r="AR54" i="2"/>
  <c r="AR56" i="2"/>
  <c r="AR61" i="2"/>
  <c r="AR58" i="2"/>
  <c r="AR57" i="2"/>
  <c r="AR59" i="2"/>
  <c r="AR60" i="2"/>
  <c r="AR62" i="2"/>
  <c r="AR64" i="2"/>
  <c r="AR63" i="2"/>
  <c r="AR65" i="2"/>
  <c r="AR66" i="2"/>
  <c r="AS55" i="2"/>
  <c r="AS54" i="2"/>
  <c r="AS56" i="2"/>
  <c r="AS61" i="2"/>
  <c r="AS58" i="2"/>
  <c r="AS57" i="2"/>
  <c r="AS59" i="2"/>
  <c r="AS60" i="2"/>
  <c r="AS62" i="2"/>
  <c r="AS64" i="2"/>
  <c r="AS63" i="2"/>
  <c r="AS65" i="2"/>
  <c r="AS66" i="2"/>
  <c r="AT55" i="2"/>
  <c r="AT54" i="2"/>
  <c r="AT56" i="2"/>
  <c r="AT61" i="2"/>
  <c r="AT58" i="2"/>
  <c r="AT57" i="2"/>
  <c r="AT59" i="2"/>
  <c r="AT60" i="2"/>
  <c r="AT62" i="2"/>
  <c r="AT64" i="2"/>
  <c r="AT63" i="2"/>
  <c r="AT65" i="2"/>
  <c r="AT66" i="2"/>
  <c r="AU55" i="2"/>
  <c r="AU54" i="2"/>
  <c r="AU56" i="2"/>
  <c r="AU61" i="2"/>
  <c r="AU58" i="2"/>
  <c r="AU57" i="2"/>
  <c r="AU59" i="2"/>
  <c r="AU60" i="2"/>
  <c r="AU62" i="2"/>
  <c r="AU64" i="2"/>
  <c r="AU63" i="2"/>
  <c r="AU65" i="2"/>
  <c r="AU66" i="2"/>
  <c r="AV55" i="2"/>
  <c r="AV54" i="2"/>
  <c r="AV56" i="2"/>
  <c r="AV61" i="2"/>
  <c r="AV58" i="2"/>
  <c r="AV57" i="2"/>
  <c r="AV59" i="2"/>
  <c r="AV60" i="2"/>
  <c r="AV62" i="2"/>
  <c r="AV64" i="2"/>
  <c r="AV63" i="2"/>
  <c r="AV65" i="2"/>
  <c r="AV66" i="2"/>
  <c r="AW55" i="2"/>
  <c r="AW54" i="2"/>
  <c r="AW56" i="2"/>
  <c r="AW61" i="2"/>
  <c r="AW58" i="2"/>
  <c r="AW57" i="2"/>
  <c r="AW59" i="2"/>
  <c r="AW60" i="2"/>
  <c r="AW62" i="2"/>
  <c r="AW64" i="2"/>
  <c r="AW63" i="2"/>
  <c r="AW65" i="2"/>
  <c r="AW66" i="2"/>
  <c r="AX55" i="2"/>
  <c r="AX54" i="2"/>
  <c r="AX56" i="2"/>
  <c r="AX61" i="2"/>
  <c r="AX58" i="2"/>
  <c r="AX57" i="2"/>
  <c r="AX59" i="2"/>
  <c r="AX60" i="2"/>
  <c r="AX62" i="2"/>
  <c r="AX64" i="2"/>
  <c r="AX63" i="2"/>
  <c r="AX65" i="2"/>
  <c r="AX66" i="2"/>
  <c r="AY55" i="2"/>
  <c r="AY54" i="2"/>
  <c r="AY56" i="2"/>
  <c r="AY61" i="2"/>
  <c r="AY58" i="2"/>
  <c r="AY57" i="2"/>
  <c r="AY59" i="2"/>
  <c r="AY60" i="2"/>
  <c r="AY62" i="2"/>
  <c r="AY64" i="2"/>
  <c r="AY63" i="2"/>
  <c r="AY65" i="2"/>
  <c r="AY66" i="2"/>
  <c r="AZ55" i="2"/>
  <c r="AZ54" i="2"/>
  <c r="AZ56" i="2"/>
  <c r="AZ61" i="2"/>
  <c r="AZ58" i="2"/>
  <c r="AZ57" i="2"/>
  <c r="AZ59" i="2"/>
  <c r="AZ60" i="2"/>
  <c r="AZ62" i="2"/>
  <c r="AZ64" i="2"/>
  <c r="AZ63" i="2"/>
  <c r="AZ65" i="2"/>
  <c r="AZ66" i="2"/>
  <c r="BA55" i="2"/>
  <c r="BA54" i="2"/>
  <c r="BA56" i="2"/>
  <c r="BA61" i="2"/>
  <c r="BA58" i="2"/>
  <c r="BA57" i="2"/>
  <c r="BA59" i="2"/>
  <c r="BA60" i="2"/>
  <c r="BA62" i="2"/>
  <c r="BA64" i="2"/>
  <c r="BA63" i="2"/>
  <c r="BA65" i="2"/>
  <c r="BA66" i="2"/>
  <c r="BB55" i="2"/>
  <c r="BB54" i="2"/>
  <c r="BB56" i="2"/>
  <c r="BB61" i="2"/>
  <c r="BB58" i="2"/>
  <c r="BB57" i="2"/>
  <c r="BB59" i="2"/>
  <c r="BB60" i="2"/>
  <c r="BB62" i="2"/>
  <c r="BB64" i="2"/>
  <c r="BB63" i="2"/>
  <c r="BB65" i="2"/>
  <c r="BB66" i="2"/>
  <c r="BC55" i="2"/>
  <c r="BC54" i="2"/>
  <c r="BC56" i="2"/>
  <c r="BC61" i="2"/>
  <c r="BC58" i="2"/>
  <c r="BC57" i="2"/>
  <c r="BC59" i="2"/>
  <c r="BC60" i="2"/>
  <c r="BC62" i="2"/>
  <c r="BC64" i="2"/>
  <c r="BC63" i="2"/>
  <c r="BC65" i="2"/>
  <c r="BC66" i="2"/>
  <c r="BD55" i="2"/>
  <c r="BD54" i="2"/>
  <c r="BD56" i="2"/>
  <c r="BD61" i="2"/>
  <c r="BD58" i="2"/>
  <c r="BD57" i="2"/>
  <c r="BD59" i="2"/>
  <c r="BD60" i="2"/>
  <c r="BD62" i="2"/>
  <c r="BD64" i="2"/>
  <c r="BD63" i="2"/>
  <c r="BD65" i="2"/>
  <c r="BD66" i="2"/>
  <c r="BE61" i="2"/>
  <c r="BE58" i="2"/>
  <c r="BE57" i="2"/>
  <c r="BE59" i="2"/>
  <c r="BE60" i="2"/>
  <c r="BE62" i="2"/>
  <c r="BE64" i="2"/>
  <c r="BE63" i="2"/>
  <c r="BE65" i="2"/>
  <c r="BF61" i="2"/>
  <c r="BF58" i="2"/>
  <c r="BF57" i="2"/>
  <c r="BF59" i="2"/>
  <c r="BF60" i="2"/>
  <c r="BF62" i="2"/>
  <c r="BF64" i="2"/>
  <c r="BF63" i="2"/>
  <c r="BF65" i="2"/>
  <c r="U27" i="2"/>
  <c r="U38" i="2"/>
  <c r="BG61" i="2"/>
  <c r="U34" i="2"/>
  <c r="U4" i="2"/>
  <c r="U19" i="2"/>
  <c r="U22" i="2"/>
  <c r="U35" i="2"/>
  <c r="U40" i="2"/>
  <c r="BG58" i="2"/>
  <c r="BG57" i="2"/>
  <c r="BG59" i="2"/>
  <c r="BG60" i="2"/>
  <c r="BG62" i="2"/>
  <c r="BG64" i="2"/>
  <c r="BG63" i="2"/>
  <c r="BG65" i="2"/>
  <c r="V38" i="2"/>
  <c r="BH61" i="2"/>
  <c r="V34" i="2"/>
  <c r="V4" i="2"/>
  <c r="V19" i="2"/>
  <c r="V22" i="2"/>
  <c r="V35" i="2"/>
  <c r="V40" i="2"/>
  <c r="BH58" i="2"/>
  <c r="BH57" i="2"/>
  <c r="BH59" i="2"/>
  <c r="BH60" i="2"/>
  <c r="BH62" i="2"/>
  <c r="BH64" i="2"/>
  <c r="BH63" i="2"/>
  <c r="BH65" i="2"/>
  <c r="W38" i="2"/>
  <c r="BI61" i="2"/>
  <c r="W34" i="2"/>
  <c r="W4" i="2"/>
  <c r="W19" i="2"/>
  <c r="W22" i="2"/>
  <c r="W35" i="2"/>
  <c r="W40" i="2"/>
  <c r="BI58" i="2"/>
  <c r="BI57" i="2"/>
  <c r="BI59" i="2"/>
  <c r="BI60" i="2"/>
  <c r="BI62" i="2"/>
  <c r="BI64" i="2"/>
  <c r="BI63" i="2"/>
  <c r="BI65" i="2"/>
  <c r="BJ61" i="2"/>
  <c r="BJ58" i="2"/>
  <c r="BJ57" i="2"/>
  <c r="BJ59" i="2"/>
  <c r="BJ60" i="2"/>
  <c r="BJ62" i="2"/>
  <c r="BJ64" i="2"/>
  <c r="BJ63" i="2"/>
  <c r="BJ65" i="2"/>
  <c r="BK61" i="2"/>
  <c r="BK58" i="2"/>
  <c r="BK57" i="2"/>
  <c r="BK59" i="2"/>
  <c r="BK60" i="2"/>
  <c r="BK62" i="2"/>
  <c r="BK64" i="2"/>
  <c r="BK63" i="2"/>
  <c r="BK65" i="2"/>
  <c r="BL61" i="2"/>
  <c r="BL58" i="2"/>
  <c r="BL57" i="2"/>
  <c r="BL59" i="2"/>
  <c r="BL60" i="2"/>
  <c r="BL62" i="2"/>
  <c r="BL64" i="2"/>
  <c r="BL63" i="2"/>
  <c r="BL65" i="2"/>
  <c r="AO55" i="2"/>
  <c r="AO54" i="2"/>
  <c r="AO56" i="2"/>
  <c r="AO61" i="2"/>
  <c r="AO58" i="2"/>
  <c r="AO57" i="2"/>
  <c r="AO59" i="2"/>
  <c r="AO60" i="2"/>
  <c r="AO62" i="2"/>
  <c r="AO64" i="2"/>
  <c r="AO63" i="2"/>
  <c r="AO65" i="2"/>
  <c r="AO66" i="2"/>
  <c r="B58" i="5"/>
  <c r="AM58" i="5"/>
  <c r="AQ58" i="5"/>
  <c r="B350" i="5"/>
  <c r="B390" i="5"/>
  <c r="B378" i="5"/>
  <c r="B30" i="5"/>
  <c r="B32" i="5"/>
  <c r="B20" i="5"/>
  <c r="B21" i="5"/>
  <c r="B23" i="5"/>
  <c r="B24" i="5"/>
  <c r="B22" i="5"/>
  <c r="B230" i="5"/>
  <c r="B5" i="5"/>
  <c r="B136" i="5"/>
  <c r="B66" i="5"/>
  <c r="B8" i="5"/>
  <c r="B18" i="5"/>
  <c r="B97" i="5"/>
  <c r="B3" i="5"/>
  <c r="B156" i="5"/>
  <c r="B150" i="5"/>
  <c r="B4" i="5"/>
  <c r="B67" i="5"/>
  <c r="B6" i="5"/>
  <c r="B229" i="5"/>
  <c r="B379" i="5"/>
  <c r="B27" i="5"/>
  <c r="B13" i="5"/>
  <c r="B15" i="5"/>
  <c r="B7" i="5"/>
  <c r="B385" i="5"/>
  <c r="B232" i="5"/>
  <c r="B387" i="5"/>
  <c r="B388" i="5"/>
  <c r="B383" i="5"/>
  <c r="B2" i="5"/>
  <c r="B357" i="5"/>
  <c r="B231" i="5"/>
  <c r="B34" i="5"/>
  <c r="B33" i="5"/>
  <c r="B25" i="5"/>
  <c r="B386" i="5"/>
  <c r="B26" i="5"/>
  <c r="B17" i="5"/>
  <c r="B16" i="5"/>
  <c r="B35" i="5"/>
  <c r="B393" i="5"/>
  <c r="B36" i="5"/>
  <c r="B392" i="5"/>
  <c r="B31" i="5"/>
  <c r="B368" i="5"/>
  <c r="B19" i="5"/>
  <c r="B380" i="5"/>
  <c r="B348" i="5"/>
  <c r="B384" i="5"/>
  <c r="B11" i="5"/>
  <c r="B10" i="5"/>
  <c r="B9" i="5"/>
  <c r="B183" i="5"/>
  <c r="B117" i="5"/>
  <c r="B158" i="5"/>
  <c r="B171" i="5"/>
  <c r="B228" i="5"/>
  <c r="B226" i="5"/>
  <c r="B153" i="5"/>
  <c r="B132" i="5"/>
  <c r="B184" i="5"/>
  <c r="B186" i="5"/>
  <c r="B187" i="5"/>
  <c r="B77" i="5"/>
  <c r="B96" i="5"/>
  <c r="B180" i="5"/>
  <c r="B140" i="5"/>
  <c r="B185" i="5"/>
  <c r="B222" i="5"/>
  <c r="B173" i="5"/>
  <c r="B258" i="5"/>
  <c r="B79" i="5"/>
  <c r="B227" i="5"/>
  <c r="B224" i="5"/>
  <c r="B223" i="5"/>
  <c r="B189" i="5"/>
  <c r="B88" i="5"/>
  <c r="B89" i="5"/>
  <c r="B98" i="5"/>
  <c r="B139" i="5"/>
  <c r="B155" i="5"/>
  <c r="B114" i="5"/>
  <c r="B182" i="5"/>
  <c r="B216" i="5"/>
  <c r="B195" i="5"/>
  <c r="B118" i="5"/>
  <c r="B141" i="5"/>
  <c r="B127" i="5"/>
  <c r="B194" i="5"/>
  <c r="B174" i="5"/>
  <c r="B170" i="5"/>
  <c r="B109" i="5"/>
  <c r="B274" i="5"/>
  <c r="B164" i="5"/>
  <c r="B165" i="5"/>
  <c r="B166" i="5"/>
  <c r="B351" i="5"/>
  <c r="B233" i="5"/>
  <c r="B91" i="5"/>
  <c r="B137" i="5"/>
  <c r="B90" i="5"/>
  <c r="B51" i="5"/>
  <c r="B52" i="5"/>
  <c r="B116" i="5"/>
  <c r="B102" i="5"/>
  <c r="B50" i="5"/>
  <c r="B103" i="5"/>
  <c r="B53" i="5"/>
  <c r="B120" i="5"/>
  <c r="B138" i="5"/>
  <c r="B123" i="5"/>
  <c r="B104" i="5"/>
  <c r="B146" i="5"/>
  <c r="B169" i="5"/>
  <c r="B142" i="5"/>
  <c r="B122" i="5"/>
  <c r="B145" i="5"/>
  <c r="B162" i="5"/>
  <c r="B154" i="5"/>
  <c r="B46" i="5"/>
  <c r="B199" i="5"/>
  <c r="B217" i="5"/>
  <c r="B168" i="5"/>
  <c r="B148" i="5"/>
  <c r="B41" i="5"/>
  <c r="B112" i="5"/>
  <c r="B239" i="5"/>
  <c r="B124" i="5"/>
  <c r="B56" i="5"/>
  <c r="B266" i="5"/>
  <c r="B87" i="5"/>
  <c r="B213" i="5"/>
  <c r="B181" i="5"/>
  <c r="B215" i="5"/>
  <c r="B55" i="5"/>
  <c r="B106" i="5"/>
  <c r="B107" i="5"/>
  <c r="B108" i="5"/>
  <c r="B111" i="5"/>
  <c r="B273" i="5"/>
  <c r="B48" i="5"/>
  <c r="B62" i="5"/>
  <c r="B121" i="5"/>
  <c r="B161" i="5"/>
  <c r="B190" i="5"/>
  <c r="B159" i="5"/>
  <c r="B160" i="5"/>
  <c r="B72" i="5"/>
  <c r="B85" i="5"/>
  <c r="B192" i="5"/>
  <c r="B73" i="5"/>
  <c r="B276" i="5"/>
  <c r="B92" i="5"/>
  <c r="B214" i="5"/>
  <c r="B60" i="5"/>
  <c r="B268" i="5"/>
  <c r="B271" i="5"/>
  <c r="B115" i="5"/>
  <c r="B119" i="5"/>
  <c r="B126" i="5"/>
  <c r="B270" i="5"/>
  <c r="B272" i="5"/>
  <c r="B59" i="5"/>
  <c r="B221" i="5"/>
  <c r="B65" i="5"/>
  <c r="B70" i="5"/>
  <c r="B130" i="5"/>
  <c r="B81" i="5"/>
  <c r="B83" i="5"/>
  <c r="B86" i="5"/>
  <c r="B179" i="5"/>
  <c r="B209" i="5"/>
  <c r="B211" i="5"/>
  <c r="B269" i="5"/>
  <c r="B278" i="5"/>
  <c r="B198" i="5"/>
  <c r="B144" i="5"/>
  <c r="B110" i="5"/>
  <c r="B212" i="5"/>
  <c r="B152" i="5"/>
  <c r="B38" i="5"/>
  <c r="B78" i="5"/>
  <c r="B94" i="5"/>
  <c r="B71" i="5"/>
  <c r="B74" i="5"/>
  <c r="B128" i="5"/>
  <c r="B84" i="5"/>
  <c r="B105" i="5"/>
  <c r="B167" i="5"/>
  <c r="B135" i="5"/>
  <c r="B238" i="5"/>
  <c r="B275" i="5"/>
  <c r="B82" i="5"/>
  <c r="B157" i="5"/>
  <c r="B191" i="5"/>
  <c r="B47" i="5"/>
  <c r="B177" i="5"/>
  <c r="B235" i="5"/>
  <c r="B163" i="5"/>
  <c r="B267" i="5"/>
  <c r="B236" i="5"/>
  <c r="B54" i="5"/>
  <c r="B63" i="5"/>
  <c r="B237" i="5"/>
  <c r="B201" i="5"/>
  <c r="B39" i="5"/>
  <c r="B95" i="5"/>
  <c r="B206" i="5"/>
  <c r="B133" i="5"/>
  <c r="B93" i="5"/>
  <c r="B210" i="5"/>
  <c r="B172" i="5"/>
  <c r="B125" i="5"/>
  <c r="B44" i="5"/>
  <c r="B225" i="5"/>
  <c r="B75" i="5"/>
  <c r="B234" i="5"/>
  <c r="B68" i="5"/>
  <c r="B203" i="5"/>
  <c r="B131" i="5"/>
  <c r="B57" i="5"/>
  <c r="B196" i="5"/>
  <c r="B204" i="5"/>
  <c r="B43" i="5"/>
  <c r="B220" i="5"/>
  <c r="B49" i="5"/>
  <c r="B99" i="5"/>
  <c r="B208" i="5"/>
  <c r="B219" i="5"/>
  <c r="B64" i="5"/>
  <c r="B100" i="5"/>
  <c r="B218" i="5"/>
  <c r="B178" i="5"/>
  <c r="B61" i="5"/>
  <c r="B129" i="5"/>
  <c r="B175" i="5"/>
  <c r="B188" i="5"/>
  <c r="B176" i="5"/>
  <c r="B149" i="5"/>
  <c r="B151" i="5"/>
  <c r="B281" i="5"/>
  <c r="B279" i="5"/>
  <c r="B42" i="5"/>
  <c r="B282" i="5"/>
  <c r="B134" i="5"/>
  <c r="B277" i="5"/>
  <c r="B286" i="5"/>
  <c r="B280" i="5"/>
  <c r="B40" i="5"/>
  <c r="B80" i="5"/>
  <c r="B147" i="5"/>
  <c r="B193" i="5"/>
  <c r="B76" i="5"/>
  <c r="B45" i="5"/>
  <c r="B113" i="5"/>
  <c r="B101" i="5"/>
  <c r="B143" i="5"/>
  <c r="B285" i="5"/>
  <c r="B283" i="5"/>
  <c r="B28" i="5"/>
  <c r="B284" i="5"/>
  <c r="B287" i="5"/>
  <c r="B29" i="5"/>
  <c r="B364" i="5"/>
  <c r="B397" i="5"/>
  <c r="B288" i="5"/>
  <c r="B320" i="5"/>
  <c r="B289" i="5"/>
  <c r="B366" i="5"/>
  <c r="B365" i="5"/>
  <c r="B356" i="5"/>
  <c r="B359" i="5"/>
  <c r="B382" i="5"/>
  <c r="B381" i="5"/>
  <c r="B389" i="5"/>
  <c r="B352" i="5"/>
  <c r="B347" i="5"/>
  <c r="B367" i="5"/>
  <c r="B317" i="5"/>
  <c r="B318" i="5"/>
  <c r="B325" i="5"/>
  <c r="B326" i="5"/>
  <c r="B340" i="5"/>
  <c r="B341" i="5"/>
  <c r="B342" i="5"/>
  <c r="B343" i="5"/>
  <c r="B344" i="5"/>
  <c r="B391" i="5"/>
  <c r="B394" i="5"/>
  <c r="B395" i="5"/>
  <c r="B398" i="5"/>
  <c r="B405" i="5"/>
  <c r="B406" i="5"/>
  <c r="B306" i="5"/>
  <c r="B290" i="5"/>
  <c r="B291" i="5"/>
  <c r="B292" i="5"/>
  <c r="B293" i="5"/>
  <c r="B294" i="5"/>
  <c r="B295" i="5"/>
  <c r="B296" i="5"/>
  <c r="B297" i="5"/>
  <c r="B298" i="5"/>
  <c r="B299" i="5"/>
  <c r="B300" i="5"/>
  <c r="B301" i="5"/>
  <c r="B302" i="5"/>
  <c r="B303" i="5"/>
  <c r="B304" i="5"/>
  <c r="B305" i="5"/>
  <c r="B307" i="5"/>
  <c r="B308" i="5"/>
  <c r="B309" i="5"/>
  <c r="B310" i="5"/>
  <c r="B311" i="5"/>
  <c r="B312" i="5"/>
  <c r="B313" i="5"/>
  <c r="B314" i="5"/>
  <c r="B315" i="5"/>
  <c r="B316" i="5"/>
  <c r="B321" i="5"/>
  <c r="B322" i="5"/>
  <c r="B323" i="5"/>
  <c r="B324" i="5"/>
  <c r="B346" i="5"/>
  <c r="B369" i="5"/>
  <c r="B319" i="5"/>
  <c r="B338" i="5"/>
  <c r="B339" i="5"/>
  <c r="B353" i="5"/>
  <c r="B355" i="5"/>
  <c r="B358" i="5"/>
  <c r="B360" i="5"/>
  <c r="B361" i="5"/>
  <c r="B362" i="5"/>
  <c r="B363" i="5"/>
  <c r="B370" i="5"/>
  <c r="B371" i="5"/>
  <c r="B372" i="5"/>
  <c r="B373" i="5"/>
  <c r="B374" i="5"/>
  <c r="B375" i="5"/>
  <c r="B376" i="5"/>
  <c r="B377" i="5"/>
  <c r="B396" i="5"/>
  <c r="B401" i="5"/>
  <c r="B402" i="5"/>
  <c r="B403" i="5"/>
  <c r="B331" i="5"/>
  <c r="B327" i="5"/>
  <c r="B328" i="5"/>
  <c r="B329" i="5"/>
  <c r="B330" i="5"/>
  <c r="B332" i="5"/>
  <c r="B333" i="5"/>
  <c r="B334" i="5"/>
  <c r="B335" i="5"/>
  <c r="B336" i="5"/>
  <c r="B399" i="5"/>
  <c r="B337" i="5"/>
  <c r="B345" i="5"/>
  <c r="B400" i="5"/>
  <c r="B349" i="5"/>
  <c r="B354" i="5"/>
  <c r="B243" i="5"/>
  <c r="B259" i="5"/>
  <c r="B262" i="5"/>
  <c r="B240" i="5"/>
  <c r="B244" i="5"/>
  <c r="B245" i="5"/>
  <c r="B246" i="5"/>
  <c r="B247" i="5"/>
  <c r="B253" i="5"/>
  <c r="B254" i="5"/>
  <c r="B255" i="5"/>
  <c r="B256" i="5"/>
  <c r="B261" i="5"/>
  <c r="B241" i="5"/>
  <c r="B242" i="5"/>
  <c r="B251" i="5"/>
  <c r="B252" i="5"/>
  <c r="B260" i="5"/>
  <c r="B263" i="5"/>
  <c r="B264" i="5"/>
  <c r="B265" i="5"/>
  <c r="B248" i="5"/>
  <c r="B257" i="5"/>
  <c r="B250" i="5"/>
  <c r="B249" i="5"/>
  <c r="B37" i="5"/>
  <c r="AA37" i="4"/>
  <c r="AA38" i="4"/>
  <c r="AA44" i="4"/>
  <c r="AA39" i="4"/>
  <c r="AA40" i="4"/>
  <c r="AA41" i="4"/>
  <c r="AA45" i="4"/>
  <c r="AA42" i="4"/>
  <c r="AA43" i="4"/>
  <c r="AA46" i="4"/>
  <c r="AA47" i="4"/>
  <c r="AA48" i="4"/>
  <c r="AA49" i="4"/>
  <c r="AA50" i="4"/>
  <c r="AA51" i="4"/>
  <c r="AA261" i="4"/>
  <c r="AA52" i="4"/>
  <c r="AA262" i="4"/>
  <c r="AA263" i="4"/>
  <c r="AA53" i="4"/>
  <c r="AA54" i="4"/>
  <c r="AA55" i="4"/>
  <c r="AA56" i="4"/>
  <c r="AA57" i="4"/>
  <c r="AA58" i="4"/>
  <c r="AA59" i="4"/>
  <c r="AA60" i="4"/>
  <c r="AA61" i="4"/>
  <c r="AA62" i="4"/>
  <c r="AA63" i="4"/>
  <c r="AA64" i="4"/>
  <c r="AA65" i="4"/>
  <c r="AA66" i="4"/>
  <c r="AA67" i="4"/>
  <c r="AA68" i="4"/>
  <c r="AA69" i="4"/>
  <c r="AA70" i="4"/>
  <c r="AA9" i="4"/>
  <c r="AA71" i="4"/>
  <c r="AA72" i="4"/>
  <c r="AA73" i="4"/>
  <c r="AA74" i="4"/>
  <c r="AA75" i="4"/>
  <c r="AA76" i="4"/>
  <c r="AA77" i="4"/>
  <c r="AA78" i="4"/>
  <c r="AA79" i="4"/>
  <c r="AA264" i="4"/>
  <c r="AA80" i="4"/>
  <c r="AA81" i="4"/>
  <c r="AA82" i="4"/>
  <c r="AA83" i="4"/>
  <c r="AA256" i="4"/>
  <c r="AA257" i="4"/>
  <c r="AA84" i="4"/>
  <c r="AA258" i="4"/>
  <c r="AA250" i="4"/>
  <c r="AA85" i="4"/>
  <c r="AA86" i="4"/>
  <c r="AA87" i="4"/>
  <c r="AA88" i="4"/>
  <c r="AA89" i="4"/>
  <c r="AA90" i="4"/>
  <c r="AA10" i="4"/>
  <c r="AA11" i="4"/>
  <c r="AA91" i="4"/>
  <c r="AA92" i="4"/>
  <c r="AA93" i="4"/>
  <c r="AA259" i="4"/>
  <c r="AA94" i="4"/>
  <c r="AA251" i="4"/>
  <c r="AA260" i="4"/>
  <c r="AA95" i="4"/>
  <c r="AA96" i="4"/>
  <c r="AA97" i="4"/>
  <c r="AA98" i="4"/>
  <c r="AA99" i="4"/>
  <c r="AA100" i="4"/>
  <c r="AA101" i="4"/>
  <c r="AA102" i="4"/>
  <c r="AA103" i="4"/>
  <c r="AA104" i="4"/>
  <c r="AA105" i="4"/>
  <c r="AA106" i="4"/>
  <c r="AA107" i="4"/>
  <c r="AA108" i="4"/>
  <c r="AA109" i="4"/>
  <c r="AA110" i="4"/>
  <c r="AA111" i="4"/>
  <c r="AA112" i="4"/>
  <c r="AA2" i="4"/>
  <c r="AA113" i="4"/>
  <c r="AA114" i="4"/>
  <c r="AA265" i="4"/>
  <c r="AA266" i="4"/>
  <c r="AA12" i="4"/>
  <c r="AA115" i="4"/>
  <c r="AA13" i="4"/>
  <c r="AA267" i="4"/>
  <c r="AA116" i="4"/>
  <c r="AA268" i="4"/>
  <c r="AA269" i="4"/>
  <c r="AA14" i="4"/>
  <c r="AA117" i="4"/>
  <c r="AA118" i="4"/>
  <c r="AA119" i="4"/>
  <c r="AA120" i="4"/>
  <c r="AA270" i="4"/>
  <c r="AA121" i="4"/>
  <c r="AA122" i="4"/>
  <c r="AA15" i="4"/>
  <c r="AA271" i="4"/>
  <c r="AA123" i="4"/>
  <c r="AA124" i="4"/>
  <c r="AA272" i="4"/>
  <c r="AA125" i="4"/>
  <c r="AA126" i="4"/>
  <c r="AA127" i="4"/>
  <c r="AA128" i="4"/>
  <c r="AA129" i="4"/>
  <c r="AA130" i="4"/>
  <c r="AA3" i="4"/>
  <c r="AA131" i="4"/>
  <c r="AA132" i="4"/>
  <c r="AA4" i="4"/>
  <c r="AA133" i="4"/>
  <c r="AA134" i="4"/>
  <c r="AA252" i="4"/>
  <c r="AA135" i="4"/>
  <c r="AA136" i="4"/>
  <c r="AA137" i="4"/>
  <c r="AA138" i="4"/>
  <c r="AA139" i="4"/>
  <c r="AA140" i="4"/>
  <c r="AA141" i="4"/>
  <c r="AA142" i="4"/>
  <c r="AA143" i="4"/>
  <c r="AA144" i="4"/>
  <c r="AA273" i="4"/>
  <c r="AA145" i="4"/>
  <c r="AA146" i="4"/>
  <c r="AA147" i="4"/>
  <c r="AA148" i="4"/>
  <c r="AA274" i="4"/>
  <c r="AA275" i="4"/>
  <c r="AA276" i="4"/>
  <c r="AA149" i="4"/>
  <c r="AA150" i="4"/>
  <c r="AA277" i="4"/>
  <c r="AA151" i="4"/>
  <c r="AA152" i="4"/>
  <c r="AA153" i="4"/>
  <c r="AA154" i="4"/>
  <c r="AA155" i="4"/>
  <c r="AA156" i="4"/>
  <c r="AA157" i="4"/>
  <c r="AA158" i="4"/>
  <c r="AA159" i="4"/>
  <c r="AA160" i="4"/>
  <c r="AA253" i="4"/>
  <c r="AA254" i="4"/>
  <c r="AA161" i="4"/>
  <c r="AA162" i="4"/>
  <c r="AA163" i="4"/>
  <c r="AA164" i="4"/>
  <c r="AA16" i="4"/>
  <c r="AA17" i="4"/>
  <c r="AA18" i="4"/>
  <c r="AA165" i="4"/>
  <c r="AA166" i="4"/>
  <c r="AA167" i="4"/>
  <c r="AA168" i="4"/>
  <c r="AA169" i="4"/>
  <c r="AA170" i="4"/>
  <c r="AA171" i="4"/>
  <c r="AA172" i="4"/>
  <c r="AA173" i="4"/>
  <c r="AA174" i="4"/>
  <c r="AA175" i="4"/>
  <c r="AA176" i="4"/>
  <c r="AA177" i="4"/>
  <c r="AA178" i="4"/>
  <c r="AA179" i="4"/>
  <c r="AA180" i="4"/>
  <c r="AA181" i="4"/>
  <c r="AA182" i="4"/>
  <c r="AA183" i="4"/>
  <c r="AA184" i="4"/>
  <c r="AA185" i="4"/>
  <c r="AA186" i="4"/>
  <c r="AA187" i="4"/>
  <c r="AA188" i="4"/>
  <c r="AA189" i="4"/>
  <c r="AA190" i="4"/>
  <c r="AA278" i="4"/>
  <c r="AA279" i="4"/>
  <c r="AA280" i="4"/>
  <c r="AA191" i="4"/>
  <c r="AA192" i="4"/>
  <c r="AA193" i="4"/>
  <c r="AA281" i="4"/>
  <c r="AA282" i="4"/>
  <c r="AA283" i="4"/>
  <c r="AA284" i="4"/>
  <c r="AA5" i="4"/>
  <c r="AA285" i="4"/>
  <c r="AA286" i="4"/>
  <c r="AA287" i="4"/>
  <c r="AA288" i="4"/>
  <c r="AA289" i="4"/>
  <c r="AA194" i="4"/>
  <c r="AA195" i="4"/>
  <c r="AA196" i="4"/>
  <c r="AA197" i="4"/>
  <c r="AA290" i="4"/>
  <c r="AA198" i="4"/>
  <c r="AA19" i="4"/>
  <c r="AA199" i="4"/>
  <c r="AA200" i="4"/>
  <c r="AA201" i="4"/>
  <c r="AA202" i="4"/>
  <c r="AA203" i="4"/>
  <c r="AA204" i="4"/>
  <c r="AA20" i="4"/>
  <c r="AA21" i="4"/>
  <c r="AA22" i="4"/>
  <c r="AA205" i="4"/>
  <c r="AA23" i="4"/>
  <c r="AA24" i="4"/>
  <c r="AA6" i="4"/>
  <c r="AA7" i="4"/>
  <c r="AA206" i="4"/>
  <c r="AA207" i="4"/>
  <c r="AA291" i="4"/>
  <c r="AA208" i="4"/>
  <c r="AA209" i="4"/>
  <c r="AA210" i="4"/>
  <c r="AA255" i="4"/>
  <c r="AA211" i="4"/>
  <c r="AA215" i="4"/>
  <c r="AA216" i="4"/>
  <c r="AA26" i="4"/>
  <c r="AA217" i="4"/>
  <c r="AA218" i="4"/>
  <c r="AA219" i="4"/>
  <c r="AA220" i="4"/>
  <c r="AA221" i="4"/>
  <c r="AA222" i="4"/>
  <c r="AA25" i="4"/>
  <c r="AA223" i="4"/>
  <c r="AA224" i="4"/>
  <c r="AA225" i="4"/>
  <c r="AA226" i="4"/>
  <c r="AA292" i="4"/>
  <c r="AA293" i="4"/>
  <c r="AA8" i="4"/>
  <c r="AA27" i="4"/>
  <c r="AA228" i="4"/>
  <c r="AA229" i="4"/>
  <c r="AA294" i="4"/>
  <c r="AA230" i="4"/>
  <c r="AA212" i="4"/>
  <c r="AA28" i="4"/>
  <c r="AA29" i="4"/>
  <c r="AA30" i="4"/>
  <c r="AA31" i="4"/>
  <c r="AA231" i="4"/>
  <c r="AA32" i="4"/>
  <c r="AA232" i="4"/>
  <c r="AA233" i="4"/>
  <c r="AA234" i="4"/>
  <c r="AA235" i="4"/>
  <c r="AA213" i="4"/>
  <c r="AA214" i="4"/>
  <c r="AA236" i="4"/>
  <c r="AA237" i="4"/>
  <c r="AA238" i="4"/>
  <c r="AA239" i="4"/>
  <c r="AA227" i="4"/>
  <c r="AA240" i="4"/>
  <c r="AA241" i="4"/>
  <c r="AA242" i="4"/>
  <c r="AA243" i="4"/>
  <c r="AA244" i="4"/>
  <c r="AA245" i="4"/>
  <c r="AA246" i="4"/>
  <c r="AA247" i="4"/>
  <c r="AA33" i="4"/>
  <c r="AA295" i="4"/>
  <c r="AA34" i="4"/>
  <c r="AA35" i="4"/>
  <c r="AA248" i="4"/>
  <c r="AA249" i="4"/>
  <c r="AA296" i="4"/>
  <c r="AA297" i="4"/>
  <c r="AA298" i="4"/>
  <c r="AA299" i="4"/>
  <c r="AA300" i="4"/>
  <c r="AA301" i="4"/>
  <c r="AA302" i="4"/>
  <c r="AA303" i="4"/>
  <c r="AA304" i="4"/>
  <c r="AA305" i="4"/>
  <c r="AA306" i="4"/>
  <c r="AA307" i="4"/>
  <c r="AA308" i="4"/>
  <c r="AA309" i="4"/>
  <c r="AA310" i="4"/>
  <c r="AA312" i="4"/>
  <c r="AA313" i="4"/>
  <c r="AA314" i="4"/>
  <c r="AA315" i="4"/>
  <c r="AA316" i="4"/>
  <c r="AA317" i="4"/>
  <c r="AA318" i="4"/>
  <c r="AA319" i="4"/>
  <c r="AA320" i="4"/>
  <c r="AA321" i="4"/>
  <c r="AA322" i="4"/>
  <c r="AA323" i="4"/>
  <c r="AA324" i="4"/>
  <c r="AA325" i="4"/>
  <c r="AA326" i="4"/>
  <c r="AA327" i="4"/>
  <c r="AA328" i="4"/>
  <c r="AA329" i="4"/>
  <c r="AA330" i="4"/>
  <c r="AA331" i="4"/>
  <c r="AA332" i="4"/>
  <c r="AA334" i="4"/>
  <c r="AA335" i="4"/>
  <c r="AA336" i="4"/>
  <c r="AA337" i="4"/>
  <c r="AA338" i="4"/>
  <c r="AA339" i="4"/>
  <c r="AA340" i="4"/>
  <c r="AA341" i="4"/>
  <c r="AA342" i="4"/>
  <c r="AA343" i="4"/>
  <c r="AA333" i="4"/>
  <c r="AA344" i="4"/>
  <c r="AA345" i="4"/>
  <c r="AA346" i="4"/>
  <c r="AA363" i="4"/>
  <c r="AA347" i="4"/>
  <c r="AA348" i="4"/>
  <c r="AA349" i="4"/>
  <c r="AA350" i="4"/>
  <c r="AA351" i="4"/>
  <c r="AA352" i="4"/>
  <c r="AA353" i="4"/>
  <c r="AA354" i="4"/>
  <c r="AA355" i="4"/>
  <c r="AA356" i="4"/>
  <c r="AA357" i="4"/>
  <c r="AA358" i="4"/>
  <c r="AA359" i="4"/>
  <c r="AA360" i="4"/>
  <c r="AA361" i="4"/>
  <c r="AA364" i="4"/>
  <c r="AA365" i="4"/>
  <c r="AA362" i="4"/>
  <c r="AA366" i="4"/>
  <c r="AA367" i="4"/>
  <c r="AA368" i="4"/>
  <c r="AA369" i="4"/>
  <c r="AA370" i="4"/>
  <c r="AA371" i="4"/>
  <c r="AA372" i="4"/>
  <c r="AA373" i="4"/>
  <c r="AA374" i="4"/>
  <c r="AA375" i="4"/>
  <c r="AA376" i="4"/>
  <c r="AA377" i="4"/>
  <c r="AA378" i="4"/>
  <c r="AA379" i="4"/>
  <c r="AA380" i="4"/>
  <c r="AA381" i="4"/>
  <c r="AA382" i="4"/>
  <c r="AA383" i="4"/>
  <c r="AA384" i="4"/>
  <c r="AA385" i="4"/>
  <c r="AA386" i="4"/>
  <c r="AA387" i="4"/>
  <c r="AA388" i="4"/>
  <c r="AA389" i="4"/>
  <c r="AA390" i="4"/>
  <c r="AA391" i="4"/>
  <c r="AA392" i="4"/>
  <c r="AA393" i="4"/>
  <c r="AA394" i="4"/>
  <c r="AA395" i="4"/>
  <c r="AA396" i="4"/>
  <c r="AA397" i="4"/>
  <c r="AA398" i="4"/>
  <c r="AA399" i="4"/>
  <c r="AA400" i="4"/>
  <c r="AA401" i="4"/>
  <c r="AA402" i="4"/>
  <c r="AA403" i="4"/>
  <c r="AA404" i="4"/>
  <c r="AA405" i="4"/>
  <c r="AA406" i="4"/>
  <c r="AA407" i="4"/>
  <c r="AA36" i="4"/>
  <c r="AM118" i="5"/>
  <c r="C39" i="8"/>
  <c r="AR39" i="8"/>
  <c r="H39" i="8"/>
  <c r="AT39" i="8"/>
  <c r="J39" i="8"/>
  <c r="AV39" i="8"/>
  <c r="L39" i="8"/>
  <c r="AX39" i="8"/>
  <c r="N39" i="8"/>
  <c r="E40" i="8"/>
  <c r="AP40" i="8"/>
  <c r="F40" i="8"/>
  <c r="AR40" i="8"/>
  <c r="H40" i="8"/>
  <c r="AT40" i="8"/>
  <c r="J40" i="8"/>
  <c r="AV40" i="8"/>
  <c r="L40" i="8"/>
  <c r="AX40" i="8"/>
  <c r="N40" i="8"/>
  <c r="AY40" i="8"/>
  <c r="O40" i="8"/>
  <c r="AZ40" i="8"/>
  <c r="P40" i="8"/>
  <c r="E41" i="8"/>
  <c r="AP41" i="8"/>
  <c r="F41" i="8"/>
  <c r="AR41" i="8"/>
  <c r="H41" i="8"/>
  <c r="AT41" i="8"/>
  <c r="J41" i="8"/>
  <c r="AV41" i="8"/>
  <c r="L41" i="8"/>
  <c r="AX41" i="8"/>
  <c r="N41" i="8"/>
  <c r="E2" i="8"/>
  <c r="AP2" i="8"/>
  <c r="F2" i="8"/>
  <c r="AR2" i="8"/>
  <c r="H2" i="8"/>
  <c r="AT2" i="8"/>
  <c r="J2" i="8"/>
  <c r="AV2" i="8"/>
  <c r="L2" i="8"/>
  <c r="AX2" i="8"/>
  <c r="N2" i="8"/>
  <c r="E42" i="8"/>
  <c r="AP42" i="8"/>
  <c r="F42" i="8"/>
  <c r="AR42" i="8"/>
  <c r="H42" i="8"/>
  <c r="AT42" i="8"/>
  <c r="J42" i="8"/>
  <c r="AV42" i="8"/>
  <c r="L42" i="8"/>
  <c r="AX42" i="8"/>
  <c r="N42" i="8"/>
  <c r="E43" i="8"/>
  <c r="AP43" i="8"/>
  <c r="F43" i="8"/>
  <c r="AR43" i="8"/>
  <c r="H43" i="8"/>
  <c r="AT43" i="8"/>
  <c r="J43" i="8"/>
  <c r="AV43" i="8"/>
  <c r="L43" i="8"/>
  <c r="AX43" i="8"/>
  <c r="N43" i="8"/>
  <c r="E44" i="8"/>
  <c r="AP44" i="8"/>
  <c r="F44" i="8"/>
  <c r="AR44" i="8"/>
  <c r="H44" i="8"/>
  <c r="AT44" i="8"/>
  <c r="J44" i="8"/>
  <c r="AV44" i="8"/>
  <c r="L44" i="8"/>
  <c r="AX44" i="8"/>
  <c r="N44" i="8"/>
  <c r="E72" i="8"/>
  <c r="AP72" i="8"/>
  <c r="F72" i="8"/>
  <c r="AR72" i="8"/>
  <c r="H72" i="8"/>
  <c r="AT72" i="8"/>
  <c r="J72" i="8"/>
  <c r="AV72" i="8"/>
  <c r="L72" i="8"/>
  <c r="AX72" i="8"/>
  <c r="N72" i="8"/>
  <c r="E73" i="8"/>
  <c r="AP73" i="8"/>
  <c r="F73" i="8"/>
  <c r="AR73" i="8"/>
  <c r="H73" i="8"/>
  <c r="AT73" i="8"/>
  <c r="J73" i="8"/>
  <c r="AV73" i="8"/>
  <c r="L73" i="8"/>
  <c r="AX73" i="8"/>
  <c r="N73" i="8"/>
  <c r="E74" i="8"/>
  <c r="AP74" i="8"/>
  <c r="F74" i="8"/>
  <c r="AR74" i="8"/>
  <c r="H74" i="8"/>
  <c r="AT74" i="8"/>
  <c r="J74" i="8"/>
  <c r="AV74" i="8"/>
  <c r="L74" i="8"/>
  <c r="AX74" i="8"/>
  <c r="N74" i="8"/>
  <c r="E75" i="8"/>
  <c r="AP75" i="8"/>
  <c r="F75" i="8"/>
  <c r="AR75" i="8"/>
  <c r="H75" i="8"/>
  <c r="AT75" i="8"/>
  <c r="J75" i="8"/>
  <c r="AV75" i="8"/>
  <c r="L75" i="8"/>
  <c r="AX75" i="8"/>
  <c r="N75" i="8"/>
  <c r="AY75" i="8"/>
  <c r="O75" i="8"/>
  <c r="AZ75" i="8"/>
  <c r="P75" i="8"/>
  <c r="E76" i="8"/>
  <c r="AP76" i="8"/>
  <c r="F76" i="8"/>
  <c r="AR76" i="8"/>
  <c r="H76" i="8"/>
  <c r="AT76" i="8"/>
  <c r="J76" i="8"/>
  <c r="AV76" i="8"/>
  <c r="L76" i="8"/>
  <c r="AX76" i="8"/>
  <c r="N76" i="8"/>
  <c r="E77" i="8"/>
  <c r="AP77" i="8"/>
  <c r="F77" i="8"/>
  <c r="AR77" i="8"/>
  <c r="H77" i="8"/>
  <c r="AT77" i="8"/>
  <c r="J77" i="8"/>
  <c r="AV77" i="8"/>
  <c r="L77" i="8"/>
  <c r="AX77" i="8"/>
  <c r="N77" i="8"/>
  <c r="AY77" i="8"/>
  <c r="O77" i="8"/>
  <c r="AZ77" i="8"/>
  <c r="P77" i="8"/>
  <c r="E78" i="8"/>
  <c r="AP78" i="8"/>
  <c r="F78" i="8"/>
  <c r="AR78" i="8"/>
  <c r="H78" i="8"/>
  <c r="AT78" i="8"/>
  <c r="J78" i="8"/>
  <c r="AV78" i="8"/>
  <c r="L78" i="8"/>
  <c r="AX78" i="8"/>
  <c r="N78" i="8"/>
  <c r="E6" i="8"/>
  <c r="AP6" i="8"/>
  <c r="F6" i="8"/>
  <c r="AR6" i="8"/>
  <c r="H6" i="8"/>
  <c r="AT6" i="8"/>
  <c r="J6" i="8"/>
  <c r="AV6" i="8"/>
  <c r="L6" i="8"/>
  <c r="AX6" i="8"/>
  <c r="N6" i="8"/>
  <c r="E7" i="8"/>
  <c r="AP7" i="8"/>
  <c r="F7" i="8"/>
  <c r="AR7" i="8"/>
  <c r="H7" i="8"/>
  <c r="AT7" i="8"/>
  <c r="J7" i="8"/>
  <c r="AV7" i="8"/>
  <c r="L7" i="8"/>
  <c r="AX7" i="8"/>
  <c r="N7" i="8"/>
  <c r="E79" i="8"/>
  <c r="AP79" i="8"/>
  <c r="F79" i="8"/>
  <c r="AR79" i="8"/>
  <c r="H79" i="8"/>
  <c r="AT79" i="8"/>
  <c r="J79" i="8"/>
  <c r="AV79" i="8"/>
  <c r="L79" i="8"/>
  <c r="AX79" i="8"/>
  <c r="N79" i="8"/>
  <c r="E80" i="8"/>
  <c r="AP80" i="8"/>
  <c r="F80" i="8"/>
  <c r="AR80" i="8"/>
  <c r="H80" i="8"/>
  <c r="AT80" i="8"/>
  <c r="J80" i="8"/>
  <c r="AV80" i="8"/>
  <c r="L80" i="8"/>
  <c r="AX80" i="8"/>
  <c r="N80" i="8"/>
  <c r="E81" i="8"/>
  <c r="AP81" i="8"/>
  <c r="F81" i="8"/>
  <c r="AR81" i="8"/>
  <c r="H81" i="8"/>
  <c r="AT81" i="8"/>
  <c r="J81" i="8"/>
  <c r="AV81" i="8"/>
  <c r="L81" i="8"/>
  <c r="AX81" i="8"/>
  <c r="N81" i="8"/>
  <c r="E82" i="8"/>
  <c r="AP82" i="8"/>
  <c r="F82" i="8"/>
  <c r="AR82" i="8"/>
  <c r="H82" i="8"/>
  <c r="AT82" i="8"/>
  <c r="J82" i="8"/>
  <c r="AV82" i="8"/>
  <c r="L82" i="8"/>
  <c r="AX82" i="8"/>
  <c r="N82" i="8"/>
  <c r="E83" i="8"/>
  <c r="AP83" i="8"/>
  <c r="F83" i="8"/>
  <c r="AR83" i="8"/>
  <c r="H83" i="8"/>
  <c r="AT83" i="8"/>
  <c r="J83" i="8"/>
  <c r="AV83" i="8"/>
  <c r="L83" i="8"/>
  <c r="AX83" i="8"/>
  <c r="N83" i="8"/>
  <c r="E84" i="8"/>
  <c r="AP84" i="8"/>
  <c r="F84" i="8"/>
  <c r="AR84" i="8"/>
  <c r="H84" i="8"/>
  <c r="AT84" i="8"/>
  <c r="J84" i="8"/>
  <c r="AV84" i="8"/>
  <c r="L84" i="8"/>
  <c r="AX84" i="8"/>
  <c r="N84" i="8"/>
  <c r="E85" i="8"/>
  <c r="AP85" i="8"/>
  <c r="F85" i="8"/>
  <c r="AR85" i="8"/>
  <c r="H85" i="8"/>
  <c r="AT85" i="8"/>
  <c r="J85" i="8"/>
  <c r="AV85" i="8"/>
  <c r="L85" i="8"/>
  <c r="AX85" i="8"/>
  <c r="N85" i="8"/>
  <c r="E86" i="8"/>
  <c r="AP86" i="8"/>
  <c r="F86" i="8"/>
  <c r="AR86" i="8"/>
  <c r="H86" i="8"/>
  <c r="AT86" i="8"/>
  <c r="J86" i="8"/>
  <c r="AV86" i="8"/>
  <c r="L86" i="8"/>
  <c r="AX86" i="8"/>
  <c r="N86" i="8"/>
  <c r="E87" i="8"/>
  <c r="AP87" i="8"/>
  <c r="F87" i="8"/>
  <c r="AR87" i="8"/>
  <c r="H87" i="8"/>
  <c r="AT87" i="8"/>
  <c r="J87" i="8"/>
  <c r="AV87" i="8"/>
  <c r="L87" i="8"/>
  <c r="AX87" i="8"/>
  <c r="N87" i="8"/>
  <c r="E88" i="8"/>
  <c r="AP88" i="8"/>
  <c r="F88" i="8"/>
  <c r="AR88" i="8"/>
  <c r="H88" i="8"/>
  <c r="AT88" i="8"/>
  <c r="J88" i="8"/>
  <c r="AV88" i="8"/>
  <c r="L88" i="8"/>
  <c r="AX88" i="8"/>
  <c r="N88" i="8"/>
  <c r="E89" i="8"/>
  <c r="AP89" i="8"/>
  <c r="F89" i="8"/>
  <c r="AR89" i="8"/>
  <c r="H89" i="8"/>
  <c r="AT89" i="8"/>
  <c r="J89" i="8"/>
  <c r="AV89" i="8"/>
  <c r="L89" i="8"/>
  <c r="AX89" i="8"/>
  <c r="N89" i="8"/>
  <c r="E90" i="8"/>
  <c r="AP90" i="8"/>
  <c r="F90" i="8"/>
  <c r="AR90" i="8"/>
  <c r="H90" i="8"/>
  <c r="AT90" i="8"/>
  <c r="J90" i="8"/>
  <c r="AV90" i="8"/>
  <c r="L90" i="8"/>
  <c r="AX90" i="8"/>
  <c r="N90" i="8"/>
  <c r="E91" i="8"/>
  <c r="AP91" i="8"/>
  <c r="F91" i="8"/>
  <c r="AR91" i="8"/>
  <c r="H91" i="8"/>
  <c r="AT91" i="8"/>
  <c r="J91" i="8"/>
  <c r="AV91" i="8"/>
  <c r="L91" i="8"/>
  <c r="AX91" i="8"/>
  <c r="N91" i="8"/>
  <c r="E92" i="8"/>
  <c r="AP92" i="8"/>
  <c r="F92" i="8"/>
  <c r="AR92" i="8"/>
  <c r="H92" i="8"/>
  <c r="AT92" i="8"/>
  <c r="J92" i="8"/>
  <c r="AV92" i="8"/>
  <c r="L92" i="8"/>
  <c r="AX92" i="8"/>
  <c r="N92" i="8"/>
  <c r="E93" i="8"/>
  <c r="AP93" i="8"/>
  <c r="F93" i="8"/>
  <c r="AR93" i="8"/>
  <c r="H93" i="8"/>
  <c r="AT93" i="8"/>
  <c r="J93" i="8"/>
  <c r="AV93" i="8"/>
  <c r="L93" i="8"/>
  <c r="AX93" i="8"/>
  <c r="N93" i="8"/>
  <c r="E94" i="8"/>
  <c r="AP94" i="8"/>
  <c r="F94" i="8"/>
  <c r="AR94" i="8"/>
  <c r="H94" i="8"/>
  <c r="AT94" i="8"/>
  <c r="J94" i="8"/>
  <c r="AV94" i="8"/>
  <c r="L94" i="8"/>
  <c r="AX94" i="8"/>
  <c r="N94" i="8"/>
  <c r="E95" i="8"/>
  <c r="AP95" i="8"/>
  <c r="F95" i="8"/>
  <c r="AR95" i="8"/>
  <c r="H95" i="8"/>
  <c r="AT95" i="8"/>
  <c r="J95" i="8"/>
  <c r="AV95" i="8"/>
  <c r="L95" i="8"/>
  <c r="AX95" i="8"/>
  <c r="N95" i="8"/>
  <c r="E96" i="8"/>
  <c r="AP96" i="8"/>
  <c r="F96" i="8"/>
  <c r="AR96" i="8"/>
  <c r="H96" i="8"/>
  <c r="AT96" i="8"/>
  <c r="J96" i="8"/>
  <c r="AV96" i="8"/>
  <c r="L96" i="8"/>
  <c r="AX96" i="8"/>
  <c r="N96" i="8"/>
  <c r="E97" i="8"/>
  <c r="AP97" i="8"/>
  <c r="F97" i="8"/>
  <c r="AR97" i="8"/>
  <c r="H97" i="8"/>
  <c r="AT97" i="8"/>
  <c r="J97" i="8"/>
  <c r="AV97" i="8"/>
  <c r="L97" i="8"/>
  <c r="AX97" i="8"/>
  <c r="N97" i="8"/>
  <c r="BA97" i="8"/>
  <c r="Q97" i="8"/>
  <c r="E98" i="8"/>
  <c r="AP98" i="8"/>
  <c r="F98" i="8"/>
  <c r="AR98" i="8"/>
  <c r="H98" i="8"/>
  <c r="AT98" i="8"/>
  <c r="J98" i="8"/>
  <c r="AV98" i="8"/>
  <c r="L98" i="8"/>
  <c r="AX98" i="8"/>
  <c r="N98" i="8"/>
  <c r="BA98" i="8"/>
  <c r="Q98" i="8"/>
  <c r="E99" i="8"/>
  <c r="AP99" i="8"/>
  <c r="F99" i="8"/>
  <c r="AR99" i="8"/>
  <c r="H99" i="8"/>
  <c r="AT99" i="8"/>
  <c r="J99" i="8"/>
  <c r="AV99" i="8"/>
  <c r="L99" i="8"/>
  <c r="AX99" i="8"/>
  <c r="N99" i="8"/>
  <c r="E45" i="8"/>
  <c r="AP45" i="8"/>
  <c r="F45" i="8"/>
  <c r="AR45" i="8"/>
  <c r="H45" i="8"/>
  <c r="AT45" i="8"/>
  <c r="J45" i="8"/>
  <c r="AV45" i="8"/>
  <c r="L45" i="8"/>
  <c r="AX45" i="8"/>
  <c r="N45" i="8"/>
  <c r="E46" i="8"/>
  <c r="AP46" i="8"/>
  <c r="F46" i="8"/>
  <c r="AR46" i="8"/>
  <c r="H46" i="8"/>
  <c r="AT46" i="8"/>
  <c r="J46" i="8"/>
  <c r="AV46" i="8"/>
  <c r="L46" i="8"/>
  <c r="AX46" i="8"/>
  <c r="N46" i="8"/>
  <c r="E47" i="8"/>
  <c r="AP47" i="8"/>
  <c r="F47" i="8"/>
  <c r="AR47" i="8"/>
  <c r="H47" i="8"/>
  <c r="AT47" i="8"/>
  <c r="J47" i="8"/>
  <c r="AV47" i="8"/>
  <c r="L47" i="8"/>
  <c r="AX47" i="8"/>
  <c r="N47" i="8"/>
  <c r="E3" i="8"/>
  <c r="AP3" i="8"/>
  <c r="F3" i="8"/>
  <c r="AR3" i="8"/>
  <c r="H3" i="8"/>
  <c r="AT3" i="8"/>
  <c r="J3" i="8"/>
  <c r="AV3" i="8"/>
  <c r="L3" i="8"/>
  <c r="AX3" i="8"/>
  <c r="N3" i="8"/>
  <c r="E48" i="8"/>
  <c r="AP48" i="8"/>
  <c r="F48" i="8"/>
  <c r="AR48" i="8"/>
  <c r="H48" i="8"/>
  <c r="AT48" i="8"/>
  <c r="J48" i="8"/>
  <c r="AV48" i="8"/>
  <c r="L48" i="8"/>
  <c r="AX48" i="8"/>
  <c r="N48" i="8"/>
  <c r="E49" i="8"/>
  <c r="AP49" i="8"/>
  <c r="F49" i="8"/>
  <c r="AR49" i="8"/>
  <c r="H49" i="8"/>
  <c r="AT49" i="8"/>
  <c r="J49" i="8"/>
  <c r="AV49" i="8"/>
  <c r="L49" i="8"/>
  <c r="AX49" i="8"/>
  <c r="N49" i="8"/>
  <c r="E50" i="8"/>
  <c r="AP50" i="8"/>
  <c r="F50" i="8"/>
  <c r="AR50" i="8"/>
  <c r="H50" i="8"/>
  <c r="AT50" i="8"/>
  <c r="J50" i="8"/>
  <c r="AV50" i="8"/>
  <c r="L50" i="8"/>
  <c r="AX50" i="8"/>
  <c r="N50" i="8"/>
  <c r="E51" i="8"/>
  <c r="AP51" i="8"/>
  <c r="F51" i="8"/>
  <c r="AR51" i="8"/>
  <c r="H51" i="8"/>
  <c r="AT51" i="8"/>
  <c r="J51" i="8"/>
  <c r="AV51" i="8"/>
  <c r="L51" i="8"/>
  <c r="AX51" i="8"/>
  <c r="N51" i="8"/>
  <c r="E52" i="8"/>
  <c r="AP52" i="8"/>
  <c r="F52" i="8"/>
  <c r="AR52" i="8"/>
  <c r="H52" i="8"/>
  <c r="AT52" i="8"/>
  <c r="J52" i="8"/>
  <c r="AV52" i="8"/>
  <c r="L52" i="8"/>
  <c r="AX52" i="8"/>
  <c r="N52" i="8"/>
  <c r="E53" i="8"/>
  <c r="AP53" i="8"/>
  <c r="F53" i="8"/>
  <c r="AR53" i="8"/>
  <c r="H53" i="8"/>
  <c r="AT53" i="8"/>
  <c r="J53" i="8"/>
  <c r="AV53" i="8"/>
  <c r="L53" i="8"/>
  <c r="AX53" i="8"/>
  <c r="N53" i="8"/>
  <c r="E54" i="8"/>
  <c r="AP54" i="8"/>
  <c r="F54" i="8"/>
  <c r="AR54" i="8"/>
  <c r="H54" i="8"/>
  <c r="AT54" i="8"/>
  <c r="J54" i="8"/>
  <c r="AV54" i="8"/>
  <c r="L54" i="8"/>
  <c r="AX54" i="8"/>
  <c r="N54" i="8"/>
  <c r="E55" i="8"/>
  <c r="AP55" i="8"/>
  <c r="F55" i="8"/>
  <c r="AR55" i="8"/>
  <c r="H55" i="8"/>
  <c r="AT55" i="8"/>
  <c r="J55" i="8"/>
  <c r="AV55" i="8"/>
  <c r="L55" i="8"/>
  <c r="AX55" i="8"/>
  <c r="N55" i="8"/>
  <c r="E56" i="8"/>
  <c r="AP56" i="8"/>
  <c r="F56" i="8"/>
  <c r="AR56" i="8"/>
  <c r="H56" i="8"/>
  <c r="AT56" i="8"/>
  <c r="J56" i="8"/>
  <c r="AV56" i="8"/>
  <c r="L56" i="8"/>
  <c r="AX56" i="8"/>
  <c r="N56" i="8"/>
  <c r="E57" i="8"/>
  <c r="AP57" i="8"/>
  <c r="F57" i="8"/>
  <c r="AR57" i="8"/>
  <c r="H57" i="8"/>
  <c r="AT57" i="8"/>
  <c r="J57" i="8"/>
  <c r="AV57" i="8"/>
  <c r="L57" i="8"/>
  <c r="AX57" i="8"/>
  <c r="N57" i="8"/>
  <c r="AY57" i="8"/>
  <c r="O57" i="8"/>
  <c r="AZ57" i="8"/>
  <c r="P57" i="8"/>
  <c r="E58" i="8"/>
  <c r="AP58" i="8"/>
  <c r="F58" i="8"/>
  <c r="AR58" i="8"/>
  <c r="H58" i="8"/>
  <c r="AT58" i="8"/>
  <c r="J58" i="8"/>
  <c r="AV58" i="8"/>
  <c r="L58" i="8"/>
  <c r="AX58" i="8"/>
  <c r="N58" i="8"/>
  <c r="E59" i="8"/>
  <c r="AP59" i="8"/>
  <c r="F59" i="8"/>
  <c r="AR59" i="8"/>
  <c r="H59" i="8"/>
  <c r="AT59" i="8"/>
  <c r="J59" i="8"/>
  <c r="AV59" i="8"/>
  <c r="L59" i="8"/>
  <c r="AX59" i="8"/>
  <c r="N59" i="8"/>
  <c r="E60" i="8"/>
  <c r="AP60" i="8"/>
  <c r="F60" i="8"/>
  <c r="AR60" i="8"/>
  <c r="H60" i="8"/>
  <c r="AT60" i="8"/>
  <c r="J60" i="8"/>
  <c r="AV60" i="8"/>
  <c r="L60" i="8"/>
  <c r="AX60" i="8"/>
  <c r="N60" i="8"/>
  <c r="E4" i="8"/>
  <c r="AP4" i="8"/>
  <c r="F4" i="8"/>
  <c r="AR4" i="8"/>
  <c r="H4" i="8"/>
  <c r="AT4" i="8"/>
  <c r="J4" i="8"/>
  <c r="AV4" i="8"/>
  <c r="L4" i="8"/>
  <c r="AX4" i="8"/>
  <c r="N4" i="8"/>
  <c r="E61" i="8"/>
  <c r="AP61" i="8"/>
  <c r="F61" i="8"/>
  <c r="AR61" i="8"/>
  <c r="H61" i="8"/>
  <c r="AT61" i="8"/>
  <c r="J61" i="8"/>
  <c r="AV61" i="8"/>
  <c r="L61" i="8"/>
  <c r="AX61" i="8"/>
  <c r="N61" i="8"/>
  <c r="E62" i="8"/>
  <c r="AP62" i="8"/>
  <c r="F62" i="8"/>
  <c r="AR62" i="8"/>
  <c r="H62" i="8"/>
  <c r="AT62" i="8"/>
  <c r="J62" i="8"/>
  <c r="AV62" i="8"/>
  <c r="L62" i="8"/>
  <c r="AX62" i="8"/>
  <c r="N62" i="8"/>
  <c r="E5" i="8"/>
  <c r="AP5" i="8"/>
  <c r="F5" i="8"/>
  <c r="AR5" i="8"/>
  <c r="H5" i="8"/>
  <c r="AT5" i="8"/>
  <c r="J5" i="8"/>
  <c r="AV5" i="8"/>
  <c r="L5" i="8"/>
  <c r="AX5" i="8"/>
  <c r="N5" i="8"/>
  <c r="E63" i="8"/>
  <c r="AP63" i="8"/>
  <c r="F63" i="8"/>
  <c r="AR63" i="8"/>
  <c r="H63" i="8"/>
  <c r="AT63" i="8"/>
  <c r="J63" i="8"/>
  <c r="AV63" i="8"/>
  <c r="L63" i="8"/>
  <c r="AX63" i="8"/>
  <c r="N63" i="8"/>
  <c r="E64" i="8"/>
  <c r="AP64" i="8"/>
  <c r="F64" i="8"/>
  <c r="AR64" i="8"/>
  <c r="H64" i="8"/>
  <c r="AT64" i="8"/>
  <c r="J64" i="8"/>
  <c r="AV64" i="8"/>
  <c r="L64" i="8"/>
  <c r="AX64" i="8"/>
  <c r="N64" i="8"/>
  <c r="E65" i="8"/>
  <c r="AP65" i="8"/>
  <c r="F65" i="8"/>
  <c r="AR65" i="8"/>
  <c r="H65" i="8"/>
  <c r="AT65" i="8"/>
  <c r="J65" i="8"/>
  <c r="AV65" i="8"/>
  <c r="L65" i="8"/>
  <c r="AX65" i="8"/>
  <c r="N65" i="8"/>
  <c r="E66" i="8"/>
  <c r="AP66" i="8"/>
  <c r="F66" i="8"/>
  <c r="AR66" i="8"/>
  <c r="H66" i="8"/>
  <c r="AT66" i="8"/>
  <c r="J66" i="8"/>
  <c r="AV66" i="8"/>
  <c r="L66" i="8"/>
  <c r="AX66" i="8"/>
  <c r="N66" i="8"/>
  <c r="E67" i="8"/>
  <c r="AP67" i="8"/>
  <c r="F67" i="8"/>
  <c r="AR67" i="8"/>
  <c r="H67" i="8"/>
  <c r="AT67" i="8"/>
  <c r="J67" i="8"/>
  <c r="AV67" i="8"/>
  <c r="L67" i="8"/>
  <c r="AX67" i="8"/>
  <c r="N67" i="8"/>
  <c r="E68" i="8"/>
  <c r="AP68" i="8"/>
  <c r="F68" i="8"/>
  <c r="AR68" i="8"/>
  <c r="H68" i="8"/>
  <c r="AT68" i="8"/>
  <c r="J68" i="8"/>
  <c r="AV68" i="8"/>
  <c r="L68" i="8"/>
  <c r="AX68" i="8"/>
  <c r="N68" i="8"/>
  <c r="E69" i="8"/>
  <c r="AP69" i="8"/>
  <c r="F69" i="8"/>
  <c r="AR69" i="8"/>
  <c r="H69" i="8"/>
  <c r="AT69" i="8"/>
  <c r="J69" i="8"/>
  <c r="AV69" i="8"/>
  <c r="L69" i="8"/>
  <c r="AX69" i="8"/>
  <c r="N69" i="8"/>
  <c r="E70" i="8"/>
  <c r="AP70" i="8"/>
  <c r="F70" i="8"/>
  <c r="AR70" i="8"/>
  <c r="H70" i="8"/>
  <c r="AT70" i="8"/>
  <c r="J70" i="8"/>
  <c r="AV70" i="8"/>
  <c r="L70" i="8"/>
  <c r="AX70" i="8"/>
  <c r="N70" i="8"/>
  <c r="E71" i="8"/>
  <c r="AP71" i="8"/>
  <c r="F71" i="8"/>
  <c r="AR71" i="8"/>
  <c r="H71" i="8"/>
  <c r="AT71" i="8"/>
  <c r="J71" i="8"/>
  <c r="AV71" i="8"/>
  <c r="L71" i="8"/>
  <c r="AX71" i="8"/>
  <c r="N71" i="8"/>
  <c r="E100" i="8"/>
  <c r="AP100" i="8"/>
  <c r="F100" i="8"/>
  <c r="AR100" i="8"/>
  <c r="H100" i="8"/>
  <c r="AT100" i="8"/>
  <c r="J100" i="8"/>
  <c r="AV100" i="8"/>
  <c r="L100" i="8"/>
  <c r="AX100" i="8"/>
  <c r="N100" i="8"/>
  <c r="E101" i="8"/>
  <c r="AP101" i="8"/>
  <c r="F101" i="8"/>
  <c r="AR101" i="8"/>
  <c r="H101" i="8"/>
  <c r="AT101" i="8"/>
  <c r="J101" i="8"/>
  <c r="AV101" i="8"/>
  <c r="L101" i="8"/>
  <c r="AX101" i="8"/>
  <c r="N101" i="8"/>
  <c r="AY101" i="8"/>
  <c r="O101" i="8"/>
  <c r="AZ101" i="8"/>
  <c r="P101" i="8"/>
  <c r="BA101" i="8"/>
  <c r="Q101" i="8"/>
  <c r="B101" i="8"/>
  <c r="E102" i="8"/>
  <c r="AP102" i="8"/>
  <c r="F102" i="8"/>
  <c r="AR102" i="8"/>
  <c r="H102" i="8"/>
  <c r="AT102" i="8"/>
  <c r="J102" i="8"/>
  <c r="AV102" i="8"/>
  <c r="L102" i="8"/>
  <c r="AX102" i="8"/>
  <c r="N102" i="8"/>
  <c r="AY102" i="8"/>
  <c r="O102" i="8"/>
  <c r="AZ102" i="8"/>
  <c r="P102" i="8"/>
  <c r="E103" i="8"/>
  <c r="AP103" i="8"/>
  <c r="F103" i="8"/>
  <c r="AR103" i="8"/>
  <c r="H103" i="8"/>
  <c r="AT103" i="8"/>
  <c r="J103" i="8"/>
  <c r="AV103" i="8"/>
  <c r="L103" i="8"/>
  <c r="AX103" i="8"/>
  <c r="N103" i="8"/>
  <c r="AY103" i="8"/>
  <c r="O103" i="8"/>
  <c r="AZ103" i="8"/>
  <c r="P103" i="8"/>
  <c r="E104" i="8"/>
  <c r="AP104" i="8"/>
  <c r="F104" i="8"/>
  <c r="AR104" i="8"/>
  <c r="H104" i="8"/>
  <c r="AT104" i="8"/>
  <c r="J104" i="8"/>
  <c r="AV104" i="8"/>
  <c r="L104" i="8"/>
  <c r="AX104" i="8"/>
  <c r="N104" i="8"/>
  <c r="AY104" i="8"/>
  <c r="O104" i="8"/>
  <c r="AZ104" i="8"/>
  <c r="P104" i="8"/>
  <c r="E105" i="8"/>
  <c r="AP105" i="8"/>
  <c r="F105" i="8"/>
  <c r="AR105" i="8"/>
  <c r="H105" i="8"/>
  <c r="AT105" i="8"/>
  <c r="J105" i="8"/>
  <c r="AV105" i="8"/>
  <c r="L105" i="8"/>
  <c r="AX105" i="8"/>
  <c r="N105" i="8"/>
  <c r="AY105" i="8"/>
  <c r="O105" i="8"/>
  <c r="AZ105" i="8"/>
  <c r="P105" i="8"/>
  <c r="E106" i="8"/>
  <c r="AP106" i="8"/>
  <c r="F106" i="8"/>
  <c r="AR106" i="8"/>
  <c r="H106" i="8"/>
  <c r="AT106" i="8"/>
  <c r="J106" i="8"/>
  <c r="AV106" i="8"/>
  <c r="L106" i="8"/>
  <c r="AX106" i="8"/>
  <c r="N106" i="8"/>
  <c r="AY106" i="8"/>
  <c r="O106" i="8"/>
  <c r="AZ106" i="8"/>
  <c r="P106" i="8"/>
  <c r="E107" i="8"/>
  <c r="AP107" i="8"/>
  <c r="F107" i="8"/>
  <c r="AR107" i="8"/>
  <c r="H107" i="8"/>
  <c r="AT107" i="8"/>
  <c r="J107" i="8"/>
  <c r="AV107" i="8"/>
  <c r="L107" i="8"/>
  <c r="AX107" i="8"/>
  <c r="N107" i="8"/>
  <c r="AY107" i="8"/>
  <c r="O107" i="8"/>
  <c r="AZ107" i="8"/>
  <c r="P107" i="8"/>
  <c r="E108" i="8"/>
  <c r="AP108" i="8"/>
  <c r="F108" i="8"/>
  <c r="AR108" i="8"/>
  <c r="H108" i="8"/>
  <c r="AT108" i="8"/>
  <c r="J108" i="8"/>
  <c r="AV108" i="8"/>
  <c r="L108" i="8"/>
  <c r="AX108" i="8"/>
  <c r="N108" i="8"/>
  <c r="AY108" i="8"/>
  <c r="O108" i="8"/>
  <c r="AZ108" i="8"/>
  <c r="P108" i="8"/>
  <c r="E109" i="8"/>
  <c r="AP109" i="8"/>
  <c r="F109" i="8"/>
  <c r="AR109" i="8"/>
  <c r="H109" i="8"/>
  <c r="AT109" i="8"/>
  <c r="J109" i="8"/>
  <c r="AV109" i="8"/>
  <c r="L109" i="8"/>
  <c r="AX109" i="8"/>
  <c r="N109" i="8"/>
  <c r="AY109" i="8"/>
  <c r="O109" i="8"/>
  <c r="AZ109" i="8"/>
  <c r="P109" i="8"/>
  <c r="E110" i="8"/>
  <c r="AP110" i="8"/>
  <c r="F110" i="8"/>
  <c r="AR110" i="8"/>
  <c r="H110" i="8"/>
  <c r="AT110" i="8"/>
  <c r="J110" i="8"/>
  <c r="AV110" i="8"/>
  <c r="L110" i="8"/>
  <c r="AX110" i="8"/>
  <c r="N110" i="8"/>
  <c r="AY110" i="8"/>
  <c r="O110" i="8"/>
  <c r="AZ110" i="8"/>
  <c r="P110" i="8"/>
  <c r="E111" i="8"/>
  <c r="AP111" i="8"/>
  <c r="F111" i="8"/>
  <c r="AR111" i="8"/>
  <c r="H111" i="8"/>
  <c r="AT111" i="8"/>
  <c r="J111" i="8"/>
  <c r="AV111" i="8"/>
  <c r="L111" i="8"/>
  <c r="AX111" i="8"/>
  <c r="N111" i="8"/>
  <c r="AY111" i="8"/>
  <c r="O111" i="8"/>
  <c r="AZ111" i="8"/>
  <c r="P111" i="8"/>
  <c r="E112" i="8"/>
  <c r="AP112" i="8"/>
  <c r="F112" i="8"/>
  <c r="AR112" i="8"/>
  <c r="H112" i="8"/>
  <c r="AT112" i="8"/>
  <c r="J112" i="8"/>
  <c r="AV112" i="8"/>
  <c r="L112" i="8"/>
  <c r="AX112" i="8"/>
  <c r="N112" i="8"/>
  <c r="AY112" i="8"/>
  <c r="O112" i="8"/>
  <c r="AZ112" i="8"/>
  <c r="P112" i="8"/>
  <c r="E113" i="8"/>
  <c r="AP113" i="8"/>
  <c r="F113" i="8"/>
  <c r="AR113" i="8"/>
  <c r="H113" i="8"/>
  <c r="AT113" i="8"/>
  <c r="J113" i="8"/>
  <c r="AV113" i="8"/>
  <c r="L113" i="8"/>
  <c r="AX113" i="8"/>
  <c r="N113" i="8"/>
  <c r="AY113" i="8"/>
  <c r="O113" i="8"/>
  <c r="AZ113" i="8"/>
  <c r="P113" i="8"/>
  <c r="E114" i="8"/>
  <c r="AP114" i="8"/>
  <c r="F114" i="8"/>
  <c r="AR114" i="8"/>
  <c r="H114" i="8"/>
  <c r="AT114" i="8"/>
  <c r="J114" i="8"/>
  <c r="AV114" i="8"/>
  <c r="L114" i="8"/>
  <c r="AX114" i="8"/>
  <c r="N114" i="8"/>
  <c r="AY114" i="8"/>
  <c r="O114" i="8"/>
  <c r="AZ114" i="8"/>
  <c r="P114" i="8"/>
  <c r="E115" i="8"/>
  <c r="AP115" i="8"/>
  <c r="F115" i="8"/>
  <c r="AR115" i="8"/>
  <c r="H115" i="8"/>
  <c r="AT115" i="8"/>
  <c r="J115" i="8"/>
  <c r="AV115" i="8"/>
  <c r="L115" i="8"/>
  <c r="AX115" i="8"/>
  <c r="N115" i="8"/>
  <c r="AY115" i="8"/>
  <c r="O115" i="8"/>
  <c r="AZ115" i="8"/>
  <c r="P115" i="8"/>
  <c r="E116" i="8"/>
  <c r="AP116" i="8"/>
  <c r="F116" i="8"/>
  <c r="AR116" i="8"/>
  <c r="H116" i="8"/>
  <c r="AT116" i="8"/>
  <c r="J116" i="8"/>
  <c r="AV116" i="8"/>
  <c r="L116" i="8"/>
  <c r="AX116" i="8"/>
  <c r="N116" i="8"/>
  <c r="AY116" i="8"/>
  <c r="O116" i="8"/>
  <c r="AZ116" i="8"/>
  <c r="P116" i="8"/>
  <c r="E117" i="8"/>
  <c r="AP117" i="8"/>
  <c r="F117" i="8"/>
  <c r="AR117" i="8"/>
  <c r="H117" i="8"/>
  <c r="AT117" i="8"/>
  <c r="J117" i="8"/>
  <c r="AV117" i="8"/>
  <c r="L117" i="8"/>
  <c r="AX117" i="8"/>
  <c r="N117" i="8"/>
  <c r="E118" i="8"/>
  <c r="AP118" i="8"/>
  <c r="F118" i="8"/>
  <c r="AR118" i="8"/>
  <c r="H118" i="8"/>
  <c r="AT118" i="8"/>
  <c r="J118" i="8"/>
  <c r="AV118" i="8"/>
  <c r="L118" i="8"/>
  <c r="AX118" i="8"/>
  <c r="N118" i="8"/>
  <c r="E119" i="8"/>
  <c r="AP119" i="8"/>
  <c r="F119" i="8"/>
  <c r="AR119" i="8"/>
  <c r="H119" i="8"/>
  <c r="AT119" i="8"/>
  <c r="J119" i="8"/>
  <c r="AV119" i="8"/>
  <c r="L119" i="8"/>
  <c r="AX119" i="8"/>
  <c r="N119" i="8"/>
  <c r="E120" i="8"/>
  <c r="AP120" i="8"/>
  <c r="F120" i="8"/>
  <c r="AR120" i="8"/>
  <c r="H120" i="8"/>
  <c r="AT120" i="8"/>
  <c r="J120" i="8"/>
  <c r="AV120" i="8"/>
  <c r="L120" i="8"/>
  <c r="AX120" i="8"/>
  <c r="N120" i="8"/>
  <c r="E121" i="8"/>
  <c r="AP121" i="8"/>
  <c r="F121" i="8"/>
  <c r="AR121" i="8"/>
  <c r="H121" i="8"/>
  <c r="AT121" i="8"/>
  <c r="J121" i="8"/>
  <c r="AV121" i="8"/>
  <c r="L121" i="8"/>
  <c r="AX121" i="8"/>
  <c r="N121" i="8"/>
  <c r="E122" i="8"/>
  <c r="AP122" i="8"/>
  <c r="F122" i="8"/>
  <c r="AR122" i="8"/>
  <c r="H122" i="8"/>
  <c r="AT122" i="8"/>
  <c r="J122" i="8"/>
  <c r="AV122" i="8"/>
  <c r="L122" i="8"/>
  <c r="AX122" i="8"/>
  <c r="N122" i="8"/>
  <c r="E123" i="8"/>
  <c r="AP123" i="8"/>
  <c r="F123" i="8"/>
  <c r="AR123" i="8"/>
  <c r="H123" i="8"/>
  <c r="AT123" i="8"/>
  <c r="J123" i="8"/>
  <c r="AV123" i="8"/>
  <c r="L123" i="8"/>
  <c r="AX123" i="8"/>
  <c r="N123" i="8"/>
  <c r="E124" i="8"/>
  <c r="AP124" i="8"/>
  <c r="F124" i="8"/>
  <c r="AR124" i="8"/>
  <c r="H124" i="8"/>
  <c r="AT124" i="8"/>
  <c r="J124" i="8"/>
  <c r="AV124" i="8"/>
  <c r="L124" i="8"/>
  <c r="AX124" i="8"/>
  <c r="N124" i="8"/>
  <c r="E125" i="8"/>
  <c r="AP125" i="8"/>
  <c r="F125" i="8"/>
  <c r="AR125" i="8"/>
  <c r="H125" i="8"/>
  <c r="AT125" i="8"/>
  <c r="J125" i="8"/>
  <c r="AV125" i="8"/>
  <c r="L125" i="8"/>
  <c r="AX125" i="8"/>
  <c r="N125" i="8"/>
  <c r="E126" i="8"/>
  <c r="AP126" i="8"/>
  <c r="F126" i="8"/>
  <c r="AR126" i="8"/>
  <c r="H126" i="8"/>
  <c r="AT126" i="8"/>
  <c r="J126" i="8"/>
  <c r="AV126" i="8"/>
  <c r="L126" i="8"/>
  <c r="AX126" i="8"/>
  <c r="N126" i="8"/>
  <c r="E127" i="8"/>
  <c r="AP127" i="8"/>
  <c r="F127" i="8"/>
  <c r="AR127" i="8"/>
  <c r="H127" i="8"/>
  <c r="AT127" i="8"/>
  <c r="J127" i="8"/>
  <c r="AV127" i="8"/>
  <c r="L127" i="8"/>
  <c r="AX127" i="8"/>
  <c r="N127" i="8"/>
  <c r="E128" i="8"/>
  <c r="AP128" i="8"/>
  <c r="F128" i="8"/>
  <c r="AR128" i="8"/>
  <c r="H128" i="8"/>
  <c r="AT128" i="8"/>
  <c r="J128" i="8"/>
  <c r="AV128" i="8"/>
  <c r="L128" i="8"/>
  <c r="AX128" i="8"/>
  <c r="N128" i="8"/>
  <c r="E129" i="8"/>
  <c r="AP129" i="8"/>
  <c r="F129" i="8"/>
  <c r="AR129" i="8"/>
  <c r="H129" i="8"/>
  <c r="AT129" i="8"/>
  <c r="J129" i="8"/>
  <c r="AV129" i="8"/>
  <c r="L129" i="8"/>
  <c r="AX129" i="8"/>
  <c r="N129" i="8"/>
  <c r="E130" i="8"/>
  <c r="AP130" i="8"/>
  <c r="F130" i="8"/>
  <c r="AR130" i="8"/>
  <c r="H130" i="8"/>
  <c r="AT130" i="8"/>
  <c r="J130" i="8"/>
  <c r="AV130" i="8"/>
  <c r="L130" i="8"/>
  <c r="AX130" i="8"/>
  <c r="N130" i="8"/>
  <c r="E131" i="8"/>
  <c r="AP131" i="8"/>
  <c r="F131" i="8"/>
  <c r="AR131" i="8"/>
  <c r="H131" i="8"/>
  <c r="AT131" i="8"/>
  <c r="J131" i="8"/>
  <c r="AV131" i="8"/>
  <c r="L131" i="8"/>
  <c r="AX131" i="8"/>
  <c r="N131" i="8"/>
  <c r="E132" i="8"/>
  <c r="AP132" i="8"/>
  <c r="F132" i="8"/>
  <c r="AR132" i="8"/>
  <c r="H132" i="8"/>
  <c r="AT132" i="8"/>
  <c r="J132" i="8"/>
  <c r="AV132" i="8"/>
  <c r="L132" i="8"/>
  <c r="AX132" i="8"/>
  <c r="N132" i="8"/>
  <c r="E133" i="8"/>
  <c r="AP133" i="8"/>
  <c r="F133" i="8"/>
  <c r="AR133" i="8"/>
  <c r="H133" i="8"/>
  <c r="AT133" i="8"/>
  <c r="J133" i="8"/>
  <c r="AV133" i="8"/>
  <c r="L133" i="8"/>
  <c r="AX133" i="8"/>
  <c r="N133" i="8"/>
  <c r="E134" i="8"/>
  <c r="AP134" i="8"/>
  <c r="F134" i="8"/>
  <c r="AR134" i="8"/>
  <c r="H134" i="8"/>
  <c r="AT134" i="8"/>
  <c r="J134" i="8"/>
  <c r="AV134" i="8"/>
  <c r="L134" i="8"/>
  <c r="AX134" i="8"/>
  <c r="N134" i="8"/>
  <c r="E135" i="8"/>
  <c r="AP135" i="8"/>
  <c r="F135" i="8"/>
  <c r="AR135" i="8"/>
  <c r="H135" i="8"/>
  <c r="AT135" i="8"/>
  <c r="J135" i="8"/>
  <c r="AV135" i="8"/>
  <c r="L135" i="8"/>
  <c r="AX135" i="8"/>
  <c r="N135" i="8"/>
  <c r="E136" i="8"/>
  <c r="AP136" i="8"/>
  <c r="F136" i="8"/>
  <c r="AR136" i="8"/>
  <c r="H136" i="8"/>
  <c r="AT136" i="8"/>
  <c r="J136" i="8"/>
  <c r="AV136" i="8"/>
  <c r="L136" i="8"/>
  <c r="AX136" i="8"/>
  <c r="N136" i="8"/>
  <c r="E137" i="8"/>
  <c r="AP137" i="8"/>
  <c r="F137" i="8"/>
  <c r="AR137" i="8"/>
  <c r="H137" i="8"/>
  <c r="AT137" i="8"/>
  <c r="J137" i="8"/>
  <c r="AV137" i="8"/>
  <c r="L137" i="8"/>
  <c r="AX137" i="8"/>
  <c r="N137" i="8"/>
  <c r="E138" i="8"/>
  <c r="AP138" i="8"/>
  <c r="F138" i="8"/>
  <c r="AR138" i="8"/>
  <c r="H138" i="8"/>
  <c r="AT138" i="8"/>
  <c r="J138" i="8"/>
  <c r="AV138" i="8"/>
  <c r="L138" i="8"/>
  <c r="AX138" i="8"/>
  <c r="N138" i="8"/>
  <c r="E139" i="8"/>
  <c r="AP139" i="8"/>
  <c r="F139" i="8"/>
  <c r="AR139" i="8"/>
  <c r="H139" i="8"/>
  <c r="AT139" i="8"/>
  <c r="J139" i="8"/>
  <c r="AV139" i="8"/>
  <c r="L139" i="8"/>
  <c r="AX139" i="8"/>
  <c r="N139" i="8"/>
  <c r="E140" i="8"/>
  <c r="AP140" i="8"/>
  <c r="F140" i="8"/>
  <c r="AR140" i="8"/>
  <c r="H140" i="8"/>
  <c r="AT140" i="8"/>
  <c r="J140" i="8"/>
  <c r="AV140" i="8"/>
  <c r="L140" i="8"/>
  <c r="AX140" i="8"/>
  <c r="N140" i="8"/>
  <c r="E141" i="8"/>
  <c r="AP141" i="8"/>
  <c r="F141" i="8"/>
  <c r="AR141" i="8"/>
  <c r="H141" i="8"/>
  <c r="AT141" i="8"/>
  <c r="J141" i="8"/>
  <c r="AV141" i="8"/>
  <c r="L141" i="8"/>
  <c r="AX141" i="8"/>
  <c r="N141" i="8"/>
  <c r="E8" i="8"/>
  <c r="AP8" i="8"/>
  <c r="F8" i="8"/>
  <c r="AR8" i="8"/>
  <c r="H8" i="8"/>
  <c r="AT8" i="8"/>
  <c r="J8" i="8"/>
  <c r="AV8" i="8"/>
  <c r="L8" i="8"/>
  <c r="AX8" i="8"/>
  <c r="N8" i="8"/>
  <c r="E142" i="8"/>
  <c r="AP142" i="8"/>
  <c r="F142" i="8"/>
  <c r="AR142" i="8"/>
  <c r="H142" i="8"/>
  <c r="AT142" i="8"/>
  <c r="J142" i="8"/>
  <c r="AV142" i="8"/>
  <c r="L142" i="8"/>
  <c r="AX142" i="8"/>
  <c r="N142" i="8"/>
  <c r="E143" i="8"/>
  <c r="AP143" i="8"/>
  <c r="F143" i="8"/>
  <c r="AR143" i="8"/>
  <c r="H143" i="8"/>
  <c r="AT143" i="8"/>
  <c r="J143" i="8"/>
  <c r="AV143" i="8"/>
  <c r="L143" i="8"/>
  <c r="AX143" i="8"/>
  <c r="N143" i="8"/>
  <c r="E144" i="8"/>
  <c r="AP144" i="8"/>
  <c r="F144" i="8"/>
  <c r="AR144" i="8"/>
  <c r="H144" i="8"/>
  <c r="AT144" i="8"/>
  <c r="J144" i="8"/>
  <c r="AV144" i="8"/>
  <c r="L144" i="8"/>
  <c r="AX144" i="8"/>
  <c r="N144" i="8"/>
  <c r="E145" i="8"/>
  <c r="AP145" i="8"/>
  <c r="F145" i="8"/>
  <c r="AR145" i="8"/>
  <c r="H145" i="8"/>
  <c r="AT145" i="8"/>
  <c r="J145" i="8"/>
  <c r="AV145" i="8"/>
  <c r="L145" i="8"/>
  <c r="AX145" i="8"/>
  <c r="N145" i="8"/>
  <c r="E146" i="8"/>
  <c r="AP146" i="8"/>
  <c r="F146" i="8"/>
  <c r="AR146" i="8"/>
  <c r="H146" i="8"/>
  <c r="AT146" i="8"/>
  <c r="J146" i="8"/>
  <c r="AV146" i="8"/>
  <c r="L146" i="8"/>
  <c r="AX146" i="8"/>
  <c r="N146" i="8"/>
  <c r="E147" i="8"/>
  <c r="AP147" i="8"/>
  <c r="F147" i="8"/>
  <c r="AR147" i="8"/>
  <c r="H147" i="8"/>
  <c r="AT147" i="8"/>
  <c r="J147" i="8"/>
  <c r="AV147" i="8"/>
  <c r="L147" i="8"/>
  <c r="AX147" i="8"/>
  <c r="N147" i="8"/>
  <c r="E148" i="8"/>
  <c r="AP148" i="8"/>
  <c r="F148" i="8"/>
  <c r="AR148" i="8"/>
  <c r="H148" i="8"/>
  <c r="AT148" i="8"/>
  <c r="J148" i="8"/>
  <c r="AV148" i="8"/>
  <c r="L148" i="8"/>
  <c r="AX148" i="8"/>
  <c r="N148" i="8"/>
  <c r="E149" i="8"/>
  <c r="AP149" i="8"/>
  <c r="F149" i="8"/>
  <c r="AR149" i="8"/>
  <c r="H149" i="8"/>
  <c r="AT149" i="8"/>
  <c r="J149" i="8"/>
  <c r="AV149" i="8"/>
  <c r="L149" i="8"/>
  <c r="AX149" i="8"/>
  <c r="N149" i="8"/>
  <c r="E150" i="8"/>
  <c r="AP150" i="8"/>
  <c r="F150" i="8"/>
  <c r="AR150" i="8"/>
  <c r="H150" i="8"/>
  <c r="AT150" i="8"/>
  <c r="J150" i="8"/>
  <c r="AV150" i="8"/>
  <c r="L150" i="8"/>
  <c r="AX150" i="8"/>
  <c r="N150" i="8"/>
  <c r="E9" i="8"/>
  <c r="AP9" i="8"/>
  <c r="F9" i="8"/>
  <c r="AR9" i="8"/>
  <c r="H9" i="8"/>
  <c r="AT9" i="8"/>
  <c r="J9" i="8"/>
  <c r="AV9" i="8"/>
  <c r="L9" i="8"/>
  <c r="AX9" i="8"/>
  <c r="N9" i="8"/>
  <c r="E10" i="8"/>
  <c r="AP10" i="8"/>
  <c r="F10" i="8"/>
  <c r="AR10" i="8"/>
  <c r="H10" i="8"/>
  <c r="AT10" i="8"/>
  <c r="J10" i="8"/>
  <c r="AV10" i="8"/>
  <c r="L10" i="8"/>
  <c r="AX10" i="8"/>
  <c r="N10" i="8"/>
  <c r="E11" i="8"/>
  <c r="AP11" i="8"/>
  <c r="F11" i="8"/>
  <c r="AR11" i="8"/>
  <c r="H11" i="8"/>
  <c r="AT11" i="8"/>
  <c r="J11" i="8"/>
  <c r="AV11" i="8"/>
  <c r="L11" i="8"/>
  <c r="AX11" i="8"/>
  <c r="N11" i="8"/>
  <c r="E151" i="8"/>
  <c r="AP151" i="8"/>
  <c r="F151" i="8"/>
  <c r="AR151" i="8"/>
  <c r="H151" i="8"/>
  <c r="AT151" i="8"/>
  <c r="J151" i="8"/>
  <c r="AV151" i="8"/>
  <c r="L151" i="8"/>
  <c r="AX151" i="8"/>
  <c r="N151" i="8"/>
  <c r="AY151" i="8"/>
  <c r="O151" i="8"/>
  <c r="AZ151" i="8"/>
  <c r="P151" i="8"/>
  <c r="BA151" i="8"/>
  <c r="Q151" i="8"/>
  <c r="B151" i="8"/>
  <c r="E152" i="8"/>
  <c r="AP152" i="8"/>
  <c r="F152" i="8"/>
  <c r="AR152" i="8"/>
  <c r="H152" i="8"/>
  <c r="AT152" i="8"/>
  <c r="J152" i="8"/>
  <c r="AV152" i="8"/>
  <c r="L152" i="8"/>
  <c r="AX152" i="8"/>
  <c r="N152" i="8"/>
  <c r="AY152" i="8"/>
  <c r="O152" i="8"/>
  <c r="AZ152" i="8"/>
  <c r="P152" i="8"/>
  <c r="BA152" i="8"/>
  <c r="Q152" i="8"/>
  <c r="B152" i="8"/>
  <c r="E153" i="8"/>
  <c r="AP153" i="8"/>
  <c r="F153" i="8"/>
  <c r="AR153" i="8"/>
  <c r="H153" i="8"/>
  <c r="AT153" i="8"/>
  <c r="J153" i="8"/>
  <c r="AV153" i="8"/>
  <c r="L153" i="8"/>
  <c r="AX153" i="8"/>
  <c r="N153" i="8"/>
  <c r="AY153" i="8"/>
  <c r="O153" i="8"/>
  <c r="AZ153" i="8"/>
  <c r="P153" i="8"/>
  <c r="BA153" i="8"/>
  <c r="Q153" i="8"/>
  <c r="B153" i="8"/>
  <c r="E154" i="8"/>
  <c r="AP154" i="8"/>
  <c r="F154" i="8"/>
  <c r="AR154" i="8"/>
  <c r="H154" i="8"/>
  <c r="AT154" i="8"/>
  <c r="J154" i="8"/>
  <c r="AV154" i="8"/>
  <c r="L154" i="8"/>
  <c r="AX154" i="8"/>
  <c r="N154" i="8"/>
  <c r="AY154" i="8"/>
  <c r="O154" i="8"/>
  <c r="AZ154" i="8"/>
  <c r="P154" i="8"/>
  <c r="BA154" i="8"/>
  <c r="Q154" i="8"/>
  <c r="B154" i="8"/>
  <c r="E155" i="8"/>
  <c r="AP155" i="8"/>
  <c r="F155" i="8"/>
  <c r="AR155" i="8"/>
  <c r="H155" i="8"/>
  <c r="AT155" i="8"/>
  <c r="J155" i="8"/>
  <c r="AV155" i="8"/>
  <c r="L155" i="8"/>
  <c r="AX155" i="8"/>
  <c r="N155" i="8"/>
  <c r="AY155" i="8"/>
  <c r="O155" i="8"/>
  <c r="AZ155" i="8"/>
  <c r="P155" i="8"/>
  <c r="BA155" i="8"/>
  <c r="Q155" i="8"/>
  <c r="B155" i="8"/>
  <c r="E156" i="8"/>
  <c r="AP156" i="8"/>
  <c r="F156" i="8"/>
  <c r="AR156" i="8"/>
  <c r="H156" i="8"/>
  <c r="AT156" i="8"/>
  <c r="J156" i="8"/>
  <c r="AV156" i="8"/>
  <c r="L156" i="8"/>
  <c r="AX156" i="8"/>
  <c r="N156" i="8"/>
  <c r="AY156" i="8"/>
  <c r="O156" i="8"/>
  <c r="AZ156" i="8"/>
  <c r="P156" i="8"/>
  <c r="BA156" i="8"/>
  <c r="Q156" i="8"/>
  <c r="B156" i="8"/>
  <c r="E157" i="8"/>
  <c r="AP157" i="8"/>
  <c r="F157" i="8"/>
  <c r="AR157" i="8"/>
  <c r="H157" i="8"/>
  <c r="AT157" i="8"/>
  <c r="J157" i="8"/>
  <c r="AV157" i="8"/>
  <c r="L157" i="8"/>
  <c r="AX157" i="8"/>
  <c r="N157" i="8"/>
  <c r="AY157" i="8"/>
  <c r="O157" i="8"/>
  <c r="AZ157" i="8"/>
  <c r="P157" i="8"/>
  <c r="BA157" i="8"/>
  <c r="Q157" i="8"/>
  <c r="B157" i="8"/>
  <c r="E158" i="8"/>
  <c r="AP158" i="8"/>
  <c r="F158" i="8"/>
  <c r="AR158" i="8"/>
  <c r="H158" i="8"/>
  <c r="AT158" i="8"/>
  <c r="J158" i="8"/>
  <c r="AV158" i="8"/>
  <c r="L158" i="8"/>
  <c r="AX158" i="8"/>
  <c r="N158" i="8"/>
  <c r="AY158" i="8"/>
  <c r="O158" i="8"/>
  <c r="AZ158" i="8"/>
  <c r="P158" i="8"/>
  <c r="BA158" i="8"/>
  <c r="Q158" i="8"/>
  <c r="B158" i="8"/>
  <c r="E159" i="8"/>
  <c r="AP159" i="8"/>
  <c r="F159" i="8"/>
  <c r="AR159" i="8"/>
  <c r="H159" i="8"/>
  <c r="AT159" i="8"/>
  <c r="J159" i="8"/>
  <c r="AV159" i="8"/>
  <c r="L159" i="8"/>
  <c r="AX159" i="8"/>
  <c r="N159" i="8"/>
  <c r="AY159" i="8"/>
  <c r="O159" i="8"/>
  <c r="AZ159" i="8"/>
  <c r="P159" i="8"/>
  <c r="BA159" i="8"/>
  <c r="Q159" i="8"/>
  <c r="B159" i="8"/>
  <c r="E160" i="8"/>
  <c r="AP160" i="8"/>
  <c r="F160" i="8"/>
  <c r="AR160" i="8"/>
  <c r="H160" i="8"/>
  <c r="AT160" i="8"/>
  <c r="J160" i="8"/>
  <c r="AV160" i="8"/>
  <c r="L160" i="8"/>
  <c r="AX160" i="8"/>
  <c r="N160" i="8"/>
  <c r="AY160" i="8"/>
  <c r="O160" i="8"/>
  <c r="AZ160" i="8"/>
  <c r="P160" i="8"/>
  <c r="BA160" i="8"/>
  <c r="Q160" i="8"/>
  <c r="B160" i="8"/>
  <c r="E161" i="8"/>
  <c r="AP161" i="8"/>
  <c r="F161" i="8"/>
  <c r="AR161" i="8"/>
  <c r="H161" i="8"/>
  <c r="AT161" i="8"/>
  <c r="J161" i="8"/>
  <c r="AV161" i="8"/>
  <c r="L161" i="8"/>
  <c r="AX161" i="8"/>
  <c r="N161" i="8"/>
  <c r="AY161" i="8"/>
  <c r="O161" i="8"/>
  <c r="AZ161" i="8"/>
  <c r="P161" i="8"/>
  <c r="BA161" i="8"/>
  <c r="Q161" i="8"/>
  <c r="B161" i="8"/>
  <c r="E162" i="8"/>
  <c r="AP162" i="8"/>
  <c r="F162" i="8"/>
  <c r="AR162" i="8"/>
  <c r="H162" i="8"/>
  <c r="AT162" i="8"/>
  <c r="J162" i="8"/>
  <c r="AV162" i="8"/>
  <c r="L162" i="8"/>
  <c r="AX162" i="8"/>
  <c r="N162" i="8"/>
  <c r="AY162" i="8"/>
  <c r="O162" i="8"/>
  <c r="AZ162" i="8"/>
  <c r="P162" i="8"/>
  <c r="BA162" i="8"/>
  <c r="Q162" i="8"/>
  <c r="B162" i="8"/>
  <c r="E163" i="8"/>
  <c r="AP163" i="8"/>
  <c r="F163" i="8"/>
  <c r="AR163" i="8"/>
  <c r="H163" i="8"/>
  <c r="AT163" i="8"/>
  <c r="J163" i="8"/>
  <c r="AV163" i="8"/>
  <c r="L163" i="8"/>
  <c r="AX163" i="8"/>
  <c r="N163" i="8"/>
  <c r="AY163" i="8"/>
  <c r="O163" i="8"/>
  <c r="AZ163" i="8"/>
  <c r="P163" i="8"/>
  <c r="BA163" i="8"/>
  <c r="Q163" i="8"/>
  <c r="B163" i="8"/>
  <c r="E164" i="8"/>
  <c r="AP164" i="8"/>
  <c r="F164" i="8"/>
  <c r="AR164" i="8"/>
  <c r="H164" i="8"/>
  <c r="AT164" i="8"/>
  <c r="J164" i="8"/>
  <c r="AV164" i="8"/>
  <c r="L164" i="8"/>
  <c r="AX164" i="8"/>
  <c r="N164" i="8"/>
  <c r="AY164" i="8"/>
  <c r="O164" i="8"/>
  <c r="AZ164" i="8"/>
  <c r="P164" i="8"/>
  <c r="BA164" i="8"/>
  <c r="Q164" i="8"/>
  <c r="B164" i="8"/>
  <c r="E165" i="8"/>
  <c r="AP165" i="8"/>
  <c r="F165" i="8"/>
  <c r="AR165" i="8"/>
  <c r="H165" i="8"/>
  <c r="AT165" i="8"/>
  <c r="J165" i="8"/>
  <c r="AV165" i="8"/>
  <c r="L165" i="8"/>
  <c r="AX165" i="8"/>
  <c r="N165" i="8"/>
  <c r="AY165" i="8"/>
  <c r="O165" i="8"/>
  <c r="AZ165" i="8"/>
  <c r="P165" i="8"/>
  <c r="BA165" i="8"/>
  <c r="Q165" i="8"/>
  <c r="B165" i="8"/>
  <c r="E166" i="8"/>
  <c r="AP166" i="8"/>
  <c r="F166" i="8"/>
  <c r="AR166" i="8"/>
  <c r="H166" i="8"/>
  <c r="AT166" i="8"/>
  <c r="J166" i="8"/>
  <c r="AV166" i="8"/>
  <c r="L166" i="8"/>
  <c r="AX166" i="8"/>
  <c r="N166" i="8"/>
  <c r="AY166" i="8"/>
  <c r="O166" i="8"/>
  <c r="AZ166" i="8"/>
  <c r="P166" i="8"/>
  <c r="BA166" i="8"/>
  <c r="Q166" i="8"/>
  <c r="B166" i="8"/>
  <c r="E167" i="8"/>
  <c r="AP167" i="8"/>
  <c r="F167" i="8"/>
  <c r="AR167" i="8"/>
  <c r="H167" i="8"/>
  <c r="AT167" i="8"/>
  <c r="J167" i="8"/>
  <c r="AV167" i="8"/>
  <c r="L167" i="8"/>
  <c r="AX167" i="8"/>
  <c r="N167" i="8"/>
  <c r="AY167" i="8"/>
  <c r="O167" i="8"/>
  <c r="AZ167" i="8"/>
  <c r="P167" i="8"/>
  <c r="BA167" i="8"/>
  <c r="Q167" i="8"/>
  <c r="B167" i="8"/>
  <c r="E168" i="8"/>
  <c r="AP168" i="8"/>
  <c r="F168" i="8"/>
  <c r="AR168" i="8"/>
  <c r="H168" i="8"/>
  <c r="AT168" i="8"/>
  <c r="J168" i="8"/>
  <c r="AV168" i="8"/>
  <c r="L168" i="8"/>
  <c r="AX168" i="8"/>
  <c r="N168" i="8"/>
  <c r="AY168" i="8"/>
  <c r="O168" i="8"/>
  <c r="AZ168" i="8"/>
  <c r="P168" i="8"/>
  <c r="BA168" i="8"/>
  <c r="Q168" i="8"/>
  <c r="B168" i="8"/>
  <c r="E169" i="8"/>
  <c r="AP169" i="8"/>
  <c r="F169" i="8"/>
  <c r="AR169" i="8"/>
  <c r="H169" i="8"/>
  <c r="AT169" i="8"/>
  <c r="J169" i="8"/>
  <c r="AV169" i="8"/>
  <c r="L169" i="8"/>
  <c r="AX169" i="8"/>
  <c r="N169" i="8"/>
  <c r="AY169" i="8"/>
  <c r="O169" i="8"/>
  <c r="AZ169" i="8"/>
  <c r="P169" i="8"/>
  <c r="BA169" i="8"/>
  <c r="Q169" i="8"/>
  <c r="B169" i="8"/>
  <c r="E170" i="8"/>
  <c r="AP170" i="8"/>
  <c r="F170" i="8"/>
  <c r="AR170" i="8"/>
  <c r="H170" i="8"/>
  <c r="AT170" i="8"/>
  <c r="J170" i="8"/>
  <c r="AV170" i="8"/>
  <c r="L170" i="8"/>
  <c r="AX170" i="8"/>
  <c r="N170" i="8"/>
  <c r="AY170" i="8"/>
  <c r="O170" i="8"/>
  <c r="AZ170" i="8"/>
  <c r="P170" i="8"/>
  <c r="BA170" i="8"/>
  <c r="Q170" i="8"/>
  <c r="B170" i="8"/>
  <c r="E171" i="8"/>
  <c r="AP171" i="8"/>
  <c r="F171" i="8"/>
  <c r="AR171" i="8"/>
  <c r="H171" i="8"/>
  <c r="AT171" i="8"/>
  <c r="J171" i="8"/>
  <c r="AV171" i="8"/>
  <c r="L171" i="8"/>
  <c r="AX171" i="8"/>
  <c r="N171" i="8"/>
  <c r="AY171" i="8"/>
  <c r="O171" i="8"/>
  <c r="AZ171" i="8"/>
  <c r="P171" i="8"/>
  <c r="BA171" i="8"/>
  <c r="Q171" i="8"/>
  <c r="B171" i="8"/>
  <c r="E172" i="8"/>
  <c r="AP172" i="8"/>
  <c r="F172" i="8"/>
  <c r="AR172" i="8"/>
  <c r="H172" i="8"/>
  <c r="AT172" i="8"/>
  <c r="J172" i="8"/>
  <c r="AV172" i="8"/>
  <c r="L172" i="8"/>
  <c r="AX172" i="8"/>
  <c r="N172" i="8"/>
  <c r="AY172" i="8"/>
  <c r="O172" i="8"/>
  <c r="AZ172" i="8"/>
  <c r="P172" i="8"/>
  <c r="BA172" i="8"/>
  <c r="Q172" i="8"/>
  <c r="B172" i="8"/>
  <c r="E12" i="8"/>
  <c r="AP12" i="8"/>
  <c r="F12" i="8"/>
  <c r="AR12" i="8"/>
  <c r="H12" i="8"/>
  <c r="AT12" i="8"/>
  <c r="J12" i="8"/>
  <c r="AV12" i="8"/>
  <c r="L12" i="8"/>
  <c r="AX12" i="8"/>
  <c r="N12" i="8"/>
  <c r="AY12" i="8"/>
  <c r="O12" i="8"/>
  <c r="AZ12" i="8"/>
  <c r="P12" i="8"/>
  <c r="BA12" i="8"/>
  <c r="Q12" i="8"/>
  <c r="B12" i="8"/>
  <c r="E173" i="8"/>
  <c r="AP173" i="8"/>
  <c r="F173" i="8"/>
  <c r="AR173" i="8"/>
  <c r="H173" i="8"/>
  <c r="AT173" i="8"/>
  <c r="J173" i="8"/>
  <c r="AV173" i="8"/>
  <c r="L173" i="8"/>
  <c r="AX173" i="8"/>
  <c r="N173" i="8"/>
  <c r="AY173" i="8"/>
  <c r="O173" i="8"/>
  <c r="AZ173" i="8"/>
  <c r="P173" i="8"/>
  <c r="BA173" i="8"/>
  <c r="Q173" i="8"/>
  <c r="B173" i="8"/>
  <c r="E174" i="8"/>
  <c r="AP174" i="8"/>
  <c r="F174" i="8"/>
  <c r="AR174" i="8"/>
  <c r="H174" i="8"/>
  <c r="AT174" i="8"/>
  <c r="J174" i="8"/>
  <c r="AV174" i="8"/>
  <c r="L174" i="8"/>
  <c r="AX174" i="8"/>
  <c r="N174" i="8"/>
  <c r="AY174" i="8"/>
  <c r="O174" i="8"/>
  <c r="AZ174" i="8"/>
  <c r="P174" i="8"/>
  <c r="BA174" i="8"/>
  <c r="Q174" i="8"/>
  <c r="B174" i="8"/>
  <c r="E175" i="8"/>
  <c r="AP175" i="8"/>
  <c r="F175" i="8"/>
  <c r="AR175" i="8"/>
  <c r="H175" i="8"/>
  <c r="AT175" i="8"/>
  <c r="J175" i="8"/>
  <c r="AV175" i="8"/>
  <c r="L175" i="8"/>
  <c r="AX175" i="8"/>
  <c r="N175" i="8"/>
  <c r="AY175" i="8"/>
  <c r="O175" i="8"/>
  <c r="AZ175" i="8"/>
  <c r="P175" i="8"/>
  <c r="BA175" i="8"/>
  <c r="Q175" i="8"/>
  <c r="B175" i="8"/>
  <c r="E176" i="8"/>
  <c r="AP176" i="8"/>
  <c r="F176" i="8"/>
  <c r="AR176" i="8"/>
  <c r="H176" i="8"/>
  <c r="AT176" i="8"/>
  <c r="J176" i="8"/>
  <c r="AV176" i="8"/>
  <c r="L176" i="8"/>
  <c r="AX176" i="8"/>
  <c r="N176" i="8"/>
  <c r="AY176" i="8"/>
  <c r="O176" i="8"/>
  <c r="AZ176" i="8"/>
  <c r="P176" i="8"/>
  <c r="BA176" i="8"/>
  <c r="Q176" i="8"/>
  <c r="B176" i="8"/>
  <c r="E177" i="8"/>
  <c r="AP177" i="8"/>
  <c r="F177" i="8"/>
  <c r="AR177" i="8"/>
  <c r="H177" i="8"/>
  <c r="AT177" i="8"/>
  <c r="J177" i="8"/>
  <c r="AV177" i="8"/>
  <c r="L177" i="8"/>
  <c r="AX177" i="8"/>
  <c r="N177" i="8"/>
  <c r="AY177" i="8"/>
  <c r="O177" i="8"/>
  <c r="AZ177" i="8"/>
  <c r="P177" i="8"/>
  <c r="BA177" i="8"/>
  <c r="Q177" i="8"/>
  <c r="B177" i="8"/>
  <c r="E178" i="8"/>
  <c r="AP178" i="8"/>
  <c r="F178" i="8"/>
  <c r="AR178" i="8"/>
  <c r="H178" i="8"/>
  <c r="AT178" i="8"/>
  <c r="J178" i="8"/>
  <c r="AV178" i="8"/>
  <c r="L178" i="8"/>
  <c r="AX178" i="8"/>
  <c r="N178" i="8"/>
  <c r="AY178" i="8"/>
  <c r="O178" i="8"/>
  <c r="AZ178" i="8"/>
  <c r="P178" i="8"/>
  <c r="BA178" i="8"/>
  <c r="Q178" i="8"/>
  <c r="B178" i="8"/>
  <c r="E179" i="8"/>
  <c r="AP179" i="8"/>
  <c r="F179" i="8"/>
  <c r="AR179" i="8"/>
  <c r="H179" i="8"/>
  <c r="AT179" i="8"/>
  <c r="J179" i="8"/>
  <c r="AV179" i="8"/>
  <c r="L179" i="8"/>
  <c r="AX179" i="8"/>
  <c r="N179" i="8"/>
  <c r="AY179" i="8"/>
  <c r="O179" i="8"/>
  <c r="AZ179" i="8"/>
  <c r="P179" i="8"/>
  <c r="BA179" i="8"/>
  <c r="Q179" i="8"/>
  <c r="B179" i="8"/>
  <c r="E180" i="8"/>
  <c r="AP180" i="8"/>
  <c r="F180" i="8"/>
  <c r="AR180" i="8"/>
  <c r="H180" i="8"/>
  <c r="AT180" i="8"/>
  <c r="J180" i="8"/>
  <c r="AV180" i="8"/>
  <c r="L180" i="8"/>
  <c r="AX180" i="8"/>
  <c r="N180" i="8"/>
  <c r="AY180" i="8"/>
  <c r="O180" i="8"/>
  <c r="AZ180" i="8"/>
  <c r="P180" i="8"/>
  <c r="BA180" i="8"/>
  <c r="Q180" i="8"/>
  <c r="B180" i="8"/>
  <c r="E181" i="8"/>
  <c r="AP181" i="8"/>
  <c r="F181" i="8"/>
  <c r="AR181" i="8"/>
  <c r="H181" i="8"/>
  <c r="AT181" i="8"/>
  <c r="J181" i="8"/>
  <c r="AV181" i="8"/>
  <c r="L181" i="8"/>
  <c r="AX181" i="8"/>
  <c r="N181" i="8"/>
  <c r="AY181" i="8"/>
  <c r="O181" i="8"/>
  <c r="AZ181" i="8"/>
  <c r="P181" i="8"/>
  <c r="BA181" i="8"/>
  <c r="Q181" i="8"/>
  <c r="B181" i="8"/>
  <c r="E182" i="8"/>
  <c r="AP182" i="8"/>
  <c r="F182" i="8"/>
  <c r="AR182" i="8"/>
  <c r="H182" i="8"/>
  <c r="AT182" i="8"/>
  <c r="J182" i="8"/>
  <c r="AV182" i="8"/>
  <c r="L182" i="8"/>
  <c r="AX182" i="8"/>
  <c r="N182" i="8"/>
  <c r="AY182" i="8"/>
  <c r="O182" i="8"/>
  <c r="AZ182" i="8"/>
  <c r="P182" i="8"/>
  <c r="BA182" i="8"/>
  <c r="Q182" i="8"/>
  <c r="B182" i="8"/>
  <c r="E13" i="8"/>
  <c r="AP13" i="8"/>
  <c r="F13" i="8"/>
  <c r="AR13" i="8"/>
  <c r="H13" i="8"/>
  <c r="AT13" i="8"/>
  <c r="J13" i="8"/>
  <c r="AV13" i="8"/>
  <c r="L13" i="8"/>
  <c r="AX13" i="8"/>
  <c r="N13" i="8"/>
  <c r="AY13" i="8"/>
  <c r="O13" i="8"/>
  <c r="AZ13" i="8"/>
  <c r="P13" i="8"/>
  <c r="BA13" i="8"/>
  <c r="Q13" i="8"/>
  <c r="B13" i="8"/>
  <c r="E183" i="8"/>
  <c r="AP183" i="8"/>
  <c r="F183" i="8"/>
  <c r="AR183" i="8"/>
  <c r="H183" i="8"/>
  <c r="AT183" i="8"/>
  <c r="J183" i="8"/>
  <c r="AV183" i="8"/>
  <c r="L183" i="8"/>
  <c r="AX183" i="8"/>
  <c r="N183" i="8"/>
  <c r="AY183" i="8"/>
  <c r="O183" i="8"/>
  <c r="AZ183" i="8"/>
  <c r="P183" i="8"/>
  <c r="BA183" i="8"/>
  <c r="Q183" i="8"/>
  <c r="B183" i="8"/>
  <c r="E184" i="8"/>
  <c r="AP184" i="8"/>
  <c r="F184" i="8"/>
  <c r="AR184" i="8"/>
  <c r="H184" i="8"/>
  <c r="AT184" i="8"/>
  <c r="J184" i="8"/>
  <c r="AV184" i="8"/>
  <c r="L184" i="8"/>
  <c r="AX184" i="8"/>
  <c r="N184" i="8"/>
  <c r="AY184" i="8"/>
  <c r="O184" i="8"/>
  <c r="AZ184" i="8"/>
  <c r="P184" i="8"/>
  <c r="BA184" i="8"/>
  <c r="Q184" i="8"/>
  <c r="B184" i="8"/>
  <c r="E185" i="8"/>
  <c r="AP185" i="8"/>
  <c r="F185" i="8"/>
  <c r="AR185" i="8"/>
  <c r="H185" i="8"/>
  <c r="AT185" i="8"/>
  <c r="J185" i="8"/>
  <c r="AV185" i="8"/>
  <c r="L185" i="8"/>
  <c r="AX185" i="8"/>
  <c r="N185" i="8"/>
  <c r="AY185" i="8"/>
  <c r="O185" i="8"/>
  <c r="AZ185" i="8"/>
  <c r="P185" i="8"/>
  <c r="BA185" i="8"/>
  <c r="Q185" i="8"/>
  <c r="B185" i="8"/>
  <c r="E186" i="8"/>
  <c r="AP186" i="8"/>
  <c r="F186" i="8"/>
  <c r="AR186" i="8"/>
  <c r="H186" i="8"/>
  <c r="AT186" i="8"/>
  <c r="J186" i="8"/>
  <c r="AV186" i="8"/>
  <c r="L186" i="8"/>
  <c r="AX186" i="8"/>
  <c r="N186" i="8"/>
  <c r="E187" i="8"/>
  <c r="AP187" i="8"/>
  <c r="F187" i="8"/>
  <c r="AR187" i="8"/>
  <c r="H187" i="8"/>
  <c r="AT187" i="8"/>
  <c r="J187" i="8"/>
  <c r="AV187" i="8"/>
  <c r="L187" i="8"/>
  <c r="AX187" i="8"/>
  <c r="N187" i="8"/>
  <c r="E188" i="8"/>
  <c r="AP188" i="8"/>
  <c r="F188" i="8"/>
  <c r="AR188" i="8"/>
  <c r="H188" i="8"/>
  <c r="AT188" i="8"/>
  <c r="J188" i="8"/>
  <c r="AV188" i="8"/>
  <c r="L188" i="8"/>
  <c r="AX188" i="8"/>
  <c r="N188" i="8"/>
  <c r="E189" i="8"/>
  <c r="AP189" i="8"/>
  <c r="F189" i="8"/>
  <c r="AR189" i="8"/>
  <c r="H189" i="8"/>
  <c r="AT189" i="8"/>
  <c r="J189" i="8"/>
  <c r="AV189" i="8"/>
  <c r="L189" i="8"/>
  <c r="AX189" i="8"/>
  <c r="N189" i="8"/>
  <c r="E190" i="8"/>
  <c r="AP190" i="8"/>
  <c r="F190" i="8"/>
  <c r="AR190" i="8"/>
  <c r="H190" i="8"/>
  <c r="AT190" i="8"/>
  <c r="J190" i="8"/>
  <c r="AV190" i="8"/>
  <c r="L190" i="8"/>
  <c r="AX190" i="8"/>
  <c r="N190" i="8"/>
  <c r="E191" i="8"/>
  <c r="AP191" i="8"/>
  <c r="F191" i="8"/>
  <c r="AR191" i="8"/>
  <c r="H191" i="8"/>
  <c r="AT191" i="8"/>
  <c r="J191" i="8"/>
  <c r="AV191" i="8"/>
  <c r="L191" i="8"/>
  <c r="AX191" i="8"/>
  <c r="N191" i="8"/>
  <c r="E192" i="8"/>
  <c r="AP192" i="8"/>
  <c r="F192" i="8"/>
  <c r="AR192" i="8"/>
  <c r="H192" i="8"/>
  <c r="AT192" i="8"/>
  <c r="J192" i="8"/>
  <c r="AV192" i="8"/>
  <c r="L192" i="8"/>
  <c r="AX192" i="8"/>
  <c r="N192" i="8"/>
  <c r="E193" i="8"/>
  <c r="AP193" i="8"/>
  <c r="F193" i="8"/>
  <c r="AR193" i="8"/>
  <c r="H193" i="8"/>
  <c r="AT193" i="8"/>
  <c r="J193" i="8"/>
  <c r="AV193" i="8"/>
  <c r="L193" i="8"/>
  <c r="AX193" i="8"/>
  <c r="N193" i="8"/>
  <c r="E194" i="8"/>
  <c r="AP194" i="8"/>
  <c r="F194" i="8"/>
  <c r="AR194" i="8"/>
  <c r="H194" i="8"/>
  <c r="AT194" i="8"/>
  <c r="J194" i="8"/>
  <c r="AV194" i="8"/>
  <c r="L194" i="8"/>
  <c r="AX194" i="8"/>
  <c r="N194" i="8"/>
  <c r="E14" i="8"/>
  <c r="AP14" i="8"/>
  <c r="F14" i="8"/>
  <c r="AR14" i="8"/>
  <c r="H14" i="8"/>
  <c r="AT14" i="8"/>
  <c r="J14" i="8"/>
  <c r="AV14" i="8"/>
  <c r="L14" i="8"/>
  <c r="AX14" i="8"/>
  <c r="N14" i="8"/>
  <c r="E195" i="8"/>
  <c r="AP195" i="8"/>
  <c r="F195" i="8"/>
  <c r="AR195" i="8"/>
  <c r="H195" i="8"/>
  <c r="AT195" i="8"/>
  <c r="J195" i="8"/>
  <c r="AV195" i="8"/>
  <c r="L195" i="8"/>
  <c r="AX195" i="8"/>
  <c r="N195" i="8"/>
  <c r="E196" i="8"/>
  <c r="AP196" i="8"/>
  <c r="F196" i="8"/>
  <c r="AR196" i="8"/>
  <c r="H196" i="8"/>
  <c r="AT196" i="8"/>
  <c r="J196" i="8"/>
  <c r="AV196" i="8"/>
  <c r="L196" i="8"/>
  <c r="AX196" i="8"/>
  <c r="N196" i="8"/>
  <c r="E197" i="8"/>
  <c r="AP197" i="8"/>
  <c r="F197" i="8"/>
  <c r="AR197" i="8"/>
  <c r="H197" i="8"/>
  <c r="AT197" i="8"/>
  <c r="J197" i="8"/>
  <c r="AV197" i="8"/>
  <c r="L197" i="8"/>
  <c r="AX197" i="8"/>
  <c r="N197" i="8"/>
  <c r="E198" i="8"/>
  <c r="AP198" i="8"/>
  <c r="F198" i="8"/>
  <c r="AR198" i="8"/>
  <c r="H198" i="8"/>
  <c r="AT198" i="8"/>
  <c r="J198" i="8"/>
  <c r="AV198" i="8"/>
  <c r="L198" i="8"/>
  <c r="AX198" i="8"/>
  <c r="N198" i="8"/>
  <c r="E199" i="8"/>
  <c r="AP199" i="8"/>
  <c r="F199" i="8"/>
  <c r="AR199" i="8"/>
  <c r="H199" i="8"/>
  <c r="AT199" i="8"/>
  <c r="J199" i="8"/>
  <c r="AV199" i="8"/>
  <c r="L199" i="8"/>
  <c r="AX199" i="8"/>
  <c r="N199" i="8"/>
  <c r="E200" i="8"/>
  <c r="AP200" i="8"/>
  <c r="F200" i="8"/>
  <c r="AR200" i="8"/>
  <c r="H200" i="8"/>
  <c r="AT200" i="8"/>
  <c r="J200" i="8"/>
  <c r="AV200" i="8"/>
  <c r="L200" i="8"/>
  <c r="AX200" i="8"/>
  <c r="N200" i="8"/>
  <c r="E201" i="8"/>
  <c r="AP201" i="8"/>
  <c r="F201" i="8"/>
  <c r="AR201" i="8"/>
  <c r="H201" i="8"/>
  <c r="AT201" i="8"/>
  <c r="J201" i="8"/>
  <c r="AV201" i="8"/>
  <c r="L201" i="8"/>
  <c r="AX201" i="8"/>
  <c r="N201" i="8"/>
  <c r="E15" i="8"/>
  <c r="AP15" i="8"/>
  <c r="F15" i="8"/>
  <c r="AR15" i="8"/>
  <c r="H15" i="8"/>
  <c r="AT15" i="8"/>
  <c r="J15" i="8"/>
  <c r="AV15" i="8"/>
  <c r="L15" i="8"/>
  <c r="AX15" i="8"/>
  <c r="N15" i="8"/>
  <c r="E202" i="8"/>
  <c r="AP202" i="8"/>
  <c r="F202" i="8"/>
  <c r="AR202" i="8"/>
  <c r="H202" i="8"/>
  <c r="AT202" i="8"/>
  <c r="J202" i="8"/>
  <c r="AV202" i="8"/>
  <c r="L202" i="8"/>
  <c r="AX202" i="8"/>
  <c r="N202" i="8"/>
  <c r="E203" i="8"/>
  <c r="AP203" i="8"/>
  <c r="F203" i="8"/>
  <c r="AR203" i="8"/>
  <c r="H203" i="8"/>
  <c r="AT203" i="8"/>
  <c r="J203" i="8"/>
  <c r="AV203" i="8"/>
  <c r="L203" i="8"/>
  <c r="AX203" i="8"/>
  <c r="N203" i="8"/>
  <c r="E16" i="8"/>
  <c r="AP16" i="8"/>
  <c r="F16" i="8"/>
  <c r="AR16" i="8"/>
  <c r="H16" i="8"/>
  <c r="AT16" i="8"/>
  <c r="J16" i="8"/>
  <c r="AV16" i="8"/>
  <c r="L16" i="8"/>
  <c r="AX16" i="8"/>
  <c r="N16" i="8"/>
  <c r="E204" i="8"/>
  <c r="AP204" i="8"/>
  <c r="F204" i="8"/>
  <c r="AR204" i="8"/>
  <c r="H204" i="8"/>
  <c r="AT204" i="8"/>
  <c r="J204" i="8"/>
  <c r="AV204" i="8"/>
  <c r="L204" i="8"/>
  <c r="AX204" i="8"/>
  <c r="N204" i="8"/>
  <c r="E205" i="8"/>
  <c r="AP205" i="8"/>
  <c r="F205" i="8"/>
  <c r="AR205" i="8"/>
  <c r="H205" i="8"/>
  <c r="AT205" i="8"/>
  <c r="J205" i="8"/>
  <c r="AV205" i="8"/>
  <c r="L205" i="8"/>
  <c r="AX205" i="8"/>
  <c r="N205" i="8"/>
  <c r="E206" i="8"/>
  <c r="AP206" i="8"/>
  <c r="F206" i="8"/>
  <c r="AR206" i="8"/>
  <c r="H206" i="8"/>
  <c r="AT206" i="8"/>
  <c r="J206" i="8"/>
  <c r="AV206" i="8"/>
  <c r="L206" i="8"/>
  <c r="AX206" i="8"/>
  <c r="N206" i="8"/>
  <c r="E207" i="8"/>
  <c r="AP207" i="8"/>
  <c r="F207" i="8"/>
  <c r="AR207" i="8"/>
  <c r="H207" i="8"/>
  <c r="AT207" i="8"/>
  <c r="J207" i="8"/>
  <c r="AV207" i="8"/>
  <c r="L207" i="8"/>
  <c r="AX207" i="8"/>
  <c r="N207" i="8"/>
  <c r="E208" i="8"/>
  <c r="AP208" i="8"/>
  <c r="F208" i="8"/>
  <c r="AR208" i="8"/>
  <c r="H208" i="8"/>
  <c r="AT208" i="8"/>
  <c r="J208" i="8"/>
  <c r="AV208" i="8"/>
  <c r="L208" i="8"/>
  <c r="AX208" i="8"/>
  <c r="N208" i="8"/>
  <c r="AY208" i="8"/>
  <c r="O208" i="8"/>
  <c r="AZ208" i="8"/>
  <c r="P208" i="8"/>
  <c r="BA208" i="8"/>
  <c r="Q208" i="8"/>
  <c r="B208" i="8"/>
  <c r="E209" i="8"/>
  <c r="AP209" i="8"/>
  <c r="F209" i="8"/>
  <c r="AR209" i="8"/>
  <c r="H209" i="8"/>
  <c r="AT209" i="8"/>
  <c r="J209" i="8"/>
  <c r="AV209" i="8"/>
  <c r="L209" i="8"/>
  <c r="AX209" i="8"/>
  <c r="N209" i="8"/>
  <c r="AY209" i="8"/>
  <c r="O209" i="8"/>
  <c r="AZ209" i="8"/>
  <c r="P209" i="8"/>
  <c r="BA209" i="8"/>
  <c r="Q209" i="8"/>
  <c r="B209" i="8"/>
  <c r="E17" i="8"/>
  <c r="AP17" i="8"/>
  <c r="F17" i="8"/>
  <c r="AR17" i="8"/>
  <c r="H17" i="8"/>
  <c r="AT17" i="8"/>
  <c r="J17" i="8"/>
  <c r="AV17" i="8"/>
  <c r="L17" i="8"/>
  <c r="AX17" i="8"/>
  <c r="N17" i="8"/>
  <c r="AY17" i="8"/>
  <c r="O17" i="8"/>
  <c r="AZ17" i="8"/>
  <c r="P17" i="8"/>
  <c r="BA17" i="8"/>
  <c r="Q17" i="8"/>
  <c r="B17" i="8"/>
  <c r="E210" i="8"/>
  <c r="AP210" i="8"/>
  <c r="F210" i="8"/>
  <c r="AR210" i="8"/>
  <c r="H210" i="8"/>
  <c r="AT210" i="8"/>
  <c r="J210" i="8"/>
  <c r="AV210" i="8"/>
  <c r="L210" i="8"/>
  <c r="AX210" i="8"/>
  <c r="N210" i="8"/>
  <c r="AY210" i="8"/>
  <c r="O210" i="8"/>
  <c r="AZ210" i="8"/>
  <c r="P210" i="8"/>
  <c r="BA210" i="8"/>
  <c r="Q210" i="8"/>
  <c r="B210" i="8"/>
  <c r="E211" i="8"/>
  <c r="AP211" i="8"/>
  <c r="F211" i="8"/>
  <c r="AR211" i="8"/>
  <c r="H211" i="8"/>
  <c r="AT211" i="8"/>
  <c r="J211" i="8"/>
  <c r="AV211" i="8"/>
  <c r="L211" i="8"/>
  <c r="AX211" i="8"/>
  <c r="N211" i="8"/>
  <c r="AY211" i="8"/>
  <c r="O211" i="8"/>
  <c r="AZ211" i="8"/>
  <c r="P211" i="8"/>
  <c r="BA211" i="8"/>
  <c r="Q211" i="8"/>
  <c r="B211" i="8"/>
  <c r="E212" i="8"/>
  <c r="AP212" i="8"/>
  <c r="F212" i="8"/>
  <c r="AR212" i="8"/>
  <c r="H212" i="8"/>
  <c r="AT212" i="8"/>
  <c r="J212" i="8"/>
  <c r="AV212" i="8"/>
  <c r="L212" i="8"/>
  <c r="AX212" i="8"/>
  <c r="N212" i="8"/>
  <c r="AY212" i="8"/>
  <c r="O212" i="8"/>
  <c r="AZ212" i="8"/>
  <c r="P212" i="8"/>
  <c r="BA212" i="8"/>
  <c r="Q212" i="8"/>
  <c r="B212" i="8"/>
  <c r="E213" i="8"/>
  <c r="AP213" i="8"/>
  <c r="F213" i="8"/>
  <c r="AR213" i="8"/>
  <c r="H213" i="8"/>
  <c r="AT213" i="8"/>
  <c r="J213" i="8"/>
  <c r="AV213" i="8"/>
  <c r="L213" i="8"/>
  <c r="AX213" i="8"/>
  <c r="N213" i="8"/>
  <c r="AY213" i="8"/>
  <c r="O213" i="8"/>
  <c r="AZ213" i="8"/>
  <c r="P213" i="8"/>
  <c r="BA213" i="8"/>
  <c r="Q213" i="8"/>
  <c r="B213" i="8"/>
  <c r="E214" i="8"/>
  <c r="AP214" i="8"/>
  <c r="F214" i="8"/>
  <c r="AR214" i="8"/>
  <c r="H214" i="8"/>
  <c r="AT214" i="8"/>
  <c r="J214" i="8"/>
  <c r="AV214" i="8"/>
  <c r="L214" i="8"/>
  <c r="AX214" i="8"/>
  <c r="N214" i="8"/>
  <c r="AY214" i="8"/>
  <c r="O214" i="8"/>
  <c r="AZ214" i="8"/>
  <c r="P214" i="8"/>
  <c r="BA214" i="8"/>
  <c r="Q214" i="8"/>
  <c r="B214" i="8"/>
  <c r="E215" i="8"/>
  <c r="AP215" i="8"/>
  <c r="F215" i="8"/>
  <c r="AR215" i="8"/>
  <c r="H215" i="8"/>
  <c r="AT215" i="8"/>
  <c r="J215" i="8"/>
  <c r="AV215" i="8"/>
  <c r="L215" i="8"/>
  <c r="AX215" i="8"/>
  <c r="N215" i="8"/>
  <c r="AY215" i="8"/>
  <c r="O215" i="8"/>
  <c r="AZ215" i="8"/>
  <c r="P215" i="8"/>
  <c r="BA215" i="8"/>
  <c r="Q215" i="8"/>
  <c r="B215" i="8"/>
  <c r="E216" i="8"/>
  <c r="AP216" i="8"/>
  <c r="F216" i="8"/>
  <c r="AR216" i="8"/>
  <c r="H216" i="8"/>
  <c r="AT216" i="8"/>
  <c r="J216" i="8"/>
  <c r="AV216" i="8"/>
  <c r="L216" i="8"/>
  <c r="AX216" i="8"/>
  <c r="N216" i="8"/>
  <c r="AY216" i="8"/>
  <c r="O216" i="8"/>
  <c r="AZ216" i="8"/>
  <c r="P216" i="8"/>
  <c r="BA216" i="8"/>
  <c r="Q216" i="8"/>
  <c r="B216" i="8"/>
  <c r="E217" i="8"/>
  <c r="AP217" i="8"/>
  <c r="F217" i="8"/>
  <c r="AR217" i="8"/>
  <c r="H217" i="8"/>
  <c r="AT217" i="8"/>
  <c r="J217" i="8"/>
  <c r="AV217" i="8"/>
  <c r="L217" i="8"/>
  <c r="AX217" i="8"/>
  <c r="N217" i="8"/>
  <c r="AY217" i="8"/>
  <c r="O217" i="8"/>
  <c r="AZ217" i="8"/>
  <c r="P217" i="8"/>
  <c r="BA217" i="8"/>
  <c r="Q217" i="8"/>
  <c r="B217" i="8"/>
  <c r="E218" i="8"/>
  <c r="AP218" i="8"/>
  <c r="F218" i="8"/>
  <c r="AR218" i="8"/>
  <c r="H218" i="8"/>
  <c r="AT218" i="8"/>
  <c r="J218" i="8"/>
  <c r="AV218" i="8"/>
  <c r="L218" i="8"/>
  <c r="AX218" i="8"/>
  <c r="N218" i="8"/>
  <c r="AY218" i="8"/>
  <c r="O218" i="8"/>
  <c r="AZ218" i="8"/>
  <c r="P218" i="8"/>
  <c r="BA218" i="8"/>
  <c r="Q218" i="8"/>
  <c r="B218" i="8"/>
  <c r="E18" i="8"/>
  <c r="AP18" i="8"/>
  <c r="F18" i="8"/>
  <c r="AR18" i="8"/>
  <c r="H18" i="8"/>
  <c r="AT18" i="8"/>
  <c r="J18" i="8"/>
  <c r="AV18" i="8"/>
  <c r="L18" i="8"/>
  <c r="AX18" i="8"/>
  <c r="N18" i="8"/>
  <c r="AY18" i="8"/>
  <c r="O18" i="8"/>
  <c r="AZ18" i="8"/>
  <c r="P18" i="8"/>
  <c r="BA18" i="8"/>
  <c r="Q18" i="8"/>
  <c r="B18" i="8"/>
  <c r="E219" i="8"/>
  <c r="AP219" i="8"/>
  <c r="F219" i="8"/>
  <c r="AR219" i="8"/>
  <c r="H219" i="8"/>
  <c r="AT219" i="8"/>
  <c r="J219" i="8"/>
  <c r="AV219" i="8"/>
  <c r="L219" i="8"/>
  <c r="AX219" i="8"/>
  <c r="N219" i="8"/>
  <c r="AY219" i="8"/>
  <c r="O219" i="8"/>
  <c r="AZ219" i="8"/>
  <c r="P219" i="8"/>
  <c r="BA219" i="8"/>
  <c r="Q219" i="8"/>
  <c r="B219" i="8"/>
  <c r="E220" i="8"/>
  <c r="AP220" i="8"/>
  <c r="F220" i="8"/>
  <c r="AR220" i="8"/>
  <c r="H220" i="8"/>
  <c r="AT220" i="8"/>
  <c r="J220" i="8"/>
  <c r="AV220" i="8"/>
  <c r="L220" i="8"/>
  <c r="AX220" i="8"/>
  <c r="N220" i="8"/>
  <c r="AY220" i="8"/>
  <c r="O220" i="8"/>
  <c r="AZ220" i="8"/>
  <c r="P220" i="8"/>
  <c r="BA220" i="8"/>
  <c r="Q220" i="8"/>
  <c r="B220" i="8"/>
  <c r="E19" i="8"/>
  <c r="AP19" i="8"/>
  <c r="F19" i="8"/>
  <c r="AR19" i="8"/>
  <c r="H19" i="8"/>
  <c r="AT19" i="8"/>
  <c r="J19" i="8"/>
  <c r="AV19" i="8"/>
  <c r="L19" i="8"/>
  <c r="AX19" i="8"/>
  <c r="N19" i="8"/>
  <c r="AY19" i="8"/>
  <c r="O19" i="8"/>
  <c r="AZ19" i="8"/>
  <c r="P19" i="8"/>
  <c r="BA19" i="8"/>
  <c r="Q19" i="8"/>
  <c r="B19" i="8"/>
  <c r="E20" i="8"/>
  <c r="AP20" i="8"/>
  <c r="F20" i="8"/>
  <c r="AR20" i="8"/>
  <c r="H20" i="8"/>
  <c r="AT20" i="8"/>
  <c r="J20" i="8"/>
  <c r="AV20" i="8"/>
  <c r="L20" i="8"/>
  <c r="AX20" i="8"/>
  <c r="N20" i="8"/>
  <c r="AY20" i="8"/>
  <c r="O20" i="8"/>
  <c r="AZ20" i="8"/>
  <c r="P20" i="8"/>
  <c r="BA20" i="8"/>
  <c r="Q20" i="8"/>
  <c r="B20" i="8"/>
  <c r="E21" i="8"/>
  <c r="AP21" i="8"/>
  <c r="F21" i="8"/>
  <c r="AR21" i="8"/>
  <c r="H21" i="8"/>
  <c r="AT21" i="8"/>
  <c r="J21" i="8"/>
  <c r="AV21" i="8"/>
  <c r="L21" i="8"/>
  <c r="AX21" i="8"/>
  <c r="N21" i="8"/>
  <c r="AY21" i="8"/>
  <c r="O21" i="8"/>
  <c r="AZ21" i="8"/>
  <c r="P21" i="8"/>
  <c r="BA21" i="8"/>
  <c r="Q21" i="8"/>
  <c r="B21" i="8"/>
  <c r="E221" i="8"/>
  <c r="AP221" i="8"/>
  <c r="F221" i="8"/>
  <c r="AR221" i="8"/>
  <c r="H221" i="8"/>
  <c r="AT221" i="8"/>
  <c r="J221" i="8"/>
  <c r="AV221" i="8"/>
  <c r="L221" i="8"/>
  <c r="AX221" i="8"/>
  <c r="N221" i="8"/>
  <c r="AY221" i="8"/>
  <c r="O221" i="8"/>
  <c r="AZ221" i="8"/>
  <c r="P221" i="8"/>
  <c r="BA221" i="8"/>
  <c r="Q221" i="8"/>
  <c r="B221" i="8"/>
  <c r="E222" i="8"/>
  <c r="AP222" i="8"/>
  <c r="F222" i="8"/>
  <c r="AR222" i="8"/>
  <c r="H222" i="8"/>
  <c r="AT222" i="8"/>
  <c r="J222" i="8"/>
  <c r="AV222" i="8"/>
  <c r="L222" i="8"/>
  <c r="AX222" i="8"/>
  <c r="N222" i="8"/>
  <c r="AY222" i="8"/>
  <c r="O222" i="8"/>
  <c r="AZ222" i="8"/>
  <c r="P222" i="8"/>
  <c r="BA222" i="8"/>
  <c r="Q222" i="8"/>
  <c r="B222" i="8"/>
  <c r="E223" i="8"/>
  <c r="AP223" i="8"/>
  <c r="F223" i="8"/>
  <c r="AR223" i="8"/>
  <c r="H223" i="8"/>
  <c r="AT223" i="8"/>
  <c r="J223" i="8"/>
  <c r="AV223" i="8"/>
  <c r="L223" i="8"/>
  <c r="AX223" i="8"/>
  <c r="N223" i="8"/>
  <c r="AY223" i="8"/>
  <c r="O223" i="8"/>
  <c r="AZ223" i="8"/>
  <c r="P223" i="8"/>
  <c r="BA223" i="8"/>
  <c r="Q223" i="8"/>
  <c r="B223" i="8"/>
  <c r="E224" i="8"/>
  <c r="AP224" i="8"/>
  <c r="F224" i="8"/>
  <c r="AR224" i="8"/>
  <c r="H224" i="8"/>
  <c r="AT224" i="8"/>
  <c r="J224" i="8"/>
  <c r="AV224" i="8"/>
  <c r="L224" i="8"/>
  <c r="AX224" i="8"/>
  <c r="N224" i="8"/>
  <c r="AY224" i="8"/>
  <c r="O224" i="8"/>
  <c r="AZ224" i="8"/>
  <c r="P224" i="8"/>
  <c r="BA224" i="8"/>
  <c r="Q224" i="8"/>
  <c r="B224" i="8"/>
  <c r="E225" i="8"/>
  <c r="AP225" i="8"/>
  <c r="F225" i="8"/>
  <c r="AR225" i="8"/>
  <c r="H225" i="8"/>
  <c r="AT225" i="8"/>
  <c r="J225" i="8"/>
  <c r="AV225" i="8"/>
  <c r="L225" i="8"/>
  <c r="AX225" i="8"/>
  <c r="N225" i="8"/>
  <c r="AY225" i="8"/>
  <c r="O225" i="8"/>
  <c r="AZ225" i="8"/>
  <c r="P225" i="8"/>
  <c r="BA225" i="8"/>
  <c r="Q225" i="8"/>
  <c r="B225" i="8"/>
  <c r="E226" i="8"/>
  <c r="AP226" i="8"/>
  <c r="F226" i="8"/>
  <c r="AR226" i="8"/>
  <c r="H226" i="8"/>
  <c r="AT226" i="8"/>
  <c r="J226" i="8"/>
  <c r="AV226" i="8"/>
  <c r="L226" i="8"/>
  <c r="AX226" i="8"/>
  <c r="N226" i="8"/>
  <c r="AY226" i="8"/>
  <c r="O226" i="8"/>
  <c r="AZ226" i="8"/>
  <c r="P226" i="8"/>
  <c r="BA226" i="8"/>
  <c r="Q226" i="8"/>
  <c r="B226" i="8"/>
  <c r="E227" i="8"/>
  <c r="AP227" i="8"/>
  <c r="F227" i="8"/>
  <c r="AR227" i="8"/>
  <c r="H227" i="8"/>
  <c r="AT227" i="8"/>
  <c r="J227" i="8"/>
  <c r="AV227" i="8"/>
  <c r="L227" i="8"/>
  <c r="AX227" i="8"/>
  <c r="N227" i="8"/>
  <c r="AY227" i="8"/>
  <c r="O227" i="8"/>
  <c r="AZ227" i="8"/>
  <c r="P227" i="8"/>
  <c r="BA227" i="8"/>
  <c r="Q227" i="8"/>
  <c r="B227" i="8"/>
  <c r="E228" i="8"/>
  <c r="AP228" i="8"/>
  <c r="F228" i="8"/>
  <c r="AR228" i="8"/>
  <c r="H228" i="8"/>
  <c r="AT228" i="8"/>
  <c r="J228" i="8"/>
  <c r="AV228" i="8"/>
  <c r="L228" i="8"/>
  <c r="AX228" i="8"/>
  <c r="N228" i="8"/>
  <c r="AY228" i="8"/>
  <c r="O228" i="8"/>
  <c r="AZ228" i="8"/>
  <c r="P228" i="8"/>
  <c r="BA228" i="8"/>
  <c r="Q228" i="8"/>
  <c r="B228" i="8"/>
  <c r="E22" i="8"/>
  <c r="AP22" i="8"/>
  <c r="F22" i="8"/>
  <c r="AR22" i="8"/>
  <c r="H22" i="8"/>
  <c r="AT22" i="8"/>
  <c r="J22" i="8"/>
  <c r="AV22" i="8"/>
  <c r="L22" i="8"/>
  <c r="AX22" i="8"/>
  <c r="N22" i="8"/>
  <c r="AY22" i="8"/>
  <c r="O22" i="8"/>
  <c r="AZ22" i="8"/>
  <c r="P22" i="8"/>
  <c r="BA22" i="8"/>
  <c r="Q22" i="8"/>
  <c r="B22" i="8"/>
  <c r="E23" i="8"/>
  <c r="AP23" i="8"/>
  <c r="F23" i="8"/>
  <c r="AR23" i="8"/>
  <c r="H23" i="8"/>
  <c r="AT23" i="8"/>
  <c r="J23" i="8"/>
  <c r="AV23" i="8"/>
  <c r="L23" i="8"/>
  <c r="AX23" i="8"/>
  <c r="N23" i="8"/>
  <c r="AY23" i="8"/>
  <c r="O23" i="8"/>
  <c r="AZ23" i="8"/>
  <c r="P23" i="8"/>
  <c r="BA23" i="8"/>
  <c r="Q23" i="8"/>
  <c r="B23" i="8"/>
  <c r="E229" i="8"/>
  <c r="AP229" i="8"/>
  <c r="F229" i="8"/>
  <c r="AR229" i="8"/>
  <c r="H229" i="8"/>
  <c r="AT229" i="8"/>
  <c r="J229" i="8"/>
  <c r="AV229" i="8"/>
  <c r="L229" i="8"/>
  <c r="AX229" i="8"/>
  <c r="N229" i="8"/>
  <c r="AY229" i="8"/>
  <c r="O229" i="8"/>
  <c r="AZ229" i="8"/>
  <c r="P229" i="8"/>
  <c r="BA229" i="8"/>
  <c r="Q229" i="8"/>
  <c r="B229" i="8"/>
  <c r="E230" i="8"/>
  <c r="AP230" i="8"/>
  <c r="F230" i="8"/>
  <c r="AR230" i="8"/>
  <c r="H230" i="8"/>
  <c r="AT230" i="8"/>
  <c r="J230" i="8"/>
  <c r="AV230" i="8"/>
  <c r="L230" i="8"/>
  <c r="AX230" i="8"/>
  <c r="N230" i="8"/>
  <c r="AY230" i="8"/>
  <c r="O230" i="8"/>
  <c r="AZ230" i="8"/>
  <c r="P230" i="8"/>
  <c r="BA230" i="8"/>
  <c r="Q230" i="8"/>
  <c r="B230" i="8"/>
  <c r="E231" i="8"/>
  <c r="AP231" i="8"/>
  <c r="F231" i="8"/>
  <c r="AR231" i="8"/>
  <c r="H231" i="8"/>
  <c r="AT231" i="8"/>
  <c r="J231" i="8"/>
  <c r="AV231" i="8"/>
  <c r="L231" i="8"/>
  <c r="AX231" i="8"/>
  <c r="N231" i="8"/>
  <c r="AY231" i="8"/>
  <c r="O231" i="8"/>
  <c r="AZ231" i="8"/>
  <c r="P231" i="8"/>
  <c r="BA231" i="8"/>
  <c r="Q231" i="8"/>
  <c r="B231" i="8"/>
  <c r="E232" i="8"/>
  <c r="AP232" i="8"/>
  <c r="F232" i="8"/>
  <c r="AR232" i="8"/>
  <c r="H232" i="8"/>
  <c r="AT232" i="8"/>
  <c r="J232" i="8"/>
  <c r="AV232" i="8"/>
  <c r="L232" i="8"/>
  <c r="AX232" i="8"/>
  <c r="N232" i="8"/>
  <c r="AY232" i="8"/>
  <c r="O232" i="8"/>
  <c r="AZ232" i="8"/>
  <c r="P232" i="8"/>
  <c r="BA232" i="8"/>
  <c r="Q232" i="8"/>
  <c r="B232" i="8"/>
  <c r="E233" i="8"/>
  <c r="AP233" i="8"/>
  <c r="F233" i="8"/>
  <c r="AR233" i="8"/>
  <c r="H233" i="8"/>
  <c r="AT233" i="8"/>
  <c r="J233" i="8"/>
  <c r="AV233" i="8"/>
  <c r="L233" i="8"/>
  <c r="AX233" i="8"/>
  <c r="N233" i="8"/>
  <c r="AY233" i="8"/>
  <c r="O233" i="8"/>
  <c r="AZ233" i="8"/>
  <c r="P233" i="8"/>
  <c r="BA233" i="8"/>
  <c r="Q233" i="8"/>
  <c r="B233" i="8"/>
  <c r="E234" i="8"/>
  <c r="AP234" i="8"/>
  <c r="F234" i="8"/>
  <c r="AR234" i="8"/>
  <c r="H234" i="8"/>
  <c r="AT234" i="8"/>
  <c r="J234" i="8"/>
  <c r="AV234" i="8"/>
  <c r="L234" i="8"/>
  <c r="AX234" i="8"/>
  <c r="N234" i="8"/>
  <c r="AY234" i="8"/>
  <c r="O234" i="8"/>
  <c r="AZ234" i="8"/>
  <c r="P234" i="8"/>
  <c r="BA234" i="8"/>
  <c r="Q234" i="8"/>
  <c r="B234" i="8"/>
  <c r="E235" i="8"/>
  <c r="AP235" i="8"/>
  <c r="F235" i="8"/>
  <c r="AR235" i="8"/>
  <c r="H235" i="8"/>
  <c r="AT235" i="8"/>
  <c r="J235" i="8"/>
  <c r="AV235" i="8"/>
  <c r="L235" i="8"/>
  <c r="AX235" i="8"/>
  <c r="N235" i="8"/>
  <c r="AY235" i="8"/>
  <c r="O235" i="8"/>
  <c r="AZ235" i="8"/>
  <c r="P235" i="8"/>
  <c r="BA235" i="8"/>
  <c r="Q235" i="8"/>
  <c r="B235" i="8"/>
  <c r="E236" i="8"/>
  <c r="AP236" i="8"/>
  <c r="F236" i="8"/>
  <c r="AR236" i="8"/>
  <c r="H236" i="8"/>
  <c r="AT236" i="8"/>
  <c r="J236" i="8"/>
  <c r="AV236" i="8"/>
  <c r="L236" i="8"/>
  <c r="AX236" i="8"/>
  <c r="N236" i="8"/>
  <c r="AY236" i="8"/>
  <c r="O236" i="8"/>
  <c r="AZ236" i="8"/>
  <c r="P236" i="8"/>
  <c r="BA236" i="8"/>
  <c r="Q236" i="8"/>
  <c r="B236" i="8"/>
  <c r="E237" i="8"/>
  <c r="AP237" i="8"/>
  <c r="F237" i="8"/>
  <c r="AR237" i="8"/>
  <c r="H237" i="8"/>
  <c r="AT237" i="8"/>
  <c r="J237" i="8"/>
  <c r="AV237" i="8"/>
  <c r="L237" i="8"/>
  <c r="AX237" i="8"/>
  <c r="N237" i="8"/>
  <c r="E238" i="8"/>
  <c r="AP238" i="8"/>
  <c r="F238" i="8"/>
  <c r="AR238" i="8"/>
  <c r="H238" i="8"/>
  <c r="AT238" i="8"/>
  <c r="J238" i="8"/>
  <c r="AV238" i="8"/>
  <c r="L238" i="8"/>
  <c r="AX238" i="8"/>
  <c r="N238" i="8"/>
  <c r="E239" i="8"/>
  <c r="AP239" i="8"/>
  <c r="F239" i="8"/>
  <c r="AR239" i="8"/>
  <c r="H239" i="8"/>
  <c r="AT239" i="8"/>
  <c r="J239" i="8"/>
  <c r="AV239" i="8"/>
  <c r="L239" i="8"/>
  <c r="AX239" i="8"/>
  <c r="N239" i="8"/>
  <c r="E240" i="8"/>
  <c r="AP240" i="8"/>
  <c r="F240" i="8"/>
  <c r="AR240" i="8"/>
  <c r="H240" i="8"/>
  <c r="AT240" i="8"/>
  <c r="J240" i="8"/>
  <c r="AV240" i="8"/>
  <c r="L240" i="8"/>
  <c r="AX240" i="8"/>
  <c r="N240" i="8"/>
  <c r="E24" i="8"/>
  <c r="AP24" i="8"/>
  <c r="F24" i="8"/>
  <c r="AR24" i="8"/>
  <c r="H24" i="8"/>
  <c r="AT24" i="8"/>
  <c r="J24" i="8"/>
  <c r="AV24" i="8"/>
  <c r="L24" i="8"/>
  <c r="AX24" i="8"/>
  <c r="N24" i="8"/>
  <c r="E241" i="8"/>
  <c r="AP241" i="8"/>
  <c r="F241" i="8"/>
  <c r="AR241" i="8"/>
  <c r="H241" i="8"/>
  <c r="AT241" i="8"/>
  <c r="J241" i="8"/>
  <c r="AV241" i="8"/>
  <c r="L241" i="8"/>
  <c r="AX241" i="8"/>
  <c r="N241" i="8"/>
  <c r="E242" i="8"/>
  <c r="AP242" i="8"/>
  <c r="F242" i="8"/>
  <c r="AR242" i="8"/>
  <c r="H242" i="8"/>
  <c r="AT242" i="8"/>
  <c r="J242" i="8"/>
  <c r="AV242" i="8"/>
  <c r="L242" i="8"/>
  <c r="AX242" i="8"/>
  <c r="N242" i="8"/>
  <c r="E243" i="8"/>
  <c r="AP243" i="8"/>
  <c r="F243" i="8"/>
  <c r="AR243" i="8"/>
  <c r="H243" i="8"/>
  <c r="AT243" i="8"/>
  <c r="J243" i="8"/>
  <c r="AV243" i="8"/>
  <c r="L243" i="8"/>
  <c r="AX243" i="8"/>
  <c r="N243" i="8"/>
  <c r="E244" i="8"/>
  <c r="AP244" i="8"/>
  <c r="F244" i="8"/>
  <c r="AR244" i="8"/>
  <c r="H244" i="8"/>
  <c r="AT244" i="8"/>
  <c r="J244" i="8"/>
  <c r="AV244" i="8"/>
  <c r="L244" i="8"/>
  <c r="AX244" i="8"/>
  <c r="N244" i="8"/>
  <c r="E245" i="8"/>
  <c r="AP245" i="8"/>
  <c r="F245" i="8"/>
  <c r="AR245" i="8"/>
  <c r="H245" i="8"/>
  <c r="AT245" i="8"/>
  <c r="J245" i="8"/>
  <c r="AV245" i="8"/>
  <c r="L245" i="8"/>
  <c r="AX245" i="8"/>
  <c r="N245" i="8"/>
  <c r="E246" i="8"/>
  <c r="AP246" i="8"/>
  <c r="F246" i="8"/>
  <c r="AR246" i="8"/>
  <c r="H246" i="8"/>
  <c r="AT246" i="8"/>
  <c r="J246" i="8"/>
  <c r="AV246" i="8"/>
  <c r="L246" i="8"/>
  <c r="AX246" i="8"/>
  <c r="N246" i="8"/>
  <c r="E247" i="8"/>
  <c r="AP247" i="8"/>
  <c r="F247" i="8"/>
  <c r="AR247" i="8"/>
  <c r="H247" i="8"/>
  <c r="AT247" i="8"/>
  <c r="J247" i="8"/>
  <c r="AV247" i="8"/>
  <c r="L247" i="8"/>
  <c r="AX247" i="8"/>
  <c r="N247" i="8"/>
  <c r="E248" i="8"/>
  <c r="AP248" i="8"/>
  <c r="F248" i="8"/>
  <c r="AR248" i="8"/>
  <c r="H248" i="8"/>
  <c r="AT248" i="8"/>
  <c r="J248" i="8"/>
  <c r="AV248" i="8"/>
  <c r="L248" i="8"/>
  <c r="AX248" i="8"/>
  <c r="N248" i="8"/>
  <c r="E249" i="8"/>
  <c r="AP249" i="8"/>
  <c r="F249" i="8"/>
  <c r="AR249" i="8"/>
  <c r="H249" i="8"/>
  <c r="AT249" i="8"/>
  <c r="J249" i="8"/>
  <c r="AV249" i="8"/>
  <c r="L249" i="8"/>
  <c r="AX249" i="8"/>
  <c r="N249" i="8"/>
  <c r="E250" i="8"/>
  <c r="AP250" i="8"/>
  <c r="F250" i="8"/>
  <c r="AR250" i="8"/>
  <c r="H250" i="8"/>
  <c r="AT250" i="8"/>
  <c r="J250" i="8"/>
  <c r="AV250" i="8"/>
  <c r="L250" i="8"/>
  <c r="AX250" i="8"/>
  <c r="N250" i="8"/>
  <c r="E251" i="8"/>
  <c r="AP251" i="8"/>
  <c r="F251" i="8"/>
  <c r="AR251" i="8"/>
  <c r="H251" i="8"/>
  <c r="AT251" i="8"/>
  <c r="J251" i="8"/>
  <c r="AV251" i="8"/>
  <c r="L251" i="8"/>
  <c r="AX251" i="8"/>
  <c r="N251" i="8"/>
  <c r="E252" i="8"/>
  <c r="AP252" i="8"/>
  <c r="F252" i="8"/>
  <c r="AR252" i="8"/>
  <c r="H252" i="8"/>
  <c r="AT252" i="8"/>
  <c r="J252" i="8"/>
  <c r="AV252" i="8"/>
  <c r="L252" i="8"/>
  <c r="AX252" i="8"/>
  <c r="N252" i="8"/>
  <c r="E253" i="8"/>
  <c r="AP253" i="8"/>
  <c r="F253" i="8"/>
  <c r="AR253" i="8"/>
  <c r="H253" i="8"/>
  <c r="AT253" i="8"/>
  <c r="J253" i="8"/>
  <c r="AV253" i="8"/>
  <c r="L253" i="8"/>
  <c r="AX253" i="8"/>
  <c r="N253" i="8"/>
  <c r="E254" i="8"/>
  <c r="AP254" i="8"/>
  <c r="F254" i="8"/>
  <c r="AR254" i="8"/>
  <c r="H254" i="8"/>
  <c r="AT254" i="8"/>
  <c r="J254" i="8"/>
  <c r="AV254" i="8"/>
  <c r="L254" i="8"/>
  <c r="AX254" i="8"/>
  <c r="N254" i="8"/>
  <c r="E255" i="8"/>
  <c r="AP255" i="8"/>
  <c r="F255" i="8"/>
  <c r="AR255" i="8"/>
  <c r="H255" i="8"/>
  <c r="AT255" i="8"/>
  <c r="J255" i="8"/>
  <c r="AV255" i="8"/>
  <c r="L255" i="8"/>
  <c r="AX255" i="8"/>
  <c r="N255" i="8"/>
  <c r="E256" i="8"/>
  <c r="AP256" i="8"/>
  <c r="F256" i="8"/>
  <c r="AR256" i="8"/>
  <c r="H256" i="8"/>
  <c r="AT256" i="8"/>
  <c r="J256" i="8"/>
  <c r="AV256" i="8"/>
  <c r="L256" i="8"/>
  <c r="AX256" i="8"/>
  <c r="N256" i="8"/>
  <c r="E257" i="8"/>
  <c r="AP257" i="8"/>
  <c r="F257" i="8"/>
  <c r="AR257" i="8"/>
  <c r="H257" i="8"/>
  <c r="AT257" i="8"/>
  <c r="J257" i="8"/>
  <c r="AV257" i="8"/>
  <c r="L257" i="8"/>
  <c r="AX257" i="8"/>
  <c r="N257" i="8"/>
  <c r="E258" i="8"/>
  <c r="AP258" i="8"/>
  <c r="F258" i="8"/>
  <c r="AR258" i="8"/>
  <c r="H258" i="8"/>
  <c r="AT258" i="8"/>
  <c r="J258" i="8"/>
  <c r="AV258" i="8"/>
  <c r="L258" i="8"/>
  <c r="AX258" i="8"/>
  <c r="N258" i="8"/>
  <c r="E25" i="8"/>
  <c r="AP25" i="8"/>
  <c r="F25" i="8"/>
  <c r="AR25" i="8"/>
  <c r="H25" i="8"/>
  <c r="AT25" i="8"/>
  <c r="J25" i="8"/>
  <c r="AV25" i="8"/>
  <c r="L25" i="8"/>
  <c r="AX25" i="8"/>
  <c r="N25" i="8"/>
  <c r="E259" i="8"/>
  <c r="AP259" i="8"/>
  <c r="F259" i="8"/>
  <c r="AR259" i="8"/>
  <c r="H259" i="8"/>
  <c r="AT259" i="8"/>
  <c r="J259" i="8"/>
  <c r="AV259" i="8"/>
  <c r="L259" i="8"/>
  <c r="AX259" i="8"/>
  <c r="N259" i="8"/>
  <c r="E260" i="8"/>
  <c r="AP260" i="8"/>
  <c r="F260" i="8"/>
  <c r="AR260" i="8"/>
  <c r="H260" i="8"/>
  <c r="AT260" i="8"/>
  <c r="J260" i="8"/>
  <c r="AV260" i="8"/>
  <c r="L260" i="8"/>
  <c r="AX260" i="8"/>
  <c r="N260" i="8"/>
  <c r="E261" i="8"/>
  <c r="AP261" i="8"/>
  <c r="F261" i="8"/>
  <c r="AR261" i="8"/>
  <c r="H261" i="8"/>
  <c r="AT261" i="8"/>
  <c r="J261" i="8"/>
  <c r="AV261" i="8"/>
  <c r="L261" i="8"/>
  <c r="AX261" i="8"/>
  <c r="N261" i="8"/>
  <c r="E262" i="8"/>
  <c r="AP262" i="8"/>
  <c r="F262" i="8"/>
  <c r="AR262" i="8"/>
  <c r="H262" i="8"/>
  <c r="AT262" i="8"/>
  <c r="J262" i="8"/>
  <c r="AV262" i="8"/>
  <c r="L262" i="8"/>
  <c r="AX262" i="8"/>
  <c r="N262" i="8"/>
  <c r="E263" i="8"/>
  <c r="AP263" i="8"/>
  <c r="F263" i="8"/>
  <c r="AR263" i="8"/>
  <c r="H263" i="8"/>
  <c r="AT263" i="8"/>
  <c r="J263" i="8"/>
  <c r="AV263" i="8"/>
  <c r="L263" i="8"/>
  <c r="AX263" i="8"/>
  <c r="N263" i="8"/>
  <c r="E26" i="8"/>
  <c r="AP26" i="8"/>
  <c r="F26" i="8"/>
  <c r="AR26" i="8"/>
  <c r="H26" i="8"/>
  <c r="AT26" i="8"/>
  <c r="J26" i="8"/>
  <c r="AV26" i="8"/>
  <c r="L26" i="8"/>
  <c r="AX26" i="8"/>
  <c r="N26" i="8"/>
  <c r="E264" i="8"/>
  <c r="AP264" i="8"/>
  <c r="F264" i="8"/>
  <c r="AR264" i="8"/>
  <c r="H264" i="8"/>
  <c r="AT264" i="8"/>
  <c r="J264" i="8"/>
  <c r="AV264" i="8"/>
  <c r="L264" i="8"/>
  <c r="AX264" i="8"/>
  <c r="N264" i="8"/>
  <c r="E265" i="8"/>
  <c r="AP265" i="8"/>
  <c r="F265" i="8"/>
  <c r="AR265" i="8"/>
  <c r="H265" i="8"/>
  <c r="AT265" i="8"/>
  <c r="J265" i="8"/>
  <c r="AV265" i="8"/>
  <c r="L265" i="8"/>
  <c r="AX265" i="8"/>
  <c r="N265" i="8"/>
  <c r="E266" i="8"/>
  <c r="AP266" i="8"/>
  <c r="F266" i="8"/>
  <c r="AR266" i="8"/>
  <c r="H266" i="8"/>
  <c r="AT266" i="8"/>
  <c r="J266" i="8"/>
  <c r="AV266" i="8"/>
  <c r="L266" i="8"/>
  <c r="AX266" i="8"/>
  <c r="N266" i="8"/>
  <c r="E267" i="8"/>
  <c r="AP267" i="8"/>
  <c r="F267" i="8"/>
  <c r="AR267" i="8"/>
  <c r="H267" i="8"/>
  <c r="AT267" i="8"/>
  <c r="J267" i="8"/>
  <c r="AV267" i="8"/>
  <c r="L267" i="8"/>
  <c r="AX267" i="8"/>
  <c r="N267" i="8"/>
  <c r="E268" i="8"/>
  <c r="AP268" i="8"/>
  <c r="F268" i="8"/>
  <c r="AR268" i="8"/>
  <c r="H268" i="8"/>
  <c r="AT268" i="8"/>
  <c r="J268" i="8"/>
  <c r="AV268" i="8"/>
  <c r="L268" i="8"/>
  <c r="AX268" i="8"/>
  <c r="N268" i="8"/>
  <c r="AY268" i="8"/>
  <c r="O268" i="8"/>
  <c r="AZ268" i="8"/>
  <c r="P268" i="8"/>
  <c r="E269" i="8"/>
  <c r="AP269" i="8"/>
  <c r="F269" i="8"/>
  <c r="AR269" i="8"/>
  <c r="H269" i="8"/>
  <c r="AT269" i="8"/>
  <c r="J269" i="8"/>
  <c r="AV269" i="8"/>
  <c r="L269" i="8"/>
  <c r="AX269" i="8"/>
  <c r="N269" i="8"/>
  <c r="E270" i="8"/>
  <c r="AP270" i="8"/>
  <c r="F270" i="8"/>
  <c r="AR270" i="8"/>
  <c r="H270" i="8"/>
  <c r="AT270" i="8"/>
  <c r="J270" i="8"/>
  <c r="AV270" i="8"/>
  <c r="L270" i="8"/>
  <c r="AX270" i="8"/>
  <c r="N270" i="8"/>
  <c r="E271" i="8"/>
  <c r="AP271" i="8"/>
  <c r="F271" i="8"/>
  <c r="AR271" i="8"/>
  <c r="H271" i="8"/>
  <c r="AT271" i="8"/>
  <c r="J271" i="8"/>
  <c r="AV271" i="8"/>
  <c r="L271" i="8"/>
  <c r="AX271" i="8"/>
  <c r="N271" i="8"/>
  <c r="E272" i="8"/>
  <c r="AP272" i="8"/>
  <c r="F272" i="8"/>
  <c r="AR272" i="8"/>
  <c r="H272" i="8"/>
  <c r="AT272" i="8"/>
  <c r="J272" i="8"/>
  <c r="AV272" i="8"/>
  <c r="L272" i="8"/>
  <c r="AX272" i="8"/>
  <c r="N272" i="8"/>
  <c r="E273" i="8"/>
  <c r="AP273" i="8"/>
  <c r="F273" i="8"/>
  <c r="AR273" i="8"/>
  <c r="H273" i="8"/>
  <c r="AT273" i="8"/>
  <c r="J273" i="8"/>
  <c r="AV273" i="8"/>
  <c r="L273" i="8"/>
  <c r="AX273" i="8"/>
  <c r="N273" i="8"/>
  <c r="E27" i="8"/>
  <c r="AP27" i="8"/>
  <c r="F27" i="8"/>
  <c r="AR27" i="8"/>
  <c r="H27" i="8"/>
  <c r="AT27" i="8"/>
  <c r="J27" i="8"/>
  <c r="AV27" i="8"/>
  <c r="L27" i="8"/>
  <c r="AX27" i="8"/>
  <c r="N27" i="8"/>
  <c r="E274" i="8"/>
  <c r="AP274" i="8"/>
  <c r="F274" i="8"/>
  <c r="AR274" i="8"/>
  <c r="H274" i="8"/>
  <c r="AT274" i="8"/>
  <c r="J274" i="8"/>
  <c r="AV274" i="8"/>
  <c r="L274" i="8"/>
  <c r="AX274" i="8"/>
  <c r="N274" i="8"/>
  <c r="E275" i="8"/>
  <c r="AP275" i="8"/>
  <c r="F275" i="8"/>
  <c r="AR275" i="8"/>
  <c r="H275" i="8"/>
  <c r="AT275" i="8"/>
  <c r="J275" i="8"/>
  <c r="AV275" i="8"/>
  <c r="L275" i="8"/>
  <c r="AX275" i="8"/>
  <c r="N275" i="8"/>
  <c r="E276" i="8"/>
  <c r="AP276" i="8"/>
  <c r="F276" i="8"/>
  <c r="AR276" i="8"/>
  <c r="H276" i="8"/>
  <c r="AT276" i="8"/>
  <c r="J276" i="8"/>
  <c r="AV276" i="8"/>
  <c r="L276" i="8"/>
  <c r="AX276" i="8"/>
  <c r="N276" i="8"/>
  <c r="E277" i="8"/>
  <c r="AP277" i="8"/>
  <c r="F277" i="8"/>
  <c r="AR277" i="8"/>
  <c r="H277" i="8"/>
  <c r="AT277" i="8"/>
  <c r="J277" i="8"/>
  <c r="AV277" i="8"/>
  <c r="L277" i="8"/>
  <c r="AX277" i="8"/>
  <c r="N277" i="8"/>
  <c r="E278" i="8"/>
  <c r="AP278" i="8"/>
  <c r="F278" i="8"/>
  <c r="AR278" i="8"/>
  <c r="H278" i="8"/>
  <c r="AT278" i="8"/>
  <c r="J278" i="8"/>
  <c r="AV278" i="8"/>
  <c r="L278" i="8"/>
  <c r="AX278" i="8"/>
  <c r="N278" i="8"/>
  <c r="E279" i="8"/>
  <c r="AP279" i="8"/>
  <c r="F279" i="8"/>
  <c r="AR279" i="8"/>
  <c r="H279" i="8"/>
  <c r="AT279" i="8"/>
  <c r="J279" i="8"/>
  <c r="AV279" i="8"/>
  <c r="L279" i="8"/>
  <c r="AX279" i="8"/>
  <c r="N279" i="8"/>
  <c r="E280" i="8"/>
  <c r="AP280" i="8"/>
  <c r="F280" i="8"/>
  <c r="AR280" i="8"/>
  <c r="H280" i="8"/>
  <c r="AT280" i="8"/>
  <c r="J280" i="8"/>
  <c r="AV280" i="8"/>
  <c r="L280" i="8"/>
  <c r="AX280" i="8"/>
  <c r="N280" i="8"/>
  <c r="E281" i="8"/>
  <c r="AP281" i="8"/>
  <c r="F281" i="8"/>
  <c r="AR281" i="8"/>
  <c r="H281" i="8"/>
  <c r="AT281" i="8"/>
  <c r="J281" i="8"/>
  <c r="AV281" i="8"/>
  <c r="L281" i="8"/>
  <c r="AX281" i="8"/>
  <c r="N281" i="8"/>
  <c r="E282" i="8"/>
  <c r="AP282" i="8"/>
  <c r="F282" i="8"/>
  <c r="AR282" i="8"/>
  <c r="H282" i="8"/>
  <c r="AT282" i="8"/>
  <c r="J282" i="8"/>
  <c r="AV282" i="8"/>
  <c r="L282" i="8"/>
  <c r="AX282" i="8"/>
  <c r="N282" i="8"/>
  <c r="E283" i="8"/>
  <c r="AP283" i="8"/>
  <c r="F283" i="8"/>
  <c r="AR283" i="8"/>
  <c r="H283" i="8"/>
  <c r="AT283" i="8"/>
  <c r="J283" i="8"/>
  <c r="AV283" i="8"/>
  <c r="L283" i="8"/>
  <c r="AX283" i="8"/>
  <c r="N283" i="8"/>
  <c r="E284" i="8"/>
  <c r="AP284" i="8"/>
  <c r="F284" i="8"/>
  <c r="AR284" i="8"/>
  <c r="H284" i="8"/>
  <c r="AT284" i="8"/>
  <c r="J284" i="8"/>
  <c r="AV284" i="8"/>
  <c r="L284" i="8"/>
  <c r="AX284" i="8"/>
  <c r="N284" i="8"/>
  <c r="E285" i="8"/>
  <c r="AP285" i="8"/>
  <c r="F285" i="8"/>
  <c r="AR285" i="8"/>
  <c r="H285" i="8"/>
  <c r="AT285" i="8"/>
  <c r="J285" i="8"/>
  <c r="AV285" i="8"/>
  <c r="L285" i="8"/>
  <c r="AX285" i="8"/>
  <c r="N285" i="8"/>
  <c r="E286" i="8"/>
  <c r="AP286" i="8"/>
  <c r="F286" i="8"/>
  <c r="AR286" i="8"/>
  <c r="H286" i="8"/>
  <c r="AT286" i="8"/>
  <c r="J286" i="8"/>
  <c r="AV286" i="8"/>
  <c r="L286" i="8"/>
  <c r="AX286" i="8"/>
  <c r="N286" i="8"/>
  <c r="E28" i="8"/>
  <c r="AP28" i="8"/>
  <c r="F28" i="8"/>
  <c r="AR28" i="8"/>
  <c r="H28" i="8"/>
  <c r="AT28" i="8"/>
  <c r="J28" i="8"/>
  <c r="AV28" i="8"/>
  <c r="L28" i="8"/>
  <c r="AX28" i="8"/>
  <c r="N28" i="8"/>
  <c r="E287" i="8"/>
  <c r="AP287" i="8"/>
  <c r="F287" i="8"/>
  <c r="AR287" i="8"/>
  <c r="H287" i="8"/>
  <c r="AT287" i="8"/>
  <c r="J287" i="8"/>
  <c r="AV287" i="8"/>
  <c r="L287" i="8"/>
  <c r="AX287" i="8"/>
  <c r="N287" i="8"/>
  <c r="BA287" i="8"/>
  <c r="Q287" i="8"/>
  <c r="E288" i="8"/>
  <c r="AP288" i="8"/>
  <c r="F288" i="8"/>
  <c r="AR288" i="8"/>
  <c r="H288" i="8"/>
  <c r="AT288" i="8"/>
  <c r="J288" i="8"/>
  <c r="AV288" i="8"/>
  <c r="L288" i="8"/>
  <c r="AX288" i="8"/>
  <c r="N288" i="8"/>
  <c r="E289" i="8"/>
  <c r="AP289" i="8"/>
  <c r="F289" i="8"/>
  <c r="AR289" i="8"/>
  <c r="H289" i="8"/>
  <c r="AT289" i="8"/>
  <c r="J289" i="8"/>
  <c r="AV289" i="8"/>
  <c r="L289" i="8"/>
  <c r="AX289" i="8"/>
  <c r="N289" i="8"/>
  <c r="E290" i="8"/>
  <c r="AP290" i="8"/>
  <c r="F290" i="8"/>
  <c r="AR290" i="8"/>
  <c r="H290" i="8"/>
  <c r="AT290" i="8"/>
  <c r="J290" i="8"/>
  <c r="AV290" i="8"/>
  <c r="L290" i="8"/>
  <c r="AX290" i="8"/>
  <c r="N290" i="8"/>
  <c r="E291" i="8"/>
  <c r="AP291" i="8"/>
  <c r="F291" i="8"/>
  <c r="AR291" i="8"/>
  <c r="H291" i="8"/>
  <c r="AT291" i="8"/>
  <c r="J291" i="8"/>
  <c r="AV291" i="8"/>
  <c r="L291" i="8"/>
  <c r="AX291" i="8"/>
  <c r="N291" i="8"/>
  <c r="E292" i="8"/>
  <c r="AP292" i="8"/>
  <c r="F292" i="8"/>
  <c r="AR292" i="8"/>
  <c r="H292" i="8"/>
  <c r="AT292" i="8"/>
  <c r="J292" i="8"/>
  <c r="AV292" i="8"/>
  <c r="L292" i="8"/>
  <c r="AX292" i="8"/>
  <c r="N292" i="8"/>
  <c r="AY292" i="8"/>
  <c r="O292" i="8"/>
  <c r="AZ292" i="8"/>
  <c r="P292" i="8"/>
  <c r="E293" i="8"/>
  <c r="AP293" i="8"/>
  <c r="F293" i="8"/>
  <c r="AR293" i="8"/>
  <c r="H293" i="8"/>
  <c r="AT293" i="8"/>
  <c r="J293" i="8"/>
  <c r="AV293" i="8"/>
  <c r="L293" i="8"/>
  <c r="AX293" i="8"/>
  <c r="N293" i="8"/>
  <c r="E294" i="8"/>
  <c r="AP294" i="8"/>
  <c r="F294" i="8"/>
  <c r="AR294" i="8"/>
  <c r="H294" i="8"/>
  <c r="AT294" i="8"/>
  <c r="J294" i="8"/>
  <c r="AV294" i="8"/>
  <c r="L294" i="8"/>
  <c r="AX294" i="8"/>
  <c r="N294" i="8"/>
  <c r="E295" i="8"/>
  <c r="AP295" i="8"/>
  <c r="F295" i="8"/>
  <c r="AR295" i="8"/>
  <c r="H295" i="8"/>
  <c r="AT295" i="8"/>
  <c r="J295" i="8"/>
  <c r="AV295" i="8"/>
  <c r="L295" i="8"/>
  <c r="AX295" i="8"/>
  <c r="N295" i="8"/>
  <c r="E296" i="8"/>
  <c r="AP296" i="8"/>
  <c r="F296" i="8"/>
  <c r="AR296" i="8"/>
  <c r="H296" i="8"/>
  <c r="AT296" i="8"/>
  <c r="J296" i="8"/>
  <c r="AV296" i="8"/>
  <c r="L296" i="8"/>
  <c r="AX296" i="8"/>
  <c r="N296" i="8"/>
  <c r="E297" i="8"/>
  <c r="AP297" i="8"/>
  <c r="F297" i="8"/>
  <c r="AR297" i="8"/>
  <c r="H297" i="8"/>
  <c r="AT297" i="8"/>
  <c r="J297" i="8"/>
  <c r="AV297" i="8"/>
  <c r="L297" i="8"/>
  <c r="AX297" i="8"/>
  <c r="N297" i="8"/>
  <c r="E298" i="8"/>
  <c r="AP298" i="8"/>
  <c r="F298" i="8"/>
  <c r="AR298" i="8"/>
  <c r="H298" i="8"/>
  <c r="AT298" i="8"/>
  <c r="J298" i="8"/>
  <c r="AV298" i="8"/>
  <c r="L298" i="8"/>
  <c r="AX298" i="8"/>
  <c r="N298" i="8"/>
  <c r="E299" i="8"/>
  <c r="AP299" i="8"/>
  <c r="F299" i="8"/>
  <c r="AR299" i="8"/>
  <c r="H299" i="8"/>
  <c r="AT299" i="8"/>
  <c r="J299" i="8"/>
  <c r="AV299" i="8"/>
  <c r="L299" i="8"/>
  <c r="AX299" i="8"/>
  <c r="N299" i="8"/>
  <c r="E300" i="8"/>
  <c r="AP300" i="8"/>
  <c r="F300" i="8"/>
  <c r="AR300" i="8"/>
  <c r="H300" i="8"/>
  <c r="AT300" i="8"/>
  <c r="J300" i="8"/>
  <c r="AV300" i="8"/>
  <c r="L300" i="8"/>
  <c r="AX300" i="8"/>
  <c r="N300" i="8"/>
  <c r="E301" i="8"/>
  <c r="AP301" i="8"/>
  <c r="F301" i="8"/>
  <c r="AR301" i="8"/>
  <c r="H301" i="8"/>
  <c r="AT301" i="8"/>
  <c r="J301" i="8"/>
  <c r="AV301" i="8"/>
  <c r="L301" i="8"/>
  <c r="AX301" i="8"/>
  <c r="N301" i="8"/>
  <c r="E302" i="8"/>
  <c r="AP302" i="8"/>
  <c r="F302" i="8"/>
  <c r="AR302" i="8"/>
  <c r="H302" i="8"/>
  <c r="AT302" i="8"/>
  <c r="J302" i="8"/>
  <c r="AV302" i="8"/>
  <c r="L302" i="8"/>
  <c r="AX302" i="8"/>
  <c r="N302" i="8"/>
  <c r="E29" i="8"/>
  <c r="AP29" i="8"/>
  <c r="F29" i="8"/>
  <c r="AR29" i="8"/>
  <c r="H29" i="8"/>
  <c r="AT29" i="8"/>
  <c r="J29" i="8"/>
  <c r="AV29" i="8"/>
  <c r="L29" i="8"/>
  <c r="AX29" i="8"/>
  <c r="N29" i="8"/>
  <c r="E303" i="8"/>
  <c r="AP303" i="8"/>
  <c r="F303" i="8"/>
  <c r="AR303" i="8"/>
  <c r="H303" i="8"/>
  <c r="AT303" i="8"/>
  <c r="J303" i="8"/>
  <c r="AV303" i="8"/>
  <c r="L303" i="8"/>
  <c r="AX303" i="8"/>
  <c r="N303" i="8"/>
  <c r="E304" i="8"/>
  <c r="AP304" i="8"/>
  <c r="F304" i="8"/>
  <c r="AR304" i="8"/>
  <c r="H304" i="8"/>
  <c r="AT304" i="8"/>
  <c r="J304" i="8"/>
  <c r="AV304" i="8"/>
  <c r="L304" i="8"/>
  <c r="AX304" i="8"/>
  <c r="N304" i="8"/>
  <c r="E305" i="8"/>
  <c r="AP305" i="8"/>
  <c r="F305" i="8"/>
  <c r="AR305" i="8"/>
  <c r="H305" i="8"/>
  <c r="AT305" i="8"/>
  <c r="J305" i="8"/>
  <c r="AV305" i="8"/>
  <c r="L305" i="8"/>
  <c r="AX305" i="8"/>
  <c r="N305" i="8"/>
  <c r="E306" i="8"/>
  <c r="AP306" i="8"/>
  <c r="F306" i="8"/>
  <c r="AR306" i="8"/>
  <c r="H306" i="8"/>
  <c r="AT306" i="8"/>
  <c r="J306" i="8"/>
  <c r="AV306" i="8"/>
  <c r="L306" i="8"/>
  <c r="AX306" i="8"/>
  <c r="N306" i="8"/>
  <c r="E307" i="8"/>
  <c r="AP307" i="8"/>
  <c r="F307" i="8"/>
  <c r="AR307" i="8"/>
  <c r="H307" i="8"/>
  <c r="AT307" i="8"/>
  <c r="J307" i="8"/>
  <c r="AV307" i="8"/>
  <c r="L307" i="8"/>
  <c r="AX307" i="8"/>
  <c r="N307" i="8"/>
  <c r="E308" i="8"/>
  <c r="AP308" i="8"/>
  <c r="F308" i="8"/>
  <c r="AR308" i="8"/>
  <c r="H308" i="8"/>
  <c r="AT308" i="8"/>
  <c r="J308" i="8"/>
  <c r="AV308" i="8"/>
  <c r="L308" i="8"/>
  <c r="AX308" i="8"/>
  <c r="N308" i="8"/>
  <c r="E309" i="8"/>
  <c r="AP309" i="8"/>
  <c r="F309" i="8"/>
  <c r="AR309" i="8"/>
  <c r="H309" i="8"/>
  <c r="AT309" i="8"/>
  <c r="J309" i="8"/>
  <c r="AV309" i="8"/>
  <c r="L309" i="8"/>
  <c r="AX309" i="8"/>
  <c r="N309" i="8"/>
  <c r="AY309" i="8"/>
  <c r="O309" i="8"/>
  <c r="AZ309" i="8"/>
  <c r="P309" i="8"/>
  <c r="E310" i="8"/>
  <c r="AP310" i="8"/>
  <c r="F310" i="8"/>
  <c r="AR310" i="8"/>
  <c r="H310" i="8"/>
  <c r="AT310" i="8"/>
  <c r="J310" i="8"/>
  <c r="AV310" i="8"/>
  <c r="L310" i="8"/>
  <c r="AX310" i="8"/>
  <c r="N310" i="8"/>
  <c r="E311" i="8"/>
  <c r="AP311" i="8"/>
  <c r="F311" i="8"/>
  <c r="AR311" i="8"/>
  <c r="H311" i="8"/>
  <c r="AT311" i="8"/>
  <c r="J311" i="8"/>
  <c r="AV311" i="8"/>
  <c r="L311" i="8"/>
  <c r="AX311" i="8"/>
  <c r="N311" i="8"/>
  <c r="E312" i="8"/>
  <c r="AP312" i="8"/>
  <c r="F312" i="8"/>
  <c r="AR312" i="8"/>
  <c r="H312" i="8"/>
  <c r="AT312" i="8"/>
  <c r="J312" i="8"/>
  <c r="AV312" i="8"/>
  <c r="L312" i="8"/>
  <c r="AX312" i="8"/>
  <c r="N312" i="8"/>
  <c r="BA312" i="8"/>
  <c r="Q312" i="8"/>
  <c r="E313" i="8"/>
  <c r="AP313" i="8"/>
  <c r="F313" i="8"/>
  <c r="AR313" i="8"/>
  <c r="H313" i="8"/>
  <c r="AT313" i="8"/>
  <c r="J313" i="8"/>
  <c r="AV313" i="8"/>
  <c r="L313" i="8"/>
  <c r="AX313" i="8"/>
  <c r="N313" i="8"/>
  <c r="E314" i="8"/>
  <c r="AP314" i="8"/>
  <c r="F314" i="8"/>
  <c r="AR314" i="8"/>
  <c r="H314" i="8"/>
  <c r="AT314" i="8"/>
  <c r="J314" i="8"/>
  <c r="AV314" i="8"/>
  <c r="L314" i="8"/>
  <c r="AX314" i="8"/>
  <c r="N314" i="8"/>
  <c r="E315" i="8"/>
  <c r="AP315" i="8"/>
  <c r="F315" i="8"/>
  <c r="AR315" i="8"/>
  <c r="H315" i="8"/>
  <c r="AT315" i="8"/>
  <c r="J315" i="8"/>
  <c r="AV315" i="8"/>
  <c r="L315" i="8"/>
  <c r="AX315" i="8"/>
  <c r="N315" i="8"/>
  <c r="E316" i="8"/>
  <c r="AP316" i="8"/>
  <c r="F316" i="8"/>
  <c r="AR316" i="8"/>
  <c r="H316" i="8"/>
  <c r="AT316" i="8"/>
  <c r="J316" i="8"/>
  <c r="AV316" i="8"/>
  <c r="L316" i="8"/>
  <c r="AX316" i="8"/>
  <c r="N316" i="8"/>
  <c r="BA316" i="8"/>
  <c r="Q316" i="8"/>
  <c r="E317" i="8"/>
  <c r="AP317" i="8"/>
  <c r="F317" i="8"/>
  <c r="AR317" i="8"/>
  <c r="H317" i="8"/>
  <c r="AT317" i="8"/>
  <c r="J317" i="8"/>
  <c r="AV317" i="8"/>
  <c r="L317" i="8"/>
  <c r="AX317" i="8"/>
  <c r="N317" i="8"/>
  <c r="E318" i="8"/>
  <c r="AP318" i="8"/>
  <c r="F318" i="8"/>
  <c r="AR318" i="8"/>
  <c r="H318" i="8"/>
  <c r="AT318" i="8"/>
  <c r="J318" i="8"/>
  <c r="AV318" i="8"/>
  <c r="L318" i="8"/>
  <c r="AX318" i="8"/>
  <c r="N318" i="8"/>
  <c r="E319" i="8"/>
  <c r="AP319" i="8"/>
  <c r="F319" i="8"/>
  <c r="AR319" i="8"/>
  <c r="H319" i="8"/>
  <c r="AT319" i="8"/>
  <c r="J319" i="8"/>
  <c r="AV319" i="8"/>
  <c r="L319" i="8"/>
  <c r="AX319" i="8"/>
  <c r="N319" i="8"/>
  <c r="E320" i="8"/>
  <c r="AP320" i="8"/>
  <c r="F320" i="8"/>
  <c r="AR320" i="8"/>
  <c r="H320" i="8"/>
  <c r="AT320" i="8"/>
  <c r="J320" i="8"/>
  <c r="AV320" i="8"/>
  <c r="L320" i="8"/>
  <c r="AX320" i="8"/>
  <c r="N320" i="8"/>
  <c r="E321" i="8"/>
  <c r="AP321" i="8"/>
  <c r="F321" i="8"/>
  <c r="AR321" i="8"/>
  <c r="H321" i="8"/>
  <c r="AT321" i="8"/>
  <c r="J321" i="8"/>
  <c r="AV321" i="8"/>
  <c r="L321" i="8"/>
  <c r="AX321" i="8"/>
  <c r="N321" i="8"/>
  <c r="E322" i="8"/>
  <c r="AP322" i="8"/>
  <c r="F322" i="8"/>
  <c r="AR322" i="8"/>
  <c r="H322" i="8"/>
  <c r="AT322" i="8"/>
  <c r="J322" i="8"/>
  <c r="AV322" i="8"/>
  <c r="L322" i="8"/>
  <c r="AX322" i="8"/>
  <c r="N322" i="8"/>
  <c r="E323" i="8"/>
  <c r="AP323" i="8"/>
  <c r="F323" i="8"/>
  <c r="AR323" i="8"/>
  <c r="H323" i="8"/>
  <c r="AT323" i="8"/>
  <c r="J323" i="8"/>
  <c r="AV323" i="8"/>
  <c r="L323" i="8"/>
  <c r="AX323" i="8"/>
  <c r="N323" i="8"/>
  <c r="E324" i="8"/>
  <c r="AP324" i="8"/>
  <c r="F324" i="8"/>
  <c r="AR324" i="8"/>
  <c r="H324" i="8"/>
  <c r="AT324" i="8"/>
  <c r="J324" i="8"/>
  <c r="AV324" i="8"/>
  <c r="L324" i="8"/>
  <c r="AX324" i="8"/>
  <c r="N324" i="8"/>
  <c r="E325" i="8"/>
  <c r="AP325" i="8"/>
  <c r="F325" i="8"/>
  <c r="AR325" i="8"/>
  <c r="H325" i="8"/>
  <c r="AT325" i="8"/>
  <c r="J325" i="8"/>
  <c r="AV325" i="8"/>
  <c r="L325" i="8"/>
  <c r="AX325" i="8"/>
  <c r="N325" i="8"/>
  <c r="E326" i="8"/>
  <c r="AP326" i="8"/>
  <c r="F326" i="8"/>
  <c r="AR326" i="8"/>
  <c r="H326" i="8"/>
  <c r="AT326" i="8"/>
  <c r="J326" i="8"/>
  <c r="AV326" i="8"/>
  <c r="L326" i="8"/>
  <c r="AX326" i="8"/>
  <c r="N326" i="8"/>
  <c r="E30" i="8"/>
  <c r="AP30" i="8"/>
  <c r="F30" i="8"/>
  <c r="AR30" i="8"/>
  <c r="H30" i="8"/>
  <c r="AT30" i="8"/>
  <c r="J30" i="8"/>
  <c r="AV30" i="8"/>
  <c r="L30" i="8"/>
  <c r="AX30" i="8"/>
  <c r="N30" i="8"/>
  <c r="E327" i="8"/>
  <c r="AP327" i="8"/>
  <c r="F327" i="8"/>
  <c r="AR327" i="8"/>
  <c r="H327" i="8"/>
  <c r="AT327" i="8"/>
  <c r="J327" i="8"/>
  <c r="AV327" i="8"/>
  <c r="L327" i="8"/>
  <c r="AX327" i="8"/>
  <c r="N327" i="8"/>
  <c r="E328" i="8"/>
  <c r="AP328" i="8"/>
  <c r="F328" i="8"/>
  <c r="AR328" i="8"/>
  <c r="H328" i="8"/>
  <c r="AT328" i="8"/>
  <c r="J328" i="8"/>
  <c r="AV328" i="8"/>
  <c r="L328" i="8"/>
  <c r="AX328" i="8"/>
  <c r="N328" i="8"/>
  <c r="E329" i="8"/>
  <c r="AP329" i="8"/>
  <c r="F329" i="8"/>
  <c r="AR329" i="8"/>
  <c r="H329" i="8"/>
  <c r="AT329" i="8"/>
  <c r="J329" i="8"/>
  <c r="AV329" i="8"/>
  <c r="L329" i="8"/>
  <c r="AX329" i="8"/>
  <c r="N329" i="8"/>
  <c r="E330" i="8"/>
  <c r="AP330" i="8"/>
  <c r="F330" i="8"/>
  <c r="AR330" i="8"/>
  <c r="H330" i="8"/>
  <c r="AT330" i="8"/>
  <c r="J330" i="8"/>
  <c r="AV330" i="8"/>
  <c r="L330" i="8"/>
  <c r="AX330" i="8"/>
  <c r="N330" i="8"/>
  <c r="E331" i="8"/>
  <c r="AP331" i="8"/>
  <c r="F331" i="8"/>
  <c r="AR331" i="8"/>
  <c r="H331" i="8"/>
  <c r="AT331" i="8"/>
  <c r="J331" i="8"/>
  <c r="AV331" i="8"/>
  <c r="L331" i="8"/>
  <c r="AX331" i="8"/>
  <c r="N331" i="8"/>
  <c r="E31" i="8"/>
  <c r="AP31" i="8"/>
  <c r="F31" i="8"/>
  <c r="AR31" i="8"/>
  <c r="H31" i="8"/>
  <c r="AT31" i="8"/>
  <c r="J31" i="8"/>
  <c r="AV31" i="8"/>
  <c r="L31" i="8"/>
  <c r="AX31" i="8"/>
  <c r="N31" i="8"/>
  <c r="E332" i="8"/>
  <c r="AP332" i="8"/>
  <c r="F332" i="8"/>
  <c r="AR332" i="8"/>
  <c r="H332" i="8"/>
  <c r="AT332" i="8"/>
  <c r="J332" i="8"/>
  <c r="AV332" i="8"/>
  <c r="L332" i="8"/>
  <c r="AX332" i="8"/>
  <c r="N332" i="8"/>
  <c r="E333" i="8"/>
  <c r="AP333" i="8"/>
  <c r="F333" i="8"/>
  <c r="AR333" i="8"/>
  <c r="H333" i="8"/>
  <c r="AT333" i="8"/>
  <c r="J333" i="8"/>
  <c r="AV333" i="8"/>
  <c r="L333" i="8"/>
  <c r="AX333" i="8"/>
  <c r="N333" i="8"/>
  <c r="E334" i="8"/>
  <c r="AP334" i="8"/>
  <c r="F334" i="8"/>
  <c r="AR334" i="8"/>
  <c r="H334" i="8"/>
  <c r="AT334" i="8"/>
  <c r="J334" i="8"/>
  <c r="AV334" i="8"/>
  <c r="L334" i="8"/>
  <c r="AX334" i="8"/>
  <c r="N334" i="8"/>
  <c r="E335" i="8"/>
  <c r="AP335" i="8"/>
  <c r="F335" i="8"/>
  <c r="AR335" i="8"/>
  <c r="H335" i="8"/>
  <c r="AT335" i="8"/>
  <c r="J335" i="8"/>
  <c r="AV335" i="8"/>
  <c r="L335" i="8"/>
  <c r="AX335" i="8"/>
  <c r="N335" i="8"/>
  <c r="E336" i="8"/>
  <c r="AP336" i="8"/>
  <c r="F336" i="8"/>
  <c r="AR336" i="8"/>
  <c r="H336" i="8"/>
  <c r="AT336" i="8"/>
  <c r="J336" i="8"/>
  <c r="AV336" i="8"/>
  <c r="L336" i="8"/>
  <c r="AX336" i="8"/>
  <c r="N336" i="8"/>
  <c r="E337" i="8"/>
  <c r="AP337" i="8"/>
  <c r="F337" i="8"/>
  <c r="AR337" i="8"/>
  <c r="H337" i="8"/>
  <c r="AT337" i="8"/>
  <c r="J337" i="8"/>
  <c r="AV337" i="8"/>
  <c r="L337" i="8"/>
  <c r="AX337" i="8"/>
  <c r="N337" i="8"/>
  <c r="E338" i="8"/>
  <c r="AP338" i="8"/>
  <c r="F338" i="8"/>
  <c r="AR338" i="8"/>
  <c r="H338" i="8"/>
  <c r="AT338" i="8"/>
  <c r="J338" i="8"/>
  <c r="AV338" i="8"/>
  <c r="L338" i="8"/>
  <c r="AX338" i="8"/>
  <c r="N338" i="8"/>
  <c r="AY338" i="8"/>
  <c r="O338" i="8"/>
  <c r="AZ338" i="8"/>
  <c r="P338" i="8"/>
  <c r="E339" i="8"/>
  <c r="AP339" i="8"/>
  <c r="F339" i="8"/>
  <c r="AR339" i="8"/>
  <c r="H339" i="8"/>
  <c r="AT339" i="8"/>
  <c r="J339" i="8"/>
  <c r="AV339" i="8"/>
  <c r="L339" i="8"/>
  <c r="AX339" i="8"/>
  <c r="N339" i="8"/>
  <c r="E340" i="8"/>
  <c r="AP340" i="8"/>
  <c r="F340" i="8"/>
  <c r="AR340" i="8"/>
  <c r="H340" i="8"/>
  <c r="AT340" i="8"/>
  <c r="J340" i="8"/>
  <c r="AV340" i="8"/>
  <c r="L340" i="8"/>
  <c r="AX340" i="8"/>
  <c r="N340" i="8"/>
  <c r="E341" i="8"/>
  <c r="AP341" i="8"/>
  <c r="F341" i="8"/>
  <c r="AR341" i="8"/>
  <c r="H341" i="8"/>
  <c r="AT341" i="8"/>
  <c r="J341" i="8"/>
  <c r="AV341" i="8"/>
  <c r="L341" i="8"/>
  <c r="AX341" i="8"/>
  <c r="N341" i="8"/>
  <c r="E342" i="8"/>
  <c r="AP342" i="8"/>
  <c r="F342" i="8"/>
  <c r="AR342" i="8"/>
  <c r="H342" i="8"/>
  <c r="AT342" i="8"/>
  <c r="J342" i="8"/>
  <c r="AV342" i="8"/>
  <c r="L342" i="8"/>
  <c r="AX342" i="8"/>
  <c r="N342" i="8"/>
  <c r="E343" i="8"/>
  <c r="AP343" i="8"/>
  <c r="F343" i="8"/>
  <c r="AR343" i="8"/>
  <c r="H343" i="8"/>
  <c r="AT343" i="8"/>
  <c r="J343" i="8"/>
  <c r="AV343" i="8"/>
  <c r="L343" i="8"/>
  <c r="AX343" i="8"/>
  <c r="N343" i="8"/>
  <c r="E344" i="8"/>
  <c r="AP344" i="8"/>
  <c r="F344" i="8"/>
  <c r="AR344" i="8"/>
  <c r="H344" i="8"/>
  <c r="AT344" i="8"/>
  <c r="J344" i="8"/>
  <c r="AV344" i="8"/>
  <c r="L344" i="8"/>
  <c r="AX344" i="8"/>
  <c r="N344" i="8"/>
  <c r="E345" i="8"/>
  <c r="AP345" i="8"/>
  <c r="F345" i="8"/>
  <c r="AR345" i="8"/>
  <c r="H345" i="8"/>
  <c r="AT345" i="8"/>
  <c r="J345" i="8"/>
  <c r="AV345" i="8"/>
  <c r="L345" i="8"/>
  <c r="AX345" i="8"/>
  <c r="N345" i="8"/>
  <c r="E346" i="8"/>
  <c r="AP346" i="8"/>
  <c r="F346" i="8"/>
  <c r="AR346" i="8"/>
  <c r="H346" i="8"/>
  <c r="AT346" i="8"/>
  <c r="J346" i="8"/>
  <c r="AV346" i="8"/>
  <c r="L346" i="8"/>
  <c r="AX346" i="8"/>
  <c r="N346" i="8"/>
  <c r="E347" i="8"/>
  <c r="AP347" i="8"/>
  <c r="F347" i="8"/>
  <c r="AR347" i="8"/>
  <c r="H347" i="8"/>
  <c r="AT347" i="8"/>
  <c r="J347" i="8"/>
  <c r="AV347" i="8"/>
  <c r="L347" i="8"/>
  <c r="AX347" i="8"/>
  <c r="N347" i="8"/>
  <c r="E348" i="8"/>
  <c r="AP348" i="8"/>
  <c r="F348" i="8"/>
  <c r="AR348" i="8"/>
  <c r="H348" i="8"/>
  <c r="AT348" i="8"/>
  <c r="J348" i="8"/>
  <c r="AV348" i="8"/>
  <c r="L348" i="8"/>
  <c r="AX348" i="8"/>
  <c r="N348" i="8"/>
  <c r="E349" i="8"/>
  <c r="AP349" i="8"/>
  <c r="F349" i="8"/>
  <c r="AR349" i="8"/>
  <c r="H349" i="8"/>
  <c r="AT349" i="8"/>
  <c r="J349" i="8"/>
  <c r="AV349" i="8"/>
  <c r="L349" i="8"/>
  <c r="AX349" i="8"/>
  <c r="N349" i="8"/>
  <c r="E350" i="8"/>
  <c r="AP350" i="8"/>
  <c r="F350" i="8"/>
  <c r="AR350" i="8"/>
  <c r="H350" i="8"/>
  <c r="AT350" i="8"/>
  <c r="J350" i="8"/>
  <c r="AV350" i="8"/>
  <c r="L350" i="8"/>
  <c r="AX350" i="8"/>
  <c r="N350" i="8"/>
  <c r="E32" i="8"/>
  <c r="AP32" i="8"/>
  <c r="F32" i="8"/>
  <c r="AR32" i="8"/>
  <c r="H32" i="8"/>
  <c r="AT32" i="8"/>
  <c r="J32" i="8"/>
  <c r="AV32" i="8"/>
  <c r="L32" i="8"/>
  <c r="AX32" i="8"/>
  <c r="N32" i="8"/>
  <c r="E351" i="8"/>
  <c r="AP351" i="8"/>
  <c r="F351" i="8"/>
  <c r="AR351" i="8"/>
  <c r="H351" i="8"/>
  <c r="AT351" i="8"/>
  <c r="J351" i="8"/>
  <c r="AV351" i="8"/>
  <c r="L351" i="8"/>
  <c r="AX351" i="8"/>
  <c r="N351" i="8"/>
  <c r="E352" i="8"/>
  <c r="AP352" i="8"/>
  <c r="F352" i="8"/>
  <c r="AR352" i="8"/>
  <c r="H352" i="8"/>
  <c r="AT352" i="8"/>
  <c r="J352" i="8"/>
  <c r="AV352" i="8"/>
  <c r="L352" i="8"/>
  <c r="AX352" i="8"/>
  <c r="N352" i="8"/>
  <c r="E353" i="8"/>
  <c r="AP353" i="8"/>
  <c r="F353" i="8"/>
  <c r="AR353" i="8"/>
  <c r="H353" i="8"/>
  <c r="AT353" i="8"/>
  <c r="J353" i="8"/>
  <c r="AV353" i="8"/>
  <c r="L353" i="8"/>
  <c r="AX353" i="8"/>
  <c r="N353" i="8"/>
  <c r="E354" i="8"/>
  <c r="AP354" i="8"/>
  <c r="F354" i="8"/>
  <c r="AR354" i="8"/>
  <c r="H354" i="8"/>
  <c r="AT354" i="8"/>
  <c r="J354" i="8"/>
  <c r="AV354" i="8"/>
  <c r="L354" i="8"/>
  <c r="AX354" i="8"/>
  <c r="N354" i="8"/>
  <c r="E355" i="8"/>
  <c r="AP355" i="8"/>
  <c r="F355" i="8"/>
  <c r="AR355" i="8"/>
  <c r="H355" i="8"/>
  <c r="AT355" i="8"/>
  <c r="J355" i="8"/>
  <c r="AV355" i="8"/>
  <c r="L355" i="8"/>
  <c r="AX355" i="8"/>
  <c r="N355" i="8"/>
  <c r="E356" i="8"/>
  <c r="AP356" i="8"/>
  <c r="F356" i="8"/>
  <c r="AR356" i="8"/>
  <c r="H356" i="8"/>
  <c r="AT356" i="8"/>
  <c r="J356" i="8"/>
  <c r="AV356" i="8"/>
  <c r="L356" i="8"/>
  <c r="AX356" i="8"/>
  <c r="N356" i="8"/>
  <c r="E357" i="8"/>
  <c r="AP357" i="8"/>
  <c r="F357" i="8"/>
  <c r="AR357" i="8"/>
  <c r="H357" i="8"/>
  <c r="AT357" i="8"/>
  <c r="J357" i="8"/>
  <c r="AV357" i="8"/>
  <c r="L357" i="8"/>
  <c r="AX357" i="8"/>
  <c r="N357" i="8"/>
  <c r="E358" i="8"/>
  <c r="AP358" i="8"/>
  <c r="F358" i="8"/>
  <c r="AR358" i="8"/>
  <c r="H358" i="8"/>
  <c r="AT358" i="8"/>
  <c r="J358" i="8"/>
  <c r="AV358" i="8"/>
  <c r="L358" i="8"/>
  <c r="AX358" i="8"/>
  <c r="N358" i="8"/>
  <c r="E359" i="8"/>
  <c r="AP359" i="8"/>
  <c r="F359" i="8"/>
  <c r="AR359" i="8"/>
  <c r="H359" i="8"/>
  <c r="AT359" i="8"/>
  <c r="J359" i="8"/>
  <c r="AV359" i="8"/>
  <c r="L359" i="8"/>
  <c r="AX359" i="8"/>
  <c r="N359" i="8"/>
  <c r="E360" i="8"/>
  <c r="AP360" i="8"/>
  <c r="F360" i="8"/>
  <c r="AR360" i="8"/>
  <c r="H360" i="8"/>
  <c r="AT360" i="8"/>
  <c r="J360" i="8"/>
  <c r="AV360" i="8"/>
  <c r="L360" i="8"/>
  <c r="AX360" i="8"/>
  <c r="N360" i="8"/>
  <c r="E33" i="8"/>
  <c r="AP33" i="8"/>
  <c r="F33" i="8"/>
  <c r="AR33" i="8"/>
  <c r="H33" i="8"/>
  <c r="AT33" i="8"/>
  <c r="J33" i="8"/>
  <c r="AV33" i="8"/>
  <c r="L33" i="8"/>
  <c r="AX33" i="8"/>
  <c r="N33" i="8"/>
  <c r="E361" i="8"/>
  <c r="AP361" i="8"/>
  <c r="F361" i="8"/>
  <c r="AR361" i="8"/>
  <c r="H361" i="8"/>
  <c r="AT361" i="8"/>
  <c r="J361" i="8"/>
  <c r="AV361" i="8"/>
  <c r="L361" i="8"/>
  <c r="AX361" i="8"/>
  <c r="N361" i="8"/>
  <c r="E362" i="8"/>
  <c r="AP362" i="8"/>
  <c r="F362" i="8"/>
  <c r="AR362" i="8"/>
  <c r="H362" i="8"/>
  <c r="AT362" i="8"/>
  <c r="J362" i="8"/>
  <c r="AV362" i="8"/>
  <c r="L362" i="8"/>
  <c r="AX362" i="8"/>
  <c r="N362" i="8"/>
  <c r="AY362" i="8"/>
  <c r="O362" i="8"/>
  <c r="AZ362" i="8"/>
  <c r="P362" i="8"/>
  <c r="BA362" i="8"/>
  <c r="Q362" i="8"/>
  <c r="B362" i="8"/>
  <c r="E363" i="8"/>
  <c r="AP363" i="8"/>
  <c r="F363" i="8"/>
  <c r="AR363" i="8"/>
  <c r="H363" i="8"/>
  <c r="AT363" i="8"/>
  <c r="J363" i="8"/>
  <c r="AV363" i="8"/>
  <c r="L363" i="8"/>
  <c r="AX363" i="8"/>
  <c r="N363" i="8"/>
  <c r="E364" i="8"/>
  <c r="AP364" i="8"/>
  <c r="F364" i="8"/>
  <c r="AR364" i="8"/>
  <c r="H364" i="8"/>
  <c r="AT364" i="8"/>
  <c r="J364" i="8"/>
  <c r="AV364" i="8"/>
  <c r="L364" i="8"/>
  <c r="AX364" i="8"/>
  <c r="N364" i="8"/>
  <c r="E365" i="8"/>
  <c r="AP365" i="8"/>
  <c r="F365" i="8"/>
  <c r="AR365" i="8"/>
  <c r="H365" i="8"/>
  <c r="AT365" i="8"/>
  <c r="J365" i="8"/>
  <c r="AV365" i="8"/>
  <c r="L365" i="8"/>
  <c r="AX365" i="8"/>
  <c r="N365" i="8"/>
  <c r="E366" i="8"/>
  <c r="AP366" i="8"/>
  <c r="F366" i="8"/>
  <c r="AR366" i="8"/>
  <c r="H366" i="8"/>
  <c r="AT366" i="8"/>
  <c r="J366" i="8"/>
  <c r="AV366" i="8"/>
  <c r="L366" i="8"/>
  <c r="AX366" i="8"/>
  <c r="N366" i="8"/>
  <c r="E367" i="8"/>
  <c r="AP367" i="8"/>
  <c r="F367" i="8"/>
  <c r="AR367" i="8"/>
  <c r="H367" i="8"/>
  <c r="AT367" i="8"/>
  <c r="J367" i="8"/>
  <c r="AV367" i="8"/>
  <c r="L367" i="8"/>
  <c r="AX367" i="8"/>
  <c r="N367" i="8"/>
  <c r="E34" i="8"/>
  <c r="AP34" i="8"/>
  <c r="F34" i="8"/>
  <c r="AR34" i="8"/>
  <c r="H34" i="8"/>
  <c r="AT34" i="8"/>
  <c r="J34" i="8"/>
  <c r="AV34" i="8"/>
  <c r="L34" i="8"/>
  <c r="AX34" i="8"/>
  <c r="N34" i="8"/>
  <c r="E368" i="8"/>
  <c r="AP368" i="8"/>
  <c r="F368" i="8"/>
  <c r="AR368" i="8"/>
  <c r="H368" i="8"/>
  <c r="AT368" i="8"/>
  <c r="J368" i="8"/>
  <c r="AV368" i="8"/>
  <c r="L368" i="8"/>
  <c r="AX368" i="8"/>
  <c r="N368" i="8"/>
  <c r="E369" i="8"/>
  <c r="AP369" i="8"/>
  <c r="F369" i="8"/>
  <c r="AR369" i="8"/>
  <c r="H369" i="8"/>
  <c r="AT369" i="8"/>
  <c r="J369" i="8"/>
  <c r="AV369" i="8"/>
  <c r="L369" i="8"/>
  <c r="AX369" i="8"/>
  <c r="N369" i="8"/>
  <c r="E370" i="8"/>
  <c r="AP370" i="8"/>
  <c r="F370" i="8"/>
  <c r="AR370" i="8"/>
  <c r="H370" i="8"/>
  <c r="AT370" i="8"/>
  <c r="J370" i="8"/>
  <c r="AV370" i="8"/>
  <c r="L370" i="8"/>
  <c r="AX370" i="8"/>
  <c r="N370" i="8"/>
  <c r="E35" i="8"/>
  <c r="AP35" i="8"/>
  <c r="F35" i="8"/>
  <c r="AR35" i="8"/>
  <c r="H35" i="8"/>
  <c r="AT35" i="8"/>
  <c r="J35" i="8"/>
  <c r="AV35" i="8"/>
  <c r="L35" i="8"/>
  <c r="AX35" i="8"/>
  <c r="N35" i="8"/>
  <c r="E371" i="8"/>
  <c r="AP371" i="8"/>
  <c r="F371" i="8"/>
  <c r="AR371" i="8"/>
  <c r="H371" i="8"/>
  <c r="AT371" i="8"/>
  <c r="J371" i="8"/>
  <c r="AV371" i="8"/>
  <c r="L371" i="8"/>
  <c r="AX371" i="8"/>
  <c r="N371" i="8"/>
  <c r="E372" i="8"/>
  <c r="AP372" i="8"/>
  <c r="F372" i="8"/>
  <c r="AR372" i="8"/>
  <c r="H372" i="8"/>
  <c r="AT372" i="8"/>
  <c r="J372" i="8"/>
  <c r="AV372" i="8"/>
  <c r="L372" i="8"/>
  <c r="AX372" i="8"/>
  <c r="N372" i="8"/>
  <c r="E373" i="8"/>
  <c r="AP373" i="8"/>
  <c r="F373" i="8"/>
  <c r="AR373" i="8"/>
  <c r="H373" i="8"/>
  <c r="AT373" i="8"/>
  <c r="J373" i="8"/>
  <c r="AV373" i="8"/>
  <c r="L373" i="8"/>
  <c r="AX373" i="8"/>
  <c r="N373" i="8"/>
  <c r="BA373" i="8"/>
  <c r="Q373" i="8"/>
  <c r="E374" i="8"/>
  <c r="AP374" i="8"/>
  <c r="F374" i="8"/>
  <c r="AR374" i="8"/>
  <c r="H374" i="8"/>
  <c r="AT374" i="8"/>
  <c r="J374" i="8"/>
  <c r="AV374" i="8"/>
  <c r="L374" i="8"/>
  <c r="AX374" i="8"/>
  <c r="N374" i="8"/>
  <c r="E375" i="8"/>
  <c r="AP375" i="8"/>
  <c r="F375" i="8"/>
  <c r="AR375" i="8"/>
  <c r="H375" i="8"/>
  <c r="AT375" i="8"/>
  <c r="J375" i="8"/>
  <c r="AV375" i="8"/>
  <c r="L375" i="8"/>
  <c r="AX375" i="8"/>
  <c r="N375" i="8"/>
  <c r="E376" i="8"/>
  <c r="AP376" i="8"/>
  <c r="F376" i="8"/>
  <c r="AR376" i="8"/>
  <c r="H376" i="8"/>
  <c r="AT376" i="8"/>
  <c r="J376" i="8"/>
  <c r="AV376" i="8"/>
  <c r="L376" i="8"/>
  <c r="AX376" i="8"/>
  <c r="N376" i="8"/>
  <c r="E377" i="8"/>
  <c r="AP377" i="8"/>
  <c r="F377" i="8"/>
  <c r="AR377" i="8"/>
  <c r="H377" i="8"/>
  <c r="AT377" i="8"/>
  <c r="J377" i="8"/>
  <c r="AV377" i="8"/>
  <c r="L377" i="8"/>
  <c r="AX377" i="8"/>
  <c r="N377" i="8"/>
  <c r="E378" i="8"/>
  <c r="AP378" i="8"/>
  <c r="F378" i="8"/>
  <c r="AR378" i="8"/>
  <c r="H378" i="8"/>
  <c r="AT378" i="8"/>
  <c r="J378" i="8"/>
  <c r="AV378" i="8"/>
  <c r="L378" i="8"/>
  <c r="AX378" i="8"/>
  <c r="N378" i="8"/>
  <c r="E379" i="8"/>
  <c r="AP379" i="8"/>
  <c r="F379" i="8"/>
  <c r="AR379" i="8"/>
  <c r="H379" i="8"/>
  <c r="AT379" i="8"/>
  <c r="J379" i="8"/>
  <c r="AV379" i="8"/>
  <c r="L379" i="8"/>
  <c r="AX379" i="8"/>
  <c r="N379" i="8"/>
  <c r="E380" i="8"/>
  <c r="AP380" i="8"/>
  <c r="F380" i="8"/>
  <c r="AR380" i="8"/>
  <c r="H380" i="8"/>
  <c r="AT380" i="8"/>
  <c r="J380" i="8"/>
  <c r="AV380" i="8"/>
  <c r="L380" i="8"/>
  <c r="AX380" i="8"/>
  <c r="N380" i="8"/>
  <c r="E381" i="8"/>
  <c r="AP381" i="8"/>
  <c r="F381" i="8"/>
  <c r="AR381" i="8"/>
  <c r="H381" i="8"/>
  <c r="AT381" i="8"/>
  <c r="J381" i="8"/>
  <c r="AV381" i="8"/>
  <c r="L381" i="8"/>
  <c r="AX381" i="8"/>
  <c r="N381" i="8"/>
  <c r="E382" i="8"/>
  <c r="AP382" i="8"/>
  <c r="F382" i="8"/>
  <c r="AR382" i="8"/>
  <c r="H382" i="8"/>
  <c r="AT382" i="8"/>
  <c r="J382" i="8"/>
  <c r="AV382" i="8"/>
  <c r="L382" i="8"/>
  <c r="AX382" i="8"/>
  <c r="N382" i="8"/>
  <c r="E383" i="8"/>
  <c r="AP383" i="8"/>
  <c r="F383" i="8"/>
  <c r="AR383" i="8"/>
  <c r="H383" i="8"/>
  <c r="AT383" i="8"/>
  <c r="J383" i="8"/>
  <c r="AV383" i="8"/>
  <c r="L383" i="8"/>
  <c r="AX383" i="8"/>
  <c r="N383" i="8"/>
  <c r="E384" i="8"/>
  <c r="AP384" i="8"/>
  <c r="F384" i="8"/>
  <c r="AR384" i="8"/>
  <c r="H384" i="8"/>
  <c r="AT384" i="8"/>
  <c r="J384" i="8"/>
  <c r="AV384" i="8"/>
  <c r="L384" i="8"/>
  <c r="AX384" i="8"/>
  <c r="N384" i="8"/>
  <c r="E385" i="8"/>
  <c r="AP385" i="8"/>
  <c r="F385" i="8"/>
  <c r="AR385" i="8"/>
  <c r="H385" i="8"/>
  <c r="AT385" i="8"/>
  <c r="J385" i="8"/>
  <c r="AV385" i="8"/>
  <c r="L385" i="8"/>
  <c r="AX385" i="8"/>
  <c r="N385" i="8"/>
  <c r="E36" i="8"/>
  <c r="AP36" i="8"/>
  <c r="F36" i="8"/>
  <c r="AR36" i="8"/>
  <c r="H36" i="8"/>
  <c r="AT36" i="8"/>
  <c r="J36" i="8"/>
  <c r="AV36" i="8"/>
  <c r="L36" i="8"/>
  <c r="AX36" i="8"/>
  <c r="N36" i="8"/>
  <c r="E386" i="8"/>
  <c r="AP386" i="8"/>
  <c r="F386" i="8"/>
  <c r="AR386" i="8"/>
  <c r="H386" i="8"/>
  <c r="AT386" i="8"/>
  <c r="J386" i="8"/>
  <c r="AV386" i="8"/>
  <c r="L386" i="8"/>
  <c r="AX386" i="8"/>
  <c r="N386" i="8"/>
  <c r="E387" i="8"/>
  <c r="AP387" i="8"/>
  <c r="F387" i="8"/>
  <c r="AR387" i="8"/>
  <c r="H387" i="8"/>
  <c r="AT387" i="8"/>
  <c r="J387" i="8"/>
  <c r="AV387" i="8"/>
  <c r="L387" i="8"/>
  <c r="AX387" i="8"/>
  <c r="N387" i="8"/>
  <c r="E388" i="8"/>
  <c r="AP388" i="8"/>
  <c r="F388" i="8"/>
  <c r="AR388" i="8"/>
  <c r="H388" i="8"/>
  <c r="AT388" i="8"/>
  <c r="J388" i="8"/>
  <c r="AV388" i="8"/>
  <c r="L388" i="8"/>
  <c r="AX388" i="8"/>
  <c r="N388" i="8"/>
  <c r="E389" i="8"/>
  <c r="AP389" i="8"/>
  <c r="F389" i="8"/>
  <c r="AR389" i="8"/>
  <c r="H389" i="8"/>
  <c r="AT389" i="8"/>
  <c r="J389" i="8"/>
  <c r="AV389" i="8"/>
  <c r="L389" i="8"/>
  <c r="AX389" i="8"/>
  <c r="N389" i="8"/>
  <c r="E390" i="8"/>
  <c r="AP390" i="8"/>
  <c r="F390" i="8"/>
  <c r="AR390" i="8"/>
  <c r="H390" i="8"/>
  <c r="AT390" i="8"/>
  <c r="J390" i="8"/>
  <c r="AV390" i="8"/>
  <c r="L390" i="8"/>
  <c r="AX390" i="8"/>
  <c r="N390" i="8"/>
  <c r="E391" i="8"/>
  <c r="AP391" i="8"/>
  <c r="F391" i="8"/>
  <c r="AR391" i="8"/>
  <c r="H391" i="8"/>
  <c r="AT391" i="8"/>
  <c r="J391" i="8"/>
  <c r="AV391" i="8"/>
  <c r="L391" i="8"/>
  <c r="AX391" i="8"/>
  <c r="N391" i="8"/>
  <c r="E392" i="8"/>
  <c r="AP392" i="8"/>
  <c r="F392" i="8"/>
  <c r="AR392" i="8"/>
  <c r="H392" i="8"/>
  <c r="AT392" i="8"/>
  <c r="J392" i="8"/>
  <c r="AV392" i="8"/>
  <c r="L392" i="8"/>
  <c r="AX392" i="8"/>
  <c r="N392" i="8"/>
  <c r="E393" i="8"/>
  <c r="AP393" i="8"/>
  <c r="F393" i="8"/>
  <c r="AR393" i="8"/>
  <c r="H393" i="8"/>
  <c r="AT393" i="8"/>
  <c r="J393" i="8"/>
  <c r="AV393" i="8"/>
  <c r="L393" i="8"/>
  <c r="AX393" i="8"/>
  <c r="N393" i="8"/>
  <c r="E37" i="8"/>
  <c r="AP37" i="8"/>
  <c r="F37" i="8"/>
  <c r="AR37" i="8"/>
  <c r="H37" i="8"/>
  <c r="AT37" i="8"/>
  <c r="J37" i="8"/>
  <c r="AV37" i="8"/>
  <c r="L37" i="8"/>
  <c r="AX37" i="8"/>
  <c r="N37" i="8"/>
  <c r="AY37" i="8"/>
  <c r="O37" i="8"/>
  <c r="AZ37" i="8"/>
  <c r="P37" i="8"/>
  <c r="E394" i="8"/>
  <c r="AP394" i="8"/>
  <c r="F394" i="8"/>
  <c r="AR394" i="8"/>
  <c r="H394" i="8"/>
  <c r="AT394" i="8"/>
  <c r="J394" i="8"/>
  <c r="AV394" i="8"/>
  <c r="L394" i="8"/>
  <c r="AX394" i="8"/>
  <c r="N394" i="8"/>
  <c r="AY394" i="8"/>
  <c r="O394" i="8"/>
  <c r="AZ394" i="8"/>
  <c r="P394" i="8"/>
  <c r="BA394" i="8"/>
  <c r="Q394" i="8"/>
  <c r="B394" i="8"/>
  <c r="E395" i="8"/>
  <c r="AP395" i="8"/>
  <c r="F395" i="8"/>
  <c r="AR395" i="8"/>
  <c r="H395" i="8"/>
  <c r="AT395" i="8"/>
  <c r="J395" i="8"/>
  <c r="AV395" i="8"/>
  <c r="L395" i="8"/>
  <c r="AX395" i="8"/>
  <c r="N395" i="8"/>
  <c r="AY395" i="8"/>
  <c r="O395" i="8"/>
  <c r="AZ395" i="8"/>
  <c r="P395" i="8"/>
  <c r="BA395" i="8"/>
  <c r="Q395" i="8"/>
  <c r="B395" i="8"/>
  <c r="E396" i="8"/>
  <c r="AP396" i="8"/>
  <c r="F396" i="8"/>
  <c r="AR396" i="8"/>
  <c r="H396" i="8"/>
  <c r="AT396" i="8"/>
  <c r="J396" i="8"/>
  <c r="AV396" i="8"/>
  <c r="L396" i="8"/>
  <c r="AX396" i="8"/>
  <c r="N396" i="8"/>
  <c r="AY396" i="8"/>
  <c r="O396" i="8"/>
  <c r="AZ396" i="8"/>
  <c r="P396" i="8"/>
  <c r="BA396" i="8"/>
  <c r="Q396" i="8"/>
  <c r="B396" i="8"/>
  <c r="E397" i="8"/>
  <c r="AP397" i="8"/>
  <c r="F397" i="8"/>
  <c r="AR397" i="8"/>
  <c r="H397" i="8"/>
  <c r="AT397" i="8"/>
  <c r="J397" i="8"/>
  <c r="AV397" i="8"/>
  <c r="L397" i="8"/>
  <c r="AX397" i="8"/>
  <c r="N397" i="8"/>
  <c r="AY397" i="8"/>
  <c r="O397" i="8"/>
  <c r="AZ397" i="8"/>
  <c r="P397" i="8"/>
  <c r="BA397" i="8"/>
  <c r="Q397" i="8"/>
  <c r="B397" i="8"/>
  <c r="E398" i="8"/>
  <c r="AP398" i="8"/>
  <c r="F398" i="8"/>
  <c r="AR398" i="8"/>
  <c r="H398" i="8"/>
  <c r="AT398" i="8"/>
  <c r="J398" i="8"/>
  <c r="AV398" i="8"/>
  <c r="L398" i="8"/>
  <c r="AX398" i="8"/>
  <c r="N398" i="8"/>
  <c r="AY398" i="8"/>
  <c r="O398" i="8"/>
  <c r="AZ398" i="8"/>
  <c r="P398" i="8"/>
  <c r="BA398" i="8"/>
  <c r="Q398" i="8"/>
  <c r="B398" i="8"/>
  <c r="E38" i="8"/>
  <c r="AP38" i="8"/>
  <c r="F38" i="8"/>
  <c r="AR38" i="8"/>
  <c r="H38" i="8"/>
  <c r="AT38" i="8"/>
  <c r="J38" i="8"/>
  <c r="AV38" i="8"/>
  <c r="L38" i="8"/>
  <c r="AX38" i="8"/>
  <c r="N38" i="8"/>
  <c r="AY38" i="8"/>
  <c r="O38" i="8"/>
  <c r="AZ38" i="8"/>
  <c r="P38" i="8"/>
  <c r="BA38" i="8"/>
  <c r="Q38" i="8"/>
  <c r="B38" i="8"/>
  <c r="E399" i="8"/>
  <c r="AP399" i="8"/>
  <c r="F399" i="8"/>
  <c r="AR399" i="8"/>
  <c r="H399" i="8"/>
  <c r="AT399" i="8"/>
  <c r="J399" i="8"/>
  <c r="AV399" i="8"/>
  <c r="L399" i="8"/>
  <c r="AX399" i="8"/>
  <c r="N399" i="8"/>
  <c r="AY399" i="8"/>
  <c r="O399" i="8"/>
  <c r="AZ399" i="8"/>
  <c r="P399" i="8"/>
  <c r="BA399" i="8"/>
  <c r="Q399" i="8"/>
  <c r="B399" i="8"/>
  <c r="E400" i="8"/>
  <c r="AP400" i="8"/>
  <c r="F400" i="8"/>
  <c r="AR400" i="8"/>
  <c r="H400" i="8"/>
  <c r="AT400" i="8"/>
  <c r="J400" i="8"/>
  <c r="AV400" i="8"/>
  <c r="L400" i="8"/>
  <c r="AX400" i="8"/>
  <c r="N400" i="8"/>
  <c r="AY400" i="8"/>
  <c r="O400" i="8"/>
  <c r="AZ400" i="8"/>
  <c r="P400" i="8"/>
  <c r="BA400" i="8"/>
  <c r="Q400" i="8"/>
  <c r="B400" i="8"/>
  <c r="E401" i="8"/>
  <c r="AP401" i="8"/>
  <c r="F401" i="8"/>
  <c r="AR401" i="8"/>
  <c r="H401" i="8"/>
  <c r="AT401" i="8"/>
  <c r="J401" i="8"/>
  <c r="AV401" i="8"/>
  <c r="L401" i="8"/>
  <c r="AX401" i="8"/>
  <c r="N401" i="8"/>
  <c r="AY401" i="8"/>
  <c r="O401" i="8"/>
  <c r="AZ401" i="8"/>
  <c r="P401" i="8"/>
  <c r="BA401" i="8"/>
  <c r="Q401" i="8"/>
  <c r="B401" i="8"/>
  <c r="E402" i="8"/>
  <c r="AP402" i="8"/>
  <c r="F402" i="8"/>
  <c r="AR402" i="8"/>
  <c r="H402" i="8"/>
  <c r="AT402" i="8"/>
  <c r="J402" i="8"/>
  <c r="AV402" i="8"/>
  <c r="L402" i="8"/>
  <c r="AX402" i="8"/>
  <c r="N402" i="8"/>
  <c r="AY402" i="8"/>
  <c r="O402" i="8"/>
  <c r="AZ402" i="8"/>
  <c r="P402" i="8"/>
  <c r="BA402" i="8"/>
  <c r="Q402" i="8"/>
  <c r="B402" i="8"/>
  <c r="E403" i="8"/>
  <c r="AP403" i="8"/>
  <c r="F403" i="8"/>
  <c r="AR403" i="8"/>
  <c r="H403" i="8"/>
  <c r="AT403" i="8"/>
  <c r="J403" i="8"/>
  <c r="AV403" i="8"/>
  <c r="L403" i="8"/>
  <c r="AX403" i="8"/>
  <c r="N403" i="8"/>
  <c r="AY403" i="8"/>
  <c r="O403" i="8"/>
  <c r="AZ403" i="8"/>
  <c r="P403" i="8"/>
  <c r="BA403" i="8"/>
  <c r="Q403" i="8"/>
  <c r="B403" i="8"/>
  <c r="E404" i="8"/>
  <c r="AP404" i="8"/>
  <c r="F404" i="8"/>
  <c r="AR404" i="8"/>
  <c r="H404" i="8"/>
  <c r="AT404" i="8"/>
  <c r="J404" i="8"/>
  <c r="AV404" i="8"/>
  <c r="L404" i="8"/>
  <c r="AX404" i="8"/>
  <c r="N404" i="8"/>
  <c r="E405" i="8"/>
  <c r="AP405" i="8"/>
  <c r="F405" i="8"/>
  <c r="AR405" i="8"/>
  <c r="H405" i="8"/>
  <c r="AT405" i="8"/>
  <c r="J405" i="8"/>
  <c r="AV405" i="8"/>
  <c r="L405" i="8"/>
  <c r="AX405" i="8"/>
  <c r="N405" i="8"/>
  <c r="AY405" i="8"/>
  <c r="O405" i="8"/>
  <c r="AZ405" i="8"/>
  <c r="P405" i="8"/>
  <c r="E406" i="8"/>
  <c r="AP406" i="8"/>
  <c r="F406" i="8"/>
  <c r="AR406" i="8"/>
  <c r="H406" i="8"/>
  <c r="AT406" i="8"/>
  <c r="J406" i="8"/>
  <c r="AV406" i="8"/>
  <c r="L406" i="8"/>
  <c r="AX406" i="8"/>
  <c r="N406" i="8"/>
  <c r="AQ45" i="8"/>
  <c r="G45" i="8"/>
  <c r="AQ46" i="8"/>
  <c r="G46" i="8"/>
  <c r="AQ47" i="8"/>
  <c r="G47" i="8"/>
  <c r="AQ3" i="8"/>
  <c r="G3" i="8"/>
  <c r="AQ48" i="8"/>
  <c r="G48" i="8"/>
  <c r="AQ39" i="8"/>
  <c r="G39" i="8"/>
  <c r="AQ49" i="8"/>
  <c r="G49" i="8"/>
  <c r="AQ50" i="8"/>
  <c r="G50" i="8"/>
  <c r="AQ51" i="8"/>
  <c r="G51" i="8"/>
  <c r="AQ52" i="8"/>
  <c r="G52" i="8"/>
  <c r="AQ40" i="8"/>
  <c r="G40" i="8"/>
  <c r="AQ53" i="8"/>
  <c r="G53" i="8"/>
  <c r="AQ54" i="8"/>
  <c r="G54" i="8"/>
  <c r="AQ55" i="8"/>
  <c r="G55" i="8"/>
  <c r="AQ56" i="8"/>
  <c r="G56" i="8"/>
  <c r="AQ57" i="8"/>
  <c r="G57" i="8"/>
  <c r="AQ58" i="8"/>
  <c r="G58" i="8"/>
  <c r="AQ41" i="8"/>
  <c r="G41" i="8"/>
  <c r="AQ59" i="8"/>
  <c r="G59" i="8"/>
  <c r="AQ60" i="8"/>
  <c r="G60" i="8"/>
  <c r="AQ4" i="8"/>
  <c r="G4" i="8"/>
  <c r="AQ61" i="8"/>
  <c r="G61" i="8"/>
  <c r="AQ62" i="8"/>
  <c r="G62" i="8"/>
  <c r="AQ5" i="8"/>
  <c r="G5" i="8"/>
  <c r="AQ2" i="8"/>
  <c r="G2" i="8"/>
  <c r="AQ42" i="8"/>
  <c r="G42" i="8"/>
  <c r="AQ63" i="8"/>
  <c r="G63" i="8"/>
  <c r="AQ43" i="8"/>
  <c r="G43" i="8"/>
  <c r="AQ44" i="8"/>
  <c r="G44" i="8"/>
  <c r="AQ64" i="8"/>
  <c r="G64" i="8"/>
  <c r="AQ65" i="8"/>
  <c r="G65" i="8"/>
  <c r="AQ66" i="8"/>
  <c r="G66" i="8"/>
  <c r="AQ67" i="8"/>
  <c r="G67" i="8"/>
  <c r="AQ68" i="8"/>
  <c r="G68" i="8"/>
  <c r="AQ69" i="8"/>
  <c r="G69" i="8"/>
  <c r="AQ70" i="8"/>
  <c r="G70" i="8"/>
  <c r="AQ71" i="8"/>
  <c r="G71" i="8"/>
  <c r="AQ100" i="8"/>
  <c r="G100" i="8"/>
  <c r="AQ72" i="8"/>
  <c r="G72" i="8"/>
  <c r="AQ73" i="8"/>
  <c r="G73" i="8"/>
  <c r="AQ101" i="8"/>
  <c r="G101" i="8"/>
  <c r="AQ74" i="8"/>
  <c r="G74" i="8"/>
  <c r="AQ102" i="8"/>
  <c r="G102" i="8"/>
  <c r="AQ103" i="8"/>
  <c r="G103" i="8"/>
  <c r="AQ104" i="8"/>
  <c r="G104" i="8"/>
  <c r="AQ105" i="8"/>
  <c r="G105" i="8"/>
  <c r="AQ106" i="8"/>
  <c r="G106" i="8"/>
  <c r="AQ107" i="8"/>
  <c r="G107" i="8"/>
  <c r="AQ108" i="8"/>
  <c r="G108" i="8"/>
  <c r="AQ109" i="8"/>
  <c r="G109" i="8"/>
  <c r="AQ110" i="8"/>
  <c r="G110" i="8"/>
  <c r="AQ111" i="8"/>
  <c r="G111" i="8"/>
  <c r="AQ112" i="8"/>
  <c r="G112" i="8"/>
  <c r="AQ113" i="8"/>
  <c r="G113" i="8"/>
  <c r="AQ114" i="8"/>
  <c r="G114" i="8"/>
  <c r="AQ115" i="8"/>
  <c r="G115" i="8"/>
  <c r="AQ75" i="8"/>
  <c r="G75" i="8"/>
  <c r="AQ116" i="8"/>
  <c r="G116" i="8"/>
  <c r="AQ117" i="8"/>
  <c r="G117" i="8"/>
  <c r="AQ118" i="8"/>
  <c r="G118" i="8"/>
  <c r="AQ119" i="8"/>
  <c r="G119" i="8"/>
  <c r="AQ120" i="8"/>
  <c r="G120" i="8"/>
  <c r="AQ121" i="8"/>
  <c r="G121" i="8"/>
  <c r="AQ122" i="8"/>
  <c r="G122" i="8"/>
  <c r="AQ123" i="8"/>
  <c r="G123" i="8"/>
  <c r="AQ124" i="8"/>
  <c r="G124" i="8"/>
  <c r="AQ125" i="8"/>
  <c r="G125" i="8"/>
  <c r="AQ126" i="8"/>
  <c r="G126" i="8"/>
  <c r="AQ127" i="8"/>
  <c r="G127" i="8"/>
  <c r="AQ128" i="8"/>
  <c r="G128" i="8"/>
  <c r="AQ129" i="8"/>
  <c r="G129" i="8"/>
  <c r="AQ76" i="8"/>
  <c r="G76" i="8"/>
  <c r="AQ130" i="8"/>
  <c r="G130" i="8"/>
  <c r="AQ131" i="8"/>
  <c r="G131" i="8"/>
  <c r="AQ132" i="8"/>
  <c r="G132" i="8"/>
  <c r="AQ133" i="8"/>
  <c r="G133" i="8"/>
  <c r="AQ77" i="8"/>
  <c r="G77" i="8"/>
  <c r="AQ134" i="8"/>
  <c r="G134" i="8"/>
  <c r="AQ135" i="8"/>
  <c r="G135" i="8"/>
  <c r="AQ136" i="8"/>
  <c r="G136" i="8"/>
  <c r="AQ137" i="8"/>
  <c r="G137" i="8"/>
  <c r="AQ138" i="8"/>
  <c r="G138" i="8"/>
  <c r="AQ78" i="8"/>
  <c r="G78" i="8"/>
  <c r="AQ139" i="8"/>
  <c r="G139" i="8"/>
  <c r="AQ140" i="8"/>
  <c r="G140" i="8"/>
  <c r="AQ141" i="8"/>
  <c r="G141" i="8"/>
  <c r="AQ8" i="8"/>
  <c r="G8" i="8"/>
  <c r="AQ142" i="8"/>
  <c r="G142" i="8"/>
  <c r="AQ143" i="8"/>
  <c r="G143" i="8"/>
  <c r="AQ144" i="8"/>
  <c r="G144" i="8"/>
  <c r="AQ145" i="8"/>
  <c r="G145" i="8"/>
  <c r="AQ146" i="8"/>
  <c r="G146" i="8"/>
  <c r="AQ147" i="8"/>
  <c r="G147" i="8"/>
  <c r="AQ148" i="8"/>
  <c r="G148" i="8"/>
  <c r="AQ149" i="8"/>
  <c r="G149" i="8"/>
  <c r="AQ150" i="8"/>
  <c r="G150" i="8"/>
  <c r="AQ9" i="8"/>
  <c r="G9" i="8"/>
  <c r="AQ10" i="8"/>
  <c r="G10" i="8"/>
  <c r="AQ11" i="8"/>
  <c r="G11" i="8"/>
  <c r="AQ151" i="8"/>
  <c r="G151" i="8"/>
  <c r="AQ152" i="8"/>
  <c r="G152" i="8"/>
  <c r="AQ153" i="8"/>
  <c r="G153" i="8"/>
  <c r="AQ154" i="8"/>
  <c r="G154" i="8"/>
  <c r="AQ155" i="8"/>
  <c r="G155" i="8"/>
  <c r="AQ156" i="8"/>
  <c r="G156" i="8"/>
  <c r="AQ157" i="8"/>
  <c r="G157" i="8"/>
  <c r="AQ158" i="8"/>
  <c r="G158" i="8"/>
  <c r="AQ159" i="8"/>
  <c r="G159" i="8"/>
  <c r="AQ160" i="8"/>
  <c r="G160" i="8"/>
  <c r="AQ161" i="8"/>
  <c r="G161" i="8"/>
  <c r="AQ162" i="8"/>
  <c r="G162" i="8"/>
  <c r="AQ163" i="8"/>
  <c r="G163" i="8"/>
  <c r="AQ164" i="8"/>
  <c r="G164" i="8"/>
  <c r="AQ165" i="8"/>
  <c r="G165" i="8"/>
  <c r="AQ166" i="8"/>
  <c r="G166" i="8"/>
  <c r="AQ167" i="8"/>
  <c r="G167" i="8"/>
  <c r="AQ168" i="8"/>
  <c r="G168" i="8"/>
  <c r="AQ169" i="8"/>
  <c r="G169" i="8"/>
  <c r="AQ170" i="8"/>
  <c r="G170" i="8"/>
  <c r="AQ171" i="8"/>
  <c r="G171" i="8"/>
  <c r="AQ172" i="8"/>
  <c r="G172" i="8"/>
  <c r="AQ12" i="8"/>
  <c r="G12" i="8"/>
  <c r="AQ173" i="8"/>
  <c r="G173" i="8"/>
  <c r="AQ174" i="8"/>
  <c r="G174" i="8"/>
  <c r="AQ175" i="8"/>
  <c r="G175" i="8"/>
  <c r="AQ176" i="8"/>
  <c r="G176" i="8"/>
  <c r="AQ177" i="8"/>
  <c r="G177" i="8"/>
  <c r="AQ178" i="8"/>
  <c r="G178" i="8"/>
  <c r="AQ179" i="8"/>
  <c r="G179" i="8"/>
  <c r="AQ180" i="8"/>
  <c r="G180" i="8"/>
  <c r="AQ181" i="8"/>
  <c r="G181" i="8"/>
  <c r="AQ182" i="8"/>
  <c r="G182" i="8"/>
  <c r="AQ13" i="8"/>
  <c r="G13" i="8"/>
  <c r="AQ183" i="8"/>
  <c r="G183" i="8"/>
  <c r="AQ184" i="8"/>
  <c r="G184" i="8"/>
  <c r="AQ185" i="8"/>
  <c r="G185" i="8"/>
  <c r="AQ186" i="8"/>
  <c r="G186" i="8"/>
  <c r="AQ187" i="8"/>
  <c r="G187" i="8"/>
  <c r="AQ188" i="8"/>
  <c r="G188" i="8"/>
  <c r="AQ189" i="8"/>
  <c r="G189" i="8"/>
  <c r="AQ190" i="8"/>
  <c r="G190" i="8"/>
  <c r="AQ191" i="8"/>
  <c r="G191" i="8"/>
  <c r="AQ192" i="8"/>
  <c r="G192" i="8"/>
  <c r="AQ193" i="8"/>
  <c r="G193" i="8"/>
  <c r="AQ194" i="8"/>
  <c r="G194" i="8"/>
  <c r="AQ14" i="8"/>
  <c r="G14" i="8"/>
  <c r="AQ195" i="8"/>
  <c r="G195" i="8"/>
  <c r="AQ196" i="8"/>
  <c r="G196" i="8"/>
  <c r="AQ197" i="8"/>
  <c r="G197" i="8"/>
  <c r="AQ198" i="8"/>
  <c r="G198" i="8"/>
  <c r="AQ199" i="8"/>
  <c r="G199" i="8"/>
  <c r="AQ200" i="8"/>
  <c r="G200" i="8"/>
  <c r="AQ201" i="8"/>
  <c r="G201" i="8"/>
  <c r="AQ15" i="8"/>
  <c r="G15" i="8"/>
  <c r="AQ202" i="8"/>
  <c r="G202" i="8"/>
  <c r="AQ203" i="8"/>
  <c r="G203" i="8"/>
  <c r="AQ16" i="8"/>
  <c r="G16" i="8"/>
  <c r="AQ204" i="8"/>
  <c r="G204" i="8"/>
  <c r="AQ205" i="8"/>
  <c r="G205" i="8"/>
  <c r="AQ206" i="8"/>
  <c r="G206" i="8"/>
  <c r="AQ207" i="8"/>
  <c r="G207" i="8"/>
  <c r="AQ6" i="8"/>
  <c r="G6" i="8"/>
  <c r="AQ208" i="8"/>
  <c r="G208" i="8"/>
  <c r="AQ209" i="8"/>
  <c r="G209" i="8"/>
  <c r="AQ17" i="8"/>
  <c r="G17" i="8"/>
  <c r="AQ210" i="8"/>
  <c r="G210" i="8"/>
  <c r="AQ211" i="8"/>
  <c r="G211" i="8"/>
  <c r="AQ212" i="8"/>
  <c r="G212" i="8"/>
  <c r="AQ213" i="8"/>
  <c r="G213" i="8"/>
  <c r="AQ7" i="8"/>
  <c r="G7" i="8"/>
  <c r="AQ214" i="8"/>
  <c r="G214" i="8"/>
  <c r="AQ215" i="8"/>
  <c r="G215" i="8"/>
  <c r="AQ216" i="8"/>
  <c r="G216" i="8"/>
  <c r="AQ217" i="8"/>
  <c r="G217" i="8"/>
  <c r="AQ218" i="8"/>
  <c r="G218" i="8"/>
  <c r="AQ18" i="8"/>
  <c r="G18" i="8"/>
  <c r="AQ219" i="8"/>
  <c r="G219" i="8"/>
  <c r="AQ220" i="8"/>
  <c r="G220" i="8"/>
  <c r="AQ19" i="8"/>
  <c r="G19" i="8"/>
  <c r="AQ20" i="8"/>
  <c r="G20" i="8"/>
  <c r="AQ21" i="8"/>
  <c r="G21" i="8"/>
  <c r="AQ221" i="8"/>
  <c r="G221" i="8"/>
  <c r="AQ222" i="8"/>
  <c r="G222" i="8"/>
  <c r="AQ223" i="8"/>
  <c r="G223" i="8"/>
  <c r="AQ224" i="8"/>
  <c r="G224" i="8"/>
  <c r="AQ225" i="8"/>
  <c r="G225" i="8"/>
  <c r="AQ226" i="8"/>
  <c r="G226" i="8"/>
  <c r="AQ227" i="8"/>
  <c r="G227" i="8"/>
  <c r="AQ228" i="8"/>
  <c r="G228" i="8"/>
  <c r="AQ22" i="8"/>
  <c r="G22" i="8"/>
  <c r="AQ23" i="8"/>
  <c r="G23" i="8"/>
  <c r="AQ229" i="8"/>
  <c r="G229" i="8"/>
  <c r="AQ230" i="8"/>
  <c r="G230" i="8"/>
  <c r="AQ231" i="8"/>
  <c r="G231" i="8"/>
  <c r="AQ232" i="8"/>
  <c r="G232" i="8"/>
  <c r="AQ233" i="8"/>
  <c r="G233" i="8"/>
  <c r="AQ234" i="8"/>
  <c r="G234" i="8"/>
  <c r="AQ235" i="8"/>
  <c r="G235" i="8"/>
  <c r="AQ236" i="8"/>
  <c r="G236" i="8"/>
  <c r="AQ237" i="8"/>
  <c r="G237" i="8"/>
  <c r="AQ238" i="8"/>
  <c r="G238" i="8"/>
  <c r="AQ239" i="8"/>
  <c r="G239" i="8"/>
  <c r="AQ240" i="8"/>
  <c r="G240" i="8"/>
  <c r="AQ24" i="8"/>
  <c r="G24" i="8"/>
  <c r="AQ241" i="8"/>
  <c r="G241" i="8"/>
  <c r="AQ242" i="8"/>
  <c r="G242" i="8"/>
  <c r="AQ243" i="8"/>
  <c r="G243" i="8"/>
  <c r="AQ244" i="8"/>
  <c r="G244" i="8"/>
  <c r="AQ245" i="8"/>
  <c r="G245" i="8"/>
  <c r="AQ246" i="8"/>
  <c r="G246" i="8"/>
  <c r="AQ247" i="8"/>
  <c r="G247" i="8"/>
  <c r="AQ248" i="8"/>
  <c r="G248" i="8"/>
  <c r="AQ249" i="8"/>
  <c r="G249" i="8"/>
  <c r="AQ250" i="8"/>
  <c r="G250" i="8"/>
  <c r="AQ79" i="8"/>
  <c r="G79" i="8"/>
  <c r="AQ251" i="8"/>
  <c r="G251" i="8"/>
  <c r="AQ252" i="8"/>
  <c r="G252" i="8"/>
  <c r="AQ253" i="8"/>
  <c r="G253" i="8"/>
  <c r="AQ254" i="8"/>
  <c r="G254" i="8"/>
  <c r="AQ255" i="8"/>
  <c r="G255" i="8"/>
  <c r="AQ80" i="8"/>
  <c r="G80" i="8"/>
  <c r="AQ81" i="8"/>
  <c r="G81" i="8"/>
  <c r="AQ82" i="8"/>
  <c r="G82" i="8"/>
  <c r="AQ256" i="8"/>
  <c r="G256" i="8"/>
  <c r="AQ83" i="8"/>
  <c r="G83" i="8"/>
  <c r="AQ84" i="8"/>
  <c r="G84" i="8"/>
  <c r="AQ257" i="8"/>
  <c r="G257" i="8"/>
  <c r="AQ85" i="8"/>
  <c r="G85" i="8"/>
  <c r="AQ86" i="8"/>
  <c r="G86" i="8"/>
  <c r="AQ87" i="8"/>
  <c r="G87" i="8"/>
  <c r="AQ258" i="8"/>
  <c r="G258" i="8"/>
  <c r="AQ25" i="8"/>
  <c r="G25" i="8"/>
  <c r="AQ88" i="8"/>
  <c r="G88" i="8"/>
  <c r="AQ89" i="8"/>
  <c r="G89" i="8"/>
  <c r="AQ259" i="8"/>
  <c r="G259" i="8"/>
  <c r="AQ260" i="8"/>
  <c r="G260" i="8"/>
  <c r="AQ261" i="8"/>
  <c r="G261" i="8"/>
  <c r="AQ90" i="8"/>
  <c r="G90" i="8"/>
  <c r="AQ262" i="8"/>
  <c r="G262" i="8"/>
  <c r="AQ263" i="8"/>
  <c r="G263" i="8"/>
  <c r="AQ26" i="8"/>
  <c r="G26" i="8"/>
  <c r="AQ264" i="8"/>
  <c r="G264" i="8"/>
  <c r="AQ265" i="8"/>
  <c r="G265" i="8"/>
  <c r="AQ266" i="8"/>
  <c r="G266" i="8"/>
  <c r="AQ91" i="8"/>
  <c r="G91" i="8"/>
  <c r="AQ267" i="8"/>
  <c r="G267" i="8"/>
  <c r="AQ268" i="8"/>
  <c r="G268" i="8"/>
  <c r="AQ92" i="8"/>
  <c r="G92" i="8"/>
  <c r="AQ269" i="8"/>
  <c r="G269" i="8"/>
  <c r="AQ270" i="8"/>
  <c r="G270" i="8"/>
  <c r="AQ271" i="8"/>
  <c r="G271" i="8"/>
  <c r="AQ272" i="8"/>
  <c r="G272" i="8"/>
  <c r="AQ273" i="8"/>
  <c r="G273" i="8"/>
  <c r="AQ27" i="8"/>
  <c r="G27" i="8"/>
  <c r="AQ274" i="8"/>
  <c r="G274" i="8"/>
  <c r="AQ275" i="8"/>
  <c r="G275" i="8"/>
  <c r="AQ276" i="8"/>
  <c r="G276" i="8"/>
  <c r="AQ277" i="8"/>
  <c r="G277" i="8"/>
  <c r="AQ278" i="8"/>
  <c r="G278" i="8"/>
  <c r="AQ279" i="8"/>
  <c r="G279" i="8"/>
  <c r="AQ280" i="8"/>
  <c r="G280" i="8"/>
  <c r="AQ281" i="8"/>
  <c r="G281" i="8"/>
  <c r="AQ282" i="8"/>
  <c r="G282" i="8"/>
  <c r="AQ283" i="8"/>
  <c r="G283" i="8"/>
  <c r="AQ284" i="8"/>
  <c r="G284" i="8"/>
  <c r="AQ285" i="8"/>
  <c r="G285" i="8"/>
  <c r="AQ286" i="8"/>
  <c r="G286" i="8"/>
  <c r="AQ28" i="8"/>
  <c r="G28" i="8"/>
  <c r="AQ287" i="8"/>
  <c r="G287" i="8"/>
  <c r="AQ288" i="8"/>
  <c r="G288" i="8"/>
  <c r="AQ93" i="8"/>
  <c r="G93" i="8"/>
  <c r="AQ289" i="8"/>
  <c r="G289" i="8"/>
  <c r="AQ290" i="8"/>
  <c r="G290" i="8"/>
  <c r="AQ291" i="8"/>
  <c r="G291" i="8"/>
  <c r="AQ292" i="8"/>
  <c r="G292" i="8"/>
  <c r="AQ293" i="8"/>
  <c r="G293" i="8"/>
  <c r="AQ294" i="8"/>
  <c r="G294" i="8"/>
  <c r="AQ295" i="8"/>
  <c r="G295" i="8"/>
  <c r="AQ296" i="8"/>
  <c r="G296" i="8"/>
  <c r="AQ297" i="8"/>
  <c r="G297" i="8"/>
  <c r="AQ298" i="8"/>
  <c r="G298" i="8"/>
  <c r="AQ299" i="8"/>
  <c r="G299" i="8"/>
  <c r="AQ300" i="8"/>
  <c r="G300" i="8"/>
  <c r="AQ301" i="8"/>
  <c r="G301" i="8"/>
  <c r="AQ302" i="8"/>
  <c r="G302" i="8"/>
  <c r="AQ29" i="8"/>
  <c r="G29" i="8"/>
  <c r="AQ303" i="8"/>
  <c r="G303" i="8"/>
  <c r="AQ304" i="8"/>
  <c r="G304" i="8"/>
  <c r="AQ305" i="8"/>
  <c r="G305" i="8"/>
  <c r="AQ306" i="8"/>
  <c r="G306" i="8"/>
  <c r="AQ307" i="8"/>
  <c r="G307" i="8"/>
  <c r="AQ94" i="8"/>
  <c r="G94" i="8"/>
  <c r="AQ308" i="8"/>
  <c r="G308" i="8"/>
  <c r="AQ309" i="8"/>
  <c r="G309" i="8"/>
  <c r="AQ310" i="8"/>
  <c r="G310" i="8"/>
  <c r="AQ311" i="8"/>
  <c r="G311" i="8"/>
  <c r="AQ312" i="8"/>
  <c r="G312" i="8"/>
  <c r="AQ313" i="8"/>
  <c r="G313" i="8"/>
  <c r="AQ95" i="8"/>
  <c r="G95" i="8"/>
  <c r="AQ314" i="8"/>
  <c r="G314" i="8"/>
  <c r="AQ315" i="8"/>
  <c r="G315" i="8"/>
  <c r="AQ316" i="8"/>
  <c r="G316" i="8"/>
  <c r="AQ317" i="8"/>
  <c r="G317" i="8"/>
  <c r="AQ318" i="8"/>
  <c r="G318" i="8"/>
  <c r="AQ96" i="8"/>
  <c r="G96" i="8"/>
  <c r="AQ319" i="8"/>
  <c r="G319" i="8"/>
  <c r="AQ320" i="8"/>
  <c r="G320" i="8"/>
  <c r="AQ321" i="8"/>
  <c r="G321" i="8"/>
  <c r="AQ322" i="8"/>
  <c r="G322" i="8"/>
  <c r="AQ323" i="8"/>
  <c r="G323" i="8"/>
  <c r="AQ324" i="8"/>
  <c r="G324" i="8"/>
  <c r="AQ325" i="8"/>
  <c r="G325" i="8"/>
  <c r="AQ326" i="8"/>
  <c r="G326" i="8"/>
  <c r="AQ30" i="8"/>
  <c r="G30" i="8"/>
  <c r="AQ327" i="8"/>
  <c r="G327" i="8"/>
  <c r="AQ328" i="8"/>
  <c r="G328" i="8"/>
  <c r="AQ329" i="8"/>
  <c r="G329" i="8"/>
  <c r="AQ330" i="8"/>
  <c r="G330" i="8"/>
  <c r="AQ331" i="8"/>
  <c r="G331" i="8"/>
  <c r="AQ31" i="8"/>
  <c r="G31" i="8"/>
  <c r="AQ332" i="8"/>
  <c r="G332" i="8"/>
  <c r="AQ333" i="8"/>
  <c r="G333" i="8"/>
  <c r="AQ334" i="8"/>
  <c r="G334" i="8"/>
  <c r="AQ335" i="8"/>
  <c r="G335" i="8"/>
  <c r="AQ336" i="8"/>
  <c r="G336" i="8"/>
  <c r="AQ337" i="8"/>
  <c r="G337" i="8"/>
  <c r="AQ338" i="8"/>
  <c r="G338" i="8"/>
  <c r="AQ339" i="8"/>
  <c r="G339" i="8"/>
  <c r="AQ340" i="8"/>
  <c r="G340" i="8"/>
  <c r="AQ341" i="8"/>
  <c r="G341" i="8"/>
  <c r="AQ342" i="8"/>
  <c r="G342" i="8"/>
  <c r="AQ343" i="8"/>
  <c r="G343" i="8"/>
  <c r="AQ344" i="8"/>
  <c r="G344" i="8"/>
  <c r="AQ345" i="8"/>
  <c r="G345" i="8"/>
  <c r="AQ346" i="8"/>
  <c r="G346" i="8"/>
  <c r="AQ347" i="8"/>
  <c r="G347" i="8"/>
  <c r="AQ348" i="8"/>
  <c r="G348" i="8"/>
  <c r="AQ349" i="8"/>
  <c r="G349" i="8"/>
  <c r="AQ350" i="8"/>
  <c r="G350" i="8"/>
  <c r="AQ32" i="8"/>
  <c r="G32" i="8"/>
  <c r="AQ351" i="8"/>
  <c r="G351" i="8"/>
  <c r="AQ352" i="8"/>
  <c r="G352" i="8"/>
  <c r="AQ353" i="8"/>
  <c r="G353" i="8"/>
  <c r="AQ354" i="8"/>
  <c r="G354" i="8"/>
  <c r="AQ355" i="8"/>
  <c r="G355" i="8"/>
  <c r="AQ356" i="8"/>
  <c r="G356" i="8"/>
  <c r="AQ357" i="8"/>
  <c r="G357" i="8"/>
  <c r="AQ358" i="8"/>
  <c r="G358" i="8"/>
  <c r="AQ359" i="8"/>
  <c r="G359" i="8"/>
  <c r="AQ360" i="8"/>
  <c r="G360" i="8"/>
  <c r="AQ33" i="8"/>
  <c r="G33" i="8"/>
  <c r="AQ361" i="8"/>
  <c r="G361" i="8"/>
  <c r="AQ362" i="8"/>
  <c r="G362" i="8"/>
  <c r="AQ97" i="8"/>
  <c r="G97" i="8"/>
  <c r="AQ363" i="8"/>
  <c r="G363" i="8"/>
  <c r="AQ364" i="8"/>
  <c r="G364" i="8"/>
  <c r="AQ365" i="8"/>
  <c r="G365" i="8"/>
  <c r="AQ98" i="8"/>
  <c r="G98" i="8"/>
  <c r="AQ366" i="8"/>
  <c r="G366" i="8"/>
  <c r="AQ367" i="8"/>
  <c r="G367" i="8"/>
  <c r="AQ34" i="8"/>
  <c r="G34" i="8"/>
  <c r="AQ368" i="8"/>
  <c r="G368" i="8"/>
  <c r="AQ369" i="8"/>
  <c r="G369" i="8"/>
  <c r="AQ370" i="8"/>
  <c r="G370" i="8"/>
  <c r="AQ35" i="8"/>
  <c r="G35" i="8"/>
  <c r="AQ371" i="8"/>
  <c r="G371" i="8"/>
  <c r="AQ372" i="8"/>
  <c r="G372" i="8"/>
  <c r="AQ373" i="8"/>
  <c r="G373" i="8"/>
  <c r="AQ374" i="8"/>
  <c r="G374" i="8"/>
  <c r="AQ375" i="8"/>
  <c r="G375" i="8"/>
  <c r="AQ376" i="8"/>
  <c r="G376" i="8"/>
  <c r="AQ377" i="8"/>
  <c r="G377" i="8"/>
  <c r="AQ378" i="8"/>
  <c r="G378" i="8"/>
  <c r="AQ379" i="8"/>
  <c r="G379" i="8"/>
  <c r="AQ380" i="8"/>
  <c r="G380" i="8"/>
  <c r="AQ99" i="8"/>
  <c r="G99" i="8"/>
  <c r="AQ381" i="8"/>
  <c r="G381" i="8"/>
  <c r="AQ382" i="8"/>
  <c r="G382" i="8"/>
  <c r="AQ383" i="8"/>
  <c r="G383" i="8"/>
  <c r="AQ384" i="8"/>
  <c r="G384" i="8"/>
  <c r="AQ385" i="8"/>
  <c r="G385" i="8"/>
  <c r="AQ36" i="8"/>
  <c r="G36" i="8"/>
  <c r="AQ386" i="8"/>
  <c r="G386" i="8"/>
  <c r="AQ387" i="8"/>
  <c r="G387" i="8"/>
  <c r="AQ388" i="8"/>
  <c r="G388" i="8"/>
  <c r="AQ389" i="8"/>
  <c r="G389" i="8"/>
  <c r="AQ390" i="8"/>
  <c r="G390" i="8"/>
  <c r="AQ391" i="8"/>
  <c r="G391" i="8"/>
  <c r="AQ392" i="8"/>
  <c r="G392" i="8"/>
  <c r="AQ393" i="8"/>
  <c r="G393" i="8"/>
  <c r="AQ37" i="8"/>
  <c r="G37" i="8"/>
  <c r="AQ394" i="8"/>
  <c r="G394" i="8"/>
  <c r="AQ395" i="8"/>
  <c r="G395" i="8"/>
  <c r="AQ396" i="8"/>
  <c r="G396" i="8"/>
  <c r="AQ397" i="8"/>
  <c r="G397" i="8"/>
  <c r="AQ398" i="8"/>
  <c r="G398" i="8"/>
  <c r="AQ38" i="8"/>
  <c r="G38" i="8"/>
  <c r="AQ399" i="8"/>
  <c r="G399" i="8"/>
  <c r="AQ400" i="8"/>
  <c r="G400" i="8"/>
  <c r="AQ401" i="8"/>
  <c r="G401" i="8"/>
  <c r="AQ402" i="8"/>
  <c r="G402" i="8"/>
  <c r="AQ403" i="8"/>
  <c r="G403" i="8"/>
  <c r="AQ404" i="8"/>
  <c r="G404" i="8"/>
  <c r="AQ405" i="8"/>
  <c r="G405" i="8"/>
  <c r="AQ406" i="8"/>
  <c r="G406" i="8"/>
  <c r="AS45" i="8"/>
  <c r="I45" i="8"/>
  <c r="AS46" i="8"/>
  <c r="I46" i="8"/>
  <c r="AS47" i="8"/>
  <c r="I47" i="8"/>
  <c r="AS3" i="8"/>
  <c r="I3" i="8"/>
  <c r="AS48" i="8"/>
  <c r="I48" i="8"/>
  <c r="AS39" i="8"/>
  <c r="I39" i="8"/>
  <c r="AS49" i="8"/>
  <c r="I49" i="8"/>
  <c r="AS50" i="8"/>
  <c r="I50" i="8"/>
  <c r="AS51" i="8"/>
  <c r="I51" i="8"/>
  <c r="AS52" i="8"/>
  <c r="I52" i="8"/>
  <c r="AS40" i="8"/>
  <c r="I40" i="8"/>
  <c r="AS53" i="8"/>
  <c r="I53" i="8"/>
  <c r="AS54" i="8"/>
  <c r="I54" i="8"/>
  <c r="AS55" i="8"/>
  <c r="I55" i="8"/>
  <c r="AS56" i="8"/>
  <c r="I56" i="8"/>
  <c r="AS57" i="8"/>
  <c r="I57" i="8"/>
  <c r="AS58" i="8"/>
  <c r="I58" i="8"/>
  <c r="AS41" i="8"/>
  <c r="I41" i="8"/>
  <c r="AS59" i="8"/>
  <c r="I59" i="8"/>
  <c r="AS60" i="8"/>
  <c r="I60" i="8"/>
  <c r="AS4" i="8"/>
  <c r="I4" i="8"/>
  <c r="AS61" i="8"/>
  <c r="I61" i="8"/>
  <c r="AS62" i="8"/>
  <c r="I62" i="8"/>
  <c r="AS5" i="8"/>
  <c r="I5" i="8"/>
  <c r="AS2" i="8"/>
  <c r="I2" i="8"/>
  <c r="AS42" i="8"/>
  <c r="I42" i="8"/>
  <c r="AS63" i="8"/>
  <c r="I63" i="8"/>
  <c r="AS43" i="8"/>
  <c r="I43" i="8"/>
  <c r="AS44" i="8"/>
  <c r="I44" i="8"/>
  <c r="AS64" i="8"/>
  <c r="I64" i="8"/>
  <c r="AS65" i="8"/>
  <c r="I65" i="8"/>
  <c r="AS66" i="8"/>
  <c r="I66" i="8"/>
  <c r="AS67" i="8"/>
  <c r="I67" i="8"/>
  <c r="AS68" i="8"/>
  <c r="I68" i="8"/>
  <c r="AS69" i="8"/>
  <c r="I69" i="8"/>
  <c r="AS70" i="8"/>
  <c r="I70" i="8"/>
  <c r="AS71" i="8"/>
  <c r="I71" i="8"/>
  <c r="AS100" i="8"/>
  <c r="I100" i="8"/>
  <c r="AS72" i="8"/>
  <c r="I72" i="8"/>
  <c r="AS73" i="8"/>
  <c r="I73" i="8"/>
  <c r="AS101" i="8"/>
  <c r="I101" i="8"/>
  <c r="AS74" i="8"/>
  <c r="I74" i="8"/>
  <c r="AS102" i="8"/>
  <c r="I102" i="8"/>
  <c r="AS103" i="8"/>
  <c r="I103" i="8"/>
  <c r="AS104" i="8"/>
  <c r="I104" i="8"/>
  <c r="AS105" i="8"/>
  <c r="I105" i="8"/>
  <c r="AS106" i="8"/>
  <c r="I106" i="8"/>
  <c r="AS107" i="8"/>
  <c r="I107" i="8"/>
  <c r="AS108" i="8"/>
  <c r="I108" i="8"/>
  <c r="AS109" i="8"/>
  <c r="I109" i="8"/>
  <c r="AS110" i="8"/>
  <c r="I110" i="8"/>
  <c r="AS111" i="8"/>
  <c r="I111" i="8"/>
  <c r="AS112" i="8"/>
  <c r="I112" i="8"/>
  <c r="AS113" i="8"/>
  <c r="I113" i="8"/>
  <c r="AS114" i="8"/>
  <c r="I114" i="8"/>
  <c r="AS115" i="8"/>
  <c r="I115" i="8"/>
  <c r="AS75" i="8"/>
  <c r="I75" i="8"/>
  <c r="AS116" i="8"/>
  <c r="I116" i="8"/>
  <c r="AS117" i="8"/>
  <c r="I117" i="8"/>
  <c r="AS118" i="8"/>
  <c r="I118" i="8"/>
  <c r="AS119" i="8"/>
  <c r="I119" i="8"/>
  <c r="AS120" i="8"/>
  <c r="I120" i="8"/>
  <c r="AS121" i="8"/>
  <c r="I121" i="8"/>
  <c r="AS122" i="8"/>
  <c r="I122" i="8"/>
  <c r="AS123" i="8"/>
  <c r="I123" i="8"/>
  <c r="AS124" i="8"/>
  <c r="I124" i="8"/>
  <c r="AS125" i="8"/>
  <c r="I125" i="8"/>
  <c r="AS126" i="8"/>
  <c r="I126" i="8"/>
  <c r="AS127" i="8"/>
  <c r="I127" i="8"/>
  <c r="AS128" i="8"/>
  <c r="I128" i="8"/>
  <c r="AS129" i="8"/>
  <c r="I129" i="8"/>
  <c r="AS76" i="8"/>
  <c r="I76" i="8"/>
  <c r="AS130" i="8"/>
  <c r="I130" i="8"/>
  <c r="AS131" i="8"/>
  <c r="I131" i="8"/>
  <c r="AS132" i="8"/>
  <c r="I132" i="8"/>
  <c r="AS133" i="8"/>
  <c r="I133" i="8"/>
  <c r="AS77" i="8"/>
  <c r="I77" i="8"/>
  <c r="AS134" i="8"/>
  <c r="I134" i="8"/>
  <c r="AS135" i="8"/>
  <c r="I135" i="8"/>
  <c r="AS136" i="8"/>
  <c r="I136" i="8"/>
  <c r="AS137" i="8"/>
  <c r="I137" i="8"/>
  <c r="AS138" i="8"/>
  <c r="I138" i="8"/>
  <c r="AS78" i="8"/>
  <c r="I78" i="8"/>
  <c r="AS139" i="8"/>
  <c r="I139" i="8"/>
  <c r="AS140" i="8"/>
  <c r="I140" i="8"/>
  <c r="AS141" i="8"/>
  <c r="I141" i="8"/>
  <c r="AS8" i="8"/>
  <c r="I8" i="8"/>
  <c r="AS142" i="8"/>
  <c r="I142" i="8"/>
  <c r="AS143" i="8"/>
  <c r="I143" i="8"/>
  <c r="AS144" i="8"/>
  <c r="I144" i="8"/>
  <c r="AS145" i="8"/>
  <c r="I145" i="8"/>
  <c r="AS146" i="8"/>
  <c r="I146" i="8"/>
  <c r="AS147" i="8"/>
  <c r="I147" i="8"/>
  <c r="AS148" i="8"/>
  <c r="I148" i="8"/>
  <c r="AS149" i="8"/>
  <c r="I149" i="8"/>
  <c r="AS150" i="8"/>
  <c r="I150" i="8"/>
  <c r="AS9" i="8"/>
  <c r="I9" i="8"/>
  <c r="AS10" i="8"/>
  <c r="I10" i="8"/>
  <c r="AS11" i="8"/>
  <c r="I11" i="8"/>
  <c r="AS151" i="8"/>
  <c r="I151" i="8"/>
  <c r="AS152" i="8"/>
  <c r="I152" i="8"/>
  <c r="AS153" i="8"/>
  <c r="I153" i="8"/>
  <c r="AS154" i="8"/>
  <c r="I154" i="8"/>
  <c r="AS155" i="8"/>
  <c r="I155" i="8"/>
  <c r="AS156" i="8"/>
  <c r="I156" i="8"/>
  <c r="AS157" i="8"/>
  <c r="I157" i="8"/>
  <c r="AS158" i="8"/>
  <c r="I158" i="8"/>
  <c r="AS159" i="8"/>
  <c r="I159" i="8"/>
  <c r="AS160" i="8"/>
  <c r="I160" i="8"/>
  <c r="AS161" i="8"/>
  <c r="I161" i="8"/>
  <c r="AS162" i="8"/>
  <c r="I162" i="8"/>
  <c r="AS163" i="8"/>
  <c r="I163" i="8"/>
  <c r="AS164" i="8"/>
  <c r="I164" i="8"/>
  <c r="AS165" i="8"/>
  <c r="I165" i="8"/>
  <c r="AS166" i="8"/>
  <c r="I166" i="8"/>
  <c r="AS167" i="8"/>
  <c r="I167" i="8"/>
  <c r="AS168" i="8"/>
  <c r="I168" i="8"/>
  <c r="AS169" i="8"/>
  <c r="I169" i="8"/>
  <c r="AS170" i="8"/>
  <c r="I170" i="8"/>
  <c r="AS171" i="8"/>
  <c r="I171" i="8"/>
  <c r="AS172" i="8"/>
  <c r="I172" i="8"/>
  <c r="AS12" i="8"/>
  <c r="I12" i="8"/>
  <c r="AS173" i="8"/>
  <c r="I173" i="8"/>
  <c r="AS174" i="8"/>
  <c r="I174" i="8"/>
  <c r="AS175" i="8"/>
  <c r="I175" i="8"/>
  <c r="AS176" i="8"/>
  <c r="I176" i="8"/>
  <c r="AS177" i="8"/>
  <c r="I177" i="8"/>
  <c r="AS178" i="8"/>
  <c r="I178" i="8"/>
  <c r="AS179" i="8"/>
  <c r="I179" i="8"/>
  <c r="AS180" i="8"/>
  <c r="I180" i="8"/>
  <c r="AS181" i="8"/>
  <c r="I181" i="8"/>
  <c r="AS182" i="8"/>
  <c r="I182" i="8"/>
  <c r="AS13" i="8"/>
  <c r="I13" i="8"/>
  <c r="AS183" i="8"/>
  <c r="I183" i="8"/>
  <c r="AS184" i="8"/>
  <c r="I184" i="8"/>
  <c r="AS185" i="8"/>
  <c r="I185" i="8"/>
  <c r="AS186" i="8"/>
  <c r="I186" i="8"/>
  <c r="AS187" i="8"/>
  <c r="I187" i="8"/>
  <c r="AS188" i="8"/>
  <c r="I188" i="8"/>
  <c r="AS189" i="8"/>
  <c r="I189" i="8"/>
  <c r="AS190" i="8"/>
  <c r="I190" i="8"/>
  <c r="AS191" i="8"/>
  <c r="I191" i="8"/>
  <c r="AS192" i="8"/>
  <c r="I192" i="8"/>
  <c r="AS193" i="8"/>
  <c r="I193" i="8"/>
  <c r="AS194" i="8"/>
  <c r="I194" i="8"/>
  <c r="AS14" i="8"/>
  <c r="I14" i="8"/>
  <c r="AS195" i="8"/>
  <c r="I195" i="8"/>
  <c r="AS196" i="8"/>
  <c r="I196" i="8"/>
  <c r="AS197" i="8"/>
  <c r="I197" i="8"/>
  <c r="AS198" i="8"/>
  <c r="I198" i="8"/>
  <c r="AS199" i="8"/>
  <c r="I199" i="8"/>
  <c r="AS200" i="8"/>
  <c r="I200" i="8"/>
  <c r="AS201" i="8"/>
  <c r="I201" i="8"/>
  <c r="AS15" i="8"/>
  <c r="I15" i="8"/>
  <c r="AS202" i="8"/>
  <c r="I202" i="8"/>
  <c r="AS203" i="8"/>
  <c r="I203" i="8"/>
  <c r="AS16" i="8"/>
  <c r="I16" i="8"/>
  <c r="AS204" i="8"/>
  <c r="I204" i="8"/>
  <c r="AS205" i="8"/>
  <c r="I205" i="8"/>
  <c r="AS206" i="8"/>
  <c r="I206" i="8"/>
  <c r="AS207" i="8"/>
  <c r="I207" i="8"/>
  <c r="AS6" i="8"/>
  <c r="I6" i="8"/>
  <c r="AS208" i="8"/>
  <c r="I208" i="8"/>
  <c r="AS209" i="8"/>
  <c r="I209" i="8"/>
  <c r="AS17" i="8"/>
  <c r="I17" i="8"/>
  <c r="AS210" i="8"/>
  <c r="I210" i="8"/>
  <c r="AS211" i="8"/>
  <c r="I211" i="8"/>
  <c r="AS212" i="8"/>
  <c r="I212" i="8"/>
  <c r="AS213" i="8"/>
  <c r="I213" i="8"/>
  <c r="AS7" i="8"/>
  <c r="I7" i="8"/>
  <c r="AS214" i="8"/>
  <c r="I214" i="8"/>
  <c r="AS215" i="8"/>
  <c r="I215" i="8"/>
  <c r="AS216" i="8"/>
  <c r="I216" i="8"/>
  <c r="AS217" i="8"/>
  <c r="I217" i="8"/>
  <c r="AS218" i="8"/>
  <c r="I218" i="8"/>
  <c r="AS18" i="8"/>
  <c r="I18" i="8"/>
  <c r="AS219" i="8"/>
  <c r="I219" i="8"/>
  <c r="AS220" i="8"/>
  <c r="I220" i="8"/>
  <c r="AS19" i="8"/>
  <c r="I19" i="8"/>
  <c r="AS20" i="8"/>
  <c r="I20" i="8"/>
  <c r="AS21" i="8"/>
  <c r="I21" i="8"/>
  <c r="AS221" i="8"/>
  <c r="I221" i="8"/>
  <c r="AS222" i="8"/>
  <c r="I222" i="8"/>
  <c r="AS223" i="8"/>
  <c r="I223" i="8"/>
  <c r="AS224" i="8"/>
  <c r="I224" i="8"/>
  <c r="AS225" i="8"/>
  <c r="I225" i="8"/>
  <c r="AS226" i="8"/>
  <c r="I226" i="8"/>
  <c r="AS227" i="8"/>
  <c r="I227" i="8"/>
  <c r="AS228" i="8"/>
  <c r="I228" i="8"/>
  <c r="AS22" i="8"/>
  <c r="I22" i="8"/>
  <c r="AS23" i="8"/>
  <c r="I23" i="8"/>
  <c r="AS229" i="8"/>
  <c r="I229" i="8"/>
  <c r="AS230" i="8"/>
  <c r="I230" i="8"/>
  <c r="AS231" i="8"/>
  <c r="I231" i="8"/>
  <c r="AS232" i="8"/>
  <c r="I232" i="8"/>
  <c r="AS233" i="8"/>
  <c r="I233" i="8"/>
  <c r="AS234" i="8"/>
  <c r="I234" i="8"/>
  <c r="AS235" i="8"/>
  <c r="I235" i="8"/>
  <c r="AS236" i="8"/>
  <c r="I236" i="8"/>
  <c r="AS237" i="8"/>
  <c r="I237" i="8"/>
  <c r="AS238" i="8"/>
  <c r="I238" i="8"/>
  <c r="AS239" i="8"/>
  <c r="I239" i="8"/>
  <c r="AS240" i="8"/>
  <c r="I240" i="8"/>
  <c r="AS24" i="8"/>
  <c r="I24" i="8"/>
  <c r="AS241" i="8"/>
  <c r="I241" i="8"/>
  <c r="AS242" i="8"/>
  <c r="I242" i="8"/>
  <c r="AS243" i="8"/>
  <c r="I243" i="8"/>
  <c r="AS244" i="8"/>
  <c r="I244" i="8"/>
  <c r="AS245" i="8"/>
  <c r="I245" i="8"/>
  <c r="AS246" i="8"/>
  <c r="I246" i="8"/>
  <c r="AS247" i="8"/>
  <c r="I247" i="8"/>
  <c r="AS248" i="8"/>
  <c r="I248" i="8"/>
  <c r="AS249" i="8"/>
  <c r="I249" i="8"/>
  <c r="AS250" i="8"/>
  <c r="I250" i="8"/>
  <c r="AS79" i="8"/>
  <c r="I79" i="8"/>
  <c r="AS251" i="8"/>
  <c r="I251" i="8"/>
  <c r="AS252" i="8"/>
  <c r="I252" i="8"/>
  <c r="AS253" i="8"/>
  <c r="I253" i="8"/>
  <c r="AS254" i="8"/>
  <c r="I254" i="8"/>
  <c r="AS255" i="8"/>
  <c r="I255" i="8"/>
  <c r="AS80" i="8"/>
  <c r="I80" i="8"/>
  <c r="AS81" i="8"/>
  <c r="I81" i="8"/>
  <c r="AS82" i="8"/>
  <c r="I82" i="8"/>
  <c r="AS256" i="8"/>
  <c r="I256" i="8"/>
  <c r="AS83" i="8"/>
  <c r="I83" i="8"/>
  <c r="AS84" i="8"/>
  <c r="I84" i="8"/>
  <c r="AS257" i="8"/>
  <c r="I257" i="8"/>
  <c r="AS85" i="8"/>
  <c r="I85" i="8"/>
  <c r="AS86" i="8"/>
  <c r="I86" i="8"/>
  <c r="AS87" i="8"/>
  <c r="I87" i="8"/>
  <c r="AS258" i="8"/>
  <c r="I258" i="8"/>
  <c r="AS25" i="8"/>
  <c r="I25" i="8"/>
  <c r="AS88" i="8"/>
  <c r="I88" i="8"/>
  <c r="AS89" i="8"/>
  <c r="I89" i="8"/>
  <c r="AS259" i="8"/>
  <c r="I259" i="8"/>
  <c r="AS260" i="8"/>
  <c r="I260" i="8"/>
  <c r="AS261" i="8"/>
  <c r="I261" i="8"/>
  <c r="AS90" i="8"/>
  <c r="I90" i="8"/>
  <c r="AS262" i="8"/>
  <c r="I262" i="8"/>
  <c r="AS263" i="8"/>
  <c r="I263" i="8"/>
  <c r="AS26" i="8"/>
  <c r="I26" i="8"/>
  <c r="AS264" i="8"/>
  <c r="I264" i="8"/>
  <c r="AS265" i="8"/>
  <c r="I265" i="8"/>
  <c r="AS266" i="8"/>
  <c r="I266" i="8"/>
  <c r="AS91" i="8"/>
  <c r="I91" i="8"/>
  <c r="AS267" i="8"/>
  <c r="I267" i="8"/>
  <c r="AS268" i="8"/>
  <c r="I268" i="8"/>
  <c r="AS92" i="8"/>
  <c r="I92" i="8"/>
  <c r="AS269" i="8"/>
  <c r="I269" i="8"/>
  <c r="AS270" i="8"/>
  <c r="I270" i="8"/>
  <c r="AS271" i="8"/>
  <c r="I271" i="8"/>
  <c r="AS272" i="8"/>
  <c r="I272" i="8"/>
  <c r="AS273" i="8"/>
  <c r="I273" i="8"/>
  <c r="AS27" i="8"/>
  <c r="I27" i="8"/>
  <c r="AS274" i="8"/>
  <c r="I274" i="8"/>
  <c r="AS275" i="8"/>
  <c r="I275" i="8"/>
  <c r="AS276" i="8"/>
  <c r="I276" i="8"/>
  <c r="AS277" i="8"/>
  <c r="I277" i="8"/>
  <c r="AS278" i="8"/>
  <c r="I278" i="8"/>
  <c r="AS279" i="8"/>
  <c r="I279" i="8"/>
  <c r="AS280" i="8"/>
  <c r="I280" i="8"/>
  <c r="AS281" i="8"/>
  <c r="I281" i="8"/>
  <c r="AS282" i="8"/>
  <c r="I282" i="8"/>
  <c r="AS283" i="8"/>
  <c r="I283" i="8"/>
  <c r="AS284" i="8"/>
  <c r="I284" i="8"/>
  <c r="AS285" i="8"/>
  <c r="I285" i="8"/>
  <c r="AS286" i="8"/>
  <c r="I286" i="8"/>
  <c r="AS28" i="8"/>
  <c r="I28" i="8"/>
  <c r="AS287" i="8"/>
  <c r="I287" i="8"/>
  <c r="AS288" i="8"/>
  <c r="I288" i="8"/>
  <c r="AS93" i="8"/>
  <c r="I93" i="8"/>
  <c r="AS289" i="8"/>
  <c r="I289" i="8"/>
  <c r="AS290" i="8"/>
  <c r="I290" i="8"/>
  <c r="AS291" i="8"/>
  <c r="I291" i="8"/>
  <c r="AS292" i="8"/>
  <c r="I292" i="8"/>
  <c r="AS293" i="8"/>
  <c r="I293" i="8"/>
  <c r="AS294" i="8"/>
  <c r="I294" i="8"/>
  <c r="AS295" i="8"/>
  <c r="I295" i="8"/>
  <c r="AS296" i="8"/>
  <c r="I296" i="8"/>
  <c r="AS297" i="8"/>
  <c r="I297" i="8"/>
  <c r="AS298" i="8"/>
  <c r="I298" i="8"/>
  <c r="AS299" i="8"/>
  <c r="I299" i="8"/>
  <c r="AS300" i="8"/>
  <c r="I300" i="8"/>
  <c r="AS301" i="8"/>
  <c r="I301" i="8"/>
  <c r="AS302" i="8"/>
  <c r="I302" i="8"/>
  <c r="AS29" i="8"/>
  <c r="I29" i="8"/>
  <c r="AS303" i="8"/>
  <c r="I303" i="8"/>
  <c r="AS304" i="8"/>
  <c r="I304" i="8"/>
  <c r="AS305" i="8"/>
  <c r="I305" i="8"/>
  <c r="AS306" i="8"/>
  <c r="I306" i="8"/>
  <c r="AS307" i="8"/>
  <c r="I307" i="8"/>
  <c r="AS94" i="8"/>
  <c r="I94" i="8"/>
  <c r="AS308" i="8"/>
  <c r="I308" i="8"/>
  <c r="AS309" i="8"/>
  <c r="I309" i="8"/>
  <c r="AS310" i="8"/>
  <c r="I310" i="8"/>
  <c r="AS311" i="8"/>
  <c r="I311" i="8"/>
  <c r="AS312" i="8"/>
  <c r="I312" i="8"/>
  <c r="AS313" i="8"/>
  <c r="I313" i="8"/>
  <c r="AS95" i="8"/>
  <c r="I95" i="8"/>
  <c r="AS314" i="8"/>
  <c r="I314" i="8"/>
  <c r="AS315" i="8"/>
  <c r="I315" i="8"/>
  <c r="AS316" i="8"/>
  <c r="I316" i="8"/>
  <c r="AS317" i="8"/>
  <c r="I317" i="8"/>
  <c r="AS318" i="8"/>
  <c r="I318" i="8"/>
  <c r="AS96" i="8"/>
  <c r="I96" i="8"/>
  <c r="AS319" i="8"/>
  <c r="I319" i="8"/>
  <c r="AS320" i="8"/>
  <c r="I320" i="8"/>
  <c r="AS321" i="8"/>
  <c r="I321" i="8"/>
  <c r="AS322" i="8"/>
  <c r="I322" i="8"/>
  <c r="AS323" i="8"/>
  <c r="I323" i="8"/>
  <c r="AS324" i="8"/>
  <c r="I324" i="8"/>
  <c r="AS325" i="8"/>
  <c r="I325" i="8"/>
  <c r="AS326" i="8"/>
  <c r="I326" i="8"/>
  <c r="AS30" i="8"/>
  <c r="I30" i="8"/>
  <c r="AS327" i="8"/>
  <c r="I327" i="8"/>
  <c r="AS328" i="8"/>
  <c r="I328" i="8"/>
  <c r="AS329" i="8"/>
  <c r="I329" i="8"/>
  <c r="AS330" i="8"/>
  <c r="I330" i="8"/>
  <c r="AS331" i="8"/>
  <c r="I331" i="8"/>
  <c r="AS31" i="8"/>
  <c r="I31" i="8"/>
  <c r="AS332" i="8"/>
  <c r="I332" i="8"/>
  <c r="AS333" i="8"/>
  <c r="I333" i="8"/>
  <c r="AS334" i="8"/>
  <c r="I334" i="8"/>
  <c r="AS335" i="8"/>
  <c r="I335" i="8"/>
  <c r="AS336" i="8"/>
  <c r="I336" i="8"/>
  <c r="AS337" i="8"/>
  <c r="I337" i="8"/>
  <c r="AS338" i="8"/>
  <c r="I338" i="8"/>
  <c r="AS339" i="8"/>
  <c r="I339" i="8"/>
  <c r="AS340" i="8"/>
  <c r="I340" i="8"/>
  <c r="AS341" i="8"/>
  <c r="I341" i="8"/>
  <c r="AS342" i="8"/>
  <c r="I342" i="8"/>
  <c r="AS343" i="8"/>
  <c r="I343" i="8"/>
  <c r="AS344" i="8"/>
  <c r="I344" i="8"/>
  <c r="AS345" i="8"/>
  <c r="I345" i="8"/>
  <c r="AS346" i="8"/>
  <c r="I346" i="8"/>
  <c r="AS347" i="8"/>
  <c r="I347" i="8"/>
  <c r="AS348" i="8"/>
  <c r="I348" i="8"/>
  <c r="AS349" i="8"/>
  <c r="I349" i="8"/>
  <c r="AS350" i="8"/>
  <c r="I350" i="8"/>
  <c r="AS32" i="8"/>
  <c r="I32" i="8"/>
  <c r="AS351" i="8"/>
  <c r="I351" i="8"/>
  <c r="AS352" i="8"/>
  <c r="I352" i="8"/>
  <c r="AS353" i="8"/>
  <c r="I353" i="8"/>
  <c r="AS354" i="8"/>
  <c r="I354" i="8"/>
  <c r="AS355" i="8"/>
  <c r="I355" i="8"/>
  <c r="AS356" i="8"/>
  <c r="I356" i="8"/>
  <c r="AS357" i="8"/>
  <c r="I357" i="8"/>
  <c r="AS358" i="8"/>
  <c r="I358" i="8"/>
  <c r="AS359" i="8"/>
  <c r="I359" i="8"/>
  <c r="AS360" i="8"/>
  <c r="I360" i="8"/>
  <c r="AS33" i="8"/>
  <c r="I33" i="8"/>
  <c r="AS361" i="8"/>
  <c r="I361" i="8"/>
  <c r="AS362" i="8"/>
  <c r="I362" i="8"/>
  <c r="AS97" i="8"/>
  <c r="I97" i="8"/>
  <c r="AS363" i="8"/>
  <c r="I363" i="8"/>
  <c r="AS364" i="8"/>
  <c r="I364" i="8"/>
  <c r="AS365" i="8"/>
  <c r="I365" i="8"/>
  <c r="AS98" i="8"/>
  <c r="I98" i="8"/>
  <c r="AS366" i="8"/>
  <c r="I366" i="8"/>
  <c r="AS367" i="8"/>
  <c r="I367" i="8"/>
  <c r="AS34" i="8"/>
  <c r="I34" i="8"/>
  <c r="AS368" i="8"/>
  <c r="I368" i="8"/>
  <c r="AS369" i="8"/>
  <c r="I369" i="8"/>
  <c r="AS370" i="8"/>
  <c r="I370" i="8"/>
  <c r="AS35" i="8"/>
  <c r="I35" i="8"/>
  <c r="AS371" i="8"/>
  <c r="I371" i="8"/>
  <c r="AS372" i="8"/>
  <c r="I372" i="8"/>
  <c r="AS373" i="8"/>
  <c r="I373" i="8"/>
  <c r="AS374" i="8"/>
  <c r="I374" i="8"/>
  <c r="AS375" i="8"/>
  <c r="I375" i="8"/>
  <c r="AS376" i="8"/>
  <c r="I376" i="8"/>
  <c r="AS377" i="8"/>
  <c r="I377" i="8"/>
  <c r="AS378" i="8"/>
  <c r="I378" i="8"/>
  <c r="AS379" i="8"/>
  <c r="I379" i="8"/>
  <c r="AS380" i="8"/>
  <c r="I380" i="8"/>
  <c r="AS99" i="8"/>
  <c r="I99" i="8"/>
  <c r="AS381" i="8"/>
  <c r="I381" i="8"/>
  <c r="AS382" i="8"/>
  <c r="I382" i="8"/>
  <c r="AS383" i="8"/>
  <c r="I383" i="8"/>
  <c r="AS384" i="8"/>
  <c r="I384" i="8"/>
  <c r="AS385" i="8"/>
  <c r="I385" i="8"/>
  <c r="AS36" i="8"/>
  <c r="I36" i="8"/>
  <c r="AS386" i="8"/>
  <c r="I386" i="8"/>
  <c r="AS387" i="8"/>
  <c r="I387" i="8"/>
  <c r="AS388" i="8"/>
  <c r="I388" i="8"/>
  <c r="AS389" i="8"/>
  <c r="I389" i="8"/>
  <c r="AS390" i="8"/>
  <c r="I390" i="8"/>
  <c r="AS391" i="8"/>
  <c r="I391" i="8"/>
  <c r="AS392" i="8"/>
  <c r="I392" i="8"/>
  <c r="AS393" i="8"/>
  <c r="I393" i="8"/>
  <c r="AS37" i="8"/>
  <c r="I37" i="8"/>
  <c r="AS394" i="8"/>
  <c r="I394" i="8"/>
  <c r="AS395" i="8"/>
  <c r="I395" i="8"/>
  <c r="AS396" i="8"/>
  <c r="I396" i="8"/>
  <c r="AS397" i="8"/>
  <c r="I397" i="8"/>
  <c r="AS398" i="8"/>
  <c r="I398" i="8"/>
  <c r="AS38" i="8"/>
  <c r="I38" i="8"/>
  <c r="AS399" i="8"/>
  <c r="I399" i="8"/>
  <c r="AS400" i="8"/>
  <c r="I400" i="8"/>
  <c r="AS401" i="8"/>
  <c r="I401" i="8"/>
  <c r="AS402" i="8"/>
  <c r="I402" i="8"/>
  <c r="AS403" i="8"/>
  <c r="I403" i="8"/>
  <c r="AS404" i="8"/>
  <c r="I404" i="8"/>
  <c r="AS405" i="8"/>
  <c r="I405" i="8"/>
  <c r="AS406" i="8"/>
  <c r="I406" i="8"/>
  <c r="AU45" i="8"/>
  <c r="K45" i="8"/>
  <c r="AU46" i="8"/>
  <c r="K46" i="8"/>
  <c r="AU47" i="8"/>
  <c r="K47" i="8"/>
  <c r="AU3" i="8"/>
  <c r="K3" i="8"/>
  <c r="AU48" i="8"/>
  <c r="K48" i="8"/>
  <c r="AU39" i="8"/>
  <c r="K39" i="8"/>
  <c r="AU49" i="8"/>
  <c r="K49" i="8"/>
  <c r="AU50" i="8"/>
  <c r="K50" i="8"/>
  <c r="AU51" i="8"/>
  <c r="K51" i="8"/>
  <c r="AU52" i="8"/>
  <c r="K52" i="8"/>
  <c r="AU40" i="8"/>
  <c r="K40" i="8"/>
  <c r="AU53" i="8"/>
  <c r="K53" i="8"/>
  <c r="AU54" i="8"/>
  <c r="K54" i="8"/>
  <c r="AU55" i="8"/>
  <c r="K55" i="8"/>
  <c r="AU56" i="8"/>
  <c r="K56" i="8"/>
  <c r="AU57" i="8"/>
  <c r="K57" i="8"/>
  <c r="AU58" i="8"/>
  <c r="K58" i="8"/>
  <c r="AU41" i="8"/>
  <c r="K41" i="8"/>
  <c r="AU59" i="8"/>
  <c r="K59" i="8"/>
  <c r="AU60" i="8"/>
  <c r="K60" i="8"/>
  <c r="AU4" i="8"/>
  <c r="K4" i="8"/>
  <c r="AU61" i="8"/>
  <c r="K61" i="8"/>
  <c r="AU62" i="8"/>
  <c r="K62" i="8"/>
  <c r="AU5" i="8"/>
  <c r="K5" i="8"/>
  <c r="AU2" i="8"/>
  <c r="K2" i="8"/>
  <c r="AU42" i="8"/>
  <c r="K42" i="8"/>
  <c r="AU63" i="8"/>
  <c r="K63" i="8"/>
  <c r="AU43" i="8"/>
  <c r="K43" i="8"/>
  <c r="AU44" i="8"/>
  <c r="K44" i="8"/>
  <c r="AU64" i="8"/>
  <c r="K64" i="8"/>
  <c r="AU65" i="8"/>
  <c r="K65" i="8"/>
  <c r="AU66" i="8"/>
  <c r="K66" i="8"/>
  <c r="AU67" i="8"/>
  <c r="K67" i="8"/>
  <c r="AU68" i="8"/>
  <c r="K68" i="8"/>
  <c r="AU69" i="8"/>
  <c r="K69" i="8"/>
  <c r="AU70" i="8"/>
  <c r="K70" i="8"/>
  <c r="AU71" i="8"/>
  <c r="K71" i="8"/>
  <c r="AU100" i="8"/>
  <c r="K100" i="8"/>
  <c r="AU72" i="8"/>
  <c r="K72" i="8"/>
  <c r="AU73" i="8"/>
  <c r="K73" i="8"/>
  <c r="AU101" i="8"/>
  <c r="K101" i="8"/>
  <c r="AU74" i="8"/>
  <c r="K74" i="8"/>
  <c r="AU102" i="8"/>
  <c r="K102" i="8"/>
  <c r="AU103" i="8"/>
  <c r="K103" i="8"/>
  <c r="AU104" i="8"/>
  <c r="K104" i="8"/>
  <c r="AU105" i="8"/>
  <c r="K105" i="8"/>
  <c r="AU106" i="8"/>
  <c r="K106" i="8"/>
  <c r="AU107" i="8"/>
  <c r="K107" i="8"/>
  <c r="AU108" i="8"/>
  <c r="K108" i="8"/>
  <c r="AU109" i="8"/>
  <c r="K109" i="8"/>
  <c r="AU110" i="8"/>
  <c r="K110" i="8"/>
  <c r="AU111" i="8"/>
  <c r="K111" i="8"/>
  <c r="AU112" i="8"/>
  <c r="K112" i="8"/>
  <c r="AU113" i="8"/>
  <c r="K113" i="8"/>
  <c r="AU114" i="8"/>
  <c r="K114" i="8"/>
  <c r="AU115" i="8"/>
  <c r="K115" i="8"/>
  <c r="AU75" i="8"/>
  <c r="K75" i="8"/>
  <c r="AU116" i="8"/>
  <c r="K116" i="8"/>
  <c r="AU117" i="8"/>
  <c r="K117" i="8"/>
  <c r="AU118" i="8"/>
  <c r="K118" i="8"/>
  <c r="AU119" i="8"/>
  <c r="K119" i="8"/>
  <c r="AU120" i="8"/>
  <c r="K120" i="8"/>
  <c r="AU121" i="8"/>
  <c r="K121" i="8"/>
  <c r="AU122" i="8"/>
  <c r="K122" i="8"/>
  <c r="AU123" i="8"/>
  <c r="K123" i="8"/>
  <c r="AU124" i="8"/>
  <c r="K124" i="8"/>
  <c r="AU125" i="8"/>
  <c r="K125" i="8"/>
  <c r="AU126" i="8"/>
  <c r="K126" i="8"/>
  <c r="AU127" i="8"/>
  <c r="K127" i="8"/>
  <c r="AU128" i="8"/>
  <c r="K128" i="8"/>
  <c r="AU129" i="8"/>
  <c r="K129" i="8"/>
  <c r="AU76" i="8"/>
  <c r="K76" i="8"/>
  <c r="AU130" i="8"/>
  <c r="K130" i="8"/>
  <c r="AU131" i="8"/>
  <c r="K131" i="8"/>
  <c r="AU132" i="8"/>
  <c r="K132" i="8"/>
  <c r="AU133" i="8"/>
  <c r="K133" i="8"/>
  <c r="AU77" i="8"/>
  <c r="K77" i="8"/>
  <c r="AU134" i="8"/>
  <c r="K134" i="8"/>
  <c r="AU135" i="8"/>
  <c r="K135" i="8"/>
  <c r="AU136" i="8"/>
  <c r="K136" i="8"/>
  <c r="AU137" i="8"/>
  <c r="K137" i="8"/>
  <c r="AU138" i="8"/>
  <c r="K138" i="8"/>
  <c r="AU78" i="8"/>
  <c r="K78" i="8"/>
  <c r="AU139" i="8"/>
  <c r="K139" i="8"/>
  <c r="AU140" i="8"/>
  <c r="K140" i="8"/>
  <c r="AU141" i="8"/>
  <c r="K141" i="8"/>
  <c r="AU8" i="8"/>
  <c r="K8" i="8"/>
  <c r="AU142" i="8"/>
  <c r="K142" i="8"/>
  <c r="AU143" i="8"/>
  <c r="K143" i="8"/>
  <c r="AU144" i="8"/>
  <c r="K144" i="8"/>
  <c r="AU145" i="8"/>
  <c r="K145" i="8"/>
  <c r="AU146" i="8"/>
  <c r="K146" i="8"/>
  <c r="AU147" i="8"/>
  <c r="K147" i="8"/>
  <c r="AU148" i="8"/>
  <c r="K148" i="8"/>
  <c r="AU149" i="8"/>
  <c r="K149" i="8"/>
  <c r="AU150" i="8"/>
  <c r="K150" i="8"/>
  <c r="AU9" i="8"/>
  <c r="K9" i="8"/>
  <c r="AU10" i="8"/>
  <c r="K10" i="8"/>
  <c r="AU11" i="8"/>
  <c r="K11" i="8"/>
  <c r="AU151" i="8"/>
  <c r="K151" i="8"/>
  <c r="AU152" i="8"/>
  <c r="K152" i="8"/>
  <c r="AU153" i="8"/>
  <c r="K153" i="8"/>
  <c r="AU154" i="8"/>
  <c r="K154" i="8"/>
  <c r="AU155" i="8"/>
  <c r="K155" i="8"/>
  <c r="AU156" i="8"/>
  <c r="K156" i="8"/>
  <c r="AU157" i="8"/>
  <c r="K157" i="8"/>
  <c r="AU158" i="8"/>
  <c r="K158" i="8"/>
  <c r="AU159" i="8"/>
  <c r="K159" i="8"/>
  <c r="AU160" i="8"/>
  <c r="K160" i="8"/>
  <c r="AU161" i="8"/>
  <c r="K161" i="8"/>
  <c r="AU162" i="8"/>
  <c r="K162" i="8"/>
  <c r="AU163" i="8"/>
  <c r="K163" i="8"/>
  <c r="AU164" i="8"/>
  <c r="K164" i="8"/>
  <c r="AU165" i="8"/>
  <c r="K165" i="8"/>
  <c r="AU166" i="8"/>
  <c r="K166" i="8"/>
  <c r="AU167" i="8"/>
  <c r="K167" i="8"/>
  <c r="AU168" i="8"/>
  <c r="K168" i="8"/>
  <c r="AU169" i="8"/>
  <c r="K169" i="8"/>
  <c r="AU170" i="8"/>
  <c r="K170" i="8"/>
  <c r="AU171" i="8"/>
  <c r="K171" i="8"/>
  <c r="AU172" i="8"/>
  <c r="K172" i="8"/>
  <c r="AU12" i="8"/>
  <c r="K12" i="8"/>
  <c r="AU173" i="8"/>
  <c r="K173" i="8"/>
  <c r="AU174" i="8"/>
  <c r="K174" i="8"/>
  <c r="AU175" i="8"/>
  <c r="K175" i="8"/>
  <c r="AU176" i="8"/>
  <c r="K176" i="8"/>
  <c r="AU177" i="8"/>
  <c r="K177" i="8"/>
  <c r="AU178" i="8"/>
  <c r="K178" i="8"/>
  <c r="AU179" i="8"/>
  <c r="K179" i="8"/>
  <c r="AU180" i="8"/>
  <c r="K180" i="8"/>
  <c r="AU181" i="8"/>
  <c r="K181" i="8"/>
  <c r="AU182" i="8"/>
  <c r="K182" i="8"/>
  <c r="AU13" i="8"/>
  <c r="K13" i="8"/>
  <c r="AU183" i="8"/>
  <c r="K183" i="8"/>
  <c r="AU184" i="8"/>
  <c r="K184" i="8"/>
  <c r="AU185" i="8"/>
  <c r="K185" i="8"/>
  <c r="AU186" i="8"/>
  <c r="K186" i="8"/>
  <c r="AU187" i="8"/>
  <c r="K187" i="8"/>
  <c r="AU188" i="8"/>
  <c r="K188" i="8"/>
  <c r="AU189" i="8"/>
  <c r="K189" i="8"/>
  <c r="AU190" i="8"/>
  <c r="K190" i="8"/>
  <c r="AU191" i="8"/>
  <c r="K191" i="8"/>
  <c r="AU192" i="8"/>
  <c r="K192" i="8"/>
  <c r="AU193" i="8"/>
  <c r="K193" i="8"/>
  <c r="AU194" i="8"/>
  <c r="K194" i="8"/>
  <c r="AU14" i="8"/>
  <c r="K14" i="8"/>
  <c r="AU195" i="8"/>
  <c r="K195" i="8"/>
  <c r="AU196" i="8"/>
  <c r="K196" i="8"/>
  <c r="AU197" i="8"/>
  <c r="K197" i="8"/>
  <c r="AU198" i="8"/>
  <c r="K198" i="8"/>
  <c r="AU199" i="8"/>
  <c r="K199" i="8"/>
  <c r="AU200" i="8"/>
  <c r="K200" i="8"/>
  <c r="AU201" i="8"/>
  <c r="K201" i="8"/>
  <c r="AU15" i="8"/>
  <c r="K15" i="8"/>
  <c r="AU202" i="8"/>
  <c r="K202" i="8"/>
  <c r="AU203" i="8"/>
  <c r="K203" i="8"/>
  <c r="AU16" i="8"/>
  <c r="K16" i="8"/>
  <c r="AU204" i="8"/>
  <c r="K204" i="8"/>
  <c r="AU205" i="8"/>
  <c r="K205" i="8"/>
  <c r="AU206" i="8"/>
  <c r="K206" i="8"/>
  <c r="AU207" i="8"/>
  <c r="K207" i="8"/>
  <c r="AU6" i="8"/>
  <c r="K6" i="8"/>
  <c r="AU208" i="8"/>
  <c r="K208" i="8"/>
  <c r="AU209" i="8"/>
  <c r="K209" i="8"/>
  <c r="AU17" i="8"/>
  <c r="K17" i="8"/>
  <c r="AU210" i="8"/>
  <c r="K210" i="8"/>
  <c r="AU211" i="8"/>
  <c r="K211" i="8"/>
  <c r="AU212" i="8"/>
  <c r="K212" i="8"/>
  <c r="AU213" i="8"/>
  <c r="K213" i="8"/>
  <c r="AU7" i="8"/>
  <c r="K7" i="8"/>
  <c r="AU214" i="8"/>
  <c r="K214" i="8"/>
  <c r="AU215" i="8"/>
  <c r="K215" i="8"/>
  <c r="AU216" i="8"/>
  <c r="K216" i="8"/>
  <c r="AU217" i="8"/>
  <c r="K217" i="8"/>
  <c r="AU218" i="8"/>
  <c r="K218" i="8"/>
  <c r="AU18" i="8"/>
  <c r="K18" i="8"/>
  <c r="AU219" i="8"/>
  <c r="K219" i="8"/>
  <c r="AU220" i="8"/>
  <c r="K220" i="8"/>
  <c r="AU19" i="8"/>
  <c r="K19" i="8"/>
  <c r="AU20" i="8"/>
  <c r="K20" i="8"/>
  <c r="AU21" i="8"/>
  <c r="K21" i="8"/>
  <c r="AU221" i="8"/>
  <c r="K221" i="8"/>
  <c r="AU222" i="8"/>
  <c r="K222" i="8"/>
  <c r="AU223" i="8"/>
  <c r="K223" i="8"/>
  <c r="AU224" i="8"/>
  <c r="K224" i="8"/>
  <c r="AU225" i="8"/>
  <c r="K225" i="8"/>
  <c r="AU226" i="8"/>
  <c r="K226" i="8"/>
  <c r="AU227" i="8"/>
  <c r="K227" i="8"/>
  <c r="AU228" i="8"/>
  <c r="K228" i="8"/>
  <c r="AU22" i="8"/>
  <c r="K22" i="8"/>
  <c r="AU23" i="8"/>
  <c r="K23" i="8"/>
  <c r="AU229" i="8"/>
  <c r="K229" i="8"/>
  <c r="AU230" i="8"/>
  <c r="K230" i="8"/>
  <c r="AU231" i="8"/>
  <c r="K231" i="8"/>
  <c r="AU232" i="8"/>
  <c r="K232" i="8"/>
  <c r="AU233" i="8"/>
  <c r="K233" i="8"/>
  <c r="AU234" i="8"/>
  <c r="K234" i="8"/>
  <c r="AU235" i="8"/>
  <c r="K235" i="8"/>
  <c r="AU236" i="8"/>
  <c r="K236" i="8"/>
  <c r="AU237" i="8"/>
  <c r="K237" i="8"/>
  <c r="AU238" i="8"/>
  <c r="K238" i="8"/>
  <c r="AU239" i="8"/>
  <c r="K239" i="8"/>
  <c r="AU240" i="8"/>
  <c r="K240" i="8"/>
  <c r="AU24" i="8"/>
  <c r="K24" i="8"/>
  <c r="AU241" i="8"/>
  <c r="K241" i="8"/>
  <c r="AU242" i="8"/>
  <c r="K242" i="8"/>
  <c r="AU243" i="8"/>
  <c r="K243" i="8"/>
  <c r="AU244" i="8"/>
  <c r="K244" i="8"/>
  <c r="AU245" i="8"/>
  <c r="K245" i="8"/>
  <c r="AU246" i="8"/>
  <c r="K246" i="8"/>
  <c r="AU247" i="8"/>
  <c r="K247" i="8"/>
  <c r="AU248" i="8"/>
  <c r="K248" i="8"/>
  <c r="AU249" i="8"/>
  <c r="K249" i="8"/>
  <c r="AU250" i="8"/>
  <c r="K250" i="8"/>
  <c r="AU79" i="8"/>
  <c r="K79" i="8"/>
  <c r="AU251" i="8"/>
  <c r="K251" i="8"/>
  <c r="AU252" i="8"/>
  <c r="K252" i="8"/>
  <c r="AU253" i="8"/>
  <c r="K253" i="8"/>
  <c r="AU254" i="8"/>
  <c r="K254" i="8"/>
  <c r="AU255" i="8"/>
  <c r="K255" i="8"/>
  <c r="AU80" i="8"/>
  <c r="K80" i="8"/>
  <c r="AU81" i="8"/>
  <c r="K81" i="8"/>
  <c r="AU82" i="8"/>
  <c r="K82" i="8"/>
  <c r="AU256" i="8"/>
  <c r="K256" i="8"/>
  <c r="AU83" i="8"/>
  <c r="K83" i="8"/>
  <c r="AU84" i="8"/>
  <c r="K84" i="8"/>
  <c r="AU257" i="8"/>
  <c r="K257" i="8"/>
  <c r="AU85" i="8"/>
  <c r="K85" i="8"/>
  <c r="AU86" i="8"/>
  <c r="K86" i="8"/>
  <c r="AU87" i="8"/>
  <c r="K87" i="8"/>
  <c r="AU258" i="8"/>
  <c r="K258" i="8"/>
  <c r="AU25" i="8"/>
  <c r="K25" i="8"/>
  <c r="AU88" i="8"/>
  <c r="K88" i="8"/>
  <c r="AU89" i="8"/>
  <c r="K89" i="8"/>
  <c r="AU259" i="8"/>
  <c r="K259" i="8"/>
  <c r="AU260" i="8"/>
  <c r="K260" i="8"/>
  <c r="AU261" i="8"/>
  <c r="K261" i="8"/>
  <c r="AU90" i="8"/>
  <c r="K90" i="8"/>
  <c r="AU262" i="8"/>
  <c r="K262" i="8"/>
  <c r="AU263" i="8"/>
  <c r="K263" i="8"/>
  <c r="AU26" i="8"/>
  <c r="K26" i="8"/>
  <c r="AU264" i="8"/>
  <c r="K264" i="8"/>
  <c r="AU265" i="8"/>
  <c r="K265" i="8"/>
  <c r="AU266" i="8"/>
  <c r="K266" i="8"/>
  <c r="AU91" i="8"/>
  <c r="K91" i="8"/>
  <c r="AU267" i="8"/>
  <c r="K267" i="8"/>
  <c r="AU268" i="8"/>
  <c r="K268" i="8"/>
  <c r="AU92" i="8"/>
  <c r="K92" i="8"/>
  <c r="AU269" i="8"/>
  <c r="K269" i="8"/>
  <c r="AU270" i="8"/>
  <c r="K270" i="8"/>
  <c r="AU271" i="8"/>
  <c r="K271" i="8"/>
  <c r="AU272" i="8"/>
  <c r="K272" i="8"/>
  <c r="AU273" i="8"/>
  <c r="K273" i="8"/>
  <c r="AU27" i="8"/>
  <c r="K27" i="8"/>
  <c r="AU274" i="8"/>
  <c r="K274" i="8"/>
  <c r="AU275" i="8"/>
  <c r="K275" i="8"/>
  <c r="AU276" i="8"/>
  <c r="K276" i="8"/>
  <c r="AU277" i="8"/>
  <c r="K277" i="8"/>
  <c r="AU278" i="8"/>
  <c r="K278" i="8"/>
  <c r="AU279" i="8"/>
  <c r="K279" i="8"/>
  <c r="AU280" i="8"/>
  <c r="K280" i="8"/>
  <c r="AU281" i="8"/>
  <c r="K281" i="8"/>
  <c r="AU282" i="8"/>
  <c r="K282" i="8"/>
  <c r="AU283" i="8"/>
  <c r="K283" i="8"/>
  <c r="AU284" i="8"/>
  <c r="K284" i="8"/>
  <c r="AU285" i="8"/>
  <c r="K285" i="8"/>
  <c r="AU286" i="8"/>
  <c r="K286" i="8"/>
  <c r="AU28" i="8"/>
  <c r="K28" i="8"/>
  <c r="AU287" i="8"/>
  <c r="K287" i="8"/>
  <c r="AU288" i="8"/>
  <c r="K288" i="8"/>
  <c r="AU93" i="8"/>
  <c r="K93" i="8"/>
  <c r="AU289" i="8"/>
  <c r="K289" i="8"/>
  <c r="AU290" i="8"/>
  <c r="K290" i="8"/>
  <c r="AU291" i="8"/>
  <c r="K291" i="8"/>
  <c r="AU292" i="8"/>
  <c r="K292" i="8"/>
  <c r="AU293" i="8"/>
  <c r="K293" i="8"/>
  <c r="AU294" i="8"/>
  <c r="K294" i="8"/>
  <c r="AU295" i="8"/>
  <c r="K295" i="8"/>
  <c r="AU296" i="8"/>
  <c r="K296" i="8"/>
  <c r="AU297" i="8"/>
  <c r="K297" i="8"/>
  <c r="AU298" i="8"/>
  <c r="K298" i="8"/>
  <c r="AU299" i="8"/>
  <c r="K299" i="8"/>
  <c r="AU300" i="8"/>
  <c r="K300" i="8"/>
  <c r="AU301" i="8"/>
  <c r="K301" i="8"/>
  <c r="AU302" i="8"/>
  <c r="K302" i="8"/>
  <c r="AU29" i="8"/>
  <c r="K29" i="8"/>
  <c r="AU303" i="8"/>
  <c r="K303" i="8"/>
  <c r="AU304" i="8"/>
  <c r="K304" i="8"/>
  <c r="AU305" i="8"/>
  <c r="K305" i="8"/>
  <c r="AU306" i="8"/>
  <c r="K306" i="8"/>
  <c r="AU307" i="8"/>
  <c r="K307" i="8"/>
  <c r="AU94" i="8"/>
  <c r="K94" i="8"/>
  <c r="AU308" i="8"/>
  <c r="K308" i="8"/>
  <c r="AU309" i="8"/>
  <c r="K309" i="8"/>
  <c r="AU310" i="8"/>
  <c r="K310" i="8"/>
  <c r="AU311" i="8"/>
  <c r="K311" i="8"/>
  <c r="AU312" i="8"/>
  <c r="K312" i="8"/>
  <c r="AU313" i="8"/>
  <c r="K313" i="8"/>
  <c r="AU95" i="8"/>
  <c r="K95" i="8"/>
  <c r="AU314" i="8"/>
  <c r="K314" i="8"/>
  <c r="AU315" i="8"/>
  <c r="K315" i="8"/>
  <c r="AU316" i="8"/>
  <c r="K316" i="8"/>
  <c r="AU317" i="8"/>
  <c r="K317" i="8"/>
  <c r="AU318" i="8"/>
  <c r="K318" i="8"/>
  <c r="AU96" i="8"/>
  <c r="K96" i="8"/>
  <c r="AU319" i="8"/>
  <c r="K319" i="8"/>
  <c r="AU320" i="8"/>
  <c r="K320" i="8"/>
  <c r="AU321" i="8"/>
  <c r="K321" i="8"/>
  <c r="AU322" i="8"/>
  <c r="K322" i="8"/>
  <c r="AU323" i="8"/>
  <c r="K323" i="8"/>
  <c r="AU324" i="8"/>
  <c r="K324" i="8"/>
  <c r="AU325" i="8"/>
  <c r="K325" i="8"/>
  <c r="AU326" i="8"/>
  <c r="K326" i="8"/>
  <c r="AU30" i="8"/>
  <c r="K30" i="8"/>
  <c r="AU327" i="8"/>
  <c r="K327" i="8"/>
  <c r="AU328" i="8"/>
  <c r="K328" i="8"/>
  <c r="AU329" i="8"/>
  <c r="K329" i="8"/>
  <c r="AU330" i="8"/>
  <c r="K330" i="8"/>
  <c r="AU331" i="8"/>
  <c r="K331" i="8"/>
  <c r="AU31" i="8"/>
  <c r="K31" i="8"/>
  <c r="AU332" i="8"/>
  <c r="K332" i="8"/>
  <c r="AU333" i="8"/>
  <c r="K333" i="8"/>
  <c r="AU334" i="8"/>
  <c r="K334" i="8"/>
  <c r="AU335" i="8"/>
  <c r="K335" i="8"/>
  <c r="AU336" i="8"/>
  <c r="K336" i="8"/>
  <c r="AU337" i="8"/>
  <c r="K337" i="8"/>
  <c r="AU338" i="8"/>
  <c r="K338" i="8"/>
  <c r="AU339" i="8"/>
  <c r="K339" i="8"/>
  <c r="AU340" i="8"/>
  <c r="K340" i="8"/>
  <c r="AU341" i="8"/>
  <c r="K341" i="8"/>
  <c r="AU342" i="8"/>
  <c r="K342" i="8"/>
  <c r="AU343" i="8"/>
  <c r="K343" i="8"/>
  <c r="AU344" i="8"/>
  <c r="K344" i="8"/>
  <c r="AU345" i="8"/>
  <c r="K345" i="8"/>
  <c r="AU346" i="8"/>
  <c r="K346" i="8"/>
  <c r="AU347" i="8"/>
  <c r="K347" i="8"/>
  <c r="AU348" i="8"/>
  <c r="K348" i="8"/>
  <c r="AU349" i="8"/>
  <c r="K349" i="8"/>
  <c r="AU350" i="8"/>
  <c r="K350" i="8"/>
  <c r="AU32" i="8"/>
  <c r="K32" i="8"/>
  <c r="AU351" i="8"/>
  <c r="K351" i="8"/>
  <c r="AU352" i="8"/>
  <c r="K352" i="8"/>
  <c r="AU353" i="8"/>
  <c r="K353" i="8"/>
  <c r="AU354" i="8"/>
  <c r="K354" i="8"/>
  <c r="AU355" i="8"/>
  <c r="K355" i="8"/>
  <c r="AU356" i="8"/>
  <c r="K356" i="8"/>
  <c r="AU357" i="8"/>
  <c r="K357" i="8"/>
  <c r="AU358" i="8"/>
  <c r="K358" i="8"/>
  <c r="AU359" i="8"/>
  <c r="K359" i="8"/>
  <c r="AU360" i="8"/>
  <c r="K360" i="8"/>
  <c r="AU33" i="8"/>
  <c r="K33" i="8"/>
  <c r="AU361" i="8"/>
  <c r="K361" i="8"/>
  <c r="AU362" i="8"/>
  <c r="K362" i="8"/>
  <c r="AU97" i="8"/>
  <c r="K97" i="8"/>
  <c r="AU363" i="8"/>
  <c r="K363" i="8"/>
  <c r="AU364" i="8"/>
  <c r="K364" i="8"/>
  <c r="AU365" i="8"/>
  <c r="K365" i="8"/>
  <c r="AU98" i="8"/>
  <c r="K98" i="8"/>
  <c r="AU366" i="8"/>
  <c r="K366" i="8"/>
  <c r="AU367" i="8"/>
  <c r="K367" i="8"/>
  <c r="AU34" i="8"/>
  <c r="K34" i="8"/>
  <c r="AU368" i="8"/>
  <c r="K368" i="8"/>
  <c r="AU369" i="8"/>
  <c r="K369" i="8"/>
  <c r="AU370" i="8"/>
  <c r="K370" i="8"/>
  <c r="AU35" i="8"/>
  <c r="K35" i="8"/>
  <c r="AU371" i="8"/>
  <c r="K371" i="8"/>
  <c r="AU372" i="8"/>
  <c r="K372" i="8"/>
  <c r="AU373" i="8"/>
  <c r="K373" i="8"/>
  <c r="AU374" i="8"/>
  <c r="K374" i="8"/>
  <c r="AU375" i="8"/>
  <c r="K375" i="8"/>
  <c r="AU376" i="8"/>
  <c r="K376" i="8"/>
  <c r="AU377" i="8"/>
  <c r="K377" i="8"/>
  <c r="AU378" i="8"/>
  <c r="K378" i="8"/>
  <c r="AU379" i="8"/>
  <c r="K379" i="8"/>
  <c r="AU380" i="8"/>
  <c r="K380" i="8"/>
  <c r="AU99" i="8"/>
  <c r="K99" i="8"/>
  <c r="AU381" i="8"/>
  <c r="K381" i="8"/>
  <c r="AU382" i="8"/>
  <c r="K382" i="8"/>
  <c r="AU383" i="8"/>
  <c r="K383" i="8"/>
  <c r="AU384" i="8"/>
  <c r="K384" i="8"/>
  <c r="AU385" i="8"/>
  <c r="K385" i="8"/>
  <c r="AU36" i="8"/>
  <c r="K36" i="8"/>
  <c r="AU386" i="8"/>
  <c r="K386" i="8"/>
  <c r="AU387" i="8"/>
  <c r="K387" i="8"/>
  <c r="AU388" i="8"/>
  <c r="K388" i="8"/>
  <c r="AU389" i="8"/>
  <c r="K389" i="8"/>
  <c r="AU390" i="8"/>
  <c r="K390" i="8"/>
  <c r="AU391" i="8"/>
  <c r="K391" i="8"/>
  <c r="AU392" i="8"/>
  <c r="K392" i="8"/>
  <c r="AU393" i="8"/>
  <c r="K393" i="8"/>
  <c r="AU37" i="8"/>
  <c r="K37" i="8"/>
  <c r="AU394" i="8"/>
  <c r="K394" i="8"/>
  <c r="AU395" i="8"/>
  <c r="K395" i="8"/>
  <c r="AU396" i="8"/>
  <c r="K396" i="8"/>
  <c r="AU397" i="8"/>
  <c r="K397" i="8"/>
  <c r="AU398" i="8"/>
  <c r="K398" i="8"/>
  <c r="AU38" i="8"/>
  <c r="K38" i="8"/>
  <c r="AU399" i="8"/>
  <c r="K399" i="8"/>
  <c r="AU400" i="8"/>
  <c r="K400" i="8"/>
  <c r="AU401" i="8"/>
  <c r="K401" i="8"/>
  <c r="AU402" i="8"/>
  <c r="K402" i="8"/>
  <c r="AU403" i="8"/>
  <c r="K403" i="8"/>
  <c r="AU404" i="8"/>
  <c r="K404" i="8"/>
  <c r="AU405" i="8"/>
  <c r="K405" i="8"/>
  <c r="AU406" i="8"/>
  <c r="K406" i="8"/>
  <c r="AW45" i="8"/>
  <c r="M45" i="8"/>
  <c r="AW46" i="8"/>
  <c r="M46" i="8"/>
  <c r="AW47" i="8"/>
  <c r="M47" i="8"/>
  <c r="AW3" i="8"/>
  <c r="M3" i="8"/>
  <c r="AW48" i="8"/>
  <c r="M48" i="8"/>
  <c r="AW39" i="8"/>
  <c r="M39" i="8"/>
  <c r="AW49" i="8"/>
  <c r="M49" i="8"/>
  <c r="AW50" i="8"/>
  <c r="M50" i="8"/>
  <c r="AW51" i="8"/>
  <c r="M51" i="8"/>
  <c r="AW52" i="8"/>
  <c r="M52" i="8"/>
  <c r="AW40" i="8"/>
  <c r="M40" i="8"/>
  <c r="AW53" i="8"/>
  <c r="M53" i="8"/>
  <c r="AW54" i="8"/>
  <c r="M54" i="8"/>
  <c r="AW55" i="8"/>
  <c r="M55" i="8"/>
  <c r="AW56" i="8"/>
  <c r="M56" i="8"/>
  <c r="AW57" i="8"/>
  <c r="M57" i="8"/>
  <c r="AW58" i="8"/>
  <c r="M58" i="8"/>
  <c r="AW41" i="8"/>
  <c r="M41" i="8"/>
  <c r="AW59" i="8"/>
  <c r="M59" i="8"/>
  <c r="AW60" i="8"/>
  <c r="M60" i="8"/>
  <c r="AW4" i="8"/>
  <c r="M4" i="8"/>
  <c r="AW61" i="8"/>
  <c r="M61" i="8"/>
  <c r="AW62" i="8"/>
  <c r="M62" i="8"/>
  <c r="AW5" i="8"/>
  <c r="M5" i="8"/>
  <c r="AW2" i="8"/>
  <c r="M2" i="8"/>
  <c r="AW42" i="8"/>
  <c r="M42" i="8"/>
  <c r="AW63" i="8"/>
  <c r="M63" i="8"/>
  <c r="AW43" i="8"/>
  <c r="M43" i="8"/>
  <c r="AW44" i="8"/>
  <c r="M44" i="8"/>
  <c r="AW64" i="8"/>
  <c r="M64" i="8"/>
  <c r="AW65" i="8"/>
  <c r="M65" i="8"/>
  <c r="AW66" i="8"/>
  <c r="M66" i="8"/>
  <c r="AW67" i="8"/>
  <c r="M67" i="8"/>
  <c r="AW68" i="8"/>
  <c r="M68" i="8"/>
  <c r="AW69" i="8"/>
  <c r="M69" i="8"/>
  <c r="AW70" i="8"/>
  <c r="M70" i="8"/>
  <c r="AW71" i="8"/>
  <c r="M71" i="8"/>
  <c r="AW100" i="8"/>
  <c r="M100" i="8"/>
  <c r="AW72" i="8"/>
  <c r="M72" i="8"/>
  <c r="AW73" i="8"/>
  <c r="M73" i="8"/>
  <c r="AW101" i="8"/>
  <c r="M101" i="8"/>
  <c r="AW74" i="8"/>
  <c r="M74" i="8"/>
  <c r="AW102" i="8"/>
  <c r="M102" i="8"/>
  <c r="AW103" i="8"/>
  <c r="M103" i="8"/>
  <c r="AW104" i="8"/>
  <c r="M104" i="8"/>
  <c r="AW105" i="8"/>
  <c r="M105" i="8"/>
  <c r="AW106" i="8"/>
  <c r="M106" i="8"/>
  <c r="AW107" i="8"/>
  <c r="M107" i="8"/>
  <c r="AW108" i="8"/>
  <c r="M108" i="8"/>
  <c r="AW109" i="8"/>
  <c r="M109" i="8"/>
  <c r="AW110" i="8"/>
  <c r="M110" i="8"/>
  <c r="AW111" i="8"/>
  <c r="M111" i="8"/>
  <c r="AW112" i="8"/>
  <c r="M112" i="8"/>
  <c r="AW113" i="8"/>
  <c r="M113" i="8"/>
  <c r="AW114" i="8"/>
  <c r="M114" i="8"/>
  <c r="AW115" i="8"/>
  <c r="M115" i="8"/>
  <c r="AW75" i="8"/>
  <c r="M75" i="8"/>
  <c r="AW116" i="8"/>
  <c r="M116" i="8"/>
  <c r="AW117" i="8"/>
  <c r="M117" i="8"/>
  <c r="AW118" i="8"/>
  <c r="M118" i="8"/>
  <c r="AW119" i="8"/>
  <c r="M119" i="8"/>
  <c r="AW120" i="8"/>
  <c r="M120" i="8"/>
  <c r="AW121" i="8"/>
  <c r="M121" i="8"/>
  <c r="AW122" i="8"/>
  <c r="M122" i="8"/>
  <c r="AW123" i="8"/>
  <c r="M123" i="8"/>
  <c r="AW124" i="8"/>
  <c r="M124" i="8"/>
  <c r="AW125" i="8"/>
  <c r="M125" i="8"/>
  <c r="AW126" i="8"/>
  <c r="M126" i="8"/>
  <c r="AW127" i="8"/>
  <c r="M127" i="8"/>
  <c r="AW128" i="8"/>
  <c r="M128" i="8"/>
  <c r="AW129" i="8"/>
  <c r="M129" i="8"/>
  <c r="AW76" i="8"/>
  <c r="M76" i="8"/>
  <c r="AW130" i="8"/>
  <c r="M130" i="8"/>
  <c r="AW131" i="8"/>
  <c r="M131" i="8"/>
  <c r="AW132" i="8"/>
  <c r="M132" i="8"/>
  <c r="AW133" i="8"/>
  <c r="M133" i="8"/>
  <c r="AW77" i="8"/>
  <c r="M77" i="8"/>
  <c r="AW134" i="8"/>
  <c r="M134" i="8"/>
  <c r="AW135" i="8"/>
  <c r="M135" i="8"/>
  <c r="AW136" i="8"/>
  <c r="M136" i="8"/>
  <c r="AW137" i="8"/>
  <c r="M137" i="8"/>
  <c r="AW138" i="8"/>
  <c r="M138" i="8"/>
  <c r="AW78" i="8"/>
  <c r="M78" i="8"/>
  <c r="AW139" i="8"/>
  <c r="M139" i="8"/>
  <c r="AW140" i="8"/>
  <c r="M140" i="8"/>
  <c r="AW141" i="8"/>
  <c r="M141" i="8"/>
  <c r="AW8" i="8"/>
  <c r="M8" i="8"/>
  <c r="AW142" i="8"/>
  <c r="M142" i="8"/>
  <c r="AW143" i="8"/>
  <c r="M143" i="8"/>
  <c r="AW144" i="8"/>
  <c r="M144" i="8"/>
  <c r="AW145" i="8"/>
  <c r="M145" i="8"/>
  <c r="AW146" i="8"/>
  <c r="M146" i="8"/>
  <c r="AW147" i="8"/>
  <c r="M147" i="8"/>
  <c r="AW148" i="8"/>
  <c r="M148" i="8"/>
  <c r="AW149" i="8"/>
  <c r="M149" i="8"/>
  <c r="AW150" i="8"/>
  <c r="M150" i="8"/>
  <c r="AW9" i="8"/>
  <c r="M9" i="8"/>
  <c r="AW10" i="8"/>
  <c r="M10" i="8"/>
  <c r="AW11" i="8"/>
  <c r="M11" i="8"/>
  <c r="AW151" i="8"/>
  <c r="M151" i="8"/>
  <c r="AW152" i="8"/>
  <c r="M152" i="8"/>
  <c r="AW153" i="8"/>
  <c r="M153" i="8"/>
  <c r="AW154" i="8"/>
  <c r="M154" i="8"/>
  <c r="AW155" i="8"/>
  <c r="M155" i="8"/>
  <c r="AW156" i="8"/>
  <c r="M156" i="8"/>
  <c r="AW157" i="8"/>
  <c r="M157" i="8"/>
  <c r="AW158" i="8"/>
  <c r="M158" i="8"/>
  <c r="AW159" i="8"/>
  <c r="M159" i="8"/>
  <c r="AW160" i="8"/>
  <c r="M160" i="8"/>
  <c r="AW161" i="8"/>
  <c r="M161" i="8"/>
  <c r="AW162" i="8"/>
  <c r="M162" i="8"/>
  <c r="AW163" i="8"/>
  <c r="M163" i="8"/>
  <c r="AW164" i="8"/>
  <c r="M164" i="8"/>
  <c r="AW165" i="8"/>
  <c r="M165" i="8"/>
  <c r="AW166" i="8"/>
  <c r="M166" i="8"/>
  <c r="AW167" i="8"/>
  <c r="M167" i="8"/>
  <c r="AW168" i="8"/>
  <c r="M168" i="8"/>
  <c r="AW169" i="8"/>
  <c r="M169" i="8"/>
  <c r="AW170" i="8"/>
  <c r="M170" i="8"/>
  <c r="AW171" i="8"/>
  <c r="M171" i="8"/>
  <c r="AW172" i="8"/>
  <c r="M172" i="8"/>
  <c r="AW12" i="8"/>
  <c r="M12" i="8"/>
  <c r="AW173" i="8"/>
  <c r="M173" i="8"/>
  <c r="AW174" i="8"/>
  <c r="M174" i="8"/>
  <c r="AW175" i="8"/>
  <c r="M175" i="8"/>
  <c r="AW176" i="8"/>
  <c r="M176" i="8"/>
  <c r="AW177" i="8"/>
  <c r="M177" i="8"/>
  <c r="AW178" i="8"/>
  <c r="M178" i="8"/>
  <c r="AW179" i="8"/>
  <c r="M179" i="8"/>
  <c r="AW180" i="8"/>
  <c r="M180" i="8"/>
  <c r="AW181" i="8"/>
  <c r="M181" i="8"/>
  <c r="AW182" i="8"/>
  <c r="M182" i="8"/>
  <c r="AW13" i="8"/>
  <c r="M13" i="8"/>
  <c r="AW183" i="8"/>
  <c r="M183" i="8"/>
  <c r="AW184" i="8"/>
  <c r="M184" i="8"/>
  <c r="AW185" i="8"/>
  <c r="M185" i="8"/>
  <c r="AW186" i="8"/>
  <c r="M186" i="8"/>
  <c r="AW187" i="8"/>
  <c r="M187" i="8"/>
  <c r="AW188" i="8"/>
  <c r="M188" i="8"/>
  <c r="AW189" i="8"/>
  <c r="M189" i="8"/>
  <c r="AW190" i="8"/>
  <c r="M190" i="8"/>
  <c r="AW191" i="8"/>
  <c r="M191" i="8"/>
  <c r="AW192" i="8"/>
  <c r="M192" i="8"/>
  <c r="AW193" i="8"/>
  <c r="M193" i="8"/>
  <c r="AW194" i="8"/>
  <c r="M194" i="8"/>
  <c r="AW14" i="8"/>
  <c r="M14" i="8"/>
  <c r="AW195" i="8"/>
  <c r="M195" i="8"/>
  <c r="AW196" i="8"/>
  <c r="M196" i="8"/>
  <c r="AW197" i="8"/>
  <c r="M197" i="8"/>
  <c r="AW198" i="8"/>
  <c r="M198" i="8"/>
  <c r="AW199" i="8"/>
  <c r="M199" i="8"/>
  <c r="AW200" i="8"/>
  <c r="M200" i="8"/>
  <c r="AW201" i="8"/>
  <c r="M201" i="8"/>
  <c r="AW15" i="8"/>
  <c r="M15" i="8"/>
  <c r="AW202" i="8"/>
  <c r="M202" i="8"/>
  <c r="AW203" i="8"/>
  <c r="M203" i="8"/>
  <c r="AW16" i="8"/>
  <c r="M16" i="8"/>
  <c r="AW204" i="8"/>
  <c r="M204" i="8"/>
  <c r="AW205" i="8"/>
  <c r="M205" i="8"/>
  <c r="AW206" i="8"/>
  <c r="M206" i="8"/>
  <c r="AW207" i="8"/>
  <c r="M207" i="8"/>
  <c r="AW6" i="8"/>
  <c r="M6" i="8"/>
  <c r="AW208" i="8"/>
  <c r="M208" i="8"/>
  <c r="AW209" i="8"/>
  <c r="M209" i="8"/>
  <c r="AW17" i="8"/>
  <c r="M17" i="8"/>
  <c r="AW210" i="8"/>
  <c r="M210" i="8"/>
  <c r="AW211" i="8"/>
  <c r="M211" i="8"/>
  <c r="AW212" i="8"/>
  <c r="M212" i="8"/>
  <c r="AW213" i="8"/>
  <c r="M213" i="8"/>
  <c r="AW7" i="8"/>
  <c r="M7" i="8"/>
  <c r="AW214" i="8"/>
  <c r="M214" i="8"/>
  <c r="AW215" i="8"/>
  <c r="M215" i="8"/>
  <c r="AW216" i="8"/>
  <c r="M216" i="8"/>
  <c r="AW217" i="8"/>
  <c r="M217" i="8"/>
  <c r="AW218" i="8"/>
  <c r="M218" i="8"/>
  <c r="AW18" i="8"/>
  <c r="M18" i="8"/>
  <c r="AW219" i="8"/>
  <c r="M219" i="8"/>
  <c r="AW220" i="8"/>
  <c r="M220" i="8"/>
  <c r="AW19" i="8"/>
  <c r="M19" i="8"/>
  <c r="AW20" i="8"/>
  <c r="M20" i="8"/>
  <c r="AW21" i="8"/>
  <c r="M21" i="8"/>
  <c r="AW221" i="8"/>
  <c r="M221" i="8"/>
  <c r="AW222" i="8"/>
  <c r="M222" i="8"/>
  <c r="AW223" i="8"/>
  <c r="M223" i="8"/>
  <c r="AW224" i="8"/>
  <c r="M224" i="8"/>
  <c r="AW225" i="8"/>
  <c r="M225" i="8"/>
  <c r="AW226" i="8"/>
  <c r="M226" i="8"/>
  <c r="AW227" i="8"/>
  <c r="M227" i="8"/>
  <c r="AW228" i="8"/>
  <c r="M228" i="8"/>
  <c r="AW22" i="8"/>
  <c r="M22" i="8"/>
  <c r="AW23" i="8"/>
  <c r="M23" i="8"/>
  <c r="AW229" i="8"/>
  <c r="M229" i="8"/>
  <c r="AW230" i="8"/>
  <c r="M230" i="8"/>
  <c r="AW231" i="8"/>
  <c r="M231" i="8"/>
  <c r="AW232" i="8"/>
  <c r="M232" i="8"/>
  <c r="AW233" i="8"/>
  <c r="M233" i="8"/>
  <c r="AW234" i="8"/>
  <c r="M234" i="8"/>
  <c r="AW235" i="8"/>
  <c r="M235" i="8"/>
  <c r="AW236" i="8"/>
  <c r="M236" i="8"/>
  <c r="AW237" i="8"/>
  <c r="M237" i="8"/>
  <c r="AW238" i="8"/>
  <c r="M238" i="8"/>
  <c r="AW239" i="8"/>
  <c r="M239" i="8"/>
  <c r="AW240" i="8"/>
  <c r="M240" i="8"/>
  <c r="AW24" i="8"/>
  <c r="M24" i="8"/>
  <c r="AW241" i="8"/>
  <c r="M241" i="8"/>
  <c r="AW242" i="8"/>
  <c r="M242" i="8"/>
  <c r="AW243" i="8"/>
  <c r="M243" i="8"/>
  <c r="AW244" i="8"/>
  <c r="M244" i="8"/>
  <c r="AW245" i="8"/>
  <c r="M245" i="8"/>
  <c r="AW246" i="8"/>
  <c r="M246" i="8"/>
  <c r="AW247" i="8"/>
  <c r="M247" i="8"/>
  <c r="AW248" i="8"/>
  <c r="M248" i="8"/>
  <c r="AW249" i="8"/>
  <c r="M249" i="8"/>
  <c r="AW250" i="8"/>
  <c r="M250" i="8"/>
  <c r="AW79" i="8"/>
  <c r="M79" i="8"/>
  <c r="AW251" i="8"/>
  <c r="M251" i="8"/>
  <c r="AW252" i="8"/>
  <c r="M252" i="8"/>
  <c r="AW253" i="8"/>
  <c r="M253" i="8"/>
  <c r="AW254" i="8"/>
  <c r="M254" i="8"/>
  <c r="AW255" i="8"/>
  <c r="M255" i="8"/>
  <c r="AW80" i="8"/>
  <c r="M80" i="8"/>
  <c r="AW81" i="8"/>
  <c r="M81" i="8"/>
  <c r="AW82" i="8"/>
  <c r="M82" i="8"/>
  <c r="AW256" i="8"/>
  <c r="M256" i="8"/>
  <c r="AW83" i="8"/>
  <c r="M83" i="8"/>
  <c r="AW84" i="8"/>
  <c r="M84" i="8"/>
  <c r="AW257" i="8"/>
  <c r="M257" i="8"/>
  <c r="AW85" i="8"/>
  <c r="M85" i="8"/>
  <c r="AW86" i="8"/>
  <c r="M86" i="8"/>
  <c r="AW87" i="8"/>
  <c r="M87" i="8"/>
  <c r="AW258" i="8"/>
  <c r="M258" i="8"/>
  <c r="AW25" i="8"/>
  <c r="M25" i="8"/>
  <c r="AW88" i="8"/>
  <c r="M88" i="8"/>
  <c r="AW89" i="8"/>
  <c r="M89" i="8"/>
  <c r="AW259" i="8"/>
  <c r="M259" i="8"/>
  <c r="AW260" i="8"/>
  <c r="M260" i="8"/>
  <c r="AW261" i="8"/>
  <c r="M261" i="8"/>
  <c r="AW90" i="8"/>
  <c r="M90" i="8"/>
  <c r="AW262" i="8"/>
  <c r="M262" i="8"/>
  <c r="AW263" i="8"/>
  <c r="M263" i="8"/>
  <c r="AW26" i="8"/>
  <c r="M26" i="8"/>
  <c r="AW264" i="8"/>
  <c r="M264" i="8"/>
  <c r="AW265" i="8"/>
  <c r="M265" i="8"/>
  <c r="AW266" i="8"/>
  <c r="M266" i="8"/>
  <c r="AW91" i="8"/>
  <c r="M91" i="8"/>
  <c r="AW267" i="8"/>
  <c r="M267" i="8"/>
  <c r="AW268" i="8"/>
  <c r="M268" i="8"/>
  <c r="AW92" i="8"/>
  <c r="M92" i="8"/>
  <c r="AW269" i="8"/>
  <c r="M269" i="8"/>
  <c r="AW270" i="8"/>
  <c r="M270" i="8"/>
  <c r="AW271" i="8"/>
  <c r="M271" i="8"/>
  <c r="AW272" i="8"/>
  <c r="M272" i="8"/>
  <c r="AW273" i="8"/>
  <c r="M273" i="8"/>
  <c r="AW27" i="8"/>
  <c r="M27" i="8"/>
  <c r="AW274" i="8"/>
  <c r="M274" i="8"/>
  <c r="AW275" i="8"/>
  <c r="M275" i="8"/>
  <c r="AW276" i="8"/>
  <c r="M276" i="8"/>
  <c r="AW277" i="8"/>
  <c r="M277" i="8"/>
  <c r="AW278" i="8"/>
  <c r="M278" i="8"/>
  <c r="AW279" i="8"/>
  <c r="M279" i="8"/>
  <c r="AW280" i="8"/>
  <c r="M280" i="8"/>
  <c r="AW281" i="8"/>
  <c r="M281" i="8"/>
  <c r="AW282" i="8"/>
  <c r="M282" i="8"/>
  <c r="AW283" i="8"/>
  <c r="M283" i="8"/>
  <c r="AW284" i="8"/>
  <c r="M284" i="8"/>
  <c r="AW285" i="8"/>
  <c r="M285" i="8"/>
  <c r="AW286" i="8"/>
  <c r="M286" i="8"/>
  <c r="AW28" i="8"/>
  <c r="M28" i="8"/>
  <c r="AW287" i="8"/>
  <c r="M287" i="8"/>
  <c r="AW288" i="8"/>
  <c r="M288" i="8"/>
  <c r="AW93" i="8"/>
  <c r="M93" i="8"/>
  <c r="AW289" i="8"/>
  <c r="M289" i="8"/>
  <c r="AW290" i="8"/>
  <c r="M290" i="8"/>
  <c r="AW291" i="8"/>
  <c r="M291" i="8"/>
  <c r="AW292" i="8"/>
  <c r="M292" i="8"/>
  <c r="AW293" i="8"/>
  <c r="M293" i="8"/>
  <c r="AW294" i="8"/>
  <c r="M294" i="8"/>
  <c r="AW295" i="8"/>
  <c r="M295" i="8"/>
  <c r="AW296" i="8"/>
  <c r="M296" i="8"/>
  <c r="AW297" i="8"/>
  <c r="M297" i="8"/>
  <c r="AW298" i="8"/>
  <c r="M298" i="8"/>
  <c r="AW299" i="8"/>
  <c r="M299" i="8"/>
  <c r="AW300" i="8"/>
  <c r="M300" i="8"/>
  <c r="AW301" i="8"/>
  <c r="M301" i="8"/>
  <c r="AW302" i="8"/>
  <c r="M302" i="8"/>
  <c r="AW29" i="8"/>
  <c r="M29" i="8"/>
  <c r="AW303" i="8"/>
  <c r="M303" i="8"/>
  <c r="AW304" i="8"/>
  <c r="M304" i="8"/>
  <c r="AW305" i="8"/>
  <c r="M305" i="8"/>
  <c r="AW306" i="8"/>
  <c r="M306" i="8"/>
  <c r="AW307" i="8"/>
  <c r="M307" i="8"/>
  <c r="AW94" i="8"/>
  <c r="M94" i="8"/>
  <c r="AW308" i="8"/>
  <c r="M308" i="8"/>
  <c r="AW309" i="8"/>
  <c r="M309" i="8"/>
  <c r="AW310" i="8"/>
  <c r="M310" i="8"/>
  <c r="AW311" i="8"/>
  <c r="M311" i="8"/>
  <c r="AW312" i="8"/>
  <c r="M312" i="8"/>
  <c r="AW313" i="8"/>
  <c r="M313" i="8"/>
  <c r="AW95" i="8"/>
  <c r="M95" i="8"/>
  <c r="AW314" i="8"/>
  <c r="M314" i="8"/>
  <c r="AW315" i="8"/>
  <c r="M315" i="8"/>
  <c r="AW316" i="8"/>
  <c r="M316" i="8"/>
  <c r="AW317" i="8"/>
  <c r="M317" i="8"/>
  <c r="AW318" i="8"/>
  <c r="M318" i="8"/>
  <c r="AW96" i="8"/>
  <c r="M96" i="8"/>
  <c r="AW319" i="8"/>
  <c r="M319" i="8"/>
  <c r="AW320" i="8"/>
  <c r="M320" i="8"/>
  <c r="AW321" i="8"/>
  <c r="M321" i="8"/>
  <c r="AW322" i="8"/>
  <c r="M322" i="8"/>
  <c r="AW323" i="8"/>
  <c r="M323" i="8"/>
  <c r="AW324" i="8"/>
  <c r="M324" i="8"/>
  <c r="AW325" i="8"/>
  <c r="M325" i="8"/>
  <c r="AW326" i="8"/>
  <c r="M326" i="8"/>
  <c r="AW30" i="8"/>
  <c r="M30" i="8"/>
  <c r="AW327" i="8"/>
  <c r="M327" i="8"/>
  <c r="AW328" i="8"/>
  <c r="M328" i="8"/>
  <c r="AW329" i="8"/>
  <c r="M329" i="8"/>
  <c r="AW330" i="8"/>
  <c r="M330" i="8"/>
  <c r="AW331" i="8"/>
  <c r="M331" i="8"/>
  <c r="AW31" i="8"/>
  <c r="M31" i="8"/>
  <c r="AW332" i="8"/>
  <c r="M332" i="8"/>
  <c r="AW333" i="8"/>
  <c r="M333" i="8"/>
  <c r="AW334" i="8"/>
  <c r="M334" i="8"/>
  <c r="AW335" i="8"/>
  <c r="M335" i="8"/>
  <c r="AW336" i="8"/>
  <c r="M336" i="8"/>
  <c r="AW337" i="8"/>
  <c r="M337" i="8"/>
  <c r="AW338" i="8"/>
  <c r="M338" i="8"/>
  <c r="AW339" i="8"/>
  <c r="M339" i="8"/>
  <c r="AW340" i="8"/>
  <c r="M340" i="8"/>
  <c r="AW341" i="8"/>
  <c r="M341" i="8"/>
  <c r="AW342" i="8"/>
  <c r="M342" i="8"/>
  <c r="AW343" i="8"/>
  <c r="M343" i="8"/>
  <c r="AW344" i="8"/>
  <c r="M344" i="8"/>
  <c r="AW345" i="8"/>
  <c r="M345" i="8"/>
  <c r="AW346" i="8"/>
  <c r="M346" i="8"/>
  <c r="AW347" i="8"/>
  <c r="M347" i="8"/>
  <c r="AW348" i="8"/>
  <c r="M348" i="8"/>
  <c r="AW349" i="8"/>
  <c r="M349" i="8"/>
  <c r="AW350" i="8"/>
  <c r="M350" i="8"/>
  <c r="AW32" i="8"/>
  <c r="M32" i="8"/>
  <c r="AW351" i="8"/>
  <c r="M351" i="8"/>
  <c r="AW352" i="8"/>
  <c r="M352" i="8"/>
  <c r="AW353" i="8"/>
  <c r="M353" i="8"/>
  <c r="AW354" i="8"/>
  <c r="M354" i="8"/>
  <c r="AW355" i="8"/>
  <c r="M355" i="8"/>
  <c r="AW356" i="8"/>
  <c r="M356" i="8"/>
  <c r="AW357" i="8"/>
  <c r="M357" i="8"/>
  <c r="AW358" i="8"/>
  <c r="M358" i="8"/>
  <c r="AW359" i="8"/>
  <c r="M359" i="8"/>
  <c r="AW360" i="8"/>
  <c r="M360" i="8"/>
  <c r="AW33" i="8"/>
  <c r="M33" i="8"/>
  <c r="AW361" i="8"/>
  <c r="M361" i="8"/>
  <c r="AW362" i="8"/>
  <c r="M362" i="8"/>
  <c r="AW97" i="8"/>
  <c r="M97" i="8"/>
  <c r="AW363" i="8"/>
  <c r="M363" i="8"/>
  <c r="AW364" i="8"/>
  <c r="M364" i="8"/>
  <c r="AW365" i="8"/>
  <c r="M365" i="8"/>
  <c r="AW98" i="8"/>
  <c r="M98" i="8"/>
  <c r="AW366" i="8"/>
  <c r="M366" i="8"/>
  <c r="AW367" i="8"/>
  <c r="M367" i="8"/>
  <c r="AW34" i="8"/>
  <c r="M34" i="8"/>
  <c r="AW368" i="8"/>
  <c r="M368" i="8"/>
  <c r="AW369" i="8"/>
  <c r="M369" i="8"/>
  <c r="AW370" i="8"/>
  <c r="M370" i="8"/>
  <c r="AW35" i="8"/>
  <c r="M35" i="8"/>
  <c r="AW371" i="8"/>
  <c r="M371" i="8"/>
  <c r="AW372" i="8"/>
  <c r="M372" i="8"/>
  <c r="AW373" i="8"/>
  <c r="M373" i="8"/>
  <c r="AW374" i="8"/>
  <c r="M374" i="8"/>
  <c r="AW375" i="8"/>
  <c r="M375" i="8"/>
  <c r="AW376" i="8"/>
  <c r="M376" i="8"/>
  <c r="AW377" i="8"/>
  <c r="M377" i="8"/>
  <c r="AW378" i="8"/>
  <c r="M378" i="8"/>
  <c r="AW379" i="8"/>
  <c r="M379" i="8"/>
  <c r="AW380" i="8"/>
  <c r="M380" i="8"/>
  <c r="AW99" i="8"/>
  <c r="M99" i="8"/>
  <c r="AW381" i="8"/>
  <c r="M381" i="8"/>
  <c r="AW382" i="8"/>
  <c r="M382" i="8"/>
  <c r="AW383" i="8"/>
  <c r="M383" i="8"/>
  <c r="AW384" i="8"/>
  <c r="M384" i="8"/>
  <c r="AW385" i="8"/>
  <c r="M385" i="8"/>
  <c r="AW36" i="8"/>
  <c r="M36" i="8"/>
  <c r="AW386" i="8"/>
  <c r="M386" i="8"/>
  <c r="AW387" i="8"/>
  <c r="M387" i="8"/>
  <c r="AW388" i="8"/>
  <c r="M388" i="8"/>
  <c r="AW389" i="8"/>
  <c r="M389" i="8"/>
  <c r="AW390" i="8"/>
  <c r="M390" i="8"/>
  <c r="AW391" i="8"/>
  <c r="M391" i="8"/>
  <c r="AW392" i="8"/>
  <c r="M392" i="8"/>
  <c r="AW393" i="8"/>
  <c r="M393" i="8"/>
  <c r="AW37" i="8"/>
  <c r="M37" i="8"/>
  <c r="AW394" i="8"/>
  <c r="M394" i="8"/>
  <c r="AW395" i="8"/>
  <c r="M395" i="8"/>
  <c r="AW396" i="8"/>
  <c r="M396" i="8"/>
  <c r="AW397" i="8"/>
  <c r="M397" i="8"/>
  <c r="AW398" i="8"/>
  <c r="M398" i="8"/>
  <c r="AW38" i="8"/>
  <c r="M38" i="8"/>
  <c r="AW399" i="8"/>
  <c r="M399" i="8"/>
  <c r="AW400" i="8"/>
  <c r="M400" i="8"/>
  <c r="AW401" i="8"/>
  <c r="M401" i="8"/>
  <c r="AW402" i="8"/>
  <c r="M402" i="8"/>
  <c r="AW403" i="8"/>
  <c r="M403" i="8"/>
  <c r="AW404" i="8"/>
  <c r="M404" i="8"/>
  <c r="AW405" i="8"/>
  <c r="M405" i="8"/>
  <c r="AW406" i="8"/>
  <c r="M406" i="8"/>
  <c r="C46" i="8"/>
  <c r="C47" i="8"/>
  <c r="C3" i="8"/>
  <c r="C48" i="8"/>
  <c r="C49" i="8"/>
  <c r="C50" i="8"/>
  <c r="C100" i="8"/>
  <c r="C51" i="8"/>
  <c r="C72" i="8"/>
  <c r="C73" i="8"/>
  <c r="C101" i="8"/>
  <c r="C74" i="8"/>
  <c r="C52" i="8"/>
  <c r="C102" i="8"/>
  <c r="C103" i="8"/>
  <c r="C104" i="8"/>
  <c r="C105" i="8"/>
  <c r="C106" i="8"/>
  <c r="C107" i="8"/>
  <c r="C40" i="8"/>
  <c r="C108" i="8"/>
  <c r="C109" i="8"/>
  <c r="C110" i="8"/>
  <c r="C111" i="8"/>
  <c r="C112" i="8"/>
  <c r="C113" i="8"/>
  <c r="C53" i="8"/>
  <c r="C54" i="8"/>
  <c r="C114" i="8"/>
  <c r="C55" i="8"/>
  <c r="C115" i="8"/>
  <c r="C75" i="8"/>
  <c r="C116" i="8"/>
  <c r="C117" i="8"/>
  <c r="C118" i="8"/>
  <c r="C119" i="8"/>
  <c r="C120" i="8"/>
  <c r="C121" i="8"/>
  <c r="C122" i="8"/>
  <c r="C56" i="8"/>
  <c r="C123" i="8"/>
  <c r="C57" i="8"/>
  <c r="C124" i="8"/>
  <c r="C125" i="8"/>
  <c r="C126" i="8"/>
  <c r="C127" i="8"/>
  <c r="C128" i="8"/>
  <c r="C129" i="8"/>
  <c r="C76" i="8"/>
  <c r="C130" i="8"/>
  <c r="C131" i="8"/>
  <c r="C132" i="8"/>
  <c r="C133" i="8"/>
  <c r="C77" i="8"/>
  <c r="C134" i="8"/>
  <c r="C135" i="8"/>
  <c r="C58" i="8"/>
  <c r="C136" i="8"/>
  <c r="C137" i="8"/>
  <c r="C138" i="8"/>
  <c r="C78" i="8"/>
  <c r="C139" i="8"/>
  <c r="C140" i="8"/>
  <c r="C141" i="8"/>
  <c r="C8" i="8"/>
  <c r="C142" i="8"/>
  <c r="C143" i="8"/>
  <c r="C144" i="8"/>
  <c r="C145" i="8"/>
  <c r="C146" i="8"/>
  <c r="C147" i="8"/>
  <c r="C41" i="8"/>
  <c r="C148" i="8"/>
  <c r="C149" i="8"/>
  <c r="C150" i="8"/>
  <c r="C9" i="8"/>
  <c r="C59" i="8"/>
  <c r="C10" i="8"/>
  <c r="C11" i="8"/>
  <c r="C151" i="8"/>
  <c r="C152" i="8"/>
  <c r="C153" i="8"/>
  <c r="C60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2" i="8"/>
  <c r="C12" i="8"/>
  <c r="C173" i="8"/>
  <c r="C174" i="8"/>
  <c r="C175" i="8"/>
  <c r="C176" i="8"/>
  <c r="C177" i="8"/>
  <c r="C178" i="8"/>
  <c r="C179" i="8"/>
  <c r="C180" i="8"/>
  <c r="C181" i="8"/>
  <c r="C182" i="8"/>
  <c r="C13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4" i="8"/>
  <c r="C195" i="8"/>
  <c r="C196" i="8"/>
  <c r="C197" i="8"/>
  <c r="C198" i="8"/>
  <c r="C199" i="8"/>
  <c r="C200" i="8"/>
  <c r="C201" i="8"/>
  <c r="C15" i="8"/>
  <c r="C202" i="8"/>
  <c r="C203" i="8"/>
  <c r="C16" i="8"/>
  <c r="C204" i="8"/>
  <c r="C205" i="8"/>
  <c r="C206" i="8"/>
  <c r="C207" i="8"/>
  <c r="C6" i="8"/>
  <c r="C208" i="8"/>
  <c r="C209" i="8"/>
  <c r="C17" i="8"/>
  <c r="C210" i="8"/>
  <c r="C211" i="8"/>
  <c r="C212" i="8"/>
  <c r="C213" i="8"/>
  <c r="C7" i="8"/>
  <c r="C214" i="8"/>
  <c r="C215" i="8"/>
  <c r="C216" i="8"/>
  <c r="C217" i="8"/>
  <c r="C218" i="8"/>
  <c r="C18" i="8"/>
  <c r="C219" i="8"/>
  <c r="C220" i="8"/>
  <c r="C19" i="8"/>
  <c r="C20" i="8"/>
  <c r="C21" i="8"/>
  <c r="C221" i="8"/>
  <c r="C4" i="8"/>
  <c r="C222" i="8"/>
  <c r="C223" i="8"/>
  <c r="C224" i="8"/>
  <c r="C225" i="8"/>
  <c r="C226" i="8"/>
  <c r="C227" i="8"/>
  <c r="C228" i="8"/>
  <c r="C61" i="8"/>
  <c r="C22" i="8"/>
  <c r="C23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" i="8"/>
  <c r="C241" i="8"/>
  <c r="C242" i="8"/>
  <c r="C243" i="8"/>
  <c r="C244" i="8"/>
  <c r="C245" i="8"/>
  <c r="C246" i="8"/>
  <c r="C247" i="8"/>
  <c r="C248" i="8"/>
  <c r="C249" i="8"/>
  <c r="C250" i="8"/>
  <c r="C79" i="8"/>
  <c r="C251" i="8"/>
  <c r="C252" i="8"/>
  <c r="C253" i="8"/>
  <c r="C254" i="8"/>
  <c r="C255" i="8"/>
  <c r="C80" i="8"/>
  <c r="C81" i="8"/>
  <c r="C82" i="8"/>
  <c r="C256" i="8"/>
  <c r="C83" i="8"/>
  <c r="C84" i="8"/>
  <c r="C257" i="8"/>
  <c r="C85" i="8"/>
  <c r="C86" i="8"/>
  <c r="C87" i="8"/>
  <c r="C258" i="8"/>
  <c r="C25" i="8"/>
  <c r="C88" i="8"/>
  <c r="C89" i="8"/>
  <c r="C259" i="8"/>
  <c r="C260" i="8"/>
  <c r="C261" i="8"/>
  <c r="C90" i="8"/>
  <c r="C262" i="8"/>
  <c r="C62" i="8"/>
  <c r="C5" i="8"/>
  <c r="C263" i="8"/>
  <c r="C2" i="8"/>
  <c r="C26" i="8"/>
  <c r="C42" i="8"/>
  <c r="C264" i="8"/>
  <c r="C265" i="8"/>
  <c r="C63" i="8"/>
  <c r="C43" i="8"/>
  <c r="C266" i="8"/>
  <c r="C91" i="8"/>
  <c r="C267" i="8"/>
  <c r="C44" i="8"/>
  <c r="C268" i="8"/>
  <c r="C92" i="8"/>
  <c r="C269" i="8"/>
  <c r="C270" i="8"/>
  <c r="C271" i="8"/>
  <c r="C272" i="8"/>
  <c r="C64" i="8"/>
  <c r="C273" i="8"/>
  <c r="C27" i="8"/>
  <c r="C65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" i="8"/>
  <c r="C287" i="8"/>
  <c r="C288" i="8"/>
  <c r="C93" i="8"/>
  <c r="C289" i="8"/>
  <c r="C290" i="8"/>
  <c r="C291" i="8"/>
  <c r="C292" i="8"/>
  <c r="C66" i="8"/>
  <c r="C293" i="8"/>
  <c r="C294" i="8"/>
  <c r="C295" i="8"/>
  <c r="C296" i="8"/>
  <c r="C297" i="8"/>
  <c r="C298" i="8"/>
  <c r="C299" i="8"/>
  <c r="C300" i="8"/>
  <c r="C301" i="8"/>
  <c r="C302" i="8"/>
  <c r="C29" i="8"/>
  <c r="C303" i="8"/>
  <c r="C304" i="8"/>
  <c r="C305" i="8"/>
  <c r="C306" i="8"/>
  <c r="C307" i="8"/>
  <c r="C94" i="8"/>
  <c r="C308" i="8"/>
  <c r="C309" i="8"/>
  <c r="C310" i="8"/>
  <c r="C311" i="8"/>
  <c r="C312" i="8"/>
  <c r="C313" i="8"/>
  <c r="C95" i="8"/>
  <c r="C314" i="8"/>
  <c r="C315" i="8"/>
  <c r="C316" i="8"/>
  <c r="C67" i="8"/>
  <c r="C317" i="8"/>
  <c r="C318" i="8"/>
  <c r="C96" i="8"/>
  <c r="C319" i="8"/>
  <c r="C320" i="8"/>
  <c r="C68" i="8"/>
  <c r="C321" i="8"/>
  <c r="C322" i="8"/>
  <c r="C323" i="8"/>
  <c r="C324" i="8"/>
  <c r="C325" i="8"/>
  <c r="C326" i="8"/>
  <c r="C30" i="8"/>
  <c r="C327" i="8"/>
  <c r="C328" i="8"/>
  <c r="C329" i="8"/>
  <c r="C330" i="8"/>
  <c r="C331" i="8"/>
  <c r="C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2" i="8"/>
  <c r="C351" i="8"/>
  <c r="C352" i="8"/>
  <c r="C353" i="8"/>
  <c r="C354" i="8"/>
  <c r="C355" i="8"/>
  <c r="C356" i="8"/>
  <c r="C357" i="8"/>
  <c r="C358" i="8"/>
  <c r="C359" i="8"/>
  <c r="C360" i="8"/>
  <c r="C33" i="8"/>
  <c r="C361" i="8"/>
  <c r="C362" i="8"/>
  <c r="C97" i="8"/>
  <c r="C363" i="8"/>
  <c r="C364" i="8"/>
  <c r="C69" i="8"/>
  <c r="C365" i="8"/>
  <c r="C98" i="8"/>
  <c r="C366" i="8"/>
  <c r="C70" i="8"/>
  <c r="C367" i="8"/>
  <c r="C34" i="8"/>
  <c r="C368" i="8"/>
  <c r="C369" i="8"/>
  <c r="C370" i="8"/>
  <c r="C35" i="8"/>
  <c r="C371" i="8"/>
  <c r="C372" i="8"/>
  <c r="C373" i="8"/>
  <c r="C374" i="8"/>
  <c r="C375" i="8"/>
  <c r="C376" i="8"/>
  <c r="C377" i="8"/>
  <c r="C378" i="8"/>
  <c r="C379" i="8"/>
  <c r="C380" i="8"/>
  <c r="C99" i="8"/>
  <c r="C71" i="8"/>
  <c r="C381" i="8"/>
  <c r="C382" i="8"/>
  <c r="C383" i="8"/>
  <c r="C384" i="8"/>
  <c r="C385" i="8"/>
  <c r="C36" i="8"/>
  <c r="C386" i="8"/>
  <c r="C387" i="8"/>
  <c r="C388" i="8"/>
  <c r="C389" i="8"/>
  <c r="C390" i="8"/>
  <c r="C391" i="8"/>
  <c r="C392" i="8"/>
  <c r="C393" i="8"/>
  <c r="C37" i="8"/>
  <c r="C394" i="8"/>
  <c r="C395" i="8"/>
  <c r="C396" i="8"/>
  <c r="C397" i="8"/>
  <c r="C398" i="8"/>
  <c r="C38" i="8"/>
  <c r="C399" i="8"/>
  <c r="C400" i="8"/>
  <c r="C401" i="8"/>
  <c r="C402" i="8"/>
  <c r="C403" i="8"/>
  <c r="C404" i="8"/>
  <c r="C405" i="8"/>
  <c r="C406" i="8"/>
  <c r="C45" i="8"/>
  <c r="B6" i="3"/>
  <c r="B9" i="3"/>
  <c r="B10" i="3"/>
  <c r="B11" i="3"/>
  <c r="B12" i="3"/>
  <c r="B14" i="3"/>
  <c r="B15" i="3"/>
  <c r="B19" i="3"/>
  <c r="B20" i="3"/>
  <c r="B21" i="3"/>
  <c r="B22" i="3"/>
  <c r="B23" i="3"/>
  <c r="B24" i="3"/>
  <c r="B25" i="3"/>
  <c r="B27" i="3"/>
  <c r="B29" i="3"/>
  <c r="B30" i="3"/>
  <c r="B41" i="3"/>
  <c r="B31" i="3"/>
  <c r="B32" i="3"/>
  <c r="B42" i="3"/>
  <c r="B43" i="3"/>
  <c r="B44" i="3"/>
  <c r="B33" i="3"/>
  <c r="B34" i="3"/>
  <c r="B35" i="3"/>
  <c r="B36" i="3"/>
  <c r="B37" i="3"/>
  <c r="B38" i="3"/>
  <c r="B39" i="3"/>
  <c r="B40" i="3"/>
  <c r="C6" i="3"/>
  <c r="C9" i="3"/>
  <c r="C10" i="3"/>
  <c r="C11" i="3"/>
  <c r="C12" i="3"/>
  <c r="C14" i="3"/>
  <c r="C15" i="3"/>
  <c r="C19" i="3"/>
  <c r="C20" i="3"/>
  <c r="C21" i="3"/>
  <c r="C22" i="3"/>
  <c r="C23" i="3"/>
  <c r="C24" i="3"/>
  <c r="C25" i="3"/>
  <c r="C27" i="3"/>
  <c r="C29" i="3"/>
  <c r="C30" i="3"/>
  <c r="C41" i="3"/>
  <c r="C31" i="3"/>
  <c r="C32" i="3"/>
  <c r="C42" i="3"/>
  <c r="C43" i="3"/>
  <c r="C44" i="3"/>
  <c r="C33" i="3"/>
  <c r="C34" i="3"/>
  <c r="C35" i="3"/>
  <c r="C36" i="3"/>
  <c r="C37" i="3"/>
  <c r="C38" i="3"/>
  <c r="C39" i="3"/>
  <c r="C40" i="3"/>
  <c r="C116" i="7"/>
  <c r="C117" i="7"/>
  <c r="C118" i="7"/>
  <c r="C119" i="7"/>
  <c r="C120" i="7"/>
  <c r="C121" i="7"/>
  <c r="C122" i="7"/>
  <c r="C123" i="7"/>
  <c r="C124" i="7"/>
  <c r="C125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99" i="7"/>
  <c r="C100" i="7"/>
  <c r="C44" i="7"/>
  <c r="C45" i="7"/>
  <c r="C33" i="7"/>
  <c r="C147" i="7"/>
  <c r="C148" i="7"/>
  <c r="C149" i="7"/>
  <c r="C150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3" i="7"/>
  <c r="C238" i="7"/>
  <c r="C239" i="7"/>
  <c r="C240" i="7"/>
  <c r="C241" i="7"/>
  <c r="C242" i="7"/>
  <c r="C243" i="7"/>
  <c r="C244" i="7"/>
  <c r="C245" i="7"/>
  <c r="C246" i="7"/>
  <c r="C247" i="7"/>
  <c r="C248" i="7"/>
  <c r="C249" i="7"/>
  <c r="C250" i="7"/>
  <c r="C251" i="7"/>
  <c r="C252" i="7"/>
  <c r="C4" i="7"/>
  <c r="C253" i="7"/>
  <c r="C254" i="7"/>
  <c r="C255" i="7"/>
  <c r="C256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281" i="7"/>
  <c r="C5" i="7"/>
  <c r="C282" i="7"/>
  <c r="C283" i="7"/>
  <c r="C284" i="7"/>
  <c r="C285" i="7"/>
  <c r="C286" i="7"/>
  <c r="C287" i="7"/>
  <c r="C288" i="7"/>
  <c r="C289" i="7"/>
  <c r="C290" i="7"/>
  <c r="C291" i="7"/>
  <c r="C292" i="7"/>
  <c r="C293" i="7"/>
  <c r="C294" i="7"/>
  <c r="C295" i="7"/>
  <c r="C296" i="7"/>
  <c r="C297" i="7"/>
  <c r="C298" i="7"/>
  <c r="C299" i="7"/>
  <c r="C300" i="7"/>
  <c r="C301" i="7"/>
  <c r="C302" i="7"/>
  <c r="C303" i="7"/>
  <c r="C304" i="7"/>
  <c r="C305" i="7"/>
  <c r="C306" i="7"/>
  <c r="C307" i="7"/>
  <c r="C308" i="7"/>
  <c r="C309" i="7"/>
  <c r="C310" i="7"/>
  <c r="C311" i="7"/>
  <c r="C312" i="7"/>
  <c r="C313" i="7"/>
  <c r="C314" i="7"/>
  <c r="C315" i="7"/>
  <c r="C316" i="7"/>
  <c r="C317" i="7"/>
  <c r="C318" i="7"/>
  <c r="C319" i="7"/>
  <c r="C320" i="7"/>
  <c r="C321" i="7"/>
  <c r="C322" i="7"/>
  <c r="C323" i="7"/>
  <c r="C324" i="7"/>
  <c r="C325" i="7"/>
  <c r="C326" i="7"/>
  <c r="C327" i="7"/>
  <c r="C328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329" i="7"/>
  <c r="C330" i="7"/>
  <c r="C331" i="7"/>
  <c r="C332" i="7"/>
  <c r="C333" i="7"/>
  <c r="C334" i="7"/>
  <c r="C335" i="7"/>
  <c r="C336" i="7"/>
  <c r="C337" i="7"/>
  <c r="C338" i="7"/>
  <c r="C339" i="7"/>
  <c r="C340" i="7"/>
  <c r="C341" i="7"/>
  <c r="C342" i="7"/>
  <c r="C343" i="7"/>
  <c r="C344" i="7"/>
  <c r="C345" i="7"/>
  <c r="C346" i="7"/>
  <c r="C347" i="7"/>
  <c r="C348" i="7"/>
  <c r="C349" i="7"/>
  <c r="C350" i="7"/>
  <c r="C351" i="7"/>
  <c r="C352" i="7"/>
  <c r="C353" i="7"/>
  <c r="C354" i="7"/>
  <c r="C355" i="7"/>
  <c r="C356" i="7"/>
  <c r="C357" i="7"/>
  <c r="C358" i="7"/>
  <c r="C359" i="7"/>
  <c r="C360" i="7"/>
  <c r="C361" i="7"/>
  <c r="C362" i="7"/>
  <c r="C363" i="7"/>
  <c r="C364" i="7"/>
  <c r="C365" i="7"/>
  <c r="C366" i="7"/>
  <c r="C367" i="7"/>
  <c r="C368" i="7"/>
  <c r="C369" i="7"/>
  <c r="C370" i="7"/>
  <c r="C371" i="7"/>
  <c r="C372" i="7"/>
  <c r="C373" i="7"/>
  <c r="C374" i="7"/>
  <c r="C375" i="7"/>
  <c r="C376" i="7"/>
  <c r="C377" i="7"/>
  <c r="C378" i="7"/>
  <c r="C379" i="7"/>
  <c r="C380" i="7"/>
  <c r="C381" i="7"/>
  <c r="C382" i="7"/>
  <c r="C383" i="7"/>
  <c r="C384" i="7"/>
  <c r="C385" i="7"/>
  <c r="C386" i="7"/>
  <c r="C387" i="7"/>
  <c r="C388" i="7"/>
  <c r="C389" i="7"/>
  <c r="C390" i="7"/>
  <c r="C391" i="7"/>
  <c r="C392" i="7"/>
  <c r="C393" i="7"/>
  <c r="C394" i="7"/>
  <c r="C395" i="7"/>
  <c r="C396" i="7"/>
  <c r="C397" i="7"/>
  <c r="C398" i="7"/>
  <c r="C399" i="7"/>
  <c r="C400" i="7"/>
  <c r="C401" i="7"/>
  <c r="C402" i="7"/>
  <c r="C403" i="7"/>
  <c r="C404" i="7"/>
  <c r="C405" i="7"/>
  <c r="C406" i="7"/>
  <c r="C407" i="7"/>
  <c r="C408" i="7"/>
  <c r="C409" i="7"/>
  <c r="C101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34" i="7"/>
  <c r="C35" i="7"/>
  <c r="C36" i="7"/>
  <c r="C37" i="7"/>
  <c r="C38" i="7"/>
  <c r="C39" i="7"/>
  <c r="C40" i="7"/>
  <c r="C41" i="7"/>
  <c r="C42" i="7"/>
  <c r="C43" i="7"/>
  <c r="C27" i="7"/>
  <c r="C28" i="7"/>
  <c r="C29" i="7"/>
  <c r="C30" i="7"/>
  <c r="C31" i="7"/>
  <c r="C32" i="7"/>
  <c r="C115" i="7"/>
  <c r="D124" i="7"/>
  <c r="D125" i="7"/>
  <c r="D126" i="7"/>
  <c r="D127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146" i="7"/>
  <c r="D99" i="7"/>
  <c r="D100" i="7"/>
  <c r="D44" i="7"/>
  <c r="D45" i="7"/>
  <c r="D33" i="7"/>
  <c r="D118" i="7"/>
  <c r="D115" i="7"/>
  <c r="D119" i="7"/>
  <c r="D116" i="7"/>
  <c r="D117" i="7"/>
  <c r="D121" i="7"/>
  <c r="D120" i="7"/>
  <c r="D122" i="7"/>
  <c r="D147" i="7"/>
  <c r="D148" i="7"/>
  <c r="D149" i="7"/>
  <c r="D150" i="7"/>
  <c r="D151" i="7"/>
  <c r="D152" i="7"/>
  <c r="D153" i="7"/>
  <c r="D154" i="7"/>
  <c r="D155" i="7"/>
  <c r="D156" i="7"/>
  <c r="D157" i="7"/>
  <c r="D158" i="7"/>
  <c r="D159" i="7"/>
  <c r="D160" i="7"/>
  <c r="D161" i="7"/>
  <c r="D162" i="7"/>
  <c r="D163" i="7"/>
  <c r="D164" i="7"/>
  <c r="D165" i="7"/>
  <c r="D166" i="7"/>
  <c r="D167" i="7"/>
  <c r="D168" i="7"/>
  <c r="D169" i="7"/>
  <c r="D170" i="7"/>
  <c r="D171" i="7"/>
  <c r="D172" i="7"/>
  <c r="D173" i="7"/>
  <c r="D174" i="7"/>
  <c r="D175" i="7"/>
  <c r="D176" i="7"/>
  <c r="D177" i="7"/>
  <c r="D178" i="7"/>
  <c r="D179" i="7"/>
  <c r="D180" i="7"/>
  <c r="D181" i="7"/>
  <c r="D182" i="7"/>
  <c r="D183" i="7"/>
  <c r="D184" i="7"/>
  <c r="D185" i="7"/>
  <c r="D186" i="7"/>
  <c r="D187" i="7"/>
  <c r="D188" i="7"/>
  <c r="D189" i="7"/>
  <c r="D190" i="7"/>
  <c r="D191" i="7"/>
  <c r="D192" i="7"/>
  <c r="D193" i="7"/>
  <c r="D194" i="7"/>
  <c r="D195" i="7"/>
  <c r="D196" i="7"/>
  <c r="D197" i="7"/>
  <c r="D198" i="7"/>
  <c r="D199" i="7"/>
  <c r="D200" i="7"/>
  <c r="D201" i="7"/>
  <c r="D202" i="7"/>
  <c r="D203" i="7"/>
  <c r="D204" i="7"/>
  <c r="D205" i="7"/>
  <c r="D206" i="7"/>
  <c r="D207" i="7"/>
  <c r="D208" i="7"/>
  <c r="D209" i="7"/>
  <c r="D210" i="7"/>
  <c r="D211" i="7"/>
  <c r="D212" i="7"/>
  <c r="D213" i="7"/>
  <c r="D2" i="7"/>
  <c r="D214" i="7"/>
  <c r="D215" i="7"/>
  <c r="D216" i="7"/>
  <c r="D217" i="7"/>
  <c r="D218" i="7"/>
  <c r="D219" i="7"/>
  <c r="D220" i="7"/>
  <c r="D221" i="7"/>
  <c r="D222" i="7"/>
  <c r="D223" i="7"/>
  <c r="D224" i="7"/>
  <c r="D225" i="7"/>
  <c r="D226" i="7"/>
  <c r="D227" i="7"/>
  <c r="D228" i="7"/>
  <c r="D229" i="7"/>
  <c r="D230" i="7"/>
  <c r="D231" i="7"/>
  <c r="D232" i="7"/>
  <c r="D233" i="7"/>
  <c r="D234" i="7"/>
  <c r="D235" i="7"/>
  <c r="D236" i="7"/>
  <c r="D237" i="7"/>
  <c r="D3" i="7"/>
  <c r="D238" i="7"/>
  <c r="D239" i="7"/>
  <c r="D240" i="7"/>
  <c r="D241" i="7"/>
  <c r="D242" i="7"/>
  <c r="D243" i="7"/>
  <c r="D244" i="7"/>
  <c r="D245" i="7"/>
  <c r="D246" i="7"/>
  <c r="D247" i="7"/>
  <c r="D248" i="7"/>
  <c r="D249" i="7"/>
  <c r="D250" i="7"/>
  <c r="D251" i="7"/>
  <c r="D252" i="7"/>
  <c r="D4" i="7"/>
  <c r="D253" i="7"/>
  <c r="D254" i="7"/>
  <c r="D255" i="7"/>
  <c r="D256" i="7"/>
  <c r="D257" i="7"/>
  <c r="D258" i="7"/>
  <c r="D259" i="7"/>
  <c r="D260" i="7"/>
  <c r="D261" i="7"/>
  <c r="D262" i="7"/>
  <c r="D263" i="7"/>
  <c r="D264" i="7"/>
  <c r="D265" i="7"/>
  <c r="D266" i="7"/>
  <c r="D267" i="7"/>
  <c r="D268" i="7"/>
  <c r="D269" i="7"/>
  <c r="D270" i="7"/>
  <c r="D271" i="7"/>
  <c r="D272" i="7"/>
  <c r="D273" i="7"/>
  <c r="D274" i="7"/>
  <c r="D275" i="7"/>
  <c r="D276" i="7"/>
  <c r="D277" i="7"/>
  <c r="D278" i="7"/>
  <c r="D279" i="7"/>
  <c r="D280" i="7"/>
  <c r="D281" i="7"/>
  <c r="D5" i="7"/>
  <c r="D282" i="7"/>
  <c r="D283" i="7"/>
  <c r="D284" i="7"/>
  <c r="D285" i="7"/>
  <c r="D286" i="7"/>
  <c r="D287" i="7"/>
  <c r="D288" i="7"/>
  <c r="D289" i="7"/>
  <c r="D290" i="7"/>
  <c r="D291" i="7"/>
  <c r="D292" i="7"/>
  <c r="D293" i="7"/>
  <c r="D294" i="7"/>
  <c r="D295" i="7"/>
  <c r="D296" i="7"/>
  <c r="D297" i="7"/>
  <c r="D298" i="7"/>
  <c r="D299" i="7"/>
  <c r="D300" i="7"/>
  <c r="D301" i="7"/>
  <c r="D302" i="7"/>
  <c r="D303" i="7"/>
  <c r="D304" i="7"/>
  <c r="D305" i="7"/>
  <c r="D306" i="7"/>
  <c r="D307" i="7"/>
  <c r="D308" i="7"/>
  <c r="D309" i="7"/>
  <c r="D310" i="7"/>
  <c r="D311" i="7"/>
  <c r="D312" i="7"/>
  <c r="D313" i="7"/>
  <c r="D314" i="7"/>
  <c r="D315" i="7"/>
  <c r="D316" i="7"/>
  <c r="D317" i="7"/>
  <c r="D318" i="7"/>
  <c r="D319" i="7"/>
  <c r="D320" i="7"/>
  <c r="D321" i="7"/>
  <c r="D322" i="7"/>
  <c r="D323" i="7"/>
  <c r="D324" i="7"/>
  <c r="D325" i="7"/>
  <c r="D326" i="7"/>
  <c r="D327" i="7"/>
  <c r="D328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329" i="7"/>
  <c r="D330" i="7"/>
  <c r="D331" i="7"/>
  <c r="D332" i="7"/>
  <c r="D333" i="7"/>
  <c r="D334" i="7"/>
  <c r="D335" i="7"/>
  <c r="D336" i="7"/>
  <c r="D337" i="7"/>
  <c r="D338" i="7"/>
  <c r="D339" i="7"/>
  <c r="D340" i="7"/>
  <c r="D341" i="7"/>
  <c r="D342" i="7"/>
  <c r="D343" i="7"/>
  <c r="D344" i="7"/>
  <c r="D345" i="7"/>
  <c r="D346" i="7"/>
  <c r="D347" i="7"/>
  <c r="D348" i="7"/>
  <c r="D349" i="7"/>
  <c r="D350" i="7"/>
  <c r="D351" i="7"/>
  <c r="D352" i="7"/>
  <c r="D353" i="7"/>
  <c r="D354" i="7"/>
  <c r="D355" i="7"/>
  <c r="D356" i="7"/>
  <c r="D357" i="7"/>
  <c r="D358" i="7"/>
  <c r="D359" i="7"/>
  <c r="D360" i="7"/>
  <c r="D361" i="7"/>
  <c r="D362" i="7"/>
  <c r="D363" i="7"/>
  <c r="D364" i="7"/>
  <c r="D365" i="7"/>
  <c r="D366" i="7"/>
  <c r="D367" i="7"/>
  <c r="D368" i="7"/>
  <c r="D369" i="7"/>
  <c r="D370" i="7"/>
  <c r="D371" i="7"/>
  <c r="D372" i="7"/>
  <c r="D373" i="7"/>
  <c r="D374" i="7"/>
  <c r="D375" i="7"/>
  <c r="D376" i="7"/>
  <c r="D377" i="7"/>
  <c r="D378" i="7"/>
  <c r="D379" i="7"/>
  <c r="D380" i="7"/>
  <c r="D381" i="7"/>
  <c r="D382" i="7"/>
  <c r="D383" i="7"/>
  <c r="D384" i="7"/>
  <c r="D385" i="7"/>
  <c r="D386" i="7"/>
  <c r="D387" i="7"/>
  <c r="D388" i="7"/>
  <c r="D389" i="7"/>
  <c r="D390" i="7"/>
  <c r="D391" i="7"/>
  <c r="D392" i="7"/>
  <c r="D393" i="7"/>
  <c r="D394" i="7"/>
  <c r="D395" i="7"/>
  <c r="D396" i="7"/>
  <c r="D397" i="7"/>
  <c r="D398" i="7"/>
  <c r="D399" i="7"/>
  <c r="D400" i="7"/>
  <c r="D401" i="7"/>
  <c r="D402" i="7"/>
  <c r="D403" i="7"/>
  <c r="D404" i="7"/>
  <c r="D405" i="7"/>
  <c r="D406" i="7"/>
  <c r="D407" i="7"/>
  <c r="D408" i="7"/>
  <c r="D409" i="7"/>
  <c r="D101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66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46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34" i="7"/>
  <c r="D35" i="7"/>
  <c r="D36" i="7"/>
  <c r="D37" i="7"/>
  <c r="D38" i="7"/>
  <c r="D39" i="7"/>
  <c r="D40" i="7"/>
  <c r="D41" i="7"/>
  <c r="D42" i="7"/>
  <c r="D43" i="7"/>
  <c r="D27" i="7"/>
  <c r="D28" i="7"/>
  <c r="D29" i="7"/>
  <c r="D30" i="7"/>
  <c r="D31" i="7"/>
  <c r="D32" i="7"/>
  <c r="D123" i="7"/>
  <c r="AA33" i="2"/>
  <c r="AM54" i="5"/>
  <c r="AM61" i="5"/>
  <c r="AM65" i="5"/>
  <c r="AM66" i="5"/>
  <c r="AM67" i="5"/>
  <c r="AM295" i="5"/>
  <c r="AM296" i="5"/>
  <c r="AM306" i="5"/>
  <c r="AM308" i="5"/>
  <c r="AM310" i="5"/>
  <c r="AM315" i="5"/>
  <c r="AM79" i="5"/>
  <c r="AM322" i="5"/>
  <c r="AM323" i="5"/>
  <c r="AM324" i="5"/>
  <c r="AM88" i="5"/>
  <c r="AM89" i="5"/>
  <c r="AM3" i="5"/>
  <c r="AM4" i="5"/>
  <c r="AM96" i="5"/>
  <c r="AM97" i="5"/>
  <c r="AM98" i="5"/>
  <c r="AM103" i="5"/>
  <c r="AM109" i="5"/>
  <c r="AM331" i="5"/>
  <c r="AM337" i="5"/>
  <c r="AM112" i="5"/>
  <c r="AM30" i="5"/>
  <c r="AM345" i="5"/>
  <c r="AM5" i="5"/>
  <c r="AM117" i="5"/>
  <c r="AM6" i="5"/>
  <c r="AM350" i="5"/>
  <c r="AM7" i="5"/>
  <c r="AM353" i="5"/>
  <c r="AM355" i="5"/>
  <c r="AM356" i="5"/>
  <c r="AM8" i="5"/>
  <c r="AM359" i="5"/>
  <c r="AM360" i="5"/>
  <c r="AM127" i="5"/>
  <c r="AM129" i="5"/>
  <c r="AM130" i="5"/>
  <c r="AM132" i="5"/>
  <c r="AM133" i="5"/>
  <c r="AM32" i="5"/>
  <c r="AM136" i="5"/>
  <c r="AM279" i="5"/>
  <c r="AM137" i="5"/>
  <c r="AM139" i="5"/>
  <c r="AM140" i="5"/>
  <c r="AM364" i="5"/>
  <c r="AM149" i="5"/>
  <c r="AM150" i="5"/>
  <c r="AM365" i="5"/>
  <c r="AM366" i="5"/>
  <c r="AM367" i="5"/>
  <c r="AM151" i="5"/>
  <c r="AM153" i="5"/>
  <c r="AM158" i="5"/>
  <c r="AM164" i="5"/>
  <c r="AM165" i="5"/>
  <c r="AM166" i="5"/>
  <c r="AM170" i="5"/>
  <c r="AM173" i="5"/>
  <c r="AM174" i="5"/>
  <c r="AM180" i="5"/>
  <c r="AM181" i="5"/>
  <c r="AM182" i="5"/>
  <c r="AM183" i="5"/>
  <c r="AM184" i="5"/>
  <c r="AM185" i="5"/>
  <c r="AM186" i="5"/>
  <c r="AM187" i="5"/>
  <c r="AM194" i="5"/>
  <c r="AM195" i="5"/>
  <c r="AM196" i="5"/>
  <c r="AM198" i="5"/>
  <c r="AM390" i="5"/>
  <c r="AM18" i="5"/>
  <c r="AM223" i="5"/>
  <c r="AM227" i="5"/>
  <c r="AM228" i="5"/>
  <c r="AM242" i="5"/>
  <c r="AM243" i="5"/>
  <c r="AM244" i="5"/>
  <c r="AM245" i="5"/>
  <c r="AM246" i="5"/>
  <c r="AM247" i="5"/>
  <c r="AM248" i="5"/>
  <c r="AM250" i="5"/>
  <c r="AM251" i="5"/>
  <c r="AM252" i="5"/>
  <c r="AM253" i="5"/>
  <c r="AM254" i="5"/>
  <c r="AM255" i="5"/>
  <c r="AM256" i="5"/>
  <c r="AM257" i="5"/>
  <c r="AM258" i="5"/>
  <c r="AM260" i="5"/>
  <c r="AM261" i="5"/>
  <c r="AM263" i="5"/>
  <c r="AM264" i="5"/>
  <c r="AM265" i="5"/>
  <c r="AM274" i="5"/>
  <c r="AM26" i="5"/>
  <c r="AM27" i="5"/>
  <c r="AM275" i="5"/>
  <c r="AM38" i="5"/>
  <c r="AM39" i="5"/>
  <c r="AM40" i="5"/>
  <c r="AM41" i="5"/>
  <c r="AM42" i="5"/>
  <c r="AM43" i="5"/>
  <c r="AM44" i="5"/>
  <c r="AM45" i="5"/>
  <c r="AM46" i="5"/>
  <c r="AM47" i="5"/>
  <c r="AM48" i="5"/>
  <c r="AM49" i="5"/>
  <c r="AM50" i="5"/>
  <c r="AM51" i="5"/>
  <c r="AM52" i="5"/>
  <c r="AM53" i="5"/>
  <c r="AM288" i="5"/>
  <c r="AM289" i="5"/>
  <c r="AM55" i="5"/>
  <c r="AM56" i="5"/>
  <c r="AM57" i="5"/>
  <c r="AM59" i="5"/>
  <c r="AM60" i="5"/>
  <c r="AM62" i="5"/>
  <c r="AM63" i="5"/>
  <c r="AM64" i="5"/>
  <c r="AM68" i="5"/>
  <c r="AM70" i="5"/>
  <c r="AM71" i="5"/>
  <c r="AM290" i="5"/>
  <c r="AM291" i="5"/>
  <c r="AM292" i="5"/>
  <c r="AM293" i="5"/>
  <c r="AM294" i="5"/>
  <c r="AM297" i="5"/>
  <c r="AM298" i="5"/>
  <c r="AM299" i="5"/>
  <c r="AM300" i="5"/>
  <c r="AM301" i="5"/>
  <c r="AM302" i="5"/>
  <c r="AM303" i="5"/>
  <c r="AM304" i="5"/>
  <c r="AM305" i="5"/>
  <c r="AM307" i="5"/>
  <c r="AM309" i="5"/>
  <c r="AM311" i="5"/>
  <c r="AM312" i="5"/>
  <c r="AM313" i="5"/>
  <c r="AM314" i="5"/>
  <c r="AM72" i="5"/>
  <c r="AM2" i="5"/>
  <c r="AM73" i="5"/>
  <c r="AM316" i="5"/>
  <c r="AM74" i="5"/>
  <c r="AM75" i="5"/>
  <c r="AM76" i="5"/>
  <c r="AM77" i="5"/>
  <c r="AM78" i="5"/>
  <c r="AM317" i="5"/>
  <c r="AM318" i="5"/>
  <c r="AM319" i="5"/>
  <c r="AM80" i="5"/>
  <c r="AM81" i="5"/>
  <c r="AM320" i="5"/>
  <c r="AM82" i="5"/>
  <c r="AM83" i="5"/>
  <c r="AM84" i="5"/>
  <c r="AM85" i="5"/>
  <c r="AM283" i="5"/>
  <c r="AM284" i="5"/>
  <c r="AM86" i="5"/>
  <c r="AM28" i="5"/>
  <c r="AM277" i="5"/>
  <c r="AM321" i="5"/>
  <c r="AM87" i="5"/>
  <c r="AM90" i="5"/>
  <c r="AM91" i="5"/>
  <c r="AM325" i="5"/>
  <c r="AM326" i="5"/>
  <c r="AM92" i="5"/>
  <c r="AM93" i="5"/>
  <c r="AM94" i="5"/>
  <c r="AM95" i="5"/>
  <c r="AM285" i="5"/>
  <c r="AM278" i="5"/>
  <c r="AM286" i="5"/>
  <c r="AM99" i="5"/>
  <c r="AM100" i="5"/>
  <c r="AM101" i="5"/>
  <c r="AM102" i="5"/>
  <c r="AM104" i="5"/>
  <c r="AM105" i="5"/>
  <c r="AM106" i="5"/>
  <c r="AM107" i="5"/>
  <c r="AM108" i="5"/>
  <c r="AM327" i="5"/>
  <c r="AM328" i="5"/>
  <c r="AM329" i="5"/>
  <c r="AM330" i="5"/>
  <c r="AM332" i="5"/>
  <c r="AM333" i="5"/>
  <c r="AM334" i="5"/>
  <c r="AM335" i="5"/>
  <c r="AM336" i="5"/>
  <c r="AM338" i="5"/>
  <c r="AM339" i="5"/>
  <c r="AM110" i="5"/>
  <c r="AM111" i="5"/>
  <c r="AM113" i="5"/>
  <c r="AM340" i="5"/>
  <c r="AM114" i="5"/>
  <c r="AM341" i="5"/>
  <c r="AM342" i="5"/>
  <c r="AM343" i="5"/>
  <c r="AM344" i="5"/>
  <c r="AM115" i="5"/>
  <c r="AM116" i="5"/>
  <c r="AM346" i="5"/>
  <c r="AM347" i="5"/>
  <c r="AM348" i="5"/>
  <c r="AM349" i="5"/>
  <c r="AM351" i="5"/>
  <c r="AM352" i="5"/>
  <c r="AM119" i="5"/>
  <c r="AM120" i="5"/>
  <c r="AM354" i="5"/>
  <c r="AM121" i="5"/>
  <c r="AM122" i="5"/>
  <c r="AM123" i="5"/>
  <c r="AM124" i="5"/>
  <c r="AM357" i="5"/>
  <c r="AM358" i="5"/>
  <c r="AM125" i="5"/>
  <c r="AM126" i="5"/>
  <c r="AM361" i="5"/>
  <c r="AM362" i="5"/>
  <c r="AM363" i="5"/>
  <c r="AM128" i="5"/>
  <c r="AM131" i="5"/>
  <c r="AM31" i="5"/>
  <c r="AM134" i="5"/>
  <c r="AM135" i="5"/>
  <c r="AM138" i="5"/>
  <c r="AM141" i="5"/>
  <c r="AM142" i="5"/>
  <c r="AM143" i="5"/>
  <c r="AM144" i="5"/>
  <c r="AM145" i="5"/>
  <c r="AM146" i="5"/>
  <c r="AM147" i="5"/>
  <c r="AM148" i="5"/>
  <c r="AM152" i="5"/>
  <c r="AM368" i="5"/>
  <c r="AM154" i="5"/>
  <c r="AM155" i="5"/>
  <c r="AM156" i="5"/>
  <c r="AM369" i="5"/>
  <c r="AM370" i="5"/>
  <c r="AM371" i="5"/>
  <c r="AM372" i="5"/>
  <c r="AM373" i="5"/>
  <c r="AM374" i="5"/>
  <c r="AM375" i="5"/>
  <c r="AM376" i="5"/>
  <c r="AM377" i="5"/>
  <c r="AM157" i="5"/>
  <c r="AM159" i="5"/>
  <c r="AM160" i="5"/>
  <c r="AM161" i="5"/>
  <c r="AM162" i="5"/>
  <c r="AM280" i="5"/>
  <c r="AM281" i="5"/>
  <c r="AM163" i="5"/>
  <c r="AM9" i="5"/>
  <c r="AM10" i="5"/>
  <c r="AM11" i="5"/>
  <c r="AM167" i="5"/>
  <c r="AM168" i="5"/>
  <c r="AM169" i="5"/>
  <c r="AM171" i="5"/>
  <c r="AM172" i="5"/>
  <c r="AM175" i="5"/>
  <c r="AM176" i="5"/>
  <c r="AM177" i="5"/>
  <c r="AM178" i="5"/>
  <c r="AM179" i="5"/>
  <c r="AM188" i="5"/>
  <c r="AM189" i="5"/>
  <c r="AM190" i="5"/>
  <c r="AM191" i="5"/>
  <c r="AM192" i="5"/>
  <c r="AM378" i="5"/>
  <c r="AM379" i="5"/>
  <c r="AM380" i="5"/>
  <c r="AM193" i="5"/>
  <c r="AM381" i="5"/>
  <c r="AM382" i="5"/>
  <c r="AM383" i="5"/>
  <c r="AM384" i="5"/>
  <c r="AM33" i="5"/>
  <c r="AM385" i="5"/>
  <c r="AM386" i="5"/>
  <c r="AM387" i="5"/>
  <c r="AM388" i="5"/>
  <c r="AM199" i="5"/>
  <c r="AM389" i="5"/>
  <c r="AM200" i="5"/>
  <c r="AM12" i="5"/>
  <c r="AM201" i="5"/>
  <c r="AM203" i="5"/>
  <c r="AM204" i="5"/>
  <c r="AM206" i="5"/>
  <c r="AM13" i="5"/>
  <c r="AM15" i="5"/>
  <c r="AM16" i="5"/>
  <c r="AM17" i="5"/>
  <c r="AM34" i="5"/>
  <c r="AM35" i="5"/>
  <c r="AM208" i="5"/>
  <c r="AM209" i="5"/>
  <c r="AM210" i="5"/>
  <c r="AM211" i="5"/>
  <c r="AM212" i="5"/>
  <c r="AM282" i="5"/>
  <c r="AM213" i="5"/>
  <c r="AM214" i="5"/>
  <c r="AM215" i="5"/>
  <c r="AM216" i="5"/>
  <c r="AM217" i="5"/>
  <c r="AM391" i="5"/>
  <c r="AM218" i="5"/>
  <c r="AM19" i="5"/>
  <c r="AM219" i="5"/>
  <c r="AM220" i="5"/>
  <c r="AM221" i="5"/>
  <c r="AM222" i="5"/>
  <c r="AM224" i="5"/>
  <c r="AM225" i="5"/>
  <c r="AM226" i="5"/>
  <c r="AM392" i="5"/>
  <c r="AM393" i="5"/>
  <c r="AM36" i="5"/>
  <c r="AM229" i="5"/>
  <c r="AM230" i="5"/>
  <c r="AM394" i="5"/>
  <c r="AM395" i="5"/>
  <c r="AM231" i="5"/>
  <c r="AM396" i="5"/>
  <c r="AM397" i="5"/>
  <c r="AM232" i="5"/>
  <c r="AM20" i="5"/>
  <c r="AM21" i="5"/>
  <c r="AM22" i="5"/>
  <c r="AM23" i="5"/>
  <c r="AM24" i="5"/>
  <c r="AM233" i="5"/>
  <c r="AM37" i="5"/>
  <c r="AM398" i="5"/>
  <c r="AM399" i="5"/>
  <c r="AM234" i="5"/>
  <c r="AM235" i="5"/>
  <c r="AM236" i="5"/>
  <c r="AM237" i="5"/>
  <c r="AM238" i="5"/>
  <c r="AM239" i="5"/>
  <c r="AM240" i="5"/>
  <c r="AM241" i="5"/>
  <c r="AM249" i="5"/>
  <c r="AM259" i="5"/>
  <c r="AM262" i="5"/>
  <c r="AM266" i="5"/>
  <c r="AM267" i="5"/>
  <c r="AM268" i="5"/>
  <c r="AM269" i="5"/>
  <c r="AM270" i="5"/>
  <c r="AM271" i="5"/>
  <c r="AM272" i="5"/>
  <c r="AM400" i="5"/>
  <c r="AM273" i="5"/>
  <c r="AM401" i="5"/>
  <c r="AM402" i="5"/>
  <c r="AM403" i="5"/>
  <c r="AM25" i="5"/>
  <c r="AM405" i="5"/>
  <c r="AM406" i="5"/>
  <c r="AM276" i="5"/>
  <c r="AA8" i="2"/>
  <c r="AA10" i="2"/>
  <c r="AA9" i="2"/>
  <c r="AA7" i="2"/>
  <c r="AA23" i="2"/>
  <c r="AA28" i="2"/>
  <c r="AA29" i="2"/>
  <c r="AA19" i="2"/>
  <c r="AA4" i="2"/>
  <c r="AA44" i="2"/>
  <c r="AA48" i="2"/>
  <c r="AA47" i="2"/>
  <c r="AA24" i="2"/>
  <c r="AA25" i="2"/>
  <c r="AA27" i="2"/>
  <c r="AA32" i="2"/>
  <c r="AA31" i="2"/>
  <c r="AA30" i="2"/>
  <c r="AA5" i="2"/>
  <c r="AA35" i="2"/>
  <c r="AA34" i="2"/>
  <c r="AA37" i="2"/>
  <c r="AA36" i="2"/>
  <c r="AA38" i="2"/>
  <c r="AA40" i="2"/>
  <c r="AA14" i="2"/>
  <c r="AA13" i="2"/>
  <c r="AA26" i="2"/>
  <c r="AA49" i="2"/>
  <c r="AA20" i="2"/>
  <c r="AA6" i="2"/>
  <c r="AA12" i="2"/>
  <c r="AA15" i="2"/>
  <c r="AA21" i="2"/>
  <c r="AA43" i="2"/>
  <c r="B2" i="11"/>
  <c r="B13" i="11"/>
  <c r="S2" i="11"/>
  <c r="B4" i="11"/>
  <c r="B8" i="11"/>
  <c r="B9" i="11"/>
  <c r="B20" i="11"/>
  <c r="V20" i="11"/>
  <c r="B10" i="11"/>
  <c r="V10" i="11"/>
  <c r="B11" i="11"/>
  <c r="V11" i="11"/>
  <c r="B21" i="11"/>
  <c r="V21" i="11"/>
  <c r="B22" i="11"/>
  <c r="V22" i="11"/>
  <c r="B23" i="11"/>
  <c r="V23" i="11"/>
  <c r="B24" i="11"/>
  <c r="V24" i="11"/>
  <c r="B12" i="11"/>
  <c r="V12" i="11"/>
  <c r="B25" i="11"/>
  <c r="B26" i="11"/>
  <c r="V26" i="11"/>
  <c r="B3" i="11"/>
  <c r="B5" i="11"/>
  <c r="B15" i="11"/>
  <c r="B19" i="11"/>
  <c r="B6" i="11"/>
  <c r="B16" i="11"/>
  <c r="B17" i="11"/>
  <c r="V17" i="11"/>
  <c r="B18" i="11"/>
  <c r="V18" i="11"/>
  <c r="B7" i="11"/>
  <c r="S19" i="11"/>
  <c r="S6" i="11"/>
  <c r="S16" i="11"/>
  <c r="S17" i="11"/>
  <c r="S18" i="11"/>
  <c r="S7" i="11"/>
  <c r="S8" i="11"/>
  <c r="S9" i="11"/>
  <c r="S20" i="11"/>
  <c r="S10" i="11"/>
  <c r="S11" i="11"/>
  <c r="S21" i="11"/>
  <c r="S22" i="11"/>
  <c r="S23" i="11"/>
  <c r="S24" i="11"/>
  <c r="S12" i="11"/>
  <c r="S25" i="11"/>
  <c r="S26" i="11"/>
  <c r="S3" i="11"/>
  <c r="S4" i="11"/>
  <c r="S5" i="11"/>
  <c r="S15" i="11"/>
  <c r="S13" i="11"/>
  <c r="U5" i="11"/>
  <c r="U15" i="11"/>
  <c r="U19" i="11"/>
  <c r="U6" i="11"/>
  <c r="J17" i="11"/>
  <c r="J18" i="11"/>
  <c r="J20" i="11"/>
  <c r="J10" i="11"/>
  <c r="J11" i="11"/>
  <c r="J21" i="11"/>
  <c r="J22" i="11"/>
  <c r="J23" i="11"/>
  <c r="J24" i="11"/>
  <c r="J12" i="11"/>
  <c r="J26" i="11"/>
  <c r="W17" i="11"/>
  <c r="W18" i="11"/>
  <c r="W20" i="11"/>
  <c r="W10" i="11"/>
  <c r="W11" i="11"/>
  <c r="W21" i="11"/>
  <c r="W22" i="11"/>
  <c r="W23" i="11"/>
  <c r="W24" i="11"/>
  <c r="W12" i="11"/>
  <c r="W26" i="11"/>
  <c r="U3" i="11"/>
  <c r="U4" i="11"/>
  <c r="U13" i="11"/>
  <c r="U16" i="11"/>
  <c r="U17" i="11"/>
  <c r="U18" i="11"/>
  <c r="U7" i="11"/>
  <c r="U8" i="11"/>
  <c r="U9" i="11"/>
  <c r="U20" i="11"/>
  <c r="U10" i="11"/>
  <c r="U11" i="11"/>
  <c r="U21" i="11"/>
  <c r="U22" i="11"/>
  <c r="U23" i="11"/>
  <c r="U24" i="11"/>
  <c r="U12" i="11"/>
  <c r="U25" i="11"/>
  <c r="U26" i="11"/>
  <c r="R13" i="11"/>
  <c r="R15" i="11"/>
  <c r="R6" i="11"/>
  <c r="R16" i="11"/>
  <c r="R17" i="11"/>
  <c r="R18" i="11"/>
  <c r="R7" i="11"/>
  <c r="R8" i="11"/>
  <c r="R9" i="11"/>
  <c r="R20" i="11"/>
  <c r="R10" i="11"/>
  <c r="R11" i="11"/>
  <c r="R21" i="11"/>
  <c r="R22" i="11"/>
  <c r="R23" i="11"/>
  <c r="R24" i="11"/>
  <c r="R12" i="11"/>
  <c r="R25" i="11"/>
  <c r="R26" i="11"/>
  <c r="R3" i="11"/>
  <c r="R4" i="11"/>
  <c r="R5" i="11"/>
  <c r="R2" i="11"/>
  <c r="U2" i="11"/>
  <c r="K15" i="11"/>
  <c r="L15" i="11"/>
  <c r="M15" i="11"/>
  <c r="K16" i="11"/>
  <c r="L16" i="11"/>
  <c r="M16" i="11"/>
  <c r="K3" i="11"/>
  <c r="K4" i="11"/>
  <c r="K5" i="11"/>
  <c r="K6" i="11"/>
  <c r="K2" i="11"/>
  <c r="L6" i="11"/>
  <c r="L5" i="11"/>
  <c r="L4" i="11"/>
  <c r="L3" i="11"/>
  <c r="L2" i="11"/>
  <c r="M3" i="11"/>
  <c r="M4" i="11"/>
  <c r="M5" i="11"/>
  <c r="M6" i="11"/>
  <c r="K17" i="11"/>
  <c r="M17" i="11"/>
  <c r="K18" i="11"/>
  <c r="M18" i="11"/>
  <c r="K7" i="11"/>
  <c r="M7" i="11"/>
  <c r="K8" i="11"/>
  <c r="M8" i="11"/>
  <c r="K9" i="11"/>
  <c r="M9" i="11"/>
  <c r="K20" i="11"/>
  <c r="M20" i="11"/>
  <c r="K10" i="11"/>
  <c r="M10" i="11"/>
  <c r="K11" i="11"/>
  <c r="M11" i="11"/>
  <c r="K21" i="11"/>
  <c r="M21" i="11"/>
  <c r="K22" i="11"/>
  <c r="M22" i="11"/>
  <c r="K23" i="11"/>
  <c r="M23" i="11"/>
  <c r="K24" i="11"/>
  <c r="M24" i="11"/>
  <c r="K12" i="11"/>
  <c r="M12" i="11"/>
  <c r="K25" i="11"/>
  <c r="M25" i="11"/>
  <c r="K26" i="11"/>
  <c r="M26" i="11"/>
  <c r="M2" i="11"/>
  <c r="AS89" i="5"/>
  <c r="AQ256" i="5"/>
  <c r="AP256" i="5"/>
  <c r="AQ255" i="5"/>
  <c r="AP255" i="5"/>
  <c r="AQ240" i="5"/>
  <c r="AP240" i="5"/>
  <c r="AQ241" i="5"/>
  <c r="AP241" i="5"/>
  <c r="AQ399" i="5"/>
  <c r="AQ336" i="5"/>
  <c r="AQ335" i="5"/>
  <c r="AQ334" i="5"/>
  <c r="AQ333" i="5"/>
  <c r="AQ332" i="5"/>
  <c r="AQ330" i="5"/>
  <c r="AQ329" i="5"/>
  <c r="AQ328" i="5"/>
  <c r="AQ327" i="5"/>
  <c r="AQ377" i="5"/>
  <c r="AQ376" i="5"/>
  <c r="AQ375" i="5"/>
  <c r="AQ374" i="5"/>
  <c r="AQ373" i="5"/>
  <c r="AQ372" i="5"/>
  <c r="AQ371" i="5"/>
  <c r="AQ339" i="5"/>
  <c r="AQ319" i="5"/>
  <c r="AQ403" i="5"/>
  <c r="AQ402" i="5"/>
  <c r="AQ401" i="5"/>
  <c r="AQ396" i="5"/>
  <c r="AQ370" i="5"/>
  <c r="AQ363" i="5"/>
  <c r="AQ362" i="5"/>
  <c r="AQ361" i="5"/>
  <c r="AQ360" i="5"/>
  <c r="AQ358" i="5"/>
  <c r="AQ355" i="5"/>
  <c r="AQ353" i="5"/>
  <c r="AQ338" i="5"/>
  <c r="AQ369" i="5"/>
  <c r="AQ346" i="5"/>
  <c r="AQ324" i="5"/>
  <c r="AQ323" i="5"/>
  <c r="AQ322" i="5"/>
  <c r="AQ321" i="5"/>
  <c r="AQ316" i="5"/>
  <c r="AQ315" i="5"/>
  <c r="AQ314" i="5"/>
  <c r="AQ313" i="5"/>
  <c r="AQ312" i="5"/>
  <c r="AQ311" i="5"/>
  <c r="AQ310" i="5"/>
  <c r="AQ309" i="5"/>
  <c r="AQ308" i="5"/>
  <c r="AQ307" i="5"/>
  <c r="AQ305" i="5"/>
  <c r="AQ304" i="5"/>
  <c r="AQ303" i="5"/>
  <c r="AQ302" i="5"/>
  <c r="AQ301" i="5"/>
  <c r="AQ300" i="5"/>
  <c r="AQ299" i="5"/>
  <c r="AQ298" i="5"/>
  <c r="AQ297" i="5"/>
  <c r="AQ296" i="5"/>
  <c r="AQ295" i="5"/>
  <c r="AQ294" i="5"/>
  <c r="AQ293" i="5"/>
  <c r="AQ292" i="5"/>
  <c r="AQ291" i="5"/>
  <c r="AQ290" i="5"/>
  <c r="AQ406" i="5"/>
  <c r="AQ405" i="5"/>
  <c r="AQ398" i="5"/>
  <c r="AQ395" i="5"/>
  <c r="AQ394" i="5"/>
  <c r="AQ391" i="5"/>
  <c r="AQ344" i="5"/>
  <c r="AQ343" i="5"/>
  <c r="AQ342" i="5"/>
  <c r="AQ341" i="5"/>
  <c r="AQ340" i="5"/>
  <c r="AQ326" i="5"/>
  <c r="AQ325" i="5"/>
  <c r="AQ318" i="5"/>
  <c r="AQ317" i="5"/>
  <c r="AS37" i="5"/>
  <c r="AQ37" i="5"/>
  <c r="AS233" i="5"/>
  <c r="AQ233" i="5"/>
  <c r="AS24" i="5"/>
  <c r="AQ24" i="5"/>
  <c r="AS23" i="5"/>
  <c r="AQ23" i="5"/>
  <c r="AS22" i="5"/>
  <c r="AQ22" i="5"/>
  <c r="AQ175" i="5"/>
  <c r="AQ90" i="5"/>
  <c r="AS220" i="5"/>
  <c r="AS219" i="5"/>
  <c r="AS19" i="5"/>
  <c r="AQ19" i="5"/>
  <c r="AS218" i="5"/>
  <c r="AQ218" i="5"/>
  <c r="AS213" i="5"/>
  <c r="AS169" i="5"/>
  <c r="AQ169" i="5"/>
  <c r="AS168" i="5"/>
  <c r="AQ168" i="5"/>
  <c r="AQ133" i="5"/>
  <c r="AS126" i="5"/>
  <c r="AQ126" i="5"/>
  <c r="AS104" i="5"/>
  <c r="AS103" i="5"/>
  <c r="AS155" i="5"/>
  <c r="AS141" i="5"/>
  <c r="AS239" i="5"/>
  <c r="AS230" i="5"/>
  <c r="AS229" i="5"/>
  <c r="AS214" i="5"/>
  <c r="AS282" i="5"/>
  <c r="AQ282" i="5"/>
  <c r="AS212" i="5"/>
  <c r="AS211" i="5"/>
  <c r="AS210" i="5"/>
  <c r="AS209" i="5"/>
  <c r="AS208" i="5"/>
  <c r="AQ208" i="5"/>
  <c r="AS160" i="5"/>
  <c r="AS159" i="5"/>
  <c r="AS145" i="5"/>
  <c r="AQ142" i="5"/>
  <c r="AS138" i="5"/>
  <c r="AQ138" i="5"/>
  <c r="AS131" i="5"/>
  <c r="AS347" i="5"/>
  <c r="AS87" i="5"/>
  <c r="AS273" i="5"/>
  <c r="AQ273" i="5"/>
  <c r="AS231" i="5"/>
  <c r="AQ231" i="5"/>
  <c r="AS36" i="5"/>
  <c r="AQ36" i="5"/>
  <c r="AS393" i="5"/>
  <c r="AQ393" i="5"/>
  <c r="AS392" i="5"/>
  <c r="AQ392" i="5"/>
  <c r="AS35" i="5"/>
  <c r="AQ35" i="5"/>
  <c r="AS388" i="5"/>
  <c r="AQ388" i="5"/>
  <c r="AS387" i="5"/>
  <c r="AQ387" i="5"/>
  <c r="AS386" i="5"/>
  <c r="AQ386" i="5"/>
  <c r="AS385" i="5"/>
  <c r="AQ385" i="5"/>
  <c r="AS33" i="5"/>
  <c r="AS384" i="5"/>
  <c r="AQ384" i="5"/>
  <c r="AS383" i="5"/>
  <c r="AQ383" i="5"/>
  <c r="AS193" i="5"/>
  <c r="AQ193" i="5"/>
  <c r="AS380" i="5"/>
  <c r="AQ380" i="5"/>
  <c r="AS379" i="5"/>
  <c r="AQ379" i="5"/>
  <c r="AS378" i="5"/>
  <c r="AQ378" i="5"/>
  <c r="AS192" i="5"/>
  <c r="AQ192" i="5"/>
  <c r="AS157" i="5"/>
  <c r="AQ157" i="5"/>
  <c r="AS368" i="5"/>
  <c r="AQ368" i="5"/>
  <c r="AQ147" i="5"/>
  <c r="AS143" i="5"/>
  <c r="AQ143" i="5"/>
  <c r="AQ134" i="5"/>
  <c r="AS31" i="5"/>
  <c r="AQ31" i="5"/>
  <c r="AS357" i="5"/>
  <c r="AQ357" i="5"/>
  <c r="AQ348" i="5"/>
  <c r="AS30" i="5"/>
  <c r="AQ30" i="5"/>
  <c r="AS113" i="5"/>
  <c r="AQ113" i="5"/>
  <c r="AS111" i="5"/>
  <c r="AQ111" i="5"/>
  <c r="AS110" i="5"/>
  <c r="AS105" i="5"/>
  <c r="AQ101" i="5"/>
  <c r="AS100" i="5"/>
  <c r="AQ100" i="5"/>
  <c r="AS99" i="5"/>
  <c r="AQ99" i="5"/>
  <c r="AS80" i="5"/>
  <c r="AQ80" i="5"/>
  <c r="AS76" i="5"/>
  <c r="AQ76" i="5"/>
  <c r="AS34" i="5"/>
  <c r="AQ34" i="5"/>
  <c r="AS200" i="5"/>
  <c r="AQ200" i="5"/>
  <c r="AS15" i="5"/>
  <c r="AQ15" i="5"/>
  <c r="AS17" i="5"/>
  <c r="AQ17" i="5"/>
  <c r="AS16" i="5"/>
  <c r="AQ16" i="5"/>
  <c r="AS13" i="5"/>
  <c r="AQ13" i="5"/>
  <c r="AS389" i="5"/>
  <c r="AQ389" i="5"/>
  <c r="AS27" i="5"/>
  <c r="AQ27" i="5"/>
  <c r="AS25" i="5"/>
  <c r="AQ25" i="5"/>
  <c r="AS237" i="5"/>
  <c r="AQ237" i="5"/>
  <c r="AS206" i="5"/>
  <c r="AQ206" i="5"/>
  <c r="AS178" i="5"/>
  <c r="AQ178" i="5"/>
  <c r="AS163" i="5"/>
  <c r="AQ163" i="5"/>
  <c r="AS26" i="5"/>
  <c r="AQ26" i="5"/>
  <c r="AS238" i="5"/>
  <c r="AQ238" i="5"/>
  <c r="AS236" i="5"/>
  <c r="AQ236" i="5"/>
  <c r="AS235" i="5"/>
  <c r="AQ235" i="5"/>
  <c r="AS234" i="5"/>
  <c r="AQ234" i="5"/>
  <c r="AS204" i="5"/>
  <c r="AQ204" i="5"/>
  <c r="AS382" i="5"/>
  <c r="AQ382" i="5"/>
  <c r="AS381" i="5"/>
  <c r="AQ381" i="5"/>
  <c r="AS203" i="5"/>
  <c r="AQ203" i="5"/>
  <c r="AS179" i="5"/>
  <c r="AS201" i="5"/>
  <c r="AQ201" i="5"/>
  <c r="AS198" i="5"/>
  <c r="AS196" i="5"/>
  <c r="AQ196" i="5"/>
  <c r="AS11" i="5"/>
  <c r="AQ11" i="5"/>
  <c r="AS10" i="5"/>
  <c r="AQ10" i="5"/>
  <c r="AS9" i="5"/>
  <c r="AQ9" i="5"/>
  <c r="AS281" i="5"/>
  <c r="AQ281" i="5"/>
  <c r="AS161" i="5"/>
  <c r="AQ161" i="5"/>
  <c r="AS146" i="5"/>
  <c r="AS102" i="5"/>
  <c r="AS286" i="5"/>
  <c r="AQ286" i="5"/>
  <c r="AS278" i="5"/>
  <c r="AQ278" i="5"/>
  <c r="AS172" i="5"/>
  <c r="AQ172" i="5"/>
  <c r="AS119" i="5"/>
  <c r="AS108" i="5"/>
  <c r="AS107" i="5"/>
  <c r="AS106" i="5"/>
  <c r="AS95" i="5"/>
  <c r="AQ95" i="5"/>
  <c r="AS94" i="5"/>
  <c r="AQ94" i="5"/>
  <c r="AS93" i="5"/>
  <c r="AQ93" i="5"/>
  <c r="AS28" i="5"/>
  <c r="AQ28" i="5"/>
  <c r="AS284" i="5"/>
  <c r="AQ284" i="5"/>
  <c r="AS320" i="5"/>
  <c r="AQ320" i="5"/>
  <c r="AQ289" i="5"/>
  <c r="AS276" i="5"/>
  <c r="AQ276" i="5"/>
  <c r="AS285" i="5"/>
  <c r="AQ285" i="5"/>
  <c r="AQ92" i="5"/>
  <c r="AQ277" i="5"/>
  <c r="AS86" i="5"/>
  <c r="AQ86" i="5"/>
  <c r="AS283" i="5"/>
  <c r="AQ283" i="5"/>
  <c r="AS85" i="5"/>
  <c r="AQ85" i="5"/>
  <c r="AS84" i="5"/>
  <c r="AQ84" i="5"/>
  <c r="AS83" i="5"/>
  <c r="AQ83" i="5"/>
  <c r="AS82" i="5"/>
  <c r="AQ82" i="5"/>
  <c r="AS81" i="5"/>
  <c r="AQ81" i="5"/>
  <c r="AS232" i="5"/>
  <c r="AQ232" i="5"/>
  <c r="AS397" i="5"/>
  <c r="AQ397" i="5"/>
  <c r="AS222" i="5"/>
  <c r="AS199" i="5"/>
  <c r="AS171" i="5"/>
  <c r="AQ171" i="5"/>
  <c r="AS167" i="5"/>
  <c r="AQ167" i="5"/>
  <c r="AS152" i="5"/>
  <c r="AS135" i="5"/>
  <c r="AQ135" i="5"/>
  <c r="AS128" i="5"/>
  <c r="AS125" i="5"/>
  <c r="AQ125" i="5"/>
  <c r="AS78" i="5"/>
  <c r="AS75" i="5"/>
  <c r="AQ75" i="5"/>
  <c r="AS74" i="5"/>
  <c r="AQ74" i="5"/>
  <c r="AS73" i="5"/>
  <c r="AS2" i="5"/>
  <c r="AS72" i="5"/>
  <c r="AQ72" i="5"/>
  <c r="AQ288" i="5"/>
  <c r="AS268" i="5"/>
  <c r="AQ268" i="5"/>
  <c r="AQ20" i="5"/>
  <c r="AS115" i="5"/>
  <c r="AQ115" i="5"/>
  <c r="AS70" i="5"/>
  <c r="AQ70" i="5"/>
  <c r="AS266" i="5"/>
  <c r="AQ266" i="5"/>
  <c r="AQ224" i="5"/>
  <c r="AS351" i="5"/>
  <c r="AQ91" i="5"/>
  <c r="AS71" i="5"/>
  <c r="AQ71" i="5"/>
  <c r="AS68" i="5"/>
  <c r="AQ68" i="5"/>
  <c r="AS64" i="5"/>
  <c r="AQ64" i="5"/>
  <c r="AS48" i="5"/>
  <c r="AQ48" i="5"/>
  <c r="AS46" i="5"/>
  <c r="AQ46" i="5"/>
  <c r="AS122" i="5"/>
  <c r="AQ122" i="5"/>
  <c r="AS59" i="5"/>
  <c r="AQ59" i="5"/>
  <c r="AS57" i="5"/>
  <c r="AQ57" i="5"/>
  <c r="AS56" i="5"/>
  <c r="AQ56" i="5"/>
  <c r="AS280" i="5"/>
  <c r="AQ280" i="5"/>
  <c r="AS60" i="5"/>
  <c r="AQ60" i="5"/>
  <c r="AS55" i="5"/>
  <c r="AQ55" i="5"/>
  <c r="AS225" i="5"/>
  <c r="AQ177" i="5"/>
  <c r="AQ176" i="5"/>
  <c r="AS53" i="5"/>
  <c r="AQ53" i="5"/>
  <c r="AS52" i="5"/>
  <c r="AQ52" i="5"/>
  <c r="AS51" i="5"/>
  <c r="AQ51" i="5"/>
  <c r="AS50" i="5"/>
  <c r="AQ50" i="5"/>
  <c r="AS154" i="5"/>
  <c r="AQ154" i="5"/>
  <c r="AS45" i="5"/>
  <c r="AQ45" i="5"/>
  <c r="AS44" i="5"/>
  <c r="AQ44" i="5"/>
  <c r="AS43" i="5"/>
  <c r="AQ43" i="5"/>
  <c r="AS272" i="5"/>
  <c r="AQ272" i="5"/>
  <c r="AS271" i="5"/>
  <c r="AQ271" i="5"/>
  <c r="AS270" i="5"/>
  <c r="AQ270" i="5"/>
  <c r="AS267" i="5"/>
  <c r="AQ267" i="5"/>
  <c r="AS227" i="5"/>
  <c r="AQ227" i="5"/>
  <c r="AQ188" i="5"/>
  <c r="AQ156" i="5"/>
  <c r="AS121" i="5"/>
  <c r="AQ121" i="5"/>
  <c r="AS120" i="5"/>
  <c r="AQ120" i="5"/>
  <c r="AS63" i="5"/>
  <c r="AQ63" i="5"/>
  <c r="AS62" i="5"/>
  <c r="AQ62" i="5"/>
  <c r="AS49" i="5"/>
  <c r="AQ49" i="5"/>
  <c r="AS47" i="5"/>
  <c r="AQ47" i="5"/>
  <c r="AS42" i="5"/>
  <c r="AQ42" i="5"/>
  <c r="AS41" i="5"/>
  <c r="AQ41" i="5"/>
  <c r="AS40" i="5"/>
  <c r="AQ40" i="5"/>
  <c r="AS39" i="5"/>
  <c r="AQ39" i="5"/>
  <c r="AS38" i="5"/>
  <c r="AQ38" i="5"/>
  <c r="AQ244" i="5"/>
  <c r="AP244" i="5"/>
  <c r="AQ265" i="5"/>
  <c r="AP265" i="5"/>
  <c r="AQ260" i="5"/>
  <c r="AP260" i="5"/>
  <c r="AQ259" i="5"/>
  <c r="AP259" i="5"/>
  <c r="AQ257" i="5"/>
  <c r="AP257" i="5"/>
  <c r="AQ254" i="5"/>
  <c r="AP254" i="5"/>
  <c r="AQ253" i="5"/>
  <c r="AP253" i="5"/>
  <c r="AQ251" i="5"/>
  <c r="AP251" i="5"/>
  <c r="AQ250" i="5"/>
  <c r="AP250" i="5"/>
  <c r="AQ249" i="5"/>
  <c r="AP249" i="5"/>
  <c r="AQ247" i="5"/>
  <c r="AP247" i="5"/>
  <c r="AQ246" i="5"/>
  <c r="AP246" i="5"/>
  <c r="AQ243" i="5"/>
  <c r="AP243" i="5"/>
  <c r="AQ248" i="5"/>
  <c r="AP248" i="5"/>
  <c r="AQ242" i="5"/>
  <c r="AP242" i="5"/>
  <c r="AQ264" i="5"/>
  <c r="AP264" i="5"/>
  <c r="AQ263" i="5"/>
  <c r="AP263" i="5"/>
  <c r="AQ262" i="5"/>
  <c r="AP262" i="5"/>
  <c r="AQ261" i="5"/>
  <c r="AP261" i="5"/>
  <c r="AQ252" i="5"/>
  <c r="AP252" i="5"/>
  <c r="AQ245" i="5"/>
  <c r="AP245" i="5"/>
  <c r="AQ331" i="5"/>
  <c r="AQ306" i="5"/>
  <c r="AS149" i="5"/>
  <c r="AQ149" i="5"/>
  <c r="AS129" i="5"/>
  <c r="AS18" i="5"/>
  <c r="AS8" i="5"/>
  <c r="AS275" i="5"/>
  <c r="AQ275" i="5"/>
  <c r="AS29" i="5"/>
  <c r="AQ29" i="5"/>
  <c r="AS390" i="5"/>
  <c r="AQ390" i="5"/>
  <c r="AS12" i="5"/>
  <c r="AQ12" i="5"/>
  <c r="AS7" i="5"/>
  <c r="AS117" i="5"/>
  <c r="AQ117" i="5"/>
  <c r="AS139" i="5"/>
  <c r="AS77" i="5"/>
  <c r="AS195" i="5"/>
  <c r="AQ195" i="5"/>
  <c r="AS194" i="5"/>
  <c r="AQ194" i="5"/>
  <c r="AS189" i="5"/>
  <c r="AQ189" i="5"/>
  <c r="AS114" i="5"/>
  <c r="AQ114" i="5"/>
  <c r="AS137" i="5"/>
  <c r="AQ137" i="5"/>
  <c r="AQ32" i="5"/>
  <c r="AQ153" i="5"/>
  <c r="AQ151" i="5"/>
  <c r="AQ367" i="5"/>
  <c r="AS150" i="5"/>
  <c r="AQ136" i="5"/>
  <c r="AS124" i="5"/>
  <c r="AQ124" i="5"/>
  <c r="AS97" i="5"/>
  <c r="AQ97" i="5"/>
  <c r="AS67" i="5"/>
  <c r="AQ67" i="5"/>
  <c r="AS66" i="5"/>
  <c r="AQ66" i="5"/>
  <c r="AS65" i="5"/>
  <c r="AQ65" i="5"/>
  <c r="AS4" i="5"/>
  <c r="AQ4" i="5"/>
  <c r="AS3" i="5"/>
  <c r="AQ3" i="5"/>
  <c r="AS79" i="5"/>
  <c r="AQ54" i="5"/>
  <c r="AS130" i="5"/>
  <c r="AS127" i="5"/>
  <c r="AQ127" i="5"/>
  <c r="AS350" i="5"/>
  <c r="AS364" i="5"/>
  <c r="AQ364" i="5"/>
  <c r="AQ359" i="5"/>
  <c r="AS269" i="5"/>
  <c r="AQ269" i="5"/>
  <c r="AS21" i="5"/>
  <c r="AQ21" i="5"/>
  <c r="AS191" i="5"/>
  <c r="AQ191" i="5"/>
  <c r="AS190" i="5"/>
  <c r="AQ190" i="5"/>
  <c r="AS162" i="5"/>
  <c r="AQ162" i="5"/>
  <c r="AS366" i="5"/>
  <c r="AQ366" i="5"/>
  <c r="AS98" i="5"/>
  <c r="AQ98" i="5"/>
  <c r="AS96" i="5"/>
  <c r="AQ96" i="5"/>
  <c r="AS274" i="5"/>
  <c r="AQ274" i="5"/>
  <c r="AS258" i="5"/>
  <c r="AS223" i="5"/>
  <c r="AQ223" i="5"/>
  <c r="AS170" i="5"/>
  <c r="AQ170" i="5"/>
  <c r="AS109" i="5"/>
  <c r="AQ109" i="5"/>
  <c r="AQ61" i="5"/>
  <c r="AQ279" i="5"/>
  <c r="AS118" i="5"/>
  <c r="AQ118" i="5"/>
  <c r="AS158" i="5"/>
  <c r="AS132" i="5"/>
  <c r="AS88" i="5"/>
  <c r="AS140" i="5"/>
  <c r="AS112" i="5"/>
  <c r="AQ112" i="5"/>
  <c r="AT23" i="5"/>
  <c r="AV23" i="5"/>
  <c r="AT61" i="5"/>
  <c r="AV61" i="5"/>
  <c r="AT24" i="5"/>
  <c r="AV24" i="5"/>
  <c r="AT233" i="5"/>
  <c r="AV233" i="5"/>
  <c r="AT176" i="5"/>
  <c r="AV176" i="5"/>
  <c r="AT129" i="5"/>
  <c r="AV129" i="5"/>
  <c r="AT149" i="5"/>
  <c r="AV149" i="5"/>
  <c r="AT188" i="5"/>
  <c r="AV188" i="5"/>
  <c r="AT175" i="5"/>
  <c r="AV175" i="5"/>
  <c r="AT22" i="5"/>
  <c r="AV22" i="5"/>
  <c r="AT37" i="5"/>
  <c r="AV37" i="5"/>
  <c r="AL26" i="2"/>
  <c r="BE54" i="2"/>
  <c r="BE55" i="2"/>
  <c r="BE56" i="2"/>
  <c r="BE66" i="2"/>
  <c r="BF54" i="2"/>
  <c r="BF55" i="2"/>
  <c r="BF56" i="2"/>
  <c r="BF66" i="2"/>
  <c r="AW37" i="5"/>
  <c r="AW22" i="5"/>
  <c r="AW175" i="5"/>
  <c r="AW188" i="5"/>
  <c r="AW149" i="5"/>
  <c r="AW129" i="5"/>
  <c r="AW176" i="5"/>
  <c r="AW233" i="5"/>
  <c r="AW24" i="5"/>
  <c r="AW61" i="5"/>
  <c r="AW23" i="5"/>
  <c r="AX23" i="5"/>
  <c r="AX61" i="5"/>
  <c r="AX24" i="5"/>
  <c r="AX233" i="5"/>
  <c r="AX176" i="5"/>
  <c r="AX129" i="5"/>
  <c r="AX149" i="5"/>
  <c r="AX188" i="5"/>
  <c r="AX175" i="5"/>
  <c r="AX22" i="5"/>
  <c r="AX37" i="5"/>
  <c r="AZ37" i="5"/>
  <c r="AZ22" i="5"/>
  <c r="AZ175" i="5"/>
  <c r="AZ188" i="5"/>
  <c r="AZ149" i="5"/>
  <c r="AZ129" i="5"/>
  <c r="AZ176" i="5"/>
  <c r="AZ233" i="5"/>
  <c r="AZ24" i="5"/>
  <c r="AZ61" i="5"/>
  <c r="AZ23" i="5"/>
  <c r="J2" i="11"/>
  <c r="N2" i="11"/>
  <c r="J6" i="11"/>
  <c r="N6" i="11"/>
  <c r="J5" i="11"/>
  <c r="N5" i="11"/>
  <c r="J4" i="11"/>
  <c r="N4" i="11"/>
  <c r="J3" i="11"/>
  <c r="N3" i="11"/>
  <c r="J16" i="11"/>
  <c r="N16" i="11"/>
  <c r="J15" i="11"/>
  <c r="N15" i="11"/>
  <c r="W2" i="11"/>
  <c r="W25" i="11"/>
  <c r="W9" i="11"/>
  <c r="W8" i="11"/>
  <c r="W7" i="11"/>
  <c r="W16" i="11"/>
  <c r="W6" i="11"/>
  <c r="W15" i="11"/>
  <c r="W5" i="11"/>
  <c r="W4" i="11"/>
  <c r="W3" i="11"/>
  <c r="W13" i="11"/>
  <c r="J25" i="11"/>
  <c r="J9" i="11"/>
  <c r="J8" i="11"/>
  <c r="J7" i="11"/>
  <c r="J19" i="11"/>
  <c r="J13" i="11"/>
  <c r="V7" i="11"/>
  <c r="V16" i="11"/>
  <c r="V6" i="11"/>
  <c r="V19" i="11"/>
  <c r="V15" i="11"/>
  <c r="V5" i="11"/>
  <c r="V4" i="11"/>
  <c r="V3" i="11"/>
  <c r="V25" i="11"/>
  <c r="V9" i="11"/>
  <c r="V8" i="11"/>
  <c r="V2" i="11"/>
  <c r="V13" i="11"/>
  <c r="AM406" i="8"/>
  <c r="AY406" i="8"/>
  <c r="O406" i="8"/>
  <c r="AN406" i="8"/>
  <c r="AZ406" i="8"/>
  <c r="P406" i="8"/>
  <c r="AO406" i="8"/>
  <c r="BA406" i="8"/>
  <c r="Q406" i="8"/>
  <c r="B406" i="8"/>
  <c r="AO405" i="8"/>
  <c r="BA405" i="8"/>
  <c r="Q405" i="8"/>
  <c r="B405" i="8"/>
  <c r="AM404" i="8"/>
  <c r="AY404" i="8"/>
  <c r="O404" i="8"/>
  <c r="AN404" i="8"/>
  <c r="AZ404" i="8"/>
  <c r="P404" i="8"/>
  <c r="AO404" i="8"/>
  <c r="BA404" i="8"/>
  <c r="Q404" i="8"/>
  <c r="B404" i="8"/>
  <c r="AO37" i="8"/>
  <c r="BA37" i="8"/>
  <c r="Q37" i="8"/>
  <c r="B37" i="8"/>
  <c r="AM393" i="8"/>
  <c r="AY393" i="8"/>
  <c r="O393" i="8"/>
  <c r="AN393" i="8"/>
  <c r="AZ393" i="8"/>
  <c r="P393" i="8"/>
  <c r="AO393" i="8"/>
  <c r="BA393" i="8"/>
  <c r="Q393" i="8"/>
  <c r="B393" i="8"/>
  <c r="AM392" i="8"/>
  <c r="AY392" i="8"/>
  <c r="O392" i="8"/>
  <c r="AN392" i="8"/>
  <c r="AZ392" i="8"/>
  <c r="P392" i="8"/>
  <c r="AO392" i="8"/>
  <c r="BA392" i="8"/>
  <c r="Q392" i="8"/>
  <c r="B392" i="8"/>
  <c r="AM391" i="8"/>
  <c r="AY391" i="8"/>
  <c r="O391" i="8"/>
  <c r="AN391" i="8"/>
  <c r="AZ391" i="8"/>
  <c r="P391" i="8"/>
  <c r="AO391" i="8"/>
  <c r="BA391" i="8"/>
  <c r="Q391" i="8"/>
  <c r="B391" i="8"/>
  <c r="AM390" i="8"/>
  <c r="AY390" i="8"/>
  <c r="O390" i="8"/>
  <c r="AN390" i="8"/>
  <c r="AZ390" i="8"/>
  <c r="P390" i="8"/>
  <c r="AO390" i="8"/>
  <c r="BA390" i="8"/>
  <c r="Q390" i="8"/>
  <c r="B390" i="8"/>
  <c r="AM389" i="8"/>
  <c r="AY389" i="8"/>
  <c r="O389" i="8"/>
  <c r="AN389" i="8"/>
  <c r="AZ389" i="8"/>
  <c r="P389" i="8"/>
  <c r="AO389" i="8"/>
  <c r="BA389" i="8"/>
  <c r="Q389" i="8"/>
  <c r="B389" i="8"/>
  <c r="AM388" i="8"/>
  <c r="AY388" i="8"/>
  <c r="O388" i="8"/>
  <c r="AN388" i="8"/>
  <c r="AZ388" i="8"/>
  <c r="P388" i="8"/>
  <c r="AO388" i="8"/>
  <c r="BA388" i="8"/>
  <c r="Q388" i="8"/>
  <c r="B388" i="8"/>
  <c r="AM387" i="8"/>
  <c r="AY387" i="8"/>
  <c r="O387" i="8"/>
  <c r="AN387" i="8"/>
  <c r="AZ387" i="8"/>
  <c r="P387" i="8"/>
  <c r="AO387" i="8"/>
  <c r="BA387" i="8"/>
  <c r="Q387" i="8"/>
  <c r="B387" i="8"/>
  <c r="AM386" i="8"/>
  <c r="AY386" i="8"/>
  <c r="O386" i="8"/>
  <c r="AN386" i="8"/>
  <c r="AZ386" i="8"/>
  <c r="P386" i="8"/>
  <c r="AO386" i="8"/>
  <c r="BA386" i="8"/>
  <c r="Q386" i="8"/>
  <c r="B386" i="8"/>
  <c r="AM36" i="8"/>
  <c r="AY36" i="8"/>
  <c r="O36" i="8"/>
  <c r="AN36" i="8"/>
  <c r="AZ36" i="8"/>
  <c r="P36" i="8"/>
  <c r="AO36" i="8"/>
  <c r="BA36" i="8"/>
  <c r="Q36" i="8"/>
  <c r="B36" i="8"/>
  <c r="AM385" i="8"/>
  <c r="AY385" i="8"/>
  <c r="O385" i="8"/>
  <c r="AN385" i="8"/>
  <c r="AZ385" i="8"/>
  <c r="P385" i="8"/>
  <c r="AO385" i="8"/>
  <c r="BA385" i="8"/>
  <c r="Q385" i="8"/>
  <c r="B385" i="8"/>
  <c r="AM384" i="8"/>
  <c r="AY384" i="8"/>
  <c r="O384" i="8"/>
  <c r="AN384" i="8"/>
  <c r="AZ384" i="8"/>
  <c r="P384" i="8"/>
  <c r="AO384" i="8"/>
  <c r="BA384" i="8"/>
  <c r="Q384" i="8"/>
  <c r="B384" i="8"/>
  <c r="AM383" i="8"/>
  <c r="AY383" i="8"/>
  <c r="O383" i="8"/>
  <c r="AN383" i="8"/>
  <c r="AZ383" i="8"/>
  <c r="P383" i="8"/>
  <c r="AO383" i="8"/>
  <c r="BA383" i="8"/>
  <c r="Q383" i="8"/>
  <c r="B383" i="8"/>
  <c r="AM382" i="8"/>
  <c r="AY382" i="8"/>
  <c r="O382" i="8"/>
  <c r="AN382" i="8"/>
  <c r="AZ382" i="8"/>
  <c r="P382" i="8"/>
  <c r="AO382" i="8"/>
  <c r="BA382" i="8"/>
  <c r="Q382" i="8"/>
  <c r="B382" i="8"/>
  <c r="AM381" i="8"/>
  <c r="AY381" i="8"/>
  <c r="O381" i="8"/>
  <c r="AN381" i="8"/>
  <c r="AZ381" i="8"/>
  <c r="P381" i="8"/>
  <c r="AO381" i="8"/>
  <c r="BA381" i="8"/>
  <c r="Q381" i="8"/>
  <c r="B381" i="8"/>
  <c r="AM380" i="8"/>
  <c r="AY380" i="8"/>
  <c r="O380" i="8"/>
  <c r="AN380" i="8"/>
  <c r="AZ380" i="8"/>
  <c r="P380" i="8"/>
  <c r="AO380" i="8"/>
  <c r="BA380" i="8"/>
  <c r="Q380" i="8"/>
  <c r="B380" i="8"/>
  <c r="AM379" i="8"/>
  <c r="AY379" i="8"/>
  <c r="O379" i="8"/>
  <c r="AN379" i="8"/>
  <c r="AZ379" i="8"/>
  <c r="P379" i="8"/>
  <c r="AO379" i="8"/>
  <c r="BA379" i="8"/>
  <c r="Q379" i="8"/>
  <c r="B379" i="8"/>
  <c r="AM378" i="8"/>
  <c r="AY378" i="8"/>
  <c r="O378" i="8"/>
  <c r="AN378" i="8"/>
  <c r="AZ378" i="8"/>
  <c r="P378" i="8"/>
  <c r="AO378" i="8"/>
  <c r="BA378" i="8"/>
  <c r="Q378" i="8"/>
  <c r="B378" i="8"/>
  <c r="AM377" i="8"/>
  <c r="AY377" i="8"/>
  <c r="O377" i="8"/>
  <c r="AN377" i="8"/>
  <c r="AZ377" i="8"/>
  <c r="P377" i="8"/>
  <c r="AO377" i="8"/>
  <c r="BA377" i="8"/>
  <c r="Q377" i="8"/>
  <c r="B377" i="8"/>
  <c r="AM376" i="8"/>
  <c r="AY376" i="8"/>
  <c r="O376" i="8"/>
  <c r="AN376" i="8"/>
  <c r="AZ376" i="8"/>
  <c r="P376" i="8"/>
  <c r="AO376" i="8"/>
  <c r="BA376" i="8"/>
  <c r="Q376" i="8"/>
  <c r="B376" i="8"/>
  <c r="AM375" i="8"/>
  <c r="AY375" i="8"/>
  <c r="O375" i="8"/>
  <c r="AN375" i="8"/>
  <c r="AZ375" i="8"/>
  <c r="P375" i="8"/>
  <c r="AO375" i="8"/>
  <c r="BA375" i="8"/>
  <c r="Q375" i="8"/>
  <c r="B375" i="8"/>
  <c r="AM374" i="8"/>
  <c r="AY374" i="8"/>
  <c r="O374" i="8"/>
  <c r="AN374" i="8"/>
  <c r="AZ374" i="8"/>
  <c r="P374" i="8"/>
  <c r="AO374" i="8"/>
  <c r="BA374" i="8"/>
  <c r="Q374" i="8"/>
  <c r="B374" i="8"/>
  <c r="AM373" i="8"/>
  <c r="AY373" i="8"/>
  <c r="O373" i="8"/>
  <c r="AN373" i="8"/>
  <c r="AZ373" i="8"/>
  <c r="P373" i="8"/>
  <c r="B373" i="8"/>
  <c r="AM372" i="8"/>
  <c r="AY372" i="8"/>
  <c r="O372" i="8"/>
  <c r="AN372" i="8"/>
  <c r="AZ372" i="8"/>
  <c r="P372" i="8"/>
  <c r="AO372" i="8"/>
  <c r="BA372" i="8"/>
  <c r="Q372" i="8"/>
  <c r="B372" i="8"/>
  <c r="AM371" i="8"/>
  <c r="AY371" i="8"/>
  <c r="O371" i="8"/>
  <c r="AN371" i="8"/>
  <c r="AZ371" i="8"/>
  <c r="P371" i="8"/>
  <c r="AO371" i="8"/>
  <c r="BA371" i="8"/>
  <c r="Q371" i="8"/>
  <c r="B371" i="8"/>
  <c r="AM35" i="8"/>
  <c r="AY35" i="8"/>
  <c r="O35" i="8"/>
  <c r="AN35" i="8"/>
  <c r="AZ35" i="8"/>
  <c r="P35" i="8"/>
  <c r="AO35" i="8"/>
  <c r="BA35" i="8"/>
  <c r="Q35" i="8"/>
  <c r="B35" i="8"/>
  <c r="AM370" i="8"/>
  <c r="AY370" i="8"/>
  <c r="O370" i="8"/>
  <c r="AN370" i="8"/>
  <c r="AZ370" i="8"/>
  <c r="P370" i="8"/>
  <c r="AO370" i="8"/>
  <c r="BA370" i="8"/>
  <c r="Q370" i="8"/>
  <c r="B370" i="8"/>
  <c r="AM369" i="8"/>
  <c r="AY369" i="8"/>
  <c r="O369" i="8"/>
  <c r="AN369" i="8"/>
  <c r="AZ369" i="8"/>
  <c r="P369" i="8"/>
  <c r="AO369" i="8"/>
  <c r="BA369" i="8"/>
  <c r="Q369" i="8"/>
  <c r="B369" i="8"/>
  <c r="AM368" i="8"/>
  <c r="AY368" i="8"/>
  <c r="O368" i="8"/>
  <c r="AN368" i="8"/>
  <c r="AZ368" i="8"/>
  <c r="P368" i="8"/>
  <c r="AO368" i="8"/>
  <c r="BA368" i="8"/>
  <c r="Q368" i="8"/>
  <c r="B368" i="8"/>
  <c r="AM34" i="8"/>
  <c r="AY34" i="8"/>
  <c r="O34" i="8"/>
  <c r="AN34" i="8"/>
  <c r="AZ34" i="8"/>
  <c r="P34" i="8"/>
  <c r="AO34" i="8"/>
  <c r="BA34" i="8"/>
  <c r="Q34" i="8"/>
  <c r="B34" i="8"/>
  <c r="AM367" i="8"/>
  <c r="AY367" i="8"/>
  <c r="O367" i="8"/>
  <c r="AN367" i="8"/>
  <c r="AZ367" i="8"/>
  <c r="P367" i="8"/>
  <c r="AO367" i="8"/>
  <c r="BA367" i="8"/>
  <c r="Q367" i="8"/>
  <c r="B367" i="8"/>
  <c r="AM366" i="8"/>
  <c r="AY366" i="8"/>
  <c r="O366" i="8"/>
  <c r="AN366" i="8"/>
  <c r="AZ366" i="8"/>
  <c r="P366" i="8"/>
  <c r="AO366" i="8"/>
  <c r="BA366" i="8"/>
  <c r="Q366" i="8"/>
  <c r="B366" i="8"/>
  <c r="AM365" i="8"/>
  <c r="AY365" i="8"/>
  <c r="O365" i="8"/>
  <c r="AN365" i="8"/>
  <c r="AZ365" i="8"/>
  <c r="P365" i="8"/>
  <c r="AO365" i="8"/>
  <c r="BA365" i="8"/>
  <c r="Q365" i="8"/>
  <c r="B365" i="8"/>
  <c r="AM364" i="8"/>
  <c r="AY364" i="8"/>
  <c r="O364" i="8"/>
  <c r="AN364" i="8"/>
  <c r="AZ364" i="8"/>
  <c r="P364" i="8"/>
  <c r="AO364" i="8"/>
  <c r="BA364" i="8"/>
  <c r="Q364" i="8"/>
  <c r="B364" i="8"/>
  <c r="AM363" i="8"/>
  <c r="AY363" i="8"/>
  <c r="O363" i="8"/>
  <c r="AN363" i="8"/>
  <c r="AZ363" i="8"/>
  <c r="P363" i="8"/>
  <c r="AO363" i="8"/>
  <c r="BA363" i="8"/>
  <c r="Q363" i="8"/>
  <c r="B363" i="8"/>
  <c r="AM361" i="8"/>
  <c r="AY361" i="8"/>
  <c r="O361" i="8"/>
  <c r="AN361" i="8"/>
  <c r="AZ361" i="8"/>
  <c r="P361" i="8"/>
  <c r="AO361" i="8"/>
  <c r="BA361" i="8"/>
  <c r="Q361" i="8"/>
  <c r="B361" i="8"/>
  <c r="AM33" i="8"/>
  <c r="AY33" i="8"/>
  <c r="O33" i="8"/>
  <c r="AN33" i="8"/>
  <c r="AZ33" i="8"/>
  <c r="P33" i="8"/>
  <c r="AO33" i="8"/>
  <c r="BA33" i="8"/>
  <c r="Q33" i="8"/>
  <c r="B33" i="8"/>
  <c r="AM360" i="8"/>
  <c r="AY360" i="8"/>
  <c r="O360" i="8"/>
  <c r="AN360" i="8"/>
  <c r="AZ360" i="8"/>
  <c r="P360" i="8"/>
  <c r="AO360" i="8"/>
  <c r="BA360" i="8"/>
  <c r="Q360" i="8"/>
  <c r="B360" i="8"/>
  <c r="AM359" i="8"/>
  <c r="AY359" i="8"/>
  <c r="O359" i="8"/>
  <c r="AN359" i="8"/>
  <c r="AZ359" i="8"/>
  <c r="P359" i="8"/>
  <c r="AO359" i="8"/>
  <c r="BA359" i="8"/>
  <c r="Q359" i="8"/>
  <c r="B359" i="8"/>
  <c r="AM358" i="8"/>
  <c r="AY358" i="8"/>
  <c r="O358" i="8"/>
  <c r="AN358" i="8"/>
  <c r="AZ358" i="8"/>
  <c r="P358" i="8"/>
  <c r="AO358" i="8"/>
  <c r="BA358" i="8"/>
  <c r="Q358" i="8"/>
  <c r="B358" i="8"/>
  <c r="AM357" i="8"/>
  <c r="AY357" i="8"/>
  <c r="O357" i="8"/>
  <c r="AN357" i="8"/>
  <c r="AZ357" i="8"/>
  <c r="P357" i="8"/>
  <c r="AO357" i="8"/>
  <c r="BA357" i="8"/>
  <c r="Q357" i="8"/>
  <c r="B357" i="8"/>
  <c r="AM356" i="8"/>
  <c r="AY356" i="8"/>
  <c r="O356" i="8"/>
  <c r="AN356" i="8"/>
  <c r="AZ356" i="8"/>
  <c r="P356" i="8"/>
  <c r="AO356" i="8"/>
  <c r="BA356" i="8"/>
  <c r="Q356" i="8"/>
  <c r="B356" i="8"/>
  <c r="AM355" i="8"/>
  <c r="AY355" i="8"/>
  <c r="O355" i="8"/>
  <c r="AN355" i="8"/>
  <c r="AZ355" i="8"/>
  <c r="P355" i="8"/>
  <c r="AO355" i="8"/>
  <c r="BA355" i="8"/>
  <c r="Q355" i="8"/>
  <c r="B355" i="8"/>
  <c r="AM354" i="8"/>
  <c r="AY354" i="8"/>
  <c r="O354" i="8"/>
  <c r="AN354" i="8"/>
  <c r="AZ354" i="8"/>
  <c r="P354" i="8"/>
  <c r="AO354" i="8"/>
  <c r="BA354" i="8"/>
  <c r="Q354" i="8"/>
  <c r="B354" i="8"/>
  <c r="AM353" i="8"/>
  <c r="AY353" i="8"/>
  <c r="O353" i="8"/>
  <c r="AN353" i="8"/>
  <c r="AZ353" i="8"/>
  <c r="P353" i="8"/>
  <c r="AO353" i="8"/>
  <c r="BA353" i="8"/>
  <c r="Q353" i="8"/>
  <c r="B353" i="8"/>
  <c r="AM352" i="8"/>
  <c r="AY352" i="8"/>
  <c r="O352" i="8"/>
  <c r="AN352" i="8"/>
  <c r="AZ352" i="8"/>
  <c r="P352" i="8"/>
  <c r="AO352" i="8"/>
  <c r="BA352" i="8"/>
  <c r="Q352" i="8"/>
  <c r="B352" i="8"/>
  <c r="AM351" i="8"/>
  <c r="AY351" i="8"/>
  <c r="O351" i="8"/>
  <c r="AN351" i="8"/>
  <c r="AZ351" i="8"/>
  <c r="P351" i="8"/>
  <c r="AO351" i="8"/>
  <c r="BA351" i="8"/>
  <c r="Q351" i="8"/>
  <c r="B351" i="8"/>
  <c r="AM32" i="8"/>
  <c r="AY32" i="8"/>
  <c r="O32" i="8"/>
  <c r="AN32" i="8"/>
  <c r="AZ32" i="8"/>
  <c r="P32" i="8"/>
  <c r="AO32" i="8"/>
  <c r="BA32" i="8"/>
  <c r="Q32" i="8"/>
  <c r="B32" i="8"/>
  <c r="AM350" i="8"/>
  <c r="AY350" i="8"/>
  <c r="O350" i="8"/>
  <c r="AN350" i="8"/>
  <c r="AZ350" i="8"/>
  <c r="P350" i="8"/>
  <c r="AO350" i="8"/>
  <c r="BA350" i="8"/>
  <c r="Q350" i="8"/>
  <c r="B350" i="8"/>
  <c r="AM349" i="8"/>
  <c r="AY349" i="8"/>
  <c r="O349" i="8"/>
  <c r="AN349" i="8"/>
  <c r="AZ349" i="8"/>
  <c r="P349" i="8"/>
  <c r="AO349" i="8"/>
  <c r="BA349" i="8"/>
  <c r="Q349" i="8"/>
  <c r="B349" i="8"/>
  <c r="AM348" i="8"/>
  <c r="AY348" i="8"/>
  <c r="O348" i="8"/>
  <c r="AN348" i="8"/>
  <c r="AZ348" i="8"/>
  <c r="P348" i="8"/>
  <c r="AO348" i="8"/>
  <c r="BA348" i="8"/>
  <c r="Q348" i="8"/>
  <c r="B348" i="8"/>
  <c r="AM347" i="8"/>
  <c r="AY347" i="8"/>
  <c r="O347" i="8"/>
  <c r="AN347" i="8"/>
  <c r="AZ347" i="8"/>
  <c r="P347" i="8"/>
  <c r="AO347" i="8"/>
  <c r="BA347" i="8"/>
  <c r="Q347" i="8"/>
  <c r="B347" i="8"/>
  <c r="AM346" i="8"/>
  <c r="AY346" i="8"/>
  <c r="O346" i="8"/>
  <c r="AN346" i="8"/>
  <c r="AZ346" i="8"/>
  <c r="P346" i="8"/>
  <c r="AO346" i="8"/>
  <c r="BA346" i="8"/>
  <c r="Q346" i="8"/>
  <c r="B346" i="8"/>
  <c r="AM345" i="8"/>
  <c r="AY345" i="8"/>
  <c r="O345" i="8"/>
  <c r="AN345" i="8"/>
  <c r="AZ345" i="8"/>
  <c r="P345" i="8"/>
  <c r="AO345" i="8"/>
  <c r="BA345" i="8"/>
  <c r="Q345" i="8"/>
  <c r="B345" i="8"/>
  <c r="AM344" i="8"/>
  <c r="AY344" i="8"/>
  <c r="O344" i="8"/>
  <c r="AN344" i="8"/>
  <c r="AZ344" i="8"/>
  <c r="P344" i="8"/>
  <c r="AO344" i="8"/>
  <c r="BA344" i="8"/>
  <c r="Q344" i="8"/>
  <c r="B344" i="8"/>
  <c r="AM343" i="8"/>
  <c r="AY343" i="8"/>
  <c r="O343" i="8"/>
  <c r="AN343" i="8"/>
  <c r="AZ343" i="8"/>
  <c r="P343" i="8"/>
  <c r="AO343" i="8"/>
  <c r="BA343" i="8"/>
  <c r="Q343" i="8"/>
  <c r="B343" i="8"/>
  <c r="AM342" i="8"/>
  <c r="AY342" i="8"/>
  <c r="O342" i="8"/>
  <c r="AN342" i="8"/>
  <c r="AZ342" i="8"/>
  <c r="P342" i="8"/>
  <c r="AO342" i="8"/>
  <c r="BA342" i="8"/>
  <c r="Q342" i="8"/>
  <c r="B342" i="8"/>
  <c r="AM341" i="8"/>
  <c r="AY341" i="8"/>
  <c r="O341" i="8"/>
  <c r="AN341" i="8"/>
  <c r="AZ341" i="8"/>
  <c r="P341" i="8"/>
  <c r="AO341" i="8"/>
  <c r="BA341" i="8"/>
  <c r="Q341" i="8"/>
  <c r="B341" i="8"/>
  <c r="AM340" i="8"/>
  <c r="AY340" i="8"/>
  <c r="O340" i="8"/>
  <c r="AN340" i="8"/>
  <c r="AZ340" i="8"/>
  <c r="P340" i="8"/>
  <c r="AO340" i="8"/>
  <c r="BA340" i="8"/>
  <c r="Q340" i="8"/>
  <c r="B340" i="8"/>
  <c r="AM339" i="8"/>
  <c r="AY339" i="8"/>
  <c r="O339" i="8"/>
  <c r="AN339" i="8"/>
  <c r="AZ339" i="8"/>
  <c r="P339" i="8"/>
  <c r="AO339" i="8"/>
  <c r="BA339" i="8"/>
  <c r="Q339" i="8"/>
  <c r="B339" i="8"/>
  <c r="AO338" i="8"/>
  <c r="BA338" i="8"/>
  <c r="Q338" i="8"/>
  <c r="B338" i="8"/>
  <c r="AM337" i="8"/>
  <c r="AY337" i="8"/>
  <c r="O337" i="8"/>
  <c r="AN337" i="8"/>
  <c r="AZ337" i="8"/>
  <c r="P337" i="8"/>
  <c r="AO337" i="8"/>
  <c r="BA337" i="8"/>
  <c r="Q337" i="8"/>
  <c r="B337" i="8"/>
  <c r="AM336" i="8"/>
  <c r="AY336" i="8"/>
  <c r="O336" i="8"/>
  <c r="AN336" i="8"/>
  <c r="AZ336" i="8"/>
  <c r="P336" i="8"/>
  <c r="AO336" i="8"/>
  <c r="BA336" i="8"/>
  <c r="Q336" i="8"/>
  <c r="B336" i="8"/>
  <c r="AM335" i="8"/>
  <c r="AY335" i="8"/>
  <c r="O335" i="8"/>
  <c r="AN335" i="8"/>
  <c r="AZ335" i="8"/>
  <c r="P335" i="8"/>
  <c r="AO335" i="8"/>
  <c r="BA335" i="8"/>
  <c r="Q335" i="8"/>
  <c r="B335" i="8"/>
  <c r="AM334" i="8"/>
  <c r="AY334" i="8"/>
  <c r="O334" i="8"/>
  <c r="AN334" i="8"/>
  <c r="AZ334" i="8"/>
  <c r="P334" i="8"/>
  <c r="AO334" i="8"/>
  <c r="BA334" i="8"/>
  <c r="Q334" i="8"/>
  <c r="B334" i="8"/>
  <c r="AM333" i="8"/>
  <c r="AY333" i="8"/>
  <c r="O333" i="8"/>
  <c r="AN333" i="8"/>
  <c r="AZ333" i="8"/>
  <c r="P333" i="8"/>
  <c r="AO333" i="8"/>
  <c r="BA333" i="8"/>
  <c r="Q333" i="8"/>
  <c r="B333" i="8"/>
  <c r="AM332" i="8"/>
  <c r="AY332" i="8"/>
  <c r="O332" i="8"/>
  <c r="AN332" i="8"/>
  <c r="AZ332" i="8"/>
  <c r="P332" i="8"/>
  <c r="AO332" i="8"/>
  <c r="BA332" i="8"/>
  <c r="Q332" i="8"/>
  <c r="B332" i="8"/>
  <c r="AM31" i="8"/>
  <c r="AY31" i="8"/>
  <c r="O31" i="8"/>
  <c r="AN31" i="8"/>
  <c r="AZ31" i="8"/>
  <c r="P31" i="8"/>
  <c r="AO31" i="8"/>
  <c r="BA31" i="8"/>
  <c r="Q31" i="8"/>
  <c r="B31" i="8"/>
  <c r="AM331" i="8"/>
  <c r="AY331" i="8"/>
  <c r="O331" i="8"/>
  <c r="AN331" i="8"/>
  <c r="AZ331" i="8"/>
  <c r="P331" i="8"/>
  <c r="AO331" i="8"/>
  <c r="BA331" i="8"/>
  <c r="Q331" i="8"/>
  <c r="B331" i="8"/>
  <c r="AM330" i="8"/>
  <c r="AY330" i="8"/>
  <c r="O330" i="8"/>
  <c r="AN330" i="8"/>
  <c r="AZ330" i="8"/>
  <c r="P330" i="8"/>
  <c r="AO330" i="8"/>
  <c r="BA330" i="8"/>
  <c r="Q330" i="8"/>
  <c r="B330" i="8"/>
  <c r="AM329" i="8"/>
  <c r="AY329" i="8"/>
  <c r="O329" i="8"/>
  <c r="AN329" i="8"/>
  <c r="AZ329" i="8"/>
  <c r="P329" i="8"/>
  <c r="AO329" i="8"/>
  <c r="BA329" i="8"/>
  <c r="Q329" i="8"/>
  <c r="B329" i="8"/>
  <c r="AM328" i="8"/>
  <c r="AY328" i="8"/>
  <c r="O328" i="8"/>
  <c r="AN328" i="8"/>
  <c r="AZ328" i="8"/>
  <c r="P328" i="8"/>
  <c r="AO328" i="8"/>
  <c r="BA328" i="8"/>
  <c r="Q328" i="8"/>
  <c r="B328" i="8"/>
  <c r="AM327" i="8"/>
  <c r="AY327" i="8"/>
  <c r="O327" i="8"/>
  <c r="AN327" i="8"/>
  <c r="AZ327" i="8"/>
  <c r="P327" i="8"/>
  <c r="AO327" i="8"/>
  <c r="BA327" i="8"/>
  <c r="Q327" i="8"/>
  <c r="B327" i="8"/>
  <c r="AM30" i="8"/>
  <c r="AY30" i="8"/>
  <c r="O30" i="8"/>
  <c r="AN30" i="8"/>
  <c r="AZ30" i="8"/>
  <c r="P30" i="8"/>
  <c r="AO30" i="8"/>
  <c r="BA30" i="8"/>
  <c r="Q30" i="8"/>
  <c r="B30" i="8"/>
  <c r="AM326" i="8"/>
  <c r="AY326" i="8"/>
  <c r="O326" i="8"/>
  <c r="AN326" i="8"/>
  <c r="AZ326" i="8"/>
  <c r="P326" i="8"/>
  <c r="AO326" i="8"/>
  <c r="BA326" i="8"/>
  <c r="Q326" i="8"/>
  <c r="B326" i="8"/>
  <c r="AM325" i="8"/>
  <c r="AY325" i="8"/>
  <c r="O325" i="8"/>
  <c r="AN325" i="8"/>
  <c r="AZ325" i="8"/>
  <c r="P325" i="8"/>
  <c r="AO325" i="8"/>
  <c r="BA325" i="8"/>
  <c r="Q325" i="8"/>
  <c r="B325" i="8"/>
  <c r="AM324" i="8"/>
  <c r="AY324" i="8"/>
  <c r="O324" i="8"/>
  <c r="AN324" i="8"/>
  <c r="AZ324" i="8"/>
  <c r="P324" i="8"/>
  <c r="AO324" i="8"/>
  <c r="BA324" i="8"/>
  <c r="Q324" i="8"/>
  <c r="B324" i="8"/>
  <c r="AM323" i="8"/>
  <c r="AY323" i="8"/>
  <c r="O323" i="8"/>
  <c r="AN323" i="8"/>
  <c r="AZ323" i="8"/>
  <c r="P323" i="8"/>
  <c r="AO323" i="8"/>
  <c r="BA323" i="8"/>
  <c r="Q323" i="8"/>
  <c r="B323" i="8"/>
  <c r="AM322" i="8"/>
  <c r="AY322" i="8"/>
  <c r="O322" i="8"/>
  <c r="AN322" i="8"/>
  <c r="AZ322" i="8"/>
  <c r="P322" i="8"/>
  <c r="AO322" i="8"/>
  <c r="BA322" i="8"/>
  <c r="Q322" i="8"/>
  <c r="B322" i="8"/>
  <c r="AM321" i="8"/>
  <c r="AY321" i="8"/>
  <c r="O321" i="8"/>
  <c r="AN321" i="8"/>
  <c r="AZ321" i="8"/>
  <c r="P321" i="8"/>
  <c r="AO321" i="8"/>
  <c r="BA321" i="8"/>
  <c r="Q321" i="8"/>
  <c r="B321" i="8"/>
  <c r="AM320" i="8"/>
  <c r="AY320" i="8"/>
  <c r="O320" i="8"/>
  <c r="AN320" i="8"/>
  <c r="AZ320" i="8"/>
  <c r="P320" i="8"/>
  <c r="AO320" i="8"/>
  <c r="BA320" i="8"/>
  <c r="Q320" i="8"/>
  <c r="B320" i="8"/>
  <c r="AM319" i="8"/>
  <c r="AY319" i="8"/>
  <c r="O319" i="8"/>
  <c r="AN319" i="8"/>
  <c r="AZ319" i="8"/>
  <c r="P319" i="8"/>
  <c r="AO319" i="8"/>
  <c r="BA319" i="8"/>
  <c r="Q319" i="8"/>
  <c r="B319" i="8"/>
  <c r="AM318" i="8"/>
  <c r="AY318" i="8"/>
  <c r="O318" i="8"/>
  <c r="AN318" i="8"/>
  <c r="AZ318" i="8"/>
  <c r="P318" i="8"/>
  <c r="AO318" i="8"/>
  <c r="BA318" i="8"/>
  <c r="Q318" i="8"/>
  <c r="B318" i="8"/>
  <c r="AM317" i="8"/>
  <c r="AY317" i="8"/>
  <c r="O317" i="8"/>
  <c r="AN317" i="8"/>
  <c r="AZ317" i="8"/>
  <c r="P317" i="8"/>
  <c r="AO317" i="8"/>
  <c r="BA317" i="8"/>
  <c r="Q317" i="8"/>
  <c r="B317" i="8"/>
  <c r="AM316" i="8"/>
  <c r="AY316" i="8"/>
  <c r="O316" i="8"/>
  <c r="AN316" i="8"/>
  <c r="AZ316" i="8"/>
  <c r="P316" i="8"/>
  <c r="B316" i="8"/>
  <c r="AM315" i="8"/>
  <c r="AY315" i="8"/>
  <c r="O315" i="8"/>
  <c r="AN315" i="8"/>
  <c r="AZ315" i="8"/>
  <c r="P315" i="8"/>
  <c r="AO315" i="8"/>
  <c r="BA315" i="8"/>
  <c r="Q315" i="8"/>
  <c r="B315" i="8"/>
  <c r="AM314" i="8"/>
  <c r="AY314" i="8"/>
  <c r="O314" i="8"/>
  <c r="AN314" i="8"/>
  <c r="AZ314" i="8"/>
  <c r="P314" i="8"/>
  <c r="AO314" i="8"/>
  <c r="BA314" i="8"/>
  <c r="Q314" i="8"/>
  <c r="B314" i="8"/>
  <c r="AM313" i="8"/>
  <c r="AY313" i="8"/>
  <c r="O313" i="8"/>
  <c r="AN313" i="8"/>
  <c r="AZ313" i="8"/>
  <c r="P313" i="8"/>
  <c r="AO313" i="8"/>
  <c r="BA313" i="8"/>
  <c r="Q313" i="8"/>
  <c r="B313" i="8"/>
  <c r="AM312" i="8"/>
  <c r="AY312" i="8"/>
  <c r="O312" i="8"/>
  <c r="AN312" i="8"/>
  <c r="AZ312" i="8"/>
  <c r="P312" i="8"/>
  <c r="B312" i="8"/>
  <c r="AM311" i="8"/>
  <c r="AY311" i="8"/>
  <c r="O311" i="8"/>
  <c r="AN311" i="8"/>
  <c r="AZ311" i="8"/>
  <c r="P311" i="8"/>
  <c r="AO311" i="8"/>
  <c r="BA311" i="8"/>
  <c r="Q311" i="8"/>
  <c r="B311" i="8"/>
  <c r="AM310" i="8"/>
  <c r="AY310" i="8"/>
  <c r="O310" i="8"/>
  <c r="AN310" i="8"/>
  <c r="AZ310" i="8"/>
  <c r="P310" i="8"/>
  <c r="AO310" i="8"/>
  <c r="BA310" i="8"/>
  <c r="Q310" i="8"/>
  <c r="B310" i="8"/>
  <c r="AO309" i="8"/>
  <c r="BA309" i="8"/>
  <c r="Q309" i="8"/>
  <c r="B309" i="8"/>
  <c r="AM308" i="8"/>
  <c r="AY308" i="8"/>
  <c r="O308" i="8"/>
  <c r="AN308" i="8"/>
  <c r="AZ308" i="8"/>
  <c r="P308" i="8"/>
  <c r="AO308" i="8"/>
  <c r="BA308" i="8"/>
  <c r="Q308" i="8"/>
  <c r="B308" i="8"/>
  <c r="AM307" i="8"/>
  <c r="AY307" i="8"/>
  <c r="O307" i="8"/>
  <c r="AN307" i="8"/>
  <c r="AZ307" i="8"/>
  <c r="P307" i="8"/>
  <c r="AO307" i="8"/>
  <c r="BA307" i="8"/>
  <c r="Q307" i="8"/>
  <c r="B307" i="8"/>
  <c r="AM306" i="8"/>
  <c r="AY306" i="8"/>
  <c r="O306" i="8"/>
  <c r="AN306" i="8"/>
  <c r="AZ306" i="8"/>
  <c r="P306" i="8"/>
  <c r="AO306" i="8"/>
  <c r="BA306" i="8"/>
  <c r="Q306" i="8"/>
  <c r="B306" i="8"/>
  <c r="AM305" i="8"/>
  <c r="AY305" i="8"/>
  <c r="O305" i="8"/>
  <c r="AN305" i="8"/>
  <c r="AZ305" i="8"/>
  <c r="P305" i="8"/>
  <c r="AO305" i="8"/>
  <c r="BA305" i="8"/>
  <c r="Q305" i="8"/>
  <c r="B305" i="8"/>
  <c r="AM304" i="8"/>
  <c r="AY304" i="8"/>
  <c r="O304" i="8"/>
  <c r="AN304" i="8"/>
  <c r="AZ304" i="8"/>
  <c r="P304" i="8"/>
  <c r="AO304" i="8"/>
  <c r="BA304" i="8"/>
  <c r="Q304" i="8"/>
  <c r="B304" i="8"/>
  <c r="AM303" i="8"/>
  <c r="AY303" i="8"/>
  <c r="O303" i="8"/>
  <c r="AN303" i="8"/>
  <c r="AZ303" i="8"/>
  <c r="P303" i="8"/>
  <c r="AO303" i="8"/>
  <c r="BA303" i="8"/>
  <c r="Q303" i="8"/>
  <c r="B303" i="8"/>
  <c r="AM29" i="8"/>
  <c r="AY29" i="8"/>
  <c r="O29" i="8"/>
  <c r="AN29" i="8"/>
  <c r="AZ29" i="8"/>
  <c r="P29" i="8"/>
  <c r="AO29" i="8"/>
  <c r="BA29" i="8"/>
  <c r="Q29" i="8"/>
  <c r="B29" i="8"/>
  <c r="AM302" i="8"/>
  <c r="AY302" i="8"/>
  <c r="O302" i="8"/>
  <c r="AN302" i="8"/>
  <c r="AZ302" i="8"/>
  <c r="P302" i="8"/>
  <c r="AO302" i="8"/>
  <c r="BA302" i="8"/>
  <c r="Q302" i="8"/>
  <c r="B302" i="8"/>
  <c r="AM301" i="8"/>
  <c r="AY301" i="8"/>
  <c r="O301" i="8"/>
  <c r="AN301" i="8"/>
  <c r="AZ301" i="8"/>
  <c r="P301" i="8"/>
  <c r="AO301" i="8"/>
  <c r="BA301" i="8"/>
  <c r="Q301" i="8"/>
  <c r="B301" i="8"/>
  <c r="AM300" i="8"/>
  <c r="AY300" i="8"/>
  <c r="O300" i="8"/>
  <c r="AN300" i="8"/>
  <c r="AZ300" i="8"/>
  <c r="P300" i="8"/>
  <c r="AO300" i="8"/>
  <c r="BA300" i="8"/>
  <c r="Q300" i="8"/>
  <c r="B300" i="8"/>
  <c r="AM299" i="8"/>
  <c r="AY299" i="8"/>
  <c r="O299" i="8"/>
  <c r="AN299" i="8"/>
  <c r="AZ299" i="8"/>
  <c r="P299" i="8"/>
  <c r="AO299" i="8"/>
  <c r="BA299" i="8"/>
  <c r="Q299" i="8"/>
  <c r="B299" i="8"/>
  <c r="AM298" i="8"/>
  <c r="AY298" i="8"/>
  <c r="O298" i="8"/>
  <c r="AN298" i="8"/>
  <c r="AZ298" i="8"/>
  <c r="P298" i="8"/>
  <c r="AO298" i="8"/>
  <c r="BA298" i="8"/>
  <c r="Q298" i="8"/>
  <c r="B298" i="8"/>
  <c r="AM297" i="8"/>
  <c r="AY297" i="8"/>
  <c r="O297" i="8"/>
  <c r="AN297" i="8"/>
  <c r="AZ297" i="8"/>
  <c r="P297" i="8"/>
  <c r="AO297" i="8"/>
  <c r="BA297" i="8"/>
  <c r="Q297" i="8"/>
  <c r="B297" i="8"/>
  <c r="AM296" i="8"/>
  <c r="AY296" i="8"/>
  <c r="O296" i="8"/>
  <c r="AN296" i="8"/>
  <c r="AZ296" i="8"/>
  <c r="P296" i="8"/>
  <c r="AO296" i="8"/>
  <c r="BA296" i="8"/>
  <c r="Q296" i="8"/>
  <c r="B296" i="8"/>
  <c r="AM295" i="8"/>
  <c r="AY295" i="8"/>
  <c r="O295" i="8"/>
  <c r="AN295" i="8"/>
  <c r="AZ295" i="8"/>
  <c r="P295" i="8"/>
  <c r="AO295" i="8"/>
  <c r="BA295" i="8"/>
  <c r="Q295" i="8"/>
  <c r="B295" i="8"/>
  <c r="AM294" i="8"/>
  <c r="AY294" i="8"/>
  <c r="O294" i="8"/>
  <c r="AN294" i="8"/>
  <c r="AZ294" i="8"/>
  <c r="P294" i="8"/>
  <c r="AO294" i="8"/>
  <c r="BA294" i="8"/>
  <c r="Q294" i="8"/>
  <c r="B294" i="8"/>
  <c r="AM293" i="8"/>
  <c r="AY293" i="8"/>
  <c r="O293" i="8"/>
  <c r="AN293" i="8"/>
  <c r="AZ293" i="8"/>
  <c r="P293" i="8"/>
  <c r="AO293" i="8"/>
  <c r="BA293" i="8"/>
  <c r="Q293" i="8"/>
  <c r="B293" i="8"/>
  <c r="AO292" i="8"/>
  <c r="BA292" i="8"/>
  <c r="Q292" i="8"/>
  <c r="B292" i="8"/>
  <c r="AM291" i="8"/>
  <c r="AY291" i="8"/>
  <c r="O291" i="8"/>
  <c r="AN291" i="8"/>
  <c r="AZ291" i="8"/>
  <c r="P291" i="8"/>
  <c r="AO291" i="8"/>
  <c r="BA291" i="8"/>
  <c r="Q291" i="8"/>
  <c r="B291" i="8"/>
  <c r="AM290" i="8"/>
  <c r="AY290" i="8"/>
  <c r="O290" i="8"/>
  <c r="AN290" i="8"/>
  <c r="AZ290" i="8"/>
  <c r="P290" i="8"/>
  <c r="AO290" i="8"/>
  <c r="BA290" i="8"/>
  <c r="Q290" i="8"/>
  <c r="B290" i="8"/>
  <c r="AM289" i="8"/>
  <c r="AY289" i="8"/>
  <c r="O289" i="8"/>
  <c r="AN289" i="8"/>
  <c r="AZ289" i="8"/>
  <c r="P289" i="8"/>
  <c r="AO289" i="8"/>
  <c r="BA289" i="8"/>
  <c r="Q289" i="8"/>
  <c r="B289" i="8"/>
  <c r="AM288" i="8"/>
  <c r="AY288" i="8"/>
  <c r="O288" i="8"/>
  <c r="AN288" i="8"/>
  <c r="AZ288" i="8"/>
  <c r="P288" i="8"/>
  <c r="AO288" i="8"/>
  <c r="BA288" i="8"/>
  <c r="Q288" i="8"/>
  <c r="B288" i="8"/>
  <c r="AM287" i="8"/>
  <c r="AY287" i="8"/>
  <c r="O287" i="8"/>
  <c r="AN287" i="8"/>
  <c r="AZ287" i="8"/>
  <c r="P287" i="8"/>
  <c r="B287" i="8"/>
  <c r="AM28" i="8"/>
  <c r="AY28" i="8"/>
  <c r="O28" i="8"/>
  <c r="AN28" i="8"/>
  <c r="AZ28" i="8"/>
  <c r="P28" i="8"/>
  <c r="AO28" i="8"/>
  <c r="BA28" i="8"/>
  <c r="Q28" i="8"/>
  <c r="B28" i="8"/>
  <c r="AM286" i="8"/>
  <c r="AY286" i="8"/>
  <c r="O286" i="8"/>
  <c r="AN286" i="8"/>
  <c r="AZ286" i="8"/>
  <c r="P286" i="8"/>
  <c r="AO286" i="8"/>
  <c r="BA286" i="8"/>
  <c r="Q286" i="8"/>
  <c r="B286" i="8"/>
  <c r="AM285" i="8"/>
  <c r="AY285" i="8"/>
  <c r="O285" i="8"/>
  <c r="AN285" i="8"/>
  <c r="AZ285" i="8"/>
  <c r="P285" i="8"/>
  <c r="AO285" i="8"/>
  <c r="BA285" i="8"/>
  <c r="Q285" i="8"/>
  <c r="B285" i="8"/>
  <c r="AM284" i="8"/>
  <c r="AY284" i="8"/>
  <c r="O284" i="8"/>
  <c r="AN284" i="8"/>
  <c r="AZ284" i="8"/>
  <c r="P284" i="8"/>
  <c r="AO284" i="8"/>
  <c r="BA284" i="8"/>
  <c r="Q284" i="8"/>
  <c r="B284" i="8"/>
  <c r="AM283" i="8"/>
  <c r="AY283" i="8"/>
  <c r="O283" i="8"/>
  <c r="AN283" i="8"/>
  <c r="AZ283" i="8"/>
  <c r="P283" i="8"/>
  <c r="AO283" i="8"/>
  <c r="BA283" i="8"/>
  <c r="Q283" i="8"/>
  <c r="B283" i="8"/>
  <c r="AM282" i="8"/>
  <c r="AY282" i="8"/>
  <c r="O282" i="8"/>
  <c r="AN282" i="8"/>
  <c r="AZ282" i="8"/>
  <c r="P282" i="8"/>
  <c r="AO282" i="8"/>
  <c r="BA282" i="8"/>
  <c r="Q282" i="8"/>
  <c r="B282" i="8"/>
  <c r="AM281" i="8"/>
  <c r="AY281" i="8"/>
  <c r="O281" i="8"/>
  <c r="AN281" i="8"/>
  <c r="AZ281" i="8"/>
  <c r="P281" i="8"/>
  <c r="AO281" i="8"/>
  <c r="BA281" i="8"/>
  <c r="Q281" i="8"/>
  <c r="B281" i="8"/>
  <c r="AM280" i="8"/>
  <c r="AY280" i="8"/>
  <c r="O280" i="8"/>
  <c r="AN280" i="8"/>
  <c r="AZ280" i="8"/>
  <c r="P280" i="8"/>
  <c r="AO280" i="8"/>
  <c r="BA280" i="8"/>
  <c r="Q280" i="8"/>
  <c r="B280" i="8"/>
  <c r="AM279" i="8"/>
  <c r="AY279" i="8"/>
  <c r="O279" i="8"/>
  <c r="AN279" i="8"/>
  <c r="AZ279" i="8"/>
  <c r="P279" i="8"/>
  <c r="AO279" i="8"/>
  <c r="BA279" i="8"/>
  <c r="Q279" i="8"/>
  <c r="B279" i="8"/>
  <c r="AM278" i="8"/>
  <c r="AY278" i="8"/>
  <c r="O278" i="8"/>
  <c r="AN278" i="8"/>
  <c r="AZ278" i="8"/>
  <c r="P278" i="8"/>
  <c r="AO278" i="8"/>
  <c r="BA278" i="8"/>
  <c r="Q278" i="8"/>
  <c r="B278" i="8"/>
  <c r="AM277" i="8"/>
  <c r="AY277" i="8"/>
  <c r="O277" i="8"/>
  <c r="AN277" i="8"/>
  <c r="AZ277" i="8"/>
  <c r="P277" i="8"/>
  <c r="AO277" i="8"/>
  <c r="BA277" i="8"/>
  <c r="Q277" i="8"/>
  <c r="B277" i="8"/>
  <c r="AM276" i="8"/>
  <c r="AY276" i="8"/>
  <c r="O276" i="8"/>
  <c r="AN276" i="8"/>
  <c r="AZ276" i="8"/>
  <c r="P276" i="8"/>
  <c r="AO276" i="8"/>
  <c r="BA276" i="8"/>
  <c r="Q276" i="8"/>
  <c r="B276" i="8"/>
  <c r="AM275" i="8"/>
  <c r="AY275" i="8"/>
  <c r="O275" i="8"/>
  <c r="AN275" i="8"/>
  <c r="AZ275" i="8"/>
  <c r="P275" i="8"/>
  <c r="AO275" i="8"/>
  <c r="BA275" i="8"/>
  <c r="Q275" i="8"/>
  <c r="B275" i="8"/>
  <c r="AM274" i="8"/>
  <c r="AY274" i="8"/>
  <c r="O274" i="8"/>
  <c r="AN274" i="8"/>
  <c r="AZ274" i="8"/>
  <c r="P274" i="8"/>
  <c r="AO274" i="8"/>
  <c r="BA274" i="8"/>
  <c r="Q274" i="8"/>
  <c r="B274" i="8"/>
  <c r="AM27" i="8"/>
  <c r="AY27" i="8"/>
  <c r="O27" i="8"/>
  <c r="AN27" i="8"/>
  <c r="AZ27" i="8"/>
  <c r="P27" i="8"/>
  <c r="AO27" i="8"/>
  <c r="BA27" i="8"/>
  <c r="Q27" i="8"/>
  <c r="B27" i="8"/>
  <c r="AM273" i="8"/>
  <c r="AY273" i="8"/>
  <c r="O273" i="8"/>
  <c r="AN273" i="8"/>
  <c r="AZ273" i="8"/>
  <c r="P273" i="8"/>
  <c r="AO273" i="8"/>
  <c r="BA273" i="8"/>
  <c r="Q273" i="8"/>
  <c r="B273" i="8"/>
  <c r="AM272" i="8"/>
  <c r="AY272" i="8"/>
  <c r="O272" i="8"/>
  <c r="AN272" i="8"/>
  <c r="AZ272" i="8"/>
  <c r="P272" i="8"/>
  <c r="AO272" i="8"/>
  <c r="BA272" i="8"/>
  <c r="Q272" i="8"/>
  <c r="B272" i="8"/>
  <c r="AM271" i="8"/>
  <c r="AY271" i="8"/>
  <c r="O271" i="8"/>
  <c r="AN271" i="8"/>
  <c r="AZ271" i="8"/>
  <c r="P271" i="8"/>
  <c r="AO271" i="8"/>
  <c r="BA271" i="8"/>
  <c r="Q271" i="8"/>
  <c r="B271" i="8"/>
  <c r="AM270" i="8"/>
  <c r="AY270" i="8"/>
  <c r="O270" i="8"/>
  <c r="AN270" i="8"/>
  <c r="AZ270" i="8"/>
  <c r="P270" i="8"/>
  <c r="AO270" i="8"/>
  <c r="BA270" i="8"/>
  <c r="Q270" i="8"/>
  <c r="B270" i="8"/>
  <c r="AM269" i="8"/>
  <c r="AY269" i="8"/>
  <c r="O269" i="8"/>
  <c r="AN269" i="8"/>
  <c r="AZ269" i="8"/>
  <c r="P269" i="8"/>
  <c r="AO269" i="8"/>
  <c r="BA269" i="8"/>
  <c r="Q269" i="8"/>
  <c r="B269" i="8"/>
  <c r="AO268" i="8"/>
  <c r="BA268" i="8"/>
  <c r="Q268" i="8"/>
  <c r="B268" i="8"/>
  <c r="AM267" i="8"/>
  <c r="AY267" i="8"/>
  <c r="O267" i="8"/>
  <c r="AN267" i="8"/>
  <c r="AZ267" i="8"/>
  <c r="P267" i="8"/>
  <c r="AO267" i="8"/>
  <c r="BA267" i="8"/>
  <c r="Q267" i="8"/>
  <c r="B267" i="8"/>
  <c r="AM266" i="8"/>
  <c r="AY266" i="8"/>
  <c r="O266" i="8"/>
  <c r="AN266" i="8"/>
  <c r="AZ266" i="8"/>
  <c r="P266" i="8"/>
  <c r="AO266" i="8"/>
  <c r="BA266" i="8"/>
  <c r="Q266" i="8"/>
  <c r="B266" i="8"/>
  <c r="AM265" i="8"/>
  <c r="AY265" i="8"/>
  <c r="O265" i="8"/>
  <c r="AN265" i="8"/>
  <c r="AZ265" i="8"/>
  <c r="P265" i="8"/>
  <c r="AO265" i="8"/>
  <c r="BA265" i="8"/>
  <c r="Q265" i="8"/>
  <c r="B265" i="8"/>
  <c r="AM264" i="8"/>
  <c r="AY264" i="8"/>
  <c r="O264" i="8"/>
  <c r="AN264" i="8"/>
  <c r="AZ264" i="8"/>
  <c r="P264" i="8"/>
  <c r="AO264" i="8"/>
  <c r="BA264" i="8"/>
  <c r="Q264" i="8"/>
  <c r="B264" i="8"/>
  <c r="AM26" i="8"/>
  <c r="AY26" i="8"/>
  <c r="O26" i="8"/>
  <c r="AN26" i="8"/>
  <c r="AZ26" i="8"/>
  <c r="P26" i="8"/>
  <c r="AO26" i="8"/>
  <c r="BA26" i="8"/>
  <c r="Q26" i="8"/>
  <c r="B26" i="8"/>
  <c r="AM263" i="8"/>
  <c r="AY263" i="8"/>
  <c r="O263" i="8"/>
  <c r="AN263" i="8"/>
  <c r="AZ263" i="8"/>
  <c r="P263" i="8"/>
  <c r="AO263" i="8"/>
  <c r="BA263" i="8"/>
  <c r="Q263" i="8"/>
  <c r="B263" i="8"/>
  <c r="AM262" i="8"/>
  <c r="AY262" i="8"/>
  <c r="O262" i="8"/>
  <c r="AN262" i="8"/>
  <c r="AZ262" i="8"/>
  <c r="P262" i="8"/>
  <c r="AO262" i="8"/>
  <c r="BA262" i="8"/>
  <c r="Q262" i="8"/>
  <c r="B262" i="8"/>
  <c r="AM261" i="8"/>
  <c r="AY261" i="8"/>
  <c r="O261" i="8"/>
  <c r="AN261" i="8"/>
  <c r="AZ261" i="8"/>
  <c r="P261" i="8"/>
  <c r="AO261" i="8"/>
  <c r="BA261" i="8"/>
  <c r="Q261" i="8"/>
  <c r="B261" i="8"/>
  <c r="AM260" i="8"/>
  <c r="AY260" i="8"/>
  <c r="O260" i="8"/>
  <c r="AN260" i="8"/>
  <c r="AZ260" i="8"/>
  <c r="P260" i="8"/>
  <c r="AO260" i="8"/>
  <c r="BA260" i="8"/>
  <c r="Q260" i="8"/>
  <c r="B260" i="8"/>
  <c r="AM259" i="8"/>
  <c r="AY259" i="8"/>
  <c r="O259" i="8"/>
  <c r="AN259" i="8"/>
  <c r="AZ259" i="8"/>
  <c r="P259" i="8"/>
  <c r="AO259" i="8"/>
  <c r="BA259" i="8"/>
  <c r="Q259" i="8"/>
  <c r="B259" i="8"/>
  <c r="AM25" i="8"/>
  <c r="AY25" i="8"/>
  <c r="O25" i="8"/>
  <c r="AN25" i="8"/>
  <c r="AZ25" i="8"/>
  <c r="P25" i="8"/>
  <c r="AO25" i="8"/>
  <c r="BA25" i="8"/>
  <c r="Q25" i="8"/>
  <c r="B25" i="8"/>
  <c r="AM258" i="8"/>
  <c r="AY258" i="8"/>
  <c r="O258" i="8"/>
  <c r="AN258" i="8"/>
  <c r="AZ258" i="8"/>
  <c r="P258" i="8"/>
  <c r="AO258" i="8"/>
  <c r="BA258" i="8"/>
  <c r="Q258" i="8"/>
  <c r="B258" i="8"/>
  <c r="AM257" i="8"/>
  <c r="AY257" i="8"/>
  <c r="O257" i="8"/>
  <c r="AN257" i="8"/>
  <c r="AZ257" i="8"/>
  <c r="P257" i="8"/>
  <c r="AO257" i="8"/>
  <c r="BA257" i="8"/>
  <c r="Q257" i="8"/>
  <c r="B257" i="8"/>
  <c r="AM256" i="8"/>
  <c r="AY256" i="8"/>
  <c r="O256" i="8"/>
  <c r="AN256" i="8"/>
  <c r="AZ256" i="8"/>
  <c r="P256" i="8"/>
  <c r="AO256" i="8"/>
  <c r="BA256" i="8"/>
  <c r="Q256" i="8"/>
  <c r="B256" i="8"/>
  <c r="AM255" i="8"/>
  <c r="AY255" i="8"/>
  <c r="O255" i="8"/>
  <c r="AN255" i="8"/>
  <c r="AZ255" i="8"/>
  <c r="P255" i="8"/>
  <c r="AO255" i="8"/>
  <c r="BA255" i="8"/>
  <c r="Q255" i="8"/>
  <c r="B255" i="8"/>
  <c r="AM254" i="8"/>
  <c r="AY254" i="8"/>
  <c r="O254" i="8"/>
  <c r="AN254" i="8"/>
  <c r="AZ254" i="8"/>
  <c r="P254" i="8"/>
  <c r="AO254" i="8"/>
  <c r="BA254" i="8"/>
  <c r="Q254" i="8"/>
  <c r="B254" i="8"/>
  <c r="AM253" i="8"/>
  <c r="AY253" i="8"/>
  <c r="O253" i="8"/>
  <c r="AN253" i="8"/>
  <c r="AZ253" i="8"/>
  <c r="P253" i="8"/>
  <c r="AO253" i="8"/>
  <c r="BA253" i="8"/>
  <c r="Q253" i="8"/>
  <c r="B253" i="8"/>
  <c r="AM252" i="8"/>
  <c r="AY252" i="8"/>
  <c r="O252" i="8"/>
  <c r="AN252" i="8"/>
  <c r="AZ252" i="8"/>
  <c r="P252" i="8"/>
  <c r="AO252" i="8"/>
  <c r="BA252" i="8"/>
  <c r="Q252" i="8"/>
  <c r="B252" i="8"/>
  <c r="AM251" i="8"/>
  <c r="AY251" i="8"/>
  <c r="O251" i="8"/>
  <c r="AN251" i="8"/>
  <c r="AZ251" i="8"/>
  <c r="P251" i="8"/>
  <c r="AO251" i="8"/>
  <c r="BA251" i="8"/>
  <c r="Q251" i="8"/>
  <c r="B251" i="8"/>
  <c r="AM250" i="8"/>
  <c r="AY250" i="8"/>
  <c r="O250" i="8"/>
  <c r="AN250" i="8"/>
  <c r="AZ250" i="8"/>
  <c r="P250" i="8"/>
  <c r="AO250" i="8"/>
  <c r="BA250" i="8"/>
  <c r="Q250" i="8"/>
  <c r="B250" i="8"/>
  <c r="AM249" i="8"/>
  <c r="AY249" i="8"/>
  <c r="O249" i="8"/>
  <c r="AN249" i="8"/>
  <c r="AZ249" i="8"/>
  <c r="P249" i="8"/>
  <c r="AO249" i="8"/>
  <c r="BA249" i="8"/>
  <c r="Q249" i="8"/>
  <c r="B249" i="8"/>
  <c r="AM248" i="8"/>
  <c r="AY248" i="8"/>
  <c r="O248" i="8"/>
  <c r="AN248" i="8"/>
  <c r="AZ248" i="8"/>
  <c r="P248" i="8"/>
  <c r="AO248" i="8"/>
  <c r="BA248" i="8"/>
  <c r="Q248" i="8"/>
  <c r="B248" i="8"/>
  <c r="AM247" i="8"/>
  <c r="AY247" i="8"/>
  <c r="O247" i="8"/>
  <c r="AN247" i="8"/>
  <c r="AZ247" i="8"/>
  <c r="P247" i="8"/>
  <c r="AO247" i="8"/>
  <c r="BA247" i="8"/>
  <c r="Q247" i="8"/>
  <c r="B247" i="8"/>
  <c r="AM246" i="8"/>
  <c r="AY246" i="8"/>
  <c r="O246" i="8"/>
  <c r="AN246" i="8"/>
  <c r="AZ246" i="8"/>
  <c r="P246" i="8"/>
  <c r="AO246" i="8"/>
  <c r="BA246" i="8"/>
  <c r="Q246" i="8"/>
  <c r="B246" i="8"/>
  <c r="AM245" i="8"/>
  <c r="AY245" i="8"/>
  <c r="O245" i="8"/>
  <c r="AN245" i="8"/>
  <c r="AZ245" i="8"/>
  <c r="P245" i="8"/>
  <c r="AO245" i="8"/>
  <c r="BA245" i="8"/>
  <c r="Q245" i="8"/>
  <c r="B245" i="8"/>
  <c r="AM244" i="8"/>
  <c r="AY244" i="8"/>
  <c r="O244" i="8"/>
  <c r="AN244" i="8"/>
  <c r="AZ244" i="8"/>
  <c r="P244" i="8"/>
  <c r="AO244" i="8"/>
  <c r="BA244" i="8"/>
  <c r="Q244" i="8"/>
  <c r="B244" i="8"/>
  <c r="AM243" i="8"/>
  <c r="AY243" i="8"/>
  <c r="O243" i="8"/>
  <c r="AN243" i="8"/>
  <c r="AZ243" i="8"/>
  <c r="P243" i="8"/>
  <c r="AO243" i="8"/>
  <c r="BA243" i="8"/>
  <c r="Q243" i="8"/>
  <c r="B243" i="8"/>
  <c r="AM242" i="8"/>
  <c r="AY242" i="8"/>
  <c r="O242" i="8"/>
  <c r="AN242" i="8"/>
  <c r="AZ242" i="8"/>
  <c r="P242" i="8"/>
  <c r="AO242" i="8"/>
  <c r="BA242" i="8"/>
  <c r="Q242" i="8"/>
  <c r="B242" i="8"/>
  <c r="AM241" i="8"/>
  <c r="AY241" i="8"/>
  <c r="O241" i="8"/>
  <c r="AN241" i="8"/>
  <c r="AZ241" i="8"/>
  <c r="P241" i="8"/>
  <c r="AO241" i="8"/>
  <c r="BA241" i="8"/>
  <c r="Q241" i="8"/>
  <c r="B241" i="8"/>
  <c r="AM24" i="8"/>
  <c r="AY24" i="8"/>
  <c r="O24" i="8"/>
  <c r="AN24" i="8"/>
  <c r="AZ24" i="8"/>
  <c r="P24" i="8"/>
  <c r="AO24" i="8"/>
  <c r="BA24" i="8"/>
  <c r="Q24" i="8"/>
  <c r="B24" i="8"/>
  <c r="AM240" i="8"/>
  <c r="AY240" i="8"/>
  <c r="O240" i="8"/>
  <c r="AN240" i="8"/>
  <c r="AZ240" i="8"/>
  <c r="P240" i="8"/>
  <c r="AO240" i="8"/>
  <c r="BA240" i="8"/>
  <c r="Q240" i="8"/>
  <c r="B240" i="8"/>
  <c r="AM239" i="8"/>
  <c r="AY239" i="8"/>
  <c r="O239" i="8"/>
  <c r="AN239" i="8"/>
  <c r="AZ239" i="8"/>
  <c r="P239" i="8"/>
  <c r="AO239" i="8"/>
  <c r="BA239" i="8"/>
  <c r="Q239" i="8"/>
  <c r="B239" i="8"/>
  <c r="AM238" i="8"/>
  <c r="AY238" i="8"/>
  <c r="O238" i="8"/>
  <c r="AN238" i="8"/>
  <c r="AZ238" i="8"/>
  <c r="P238" i="8"/>
  <c r="AO238" i="8"/>
  <c r="BA238" i="8"/>
  <c r="Q238" i="8"/>
  <c r="B238" i="8"/>
  <c r="AM237" i="8"/>
  <c r="AY237" i="8"/>
  <c r="O237" i="8"/>
  <c r="AN237" i="8"/>
  <c r="AZ237" i="8"/>
  <c r="P237" i="8"/>
  <c r="AO237" i="8"/>
  <c r="BA237" i="8"/>
  <c r="Q237" i="8"/>
  <c r="B237" i="8"/>
  <c r="AM207" i="8"/>
  <c r="AY207" i="8"/>
  <c r="O207" i="8"/>
  <c r="AN207" i="8"/>
  <c r="AZ207" i="8"/>
  <c r="P207" i="8"/>
  <c r="AO207" i="8"/>
  <c r="BA207" i="8"/>
  <c r="Q207" i="8"/>
  <c r="B207" i="8"/>
  <c r="AM206" i="8"/>
  <c r="AY206" i="8"/>
  <c r="O206" i="8"/>
  <c r="AN206" i="8"/>
  <c r="AZ206" i="8"/>
  <c r="P206" i="8"/>
  <c r="AO206" i="8"/>
  <c r="BA206" i="8"/>
  <c r="Q206" i="8"/>
  <c r="B206" i="8"/>
  <c r="AM205" i="8"/>
  <c r="AY205" i="8"/>
  <c r="O205" i="8"/>
  <c r="AN205" i="8"/>
  <c r="AZ205" i="8"/>
  <c r="P205" i="8"/>
  <c r="AO205" i="8"/>
  <c r="BA205" i="8"/>
  <c r="Q205" i="8"/>
  <c r="B205" i="8"/>
  <c r="AM204" i="8"/>
  <c r="AY204" i="8"/>
  <c r="O204" i="8"/>
  <c r="AN204" i="8"/>
  <c r="AZ204" i="8"/>
  <c r="P204" i="8"/>
  <c r="AO204" i="8"/>
  <c r="BA204" i="8"/>
  <c r="Q204" i="8"/>
  <c r="B204" i="8"/>
  <c r="AM16" i="8"/>
  <c r="AY16" i="8"/>
  <c r="O16" i="8"/>
  <c r="AN16" i="8"/>
  <c r="AZ16" i="8"/>
  <c r="P16" i="8"/>
  <c r="AO16" i="8"/>
  <c r="BA16" i="8"/>
  <c r="Q16" i="8"/>
  <c r="B16" i="8"/>
  <c r="AM203" i="8"/>
  <c r="AY203" i="8"/>
  <c r="O203" i="8"/>
  <c r="AN203" i="8"/>
  <c r="AZ203" i="8"/>
  <c r="P203" i="8"/>
  <c r="AO203" i="8"/>
  <c r="BA203" i="8"/>
  <c r="Q203" i="8"/>
  <c r="B203" i="8"/>
  <c r="AM202" i="8"/>
  <c r="AY202" i="8"/>
  <c r="O202" i="8"/>
  <c r="AN202" i="8"/>
  <c r="AZ202" i="8"/>
  <c r="P202" i="8"/>
  <c r="AO202" i="8"/>
  <c r="BA202" i="8"/>
  <c r="Q202" i="8"/>
  <c r="B202" i="8"/>
  <c r="AM15" i="8"/>
  <c r="AY15" i="8"/>
  <c r="O15" i="8"/>
  <c r="AN15" i="8"/>
  <c r="AZ15" i="8"/>
  <c r="P15" i="8"/>
  <c r="AO15" i="8"/>
  <c r="BA15" i="8"/>
  <c r="Q15" i="8"/>
  <c r="B15" i="8"/>
  <c r="AM201" i="8"/>
  <c r="AY201" i="8"/>
  <c r="O201" i="8"/>
  <c r="AN201" i="8"/>
  <c r="AZ201" i="8"/>
  <c r="P201" i="8"/>
  <c r="AO201" i="8"/>
  <c r="BA201" i="8"/>
  <c r="Q201" i="8"/>
  <c r="B201" i="8"/>
  <c r="AM200" i="8"/>
  <c r="AY200" i="8"/>
  <c r="O200" i="8"/>
  <c r="AN200" i="8"/>
  <c r="AZ200" i="8"/>
  <c r="P200" i="8"/>
  <c r="AO200" i="8"/>
  <c r="BA200" i="8"/>
  <c r="Q200" i="8"/>
  <c r="B200" i="8"/>
  <c r="AM199" i="8"/>
  <c r="AY199" i="8"/>
  <c r="O199" i="8"/>
  <c r="AN199" i="8"/>
  <c r="AZ199" i="8"/>
  <c r="P199" i="8"/>
  <c r="AO199" i="8"/>
  <c r="BA199" i="8"/>
  <c r="Q199" i="8"/>
  <c r="B199" i="8"/>
  <c r="AM198" i="8"/>
  <c r="AY198" i="8"/>
  <c r="O198" i="8"/>
  <c r="AN198" i="8"/>
  <c r="AZ198" i="8"/>
  <c r="P198" i="8"/>
  <c r="AO198" i="8"/>
  <c r="BA198" i="8"/>
  <c r="Q198" i="8"/>
  <c r="B198" i="8"/>
  <c r="AM197" i="8"/>
  <c r="AY197" i="8"/>
  <c r="O197" i="8"/>
  <c r="AN197" i="8"/>
  <c r="AZ197" i="8"/>
  <c r="P197" i="8"/>
  <c r="AO197" i="8"/>
  <c r="BA197" i="8"/>
  <c r="Q197" i="8"/>
  <c r="B197" i="8"/>
  <c r="AM196" i="8"/>
  <c r="AY196" i="8"/>
  <c r="O196" i="8"/>
  <c r="AN196" i="8"/>
  <c r="AZ196" i="8"/>
  <c r="P196" i="8"/>
  <c r="AO196" i="8"/>
  <c r="BA196" i="8"/>
  <c r="Q196" i="8"/>
  <c r="B196" i="8"/>
  <c r="AM195" i="8"/>
  <c r="AY195" i="8"/>
  <c r="O195" i="8"/>
  <c r="AN195" i="8"/>
  <c r="AZ195" i="8"/>
  <c r="P195" i="8"/>
  <c r="AO195" i="8"/>
  <c r="BA195" i="8"/>
  <c r="Q195" i="8"/>
  <c r="B195" i="8"/>
  <c r="AM14" i="8"/>
  <c r="AY14" i="8"/>
  <c r="O14" i="8"/>
  <c r="AN14" i="8"/>
  <c r="AZ14" i="8"/>
  <c r="P14" i="8"/>
  <c r="AO14" i="8"/>
  <c r="BA14" i="8"/>
  <c r="Q14" i="8"/>
  <c r="B14" i="8"/>
  <c r="AM194" i="8"/>
  <c r="AY194" i="8"/>
  <c r="O194" i="8"/>
  <c r="AN194" i="8"/>
  <c r="AZ194" i="8"/>
  <c r="P194" i="8"/>
  <c r="AO194" i="8"/>
  <c r="BA194" i="8"/>
  <c r="Q194" i="8"/>
  <c r="B194" i="8"/>
  <c r="AM193" i="8"/>
  <c r="AY193" i="8"/>
  <c r="O193" i="8"/>
  <c r="AN193" i="8"/>
  <c r="AZ193" i="8"/>
  <c r="P193" i="8"/>
  <c r="AO193" i="8"/>
  <c r="BA193" i="8"/>
  <c r="Q193" i="8"/>
  <c r="B193" i="8"/>
  <c r="AM192" i="8"/>
  <c r="AY192" i="8"/>
  <c r="O192" i="8"/>
  <c r="AN192" i="8"/>
  <c r="AZ192" i="8"/>
  <c r="P192" i="8"/>
  <c r="AO192" i="8"/>
  <c r="BA192" i="8"/>
  <c r="Q192" i="8"/>
  <c r="B192" i="8"/>
  <c r="AM191" i="8"/>
  <c r="AY191" i="8"/>
  <c r="O191" i="8"/>
  <c r="AN191" i="8"/>
  <c r="AZ191" i="8"/>
  <c r="P191" i="8"/>
  <c r="AO191" i="8"/>
  <c r="BA191" i="8"/>
  <c r="Q191" i="8"/>
  <c r="B191" i="8"/>
  <c r="AM190" i="8"/>
  <c r="AY190" i="8"/>
  <c r="O190" i="8"/>
  <c r="AN190" i="8"/>
  <c r="AZ190" i="8"/>
  <c r="P190" i="8"/>
  <c r="AO190" i="8"/>
  <c r="BA190" i="8"/>
  <c r="Q190" i="8"/>
  <c r="B190" i="8"/>
  <c r="AM189" i="8"/>
  <c r="AY189" i="8"/>
  <c r="O189" i="8"/>
  <c r="AN189" i="8"/>
  <c r="AZ189" i="8"/>
  <c r="P189" i="8"/>
  <c r="AO189" i="8"/>
  <c r="BA189" i="8"/>
  <c r="Q189" i="8"/>
  <c r="B189" i="8"/>
  <c r="AM188" i="8"/>
  <c r="AY188" i="8"/>
  <c r="O188" i="8"/>
  <c r="AN188" i="8"/>
  <c r="AZ188" i="8"/>
  <c r="P188" i="8"/>
  <c r="AO188" i="8"/>
  <c r="BA188" i="8"/>
  <c r="Q188" i="8"/>
  <c r="B188" i="8"/>
  <c r="AM187" i="8"/>
  <c r="AY187" i="8"/>
  <c r="O187" i="8"/>
  <c r="AN187" i="8"/>
  <c r="AZ187" i="8"/>
  <c r="P187" i="8"/>
  <c r="AO187" i="8"/>
  <c r="BA187" i="8"/>
  <c r="Q187" i="8"/>
  <c r="B187" i="8"/>
  <c r="AM186" i="8"/>
  <c r="AY186" i="8"/>
  <c r="O186" i="8"/>
  <c r="AN186" i="8"/>
  <c r="AZ186" i="8"/>
  <c r="P186" i="8"/>
  <c r="AO186" i="8"/>
  <c r="BA186" i="8"/>
  <c r="Q186" i="8"/>
  <c r="B186" i="8"/>
  <c r="AM11" i="8"/>
  <c r="AY11" i="8"/>
  <c r="O11" i="8"/>
  <c r="AN11" i="8"/>
  <c r="AZ11" i="8"/>
  <c r="P11" i="8"/>
  <c r="AO11" i="8"/>
  <c r="BA11" i="8"/>
  <c r="Q11" i="8"/>
  <c r="B11" i="8"/>
  <c r="AM10" i="8"/>
  <c r="AY10" i="8"/>
  <c r="O10" i="8"/>
  <c r="AN10" i="8"/>
  <c r="AZ10" i="8"/>
  <c r="P10" i="8"/>
  <c r="AO10" i="8"/>
  <c r="BA10" i="8"/>
  <c r="Q10" i="8"/>
  <c r="B10" i="8"/>
  <c r="AM9" i="8"/>
  <c r="AY9" i="8"/>
  <c r="O9" i="8"/>
  <c r="AN9" i="8"/>
  <c r="AZ9" i="8"/>
  <c r="P9" i="8"/>
  <c r="AO9" i="8"/>
  <c r="BA9" i="8"/>
  <c r="Q9" i="8"/>
  <c r="B9" i="8"/>
  <c r="AM150" i="8"/>
  <c r="AY150" i="8"/>
  <c r="O150" i="8"/>
  <c r="AN150" i="8"/>
  <c r="AZ150" i="8"/>
  <c r="P150" i="8"/>
  <c r="AO150" i="8"/>
  <c r="BA150" i="8"/>
  <c r="Q150" i="8"/>
  <c r="B150" i="8"/>
  <c r="AM149" i="8"/>
  <c r="AY149" i="8"/>
  <c r="O149" i="8"/>
  <c r="AN149" i="8"/>
  <c r="AZ149" i="8"/>
  <c r="P149" i="8"/>
  <c r="AO149" i="8"/>
  <c r="BA149" i="8"/>
  <c r="Q149" i="8"/>
  <c r="B149" i="8"/>
  <c r="AM148" i="8"/>
  <c r="AY148" i="8"/>
  <c r="O148" i="8"/>
  <c r="AN148" i="8"/>
  <c r="AZ148" i="8"/>
  <c r="P148" i="8"/>
  <c r="AO148" i="8"/>
  <c r="BA148" i="8"/>
  <c r="Q148" i="8"/>
  <c r="B148" i="8"/>
  <c r="AM147" i="8"/>
  <c r="AY147" i="8"/>
  <c r="O147" i="8"/>
  <c r="AN147" i="8"/>
  <c r="AZ147" i="8"/>
  <c r="P147" i="8"/>
  <c r="AO147" i="8"/>
  <c r="BA147" i="8"/>
  <c r="Q147" i="8"/>
  <c r="B147" i="8"/>
  <c r="AM146" i="8"/>
  <c r="AY146" i="8"/>
  <c r="O146" i="8"/>
  <c r="AN146" i="8"/>
  <c r="AZ146" i="8"/>
  <c r="P146" i="8"/>
  <c r="AO146" i="8"/>
  <c r="BA146" i="8"/>
  <c r="Q146" i="8"/>
  <c r="B146" i="8"/>
  <c r="AM145" i="8"/>
  <c r="AY145" i="8"/>
  <c r="O145" i="8"/>
  <c r="AN145" i="8"/>
  <c r="AZ145" i="8"/>
  <c r="P145" i="8"/>
  <c r="AO145" i="8"/>
  <c r="BA145" i="8"/>
  <c r="Q145" i="8"/>
  <c r="B145" i="8"/>
  <c r="AM144" i="8"/>
  <c r="AY144" i="8"/>
  <c r="O144" i="8"/>
  <c r="AN144" i="8"/>
  <c r="AZ144" i="8"/>
  <c r="P144" i="8"/>
  <c r="AO144" i="8"/>
  <c r="BA144" i="8"/>
  <c r="Q144" i="8"/>
  <c r="B144" i="8"/>
  <c r="AM143" i="8"/>
  <c r="AY143" i="8"/>
  <c r="O143" i="8"/>
  <c r="AN143" i="8"/>
  <c r="AZ143" i="8"/>
  <c r="P143" i="8"/>
  <c r="AO143" i="8"/>
  <c r="BA143" i="8"/>
  <c r="Q143" i="8"/>
  <c r="B143" i="8"/>
  <c r="AM142" i="8"/>
  <c r="AY142" i="8"/>
  <c r="O142" i="8"/>
  <c r="AN142" i="8"/>
  <c r="AZ142" i="8"/>
  <c r="P142" i="8"/>
  <c r="AO142" i="8"/>
  <c r="BA142" i="8"/>
  <c r="Q142" i="8"/>
  <c r="B142" i="8"/>
  <c r="AM8" i="8"/>
  <c r="AY8" i="8"/>
  <c r="O8" i="8"/>
  <c r="AN8" i="8"/>
  <c r="AZ8" i="8"/>
  <c r="P8" i="8"/>
  <c r="AO8" i="8"/>
  <c r="BA8" i="8"/>
  <c r="Q8" i="8"/>
  <c r="B8" i="8"/>
  <c r="AM141" i="8"/>
  <c r="AY141" i="8"/>
  <c r="O141" i="8"/>
  <c r="AN141" i="8"/>
  <c r="AZ141" i="8"/>
  <c r="P141" i="8"/>
  <c r="AO141" i="8"/>
  <c r="BA141" i="8"/>
  <c r="Q141" i="8"/>
  <c r="B141" i="8"/>
  <c r="AM140" i="8"/>
  <c r="AY140" i="8"/>
  <c r="O140" i="8"/>
  <c r="AN140" i="8"/>
  <c r="AZ140" i="8"/>
  <c r="P140" i="8"/>
  <c r="AO140" i="8"/>
  <c r="BA140" i="8"/>
  <c r="Q140" i="8"/>
  <c r="B140" i="8"/>
  <c r="AM139" i="8"/>
  <c r="AY139" i="8"/>
  <c r="O139" i="8"/>
  <c r="AN139" i="8"/>
  <c r="AZ139" i="8"/>
  <c r="P139" i="8"/>
  <c r="AO139" i="8"/>
  <c r="BA139" i="8"/>
  <c r="Q139" i="8"/>
  <c r="B139" i="8"/>
  <c r="AM138" i="8"/>
  <c r="AY138" i="8"/>
  <c r="O138" i="8"/>
  <c r="AN138" i="8"/>
  <c r="AZ138" i="8"/>
  <c r="P138" i="8"/>
  <c r="AO138" i="8"/>
  <c r="BA138" i="8"/>
  <c r="Q138" i="8"/>
  <c r="B138" i="8"/>
  <c r="AM137" i="8"/>
  <c r="AY137" i="8"/>
  <c r="O137" i="8"/>
  <c r="AN137" i="8"/>
  <c r="AZ137" i="8"/>
  <c r="P137" i="8"/>
  <c r="AO137" i="8"/>
  <c r="BA137" i="8"/>
  <c r="Q137" i="8"/>
  <c r="B137" i="8"/>
  <c r="AM136" i="8"/>
  <c r="AY136" i="8"/>
  <c r="O136" i="8"/>
  <c r="AN136" i="8"/>
  <c r="AZ136" i="8"/>
  <c r="P136" i="8"/>
  <c r="AO136" i="8"/>
  <c r="BA136" i="8"/>
  <c r="Q136" i="8"/>
  <c r="B136" i="8"/>
  <c r="AM135" i="8"/>
  <c r="AY135" i="8"/>
  <c r="O135" i="8"/>
  <c r="AN135" i="8"/>
  <c r="AZ135" i="8"/>
  <c r="P135" i="8"/>
  <c r="AO135" i="8"/>
  <c r="BA135" i="8"/>
  <c r="Q135" i="8"/>
  <c r="B135" i="8"/>
  <c r="AM134" i="8"/>
  <c r="AY134" i="8"/>
  <c r="O134" i="8"/>
  <c r="AN134" i="8"/>
  <c r="AZ134" i="8"/>
  <c r="P134" i="8"/>
  <c r="AO134" i="8"/>
  <c r="BA134" i="8"/>
  <c r="Q134" i="8"/>
  <c r="B134" i="8"/>
  <c r="AM133" i="8"/>
  <c r="AY133" i="8"/>
  <c r="O133" i="8"/>
  <c r="AN133" i="8"/>
  <c r="AZ133" i="8"/>
  <c r="P133" i="8"/>
  <c r="AO133" i="8"/>
  <c r="BA133" i="8"/>
  <c r="Q133" i="8"/>
  <c r="B133" i="8"/>
  <c r="AM132" i="8"/>
  <c r="AY132" i="8"/>
  <c r="O132" i="8"/>
  <c r="AN132" i="8"/>
  <c r="AZ132" i="8"/>
  <c r="P132" i="8"/>
  <c r="AO132" i="8"/>
  <c r="BA132" i="8"/>
  <c r="Q132" i="8"/>
  <c r="B132" i="8"/>
  <c r="AM131" i="8"/>
  <c r="AY131" i="8"/>
  <c r="O131" i="8"/>
  <c r="AN131" i="8"/>
  <c r="AZ131" i="8"/>
  <c r="P131" i="8"/>
  <c r="AO131" i="8"/>
  <c r="BA131" i="8"/>
  <c r="Q131" i="8"/>
  <c r="B131" i="8"/>
  <c r="AM130" i="8"/>
  <c r="AY130" i="8"/>
  <c r="O130" i="8"/>
  <c r="AN130" i="8"/>
  <c r="AZ130" i="8"/>
  <c r="P130" i="8"/>
  <c r="AO130" i="8"/>
  <c r="BA130" i="8"/>
  <c r="Q130" i="8"/>
  <c r="B130" i="8"/>
  <c r="AM129" i="8"/>
  <c r="AY129" i="8"/>
  <c r="O129" i="8"/>
  <c r="AN129" i="8"/>
  <c r="AZ129" i="8"/>
  <c r="P129" i="8"/>
  <c r="AO129" i="8"/>
  <c r="BA129" i="8"/>
  <c r="Q129" i="8"/>
  <c r="B129" i="8"/>
  <c r="AM128" i="8"/>
  <c r="AY128" i="8"/>
  <c r="O128" i="8"/>
  <c r="AN128" i="8"/>
  <c r="AZ128" i="8"/>
  <c r="P128" i="8"/>
  <c r="AO128" i="8"/>
  <c r="BA128" i="8"/>
  <c r="Q128" i="8"/>
  <c r="B128" i="8"/>
  <c r="AM127" i="8"/>
  <c r="AY127" i="8"/>
  <c r="O127" i="8"/>
  <c r="AN127" i="8"/>
  <c r="AZ127" i="8"/>
  <c r="P127" i="8"/>
  <c r="AO127" i="8"/>
  <c r="BA127" i="8"/>
  <c r="Q127" i="8"/>
  <c r="B127" i="8"/>
  <c r="AM126" i="8"/>
  <c r="AY126" i="8"/>
  <c r="O126" i="8"/>
  <c r="AN126" i="8"/>
  <c r="AZ126" i="8"/>
  <c r="P126" i="8"/>
  <c r="AO126" i="8"/>
  <c r="BA126" i="8"/>
  <c r="Q126" i="8"/>
  <c r="B126" i="8"/>
  <c r="AM125" i="8"/>
  <c r="AY125" i="8"/>
  <c r="O125" i="8"/>
  <c r="AN125" i="8"/>
  <c r="AZ125" i="8"/>
  <c r="P125" i="8"/>
  <c r="AO125" i="8"/>
  <c r="BA125" i="8"/>
  <c r="Q125" i="8"/>
  <c r="B125" i="8"/>
  <c r="AM124" i="8"/>
  <c r="AY124" i="8"/>
  <c r="O124" i="8"/>
  <c r="AN124" i="8"/>
  <c r="AZ124" i="8"/>
  <c r="P124" i="8"/>
  <c r="AO124" i="8"/>
  <c r="BA124" i="8"/>
  <c r="Q124" i="8"/>
  <c r="B124" i="8"/>
  <c r="AM123" i="8"/>
  <c r="AY123" i="8"/>
  <c r="O123" i="8"/>
  <c r="AN123" i="8"/>
  <c r="AZ123" i="8"/>
  <c r="P123" i="8"/>
  <c r="AO123" i="8"/>
  <c r="BA123" i="8"/>
  <c r="Q123" i="8"/>
  <c r="B123" i="8"/>
  <c r="AM122" i="8"/>
  <c r="AY122" i="8"/>
  <c r="O122" i="8"/>
  <c r="AN122" i="8"/>
  <c r="AZ122" i="8"/>
  <c r="P122" i="8"/>
  <c r="AO122" i="8"/>
  <c r="BA122" i="8"/>
  <c r="Q122" i="8"/>
  <c r="B122" i="8"/>
  <c r="AM121" i="8"/>
  <c r="AY121" i="8"/>
  <c r="O121" i="8"/>
  <c r="AN121" i="8"/>
  <c r="AZ121" i="8"/>
  <c r="P121" i="8"/>
  <c r="AO121" i="8"/>
  <c r="BA121" i="8"/>
  <c r="Q121" i="8"/>
  <c r="B121" i="8"/>
  <c r="AM120" i="8"/>
  <c r="AY120" i="8"/>
  <c r="O120" i="8"/>
  <c r="AN120" i="8"/>
  <c r="AZ120" i="8"/>
  <c r="P120" i="8"/>
  <c r="AO120" i="8"/>
  <c r="BA120" i="8"/>
  <c r="Q120" i="8"/>
  <c r="B120" i="8"/>
  <c r="AM119" i="8"/>
  <c r="AY119" i="8"/>
  <c r="O119" i="8"/>
  <c r="AN119" i="8"/>
  <c r="AZ119" i="8"/>
  <c r="P119" i="8"/>
  <c r="AO119" i="8"/>
  <c r="BA119" i="8"/>
  <c r="Q119" i="8"/>
  <c r="B119" i="8"/>
  <c r="AM118" i="8"/>
  <c r="AY118" i="8"/>
  <c r="O118" i="8"/>
  <c r="AN118" i="8"/>
  <c r="AZ118" i="8"/>
  <c r="P118" i="8"/>
  <c r="AO118" i="8"/>
  <c r="BA118" i="8"/>
  <c r="Q118" i="8"/>
  <c r="B118" i="8"/>
  <c r="AM117" i="8"/>
  <c r="AY117" i="8"/>
  <c r="O117" i="8"/>
  <c r="AN117" i="8"/>
  <c r="AZ117" i="8"/>
  <c r="P117" i="8"/>
  <c r="AO117" i="8"/>
  <c r="BA117" i="8"/>
  <c r="Q117" i="8"/>
  <c r="B117" i="8"/>
  <c r="AO116" i="8"/>
  <c r="BA116" i="8"/>
  <c r="Q116" i="8"/>
  <c r="B116" i="8"/>
  <c r="AO115" i="8"/>
  <c r="BA115" i="8"/>
  <c r="Q115" i="8"/>
  <c r="B115" i="8"/>
  <c r="AO114" i="8"/>
  <c r="BA114" i="8"/>
  <c r="Q114" i="8"/>
  <c r="B114" i="8"/>
  <c r="AO113" i="8"/>
  <c r="BA113" i="8"/>
  <c r="Q113" i="8"/>
  <c r="B113" i="8"/>
  <c r="AO112" i="8"/>
  <c r="BA112" i="8"/>
  <c r="Q112" i="8"/>
  <c r="B112" i="8"/>
  <c r="AO111" i="8"/>
  <c r="BA111" i="8"/>
  <c r="Q111" i="8"/>
  <c r="B111" i="8"/>
  <c r="AO110" i="8"/>
  <c r="BA110" i="8"/>
  <c r="Q110" i="8"/>
  <c r="B110" i="8"/>
  <c r="AO109" i="8"/>
  <c r="BA109" i="8"/>
  <c r="Q109" i="8"/>
  <c r="B109" i="8"/>
  <c r="AO108" i="8"/>
  <c r="BA108" i="8"/>
  <c r="Q108" i="8"/>
  <c r="B108" i="8"/>
  <c r="AO107" i="8"/>
  <c r="BA107" i="8"/>
  <c r="Q107" i="8"/>
  <c r="B107" i="8"/>
  <c r="AO106" i="8"/>
  <c r="BA106" i="8"/>
  <c r="Q106" i="8"/>
  <c r="B106" i="8"/>
  <c r="AO105" i="8"/>
  <c r="BA105" i="8"/>
  <c r="Q105" i="8"/>
  <c r="B105" i="8"/>
  <c r="AO104" i="8"/>
  <c r="BA104" i="8"/>
  <c r="Q104" i="8"/>
  <c r="B104" i="8"/>
  <c r="AO103" i="8"/>
  <c r="BA103" i="8"/>
  <c r="Q103" i="8"/>
  <c r="B103" i="8"/>
  <c r="AO102" i="8"/>
  <c r="BA102" i="8"/>
  <c r="Q102" i="8"/>
  <c r="B102" i="8"/>
  <c r="AM100" i="8"/>
  <c r="AY100" i="8"/>
  <c r="O100" i="8"/>
  <c r="AN100" i="8"/>
  <c r="AZ100" i="8"/>
  <c r="P100" i="8"/>
  <c r="AO100" i="8"/>
  <c r="BA100" i="8"/>
  <c r="Q100" i="8"/>
  <c r="B100" i="8"/>
  <c r="AM71" i="8"/>
  <c r="AY71" i="8"/>
  <c r="O71" i="8"/>
  <c r="AN71" i="8"/>
  <c r="AZ71" i="8"/>
  <c r="P71" i="8"/>
  <c r="AO71" i="8"/>
  <c r="BA71" i="8"/>
  <c r="Q71" i="8"/>
  <c r="B71" i="8"/>
  <c r="AM70" i="8"/>
  <c r="AY70" i="8"/>
  <c r="O70" i="8"/>
  <c r="AN70" i="8"/>
  <c r="AZ70" i="8"/>
  <c r="P70" i="8"/>
  <c r="AO70" i="8"/>
  <c r="BA70" i="8"/>
  <c r="Q70" i="8"/>
  <c r="B70" i="8"/>
  <c r="AM69" i="8"/>
  <c r="AY69" i="8"/>
  <c r="O69" i="8"/>
  <c r="AN69" i="8"/>
  <c r="AZ69" i="8"/>
  <c r="P69" i="8"/>
  <c r="AO69" i="8"/>
  <c r="BA69" i="8"/>
  <c r="Q69" i="8"/>
  <c r="B69" i="8"/>
  <c r="AM68" i="8"/>
  <c r="AY68" i="8"/>
  <c r="O68" i="8"/>
  <c r="AN68" i="8"/>
  <c r="AZ68" i="8"/>
  <c r="P68" i="8"/>
  <c r="AO68" i="8"/>
  <c r="BA68" i="8"/>
  <c r="Q68" i="8"/>
  <c r="B68" i="8"/>
  <c r="AM67" i="8"/>
  <c r="AY67" i="8"/>
  <c r="O67" i="8"/>
  <c r="AN67" i="8"/>
  <c r="AZ67" i="8"/>
  <c r="P67" i="8"/>
  <c r="AO67" i="8"/>
  <c r="BA67" i="8"/>
  <c r="Q67" i="8"/>
  <c r="B67" i="8"/>
  <c r="AM66" i="8"/>
  <c r="AY66" i="8"/>
  <c r="O66" i="8"/>
  <c r="AN66" i="8"/>
  <c r="AZ66" i="8"/>
  <c r="P66" i="8"/>
  <c r="AO66" i="8"/>
  <c r="BA66" i="8"/>
  <c r="Q66" i="8"/>
  <c r="B66" i="8"/>
  <c r="AM65" i="8"/>
  <c r="AY65" i="8"/>
  <c r="O65" i="8"/>
  <c r="AN65" i="8"/>
  <c r="AZ65" i="8"/>
  <c r="P65" i="8"/>
  <c r="AO65" i="8"/>
  <c r="BA65" i="8"/>
  <c r="Q65" i="8"/>
  <c r="B65" i="8"/>
  <c r="AM64" i="8"/>
  <c r="AY64" i="8"/>
  <c r="O64" i="8"/>
  <c r="AN64" i="8"/>
  <c r="AZ64" i="8"/>
  <c r="P64" i="8"/>
  <c r="AO64" i="8"/>
  <c r="BA64" i="8"/>
  <c r="Q64" i="8"/>
  <c r="B64" i="8"/>
  <c r="AM63" i="8"/>
  <c r="AY63" i="8"/>
  <c r="O63" i="8"/>
  <c r="AN63" i="8"/>
  <c r="AZ63" i="8"/>
  <c r="P63" i="8"/>
  <c r="AO63" i="8"/>
  <c r="BA63" i="8"/>
  <c r="Q63" i="8"/>
  <c r="B63" i="8"/>
  <c r="AM5" i="8"/>
  <c r="AY5" i="8"/>
  <c r="O5" i="8"/>
  <c r="AN5" i="8"/>
  <c r="AZ5" i="8"/>
  <c r="P5" i="8"/>
  <c r="AO5" i="8"/>
  <c r="BA5" i="8"/>
  <c r="Q5" i="8"/>
  <c r="B5" i="8"/>
  <c r="AM62" i="8"/>
  <c r="AY62" i="8"/>
  <c r="O62" i="8"/>
  <c r="AN62" i="8"/>
  <c r="AZ62" i="8"/>
  <c r="P62" i="8"/>
  <c r="AO62" i="8"/>
  <c r="BA62" i="8"/>
  <c r="Q62" i="8"/>
  <c r="B62" i="8"/>
  <c r="AM61" i="8"/>
  <c r="AY61" i="8"/>
  <c r="O61" i="8"/>
  <c r="AN61" i="8"/>
  <c r="AZ61" i="8"/>
  <c r="P61" i="8"/>
  <c r="AO61" i="8"/>
  <c r="BA61" i="8"/>
  <c r="Q61" i="8"/>
  <c r="B61" i="8"/>
  <c r="AM4" i="8"/>
  <c r="AY4" i="8"/>
  <c r="O4" i="8"/>
  <c r="AN4" i="8"/>
  <c r="AZ4" i="8"/>
  <c r="P4" i="8"/>
  <c r="AO4" i="8"/>
  <c r="BA4" i="8"/>
  <c r="Q4" i="8"/>
  <c r="B4" i="8"/>
  <c r="AM60" i="8"/>
  <c r="AY60" i="8"/>
  <c r="O60" i="8"/>
  <c r="AN60" i="8"/>
  <c r="AZ60" i="8"/>
  <c r="P60" i="8"/>
  <c r="AO60" i="8"/>
  <c r="BA60" i="8"/>
  <c r="Q60" i="8"/>
  <c r="B60" i="8"/>
  <c r="AM59" i="8"/>
  <c r="AY59" i="8"/>
  <c r="O59" i="8"/>
  <c r="AN59" i="8"/>
  <c r="AZ59" i="8"/>
  <c r="P59" i="8"/>
  <c r="AO59" i="8"/>
  <c r="BA59" i="8"/>
  <c r="Q59" i="8"/>
  <c r="B59" i="8"/>
  <c r="AM58" i="8"/>
  <c r="AY58" i="8"/>
  <c r="O58" i="8"/>
  <c r="AN58" i="8"/>
  <c r="AZ58" i="8"/>
  <c r="P58" i="8"/>
  <c r="AO58" i="8"/>
  <c r="BA58" i="8"/>
  <c r="Q58" i="8"/>
  <c r="B58" i="8"/>
  <c r="AO57" i="8"/>
  <c r="BA57" i="8"/>
  <c r="Q57" i="8"/>
  <c r="B57" i="8"/>
  <c r="AM56" i="8"/>
  <c r="AY56" i="8"/>
  <c r="O56" i="8"/>
  <c r="AN56" i="8"/>
  <c r="AZ56" i="8"/>
  <c r="P56" i="8"/>
  <c r="AO56" i="8"/>
  <c r="BA56" i="8"/>
  <c r="Q56" i="8"/>
  <c r="B56" i="8"/>
  <c r="AM55" i="8"/>
  <c r="AY55" i="8"/>
  <c r="O55" i="8"/>
  <c r="AN55" i="8"/>
  <c r="AZ55" i="8"/>
  <c r="P55" i="8"/>
  <c r="AO55" i="8"/>
  <c r="BA55" i="8"/>
  <c r="Q55" i="8"/>
  <c r="B55" i="8"/>
  <c r="AM54" i="8"/>
  <c r="AY54" i="8"/>
  <c r="O54" i="8"/>
  <c r="AN54" i="8"/>
  <c r="AZ54" i="8"/>
  <c r="P54" i="8"/>
  <c r="AO54" i="8"/>
  <c r="BA54" i="8"/>
  <c r="Q54" i="8"/>
  <c r="B54" i="8"/>
  <c r="AM53" i="8"/>
  <c r="AY53" i="8"/>
  <c r="O53" i="8"/>
  <c r="AN53" i="8"/>
  <c r="AZ53" i="8"/>
  <c r="P53" i="8"/>
  <c r="AO53" i="8"/>
  <c r="BA53" i="8"/>
  <c r="Q53" i="8"/>
  <c r="B53" i="8"/>
  <c r="AM52" i="8"/>
  <c r="AY52" i="8"/>
  <c r="O52" i="8"/>
  <c r="AN52" i="8"/>
  <c r="AZ52" i="8"/>
  <c r="P52" i="8"/>
  <c r="AO52" i="8"/>
  <c r="BA52" i="8"/>
  <c r="Q52" i="8"/>
  <c r="B52" i="8"/>
  <c r="AM51" i="8"/>
  <c r="AY51" i="8"/>
  <c r="O51" i="8"/>
  <c r="AN51" i="8"/>
  <c r="AZ51" i="8"/>
  <c r="P51" i="8"/>
  <c r="AO51" i="8"/>
  <c r="BA51" i="8"/>
  <c r="Q51" i="8"/>
  <c r="B51" i="8"/>
  <c r="AM50" i="8"/>
  <c r="AY50" i="8"/>
  <c r="O50" i="8"/>
  <c r="AN50" i="8"/>
  <c r="AZ50" i="8"/>
  <c r="P50" i="8"/>
  <c r="AO50" i="8"/>
  <c r="BA50" i="8"/>
  <c r="Q50" i="8"/>
  <c r="B50" i="8"/>
  <c r="AM49" i="8"/>
  <c r="AY49" i="8"/>
  <c r="O49" i="8"/>
  <c r="AN49" i="8"/>
  <c r="AZ49" i="8"/>
  <c r="P49" i="8"/>
  <c r="AO49" i="8"/>
  <c r="BA49" i="8"/>
  <c r="Q49" i="8"/>
  <c r="B49" i="8"/>
  <c r="AM48" i="8"/>
  <c r="AY48" i="8"/>
  <c r="O48" i="8"/>
  <c r="AN48" i="8"/>
  <c r="AZ48" i="8"/>
  <c r="P48" i="8"/>
  <c r="AO48" i="8"/>
  <c r="BA48" i="8"/>
  <c r="Q48" i="8"/>
  <c r="B48" i="8"/>
  <c r="AM3" i="8"/>
  <c r="AY3" i="8"/>
  <c r="O3" i="8"/>
  <c r="AN3" i="8"/>
  <c r="AZ3" i="8"/>
  <c r="P3" i="8"/>
  <c r="AO3" i="8"/>
  <c r="BA3" i="8"/>
  <c r="Q3" i="8"/>
  <c r="B3" i="8"/>
  <c r="AM47" i="8"/>
  <c r="AY47" i="8"/>
  <c r="O47" i="8"/>
  <c r="AN47" i="8"/>
  <c r="AZ47" i="8"/>
  <c r="P47" i="8"/>
  <c r="AO47" i="8"/>
  <c r="BA47" i="8"/>
  <c r="Q47" i="8"/>
  <c r="B47" i="8"/>
  <c r="AM46" i="8"/>
  <c r="AY46" i="8"/>
  <c r="O46" i="8"/>
  <c r="AN46" i="8"/>
  <c r="AZ46" i="8"/>
  <c r="P46" i="8"/>
  <c r="AO46" i="8"/>
  <c r="BA46" i="8"/>
  <c r="Q46" i="8"/>
  <c r="B46" i="8"/>
  <c r="AM45" i="8"/>
  <c r="AY45" i="8"/>
  <c r="O45" i="8"/>
  <c r="AN45" i="8"/>
  <c r="AZ45" i="8"/>
  <c r="P45" i="8"/>
  <c r="AO45" i="8"/>
  <c r="BA45" i="8"/>
  <c r="Q45" i="8"/>
  <c r="B45" i="8"/>
  <c r="AM99" i="8"/>
  <c r="AY99" i="8"/>
  <c r="O99" i="8"/>
  <c r="AN99" i="8"/>
  <c r="AZ99" i="8"/>
  <c r="P99" i="8"/>
  <c r="AO99" i="8"/>
  <c r="BA99" i="8"/>
  <c r="Q99" i="8"/>
  <c r="B99" i="8"/>
  <c r="AM98" i="8"/>
  <c r="AY98" i="8"/>
  <c r="O98" i="8"/>
  <c r="AN98" i="8"/>
  <c r="AZ98" i="8"/>
  <c r="P98" i="8"/>
  <c r="B98" i="8"/>
  <c r="AM97" i="8"/>
  <c r="AY97" i="8"/>
  <c r="O97" i="8"/>
  <c r="AN97" i="8"/>
  <c r="AZ97" i="8"/>
  <c r="P97" i="8"/>
  <c r="B97" i="8"/>
  <c r="AM96" i="8"/>
  <c r="AY96" i="8"/>
  <c r="O96" i="8"/>
  <c r="AN96" i="8"/>
  <c r="AZ96" i="8"/>
  <c r="P96" i="8"/>
  <c r="AO96" i="8"/>
  <c r="BA96" i="8"/>
  <c r="Q96" i="8"/>
  <c r="B96" i="8"/>
  <c r="AM95" i="8"/>
  <c r="AY95" i="8"/>
  <c r="O95" i="8"/>
  <c r="AN95" i="8"/>
  <c r="AZ95" i="8"/>
  <c r="P95" i="8"/>
  <c r="AO95" i="8"/>
  <c r="BA95" i="8"/>
  <c r="Q95" i="8"/>
  <c r="B95" i="8"/>
  <c r="AM94" i="8"/>
  <c r="AY94" i="8"/>
  <c r="O94" i="8"/>
  <c r="AN94" i="8"/>
  <c r="AZ94" i="8"/>
  <c r="P94" i="8"/>
  <c r="AO94" i="8"/>
  <c r="BA94" i="8"/>
  <c r="Q94" i="8"/>
  <c r="B94" i="8"/>
  <c r="AM93" i="8"/>
  <c r="AY93" i="8"/>
  <c r="O93" i="8"/>
  <c r="AN93" i="8"/>
  <c r="AZ93" i="8"/>
  <c r="P93" i="8"/>
  <c r="AO93" i="8"/>
  <c r="BA93" i="8"/>
  <c r="Q93" i="8"/>
  <c r="B93" i="8"/>
  <c r="AM92" i="8"/>
  <c r="AY92" i="8"/>
  <c r="O92" i="8"/>
  <c r="AN92" i="8"/>
  <c r="AZ92" i="8"/>
  <c r="P92" i="8"/>
  <c r="AO92" i="8"/>
  <c r="BA92" i="8"/>
  <c r="Q92" i="8"/>
  <c r="B92" i="8"/>
  <c r="AM91" i="8"/>
  <c r="AY91" i="8"/>
  <c r="O91" i="8"/>
  <c r="AN91" i="8"/>
  <c r="AZ91" i="8"/>
  <c r="P91" i="8"/>
  <c r="AO91" i="8"/>
  <c r="BA91" i="8"/>
  <c r="Q91" i="8"/>
  <c r="B91" i="8"/>
  <c r="AM90" i="8"/>
  <c r="AY90" i="8"/>
  <c r="O90" i="8"/>
  <c r="AN90" i="8"/>
  <c r="AZ90" i="8"/>
  <c r="P90" i="8"/>
  <c r="AO90" i="8"/>
  <c r="BA90" i="8"/>
  <c r="Q90" i="8"/>
  <c r="B90" i="8"/>
  <c r="AM89" i="8"/>
  <c r="AY89" i="8"/>
  <c r="O89" i="8"/>
  <c r="AN89" i="8"/>
  <c r="AZ89" i="8"/>
  <c r="P89" i="8"/>
  <c r="AO89" i="8"/>
  <c r="BA89" i="8"/>
  <c r="Q89" i="8"/>
  <c r="B89" i="8"/>
  <c r="AM88" i="8"/>
  <c r="AY88" i="8"/>
  <c r="O88" i="8"/>
  <c r="AN88" i="8"/>
  <c r="AZ88" i="8"/>
  <c r="P88" i="8"/>
  <c r="AO88" i="8"/>
  <c r="BA88" i="8"/>
  <c r="Q88" i="8"/>
  <c r="B88" i="8"/>
  <c r="AM87" i="8"/>
  <c r="AY87" i="8"/>
  <c r="O87" i="8"/>
  <c r="AN87" i="8"/>
  <c r="AZ87" i="8"/>
  <c r="P87" i="8"/>
  <c r="AO87" i="8"/>
  <c r="BA87" i="8"/>
  <c r="Q87" i="8"/>
  <c r="B87" i="8"/>
  <c r="AM86" i="8"/>
  <c r="AY86" i="8"/>
  <c r="O86" i="8"/>
  <c r="AN86" i="8"/>
  <c r="AZ86" i="8"/>
  <c r="P86" i="8"/>
  <c r="AO86" i="8"/>
  <c r="BA86" i="8"/>
  <c r="Q86" i="8"/>
  <c r="B86" i="8"/>
  <c r="AM85" i="8"/>
  <c r="AY85" i="8"/>
  <c r="O85" i="8"/>
  <c r="AN85" i="8"/>
  <c r="AZ85" i="8"/>
  <c r="P85" i="8"/>
  <c r="AO85" i="8"/>
  <c r="BA85" i="8"/>
  <c r="Q85" i="8"/>
  <c r="B85" i="8"/>
  <c r="AM84" i="8"/>
  <c r="AY84" i="8"/>
  <c r="O84" i="8"/>
  <c r="AN84" i="8"/>
  <c r="AZ84" i="8"/>
  <c r="P84" i="8"/>
  <c r="AO84" i="8"/>
  <c r="BA84" i="8"/>
  <c r="Q84" i="8"/>
  <c r="B84" i="8"/>
  <c r="AM83" i="8"/>
  <c r="AY83" i="8"/>
  <c r="O83" i="8"/>
  <c r="AN83" i="8"/>
  <c r="AZ83" i="8"/>
  <c r="P83" i="8"/>
  <c r="AO83" i="8"/>
  <c r="BA83" i="8"/>
  <c r="Q83" i="8"/>
  <c r="B83" i="8"/>
  <c r="AM82" i="8"/>
  <c r="AY82" i="8"/>
  <c r="O82" i="8"/>
  <c r="AN82" i="8"/>
  <c r="AZ82" i="8"/>
  <c r="P82" i="8"/>
  <c r="AO82" i="8"/>
  <c r="BA82" i="8"/>
  <c r="Q82" i="8"/>
  <c r="B82" i="8"/>
  <c r="AM81" i="8"/>
  <c r="AY81" i="8"/>
  <c r="O81" i="8"/>
  <c r="AN81" i="8"/>
  <c r="AZ81" i="8"/>
  <c r="P81" i="8"/>
  <c r="AO81" i="8"/>
  <c r="BA81" i="8"/>
  <c r="Q81" i="8"/>
  <c r="B81" i="8"/>
  <c r="AM80" i="8"/>
  <c r="AY80" i="8"/>
  <c r="O80" i="8"/>
  <c r="AN80" i="8"/>
  <c r="AZ80" i="8"/>
  <c r="P80" i="8"/>
  <c r="AO80" i="8"/>
  <c r="BA80" i="8"/>
  <c r="Q80" i="8"/>
  <c r="B80" i="8"/>
  <c r="AM79" i="8"/>
  <c r="AY79" i="8"/>
  <c r="O79" i="8"/>
  <c r="AN79" i="8"/>
  <c r="AZ79" i="8"/>
  <c r="P79" i="8"/>
  <c r="AO79" i="8"/>
  <c r="BA79" i="8"/>
  <c r="Q79" i="8"/>
  <c r="B79" i="8"/>
  <c r="AM7" i="8"/>
  <c r="AY7" i="8"/>
  <c r="O7" i="8"/>
  <c r="AN7" i="8"/>
  <c r="AZ7" i="8"/>
  <c r="P7" i="8"/>
  <c r="AO7" i="8"/>
  <c r="BA7" i="8"/>
  <c r="Q7" i="8"/>
  <c r="B7" i="8"/>
  <c r="AM6" i="8"/>
  <c r="AY6" i="8"/>
  <c r="O6" i="8"/>
  <c r="AN6" i="8"/>
  <c r="AZ6" i="8"/>
  <c r="P6" i="8"/>
  <c r="AO6" i="8"/>
  <c r="BA6" i="8"/>
  <c r="Q6" i="8"/>
  <c r="B6" i="8"/>
  <c r="AM78" i="8"/>
  <c r="AY78" i="8"/>
  <c r="O78" i="8"/>
  <c r="AN78" i="8"/>
  <c r="AZ78" i="8"/>
  <c r="P78" i="8"/>
  <c r="AO78" i="8"/>
  <c r="BA78" i="8"/>
  <c r="Q78" i="8"/>
  <c r="B78" i="8"/>
  <c r="AO77" i="8"/>
  <c r="BA77" i="8"/>
  <c r="Q77" i="8"/>
  <c r="B77" i="8"/>
  <c r="AM76" i="8"/>
  <c r="AY76" i="8"/>
  <c r="O76" i="8"/>
  <c r="AN76" i="8"/>
  <c r="AZ76" i="8"/>
  <c r="P76" i="8"/>
  <c r="AO76" i="8"/>
  <c r="BA76" i="8"/>
  <c r="Q76" i="8"/>
  <c r="B76" i="8"/>
  <c r="AO75" i="8"/>
  <c r="BA75" i="8"/>
  <c r="Q75" i="8"/>
  <c r="B75" i="8"/>
  <c r="AM74" i="8"/>
  <c r="AY74" i="8"/>
  <c r="O74" i="8"/>
  <c r="AN74" i="8"/>
  <c r="AZ74" i="8"/>
  <c r="P74" i="8"/>
  <c r="AO74" i="8"/>
  <c r="BA74" i="8"/>
  <c r="Q74" i="8"/>
  <c r="B74" i="8"/>
  <c r="AM73" i="8"/>
  <c r="AY73" i="8"/>
  <c r="O73" i="8"/>
  <c r="AN73" i="8"/>
  <c r="AZ73" i="8"/>
  <c r="P73" i="8"/>
  <c r="AO73" i="8"/>
  <c r="BA73" i="8"/>
  <c r="Q73" i="8"/>
  <c r="B73" i="8"/>
  <c r="AM72" i="8"/>
  <c r="AY72" i="8"/>
  <c r="O72" i="8"/>
  <c r="AN72" i="8"/>
  <c r="AZ72" i="8"/>
  <c r="P72" i="8"/>
  <c r="AO72" i="8"/>
  <c r="BA72" i="8"/>
  <c r="Q72" i="8"/>
  <c r="B72" i="8"/>
  <c r="AM44" i="8"/>
  <c r="AY44" i="8"/>
  <c r="O44" i="8"/>
  <c r="AN44" i="8"/>
  <c r="AZ44" i="8"/>
  <c r="P44" i="8"/>
  <c r="AO44" i="8"/>
  <c r="BA44" i="8"/>
  <c r="Q44" i="8"/>
  <c r="B44" i="8"/>
  <c r="AM43" i="8"/>
  <c r="AY43" i="8"/>
  <c r="O43" i="8"/>
  <c r="AN43" i="8"/>
  <c r="AZ43" i="8"/>
  <c r="P43" i="8"/>
  <c r="AO43" i="8"/>
  <c r="BA43" i="8"/>
  <c r="Q43" i="8"/>
  <c r="B43" i="8"/>
  <c r="AM42" i="8"/>
  <c r="AY42" i="8"/>
  <c r="O42" i="8"/>
  <c r="AN42" i="8"/>
  <c r="AZ42" i="8"/>
  <c r="P42" i="8"/>
  <c r="AO42" i="8"/>
  <c r="BA42" i="8"/>
  <c r="Q42" i="8"/>
  <c r="B42" i="8"/>
  <c r="AM2" i="8"/>
  <c r="AY2" i="8"/>
  <c r="O2" i="8"/>
  <c r="AN2" i="8"/>
  <c r="AZ2" i="8"/>
  <c r="P2" i="8"/>
  <c r="AO2" i="8"/>
  <c r="BA2" i="8"/>
  <c r="Q2" i="8"/>
  <c r="B2" i="8"/>
  <c r="AM41" i="8"/>
  <c r="AY41" i="8"/>
  <c r="O41" i="8"/>
  <c r="AN41" i="8"/>
  <c r="AZ41" i="8"/>
  <c r="P41" i="8"/>
  <c r="AO41" i="8"/>
  <c r="BA41" i="8"/>
  <c r="Q41" i="8"/>
  <c r="B41" i="8"/>
  <c r="AO40" i="8"/>
  <c r="BA40" i="8"/>
  <c r="Q40" i="8"/>
  <c r="B40" i="8"/>
  <c r="AM39" i="8"/>
  <c r="AY39" i="8"/>
  <c r="O39" i="8"/>
  <c r="AN39" i="8"/>
  <c r="AZ39" i="8"/>
  <c r="P39" i="8"/>
  <c r="AO39" i="8"/>
  <c r="BA39" i="8"/>
  <c r="Q39" i="8"/>
  <c r="B39" i="8"/>
  <c r="BL54" i="2"/>
  <c r="BL55" i="2"/>
  <c r="BL56" i="2"/>
  <c r="BL66" i="2"/>
  <c r="BK54" i="2"/>
  <c r="BK55" i="2"/>
  <c r="BK56" i="2"/>
  <c r="BK66" i="2"/>
  <c r="BJ54" i="2"/>
  <c r="BJ55" i="2"/>
  <c r="BJ56" i="2"/>
  <c r="BJ66" i="2"/>
  <c r="W39" i="2"/>
  <c r="W9" i="2"/>
  <c r="W5" i="2"/>
  <c r="W36" i="2"/>
  <c r="W37" i="2"/>
  <c r="W6" i="2"/>
  <c r="W25" i="2"/>
  <c r="W21" i="2"/>
  <c r="W30" i="2"/>
  <c r="W31" i="2"/>
  <c r="W29" i="2"/>
  <c r="W14" i="2"/>
  <c r="W13" i="2"/>
  <c r="W7" i="2"/>
  <c r="W10" i="2"/>
  <c r="W8" i="2"/>
  <c r="W33" i="2"/>
  <c r="W32" i="2"/>
  <c r="W28" i="2"/>
  <c r="W15" i="2"/>
  <c r="W23" i="2"/>
  <c r="W12" i="2"/>
  <c r="BI54" i="2"/>
  <c r="BI55" i="2"/>
  <c r="BI56" i="2"/>
  <c r="BI66" i="2"/>
  <c r="V39" i="2"/>
  <c r="V9" i="2"/>
  <c r="V5" i="2"/>
  <c r="V36" i="2"/>
  <c r="V37" i="2"/>
  <c r="V25" i="2"/>
  <c r="V30" i="2"/>
  <c r="V31" i="2"/>
  <c r="V14" i="2"/>
  <c r="V13" i="2"/>
  <c r="V7" i="2"/>
  <c r="V10" i="2"/>
  <c r="V8" i="2"/>
  <c r="V33" i="2"/>
  <c r="V32" i="2"/>
  <c r="V28" i="2"/>
  <c r="V23" i="2"/>
  <c r="V12" i="2"/>
  <c r="BH54" i="2"/>
  <c r="BH55" i="2"/>
  <c r="BH56" i="2"/>
  <c r="BH66" i="2"/>
  <c r="U39" i="2"/>
  <c r="U9" i="2"/>
  <c r="U5" i="2"/>
  <c r="U36" i="2"/>
  <c r="U37" i="2"/>
  <c r="U6" i="2"/>
  <c r="U25" i="2"/>
  <c r="U30" i="2"/>
  <c r="U31" i="2"/>
  <c r="U29" i="2"/>
  <c r="U14" i="2"/>
  <c r="U13" i="2"/>
  <c r="U7" i="2"/>
  <c r="U10" i="2"/>
  <c r="U8" i="2"/>
  <c r="U33" i="2"/>
  <c r="U32" i="2"/>
  <c r="U28" i="2"/>
  <c r="U23" i="2"/>
  <c r="U12" i="2"/>
  <c r="BG54" i="2"/>
  <c r="BG55" i="2"/>
  <c r="BG56" i="2"/>
  <c r="BG66" i="2"/>
  <c r="AM26" i="2"/>
  <c r="AM25" i="2"/>
  <c r="AM14" i="2"/>
  <c r="AM9" i="2"/>
  <c r="AM7" i="2"/>
  <c r="AM10" i="2"/>
  <c r="AM8" i="2"/>
  <c r="AM6" i="2"/>
  <c r="AM24" i="2"/>
  <c r="AM5" i="2"/>
  <c r="AM13" i="2"/>
  <c r="AM4" i="2"/>
  <c r="AM33" i="2"/>
  <c r="AM35" i="2"/>
  <c r="AM15" i="2"/>
  <c r="AM12" i="2"/>
  <c r="AM20" i="2"/>
  <c r="AM34" i="2"/>
  <c r="AM27" i="2"/>
  <c r="AM40" i="2"/>
  <c r="AM38" i="2"/>
  <c r="AM19" i="2"/>
  <c r="AM36" i="2"/>
  <c r="AM37" i="2"/>
  <c r="AM31" i="2"/>
  <c r="AM28" i="2"/>
  <c r="AM21" i="2"/>
  <c r="AM29" i="2"/>
  <c r="AM30" i="2"/>
  <c r="AM32" i="2"/>
  <c r="AM39" i="2"/>
  <c r="AI100" i="4"/>
  <c r="AI237" i="4"/>
  <c r="AI227" i="4"/>
  <c r="AI226" i="4"/>
  <c r="AI212" i="4"/>
  <c r="AI25" i="4"/>
  <c r="AI255" i="4"/>
  <c r="AI210" i="4"/>
  <c r="AI209" i="4"/>
  <c r="AI208" i="4"/>
  <c r="AI207" i="4"/>
  <c r="AI180" i="4"/>
  <c r="AI172" i="4"/>
  <c r="AI158" i="4"/>
  <c r="AI157" i="4"/>
  <c r="AI156" i="4"/>
  <c r="AI143" i="4"/>
  <c r="AI136" i="4"/>
  <c r="AI130" i="4"/>
  <c r="AI129" i="4"/>
  <c r="AI15" i="4"/>
  <c r="AI265" i="4"/>
  <c r="AI86" i="4"/>
  <c r="AI85" i="4"/>
  <c r="AI295" i="4"/>
  <c r="AI276" i="4"/>
  <c r="AI268" i="4"/>
  <c r="AI170" i="4"/>
  <c r="AI106" i="4"/>
  <c r="AI105" i="4"/>
  <c r="AI104" i="4"/>
  <c r="AI93" i="4"/>
  <c r="AI92" i="4"/>
  <c r="AI91" i="4"/>
  <c r="AI77" i="4"/>
  <c r="AI230" i="4"/>
  <c r="AI294" i="4"/>
  <c r="AI197" i="4"/>
  <c r="AI183" i="4"/>
  <c r="AI181" i="4"/>
  <c r="AI178" i="4"/>
  <c r="AI162" i="4"/>
  <c r="AI138" i="4"/>
  <c r="AI133" i="4"/>
  <c r="AI128" i="4"/>
  <c r="AI126" i="4"/>
  <c r="AI123" i="4"/>
  <c r="AI87" i="4"/>
  <c r="AI76" i="4"/>
  <c r="AI73" i="4"/>
  <c r="AI72" i="4"/>
  <c r="AI71" i="4"/>
  <c r="AI9" i="4"/>
  <c r="AI70" i="4"/>
  <c r="AI262" i="4"/>
  <c r="AI249" i="4"/>
  <c r="AI13" i="4"/>
  <c r="AI113" i="4"/>
  <c r="AI259" i="4"/>
  <c r="AI11" i="4"/>
  <c r="AI10" i="4"/>
  <c r="AI90" i="4"/>
  <c r="AI250" i="4"/>
  <c r="AI258" i="4"/>
  <c r="AI84" i="4"/>
  <c r="AI257" i="4"/>
  <c r="AI256" i="4"/>
  <c r="AI83" i="4"/>
  <c r="AI82" i="4"/>
  <c r="AI81" i="4"/>
  <c r="AI80" i="4"/>
  <c r="AI264" i="4"/>
  <c r="AI79" i="4"/>
  <c r="AI263" i="4"/>
  <c r="AI52" i="4"/>
  <c r="AI261" i="4"/>
  <c r="AI238" i="4"/>
  <c r="AI228" i="4"/>
  <c r="AI224" i="4"/>
  <c r="AI215" i="4"/>
  <c r="AI214" i="4"/>
  <c r="AI213" i="4"/>
  <c r="AI153" i="4"/>
  <c r="AI150" i="4"/>
  <c r="AI139" i="4"/>
  <c r="AI121" i="4"/>
  <c r="AI125" i="4"/>
  <c r="AI222" i="4"/>
  <c r="AI219" i="4"/>
  <c r="AI196" i="4"/>
  <c r="AI195" i="4"/>
  <c r="AI194" i="4"/>
  <c r="AI193" i="4"/>
  <c r="AI192" i="4"/>
  <c r="AI187" i="4"/>
  <c r="AI142" i="4"/>
  <c r="AI117" i="4"/>
  <c r="AI14" i="4"/>
  <c r="AI112" i="4"/>
  <c r="AI229" i="4"/>
  <c r="AI8" i="4"/>
  <c r="AI293" i="4"/>
  <c r="AI292" i="4"/>
  <c r="AI291" i="4"/>
  <c r="AI7" i="4"/>
  <c r="AI6" i="4"/>
  <c r="AI289" i="4"/>
  <c r="AI288" i="4"/>
  <c r="AI287" i="4"/>
  <c r="AI286" i="4"/>
  <c r="AI285" i="4"/>
  <c r="AI5" i="4"/>
  <c r="AI284" i="4"/>
  <c r="AI283" i="4"/>
  <c r="AI191" i="4"/>
  <c r="AI280" i="4"/>
  <c r="AI279" i="4"/>
  <c r="AI278" i="4"/>
  <c r="AI190" i="4"/>
  <c r="AI189" i="4"/>
  <c r="AI155" i="4"/>
  <c r="AI151" i="4"/>
  <c r="AI277" i="4"/>
  <c r="AI149" i="4"/>
  <c r="AI145" i="4"/>
  <c r="AI141" i="4"/>
  <c r="AI132" i="4"/>
  <c r="AI3" i="4"/>
  <c r="AI271" i="4"/>
  <c r="AI269" i="4"/>
  <c r="AI266" i="4"/>
  <c r="AI111" i="4"/>
  <c r="AI99" i="4"/>
  <c r="AI78" i="4"/>
  <c r="AI74" i="4"/>
  <c r="AI218" i="4"/>
  <c r="AI217" i="4"/>
  <c r="AI26" i="4"/>
  <c r="AI216" i="4"/>
  <c r="AI211" i="4"/>
  <c r="AI179" i="4"/>
  <c r="AI167" i="4"/>
  <c r="AI166" i="4"/>
  <c r="AI165" i="4"/>
  <c r="AI146" i="4"/>
  <c r="AI144" i="4"/>
  <c r="AI140" i="4"/>
  <c r="AI131" i="4"/>
  <c r="AI124" i="4"/>
  <c r="AI102" i="4"/>
  <c r="AI101" i="4"/>
  <c r="AI235" i="4"/>
  <c r="AI221" i="4"/>
  <c r="AI220" i="4"/>
  <c r="AI200" i="4"/>
  <c r="AI199" i="4"/>
  <c r="AI282" i="4"/>
  <c r="AI177" i="4"/>
  <c r="AI35" i="4"/>
  <c r="AI34" i="4"/>
  <c r="AI233" i="4"/>
  <c r="AI232" i="4"/>
  <c r="AI203" i="4"/>
  <c r="AI202" i="4"/>
  <c r="AI2" i="4"/>
  <c r="AI75" i="4"/>
  <c r="AI206" i="4"/>
  <c r="AI201" i="4"/>
  <c r="AI188" i="4"/>
  <c r="AI185" i="4"/>
  <c r="AI184" i="4"/>
  <c r="AI182" i="4"/>
  <c r="AI171" i="4"/>
  <c r="AI169" i="4"/>
  <c r="AI137" i="4"/>
  <c r="AI12" i="4"/>
  <c r="AI108" i="4"/>
  <c r="AI103" i="4"/>
  <c r="AI98" i="4"/>
  <c r="AI97" i="4"/>
  <c r="AI248" i="4"/>
  <c r="AI33" i="4"/>
  <c r="AI246" i="4"/>
  <c r="AI236" i="4"/>
  <c r="AI234" i="4"/>
  <c r="AI204" i="4"/>
  <c r="AI281" i="4"/>
  <c r="AI176" i="4"/>
  <c r="AI161" i="4"/>
  <c r="AI267" i="4"/>
  <c r="AI115" i="4"/>
  <c r="AI110" i="4"/>
  <c r="AI109" i="4"/>
  <c r="AI164" i="4"/>
  <c r="AI152" i="4"/>
  <c r="AI252" i="4"/>
  <c r="AI122" i="4"/>
  <c r="AI43" i="4"/>
  <c r="AI42" i="4"/>
  <c r="AI41" i="4"/>
  <c r="AI247" i="4"/>
  <c r="AI223" i="4"/>
  <c r="AI175" i="4"/>
  <c r="AI168" i="4"/>
  <c r="AI163" i="4"/>
  <c r="AI107" i="4"/>
  <c r="AI51" i="4"/>
  <c r="AI50" i="4"/>
  <c r="AI49" i="4"/>
  <c r="AI48" i="4"/>
  <c r="AI186" i="4"/>
  <c r="AI174" i="4"/>
  <c r="AI173" i="4"/>
  <c r="AI59" i="4"/>
  <c r="AI32" i="4"/>
  <c r="AI231" i="4"/>
  <c r="AI31" i="4"/>
  <c r="AI30" i="4"/>
  <c r="AI29" i="4"/>
  <c r="AI147" i="4"/>
  <c r="AI127" i="4"/>
  <c r="AI245" i="4"/>
  <c r="AI244" i="4"/>
  <c r="AI243" i="4"/>
  <c r="AI242" i="4"/>
  <c r="AI241" i="4"/>
  <c r="AI240" i="4"/>
  <c r="AI225" i="4"/>
  <c r="AI120" i="4"/>
  <c r="AI116" i="4"/>
  <c r="AI63" i="4"/>
  <c r="AI60" i="4"/>
  <c r="AI47" i="4"/>
  <c r="AI46" i="4"/>
  <c r="AI45" i="4"/>
  <c r="AI40" i="4"/>
  <c r="AI39" i="4"/>
  <c r="AI38" i="4"/>
  <c r="AI37" i="4"/>
  <c r="AI21" i="4"/>
  <c r="AI198" i="4"/>
  <c r="AI290" i="4"/>
  <c r="AI24" i="4"/>
  <c r="AI23" i="4"/>
  <c r="AI205" i="4"/>
  <c r="AI22" i="4"/>
  <c r="AI20" i="4"/>
  <c r="AI19" i="4"/>
  <c r="AI154" i="4"/>
  <c r="AI275" i="4"/>
  <c r="AI274" i="4"/>
  <c r="AI148" i="4"/>
  <c r="AI134" i="4"/>
  <c r="AI95" i="4"/>
  <c r="AI251" i="4"/>
  <c r="AI65" i="4"/>
  <c r="AI64" i="4"/>
  <c r="AI260" i="4"/>
  <c r="AI254" i="4"/>
  <c r="AI253" i="4"/>
  <c r="AI58" i="4"/>
  <c r="AI56" i="4"/>
  <c r="AI55" i="4"/>
  <c r="AI18" i="4"/>
  <c r="AI17" i="4"/>
  <c r="AI16" i="4"/>
  <c r="AI135" i="4"/>
  <c r="AI272" i="4"/>
  <c r="AI89" i="4"/>
  <c r="AI88" i="4"/>
  <c r="AI270" i="4"/>
  <c r="AI118" i="4"/>
  <c r="AI4" i="4"/>
  <c r="AI119" i="4"/>
  <c r="AI159" i="4"/>
  <c r="AI57" i="4"/>
  <c r="AI54" i="4"/>
  <c r="AI53" i="4"/>
  <c r="AI239" i="4"/>
  <c r="AI28" i="4"/>
  <c r="AI27" i="4"/>
  <c r="AI160" i="4"/>
  <c r="AI273" i="4"/>
  <c r="AI114" i="4"/>
  <c r="AI96" i="4"/>
  <c r="AI94" i="4"/>
  <c r="AI69" i="4"/>
  <c r="AI68" i="4"/>
  <c r="AI67" i="4"/>
  <c r="AI66" i="4"/>
  <c r="AI62" i="4"/>
  <c r="AI61" i="4"/>
  <c r="AI44" i="4"/>
  <c r="AM23" i="2"/>
  <c r="AZ254" i="5"/>
  <c r="AZ265" i="5"/>
  <c r="AZ264" i="5"/>
  <c r="AZ263" i="5"/>
  <c r="AZ262" i="5"/>
  <c r="AZ261" i="5"/>
  <c r="AZ260" i="5"/>
  <c r="AZ259" i="5"/>
  <c r="AZ257" i="5"/>
  <c r="AZ256" i="5"/>
  <c r="AZ255" i="5"/>
  <c r="AZ253" i="5"/>
  <c r="AZ252" i="5"/>
  <c r="AZ251" i="5"/>
  <c r="AZ250" i="5"/>
  <c r="AZ249" i="5"/>
  <c r="AZ248" i="5"/>
  <c r="AZ247" i="5"/>
  <c r="AZ246" i="5"/>
  <c r="AZ245" i="5"/>
  <c r="AZ244" i="5"/>
  <c r="AZ241" i="5"/>
  <c r="AZ240" i="5"/>
  <c r="AZ242" i="5"/>
  <c r="AZ243" i="5"/>
  <c r="AZ58" i="5"/>
  <c r="AY58" i="5"/>
  <c r="AX58" i="5"/>
  <c r="AZ57" i="5"/>
  <c r="AY57" i="5"/>
  <c r="AX57" i="5"/>
  <c r="AZ60" i="5"/>
  <c r="AY60" i="5"/>
  <c r="AX60" i="5"/>
  <c r="AZ161" i="5"/>
  <c r="AY161" i="5"/>
  <c r="AX161" i="5"/>
  <c r="AZ115" i="5"/>
  <c r="AY115" i="5"/>
  <c r="AX115" i="5"/>
  <c r="AZ59" i="5"/>
  <c r="AY59" i="5"/>
  <c r="AX59" i="5"/>
  <c r="AZ97" i="5"/>
  <c r="AY97" i="5"/>
  <c r="AX97" i="5"/>
  <c r="AZ56" i="5"/>
  <c r="AY56" i="5"/>
  <c r="AX56" i="5"/>
  <c r="AZ66" i="5"/>
  <c r="AY66" i="5"/>
  <c r="AX66" i="5"/>
  <c r="AZ278" i="5"/>
  <c r="AY278" i="5"/>
  <c r="AX278" i="5"/>
  <c r="AZ65" i="5"/>
  <c r="AY65" i="5"/>
  <c r="AX65" i="5"/>
  <c r="AZ55" i="5"/>
  <c r="AY55" i="5"/>
  <c r="AX55" i="5"/>
  <c r="AZ67" i="5"/>
  <c r="AY67" i="5"/>
  <c r="AX67" i="5"/>
  <c r="AZ388" i="5"/>
  <c r="AY388" i="5"/>
  <c r="AX388" i="5"/>
  <c r="AZ280" i="5"/>
  <c r="AY280" i="5"/>
  <c r="AX280" i="5"/>
  <c r="AZ38" i="5"/>
  <c r="AY38" i="5"/>
  <c r="AX38" i="5"/>
  <c r="AZ286" i="5"/>
  <c r="AY286" i="5"/>
  <c r="AX286" i="5"/>
  <c r="AZ367" i="5"/>
  <c r="AY367" i="5"/>
  <c r="AX367" i="5"/>
  <c r="AZ281" i="5"/>
  <c r="AY281" i="5"/>
  <c r="AX281" i="5"/>
  <c r="AZ351" i="5"/>
  <c r="AY351" i="5"/>
  <c r="AX351" i="5"/>
  <c r="AZ113" i="5"/>
  <c r="AY113" i="5"/>
  <c r="AX113" i="5"/>
  <c r="AZ42" i="5"/>
  <c r="AY42" i="5"/>
  <c r="AX42" i="5"/>
  <c r="AZ41" i="5"/>
  <c r="AY41" i="5"/>
  <c r="AX41" i="5"/>
  <c r="AZ80" i="5"/>
  <c r="AY80" i="5"/>
  <c r="AX80" i="5"/>
  <c r="AZ39" i="5"/>
  <c r="AY39" i="5"/>
  <c r="AX39" i="5"/>
  <c r="AZ279" i="5"/>
  <c r="AY279" i="5"/>
  <c r="AX279" i="5"/>
  <c r="AZ44" i="5"/>
  <c r="AY44" i="5"/>
  <c r="AX44" i="5"/>
  <c r="AZ40" i="5"/>
  <c r="AY40" i="5"/>
  <c r="AX40" i="5"/>
  <c r="AZ68" i="5"/>
  <c r="AY68" i="5"/>
  <c r="AX68" i="5"/>
  <c r="AZ153" i="5"/>
  <c r="AY153" i="5"/>
  <c r="AX153" i="5"/>
  <c r="AZ223" i="5"/>
  <c r="AY223" i="5"/>
  <c r="AX223" i="5"/>
  <c r="AZ32" i="5"/>
  <c r="AY32" i="5"/>
  <c r="AX32" i="5"/>
  <c r="AZ198" i="5"/>
  <c r="AY198" i="5"/>
  <c r="AX198" i="5"/>
  <c r="AZ64" i="5"/>
  <c r="AY64" i="5"/>
  <c r="AX64" i="5"/>
  <c r="AZ45" i="5"/>
  <c r="AY45" i="5"/>
  <c r="AX45" i="5"/>
  <c r="AZ226" i="5"/>
  <c r="AY226" i="5"/>
  <c r="AX226" i="5"/>
  <c r="AZ122" i="5"/>
  <c r="AY122" i="5"/>
  <c r="AX122" i="5"/>
  <c r="AZ63" i="5"/>
  <c r="AY63" i="5"/>
  <c r="AX63" i="5"/>
  <c r="AZ71" i="5"/>
  <c r="AY71" i="5"/>
  <c r="AX71" i="5"/>
  <c r="AZ62" i="5"/>
  <c r="AY62" i="5"/>
  <c r="AX62" i="5"/>
  <c r="AZ49" i="5"/>
  <c r="AY49" i="5"/>
  <c r="AX49" i="5"/>
  <c r="AZ27" i="5"/>
  <c r="AY27" i="5"/>
  <c r="AX27" i="5"/>
  <c r="AZ34" i="5"/>
  <c r="AY34" i="5"/>
  <c r="AX34" i="5"/>
  <c r="AZ43" i="5"/>
  <c r="AY43" i="5"/>
  <c r="AX43" i="5"/>
  <c r="AZ35" i="5"/>
  <c r="AY35" i="5"/>
  <c r="AX35" i="5"/>
  <c r="AZ47" i="5"/>
  <c r="AY47" i="5"/>
  <c r="AX47" i="5"/>
  <c r="AZ69" i="5"/>
  <c r="AY69" i="5"/>
  <c r="AX69" i="5"/>
  <c r="AZ121" i="5"/>
  <c r="AY121" i="5"/>
  <c r="AX121" i="5"/>
  <c r="AZ26" i="5"/>
  <c r="AY26" i="5"/>
  <c r="AX26" i="5"/>
  <c r="AZ273" i="5"/>
  <c r="AY273" i="5"/>
  <c r="AX273" i="5"/>
  <c r="AZ48" i="5"/>
  <c r="AY48" i="5"/>
  <c r="AX48" i="5"/>
  <c r="AZ390" i="5"/>
  <c r="AY390" i="5"/>
  <c r="AX390" i="5"/>
  <c r="AZ96" i="5"/>
  <c r="AY96" i="5"/>
  <c r="AX96" i="5"/>
  <c r="AZ105" i="5"/>
  <c r="AY105" i="5"/>
  <c r="AX105" i="5"/>
  <c r="AZ150" i="5"/>
  <c r="AY150" i="5"/>
  <c r="AX150" i="5"/>
  <c r="AZ197" i="5"/>
  <c r="AY197" i="5"/>
  <c r="AX197" i="5"/>
  <c r="AY70" i="5"/>
  <c r="AX70" i="5"/>
  <c r="AZ151" i="5"/>
  <c r="AY151" i="5"/>
  <c r="AX151" i="5"/>
  <c r="AZ364" i="5"/>
  <c r="AY364" i="5"/>
  <c r="AX364" i="5"/>
  <c r="AZ90" i="5"/>
  <c r="AY90" i="5"/>
  <c r="AX90" i="5"/>
  <c r="AZ120" i="5"/>
  <c r="AY120" i="5"/>
  <c r="AX120" i="5"/>
  <c r="AZ98" i="5"/>
  <c r="AY98" i="5"/>
  <c r="AX98" i="5"/>
  <c r="AZ275" i="5"/>
  <c r="AY275" i="5"/>
  <c r="AX275" i="5"/>
  <c r="AZ224" i="5"/>
  <c r="AY224" i="5"/>
  <c r="AX224" i="5"/>
  <c r="AZ196" i="5"/>
  <c r="AY196" i="5"/>
  <c r="AX196" i="5"/>
  <c r="AZ194" i="5"/>
  <c r="AY194" i="5"/>
  <c r="AX194" i="5"/>
  <c r="AZ366" i="5"/>
  <c r="AY366" i="5"/>
  <c r="AX366" i="5"/>
  <c r="AZ397" i="5"/>
  <c r="AY397" i="5"/>
  <c r="AX397" i="5"/>
  <c r="AZ221" i="5"/>
  <c r="AY221" i="5"/>
  <c r="AX221" i="5"/>
  <c r="AZ33" i="5"/>
  <c r="AY33" i="5"/>
  <c r="AX33" i="5"/>
  <c r="AZ144" i="5"/>
  <c r="AY144" i="5"/>
  <c r="AX144" i="5"/>
  <c r="AZ46" i="5"/>
  <c r="AY46" i="5"/>
  <c r="AX46" i="5"/>
  <c r="AZ365" i="5"/>
  <c r="AY365" i="5"/>
  <c r="AX365" i="5"/>
  <c r="AZ147" i="5"/>
  <c r="AY147" i="5"/>
  <c r="AX147" i="5"/>
  <c r="AZ136" i="5"/>
  <c r="AY136" i="5"/>
  <c r="AX136" i="5"/>
  <c r="AZ352" i="5"/>
  <c r="AY352" i="5"/>
  <c r="AX352" i="5"/>
  <c r="AZ134" i="5"/>
  <c r="AY134" i="5"/>
  <c r="AX134" i="5"/>
  <c r="AY37" i="5"/>
  <c r="AZ357" i="5"/>
  <c r="AY357" i="5"/>
  <c r="AX357" i="5"/>
  <c r="AZ118" i="5"/>
  <c r="AY118" i="5"/>
  <c r="AX118" i="5"/>
  <c r="AZ228" i="5"/>
  <c r="AY228" i="5"/>
  <c r="AX228" i="5"/>
  <c r="AZ163" i="5"/>
  <c r="AY163" i="5"/>
  <c r="AX163" i="5"/>
  <c r="AZ359" i="5"/>
  <c r="AY359" i="5"/>
  <c r="AX359" i="5"/>
  <c r="AZ231" i="5"/>
  <c r="AY231" i="5"/>
  <c r="AX231" i="5"/>
  <c r="AZ207" i="5"/>
  <c r="AY207" i="5"/>
  <c r="AX207" i="5"/>
  <c r="AZ200" i="5"/>
  <c r="AY200" i="5"/>
  <c r="AX200" i="5"/>
  <c r="AZ266" i="5"/>
  <c r="AY266" i="5"/>
  <c r="AX266" i="5"/>
  <c r="AZ154" i="5"/>
  <c r="AY154" i="5"/>
  <c r="AX154" i="5"/>
  <c r="AZ116" i="5"/>
  <c r="AY116" i="5"/>
  <c r="AX116" i="5"/>
  <c r="AZ272" i="5"/>
  <c r="AY272" i="5"/>
  <c r="AX272" i="5"/>
  <c r="AZ271" i="5"/>
  <c r="AY271" i="5"/>
  <c r="AX271" i="5"/>
  <c r="AZ270" i="5"/>
  <c r="AY270" i="5"/>
  <c r="AX270" i="5"/>
  <c r="AY22" i="5"/>
  <c r="AY175" i="5"/>
  <c r="AZ124" i="5"/>
  <c r="AY124" i="5"/>
  <c r="AX124" i="5"/>
  <c r="AZ30" i="5"/>
  <c r="AY30" i="5"/>
  <c r="AX30" i="5"/>
  <c r="AY188" i="5"/>
  <c r="AY149" i="5"/>
  <c r="AY129" i="5"/>
  <c r="AZ91" i="5"/>
  <c r="AY91" i="5"/>
  <c r="AX91" i="5"/>
  <c r="AZ268" i="5"/>
  <c r="AY268" i="5"/>
  <c r="AX268" i="5"/>
  <c r="AZ384" i="5"/>
  <c r="AY384" i="5"/>
  <c r="AX384" i="5"/>
  <c r="AZ179" i="5"/>
  <c r="AY179" i="5"/>
  <c r="AX179" i="5"/>
  <c r="AY176" i="5"/>
  <c r="AZ383" i="5"/>
  <c r="AY383" i="5"/>
  <c r="AX383" i="5"/>
  <c r="AZ193" i="5"/>
  <c r="AY193" i="5"/>
  <c r="AX193" i="5"/>
  <c r="AZ157" i="5"/>
  <c r="AY157" i="5"/>
  <c r="AX157" i="5"/>
  <c r="AZ137" i="5"/>
  <c r="AY137" i="5"/>
  <c r="AX137" i="5"/>
  <c r="AZ127" i="5"/>
  <c r="AY127" i="5"/>
  <c r="AX127" i="5"/>
  <c r="AZ126" i="5"/>
  <c r="AY126" i="5"/>
  <c r="AX126" i="5"/>
  <c r="AZ348" i="5"/>
  <c r="AY348" i="5"/>
  <c r="AX348" i="5"/>
  <c r="AZ76" i="5"/>
  <c r="AY76" i="5"/>
  <c r="AX76" i="5"/>
  <c r="AZ74" i="5"/>
  <c r="AY74" i="5"/>
  <c r="AX74" i="5"/>
  <c r="AZ36" i="5"/>
  <c r="AY36" i="5"/>
  <c r="AX36" i="5"/>
  <c r="AZ282" i="5"/>
  <c r="AY282" i="5"/>
  <c r="AX282" i="5"/>
  <c r="AZ211" i="5"/>
  <c r="AY211" i="5"/>
  <c r="AX211" i="5"/>
  <c r="AZ379" i="5"/>
  <c r="AY379" i="5"/>
  <c r="AX379" i="5"/>
  <c r="AZ11" i="5"/>
  <c r="AY11" i="5"/>
  <c r="AX11" i="5"/>
  <c r="AZ10" i="5"/>
  <c r="AY10" i="5"/>
  <c r="AX10" i="5"/>
  <c r="AZ9" i="5"/>
  <c r="AY9" i="5"/>
  <c r="AX9" i="5"/>
  <c r="AZ368" i="5"/>
  <c r="AY368" i="5"/>
  <c r="AX368" i="5"/>
  <c r="AZ31" i="5"/>
  <c r="AY31" i="5"/>
  <c r="AX31" i="5"/>
  <c r="AZ6" i="5"/>
  <c r="AY6" i="5"/>
  <c r="AX6" i="5"/>
  <c r="AZ73" i="5"/>
  <c r="AY73" i="5"/>
  <c r="AX73" i="5"/>
  <c r="AZ236" i="5"/>
  <c r="AY236" i="5"/>
  <c r="AX236" i="5"/>
  <c r="AZ393" i="5"/>
  <c r="AY393" i="5"/>
  <c r="AX393" i="5"/>
  <c r="AZ392" i="5"/>
  <c r="AY392" i="5"/>
  <c r="AX392" i="5"/>
  <c r="AZ29" i="5"/>
  <c r="AY29" i="5"/>
  <c r="AX29" i="5"/>
  <c r="AZ385" i="5"/>
  <c r="AY385" i="5"/>
  <c r="AX385" i="5"/>
  <c r="AZ195" i="5"/>
  <c r="AY195" i="5"/>
  <c r="AX195" i="5"/>
  <c r="AZ380" i="5"/>
  <c r="AY380" i="5"/>
  <c r="AX380" i="5"/>
  <c r="AZ378" i="5"/>
  <c r="AY378" i="5"/>
  <c r="AX378" i="5"/>
  <c r="AZ190" i="5"/>
  <c r="AY190" i="5"/>
  <c r="AX190" i="5"/>
  <c r="AZ172" i="5"/>
  <c r="AY172" i="5"/>
  <c r="AX172" i="5"/>
  <c r="AZ156" i="5"/>
  <c r="AY156" i="5"/>
  <c r="AX156" i="5"/>
  <c r="AZ142" i="5"/>
  <c r="AY142" i="5"/>
  <c r="AX142" i="5"/>
  <c r="AZ130" i="5"/>
  <c r="AY130" i="5"/>
  <c r="AX130" i="5"/>
  <c r="AZ112" i="5"/>
  <c r="AY112" i="5"/>
  <c r="AX112" i="5"/>
  <c r="AZ99" i="5"/>
  <c r="AY99" i="5"/>
  <c r="AX99" i="5"/>
  <c r="AZ88" i="5"/>
  <c r="AY88" i="5"/>
  <c r="AX88" i="5"/>
  <c r="AZ75" i="5"/>
  <c r="AY75" i="5"/>
  <c r="AX75" i="5"/>
  <c r="AZ239" i="5"/>
  <c r="AY239" i="5"/>
  <c r="AX239" i="5"/>
  <c r="AZ19" i="5"/>
  <c r="AY19" i="5"/>
  <c r="AX19" i="5"/>
  <c r="AZ18" i="5"/>
  <c r="AY18" i="5"/>
  <c r="AX18" i="5"/>
  <c r="AZ212" i="5"/>
  <c r="AY212" i="5"/>
  <c r="AX212" i="5"/>
  <c r="AZ12" i="5"/>
  <c r="AY12" i="5"/>
  <c r="AX12" i="5"/>
  <c r="AZ389" i="5"/>
  <c r="AY389" i="5"/>
  <c r="AX389" i="5"/>
  <c r="AZ387" i="5"/>
  <c r="AY387" i="5"/>
  <c r="AX387" i="5"/>
  <c r="AZ191" i="5"/>
  <c r="AY191" i="5"/>
  <c r="AX191" i="5"/>
  <c r="AZ189" i="5"/>
  <c r="AY189" i="5"/>
  <c r="AX189" i="5"/>
  <c r="AZ169" i="5"/>
  <c r="AY169" i="5"/>
  <c r="AX169" i="5"/>
  <c r="AZ167" i="5"/>
  <c r="AY167" i="5"/>
  <c r="AX167" i="5"/>
  <c r="AZ152" i="5"/>
  <c r="AY152" i="5"/>
  <c r="AX152" i="5"/>
  <c r="AZ148" i="5"/>
  <c r="AY148" i="5"/>
  <c r="AX148" i="5"/>
  <c r="AZ141" i="5"/>
  <c r="AY141" i="5"/>
  <c r="AX141" i="5"/>
  <c r="AZ138" i="5"/>
  <c r="AY138" i="5"/>
  <c r="AX138" i="5"/>
  <c r="AZ133" i="5"/>
  <c r="AY133" i="5"/>
  <c r="AX133" i="5"/>
  <c r="AZ132" i="5"/>
  <c r="AY132" i="5"/>
  <c r="AX132" i="5"/>
  <c r="AZ8" i="5"/>
  <c r="AY8" i="5"/>
  <c r="AX8" i="5"/>
  <c r="AZ114" i="5"/>
  <c r="AY114" i="5"/>
  <c r="AX114" i="5"/>
  <c r="AZ100" i="5"/>
  <c r="AY100" i="5"/>
  <c r="AX100" i="5"/>
  <c r="AZ2" i="5"/>
  <c r="AY2" i="5"/>
  <c r="AX2" i="5"/>
  <c r="AZ72" i="5"/>
  <c r="AY72" i="5"/>
  <c r="AX72" i="5"/>
  <c r="AY233" i="5"/>
  <c r="AY24" i="5"/>
  <c r="AZ217" i="5"/>
  <c r="AY217" i="5"/>
  <c r="AX217" i="5"/>
  <c r="AZ216" i="5"/>
  <c r="AY216" i="5"/>
  <c r="AX216" i="5"/>
  <c r="AZ215" i="5"/>
  <c r="AY215" i="5"/>
  <c r="AX215" i="5"/>
  <c r="AZ213" i="5"/>
  <c r="AY213" i="5"/>
  <c r="AX213" i="5"/>
  <c r="AZ158" i="5"/>
  <c r="AY158" i="5"/>
  <c r="AX158" i="5"/>
  <c r="AZ143" i="5"/>
  <c r="AY143" i="5"/>
  <c r="AX143" i="5"/>
  <c r="AZ111" i="5"/>
  <c r="AY111" i="5"/>
  <c r="AX111" i="5"/>
  <c r="AZ101" i="5"/>
  <c r="AY101" i="5"/>
  <c r="AX101" i="5"/>
  <c r="AZ95" i="5"/>
  <c r="AY95" i="5"/>
  <c r="AX95" i="5"/>
  <c r="AZ87" i="5"/>
  <c r="AY87" i="5"/>
  <c r="AX87" i="5"/>
  <c r="AZ85" i="5"/>
  <c r="AY85" i="5"/>
  <c r="AX85" i="5"/>
  <c r="AZ82" i="5"/>
  <c r="AY82" i="5"/>
  <c r="AX82" i="5"/>
  <c r="AZ276" i="5"/>
  <c r="AY276" i="5"/>
  <c r="AX276" i="5"/>
  <c r="AZ269" i="5"/>
  <c r="AY269" i="5"/>
  <c r="AX269" i="5"/>
  <c r="AZ267" i="5"/>
  <c r="AY267" i="5"/>
  <c r="AX267" i="5"/>
  <c r="AZ237" i="5"/>
  <c r="AY237" i="5"/>
  <c r="AX237" i="5"/>
  <c r="AZ235" i="5"/>
  <c r="AY235" i="5"/>
  <c r="AX235" i="5"/>
  <c r="AZ234" i="5"/>
  <c r="AY234" i="5"/>
  <c r="AX234" i="5"/>
  <c r="AZ230" i="5"/>
  <c r="AY230" i="5"/>
  <c r="AX230" i="5"/>
  <c r="AZ229" i="5"/>
  <c r="AY229" i="5"/>
  <c r="AX229" i="5"/>
  <c r="AZ218" i="5"/>
  <c r="AY218" i="5"/>
  <c r="AX218" i="5"/>
  <c r="AZ214" i="5"/>
  <c r="AY214" i="5"/>
  <c r="AX214" i="5"/>
  <c r="AZ210" i="5"/>
  <c r="AY210" i="5"/>
  <c r="AX210" i="5"/>
  <c r="AZ209" i="5"/>
  <c r="AY209" i="5"/>
  <c r="AX209" i="5"/>
  <c r="AZ206" i="5"/>
  <c r="AY206" i="5"/>
  <c r="AX206" i="5"/>
  <c r="AZ205" i="5"/>
  <c r="AY205" i="5"/>
  <c r="AX205" i="5"/>
  <c r="AZ204" i="5"/>
  <c r="AY204" i="5"/>
  <c r="AX204" i="5"/>
  <c r="AZ203" i="5"/>
  <c r="AY203" i="5"/>
  <c r="AX203" i="5"/>
  <c r="AZ202" i="5"/>
  <c r="AY202" i="5"/>
  <c r="AX202" i="5"/>
  <c r="AZ201" i="5"/>
  <c r="AY201" i="5"/>
  <c r="AX201" i="5"/>
  <c r="AZ199" i="5"/>
  <c r="AY199" i="5"/>
  <c r="AX199" i="5"/>
  <c r="AZ386" i="5"/>
  <c r="AY386" i="5"/>
  <c r="AX386" i="5"/>
  <c r="AZ382" i="5"/>
  <c r="AY382" i="5"/>
  <c r="AX382" i="5"/>
  <c r="AZ381" i="5"/>
  <c r="AY381" i="5"/>
  <c r="AX381" i="5"/>
  <c r="AZ192" i="5"/>
  <c r="AY192" i="5"/>
  <c r="AX192" i="5"/>
  <c r="AZ178" i="5"/>
  <c r="AY178" i="5"/>
  <c r="AX178" i="5"/>
  <c r="AZ168" i="5"/>
  <c r="AY168" i="5"/>
  <c r="AX168" i="5"/>
  <c r="AZ162" i="5"/>
  <c r="AY162" i="5"/>
  <c r="AX162" i="5"/>
  <c r="AZ160" i="5"/>
  <c r="AY160" i="5"/>
  <c r="AX160" i="5"/>
  <c r="AZ159" i="5"/>
  <c r="AY159" i="5"/>
  <c r="AX159" i="5"/>
  <c r="AZ155" i="5"/>
  <c r="AY155" i="5"/>
  <c r="AX155" i="5"/>
  <c r="AZ145" i="5"/>
  <c r="AY145" i="5"/>
  <c r="AX145" i="5"/>
  <c r="AZ131" i="5"/>
  <c r="AY131" i="5"/>
  <c r="AX131" i="5"/>
  <c r="AZ347" i="5"/>
  <c r="AY347" i="5"/>
  <c r="AX347" i="5"/>
  <c r="AZ108" i="5"/>
  <c r="AY108" i="5"/>
  <c r="AX108" i="5"/>
  <c r="AZ107" i="5"/>
  <c r="AY107" i="5"/>
  <c r="AX107" i="5"/>
  <c r="AZ106" i="5"/>
  <c r="AY106" i="5"/>
  <c r="AX106" i="5"/>
  <c r="AZ103" i="5"/>
  <c r="AY103" i="5"/>
  <c r="AX103" i="5"/>
  <c r="AZ102" i="5"/>
  <c r="AY102" i="5"/>
  <c r="AX102" i="5"/>
  <c r="AZ285" i="5"/>
  <c r="AY285" i="5"/>
  <c r="AX285" i="5"/>
  <c r="AZ94" i="5"/>
  <c r="AY94" i="5"/>
  <c r="AX94" i="5"/>
  <c r="AZ93" i="5"/>
  <c r="AY93" i="5"/>
  <c r="AX93" i="5"/>
  <c r="AZ4" i="5"/>
  <c r="AY4" i="5"/>
  <c r="AX4" i="5"/>
  <c r="AZ3" i="5"/>
  <c r="AY3" i="5"/>
  <c r="AX3" i="5"/>
  <c r="AZ92" i="5"/>
  <c r="AY92" i="5"/>
  <c r="AX92" i="5"/>
  <c r="AZ28" i="5"/>
  <c r="AY28" i="5"/>
  <c r="AX28" i="5"/>
  <c r="AZ86" i="5"/>
  <c r="AY86" i="5"/>
  <c r="AX86" i="5"/>
  <c r="AZ284" i="5"/>
  <c r="AY284" i="5"/>
  <c r="AX284" i="5"/>
  <c r="AZ283" i="5"/>
  <c r="AY283" i="5"/>
  <c r="AX283" i="5"/>
  <c r="AZ84" i="5"/>
  <c r="AY84" i="5"/>
  <c r="AX84" i="5"/>
  <c r="AZ83" i="5"/>
  <c r="AY83" i="5"/>
  <c r="AX83" i="5"/>
  <c r="AZ320" i="5"/>
  <c r="AY320" i="5"/>
  <c r="AX320" i="5"/>
  <c r="AZ81" i="5"/>
  <c r="AY81" i="5"/>
  <c r="AX81" i="5"/>
  <c r="AZ289" i="5"/>
  <c r="AY289" i="5"/>
  <c r="AX289" i="5"/>
  <c r="AZ54" i="5"/>
  <c r="AY54" i="5"/>
  <c r="AX54" i="5"/>
  <c r="AZ51" i="5"/>
  <c r="AY51" i="5"/>
  <c r="AX51" i="5"/>
  <c r="AZ25" i="5"/>
  <c r="AY25" i="5"/>
  <c r="AX25" i="5"/>
  <c r="AZ238" i="5"/>
  <c r="AY238" i="5"/>
  <c r="AX238" i="5"/>
  <c r="AZ232" i="5"/>
  <c r="AY232" i="5"/>
  <c r="AX232" i="5"/>
  <c r="AZ164" i="5"/>
  <c r="AY164" i="5"/>
  <c r="AX164" i="5"/>
  <c r="AZ135" i="5"/>
  <c r="AY135" i="5"/>
  <c r="AX135" i="5"/>
  <c r="AZ7" i="5"/>
  <c r="AY7" i="5"/>
  <c r="AX7" i="5"/>
  <c r="AZ110" i="5"/>
  <c r="AY110" i="5"/>
  <c r="AX110" i="5"/>
  <c r="AY61" i="5"/>
  <c r="AZ404" i="5"/>
  <c r="AY404" i="5"/>
  <c r="AX404" i="5"/>
  <c r="AZ17" i="5"/>
  <c r="AY17" i="5"/>
  <c r="AX17" i="5"/>
  <c r="AZ16" i="5"/>
  <c r="AY16" i="5"/>
  <c r="AX16" i="5"/>
  <c r="AZ15" i="5"/>
  <c r="AY15" i="5"/>
  <c r="AX15" i="5"/>
  <c r="AZ14" i="5"/>
  <c r="AY14" i="5"/>
  <c r="AX14" i="5"/>
  <c r="AZ13" i="5"/>
  <c r="AY13" i="5"/>
  <c r="AX13" i="5"/>
  <c r="AZ180" i="5"/>
  <c r="AY180" i="5"/>
  <c r="AX180" i="5"/>
  <c r="AZ146" i="5"/>
  <c r="AY146" i="5"/>
  <c r="AX146" i="5"/>
  <c r="AZ123" i="5"/>
  <c r="AY123" i="5"/>
  <c r="AX123" i="5"/>
  <c r="AZ350" i="5"/>
  <c r="AY350" i="5"/>
  <c r="AX350" i="5"/>
  <c r="AZ104" i="5"/>
  <c r="AY104" i="5"/>
  <c r="AX104" i="5"/>
  <c r="AZ277" i="5"/>
  <c r="AY277" i="5"/>
  <c r="AX277" i="5"/>
  <c r="AZ50" i="5"/>
  <c r="AY50" i="5"/>
  <c r="AX50" i="5"/>
  <c r="AY23" i="5"/>
  <c r="AZ21" i="5"/>
  <c r="AY21" i="5"/>
  <c r="AX21" i="5"/>
  <c r="AY20" i="5"/>
  <c r="AX20" i="5"/>
  <c r="AZ182" i="5"/>
  <c r="AY182" i="5"/>
  <c r="AX182" i="5"/>
  <c r="AZ177" i="5"/>
  <c r="AY177" i="5"/>
  <c r="AX177" i="5"/>
  <c r="AZ140" i="5"/>
  <c r="AY140" i="5"/>
  <c r="AX140" i="5"/>
  <c r="AZ128" i="5"/>
  <c r="AY128" i="5"/>
  <c r="AX128" i="5"/>
  <c r="AZ125" i="5"/>
  <c r="AY125" i="5"/>
  <c r="AX125" i="5"/>
  <c r="AZ356" i="5"/>
  <c r="AY356" i="5"/>
  <c r="AX356" i="5"/>
  <c r="AZ5" i="5"/>
  <c r="AY5" i="5"/>
  <c r="AX5" i="5"/>
  <c r="AZ89" i="5"/>
  <c r="AY89" i="5"/>
  <c r="AX89" i="5"/>
  <c r="AZ78" i="5"/>
  <c r="AY78" i="5"/>
  <c r="AX78" i="5"/>
  <c r="AZ288" i="5"/>
  <c r="AY288" i="5"/>
  <c r="AX288" i="5"/>
  <c r="AZ53" i="5"/>
  <c r="AY53" i="5"/>
  <c r="AX53" i="5"/>
  <c r="AZ220" i="5"/>
  <c r="AY220" i="5"/>
  <c r="AX220" i="5"/>
  <c r="AZ219" i="5"/>
  <c r="AY219" i="5"/>
  <c r="AX219" i="5"/>
  <c r="AZ185" i="5"/>
  <c r="AY185" i="5"/>
  <c r="AX185" i="5"/>
  <c r="AZ181" i="5"/>
  <c r="AY181" i="5"/>
  <c r="AX181" i="5"/>
  <c r="AZ174" i="5"/>
  <c r="AY174" i="5"/>
  <c r="AX174" i="5"/>
  <c r="AZ119" i="5"/>
  <c r="AY119" i="5"/>
  <c r="AX119" i="5"/>
  <c r="AZ52" i="5"/>
  <c r="AY52" i="5"/>
  <c r="AX52" i="5"/>
  <c r="AZ225" i="5"/>
  <c r="AY225" i="5"/>
  <c r="AX225" i="5"/>
  <c r="AZ208" i="5"/>
  <c r="AY208" i="5"/>
  <c r="AX208" i="5"/>
  <c r="AZ183" i="5"/>
  <c r="AY183" i="5"/>
  <c r="AX183" i="5"/>
  <c r="AZ227" i="5"/>
  <c r="AY227" i="5"/>
  <c r="AX227" i="5"/>
  <c r="AZ287" i="5"/>
  <c r="AY287" i="5"/>
  <c r="AX287" i="5"/>
  <c r="AZ258" i="5"/>
  <c r="AY258" i="5"/>
  <c r="AX258" i="5"/>
  <c r="AZ117" i="5"/>
  <c r="AY117" i="5"/>
  <c r="AX117" i="5"/>
  <c r="AZ79" i="5"/>
  <c r="AY79" i="5"/>
  <c r="AX79" i="5"/>
  <c r="AZ77" i="5"/>
  <c r="AY77" i="5"/>
  <c r="AX77" i="5"/>
  <c r="AZ222" i="5"/>
  <c r="AY222" i="5"/>
  <c r="AX222" i="5"/>
  <c r="AZ171" i="5"/>
  <c r="AY171" i="5"/>
  <c r="AX171" i="5"/>
  <c r="AZ139" i="5"/>
  <c r="AY139" i="5"/>
  <c r="AX139" i="5"/>
  <c r="AZ187" i="5"/>
  <c r="AY187" i="5"/>
  <c r="AX187" i="5"/>
  <c r="AZ186" i="5"/>
  <c r="AY186" i="5"/>
  <c r="AX186" i="5"/>
  <c r="AZ184" i="5"/>
  <c r="AY184" i="5"/>
  <c r="AX184" i="5"/>
  <c r="AZ173" i="5"/>
  <c r="AY173" i="5"/>
  <c r="AX173" i="5"/>
  <c r="AZ274" i="5"/>
  <c r="AY274" i="5"/>
  <c r="AX274" i="5"/>
  <c r="AZ170" i="5"/>
  <c r="AY170" i="5"/>
  <c r="AX170" i="5"/>
  <c r="AZ166" i="5"/>
  <c r="AY166" i="5"/>
  <c r="AX166" i="5"/>
  <c r="AZ109" i="5"/>
  <c r="AY109" i="5"/>
  <c r="AX109" i="5"/>
  <c r="AZ165" i="5"/>
  <c r="AY165" i="5"/>
  <c r="AX165" i="5"/>
  <c r="AI36" i="4"/>
  <c r="J30" i="3"/>
  <c r="J22" i="3"/>
  <c r="J37" i="3"/>
  <c r="J44" i="3"/>
  <c r="BA30" i="5"/>
  <c r="BA29" i="5"/>
  <c r="BA351" i="5"/>
  <c r="BA192" i="5"/>
  <c r="BA120" i="5"/>
  <c r="BA122" i="5"/>
  <c r="BA121" i="5"/>
  <c r="BA357" i="5"/>
  <c r="BA119" i="5"/>
  <c r="BA63" i="5"/>
  <c r="BA64" i="5"/>
  <c r="BA367" i="5"/>
  <c r="BA226" i="5"/>
  <c r="BA164" i="5"/>
  <c r="BA166" i="5"/>
  <c r="BA69" i="5"/>
  <c r="BA62" i="5"/>
  <c r="BA207" i="5"/>
  <c r="BA200" i="5"/>
  <c r="BA48" i="5"/>
  <c r="BA98" i="5"/>
  <c r="BA96" i="5"/>
  <c r="BA7" i="5"/>
  <c r="BA51" i="5"/>
  <c r="BA380" i="5"/>
  <c r="BA150" i="5"/>
  <c r="BA144" i="5"/>
  <c r="BA348" i="5"/>
  <c r="BA236" i="5"/>
  <c r="BA378" i="5"/>
  <c r="BA44" i="5"/>
  <c r="BA383" i="5"/>
  <c r="BA68" i="5"/>
  <c r="BA231" i="5"/>
  <c r="BA49" i="5"/>
  <c r="BA111" i="5"/>
  <c r="BA228" i="5"/>
  <c r="BA389" i="5"/>
  <c r="BA160" i="5"/>
  <c r="BA43" i="5"/>
  <c r="BA37" i="5"/>
  <c r="BA379" i="5"/>
  <c r="BA45" i="5"/>
  <c r="BA222" i="5"/>
  <c r="BA195" i="5"/>
  <c r="BA384" i="5"/>
  <c r="BA31" i="5"/>
  <c r="BA27" i="5"/>
  <c r="BA352" i="5"/>
  <c r="BA125" i="5"/>
  <c r="BA35" i="5"/>
  <c r="BA24" i="5"/>
  <c r="BA368" i="5"/>
  <c r="BA397" i="5"/>
  <c r="BA273" i="5"/>
  <c r="BA365" i="5"/>
  <c r="BA165" i="5"/>
  <c r="BA233" i="5"/>
  <c r="BA199" i="5"/>
  <c r="BA112" i="5"/>
  <c r="BA274" i="5"/>
  <c r="BA237" i="5"/>
  <c r="BA46" i="5"/>
  <c r="BA145" i="5"/>
  <c r="BA90" i="5"/>
  <c r="BA163" i="5"/>
  <c r="BA25" i="5"/>
  <c r="BA168" i="5"/>
  <c r="BA54" i="5"/>
  <c r="BA347" i="5"/>
  <c r="BA194" i="5"/>
  <c r="BA22" i="5"/>
  <c r="BA211" i="5"/>
  <c r="BA162" i="5"/>
  <c r="BA26" i="5"/>
  <c r="BA172" i="5"/>
  <c r="BA76" i="5"/>
  <c r="BA151" i="5"/>
  <c r="BA82" i="5"/>
  <c r="BA73" i="5"/>
  <c r="BA159" i="5"/>
  <c r="BA208" i="5"/>
  <c r="BA234" i="5"/>
  <c r="BA34" i="5"/>
  <c r="BA5" i="5"/>
  <c r="BA158" i="5"/>
  <c r="BA146" i="5"/>
  <c r="BA104" i="5"/>
  <c r="BA193" i="5"/>
  <c r="BA171" i="5"/>
  <c r="BA170" i="5"/>
  <c r="BA101" i="5"/>
  <c r="BA32" i="5"/>
  <c r="BA143" i="5"/>
  <c r="BA385" i="5"/>
  <c r="BA23" i="5"/>
  <c r="BA174" i="5"/>
  <c r="BA213" i="5"/>
  <c r="BA21" i="5"/>
  <c r="BA232" i="5"/>
  <c r="BA157" i="5"/>
  <c r="BA71" i="5"/>
  <c r="BA204" i="5"/>
  <c r="BA205" i="5"/>
  <c r="BA92" i="5"/>
  <c r="BA390" i="5"/>
  <c r="BA91" i="5"/>
  <c r="BA238" i="5"/>
  <c r="BA404" i="5"/>
  <c r="BA11" i="5"/>
  <c r="BA109" i="5"/>
  <c r="BA133" i="5"/>
  <c r="BA80" i="5"/>
  <c r="BA212" i="5"/>
  <c r="BA99" i="5"/>
  <c r="BA113" i="5"/>
  <c r="BA283" i="5"/>
  <c r="BA189" i="5"/>
  <c r="BA75" i="5"/>
  <c r="BA386" i="5"/>
  <c r="BA235" i="5"/>
  <c r="BA167" i="5"/>
  <c r="BA100" i="5"/>
  <c r="BA197" i="5"/>
  <c r="BA141" i="5"/>
  <c r="BA84" i="5"/>
  <c r="BA130" i="5"/>
  <c r="BA10" i="5"/>
  <c r="BA227" i="5"/>
  <c r="BA116" i="5"/>
  <c r="BA196" i="5"/>
  <c r="BA191" i="5"/>
  <c r="BA89" i="5"/>
  <c r="BA86" i="5"/>
  <c r="BA85" i="5"/>
  <c r="BA72" i="5"/>
  <c r="BA190" i="5"/>
  <c r="BA103" i="5"/>
  <c r="BA387" i="5"/>
  <c r="BA83" i="5"/>
  <c r="BA81" i="5"/>
  <c r="BA115" i="5"/>
  <c r="BA285" i="5"/>
  <c r="BA202" i="5"/>
  <c r="BA201" i="5"/>
  <c r="BA9" i="5"/>
  <c r="BA198" i="5"/>
  <c r="BA214" i="5"/>
  <c r="BA218" i="5"/>
  <c r="BA284" i="5"/>
  <c r="BA28" i="5"/>
  <c r="BA182" i="5"/>
  <c r="BA320" i="5"/>
  <c r="BA135" i="5"/>
  <c r="BA19" i="5"/>
  <c r="BA127" i="5"/>
  <c r="BA206" i="5"/>
  <c r="BA126" i="5"/>
  <c r="BA108" i="5"/>
  <c r="BA230" i="5"/>
  <c r="BA169" i="5"/>
  <c r="BA203" i="5"/>
  <c r="BA93" i="5"/>
  <c r="BA95" i="5"/>
  <c r="BA94" i="5"/>
  <c r="BA223" i="5"/>
  <c r="BA187" i="5"/>
  <c r="BA186" i="5"/>
  <c r="BA184" i="5"/>
  <c r="BA359" i="5"/>
  <c r="BA210" i="5"/>
  <c r="BA128" i="5"/>
  <c r="BA185" i="5"/>
  <c r="BA107" i="5"/>
  <c r="BA106" i="5"/>
  <c r="BA6" i="5"/>
  <c r="BA366" i="5"/>
  <c r="BA78" i="5"/>
  <c r="BA12" i="5"/>
  <c r="BA364" i="5"/>
  <c r="BA156" i="5"/>
  <c r="BA57" i="5"/>
  <c r="BA58" i="5"/>
  <c r="BA289" i="5"/>
  <c r="BA77" i="5"/>
  <c r="BA229" i="5"/>
  <c r="BA4" i="5"/>
  <c r="BA155" i="5"/>
  <c r="BA275" i="5"/>
  <c r="BA110" i="5"/>
  <c r="BA79" i="5"/>
  <c r="BA276" i="5"/>
  <c r="BA134" i="5"/>
  <c r="BA215" i="5"/>
  <c r="BA356" i="5"/>
  <c r="BA288" i="5"/>
  <c r="BA147" i="5"/>
  <c r="BA3" i="5"/>
  <c r="BA13" i="5"/>
  <c r="BA173" i="5"/>
  <c r="BA132" i="5"/>
  <c r="BA217" i="5"/>
  <c r="BA114" i="5"/>
  <c r="BA277" i="5"/>
  <c r="BA224" i="5"/>
  <c r="BA220" i="5"/>
  <c r="BA2" i="5"/>
  <c r="BA180" i="5"/>
  <c r="BA136" i="5"/>
  <c r="BA178" i="5"/>
  <c r="BA131" i="5"/>
  <c r="BA17" i="5"/>
  <c r="BA16" i="5"/>
  <c r="BA33" i="5"/>
  <c r="BA15" i="5"/>
  <c r="BA14" i="5"/>
  <c r="BA55" i="5"/>
  <c r="BA87" i="5"/>
  <c r="BA88" i="5"/>
  <c r="BA181" i="5"/>
  <c r="BA8" i="5"/>
  <c r="BA139" i="5"/>
  <c r="BA105" i="5"/>
  <c r="BA216" i="5"/>
  <c r="BA74" i="5"/>
  <c r="BA239" i="5"/>
  <c r="BA246" i="5"/>
  <c r="BA272" i="5"/>
  <c r="BA60" i="5"/>
  <c r="BA279" i="5"/>
  <c r="BA267" i="5"/>
  <c r="BA350" i="5"/>
  <c r="BA258" i="5"/>
  <c r="BA221" i="5"/>
  <c r="BA138" i="5"/>
  <c r="BA183" i="5"/>
  <c r="BA36" i="5"/>
  <c r="BA123" i="5"/>
  <c r="BA242" i="5"/>
  <c r="BA118" i="5"/>
  <c r="BA209" i="5"/>
  <c r="BA270" i="5"/>
  <c r="BA268" i="5"/>
  <c r="BA266" i="5"/>
  <c r="BA248" i="5"/>
  <c r="BA225" i="5"/>
  <c r="BA18" i="5"/>
  <c r="BA280" i="5"/>
  <c r="BA124" i="5"/>
  <c r="BA149" i="5"/>
  <c r="BA129" i="5"/>
  <c r="BA137" i="5"/>
  <c r="BA269" i="5"/>
  <c r="BA179" i="5"/>
  <c r="BA271" i="5"/>
  <c r="BA281" i="5"/>
  <c r="BA287" i="5"/>
  <c r="BA140" i="5"/>
  <c r="BA154" i="5"/>
  <c r="BA263" i="5"/>
  <c r="BA52" i="5"/>
  <c r="BA142" i="5"/>
  <c r="BA260" i="5"/>
  <c r="BA176" i="5"/>
  <c r="BA148" i="5"/>
  <c r="BA152" i="5"/>
  <c r="BA265" i="5"/>
  <c r="BA255" i="5"/>
  <c r="BA253" i="5"/>
  <c r="BA252" i="5"/>
  <c r="BA247" i="5"/>
  <c r="BA245" i="5"/>
  <c r="BA240" i="5"/>
  <c r="BA50" i="5"/>
  <c r="BA282" i="5"/>
  <c r="BA153" i="5"/>
  <c r="BA249" i="5"/>
  <c r="BA59" i="5"/>
  <c r="BA56" i="5"/>
  <c r="BA250" i="5"/>
  <c r="BA53" i="5"/>
  <c r="BA262" i="5"/>
  <c r="BA67" i="5"/>
  <c r="BA65" i="5"/>
  <c r="BA175" i="5"/>
  <c r="BA66" i="5"/>
  <c r="BA38" i="5"/>
  <c r="BA264" i="5"/>
  <c r="BA251" i="5"/>
  <c r="BA39" i="5"/>
  <c r="BA40" i="5"/>
  <c r="BA41" i="5"/>
  <c r="BA102" i="5"/>
  <c r="BA388" i="5"/>
  <c r="BA381" i="5"/>
  <c r="BA61" i="5"/>
  <c r="BA257" i="5"/>
  <c r="BA259" i="5"/>
  <c r="BA241" i="5"/>
  <c r="BA47" i="5"/>
  <c r="BA177" i="5"/>
  <c r="BA42" i="5"/>
  <c r="BA188" i="5"/>
  <c r="BA97" i="5"/>
  <c r="BA161" i="5"/>
  <c r="BA256" i="5"/>
  <c r="BA254" i="5"/>
  <c r="BA244" i="5"/>
  <c r="BA261" i="5"/>
  <c r="BA278" i="5"/>
  <c r="BA286" i="5"/>
  <c r="BA382" i="5"/>
  <c r="Y217" i="4"/>
  <c r="Y115" i="4"/>
  <c r="Y292" i="4"/>
  <c r="Y293" i="4"/>
  <c r="X2" i="12"/>
  <c r="S2" i="12"/>
  <c r="T2" i="12"/>
  <c r="X27" i="4"/>
  <c r="X28" i="4"/>
  <c r="X160" i="4"/>
  <c r="X114" i="4"/>
  <c r="X239" i="4"/>
  <c r="X116" i="4"/>
  <c r="X44" i="4"/>
  <c r="X96" i="4"/>
  <c r="X273" i="4"/>
  <c r="X118" i="4"/>
  <c r="X68" i="4"/>
  <c r="X94" i="4"/>
  <c r="X69" i="4"/>
  <c r="X61" i="4"/>
  <c r="X120" i="4"/>
  <c r="X62" i="4"/>
  <c r="X66" i="4"/>
  <c r="W2" i="12"/>
  <c r="Z217" i="4"/>
  <c r="Z115" i="4"/>
  <c r="Z292" i="4"/>
  <c r="Z293" i="4"/>
  <c r="Y2" i="12"/>
  <c r="AM22" i="2"/>
</calcChain>
</file>

<file path=xl/connections.xml><?xml version="1.0" encoding="utf-8"?>
<connections xmlns="http://schemas.openxmlformats.org/spreadsheetml/2006/main">
  <connection id="1" name="GPCRdb_alignment" type="6" refreshedVersion="0" background="1" saveData="1">
    <textPr fileType="mac" sourceFile="/Users/David/Downloads/GPCRdb_alignment.csv" decimal="," thousands="." tab="0" comma="1">
      <textFields count="2">
        <textField/>
        <textField/>
      </textFields>
    </textPr>
  </connection>
  <connection id="2" name="human_GPCR_fasta.fas" type="6" refreshedVersion="0" background="1" saveData="1">
    <textPr fileType="mac" sourceFile="/Users/David/Dropbox (GloriamGroup)/Projects/GPCRDB/GPCRdb_Proj_Seq_Alignments/1.Annotation_of_structures--Kasper/Future_Format_Planning/human_GPCR_fasta.fas.txt" decimal="," thousands=".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<sst xmlns="http://schemas.openxmlformats.org/spreadsheetml/2006/main" count="11505" uniqueCount="1437">
  <si>
    <t>LigType</t>
  </si>
  <si>
    <t>A</t>
  </si>
  <si>
    <t>Aminergic</t>
  </si>
  <si>
    <t>TM1</t>
  </si>
  <si>
    <t>TM2</t>
  </si>
  <si>
    <t>2x551</t>
  </si>
  <si>
    <t>TM3</t>
  </si>
  <si>
    <t>TM4</t>
  </si>
  <si>
    <t>TM5</t>
  </si>
  <si>
    <t>5x461</t>
  </si>
  <si>
    <t>TM6</t>
  </si>
  <si>
    <t>TM7</t>
  </si>
  <si>
    <t>7x44</t>
  </si>
  <si>
    <t>1x411</t>
  </si>
  <si>
    <t>4x58</t>
  </si>
  <si>
    <t>Adenosine</t>
  </si>
  <si>
    <t>Gs</t>
  </si>
  <si>
    <t>Peptide</t>
  </si>
  <si>
    <t>4x57</t>
  </si>
  <si>
    <t>Lipid</t>
  </si>
  <si>
    <t>4x56</t>
  </si>
  <si>
    <t>23x501</t>
  </si>
  <si>
    <t>Other</t>
  </si>
  <si>
    <t>-</t>
  </si>
  <si>
    <t>GalphaCT</t>
  </si>
  <si>
    <t>4x491</t>
  </si>
  <si>
    <t>4x52</t>
  </si>
  <si>
    <t>C</t>
  </si>
  <si>
    <t>F</t>
  </si>
  <si>
    <t>Protein</t>
  </si>
  <si>
    <t>PDB</t>
  </si>
  <si>
    <t>UniProt</t>
  </si>
  <si>
    <t>glr_human</t>
  </si>
  <si>
    <t>smo_human</t>
  </si>
  <si>
    <t>5ht1b_human</t>
  </si>
  <si>
    <t>5ht2b_human</t>
  </si>
  <si>
    <t>AA2AR_human</t>
  </si>
  <si>
    <t>ADRB2_human</t>
  </si>
  <si>
    <t>crfr1_human</t>
  </si>
  <si>
    <t>ACM2_human</t>
  </si>
  <si>
    <t>grm1_human</t>
  </si>
  <si>
    <t>grm5_human</t>
  </si>
  <si>
    <t>US28_hcmva</t>
  </si>
  <si>
    <t>OPSD_bovin</t>
  </si>
  <si>
    <t>OPRM_mouse</t>
  </si>
  <si>
    <t>OPRD_mouse</t>
  </si>
  <si>
    <t>NTR1_rat</t>
  </si>
  <si>
    <t>ADRB1_melga</t>
  </si>
  <si>
    <t>ACM3_rat</t>
  </si>
  <si>
    <t>5EE7</t>
  </si>
  <si>
    <t>4GRV</t>
  </si>
  <si>
    <t>4L6R</t>
  </si>
  <si>
    <t>4PHU</t>
  </si>
  <si>
    <t>1U19</t>
  </si>
  <si>
    <t>3DQB</t>
  </si>
  <si>
    <t>4ZWJ</t>
  </si>
  <si>
    <t>4QIN</t>
  </si>
  <si>
    <t>4OO9</t>
  </si>
  <si>
    <t>5CGC</t>
  </si>
  <si>
    <t>5CGD</t>
  </si>
  <si>
    <t>4IAR</t>
  </si>
  <si>
    <t>5DSG</t>
  </si>
  <si>
    <t>5CXV</t>
  </si>
  <si>
    <t>3ODU</t>
  </si>
  <si>
    <t>4EJ4</t>
  </si>
  <si>
    <t>4DKL</t>
  </si>
  <si>
    <t>3P0G</t>
  </si>
  <si>
    <t>4EA3</t>
  </si>
  <si>
    <t>4MQS</t>
  </si>
  <si>
    <t>4YAY</t>
  </si>
  <si>
    <t>4IB4</t>
  </si>
  <si>
    <t>4U15</t>
  </si>
  <si>
    <t>3PBL</t>
  </si>
  <si>
    <t>3RZE</t>
  </si>
  <si>
    <t>4MBS</t>
  </si>
  <si>
    <t>2RH1</t>
  </si>
  <si>
    <t>3D4S</t>
  </si>
  <si>
    <t>4LDE</t>
  </si>
  <si>
    <t>4QKX</t>
  </si>
  <si>
    <t>3UON</t>
  </si>
  <si>
    <t>2YDV</t>
  </si>
  <si>
    <t>4EIY</t>
  </si>
  <si>
    <t>4BVN</t>
  </si>
  <si>
    <t>3REY</t>
  </si>
  <si>
    <t>5C1M</t>
  </si>
  <si>
    <t>3SN6</t>
  </si>
  <si>
    <t>4JKV</t>
  </si>
  <si>
    <t>4N6H</t>
  </si>
  <si>
    <t>4DJH</t>
  </si>
  <si>
    <t>4Z35</t>
  </si>
  <si>
    <t>4ZJ8</t>
  </si>
  <si>
    <t>4ZJC</t>
  </si>
  <si>
    <t>4S0V</t>
  </si>
  <si>
    <t>3VW7</t>
  </si>
  <si>
    <t>3V2Y</t>
  </si>
  <si>
    <t>4K5Y</t>
  </si>
  <si>
    <t>4OR2</t>
  </si>
  <si>
    <t>2Z73</t>
  </si>
  <si>
    <t>OPSD_todpa</t>
  </si>
  <si>
    <t>Cl</t>
  </si>
  <si>
    <t>_wt</t>
  </si>
  <si>
    <t>GPCR</t>
  </si>
  <si>
    <t>adrb3_human</t>
  </si>
  <si>
    <t>lpar1_human</t>
  </si>
  <si>
    <t>s1pr1_human</t>
  </si>
  <si>
    <t>casr_human</t>
  </si>
  <si>
    <t>gabr1_human</t>
  </si>
  <si>
    <t>gabr2_human</t>
  </si>
  <si>
    <t>gp156_human</t>
  </si>
  <si>
    <t>gp158_human</t>
  </si>
  <si>
    <t>gp179_human</t>
  </si>
  <si>
    <t>gpc5b_human</t>
  </si>
  <si>
    <t>gpc5c_human</t>
  </si>
  <si>
    <t>gpc5d_human</t>
  </si>
  <si>
    <t>gpc6a_human</t>
  </si>
  <si>
    <t>grm2_human</t>
  </si>
  <si>
    <t>grm3_human</t>
  </si>
  <si>
    <t>grm4_human</t>
  </si>
  <si>
    <t>grm6_human</t>
  </si>
  <si>
    <t>grm7_human</t>
  </si>
  <si>
    <t>grm8_human</t>
  </si>
  <si>
    <t>rai3_human</t>
  </si>
  <si>
    <t>ts1r1_human</t>
  </si>
  <si>
    <t>ts1r2_human</t>
  </si>
  <si>
    <t>ts1r3_human</t>
  </si>
  <si>
    <t>adrb1_human</t>
  </si>
  <si>
    <t>adrb2_human</t>
  </si>
  <si>
    <t>ntr1_human</t>
  </si>
  <si>
    <t>5ht1a_human</t>
  </si>
  <si>
    <t>5ht1d_human</t>
  </si>
  <si>
    <t>5ht1e_human</t>
  </si>
  <si>
    <t>5ht1f_human</t>
  </si>
  <si>
    <t>5ht2a_human</t>
  </si>
  <si>
    <t>5ht2c_human</t>
  </si>
  <si>
    <t>5ht4r_human</t>
  </si>
  <si>
    <t>5ht5a_human</t>
  </si>
  <si>
    <t>5ht6r_human</t>
  </si>
  <si>
    <t>5ht7r_human</t>
  </si>
  <si>
    <t>aa1r_human</t>
  </si>
  <si>
    <t>aa2ar_human</t>
  </si>
  <si>
    <t>aa2br_human</t>
  </si>
  <si>
    <t>aa3r_human</t>
  </si>
  <si>
    <t>ackr1_human</t>
  </si>
  <si>
    <t>ackr2_human</t>
  </si>
  <si>
    <t>ackr3_human</t>
  </si>
  <si>
    <t>ackr4_human</t>
  </si>
  <si>
    <t>acm1_human</t>
  </si>
  <si>
    <t>acm2_human</t>
  </si>
  <si>
    <t>acm3_human</t>
  </si>
  <si>
    <t>acm4_human</t>
  </si>
  <si>
    <t>acm5_human</t>
  </si>
  <si>
    <t>acthr_human</t>
  </si>
  <si>
    <t>ada1a_human</t>
  </si>
  <si>
    <t>ada1b_human</t>
  </si>
  <si>
    <t>ada1d_human</t>
  </si>
  <si>
    <t>ada2a_human</t>
  </si>
  <si>
    <t>ada2b_human</t>
  </si>
  <si>
    <t>ada2c_human</t>
  </si>
  <si>
    <t>agtr1_human</t>
  </si>
  <si>
    <t>agtr2_human</t>
  </si>
  <si>
    <t>apj_human</t>
  </si>
  <si>
    <t>bkrb1_human</t>
  </si>
  <si>
    <t>bkrb2_human</t>
  </si>
  <si>
    <t>brs3_human</t>
  </si>
  <si>
    <t>c3ar_human</t>
  </si>
  <si>
    <t>c5ar1_human</t>
  </si>
  <si>
    <t>c5ar2_human</t>
  </si>
  <si>
    <t>cckar_human</t>
  </si>
  <si>
    <t>ccr1_human</t>
  </si>
  <si>
    <t>ccr10_human</t>
  </si>
  <si>
    <t>ccr2_human</t>
  </si>
  <si>
    <t>ccr3_human</t>
  </si>
  <si>
    <t>ccr4_human</t>
  </si>
  <si>
    <t>ccr5_human</t>
  </si>
  <si>
    <t>ccr6_human</t>
  </si>
  <si>
    <t>ccr7_human</t>
  </si>
  <si>
    <t>ccr8_human</t>
  </si>
  <si>
    <t>ccr9_human</t>
  </si>
  <si>
    <t>ccrl2_human</t>
  </si>
  <si>
    <t>cltr1_human</t>
  </si>
  <si>
    <t>cltr2_human</t>
  </si>
  <si>
    <t>cml1_human</t>
  </si>
  <si>
    <t>cnr1_human</t>
  </si>
  <si>
    <t>cnr2_human</t>
  </si>
  <si>
    <t>cx3c1_human</t>
  </si>
  <si>
    <t>cxcr1_human</t>
  </si>
  <si>
    <t>cxcr2_human</t>
  </si>
  <si>
    <t>cxcr3_human</t>
  </si>
  <si>
    <t>cxcr5_human</t>
  </si>
  <si>
    <t>cxcr6_human</t>
  </si>
  <si>
    <t>drd1_human</t>
  </si>
  <si>
    <t>drd2_human</t>
  </si>
  <si>
    <t>drd3_human</t>
  </si>
  <si>
    <t>drd4_human</t>
  </si>
  <si>
    <t>drd5_human</t>
  </si>
  <si>
    <t>ednra_human</t>
  </si>
  <si>
    <t>ednrb_human</t>
  </si>
  <si>
    <t>etbr2_human</t>
  </si>
  <si>
    <t>ffar2_human</t>
  </si>
  <si>
    <t>ffar3_human</t>
  </si>
  <si>
    <t>ffar4_human</t>
  </si>
  <si>
    <t>fpr1_human</t>
  </si>
  <si>
    <t>fpr2_human</t>
  </si>
  <si>
    <t>fpr3_human</t>
  </si>
  <si>
    <t>fshr_human</t>
  </si>
  <si>
    <t>galr1_human</t>
  </si>
  <si>
    <t>galr2_human</t>
  </si>
  <si>
    <t>galr3_human</t>
  </si>
  <si>
    <t>gasr_human</t>
  </si>
  <si>
    <t>ghsr_human</t>
  </si>
  <si>
    <t>gnrhr_human</t>
  </si>
  <si>
    <t>gnrr2_human</t>
  </si>
  <si>
    <t>gp101_human</t>
  </si>
  <si>
    <t>gp119_human</t>
  </si>
  <si>
    <t>gp132_human</t>
  </si>
  <si>
    <t>gp135_human</t>
  </si>
  <si>
    <t>gp139_human</t>
  </si>
  <si>
    <t>gp141_human</t>
  </si>
  <si>
    <t>gp142_human</t>
  </si>
  <si>
    <t>gp146_human</t>
  </si>
  <si>
    <t>gp148_human</t>
  </si>
  <si>
    <t>gp149_human</t>
  </si>
  <si>
    <t>gp150_human</t>
  </si>
  <si>
    <t>gp151_human</t>
  </si>
  <si>
    <t>gp152_human</t>
  </si>
  <si>
    <t>gp153_human</t>
  </si>
  <si>
    <t>gp160_human</t>
  </si>
  <si>
    <t>gp161_human</t>
  </si>
  <si>
    <t>gp162_human</t>
  </si>
  <si>
    <t>gp171_human</t>
  </si>
  <si>
    <t>gp173_human</t>
  </si>
  <si>
    <t>gp174_human</t>
  </si>
  <si>
    <t>gp176_human</t>
  </si>
  <si>
    <t>gp182_human</t>
  </si>
  <si>
    <t>gp183_human</t>
  </si>
  <si>
    <t>gpbar_human</t>
  </si>
  <si>
    <t>gper1_human</t>
  </si>
  <si>
    <t>gpr1_human</t>
  </si>
  <si>
    <t>gpr12_human</t>
  </si>
  <si>
    <t>gpr15_human</t>
  </si>
  <si>
    <t>gpr17_human</t>
  </si>
  <si>
    <t>gpr18_human</t>
  </si>
  <si>
    <t>gpr19_human</t>
  </si>
  <si>
    <t>gpr20_human</t>
  </si>
  <si>
    <t>gpr21_human</t>
  </si>
  <si>
    <t>gpr22_human</t>
  </si>
  <si>
    <t>gpr25_human</t>
  </si>
  <si>
    <t>gpr26_human</t>
  </si>
  <si>
    <t>gpr27_human</t>
  </si>
  <si>
    <t>gpr3_human</t>
  </si>
  <si>
    <t>gpr31_human</t>
  </si>
  <si>
    <t>gpr32_human</t>
  </si>
  <si>
    <t>gpr33_human</t>
  </si>
  <si>
    <t>gpr34_human</t>
  </si>
  <si>
    <t>gpr35_human</t>
  </si>
  <si>
    <t>gpr37_human</t>
  </si>
  <si>
    <t>gpr39_human</t>
  </si>
  <si>
    <t>gpr4_human</t>
  </si>
  <si>
    <t>gpr42_human</t>
  </si>
  <si>
    <t>gpr45_human</t>
  </si>
  <si>
    <t>gpr52_human</t>
  </si>
  <si>
    <t>gpr55_human</t>
  </si>
  <si>
    <t>gpr6_human</t>
  </si>
  <si>
    <t>gpr61_human</t>
  </si>
  <si>
    <t>gpr62_human</t>
  </si>
  <si>
    <t>gpr63_human</t>
  </si>
  <si>
    <t>gpr75_human</t>
  </si>
  <si>
    <t>gpr78_human</t>
  </si>
  <si>
    <t>gpr82_human</t>
  </si>
  <si>
    <t>gpr83_human</t>
  </si>
  <si>
    <t>gpr84_human</t>
  </si>
  <si>
    <t>gpr85_human</t>
  </si>
  <si>
    <t>gpr87_human</t>
  </si>
  <si>
    <t>gpr88_human</t>
  </si>
  <si>
    <t>grpr_human</t>
  </si>
  <si>
    <t>hcar1_human</t>
  </si>
  <si>
    <t>hcar2_human</t>
  </si>
  <si>
    <t>hcar3_human</t>
  </si>
  <si>
    <t>hrh1_human</t>
  </si>
  <si>
    <t>hrh2_human</t>
  </si>
  <si>
    <t>hrh3_human</t>
  </si>
  <si>
    <t>hrh4_human</t>
  </si>
  <si>
    <t>kissr_human</t>
  </si>
  <si>
    <t>lgr4_human</t>
  </si>
  <si>
    <t>lgr5_human</t>
  </si>
  <si>
    <t>lgr6_human</t>
  </si>
  <si>
    <t>lpar2_human</t>
  </si>
  <si>
    <t>lpar3_human</t>
  </si>
  <si>
    <t>lpar4_human</t>
  </si>
  <si>
    <t>lpar5_human</t>
  </si>
  <si>
    <t>lpar6_human</t>
  </si>
  <si>
    <t>lshr_human</t>
  </si>
  <si>
    <t>lt4r1_human</t>
  </si>
  <si>
    <t>lt4r2_human</t>
  </si>
  <si>
    <t>mas_human</t>
  </si>
  <si>
    <t>mas1l_human</t>
  </si>
  <si>
    <t>mc3r_human</t>
  </si>
  <si>
    <t>mc4r_human</t>
  </si>
  <si>
    <t>mc5r_human</t>
  </si>
  <si>
    <t>mchr1_human</t>
  </si>
  <si>
    <t>mchr2_human</t>
  </si>
  <si>
    <t>mrgrd_human</t>
  </si>
  <si>
    <t>mrgre_human</t>
  </si>
  <si>
    <t>mrgrf_human</t>
  </si>
  <si>
    <t>mrgrg_human</t>
  </si>
  <si>
    <t>mrgx1_human</t>
  </si>
  <si>
    <t>mrgx2_human</t>
  </si>
  <si>
    <t>mrgx3_human</t>
  </si>
  <si>
    <t>mrgx4_human</t>
  </si>
  <si>
    <t>mshr_human</t>
  </si>
  <si>
    <t>mtlr_human</t>
  </si>
  <si>
    <t>mtr1a_human</t>
  </si>
  <si>
    <t>mtr1b_human</t>
  </si>
  <si>
    <t>mtr1l_human</t>
  </si>
  <si>
    <t>nk1r_human</t>
  </si>
  <si>
    <t>nk2r_human</t>
  </si>
  <si>
    <t>nk3r_human</t>
  </si>
  <si>
    <t>nmbr_human</t>
  </si>
  <si>
    <t>nmur1_human</t>
  </si>
  <si>
    <t>nmur2_human</t>
  </si>
  <si>
    <t>npbw1_human</t>
  </si>
  <si>
    <t>npbw2_human</t>
  </si>
  <si>
    <t>npff1_human</t>
  </si>
  <si>
    <t>npff2_human</t>
  </si>
  <si>
    <t>npsr1_human</t>
  </si>
  <si>
    <t>npy1r_human</t>
  </si>
  <si>
    <t>npy2r_human</t>
  </si>
  <si>
    <t>npy4r_human</t>
  </si>
  <si>
    <t>npy5r_human</t>
  </si>
  <si>
    <t>npy6r_human</t>
  </si>
  <si>
    <t>ntr2_human</t>
  </si>
  <si>
    <t>ogr1_human</t>
  </si>
  <si>
    <t>opn3_human</t>
  </si>
  <si>
    <t>opn4_human</t>
  </si>
  <si>
    <t>opn5_human</t>
  </si>
  <si>
    <t>oprd_human</t>
  </si>
  <si>
    <t>oprk_human</t>
  </si>
  <si>
    <t>oprm_human</t>
  </si>
  <si>
    <t>opsb_human</t>
  </si>
  <si>
    <t>opsd_human</t>
  </si>
  <si>
    <t>opsg_human</t>
  </si>
  <si>
    <t>opsr_human</t>
  </si>
  <si>
    <t>oxer1_human</t>
  </si>
  <si>
    <t>oxgr1_human</t>
  </si>
  <si>
    <t>oxyr_human</t>
  </si>
  <si>
    <t>p2ry1_human</t>
  </si>
  <si>
    <t>p2ry2_human</t>
  </si>
  <si>
    <t>p2ry4_human</t>
  </si>
  <si>
    <t>p2ry6_human</t>
  </si>
  <si>
    <t>p2ry8_human</t>
  </si>
  <si>
    <t>p2y10_human</t>
  </si>
  <si>
    <t>p2y11_human</t>
  </si>
  <si>
    <t>p2y12_human</t>
  </si>
  <si>
    <t>p2y13_human</t>
  </si>
  <si>
    <t>p2y14_human</t>
  </si>
  <si>
    <t>par1_human</t>
  </si>
  <si>
    <t>par2_human</t>
  </si>
  <si>
    <t>par3_human</t>
  </si>
  <si>
    <t>par4_human</t>
  </si>
  <si>
    <t>pd2r_human</t>
  </si>
  <si>
    <t>pd2r2_human</t>
  </si>
  <si>
    <t>pe2r1_human</t>
  </si>
  <si>
    <t>pe2r2_human</t>
  </si>
  <si>
    <t>pe2r3_human</t>
  </si>
  <si>
    <t>pe2r4_human</t>
  </si>
  <si>
    <t>pf2r_human</t>
  </si>
  <si>
    <t>pi2r_human</t>
  </si>
  <si>
    <t>pkr1_human</t>
  </si>
  <si>
    <t>pkr2_human</t>
  </si>
  <si>
    <t>prlhr_human</t>
  </si>
  <si>
    <t>psyr_human</t>
  </si>
  <si>
    <t>ptafr_human</t>
  </si>
  <si>
    <t>qrfpr_human</t>
  </si>
  <si>
    <t>rl3r1_human</t>
  </si>
  <si>
    <t>rl3r2_human</t>
  </si>
  <si>
    <t>rxfp1_human</t>
  </si>
  <si>
    <t>rxfp2_human</t>
  </si>
  <si>
    <t>s1pr2_human</t>
  </si>
  <si>
    <t>s1pr3_human</t>
  </si>
  <si>
    <t>s1pr4_human</t>
  </si>
  <si>
    <t>s1pr5_human</t>
  </si>
  <si>
    <t>ssr1_human</t>
  </si>
  <si>
    <t>ssr2_human</t>
  </si>
  <si>
    <t>ssr3_human</t>
  </si>
  <si>
    <t>ssr4_human</t>
  </si>
  <si>
    <t>ssr5_human</t>
  </si>
  <si>
    <t>sucr1_human</t>
  </si>
  <si>
    <t>taar1_human</t>
  </si>
  <si>
    <t>taar2_human</t>
  </si>
  <si>
    <t>taar3_human</t>
  </si>
  <si>
    <t>taar5_human</t>
  </si>
  <si>
    <t>taar6_human</t>
  </si>
  <si>
    <t>taar8_human</t>
  </si>
  <si>
    <t>taar9_human</t>
  </si>
  <si>
    <t>trfr_human</t>
  </si>
  <si>
    <t>tshr_human</t>
  </si>
  <si>
    <t>ur2r_human</t>
  </si>
  <si>
    <t>v1ar_human</t>
  </si>
  <si>
    <t>v1br_human</t>
  </si>
  <si>
    <t>v2r_human</t>
  </si>
  <si>
    <t>xcr1_human</t>
  </si>
  <si>
    <t>calcr_human</t>
  </si>
  <si>
    <t>calrl_human</t>
  </si>
  <si>
    <t>crfr2_human</t>
  </si>
  <si>
    <t>ghrhr_human</t>
  </si>
  <si>
    <t>gipr_human</t>
  </si>
  <si>
    <t>glp1r_human</t>
  </si>
  <si>
    <t>glp2r_human</t>
  </si>
  <si>
    <t>pacr_human</t>
  </si>
  <si>
    <t>pth1r_human</t>
  </si>
  <si>
    <t>pth2r_human</t>
  </si>
  <si>
    <t>sctr_human</t>
  </si>
  <si>
    <t>vipr1_human</t>
  </si>
  <si>
    <t>vipr2_human</t>
  </si>
  <si>
    <t>bai1_human</t>
  </si>
  <si>
    <t>bai2_human</t>
  </si>
  <si>
    <t>bai3_human</t>
  </si>
  <si>
    <t>cd97_human</t>
  </si>
  <si>
    <t>celr1_human</t>
  </si>
  <si>
    <t>celr2_human</t>
  </si>
  <si>
    <t>celr3_human</t>
  </si>
  <si>
    <t>eltd1_human</t>
  </si>
  <si>
    <t>emr1_human</t>
  </si>
  <si>
    <t>emr2_human</t>
  </si>
  <si>
    <t>emr3_human</t>
  </si>
  <si>
    <t>emr4_human</t>
  </si>
  <si>
    <t>gp110_human</t>
  </si>
  <si>
    <t>gp111_human</t>
  </si>
  <si>
    <t>gp112_human</t>
  </si>
  <si>
    <t>gp113_human</t>
  </si>
  <si>
    <t>gp114_human</t>
  </si>
  <si>
    <t>gp115_human</t>
  </si>
  <si>
    <t>gp116_human</t>
  </si>
  <si>
    <t>gp123_human</t>
  </si>
  <si>
    <t>gp124_human</t>
  </si>
  <si>
    <t>gp125_human</t>
  </si>
  <si>
    <t>gp128_human</t>
  </si>
  <si>
    <t>gp133_human</t>
  </si>
  <si>
    <t>gp144_human</t>
  </si>
  <si>
    <t>gpr56_human</t>
  </si>
  <si>
    <t>gpr64_human</t>
  </si>
  <si>
    <t>gpr97_human</t>
  </si>
  <si>
    <t>gpr98_human</t>
  </si>
  <si>
    <t>lphn1_human</t>
  </si>
  <si>
    <t>lphn2_human</t>
  </si>
  <si>
    <t>lphn3_human</t>
  </si>
  <si>
    <t>fzd1_human</t>
  </si>
  <si>
    <t>fzd10_human</t>
  </si>
  <si>
    <t>fzd2_human</t>
  </si>
  <si>
    <t>fzd3_human</t>
  </si>
  <si>
    <t>fzd4_human</t>
  </si>
  <si>
    <t>fzd5_human</t>
  </si>
  <si>
    <t>fzd6_human</t>
  </si>
  <si>
    <t>fzd7_human</t>
  </si>
  <si>
    <t>fzd8_human</t>
  </si>
  <si>
    <t>fzd9_human</t>
  </si>
  <si>
    <t>t2r10_human</t>
  </si>
  <si>
    <t>t2r13_human</t>
  </si>
  <si>
    <t>t2r14_human</t>
  </si>
  <si>
    <t>t2r16_human</t>
  </si>
  <si>
    <t>t2r19_human</t>
  </si>
  <si>
    <t>t2r20_human</t>
  </si>
  <si>
    <t>t2r30_human</t>
  </si>
  <si>
    <t>t2r31_human</t>
  </si>
  <si>
    <t>t2r38_human</t>
  </si>
  <si>
    <t>t2r39_human</t>
  </si>
  <si>
    <t>t2r40_human</t>
  </si>
  <si>
    <t>t2r41_human</t>
  </si>
  <si>
    <t>t2r42_human</t>
  </si>
  <si>
    <t>t2r43_human</t>
  </si>
  <si>
    <t>t2r46_human</t>
  </si>
  <si>
    <t>t2r50_human</t>
  </si>
  <si>
    <t>t2r60_human</t>
  </si>
  <si>
    <t>ta2r_human</t>
  </si>
  <si>
    <t>ta2r1_human</t>
  </si>
  <si>
    <t>ta2r3_human</t>
  </si>
  <si>
    <t>ta2r4_human</t>
  </si>
  <si>
    <t>ta2r5_human</t>
  </si>
  <si>
    <t>ta2r7_human</t>
  </si>
  <si>
    <t>ta2r8_human</t>
  </si>
  <si>
    <t>ta2r9_human</t>
  </si>
  <si>
    <t>g137a_human</t>
  </si>
  <si>
    <t>gp107_human</t>
  </si>
  <si>
    <t>o51e1_human</t>
  </si>
  <si>
    <t>tpra1_human</t>
  </si>
  <si>
    <t>gp143_human</t>
  </si>
  <si>
    <t>gp157_human</t>
  </si>
  <si>
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</si>
  <si>
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</si>
  <si>
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</si>
  <si>
    <t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t>
  </si>
  <si>
    <t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t>
  </si>
  <si>
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</si>
  <si>
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</si>
  <si>
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</si>
  <si>
    <t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t>
  </si>
  <si>
    <t>MDLPVNLTSFSLSTPSPLETNHSLGKDDLRPSSPLLSVFGVLILTLLGFLVAATFAWNLLVLATILRVRTFHRVPHNLVASMAVSDVLVAALVMPLSLVHELSGRRWQLGRRLCQLWIACDVLCCTASIWNVTAIALDRYWSITRHMEYTLRTRKCVSNVMIALTWALSAVISLAPLLFGWGETYSEGSEECQVSREPSYAVFSTVGAFYLPLCVVLFVYWKIYKAAKFRVGSRKTNSVSPISEAVEVKDSAKQPQMVFTVRHATVTFQPEGDTWREQKEQRAALMVGILIGVFVLCWIPFFLTELISPLCSCDIPAIWKSIFLWLGYSNSFFNPLIYTAFNKNYNSAFKNFFSRQH</t>
  </si>
  <si>
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t>
  </si>
  <si>
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</si>
  <si>
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</si>
  <si>
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</si>
  <si>
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</si>
  <si>
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</si>
  <si>
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</si>
  <si>
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</si>
  <si>
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</si>
  <si>
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</si>
  <si>
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</si>
  <si>
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</si>
  <si>
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</si>
  <si>
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</si>
  <si>
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</si>
  <si>
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</si>
  <si>
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</si>
  <si>
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</si>
  <si>
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</si>
  <si>
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</si>
  <si>
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</si>
  <si>
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</si>
  <si>
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t>
  </si>
  <si>
    <t>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SLEHCWK</t>
  </si>
  <si>
    <t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</t>
  </si>
  <si>
    <t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</t>
  </si>
  <si>
    <t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t>
  </si>
  <si>
    <t>MKGNSTLATTSKNITSGLHFGLVNISGNNESTLNCSQKPSDKHLDAIPILYYIIFVIGFLVNIVVVTLFCCQKGPKKVSSIYIFNLAVADLLLLATLPLWATYYSYRYDWLFGPVMCKVFGSFLTLNMFASIFFITCMSVDRYQSVIYPFLSQRRNPWQASYIVPLVWCMACLSSLPTFYFRDVRTIEYLGVNACIMAFPPEKYAQWSAGIALMKNILGFIIPLIFIATCYFGIRKHLLKTNSYGKNRITRDQVLKMAAAVVLAFIICWLPFHVLTFLDALAWMGVINSCEVIAVIDLALPFAILLGFTNSCVNPFLYCFVGNRFQQKLRSVFRVPITWLQGKRESMSCRKSSSLREMETFVS</t>
  </si>
  <si>
    <t>MEEGGDFDNYYGADNQSECEYTDWKSSGALIPAIYMLVFLLGTTGNGLVLWTVFRSSREKRRSADIFIASLAVADLTFVVTLPLWATYTYRDYDWPFGTFFCKLSSYLIFVNMYASVFCLTGLSFDRYLAIVRPVANARLRLRVSGAVATAVLWVLAALLAMPVMVLRTTGDLENTTKVQCYMDYSMVATVSSEWAWEVGLGVSSTTVGFVVPFTIMLTCYFFIAQTIAGHFRKERIEGLRKRRRLLSIIVVLVVTFALCWMPYHLVKTLYMLGSLLHWPCDFDLFLMNIFPYCTCISYVNSCLNPFLYAFFDPRFRQACTSMLCCGQSRCAGTSHSSSGEKSASYSSGHSQGPGPNMGKGGEQMHEKSIPYSQETLVVD</t>
  </si>
  <si>
    <t>MPSKSLSNLSVTTGANESGSVPEGWERDFLPASDGTTTELVIRCVIPSLYLLIITVGLLGNIMLVKIFITNSAMRSVPNIFISNLAAGDLLLLLTCVPVDASRYFFDEWMFGKVGCKLIPVIQLTSVGVSVFTLTALSADRYRAIVNPMDMQTSGALLRTCVKAMGIWVVSVLLAVPEAVFSEVARISSLDNSSFTACIPYPQTDELHPKIHSVLIFLVYFLIPLAIISIYYYHIAKTLIKSAHNLPGEYNEHTKKQMETRKRLAKIVLVFVGCFIFCWFPNHILYMYRSFNYNEIDPSLGHMIVTLVARVLSFGNSCVNPFALYLLSESFRRHFNSQLCCGRKSYQERGTSYLLSSSAVRMTSLKSNAKNMVTNSVLLNGHSMKQEMAL</t>
  </si>
  <si>
    <t>MALNDCFLLNLEVDHFMHCNISSHSADLPVNDDWSHPGILYVIPAVYGVIILIGLIGNITLIKIFCTVKSMRNVPNLFISSLALGDLLLLITCAPVDASRYLADRWLFGRIGCKLIPFIQLTSVGVSVFTLTALSADRYKAIVRPMDIQASHALMKICLKAAFIWIISMLLAIPEAVFSDLHPFHEESTNQTFISCAPYPHSNELHPKIHSMASFLVFYVIPLSIISVYYYFIAKNLIQSAYNLPVEGNIHVKKQIESRKRLAKTVLVFVGLFAFCWLPNHVIYLYRSYHYSEVDTSMLHFVTSICARLLAFTNSCVNPFALYLLSKSFRKQFNTQLLCCQPGLIIRSHSTGRSTTCMTSLKSTNPSVATFSLINGNICHERYV</t>
  </si>
  <si>
    <t>MAQRQPHSPNQTLISITNDTESSSSVVSNDNTNKGWSGDNSPGIEALCAIYITYAVIISVGILGNAILIKVFFKTKSMQTVPNIFITSLAFGDLLLLLTCVPVDATHYLAEGWLFGRIGCKVLSFIRLTSVGVSVFTLTILSADRYKAVVKPLERQPSNAILKTCVKAGCVWIVSMIFALPEAIFSNVYTFRDPNKNMTFESCTSYPVSKKLLQEIHSLLCFLVFYIIPLSIISVYYSLIARTLYKSTLNIPTEEQSHARKQIESRKRIARTVLVLVALFALCWLPNHLLYLYHSFTSQTYVDPSAMHFIFTIFSRVLAFSNSCVNPFALYWLSKSFQKHFKAQLFCCKAERPEPPVADTSLTTLAVMGTVPGTGSIQMSEISVTSFTGCSVKQAEDRF</t>
  </si>
  <si>
    <t>MASSWPPLELQSSNQSQLFPQNATACDNAPEAWDLLHRVLPTFIISICFFGLLGNLFVLLVFLLPRRQLNVAEIYLANLAASDLVFVLGLPFWAENIWNQFNWPFGALLCRVINGVIKANLFISIFLVVAISQDRYRVLVHPMASRRQQRRRQARVTCVLIWVVGGLLSIPTFLLRSIQAVPDLNITACILLLPHEAWHFARIVELNILGFLLPLAAIVFFNYHILASLRTREEVSRTRCGGRKDSKTTALILTLVVAFLVCWAPYHFFAFLEFLFQVQAVRGCFWEDFIDLGLQLANFFAFTNSSLNPVIYVFVGRLFRTKVWELYKQCTPKSLAPISSSHRKEIFQLFWRN</t>
  </si>
  <si>
    <t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t>
  </si>
  <si>
    <t>MDVVDSLLVNGSNITPPCELGLENETLFCLDQPRPSKEWQPAVQILLYSLIFLLSVLGNTLVITVLIRNKRMRTVTNIFLLSLAVSDLMLCLFCMPFNLIPNLLKDFIFGSAVCKTTTYFMGTSVSVSTFNLVAISLERYGAICKPLQSRVWQTKSHALKVIAATWCLSFTIMTPYPIYSNLVPFTKNNNQTANMCRFLLPNDVMQQSWHTFLLLILFLIPGIVMMVAYGLISLELYQGIKFEASQKKSAKERKPSTTSSGKYEDSDGCYLQKTRPPRKLELRQLSTGSSSRANRIRSNSSAANLMAKKRVIRMLIVIVVLFFLCWMPIFSANAWRAYDTASAERRLSGTPISFILLLSYTSSCVNPIIYCFMNKRFRLGFMATFPCCPNPGPPGARGEVGEEEEGGTTGASLSRFSYSHMSASVPPQ</t>
  </si>
  <si>
    <t>MELLKLNRSVQGTGPGPGASLCRPGAPLLNSSSVGNLSCEPPRIRGAGTRELELAIRITLYAVIFLMSVGGNMLIIVVLGLSRRLRTVTNAFLLSLAVSDLLLAVACMPFTLLPNLMGTFIFGTVICKAVSYLMGVSVSVSTLSLVAIALERYSAICRPLQARVWQTRSHAARVIVATWLLSGLLMVPYPVYTVVQPVGPRVLQCVHRWPSARVRQTWSVLLLLLLFFIPGVVMAVAYGLISRELYLGLRFDGDSDSDSQSRVRNQGGLPGAVHQNGRCRPETGAVGEDSDGCYVQLPRSRPALELTALTAPGPGSGSRPTQAKLLAKKRVVRMLLVIVVLFFLCWLPVYSANTWRAFDGPGAHRALSGAPISFIHLLSYASACVNPLVYCFMHRRFRQACLETCARCCPRPPRARPRALPDEDPPTPSIASLSRLSYTTISTLGPG</t>
  </si>
  <si>
    <t>MASFSAETNSTDLLSQPWNEPPVILSMVILSLTFLLGLPGNGLVLWVAGLKMQRTVNTIWFLHLTLADLLCCLSLPFSLAHLALQGQWPYGRFLCKLIPSIIVLNMFASVFLLTAISLDRCLVVFKPIWCQNHRNVGMACSICGCIWVVAFVMCIPVFVYREIFTTDNHNRCGYKFGLSSSLDYPDFYGDPLENRSLENIVQPPGEMNDRLDPSSFQTNDHPWTVPTVFQPQTFQRPSADSLPRGSARLTSQNLYSNVFKPADVVSPKIPSGFPIEDHETSPLDNSDAFLSTHLKLFPSASSNSFYESELPQGFQDYYNLGQFTDDDQVPTPLVAITITRLVVGFLLPSVIMIACYSFIVFRMQRGRFAKSQSKTFRVAVVVVAVFLVCWTPYHIFGVLSLLTDPETPLGKTLMSWDHVCIALASANSCFNPFLYALLGKDFRKKARQSIQGILEAAFSEELTRSTHCPSNNVISERNSTTV</t>
  </si>
  <si>
    <t>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</t>
  </si>
  <si>
    <t>MGNDSVSYEYGDYSDLSDRPVDCLDGACLAIDPLRVAPLPLYAAIFLVGVPGNAMVAWVAGKVARRRVGATWLLHLAVADLLCCLSLPILAVPIARGGHWPYGAVGCRALPSIILLTMYASVLLLAALSADLCFLALGPAWWSTVQRACGVQVACGAAWTLALLLTVPSAIYRRLHQEHFPARLQCVVDYGGSSSTENAVTAIRFLFGFLGPLVAVASCHSALLCWAARRCRPLGTAIVVGFFVCWAPYHLLGLVLTVAAPNSALLARALRAEPLIVGLALAHSCLNPMLFLYFGRAQLRRSLPAACHWALRESQGQDESVDSKKSTSHDLVSEMEV</t>
  </si>
  <si>
    <t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</t>
  </si>
  <si>
    <t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</t>
  </si>
  <si>
    <t>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</t>
  </si>
  <si>
    <t>METNFSTPLNEYEEVSYESAGYTVLRILPLVVLGVTFVLGVLGNGLVIWVAGFRMTRTVTTICYLNLALADFSFTATLPFLIVSMAMGEKWPFGWFLCKLIHIVVDINLFGSVFLIGFIALDRCICVLHPVWAQNHRTVSLAMKVIVGPWILALVLTLPVFLFLTTVTIPNGDTYCTFNFASWGGTPEERLKVAITMLTARGIIRFVIGFSLPMSIVAICYGLIAAKIHKKGMIKSSRPLRVLTAVVASFFICWFPFQLVALLGTVWLKEMLFYGKYKIIDILVNPTSSLAFFNSCLNPMLYVFVGQDFRERLIHSLPTSLERALSEDSAPTNDTAANSASPPAETELQAM</t>
  </si>
  <si>
    <t>METNFSIPLNETEEVLPEPAGHTVLWIFSLLVHGVTFVFGVLGNGLVIWVAGFRMTRTVNTICYLNLALADFSFSAILPFRMVSVAMREKWPFGSFLCKLVHVMIDINLFVSVYLITIIALDRCICVLHPAWAQNHRTMSLAKRVMTGLWIFTIVLTLPNFIFWTTISTTNGDTYCIFNFAFWGDTAVERLNVFITMAKVFLILHFIIGFSVPMSIITVCYGIIAAKIHRNHMIKSSRPLRVFAAVVASFFICWFPYELIGILMAVWLKEMLLNGKYKIILVLINPTSSLAFFNSCLNPILYVFMGRNFQERLIRSLPTSLERALTEVPDSAQTSNTDTTSASPPEETELQAM</t>
  </si>
  <si>
    <t>MELAVGNLSEGNASWPEPPAPEPGPLFGIGVENFVTLVVFGLIFALGVLGNSLVITVLARSKPGKPRSTTNLFILNLSIADLAYLLFCIPFQATVYALPTWVLGAFICKFIHYFFTVSMLVSIFTLAAMSVDRYVAIVHSRRSSSLRVSRNALLGVGCIWALSIAMASPVAYHQGLFHPRASNQTFCWEQWPDPRHKKAYVVCTFVFGYLLPLLLICFCYAKVLNHLHKKLKNMSKKSEASKKKTAQTVLVVVVVFGISWLPHHIIHLWAEFGVFPLTPASFLFRITAHCLAYSNSSVNPIIYAFLSENFRKAYKQVFKCHIRKDSHLSDTKESKSRIDTPPSTNCTHV</t>
  </si>
  <si>
    <t>MNVSGCPGAGNASQAGGGGGWHPEAVIVPLLFALIFLVGTVGNTLVLAVLLRGGQAVSTTNLFILNLGVADLCFILCCVPFQATIYTLDGWVFGSLLCKAVHFLIFLTMHASSFTLAAVSLDRYLAIRYPLHSRELRTPRNALAAIGLIWGLSLLFSGPYLSYYRQSQLANLTVCHPAWSAPRRRAMDICTFVFSYLLPVLVLGLTYARTLRYLWRAVDPVAAGSGARRAKRKVTRMILIVAALFCLCWMPHHALILCVWFGQFPLTRATYALRILSHLVSYANSCVNPIVYALVSKHFRKGFRTICAGLLGRAPGRASGRVCAAARGTHSGSVLERESSDLLHMSEAAGALRPCPGASQPCILEPCPGPSWQGPKAGDSILTVDVA</t>
  </si>
  <si>
    <t>MADAQNISLDSPGSVGAVAVPVVFALIFLLGTVGNGLVLAVLLQPGPSAWQEPGSTTDLFILNLAVADLCFILCCVPFQATIYTLDAWLFGALVCKAVHLLIYLTMYASSFTLAAVSVDRYLAVRHPLRSRALRTPRNARAAVGLVWLLAALFSAPYLSYYGTVRYGALELCVPAWEDARRRALDVATFAAGYLLPVAVVSLAYGRTLRFLWAAVGPAGAAAAEARRRATGRAGRAMLAVAALYALCWGPHHALILCFWYGRFAFSPATYACRLASHCLAYANSCLNPLVYALASRHFRARFRRLWPCGRRRRHRARRALRRVRPASSGPPGCPGDARPSGRLLAGGGQGPEPREGPVHGGEAARGPE</t>
  </si>
  <si>
    <t>MWNATPSEEPGFNLTLADLDWDASPGNDSLGDELLQLFPAPLLAGVTATCVALFVVGIAGNLLTMLVVSRFRELRTTTNLYLSSMAFSDLLIFLCMPLDLVRLWQYRPWNFGDLLCKLFQFVSESCTYATVLTITALSVERYFAICFPLRAKVVVTKGRVKLVIFVIWAVAFCSAGPIFVLVGVEHENGTDPWDTNECRPTEFAVRSGLLTVMVWVSSIFFFLPVFCLTVLYSLIGRKLWRRRRGDAVVGASLRDQNHKQTVKMLAVVVFAFILCWLPFHVGRYLFSKSFEPGSLEIAQISQYCNLVSFVLFYLSAAINPILYNIMSKKYRVAVFRLLGFEPFSQRKLSTLKDESSRAWTESSINT</t>
  </si>
  <si>
    <t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t>
  </si>
  <si>
    <t>MSAGNGTPWDATWNITVQWLAVDIACRTLMFLKLMATYSAAFLPVVIGLDRQAAVLNPLGSRSGVRKLLGAAWGLSFLLAFPQLFLFHTVHCAGPVPFTQCVTKGSFKAQWQETTYNLFTFCCLFLLPLTAMAICYSRIVLSVSRPQTRKGSHAPAGEFALPRSFDNCPRVRLRALRLALLILLTFILCWTPYYLLGMWYWFSPTMLTEVPPSLSHILFLLGLLNAPLDPLLYGAFTLGCRRGHQELSIDSSKEGSGRMLQEEIHAFRQLEVQKTVTSRRAGETKGISITSI</t>
  </si>
  <si>
    <t>MHTVATSGPNASWGAPANASGCPGCGANASDGPVPSPRAVDAWLVPLFFAALMLLGLVGNSLVIYVICRHKPMRTVTNFYIANLAATDVTFLLCCVPFTALLYPLPGWVLGDFMCKFVNYIQQVSVQATCATLTAMSVDRWYVTVFPLRALHRRTPRLALAVSLSIWVGSAAVSAPVLALHRLSPGPRAYCSEAFPSRALERAFALYNLLALYLLPLLATCACYAAMLRHLGRVAVRPAPADSALQGQVLAERAGAVRAKVSRLVAAVVLLFAACWGPIQLFLVLQALGPAGSWHPRSYAAYALKTWAHCMSYSNSALNPLLYAFLGSHFRQAFRRVCPCAPRRPRRPRRPGPSDPAAPHAELLRLGSHPAPARAQKPGSSGLAARGLCVLGEDNAPL</t>
  </si>
  <si>
    <t>MSVGAMKKGVGRAVGLGGGSGCQATEEDPLPNCGACAPGQGGRRWRLPQPAWVEGSSARLWEQATGTGWMDLEASLLPTGPNASNTSDGPDNLTSAGSPPRTGSISYINIIMPSVFGTICLLGIIGNSTVIFAVVKKSKLHWCNNVPDIFIINLSVVDLLFLLGMPFMIHQLMGNGVWHFGETMCTLITAMDANSQFTSTYILTAMAIDRYLATVHPISSTKFRKPSVATLVICLLWALSFISITPVWLYARLIPFPGGAVGCGIRLPNPDTDLYWFTLYQFFLAFALPFVVITAAYVRILQRMTSSVAPASQRSIRLRTKRVTRTAIAICLVFFVCWAPYYVLQLTQLSISRPTLTFVYLYNAAISLGYANSCLNPFVYIVLCETFRKRLVLSVKPAAQGQLRAVSNAQTADEERTESKGT</t>
  </si>
  <si>
    <t>MNPFHASCWNTSAELLNKSWNKEFAYQTASVVDTVILPSMIGIICSTGLVGNILIVFTIIRSRKKTVPDIYICNLAVADLVHIVGMPFLIHQWARGGEWVFGGPLCTIITSLDTCNQFACSAIMTVMSVDRYFALVQPFRLTRWRTRYKTIRINLGLWAASFILALPVWVYSKVIKFKDGVESCAFDLTSPDDVLWYTLYLTITTFFFPLPLILVCYILILCYTWEMYQQNKDARCCNPSVPKQRVMKLTKMVLVLVVVFILSAAPYHVIQLVNLQMEQPTLAFYVGYYLSICLSYASSSINPFLYILLSGNFQKRLPQIQRRATEKEINNMGNTLKSHF</t>
  </si>
  <si>
    <t>MAVQGSQRRLLGSLNSTPTAIPQLGLAANQTGARCLEVSISDGLFLSLGLVSLVENALVVATIAKNRNLHSPMYCFICCLALSDLLVSGSNVLETAVILLLEAGALVARAAVLQQLDNVIDVITCSSMLSSLCFLGAIAVDRYISIFYALRYHSIVTLPRARRAVAAIWVASVVFSTLFIAYYDHVAVLLCLVVFFLAMLVLMAVLYVHMLARACQHAQGIARLHKRQRPVHQGFGLKGAVTLTILLGIFFLCWGPFFLHLTLIVLCPEHPTCGCIFKNFNLFLALIICNAIIDPLIYAFHSQELRRTLKEVLTCSW</t>
  </si>
  <si>
    <t>MKHIINSYENINNTARNNSDCPRVVLPEEIFFTISIVGVLENLIVLLAVFKNKNLQAPMYFFICSLAISDMLGSLYKILENILIILRNMGYLKPRGSFETTADDIIDSLFVLSLLGSIFSLSVIAADRYITIFHALRYHSIVTMRRTVVVLTVIWTFCTGTGITMVIFSHHVPTVITFTSLFPLMLVFILCLYVHMFLLARSHTRKISTLPRANMKGAITLTILLGVFIFCWAPFVLHVLLMTFCPSNPYCACYMSLFQVNGMLIMCNAVIDPFIYAFRSPELRDAFKKMIFCSRYW</t>
  </si>
  <si>
    <t>MNASCCLPSVQPTLPNGSEHLQAPFFSNQSSSAFCEQVFIKPEVFLSLGIVSLLENILVILAVVRNGNLHSPMYFFLCSLAVADMLVSVSNALETIMIAIVHSDYLTFEDQFIQHMDNIFDSMICISLVASICNLLAIAVDRYVTIFYALRYHSIMTVRKALTLIVAIWVCCGVCGVVFIVYSESKMVIVCLITMFFAMMLLMGTLYVHMFLFARLHVKRIAALPPADGVAPQQHSCMKGAVTITILLGVFIFCWAPFFLHLVLIITCPTNPYCICYTAHFNTYLVLIMCNSVIDPLIYAFRSLELRNTFREILCGCNGMNLG</t>
  </si>
  <si>
    <t>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</t>
  </si>
  <si>
    <t>MNSSFHLHFLDLNLNATEGNLSGPNVKNKSSPCEDMGIAVEVFLTLGVISLLENILVIGAIVKNKNLHSPMYFFVCSLAVADMLVSMSSAWETITIYLLNNKHLVIADAFVRHIDNVFDSMICISVVASMCSLLAIAVDRYVTIFYALRYHHIMTARRSGAIIAGIWAFCTGCGIVFILYSESTYVILCLISMFFAMLFLLVSLYIHMFLLARTHVKRIAALPGASSARQRTSMQGAVTVTMLLGVFTVCWAPFFLHLTLMLSCPQNLYCSRFMSHFNMYLILIMCNSVMDPLIYAFRSQEMRKTFKEIICCRGFRIACSFPRRD</t>
  </si>
  <si>
    <t>MGSPWNGSDGPEGAREPPWPALPPCDERRCSPFPLGALVPVTAVCLCLFVVGVSGNVVTVMLIGRYRDMRTTTNLYLGSMAVSDLLILLGLPFDLYRLWRSRPWVFGPLLCRLSLYVGEGCTYATLLHMTALSVERYLAICRPLRARVLVTRRRVRALIAVLWAVALLSAGPFLFLVGVEQDPGISVVPGLNGTARIASSPLASSPPLWLSRAPPPSPPSGPETAEAAALFSRECRPSPAQLGALRVMLWVTTAYFFLPFLCLSILYGLIGRELWSSRRPLRGPAASGRERGHRQTVRVLLVVVLAFIICWLPFHVGRIIYINTEDSRMMYFSQYFNIVALQLFYLSASINPILYNLISKKYRAAAFKLLLARKSRPRGFHRSRDTAGEVAGDTGGDTVGYTETSANVKTMG</t>
  </si>
  <si>
    <t>MTPLCLNCSVLPGDLYPGGARNPMACNGSAARGHFDPEDLNLTDEALRLKYLGPQQTELFMPICATYLLIFVVGAVGNGLTCLVILRHKAMRTPTNYYLFSLAVSDLLVLLVGLPLELYEMWHNYPFLLGVGGCYFRTLLFEMVCLASVLNVTALSVERYVAVVHPLQARSMVTRAHVRRVLGAVWGLAMLCSLPNTSLHGIRQLHVPCRGPVPDSAVCMLVRPRALYNMVVQTTALLFFCLPMAIMSVLYLLIGLRLRRERLLLMQEAKGRGSAAARSRYTCRLQQHDRGRRQVTKMLFVLVVVFGICWAPFHADRVMWSVVSQWTDGLHLAFQHVHVISGIFFYLGSAANPVLYSLMSSRFRETFQEALCLGACCHRLRPRHSSHSLSRMTTGSTLCDVGSLGSWVHPLAGNDGPEAQQETDPS</t>
  </si>
  <si>
    <t>MSGMEKLQNASWIYQQKLEDPFQKHLNSTEEYLAFLCGPRRSHFFLPVSVVYVPIFVVGVIGNVLVCLVILQHQAMKTPTNYYLFSLAVSDLLVLLLGMPLEVYEMWRNYPFLFGPVGCYFKTALFETVCFASILSITTVSVERYVAILHPFRAKLQSTRRRALRILGIVWGFSVLFSLPNTSIHGIKFHYFPNGSLVPGSATCTVIKPMWIYNFIIQVTSFLFYLLPMTVISVLYYLMALRLKKDKSLEADEGNANIQRPCRKSVNKMLFVLVLVFAICWAPFHIDRLFFSFVEEWSESLAAVFNLVHVVSGVFFYLSSAVNPIIYNLLSRRFQAAFQNVISSFHKQWHSQHDPQLPPAQRNIFLTECHFVELTEDIGPQFPCQSSMHNSHLPAALSSEQMSRTNYQSFHFNKT</t>
  </si>
  <si>
    <t>MEGEPSQPPNSSWPLSQNGTNTEATPATNLTFSSYYQHTSPVAAMFIVAYALIFLLCMVGNTLVCFIVLKNRHMHTVTNMFILNLAVSDLLVGIFCMPTTLVDNLITGWPFDNATCKMSGLVQGMSVSASVFTLVAIAVERFRCIVHPFREKLTLRKALVTIAVIWALALLIMCPSAVTLTVTREEHHFMVDARNRSYPLYSCWEAWPEKGMRRVYTTVLFSHIYLAPLALIVVMYARIARKLCQAPGPAPGGEEAADPRASRRRARVVHMLVMVALFFTLSWLPLWALLLLIDYGQLSAPQLHLVTVYAFPFAHWLAFFNSSANPIIYGYFNENFRRGFQAAFRARLCPRPSGSHKEAYSERPGGLLHRRVFVVVRPSDSGLPSESGPSSGAPRPGRLPLRNGRVAHHGLPREGPGCSHLPLTIPAWDI</t>
  </si>
  <si>
    <t>MNSFFGTPAASWCLLESDVSSAPDKEAGRERRALSVQQRGGPAWSGSLEWSRQSAGDRRRLGLSRQTAKSSWSRSRDRTCCCRRAWWILVPAADRARRERFIMNEKWDTNSSENWHPIWNVNDTKHHLYSDINITYVNYYLHQPQVAAIFIISYFLIFFLCMMGNTVVCFIVMRNKHMHTVTNLFILNLAISDLLVGIFCMPITLLDNIIAGWPFGNTMCKISGLVQGISVAASVFTLVAIAVDRFQCVVYPFKPKLTIKTAFVIIMIIWVLAITIMSPSAVMLHVQEEKYYRVRLNSQNKTSPVYWCREDWPNQEMRKIYTTVLFANIYLAPLSLIVIMYGRIGISLFRAAVPHTGRKNQEQWHVVSRKKQKIIKMLLIVALLFILSWLPLWTLMMLSDYADLSPNELQIINIYIYPFAHWLAFGNSSVNPIIYGFFNENFRRGFQEAFQLQLCQKRAKPMEAYALKAKSHVLINTSNQLVQESTFQNPHGETLLYRKSAEKPQQELVMEELKETTNSSEI</t>
  </si>
  <si>
    <t>MPANFTEGSFDSSGTGQTLDSSPVACTETVTFTEVVEGKEWGSFYYSFKTEQLITLWVLFVFTIVGNSVVLFSTWRRKKKSRMTFFVTQLAITDSFTGLVNILTDINWRFTGDFTAPDLVCRVVRYLQVVLLYASTYVLVSLSIDRYHAIVYPMKFLQGEKQARVLIVIAWSLSFLFSIPTLIIFGKRTLSNGEVQCWALWPDDSYWTPYMTIVAFLVYFIPLTIISIMYGIVIRTIWIKSKTYETVISNCSDGKLCSSYNRGLISKAKIKAIKYSIIIILAFICCWSPYFLFDILDNFNLLPDTQERFYASVIIQNLPALNSAINPLIYCVFSSSISFPCREQRSQDSRMTFRERTERHEMQILSKPEFI</t>
  </si>
  <si>
    <t>MDNASFSEPWPANASGPDPALSCSNASTLAPLPAPLAVAVPVVYAVICAVGLAGNSAVLYVLLRAPRMKTVTNLFILNLAIADELFTLVLPINIADFLLRQWPFGELMCKLIVAIDQYNTFSSLYFLTVMSADRYLVVLATAESRRVAGRTYSAARAVSLAVWGIVTLVVLPFAVFARLDDEQGRRQCVLVFPQPEAFWWRASRLYTLVLGFAIPVSTICVLYTTLLCRLHAMRLDSHAKALERAKKRVTFLVVAILAVCLLCWTPYHLSTVVALTTDLPQTPLVIAISYFITSLSYANSCLNPFLYAFLDASFRRNLRQLITCRAAA</t>
  </si>
  <si>
    <t>MQAAGHPEPLDSRGSFSLPTMGANVSQDNGTGHNATFSEPLPFLYVLLPAVYSGICAVGLTGNTAVILVILRAPKMKTVTNVFILNLAVADGLFTLVLPVNIAEHLLQYWPFGELLCKLVLAVDHYNIFSSIYFLAVMSVDRYLVVLATVRSRHMPWRTYRGAKVASLCVWLGVTVLVLPFFSFAGVYSNELQVPSCGLSFPWPEQVWFKASRVYTLVLGFVLPVCTICVLYTDLLRRLRAVRLRSGAKALGKARRKVTVLVLVVLAVCLLCWTPFHLASVVALTTDLPQTPLVISMSYVITSLSYANSCLNPFLYAFLDDNFRKNFRSILRC</t>
  </si>
  <si>
    <t>MATELDKIFLILAIAEFIISMLGNVFIGLVNCSEGIKNQKVFSADFILTCLAISTIGQLLVILFDSFLVGLASHLYTTYRLGKTVIMLWHMTNHLTTWLATCLSIFYFFKIAHFPHSLFLWLRWRMNGMIVMLLILSLFLLIFDSLVLEIFIDISLNIIDKSNLTLYLDESKTLYDKLSILKTLLSLTSFIPFSLFLTSLLFLFLSLVRHTRNLKLSSLGSRDSSTEAHRRAMKMVMSFLFLFIVHFFSLQVANGIFFMLWNNKYIKFVMLALNAFPSCHSFILILGNSKLRQTAVRLLWHLRNYTKTPNALPL</t>
  </si>
  <si>
    <t>MNSTLFSQVENHSVHSNFSEKNAQLLAFENDDCHLPLAMIFTLALAYGAVIILGVSGNLALIIIILKQKEMRNVTNILIVNLSFSDLLVAIMCLPFTFVYTLMDHWVFGEAMCKLNPFVQCVSITVSIFSLVLIAVERHQLIINPRGWRPNNRHAYVGIAVIWVLAVASSLPFLIYQVMTDEPFQNVTLDAYKDKYVCFDQFPSDSHRLSYTTLLLVLQYFGPLCFIFICYFKIYIRLKRRNNMMDKMRDNKYRSSETKRINIMLLSIVVAFAVCWLPLTIFNTVFDWNHQIIATCNHNLLFLLCHLTAMISTCVNPIFYGFLNKNFQRDLQFFFNFCDFRSRDDDYETIAMSTMHTDVSKTSLKQASPVAFKKINNNDDNEKI</t>
  </si>
  <si>
    <t>MGPIGAEADENQTVEEMKVEQYGPQTTPRGELVPDPEPELIDSTKLIEVQVVLILAYCSIILLGVIGNSLVIHVVIKFKSMRTVTNFFIANLAVADLLVNTLCLPFTLTYTLMGEWKMGPVLCHLVPYAQGLAVQVSTITLTVIALDRHRCIVYHLESKISKRISFLIIGLAWGISALLASPLAIFREYSLIEIIPDFEIVACTEKWPGEEKSIYGTVYSLSSLLILYVLPLGIISFSYTRIWSKLKNHVSPGAANDHYHQRRQKTTKMLVCVVVVFAVSWLPLHAFQLAVDIDSQVLDLKEYKLIFTVFHIIAMCSTFANPLLYGWMNSNYRKAFLSAFRCEQRLDAIHSEVSVTFKAKKNLEVRKNSGPNDSFTEATNV</t>
  </si>
  <si>
    <t>MNTSHLLALLLPKSPQGENRSKPLGTPYNFSEHCQDSVDVMVFIVTSYSIETVVGVLGNLCLMCVTVRQKEKANVTNLLIANLAFSDFLMCLLCQPLTAVYTIMDYWIFGETLCKMSAFIQCMSVTVSILSLVLVALERHQLIINPTGWKPSISQAYLGIVLIWVIACVLSLPFLANSILENVFHKNHSKALEFLADKVVCTESWPLAHHRTIYTTFLLLFQYCLPLGFILVCYARIYRRLQRQGRVFHKGTYSLRAGHMKQVNVVLVVMVVAFAVLWLPLHVFNSLEDWHHEAIPICHGNLIFLVCHLLAMASTCVNPFIYGFLNTNFKKEIKALVLTCQQSAPLEESEHLPLSTVHTEVSKGSLRLSGRSNPI</t>
  </si>
  <si>
    <t>MDLELDEYYNKTLATENNTAATRNSDFPVWDDYKSSVDDLQYFLIGLYTFVSLLGFMGNLLILMALMKKRNQKTTVNFLIGNLAFSDILVVLFCSPFTLTSVLLDQWMFGKVMCHIMPFLQCVSVLVSTLILISIAIVRYHMIKHPISNNLTANHGYFLIATVWTLGFAICSPLPVFHSLVELQETFGSALLSSRYLCVESWPSDSYRIAFTISLLLVQYILPLVCLTVSHTSVCRSISCGLSNKENRLEENEMINLTLHPSKKSGPQVKLSGSHKWSYSFIKKHRRRYSKKTACVLPAPERPSQENHSRILPENFGSVRSQLSSSSKFIPGVPTCFEIKPEENSDVHELRVKRSVTRIKKRSRSVFYRLTILILVFAVSWMPLHLFHVVTDFNDNLISNRHFKLVYCICHLLGMMSCCLNPILYGFLNNGIKADLVSLIHCLHM</t>
  </si>
  <si>
    <t>MEVSLNHPASNTTSTKNNNSAFFYFESCQPPSPALLLLCIAYTVVLIVGLFGNLSLIIIIFKKQRKAQNFTSILIANLSLSDTLVCVMCIHFTIIYTLMDHWIFGDTMCRLTSYVQSVSISVSIFSLVFTAVERYQLIVNPRGWKPSVTHAYWGITLIWLFSLLLSIPFFLSYHLTDEPFRNLSLPTDLYTHQVACVENWPSKKDRLLFTTSLFLLQYFVPLGFILICYLKIVICLRRRNAKVDKKKENEGRLNENKRINTMLISIVVTFGACWLPRISSMSSLTGIMRC</t>
  </si>
  <si>
    <t>MRLNSSAPGTPGTPAADPFQRAQAGLEEALLAPGFGNASGNASERVLAAPSSELDVNTDIYSKVLVTAVYLALFVVGTVGNTVTAFTLARKKSLQSLQSTVHYHLGSLALSDLLTLLLAMPVELYNFIWVHHPWAFGDAGCRGYYFLRDACTYATALNVASLSVERYLAICHPFKAKTLMSRSRTKKFISAIWLASALLAVPMLFTMGEQNRSADGQHAGGLVCTPTIHTATVKVVIQVNTFMSFIFPMVVISVLNTIIANKLTVMVRQAAEQGQVCTVGGEHSTFSMAIEPGRVQALRHGVRVLRAVVIAFVVCWLPYHVRRLMFCYISDEQWTPFLYDFYHYFYMVTNALFYVSSTINPILYNLVSANFRHIFLATLACLCPVWRRRRKRPAFSRKADSVSSNHTLSSNATRETLY</t>
  </si>
  <si>
    <t>METSSPRPPRPSSNPGLSLDARLGVDTRLWAKVLFTALYALIWALGAAGNALSAHVVLKARAGRAGRLRHHVLSLALAGLLLLLVGVPVELYSFVWFHYPWVFGDLGCRGYYFVHELCAYATVLSVAGLSAERCLAVCQPLRARSLLTPRRTRWLVALSWAASLGLALPMAVIMGQKHELETADGEPEPASRVCTVLVSRTALQVFIQVNVLVSFVLPLALTAFLNGVTVSHLLALCSQVPSTSTPGSSTPSRLELLSEEGLLSFIVWKKTFIQGGQVSLVRHKDVRRIRSLQRSVQVLRAIVVMYVICWLPYHARRLMYCYVPDDAWTDPLYNFYHYFYMVTNTLFYVSSAVTPLLYNAVSSSFRKLFLEAVSSLCGEHHPMKRLPPKPQSPTLMDTASGFGDPPETRT</t>
  </si>
  <si>
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</si>
  <si>
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</si>
  <si>
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</si>
  <si>
    <t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t>
  </si>
  <si>
    <t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t>
  </si>
  <si>
    <t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t>
  </si>
  <si>
    <t>MQALNITPEQFSRLLRDHNLTREQFIALYRLRPLVYTPELPGRAKLALVLTGVLIFALALFGNALVFYVVTRSKAMRTVTNIFICSLALSDLLITFFCIPVTMLQNISDNWLGGAFICKMVPFVQSTAVVTEILTMTCIAVERHQGLVHPFKMKWQYTNRRAFTMLGVVWLVAVIVGSPMWHVQQLEIKYDFLYEKEHICCLEEWTSPVHQKIYTTFILVILFLLPLMVMLILYSKIGYELWIKKRVGDGSVLRTIHGKEMSKIARKKKRAVIMMVTVVALFAVCWAPFHVVHMMIEYSNFEKEYDDVTIKMIFAIVQIIGFSNSICNPIVYAFMNENFKKNVLSAVCYCIVNKTFSPAQRHGNSGITMMRKKAKFSLRENPVEETKGEAFSDGNIEVKLCEQTEEKKKLKRHLALFRSELAENSPLDSGH</t>
  </si>
  <si>
    <t>MASSTTRGPRVSDLFSGLPPAVTTPANQSAEASAGNGSVAGADAPAVTPFQSLQLVHQLKGLIVLLYSVVVVVGLVGNCLLVLVIARVRRLHNVTNFLIGNLALSDVLMCTACVPLTLAYAFEPRGWVFGGGLCHLVFFLQPVTVYVSVFTLTTIAVDRYVVLVHPLRRRISLRLSAYAVLAIWALSAVLALPAAVHTYHVELKPHDVRLCEEFWGSQERQRQLYAWGLLLVTYLLPLLVILLSYVRVSVKLRNRVVPGCVTQSQADWDRARRRRTFCLLVVIVVVFAVCWLPLHVFNLLRDLDPHAIDPYAFGLVQLLCHWLAMSSACYNPFIYAWLHDSFREELRKLLVAWPRKIAPHGQNMTVSVVI</t>
  </si>
  <si>
    <t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t>
  </si>
  <si>
    <t>MRSPSAAWLLGAAILLAASLSCSGTIQGTNRSSKGRSLIGKVDGTSHVTGKGVTVETVFSVDEFSASVLTGKLTTVFLPIVYTIVFVVGLPSNGMALWVFLFRTKKKHPAVIYMANLALADLLSVIWFPLKIAYHIHGNNWIYGEALCNVLIGFFYGNMYCSILFMTCLSVQRYWVIVNPMGHSRKKANIAIGISLAIWLLILLVTIPLYVVKQTIFIPALNITTCHDVLPEQLLVGDMFNYFLSLAIGVFLFPAFLTASAYVLMIRMLRSSAMDENSEKKRKRAIKLIVTVLAMYLICFTPSNLLLVVHYFLIKSQGQSHVYALYIVALCLSTLNSCIDPFVYYFVSHDFRDHAKNALLCRSVRTVKQMQVSLTSKKHSRKSSSYSSSSTTVKTSY</t>
  </si>
  <si>
    <t>MKALIFAAAGLLLLLPTFCQSGMENDTNNLAKPTLPIKTFRGAPPNSFEEFPFSALEGWTGATITVKIKCPEESASHLHVKNATMGYLTSSLSTKLIPAIYLLVFVVGVPANAVTLWMLFFRTRSICTTVFYTNLAIADFLFCVTLPFKIAYHLNGNNWVFGEVLCRATTVIFYGNMYCSILLLACISINRYLAIVHPFTYRGLPKHTYALVTCGLVWATVFLYMLPFFILKQEYYLVQPDITTCHDVHNTCESSSPFQLYYFISLAFFGFLIPFVLIIYCYAAIIRTLNAYDHRWLWYVKASLLILVIFTICFAPSNIILIIHHANYYYNNTDGLYFIYLIALCLGSLNSCLDPFLYFLMSKTRNHSTAYLTK</t>
  </si>
  <si>
    <t>MWGRLLLWPLVLGFSLSGGTQTPSVYDESGSTGGGDDSTPSILPAPRGYPGQVCANDSDTLELPDSSRALLLGWVPTRLVPALYGLVLVVGLPANGLALWVLATQAPRLPSTMLLMNLAAADLLLALALPPRIAYHLRGQRWPFGEAACRLATAALYGHMYGSVLLLAAVSLDRYLALVHPLRARALRGRRLALGLCMAAWLMAAALALPLTLQRQTFRLARSDRVLCHDALPLDAQASHWQPAFTCLALLGCFLPLLAMLLCYGATLHTLAASGRRYGHALRLTAVVLASAVAFFVPSNLLLLLHYSDPSPSAWGNLYGAYVPSLALSTLNSCVDPFIYYYVSAEFRDKVRAGLFQRSPGDTVASKASAEGGSRGMGTHSSLLQ</t>
  </si>
  <si>
    <t>MTSGSVFFYILIFGKYFSHGGGQDVKCSLGYFPCGNITKCLPQLLHCNGVDDCGNQADEDNCGDNNGWSLQFDKYFASYYKMTSQYPFEAETPECLVGSVPVQCLCQGLELDCDETNLRAVPSVSSNVTAMSLQWNLIRKLPPDCFKNYHDLQKLYLQNNKITSISIYAFRGLNSLTKLYLSHNRITFLKPGVFEDLHRLEWLIIEDNHLSRISPPTFYGLNSLILLVLMNNVLTRLPDKPLCQHMPRLHWLDLEGNHIHNLRNLTFISCSNLTVLVMRKNKINHLNENTFAPLQKLDELDLGSNKIENLPPLIFKDLKELSQLNLSYNPIQKIQANQFDYLVKLKSLSLEGIEISNIQQRMFRPLMNLSHIYFKKFQYCGYAPHVRSCKPNTDGISSLENLLASIIQRVFVWVVSAVTCFGNIFVICMRPYIRSENKLYAMSIISLCCADCLMGIYLFVIGGFDLKFRGEYNKHAQLWMESTHCQLVGSLAILSTEVSVLLLTFLTLEKYICIVYPFRCVRPGKCRTITVLILIWITGFIVAFIPLSNKEFFKNYYGTNGVCFPLHSEDTESIGAQIYSVAIFLGINLAAFIIIVFSYGSMFYSVHQSAITATEIRNQVKKEMILAKRFFFIVFTDALCWIPIFVVKFLSLLQVEIPGTITSWVVIFILPINSALNPILYTLTTRPFKEMIHRFWYNYRQRKSMDSKGQKTYAPSFIWVEMWPLQEMPPELMKPDLFTYPCEMSLISQSTRLNSYS</t>
  </si>
  <si>
    <t>MIVFLVFKHLFSLRLITMFFLLHFIVLINVKDFALTQGSMITPSCQKGYFPCGNLTKCLPRAFHCDGKDDCGNGADEENCGDTSGWATIFGTVHGNANSVALTQECFLKQYPQCCDCKETELECVNGDLKSVPMISNNVTLLSLKKNKIHSLPDKVFIKYTKLKKIFLQHNCIRHISRKAFFGLCNLQILYLNHNCITTLRPGIFKDLHQLTWLILDDNPITRISQRLFTGLNSLFFLSMVNNYLEALPKQMCAQMPQLNWVDLEGNRIKYLTNSTFLSCDSLTVLFLPRNQIGFVPEKTFSSLKNLGELDLSSNTITELSPHLFKDLKLLQKLNLSSNPLMYLHKNQFESLKQLQSLDLERIEIPNINTRMFQPMKNLSHIYFKNFRYCSYAPHVRICMPLTDGISSFEDLLANNILRIFVWVIAFITCFGNLFVIGMRSFIKAENTTHAMSIKILCCADCLMGVYLFFVGIFDIKYRGQYQKYALLWMESVQCRLMGFLAMLSTEVSVLLLTYLTLEKFLVIVFPFSNIRPGKRQTSVILICIWMAGFLIAVIPFWNKDYFGNFYGKNGVCFPLYYDQTEDIGSKGYSLGIFLGVNLLAFLIIVFSYITMFCSIQKTALQTTEVRNCFGREVAVANRFFFIVFSDAICWIPVFVVKILSLFRVEIPDTMTSWIVIFFLPVNSALNPILYTLTTNFFKDKLKQLLHKHQRKSIFKIKKKSLSTSIVWIEDSSSLKLGVLNKITLGDSIMKPVS</t>
  </si>
  <si>
    <t>MQMADAATIATMNKAAGGDKLAELFSLVPDLLEAANTSGNASLQLPDLWWELGLELPDGAPPGHPPGSGGAESADTEARVRILISVVYWVVCALGLAGNLLVLYLMKSMQGWRKSSINLFVTNLALTDFQFVLTLPFWAVENALDFKWPFGKAMCKIVSMVTSMNMYASVFFLTAMSVTRYHSVASALKSHRTRGHGRGDCCGRSLGDSCCFSAKALCVWIWALAALASLPSAIFSTTVKVMGEELCLVRFPDKLLGRDRQFWLGLYHSQKVLLGFVLPLGIIILCYLLLVRFIADRRAAGTKGGAAVAGGRPTGASARRLSKVTKSVTIVVLSFFLCWLPNQALTTWSILIKFNAVPFSQEYFLCQVYAFPVSVCLAHSNSCLNPVLYCLVRREFRKALKSLLWRIASPSITSMRPFTATTKPEHEDQGLQAPAPPHAAAEPDLLYYPPGVVVYSGGRYDLLPSSSAY</t>
  </si>
  <si>
    <t>MPTLNTSASPPTFFWANASGGSVLSADDAPMPVKFLALRLMVALAYGLVGAIGLLGNLAVLWVLSNCARRAPGPPSDTFVFNLALADLGLALTLPFWAAESALDFHWPFGGALCKMVLTATVLNVYASIFLITALSVARYWVVAMAAGPGTHLSLFWARIATLAVWAAAALVTVPTAVFGVEGEVCGVRLCLLRFPSRYWLGAYQLQRVVLAFMVPLGVITTSYLLLLAFLQRRQRRRQDSRVVARSVRILVASFFLCWFPNHVVTLWGVLVKFDLVPWNSTFYTIQTYVFPVTTCLAHSNSCLNPVLYCLLRREPRQALAGTFRDLRLRLWPQGGGWVQQVALKQVGRRWVASNPRESRPSTLLTNLDRGTPG</t>
  </si>
  <si>
    <t>MFPNGTASSPSSSPSPSPGSCGEGGGSRGPGAGAADGMEEPGRNASQNGTLSEGQGSAILISFIYSVVCLVGLCGNSMVIYVILRYAKMKTATNIYILNLAIADELLMLSVPFLVTSTLLRHWPFGALLCRLVLSVDAVNMFTSIYCLTVLSVDRYVAVVHPIKAARYRRPTVAKVVNLGVWVLSLLVILPIVVFSRTAANSDGTVACNMLMPEPAQRWLVGFVLYTFLMGFLLPVGAICLCYVLIIAKMRMVALKAGWQQRKRSERKITLMVMMVVMVFVICWMPFYVVQLVNVFAEQDDATVSQLSVILGYANSCANPILYGFLSDNFKRSFQRILCLSWMDNAAEEPVDYYATALKSRAYSVEDFQPENLESGGVFRNGTCTSRITTL</t>
  </si>
  <si>
    <t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</t>
  </si>
  <si>
    <t>MDMLHPSSVSTTSEPENASSAWPPDATLGNVSAGPSPAGLAVSGVLIPLVYLVVCVVGLLGNSLVIYVVLRHTASPSVTNVYILNLALADELFMLGLPFLAAQNALSYWPFGSLMCRLVMAVDGINQFTSIFCLTVMSVDRYLAVVHPTRSARWRTAPVARTVSAAVWVASAVVVLPVVVFSGVPRGMSTCHMQWPEPAAAWRAGFIIYTAALGFFGPLLVICLCYLLIVVKVRSAGRRVWAPSCQRRRRSERRVTRMVVAVVALFVLCWMPFYVLNIVNVVCPLPEEPAFFGLYFLVVALPYANSCANPILYGFLSYRFKQGFRRVLLRPSRRVRSQEPTVGPPEKTEEEDEEEEDGEESREGGKGKEMNGRVSQITQPGTSGQERPPSRVASKEQQLLPQEASTGEKSSTMRISYL</t>
  </si>
  <si>
    <t>MSAPSTLPPGGEEGLGTAWPSAANASSAPAEAEEAVAGPGDARAAGMVAIQCIYALVCLVGLVGNALVIFVILRYAKMKTATNIYLLNLAVADELFMLSVPFVASSAALRHWPFGSVLCRAVLSVDGLNMFTSVFCLTVLSVDRYVAVVHPLRAATYRRPSVAKLINLGVWLASLLVTLPIAIFADTRPARGGQAVACNLQWPHPAWSAVFVVYTFLLGFLLPVLAIGLCYLLIVGKMRAVALRAGWQQRRRSEKKITRLVLMVVVVFVLCWMPFYVVQLLNLFVTSLDATVNHVSLILSYANSCANPILYGFLSDNFRRFFQRVLCLRCCLLEGAGGAEEEPLDYYATALKSKGGAGCMCPPLPCQQEALQPEPGRKRIPLTRTTTF</t>
  </si>
  <si>
    <t>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</t>
  </si>
  <si>
    <t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</t>
  </si>
  <si>
    <t>MGTCDIVTEANISSGPESNTTGITAFSMPSWQLALWATAYLALVLVAVTGNAIVIWIILAHRRMRTVTNYFIVNLALADLCMAAFNAAFNFVYASHNIWYFGRAFCYFQNLFPITAMFVSIYSMTAIAADRYMAIVHPFQPRLSAPSTKAVIAGIWLVALALASPQCFYSTVTMDQGATKCVVAWPEDSGGKTLLLYHLVVIALIYFLPLAVMFVAYSVIGLTLWRRAVPGHQAHGANLRHLQAMKKFVKTMVLVVLTFAICWLPYHLYFILGSFQEDIYCHKFIQQVYLALFWLAMSSTMYNPIIYCCLNHRFRSGFRLAFRCCPWVTPTKEDKLELTPTTSLSTRVNRCHTKETLFMAGDTAPSEATSGEAGRPQDGSGLWFGYGLLAPTKTHVEI</t>
  </si>
  <si>
    <t>MITFLPIIFSSLVVVTFVIGNFANGFIALVNSIEWFKRQKISFADQILTALAVSRVGLLWVLLLNWYSTVLNPAFNSVEVRTTAYNIWAVINHFSNWLATTLSIFYLLKIANFSNFIFLHLKRRVKSVILVMLLGPLLFLACHLFVINMNEIVRTKEFEGNMTWKIKLKSAMYFSNMTVTMVANLVPFTLTLLSFMLLICSLCKHLKKMQLHGKGSQDPSTKVHIKALQTVISFLLLCAIYFLSIMISVWSFGSLENKPVFMFCKAIRFSYPSIHPFILIWGNKKLKQTFLSVFWQMRYWVKGEKTSSP</t>
  </si>
  <si>
    <t>MATLPAAETWIDGGGGVGADAVNLTASLAAGAATGAVETGWLQLLDQAGNLSSSPSALGLPVASPAPSQPWANLTNQFVQPSWRIALWSLAYGVVVAVAVLGNLIVIWIILAHKRMRTVTNYFLVNLAFSDASMAAFNTLVNFIYALHSEWYFGANYCRFQNFFPITAVFASIYSMTAIAVDRYMAIIDPLKPRLSATATKIVIGSIWILAFLLAFPQCLYSKTKVMPGRTLCFVQWPEGPKQHFTYHIIVIILVYCFPLLIMGITYTIVGITLWGGEIPGDTCDKYHEQLKAKRKVVKMMIIVVMTFAICWLPYHIYFILTAIYQQLNRWKYIQQVYLASFWLAMSSTMYNPIIYCCLNKRFRAGFKRAFRWCPFIKVSSYDELELKTTRFHPNRQSSMYTVTRMESMTVVFDPNDADTTRSSRKKRATPRDPSFNGCSRRNSKSASATSSFISSPYTSVDEYS</t>
  </si>
  <si>
    <t>MENETVSELNQTQLQPRAVVALEYQVVTILLVLIICGLGIVGNIMVVLVVMRTKHMRTPTNCYLVSLAVADLMVLVAAGLPNITDSIYGSWVYGYVGCLCITYLQYLGINASSCSITAFTIERYIAICHPIKAQFLCTFSRAKKIIIFVWAFTSLYCMLWFFLLDLNISTYKDAIVISCGYKISRNYYSPIYLMDFGVFYVVPMILATVLYGFIARILFLNPIPSDPKENSKTWKNDSTHQNTNLNVNTSNRCFNSTVSSRKQVTKMLAVVVILFALLWMPYRTLVVVNSFLSSPFQENWFLLFCRICIYLNSAINPVIYNLMSQKFRAAFRKLCNCKQKPTEKPANYSVALNYSVIKESDHFSTELDDITVTDTYLSATKVSFDDTCLASEVSFSQS</t>
  </si>
  <si>
    <t>MALTPESPSSFPGLAATGSSVPEPPGGPNATLNSSWASPTEPSSLEDLVATGTIGTLLSAMGVVGVVGNAYTLVVTCRSLRAVASMYVYVVNLALADLLYLLSIPFIVATYVTKEWHFGDVGCRVLFGLDFLTMHASIFTLTVMSSERYAAVLRPLDTVQRPKGYRKLLALGTWLLALLLTLPVMLAMRLVRRGPKSLCLPAWGPRAHRAYLTLLFATSIAGPGLLIGLLYARLARAYRRSQRASFKRARRPGARALRLVLGIVLLFWACFLPFWLWQLLAQYHQAPLAPRTARIVNYLTTCLTYGNSCANPFLYTLLTRNYRDHLRGRVRGPGSGGGRGPVPSLQPRARFQRCSGRSLSSCSPQPTDSLVLAPAAPARPAPEGPRAPA</t>
  </si>
  <si>
    <t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</t>
  </si>
  <si>
    <t>MDSGPLWDANPTPRGTLSAPNATTPWLGRDEELAKVEIGVLATVLVLATGGNLAVLLTLGQLGRKRSRMHLFVLHLALTDLAVALFQVLPQLLWDITYRFQGPDLLCRAVKYLQVLSMFASTYMLLAMTLDRYLAVCHPLRSLQQPGQSTYLLIAAPWLLAAIFSLPQVFIFSLREVIQGSGVLDCWADFGFPWGPRAYLTWTTLAIFVLPVTMLTACYSLICHEICKNLKVKTQAWRVGGGGWRTWDRPSPSTLAATTRGLPSRVSSINTISRAKIRTVKMTFVIVLAYIACWAPFFSVQMWSVWDKNAPDEDSTNVAFTISMLLGNLNSCCNPWIYMGFNSHLLPRPLRHLACCGGPQPRMRRRLSDGSLSSRHTTLLTRSSCPATLSLSLSLTLSGRPRPEESPRDLELADGEGTAETIIF</t>
  </si>
  <si>
    <t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</t>
  </si>
  <si>
    <t>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</t>
  </si>
  <si>
    <t>MRMEDEDYNTSISYGDEYPDYLDSIVVLEDLSPLEARVTRIFLVVVYSIVCFLGILGNGLVIIIATFKMKKTVNMVWFLNLAVADFLFNVFLPIHITYAAMDYHWVFGTAMCKISNFLLIHNMFTSVFLLTIISSDRCISVLLPVWSQNHRSVRLAYMACMVIWVLAFFLSSPSLVFRDTANLHGKISCFNNFSLSTPGSSSWPTHSQMDPVGYSRHMVVTVTRFLCGFLVPVLIITACYLTIVCKLQRNRLAKTKKPFKIIVTIIITFFLCWCPYHTLNLLELHHTAMPGSVFSLGLPLATALAIANSCMNPILYVFMGQDFKKFKVALFSRLVNALSEDTGHSSYPSHRSFTKMSSMNERTSMNERETGML</t>
  </si>
  <si>
    <t>METPNTTEDYDTTTEFDYGDATPCQKVNERAFGAQLLPPLYSLVFVIGLVGNILVVLVLVQYKRLKNMTSIYLLNLAISDLLFLFTLPFWIDYKLKDDWVFGDAMCKILSGFYYTGLYSEIFFIILLTIDRYLAIVHAVFALRARTVTFGVITSIIIWALAILASMPGLYFSKTQWEFTHHTCSLHFPHESLREWKLFQALKLNLFGLVLPLLVMIICYTGIIKILLRRPNEKKSKAVRLIFVIMIIFFLFWTPYNLTILISVFQDFLFTHECEQSRHLDLAVQVTEVIAYTHCCVNPVIYAFVGERFRKYLRQLFHRRVAVHLVKWLPFLSVDRLERVSSTSPSTGEHELSAGF</t>
  </si>
  <si>
    <t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</t>
  </si>
  <si>
    <t>MTTSLDTVETFGTTSYYDDVGLLCEKADTRALMAQFVPPLYSLVFTVGLLGNVVVVMILIKYRRLRIMTNIYLLNLAISDLLFLVTLPFWIHYVRGHNWVFGHGMCKLLSGFYHTGLYSEIFFIILLTIDRYLAIVHAVFALRARTVTFGVITSIVTWGLAVLAALPEFIFYETEELFEETLCSALYPEDTVYSWRHFHTLRMTIFCLVLPLLVMAICYTGIIKTLLRCPSKKKYKAIRLIFVIMAVFFIFWTPYNVAILLSSYQSILFGNDCERSKHLDLVMLVTEVIAYSHCCMNPVIYAFVGERFRKYLRHFFHRHLLMHLGRYIPFLPSEKLERTSSVSPSTAEPELSIVF</t>
  </si>
  <si>
    <t>MNPTDIADTTLDESIYSNYYLYESIPKPCTKEGIKAFGELFLPPLYSLVFVFGLLGNSVVVLVLFKYKRLRSMTDVYLLNLAISDLLFVFSLPFWGYYAADQWVFGLGLCKMISWMYLVGFYSGIFFVMLMSIDRYLAIVHAVFSLRARTLTYGVITSLATWSVAVFASLPGFLFSTCYTERNHTYCKTKYSLNSTTWKVLSSLEINILGLVIPLGIMLFCYSMIIRTLQHCKNEKKNKAVKMIFAVVVLFLGFWTPYNIVLFLETLVELEVLQDCTFERYLDYAIQATETLAFVHCCLNPIIYFFLGEKFRKYILQLFKTCRGLFVLCQYCGLLQIYSADTPSSSYTQSTMDHDLHDAL</t>
  </si>
  <si>
    <t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t>
  </si>
  <si>
    <t>MSGESMNFSDVFDSSEDYFVSVNTSYYSVDSEMLLCSLQEVRQFSRLFVPIAYSLICVFGLLGNILVVITFAFYKKARSMTDVYLLNMAIADILFVLTLPFWAVSHATGAWVFSNATCKLLKGIYAINFNCGMLLLTCISMDRYIAIVQATKSFRLRSRTLPRSKIICLVVWGLSVIISSSTFVFNQKYNTQGSDVCEPKYQTVSEPIRWKLLMLGLELLFGFFIPLMFMIFCYTFIVKTLVQAQNSKRHKAIRVIIAVVLVFLACQIPHNMVLLVTAANLGKMNRSCQSEKLIGYTKTVTEVLAFLHCCLNPVLYAFIGQKFRNYFLKILKDLWCVRRKYKSSGFSCAGRYSENISRQTSETADNDNASSFTM</t>
  </si>
  <si>
    <t>MDLGKPMKSVLVVALLVIFQVCLCQDEVTDDYIGDNTTVDYTLFESLCSKKDVRNFKAWFLPIMYSIICFVGLLGNGLVVLTYIYFKRLKTMTDTYLLNLAVADILFLLTLPFWAYSAAKSWVFGVHFCKLIFAIYKMSFFSGMLLLLCISIDRYVAIVQAVSAHRHRARVLLISKLSCVGIWILATVLSIPELLYSDLQRSSSEQAMRCSLITEHVEAFITIQVAQMVIGFLVPLLAMSFCYLVIIRTLLQARNFERNKAIKVIIAVVVVFIVFQLPYNGVVLAQTVANFNITSSTCELSKQLNIAYDVTYSLACVRCCVNPFLYAFIGVKFRNDLFKLFKDLGCLSQEQLRQWSSCRHIRRSSMSVEAETTTTFSP</t>
  </si>
  <si>
    <t>MDYTLDLSVTTVTDYYYPDIFSSPCDAELIQTNGKLLLAVFYCLLFVFSLLGNSLVILVLVVCKKLRSITDVYLLNLALSDLLFVFSFPFQTYYLLDQWVFGTVMCKVVSGFYYIGFYSSMFFITLMSVDRYLAVVHAVYALKVRTIRMGTTLCLAVWLTAIMATIPLLVFYQVASEDGVLQCYSFYNQQTLKWKIFTNFKMNILGLLIPFTIFMFCYIKILHQLKRCQNHNKTKAIRLVLIVVIASLLFWVPFNVVLFLTSLHSMHILDGCSISQQLTYATHVTEIISFTHCCVNPVIYAFVGEKFKKHLSEIFQKSCSQIFNYLGRQMPRESCEKSSSCQQHSSRSSSVDYIL</t>
  </si>
  <si>
    <t>MITFLPIIFSILVVVTFVIGNFANGFIALVNSTEWVKRQKISFADQIVTALAVSRVGLLWVLLLNWYSTVLNPAFCSVELRTTAYNIWAVTGHFSNWPATSLSIFYLLKIANFSNLIFLRLKRRVKSVILVVLLGPLLFLACHLFVVNMNQIVWTKEYEGNMTWKIKLRRAMYLSDTTVTMLANLVPFTVTLISFLLLVCSLCKHLKKMQLHGKGSQDPSTKVHIKVLQTVISFFLLRAIYFVSVIISVWSFKNLENKPVFMFCQAIGFSCSSAHPFILIWGNKKLKQTYLSVLWQMRY</t>
  </si>
  <si>
    <t>MTPTDFTSPIPNMADDYGSESTSSMEDYVNFNFTDFYCEKNNVRQFASHFLPPLYWLVFIVGALGNSLVILVYWYCTRVKTMTDMFLLNLAIADLLFLVTLPFWAIAAADQWKFQTFMCKVVNSMYKMNFYSCVLLIMCISVDRYIAIAQAMRAHTWREKRLLYSKMVCFTIWVLAAALCIPEILYSQIKEESGIAICTMVYPSDESTKLKSAVLTLKVILGFFLPFVVMACCYTIIIHTLIQAKKSSKHKALKVTITVLTVFVLSQFPYNCILLVQTIDAYAMFISNCAVSTNIDICFQVTQTIAFFHSCLNPVLYVFVGERFRRDLVKTLKNLGCISQAQWVSFTRREGSLKLSSMLLETTSGALSL</t>
  </si>
  <si>
    <t>MGTEATEQVSWGHYSGDEEDAYSAEPLPELCYKADVQAFSRAFQPSVSLTVAALGLAGNGLVLATHLAARRAARSPTSAHLLQLALADLLLALTLPFAAAGALQGWSLGSATCRTISGLYSASFHAGFLFLACISADRYVAIARALPAGPRPSTPGRAHLVSVIVWLLSLLLALPALLFSQDGQREGQRRCRLIFPEGLTQTVKGASAVAQVALGFALPLGVMVACYALLGRTLLAARGPERRRALRVVVALVAAFVVLQLPYSLALLLDTADLLAARERSCPASKRKDVALLVTSGLALARCGLNPVLYAFLGLRFRQDLRRLLRGGSCPSGPQPRRGCPRRPRLSSCSAPTETHSLSWDN</t>
  </si>
  <si>
    <t>MSNITDPQMWDFDDLNFTGMPPADEDYSPCMLETETLNKYVVIIAYALVFLLSLLGNSLVMLVILYSRVGRSVTDVYLLNLALADLLFALTLPIWAASKVNGWIFGTFLCKVVSLLKEVNFYSGILLLACISVDRYLAIVHATRTLTQKRHLVKFVCLGCWGLSMNLSLPFFLFRQAYHPNNSSPVCYEVLGNDTAKWRMVLRILPHTFGFIVPLFVMLFCYGFTLRTLFKAHMGQKHRAMRVIFAVVLIFLLCWLPYNLVLLADTLMRTQVIQESCERRNNIGRALDATEILGFLHSCLNPIIYAFIGQNFRHGFLKILAMHGLVSKEFLARHRVTSYTSSSVNVSSNL</t>
  </si>
  <si>
    <t>MEDFNMESDSFEDFWKGEDLSNYSYSSTLPPFLLDAAPCEPESLEINKYFVVIIYALVFLLSLLGNSLVMLVILYSRVGRSVTDVYLLNLALADLLFALTLPIWAASKVNGWIFGTFLCKVVSLLKEVNFYSGILLLACISVDRYLAIVHATRTLTQKRYLVKFICLSIWGLSLLLALPVLLFRRTVYSSNVSPACYEDMGNNTANWRMLLRILPQSFGFIVPLLIMLFCYGFTLRTLFKAHMGQKHRAMRVIFAVVLIFLLCWLPYNLVLLADTLMRTQVIQETCERRNHIDRALDATEILGILHSCLNPLIYAFIGQKFRHGLLKILAIHGLISKDSLPKDSRPSFVGSSSGHTSTTL</t>
  </si>
  <si>
    <t>MVLEVSDHQVLNDAEVAALLENFSSSYDYGENESDSCCTSPPCPQDFSLNFDRAFLPALYSLLFLLGLLGNGAVAAVLLSRRTALSSTDTFLLHLAVADTLLVLTLPLWAVDAAVQWVFGSGLCKVAGALFNINFYAGALLLACISFDRYLNIVHATQLYRRGPPARVTLTCLAVWGLCLLFALPDFIFLSAHHDERLNATHCQYNFPQVGRTALRVLQLVAGFLLPLLVMAYCYAHILAVLLVSRGQRRLRAMRLVVVVVVAFALCWTPYHLVVLVDILMDLGALARNCGRESRVDVAKSVTSGLGYMHCCLNPLLYAFVGVKFRERMWMLLLRLGCPNQRGLQRQPSSSRRDSSWSETSEASYSGL</t>
  </si>
  <si>
    <t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t>
  </si>
  <si>
    <t>MNYPLTLEMDLENLEDLFWELDRLDNYNDTSLVENHLCPATEGPLMASFKAVFVPVAYSLIFLLGVIGNVLVLVILERHRQTRSSTETFLFHLAVADLLLVFILPFAVAEGSVGWVLGTFLCKTVIALHKVNFYCSSLLLACIAVDRYLAIVHAVHAYRHRRLLSIHITCGTIWLVGFLLALPEILFAKVSQGHHNNSLPRCTFSQENQAETHAWFTSRFLYHVAGFLLPMLVMGWCYVGVVHRLRQAQRRPQRQKAVRVAILVTSIFFLCWSPYHIVIFLDTLARLKAVDNTCKLNGSLPVAITMCEFLGLAHCCLNPMLYTFAGVKFRSDLSRLLTKLGCTGPASLCQLFPSWRRSSLSESENATSLTTF</t>
  </si>
  <si>
    <t>MAEHDYHEDYGFSSFNDSSQEEHQDFLQFSKVFLPCMYLVVFVCGLVGNSLVLVISIFYHKLQSLTDVFLVNLPLADLVFVCTLPFWAYAGIHEWVFGQVMCKSLLGIYTINFYTSMLILTCITVDRFIVVVKATKAYNQQAKRMTWGKVTSLLIWVISLLVSLPQIIYGNVFNLDKLICGYHDEAISTVVLATQMTLGFFLPLLTMIVCYSVIIKTLLHAGGFQKHRSLKIIFLVMAVFLLTQMPFNLMKFIRSTHWEYYAMTSFHYTIMVTEAIAYLRACLNPVLYAFVSLKFRKNFWKLVKDIGCLPYLGVSHQWKSSEDNSKTFSASHNVEATSMFQL</t>
  </si>
  <si>
    <t>MDQFPESVTENFEYDDLAEACYIGDIVVFGTVFLSIFYSVIFAIGLVGNLLVVFALTNSKKPKSVTDIYLLNLALSDLLFVATLPFWTHYLINEKGLHNAMCKFTTAFFFIGFFGSIFFITVISIDRYLAIVLAANSMNNRTVQHGVTISLGVWAAAILVAAPQFMFTKQKENECLGDYPEVLQEIWPVLRNVETNFLGFLLPLLIMSYCYFRIIQTLFSCKNHKKAKAIKLILLVVIVFFLFWTPYNVMIFLETLKLYDFFPSCDMRKDLRLALSVTETVAFSHCCLNPLIYAFAGEKFRRYLYHLYGKCLAVLCGRSVHVDFSSSESQRSRHGSVLSSNFTYHTSDGDALLLL</t>
  </si>
  <si>
    <t>MESSGNPESTTFFYYDLQSQPCENQAWVFATLATTVLYCLVFLLSLVGNSLVLWVLVKYESLESLTNIFILNLCLSDLVFACLLPVWISPYHWGWVLGDFLCKLLNMIFSISLYSSIFFLTIMTIHRYLSVVSPLSTLRVPTLRCRVLVTMAVWVASILSSILDTIFHKVLSSGCDYSELTWYLTSVYQHNLFFLLSLGIILFCYVEILRTLFRSRSKRRHRTVKLIFAIVVAYFLSWGPYNFTLFLQTLFRTQIIRSCEAKQQLEYALLICRNLAFSHCCFNPVLYVFVGVKFRTHLKHVLRQFWFCRLQAPSPASIPHSPGAFAYEGASFY</t>
  </si>
  <si>
    <t>MGNCLHRAELSPSTENSSQLDFEDVWNSSYGVNDSFPDGDYGANLEAAAPCHSCNLLDDSALPFFILTSVLGILASSTVLFMLFRPLFRWQLCPGWPVLAQLAVGSALFSIVVPVLAPGLGSTRSSALCSLGYCVWYGSAFAQALLLGCHASLGHRLGAGQVPGLTLGLTVGIWGVAALLTLPVTLASGASGGLCTLIYSTELKALQATHTVACLAIFVLLPLGLFGAKGLKKALGMGPGPWMNILWAWFIFWWPHGVVLGLDFLVRSKLLLLSTCLAQQALDLLLNLAEALAILHCVATPLLLALFCHQATRTLLPSLPLPEGWSSHLDTLGSKS</t>
  </si>
  <si>
    <t>MAATASPQPLATEDADSENSSFYYYDYLDEVAFMLCRKDAVVSFGKVFLPVFYSLIFVLGLSGNLLLLMVLLRYVPRRRMVEIYLLNLAISNLLFLVTLPFWGISVAWHWVFGSFLCKMVSTLYTINFYSGIFFISCMSLDKYLEIVHAQPYHRLRTRAKSLLLATIVWAVSLAVSIPDMVFVQTHENPKGVWNCHADFGGHGTIWKLFLRFQQNLLGFLLPLLAMIFFYSRIGCVLVRLRPAGQGRALKIAAALVVAFFVLWFPYNLTLFLHTLLDLQVFGNCEVSQHLDYALQVTESIAFLHCCFSPILYAFSSHRFRQYLKAFLAAVLGWHLAPGTAQASLSSCSESSILTAQEEMTGMNDLGERQSENYPNKEDVGNKSA</t>
  </si>
  <si>
    <t>MDLHLFDYSEPGNFSDISWPCNSSDCIVVDTVMCPNMPNKSVLLYTLSFIYIFIFVIGMIANSVVVWVNIQAKTTGYDTHCYILNLAIADLWVVLTIPVWVVSLVQHNQWPMGELTCKVTHLIFSINLFGSIFFLTCMSVDRYLSITYFTNTPSSRKKMVRRVVCILVWLLAFCVSLPDTYYLKTVTSASNNETYCRSFYPEHSIKEWLIGMELVSVVLGFAVPFSIIAVFYFLLARAISASSDQEKHSSRKIIFSYVVVFLVCWLPYHVAVLLDIFSILHYIPFTCRLEHALFTALHVTQCLSLVHCCVNPVLYSFINRNYRYELMKAFIFKYSAKTGLTKLIDASRVSETEYSALEQSTK</t>
  </si>
  <si>
    <t>MALEQNQSTDYYYEENEMNGTYDYSQYELICIKEDVREFAKVFLPVFLTIVFVIGLAGNSMVVAIYAYYKKQRTKTDVYILNLAVADLLLLFTLPFWAVNAVHGWVLGKIMCKITSALYTLNFVSGMQFLACISIDRYVAVTKVPSQSGVGKPCWIICFCVWMAAILLSIPQLVFYTVNDNARCIPIFPRYLGTSMKALIQMLEICIGFVVPFLIMGVCYFITARTLMKMPNIKISRPLKVLLTVVIVFIVTQLPYNIVKFCRAIDIIYSLITSCNMSKRMDIAIQVTESIALFHSCLNPILYVFMGASFKNYVMKVAKKYGSWRRQRQSVEEFPFDSEGPTEPTSTFSI</t>
  </si>
  <si>
    <t>MANYTLAPEDEYDVLIEGELESDEAEQCDKYDAQALSAQLVPSLCSAVFVIGVLDNLLVVLILVKYKGLKRVENIYLLNLAVSNLCFLLTLPFWAHAGGDPMCKILIGLYFVGLYSETFFNCLLTVQRYLVFLHKGNFFSARRRVPCGIITSVLAWVTAILATLPEFVVYKPQMEDQKYKCAFSRTPFLPADETFWKHFLTLKMNISVLVLPLFIFTFLYVQMRKTLRFREQRYSLFKLVFAIMVVFLLMWAPYNIAFFLSTFKEHFSLSDCKSSYNLDKSVHITKLIATTHCCINPLLYAFLDGTFSKYLCRCFHLRSNTPLQPRGQSAQGTSREEPDHSTEV</t>
  </si>
  <si>
    <t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</t>
  </si>
  <si>
    <t>MVIMGQCYYNETIGFFYNNSGKELSSHWRPKDVVVVALGLTVSVLVLLTNLLVIAAIASNRRFHQPIYYLLGNLAAADLFAGVAYLFLMFHTGPRTARLSLEGWFLRQGLLDTSLTASVATLLAIAVERHRSVMAVQLHSRLPRGRVVMLIVGVWVAALGLGLLPAHSWHCLCALDRCSRMAPLLSRSYLAVWALSSLLVFLLMVAVYTRIFFYVRRRVQRMAEHVSCHPRYRETTLSLVKTVVIILGAFVVCWTPGQVVLLLDGLGCESCNVLAVEKYFLLLAEANSLVNAAVYSCRDAEMRRTFRRLLCCACLRQSTRESVHYTSSAQGGASTRIMLPENGHPLMDSTL</t>
  </si>
  <si>
    <t>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PLVGVSNYMKVSICFPMDVETTLSQVYILTILILNVVAFFIICACYIKIYFAVRNPELMATNKDTKIAKKMAILIFTDFTCMAPISFFAISAAFKVPLITVTNSKVLLVLFYPINSCANPFLYAIFTKTFQRDFFLLLSKFGCCKRRAELYRRKDFSAYTSNCKNGFTGSNKPSQSTLKLSTLHCQGTALLDKTRYTEC</t>
  </si>
  <si>
    <t>MRPADLLQLVLLLDLPRDLGGMGCSSPPCECHQEEDFRVTCKDIQRIPSLPPSTQTLKLIETHLRTIPSHAFSNLPNISRIYVSIDVTLQQLESHSFYNLSKVTHIEIRNTRNLTYIDPDALKELPLLKFLGIFNTGLKMFPDLTKVYSTDIFFILEITDNPYMTSIPVNAFQGLCNETLTLKLYNNGFTSVQGYAFNGTKLDAVYLNKNKYLTVIDKDAFGGVYSGPSLLDVSQTSVTALPSKGLEHLKELIARNTWTLKKLPLSLSFLHLTRADLSYPSHCCAFKNQKKIRGILESLMCNESSMQSLRQRKSVNALNSPLHQEYEENLGDSIVGYKEKSKFQDTHNNAHYYVFFEEQEDEIIGFGQELKNPQEETLQAFDSHYDYTICGDSEDMVCTPKSDEFNPCEDIMGYKFLRIVVWFVSLLALLGNVFVLLILLTSHYKLNVPRFLMCNLAFADFCMGMYLLLIASVDLYTHSEYYNHAIDWQTGPGCNTAGFFTVFASELSVYTLTVITLERWYAITFAMRLDRKIRLRHACAIMVGGWVCCFLLALLPLVGISSYAKVSICLPMDTETPLALAYIVFVLTLNIVAFVIVCCCYVKIYITVRNPQYNPGDKDTKIAKRMAVLIFTDFICMAPISFYALSAILNKPLITVSNSKILLVLFYPLNSCANPFLYAIFTKAFQRDVFILLSKFGICKRQAQAYRGQRVPPKNSTDIQVQKVTHDMRQGLHNMEDVYELIENSHLTPKKQGQISEEYMQTVL</t>
  </si>
  <si>
    <t>METTMGFMDDNATNTSTSFLSVLNPHGAHATSFPFNFSYSDYDMPLDEDEDVTNSRTFFAAKIVIGMALVGIMLVCGIGNFIFIAALVRYKKLRNLTNLLIANLAISDFLVAIVCCPFEMDYYVVRQLSWEHGHVLCTSVNYLRTVSLYVSTNALLAIAIDRYLAIVHPLRPRMKCQTATGLIALVWTVSILIAIPSAYFTTETVLVIVKSQEKIFCGQIWPVDQQLYYKSYFLFIFGIEFVGPVVTMTLCYARISRELWFKAVPGFQTEQIRKRLRCRRKTVLVLMCILTAYVLCWAPFYGFTIVRDFFPTVFVKEKHYLTAFYIVECIAMSNSMINTLCFVTVKNDTVKYFKKIMLLHWKASYNGGKSSADLDLKTIGMPATEEVDCIRLK</t>
  </si>
  <si>
    <t>MAAQNGNTSFTPNFNPPQDHASSLSFNFSYGDYDLPMDEDEDMTKTRTFFAAKIVIGIALAGIMLVCGIGNFVFIAALTRYKKLRNLTNLLIANLAISDFLVAIICCPFEMDYYVVRQLSWEHGHVLCASVNYLRTVSLYVSTNALLAIAIDRYLAIVHPLKPRMNYQTASFLIALVWMVSILIAIPSAYFATETVLFIVKSQEKIFCGQIWPVDQQLYYKSYFLFIFGVEFVGPVVTMTLCYARISRELWFKAVPGFQTEQIRKRLRCRRKTVLVLMCILTAYVLCWAPFYGFTIVRDFFPTVFVKEKHYLTAFYVVECIAMSNSMINTVCFVTVKNNTMKYFKKMMLLHWRPSQRGSKSSADLDLRTNGVPTTEEVDCIRLK</t>
  </si>
  <si>
    <t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t>
  </si>
  <si>
    <t>MLPDWKSSLILMAYIIIFLTGLPANLLALRAFVGRIRQPQPAPVHILLLSLTLADLLLLLLLPFKIIEAASNFRWYLPKVVCALTSFGFYSSIYCSTWLLAGISIERYLGVAFPVQYKLSRRPLYGVIAALVAWVMSFGHCTIVIIVQYLNTTEQVRSGNEITCYENFTDNQLDVVLPVRLELCLVLFFIPMAVTIFCYWRFVWIMLSQPLVGAQRRRRAVGLAVVTLLNFLVCFGPYNVSHLVGYHQRKSPWWRSIAVVFSSLNASLDPLLFYFSSSVVRRAFGRGLQVLRNQGSSLLGRRGKDTAEGTNEDRGVGQGEGMPSSDFTTE</t>
  </si>
  <si>
    <t>MDTGPDQSYFSGNHWFVFSVYLLTFLVGLPLNLLALVVFVGKLQRRPVAVDVLLLNLTASDLLLLLFLPFRMVEAANGMHWPLPFILCPLSGFIFFTTIYLTALFLAAVSIERFLSVAHPLWYKTRPRLGQAGLVSVACWLLASAHCSVVYVIEFSGDISHSQGTNGTCYLEFRKDQLAILLPVRLEMAVVLFVVPLIITSYCYSRLVWILGRGGSHRRQRRVAGLLAATLLNFLVCFGPYNVSHVVGYICGESPAWRIYVTLLSTLNSCVDPFVYYFSSSGFQADFHELLRRLCGLWGQWQQESSMELKEQKGGEEQRADRPAERKTSEHSQGCGTGGQVACAES</t>
  </si>
  <si>
    <t>MSPECARAAGDAPLRSLEQANRTRFPFFSDVKGDHRLVLAAVETTVLVLIFAVSLLGNVCALVLVARRRRRGATACLVLNLFCADLLFISAIPLVLAVRWTEAWLLGPVACHLLFYVMTLSGSVTILTLAAVSLERMVCIVHLQRGVRGPGRRARAVLLALIWGYSAVAALPLCVFFRVVPQRLPGADQEISICTLIWPTIPGEISWDVSFVTLNFLVPGLVIVISYSKILQTSEHLLDARAVVTHSEITKASRKRLTVSLAYSESHQIRVSQQDFRLFRTLFLLMVSFFIMWSPIIITILLILIQNFKQDLVIWPSLFFWVVAFTFANSALNPILYNMTLCRNEWKKIFCCFWFPEKGAILTDTSVKRNDLSIISG</t>
  </si>
  <si>
    <t>MDTGPDQSYFSGNHWFVFSVYLLTFLVGLPLNLLALVVFVGKLRCRPVAVDVLLLNLTASDLLLLLFLPFRMVEAANGMHWPLPFILCPLSGFIFFTTIYLTALFLAAVSIERFLSVAHPLWYKTRPRLGQAGLVSVACWLLASAHCSVVYVIEFSGDISHSQGTNGTCYLEFWKDQLAILLPVRLEMAVVLFVVPLIITSYCYSRLVWILGRGGSHRRQRRVAGLVAATLLNFLVCFGPYNVSHVVGYICGESPVWRIYVTLLSTLNSCVDPFVYYFSSSGFQADFHELLRRLCGLWGQWQQESSMELKEQKGGEEQRADRPAERKTSEHSQGCGTGGQVACAEN</t>
  </si>
  <si>
    <t>MNTTSSAAPPSLGVEFISLLAIILLSVALAVGLPGNSFVVWSILKRMQKRSVTALMVLNLALADLAVLLTAPFFLHFLAQGTWSFGLAGCRLCHYVCGVSMYASVLLITAMSLDRSLAVARPFVSQKLRTKAMARRVLAGIWVLSFLLATPVLAYRTVVPWKTNMSLCFPRYPSEGHRAFHLIFEAVTGFLLPFLAVVASYSDIGRRLQARRFRRSRRTGRLVVLIILTFAAFWLPYHVVNLAEAGRALAGQAAGLGLVGKRLSLARNVLIALAFLSSSVNPVLYACAGGGLLRSAGVGFVAKLLEGTGSEASSTRRGGSLGQTARSGPAALEPGPSESLTASSPLKLNELN</t>
  </si>
  <si>
    <t>MAPSHRASQVGFCPTPERPLWRLPPTCRPRRMSVCYRPPGNETLLSWKTSRATGTAFLLLAALLGLPGNGFVVWSLAGWRPARGRPLAATLVLHLALADGAVLLLTPLFVAFLTRQAWPLGQAGCKAVYYVCALSMYASVLLTGLLSLQRCLAVTRPFLAPRLRSPALARRLLLAVWLAALLLAVPAAVYRHLWRDRVCQLCHPSPVHAAAHLSLETLTAFVLPFGLMLGCYSVTLARLRGARWGSGRHGARVGRLVSAIVLAFGLLWAPYHAVNLLQAVAALAPPEGALAKLGGAGQAARAGTTALAFFSSSVNPVLYVFTAGDLLPRAGPRFLTRLFEGSGEARGGGRSREGTMELRTTPQLKVVGQGRGNGDPGGGMEKDGPEWDL</t>
  </si>
  <si>
    <t>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</t>
  </si>
  <si>
    <t>MERKFMSLQPSISVSEMEPNGTFSNNNSRNCTIENFKREFFPIVYLIIFFWGVLGNGLSIYVFLQPYKKSTSVNVFMLNLAISDLLFISTLPFRADYYLRGSNWIFGDLACRIMSYSLYVNMYSSIYFLTVLSVVRFLAMVHPFRLLHVTSIRSAWILCGIIWILIMASSIMLLDSGSEQNGSVTSCLELNLYKIAKLQTMNYIALVVGCLLPFFTLSICYLLIIRVLLKVEVPESGLRVSHRKALTTIIITLIIFFLCFLPYHTLRTVHLTTWKVGLCKDRLHKALVITLALAAANACFNPLLYYFAGENFKDRLKSALRKGHPQKAKTKCVFPVSVWLRKETRV</t>
  </si>
  <si>
    <t>MLCHRGGQLIVPIIPLCPEHSCRGRRLQNLLSGPWPKQPMELHNLSSPSPSLSSSVLPPSFSPSPSSAPSAFTTVGGSSGGPCHPTSSSLVSAFLAPILALEFVLGLVGNSLALFIFCIHTRPWTSNTVFLVSLVAADFLLISNLPLRVDYYLLHETWRFGAAACKVNLFMLSTNRTASVVFLTAIALNRYLKVVQPHHVLSRASVGAAARVAGGLWVGILLLNGHLLLSTFSGPSCLSYRVGTKPSASLRWHQALYLLEFFLPLALILFAIVSIGLTIRNRGLGGQAGPQRAMRVLAMVVAVYTICFLPSIIFGMASMVAFWLSACRSLDLCTQLFHGSLAFTYLNSVLDPVLYCFSSPNFLHQSRALLGLTRGRQGPVSDESSYQPSRQWRYREASRKAEAIGKLKVQGEVSLEKEGSSQG</t>
  </si>
  <si>
    <t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t>
  </si>
  <si>
    <t>MQAALTAFFVLLFSLLSLLGIAANGFIVLVLGREWLRYGRLLPLDMILISLGASRFCLQLVGTVHNFYYSAQKVEYSGGLGRQFFHLHWHFLNSATFWFCSWLSVLFCVKIANITHSTFLWLKWRFPGWVPWLLLGSVLISFIITLLFFWVNYPVYQEFLIRKFSGNMTYKWNTRIETYYFPSLKLVIWSIPFSVFLVSIMLLINSLRRHTQRMQHNGHSLQDPSTQAHTRALKSLISFLILYALSFLSLIIDAAKFISMQNDFYWPWQIAVYLCISVHPFILIFSNLKLRSVFSQLLLLARGFWVA</t>
  </si>
  <si>
    <t>MNECHYDKHMDFFYNRSNTDTVDDWTGTKLVIVLCVGTFFCLFIFFSNSLVIAAVIKNRKFHFPFYYLLANLAAADFFAGIAYVFLMFNTGPVSKTLTVNRWFLRQGLLDSSLTASLTNLLVIAVERHMSIMRMRVHSNLTKKRVTLLILLVWAIAIFMGAVPTLGWNCLCNISACSSLAPIYSRSYLVFWTVSNLMAFLIMVVVYLRIYVYVKRKTNVLSPHTSGSISRRRTPMKLMKTVMTVLGAFVVCWTPGLVVLLLDGLNCRQCGVQHVKRWFLLLALLNSVVNPIIYSYKDEDMYGTMKKMICCFSQENPERRPSRIPSTVLSRSDTGSQYIEDSISQGAVCNKSTS</t>
  </si>
  <si>
    <t>MGDRRFIDFQFQDSNSSLRPRLGNATANNTCIVDDSFKYNLNGAVYSVVFILGLITNSVSLFVFCFRMKMRSETAIFITNLAVSDLLFVCTLPFKIFYNFNRHWPFGDTLCKISGTAFLTNIYGSMLFLTCISVDRFLAIVYPFRSRTIRTRRNSAIVCAGVWILVLSGGISASLFSTTNVNNATTTCFEGFSKRVWKTYLSKITIFIEVVGFIIPLILNVSCSSVVLRTLRKPATLSQIGTNKKKVLKMITVHMAVFVVCFVPYNSVLFLYALVRSQAITNCFLERFAKIMYPITLCLATLNCCFDPFIYYFTLESFQKSFYINAHIRMESLFKTETPLTTKPSLPAIQEEVSDQTTNNGGELMLESTF</t>
  </si>
  <si>
    <t>MLANSSSTNSSVLPCPDYRPTHRLHLVVYSLVLAAGLPLNALALWVFLRALRVHSVVSVYMCNLAASDLLFTLSLPVRLSYYALHHWPFPDLLCQTTGAIFQMNMYGSCIFLMLINVDRYAAIVHPLRLRHLRRPRVARLLCLGVWALILVFAVPAARVHRPSRCRYRDLEVRLCFESFSDELWKGRLLPLVLLAEALGFLLPLAAVVYSSGRVFWTLARPDATQSQRRRKTVRLLLANLVIFLLCFVPYNSTLAVYGLLRSKLVAASVPARDRVRGVLMVMVLLAGANCVLDPLVYYFSAEGFRNTLRGLGTPHRARTSATNGTRAALAQSERSAVTTDATRPDAASQGLLRPSDSHSLSSFTQCPQDSAL</t>
  </si>
  <si>
    <t>MVSVNSSHCFYNDSFKYTLYGCMFSMVFVLGLISNCVAIYIFICVLKVRNETTTYMINLAMSDLLFVFTLPFRIFYFTTRNWPFGDLLCKISVMLFYTNMYGSILFLTCISVDRFLAIVYPFKSKTLRTKRNAKIVCTGVWLTVIGGSAPAVFVQSTHSQGNNASEACFENFPEATWKTYLSRIVIFIEIVGFFIPLILNVTCSSMVLKTLTKPVTLSRSKINKTKVLKMIFVHLIIFCFCFVPYNINLILYSLVRTQTFVNCSVVAAVRTMYPITLCIAVSNCCFDPIVYYFTSDTIQNSIKMKNWSVRRSDFRFSEVHGAENFIQHNLQTLKSKIFDNESAA</t>
  </si>
  <si>
    <t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t>
  </si>
  <si>
    <t>MGSLYSEYLNPNKVQEHYNYTKETLETQETTSRQVASAFIVILCCAIVVENLLVLIAVARNSKFHSAMYLFLGNLAASDLLAGVAFVANTLLSGSVTLRLTPVQWFAREGSAFITLSASVFSLLAIAIERHVAIAKVKLYGSDKSCRMLLLIGASWLISLVLGGLPILGWNCLGHLEACSTVLPLYAKHYVLCVVTIFSIILLAIVALYVRIYCVVRSSHADMAAPQTLALLKTVTIVLGVFIVCWLPAFSILLLDYACPVHSCPILYKAHYFFAVSTLNSLLNPVIYTWRSRDLRREVLRPLQCWRPGVGVQGRRRGGTPGHHLLPLRSSSSLERGMHMPTSPTFLEGNTVV</t>
  </si>
  <si>
    <t>MATALPPRLQPVRGNETLREHYQYVGKLAGRLKEASEGSTLTTVLFLVICSFIVLENLMVLIAIWKNNKFHNRMYFFIGNLALCDLLAGIAYKVNILMSGKKTFSLSPTVWFLREGSMFVALGASTCSLLAIAIERHLTMIKMRPYDANKRHRVFLLIGMCWLIAFTLGALPILGWNCLHNLPDCSTILPLYSKKYIAFCISIFTAILVTIVILYARIYFLVKSSSRKVANHNNSERSMALLRTVVIVVSVFIACWSPLFILFLIDVACRVQACPILFKAQWFIVLAVLNSAMNPVIYTLASKEMRRAFFRLVCNCLVRGRGARASPIQPALDPSRSKSSSSNNSSHSPKVKEDLPHTAPSSCIMDKNAALQNGIFCN</t>
  </si>
  <si>
    <t>MNATGTPVAPESCQQLAAGGHSRLIVLHYNHSGRLAGRGGPEDGGLGALRGLSVAASCLVVLENLLVLAAITSHMRSRRWVYYCLVNITLSDLLTGAAYLANVLLSGARTFRLAPAQWFLREGLLFTALAASTFSLLFTAGERFATMVRPVAESGATKTSRVYGFIGLCWLLAALLGMLPLLGWNCLCAFDRCSSLLPLYSKRYILFCLVIFAGVLATIMGLYGAIFRLVQASGQKAPRPAARRKARRLLKTVLMILLAFLVCWGPLFGLLLADVFGSNLWAQEYLRGMDWILALAVLNSAVNPIIYSFRSREVCRAVLSFLCCGCLRLGMRGPGDCLARAVEAHSGASTTDSSLRPRDSFRGSRSLSFRMREPLSSISSVRSI</t>
  </si>
  <si>
    <t>MESGLLRPAPVSEVIVLHYNYTGKLRGARYQPGAGLRADAVVCLAVCAFIVLENLAVLLVLGRHPRFHAPMFLLLGSLTLSDLLAGAAYAANILLSGPLTLKLSPALWFAREGGVFVALTASVLSLLAIALERSLTMARRGPAPVSSRGRTLAMAAAAWGVSLLLGLLPALGWNCLGRLDACSTVLPLYAKAYVLFCVLAFVGILAAICALYARIYCQVRANARRLPARPGTAGTTSTRARRKPRSLALLRTLSVVLLAFVACWGPLFLLLLLDVACPARTCPVLLQADPFLGLAMANSLLNPIIYTLTNRDLRHALLRLVCCGRHSCGRDPSGSQQSASAAEASGGLRRCLPPGLDGSFSGSERSSPQRDGLDTSGSTGSPGAPTAARTLVSEPAAD</t>
  </si>
  <si>
    <t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</t>
  </si>
  <si>
    <t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</t>
  </si>
  <si>
    <t>MITLNNQDQPVPFNSSHPDEYKIAALVFYSCIFIIGLFVNITALWVFSCTTKKRTTVTIYMMNVALVDLIFIMTLPFRMFYYAKDEWPFGEYFCQILGALTVFYPSIALWLLAFISADRYMAIVQPKYAKELKNTCKAVLACVGVWIMTLTTTTPLLLLYKDPDKDSTPATCLKISDIIYLKAVNVLNLTRLTFFFLIPLFIMIGCYLVIIHNLLHGRTSKLKPKVKEKSIRIIITLLVQVLVCFMPFHICFAFLMLGTGENSYNPWGAFTTFLMNLSTCLDVILYYIVSKQFQARVISVMLYRNYLRSMRRKSFRSGSLRSLSNINSEML</t>
  </si>
  <si>
    <t>MSQQNTSGDCLFDGVNELMKTLQFAVHIPTFVLGLLLNLLAIHGFSTFLKNRWPDYAATSIYMINLAVFDLLLVLSLPFKMVLSQVQSPFPSLCTLVECLYFVSMYGSVFTICFISMDRFLAIRYPLLVSHLRSPRKIFGICCTIWVLVWTGSIPIYSFHGKVEKYMCFHNMSDDTWSAKVFFPLEVFGFLLPMGIMGFCCSRSIHILLGRRDHTQDWVQQKACIYSIAASLAVFVVSFLPVHLGFFLQFLVRNSFIVECRAKQSISFFLQLSMCFSNVNCCLDVFCYYFVIKEFRMNIRAHRPSRVQLVLQDTTISRG</t>
  </si>
  <si>
    <t>MESSFSFGVILAVLASLIIATNTLVAVAVLLLIHKNDGVSLCFTLNLAVADTLIGVAISGLLTDQLSSPSRPTQKTLCSLRMAFVTSSAAASVLTVMLITFDRYLAIKQPFRYLKIMSGFVAGACIAGLWLVSYLIGFLPLGIPMFQQTAYKGQCSFFAVFHPHFVLTLSCVGFFPAMLLFVFFYCDMLKIASMHSQQIRKMEHAGAMAGGYRSPRTPSDFKALRTVSVLIGSFALSWTPFLITGIVQVACQECHLYLVLERYLWLLGVGNSLLNPLIYAYWQKEVRLQLYHMALGVKKVLTSFLLFLSARNCGPERPRESSCHIVTISSSEFDG</t>
  </si>
  <si>
    <t>MEPHDSSHMDSEFRYTLFPIVYSIIFVLGVIANGYVLWVFARLYPCKKFNEIKIFMVNLTMADMLFLITLPLWIVYYQNQGNWILPKFLCNVAGCLFFINTYCSVAFLGVITYNRFQAVTRPIKTAQANTRKRGISLSLVIWVAIVGAASYFLILDSTNTVPDSAGSGNVTRCFEHYEKGSVPVLIIHIFIVFSFFLVFLIILFCNLVIIRTLLMQPVQQQRNAEVKRRALWMVCTVLAVFIICFVPHHVVQLPWTLAELGFQDSKFHQAINDAHQVTLCLLSTNCVLDPVIYCFLTKKFRKHLTEKFYSMRSSRKCSRATTDTVTEVVVPFNQIPGNSLKN</t>
  </si>
  <si>
    <t>MKSPFYRCQNTTSVEKGNSAVMGGVLFSTGLLGNLLALGLLARSGLGWCSRRPLRPLPSVFYMLVCGLTVTDLLGKCLLSPVVLAAYAQNRSLRVLAPALDNSLCQAFAFFMSFFGLSSTLQLLAMALECWLSLGHPFFYRRHITLRLGALVAPVVSAFSLAFCALPFMGFGKFVQYCPGTWCFIQMVHEEGSLSVLGYSVLYSSLMALLVLATVLCNLGAMRNLYAMHRRLQRHPRSCTRDCAEPRADGREASPQPLEELDHLLLLALMTVLFTMCSLPVIYRAYYGAFKDVKEKNRTSEEAEDLRALRFLSVISIVDPWIFIIFRSPVFRIFFHKIFIRPLRYRSRCSNSTNMESSL</t>
  </si>
  <si>
    <t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</t>
  </si>
  <si>
    <t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t>
  </si>
  <si>
    <t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</t>
  </si>
  <si>
    <t>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</t>
  </si>
  <si>
    <t>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</t>
  </si>
  <si>
    <t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</t>
  </si>
  <si>
    <t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</t>
  </si>
  <si>
    <t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</t>
  </si>
  <si>
    <t>MQGNGSALPNASQPVLRGDGARPSWLASALACVLIFTIVVDILGNLLVILSVYRNKKLRNAGNIFVVSLAVADLVVAIYPYPLVLMSIFNNGWNLGYLHCQVSGFLMGLSVIGSIFNITGIAINRYCYICHSLKYDKLYSSKNSLCYVLLIWLLTLAAVLPNLRAGTLQYDPRIYSCTFAQSVSSAYTIAVVVFHFLVPMIIVIFCYLRIWILVLQVRQRVKPDRKPKLKPQDFRNFVTMFVVFVLFAICWAPLNFIGLAVASDPASMVPRIPEWLFVASYYMAYFNSCLNAIIYGLLNQNFRKEYRRIIVSLCTARVFFVDSSNDVADRVKWKPSPLMTNNNVVKVDSV</t>
  </si>
  <si>
    <t>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</t>
  </si>
  <si>
    <t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t>
  </si>
  <si>
    <t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t>
  </si>
  <si>
    <t>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</t>
  </si>
  <si>
    <t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</t>
  </si>
  <si>
    <t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t>
  </si>
  <si>
    <t>MAADLGPWNDTINGTWDGDELGYRCRFNEDFKYVLLPVSYGVVCVPGLCLNAVALYIFLCRLKTWNASTTYMFHLAVSDALYAASLPLLVYYYARGDHWPFSTVLCKLVRFLFYTNLYCSILFLTCISVHRCLGVLRPLRSLRWGRARYARRVAGAVWVLVLACQAPVLYFVTTSARGGRVTCHDTSAPELFSRFVAYSSVMLGLLFAVPFAVILVCYVLMARRLLKPAYGTSGGLPRAKRKSVRTIAVVLAVFALCFLPFHVTRTLYYSFRSLDLSCHTLNAINMAYKVTRPLASANSCLDPVLYFLAGQRLVRFARDAKPPTGPSPATPARRRLGLRRSDRTDMQRIEDVLGSSEDSRRTESTPAGSENTKDIRL</t>
  </si>
  <si>
    <t>MASTESSLLRSLGLSPGPGSSEVELDCWFDEDFKFILLPVSYAVVFVLGLGLNAPTLWLFIFRLRPWDATATYMFHLALSDTLYVLSLPTLIYYYAAHNHWPFGTEICKFVRFLFYWNLYCSVLFLTCISVHRYLGICHPLRALRWGRPRLAGLLCLAVWLVVAGCLVPNLFFVTTSNKGTTVLCHDTTRPEEFDHYVHFSSAVMGLLFGVPCLVTLVCYGLMARRLYQPLPGSAQSSSRLRSLRTIAVVLTVFAVCFVPFHITRTIYYLARLLEADCRVLNIVNVVYKVTRPLASANSCLDPVLYLLTGDKYRRQLRQLCGGGKPQPRTAASSLALVSLPEDSSCRWAATPQDSSCSTPRADRL</t>
  </si>
  <si>
    <t>MEWDNGTGQALGLPPTTCVYRENFKQLLLPPVYSAVLAAGLPLNICVITQICTSRRALTRTAVYTLNLALADLLYACSLPLLIYNYAQGDHWPFGDFACRLVRFLFYANLHGSILFLTCISFQRYLGICHPLAPWHKRGGRRAAWLVCVAVWLAVTTQCLPTAIFAATGIQRNRTVCYDLSPPALATHYMPYGMALTVIGFLLPFAALLACYCLLACRLCRQDGPAEPVAQERRGKAARMAVVVAAAFAISFLPFHITKTAYLAVRSTPGVPCTVLEAFAAAYKGTRPFASANSVLDPILFYFTQKKFRRRPHELLQKLTAKWQRQGR</t>
  </si>
  <si>
    <t>MAANVSGAKSCPANFLAAADDKLSGFQGDFLWPILVVEFLVAVASNGLALYRFSIRKQRPWHPAVVFSVQLAVSDLLCALTLPPLAAYLYPPKHWRYGEAACRLERFLFTCNLLGSVIFITCISLNRYLGIVHPFFARSHLRPKHAWAVSAAGWVLAALLAMPTLSFSHLKRPQQGAGNCSVARPEACIKCLGTADHGLAAYRAYSLVLAGLGCGLPLLLTLAAYGALGRAVLRSPGMTVAEKLRVAALVASGVALYASSYVPYHIMRVLNVDARRRWSTRCPSFADIAQATAALELGPYVGYQVMRGLMPLAFCVHPLLYMAAVPSLGCCCRHCPGYRDSWNPEDAKSTGQALPLNATAAPKPSEPQSRELSQ</t>
  </si>
  <si>
    <t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t>
  </si>
  <si>
    <t>MTAAIRRQRELSILPKVTLEAMNTTVMQGFNRSERCPRDTRIVQLVFPALYTVVFLTGILLNTLALWVFVHIPSSSTFIIYLKNTLVADLIMTLMLPFKILSDSHLAPWQLRAFVCRFSSVIFYETMYVGIVLLGLIAFDRFLKIIRPLRNIFLKKPVFAKTVSIFIWFFLFFISLPNTILSNKEATPSSVKKCASLKGPLGLKWHQMVNNICQFIFWTVFILMLVFYVVIAKKVYDSYRKSKSKDRKNNKKLEGKVFVVVAVFFVCFAPFHFARVPYTHSQTNNKTDCRLQNQLFIAKETTLFLAATNICMDPLIYIFLCKKFTEKLPCMQGRKTTASSQENHSSQTDNITLG</t>
  </si>
  <si>
    <t>MINSTSTQPPDESCSQNLLITQQIIPVLYCMVFIAGILLNGVSGWIFFYVPSSKSFIIYLKNIVIADFVMSLTFPFKILGDSGLGPWQLNVFVCRVSAVLFYVNMYVSIVFFGLISFDRYYKIVKPLWTSFIQSVSYSKLLSVIVWMLMLLLAVPNIILTNQSVREVTQIKCIELKSELGRKWHKASNYIFVAIFWIVFLLLIVFYTAITKKIFKSHLKSSRNSTSVKKKSSRNIFSIVFVFFVCFVPYHIARIPYTKSQTEAHYSCQSKEILRYMKEFTLLLSAANVCLDPIIYFFLCQPFREILCKKLHIPLKAQNDLDISRIKRGNTTLESTDTL</t>
  </si>
  <si>
    <t>MTPNSTGEVPSPIPKGALGLSLALASLIITANLLLALGIAWDRRLRSPPAGCFFLSLLLAGLLTGLALPTLPGLWNQSRRGYWSCLLVYLAPNFSFLSLLANLLLVHGERYMAVLRPLQPPGSIRLALLLTWAGPLLFASLPALGWNHWTPGANCSSQAIFPAPYLYLEVYGLLLPAVGAAAFLSVRVLATAHRQLQDICRLERAVCRDEPSALARALTWRQARAQAGAMLLFGLCWGPYVATLLLSVLAYEQRPPLGPGTLLSLLSLGSASAAAVPVAMGLGDQRYTAPWRAAAQRCLQGLWGRASRDSPGPSIAYHPSSQSSVDLDLN</t>
  </si>
  <si>
    <t>MDVTSQARGVGLEMYPGTAQPAAPNTTSPELNLSHPLLGTALANGTGELSEHQQYVIGLFLSCLYTIFLFPIGFVGNILILVVNISFREKMTIPDLYFINLAVADLILVADSLIEVFNLHERYYDIAVLCTFMSLFLQVNMYSSVFFLTWMSFDRYIALARAMRCSLFRTKHHARLSCGLIWMASVSATLVPFTAVHLQHTDEACFCFADVREVQWLEVTLGFIVPFAIIGLCYSLIVRVLVRAHRHRGLRPRRQKALRMILAVVLVFFVCWLPENVFISVHLLQRTQPGAAPCKQSFRHAHPLTGHIVNLAAFSNSCLNPLIYSFLGETFRDKLRLYIEQKTNLPALNRFCHAALKAVIPDSTEQSDVRFSSAV</t>
  </si>
  <si>
    <t>MYNGSCCRIEGDTISQVMPPLLIVAFVLGALGNGVALCGFCFHMKTWKPSTVYLFNLAVADFLLMICLPFRTDYYLRRRHWAFGDIPCRVGLFTLAMNRAGSIVFLTVVAADRYFKVVHPHHAVNTISTRVAAGIVCTLWALVILGTVYLLLENHLCVQETAVSCESFIMESANGWHDIMFQLEFFMPLGIILFCSFKIVWSLRRRQQLARQARMKKATRFIMVVAIVFITCYLPSVSARLYFLWTVPSSACDPSVHGALHITLSFTYMNSMLDPLVYYFSSPSFPKFYNKLKICSLKPKQPGHSKTQRPEEMPISNLGRRSCISVANSFQSQSDGQWDPHIVEWH</t>
  </si>
  <si>
    <t>MNRHHLQDHFLEIDKKNCCVFRDDFIVKVLPPVLGLEFIFGLLGNGLALWIFCFHLKSWKSSRIFLFNLAVADFLLIICLPFLMDNYVRRWDWKFGDIPCRLMLFMLAMNRQGSIIFLTVVAVDRYFRVVHPHHALNKISNRTAAIISCLLWGITIGLTVHLLKKKMPIQNGGANLCSSFSICHTFQWHEAMFLLEFFLPLGIILFCSARIIWSLRQRQMDRHAKIKRAITFIMVVAIVFVICFLPSVVVRIRIFWLLHTSGTQNCEVYRSVDLAFFITLSFTYMNSMLDPVVYYFSSPSFPNFFSTLINRCLQRKMTGEPDNNRSTSVELTGDPNKTRGAPEALMANSGEPWSPSYLGPTSP</t>
  </si>
  <si>
    <t>MNRHHLQDHFLEIDKKNCCVFRDDFIAKVLPPVLGLEFIFGLLGNGLALWIFCFHLKSWKSSRIFLFNLAVADFLLIICLPFVMDYYVRRSDWKFGDIPCRLVLFMFAMNRQGSIIFLTVVAVDRYFRVVHPHHALNKISNWTAAIISCLLWGITVGLTVHLLKKKLLIQNGTANVCISFSICHTFRWHEAMFLLEFFLPLGIILFCSARIIWSLRQRQMDRHAKIKRAITFIMVVAIVFVICFLPSVVVRIHIFWLLHTSGTQNCEVYRSVDLAFFITLSFTYMNSMLDPVVYYFSSPSFPNFFSTLINRCLQRKITGEPDNNRSTSVELTGDPNKTRGAPEALIANSGEPWSPSYLGPTSNNHSKKGHCHQEPASLEKQLGCCIE</t>
  </si>
  <si>
    <t>MNEPLDYLANASDFPDYAAAFGNCTDENIPLKMHYLPVIYGIIFLVGFPGNAVVISTYIFKMRPWKSSTIIMLNLACTDLLYLTSLPFLIHYYASGENWIFGDFMCKFIRFSFHFNLYSSILFLTCFSIFRYCVIIHPMSCFSIHKTRCAVVACAVVWIISLVAVIPMTFLITSTNRTNRSACLDLTSSDELNTIKWYNLILTATTFCLPLVIVTLCYTTIIHTLTHGLQTDSCLKQKARRLTILLLLAFYVCFLPFHILRVIRIESRLLSISCSIENQIHEAYIVSRPLAALNTFGNLLLYVVVSDNFQQAVCSTVRCKVSGNLEQAKKISYSNNP</t>
  </si>
  <si>
    <t>MLGIMAWNATCKNWLAAEAALEKYYLSIFYGIEFVVGVLGNTIVVYGYIFSLKNWNSSNIYLFNLSVSDLAFLCTLPMLIRSYANGNWIYGDVLCISNRYVLHANLYTSILFLTFISIDRYLIIKYPFREHLLQKKEFAILISLAIWVLVTLELLPILPLINPVITDNGTTCNDFASSGDPNYNLIYSMCLTLLGFLIPLFVMCFFYYKIALFLKQRNRQVATALPLEKPLNLVIMAVVIFSVLFTPYHVMRNVRIASRLGSWKQYQCTQVVINSFYIVTRPLAFLNSVINPVFYFLLGDHFRDMLMNQLRHNFKSLTSFSRWAHELLLSFREK</t>
  </si>
  <si>
    <t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t>
  </si>
  <si>
    <t>MNPPSGPRVPPSPTQEPSCMATPAPPSWWDSSQSSISSLGRLPSISPTAPGTWAAAWVPLPTVDVPDHAHYTLGTVILLVGLTGMLGNLTVIYTFCRSRSLRTPANMFIINLAVSDFLMSFTQAPVFFTSSLYKQWLFGETGCEFYAFCGALFGISSMITLTAIALDRYLVITRPLATFGVASKRRAAFVLLGVWLYALAWSLPPFFGWSAYVPEGLLTSCSWDYMSFTPAVRAYTMLLCCFVFFLPLLIIIYCYIFIFRAIRETGRALQTFGACKGNGESLWQRQRLQSECKMAKIMLLVILLFVLSWAPYSAVALVAFAGYAHVLTPYMSSVPAVIAKASAIHNPIIYAITHPKYRVAIAQHLPCLGVLLGVSRRHSRPYPSYRSTHRSTLTSHTSNLSWISIRRRQESLGSESEVGWTHMEAAAVWGAAQQANGRSLYGQGLEDLEAKAPPRPQGHEAETPGKTKGLIPSQDPRM</t>
  </si>
  <si>
    <t>MYSGNRSGGHGYWDGGGAAGAEGPAPAGTLSPAPLFSPGTYERLALLLGSIGLLGVGNNLLVLVLYYKFQRLRTPTHLLLVNISLSDLLVSLFGVTFTFVSCLRNGWVWDTVGCVWDGFSGSLFGIVSIATLTVLAYERYIRVVHARVINFSWAWRAITYIWLYSLAWAGAPLLGWNRYILDVHGLGCTVDWKSKDANDSSFVLFLFLGCLVVPLGVIAHCYGHILYSIRMLRCVEDLQTIQVIKILKYEKKLAKMCFLMIFTFLVCWMPYIVICFLVVNGHGHLVTPTISIVSYLFAKSNTVYNPVIYVFMIRKFRRSLLQLLCLRLLRCQRPAKDLPAAGSEMQIRPIVMSQKDGDRPKKKVTFNSSSIIFIITSDESLSVDDSDKTNGSKVDVIQVRPL</t>
  </si>
  <si>
    <t>MALNHTALPQDERLPHYLRDGDPFASKLSWEADLVAGFYLTIIGILSTFGNGYVLYMSSRRKKKLRPAEIMTINLAVCDLGISVVGKPFTIISCFCHRWVFGWIGCRWYGWAGFFFGCGSLITMTAVSLDRYLKICYLSYGVWLKRKHAYICLAAIWAYASFWTTMPLVGLGDYVPEPFGTSCTLDWWLAQASVGGQVFILNILFFCLLLPTAVIVFSYVKIIAKVKSSSKEVAHFDSRIHSSHVLEMKLTKVAMLICAGFLIAWIPYAVVSVWSAFGRPDSIPIQLSVVPTLLAKSAAMYNPIIYQVIDYKFACCQTGGLKATKKKSLEGFRLHTVTTVRKSSAVLEIHEEWE</t>
  </si>
  <si>
    <t>MRKMSEEEFYLFKNISSVGPWDGPQYHIAPVWAFYLQAAFMGTVFLIGFPLNAMVLVATLRYKKLRQPLNYILVNVSFGGFLLCIFSVFPVFVASCNGYFVFGRHVCALEGFLGTVAGLVTGWSLAFLAFERYIVICKPFGNFRFSSKHALTVVLATWTIGIGVSIPPFFGWSRFIPEGLQCSCGPDWYTVGTKYRSESYTWFLFIFCFIVPLSLICFSYTQLLRALKAVAAQQQESATTQKAEREVSRMVVVMVGSFCVCYVPYAAFAMYMVNNRNHGLDLRLVTIPSFFSKSACIYNPIIYCFMNKQFQACIMKMVCGKAMTDESDTCSSQKTEVSTVSSTQVGPN</t>
  </si>
  <si>
    <t>MAQQWSLQRLAGRHPQDSYEDSTQSSIFTYTNSNSTRGPFEGPNYHIAPRWVYHLTSVWMIFVVIASVFTNGLVLAATMKFKKLRHPLNWILVNLAVADLAETVIASTISVVNQVYGYFVLGHPMCVLEGYTVSLCGITGLWSLAIISWERWMVVCKPFGNVRFDAKLAIVGIAFSWIWAAVWTAPPIFGWSRYWPHGLKTSCGPDVFSGSSYPGVQSYMIVLMVTCCITPLSIIVLCYLQVWLAIRAVAKQQKESESTQKAEKEVTRMVVVMVLAFCFCWGPYAFFACFAAANPGYPFHPLMAALPAFFAKSATIYNPVIYVFMNRQFRNCILQLFGKKVDDGSELSSASKTEVSSVSSVSPA</t>
  </si>
  <si>
    <t>MAQQWSLQRLAGRHPQDSYEDSTQSSIFTYTNSNSTRGPFEGPNYHIAPRWVYHLTSVWMIFVVTASVFTNGLVLAATMKFKKLRHPLNWILVNLAVADLAETVIASTISIVNQVSGYFVLGHPMCVLEGYTVSLCGITGLWSLAIISWERWLVVCKPFGNVRFDAKLAIVGIAFSWIWSAVWTAPPIFGWSRYWPHGLKTSCGPDVFSGSSYPGVQSYMIVLMVTCCIIPLAIIMLCYLQVWLAIRAVAKQQKESESTQKAEKEVTRMVVVMIFAYCVCWGPYTFFACFAAANPGYAFHPLMAALPAYFAKSATIYNPVIYVFMNRQFRNCILQLFGKKVDDGSELSSASKTEVSSVSSVSPA</t>
  </si>
  <si>
    <t>MLESHLIIYFLLAVIQFLLGIFTNGIIVVVNGIDLIKHRKMAPLDLLLSCLAVSRIFLQLFIFYVNVIVIFFIEFIMCSANCAILLFINELELWLATWLGVFYCAKVASVRHPLFIWLKMRISKLVPWMILGSLLYVSMICVFHSKYAGFMVPYFLRKFFSQNATIQKEDTLAIQIFSFVAEFSVPLLIFLFAVLLLIFSLGRHTRQMRNTVAGSRVPGRGAPISALLSILSFLILYFSHCMIKVFLSSLKFHIRRFIFLFFILVIGIYPSGHSLILILGNPKLKQNAKKFLLHSKCCQ</t>
  </si>
  <si>
    <t>MMGLTEGVFLILSGTQFTLGILVNCFIELVNGSSWFKTKRMSLSDFIITTLALLRIILLCIILTDSFLIEFSPNTHDSGIIMQIIDVSWTFTNHLSIWLATCLGVLYCLKIASFSHPTFLWLKWRVSRVMVWMLLGALLLSCGSTASLINEFKLYSVFRGIEATRNVTEHFRKKRSEYYLIHVLGTLWYLPPLIVSLASYSLLIFSLGRHTRQMLQNGTSSRDPTTEAHKRAIRIILSFFFLFLLYFLAFLIASFGNFLPKTKMAKMIGEVMTMFYPAGHSFILILGNSKLKQTFVVMLRCESGHLKPGSKGPIFS</t>
  </si>
  <si>
    <t>MLRLFYFSAIIASVILNFVGIIMNLFITVVNCKTWVKSHRISSSDRILFSLGITRFLMLGLFLVNTIYFVSSNTERSVYLSAFFVLCFMFLDSSSVWFVTLLNILYCVKITNFQHSVFLLLKRNISPKIPRLLLACVLISAFTTCLYITLSQASPFPELVTTRNNTSFNISEGILSLVVSLVLSSSLQFIINVTSASLLIHSLRRHIQKMQKNATGFWNPQTEAHVGAMKLMVYFLILYIPYSVATLVQYLPFYAGMDMGTKSICLIFATLYSPGHSVLIIITHPKLKTTAKKILCFKK</t>
  </si>
  <si>
    <t>MLSAGLGLLMLVAVVEFLIGLIGNGSLVVWSFREWIRKFNWSSYNLIILGLAGCRFLLQWLIILDLSLFPLFQSSRWLRYLSIFWVLVSQASLWFATFLSVFYCKKITTFDRPAYLWLKQRAYNLSLWCLLGYFIINLLLTVQIGLTFYHPPQGNSSIRYPFESWQYLYAFQLNSGSYLPLVVFLVSSGMLIVSLYTHHKKMKVHSAGRRDVRAKAHITALKSLGCFLLLHLVYIMASPFSITSKTYPPDLTSVFIWETLMAAYPSLHSLILIMGIPRVKQTCQKILWKTVCARRCWGP</t>
  </si>
  <si>
    <t>MADKVQTTLLFLAVGEFSVGILGNAFIGLVNCMDWVKKRKIASIDLILTSLAISRICLLCVILLDCFILVLYPDVYATGKEMRIIDFFWTLTNHLSIWFATCLSIYYFFKIGNFFHPLFLWMKWRIDRVISWILLGCVVLSVFISLPATENLNADFRFCVKAKRKTNLTWSCRVNKTQHASTKLFLNLATLLPFCVCLMSFFLLILSLRRHIRRMQLSATGCRDPSTEAHVRALKAVISFLLLFIAYYLSFLIATSSYFMPETELAVIFGESIALIYPSSHSFILILGNNKLRHASLKVIWKVMSILKGRKFQQHKQI</t>
  </si>
  <si>
    <t>MFSPADNIFIILITGEFILGILGNGYIALVNWIDWIKKKKISTVDYILTNLVIARICLISVMVVNGIVIVLNPDVYTKNKQQIVIFTFWTFANYLNMWITTCLNVFYFLKIASSSHPLFLWLKWKIDMVVHWILLGCFAISLLVSLIAAIVLSCDYRFHAIAKHKRNITEMFHVSKIPYFEPLTLFNLFAIVPFIVSLISFFLLVRSLWRHTKQIKLYATGSRDPSTEVHVRAIKTMTSFIFFFFLYYISSILMTFSYLMTKYKLAVEFGEIAAILYPLGHSLILIVLNNKLRQTFVRMLTCRKIACMI</t>
  </si>
  <si>
    <t>MPSAIEAIYIILIAGELTIGIWGNGFIVLVNCIDWLKRRDISLIDIILISLAISRICLLCVISLDGFFMLLFPGTYGNSVLVSIVNVVWTFANNSSLWFTSCLSIFYLLKIANISHPFFFWLKLKINKVMLAILLGSFLISLIISVPKNDDMWYHLFKVSHEENITWKFKVSKIPGTFKQLTLNLGVMVPFILCLISFFLLLFSLVRHTKQIRLHATGFRDPSTEAHMRAIKAVIIFLLLLIVYYPVFLVMTSSALIPQGKLVLMIGDIVTVIFPSSHSFILIMGNSKLREAFLKMLRFVKCFLRRRKPFVP</t>
  </si>
  <si>
    <t>MLRVVEGIFIFVVVSESVFGVLGNGFIGLVNCIDCAKNKLSTIGFILTGLAISRIFLIWIIITDGFIQIFSPNIYASGNLIEYISYFWVIGNQSSMWFATSLSIFYFLKIANFSNYIFLWLKSRTNMVLPFMIVFLLISSLLNFAYIAKILNDYKTKNDTVWDLNMYKSEYFIKQILLNLGVIFFFTLSLITCIFLIISLWRHNRQMQSNVTGLRDSNTEAHVKAMKVLISFIILFILYFIGMAIEISCFTVRENKLLLMFGMTTTAIYPWGHSFILILGNSKLKQASLRVLQQLKCCEKRKNLRVT</t>
  </si>
  <si>
    <t>MESALPSIFTLVIIAEFIIGNLSNGFIVLINCIDWVSKRELSSVDKLLIILAISRIGLIWEILVSWFLALHYLAIFVSGTGLRIMIFSWIVSNHFNLWLATIFSIFYLLKIASFSSPAFLYLKWRVNKVILMILLGTLVFLFLNLIQINMHIKDWLDRYERNTTWNFSMSDFETFSVSVKFTMTMFSLTPFTVAFISFLLLIFSLQKHLQKMQLNYKGHRDPRTKVHTNALKIVISFLLFYASFFLCVLISWISELYQNTVIYMLCETIGVFSPSSHSFLLILGNAKLRQAFLLVAAKVWAKR</t>
  </si>
  <si>
    <t>MGGVIKSIFTFVLIVEFIIGNLGNSFIALVNCIDWVKGRKISSVDRILTALAISRISLVWLIFGSWCVSVFFPALFATEKMFRMLTNIWTVINHFSVWLATGLGTFYFLKIANFSNSIFLYLKWRVKKVVLVLLLVTSVFLFLNIALINIHINASINGYRRNKTCSSDSSNFTRFSSLIVLTSTVFIFIPFTLSLAMFLLLIFSMWKHRKKMQHTVKISGDASTKAHRGVKSVITFFLLYAIFSLSFFISVWTSERLEENLIILSQVMGMAYPSCHSCVLILGNKKLRQASLSVLLWLRYMFKDGEPSGHKEFRESS</t>
  </si>
  <si>
    <t>MIPIQLTVFFMIIYVLESLTIIVQSSLIVAVLGREWLQVRRLMPVDMILISLGISRFCLQWASMLNNFCSYFNLNYVLCNLTITWEFFNILTFWLNSLLTVFYCIKVSSFTHHIFLWLRWRILRLFPWILLGSLMITCVTIIPSAIGNYIQIQLLTMEHLPRNSTVTDKLENFHQYQFQAHTVALVIPFILFLASTIFLMASLTKQIQHHSTGHCNPSMKARFTALRSLAVLFIVFTSYFLTILITIIGTLFDKRCWLWVWEAFVYAFILMHSTSLMLSSPTLKRILKGKC</t>
  </si>
  <si>
    <t>MMCFLLIISSILVVFAFVLGNVANGFIALVNVIDWVNTRKISSAEQILTALVVSRIGLLWVMLFLWYATVFNSALYGLEVRIVASNAWAVTNHFSMWLAASLSIFCLLKIANFSNLISLHLKKRIKSVVLVILLGPLVFLICNLAVITMDERVWTKEYEGNVTWKIKLRNAIHLSSLTVTTLANLIPFTLSLICFLLLICSLCKHLKKMRLHSKGSQDPSTKVHIKALQTVTSFLMLFAIYFLCIITSTWNLRTQQSKLVLLLCQTVAIMYPSFHSFILIMGSRKLKQTFLSVLWQMTR</t>
  </si>
  <si>
    <t>MMSFLHIVFSILVVVAFILGNFANGFIALINFIAWVKRQKISSADQIIAALAVSRVGLLWVILLHWYSTVLNPTSSNLKVIIFISNAWAVTNHFSIWLATSLSIFYLLKIVNFSRLIFHHLKRKAKSVVLVIVLGSLFFLVCHLVMKHTYINVWTEECEGNVTWKIKLRNAMHLSNLTVAMLANLIPFTLTLISFLLLIYSLCKHLKKMQLHGKGSQDPSTKIHIKALQTVTSFLILLAIYFLCLIISFWNFKMRPKEIVLMLCQAFGIIYPSFHSFILIWGNKTLKQTFLSVLWQVTCWAKGQNQSTP</t>
  </si>
  <si>
    <t>MITFLPIIFSILIVVIFVIGNFANGFIALVNSIEWVKRQKISFVDQILTALAVSRVGLLWVLLLHWYATQLNPAFYSVEVRITAYNVWAVTNHFSSWLATSLSMFYLLRIANFSNLIFLRIKRRVKSVVLVILLGPLLFLVCHLFVINMDETVWTKEYEGNVTWKIKLRSAMYHSNMTLTMLANFVPLTLTLISFLLLICSLCKHLKKMQLHGKGSQDPSTKVHIKALQTVTSFLLLCAIYFLSMIISVCNFGRLEKQPVFMFCQAIIFSYPSTHPFILILGNKKLKQIFLSVLRHVRYWVKDRSLRLHRFTRGALCVF</t>
  </si>
  <si>
    <t>MTTFIPIIFSSVVVVLFVIGNFANGFIALVNSIERVKRQKISFADQILTALAVSRVGLLWVLLLNWYSTVFNPAFYSVEVRTTAYNVWAVTGHFSNWLATSLSIFYLLKIANFSNLIFLHLKRRVKSVILVMLLGPLLFLACQLFVINMKEIVRTKEYEGNLTWKIKLRSAVYLSDATVTTLGNLVPFTLTLLCFLLLICSLCKHLKKMQLHGKGSQDPSTKVHIKALQTVIFFLLLCAVYFLSIMISVWSFGSLENKPVFMFCKAIRFSYPSIHPFILIWGNKKLKQTFLSVLRQVRYWVKGEKPSSP</t>
  </si>
  <si>
    <t>MLTLTRIRTVSYEVRSTFLFISVLEFAVGFLTNAFVFLVNFWDVVKRQALSNSDCVLLCLSISRLFLHGLLFLSAIQLTHFQKLSEPLNHSYQAIIMLWMIANQANLWLAACLSLLYCSKLIRFSHTFLICLASWVSRKISQMLLGIILCSCICTVLCVWCFFSRPHFTVTTVLFMNNNTRLNWQIKDLNLFYSFLFCYLWSVPPFLLFLVSSGMLTVSLGRHMRTMKVYTRNSRDPSLEAHIKALKSLVSFFCFFVISSCAAFISVPLLILWRDKIGVMVCVGIMAACPSGHAAILISGNAKLRRAVMTILLWAQSSLKVRADHKADSRTLC</t>
  </si>
  <si>
    <t>MLGRCFPPDTKEKQQLRMTKLCDPAESELSPFLITLILAVLLAEYLIGIIANGFIMAIHAAEWVQNKAVSTSGRILVFLSVSRIALQSLMMLEITISSTSLSFYSEDAVYYAFKISFIFLNFCSLWFAAWLSFFYFVKIANFSYPLFLKLRWRITGLIPWLLWLSVFISFSHSMFCINICTVYCNNSFPIHSSNSTKKTYLSEINVVGLAFFFNLGIVTPLIMFILTATLLILSLKRHTLHMGSNATGSNDPSMEAHMGAIKAISYFLILYIFNAVALFIYLSNMFDINSLWNNLCQIIMAAYPASHSILLIQDNPGLRRAWKRLQLRLHLYPKEWTL</t>
  </si>
  <si>
    <t>MATVNTDATDKDISKFKVTFTLVVSGIECITGILGSGFITAIYGAEWARGKTLPTGDRIMLMLSFSRLLLQIWMMLENIFSLLFRIVYNQNSVYILFKVITVFLNHSNLWFAAWLKVFYCLRIANFNHPLFFLMKRKIIVLMPWLLRLSVLVSLSFSFPLSRDVFNVYVNSSIPIPSSNSTEKKYFSETNMVNLVFFYNMGIFVPLIMFILAATLLILSLKRHTLHMGSNATGSRDPSMKAHIGAIKATSYFLILYIFNAIALFLSTSNIFDTYSSWNILCKIIMAAYPAGHSVQLILGNPGLRRAWKRFQHQVPLYLKGQTL</t>
  </si>
  <si>
    <t>MITFLPIIFSILIVVTFVIGNFANGFIALVNSIEWFKRQKISFADQILTALAVSRVGLLWVLVLNWYATELNPAFNSIEVRITAYNVWAVINHFSNWLATSLSIFYLLKIANFSNLIFLHLKRRVKSVVLVILLGPLLFLVCHLFVINMNQIIWTKEYEGNMTWKIKLRSAMYLSNTTVTILANLVPFTLTLISFLLLICSLCKHLKKMQLHGKGSQDPSMKVHIKALQTVTSFLLLCAIYFLSIIMSVWSFESLENKPVFMFCEAIAFSYPSTHPFILIWGNKKLKQTFLSVLWHVRYWVKGEKPSSS</t>
  </si>
  <si>
    <t>MITFLYIFFSILIMVLFVLGNFANGFIALVNFIDWVKRKKISSADQILTALAVSRIGLLWALLLNWYLTVLNPAFYSVELRITSYNAWVVTNHFSMWLAANLSIFYLLKIANFSNLLFLHLKRRVRSVILVILLGTLIFLVCHLLVANMDESMWAEEYEGNMTGKMKLRNTVHLSYLTVTTLWSFIPFTLSLISFLMLICSLCKHLKKMQLHGEGSQDLSTKVHIKALQTLISFLLLCAIFFLFLIVSVWSPRRLRNDPVVMVSKAVGNIYLAFDSFILIWRTKKLKHTFLLILCQIRC</t>
  </si>
  <si>
    <t>MNGDHMVLGSSVTDKKAIILVTILLLLRLVAIAGNGFITAALGVEWVLRRMLLPCDKLLVSLGASRFCLQSVVMGKTIYVFLHPMAFPYNPVLQFLAFQWDFLNAATLWSSTWLSVFYCVKIATFTHPVFFWLKHKLSGWLPWMLFSSVGLSSFTTILFFIGNHRMYQNYLRNHLQPWNVTGDSIRSYCEKFYLFPLKMITWTMPTAVFFICMILLITSLGRHRKKALLTTSGFREPSVQAHIKALLALLSFAMLFISYFLSLVFSAAGIFPPLDFKFWVWESVIYLCAAVHPIILLFSNCRLRAVLKSRRSSRCGTP</t>
  </si>
  <si>
    <t>MEDLEETLFEEFENYSYDLDYYSLESDLEEKVQLGVVHWVSLVLYCLAFVLGIPGNAIVIWFTGFKWKKTVTTLWFLNLAIADFIFLLFLPLYISYVAMNFHWPFGIWLCKANSFTAQLNMFASVFFLTVISLDHYIHLIHPVLSHRHRTLKNSLIVIIFIWLLASLIGGPALYFRDTVEFNNHTLCYNNFQKHDPDLTLIRHHVLTWVKFIIGYLFPLLTMSICYLCLIFKVKKRSILISSRHFWTILVVVVAFVVCWTPYHLFSIWELTIHHNSYSHHVMQAGIPLSTGLAFLNSCLNPILYVLISKKFQARFRSSVAEILKYTLWEVSCSGTVSEQLRNSETKNLCLLETAQ</t>
  </si>
  <si>
    <t>MMWGAGSPLAWLSAGSGNVNVSSVGPAEGPTGPAAPLPSPKAWDVVLCISGTLVSCENALVVAIIVGTPAFRAPMFLLVGSLAVADLLAGLGLVLHFAAVFCIGSAEMSLVLVGVLAMAFTASIGSLLAITVDRYLSLYNALTYYSETTVTRTYVMLALVWGGALGLGLLPVLAWNCLDGLTTCGVVYPLSKNHLVVLAIAFFMVFGIMLQLYAQICRIVCRHAQQIALQRHLLPASHYVATRKGIATLAVVLGAFAACWLPFTVYCLLGDAHSPPLYTYLTLLPATYNSMINPIIYAFRNQDVQKVLWAVCCCCSSSKIPFRSRSPSDV</t>
  </si>
  <si>
    <t>MGNHTWEGCHVDSRVDHLFPPSLYIFVIGVGLPTNCLALWAAYRQVQQRNELGVYLMNLSIADLLYICTLPLWVDYFLHHDNWIHGPGSCKLFGFIFYTNIYISIAFLCCISVDRYLAVAHPLRFARLRRVKTAVAVSSVVWATELGANSAPLFHDELFRDRYNHTFCFEKFPMEGWVAWMNLYRVFVGFLFPWALMLLSYRGILRAVRGSVSTERQEKAKIKRLALSLIAIVLVCFAPYHVLLLSRSAIYLGRPWDCGFEERVFSAYHSSLAFTSLNCVADPILYCLVNEGARSDVAKALHNLLRFLASDKPQEMANASLTLETPLTSKRNSTAKAMTGSWAATPPSQGDQVQLKMLPPAQ</t>
  </si>
  <si>
    <t>MNASAASLNDSQVVVVAAEGAAAAATAAGGPDTGEWGPPAAAALGAGGGANGSLELSSQLSAGPPGLLLPAVNPWDVLLCVSGTVIAGENALVVALIASTPALRTPMFVLVGSLATADLLAGCGLILHFVFQYLVPSETVSLLTVGFLVASFAASVSSLLAITVDRYLSLYNALTYYSRRTLLGVHLLLAATWTVSLGLGLLPVLGWNCLAERAACSVVRPLARSHVALLSAAFFMVFGIMLHLYVRICQVVWRHAHQIALQQHCLAPPHLAATRKGVGTLAVVLGTFGASWLPFAIYCVVGSHEDPAVYTYATLLPATYNSMINPIIYAFRNQEIQRALWLLLCGCFQSKVPFRSRSPSEV</t>
  </si>
  <si>
    <t>MNEDLKVNLSGLPRDYLDAAAAENISAAVSSRVPAVEPEPELVVNPWDIVLCTSGTLISCENAIVVLIIFHNPSLRAPMFLLIGSLALADLLAGIGLITNFVFAYLLQSEATKLVTIGLIVASFSASVCSLLAITVDRYLSLYYALTYHSERTVTFTYVMLVMLWGTSICLGLLPVMGWNCLRDESTCSVVRPLTKNNAAILSVSFLFMFALMLQLYIQICKIVMRHAHQIALQHHFLATSHYVTTRKGVSTLAIILGTFAACWMPFTLYSLIADYTYPSIYTYATLLPATYNSIINPVIYAFRNQEIQKALCLICCGCIPSSLAQRARSPSDV</t>
  </si>
  <si>
    <t>MDPEETSVYLDYYYATSPNSDIRETHSHVPYTSVFLPVFYTAVFLTGVLGNLVLMGALHFKPGSRRLIDIFIINLAASDFIFLVTLPLWVDKEASLGLWRTGSFLCKGSSYMISVNMHCSVLLLTCMSVDRYLAIVWPVVSRKFRRTDCAYVVCASIWFISCLLGLPTLLSRELTLIDDKPYCAEKKATPIKLIWSLVALIFTFFVPLLSIVTCYCCIARKLCAHYQQSGKHNKKLKKSIKIIFIVVAAFLVSWLPFNTFKFLAIVSGLRQEHYLPSAILQLGMEVSGPLAFANSCVNPFIYYIFDSYIRRAIVHCLCPCLKNYDFGSSTETSDSHLTKALSTFIHAEDFARRRKRSVSL</t>
  </si>
  <si>
    <t>MSKRSWWAGSRKPPREMLKLSGSDSSQSMNGLEVAPPGLITNFSLATAEQCGQETPLENMLFASFYLLDFILALVGNTLALWLFIRDHKSGTPANVFLMHLAVADLSCVLVLPTRLVYHFSGNHWPFGEIACRLTGFLFYLNMYASIYFLTCISADRFLAIVHPVKSLKLRRPLYAHLACAFLWVVVAVAMAPLLVSPQTVQTNHTVVCLQLYREKASHHALVSLAVAFTFPFITTVTCYLLIIRSLRQGLRVEKRLKTKAVRMIAIVLAIFLVCFVPYHVNRSVYVLHYRSHGASCATQRILALANRITSCLTSLNGALDPIMYFFVAEKFRHALCNLLCGKRLKGPPPSFEGKTNESSLSAKSEL</t>
  </si>
  <si>
    <t>MVFAHRMDNSKPHLIIPTLLVPLQNRSCTETATPLPSQYLMELSEEHSWMSNQTDLHYVLKPGEVATASIFFGILWLFSIFGNSLVCLVIHRSRRTQSTTNYFVVSMACADLLISVASTPFVLLQFTTGRWTLGSATCKVVRYFQYLTPGVQIYVLLSICIDRFYTIVYPLSFKVSREKAKKMIAASWVFDAGFVTPVLFFYGSNWDSHCNYFLPSSWEGTAYTVIHFLVGFVIPSVLIILFYQKVIKYIWRIGTDGRTVRRTMNIVPRTKVKTIKMFLILNLLFLLSWLPFHVAQLWHPHEQDYKKSSLVFTAITWISFSSSASKPTLYSIYNANFRRGMKETFCMSSMKCYRSNAYTITTSSRMAKKNYVGISEIPSMAKTITKDSIYDSFDREAKEKKLAWPINSNPPNTFV</t>
  </si>
  <si>
    <t>MPSVSPAGPSAGAVPNATAVTTVRTNASGLEVPLFHLFARLDEELHGTFPGLWLALMAVHGAIFLAGLVLNGLALYVFCCRTRAKTPSVIYTINLVVTDLLVGLSLPTRFAVYYGARGCLRCAFPHVLGYFLNMHCSILFLTCICVDRYLAIVRPEGSRRCRQPACARAVCAFVWLAAGAVTLSVLGVTGSRPCCRVFALTVLEFLLPLLVISVFTGRIMCALSRPGLLHQGRQRRVRAMQLLLTVLIIFLVCFTPFHARQVAVALWPDMPHHTSLVVYHVAVTLSSLNSCMDPIVYCFVTSGFQATVRGLFGQHGEREPSSGDVVSMHRSSKGSGRHHILSAGPHALTQALANGPEA</t>
  </si>
  <si>
    <t>MNSTLDGNQSSHPFCLLAFGYLETVNFCLLEVLIIVFLTVLIISGNIIVIFVFHCAPLLNHHTTSYFIQTMAYADLFVGVSCVVPSLSLLHHPLPVEESLTCQIFGFVVSVLKSVSMASLACISIDRYIAITKPLTYNTLVTPWRLRLCIFLIWLYSTLVFLPSFFHWGKPGYHGDVFQWCAESWHTDSYFTLFIVMMLYAPAALIVCFTYFNIFRICQQHTKDISERQARFSSQSGETGEVQACPDKRYAMVLFRITSVFYILWLPYIIYFLLESSTGHSNRFASFLTTWLAISNSFCNCVIYSLSNSVFQRGLKRLSGAMCTSCASQTTANDPYTVRSKGPLNGCHI</t>
  </si>
  <si>
    <t>MCFSPILEINMQSESNITVRDDIDDINTNMYQPLSYPLSFQVSLTGFLMLEIVLGLGSNLTVLVLYCMKSNLINSVSNIITMNLHVLDVIICVGCIPLTIVILLLSLESNTALICCFHEACVSFASVSTAINVFAITLDRYDISVKPANRILTMGRAVMLMISIWIFSFFSFLIPFIEVNFFSLQSGNTWENKTLLCVSTNEYYTELGMYYHLLVQIPIFFFTVVVMLITYTKILQALNIRIGTRFSTGQKKKARKKKTISLTTQHEATDMSQSSGGRNVVFGVRTSVSVIIALRRAVKRHRERRERQKRVFRMSLLIISTFLLCWTPISVLNTTILCLGPSDLLVKLRLCFLVMAYGTTIFHPLLYAFTRQKFQKVLKSKMKKRVVSIVEADPLPNNAVIHNSWIDPKRNKKITFEDSEIREKCLVPQVVTD</t>
  </si>
  <si>
    <t>MAPTEPWSPSPGSAPWDYSGLDGLEELELCPAGDLPYGYVYIPALYLAAFAVGLLGNAFVVWLLAGRRGPRRLVDTFVLHLAAADLGFVLTLPLWAAAAALGGRWPFGDGLCKLSSFALAGTRCAGALLLAGMSVDRYLAVVKLLEARPLRTPRCALASCCGVWAVALLAGLPSLVYRGLQPLPGGQDSQCGEEPSHAFQGLSLLLLLLTFVLPLVVTLFCYCRISRRLRRPPHVGRARRNSLRIIFAIESTFVGSWLPFSALRAVFHLARLGALPLPCPLLLALRWGLTIATCLAFVNSCANPLIYLLLDRSFRARALDGACGRTGRLARRISSASSLSRDDSSVFRCRAQAANTASASW</t>
  </si>
  <si>
    <t>MNSWDAGLAGLLVGTMGVSLLSNALVLLCLLHSADIRRQAPALFTLNLTCGNLLCTVVNMPLTLAGVVAQRQPAGDRLCRLAAFLDTFLAANSMLSMAALSIDRWVAVVFPLSYRAKMRLRDAALMVAYTWLHALTFPAAALALSWLGFHQLYASCTLCSRRPDERLRFAVFTGAFHALSFLLSFVVLCCTYLKVLKVARFHCKRIDVITMQTLVLLVDLHPSVRERCLEEQKRRRQRATKKISTFIGTFLVCFAPYVITRLVELFSTVPIGSHWGVLSKCLAYSKAASDPFVYSLLRHQYRKSCKEILNRLLHRRSIHSSGLTGDSHSQNILPVSE</t>
  </si>
  <si>
    <t>MANASEPGGSGGGEAAALGLKLATLSLLLCVSLAGNVLFALLIVRERSLHRAPYYLLLDLCLADGLRALACLPAVMLAARRAAAAAGAPPGALGCKLLAFLAALFCFHAAFLLLGVGVTRYLAIAHHRFYAERLAGWPCAAMLVCAAWALALAAAFPPVLDGGGDDEDAPCALEQRPDGAPGALGFLLLLAVVVGATHLVYLRLLFFIHDRRKMRPARLVPAVSHDWTFHGPGATGQAAANWTAGFGRGPTPPALVGIRPAGPGRGARRLLVLEEFKTEKRLCKMFYAVTLLFLLLWGPYVVASYLRVLVRPGAVPQAYLTASVWLTFAQAGINPVVCFLFNRELRDCFRAQFPCCQSPRTTQATHPCDLKGIGL</t>
  </si>
  <si>
    <t>MPFPNCSAPSTVVATAVGVLLGLECGLGLLGNAVALWTFLFRVRVWKPYAVYLLNLALADLLLAACLPFLAAFYLSLQAWHLGRVGCWALHFLLDLSRSVGMAFLAAVALDRYLRVVHPRLKVNLLSPQAALGVSGLVWLLMVALTCPGLLISEAAQNSTRCHSFYSRADGSFSIIWQEALSCLQFVLPFGLIVFCNAGIIRALQKRLREPEKQPKLQRAQALVTLVVVLFALCFLPCFLARVLMHIFQNLGSCRALCAVAHTSDVTGSLTYLHSVLNPVVYCFSSPTFRSSYRRVFHTLRGKGQAAEPPDFNPRDSYS</t>
  </si>
  <si>
    <t>MNGVSEGTRGCSDRQPGVLTRDRSCSRKMNSSGCLSEEVGSLRPLTVVILSASIVVGVLGNGLVLWMTVFRMARTVSTVCFFHLALADFMLSLSLPIAMYYIVSRQWLLGEWACKLYITFVFLSYFASNCLLVFISVDRCISVLYPVWALNHRTVQRASWLAFGVWLLAAALCSAHLKFRTTRKWNGCTHCYLAFNSDNETAQIWIEGVVEGHIIGTIGHFLLGFLGPLAIIGTCAHLIRAKLLREGWVHANRPKRLLLVLVSAFFIFWSPFNVVLLVHLWRRVMLKEIYHPRMLLILQASFALGCVNSSLNPFLYVFVGRDFQEKFFQSLTSALARAFGEEEFLSSCPRGNAPRE</t>
  </si>
  <si>
    <t>MDLINSTDYLINASTLVRNSTQFLAPASKMIIALSLYISSIIGTITNGLYLWVLRFKMKQTVNTLLFFHLILSYFISTMILPFMATSQLQDNHWNFGTALCKVFNGTLSLGMFTSVFFLSAIGLDRYLLTLHPVWSQQHRTPRWASSIVLGVWISAAALSIPYLIFRETHHDRKGKVTCQNNYAVSTNWESKEMQASRQWIHVACFISRFLLGFLLPFFIIIFCYERVASKVKERSLFKSSKPFKVMMTAIISFFVCWMPYHIHQGLLLTTNQSLLLELTLILTVLTTSFNTIFSPTLYLFVGENFKKVFKKSILALFESTFSEDSSVERTQT</t>
  </si>
  <si>
    <t>MRSHTITMTTTSVSSWPYSSHRMRFITNHSDQPPQNFSATPNVTTCPMDEKLLSTVLTTSYSVIFIVGLVGNIIALYVFLGIHRKRNSIQIYLLNVAIADLLLIFCLPFRIMYHINQNKWTLGVILCKVVGTLFYMNMYISIILLGFISLDRYIKINRSIQQRKAITTKQSIYVCCIVWMLALGGFLTMIILTLKKGGHNSTMCFHYRDKHNAKGEAIFNFILVVMFWLIFLLIILSYIKIGKNLLRISKRRSKFPNSGKYATTARNSFIVLIIFTICFVPYHAFRFIYISSQLNVSSCYWKEIVHKTNEIMLVLSSFNSCLDPVMYFLMSSNIRKIMCQLLFRRFQGEPSRSESTSEFKPGYSLHDTSVAVKIQSSSKST</t>
  </si>
  <si>
    <t>MNGTYNTCGSSDLTWPPAIKLGFYAYLGVLLVLGLLLNSLALWVFCCRMQQWTETRIYMTNLAVADLCLLCTLPFVLHSLRDTSDTPLCQLSQGIYLTNRYMSISLVTAIAVDRYVAVRHPLRARGLRSPRQAAAVCAVLWVLVIGSLVARWLLGIQEGGFCFRSTRHNFNSMAFPLLGFYLPLAVVVFCSLKVVTALAQRPPTDVGQAEATRKAARMVWANLLVFVVCFLPLHVGLTVRLAVGWNACALLETIRRALYITSKLSDANCCLDAICYYYMAKEFQEASALAVAPSAKAHKSQDSLCVTLA</t>
  </si>
  <si>
    <t>MRAPGALLARMSRLLLLLLLKVSASSALGVAPASRNETCLGESCAPTVIQRRGRDAWGPGNSARDVLRARAPREEQGAAFLAGPSWDLPAAPGRDPAAGRGAEASAAGPPGPPTRPPGPWRWKGARGQEPSETLGRGNPTALQLFLQISEEEEKGPRGAGISGRSQEQSVKTVPGASDLFYWPRRAGKLQGSHHKPLSKTANGLAGHEGWTIALPGRALAQNGSLGEGIHEPGGPRRGNSTNRRVRLKNPFYPLTQESYGAYAVMCLSVVIFGTGIIGNLAVMCIVCHNYYMRSISNSLLANLAFWDFLIIFFCLPLVIFHELTKKWLLEDFSCKIVPYIEVASLGVTTFTLCALCIDRFRAATNVQMYYEMIENCSSTTAKLAVIWVGALLLALPEVVLRQLSKEDLGFSGRAPAERCIIKISPDLPDTIYVLALTYDSARLWWYFGCYFCLPTLFTITCSLVTARKIRKAEKACTRGNKRQIQLESQMNCTVVALTILYGFCIIPENICNIVTAYMATGVSQQTMDLLNIISQFLLFFKSCVTPVLLFCLCKPFSRAFMECCCCCCEECIQKSSTVTSDDNDNEYTTELELSPFSTIRREMSTFASVGTHC</t>
  </si>
  <si>
    <t>MRWLWPLAVSLAVILAVGLSRVSGGAPLHLGRHRAETQEQQSRSKRGTEDEEAKGVQQYVPEEWAEYPRPIHPAGLQPTKPLVATSPNPGKDGGTPDSGQELRGNLTGAPGQRLQIQNPLYPVTESSYSAYAIMLLALVVFAVGIVGNLSVMCIVWHSYYLKSAWNSILASLALWDFLVLFFCLPIVIFNEITKQRLLGDVSCRAVPFMEVSSLGVTTFSLCALGIDRFHVATSTLPKVRPIERCQSILAKLAVIWVGSMTLAVPELLLWQLAQEPAPTMGTLDSCIMKPSASLPESLYSLVMTYQNARMWWYFGCYFCLPILFTVTCQLVTWRVRGPPGRKSECRASKHEQCESQLNSTVVGLTVVYAFCTLPENVCNIVVAYLSTELTRQTLDLLGLINQFSTFFKGAITPVLLLCICRPLGQAFLDCCCCCCCEECGGASEASAANGSDNKLKTEVSSSIYFHKPRESPPLLPLGTPC</t>
  </si>
  <si>
    <t>MASPSLPGSDCSQIIDHSHVPEFEVATWIKITLILVYLIIFVMGLLGNSATIRVTQVLQKKGYLQKEVTDHMVSLACSDILVFLIGMPMEFYSIIWNPLTTSSYTLSCKLHTFLFEACSYATLLHVLTLSFERYIAICHPFRYKAVSGPCQVKLLIGFVWVTSALVALPLLFAMGTEYPLVNVPSHRGLTCNRSSTRHHEQPETSNMSICTNLSSRWTVFQSSIFGAFVVYLVVLLSVAFMCWNMMQVLMKSQKGSLAGGTRPPQLRKSESEESRTARRQTIIFLRLIVVTLAVCWMPNQIRRIMAAAKPKHDWTRSYFRAYMILLPFSETFFYLSSVINPLLYTVSSQQFRRVFVQVLCCRLSLQHANHEKRLRVHAHSTTDSARFVQRPLLFASRRQSSARRTEKIFLSTFQSEAEPQSKSQSLSLESLEPNSGAKPANSAAENGFQEHEV</t>
  </si>
  <si>
    <t>MACNSTSLEAYTYLLLNTSNASDSGSTQLPAPLRISLAIVMLLMTVVGFLGNTVVCIIVYQRPAMRSAINLLLATLAFSDIMLSLCCMPFTAVTLITVRWHFGDHFCRLSATLYWFFVLEGVAILLIISVDRFLIIVQRQDKLNPRRAKVIIAVSWVLSFCIAGPSLTGWTLVEVPARAPQCVLGYTELPADRAYVVTLVVAVFFAPFGVMLCAYMCILNTVRKNAVRVHNQSDSLDLRQLTRAGLRRLQRQQQVSVDLSFKTKAFTTILILFVGFSLCWLPHSVYSLLSVFSQRFYCGSSFYATSTCVLWLSYLKSVFNPIVYCWRIKKFREACIELLPQTFQILPKVPERIRRRIQPSTVYVCNENQSAV</t>
  </si>
  <si>
    <t>MGPTLAVPTPYGCIGCKLPQPEYPPALIIFMFCAMVITIVVDLIGNSMVILAVTKNKKLRNSGNIFVVSLSVADMLVAIYPYPLMLHAMSIGGWDLSQLQCQMVGFITGLSVVGSIFNIVAIAINRYCYICHSLQYERIFSVRNTCIYLVITWIMTVLAVLPNMYIGTIEYDPRTYTCIFNYLNNPVFTVTIVCIHFVLPLLIVGFCYVRIWTKVLAARDPAGQNPDNQLAEVRNFLTMFVIFLLFAVCWCPINVLTVLVAVSPKEMAGKIPNWLYLAAYFIAYFNSCLNAVIYGLLNENFRREYWTIFHAMRHPIIFFSGLISDIREMQEARTLARARAHARDQAREQDRAHACPAVEETPMNVRNVPLPGDAAAGHPDRASGHPKPHSRSSSAYRKSASTHHKSVFSHSKAASGHLKPVSGHSKPASGHPKSATVYPKPASVHFKADSVHFKGDSVHFKPDSVHFKPASSNPKPITGHHVSAGSHSKSAFSAATSHPKPTTGHIKPATSHAEPTTADYPKPATTSHPKPTAADNPELSASHCPEIPAIAHPVSDDSDLPESASSPAAGPTKPAASQLESDTIADLPDPTVVTTSTNDYHDVVVIDVEDDPDEMAV</t>
  </si>
  <si>
    <t>MNESRWTEWRILNMSSGIVNVSERHSCPLGFGHYSVVDVCIFETVVIVLLTFLIIAGNLTVIFVFHCAPLLHHYTTSYFIQTMAYADLFVGVSCLVPTLSLLHYSTGVHESLTCQVFGYIISVLKSVSMACLACISVDRYLAITKPLSYNQLVTPCRLRICIILIWIYSCLIFLPSFFGWGKPGYHGDIFEWCATSWLTSAYFTGFIVCLLYAPAAFVVCFTYFHIFKICRQHTKEINDRRARFPSHEVDSSRETGHSPDRRYAMVLFRITSVFYMLWLPYIIYFLLESSRVLDNPTLSFLTTWLAISNSFCNCVIYSLSNSVFRLGLRRLSETMCTSCMCVKDQEAQEPKPRKRANSCSI</t>
  </si>
  <si>
    <t>MESSPIPQSSGNSSTLGRVPQTPGPSTASGVPEVGLRDVASESVALFFMLLLDLTAVAGNAAVMAVIAKTPALRKFVFVFHLCLVDLLAALTLMPLAMLSSSALFDHALFGEVACRLYLFLSVCFVSLAILSVSAINVERYYYVVHPMRYEVRMTLGLVASVLVGVWVKALAMASVPVLGRVSWEEGAPSVPPGCSLQWSHSAYCQLFVVVFAVLYFLLPLLLILVVYCSMFRVARVAAMQHGPLPTWMETPRQRSESLSSRSTMVTSSGAPQTTPHRTFGGGKAAVVLLAVGGQFLLCWLPYFSFHLYVALSAQPISTGQVESVVTWIGYFCFTSNPFFYGCLNRQIRGELSKQFVCFFKPAPEEELRLPSREGSIEENFLQFLQGTGCPSESWVSRPLPSPKQEPPAVDFRIPGQIAEETSEFLEQQLTSDIIMSDSYLRPAASPRLES</t>
  </si>
  <si>
    <t>MANSTGLNASEVAGSLGLILAAVVEVGALLGNGALLVVVLRTPGLRDALYLAHLCVVDLLAAASIMPLGLLAAPPPGLGRVRLGPAPCRAARFLSAALLPACTLGVAALGLARYRLIVHPLRPGSRPPPVLVLTAVWAAAGLLGALSLLGTPPAPPPAPARCSVLAGGLGPFRPLWALLAFALPALLLLGAYGGIFVVARRAALRPPRPARGSRLHSDSLDSRLSILPPLRPRLPGGKAALAPALAVGQFAACWLPYGCACLAPAARAAEAEAAVTWVAYSAFAAHPFLYGLLQRPVRLALGRLSRRALPGPVRACTPQAWHPRALLQCLQRPPEGPAVGPSEAPEQTPELAGGRSPAYQGPPESSLS</t>
  </si>
  <si>
    <t>MVFSAVLTAFHTGTSNTTFVVYENTYMNITLPPPFQHPDLSPLLRYSFETMAPTGLSSLTVNSTAVPTTPAAFKSLNLPLQITLSAIMIFILFVSFLGNLVVCLMVYQKAAMRSAINILLASLAFADMLLAVLNMPFALVTILTTRWIFGKFFCRVSAMFFWLFVIEGVAILLIISIDRFLIIVQRQDKLNPYRAKVLIAVSWATSFCVAFPLAVGNPDLQIPSRAPQCVFGYTTNPGYQAYVILISLISFFIPFLVILYSFMGILNTLRHNALRIHSYPEGICLSQASKLGLMSLQRPFQMSIDMGFKTRAFTTILILFAVFIVCWAPFTTYSLVATFSKHFYYQHNFFEISTWLLWLCYLKSALNPLIYYWRIKKFHDACLDMMPKSFKFLPQLPGHTKRRIRPSAVYVCGEHRTVV</t>
  </si>
  <si>
    <t>MNSTCIEEQHDLDHYLFPIVYIFVIIVSIPANIGSLCVSFLQAKKESELGIYLFSLSLSDLLYALTLPLWIDYTWNKDNWTFSPALCKGSAFLMYMNFYSSTAFLTCIAVDRYLAVVYPLKFFFLRTRRFALMVSLSIWILETIFNAVMLWEDETVVEYCDAEKSNFTLCYDKYPLEKWQINLNLFRTCTGYAIPLVTILICNRKVYQAVRHNKATENKEKKRIIKLLVSITVTFVLCFTPFHVMLLIRCILEHAVNFEDHSNSGKRTYTMYRITVALTSLNCVADPILYCFVTETGRYDMWNILKFCTGRCNTSQRQRKRILSVSTKDTMELEVLE</t>
  </si>
  <si>
    <t>MGNITADNSSMSCTIDHTIHQTLAPVVYVTVLVVGFPANCLSLYFGYLQIKARNELGVYLCNLTVADLFYICSLPFWLQYVLQHDNWSHGDLSCQVCGILLYENIYISVGFLCCISVDRYLAVAHPFRFHQFRTLKAAVGVSVVIWAKELLTSIYFLMHEEVIEDENQHRVCFEHYPIQAWQRAINYYRFLVGFLFPICLLLASYQGILRAVRRSHGTQKSRKDQIQRLVLSTVVIFLACFLPYHVLLLVRSVWEASCDFAKGVFNAYHFSLLLTSFNCVADPVLYCFVSETTHRDLARLRGACLAFLTCSRTGRAREAYPLGAPEASGKSGAQGEEPELLTKLHPAFQTPNSPGSGGFPTGRLA</t>
  </si>
  <si>
    <t>MNSTGHLQDAPNATSLHVPHSQEGNSTSLQEGLQDLIHTATLVTCTFLLAVIFCLGSYGNFIVFLSFFDPAFRKFRTNFDFMILNLSFCDLFICGVTAPMFTFVLFFSSASSIPDAFCFTFHLTSSGFIIMSLKTVAVIALHRLRMVLGKQPNRTASFPCTVLLTLLLWATSFTLATLATLKTSKSHLCLPMSSLIAGKGKAILSLYVVDFTFCVAVVSVSYIMIAQTLRKNAQVRKCPPVITVDASRPQPFMGVPVQGGGDPIQCAMPALYRNQNYNKLQHVQTRGYTKSPNQLVTPAASRLQLVSAINLSTAKDSKAVVTCVIIVLSVLVCCLPLGISLVQVVLSSNGSFILYQFELFGFTLIFFKSGLNPFIYSRNSAGLRRKVLWCLQYIGLGFFCCKQKTRLRAMGKGNLEVNRNKSSHHETNSAYMLSPKPQKKFVDQACGPSHSKESMVSPKISAGHQHCGQSSSTPINTRIEPYYSIYNSSPSQEESSPCNLQPVNSFGFANSYIAMHYHTTNDLVQEYDSTSAKQIPVPSV</t>
  </si>
  <si>
    <t>MGPGEALLAGLLVMVLAVALLSNALVLLCCAYSAELRTRASGVLLVNLSLGHLLLAALDMPFTLLGVMRGRTPSAPGACQVIGFLDTFLASNAALSVAALSADQWLAVGFPLRYAGRLRPRYAGLLLGCAWGQSLAFSGAALGCSWLGYSSAFASCSLRLPPEPERPRFAAFTATLHAVGFVLPLAVLCLTSLQVHRVARRHCQRMDTVTMKALALLADLHPSVRQRCLIQQKRRRHRATRKIGIAIATFLICFAPYVMTRLAELVPFVTVNAQWGILSKCLTYSKAVADPFTYSLLRRPFRQVLAGMVHRLLKRTPRPASTHDSSLDVAGMVHQLLKRTPRPASTHNGSVDTENDSCLQQTH</t>
  </si>
  <si>
    <t>MNNNTTCIQPSMISSMALPIIYILLCIVGVFGNTLSQWIFLTKIGKKTSTHIYLSHLVTANLLVCSAMPFMSIYFLKGFQWEYQSAQCRVVNFLGTLSMHASMFVSLLILSWIAISRYATLMQKDSSQETTSCYEKIFYGHLLKKFRQPNFARKLCIYIWGVVLGIIIPVTVYYSVIEATEGEESLCYNRQMELGAMISQIAGLIGTTFIGFSFLVVLTSYYSFVSHLRKIRTCTSIMEKDLTYSSVKRHLLVIQILLIVCFLPYSIFKPIFYVLHQRDNCQQLNYLIETKNILTCLASARSSTDPIIFLLLDKTFKKTLYNLFTKSNSAHMQSYG</t>
  </si>
  <si>
    <t>MVPHLLLLCLLPLVRATEPHEGRADEQSAEAALAVPNASHFFSWNNYTFSDWQNFVGRRRYGAESQNPTVKALLIVAYSFIIVFSLFGNVLVCHVIFKNQRMHSATSLFIVNLAVADIMITLLNTPFTLVRFVNSTWIFGKGMCHVSRFAQYCSLHVSALTLTAIAVDRHQVIMHPLKPRISITKGVIYIAVIWTMATFFSLPHAICQKLFTFKYSEDIVRSLCLPDFPEPADLFWKYLDLATFILLYILPLLIISVAYARVAKKLWLCNMIGDVTTEQYFALRRKKKKTIKMLMLVVVLFALCWFPLNCYVLLLSSKVIRTNNALYFAFHWFAMSSTCYNPFIYCWLNENFRIELKALLSMCQRPPKPQEDRPPSPVPSFRVAWTEKNDGQRAPLANNLLPTSQLQSGKTDLSSVEPIVTMS</t>
  </si>
  <si>
    <t>MWNSSDANFSCYHESVLGYRYVAVSWGVVVAVTGTVGNVLTLLALAIQPKLRTRFNLLIANLTLADLLYCTLLQPFSVDTYLHLHWRTGATFCRVFGLLLFASNSVSILTLCLIALGRYLLIAHPKLFPQVFSAKGIVLALVSTWVVGVASFAPLWPIYILVPVVCTCSFDRIRGRPYTTILMGIYFVLGLSSVGIFYCLIHRQVKRAAQALDQYKLRQASIHSNHVARTDEAMPGRFQELDSRLASGGPSEGISSEPVSAATTQTLEGDSSEVGDQINSKRAKQMAEKSPPEASAKAQPIKGARRAPDSSSEFGKVTRMCFAVFLCFALSYIPFLLLNILDARVQAPRVVHMLAANLTWLNGCINPVLYAAMNRQFRQAYGSILKRGPRSFHRLH</t>
  </si>
  <si>
    <t>MANYSHAADNILQNLSPLTAFLKLTSLGFIIGVSVVGNLLISILLVKDKTLHRAPYYFLLDLCCSDILRSAICFPFVFNSVKNGSTWTYGTLTCKVIAFLGVLSCFHTAFMLFCISVTRYLAIAHHRFYTKRLTFWTCLAVICMVWTLSVAMAFPPVLDVGTYSFIREEDQCTFQHRSFRANDSLGFMLLLALILLATQLVYLKLIFFVHDRRKMKPVQFVAAVSQNWTFHGPGASGQAAANWLAGFGRGPTPPTLLGIRQNANTTGRRRLLVLDEFKMEKRISRMFYIMTFLFLTLWGPYLVACYWRVFARGPVVPGGFLTAAVWMSFAQAGINPFVCIFSNRELRRCFSTTLLYCRKSRLPREPYCVI</t>
  </si>
  <si>
    <t>MGFNLTLAKLPNNELHGQESHNSGNRSDGPGKNTTLHNEFDTIVLPVLYLIIFVASILLNGLAVWIFFHIRNKTSFIFYLKNIVVADLIMTLTFPFRIVHDAGFGPWYFKFILCRYTSVLFYANMYTSIVFLGLISIDRYLKVVKPFGDSRMYSITFTKVLSVCVWVIMAVLSLPNIILTNGQPTEDNIHDCSKLKSPLGVKWHTAVTYVNSCLFVAVLVILIGCYIAISRYIHKSSRQFISQSSRKRKHNQSIRVVVAVFFTCFLPYHLCRIPFTFSHLDRLLDESAQKILYYCKEITLFLSACNVCLDPIIYFFMCRSFSRRLFKKSNIRTRSESIRSLQSVRRSEVRIYYDYTDV</t>
  </si>
  <si>
    <t>MTNSSSTSTSSTTGGSLLLLCEEEESWAGRRIPVSLLYSGLAIGGTLANGMVIYLVSSFRKLQTTSNAFIVNGCAADLSVCALWMPQEAVLGLLPTGSAEPPADWDGAGGSYRLLRGGLLGLGLTVSLLSHCLVALNRYLLITRAPATYQALYQRRHTAGMLALSWALALGLVLLLPPWAPRPGAAPPRVHYPALLAAAALLAQTALLLHCYLGIVRRVRVSVKRVSVLNFHLLHQLPGCAAAAAAFPGAQHAPGPGGAAHPAQAQPLPPALHPRRAQRRLSGLSVLLLCCVFLLATQPLVWVSLASGFSLPVPWGVQAASWLLCCALSALNPLLYTWRNEEFRRSVRSVLPGVGDAAAAAVAATAVPAVSQAQLGTRAAGQHW</t>
  </si>
  <si>
    <t>MTSTCTNSTRESNSSHTCMPLSKMPISLAHGIIRSTVLVIFLAASFVGNIVLALVLQRKPQLLQVTNRFIFNLLVTDLLQISLVAPWVVATSVPLFWPLNSHFCTALVSLTHLFAFASVNTIVVVSVDRYLSIIHPLSYPSKMTQRRGYLLLYGTWIVAILQSTPPLYGWGQAAFDERNALCSMIWGASPSYTILSVVSFIVIPLIVMIACYSVVFCAARRQHALLYNVKRHSLEVRVKDCVENEDEEGAEKKEEFQDESEFRRQHEGEVKAKEGRMEAKDGSLKAKEGSTGTSESSVEARGSEEVRESSTVASDGSMEGKEGSTKVEENSMKADKGRTEVNQCSIDLGEDDMEFGEDDINFSEDDVEAVNIPESLPPSRRNSNSNPPLPRCYQCKAAKVIFIIIFSYVLSLGPYCFLAVLAVWVDVETQVPQWVITIIIWLFFLQCCIHPYVYGYMHKTIKKEIQDMLKKFFCKEKPPKEDSHPDLPGTEGGTEGKIVPSYDSATFP</t>
  </si>
  <si>
    <t>MCPMLLKNGYNGNATPVTTTAPWASLGLSAKTCNNVSFEESRIVLVVVYSAVCTLGVPANCLTAWLALLQVLQGNVLAVYLLCLALCELLYTGTLPLWVIYIRNQHRWTLGLLACKVTAYIFFCNIYVSILFLCCISCDRFVAVVYALESRGRRRRRTAILISACIFILVGIVHYPVFQTEDKETCFDMLQMDSRIAGYYYARFTVGFAIPLSIIAFTNHRIFRSIKQSMGLSAAQKAKVKHSAIAVVVIFLVCFAPYHLVLLVKAAAFSYYRGDRNAMCGLEERLYTASVVFLCLSTVNGVADPIIYVLATDHSRQEVSRIHKGWKEWSMKTDVTRLTHSRDTEELQSPVALADHYTFSRPVHPPGSPCPAKRLIEESC</t>
  </si>
  <si>
    <t>MEEPQPPRPPASMALLGSQHSGAPSAAGPPGGTSSAATAAVLSFSTVATAALGNLSDASGGGTAAAPGGGGLGGSGAAREAGAAVRRPLGPEAAPLLSHGAAVAAQALVLLLIFLLSSLGNCAVMGVIVKHRQLRTVTNAFILSLSLSDLLTALLCLPAAFLDLFTPPGGSAPAAAAGPWRGFCAASRFFSSCFGIVSTLSVALISLDRYCAIVRPPREKIGRRRALQLLAGAWLTALGFSLPWELLGAPRELAAAQSFHGCLYRTSPDPAQLGAAFSVGLVVACYLLPFLLMCFCHYHICKTVRLSDVRVRPVNTYARVLRFFSEVRTATTVLIMIVFVICCWGPYCFLVLLAAARQAQTMQAPSLLSVVAVWLTWANGAINPVIYAIRNPNISMLLGRNREEGYRTRNVDAFLPSQGPGLQARSRSRLRNRYANRLGACNRMSSSNPASGVAGDVAMWARKNPVVLFCREGPPEPVTAVTKQPKSEAGDTSL</t>
  </si>
  <si>
    <t>MEHTHAHLAANSSLSWWSPGSACGLGFVPVVYYSLLLCLGLPANILTVIILSQLVARRQKSSYNYLLALAAADILVLFFIVFVDFLLEDFILNMQMPQVPDKIIEVLEFSSIHTSIWITVPLTIDRYIAVCHPLKYHTVSYPARTRKVIVSVYITCFLTSIPYYWWPNIWTEDYISTSVHHVLIWIHCFTVYLVPCSIFFILNSIIVYKLRRKSNFRLRGYSTGKTTAILFTITSIFATLWAPRIIMILYHLYGAPIQNRWLVHIMSDIANMLALLNTAINFFLYCFISKRFRTMAAATLKAFFKCQKQPVQFYTNHNFSITSSPWISPANSHCIKMLVYQYDKNGKPIKVSP</t>
  </si>
  <si>
    <t>MPGHNTSRNSSCDPIVTPHLISLYFIVLIGGLVGVISILFLLVKMNTRSVTTMAVINLVVVHSVFLLTVPFRLTYLIKKTWMFGLPFCKFVSAMLHIHMYLTFLFYVVILVTRYLIFFKCKDKVEFYRKLHAVAASAGMWTLVIVIVVPLVVSRYGIHEEYNEEHCFKFHKELAYTYVKIINYMIVIFVIAVAVILLVFQVFIIMLMVQKLRHSLLSHQEFWAQLKNLFFIGVILVCFLPYQFFRIYYLNVVTHSNACNSKVAFYNEIFLSVTAISCYDLLLFVFGGSHWFKQKIIGLWNCVLCR</t>
  </si>
  <si>
    <t>MSIMMLPMEQKIQWVPTSLQDITAVLGTEAYTEEDKSMVSHAQKSQHSCLSHSRWLRSPQVTGGSWDLRIRPSKDSSSFRQAQCLRKDPGANNHLESQGVRGTAGDADRELRGPSEKATAGQPRVTLLPTPHVSGLSQEFESHWPEIAERSPCVAGVIPVIYYSVLLGLGLPVSLLTAVALARLATRTRRPSYYYLLALTASDIIIQVVIVFAGFLLQGAVLARQVPQAVVRTANILEFAANHASVWIAILLTVDRYTALCHPLHHRAASSPGRTRRAIAAVLSAALLTGIPFYWWLDMWRDTDSPRTLDEVLKWAHCLTVYFIPCGVFLVTNSAIIHRLRRRGRSGLQPRVGKSTAILLGITTLFTLLWAPRVFVMLYHMYVAPVHRDWRVHLALDVANMVAMLHTAANFGLYCFVSKTFRATVRQVIHDAYLPCTLASQPEGMAAKPVMEPPGLPTGAEV</t>
  </si>
  <si>
    <t>MWSCSWFNGTGLVEELPACQDLQLGLSLLSLLGLVVGVPVGLCYNALLVLANLHSKASMTMPDVYFVNMAVAGLVLSALAPVHLLGPPSSRWALWSVGGEVHVALQIPFNVSSLVAMYSTALLSLDHYIERALPRTYMASVYNTRHVCGFVWGGALLTSFSSLLFYICSHVSTRALECAKMQNAEAADATLVFIGYVVPALATLYALVLLSRVRREDTPLDRDTGRLEPSAHRLLVATVCTQFGLWTPHYLILLGHTVIISRGKPVDAHYLGLLHFVKDFSKLLAFSSSFVTPLLYRYMNQSFPSKLQRLMKKLPCGDRHCSPDHMGVQQVLA</t>
  </si>
  <si>
    <t>MGDELAPCPVGTTAWPALIQLISKTPCMPQAASNTSLGLGDLRVPSSMLYWLFLPSSLLAAATLAVSPLLLVTILRNQRLRQEPHYLLPANILLSDLAYILLHMLISSSSLGGWELGRMACGILTDAVFAACTSTILSFTAIVLHTYLAVIHPLRYLSFMSHGAAWKAVALIWLVACCFPTFLIWLSKWQDAQLEEQGASYILPPSMGTQPGCGLLVIVTYTSILCVLFLCTALIANCFWRIYAEAKTSGIWGQGYSRARGTLLIHSVLITLYVSTGVVFSLDMVLTRYHHIDSGTHTWLLAANSEVLMMLPRAMLTYLYLLRYRQLLGMVRGHLPSRRHQAIFTIS</t>
  </si>
  <si>
    <t>MSLFLSNLSTNDSSLWKENHNSTDLLNPPGTLNIYLFCLTCLMTFAALVGSIYSLISLLKMQNRTVVSMLVASWSVDDLMSVLSVTIFMFLQWPNEVPGYFQFLCTTSALMYLCQGLSSNLKATLLVSYNFYTMHRGVGSQTASRRSGQVLGVVLTVWAASLLLSALPLCGWGAFVRTPWGCLVDCSSSYVLFLSIVYALAFGLLVGLSVPLTHRLLCSEEPPRLHSNYQEISRGASIPGTPPTAGRVVSLSPEDAPGPSLRRSGGCSPSSDTVFGPGAPAAAGAEACRRENRGTLYGTRSFTVSVAQKRFALILALTKVVLWLPMMMHMVVQNVVGFQSLPLETFSFLLTLLATTVTPVFVLSKRWTHLPCGCIINCRQNAYAVASDGKKIKRKGFEFNLSFQKSYGIYKIAHEDYYDDDENSIFYHNLMNSECETTKDPQRDNRNIFNAIKVEISTTPSLDSSTQRGINKCTNTDITEAKQDSNNKKDAFSDKTGGDINYEETTFSEGPERRLSHEESQKPDLSDWEWCRSKSERTPRQRSGYALAIPLCAFQGTVSLHAPTGKTLSLSTYEVSAEGQKITPASKKIEVYRSKSVGHEPNSEDSSSTFVDTSVKIHLEVLEICDNEEALDTVSIISNISQSSTQVRSPSLRYSRKENRFVSCDLGETASYSLFLPTSNPDGDINISIPDTVEAHRQNSKRQHQERDGYQEEIQLLNKAYRKREEESKGS</t>
  </si>
  <si>
    <t>MEDLFSPSILPPAPNISVPILLGWGLNLTLGQGAPASGPPSRRVRLVFLGVILVVAVAGNTTVLCRLCGGGGPWAGPKRRKMDFLLVQLALADLYACGGTALSQLAWELLGEPRAATGDLACRFLQLLQASGRGASAHLVVLIALERRRAVRLPHGRPLPARALAALGWLLALLLALPPAFVVRGDSPSPLPPPPPPTSLQPGAPPAARAWPGERRCHGIFAPLPRWHLQVYAFYEAVAGFVAPVTVLGVACGHLLSVWWRHRPQAPAAAAPWSASPGRAPAPSALPRAKVQSLKMSLLLALLFVGCELPYFAARLAAAWSSGPAGDWEGEGLSAALRVVAMANSALNPFVYLFFQAGDCRLRRQLRKRLGSLCCAPQGGAEDEEGPRGHQALYRQRWPHPHYHHARREPLDEGGLRPPPPRPRPLPCSCESAF</t>
  </si>
  <si>
    <t>MLAAAFADSNSSSMNVSFAHLHFAGGYLPSDSQDWRTIIPALLVAVCLVGFVGNLCVIGILLHNAWKGKPSMIHSLILNLSLADLSLLLFSAPIRATAYSKSVWDLGWFVCKSSDWFIHTCMAAKSLTIVVVAKVCFMYASDPAKQVSIHNYTIWSVLVAIWTVASLLPLPEWFFSTIRHHEGVEMCLVDVPAVAEEFMSMFGKLYPLLAFGLPLFFASFYFWRAYDQCKKRGTKTQNLRNQIRSKQVTVMLLSIAIISALLWLPEWVAWLWVWHLKAAGPAPPQGFIALSQVLMFSISSANPLIFLVMSEEFREGLKGVWKWMITKKPPTVSESQETPAGNSEGLPDKVPSPESPASIPEKEKPSSPSSGKGKTEKAEIPILPDVEQFWHERDTVPSVQDNDPIPWEHEDQETGEGVK</t>
  </si>
  <si>
    <t>MDTTMEADLGATGHRPRTELDDEDSYPQGGWDTVFLVALLLLGLPANGLMAWLAGSQARHGAGTRLALLLLSLALSDFLFLAAAAFQILEIRHGGHWPLGTAACRFYYFLWGVSYSSGLFLLAALSLDRCLLALCPHWYPGHRPVRLPLWVCAGVWVLATLFSVPWLVFPEAAVWWYDLVICLDFWDSEELSLRMLEVLGGFLPFLLLLVCHVLTQATACRTCHRQQQPAACRGFARVARTILSAYVVLRLPYQLAQLLYLAFLWDVYSGYLLWEALVYSDYLILLNSCLSPFLCLMASADLRTLLRSVLSSFAAALCEERPGSFTPTEPQTQLDSEGPTLPEPMAEAQSQMDPVAQPQVNPTLQPRSDPTAQPQLNPTAQPQSDPTAQPQLNLMAQPQSDSVAQPQADTNVQTPAPAASSVPSPCDEASPTPSSHPTPGALEDPATPPASEGESPSSTPPEAAPGAGPT</t>
  </si>
  <si>
    <t>MSDERRLPGSAVGWLVCGGLSLLANAWGILSVGAKQKKWKPLEFLLCTLAATHMLNVAVPIATYSVVQLRRQRPDFEWNEGLCKVFVSTFYTLTLATCFSVTSLSYHRMWMVCWPVNYRLSNAKKQAVHTVMGIWMVSFILSALPAVGWHDTSERFYTHGCRFIVAEIGLGFGVCFLLLVGGSVAMGVICTAIALFQTLAVQVGRQADRRAFTVPTIVVEDAQGKRRSSIDGSEPAKTSLQTTGLVTTIVFIYDCLMGFPVLVVSFSSLRADASAPWMALCVLWCSVAQALLLPVFLWACDRYRADLKAVREKCMALMANDEESDDETSLEGGISPDLVLERSLDYGYGGDFVALDRMAKYEISALEGGLPQLYPLRPLQEDKMQYLQVPPTRRFSHDDADVWAAVPLPAFLPRWGSGEDLAALAHLVLPAGPERRRASLLAFAEDAPPSRARRRSAESLLSLRPSALDSGPRGARDSPPGSPRRRPGPGPRSASASLLPDAFALTAFECEPQALRRPPGPFPAAPAAPDGADPGEAPTPPSSAQRSPGPRPSAHSHAGSLRPGLSASWGEPGGLRAAGGGGSTSSFLSSPSESSGYATLHSDSLGSAS</t>
  </si>
  <si>
    <t>MTALSSENCSFQYQLRQTNQPLDVNYLLFLIILGKILLNILTLGMRRKNTCQNFMEYFCISLAFVDLLLLVNISIILYFRDFVLLSIRFTKYHICLFTQIISFTYGFLHYPVFLTACIDYCLNFSKTTKLSFKCQKLFYFFTVILIWISVLAYVLGDPAIYQSLKAQNAYSRHCPFYVSIQSYWLSFFMVMILFVAFITCWEEVTTLVQAIRITSYMNETILYFPFSSHSSYTVRSKKIFLSKLIVCFLSTWLPFVLLQVIIVLLKVQIPAYIEMNIPWLYFVNSFLIATVYWFNCHKLNLKDIGLPLDPFVNWKCCFIPLTIPNLEQIEKPISIMIC</t>
  </si>
  <si>
    <t>MSLNSSLSCRKELSNLTEEEGGEGGVIITQFIAIIVITIFVCLGNLVIVVTLYKKSYLLTLSNKFVFSLTLSNFLLSVLVLPFVVTSSIRREWIFGVVWCNFSALLYLLISSASMLTLGVIAIDRYYAVLYPMVYPMKITGNRAVMALVYIWLHSLIGCLPPLFGWSSVEFDEFKWMCVAAWHREPGYTAFWQIWCALFPFLVMLVCYGFIFRVARVKARKVHCGTVVIVEEDAQRTGRKNSSTSTSSSGSRRNAFQGVVYSANQCKALITILVVLGAFMVTWGPYMVVIASEALWGKSSVSPSLETWATWLSFASAVCHPLIYGLWNKTVRKELLGMCFGDRYYREPFVQRQRTSRLFSISNRITDLGLSPHLTALMAGGQPLGHSSSTGDTGFSCSQDSGTDMMLLEDYTSDDNPPSHCTCPPKRRSSVTFEDEVEQIKEAAKNSILHVKAEVHKSLDSYAASLAKAIEAEAKINLFGEEALPGVLVTARTVPGGGFGGRRGSRTLVSQRLQLQSIEEGDVLAAEQR</t>
  </si>
  <si>
    <t>MARGGAGAEEASLRSNALSWLACGLLALLANAWIILSISAKQQKHKPLELLLCFLAGTHILMAAVPLTTFAVVQLRRQASSDYDWNESICKVFVSTYYTLALATCFTVASLSYHRMWMVRWPVNYRLSNAKKQALHAVMGIWMVSFILSTLPSIGWHNNGERYYARGCQFIVSKIGLGFGVCFSLLLLGGIVMGLVCVAITFYQTLWARPRRARQARRVGGGGGTKAGGPGALGTRPAFEVPAIVVEDARGKRRSSLDGSESAKTSLQVTNLVSAIVFLYDSLTGVPILVVSFFSLKSDSAPPWMVLAVLWCSMAQTLLLPSFIWSCERYRADVRTVWEQCVAIMSEEDGDDDGGCDDYAEGRVCKVRFDANGATGPGSRDPAQVKLLPGRHMLFPPLERVHYLQVPLSRRLSHDETNIFSTPREPGSFLHKWSSSDDIRVLPAQSRALGGPPEYLGQRHRLEDEEDEEEAEGGGLASLRQFLESGVLGSGGGPPRGPGFFREEITTFIDETPLPSPTASPGHSPRRPRPLGLSPRRLSLGSPESRAVGLPLGLSAGRRCSLTGGEESARAWGGSWGPGNPIFPQLTL</t>
  </si>
  <si>
    <t>MTNSSFFCPVYKDLEPFTYFFYLVFLVGIIGSCFATWAFIQKNTNHRCVSIYLINLLTADFLLTLALPVKIVVDLGVAPWKLKIFHCQVTACLIYINMYLSIIFLAFVSIDRCLQLTHSCKIYRIQEPGFAKMISTVVWLMVLLIMVPNMMIPIKDIKEKSNVGCMEFKKEFGRNWHLLTNFICVAIFLNFSAIILISNCLVIRQLYRNKDNENYPNVKKALINILLVTTGYIICFVPYHIVRIPYTLSQTEVITDCSTRISLFKAKEATLLLAVSNLCFDPILYYHLSKAFRSKVTETFASPKETKAQKEKLRCENNA</t>
  </si>
  <si>
    <t>MANTTGEPEEVSGALSPPSASAYVKLVLLGLIMCVSLAGNAILSLLVLKERALHKAPYYFLLDLCLADGIRSAVCFPFVLASVRHGSSWTFSALSCKIVAFMAVLFCFHAAFMLFCISVTRYMAIAHHRFYAKRMTLWTCAAVICMAWTLSVAMAFPPVFDVGTYKFIREEDQCIFEHRYFKANDTLGFMLMLAVLMAATHAVYGKLLLFEYRHRKMKPVQMVPAISQNWTFHGPGATGQAAANWIAGFGRGPMPPTLLGIRQNGHAASRRLLGMDEVKGEKQLGRMFYAITLLFLLLWSPYIVACYWRVFVKACAVPHRYLATAVWMSFAQAAVNPIVCFLLNKDLKKCLRTHAPCWGTGGAPAPREPYCVM</t>
  </si>
  <si>
    <t>MPANYTCTRPDGDNTDFRYFIYAVTYTVILVPGLIGNILALWVFYGYMKETKRAVIFMINLAIADLLQVLSLPLRIFYYLNHDWPFGPGLCMFCFYLKYVNMYASIYFLVCISVRRFWFLMYPFRFHDCKQKYDLYISIAGWLIICLACVLFPLLRTSDDTSGNRTKCFVDLPTRNVNLAQSVVMMTIGELIGFVTPLLIVLYCTWKTVLSLQDKYPMAQDLGEKQKALKMILTCAGVFLICFAPYHFSFPLDFLVKSNEIKSCLARRVILIFHSVALCLASLNSCLDPVIYYFSTNEFRRRLSRQDLHDSIQLHAKSFVSNHTASTMTPELC</t>
  </si>
  <si>
    <t>MGHNGSWISPNASEPHNASGAEAAGVNRSALGEFGEAQLYRQFTTTVQVVIFIGSLLGNFMVLWSTCRTTVFKSVTNRFIKNLACSGICASLVCVPFDIILSTSPHCCWWIYTMLFCKVVKFLHKVFCSVTILSFPAIALDRYYSVLYPLERKISDAKSRELVMYIWAHAVVASVPVFAVTNVADIYATSTCTEVWSNSLGHLVYVLVYNITTVIVPVVVVFLFLILIRRALSASQKKKVIIAALRTPQNTISIPYASQREAELHATLLSMVMVFILCSVPYATLVVYQTVLNVPDTSVFLLLTAVWLPKVSLLANPVLFLTVNKSVRKCLIGTLVQLHHRYSRRNVVSTGSGMAEASLEPSIRSGSQLLEMFHIGQQQIFKPTEDEEESEAKYIGSADFQAKEIFSTCLEGEQGPQFAPSAPPLSTVDSVSQVAPAAPVEPETFPDKYSLQFGFGPFELPPQWLSETRNSKKRLLPPLGNTPEELIQTKVPKVGRVERKMSRNNKVSIFPKVDS</t>
  </si>
  <si>
    <t>MSVKPSWGPGPSEGVTAVPTSDLGEIHNWTELLDLFNHTLSECHVELSQSTKRVVLFALYLAMFVVGLVENLLVICVNWRGSGRAGLMNLYILNMAIADLGIVLSLPVWMLEVTLDYTWLWGSFSCRFTHYFYFVNMYSSIFFLVCLSVDRYVTLTSASPSWQRYQHRVRRAMCAGIWVLSAIIPLPEVVHIQLVEGPEPMCLFMAPFETYSTWALAVALSTTILGFLLPFPLITVFNVLTACRLRQPGQPKSRRHCLLLCAYVAVFVMCWLPYHVTLLLLTLHGTHISLHCHLVHLLYFFYDVIDCFSMLHCVINPILYNFLSPHFRGRLLNAVVHYLPKDQTKAGTCASSSSCSTQHSIIITKGDSQPAAAAPHPEPSLSFQAHHLLPNTSPISPTQPLTPS</t>
  </si>
  <si>
    <t>MDIQMANNFTPPSATPQGNDCDLYAHHSTARIVMPLHYSLVFIIGLVGNLLALVVIVQNRKKINSTTLYSTNLVISDILFTTALPTRIAYYAMGFDWRIGDALCRITALVFYINTYAGVNFMTCLSIDRFIAVVHPLRYNKIKRIEHAKGVCIFVWILVFAQTLPLLINPMSKQEAERITCMEYPNFEETKSLPWILLGACFIGYVLPLIIILICYSQICCKLFRTAKQNPLTEKSGVNKKALNTIILIIVVFVLCFTPYHVAIIQHMIKKLRFSNFLECSQRHSFQISLHFTVCLMNFNCCMDPFIYFFACKGYKRKVMRMLKRQVSVSISSAVKSAPEENSREMTETQMMIHSKSSNGK</t>
  </si>
  <si>
    <t>MPGPLGLLCFLALGLLGSAGPSGAAPPLCAAPCSCDGDRRVDCSGKGLTAVPEGLSAFTQALDISMNNITQLPEDAFKNFPFLEELQLAGNDLSFIHPKALSGLKELKVLTLQNNQLKTVPSEAIRGLSALQSLRLDANHITSVPEDSFEGLVQLRHLWLDDNSLTEVPVHPLSNLPTLQALTLALNKISSIPDFAFTNLSSLVVLHLHNNKIRSLSQHCFDGLDNLETLDLNYNNLGEFPQAIKALPSLKELGFHSNSISVIPDGAFDGNPLLRTIHLYDNPLSFVGNSAFHNLSDLHSLVIRGASMVQQFPNLTGTVHLESLTLTGTKISSIPNNLCQEQKMLRTLDLSYNNIRDLPSFNGCHALEEISLQRNQIYQIKEGTFQGLISLRILDLSRNLIHEIHSRAFATLGPITNLDVSFNELTSFPTEGLNGLNQLKLVGNFKLKEALAAKDFVNLRSLSVPYAYQCCAFWGCDSYANLNTEDNSLQDHSVAQEKGTADAANVTSTLENEEHSQIIIHCTPSTGAFKPCEYLLGSWMIRLTVWFIFLVALFFNLLVILTTFASCTSLPSSKLFIGLISVSNLFMGIYTGILTFLDAVSWGRFAEFGIWWETGSGCKVAGFLAVFSSESAIFLLMLATVERSLSAKDIMKNGKSNHLKQFRVAALLAFLGATVAGCFPLFHRGEYSASPLCLPFPTGETPSLGFTVTLVLLNSLAFLLMAVIYTKLYCNLEKEDLSENSQSSMIKHVAWLIFTNCIFFCPVAFFSFAPLITAISISPEIMKSVTLIFFPLPACLNPVLYVFFNPKFKEDWKLLKRRVTKKSGSVSVSISSQGGCLEQDFYYDCGMYSHLQGNLTVCDCCESFLLTKPVSCKHLIKSHSCPALAVASCQRPEGYWSDCGTQSAHSDYADEEDSFVSDSSDQVQACGRACFYQSRGFPLVRYAYNLPRVKD</t>
  </si>
  <si>
    <t>MDTSRLGVLLSLPVLLQLATGGSSPRSGVLLRGCPTHCHCEPDGRMLLRVDCSDLGLSELPSNLSVFTSYLDLSMNNISQLLPNPLPSLRFLEELRLAGNALTYIPKGAFTGLYSLKVLMLQNNQLRHVPTEALQNLRSLQSLRLDANHISYVPPSCFSGLHSLRHLWLDDNALTEIPVQAFRSLSALQAMTLALNKIHHIPDYAFGNLSSLVVLHLHNNRIHSLGKKCFDGLHSLETLDLNYNNLDEFPTAIRTLSNLKELGFHSNNIRSIPEKAFVGNPSLITIHFYDNPIQFVGRSAFQHLPELRTLTLNGASQITEFPDLTGTANLESLTLTGAQISSLPQTVCNQLPNLQVLDLSYNLLEDLPSFSVCQKLQKIDLRHNEIYEIKVDTFQQLLSLRSLNLAWNKIAIIHPNAFSTLPSLIKLDLSSNLLSSFPITGLHGLTHLKLTGNHALQSLISSENFPELKVIEMPYAYQCCAFGVCENAYKISNQWNKGDNSSMDDLHKKDAGMFQAQDERDLEDFLLDFEEDLKALHSVQCSPSPGPFKPCEHLLDGWLIRIGVWTIAVLALTCNALVTSTVFRSPLYISPIKLLIGVIAAVNMLTGVSSAVLAGVDAFTFGSFARHGAWWENGVGCHVIGFLSIFASESSVFLLTLAALERGFSVKYSAKFETKAPFSSLKVIILLCALLALTMAAVPLLGGSKYGASPLCLPLPFGEPSTMGYMVALILLNSLCFLMMTIAYTKLYCNLDKGDLENIWDCSMVKHIALLLFTNCILNCPVAFLSFSSLINLTFISPEVIKFILLVVVPLPACLNPLLYILFNPHFKEDLVSLRKQTYVWTRSKHPSLMSINSDDVEKQSCDSTQALVTFTSSSITYDLPPSSVPSPAYPVTESCHLSSVAFVPCL</t>
  </si>
  <si>
    <t>MPSPPGLRALWLCAALCASRRAGGAPQPGPGPTACPAPCHCQEDGIMLSADCSELGLSAVPGDLDPLTAYLDLSMNNLTELQPGLFHHLRFLEELRLSGNHLSHIPGQAFSGLYSLKILMLQNNQLGGIPAEALWELPSLQSLRLDANLISLVPERSFEGLSSLRHLWLDDNALTEIPVRALNNLPALQAMTLALNRISHIPDYAFQNLTSLVVLHLHNNRIQHLGTHSFEGLHNLETLDLNYNKLQEFPVAIRTLGRLQELGFHNNNIKAIPEKAFMGNPLLQTIHFYDNPIQFVGRSAFQYLPKLHTLSLNGAMDIQEFPDLKGTTSLEILTLTRAGIRLLPSGMCQQLPRLRVLELSHNQIEELPSLHRCQKLEEIGLQHNRIWEIGADTFSQLSSLQALDLSWNAIRSIHPEAFSTLHSLVKLDLTDNQLTTLPLAGLGGLMHLKLKGNLALSQAFSKDSFPKLRILEVPYAYQCCPYGMCASFFKASGQWEAEDLHLDDEESSKRPLGLLARQAENHYDQDLDELQLEMEDSKPHPSVQCSPTPGPFKPCEYLFESWGIRLAVWAIVLLSVLCNGLVLLTVFAGGPVPLPPVKFVVGAIAGANTLTGISCGLLASVDALTFGQFSEYGARWETGLGCRATGFLAVLGSEASVLLLTLAAVQCSVSVSCVRAYGKSPSLGSVRAGVLGCLALAGLAAALPLASVGEYGASPLCLPYAPPEGQPAALGFTVALVMMNSFCFLVVAGAYIKLYCDLPRGDFEAVWDCAMVRHVAWLIFADGLLYCPVAFLSFASMLGLFPVTPEAVKSVLLVVLPLPACLNPLLYLLFNPHFRDDLRRLRPRAGDSGPLAYAAAGELEKSSCDSTQALVAFSDVDLILEASEAGRPPGLETYGFPSVTLISCQQPGAPRLEGSHCVEPEGNHFGNPQPSMDGELLLRAEGSTPAGGGLSGGGGFQPSGLAFASHV</t>
  </si>
  <si>
    <t>MDGSNVTSFVVEEPTNISTGRNASVGNAHRQIPIVHWVIMSISPVGFVENGILLWFLCFRMRRNPFTVYITHLSIADISLLFCIFILSIDYALDYELSSGHYYTIVTLSVTFLFGYNTGLYLLTAISVERCLSVLYPIWYRCHRPKYQSALVCALLWALSCLVTTMEYVMCIDREEESHSRNDCRAVIIFIAILSFLVFTPLMLVSSTILVVKIRKNTWASHSSKLYIVIMVTIIIFLIFAMPMRLLYLLYYEYWSTFGNLHHISLLFSTINSSANPFIYFFVGSSKKKRFKESLKVVLTRAFKDEMQPRRQKDNCNTVTVETVV</t>
  </si>
  <si>
    <t>MVWGKICWFSQRAGWTVFAESQISLSCSLCLHSGDQEAQNPNLVSQLCGVFLQNETNETIHMQMSMAVGQQALPLNIIAPKAVLVSLCGVLLNGTVFWLLCCGATNPYMVYILHLVAADVIYLCCSAVGFLQVTLLTYHGVVFFIPDFLAILSPFSFEVCLCLLVAISTERCVCVLFPIWYRCHRPKYTSNVVCTLIWGLPFCINIVKSLFLTYWKHVKACVIFLKLSGLFHAILSLVMCVSSLTLLIRFLCCSQQQKATRVYAVVQISAPMFLLWALPLSVAPLITDFKMFVTTSYLISLFLIINSSANPIIYFFVGSLRKKRLKESLRVILQRALADKPEVGRNKKAAGIDPMEQPHSTQHVENLLPREHRVDVET</t>
  </si>
  <si>
    <t>MNQTLNSSGTVESALNYSRGSTVHTAYLVLSSLAMFTCLCGMAGNSMVIWLLGFRMHRNPFCIYILNLAAADLLFLFSMASTLSLETQPLVNTTDKVHELMKRLMYFAYTVGLSLLTAISTQRCLSVLFPIWFKCHRPRHLSAWVCGLLWTLCLLMNGLTSSFCSKFLKFNEDRCFRVDMVQAALIMGVLTPVMTLSSLTLFVWVRRSSQQWRRQPTRLFVVVLASVLVFLICSLPLSIYWFVLYWLSLPPEMQVLCFSLSRLSSSVSSSANPVIYFLVGSRRSHRLPTRSLGTVLQQALREEPELEGGETPTVGTNEMGA</t>
  </si>
  <si>
    <t>MMEPREAGQHVGAANGAQEDVAFNLIILSLTEGLGLGGLLGNGAVLWLLSSNVYRNPFAIYLLDVACADLIFLGCHMVAIVPDLLQGRLDFPGFVQTSLATLRFFCYIVGLSLLAAVSVEQCLAALFPAWYSCRRPRHLTTCVCALTWALCLLLHLLLSGACTQFFGEPSRHLCRTLWLVAAVLLALLCCTMCGASLMLLLRVERGPQRPPPRGFPGLILLTVLLFLFCGLPFGIYWLSRNLLWYIPHYFYHFSFLMAAVHCAAKPVVYFCLGSAQGRRLPLRLVLQRALGDEAELGAVRETSRRGLVDIAA</t>
  </si>
  <si>
    <t>MAGNCSWEAHPGNRNKMCPGLSEAPELYSRGFLTIEQIAMLPPPAVMNYIFLLLCLCGLVGNGLVLWFFGFSIKRNPFSIYFLHLASADVGYLFSKAVFSILNTGGFLGTFADYIRSVCRVLGLCMFLTGVSLLPAVSAERCASVIFPAWYWRRRPKRLSAVVCALLWVLSLLVTCLHNYFCVFLGRGAPGAACRHMDIFLGILLFLLCCPLMVLPCLALILHVECRARRRQRSAKLNHVILAMVSVFLVSSIYLGIDWFLFWVFQIPAPFPEYVTDLCICINSSAKPIVYFLAGRDKSQRLWEPLRVVFQRALRDGAELGEAGGSTPNTVTMEMQCPPGNAS</t>
  </si>
  <si>
    <t>MFGLFGLWRTFDSVVFYLTLIVGLGGPVGNGLVLWNLGFRIKKGPFSIYLLHLAAADFLFLSCRVGFSVAQAALGAQDTLYFVLTFLWFAVGLWLLAAFSVERCLSDLFPACYQGCRPRHASAVLCALVWTPTLPAVPLPANACGLLRNSACPLVCPRYHVASVTWFLVLARVAWTAGVVLFVWVTCCSTRPRPRLYGIVLGALLLLFFCGLPSVFYWSLQPLLNFLLPVFSPLATLLACVNSSSKPLIYSGLGRQPGKREPLRSVLRRALGEGAELGARGQSLPMGLL</t>
  </si>
  <si>
    <t>MDPTISTLDTELTPINGTEETLCYKQTLSLTVLTCIVSLVGLTGNAVVLWLLGCRMRRNAFSIYILNLAAADFLFLSGRLIYSLLSFISIPHTISKILYPVMMFSYFAGLSFLSAVSTERCLSVLWPIWYRCHRPTHLSAVVCVLLWALSLLRSILEWMLCGFLFSGADSAWCQTSDFITVAWLIFLCVVLCGSSLVLLIRILCGSRKIPLTRLYVTILLTVLVFLLCGLPFGIQFFLFLWIHVDREVLFCHVHLVSIFLSALNSSANPIIYFFVGSFRQRQNRQNLKLVLQRALQDASEVDEGGGQLPEEILELSGSRLEQ</t>
  </si>
  <si>
    <t>MDPTTPAWGTESTTVNGNDQALLLLCGKETLIPVFLILFIALVGLVGNGFVLWLLGFRMRRNAFSVYVLSLAGADFLFLCFQIINCLVYLSNFFCSISINFPSFFTTVMTCAYLAGLSMLSTVSTERCLSVLWPIWYRCRRPRHLSAVVCVLLWALSLLLSILEGKFCGFLFSDGDSGWCQTFDFITAAWLIFLFMVLCGSSLALLVRILCGSRGLPLTRLYLTILLTVLVFLLCGLPFGIQWFLILWIWKDSDVLFCHIHPVSVVLSSLNSSANPIIYFFVGSFRKQWRLQQPILKLALQRALQDIAEVDHSEGCFRQGTPEMSRSSLV</t>
  </si>
  <si>
    <t>MDSTIPVLGTELTPINGREETPCYKQTLSFTGLTCIVSLVALTGNAVVLWLLGCRMRRNAVSIYILNLVAADFLFLSGHIICSPLRLINIRHPISKILSPVMTFPYFIGLSMLSAISTERCLSILWPIWYHCRRPRYLSSVMCVLLWALSLLRSILEWMFCDFLFSGANSVWCETSDFITIAWLVFLCVVLCGSSLVLLVRILCGSRKMPLTRLYVTILLTVLVFLLCGLPFGIQWALFSRIHLDWKVLFCHVHLVSIFLSALNSSANPIIYFFVGSFRQRQNRQNLKLVLQRALQDTPEVDEGGGWLPQETLELSGSRLEQ</t>
  </si>
  <si>
    <t>MDPTVPVFGTKLTPINGREETPCYNQTLSFTVLTCIISLVGLTGNAVVLWLLGYRMRRNAVSIYILNLAAADFLFLSFQIIRLPLRLINISHLIRKILVSVMTFPYFTGLSMLSAISTERCLSVLWPIWYRCRRPTHLSAVVCVLLWGLSLLFSMLEWRFCDFLFSGADSSWCETSDFIPVAWLIFLCVVLCVSSLVLLVRILCGSRKMPLTRLYVTILLTVLVFLLCGLPFGILGALIYRMHLNLEVLYCHVYLVCMSLSSLNSSANPIIYFFVGSFRQRQNRQNLKLVLQRALQDKPEVDKGEGQLPEESLELSGSRLGP</t>
  </si>
  <si>
    <t>MQVPNSTGPDNATLQMLRNPAIAVALPVVYSLVAAVSIPGNLFSLWVLCRRMGPRSPSVIFMINLSVTDLMLASVLPFQIYYHCNRHHWVFGVLLCNVVTVAFYANMYSSILTMTCISVERFLGVLYPLSSKRWRRRRYAVAACAGTWLLLLTALSPLARTDLTYPVHALGIITCFDVLKWTMLPSVAMWAVFLFTIFILLFLIPFVITVACYTATILKLLRTEEAHGREQRRRAVGLAAVVLLAFVTCFAPNNFVLLAHIVSRLFYGKSYYHVYKLTLCLSCLNNCLDPFVYYFASREFQLRLREYLGCRRVPRDTLDTRRESLFSARTTSVRSEAGAHPEGMEGATRPGLQRQESVF</t>
  </si>
  <si>
    <t>MANLDKYTETFKMGSNSTSTAEIYCNVTNVKFQYSLYATTYILIFIPGLLANSAALWVLCRFISKKNKAIIFMINLSVADLAHVLSLPLRIYYYISHHWPFQRALCLLCFYLKYLNMYASICFLTCISLQRCFFLLKPFRARDWKRRYDVGISAAIWIVVGTACLPFPILRSTDLNNNKSCFADLGYKQMNAVALVGMITVAELAGFVIPVIIIAWCTWKTTISLRQPPMAFQGISERQKALRMVFMCAAVFFICFTPYHINFIFYTMVKETIISSCPVVRIALYFHPFCLCLASLCCLLDPILYYFMASEFRDQLSRHGSSVTRSRLMSKESGSSMIG</t>
  </si>
  <si>
    <t>MAVSSEQHELSHFKRTQTKKEKFNCSEYGNRSCPENERSLGVRVAMYSFMAGSIFITIFGNLAMIISISYFKQLHTPTNFLILSMAITDFLLGFTIMPYSMIRSVENCWYFGLTFCKIYYSFDLMLSITSIFHLCSVAIDRFYAICYPLLYSTKITIPVIKRLLLLCWSVPGAFAFGVVFSEAYADGIEGYDILVACSSSCPVMFNKLWGTTLFMAGFFTPGSMMVGIYGKIFAVSRKHAHAINNLRENQNNQVKKDKKAAKTLGIVIGVFLLCWFPCFFTILLDPFLNFSTPVVLFDALTWFGYFNSTCNPLIYGFFYPWFRRALKYILLGKIFSSCFHNTILCMQKESE</t>
  </si>
  <si>
    <t>MDLTYIPEDLSSCPKFVNKILSSHQPLFSCPGDNVFGYDWSHDYPLFGNLVIMVSISHFKQLHSPTNFLILSMATTDFLLGFVIMPYSIMRSVESCWYFGDGFCKFHTSFDMMLRLTSIFHLCSIAIDRFYAVCYPLHYTTKMTNSTIKQLLAFCWSVPALFSFGLVLSEADVSGMQSYKILVACFNFCALTFNKFWGTILFTTCFFTPGSIMVGIYGKIFIVSKQHARVISHVPENTKGAVKKHLSKKKDRKAAKTLGIVMGVFLACWLPCFLAVLIDPYLDYSTPILILDLLVWLRYFNSTCNPLIHGFFNPWFQKAFKYIVSGKIFSSHSETANLFPEAH</t>
  </si>
  <si>
    <t>MRAVFIQGAEEHPAAFCYQVNGSCPRTVHTLGIQLVIYLACAAGMLIIVLGNVFVAFAVSYFKALHTPTNFLLLSLALADMFLGLLVLPLSTIRSVESCWFFGDFLCRLHTYLDTLFCLTSIFHLCFISIDRHCAICDPLLYPSKFTVRVALRYILAGWGVPAAYTSLFLYTDVVETRLSQWLEEMPCVGSCQLLLNKFWGWLNFPLFFVPCLIMISLYVKIFVVATRQAQQITTLSKSLAGAAKHERKAAKTLGIAVGIYLLCWLPFTIDTMVDSLLHFITPPLVFDIFIWFAYFNSACNPIIYVFSYQWFRKALKLTLSQKVFSPQTRTVDLYQE</t>
  </si>
  <si>
    <t>MSSNSSLLVAVQLCYANVNGSCVKIPFSPGSRVILYIVFGFGAVLAVFGNLLVMISILHFKQLHSPTNFLVASLACADFLVGVTVMPFSMVRTVESCWYFGRSFCTFHTCCDVAFCYSSLFHLCFISIDRYIAVTDPLVYPTKFTVSVSGICISVSWILPLMYSGAVFYTGVYDDGLEELSDALNCIGGCQTVVNQNWVLTDFLSFFIPTFIMIILYGNIFLVARRQAKKIENTGSKTESSSESYKARVARRERKAAKTLGVTVVAFMISWLPYSIDSLIDAFMGFITPACIYEICCWCAYYNSAMNPLIYALFYPWFRKAIKVIVTGQVLKNSSATMNLFSEHI</t>
  </si>
  <si>
    <t>MTSNFSQPVVQLCYEDVNGSCIETPYSPGSRVILYTAFSFGSLLAVFGNLLVMTSVLHFKQLHSPTNFLIASLACADFLVGVTVMLFSMVRTVESCWYFGAKFCTLHSCCDVAFCYSSVLHLCFICIDRYIVVTDPLVYATKFTVSVSGICISVSWILPLTYSGAVFYTGVNDDGLEELVSALNCVGGCQIIVSQGWVLIDFLLFFIPTLVMIILYSKIFLIAKQQAIKIETTSSKVESSSESYKIRVAKRERKAAKTLGVTVLAFVISWLPYTVDILIDAFMGFLTPAYIYEICCWSAYYNSAMNPLIYALFYPWFRKAIKLILSGDVLKASSSTISLFLE</t>
  </si>
  <si>
    <t>MVNNFSQAEAVELCYKNVNESCIKTPYSPGPRSILYAVLGFGAVLAAFGNLLVMIAILHFKQLHTPTNFLIASLACADFLVGVTVMPFSTVRSVESCWYFGDSYCKFHTCFDTSFCFASLFHLCCISVDRYIAVTDPLTYPTKFTVSVSGICIVLSWFFSVTYSFSIFYTGANEEGIEELVVALTCVGGCQAPLNQNWVLLCFLLFFIPNVAMVFIYSKIFLVAKHQARKIESTASQAQSSSESYKERVAKRERKAAKTLGIAMAAFLVSWLPYLVDAVIDAYMNFITPPYVYEILVWCVYYNSAMNPLIYAFFYQWFGKAIKLIVSGKVLRTDSSTTNLFSEEVETD</t>
  </si>
  <si>
    <t>MEKKCTLNFLVLLPFFMILVTAELEESPEDSIQLGVTRNKIMTAQYECYQKIMQDPIQQAEGVYCNRTWDGWLCWNDVAAGTESMQLCPDYFQDFDPSEKVTKICDQDGNWFRHPASNRTWTNYTQCNVNTHEKVKTALNLFYLTIIGHGLSIASLLISLGIFFYFKSLSCQRITLHKNLFFSFVCNSVVTIIHLTAVANNQALVATNPVSCKVSQFIHLYLMGCNYFWMLCEGIYLHTLIVVAVFAEKQHLMWYYFLGWGFPLIPACIHAIARSLYYNDNCWISSDTHLLYIIHGPICAALLVNLFFLLNIVRVLITKLKVTHQAESNLYMKAVRATLILVPLLGIEFVLIPWRPEGKIAEEVYDYIMHILMHFQGLLVSTIFCFFNGEVQAILRRNWNQYKIQFGNSFSNSEALRSASYTVSTISDGPGYSHDCPSEHLNGKSIHDIENVLLKPENLYN</t>
  </si>
  <si>
    <t>MDAALLHSLLEANCSLALAEELLLDGWGPPLDPEGPYSYCNTTLDQIGTCWPRSAAGALVERPCPEYFNGVKYNTTRNAYRECLENGTWASKINYSQCEPILDDKQRKYDLHYRIALVVNYLGHCVSVAALVAAFLLFLALRSIRCLRNVIHWNLITTFILRNVMWFLLQLVDHEVHESNEVWCRCITTIFNYFVVTNFFWMFVEGCYLHTAIVMTYSTERLRKCLFLFIGWCIPFPIIVAWAIGKLYYENEQCWFGKEPGDLVDYIYQGPIILVLLINFVFLFNIVRILMTKLRASTTSETIQYRKAVKATLVLLPLLGITYMLFFVNPGEDDLSQIMFIYFNSFLQSFQGFFVSVFYCFFNGEVRSAVRKRWHRWQDHHSLRVPMARAMSIPTSPTRISFHSIKQTAAV</t>
  </si>
  <si>
    <t>MDRRMWGAHVFCVLSPLPTVLGHMHPECDFITQLREDESACLQAAEEMPNTTLGCPATWDGLLCWPTAGSGEWVTLPCPDFFSHFSSESGAVKRDCTITGWSEPFPPYPVACPVPLELLAEEESYFSTVKIIYTVGHSISIVALFVAITILVALRRLHCPRNYVHTQLFTTFILKAGAVFLKDAALFHSDDTDHCSFSTVLCKVSVAASHFATMTNFSWLLAEAVYLNCLLASTSPSSRRAFWWLVLAGWGLPVLFTGTWVSCKLAFEDIACWDLDDTSPYWWIIKGPIVLSVGVNFGLFLNIIRILVRKLEPAQGSLHTQSQYWRLSKSTLFLIPLFGIHYIIFNFLPDNAGLGIRLPLELGLGSFQGFIVAILYCFLNQEVRTEISRKWHGHDPELLPAWRTRAKWTTPSRSAAKVLTSMC</t>
  </si>
  <si>
    <t>MTTSPILQLLLRLSLCGLLLQRAETGSKGQTAGELYQRWERYRRECQETLAAAEPPSGLACNGSFDMYVCWDYAAPNATARASCPWYLPWHHHVAAGFVLRQCGSDGQWGLWRDHTQCENPEKNEAFLDQRLILERLQVMYTVGYSLSLATLLLALLILSLFRRLHCTRNYIHINLFTSFMLRAAAILSRDRLLPRPGPYLGDQALALWNQALAACRTAQIVTQYCVGANYTWLLVEGVYLHSLLVLVGGSEEGHFRYYLLLGWGAPALFVIPWVIVRYLYENTQCWERNEVKAIWWIIRTPILMTILINFLIFIRILGILLSKLRTRQMRCRDYRLRLARSTLTLVPLLGVHEVVFAPVTEEQARGALRFAKLGFEIFLSSFQGFLVSVLYCFINKEVQSEIRRGWHHCRLRRSLGEEQRQLPERAFRALPSGSGPGEVPTSRGLSSGTLPGPGNEASRELESYC</t>
  </si>
  <si>
    <t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</t>
  </si>
  <si>
    <t>MKLGSSRAGPGRGSAGLLPGVHELPMGIPAPWGTSPLSFHRKCSLWAPGRPFLTLVLLVSIKQVTGSLLEETTRKWAQYKQACLRDLLKEPSGIFCNGTFDQYVCWPHSSPGNVSVPCPSYLPWWSEESSGRAYRHCLAQGTWQTIENATDIWQDDSECSENHSFKQNVDRYALLSTLQLMYTVGYSFSLISLFLALTLLLFLRKLHCTRNYIHMNLFASFILRTLAVLVKDVVFYNSYSKRPDNENGWMSYLSEMSTSCRSVQVLLHYFVGANYLWLLVEGLYLHTLLEPTVLPERRLWPRYLLLGWAFPVLFVVPWGFARAHLENTGCWTTNGNKKIWWIIRGPMMLCVTVNFFIFLKILKLLISKLKAHQMCFRDYKYRLAKSTLVLIPLLGVHEILFSFITDDQVEGFAKLIRLFIQLTLSSFHGFLVALQYGFANGEVKAELRKYWVRFLLARHSGCRACVLGKDFRFLGKCPKKLSEGDGAEKLRKLQPSLNSGRLLHLAMRGLGELGAQPQQDHARWPRGSSLSECSEGDVTMANTMEEILEESEI</t>
  </si>
  <si>
    <t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t>
  </si>
  <si>
    <t>MRPHLSPPLQQLLLPVLLACAAHSTGALPRLCDVLQVLWEEQDQCLQELSREQTGDLGTEQPVPGCEGMWDNISCWPSSVPGRMVEVECPRFLRMLTSRNGSLFRNCTQDGWSETFPRPNLACGVNVNDSSNEKRHSYLLKLKVMYTVGYSSSLVMLLVALGILCAFRRLHCTRNYIHMHLFVSFILRALSNFIKDAVLFSSDDVTYCDAHRAGCKLVMVLFQYCIMANYSWLLVEGLYLHTLLAISFFSERKYLQGFVAFGWGSPAIFVALWAIARHFLEDVGCWDINANASIWWIIRGPVILSILINFILFINILRILMRKLRTQETRGNEVSHYKRLARSTLLLIPLFGIHYIVFAFSPEDAMEIQLFFELALGSFQGLVVAVLYCFLNGEVQLEVQKKWQQWHLREFPLHPVASFSNSTKASHLEQSQGTCRTSII</t>
  </si>
  <si>
    <t>MGTARIAPGLALLLCCPVLSSAYALVDADDVMTKEEQIFLLHRAQAQCEKRLKEVLQRPASIMESDKGWTSASTSGKPRKDKASGKLYPESEEDKEAPTGSRYRGRPCLPEWDHILCWPLGAPGEVVAVPCPDYIYDFNHKGHAYRRCDRNGSWELVPGHNRTWANYSECVKFLTNETREREVFDRLGMIYTVGYSVSLASLTVAVLILAYFRRLHCTRNYIHMHLFLSFMLRAVSIFVKDAVLYSGATLDEAERLTEEELRAIAQAPPPPATAAAGYAGCRVAVTFFLYFLATNYYWILVEGLYLHSLIFMAFFSEKKYLWGFTVFGWGLPAVFVAVWVSVRATLANTGCWDLSSGNKKWIIQVPILASIVLNFILFINIVRVLATKLRETNAGRCDTRQQYRKLLKSTLVLMPLFGVHYIVFMATPYTEVSGTLWQVQMHYEMLFNSFQGFFVAIIYCFCNGEVQAEIKKSWSRWTLALDFKRKARSGSSSYSYGPMVSHTSVTNVGPRVGLGLPLSPRLLPTATTNGHPQLPGHAKPGTPALETLETTPPAMAAPKDDGFLNGSCSGLDEEASGPERPPALLQEEWETVM</t>
  </si>
  <si>
    <t>MAGLGASLHVWGWLMLGSCLLARAQLDSDGTITIEEQIVLVLKAKVQCELNITAQLQEGEGNCFPEWDGLICWPRGTVGKISAVPCPPYIYDFNHKGVAFRHCNPNGTWDFMHSLNKTWANYSDCLRFLQPDISIGKQEFFERLYVMYTVGYSISFGSLAVAILIIGYFRRLHCTRNYIHMHLFVSFMLRATSIFVKDRVVHAHIGVKELESLIMQDDPQNSIEATSVDKSQYIGCKIAVVMFIYFLATNYYWILVEGLYLHNLIFVAFFSDTKYLWGFILIGWGFPAAFVAAWAVARATLADARCWELSAGDIKWIYQAPILAAIGLNFILFLNTVRVLATKIWETNAVGHDTRKQYRKLAKSTLVLVLVFGVHYIVFVCLPHSFTGLGWEIRMHCELFFNSFQGFFVSIIYCYCNGEVQAEVKKMWSRWNLSVDWKRTPPCGSRRCGSVLTTVTHSTSSQSQVAASTRMVLISGKAAKIASRQPDSHITLPGYVWSNSEQDCLPHSFHEETKEDSGRQGDDILMEKPSRPMESNPDTEGCQGETEDVL</t>
  </si>
  <si>
    <t>MAGVVHVSLAALLLLPMAPAMHSDCIFKKEQAMCLEKIQRANELMGFNDSSPGCPGMWDNITCWKPAHVGEMVLVSCPELFRIFNPDQVWETETIGESDFGDSNSLDLSDMGVVSRNCTEDGWSEPFPHYFDACGFDEYESETGDQDYYYLSVKALYTVGYSTSLVTLTTAMVILCRFRKLHCTRNFIHMNLFVSFMLRAISVFIKDWILYAEQDSNHCFISTVECKAVMVFFHYCVVSNYFWLFIEGLYLFTLLVETFFPERRYFYWYTIIGWGTPTVCVTVWATLRLYFDDTGCWDMNDSTALWWVIKGPVVGSIMVNFVLFIGIIVILVQKLQSPDMGGNESSIYLRLARSTLLLIPLFGIHYTVFAFSPENVSKRERLVFELGLGSFQGFVVAVLYCFLNGEVQAEIKRKWRSWKVNRYFAVDFKHRHPSLASSGVNGGTQLSILSKSSSQIRMSGLPADNLAT</t>
  </si>
  <si>
    <t>MRPPSPLPARWLCVLAGALAWALGPAGGQAARLQEECDYVQMIEVQHKQCLEEAQLENETIGCSKMWDNLTCWPATPRGQVVVLACPLIFKLFSSIQGRNVSRSCTDEGWTHLEPGPYPIACGLDDKAASLDEQQTMFYGSVKTGYTIGYGLSLATLLVATAILSLFRKLHCTRNYIHMHLFISFILRAAAVFIKDLALFDSGESDQCSEGSVGCKAAMVFFQYCVMANFFWLLVEGLYLYTLLAVSFFSERKYFWGYILIGWGVPSTFTMVWTIARIHFEDYGCWDTINSSLWWIIKGPILTSILVNFILFICIIRILLQKLRPPDIRKSDSSPYSRLARSTLLLIPLFGVHYIMFAFFPDNFKPEVKMVFELVVGSFQGFVVAILYCFLNGEVQAELRRKWRRWHLQGVLGWNPKYRHPSGGSNGATCSTQVSMLTRVSPGARRSSSFQAEVSLV</t>
  </si>
  <si>
    <t>MRTLLPPALLTCWLLAPVNSIHPECRFHLEIQEEETKCAELLRSQTEKHKACSGVWDNITCWRPANVGETVTVPCPKVFSNFYSKAGNISKNCTSDGWSETFPDFVDACGYSDPEDESKITFYILVKAIYTLGYSVSLMSLATGSIILCLFRKLHCTRNYIHLNLFLSFILRAISVLVKDDVLYSSSGTLHCPDQPSSWVGCKLSLVFLQYCIMANFFWLLVEGLYLHTLLVAMLPPRRCFLAYLLIGWGLPTVCIGAWTAARLYLEDTGCWDTNDHSVPWWVIRIPILISIIVNFVLFISIIRILLQKLTSPDVGGNDQSQYKRLAKSTLLLIPLFGVHYMVFAVFPISISSKYQILFELCLGSFQGLVVAVLYCFLNSEVQCELKRKWRSRCPTPSASRDYRVCGSSFSRNGSEGALQFHRGSRAQSFLQTETSVI</t>
  </si>
  <si>
    <t>MDLKTVLSLPRYPGEFLHPVVYACTAVMLLCLLASFVTYIVHQSAIRISRKGRHTLLNFCFHAALTFTVFAGGINRTKYPILCQAVGIVLHYSTLSTMLWIGVTARNIYKQVTKKAPLCLDTDQPPYPRQPLLRFYLVSGGVPFIICGVTAATNIRNYGTEDEDTAYCWMAWEPSLGAFYGPAAIITLVTCVYFLGTYVQLRRHPGRRYELRTQPEEQRRLATPEGGRGIRPGTPPAHDAPGASVLQNEHSFQAQLRAAAFTLFLFTATWAFGALAVSQGHFLDMVFSCLYGAFCVTLGLFVLIHHCAKREDVWQCWWACCPPRKDAHPALDANGAALGRAACLHSPGLGQPRGFAHPPGPCKMTNLQAAQGHASCLSPATPCCAKMHCEPLTADEAHVHLQEEGAFGHDPHLHGCLQGRTKPPYFSRHPAEEPEYAYHIPSSLDGSPRSSRTDSPPSSLDGPAGTHTLACCTQGDPFPMVTQPEGSDGSPALYSCPTQPGREAALGPGHLEMLRRTQSLPFGGPSQNGLPKGKLLEGLPFGTDGTGNIRTGPWKNETTV</t>
  </si>
  <si>
    <t>MGAGGRRMRGAPARLLLPLLPWLLLLLAPEARGAPGCPLSIRSCKCSGERPKGLSGGVPGPARRRVVCSGGDLPEPPEPGLLPNGTVTLLLSNNKITGLRNGSFLGLSLLEKLDLRNNIISTVQPGAFLGLGELKRLDLSNNRIGCLTSETFQGLPRLLRLNISGNIFSSLQPGVFDELPALKVVDLGTEFLTCDCHLRWLLPWAQNRSLQLSEHTLCAYPSALHAQALGSLQEAQLCCEGALELHTHHLIPSLRQVVFQGDRLPFQCSASYLGNDTRIRWYHNRAPVEGDEQAGILLAESLIHDCTFITSELTLSHIGVWASGEWECTVSMAQGNASKKVEIVVLETSASYCPAERVANNRGDFRWPRTLAGITAYQSCLQYPFTSVPLGGGAPGTRASRRCDRAGRWEPGDYSHCLYTNDITRVLYTFVLMPINASNALTLAHQLRVYTAEAASFSDMMDVVYVAQMIQKFLGYVDQIKELVEVMVDMASNLMLVDEHLLWLAQREDKACSRIVGALERIGGAALSPHAQHISVNARNVALEAYLIKPHSYVGLTCTAFQRREGGVPGTRPGSPGQNPPPEPEPPADQQLRFRCTTGRPNVSLSSFHIKNSVALASIQLPPSLFSSLPAALAPPVPPDCTLQLLVFRNGRLFHSHSNTSRPGAAGPGKRRGVATPVIFAGTSGCGVGNLTEPVAVSLRHWAEGAEPVAAWWSQEGPGEAGGWTSEGCQLRSSQPNVSALHCQHLGNVAVLMELSAFPREVGGAGAGLHPVVYPCTALLLLCLFATIITYILNHSSIRVSRKGWHMLLNLCFHIAMTSAVFAGGITLTNYQMVCQAVGITLHYSSLSTLLWMGVKARVLHKELTWRAPPPQEGDPALPTPSPMLRFYLIAGGIPLIICGITAAVNIHNYRDHSPYCWLVWRPSLGAFYIPVALILLITWIYFLCAGLRLRGPLAQNPKAGNSRASLEAGEELRGSTRLRGSGPLLSDSGSLLATGSARVGTPGPPEDGDSLYSPGVQLGALVTTHFLYLAMWACGALAVSQRWLPRVVCSCLYGVAASALGLFVFTHHCARRRDVRASWRACCPPASPAAPHAPPRALPAAAEDGSPVFGEGPPSLKSSPSGSSGHPLALGPCKLTNLQLAQSQVCEAGAAAGGEGEPEPAGTRGNLAHRHPNNVHHGRRAHKSRAKGHRAGEACGKNRLKALRGGAAGALELLSSESGSLHNSPTDSYLGSSRNSPGAGLQLEGEPMLTPSEGSDTSAAPLSEAGRAGQRRSASRDSLKGGGALEKESHRRSYPLNAASLNGAPKGGKYDDVTLMGAEVASGGCMKTGLWKSETTV</t>
  </si>
  <si>
    <t>MEPPGRRRGRAQPPLLLPLSLLALLALLGGGGGGGAAALPAGCKHDGRPRGAGRAAGAAEGKVVCSSLELAQVLPPDTLPNRTVTLILSNNKISELKNGSFSGLSLLERLDLRNNLISSIDPGAFWGLSSLKRLDLTNNRIGCLNADIFRGLTNLVRLNLSGNLFSSLSQGTFDYLASLRSLEFQTEYLLCDCNILWMHRWVKEKNITVRDTRCVYPKSLQAQPVTGVKQELLTCDPPLELPSFYMTPSHRQVVFEGDSLPFQCMASYIDQDMQVLWYQDGRIVETDESQGIFVEKNMIHNCSLIASALTISNIQAGSTGNWGCHVQTKRGNNTRTVDIVVLESSAQYCPPERVVNNKGDFRWPRTLAGITAYLQCTRNTHGSGIYPGNPQDERKAWRRCDRGGFWADDDYSRCQYANDVTRVLYMFNQMPLNLTNAVATARQLLAYTVEAANFSDKMDVIFVAEMIEKFGRFTKEEKSKELGDVMVDIASNIMLADERVLWLAQREAKACSRIVQCLQRIATYRLAGGAHVYSTYSPNIALEAYVIKSTGFTGMTCTVFQKVAASDRTGLSDYGRRDPEGNLDKQLSFKCNVSNTFSSLALKNTIVEASIQLPPSLFSPKQKRELRPTDDSLYKLQLIAFRNGKLFPATGNSTNLADDGKRRTVVTPVILTKIDGVNVDTHHIPVNVTLRRIAHGADAVAARWDFDLLNGQGGWKSDGCHILYSDENITTIQCYSLSNYAVLMDLTGSELYTQAASLLHPVVYTTAIILLLCLLAVIVSYIYHHSLIRISLKSWHMLVNLCFHIFLTCVVFVGGITQTRNASICQAVGIILHYSTLATVLWVGVTARNIYKQVTKKAKRCQDPDEPPPPPRPMLRFYLIGGGIPIIVCGITAAANIKNYGSRPNAPYCWMAWEPSLGAFYGPASFITFVNCMYFLSIFIQLKRHPERKYELKEPTEEQQRLAANENGEINHQDSMSLSLISTSALENEHTFHSQLLGASLTLLLYVALWMFGALAVSLYYPLDLVFSFVFGATSLSFSAFFVVHHCVNREDVRLAWIMTCCPGRSSYSVQVNVQPPNSNGTNGEAPKCPNSSAESSCTNKSASSFKNSSQGCKLTNLQAAAAQCHANSLPLNSTPQLDNSLTEHSMDNDIKMHVAPLEVQFRTNVHSSRHHKNRSKGHRASRLTVLREYAYDVPTSVEGSVQNGLPKSRLGNNEGHSRSRRAYLAYRERQYNPPQQDSSDACSTLPKSSRNFEKPVSTTSKKDALRKPAVVELENQQKSYGLNLAIQNGPIKSNGQEGPLLGTDSTGNVRTGLWKHETTV</t>
  </si>
  <si>
    <t>MRGQAAAPGPVWILAPLLLLLLLLGRRARAAAGADAGPGPEPCATLVQGKFFGYFSAAAVFPANASRCSWTLRNPDPRRYTLYMKVAKAPVPCSGPGRVRTYQFDSFLESTRTYLGVESFDEVLRLCDPSAPLAFLQASKQFLQMRRQQPPQHDGLRPRAGPPGPTDDFSVEYLVVGNRNPSRAACQMLCRWLDACLAGSRSSHPCGIMQTPCACLGGEAGGPAAGPLAPRGDVCLRDAVAGGPENCLTSLTQDRGGHGATGGWKLWSLWGECTRDCGGGLQTRTRTCLPAPGVEGGGCEGVLEEGRQCNREACGPAGRTSSRSQSLRSTDARRREELGDELQQFGFPAPQTGDPAAEEWSPWSVCSSTCGEGWQTRTRFCVSSSYSTQCSGPLREQRLCNNSAVCPVHGAWDEWSPWSLCSSTCGRGFRDRTRTCRPPQFGGNPCEGPEKQTKFCNIALCPGRAVDGNWNEWSSWSACSASCSQGRQQRTRECNGPSYGGAECQGHWVETRDCFLQQCPVDGKWQAWASWGSCSVTCGAGSQRRERVCSGPFFGGAACQGPQDEYRQCGTQRCPEPHEICDEDNFGAVIWKETPAGEVAAVRCPRNATGLILRRCELDEEGIAYWEPPTYIRCVSIDYRNIQMMTREHLAKAQRGLPGEGVSEVIQTLVEISQDGTSYSGDLLSTIDVLRNMTEIFRRAYYSPTPGDVQNFVQILSNLLAEENRDKWEEAQLAGPNAKELFRLVEDFVDVIGFRMKDLRDAYQVTDNLVLSIHKLPASGATDISFPMKGWRATGDWAKVPEDRVTVSKSVFSTGLTEADEASVFVVGTVLYRNLGSFLALQRNTTVLNSKVISVTVKPPPRSLRTPLEIEFAHMYNGTTNQTCILWDETDVPSSSAPPQLGPWSWRGCRTVPLDALRTRCLCDRLSTFAILAQLSADANMEKATLPSVTLIVGCGVSSLTLLMLVIIYVSVWRYIRSERSVILINFCLSIISSNALILIGQTQTRNKVVCTLVAAFLHFFFLSSFCWVLTEAWQSYMAVTGHLRNRLIRKRFLCLGWGLPALVVAISVGFTKAKGYSTMNYCWLSLEGGLLYAFVGPAAAVVLVNMVIGILVFNKLVSKDGITDKKLKERAGASLWSSCVVLPLLALTWMSAVLAVTDRRSALFQILFAVFDSLEGFVIVMVHCILRREVQDAVKCRVVDRQEEGNGDSGGSFQNGHAQLMTDFEKDVDLACRSVLNKDIAACRTATITGTLKRPSLPEEEKLKLAHAKGPPTNFNSLPANVSKLHLHGSPRYPGGPLPDFPNHSLTLKRDKAPKSSFVGDGDIFKKLDSELSRAQEKALDTSYVILPTATATLRPKPKEEPKYSIHIDQMPQTRLIHLSTAPEASLPARSPPSRQPPSGGPPEAPPAQPPPPPPPPPPPPQQPLPPPPNLEPAPPSLGDPGEPAAHPGPSTGPSTKNENVATLSVSSLERRKSRYAELDFEKIMHTRKRHQDMFQDLNRKLQHAAEKDKEVLGPDSKPEKQQTPNKRPWESLRKAHGTPTWVKKELEPLQPSPLELRSVEWERSGATIPLVGQDIIDLQTEV</t>
  </si>
  <si>
    <t>MENTGWMGKGHRMTPACPLLLSVILSLRLATAFDPAPSACSALASGVLYGAFSLQDLFPTIASGCSWTLENPDPTKYSLYLRFNRQEQVCAHFAPRLLPLDHYLVNFTCLRPSPEEAVAQAESEVGRPEEEEAEAAAGLELCSGSGPFTFLHFDKNFVQLCLSAEPSEAPRLLAPAALAFRFVEVLLINNNNSSQFTCGVLCRWSEECGRAAGRACGFAQPGCSCPGEAGAGSTTTTSPGPPAAHTLSNALVPGGPAPPAEADLHSGSSNDLFTTEMRYGEEPEEEPKVKTQWPRSADEPGLYMAQTGDPAAEEWSPWSVCSLTCGQGLQVRTRSCVSSPYGTLCSGPLRETRPCNNSATCPVHGVWEEWGSWSLCSRSCGRGSRSRMRTCVPPQHGGKACEGPELQTKLCSMAACPVEGQWLEWGPWGPCSTSCANGTQQRSRKCSVAGPAWATCTGALTDTRECSNLECPATDSKWGPWNAWSLCSKTCDTGWQRRFRMCQATGTQGYPCEGTGEEVKPCSEKRCPAFHEMCRDEYVMLMTWKKAAAGEIIYNKCPPNASGSASRRCLLSAQGVAYWGLPSFARCISHEYRYLYLSLREHLAKGQRMLAGEGMSQVVRSLQELLARRTYYSGDLLFSVDILRNVTDTFKRATYVPSADDVQRFFQVVSFMVDAENKEKWDDAQQVSPGSVHLLRVVEDFIHLVGDALKAFQSSLIVTDNLVISIQREPVSAVSSDITFPMRGRRGMKDWVRHSEDRLFLPKEVLSLSSPGKPATSGAAGSPGRGRGPGTVPPGPGHSHQRLLPADPDESSYFVIGAVLYRTLGLILPPPRPPLAVTSRVMTVTVRPPTQPPAEPLITVELSYIINGTTDPHCASWDYSRADASSGDWDTENCQTLETQAAHTRCQCQHLSTFAVLAQPPKDLTLELAGSPSVPLVIGCAVSCMALLTLLAIYAAFWRFIKSERSIILLNFCLSILASNILILVGQSRVLSKGVCTMTAAFLHFFFLSSFCWVLTEAWQSYLAVIGRMRTRLVRKRFLCLGWGLPALVVAVSVGFTRTKGYGTSSYCWLSLEGGLLYAFVGPAAVIVLVNMLIGIIVFNKLMARDGISDKSKKQRAGSERCPWASLLLPCSACGAVPSPLLSSASARNAMASLWSSCVVLPLLALTWMSAVLAMTDRRSVLFQALFAVFNSAQGFVITAVHCFLRREVQDVVKCQMGVCRADESEDSPDSCKNGQLQILSDFEKDVDLACQTVLFKEVNTCNPSTITGTLSRLSLDEDEEPKSCLVGPEGSLSFSPLPGNILVPMAASPGLGEPPPPQEANPVYMCGEGGLRQLDLTWLRPTEPGSEGDYMVLPRRTLSLQPGGGGGGGEDAPRARPEGTPRRAAKTVAHTEGYPSFLSVDHSGLGLGPAYGSLQNPYGMTFQPPPPTPSARQVPEPGERSRTMPRTVPGSTMKMGSLERKKLRYSDLDFEKVMHTRKRHSELYHELNQKFHTFDRYRSQSTAKREKRWSVSSGGAAERSVCTDKPSPGERPSLSQHRRHQSWSTFKSMTLGSLPPKPRERLTLHRAAAWEPTEPPDGDFQTEV</t>
  </si>
  <si>
    <t>MKAVRNLLIYIFSTYLLVMFGFNAAQDFWCSTLVKGVIYGSYSVSEMFPKNFTNCTWTLENPDPTKYSIYLKFSKKDLSCSNFSLLAYQFDHFSHEKIKDLLRKNHSIMQLCNSKNAFVFLQYDKNFIQIRRVFPTNFPGLQKKGEEDQKSFFEFLVLNKVSPSQFGCHVLCTWLESCLKSENGRTESCGIMYTKCTCPQHLGEWGIDDQSLILLNNVVLPLNEQTEGCLTQELQTTQVCNLTREAKRPPKEEFGMMGDHTIKSQRPRSVHEKRVPQEQADAAKFMAQTGESGVEEWSQWSTCSVTCGQGSQVRTRTCVSPYGTHCSGPLRESRVCNNTALCPVHGVWEEWSPWSLCSFTCGRGQRTRTRSCTPPQYGGRPCEGPETHHKPCNIALCPVDGQWQEWSSWSQCSVTCSNGTQQRSRQCTAAAHGGSECRGPWAESRECYNPECTANGQWNQWGHWSGCSKSCDGGWERRIRTCQGAVITGQQCEGTGEEVRRCNEQRCPAPYEICPEDYLMSMVWKRTPAGDLAFNQCPLNATGTTSRRCSLSLHGVAFWEQPSFARCISNEYRHLQHSIKEHLAKGQRMLAGDGMSQVTKTLLDLTQRKNFYAGDLLMSVEILRNVTDTFKRASYIPASDGVQNFFQIVSNLLDEENKEKWEDAQQIYPGSIELMQVIEDFIHIVGMGMMDFQNSYLMTGNVVASIQKLPAASVLTDINFPMKGRKGMVDWARNSEDRVVIPKSIFTPVSSKELDESSVFVLGAVLYKNLDLILPTLRNYTVINSKIIVVTIRPEPKTTDSFLEIELAHLANGTLNPYCVLWDDSKTNESLGTWSTQGCKTVLTDASHTKCLCDRLSTFAILAQQPREIIMESSGTPSVTLIVGSGLSCLALITLAVVYAALWRYIRSERSIILINFCLSIISSNILILVGQTQTHNKSICTTTTAFLHFFFLASFCWVLTEAWQSYMAVTGKIRTRLIRKRFLCLGWGLPALVVATSVGFTRTKGYGTDHYCWLSLEGGLLYAFVGPAAAVVLVNMVIGILVFNKLVSRDGILDKKLKHRAGQMSEPHSGLTLKCAKCGVVSTTALSATTASNAMASLWSSCVVLPLLALTWMSAVLAMTDKRSILFQILFAVFDSLQGFVIVMVHCILRREVQDAFRCRLRNCQDPINADSSSSFPNGHAQIMTDFEKDVDIACRSVLHKDIGPCRAATITGTLSRISLNDDEEEKGTNPEGLSYSTLPGNVISKVIIQQPTGLHMPMSMNELSNPCLKKENSELRRTVYLCTDDNLRGADMDIVHPQERMMESDYIVMPRSSVNNQPSMKEESKMNIGMETLPHERLLHYKVNPEFNMNPPVMDQFNMNLEQHLAPQEHMQNLPFEPRTAVKNFMASELDDNAGLSRSETGSTISMSSLERRKSRYSDLDFEKVMHTRKRHMELFQELNQKFQTLDRFRDIPNTSSMENPAPNKNPWDTFKNPSEYPHYTTINVLDTEAKDALELRPAEWEKCLNLPLDVQEGDFQTEV</t>
  </si>
  <si>
    <t>MAPPPPPVLPVLLLLAAAAALPAMGLRAAAWEPRVPGGTRAFALRPGCTYAVGAACTPRAPRELLDVGRDGRLAGRRRVSGAGRPLPLQVRLVARSAPTALSRRLRARTHLPGCGARARLCGTGARLCGALCFPVPGGCAAAQHSALAAPTTLPACRCPPRPRPRCPGRPICLPPGGSVRLRLLCALRRAAGAVRVGLALEAATAGTPSASPSPSPPLPPNLPEARAGPARRARRGTSGRGSLKFPMPNYQVALFENEPAGTLILQLHAHYTIEGEEERVSYYMEGLFDERSRGYFRIDSATGAVSTDSVLDRETKETHVLRVKAVDYSTPPRSATTYITVLVKDTNDHSPVFEQSEYRERVRENLEVGYEVLTIRASDRDSPINANLRYRVLGGAWDVFQLNESSGVVSTRAVLDREEAAEYQLLVEANDQGRNPGPLSATATVYIEVEDENDNYPQFSEQNYVVQVPEDVGLNTAVLRVQATDRDQGQNAAIHYSILSGNVAGQFYLHSLSGILDVINPLDFEDVQKYSLSIKAQDGGRPPLINSSGVVSVQVLDVNDNEPIFVSSPFQATVLENVPLGYPVVHIQAVDADSGENARLHYRLVDTASTFLGGGSAGPKNPAPTPDFPFQIHNSSGWITVCAELDREEVEHYSFGVEAVDHGSPPMSSSTSVSITVLDVNDNDPVFTQPTYELRLNEDAAVGSSVLTLQARDRDANSVITYQLTGGNTRNRFALSSQRGGGLITLALPLDYKQEQQYVLAVTASDGTRSHTAHVLINVTDANTHRPVFQSSHYTVSVSEDRPVGTSIATLSANDEDTGENARITYVIQDPVPQFRIDPDSGTMYTMMELDYENQVAYTLTIMAQDNGIPQKSDTTTLEILILDANDNAPQFLWDFYQGSIFEDAPPSTSILQVSATDRDSGPNGRLLYTFQGGDDGDGDFYIEPTSGVIRTQRRLDRENVAVYNLWALAVDRGSPTPLSASVEIQVTILDINDNAPMFEKDELELFVEENNPVGSVVAKIRANDPDEGPNAQIMYQIVEGDMRHFFQLDLLNGDLRAMVELDFEVRREYVLVVQATSAPLVSRATVHILLVDQNDNPPVLPDFQILFNNYVTNKSNSFPTGVIGCIPAHDPDVSDSLNYTFVQGNELRLLLLDPATGELQLSRDLDNNRPLEALMEVSVSDGIHSVTAFCTLRVTIITDDMLTNSITVRLENMSQEKFLSPLLALFVEGVAAVLSTTKDDVFVFNVQNDTDVSSNILNVTFSALLPGGVRGQFFPSEDLQEQIYLNRTLLTTISTQRVLPFDDNICLREPCENYMKCVSVLRFDSSAPFLSSTTVLFRPIHPINGLRCRCPPGFTGDYCETEIDLCYSDPCGANGRCRSREGGYTCECFEDFTGEHCEVDARSGRCANGVCKNGGTCVNLLIGGFHCVCPPGEYERPYCEVTTRSFPPQSFVTFRGLRQRFHFTISLTFATQERNGLLLYNGRFNEKHDFIALEIVDEQVQLTFSAGETTTTVAPKVPSGVSDGRWHSVQVQYYNKPNIGHLGLPHGPSGEKMAVVTVDDCDTTMAVRFGKDIGNYSCAAQGTQTGSKKSLDLTGPLLLGGVPNLPEDFPVHNRQFVGCMRNLSVDGKNVDMAGFIANNGTREGCAARRNFCDGRRCQNGGTCVNRWNMYLCECPLRFGGKNCEQAMPHPQLFSGESVVSWSDLNIIISVPWYLGLMFRTRKEDSVLMEATSGGPTSFRLQILNNYLQFEVSHGPSDVESVMLSGLRVTDGEWHHLLIELKNVKEDSEMKHLVTMTLDYGMDQNKADIGGMLPGLTVRSVVVGGASEDKVSVRRGFRGCMQGVRMGGTPTNVATLNMNNALKVRVKDGCDVDDPCTSSPCPPNSRCHDAWEDYSCVCDKGYLGINCVDACHLNPCENMGACVRSPGSPQGYVCECGPSHYGPYCENKLDLPCPRGWWGNPVCGPCHCAVSKGFDPDCNKTNGQCQCKENYYKLLAQDTCLPCDCFPHGSHSRTCDMATGQCACKPGVIGRQCNRCDNPFAEVTTLGCEVIYNGCPKAFEAGIWWPQTKFGQPAAVPCPKGSVGNAVRHCSGEKGWLPPELFNCTTISFVDLRAMNEKLSRNETQVDGARALQLVRALRSATQHTGTLFGNDVRTAYQLLGHVLQHESWQQGFDLAATQDADFHEDVIHSGSALLAPATRAAWEQIQRSEGGTAQLLRRLEGYFSNVARNVRRTYLRPFVIVTANMILAVDIFDKFNFTGARVPRFDTIHEEFPRELESSVSFPADFFRPPEEKEGPLLRPAGRRTTPQTTRPGPGTEREAPISRRRRHPDDAGQFAVALVIIYRTLGQLLPERYDPDRRSLRLPHRPIINTPMVSTLVYSEGAPLPRPLERPVLVEFALLEVEERTKPVCVFWNHSLAVGGTGGWSARGCELLSRNRTHVACQCSHTASFAVLMDISRRENGEVLPLKIVTYAAVSLSLAALLVAFVLLSLVRMLRSNLHSIHKHLAVALFLSQLVFVIGINQTENPFLCTVVAILLHYIYMSTFAWTLVESLHVYRMLTEVRNIDTGPMRFYYVVGWGIPAIVTGLAVGLDPQGYGNPDFCWLSLQDTLIWSFAGPIGAVIIINTVTSVLSAKVSCQRKHHYYGKKGIVSLLRTAFLLLLLISATWLLGLLAVNRDALSFHYLFAIFSGLQGPFVLLFHCVLNQEVRKHLKGVLGGRKLHLEDSATTRATLLTRSLNCNTTFGDGPDMLRTDLGESTASLDSIVRDEGIQKLGVSSGLVRGSHGEPDASLMPRSCKDPPGHDSDSDSELSLDEQSSSYASSHSSDSEDDGVGAEEKWDPARGAVHSTPKGDAVANHVPAGWPDQSLAESDSEDPSGKPRLKVETKVSVELHREEQGSHRGEYPPDQESGGAARLASSQPPEQRKGILKNKVTYPPPLTLTEQTLKGRLREKLADCEQSPTSSRTSSLGSGGPDCAITVKSPGREPGRDHLNGVAMNVRTGSAQADGSDSEKP</t>
  </si>
  <si>
    <t>MRSPATGVPLPTPPPPLLLLLLLLLPPPLLGDQVGPCRSLGSRGRGSSGACAPMGWLCPSSASNLWLYTSRCRDAGTELTGHLVPHHDGLRVWCPESEAHIPLPPAPEGCPWSCRLLGIGGHLSPQGKLTLPEEHPCLKAPRLRCQSCKLAQAPGLRAGERSPEESLGGRRKRNVNTAPQFQPPSYQATVPENQPAGTPVASLRAIDPDEGEAGRLEYTMDALFDSRSNQFFSLDPVTGAVTTAEELDRETKSTHVFRVTAQDHGMPRRSALATLTILVTDTNDHDPVFEQQEYKESLRENLEVGYEVLTVRATDGDAPPNANILYRLLEGSGGSPSEVFEIDPRSGVIRTRGPVDREEVESYQLTVEASDQGRDPGPRSTTAAVFLSVEDDNDNAPQFSEKRYVVQVREDVTPGAPVLRVTASDRDKGSNAVVHYSIMSGNARGQFYLDAQTGALDVVSPLDYETTKEYTLRVRAQDGGRPPLSNVSGLVTVQVLDINDNAPIFVSTPFQATVLESVPLGYLVLHVQAIDADAGDNARLEYRLAGVGHDFPFTINNGTGWISVAAELDREEVDFYSFGVEARDHGTPALTASASVSVTV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GNFEILFNNYVTNRSSSFPGGAIGRVPAHDPDISDSLTYSFERGNELSLVLLNASTGELKLSRALDNNRPLEAIMSVLVSDGVHSVTAQCALRVTIITDEMLTHSITLRLEDMSPERFLSPLLGLFIQAVAATLATPPDHVVVFNVQRDTDAPGGHILNVSLSVGQPPGPGGGPPFLPSEDLQERLYLNRSLLTAISAQRVLPFDDNICLREPCENYMRCVSVLRFDSSAPFIASSSVLFRPIHPVGGLRCRCPPGFTGDYCETEVDLCYSRPCGPHGRCRSREGGYTCLCRDGYTGEHCEVSARSGRCTPGVCKNGGTCVNLLVGGFKCDCPSGDFEKPYCQVTTRSFPAHSFITFRGLRQRFHFTLALSFATKERDGLLLYNGRFNEKHDFVALEVIQEQVQLTFSAGESTTTVSPFVPGGVSDGQWHTVQLKYYNKPLLGQTGLPQGPSEQKVAVVTVDGCDTGVALRFGSVLGNYSCAAQGTQGGSKKSLDLTGPLLLGGVPDLPESFPVRMRQFVGCMRNLQVDSRHIDMADFIANNGTVPGCPAKKNVCDSNTCHNGGTCVNQWDAFSCECPLGFGGKSCAQEMANPQHFLGSSLVAWHGLSLPISQPWYLSLMFRTRQADGVLLQAITRGRSTITLQLREGHVMLSVEGTGLQASSLRLEPGRANDGDWHHAQLALGASGGPGHAILSFDYGQQRAEGNLGPRLHGLHLSNITVGGIPGPAGGVARGFRGCLQGVRVSDTPEGVNSLDPSHGESINVEQGCSLPDPCDSNPCPANSYCSNDWDSYSCSCDPGYYGDNCTNVCDLNPCEHQSVCTRKPSAPHGYTCECPPNYLGPYCETRIDQPCPRGWWGHPTCGPCNCDVSKGFDPDCNKTSGECHCKENHYRPPGSPTCLLCDCYPTGSLSRVCDPEDGQCPCKPGVIGRQCDRCDNPFAEVTTNGCEVNYDSCPRAIEAGIWWPRTRFGLPAAAPCPKGSFGTAVRHCDEHRGWLPPNLFNCTSITFSELKGFAERLQRNESGLDSGRSQQLALLLRNATQHTAGYFGSDVKVAYQLATRLLAHESTQRGFGLSATQDVHFTENLLRVGSALLDTANKRHWELIQQTEGGTAWLLQHYEAYASALAQNMRHTYLSPFTIVTPNIVISVVRLDKGNFAGAKLPRYEALRGEQPPDLETTVILPESVFRETPPVVRPAGPGEAQEPEELARRQRRHPELSQGEAVASVIIYRTLAGLLPHNYDPDKRSLRVPKRPIINTPVVSISVHDDEELLPRALDKPVTVQFRLLETEERTKPICVFWNHSILVSGTGGWSARGCEVVFRNESHVSCQCNHMTSFAVLMDVSRRENGEILPLKTLTYVALGVTLAALLLTFFFLTLLRILRSNQHGIRRNLTAALGLAQLVFLLGINQADLPFACTVIAILLHFLYLCTFSWALLEALHLYRALTEVRDVNTGPMRFYYMLGWGVPAFITGLAVGLDPEGYGNPDFCWLSIYDTLIWSFAGPVAFAVSMSVFLYILAARASCAAQRQGFEKKGPVSGLQPSFAVLLLLSATWLLALLSVNSDTLLFHYLFATCNCIQGPFIFLSYVVLSKEVRKALKLACSRKPSPDPALTTKSTLTSSYNCPSPYADGRLYQPYGDSAGSLHSTSRSGKSQPSYIPFLLREESALNPGQGPPGLGDPGSLFLEGQDQQHDPDTDSDSDLSLEDDQSGSYASTHSSDSEEEEEEEEEEAAFPGEQGWDSLLGPGAERLPLHSTPKDGGPGPGKAPWPGDFGTTAKESSGNGAPEERLRENGDALSREGSLGPLPGSSAQPHKGILKKKCLPTISEKSSLLRLPLEQCTGSSRGSSASEGSRGGPPPRPPPRQSLQEQLNGVMPIAMSIKAGTVDEDSSGSEFLFFNFLH</t>
  </si>
  <si>
    <t>MMARRPPWRGLGGRSTPILLLLLLSLFPLSQEELGGGGHQGWDPGLAATTGPRAHIGGGALALCPESSGVREDGGPGLGVREPIFVGLRGRRQSARNSRGPPEQPNEELGIEHGVQPLGSRERETGQGPGSVLYWRPEVSSCGRTGPLQRGSLSPGALSSGVPGSGNSSPLPSDFLIRHHGPKPVSSQRNAGTGSRKRVGTARCCGELWATGSKGQGERATTSGAERTAPRRNCLPGASGSGPELDSAPRTARTAPASGSAPRESRTAPEPAPKRMRSRGLFRCRFLPQRPGPRPPGLPARPEARKVTSANRARFRRAANRHPQFPQYNYQTLVPENEAAGTAVLRVVAQDPDAGEAGRLVYSLAALMNSRSLELFSIDPQSGLIRTAAALDRESMERHYLRVTAQDHGSPRLSATTMVAVTVADRNDHSPVFEQAQYRETLRENVEEGYPILQLRATDGDAPPNANLRYRFVGPPAARAAAAAAFEIDPRSGLISTSGRVDREHMESYELVVEASDQGQEPGPRSATVRVHITVLDENDNAPQFSEKRYVAQVREDVRPHTVVLRVTATDRDKDANGLVHYNIISGNSRGHFAIDSLTGEIQVVAPLDFEAEREYALRIRAQDAGRPPLSNNTGLASIQVVDINDHIPIFVSTPFQVSVLENAPLGHSVIHIQAVDADHGENARLEYSLTGVAPDTPFVINSATGWVSVSGPLDRESVEHYFFGVEARDHGSPPLSASASVTVTVLDVNDNRPEFTMKEYHLRLNEDAAVGTSVVSVTAVDRDANSAISYQITGGNTRNRFAISTQGGVGLVTLALPLDYKQERYFKLVLTASDRALHDHCYVHINITDANTHRPVFQSAHYSVSVNEDRPMGSTIVVISASDDDVGENARITYLLEDNLPQFRIDADSGAITLQAPLDYEDQVTYTLAITARDNGIPQKADTTYVEVMVNDVNDNAPQFVASHYTGLVSEDAPPFTSVLQISATDRDAHANGRVQYTFQNGEDGDGDFTIEPTSGIVRTVRRLDREAVSVYELTAYAVDRGVPPLRTPVSIQVMVQDVNDNAPVFPAEEFEVRVKENSIVGSVVAQITAVDPDEGPNAHIMYQIVEGNIPELFQMDIFSGELTALIDLDYEARQEYVIVVQATSAPLVSRATVHVRLVDQNDNSPVLNNFQILFNNYVSNRSDTFPSGIIGRIPAYDPDVSDHLFYSFERGNELQLLVVNQTSGELRLSRKLDNNRPLVASMLVTVTDGLHSVTAQCVLRVVIITEELLANSLTVRLENMWQERFLSPLLGRFLEGVAAVLATPAEDVFIFNIQNDTDVGGTVLNVSFSALAPRGAGAGAAGPWFSSEELQEQLYVRRAALAARSLLDVLPFDDNVCLREPCENYMKCVSVLRFDSSAPFLASASTLFRPIQPIAGLRCRCPPGFTGDFCETELDLCYSNPCRNGGACARREGGYTCVCRPRFTGEDCELDTEAGRCVPGVCRNGGTCTDAPNGGFRCQCPAGGAFEGPRCEVAARSFPPSSFVMFRGLRQRFHLTLSLSFATVQQSGLLFYNGRLNEKHDFLALELVAGQVRLTYSTGESNTVVSPTVPGGLSDGQWHTVHLRYYNKPRTDALGGAQGPSKDKVAVLSVDDCDVAVALQFGAEIGNYSCAAAGVQTSSKKSLDLTGPLLLGGVPNLPENFPVSHKDFIGCMRDLHIDGRRVDMAAFVANNGTMAGCQAKLHFCDSGPCKNSGFCSERWGSFSCDCPVGFGGKDCQLTMAHPHHFRGNGTLSWNFGSDMAVSVPWYLGLAFRTRATQGVLMQVQAGPHSTLLCQLDRGLLSVTVTRGSGRASHLLLDQVTVSDGRWHDLRLELQEEPGGRRGHHVLMVSLDFSLFQDTMAVGSELQGLKVKQLHVGGLPPGSAEEAPQGLVGCIQGVWLGSTPSGSPALLPPSHRVNAEPGCVVTNACASGPCPPHADCRDLWQTFSCTCQPGYYGPGCVDACLLNPCQNQGSCRHLPGAPHGYTCDCVGGYFGHHCEHRMDQQCPRGWWGSPTCGPCNCDVHKGFDPNCNKTNGQCHCKEFHYRPRGSDSCLPCDCYPVGSTSRSCAPHSGQCPCRPGALGRQCNSCDSPFAEVTASGCRVLYDACPKSLRSGVWWPQTKFGVLATVPCPRGALGAAVRLCDEAQGWLEPDLFNCTSPAFRELSLLLDGLELNKTALDTMEAKKLAQRLREVTGHTDHYFSQDVRVTARLLAHLLAFESHQQGFGLTATQDAHFNENLLWAGSALLAPETGDLWAALGQRAPGGSPGSAGLVRHLEEYAATLARNMELTYLNPMGLVTPNIMLSIDRMEHPSSPRGARRYPRYHSNLFRGQDAWDPHTHVLLPSQSPRPSPSEVLPTSSSIENSTTSSVVPPPAPPEPEPGISIIILLVYRTLGGLLPAQFQAERRGARLPQNPVMNSPVVSVAVFHGRNFLRGILESPISLEFRLLQTANRSKAICVQWDPPGLAEQHGVWTARDCELVHRNGSHARCRCSRTGTFGVLMDASPRERLEGDLELLAVFTHVVVAVSVAALVLTAAILLSLRSLKSNVRGIHANVAAALGVAELLFLLGIHRTHNQLVCTAVAILLHYFFLSTFAWLFVQGLHLYRMQVEPRNVDRGAMRFYHALGWGVPAVLLGLAVGLDPEGYGNPDFCWISVHEPLIWSFAGPVVLVIVMNGTMFLLAARTSCSTGQREAKKTSALTLRSSFLLLLLVSASWLFGLLAVNHSILAFHYLHAGLCGLQGLAVLLLFCVLNADARAAWMPACLGRKAAPEEARPAPGLGPGAYNNTALFEESGLIRITLGASTVSSVSSARSGRTQDQDSQRGRSYLRDNVLVRHGSAADHTDHSLQAHAGPTDLDVAMFHRDAGADSDSDSDLSLEEERSLSIPSSESEDNGRTRGRFQRPLCRAAQSERLLTHPKDVDGNDLLSYWPALGECEAAPCALQTWGSERRLGLDTSKDAANNNQPDPALTSGDETSLGRAQRQRKGILKNRLQYPLVPQTRGAPELSWCRAATLGHRAVPAASYGRIYAGGGTGSLSQPASRYSSREQLDLLLRRQLSRERLEEAPAPVLRPLSRPGSQECMDAAPGRLEPKDRGSTLPRRQPPRDYPGAMAGRFGSRDALDLGAPREWLSTLPPPRRTRDLDPQPPPLPLSPQRQLSRDPLLPSRPLDSLSRSSNSREQLDQVPSRHPSREALGPLPQLLRAREDSVSGPSHGPSTEQLDILSSILASFNSSALSSVQSSSTPLGPHTTATPSATASVLGPSTPRSATSHSISELSPDSEVPRSEGHS</t>
  </si>
  <si>
    <t>MEKLLRLCCWYSWLLLFYYNFQVRGVYSRSQDHPGFQVLASASHYWPLENVDGIHELQDTTGDIVEGKVNKGIYLKEEKGVTLLYYGRYNSSCISKPEQCGPEGVTFSFFWKTQGEQSRPIPSAYGGQVISNGFKVCSSGGRGSVELYTRDNSMTWEASFSPPGPYWTHVLFTWKSKEGLKVYVNGTLSTSDPSGKVSRDYGESNVNLVIGSEQDQAKCYENGAFDEFIIWERALTPDEIAMYFTAAIGKHALLSSTLPSLFMTSTASPVMPTDAYHPIITNLTEERKTFQSPGVILSYLQNVSLSLPSKSLSEQTALNLTKTFLKAVGEILLLPGWIALSEDSAVVLSLIDTIDTVMGHVSSNLHGSTPQVTVEGSSAMAEFSVAKILPKTVNSSHYRFPAHGQSFIQIPHEAFHRHAWSTVVGLLYHSMHYYLNNIWPAHTKIAEAMHHQDCLLFATSHLISLEVSPPPTLSQNLSGSPLITVHLKHRLTRKQHSEATNSSNRVFVYCAFLDFSSGEGVWSNHGCALTRGNLTYSVCRCTHLTNFAILMQVVPLELARGHQVALSSISYVGCSLSVLCLVATLVTFAVLSSVSTIRNQRYHIHANLSFAVLVAQVLLLISFRLEPGTTPCQVMAVLLHYFFLSAFAWMLVEGLHLYSMVIKVFGSEDSKHRYYYGMGWGFPLLICIISLSFAMDSYGTSNNCWLSLASGAIWAFVAPALFVIVVNIGILIAVTRVISQISADNYKIHGDPSAFKLTAKAVAVLLPILGTSWVFGVLAVNGCAVVFQYMFATLNSLQGLFIFLFHCLLNSEVRAAFKHKTKVWSLTSSSARTSNAKPFHSDLMNGTRPGMASTKLSPWDKSSHSAHRVDLSAV</t>
  </si>
  <si>
    <t>MDAPWGAGERWLHGAAVDRSGVSLGPPPTPQVNQGTLGPQVAPVAAGEVVKTAGGVCKFSGQRLSWWQAQESCEQQFGHLALQPPDGVLASRLRDPVWVGQREAPLRRPPQRRARTTAVLVFDERTADRAARLRSPLPELAALTACTHVQWDCASPDPAALFSVAAPALPNALQLRAFAEPGGVVRAALVVRGQHAPFLAAFRADGRWHHVCATWEQRGGRWALFSDGRRRAGARGLGAGHPVPSGGILVLGQDQDSLGGGFSVRHALSGNLTDFHLWARALSPAQLHRARACAPPSEGLLFRWDPGALDVTPSLLPTVWVRLLCPVPSEECPTWNPGPRSEGSELCLEPQPFLCCYRTEPYRRLQDAQSWPGQDVISRVNALANDIVLLPDPLSEVHGALSPAEASSFLGLLEHVLAMEMAPLGPAALLAVVRFLKRVVALGAGDPELLLTGPWEQLSQGVVSVASLVLEEQVADTWLSLREVIGGPMALVASVQRLAPLLSTSMTSERPRMRIQHRHAGLSGVTVIHSWFTSRVFQHTLEGPDLEPQAPASSEEANRVQRFLSTQVGSAIISSEVWDVTGEVNVAMTFHLQHRAQSPLFPPHPPSPYTGGAWATTGCSVAALYLDSTACFCNHSTSFAILLQIYEVQRGPEEESLLRTLSFVGCGVSFCALTTTFLLFLVAGVPKSERTTVHKNLTFSLASAEGFLMTSEWAKANEVACVAVTVAMHFLFLVAFSWMLVEGLLLWRKVVAVSMHPGPGMRLYHATGWGVPVGIVAVTLAMLPHDYVAPGHCWLNVHTNAIWAFVGPVLFVLTANTCILARVVMITVSSARRRARMLSPQPCLQQQIWTQIWATVKPVLVLLPVLGLTWLAGILVHLSPAWAYAAVGLNSIQGLYIFLVYAACNEEVRSALQRMAEKKVAEVLRALGVWGGAAKEHSLPFSVLPLFLPPKPSTPRHPLKAPA</t>
  </si>
  <si>
    <t>MRGFNLLLFWGCCVMHSWEGHIRPTRKPNTKGNNCRDSTLCPAYATCTNTVDSYYCACKQGFLSSNGQNHFKDPGVRCKDIDECSQSPQPCGPNSSCKNLSGRYKCSCLDGFSSPTGNDWVPGKPGNFSCTDINECLTSSVCPEHSDCVNSMGSYSCSCQVGFISRNSTCEDVDECADPRACPEHATCNNTVGNYSCFCNPGFESSSGHLSFQGLKASCEDIDECTEMCPINSTCTNTPGSYFCTCHPGFAPSNGQLNFTDQGVECRDIDECRQDPSTCGPNSICTNALGSYSCGCIAGFHPNPEGSQKDGNFSCQRVLFKCKEDVIPDNKQIQQCQEGTAVKPAYVSFCAQINNIFSVLDKVCENKTTVVSLKNTTESFVPVLKQISTWTKFTKEETSSLATVFLESVESMTLASFWKPSANITPAVRTEYLDIESKVINKECSEENVTLDLVAKGDKMKIGCSTIEESESTETTGVAFVSFVGMESVLNERFFKDHQAPLTTSEIKLKMNSRVVGGIMTGEKKDGFSDPIIYTLENIQPKQKFERPICVSWSTDVKGGRWTSFGCVILEASETYTICSCNQMANLAVIMASGELTMDFSLYIISHVGIIISLVCLVLAIATFLLCRSIRNHNTYLHLHLCVCLLLAKTLFLAGIHKTDNKMGCAIIAGFLHYLFLACFFWMLVEAVILFLMVRNLKVVNYFSSRNIKMLHICAFGYGLPMLVVVISASVQPQGYGMHNRCWLNTETGFIWSFLGPVCTVIVINSLLLTWTLWILRQRLSSVNAEVSTLKDTRLLTFKAFAQLFILGCSWVLGIFQIGPVAGVMAYLFTIINSLQGAFIFLIHCLLNGQVREEYKRWITGKTKPSSQSQTSRILLSSMPSASKTG</t>
  </si>
  <si>
    <t>MGGRVFLVFLAFCVWLTLPGAETQDSRGCARWCPQDSSCVNATACRCNPGFSSFSEIITTPMETCDDINECATLSKVSCGKFSDCWNTEGSYDCVCSPGYEPVSGAKTFKNESENTCQDVDECQQNPRLCKSYGTCVNTLGSYTCQCLPGFKLKPEDPKLCTDVNECTSGQNPCHSSTHCLNNVGSYQCRCRPGWQPIPGSPNGPNNTVCEDVDECSSGQHQCDSSTVCFNTVGSYSCRCRPGWKPRHGIPNNQKDTVCEDMTFSTWTPPPGVHSQTLSRFFDKVQDLGRDYKPGLANNTIQSILQALDELLEAPGDLETLPRLQQHCVASHLLDGLEDVLRGLSKNLSNGLLNFSYPAGTELSLEVQKQVDRSVTLRQNQAVMQLDWNQAQKSGDPGPSVVGLVSIPGMGKLLAEAPLVLEPEKQMLLHETHQGLLQDGSPILLSDVISAFLSNNDTQNLSSPVTFTFSHRSVIPRQKVLCVFWEHGQNGCGHWATTGCSTIGTRDTSTICRCTHLSSFAVLMAHYDVQEEDPVLTVITYMGLSVSLLCLLLAALTFLLCKAIQNTSTSLHLQLSLCLFLAHLLFLVAIDQTGHKVLCSIIAGTLHYLYLATLTWMLLEALYLFLTARNLTVVNYSSINRFMKKLMFPVGYGVPAVTVAISAASRPHLYGTPSRCWLQPEKGFIWGFLGPVCAIFSVNLVLFLVTLWILKNRLSSLNSEVSTLRNTRMLAFKATAQLFILGCTWCLGILQVGPAARVMAYLFTIINSLQGVFIFLVYCLLSQQVREQYGKWSKGIRKLKTESEMHTLSSSAKADTSKPSTVN</t>
  </si>
  <si>
    <t>MQGPLLLPGLCFLLSLFGAVTQKTKTSCAKCPPNASCVNNTHCTCNHGYTSGSGQKLFTFPLETCNDINECTPPYSVYCGFNAVCYNVEGSFYCQCVPGYRLHSGNEQFSNSNENTCQDTTSSKTTEGRKELQKIVDKFESLLTNQTLWRTEGRQEISSTATTILRDVESKVLETALKDPEQKVLKIQNDSVAIETQAITDNCSEERKTFNLNVQMNSMDIRCSDIIQGDTQGPSAIAFISYSSLGNIINATFFEEMDKKDQVYLNSQVVSAAIGPKRNVSLSKSVTLTFQHVKMTPSTKKVFCVYWKSTGQGSQWSRDGCFLIHVNKSHTMCNCSHLSSFAVLMALTSQEEDPVLTVITYVGLSVSLLCLLLAALTFLLCKAIRNTSTSLHLQLSLCLFLAHLLFLVGIDRTEPKVLCSIIAGALHYLYLAAFTWMLLEGVHLFLTARNLTVVNYSSINRLMKWIMFPVGYGVPAVTVAISAASWPHLYGTADRCWLHLDQGFMWSFLGPVCAIFSANLVLFILVFWILKRKLSSLNSEVSTIQNTRMLAFKATAQLFILGCTWCLGLLQVGPAAQVMAYLFTIINSLQGFFIFLVYCLLSQQVQKQYQKWFREIVKSKSESETYTLSSKMGPDSKPSEGDVFPGQVKRKY</t>
  </si>
  <si>
    <t>MGSRFLLVLLSGASCPPCPKYASCHNSTHCTCEDGFRARSGRTYFHDSSEKCEDINECETGLAKCKYKAYCRNKVGGYICSCLVKYTLFNFLAGIIDYDHPDCYENNSQGTTQSNVDIWVSGVKPGFGKQLPGDKRTKHICVYWEGSEGGWSTEGCSHVHSNGSYTKCKCFHLSSFAVLVALAPKEDPVLTVITQVGLTISLLCLFLAILTFLLCRPIQNTSTSLHLELSLCLFLAHLLFLTGINRTEPEVLCSIIAGLLHFLYLACFTWMLLEGLHLFLTVRNLKVANYTSTGRFKKRFMYPVGYGIPAVIIAVSAIVGPQNYGTFTCWLKLDKGFIWSFMGPVAVIILINLVFYFQVLWILRSKLSSLNKEVSTIQDTRVMTFKAISQLFILGCSWGLGFFMVEEVGKTIGSIIAYSFTIINTLQGVLLFVVHCLLNRQVRLIILSVISLVPKSN</t>
  </si>
  <si>
    <t>MGGRVFLAFCVWLTLPGAETQDSRGCARWCPQNSSCVNATACRCNPGFSSFSEIITTPTETCDDINECATPSKVSCGKFSDCWNTEGSYDCVCSPGYEPVSGAKTFKNESENTCQDVDECQQNPRLCKSYGTCVNTLGSYTCQCLPGFKFIPEDPKVCTDVNECTSGQNPCHSSTHCLNNVGSYQCRCRPGWQPIPGSPNGPNNTVCEDVDECSSGQHQCDSSTVCFNTVGSYSCRCRPGWKPRHGIPNNQKDTVCEDMTFSTWTPPPGVHSQTLSRFFDKVQDLGRDSKTSSAEVTIQNVIKLVDELMEAPGDVEALAPPVRHLIATQLLSNLEDIMRILAKSLPKGPFTYISPSNTELTLMIQERGDKNVTMGQSSARMKLNWAVAAGAEDPGPAVAGILSIQNMTTLLANASLNLHSKKQAELEEIYESSIRGVQLRRLSAVNSIFLSHNNTKELNSPILFAFSHLESSDGEAGRDPPAKDVMPGPRQELLCAFWKSDSDRGGHWATEGCQVLGSKNGSTTCQCSHLSSFAILMAHYDVEDWKLTLITRVGLALSLFCLLLCILTFLLVRPIQGSRTTIHLHLCICLFVGSTIFLAGIENEGGQVGLRCRLVAGLLHYCFLAAFCWMSLEGLELYFLVVRVFQGQGLSTRWLCLIGYGVPLLIVGVSAAIYSKGYGRPRYCWLDFEQGFLWSFLGPVTFIILCNAVIFVTTVWKLTQKFSEINPDMKKLKKARALTITAIAQLFLLGCTWVFGLFIFDDRSLVLTYVFTILNCLQGAFLYLLHCLLNKKVREEYRKWACLVAGGSKYSEFTSTTSGTGHNQTRALRASESGI</t>
  </si>
  <si>
    <t>MKVGVLWLISFFTFTDGHGGFLGKNDGIKTKKELIVNKKKHLGPVEEYQLLLQVTYRDSKEKRDLRNFLKLLKPPLLWSHGLIRIIRAKATTDCNSLNGVLQCTCEDSYTWFPPSCLDPQNCYLHTAGALPSCECHLNNLSQSVNFCERTKIWGTFKINERFTNDLLNSSSAIYSKYANGIEIQLKKAYERIQGFESVQVTQFRNGSIVAGYEVVGSSSASELLSAIEHVAEKAKTALHKLFPLEDGSFRVFGKAQCNDIVFGFGSKDDEYTLPCSSGYRGNITAKCESSGWQVIRETCVLSLLEELNKNFSMIVGNATEAAVSSFVQNLSVIIRQNPSTTVGNLASVVSILSNISSLSLASHFRVSNSTMEDVISIADNILNSASVTNWTVLLREEKYASSRLLETLENISTLVPPTALPLNFSRKFIDWKGIPVNKSQLKRGYSYQIKMCPQNTSIPIRGRVLIGSDQFQRSLPETIISMASLTLGNILPVSKNGNAQVNGPVISTVIQNYSINEVFLFFSKIESNLSQPHCVFWDFSHLQWNDAGCHLVNETQDIVTCQCTHLTSFSILMSPFVPSTIFPVVKWITYVGLGISIGSLILCLIIEALFWKQIKKSQTSHTRRICMVNIALSLLIADVWFIVGATVDTTVNPSGVCTAAVFFTHFFYLSLFFWMLMLGILLAYRIILVFHHMAQHLMMAVGFCLGYGCPLIISVITIAVTQPSNTYKRKDVCWLNWSNGSKPLLAFVVPALAIVAVNFVVVLLVLTKLWRPTVGERLSRDDKATIIRVGKSLLILTPLLGLTWGFGIGTIVDSQNLAWHVIFALLNAFQGFFILCFGILLDSKLRQLLFNKLSALSSWKQTEKQNSSDLSAKPKFSKPFNPLQNKGHYAFSHTGDSSDNIMLTQFVSNE</t>
  </si>
  <si>
    <t>MGLTAYGNRRVQPGELPFGANLTLIHTRAQPVICSKLLLTKRVSPISFFLSKFQNSWGEDGWVQLDQLPSPNAVSSDQVHCSAGCTHRKCGWAASKSKEKVPARPHGVCDGVCTDYSQCTQPCPPDTQGNMGFSCRQKTWHKITDTCQTLNALNIFEEDSRLVQPFEDNIKISVYTGKSETITDMLLQKCPTDLSCVIRNIQQSPWIPGNIAVIVQLLHNISTAIWTGVDEAKMQSYSTIANHILNSKSISNWTFIPDRNSSYILLHSVNSFARRLFIDKHPVDISDVFIHTMGTTISGDNIGKNFTFSMRINDTSNEVTGRVLISRDELRKVPSPSQVISIAFPTIGAILEASLLENVTVNGLVLSAILPKELKRISLIFEKISKSEERRTQCVGWHSVENRWDQQACKMIQENSQQAVCKCRPSKLFTSFSILMSPHILESLILTYITYVGLGISICSLILCLSIEVLVWSQVTKTEITYLRHVCIVNIAATLLMADVWFIVASFLSGPITHHKGCVAATFFVHFFYLSVFFWMLAKALLILYGIMIVFHTLPKSVLVASLFSVGYGCPLAIAAITVAATEPGKGYLRPEICWLNWDMTKALLAFVIPALAIVVVNLITVTLVIVKTQRAAIGNSMFQEVRAIVRISKNIAILTPLLGLTWGFGVATVIDDRSLAFHIIFSLLNAFQVSPDASDQVQSERIHEDVL</t>
  </si>
  <si>
    <t>MVCSAAPLLLLATTLPLLGSPVAQASQPVSETGVRPREGLQRRQWGPLIGRDKAWNERIDRPFPACPIPLSSSFGRWPKGQTMWAQTSTLTLTEEELGQSQAGGESGSGQLLDQENGAGESALVSVYVHLDFPDKTWPPELSRTLTLPAASASSSPRPLLTGLRLTTECNVNHKGNFYCACLSGYQWNTSICLHYPPCQSLHNHQPCGCLVFSHPEPGYCQLLPPGSPVTCLPAVPGILNLNSQLQMPGDTLSLTLHLSQEATNLSWFLRHPGSPSPILLQPGTQVSVTSSHGQAALSVSNMSHHWAGEYMSCFEAQGFKWNLYEVVRVPLKATDVARLPYQLSISCATSPGFQLSCCIPSTNLAYTAAWSPGEGSKASSFNESGSQCFVLAVQRCPMADTTYACDLQSLGLAPLRVPISITIIQDGDITCPEDASVLTWNVTKAGHVAQAPCPESKRGIVRRLCGADGVWGPVHSSCTDARLLALFTRTKLLQAGQGSPAEEVPQILAQLPGQAAEASSPSDLLTLLSTMKYVAKVVAEARIQLDRRALKNLLIATDKVLDMDTRSLWTLAQARKPWAGSTLLLAVETLACSLCPQDHPFAFSLPNVLLQSQLFGPTFPADYSISFPTRPPLQAQIPRHSLAPLVRNGTEISITSLVLRKLDHLLPSNYGQGLGDSLYATPGLVLVISIMAGDRAFSQGEVIMDFGNTDGSPHCVFWDHSLFQGRGGWSKEGCQAQVASASPTAQCLCQHLTAFSVLMSPHTVPEEPALALLTQVGLGASILALLVCLGVYWLVWRVVVRNKISYFRHAALLNMVFCLLAADTCFLGAPFLSPGPRSPLCLAAAFLCHFLYLATFFWMLAQALVLAHQLLFVFHQLAKHRVLPLMVLLGYLCPLGLAGVTLGLYLPQGQYLREGECWLDGKGGALYTFVGPVLAIIGVNGLVLAMAMLKLLRPSLSEGPPAEKRQALLGVIKALLILTPIFGLTWGLGLATLLEEVSTVPHYIFTILNTLQGVFILLFGCLMDRKIQEALRKRFCRAQAPSSTISLVSCCLQILSCASKSMSEGIPWPSSEDMGTARS</t>
  </si>
  <si>
    <t>MKMKSQATMICCLVFFLSTECSHYRSKIHLKAGDKLQSPEGKPKTGRIQEKCEGPCISSSNCSQPCAKDFHGEIGFTCNQKKWQKSAETCTSLSVEKLFKDSTGASRLSVAAPSIPLHILDFRAPETIESVAQGIRKNCPFDYACITDMVKSSETTSGNIAFIVELLKNISTDLSDNVTREKMKSYSEVANHILDTAAISNWAFIPNKNASSDLLQSVNLFARQLHIHNNSENIVNELFIQTKGFHINHNTSEKSLNFSMSMNNTTEDILGMVQIPRQELRKLWPNASQAISIAFPTLGAILREAHLQNVSLPRQVNGLVLSVVLPERLQEIILTFEKINKTRNARAQCVGWHSKKRRWDEKACQMMLDIRNEVKCRCNYTSVVMSFSILMSSKSMTDKVLDYITCIGLSVSILSLVLCLIIEATVWSRVVVTEISYMRHVCIVNIAVSLLTANVWFIIGSHFNIKAQDYNMCVAVTFFSHFFYLSLFFWMLFKALLIIYGILVIFRRMMKSRMMVIGFAIGYGCPLIIAVTTVAITEPEKGYMRPEACWLNWDNTKALLAFAIPAFVIVAVNLIVVLVVAVNTQRPSIGSSKSQDVVIIMRISKNVAILTPLLGLTWGFGIATLIEGTSLTFHIIFALLNAFQGFFILLFGTIMDHKIRDALRMRMSSLKGKSRAAENASLGPTNGSKLMNRQG</t>
  </si>
  <si>
    <t>MKSPRRTTLCLMFIVIYSSKAALNWNYESTIHPLSLHEHEPAGEEALRQKRAVATKSPTAEEYTVNIEISFENASFLDPIKAYLNSLSFPIHGNNTDQITDILSINVTTVCRPAGNEIWCSCETGYGWPRERCLHNLICQERDVFLPGHHCSCLKELPPNGPFCLLQEDVTLNMRVRLNVGFQEDLMNTSSALYRSYKTDLETAFRKGYGILPGFKGVTVTGFKSGSVVVTYEVKTTPPSLELIHKANEQVVQSLNQTYKMDYNSFQAVTINESNFFVTPEIIFEGDTVSLVCEKEVLSSNVSWRYEEQQLEIQNSSRFSIYTALFNNMTSVSKLTIHNITPGDAGEYVCKLILDIFEYECKKKIDVMPIQILANEEMKVMCDNNPVSLNCCSQGNVNWSKVEWKQEGKINIPGTPETDIDSSCSRYTLKADGTQCPSGSSGTTVIYTCEFISAYGARGSANIKVTFISVANLTITPDPISVSEGQNFSIKCISDVSNYDEVYWNTSAGIKIYQRFYTTRRYLDGAESVLTVKTSTREWNGTYHCIFRYKNSYSIATKDVIVHPLPLKLNIMVDPLEATVSCSGSHHIKCCIEEDGDYKVTFHTGSSSLPAAKEVNKKQVCYKHNFNASSVSWCSKTVDVCCHFTNAANNSVWSPSMKLNLVPGENITCQDPVIGVGEPGKVIQKLCRFSNVPSSPESPIGGTITYKCVGSQWEEKRNDCISAPINSLLQMAKALIKSPSQDEMLPTYLKDLSISIDKAEHEISSSPGSLGAIINILDLLSTVPTQVNSEMMTHVLSTVNVILGKPVLNTWKVLQQQWTNQSSQLLHSVERFSQALQSGDSPPLSFSQTNVQMSSMVIKSSHPETYQQRFVFPYFDLWGNVVIDKSYLENLQSDSSIVTMAFPTLQAILAQDIQENNFAESLVMTTTVSHNTTMPFRISMTFKNNSPSGGETKCVFWNFRLANNTGGWDSSGCYVEEGDGDNVTCICDHLTSFSILMSPDSPDPSSLLGILLDIISYVGVGFSILSLAACLVVEAVVWKSVTKNRTSYMRHTCIVNIAASLLVANTWFIVVAAIQDNRYILCKTACVAATFFIHFFYLSVFFWMLTLGLMLFYRLVFILHETSRSTQKAIAFCLGYGCPLAISVITLGATQPREVYTRKNVCWLNWEDTKALLAFAIPALIIVVVNITITIVVITKILRPSIGDKPCKQEKSSLFQISKSIGVLTPLLGLTWGFGLTTVFPGTNLVFHIIFAILNVFQGLFILLFGCLWDLKVQEALLNKFSLSRWSSQHSKSTSLGSSTPVFSMSSPISRRFNNLFGKTGTYNVSTPEATSSSLENSSSASSLLN</t>
  </si>
  <si>
    <t>MTPQSLLQTTLFLLSLLFLVQGAHGRGHREDFRFCSQRNQTHRSSLHYKPTPDLRISIENSEEALTVHAPFPAAHPASRSFPDPRGLYHFCLYWNRHAGRLHLLYGKRDFLLSDKASSLLCFQHQEESLAQGPPLLATSVTSWWSPQNISLPSAASFTFSFHSPPHTAAHNASVDMCELKRDLQLLSQFLKHPQKASRRPSAAPASQQLQSLESKLTSVRFMGDMVSFEEDRINATVWKLQPTAGLQDLHIHSRQEEEQSEIMEYSVLLPRTLFQRTKGRSGEAEKRLLLVDFSSQALFQDKNSSQVLGEKVLGIVVQNTKVANLTEPVVLTFQHQLQPKNVTLQCVFWVEDPTLSSPGHWSSAGCETVRRETQTSCFCNHLTYFAVLMVSSVEVDAVHKHYLSLLSYVGCVVSALACLVTIAAYLCSRVPLPCRRKPRDYTIKVHMNLLLAVFLLDTSFLLSEPVALTGSEAGCRASAIFLHFSLLTCLSWMGLEGYNLYRLVVEVFGTYVPGYLLKLSAMGWGFPIFLVTLVALVDVDNYGPIILAVHRTPEGVIYPSMCWIRDSLVSYITNLGLFSLVFLFNMAMLATMVVQILRLRPHTQKWSHVLTLLGLSLVLGLPWALIFFSFASGTFQLVVLYLFSIITSFQGFLIFIWYWSMRLQARGGPSPLKSNSDSARLPISSGSTSSSRI</t>
  </si>
  <si>
    <t>MVFSVRQCGHVGRTEEVLLTFKIFLVIICLHVVLVTSLEEDTDNSSLSPPPAKLSVVSFAPSSNGTPEVETTSLNDVTLSLLPSNETEKTKITIVKTFNASGVKPQRNICNLSSICNDSAFFRGEIMFQYDKESTVPQNQHITNGTLTGVLSLSELKRSELNKTLQTLSETYFIMCATAEAQSTLNCTFTIKLNNTMNACAVIAALERVKIRPMEHCCCSVRIPCPSSPEELEKLQCDLQDPIVCLADHPRGPPFSSSQSIPVVPRATVLSQVPKATSFAEPPDYSPVTHNVPSPIGEIQPLSPQPSAPIASSPAIDMPPQSETISSPMPQTHVSGTPPPVKASFSSPTVSAPANVNTTSAPPVQTDIVNTSSISDLENQVLQMEKALSLGSLEPNLAGEMINQVSRLLHSPPDMLAPLAQRLLKVVDDIGLQLNFSNTTISLTSPSLALAVIRVNASSFNTTTFVAQDPANLQVSLETQAPENSIGTITLPSSLMNNLPAHDMELASRVQFNFFETPALFQDPSLENLSLISYVISSSVANLTVRNLTRNVTVTLKHINPSQDELTVRCVFWDLGRNGGRGGWSDNGCSVKDRRLNETICTCSHLTSFGVLLDLSRTSVLPAQMMALTFITYIGCGLSSIFLSVTLVTYIAFEKIRRDYPSKILIQLCAALLLLNLVFLLDSWIALYKMQGLCISVAVFLHYFLLVSFTWMGLEAFHMYLALVKVFNTYIRKYILKFCIVGWGVPAVVVTIILTISPDNYGLGSYGKFPNGSPDDFCWINNNAVFYITVVGYFCVIFLLNVSMFIVVLVQLCRIKKKKQLGAQRKTSIQDLRSIAGLTFLLGITWGFAFFAWGPVNVTFMYLFAIFNTLQGFFIFIFYCVAKENVRKQWRRYLCCGKLRLAENSDWSKTATNGLKKQTVNQGVSSSSNSLQSSSNSTNSTTLLVNNDCSVHASGNGNASTERNGVSFSVQNGDVCLHDFTGKQHMFNEKEDSCNGKGRMALRRTSKRGSLHFIEQM</t>
  </si>
  <si>
    <t>MATPRGLGALLLLLLLPTSGQEKPTEGPRNTCLGSNNMYDIFNLNDKALCFTKCRQSGSDSCNVENLQRYWLNYEAHLMKEGLTQKVNTPFLKALVQNLSTNTAEDFYFSLEPSQVPRQVMKDEDKPPDRVRLPKSLFRSLPGNRSVVRLAVTILDIGPGTLFKGPRLGLGDGSGVLNNRLVGLSVGQMHVTKLAEPLEIVFSHQRPPPNMTLTCVFWDVTKGTTGDWSSEGCSTEVRPEGTVCCCDHLTFFALLLRPTLDQSTVHILTRISQAGCGVSMIFLAFTIILYAFLRLSRERFKSEDAPKIHVALGGSLFLLNLAFLVNVGSGSKGSDAACWARGAVFHYFLLCAFTWMGLEAFHLYLLAVRVFNTYFGHYFLKLSLVGWGLPALMVIGTGSANSYGLYTIRDRENRTSLELCWFREGTTMYALYITVHGYFLITFLFGMVVLALVVWKIFTLSRATAVKERGKNRKKVLTLLGLSSLVGVTWGLAIFTPLGLSTVYIFALFNSLQGVFICCWFTILYLPSQSTTVSSSTARLDQAHSASQE</t>
  </si>
  <si>
    <t>MKEHIIYQKLYGLILMSSFIFLSDTLSLKGKKLDFFGRGDTYVSLIDTIPELSRFTACIDLVFMDDNSRYWMAFSYITNNALLGREDIDLGLAGDHQQLILYRLGKTFSIRHHLASFQWHTICLIWDGVKGKLELFLNKERILEVTDQPHNLTPHGTLFLGHFLKNESSEVKSMMRSFPGSLYYFQLWDHILENEEFMKCLDGNIVSWEEDVWLVNKIIPTVDRTLRCFVPENMTIQEKSTTVSQQIDMTTPSQITGVKPQNTAHSSTLLSQSIPIFATDYTTISYSNTTSPPLETMTAQKILKTLVDETATFAVDVLSTSSAISLPTQSISIDNTTNSMKKTKSPSSESTKTTKMVEAMATEIFQPPTPSNFLSTSRFTKNSVVSTTSAIKSQSAVTKTTSLFSTIESTSMSTTPCLKQKSTNTGALPISTAGQEFIESTAAGTVPWFTVEKTSPASTHVGTASSFPPEPVLISTAAPVDSVFPRNQTAFPLATTDMKIAFTVHSLTLPTRLIETTPAPRTAETELTSTNFQDVSLPRVEDAMSTSMSKETSSKTFSFLTSFSFTGTESVQTVIDAEATRTALTPEITLASTVAETMLSSTITGRVYTQNTPTADGHLLTLMSTRSASTSKAPESGPTSTTDEAAHLFSSNETIWTSRPDQALLASMNTTTILTFVPNENFTSAFHENTTYTEYLSATTNITPLKASPEGKGTTANDATTARYTTAVSKLTSPWFANFSIVSGTTSITNMPEFKLTTLLLKTIPMSTKPANELPLTPRETVVPSVDIISTLACIQPNFSTEESASETTQTEINGAIVFGGTTTPVPKSATTQRLNATVTRKEATSHYLMRKSTIAAVAEVSPFSTMLEVTDESAQRVTASVTVSSFPDIEKLSTPLDNKTATTEVRESWLLTKLVKTTPRSSYNEMTEMFNFNHTYVAHWTSETSEGISAGSPTSGSTHIFGEPLGASTTRISETSFSTTPTDRTATSLSDGILPPQPTAAHSSATPVPVTHMFSLPVNGSSVVAEETEVTMSEPSTLARAFSTSVLSDVSNLSSTTMTTALVPPLDQTASTTIVIVPTHGDLIRTTSEATVISVRKTSMAVPSLTETPFHSLRLSTPVTAKAETTLFSTSVDTVTPSTHTLVCSKPPPDNIPPASSTHVISTTSTPEATQPISQVEETSTYALSFPYTFSGGGVVASLATGTTETSVVDETTPSHISANKLTTSVNSHISSSATYRVHTPVSIQLVTSTSVLSSDKDQMTISLGKTPRTMEVTEMSPSKNSFISYSRGTPSLEMTDTGFPETTKISSHQTHSPSEIPLGTPSDGNLASSPTSGSTQITPTLTSSNTVGVHIPEMSTSLGKTALPSQALTITTFLCPEKESTSALPAYTPRTVEMIVNSTYVTHSVSYGQDTSFVDTTTSSSTRISNPMDINTTFSHLHSLRTQPEVTSVASFISESTQTFPESLSLSTAGLYNDGFTVLSDRITTAFSVPNVPTMLPRESSMATSTPIYQMSSLPVNVTAFTSKKVSDTPPIVITKSSKTMHPGCLKSPCTATSGPMSEMSSIPVNNSAFTPATVSSDTSTRVGLFSTLLSSVTPRTTMTMQTSTLDVTPVIYAGATSKNKMVSSAFTTEMIEAPSRITPTTFLSPTEPTLPFVKTVPTTIMAGIVTPFVGTTAFSPLSSKSTGAISSIPKTTFSPFLSATQQSSQADEATTLGILSGITNRSLSTVNSGTGVALTDTYSRITVPENMLSPTHADSLHTSFNIQVSPSLTSFKSASGPTKNVKTTTNCFSSNTRKMTSLLEKTSLTNYATSLNTPVSYPPWTPSSATLPSLTSFVYSPHSTEAEISTPKTSPPPTSQMVEFPVLGTRMTSSNTQPLLMTSWNIPTAEGSQFPISTTINVPTSNEMETETLHLVPGPLSTFTASQTGLVSKDVMAMSSIPMSGILPNHGLSENPSLSTSLRAITSTLADVKHTFEKMTTSVTPGTTLPSILSGATSGSVISKSPILTWLLSSLPSGSPPATVSNAPHVMTSSTVEVSKSTFLTSDMISAHPFTNLTTLPSATMSTILTRTIPTPTLGGITTGFPTSLPMSINVTDDIVYISTHPEASSRTTITANPRTVSHPSSFSRKTMSPSTTDHTLSVGAMPLPSSTITSSWNRIPTASSPSTLIIPKPTLDSLLNIMTTTSTVPGASFPLISTGVTYPFTATVSSPISSFFETTWLDSTPSFLSTEASTSPTATKSTVSFYNVEMSFSVFVEEPRIPITSVINEFTENSLNSIFQNSEFSLATLETQIKSRDISEEEMVMDRAILEQREGQEMATISYVPYSCVCQVIIKASSSLASSELMRKIKSKIHGNFTHGNFTQDQLTLLVNCEHVAVKKLEPGNCKADETASKYKGTYKWLLTNPTETAQTRCIKNEDGNATRFCSISINTGKSQWEKPKFKQCKLLQELPDKIVDLANITISDENAEDVAEHILNLINESPALGKEETKIIVSKISDISQCDEISMNLTHVMLQIINVVLEKQNNSASDLHEISNEILRIIERTGHKMEFSGQIANLTVAGLALAVLRGDHTFDGMAFSIHSYEEGTDPEIFLGNVPVGGILASIYLPKSLTERIPLSNLQTILFNFFGQTSLFKTKNVTKALTTYVVSASISDDMFIQNLADPVVITLQHIGGNQNYGQVHCAFWDFENNNGLGGWNSSGCKVKETNVNYTICQCDHLTHFGVLMDLSRSTVDSVNEQILALITYTGCGISSIFLGVAVVTYIAFHKLRKDYPAKILINLCTALLMLNLVFLINSWLSSFQKVGVCITAAVALHYFLLVSFTWMGLEAVHMYLALVKVFNIYIPNYILKFCLVGWGIPAIMVAITVSVKKDLYGTLSPTTPFCWIKDDSIFYISVVAYFCLIFLMNLSMFCTVLVQLNSVKSQIQKTRRKMILHDLKGTMSLTFLLGLTWGFAFFAWGPMRNFFLYLFAIFNTLQGFFIFVFHCVMKESVREQWQIHLCCGWLRLDNSSDGSSRCQIKVGYKQEGLKKIFEHKLLTPSLKSTATSSTFKSLGSAQGTPSEISFPNDDFDKDPYCSSP</t>
  </si>
  <si>
    <t>MDHCGALFLCLCLLTLQNATTETWEELLSYMENMQVSRGRSSVFSSRQLHQLEQMLLNTSFPGYNLTLQTPTIQSLAFKLSCDFSGLSLTSATLKRVPQAGGQHARGQHAMQFPAELTRDACKTRPRELRLICIYFSNTHFFKDENNSSLLNNYVLGAQLSHGHVNNLRDPVNISFWHNQSLEGYTLTCVFWKEGARKQPWGGWSPEGCRTEQPSHSQVLCRCNHLTYFAVLMQLSPALVPAELLAPLTYISLVGCSISIVASLITVLLHFHFRKQSDSLTRIHMNLHASVLLLNIAFLLSPAFAMSPVPGSACTALAAALHYALLSCLTWMAIEGFNLYLLLGRVYNIYIRRYVFKLGVLGWGAPALLVLLSLSVKSSVYGPCTIPVFDSWENGTGFQNMSICWVRSPVVHSVLVMGYGGLTSLFNLVVLAWALWTLRRLRERADAPSVRACHDTVTVLGLTVLLGTTWALAFFSFGVFLLPQLFLFTILNSLYGFFLFLWFCSQRCRSEAEAKAQIEAFSSSQTTQ</t>
  </si>
  <si>
    <t>MMFRSDRMWSCHWKWKPSPLLFLFALYIMCVPHSVWGCANCRVVLSNPSGTFTSPCYPNDYPNSQACMWTLRAPTGYIIQITFNDFDIEEAPNCIYDSLSLDNGESQTKFCGATAKGLSFNSSANEMHVSFSSDFSIQKKGFNASYIRVAVSLRNQKVILPQTSDAYQVSVAKSISIPELSAFTLCFEATKVGHEDSDWTAFSYSNASFTQLLSFGKAKSGYFLSISDSKCLLNNALPVKEKEDIFAESFEQLCLVWNNSLGSIGVNFKRNYETVPCDSTISKVIPGNGKLLLGSNQNEIVSLKGDIYNFRLWNFTMNAKILSNLSCNVKGNVVDWQNDFWNIPNLALKAESNLSCGSYLIPLPAAELASCADLGTLCQATVNSPSTTPPTVTTNMPVTNRIDKQRNDGIIYRISVVIQNILRHPEVKVQSKVAEWLNSTFQNWNYTVYVVNISFHLSAGEDKIKVKRSLEDEPRLVLWALLVYNATNNTNLEGKIIQQKLLKNNESLDEGLRLHTVNVRQLGHCLAMEEPKGYYWPSIQPSEYVLPCPDKPGFSASRICFYNATNPLVTYWGPVDISNCLKEANEVANQILNLTADGQNLTSANITNIVEQVKRIVNKEENIDITLGSTLMNIFSNILSSSDSDLLESSSEALKTIDELAFKIDLNSTSHVNITTRNLALSVSSLLPGTNAISNFSIGLPSNNESYFQMDFESGQVDPLASVILPPNLLENLSPEDSVLVRRAQFTFFNKTGLFQDVGPQRKTLVSYVMACSIGNITIQNLKDPVQIKIKHTRTQEVHHPICAFWDLNKNKSFGGWNTSGCVAHRDSDASETVCLCNHFTHFGVLMDLPRSASQLDARNTKVLTFISYIGCGISAIFSAATLLTYVAFEKLRRDYPSKILMNLSTALLFLNLLFLLDGWITSFNVDGLCIAVAVLLHFFLLATFTWMGLEAIHMYIALVKVFNTYIRRYILKFCIIGWGLPALVVSVVLASRNNNEVYGKESYGKEKGDEFCWIQDPVIFYVTCAGYFGVMFFLNIAMFIVVMVQICGRNGKRSNRTLREEVLRNLRSVVSLTFLLGMTWGFAFFAWGPLNIPFMYLFSIFNSLQGLFIFIFHCAMKENVQKQWRQHLCCGRFRLADNSDWSKTATNIIKKSSDNLGKSLSSSSIGSNSTYLTSKSKSSSTTYFKRNSHTDNVSYEHSFNKSGSLRQCFHGQVLVKTGPC</t>
  </si>
  <si>
    <t>MASCRAWNLRVLVAVVCGLLTGIILGLGIWRIVIRIQRGKSTSSSSTPTEFCRNGGTWENGRCICTEEWKGLRCTIANFCENSTYMGFTFARIPVGRYGPSLQTCGKDTPNAGNPMAVRLCSLSLYGEIELQKVTIGNCNENLETLEKQVKDVTAPLNNISSEVQILTSDANKLTAENITSATRVVGQIFNTSRNASPEAKKVAIVTVSQLLDASEDAFQRVAATANDDALTTLIEQMETYSLSLGNQSVVEPNIAIQSANFSSENAVGPSNVRFSVQKGASSSLVSSSTFIHTNVDGLNPDAQTELQVLLNMTKNYTKTCGFVVYQNDKLFQSKTFTAKSDFSQKIISSKTDENEQDQSASVDMVFSPKYNQKEFQLYSYACVYWNLSAKDWDTYGCQKDKGTDGFLRCRCNHTTNFAVLMTFKKDYQYPKSLDILSNVGCALSVTGLALTVIFQIVTRKVRKTSVTWVLVNLCISMLIFNLLFVFGIENSNKNLQTSDGDINNIDFDNNDIPRTDTINIPNPMCTAIAALLHYFLLVTFTWNALSAAQLYYLLIRTMKPLPRHFILFISLIGWGVPAIVVAITVGVIYSQNGNNPQWELDYRQEKICWLAIPEPNGVIKSPLLWSFIVPVTIILISNVVMFITISIKVLWKNNQNLTSTKKVSSMKKIVSTLSVAVVFGITWILAYLMLVNDDSIRIVFSYIFCLFNTTQGLQIFILYTVRTKVFQSEASKVLMLLSSIGRRKSLPSVTRPRLRVKMYNFLRSLPTLHERFRLLETSPSTEEITLSESDNAKESI</t>
  </si>
  <si>
    <t>MARLAAVLWNLCVTAVLVTSATQGLSRAGLPFGLMRRELACEGYPIELRCPGSDVIMVENANYGRTDDKICDADPFQMENVQCYLPDAFKIMSQRCNNRTQCVVVAGSDAFPDPCPGTYKYLEVQYDCVPYKVEQKVFVCPGTLQKVLEPTSTHESEHQSGAWCKDPLQAGDRIYVMPWIPYRTDTLTEYASWEDYVAARHTTTYRLPNRVDGTGFVVYDGAVFYNKERTRNIVKYDLRTRIKSGETVINTANYHDTSPYRWGGKTDIDLAVDENGLWVIYATEGNNGRLVVSQLNPYTLRFEGTWETGYDKRSASNAFMVCGVLYVLRSVYVDDDSEAAGNRVDYAFNTNANREEPVSLTFPNPYQFISSVDYNPRDNQLYVWNNYFVVRYSLEFGPPDPSAGPATSPPLSTTTTARPTPLTSTASPAATTPLRRAPLTTHPVGAINQLGPDLPPATAPVPSTRRPPAPNLHVSPELFCEPREVRRVQWPATQQGMLVERPCPKGTRGIASFQCLPALGLWNPRGPDLSNCTSPWVNQVAQKIKSGENAANIASELARHTRGSIYAGDVSSSVKLMEQLLDILDAQLQALRPIERESAGKNYNKMHKRERTCKDYIKAVVETVDNLLRPEALESWKDMNATEQVHTATMLLDVLEEGAFLLADNVREPARFLAAKENVVLEVTVLNTEGQVQELVFPQEEYPRKNSIQLSAKTIKQNSRNGVVKVVFILYNNLGLFLSTENATVKLAGEAGPGGPGGASLVVNSQVIAASINKESSRVFLMDPVIFTVAHLEDKNHFNANCSFWNYSERSMLGYWSTQGCRLVESNKTHTTCACSHLTNFAVLMAHREIYQGRINELLLSVITWVGIVISLVCLAICISTFCFLRGLQTDRNTIHKNLCINLFLAELLFLVGIDKTQYEIACPIFAGLLHYFFLAAFSWLCLEGVHLYLLLVEVFESEYSRTKYYYLGGYCFPALVVGIAAAIDYRSYGTEKACWLRVDNYFIWSFIGPVSFVIVVNLVFLMVTLHKMIRSSSVLKPDSSRLDNIKSWALGAIALLFLLGLTWAFGLLFINKESVVMAYLFTTFNAFQGVFIFVFHCALQKKVHKEYSKCLRHSYCCIRSPPGGTHGSLKTSAMRSNTRYYTGTQSRIRRMWNDTVRKQTESSFMAGDINSTPTLNRGTMGNHLLTNPVLQPRGGTSPYNTLIAESVGFNPSSPPVFNSPGSYREPKHPLGGREACGMDTLPLNGNFNNSYSLRSGDFPPGDGGPEPPRGRNLADAAAFEKMIISELVHNNLRGSSSAAKGPPPPEPPVPPVPGGGGEEEAGGPGGADRAEIELLYKALEEPLLLPRAQSVLYQSDLDESESCTAEDGATSRPLSSPPGRDSLYASGANLRDSPSYPDSSPEGPSEALPPPPPAPPGPPEIYYTSRPPALVARNPLQGYYQVRRPSHEGYLAAPGLEGPGPDGDGQMQLVTSL</t>
  </si>
  <si>
    <t>MVSSGCRMRSLWFIIVISFLPNTEGFSRAALPFGLVRRELSCEGYSIDLRCPGSDVIMIESANYGRTDDKICDADPFQMENTDCYLPDAFKIMTQRCNNRTQCIVVTGSDVFPDPCPGTYKYLEVQYECVPYIFVCPGTLKAIVDSPCIYEAEQKAGAWCKDPLQAADKIYFMPWTPYRTDTLIEYASLEDFQNSRQTTTYKLPNRVDGTGFVVYDGAVFFNKERTRNIVKFDLRTRIKSGEAIINYANYHDTSPYRWGGKTDIDLAVDENGLWVIYATEQNNGMIVISQLNPYTLRFEATWETVYDKRAASNAFMICGVLYVVRSVYQDNESETGKNSIDYIYNTRLNRGEYVDVPFPNQYQYIAAVDYNPRDNQLYVWNNNFILRYSLEFGPPDPAQVPTTAVTITSSAELFKTIISTTSTTSQKGPMSTTVAGSQEGSKGTKPPPAVSTTKIPPITNIFPLPERFCEALDSKGIKWPQTQRGMMVERPCPKGTRGTASYLCMISTGTWNPKGPDLSNCTSHWVNQLAQKIRSGENAASLANELAKHTKGPVFAGDVSSSVRLMEQLVDILDAQLQELKPSEKDSAGRSYNKLQKREKTCRAYLKAIVDTVDNLLRPEALESWKHMNSSEQAHTATMLLDTLEEGAFVLADNLLEPTRVSMPTENIVLEVAVLSTEGQIQDFKFPLGIKGAGSSIQLSANTVKQNSRNGLAKLVFIIYRSLGQFLSTENATIKLGADFIGRNSTIAVNSHVISVSINKESSRVYLTDPVLFTLPHIDPDNYFNANCSFWNYSERTMMGYWSTQGCKLVDTNKTRTTCACSHLTNFAILMAHREIAYKDGVHELLLTVITWVGIVISLVCLAICIFTFCFFRGLQSDRNTIHKNLCINLFIAEFIFLIGIDKTKYAIACPIFAGLLHFFFLAAFAWMCLEGVQLYLMLVEVFESEYSRKKYYYVAGYLFPATVVGVSAAIDYKSYGTEKACWLHVDNYFIWSFIGPVTFIILLNIIFLVITLCKMVKHSNTLKPDSSRLENIKSWVLGAFALLCLLGLTWSFGLLFINEETIVMAYLFTIFNAFQGVFIFIFHCALQKKVRKEYGKCFRHSYCCGGLPTESPHSSVKASTTRTSARYSSGTQSRIRRMWNDTVRKQSESSFISGDINSTSTLNQGMTGNYLLTNPLLRPHGTNNPYNTLLAETVVCNAPSAPVFNSPGHSLNNARDTSAMDTLPLNGNFNNSYSLHKGDYNDSVQVVDCGLSLNDTAFEKMIISELVHNNLRGSSKTHNLELTLPVKPVIGGSSSEDDAIVADASSLMHSDNPGLELHHKELEAPLIPQRTHSLLYQPQKKVKSEGTDSYVSQLTAEAEDHLQSPNRDSLYTSMPNLRDSPYPESSPDMEEDLSPSRRSENEDIYYKSMPNLGAGHQLQMCYQISRGNSDGYIIPINKEGCIPEGDVREGQMQLVTSL</t>
  </si>
  <si>
    <t>MWPSQLLIFMMLLAPIIHAFSRAPIPMAVVRRELSCESYPIELRCPGTDVIMIESANYGRTDDKICDSDPAQMENIRCYLPDAYKIMSQRCNNRTQCAVVAGPDVFPDPCPGTYKYLEVQYECVPYKVEQKVFLCPGLLKGVYQSEHLFESDHQSGAWCKDPLQASDKIYYMPWTPYRTDTLTEYSSKDDFIAGRPTTTYKLPHRVDGTGFVVYDGALFFNKERTRNIVKFDLRTRIKSGEAIIANANYHDTSPYRWGGKSDIDLAVDENGLWVIYATEQNNGKIVISQLNPYTLRIEGTWDTAYDKRSASNAFMICGILYVVKSVYEDDDNEATGNKIDYIYNTDQSKDSLVDVPFPNSYQYIAAVDYNPRDNLLYVWNNYHVVKYSLDFGPLDSRSGQAHHGQVSYISPPIHLDSELERPSVKDISTTGPLGMGSTTTSTTLRTTTLSPGRSTTPSVSGRRNRSTSTPSPAVEVLDDMTTHLPSASSQIPALEESCEAVEAREIMWFKTRQGQIAKQPCPAGTIGVSTYLCLAPDGIWDPQGPDLSNCSSPWVNHITQKLKSGETAANIARELAEQTRNHLNAGDITYSVRAMDQLVGLLDVQLRNLTPGGKDSAARSLNKAMVETVNNLLQPQALNAWRDLTTSDQLRAATMLLHTVEESAFVLADNLLKTDIVRENTDNIKLEVARLSTEGNLEDLKFPENMGHGSTIQLSANTLKQNGRNGEIRVAFVLYNNLGPYLSTENASMKLGTEALSTNHSVIVNSPVITAAINKEFSNKVYLADPVVFTVKHIKQSEENFNPNCSFWSYSKRTMTGYWSTQGCRLLTTNKTHTTCSCNHLTNFAVLMAHVEVKHSDAVHDLLLDVITWVGILLSLVCLLICIFTFCFFRGLQSDRNTIHKNLCISLFVAELLFLIGINRTDQPIACAVFAALLHFFFLAAFTWMFLEGVQLYIMLVEVFESEHSRRKYFYLVGYGMPALIVAVSAAVDYRSYGTDKVCWLRLDTYFIWSFIGPATLIIMLNVIFLGIALYKMFHHTAILKPESGCLDNIKSWVIGAIALLCLLGLTWAFGLMYINESTVIMAYLFTIFNSLQGMFIFIFHCVLQKKVRKEYGKCLRTHCCSGKSTESSIGSGKTSGSRTPGRYSTGSQSRIRRMWNDTVRKQSESSFITGDINSSASLNREGLLNNARDTSVMDTLPLNGNHGNSYSIASGEYLSNCVQIIDRGYNHNETALEKKILKELTSNYIPSYLNNHERSSEQNRNLMNKLVNNLGSGREDDAIVLDDATSFNHEESLGLELIHEESDAPLLPPRVYSTENHQPHHYTRRRIPQDHSESFFPLLTNEHTEDLQSPHRDSLYTSMPTLAGVAATESVTTSTQTEPPPAKCGDAEDVYYKSMPNLGSRNHVHQLHTYYQLGRGSSDGFIVPPNKDGTPPEGSSKGPAHLVTSL</t>
  </si>
  <si>
    <t>MKRLPLLVVFSTLLNCSYTQNCTKTPCLPNAKCEIRNGIEACYCNMGFSGNGVTICEDDNECGNLTQSCGENANCTNTEGSYYCMCVPGFRSSSNQDRFITNDGTVCIENVNANCHLDNVCIAANINKTLTKIRSIKEPVALLQEVYRNSVTDLSPTDIITYIEILAESSSLLGYKNNTISAKDTLSNSTLTEFVKTVNNFVQRDTFVVWDKLSVNHRRTHLTKLMHTVEQATLRISQSFQKTTEFDTNSTDIALKVFFFDSYNMKHIHPHMNMDGDYINIFPKRKAAYDSNGNVAVAFVYYKSIGPLLSSSDNFLLKPQNYDNSEEEERVISSVISVSMSSNPPTLYELEKITFTLSHRKVTDRYRSLCAFWNYSPDTMNGSWSSEGCELTYSNETHTSCRCNHLTHFAILMSSGPSIGIKDYNILTRITQLGIIISLICLAICIFTFWFFSEIQSTRTTIHKNLCCSLFLAELVFLVGINTNTNKLFCSIIAGLLHYFFLAAFAWMCIEGIHLYLIVVGVIYNKGFLHKNFYIFGYLSPAVVVGFSAALGYRYYGTTKVCWLSTENNFIWSFIGPACLIILVNLLAFGVIIYKVFRHTAGLKPEVSCFENIRSCARGALALLFLLGTTWIFGVLHVVHASVVTAYLFTVSNAFQGMFIFLFLCVLSRKIQEEYYRLFKNVPCCFGCLR</t>
  </si>
  <si>
    <t>MSVFLGPGMPSASLLVNLLSALLILFVFGETEIRFTGQTEFVVNETSTTVIRLIIERIGEPANVTAIVSLYGEDAGDFFDTYAAAFIPAGETNRTVYIAVCDDDLPEPDETFIFHLTLQKPSANVKLGWPRTVTVTILSNDNAFGIISFNMLPSIAVSEPKGRNESMPLTLIREKGTYGMVMVTFEVEGGPNPPDEDLSPVKGNITFPPGRATVIYNLTVLDDEVPENDEIFLIQLKSVEGGAEINTSRNSIEIIIKKNDSPVRFLQSIYLVPEEDHILIIPVVRGKDNNGNLIGSDEYEVSISYAVTTGNSTAHAQQNLDFIDLQPNTTVVFPPFIHESHLKFQIVDDTIPEIAESFHIMLLKDTLQGDAVLISPSVVQVTIKPNDKPYGVLSFNSVLFERTVIIDEDRISRYEEITVVRNGGTHGNVSANWVLTRNSTDPSPVTADIRPSSGVLHFAQGQMLATIPLTVVDDDLPEEAEAYLLQILPHTIRGGAEVSEPAELLFYIQDSDDVYGLITFFPMENQKIESSPGERYLSLSFTRLGGTKGDVRLLYSVLYIPAGAVDPLQAKEGILNISRRNDLIFPEQKTQVTTKLPIRNDAFLQNGAHFLVQLETVELLNIIPLIPPISPRFGEICNISLLVTPAIANGEIGFLSNLPIILHEPEDFAAEVVYIPLHRDGTDGQATVYWSLKPSGFNSKAVTPDDIGPFNGSVLFLSGQSDTTINITIKGDDIPEMNETVTLSLDRVNVENQVLKSGYTSRDLIILENDDPGGVFEFSPASRGPYVIKEGESVELHIIRSRGSLVKQFLHYRVEPRDSNEFYGNTGVLEFKPGEREIVITLLARLDGIPELDEHYWVVLSSHGERESKLGSATIVNITILKNDDPHGIIEFVSDGLIVMINESKGDAIYSAVYDVVRNRGNFGDVSVSWVVSPDFTQDVFPVQGTVVFGDQEFSKNITIYSLPDEIPEEMEEFTVILLNGTGGAKVGNRTTATLRIRRNDDPIYFAEPRVVRVQEGETANFTVLRNGSVDVTCMVQYATKDGKATARERDFIPVEKGETLIFEVGSRQQSISIFVNEDGIPETDEPFYIILLNSTGDTVVYQYGVATVIIEANDDPNGIFSLEPIDKAVEEGKTNAFWILRHRGYFGSVSVSWQLFQNDSALQPGQEFYETSGTVNFMDGEEAKPIILHAFPDKIPEFNEFYFLKLVNISGGSPGPGGQLAETNLQVTVMVPFNDDPFGVFILDPECLEREVAEDVLSEDDMSYITNFTILRQQGVFGDVQLGWEILSSEFPAGLPPMIDFLLVGIFPTTVHLQQHMRRHHSGTDALYFTGLEGAFGTVNPKYHPSRNNTIANFTFSAWVMPNANTNGFIIAKDDGNGSIYYGVKIQTNESHVTLSLHYKTLGSNATYIAKTTVMKYLEESVWLHLLIILEDGIIEFYLDGNAMPRGIKSLKGEAITDGPGILRIGAGINGNDRFTGLMQDVRSYERKLTLEEIYELHAMPAKSDLHPISGYLEFRQGETNKSFIISARDDNDEEGEELFILKLVSVYGGARISEENTTARLTIQKSDNANGLFGFTGACIPEIAEEGSTISCVVERTRGALDYVHVFYTISQIETDGINYLVDDFANASGTITFLPWQRSEVLNIYVLDDDIPELNEYFRVTLVSAIPGDGKLGSTPTSGASIDPEKETTDITIKASDHPYGLLQFSTGLPPQPKDAMTLPASSVPHITVEEEDGEIRLLVIRAQGLLGRVTAEFRTVSLTAFSPEDYQNVAGTLEFQPGERYKYIFINITDNSIPELEKSFKVELLNLEGGVAELFRVDGSGSGDGDMEFFLPTIHKRASLGVASQILVTIAASDHAHGVFEFSPESLFVSGTEPEDGYSTVTLNVIRHHGTLSPVTLHWNIDSDPDGDLAFTSGNITFEIGQTSANITVEILPDEDPELDKAFSVSVLSVSSGSLGAHINATLTVLASDDPYGIFIFSEKNRPVKVEEATQNITLSIIRLKGLMGKVLVSYATLDDMEKPPYFPPNLARATQGRDYIPASGFALFGANQSEATIAISILDDDEPERSESVFIELLNSTLVAKVQSRSIPNSPRLGPKVETIAQLIIIANDDAFGTLQLSAPIVRVAENHVGPIINVTRTGGAFADVSVKFKAVPITAIAGEDYSIASSDVVLLEGETSKAVPIYVINDIYPELEESFLVQLMNETTGGARLGALTEAVIIIEASDDPYGLFGFQITKLIVEEPEFNSVKVNLPIIRNSGTLGNVTVQWVATINGQLATGDLRVVSGNVTFAPGETIQTLLLEVLADDVPEIEEVIQVQLTDASGGGTIGLDRIANIIIPANDDPYGTVAFAQMVYRVQEPLERSSCANITVRRSGGHFGRLLLFYSTSDIDVVALAMEEGQDLLSYYESPIQGVPDPLWRTWMNVSAVGEPLYTCATLCLKEQACSAFSFFSASEGPQCFWMTSWISPAVNNSDFWTYRKNMTRVASLFSGQAVAGSDYEPVTRQWAIMQEGDEFANLTVSILPDDFPEMDESFLISLLEVHLMNISASLKNQPTIGQPNISTVVIALNGDAFGVFVIYNISPNTSEDGLFVEVQEQPQTLVELMIHRTGGSLGQVAVEWRVVGGTATEGLDFIGAGEILTFAEGETKKTVILTILDDSEPEDDESIIVSLVYTEGGSRILPSSDTVRVNILANDNVAGIVSFQTASRSVIGHEGEILQFHVIRTFPGRGNVTVNWKIIGQNLELNFANFSGQLFFPEGSLNTTLFVHLLDDNIPEEKEVYQVILYDVRTQGVPPAGIALLDAQGYAAVLTVEASDEPHGVLNFALSSRFVLLQEANITIQLFINREFGSLGAINVTYTTVPGMLSLKNQTVGNLAEPEVDFVPIIGFLILEEGETAAAINITILEDDVPELEEYFLVNLTYVGLTMAASTSFPPRLDSEGLTAQVIIDANDGARGVIEWQQSRFEVNETHGSLTLVAQRSREPLGHVSLFVYAQNLEAQVGLDYIFTPMILHFADGERYKNVNIMILDDDIPEGDEKFQLILTNPSPGLELGKNTIALIIVLANDDGPGVLSFNNSEHFFLREPTALYVQESVAVLYIVREPAQGLFGTVTVQFIVTEVNSSNESKDLTPSKGYIVLEEGVRFKALQISAILDTEPEMDEYFVCTLFNPTGGARLGVHVQTLITVLQNQAPLGLFSISAVENRATSIDIEEANRTVYLNVSRTNGIDLAVSVQWETVSETAFGMRGMDVVFSVFQSFLDESASGWCFFTLENLIYGIMLRKSSVTVYRWQGIFIPVEDLNIENPKTCEAFNIGFSPYFVITHEERNEEKPSLNSVFTFTSGFKLFLVQTIIILESSQVRYFTSDSQDYLIIASQRDDSELTQVFRWNGGSFVLHQKLPVRGVLTVALFNKGGSVFLAISQANARLNSLLFRWSGSGFINFQEVPVSGTTEVEALSSANDIYLIFAENVFLGDQNSIDIFIWEMGQSSFRYFQSVDFAAVNRIHSFTPASGIAHILLIGQDMSALYCWNSERNQFSFVLEVPSAYDVASVTVKSLNSSKNLIALVGAHSHIYELAYISSHSDFIPSSGELIFEPGEREATIAVNILDDTVPEKEESFKVQLKNPKGGAEIGINDSVTITILSNDDAYGIVAFAQNSLYKQVEEMEQDSLVTLNVERLKGTYGRITIAWEADGSISDIFPTSGVILFTEGQVLSTITLTILADNIPELSEVVIVTLTRITTEGVEDSYKGATIDQDRSKSVITTLPNDSPFGLVGWRAASVFIRVAEPKENTTTLQLQIARDKGLLGDIAIHLRAQPNFLLHVDNQATENEDYVLQETIIIMKENIKEAHAEVSILPDDLPELEEGFIVTITEVNLVNSDFSTGQPSVRRPGMEIAEIMIEENDDPRGIFMFHVTRGAGEVITAYEVPPPLNVLQVPVVRLAGSFGAVNVYWKASPDSAGLEDFKPSHGILEFADKQVTAMIEITIIDDAEFELTETFNISLISVAGGGRLGDDVVVTVVIPQNDSPFGVFGFEEKTVMIDESLSSDDPDSYVTLTVVRSPGGKGTVRLEWTIDEKAKHNLSPLNGTLHFDETESQKTIVLHTLQDTVLEEDRRFTIQLISIDEVEISPVKGSASIIIRGDKRASGEVGIAPSSRHILIGEPSAKYNGTAIISLVRGPGILGEVTVFWRIFPPSVGEFAETSGKLTMRDEQSAVIVVIQALNDDIPEEKSFYEFQLTAVSEGGVLSESSSTANITVVASDSPYGRFAFSHEQLRVSEAQRVNITIIRSSGDFGHVRLWYKTMSGTAEAGLDFVPAAGELLFEAGEMRKSLHVEILDDDYPEGPEEFSLTITKVELQGRGYDFTIQENGLQIDQPPEIGNISIVRIIIMKNDNAEGIIEFDPKYTAFEVEEDVGLIMIPVVRLHGTYGYVTADFISQSSSASPGGVDYILHGSTVTFQHGQNLSFINISIIDDNESEFEEPIEILLTGATGGAVLGRHLVSRIIIAKSDSPFGVIRFLNQSKISIANPNSTMILSLVLERTGGLLGEIQVNWETVGPNSQEALLPQNRDIADPVSGLFYFGEGEGGVRTIILTIYPHEEIEVEETFIIKLHLVKGEAKLDSRAKDVTLTIQEFGDPNGVVQFAPETLSKKTYSEPLALEGPLLITFFVRRVKGTFGEIMVYWELSSEFDITEDFLSTSGFFTIADGESEASFDVHLLPDEVPEIEEDYVIQLVSVEGGAELDLEKSITWFSVYANDDPHGVFALYSDRQSILIGQNLIRSIQINITRLAGTFGDVAVGLRISSDHKEQPIVTENAERQLVVKDGATYKVDVVPIKNQVFLSLGSNFTLQLVTVMLVGGRFYGMPTILQEAKSAVLPVSEKAANSQVGFESTAFQLMNITAGTSHVMISRRGTYGALSVAWTTGYAPGLEIPEFIVVGNMTPTLGSLSFSHGEQRKGVFLWTFPSPGWPEAFVLHLSGVQSSAPGGAQLRSGFIVAEIEPMGVFQFSTSSRNIIVSEDTQMIRLHVQRLFGFHSDLIKVSYQTTAGSAKPLEDFEPVQNGELFFQKFQTEVDFEITIINDQLSEIEEFFYINLTSVEIRGLQKFDVNWSPRLNLDFSVAVITILDNDDLAGMDISFPETTVAVAVDTTLIPVETESTTYLSTSKTTTILQPTNVVAIVTEATGVSAIPEKLVTLHGTPAVSEKPDVATVTANVSIHGTFSLGPSIVYIEEEMKNGTFNTAEVLIRRTGGFTGNVSITVKTFGERCAQMEPNALPFRGIYGISNLTWAVEEEDFEEQTLTLIFLDGERERKVSVQILDDDEPEGQEFFYVFLTNPQGGAQIVEEKDDTGFAAFAMVIITGSDLHNGIIGFSEESQSGLELREGAVMRRLHLIVTRQPNRAFEDVKVFWRVTLNKTVVVLQKDGVNLVEELQSVSGTTTCTMGQTKCFISIELKPEKVPQVEVYFFVELYEATAGAAINNSARFAQIKILESDESQSLVYFSVGSRLAVAHKKATLISLQVARDSGTGLMMSVNFSTQELRSAETIGRTIISPAISGKDFVITEGTLVFEPGQRSTVLDVILTPETGSLNSFPKRFQIVLFDPKGGARIDKVYGTANITLVSDADSQAIWGLADQLHQPVNDDILNRVLHTISMKVATENTDEQLSAMMHLIEKITTEGKIQAFSVASRTLFYEILCSLINPKRKDTRGFSHFAEVTENFAFSLLTNVTCGSPGEKSKTILDSCPYLSILALHWYPQQINGHKFEGKEGDYIRIPERLLDVQDAEIMAGKSTCKLVQFTEYSSQQWFISGNNLPTLKNKVLSLSVKGQSSQLLTNDNEVLYRIYAAEPRIIPQTSLCLLWNQAAASWLSDSQFCKVVEETADYVECACSHMSVYAVYARTDNLSSYNEAFFTSGFICISGLCLAVLSHIFCARYSMFAAKLLTHMMAASLGTQILFLASAYASPQLAEESCSAMAAVTHYLYLCQFSWMLIQSVNFWYVLVMNDEHTERRYLLFFLLSWGLPAFVVILLIVILKGIYHQSMSQIYGLIHGDLCFIPNVYAALFTAALVPLTCLVVVFVVFIHAYQVKPQWKAYDDVFRGRTNAAEIPLILYLFALISVTWLWGGLHMAYRHFWMLVLFVIFNSLQGLYVFMVYFILHNQMCCPMKASYTVEMNGHPGPSTAFFTPGSGMPPAGGEISKSTQNLIGAMEEVPPDWERASFQQGSQASPDLKPSPQNGATFPSSGGYGQGSLIADEESQEFDDLIFALKTGAGLSVSDNESGQGSQEGGTLTDSQIVELRRIPIADTHL</t>
  </si>
  <si>
    <t>MFVASERKMRAHQVLTFLLLFVITSVASENASTSRGCGLDLLPQYVSLCDLDAIWGIVVEAVAGAGALITLLLMLILLVRLPFIKEKEKKSPVGLHFLFLLGTLGLFGLTFAFIIQEDETICSVRRFLWGVLFALCFSCLLSQAWRVRRLVRHGTGPAGWQLVGLALCLMLVQVIIAVEWLVLTVLRDTRPACAYEPMDFVMALIYDMVLLVVTLGLALFTLCGKFKRWKLNGAFLLITAFLSVLIWVAWMTMYLFGNVKLQQGDAWNDPTLAITLAASGWVFVIFHAIPEIHCTLLPALQENTPNYFDTSQPRMRETAFEEDVQLPRAYMENKAFSMDEHNAALRTAGFPNGSLGKRPSGSLGKRPSAPFRSNVYQPTEMAVVLNGGTIPTAPPSHTGRHLW</t>
  </si>
  <si>
    <t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t>
  </si>
  <si>
    <t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QPLLPLQCGETDLDLTVQETGLQGPVGGDQRPEVEDPEELSPALVVSSSQSFVISGGGSTVTENVVNS</t>
  </si>
  <si>
    <t>MAFLIILITCFVIILATSQPCQTPDDFVAATSPGHIIIGGLFAIHEKMLSSEDSPRRPQIQECVGFEISVFLQTLAMIHSIEMINNSTLLPGVKLGYEIYDTCTEVTVAMAATLRFLSKFNCSRETVEFKCDYSSYMPRVKAVIGSGYSEITMAVSRMLNLQLMPQVGYESTAEILSDKIRFPSFLRTVPSDFHQIKAMAHLIQKSGWNWIGIITTDDDYGRLALNTFIIQAEANNVCIAFKEVLPAFLSDNTIEVRINRTLKKIILEAQVNVIVVFLRQFHVFDLFNKAIEMNINKMWIASDNWSTATKITTIPNVKKIGKVVGFAFRRGNISSFHSFLQNLHLLPSDSHKLLHEYAMHLSACAYVKDTDLSQCIFNHSQRTLAYKANKAIERNFVMRNDFLWDYAEPGLIHSIQLAVFALGYAIRDLCQARDCQNPNAFQPWELLGVLKNVTFTDGWNSFHFDAHGDLNTGYDVVLWKEINGHMTVTKMAEYDLQNDVFIIPDQETKNEFRNLKQIQSKCSKECSPGQMKKTTRSQHICCYECQNCPENHYTNQTDMPHCLLCNNKTHWAPVRSTMCFEKEVEYLNWNDSLAILLLILSLLGIIFVLVVGIIFTRNLNTPVVKSSGGLRVCYVILLCHFLNFASTSFFIGEPQDFTCKTRQTMFGVSFTLCISCILTKSLKILLAFSFDPKLQKFLKCLYRPILIIFTCTGIQVVICTLWLIFAAPTVEVNVSLPRVIILECEEGSILAFGTMLGYIAILAFICFIFAFKGKYENYNEAKFITFGMLIYFIAWITFIPIYATTFGKYVPAVEIIVILISNYGILYCTFIPKCYVIICKQEINTKSAFLKMIYSYSSHSVSSIALSPASLDSMSGNVTMTNPSSSGKSATWQKSKDLQAQAFAHICRENATSVSKTLPRKRMSSI</t>
  </si>
  <si>
    <t>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KYSMEPDPAGRDISIRPLLEHCENTHMTIWLGIVYAYKGLLMLFGCFLAWETRNVSIPALNDSKYIGMSVYNVGIMCIIGAAVSFLTRDQPNVQFCIVALVIIFCSTITLCLVFVPKLITLRTNPDAATQNRRFQFTQNQKKEDSKTSTSVTSVNQASTSRLEGLQSENHRLRMKITELDKDLEEVTMQLQDTPEKTTYIKQNHYQELNDILNLGNFTESTDGGKAILKNHLDQNPQLQWNTTEPSRTCKDPIEDINSPEHIQRRLSLQLPILHHAYLPSIGGVDASCVSPCVSPTASPRHRHVPPSFRVMVSGL</t>
  </si>
  <si>
    <t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t>
  </si>
  <si>
    <t>MGSLLALLALLLLWGAVAEGPAKKVLTLEGDLVLGGLFPVHQKGGPAEDCGPVNEHRGIQRLEAMLFALDRINRDPHLLPGVRLGAHILDSCSKDTHALEQALDFVRASLSRGADGSRHICPDGSYATHGDAPTAITGVIGGSYSDVSIQVANLLRLFQIPQISYASTSAKLSDKSRYDYFARTVPPDFFQAKAMAEILRFFNWTYVSTVASEGDYGETGIEAFELEARARNICVATSEKVGRAMSRAAFEGVVRALLQKPSARVAVLFTRSEDARELLAASQRLNASFTWVASDGWGALESVVAGSEGAAEGAITIELASYPISDFASYFQSLDPWNNSRNPWFREFWEQRFRCSFRQRDCAAHSLRAVPFEQESKIMFVVNAVYAMAHALHNMHRALCPNTTRLCDAMRPVNGRRLYKDFVLNVKFDAPFRPADTHNEVRFDRFGDGIGRYNIFTYLRAGSGRYRYQKVGYWAEGLTLDTSLIPWASPSAGPLPASRCSEPCLQNEVKSVQPGEVCCWLCIPCQPYEYRLDEFTCADCGLGYWPNASLTGCFELPQEYIRWGDAWAVGPVTIACLGALATLFVLGVFVRHNATPVVKASGRELCYILLGGVFLCYCMTFIFIAKPSTAVCTLRRLGLGTAFSVCYSALLTKTNRIARIFGGAREGAQRPRFISPASQVAICLALISGQLLIVVAWLVVEAPGTGKETAPERREVVTLRCNHRDASMLGSLAYNVLLIALCTLYAFKTRKCPENFNEAKFIGFTMYTTCIIWLAFLPIFYVTSSDYRVQTTTMCVSVSLSGSVVLGCLFAPKLHIILFQPQKNVVSHRAPTSRFGSAAARASSSLGQGSGSQFVPTVCNGREVVDSTTSSL</t>
  </si>
  <si>
    <t>MKMLTRLQVLTLALFSKGFLLSLGDHNFLRREIKIEGDLVLGGLFPINEKGTGTEECGRINEDRGIQRLEAMLFAIDEINKDDYLLPGVKLGVHILDTCSRDTYALEQSLEFVRASLTKVDEAEYMCPDGSYAIQENIPLLIAGVIGGSYSSVSIQVANLLRLFQIPQISYASTSAKLSDKSRYDYFARTVPPDFYQAKAMAEILRFFNWTYVSTVASEGDYGETGIEAFEQEARLRNICIATAEKVGRSNIRKSYDSVIRELLQKPNARVVVLFMRSDDSRELIAAASRANASFTWVASDGWGAQESIIKGSEHVAYGAITLELASQPVRQFDRYFQSLNPYNNHRNPWFRDFWEQKFQCSLQNKRNHRRVCDKHLAIDSSNYEQESKIMFVVNAVYAMAHALHKMQRTLCPNTTKLCDAMKILDGKKLYKDYLLKINFTAPFNPNKDADSIVKFDTFGDGMGRYNVFNFQNVGGKYSYLKVGHWAETLSLDVNSIHWSRNSVPTSQCSDPCAPNEMKNMQPGDVCCWICIPCEPYEYLADEFTCMDCGSGQWPTADLTGCYDLPEDYIRWEDAWAIGPVTIACLGFMCTCMVVTVFIKHNNTPLVKASGRELCYILLFGVGLSYCMTFFFIAKPSPVICALRRLGLGSSFAICYSALLTKTNCIARIFDGVKNGAQRPKFISPSSQVFICLGLILVQIVMVSVWLILEAPGTRRYTLAEKRETVILKCNVKDSSMLISLTYDVILVILCTVYAFKTRKCPENFNEAKFIGFTMYTTCIIWLAFLPIFYVTSSDYRVQTTTMCISVSLSGFVVLGCLFAPKVHIILFQPQKNVVTHRLHLNRFSVSGTGTTYSQSSASTYVPTVCNGREVLDSTTSSL</t>
  </si>
  <si>
    <t>MPGKRGLGWWWARLPLCLLLSLYGPWMPSSLGKPKGHPHMNSIRIDGDITLGGLFPVHGRGSEGKPCGELKKEKGIHRLEAMLFALDRINNDPDLLPNITLGARILDTCSRDTHALEQSLTFVQALIEKDGTEVRCGSGGPPIITKPERVVGVIGASGSSVSIMVANILRLFKIPQISYASTAPDLSDNSRYDFFSRVVPSDTYQAQAMVDIVRALKWNYVSTVASEGSYGESGVEAFIQKSREDGGVCIAQSVKIPREPKAGEFDKIIRRLLETSNARAVIIFANEDDIRRVLEAARRANQTGHFFWMGSDSWGSKIAPVLHLEEVAEGAVTILPKRMSVRGFDRYFSSRTLDNNRRNIWFAEFWEDNFHCKLSRHALKKGSHVKKCTNRERIGQDSAYEQEGKVQFVIDAVYAMGHALHAMHRDLCPGRVGLCPRMDPVDGTQLLKYIRNVNFSGIAGNPVTFNENGDAPGRYDIYQYQLRNDSAEYKVIGSWTDHLHLRIERMHWPGSGQQLPRSICSLPCQPGERKKTVKGMPCCWHCEPCTGYQYQVDRYTCKTCPYDMRPTENRTGCRPIPIIKLEWGSPWAVLPLFLAVVGIAATLFVVITFVRYNDTPIVKASGRELSYVLLAGIFLCYATTFLMIAEPDLGTCSLRRIFLGLGMSISYAALLTKTNRIYRIFEQGKRSVSAPRFISPASQLAITFSLISLQLLGICVWFVVDPSHSVVDFQDQRTLDPRFARGVLKCDISDLSLICLLGYSMLLMVTCTVYAIKTRGVPETFNEAKPIGFTMYTTCIVWLAFIPIFFGTSQSADKLYIQTTTLTVSVSLSASVSLGMLYMPKVYIILFHPEQNVPKRKRSLKAVVTAATMSNKFTQKGNFRPNGEAKSELCENLEAPALATKQTYVTYTNHAI</t>
  </si>
  <si>
    <t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t>
  </si>
  <si>
    <t>MARPRRAREPLLVALLPLAWLAQAGLARAAGSVRLAGGLTLGGLFPVHARGAAGRACGQLKKEQGVHRLEAMLYALDRVNADPELLPGVRLGARLLDTCSRDTYALEQALSFVQALIRGRGDGDEVGVRCPGGVPPLRPAPPERVVAVVGASASSVSIMVANVLRLFAIPQISYASTAPELSDSTRYDFFSRVVPPDSYQAQAMVDIVRALGWNYVSTLASEGNYGESGVEAFVQISREAGGVCIAQSIKIPREPKPGEFSKVIRRLMETPNARGIIIFANEDDIRRVLEAARQANLTGHFLWVGSDSWGAKTSPILSLEDVAVGAITILPKRASIDGFDQYFMTRSLENNRRNIWFAEFWEENFNCKLTSSGTQSDDSTRKCTGEERIGRDSTYEQEGKVQFVIDAVYAIAHALHSMHQALCPGHTGLCPAMEPTDGRMLLQYIRAVRFNGSAGTPVMFNENGDAPGRYDIFQYQATNGSASSGGYQAVGQWAETLRLDVEALQWSGDPHEVPSSLCSLPCGPGERKKMVKGVPCCWHCEACDGYRFQVDEFTCEACPGDMRPTPNHTGCRPTPVVRLSWSSPWAAPPLLLAVLGIVATTTVVATFVRYNNTPIVRASGRELSYVLLTGIFLIYAITFLMVAEPGAAVCAARRLFLGLGTTLSYSALLTKTNRIYRIFEQGKRSVTPPPFISPTSQLVITFSLTSLQVVGMIAWLGARPPHSVIDYEEQRTVDPEQARGVLKCDMSDLSLIGCLGYSLLLMVTCTVYAIKARGVPETFNEAKPIGFTMYTTCIIWLAFVPIFFGTAQSAEKIYIQTTTLTVSLSLSASVSLGMLYVPKTYVILFHPEQNVQKRKRSLKATSTVAAPPKGEDAEAHK</t>
  </si>
  <si>
    <t>MVQLRKLLRVLTLMKFPCCVLEVLLCALAAAARGQEMYAPHSIRIEGDVTLGGLFPVHAKGPSGVPCGDIKRENGIHRLEAMLYALDQINSDPNLLPNVTLGARILDTCSRDTYALEQSLTFVQALIQKDTSDVRCTNGEPPVFVKPEKVVGVIGASGSSVSIMVANILRLFQIPQISYASTAPELSDDRRYDFFSRVVPPDSFQAQAMVDIVKALGWNYVSTLASEGSYGEKGVESFTQISKEAGGLCIAQSVRIPQERKDRTIDFDRIIKQLLDTPNSRAVVIFANDEDIKQILAAAKRADQVGHFLWVGSDSWGSKINPLHQHEDIAEGAITIQPKRATVEGFDAYFTSRTLENNRRNVWFAEYWEENFNCKLTISGSKKEDTDRKCTGQERIGKDSNYEQEGKVQFVIDAVYAMAHALHHMNKDLCADYRGVCPEMEQAGGKKLLKYIRNVNFNGSAGTPVMFNKNGDAPGRYDIFQYQTTNTSNPGYRLIGQWTDELQLNIEDMQWGKGVREIPASVCTLPCKPGQRKKTQKGTPCCWTCEPCDGYQYQFDEMTCQHCPYDQRPNENRTGCQDIPIIKLEWHSPWAVIPVFLAMLGIIATIFVMATFIRYNDTPIVRASGRELSYVLLTGIFLCYIITFLMIAKPDVAVCSFRRVFLGLGMCISYAALLTKTNRIYRIFEQGKKSVTAPRLISPTSQLAITSSLISVQLLGVFIWFGVDPPNIIIDYDEHKTMNPEQARGVLKCDITDLQIICSLGYSILLMVTCTVYAIKTRGVPENFNEAKPIGFTMYTTCIVWLAFIPIFFGTAQSAEKLYIQTTTLTISMNLSASVALGMLYMPKVYIIIFHPELNVQKRKRSFKAVVTAATMSSRLSHKPSDRPNGEAKTELCENVDPNSPAAKKKYVSYNNLVI</t>
  </si>
  <si>
    <t>MVCEGKRSASCPCFFLLTAKFYWILTMMQRTHSQEYAHSIRVDGDIILGGLFPVHAKGERGVPCGELKKEKGIHRLEAMLYAIDQINKDPDLLSNITLGVRILDTCSRDTYALEQSLTFVQALIEKDASDVKCANGDPPIFTKPDKISGVIGAAASSVSIMVANILRLFKIPQISYASTAPELSDNTRYDFFSRVVPPDSYQAQAMVDIVTALGWNYVSTLASEGNYGESGVEAFTQISREIGGVCIAQSQKIPREPRPGEFEKIIKRLLETPNARAVIMFANEDDIRRILEAAKKLNQSGHFLWIGSDSWGSKIAPVYQQEEIAEGAVTILPKRASIDGFDRYFRSRTLANNRRNVWFAEFWEENFGCKLGSHGKRNSHIKKCTGLERIARDSSYEQEGKVQFVIDAVYSMAYALHNMHKDLCPGYIGLCPRMSTIDGKELLGYIRAVNFNGSAGTPVTFNENGDAPGRYDIFQYQITNKSTEYKVIGHWTNQLHLKVEDMQWAHREHTHPASVCSLPCKPGERKKTVKGVPCCWHCERCEGYNYQVDELSCELCPLDQRPNMNRTGCQLIPIIKLEWHSPWAVVPVFVAILGIIATTFVIVTFVRYNDTPIVRASGRELSYVLLTGIFLCYSITFLMIAAPDTIICSFRRVFLGLGMCFSYAALLTKTNRIHRIFEQGKKSVTAPKFISPASQLVITFSLISVQLLGVFVWFVVDPPHIIIDYGEQRTLDPEKARGVLKCDISDLSLICSLGYSILLMVTCTVYAIKTRGVPETFNEAKPIGFTMYTTCIIWLAFIPIFFGTAQSAEKMYIQTTTLTVSMSLSASVSLGMLYMPKVYIIIFHPEQNVQKRKRSFKAVVTAATMQSKLIQKGNDRPNGEVKSELCESLETNTSSTKTTYISYSNHSI</t>
  </si>
  <si>
    <t>MLLCTARLVGLQLLISCCWAFACHSTESSPDFTLPGDYLLAGLFPLHSGCLQVRHRPEVTLCDRSCSFNEHGYHLFQAMRLGVEEINNSTALLPNITLGYQLYDVCSDSANVYATLRVLSLPGQHHIELQGDLLHYSPTVLAVIGPDSTNRAATTAALLSPFLVPMISYAASSETLSVKRQYPSFLRTIPNDKYQVETMVLLLQKFGWTWISLVGSSDDYGQLGVQALENQATGQGICIAFKDIMPFSAQVGDERMQCLMRHLAQAGATVVVVFSSRQLARVFFESVVLTNLTGKVWVASEAWALSRHITGVPGIQRIGMVLGVAIQKRAVPGLKAFEEAYARADKKAPRPCHKGSWCSSNQLCRECQAFMAHTMPKLKAFSMSSAYNAYRAVYAVAHGLHQLLGCASGACSRGRVYPWQLLEQIHKVHFLLHKDTVAFNDNRDPLSSYNIIAWDWNGPKWTFTVLGSSTWSPVQLNINETKIQWHGKDNQVPKSVCSSDCLEGHQRVVTGFHHCCFECVPCGAGTFLNKSDLYRCQPCGKEEWAPEGSQTCFPRTVVFLALREHTSWVLLAANTLLLLLLLGTAGLFAWHLDTPVVRSAGGRLCFLMLGSLAAGSGSLYGFFGEPTRPACLLRQALFALGFTIFLSCLTVRSFQLIIIFKFSTKVPTFYHAWVQNHGAGLFVMISSAAQLLICLTWLVVWTPLPAREYQRFPHLVMLECTETNSLGFILAFLYNGLLSISAFACSYLGKDLPENYNEAKCVTFSLLFNFVSWIAFFTTASVYDGKYLPAANMMAGLSSLSSGFGGYFLPKCYVILCRPDLNSTEHFQASIQDYTRRCGST</t>
  </si>
  <si>
    <t>MGPRAKTISSLFFLLWVLAEPAENSDFYLPGDYLLGGLFSLHANMKGIVHLNFLQVPMCKEYEVKVIGYNLMQAMRFAVEEINNDSSLLPGVLLGYEIVDVCYISNNVQPVLYFLAHEDNLLPIQEDYSNYISRVVAVIGPDNSESVMTVANFLSLFLLPQITYSAISDELRDKVRFPALLRTTPSADHHIEAMVQLMLHFRWNWIIVLVSSDTYGRDNGQLLGERVARRDICIAFQETLPTLQPNQNMTSEERQRLVTIVDKLQQSTARVVVVFSPDLTLYHFFNEVLRQNFTGAVWIASESWAIDPVLHNLTELRHLGTFLGITIQSVPIPGFSEFREWGPQAGPPPLSRTSQSYTCNQECDNCLNATLSFNTILRLSGERVVYSVYSAVYAVAHALHSLLGCDKSTCTKRVVYPWQLLEEIWKVNFTLLDHQIFFDPQGDVALHLEIVQWQWDRSQNPFQSVASYYPLQRQLKNIQDISWHTINNTIPMSMCSKRCQSGQKKKPVGIHVCCFECIDCLPGTFLNHTEDEYECQACPNNEWSYQSETSCFKRQLVFLEWHEAPTIAVALLAALGFLSTLAILVIFWRHFQTPIVRSAGGPMCFLMLTLLLVAYMVVPVYVGPPKVSTCLCRQALFPLCFTICISCIAVRSFQIVCAFKMASRFPRAYSYWVRYQGPYVSMAFITVLKMVIVVIGMLATGLSPTTRTDPDDPKITIVSCNPNYRNSLLFNTSLDLLLSVVGFSFAYMGKELPTNYNEAKFITLSMTFYFTSSVSLCTFMSAYSGVLVTIVDLLVTVLNLLAISLGYFGPKCYMILFYPERNTPAYFNSMIQGYTMRRD</t>
  </si>
  <si>
    <t>MLGPAVLGLSLWALLHPGTGAPLCLSQQLRMKGDYVLGGLFPLGEAEEAGLRSRTRPSSPVCTRFSSNGLLWALAMKMAVEEINNKSDLLPGLRLGYDLFDTCSEPVVAMKPSLMFLAKAGSRDIAAYCNYTQYQPRVLAVIGPHSSELAMVTGKFFSFFLMPQVSYGASMELLSARETFPSFFRTVPSDRVQLTAAAELLQEFGWNWVAALGSDDEYGRQGLSIFSALAAARGICIAHEGLVPLPRADDSRLGKVQDVLHQVNQSSVQVVLLFASVHAAHALFNYSISSRLSPKVWVASEAWLTSDLVMGLPGMAQMGTVLGFLQRGAQLHEFPQYVKTHLALATDPAFCSALGEREQGLEEDVVGQRCPQCDCITLQNVSAGLNHHQTFSVYAAVYSVAQALHNTLQCNASGCPAQDPVKPWQLLENMYNLTFHVGGLPLRFDSSGNVDMEYDLKLWVWQGSVPRLHDVGRFNGSLRTERLKIRWHTSDNQKPVSRCSRQCQEGQVRRVKGFHSCCYDCVDCEAGSYRQNPDDIACTFCGQDEWSPERSTRCFRRRSRFLAWGEPAVLLLLLLLSLALGLVLAALGLFVHHRDSPLVQASGGPLACFGLVCLGLVCLSVLLFPGQPSPARCLAQQPLSHLPLTGCLSTLFLQAAEIFVESELPLSWADRLSGCLRGPWAWLVVLLAMLVEVALCTWYLVAFPPEVVTDWHMLPTEALVHCRTRSWVSFGLAHATNATLAFLCFLGTFLVRSQPGCYNRARGLTFAMLAYFITWVSFVPLLANVQVVLRPAVQMGALLLCVLGILAAFHLPRCYLLMRQPGLNTPEFFLGGGPGDAQGQNDGNTGNQGKHE</t>
  </si>
  <si>
    <t>MEPEINCSELCDSFPGQELDRRPLHDLCKTTITSSHHSSKTISSLSPVLLGIVWTFLSCGLLLILFFLAFTIHCRKNRIVKMSSPNLNIVTLLGSCLTYSSAYLFGIQDVLVGSSMETLIQTRLSMLCIGTSLVFGPILGKSWRLYKVFTQRVPDKRVIIKDLQLLGLVAALLMADVILLMTWVLTDPIQCLQILSVSMTVTGKDVSCTSTSTHFCASRYSDVWIALIWGCKGLLLLYGAYLAGLTGHVSSPPVNQSLTIMVGVNLLVLAAGLLFVVTRYLHSWPNLVFGLTSGGIFVCTTTINCFIFIPQLKQWKAFEEENQTIRRMAKYFSTPNKSFHTQYGEEENCHPRGEKSSMERLLTEKNAVIESLQEQVNNAKEKIVRLMSAECTYDLPEGAAPPASSPNKDVQAVASVHTLAAAQGPSGHLSDFQNDPGMAARDSQCTSGPSSYAQSLEGPGKDSSFSPGKEEKISDSKDFSDHLDSGCSQKPWTEQSLGPERGDQVPMNPSQSLLPERGGSDPQRQRHLENSEEPPERRSRVSSVIREKLQEVLQDLGLGPEASLSTAPSCHQQTWKNSAAFSPQKMPLSKELGFSPYMVRRRRAAQRARSHFPGSAPSSVGHRANRTVPGAHSRLHVQNGDSPSLAPQTTDSRVRRPSSRKPSLPSDPQDRPGTLEGSKQSQTEPEGARGSKAAFLRQPSGSGRAPSPAAPCLSKASPDLPEQWQLWPPVPSGCASLSSQHSYFDTESSSSDEFFCRCHRPYCEICFQSSSDSSDSGTSDTDPEPTGGLASWEKLWARSKPIVNFKDDLKPTLV</t>
  </si>
  <si>
    <t>MGAMAYPLLLCLLLAQLGLGAVGASRDPQGRPDSPRERTPKGKPHAQQPGRASASDSSAPWSRSTDGTILAQKLAEEVPMDVASYLYTGDSHQLKRANCSGRYELAGLPGKWPALASAHPSLHRALDTLTHATNFLNVMLQSNKSREQNLQDDLDWYQALVWSLLEGEPSISRAAITFSTDSLSAPAPQVFLQATREESRILLQDLSSSAPHLANATLETEWFHGLRRKWRPHLHRRGPNQGPRGLGHSWRRKDGLGGDKSHFKWSPPYLECENGSYKPGWLVTLSSAIYGLQPNLVPEFRGVMKVDINLQKVDIDQCSSDGWFSGTHKCHLNNSECMPIKGLGFVLGAYECICKAGFYHPGVLPVNNFRRRGPDQHISGSTKDVSEEAYVCLPCREGCPFCADDSPCFVQEDKYLRLAIISFQALCMLLDFVSMLVVYHFRKAKSIRASGLILLETILFGSLLLYFPVVILYFEPSTFRCILLRWARLLGFATVYGTVTLKLHRVLKVFLSRTAQRIPYMTGGRVMRMLAVILLVVFWFLIGWTSSVCQNLEKQISLIGQGKTSDHLIFNMCLIDRWDYMTAVAEFLFLLWGVYLCYAVRTVPSAFHEPRYMAVAVHNELIISAIFHTIRFVLASRLQSDWMLMLYFAHTHLTVTVTIGLLLIPKFSHSSNNPRDDIATEAYEDELDMGRSGSYLNSSINSAWSEHSLDPEDIRDELKKLYAQLEIYKRKKMITNNPHLQKKRCSKKGLGRSIMRRITEIPETVSRQCSKEDKEGADHGTAKGTALIRKNPPESSGNTGKSKEETLKNRVFSLKKSHSTYDHVRDQTEESSSLPTESQEEETTENSTLESLSGKKLTQKLKEDSEAESTESVPLVCKSASAHNLSSEKKTGHPRTSMLQKSLSVIASAKEKTLGLAGKTQTAGVEERTKSQKPLPKDKETNRNHSNSDNTETKDPAPQNSNPAEEPRKPQKSGIMKQQRVNPTTANSDLNPGTTQMKDNFDIGEVCPWEVYDLTPGPVPSESKVQKHVSIVASEMEKNPTFSLKEKSHHKPKAAEVCQQSNQKRIDKAEVCLWESQGQSILEDEKLLISKTPVLPERAKEENGGQPRAANVCAGQSEELPPKAVASKTENENLNQIGHQEKKTSSSEENVRGSYNSSNNFQQPLTSRAEVCPWEFETPAQPNAGRSVALPASSALSANKIAGPRKEEIWDSFKV</t>
  </si>
  <si>
    <t>MGTRGAVMPPPMWGLLGCCFVCAWALGGPRPIRSLPPLSSQVKPGSVPMQVPLEGAEAALAYLYSGDAQQLSQVNCSERYEARGAGAMPGLPPSLQGAAGTLAQAANFLNMLLQANDIRESSVEEDVEWYQALVRSVAEGDPRVYRALLTFNPPPGASHLQLALQATRTGEETILQDLSGNWVQEENPPGDLDTPALKKRVLTNDLGSLGSPKWPQADGYVGDTQQVRLSPPFLECQEGRLRPGWLITLSATFYGLKPDLSPEVRGQVQMDVDLQSVDINQCASGPGWYSNTHLCDLNSTQCVPLESQGFVLGRYLCRCRPGFYGASPSGGLEESDFQTTGQFGFPEGRSGRLLQCLPCPEGCTSCMDATPCLVEEAAVLRAAVLACQACCMLAIFLSMLVSYRCRRNKRIWASGVVLLETVLFGFLLLYFPVFILYFKPSVFRCIALRWVRLLGFAIVYGTIILKLYRVLQLFLSRTAQRSALLSSGRLLRRLGLLLLPVLGFLAVWTVGALERGIQHAPLVIRGHTPSGRHFYLCHHDRWDYIMVVAELLLLCWGSFLCYATRAVLSAFHEPRYMGIALHNELLLSAAFHTARFVLVPSLHPDWTLLLFFFHTHSTVTTTLALIFIPKFWKLGAPPREEMVDEVCEDELDLQHSGSYLGSSIASAWSEHSLDPGDIRDELKKLYAQLEVHKTKEMAANNPHLPKKRGSSCQGLGRSFMRYLAEFPEALARQHSRDSGSPGHGSLPGSSRRRLLSSSLQEPEGTPALHKSRSTYDQRREQDPPLLDSLLRRKLAKKASRTESRESVEGPPALGFRSASAHNLTVGERLPRARPASLQKSLSVASSREKALLMASQAYLEETYRQAKEREERKKAKAAMASLVRRPSARRLERPRGAPLSAPPSPAKSSSVDSSHTSGRLHEEARRRLPHPPIRHQVSTPILALSGGLGEPRMLSPTSTLAPALLPALAPTPAPALAPVPVSPQSPNLLTYICPWENAELPAKQENVPQEGPSGPERGHHSPAPARARLWRALSVAVEKSRAGENEMDAEDAHHQREANDVDEDRPKIFPKSHSLKAPVQQGSMRSLGLAIKALTRSRSTYREKESVEESPEGQNSGTAGESMGAPSRSPRLGRPKAVSKQAALIPSDDKESLQNQQNAHTSRMLQVCQREGSREQEDRGRRMTQGLGERKAERAGKTGLAMLRQVSRDKNIKQSKETPVGWQELPKAGLQSLGSADHRVAEVCPWEVTESETRQPDSGNKAEICPWETSEGAPESRALRQDPGDSQKKRGEARGKSEPIDVVPMMRKKPERLVREQEAVCPWESADRGGLSPGSAPQDPGRIRDKSEAGDSVEARKVEKPGWEAAGPEAHTPDITKAEPCPWEASEGGEDGKPAQEAVKDLPQEKQKTRKATFWKEQKPGGDLESLCPWESTDFRGPSAVSIQAPGSSECSGSLGSGIAEVCLWEAGDAPAIQKAEICPWELDDNVMGQEMLSLGTGRESLQEKEKASRKGSFGEMGEQTVKAVQKLSQQQESVCPRESTVPGHSSPCLDNSSSKAGSQFLCNGGSRATQVCPQEDLRPEAQEATPAKTEICPWEVNERTREEWTSAQVPRGGESQKDKEKMPGKSEIEDVTAWEKPEGQIQKQEAVGPWESVDPGSFSPQPRPQDTERPQTLLQMSGSVGSKAADICPLDVEENLTAGKAEICPWEVGAGAGEERALGAEAIRKSPNDTGKVSADLGPRERAVTAPEKPQKPTPEWEVACPWGSVGPGACSQHPGTLDADGPKAGFQELDHMGCRPGEVCPWEAQEAATSEKAKICPWEVSEGTTGKGLDQKAGSESAEQREKALEKGRLTSLGEDVSKGMAKLCQQQETICIWENKDLRESPAQAPKISDLPSSMSSEVAEGHSLEATEKGDLRQDPKTGSFPEHITQEKAPAADTEEFTTEDGEKTSHELQSVCPWETTAPADSVSHLDRQRPDQPKASSQRLVSTGGRAADVCPWDVPDAGVYKSDSSAKAETCPWEVTERIPVKGVSRQDGKGDSQEEKGRAPEKSEPKGVPVQKKPEMADFRQQEAVCPWESQDGKGLSPQPAPDASDRSRGSSEAAGSVETRVAEVCLWEVVEAPSAKKAEICPWEAGGGAAEEGEQERESQGQGEMFLQKAGPGGTEEHFSKAAAKPREQEAVCPGEGTGSGGLLPQSGALDPELKVSPKEAGSMGSRMAELCQWEITDPEGNKIKGTMADICPGEETGVPSEESGLLALTATRREFFPTAPEKPLCLLVHGPLDHFFPESKIPCPKVSRPASTFTLEGVRELQGPSGLEPRTSLAPEPSLQEAESQSSSLTEDSGQVAFEAQYEEFTPPTVYPWDWE</t>
  </si>
  <si>
    <t>MATTVPDGCRNGLKSKYYRLCDKAEAWGIVLETVATAGVVTSVAFMLTLPILVCKVQDSNRRKMLPTQFLFLLGVLGIFGLTFAFIIGLDGSTGPTRFFLFGILFSICFSCLLAHAVSLTKLVRGRKPLSLLVILGLAVGFSLVQDVIAIEYIVLTMNRTNVNVFSELSAPRRNEDFVLLLTYVLFLMALTFLMSSFTFCGSFTGWKRHGAHIYLTMLLSIAIWVAWITLLMLPDFDRRWDDTILSSALAANGWVFLLAYVSPEFWLLTKQRNPMDYPVEDAFCKPQLVKKSYGVENRAYSQEEITQGFEETGDTLYAPYSTHFQLQNQPPQKEFSIPRAHAWPSPYKDYEVKKEGS</t>
  </si>
  <si>
    <t>MAIHKALVMCLGLPLFLFPGAWAQGHVPPGCSQGLNPLYYNLCDRSGAWGIVLEAVAGAGIVTTFVLTIILVASLPFVQDTKKRSLLGTQVFFLLGTLGLFCLVFACVVKPDFSTCASRRFLFGVLFAICFSCLAAHVFALNFLARKNHGPRGWVIFTVALLLTLVEVIINTEWLIITLVRGSGEGGPQGNSSAGWAVASPCAIANMDFVMALIYVMLLLLGAFLGAWPALCGRYKRWRKHGVFVLLTTATSVAIWVVWIVMYTYGNKQHNSPTWDDPTLAIALAANAWAFVLFYVIPEVSQVTKSSPEQSYQGDMYPTRGVGYETILKEQKGQSMFVENKAFSMDEPVAAKRPVSPYSGYNGQLLTSVYQPTEMALMHKVPSEGAYDIILPRATANSQVMGSANSTLRAEDMYSAQSHQAATPPKDGKNSQVFRNPYVWD</t>
  </si>
  <si>
    <t>MYKDCIESTGDYFLLCDAEGPWGIILESLAILGIVVTILLLLAFLFLMRKIQDCSQWNVLPTQLLFLLSVLGLFGLAFAFIIELNQQTAPVRYFLFGVLFALCFSCLLAHASNLVKLVRGCVSFSWTTILCIAIGCSLLQIIIATEYVTLIMTRGMMFVNMTPCQLNVDFVVLLVYVLFLMALTFFVSKATFCGPCENWKQHGRLIFITVLFSIIIWVVWISMLLRGNPQFQRQPQWDDPVVCIALVTNAWVFLLLYIVPELCILYRSCRQECPLQGNACPVTAYQHSFQVENQELSRARDSDGAEEDVALTSYGTPIQPQTVDPTQECFIPQAKLSPQQDAGGV</t>
  </si>
  <si>
    <t>MAEEEAPKKSRAAGGGASWELCAGALSARLAEEGSGDAGGRRRPPVDPRRLARQLLLLLWLLEAPLLLGVRAQAAGQGPGQGPGPGQQPPPPPQQQQSGQQYNGERGISVPDHGYCQPISIPLCTDIAYNQTIMPNLLGHTNQEDAGLEVHQFYPLVKVQCSAELKFFLCSMYAPVCTVLEQALPPCRSLCERARQGCEALMNKFGFQWPDTLKCEKFPVHGAGELCVGQNTSDKGTPTPSLLPEFWTSNPQHGGGGHRGGFPGGAGASERGKFSCPRALKVPSYLNYHFLGEKDCGAPCEPTKVYGLMYFGPEELRFSRTWIGIWSVLCCASTLFTVLTYLVDMRRFSYPERPIIFLSGCYTAVAVAYIAGFLLEDRVVCNDKFAEDGARTVAQGTKKEGCTILFMMLYFFSMASSIWWVILSLTWFLAAGMKWGHEAIEANSQYFHLAAWAVPAIKTITILALGQVDGDVLSGVCFVGLNNVDALRGFVLAPLFVYLFIGTSFLLAGFVSLFRIRTIMKHDGTKTEKLEKLMVRIGVFSVLYTVPATIVIACYFYEQAFRDQWERSWVAQSCKSYAIPCPHLQAGGGAPPHPPMSPDFTVFMIKYLMTLIVGITSGFWIWSGKTLNSWRKFYTRLTNSKQGETTV</t>
  </si>
  <si>
    <t>MRPRSALPRLLLPLLLLPAAGPAQFHGEKGISIPDHGFCQPISIPLCTDIAYNQTIMPNLLGHTNQEDAGLEVHQFYPLVKVQCSPELRFFLCSMYAPVCTVLEQAIPPCRSICERARQGCEALMNKFGFQWPERLRCEHFPRHGAEQICVGQNHSEDGAPALLTTAPPPGLQPGAGGTPGGPGGGGAPPRYATLEHPFHCPRVLKVPSYLSYKFLGERDCAAPCEPARPDGSMFFSQEETRFARLWILTWSVLCCASTFFTVTTYLVDMQRFRYPERPIIFLSGCYTMVSVAYIAGFVLQERVVCNERFSEDGYRTVVQGTKKEGCTILFMMLYFFSMASSIWWVILSLTWFLAAGMKWGHEAIEANSQYFHLAAWAVPAVKTITILAMGQIDGDLLSGVCFVGLNSLDPLRGFVLAPLFVYLFIGTSFLLAGFVSLFRIRTIMKHDGTKTEKLERLMVRIGVFSVLYTVPATIVIACYFYEQAFREHWERSWVSQHCKSLAIPCPAHYTPRMSPDFTVYMIKYLMTLIVGITSGFWIWSGKTLHSWRKFYTRLTNSRHGETTV</t>
  </si>
  <si>
    <t>MAMTWIVFSLWPLTVFMGHIGGHSLFSCEPITLRMCQDLPYNTTFMPNLLNHYDQQTAALAMEPFHPMVNLDCSRDFRPFLCALYAPICMEYGRVTLPCRRLCQRAYSECSKLMEMFGVPWPEDMECSRFPDCDEPYPRLVDLNLAGEPTEGAPVAVQRDYGFWCPRELKIDPDLGYSFLHVRDCSPPCPNMYFRREELSFARYFIGLISIICLSATLFTFLTFLIDVTRFRYPERPIIFYAVCYMMVSLIFFIGFLLEDRVACNASIPAQYKASTVTQGSHNKACTMLFMILYFFTMAGSVWWVILTITWFLAAVPKWGSEAIEKKALLFHASAWGIPGTLTIILLAMNKIEGDNISGVCFVGLYDVDALRYFVLAPLCLYVVVGVSLLLAGIISLNRVRIEIPLEKENQDKLVKFMIRIGVFSILYLVPLLVVIGCYFYEQAYRGIWETTWIQERCREYHIPCPYQVTQMSRPDLILFLMKYLMALIVGIPSVFWVGSKKTCFEWASFFHGRRKKEIVNESRQVLQEPDFAQSLLRDPNTPIIRKSRGTSTQGTSTHASSTQLAMVDDQRSKAGSIHSKVSSYHGSLHRSRDGRYTPCSYRGMEERLPHGSMSRLTDHSRHSSSHRLNEQSRHSSIRDLSNNPMTHITHGTSMNRVIEEDGTSA</t>
  </si>
  <si>
    <t>MAWRGAGPSVPGAPGGVGLSLGLLLQLLLLLGPARGFGDEEERRCDPIRISMCQNLGYNVTKMPNLVGHELQTDAELQLTTFTPLIQYGCSSQLQFFLCSVYVPMCTEKINIPIGPCGGMCLSVKRRCEPVLKEFGFAWPESLNCSKFPPQNDHNHMCMEGPGDEEVPLPHKTPIQPGEECHSVGTNSDQYIWVKRSLNCVLKCGYDAGLYSRSAKEFTDIWMAVWASLCFISTAFTVLTFLIDSSRFSYPERPIIFLSMCYNIYSIAYIVRLTVGRERISCDFEEAAEPVLIQEGLKNTGCAIIFLLMYFFGMASSIWWVILTLTWFLAAGLKWGHEAIEMHSSYFHIAAWAIPAVKTIVILIMRLVDADELTGLCYVGNQNLDALTGFVVAPLFTYLVIGTLFIAAGLVALFKIRSNLQKDGTKTDKLERLMVKIGVFSVLYTVPATCVIACYFYEISNWALFRYSADDSNMAVEMLKIFMSLLVGITSGMWIWSAKTLHTWQKCSNRLVNSGKVKREKRGNGWVKPGKGSETVV</t>
  </si>
  <si>
    <t>MARPDPSAPPSLLLLLLAQLVGRAAAASKAPVCQEITVPMCRGIGYNLTHMPNQFNHDTQDEAGLEVHQFWPLVEIQCSPDLRFFLCSMYTPICLPDYHKPLPPCRSVCERAKAGCSPLMRQYGFAWPERMSCDRLPVLGRDAEVLCMDYNRSEATTAPPRPFPAKPTLPGPPGAPASGGECPAGGPFVCKCREPFVPILKESHPLYNKVRTGQVPNCAVPCYQPSFSADERTFATFWIGLWSVLCFISTSTTVATFLIDMERFRYPERPIIFLSACYLCVSLGFLVRLVVGHASVACSREHNHIHYETTGPALCTIVFLLVYFFGMASSIWWVILSLTWFLAAGMKWGNEAIAGYAQYFHLAAWLIPSVKSITALALSSVDGDPVAGICYVGNQNLNSLRGFVLGPLVLYLLVGTLFLLAGFVSLFRIRSVIKQGGTKTDKLEKLMIRIGIFTLLYTVPASIVVACYLYEQHYRESWEAALTCACPGHDTGQPRAKPEYWVLMLKYFMCLVVGITSGVWIWSGKTVESWRRFTSRCCCRPRRGHKSGGAMAAGDYPEASAALTGRTGPPGPAATYHKQVSLSHV</t>
  </si>
  <si>
    <t>MEMFTFLLTCIFLPLLRGHSLFTCEPITVPRCMKMAYNMTFFPNLMGHYDQSIAAVEMEHFLPLANLECSPNIETFLCKAFVPTCIEQIHVVPPCRKLCEKVYSDCKKLIDTFGIRWPEELECDRLQYCDETVPVTFDPHTEFLGPQKKTEQVQRDIGFWCPRHLKTSGGQGYKFLGIDQCAPPCPNMYFKSDELEFAKSFIGTVSIFCLCATLFTFLTFLIDVRRFRYPERPIIYYSVCYSIVSLMYFIGFLLGDSTACNKADEKLELGDTVVLGSQNKACTVLFMLLYFFTMAGTVWWVILTITWFLAAGRKWSCEAIEQKAVWFHAVAWGTPGFLTVMLLAMNKVEGDNISGVCFVGLYDLDASRYFVLLPLCLCVFVGLSLLLAGIISLNHVRQVIQHDGRNQEKLKKFMIRIGVFSGLYLVPLVTLLGCYVYEQVNRITWEITWVSDHCRQYHIPCPYQAKAKARPELALFMIKYLMTLIVGISAVFWVGSKKTCTEWAGFFKRNRKRDPISESRRVLQESCEFFLKHNSKVKHKKKHYKPSSHKLKVISKSMGTSTGATANHGTSAVAITSHDYLGQETLTEIQTSPETSMREVKADGASTPRLREQDCGEPASPAASISRLSGEQVDGKGQAGSVSESARSEGRISPKSDITDTGLAQSNNLQVPSSSEPSSLKGSTSLLVHPVSGVRKEQGGGCHSDT</t>
  </si>
  <si>
    <t>MRDPGAAAPLSSLGLCALVLALLGALSAGAGAQPYHGEKGISVPDHGFCQPISIPLCTDIAYNQTILPNLLGHTNQEDAGLEVHQFYPLVKVQCSPELRFFLCSMYAPVCTVLDQAIPPCRSLCERARQGCEALMNKFGFQWPERLRCENFPVHGAGEICVGQNTSDGSGGPGGGPTAYPTAPYLPDLPFTALPPGASDGRGRPAFPFSCPRQLKVPPYLGYRFLGERDCGAPCEPGRANGLMYFKEEERRFARLWVGVWSVLCCASTLFTVLTYLVDMRRFSYPERPIIFLSGCYFMVAVAHVAGFLLEDRAVCVERFSDDGYRTVAQGTKKEGCTILFMVLYFFGMASSIWWVILSLTWFLAAGMKWGHEAIEANSQYFHLAAWAVPAVKTITILAMGQVDGDLLSGVCYVGLSSVDALRGFVLAPLFVYLFIGTSFLLAGFVSLFRIRTIMKHDGTKTEKLEKLMVRIGVFSVLYTVPATIVLACYFYEQAFREHWERTWLLQTCKSYAVPCPPGHFPPMSPDFTVFMIKYLMTMIVGITTGFWIWSGKTLQSWRRFYHRLSHSSKGETAV</t>
  </si>
  <si>
    <t>MEWGYLLEVTSLLAALALLQRSSGAAAASAKELACQEITVPLCKGIGYNYTYMPNQFNHDTQDEAGLEVHQFWPLVEIQCSPDLKFFLCSMYTPICLEDYKKPLPPCRSVCERAKAGCAPLMRQYGFAWPDRMRCDRLPEQGNPDTLCMDYNRTDLTTAAPSPPRRLPPPPPGEQPPSGSGHGRPPGARPPHRGGGRGGGGGDAAAPPARGGGGGGKARPPGGGAAPCEPGCQCRAPMVSVSSERHPLYNRVKTGQIANCALPCHNPFFSQDERAFTVFWIGLWSVLCFVSTFATVSTFLIDMERFKYPERPIIFLSACYLFVSVGYLVRLVAGHEKVACSGGAPGAGGAGGAGGAAAGAGAAGAGAGGPGGRGEYEELGAVEQHVRYETTGPALCTVVFLLVYFFGMASSIWWVILSLTWFLAAGMKWGNEAIAGYSQYFHLAAWLVPSVKSIAVLALSSVDGDPVAGICYVGNQSLDNLRGFVLAPLVIYLFIGTMFLLAGFVSLFRIRSVIKQQDGPTKTHKLEKLMIRLGLFTVLYTVPAAVVVACLFYEQHNRPRWEATHNCPCLRDLQPDQARRPDYAVFMLKYFMCLVVGITSGVWVWSGKTLESWRSLCTRCCWASKGAAVGGGAGATAAGGGGGPGGGGGGGPGGGGGPGGGGGSLYSDVSTGLTWRSGTASSVSYPKQMPLSQV</t>
  </si>
  <si>
    <t>MAVAPLRGALLLWQLLAAGGAALEIGRFDPERGRGAAPCQAVEIPMCRGIGYNLTRMPNLLGHTSQGEAAAELAEFAPLVQYGCHSHLRFFLCSLYAPMCTDQVSTPIPACRPMCEQARLRCAPIMEQFNFGWPDSLDCARLPTRNDPHALCMEAPENATAGPAEPHKGLGMLPVAPRPARPPGDLGPGAGGSGTCENPEKFQYVEKSRSCAPRCGPGVEVFWSRRDKDFALVWMAVWSALCFFSTAFTVLTFLLEPHRFQYPERPIIFLSMCYNVYSLAFLIRAVAGAQSVACDQEAGALYVIQEGLENTGCTLVFLLLYYFGMASSLWWVVLTLTWFLAAGKKWGHEAIEAHGSYFHMAAWGLPALKTIVILTLRKVAGDELTGLCYVASTDAAALTGFVLVPLSGYLVLGSSFLLTGFVALFHIRKIMKTGGTNTEKLEKLMVKIGVFSILYTVPATCVIVCYVYERLNMDFWRLRATEQPCAAAAGPGGRRDCSLPGGSVPTVAVFMLKIFMSLVVGITSGVWVWSSKTFQTWQSLCYRKIAAGRARAKACRAPGSYGRGTHCHYKAPTVVLHMTKTDPSLENPTHL</t>
  </si>
  <si>
    <t>MQRPGPRLWLVLQVMGSCAAISSMDMERPGDGKCQPIEIPMCKDIGYNMTRMPNLMGHENQREAAIQLHEFAPLVEYGCHGHLRFFLCSLYAPMCTEQVSTPIPACRVMCEQARLKCSPIMEQFNFKWPDSLDCRKLPNKNDPNYLCMEAPNNGSDEPTRGSGLFPPLFRPQRPHSAQEHPLKDGGPGRGGCDNPGKFHHVEKSASCAPLCTPGVDVYWSREDKRFAVVWLAIWAVLCFFSSAFTVLTFLIDPARFRYPERPIIFLSMCYCVYSVGYLIRLFAGAESIACDRDSGQLYVIQEGLESTGCTLVFLVLYYFGMASSLWWVVLTLTWFLAAGKKWGHEAIEANSSYFHLAAWAIPAVKTILILVMRRVAGDELTGVCYVGSMDVNALTGFVLIPLACYLVIGTSFILSGFVALFHIRRVMKTGGENTDKLEKLMVRIGLFSVLYTVPATCVIACYFYERLNMDYWKILAAQHKCKMNNQTKTLDCLMAASIPAVEIFMVKIFMLLVVGITSGMWIWTSKTLQSWQQVCSRRLKKKSRRKPASVITSGGIYKKAQHPQKTHHGKYEIPAQSPTCV</t>
  </si>
  <si>
    <t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t>
  </si>
  <si>
    <t>MAALAPVGSPASRGPRLAAGLRLLPMLGLLQLLAEPGLGRVHHLALKDDVRHKVHLNTFGFFKDGYMVVNVSSLSLNEPEDKDVTIGFSLDRTKNDGFSSYLDEDVNYCILKKQSVSVTLLILDISRSEVRVKSPPEAGTQLPKIIFSRDEKVLGQSQEPNVNPASAGNQTQKTQDGGKSKRSTVDSKAMGEKSFSVHNNGGAVSFQFFFNISTDDQEGLYSLYFHKCLGKELPSDKFTFSLDIEITEKNPDSYLSAGEIPLPKLYISMAFFFFLSGTIWIHILRKRRNDVFKIHWLMAALPFTKSLSLVFHAIDYHYISSQGFPIEGWAVVYYITHLLKGALLFITIALIGTGWAFIKHILSDKDKKIFMIVIPLQVLANVAYIIIESTEEGTTEYGLWKDSLFLVDLLCCGAILFPVVWSIRHLQEASATDGKGDSMGPLQQRANLRAGSRIESHHFAQADLELLASSCPPASVSQRAGITAAINLAKLKLFRHYYVLIVCYIYFTRIIAFLLKLAVPFQWKWLYQLLDETATLVFFVLTGYKFRPASDNPYLQLSQEEEDLEMESVVTTSGVMESMKKVKKVTNGSVEPQGEWEGAV</t>
  </si>
  <si>
    <t>MESNLSGLVPAAGLVPALPPAVTLGLTAAYTTLYALLFFSVYAQLWLVLLYGHKRLSYQTVFLALCLLWAALRTTLFSFYFRDTPRANRLGPLPFWLLYCCPVCLQFFTLTLMNLYFAQVVFKAKVKRRPEMSRGLLAVRGAFVGASLLFLLVNVLCAVLSHRRRAQPWALLLVRVLVSDSLFVICALSLAACLCLVARRAPSTSIYLEAKGTSVCQAAAMGGAMVLLYASRACYNLTALALAPQSRLDTFDYDWYNVSDQADLVNDLGNKGYLVFGLILFVWELLPTTLLVGFFRVHRPPQDLSTSHILNGQVFASRSYFFDRAGHCEDEGCSWEHSRGESTRCQDQAATTTVSTPPHRRDPPPSPTEYPGPSPPHPRPLCQVCLPLLAQDPGGRGYPLLWPAPCCSCHSELVPSP</t>
  </si>
  <si>
    <t>MVDPNGNESSATYFILIGLPGLEEAQFWLAFPLCSLYLIAVLGNLTIIYIVRTEHSLHEPMYIFLCMLSGIDILISTSSMPKMLAIFWFNSTTIQFDACLLQMFAIHSLSGMESTVLLAMAFDRYVAICHPLRHATVLTLPRVTKIGVAAVVRGAALMAPLPVFIKQLPFCRSNILSHSYCLHQDVMKLACDDIRVNVVYGLIVIISAIGLDSLLISFSYLLILKTVLGLTREAQAKAFGTCVSHVCAVFIFYVPFIGLSMVHRFSKRRDSPLPVILANIYLLVPPVLNPIVYGVKTKEIRQRILRLFHVATHASEP</t>
  </si>
  <si>
    <t>MDTLEEVTWANGSTALPPPLAPNISVPHRCLLLLYEDIGTSRVRYWDLLLLIPNVLFLIFLLWKLPSARAKIRITSSPIFITFYILVFVVALVGIARAVVSMTVSTSNAATVADKILWEITRFFLLAIELSVIILGLAFGHLESKSSIKRVLAITTVLSLAYSVTQGTLEILYPDAHLSAEDFNIYGHGGRQFWLVSSCFFFLVYSLVVILPKTPLKERISLPSRRSFYVYAGILALLNLLQGLGSVLLCFDIIEGLCCVDATTFLYFSFFAPLIYVAFLRGFFGSEPKILFSYKCQVDETEEPDVHLPQPYAVARREGLEAAGAAGASAASYSSTQFDSAGGVAYLDDIASMPCHTGSINSTDSERWKAINA</t>
  </si>
  <si>
    <t>MASPRLGTFCCPTRDAATQLVLSFQPRAFHALCLGSGGLRLALGLLQLLPGRRPAGPGSPATSPPASVRILRAAAACDLLGCLGMVIRSTVWLGFPNFVDSVSDMNHTEIWPAAFCVGSAMWIQLLYSACFWWLFCYAVDAYLVIRRSAGLSTILLYHIMAWGLATLLCVEGAAMLYYPSVSRCERGLDHAIPHYVTMYLPLLLVLVANPILFQKTVTAVASLLKGRQGIYTENERRMGAVIKIRFFKIMLVLIICWLSNIINESLLFYLEMQTDINGGSLKPVRTAAKTTWFIMGILNPAQGFLLSLAFYGWTGCSLGFQSPRKEIQWESLTTSAAEGAHPSPLMPHENPASGKVSQVGGQTSDEALSMLSEGSDASTIEIHTASESCNKNEGDPALPTHGDL</t>
  </si>
  <si>
    <t>MQPSPPPTELVPSERAVVLLSCALSALGSGLLVATHALWPDLRSRARRLLLFLSLADLLSAASYFYGVLQNFAGPSWDCVLQGALSTFANTSSFFWTVAIALYLYLSIVRAARGPRTDRLLWAFHVVSWGVPLVITVAAVALKKIGYDASDVSVGWCWIDLEAKDHVLWMLLTGKLWEMLAYVLLPLLYLLVRKHINRAHTALSEYRPILSQEHRLLRHSSMADKKLVLIPLIFIGLRVWSTVRFVLTLCGSPAVQTPVLVVLHGIGNTFQGGANCIMFVLCTRAVRTRLFSLCCCCCSSQPPTKSPAGTPKAPAPSKPGESQESQGTPGELPST</t>
  </si>
  <si>
    <t>AGRA1_HUMAN</t>
  </si>
  <si>
    <t>AGRA2_HUMAN</t>
  </si>
  <si>
    <t>AGRA3_HUMAN</t>
  </si>
  <si>
    <t>AGRB2_HUMAN</t>
  </si>
  <si>
    <t>AGRB3_HUMAN</t>
  </si>
  <si>
    <t>AGRD1_HUMAN</t>
  </si>
  <si>
    <t>AGRD2_HUMAN</t>
  </si>
  <si>
    <t>AGRE1_HUMAN</t>
  </si>
  <si>
    <t>AGRE2_HUMAN</t>
  </si>
  <si>
    <t>AGRE3_HUMAN</t>
  </si>
  <si>
    <t>AGRE4_HUMAN</t>
  </si>
  <si>
    <t>AGRF1_HUMAN</t>
  </si>
  <si>
    <t>AGRF2_HUMAN</t>
  </si>
  <si>
    <t>AGRF3_HUMAN</t>
  </si>
  <si>
    <t>AGRF4_HUMAN</t>
  </si>
  <si>
    <t>AGRF5_HUMAN</t>
  </si>
  <si>
    <t>AGRG1_HUMAN</t>
  </si>
  <si>
    <t>AGRG2_HUMAN</t>
  </si>
  <si>
    <t>AGRG3_HUMAN</t>
  </si>
  <si>
    <t>AGRG4_HUMAN</t>
  </si>
  <si>
    <t>AGRG5_HUMAN</t>
  </si>
  <si>
    <t>AGRG7_HUMAN</t>
  </si>
  <si>
    <t>AGRL1_HUMAN</t>
  </si>
  <si>
    <t>AGRL2_HUMAN</t>
  </si>
  <si>
    <t>AGRL3_HUMAN</t>
  </si>
  <si>
    <t>AGRL4_HUMAN</t>
  </si>
  <si>
    <t>acm3_rat</t>
  </si>
  <si>
    <t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t>
  </si>
  <si>
    <t>adrb1_melga</t>
  </si>
  <si>
    <t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t>
  </si>
  <si>
    <t>ntr1_rat</t>
  </si>
  <si>
    <t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t>
  </si>
  <si>
    <t>oprd_mouse</t>
  </si>
  <si>
    <t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t>
  </si>
  <si>
    <t>oprm_mouse</t>
  </si>
  <si>
    <t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t>
  </si>
  <si>
    <t>opsd_bovin</t>
  </si>
  <si>
    <t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t>
  </si>
  <si>
    <t>opsd_todpa</t>
  </si>
  <si>
    <t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t>
  </si>
  <si>
    <t>us28_hcmva</t>
  </si>
  <si>
    <t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t>
  </si>
  <si>
    <t>us28_human</t>
  </si>
  <si>
    <t>vipr_human</t>
  </si>
  <si>
    <t>tr114_human</t>
  </si>
  <si>
    <t>tr106_human</t>
  </si>
  <si>
    <t>t2r45_human</t>
  </si>
  <si>
    <t>O</t>
  </si>
  <si>
    <t>Class</t>
  </si>
  <si>
    <t>Chemokine</t>
  </si>
  <si>
    <t>Opioid</t>
  </si>
  <si>
    <t>Ligandtype</t>
  </si>
  <si>
    <t>Receptorfamily</t>
  </si>
  <si>
    <t>5-Hydroxytryptamine</t>
  </si>
  <si>
    <t>Nucleotide</t>
  </si>
  <si>
    <t>Acetylcholine(muscarinic)</t>
  </si>
  <si>
    <t>Melanocortin</t>
  </si>
  <si>
    <t>Adrenoceptors</t>
  </si>
  <si>
    <t>Angiotensin</t>
  </si>
  <si>
    <t>Apelin</t>
  </si>
  <si>
    <t>B2</t>
  </si>
  <si>
    <t>Orphan</t>
  </si>
  <si>
    <t>Adhesionclassorphans</t>
  </si>
  <si>
    <t>Bradykinin</t>
  </si>
  <si>
    <t>Bombesin</t>
  </si>
  <si>
    <t>Complementpeptide</t>
  </si>
  <si>
    <t>B1</t>
  </si>
  <si>
    <t>Calcitonin</t>
  </si>
  <si>
    <t>Ion</t>
  </si>
  <si>
    <t>Calcium-sensing</t>
  </si>
  <si>
    <t>Cholecystokinin</t>
  </si>
  <si>
    <t>Leukotriene</t>
  </si>
  <si>
    <t>Chemerinreceptor</t>
  </si>
  <si>
    <t>Cannabinoid</t>
  </si>
  <si>
    <t>Corticotropin-releasingfact</t>
  </si>
  <si>
    <t>Dopamine</t>
  </si>
  <si>
    <t>Endothelin</t>
  </si>
  <si>
    <t>ClassAorphans</t>
  </si>
  <si>
    <t>Freefattyacid</t>
  </si>
  <si>
    <t>Formylpeptide</t>
  </si>
  <si>
    <t>Glycoproteinhormone</t>
  </si>
  <si>
    <t>Frizzled</t>
  </si>
  <si>
    <t>OtherGPCRorphans</t>
  </si>
  <si>
    <t>Aminoacid</t>
  </si>
  <si>
    <t>GABA&lt;sub&gt;B&lt;/sub&gt;</t>
  </si>
  <si>
    <t>Galanin</t>
  </si>
  <si>
    <t>Glucagonreceptorfamily</t>
  </si>
  <si>
    <t>Ghrelin</t>
  </si>
  <si>
    <t>Gonadotrophin-releasinghorm</t>
  </si>
  <si>
    <t>GPR18</t>
  </si>
  <si>
    <t>ClassCOrphans</t>
  </si>
  <si>
    <t>Steroid</t>
  </si>
  <si>
    <t>Bileacid</t>
  </si>
  <si>
    <t>Estrogen(Gprotein-coupled)</t>
  </si>
  <si>
    <t>Metabotropicglutamate</t>
  </si>
  <si>
    <t>Alicarboxylicacid</t>
  </si>
  <si>
    <t>Hydroxycarboxylicacid</t>
  </si>
  <si>
    <t>Histamine</t>
  </si>
  <si>
    <t>Kisspeptin</t>
  </si>
  <si>
    <t>Lysophospholipid(LPA)</t>
  </si>
  <si>
    <t>Melanin-concentratinghormon</t>
  </si>
  <si>
    <t>Motilin</t>
  </si>
  <si>
    <t>Melatonin</t>
  </si>
  <si>
    <t>Tachykinin</t>
  </si>
  <si>
    <t>NeuromedinU</t>
  </si>
  <si>
    <t>NeuropeptideW/neuropeptide</t>
  </si>
  <si>
    <t>NeuropeptideFF/neuropeptide</t>
  </si>
  <si>
    <t>NeuropeptideS</t>
  </si>
  <si>
    <t>NeuropeptideY</t>
  </si>
  <si>
    <t>Neurotensin</t>
  </si>
  <si>
    <t>Sensory</t>
  </si>
  <si>
    <t>Opsins</t>
  </si>
  <si>
    <t>Orexin</t>
  </si>
  <si>
    <t>Oxoglutarate</t>
  </si>
  <si>
    <t>Vasopressinandoxytocin</t>
  </si>
  <si>
    <t>P2Y</t>
  </si>
  <si>
    <t>VIPandPACAP</t>
  </si>
  <si>
    <t>Proteinase-activated</t>
  </si>
  <si>
    <t>Prostanoid</t>
  </si>
  <si>
    <t>Prokineticin</t>
  </si>
  <si>
    <t>Prolactin-releasingpeptide</t>
  </si>
  <si>
    <t>Platelet-activatingfactor</t>
  </si>
  <si>
    <t>Parathyroidhormone</t>
  </si>
  <si>
    <t>PeptideP518</t>
  </si>
  <si>
    <t>Relaxinfamilypeptide</t>
  </si>
  <si>
    <t>Lysophospholipid(S1P)</t>
  </si>
  <si>
    <t>Somatostatin</t>
  </si>
  <si>
    <t>Succinate</t>
  </si>
  <si>
    <t>Taste2</t>
  </si>
  <si>
    <t>Traceamine</t>
  </si>
  <si>
    <t>Thyrotropin-releasinghormon</t>
  </si>
  <si>
    <t>Taste1</t>
  </si>
  <si>
    <t>Urotensin</t>
  </si>
  <si>
    <t>Unclassified</t>
  </si>
  <si>
    <t>V</t>
  </si>
  <si>
    <t>S</t>
  </si>
  <si>
    <t>Q</t>
  </si>
  <si>
    <t>AA</t>
  </si>
  <si>
    <t>E</t>
  </si>
  <si>
    <t>2Y00</t>
  </si>
  <si>
    <t>2Y02</t>
  </si>
  <si>
    <t>2Y03</t>
  </si>
  <si>
    <t>2Y04</t>
  </si>
  <si>
    <t>2YCW</t>
  </si>
  <si>
    <t>2YCZ</t>
  </si>
  <si>
    <t>2YDO</t>
  </si>
  <si>
    <t>3NY9</t>
  </si>
  <si>
    <t>CXCR4_human</t>
  </si>
  <si>
    <t>3OE0</t>
  </si>
  <si>
    <t>3PQR</t>
  </si>
  <si>
    <t>3QAK</t>
  </si>
  <si>
    <t>3RFM</t>
  </si>
  <si>
    <t>3UZA</t>
  </si>
  <si>
    <t>3UZC</t>
  </si>
  <si>
    <t>3ZPQ</t>
  </si>
  <si>
    <t>3ZPR</t>
  </si>
  <si>
    <t>4AMI</t>
  </si>
  <si>
    <t>4AMJ</t>
  </si>
  <si>
    <t>4GPO</t>
  </si>
  <si>
    <t>4IAQ</t>
  </si>
  <si>
    <t>4J4Q</t>
  </si>
  <si>
    <t>4LDL</t>
  </si>
  <si>
    <t>4LDO</t>
  </si>
  <si>
    <t>4MQT</t>
  </si>
  <si>
    <t>4N4W</t>
  </si>
  <si>
    <t>4NTJ</t>
  </si>
  <si>
    <t>4O9R</t>
  </si>
  <si>
    <t>4PY0</t>
  </si>
  <si>
    <t>4QIM</t>
  </si>
  <si>
    <t>4RWS</t>
  </si>
  <si>
    <t>4U16</t>
  </si>
  <si>
    <t>4UHR</t>
  </si>
  <si>
    <t>4XNW</t>
  </si>
  <si>
    <t>4Z34</t>
  </si>
  <si>
    <t>4Z36</t>
  </si>
  <si>
    <t>5A8E</t>
  </si>
  <si>
    <t>4Z9G</t>
  </si>
  <si>
    <t>1b</t>
  </si>
  <si>
    <t>1e</t>
  </si>
  <si>
    <t>2b</t>
  </si>
  <si>
    <t>2e</t>
  </si>
  <si>
    <t>3b</t>
  </si>
  <si>
    <t>3e</t>
  </si>
  <si>
    <t>4b</t>
  </si>
  <si>
    <t>4e</t>
  </si>
  <si>
    <t>5b</t>
  </si>
  <si>
    <t>5e</t>
  </si>
  <si>
    <t>6b</t>
  </si>
  <si>
    <t>6e</t>
  </si>
  <si>
    <t>7b</t>
  </si>
  <si>
    <t>7e</t>
  </si>
  <si>
    <t>8b</t>
  </si>
  <si>
    <t>8e</t>
  </si>
  <si>
    <t>Key</t>
  </si>
  <si>
    <t>i1b</t>
  </si>
  <si>
    <t>i1e</t>
  </si>
  <si>
    <t>e1b</t>
  </si>
  <si>
    <t>e1e</t>
  </si>
  <si>
    <t>1x</t>
  </si>
  <si>
    <t>i1x</t>
  </si>
  <si>
    <t>2x</t>
  </si>
  <si>
    <t>e1x</t>
  </si>
  <si>
    <t>3x</t>
  </si>
  <si>
    <t>4x</t>
  </si>
  <si>
    <t>5x</t>
  </si>
  <si>
    <t>6x</t>
  </si>
  <si>
    <t>7x</t>
  </si>
  <si>
    <t>8x</t>
  </si>
  <si>
    <t>i2x</t>
  </si>
  <si>
    <t>i2b</t>
  </si>
  <si>
    <t>i2e</t>
  </si>
  <si>
    <t>e2x</t>
  </si>
  <si>
    <t>e2b</t>
  </si>
  <si>
    <t>e2e</t>
  </si>
  <si>
    <t>OPRM_human</t>
  </si>
  <si>
    <t>AuxProt</t>
  </si>
  <si>
    <t>Repr</t>
  </si>
  <si>
    <t>Active</t>
  </si>
  <si>
    <t>(mut)</t>
  </si>
  <si>
    <t>5ePro</t>
  </si>
  <si>
    <t>3VG9</t>
  </si>
  <si>
    <t>inactive</t>
  </si>
  <si>
    <t>active</t>
  </si>
  <si>
    <t>4GBR</t>
  </si>
  <si>
    <t>Note</t>
  </si>
  <si>
    <t>4GBR has a longer TM5 and less ICL3-deletion than other inactive structure. With a complete ICL3, TM5 might be as long (5x76) in active and inactive states.</t>
  </si>
  <si>
    <t>Note long</t>
  </si>
  <si>
    <t>Inactive structures can have as long TM5 as the active state, if ICL3 is complete.</t>
  </si>
  <si>
    <t>nanobody</t>
  </si>
  <si>
    <t>Active state, but short TM5 and ICL3 (large deletion)</t>
  </si>
  <si>
    <t xml:space="preserve">4MQS </t>
  </si>
  <si>
    <t>repr</t>
  </si>
  <si>
    <t>Template</t>
  </si>
  <si>
    <t>long</t>
  </si>
  <si>
    <t>medium</t>
  </si>
  <si>
    <t>Short in construct, long in wt</t>
  </si>
  <si>
    <t>most</t>
  </si>
  <si>
    <t>3C9M</t>
  </si>
  <si>
    <t>2J4Y and 3C9M have a longer TM5 than other inactive structure, all have full ICL3s, and it is as long as in the active structure 3DQB.</t>
  </si>
  <si>
    <t>Wt ICL3 is so short that TM5 cannot be elongated, despite that this is an active state structure</t>
  </si>
  <si>
    <t>4XT1</t>
  </si>
  <si>
    <t>template</t>
  </si>
  <si>
    <t>5eGPCRdb</t>
  </si>
  <si>
    <t>5eBW</t>
  </si>
  <si>
    <t>short in wt</t>
  </si>
  <si>
    <t>KeyPDB</t>
  </si>
  <si>
    <t>5ePro_</t>
  </si>
  <si>
    <t>2J4Y</t>
  </si>
  <si>
    <t>6bBW</t>
  </si>
  <si>
    <t>6bGPCRdb</t>
  </si>
  <si>
    <t>6bPro</t>
  </si>
  <si>
    <t>ICL Length Xtal</t>
  </si>
  <si>
    <t>ILC3 Length Wt</t>
  </si>
  <si>
    <t>Diff</t>
  </si>
  <si>
    <t>5x50-6x50</t>
  </si>
  <si>
    <t>#H_AAs</t>
  </si>
  <si>
    <t>SQS</t>
  </si>
  <si>
    <t>QQES</t>
  </si>
  <si>
    <t>SGS</t>
  </si>
  <si>
    <t>complete</t>
  </si>
  <si>
    <t>partial_coordinates</t>
  </si>
  <si>
    <t>deletetion</t>
  </si>
  <si>
    <t>ICL3 (all have no fusions)</t>
  </si>
  <si>
    <t>no, is small outlier</t>
  </si>
  <si>
    <t>no, TM6 too short, use ADRB1_melga instead</t>
  </si>
  <si>
    <t>FFAR1_human</t>
  </si>
  <si>
    <t>no US28 is better, as it does not have too long TM6</t>
  </si>
  <si>
    <t>no, too short helices</t>
  </si>
  <si>
    <t>4XNV</t>
  </si>
  <si>
    <t>4PXZ</t>
  </si>
  <si>
    <t>OPRX_human</t>
  </si>
  <si>
    <t>OX1R_human</t>
  </si>
  <si>
    <t>OX2R_human</t>
  </si>
  <si>
    <t>Sequence</t>
  </si>
  <si>
    <t>Query</t>
  </si>
  <si>
    <t>T</t>
  </si>
  <si>
    <t>4YAY_dist</t>
  </si>
  <si>
    <t>4K5Y_dist</t>
  </si>
  <si>
    <t>4Z9G_dist</t>
  </si>
  <si>
    <t>Longer TM7 is due to Y392A mutation</t>
  </si>
  <si>
    <t>H8 start is same as in class A, if shifting TM7 alignmnent to match the 2 Pro residues</t>
  </si>
  <si>
    <t>4IB4_dist</t>
  </si>
  <si>
    <t>TM7 is 1 pos longer</t>
  </si>
  <si>
    <t>Valid</t>
  </si>
  <si>
    <t>#Res</t>
  </si>
  <si>
    <t>TM4 is too long, it is ICL2 helix in 4XNW</t>
  </si>
  <si>
    <t>TM4 and ICL3 are short</t>
  </si>
  <si>
    <t>3b starts early</t>
  </si>
  <si>
    <t>cxcr4_human</t>
  </si>
  <si>
    <t>ffar1_human</t>
  </si>
  <si>
    <t>oprx_human</t>
  </si>
  <si>
    <t>ox1r_human</t>
  </si>
  <si>
    <t>ox2r_human</t>
  </si>
  <si>
    <t>agra1_human</t>
  </si>
  <si>
    <t>agra2_human</t>
  </si>
  <si>
    <t>agra3_human</t>
  </si>
  <si>
    <t>agrb2_human</t>
  </si>
  <si>
    <t>agrb3_human</t>
  </si>
  <si>
    <t>agrd1_human</t>
  </si>
  <si>
    <t>agrd2_human</t>
  </si>
  <si>
    <t>agre1_human</t>
  </si>
  <si>
    <t>agre2_human</t>
  </si>
  <si>
    <t>agre3_human</t>
  </si>
  <si>
    <t>agre4_human</t>
  </si>
  <si>
    <t>agrf1_human</t>
  </si>
  <si>
    <t>agrf2_human</t>
  </si>
  <si>
    <t>agrf3_human</t>
  </si>
  <si>
    <t>agrf4_human</t>
  </si>
  <si>
    <t>agrf5_human</t>
  </si>
  <si>
    <t>agrg1_human</t>
  </si>
  <si>
    <t>agrg2_human</t>
  </si>
  <si>
    <t>agrg3_human</t>
  </si>
  <si>
    <t>agrg4_human</t>
  </si>
  <si>
    <t>agrg5_human</t>
  </si>
  <si>
    <t>agrg7_human</t>
  </si>
  <si>
    <t>agrl1_human</t>
  </si>
  <si>
    <t>agrl2_human</t>
  </si>
  <si>
    <t>agrl3_human</t>
  </si>
  <si>
    <t>agrl4_human</t>
  </si>
  <si>
    <t>Val #</t>
  </si>
  <si>
    <t>Xtal Templ</t>
  </si>
  <si>
    <t>Species</t>
  </si>
  <si>
    <t>Rec Fam</t>
  </si>
  <si>
    <t>XtalTempl</t>
  </si>
  <si>
    <t>TM8</t>
  </si>
  <si>
    <t>icl1</t>
  </si>
  <si>
    <t>icl2</t>
  </si>
  <si>
    <t>ecl1</t>
  </si>
  <si>
    <t>ecl2</t>
  </si>
  <si>
    <t>1len</t>
  </si>
  <si>
    <t>i1len</t>
  </si>
  <si>
    <t>2len</t>
  </si>
  <si>
    <t>e1len</t>
  </si>
  <si>
    <t>3len</t>
  </si>
  <si>
    <t>i2len</t>
  </si>
  <si>
    <t>4len</t>
  </si>
  <si>
    <t>e2len</t>
  </si>
  <si>
    <t>5len</t>
  </si>
  <si>
    <t>6len</t>
  </si>
  <si>
    <t>7len</t>
  </si>
  <si>
    <t>8len</t>
  </si>
  <si>
    <t>Wt</t>
  </si>
  <si>
    <t>Seq4BLAST</t>
  </si>
  <si>
    <t>Xtalised</t>
  </si>
  <si>
    <t>Cl Query</t>
  </si>
  <si>
    <t>1e-i1b</t>
  </si>
  <si>
    <t>i1e-2b</t>
  </si>
  <si>
    <t>2e-e1b</t>
  </si>
  <si>
    <t>e1e-3b</t>
  </si>
  <si>
    <t>3e-i2b</t>
  </si>
  <si>
    <t>i2e-4b</t>
  </si>
  <si>
    <t>4e-e2b</t>
  </si>
  <si>
    <t>e2e-5b</t>
  </si>
  <si>
    <t>5e-6b</t>
  </si>
  <si>
    <t>6e-7b</t>
  </si>
  <si>
    <t>7e-8b</t>
  </si>
  <si>
    <t>6x7x</t>
  </si>
  <si>
    <t>1x2x</t>
  </si>
  <si>
    <t>2x3x</t>
  </si>
  <si>
    <t>5x6x</t>
  </si>
  <si>
    <t>5ht1b_human__wt</t>
  </si>
  <si>
    <t>5ht2b_human__wt</t>
  </si>
  <si>
    <t>aa2ar_human__wt</t>
  </si>
  <si>
    <t>acm1_human__wt</t>
  </si>
  <si>
    <t>acm2_human__wt</t>
  </si>
  <si>
    <t>acm3_rat__wt</t>
  </si>
  <si>
    <t>acm4_human__wt</t>
  </si>
  <si>
    <t>adrb1_melga__wt</t>
  </si>
  <si>
    <t>adrb2_human__wt</t>
  </si>
  <si>
    <t>agtr1_human__wt</t>
  </si>
  <si>
    <t>ccr5_human__wt</t>
  </si>
  <si>
    <t>crfr1_human__wt</t>
  </si>
  <si>
    <t>cxcr4_human__wt</t>
  </si>
  <si>
    <t>drd3_human__wt</t>
  </si>
  <si>
    <t>ffar1_human__wt</t>
  </si>
  <si>
    <t>glr_human__wt</t>
  </si>
  <si>
    <t>grm1_human__wt</t>
  </si>
  <si>
    <t>grm5_human__wt</t>
  </si>
  <si>
    <t>hrh1_human__wt</t>
  </si>
  <si>
    <t>lpar1_human__wt</t>
  </si>
  <si>
    <t>ntr1_rat__wt</t>
  </si>
  <si>
    <t>oprd_human__wt</t>
  </si>
  <si>
    <t>oprd_mouse__wt</t>
  </si>
  <si>
    <t>oprk_human__wt</t>
  </si>
  <si>
    <t>oprm_mouse__wt</t>
  </si>
  <si>
    <t>oprx_human__wt</t>
  </si>
  <si>
    <t>opsd_bovin__wt</t>
  </si>
  <si>
    <t>opsd_human__wt</t>
  </si>
  <si>
    <t>opsd_todpa__wt</t>
  </si>
  <si>
    <t>ox1r_human__wt</t>
  </si>
  <si>
    <t>ox2r_human__wt</t>
  </si>
  <si>
    <t>p2ry1_human__wt</t>
  </si>
  <si>
    <t>p2y12_human__wt</t>
  </si>
  <si>
    <t>par1_human__wt</t>
  </si>
  <si>
    <t>s1pr1_human__wt</t>
  </si>
  <si>
    <t>smo_human__wt</t>
  </si>
  <si>
    <t>us28_hcmva__wt</t>
  </si>
  <si>
    <t>i2x4x</t>
  </si>
  <si>
    <t>4L6R_dist</t>
  </si>
  <si>
    <t>Could be 64, if including terminal bulge</t>
  </si>
  <si>
    <t>Could be one pos higher</t>
  </si>
  <si>
    <t>e2x5x</t>
  </si>
  <si>
    <t>GG</t>
  </si>
  <si>
    <t>B</t>
  </si>
  <si>
    <t>2xe1x</t>
  </si>
  <si>
    <t>2e-e1x</t>
  </si>
  <si>
    <t>e1e3b</t>
  </si>
  <si>
    <t>2e3b</t>
  </si>
  <si>
    <t>i1x2x</t>
  </si>
  <si>
    <t>a</t>
  </si>
  <si>
    <t>i1e2b</t>
  </si>
  <si>
    <t>1ei1b</t>
  </si>
  <si>
    <t>3ei2b</t>
  </si>
  <si>
    <t>Act</t>
  </si>
  <si>
    <t>5G53</t>
  </si>
  <si>
    <t>5e6b</t>
  </si>
  <si>
    <t>Set to P</t>
  </si>
  <si>
    <t>Set to G</t>
  </si>
  <si>
    <t>Note 5e</t>
  </si>
  <si>
    <t>Note 6b</t>
  </si>
  <si>
    <t>Set to S240</t>
  </si>
  <si>
    <t>Set to T236</t>
  </si>
  <si>
    <t>Extended due to hydrophobic residues</t>
  </si>
  <si>
    <t>Set to S</t>
  </si>
  <si>
    <t>Is long</t>
  </si>
  <si>
    <t>Manual (David)</t>
  </si>
  <si>
    <t>Manual</t>
  </si>
  <si>
    <t>8e-End</t>
  </si>
  <si>
    <t>Ps</t>
  </si>
  <si>
    <t>No H8</t>
  </si>
  <si>
    <t>4NC3</t>
  </si>
  <si>
    <t>2.50</t>
  </si>
  <si>
    <t>2.56</t>
  </si>
  <si>
    <t>2.57</t>
  </si>
  <si>
    <t>2.58</t>
  </si>
  <si>
    <t>2.59</t>
  </si>
  <si>
    <t>4.56</t>
  </si>
  <si>
    <t>4.57</t>
  </si>
  <si>
    <t>4.58</t>
  </si>
  <si>
    <t>4.59</t>
  </si>
  <si>
    <t>4.60</t>
  </si>
  <si>
    <t>5x411</t>
  </si>
  <si>
    <t>5.46</t>
  </si>
  <si>
    <t>5.50</t>
  </si>
  <si>
    <t>6x461</t>
  </si>
  <si>
    <t>5x421</t>
  </si>
  <si>
    <t>7x521</t>
  </si>
  <si>
    <t>Max</t>
  </si>
  <si>
    <t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t>
  </si>
  <si>
    <t>5GLI</t>
  </si>
  <si>
    <t>5GLH</t>
  </si>
  <si>
    <t>ednrb_human__wt</t>
  </si>
  <si>
    <t>NonX</t>
  </si>
  <si>
    <t>NOT USED AS TEMPLATES!</t>
  </si>
  <si>
    <t>4BUO</t>
  </si>
  <si>
    <t>3NY8</t>
  </si>
  <si>
    <t>3NYA</t>
  </si>
  <si>
    <t>3PDS</t>
  </si>
  <si>
    <t>4ZUD</t>
  </si>
  <si>
    <t>1GZM</t>
  </si>
  <si>
    <t>4RWD</t>
  </si>
  <si>
    <t>5K2A</t>
  </si>
  <si>
    <t>5K2B</t>
  </si>
  <si>
    <t>5K2C</t>
  </si>
  <si>
    <t>5K2D</t>
  </si>
  <si>
    <t>5D6L</t>
  </si>
  <si>
    <t>5JQH</t>
  </si>
  <si>
    <t>5IU4</t>
  </si>
  <si>
    <t>5IU7</t>
  </si>
  <si>
    <t>5IU8</t>
  </si>
  <si>
    <t>5IUA</t>
  </si>
  <si>
    <t>5IUB</t>
  </si>
  <si>
    <t>4XEE</t>
  </si>
  <si>
    <t>4XES</t>
  </si>
  <si>
    <t>5L7D</t>
  </si>
  <si>
    <t>5L7I</t>
  </si>
  <si>
    <t>5F8U</t>
  </si>
  <si>
    <t>5DHG</t>
  </si>
  <si>
    <t>5DHH</t>
  </si>
  <si>
    <t>5DYS</t>
  </si>
  <si>
    <t>5EN0</t>
  </si>
  <si>
    <t>5TGZ</t>
  </si>
  <si>
    <t>PDB validation says chain B is better, but A is more complete</t>
  </si>
  <si>
    <t>Chain A is longer than B at H8</t>
  </si>
  <si>
    <t>Chain B is longer than A</t>
  </si>
  <si>
    <t>cnr1_human__wt</t>
  </si>
  <si>
    <t>2x581</t>
  </si>
  <si>
    <t>5U09</t>
  </si>
  <si>
    <t>5LWE</t>
  </si>
  <si>
    <t>5x431</t>
  </si>
  <si>
    <t>ccr9_human__wt</t>
  </si>
  <si>
    <t>Validation (correct class of template)</t>
  </si>
  <si>
    <t>2X72</t>
  </si>
  <si>
    <t>4A4M</t>
  </si>
  <si>
    <t>4XT3</t>
  </si>
  <si>
    <t>NA</t>
  </si>
  <si>
    <t>State</t>
  </si>
  <si>
    <t>Inact</t>
  </si>
  <si>
    <t>Repr_Act</t>
  </si>
  <si>
    <t>Repr_Inact</t>
  </si>
  <si>
    <t>?</t>
  </si>
  <si>
    <t>5T1A</t>
  </si>
  <si>
    <t>ccr2_human__wt</t>
  </si>
  <si>
    <t>RF</t>
  </si>
  <si>
    <t>Chain</t>
  </si>
  <si>
    <t>PrefChain</t>
  </si>
  <si>
    <t>2.60</t>
  </si>
  <si>
    <t>5LWE_dist</t>
  </si>
  <si>
    <t>5T04</t>
  </si>
  <si>
    <t>5TVN</t>
  </si>
  <si>
    <t>5UIG</t>
  </si>
  <si>
    <t>Manual (Gaspar)</t>
  </si>
  <si>
    <t>5UEN</t>
  </si>
  <si>
    <t>aa1r_human__wt</t>
  </si>
  <si>
    <t>4x5x</t>
  </si>
  <si>
    <t>5UNF</t>
  </si>
  <si>
    <t>agtr2_human__wt</t>
  </si>
  <si>
    <t>5UNG</t>
  </si>
  <si>
    <t>5UNH</t>
  </si>
  <si>
    <t>5NDD</t>
  </si>
  <si>
    <t>5NDZ</t>
  </si>
  <si>
    <t>par2_human__wt</t>
  </si>
  <si>
    <t>5NJ6</t>
  </si>
  <si>
    <t>5TE3</t>
  </si>
  <si>
    <t>5TE5</t>
  </si>
  <si>
    <t>5UZ7</t>
  </si>
  <si>
    <t>MRFTFTSRCLALFLLLNHPTPILPAFSNQTYPTIEPKPFLYVVGRKKMMDAQYKCYDRMQQLPAYQGEGPYCNRTWDGWLCWDDTPAGVLSYQFCPDYFPDFDPSEKVTKYCDEKGVWFKHPENNRTWSNYTMCNAFTPEKLKNAYVLYYLAIVGHSLSIFTLVISLGIFVFFRSLGCQRVTLHKNMFLTYILNSMIIIIHLVEVVPNGELVRRDPVSCKILHFFHQYMMACNYFWMLCEGIYLHTLIVVAVFTEKQRLRWYYLLGWGFPLVPTTIHAITRAVYFNDNCWLSVETHLLYIIHGPVMAALVVNFFFLLNIVRVLVTKMRETHEAESHMYLKAVKATMILVPLLGIQFVVFPWRPSNKMLGKIYDYVMHSLIHFQGFFVATIYCFCNNEVQTTVKRQWAQFKIQWNQRWGRRPSNRSARAAAAAAEAGDIPIYICHQEPRNEPANNQGEESAEIIPLNIIEQESSA</t>
  </si>
  <si>
    <t>calcr_human__wt</t>
  </si>
  <si>
    <t>David templates</t>
  </si>
  <si>
    <t>Cl Template</t>
  </si>
  <si>
    <t>Cl David Template</t>
  </si>
  <si>
    <t>5VEX</t>
  </si>
  <si>
    <t>5VEW</t>
  </si>
  <si>
    <t>glp1r_human__wt</t>
  </si>
  <si>
    <t>Class B</t>
  </si>
  <si>
    <t>5XEZ</t>
  </si>
  <si>
    <t>5XF1</t>
  </si>
  <si>
    <t>5UVI</t>
  </si>
  <si>
    <t>5JTB</t>
  </si>
  <si>
    <t>agrg6_human</t>
  </si>
  <si>
    <t>5VBL</t>
  </si>
  <si>
    <t>apj_human__wt</t>
  </si>
  <si>
    <t>5TZR</t>
  </si>
  <si>
    <t>5TZY</t>
  </si>
  <si>
    <t>5NX2</t>
  </si>
  <si>
    <t>MAGAPSPLRLALLLLGAVGRAGPRPQGATVSLSETVQKWREYRRQCQHFLTEAPPLATGLFCNRTFDDYACWPDGAPGSFVNVSCPWYLPWASNVLQGHVYRFCTTEGHWLHKDNSSLPWRDLSECEESRRGEKSSPEEQLLSLYIIYTVGYALSFSALVIASAILLGFRHLHCTRNYIHLNLFASFILRALSVFIKDAALKWMYSTAAQQHQWDGLLSYQDSLGCRLVFLLMQYCVAANYYWLLVEGAYLYTLLAFAVFSEQRIFKLYLSIGWGVPLLFVIPWGIVKYLYEDEGCWTRNSNMNYWLIIRLPILFAIGVNFLIFIRVICIVVSKLKANLMCKTDIKCRLAKSTLTLIPLLGTHEVIFAFVMDEHARGTLRFVKLFTELSFTSFQGLMVAILYCFVNNEVQMEFRKSWERWRLEHLRVQRDSSMKPLKCPTSSLSSGATGGSSVYAATSQACS</t>
  </si>
  <si>
    <t>g1sgd4_rabit</t>
  </si>
  <si>
    <t>g1sgd4_rabit__wt</t>
  </si>
  <si>
    <t>5VAI</t>
  </si>
  <si>
    <t>R</t>
  </si>
  <si>
    <t>5UIW</t>
  </si>
  <si>
    <t>5XR8</t>
  </si>
  <si>
    <t>5XRA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</si>
</sst>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3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theme="1"/>
      <name val="Cambria"/>
    </font>
    <font>
      <sz val="8"/>
      <name val="Calibri"/>
      <family val="2"/>
      <scheme val="minor"/>
    </font>
    <font>
      <sz val="12"/>
      <color rgb="FF00B050"/>
      <name val="Calibri"/>
      <family val="2"/>
      <scheme val="minor"/>
    </font>
    <font>
      <b/>
      <sz val="12"/>
      <color rgb="FF00B050"/>
      <name val="Calibri"/>
      <family val="2"/>
      <scheme val="minor"/>
    </font>
    <font>
      <sz val="12"/>
      <color rgb="FF808080"/>
      <name val="Calibri"/>
      <family val="2"/>
    </font>
    <font>
      <b/>
      <sz val="12"/>
      <color rgb="FF000000"/>
      <name val="Calibri"/>
      <family val="2"/>
      <charset val="1"/>
    </font>
    <font>
      <b/>
      <sz val="12"/>
      <color rgb="FF808080"/>
      <name val="Calibri"/>
      <family val="2"/>
      <charset val="1"/>
    </font>
    <font>
      <sz val="12"/>
      <color rgb="FF00B050"/>
      <name val="Calibri"/>
      <family val="2"/>
      <charset val="1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0000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double">
        <color auto="1"/>
      </bottom>
      <diagonal/>
    </border>
    <border>
      <left style="thin">
        <color auto="1"/>
      </left>
      <right/>
      <top/>
      <bottom style="double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hair">
        <color auto="1"/>
      </left>
      <right/>
      <top/>
      <bottom/>
      <diagonal/>
    </border>
    <border>
      <left style="hair">
        <color auto="1"/>
      </left>
      <right style="hair">
        <color auto="1"/>
      </right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</borders>
  <cellStyleXfs count="797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23">
    <xf numFmtId="0" fontId="0" fillId="0" borderId="0" xfId="0"/>
    <xf numFmtId="0" fontId="0" fillId="0" borderId="0" xfId="0" applyFill="1"/>
    <xf numFmtId="0" fontId="0" fillId="0" borderId="0" xfId="0" applyFont="1" applyFill="1" applyBorder="1"/>
    <xf numFmtId="0" fontId="0" fillId="0" borderId="0" xfId="0" applyFont="1" applyFill="1"/>
    <xf numFmtId="0" fontId="0" fillId="0" borderId="0" xfId="0" applyFill="1" applyBorder="1"/>
    <xf numFmtId="0" fontId="0" fillId="0" borderId="1" xfId="0" applyFill="1" applyBorder="1"/>
    <xf numFmtId="0" fontId="4" fillId="0" borderId="0" xfId="0" applyFont="1" applyFill="1"/>
    <xf numFmtId="0" fontId="0" fillId="0" borderId="0" xfId="0" applyFill="1" applyAlignment="1">
      <alignment horizontal="center"/>
    </xf>
    <xf numFmtId="0" fontId="1" fillId="0" borderId="0" xfId="0" applyFont="1" applyFill="1" applyAlignment="1">
      <alignment horizontal="center"/>
    </xf>
    <xf numFmtId="0" fontId="0" fillId="2" borderId="0" xfId="0" applyFont="1" applyFill="1"/>
    <xf numFmtId="0" fontId="1" fillId="0" borderId="0" xfId="0" applyFont="1" applyFill="1"/>
    <xf numFmtId="0" fontId="0" fillId="2" borderId="0" xfId="0" applyFill="1" applyBorder="1"/>
    <xf numFmtId="0" fontId="0" fillId="2" borderId="0" xfId="0" applyFill="1"/>
    <xf numFmtId="0" fontId="0" fillId="2" borderId="1" xfId="0" applyFill="1" applyBorder="1"/>
    <xf numFmtId="0" fontId="5" fillId="0" borderId="0" xfId="0" applyFont="1" applyFill="1"/>
    <xf numFmtId="0" fontId="0" fillId="0" borderId="0" xfId="0" applyFont="1" applyFill="1" applyAlignment="1">
      <alignment horizontal="center"/>
    </xf>
    <xf numFmtId="0" fontId="0" fillId="0" borderId="1" xfId="0" applyFont="1" applyFill="1" applyBorder="1"/>
    <xf numFmtId="0" fontId="1" fillId="0" borderId="2" xfId="0" applyFont="1" applyFill="1" applyBorder="1" applyAlignment="1">
      <alignment horizontal="center"/>
    </xf>
    <xf numFmtId="0" fontId="5" fillId="0" borderId="0" xfId="0" applyFont="1" applyFill="1" applyBorder="1"/>
    <xf numFmtId="0" fontId="1" fillId="0" borderId="2" xfId="0" applyFont="1" applyFill="1" applyBorder="1" applyAlignment="1">
      <alignment horizontal="left"/>
    </xf>
    <xf numFmtId="0" fontId="1" fillId="0" borderId="0" xfId="0" applyFont="1" applyFill="1" applyBorder="1"/>
    <xf numFmtId="0" fontId="1" fillId="0" borderId="0" xfId="0" applyFont="1"/>
    <xf numFmtId="1" fontId="1" fillId="0" borderId="2" xfId="0" applyNumberFormat="1" applyFont="1" applyFill="1" applyBorder="1" applyAlignment="1">
      <alignment horizontal="center"/>
    </xf>
    <xf numFmtId="1" fontId="0" fillId="0" borderId="0" xfId="0" applyNumberFormat="1" applyFont="1" applyFill="1"/>
    <xf numFmtId="0" fontId="1" fillId="0" borderId="0" xfId="0" applyFont="1" applyAlignment="1">
      <alignment horizontal="center"/>
    </xf>
    <xf numFmtId="0" fontId="0" fillId="0" borderId="0" xfId="0" applyFill="1" applyAlignment="1">
      <alignment horizontal="left"/>
    </xf>
    <xf numFmtId="0" fontId="1" fillId="0" borderId="1" xfId="0" applyFon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0" fillId="0" borderId="1" xfId="0" applyFont="1" applyFill="1" applyBorder="1" applyAlignment="1">
      <alignment horizontal="center"/>
    </xf>
    <xf numFmtId="0" fontId="0" fillId="0" borderId="1" xfId="0" applyBorder="1"/>
    <xf numFmtId="0" fontId="1" fillId="0" borderId="0" xfId="0" applyFont="1" applyFill="1" applyBorder="1" applyAlignment="1">
      <alignment horizontal="center"/>
    </xf>
    <xf numFmtId="0" fontId="1" fillId="0" borderId="1" xfId="0" applyFont="1" applyBorder="1"/>
    <xf numFmtId="0" fontId="1" fillId="0" borderId="5" xfId="0" applyFont="1" applyFill="1" applyBorder="1" applyAlignment="1">
      <alignment horizontal="center"/>
    </xf>
    <xf numFmtId="0" fontId="1" fillId="0" borderId="6" xfId="0" applyFont="1" applyFill="1" applyBorder="1" applyAlignment="1">
      <alignment horizontal="center"/>
    </xf>
    <xf numFmtId="0" fontId="7" fillId="0" borderId="0" xfId="0" applyFont="1" applyFill="1"/>
    <xf numFmtId="1" fontId="0" fillId="0" borderId="1" xfId="0" applyNumberFormat="1" applyFont="1" applyFill="1" applyBorder="1"/>
    <xf numFmtId="0" fontId="1" fillId="0" borderId="0" xfId="0" applyFont="1" applyFill="1" applyAlignment="1">
      <alignment horizontal="left"/>
    </xf>
    <xf numFmtId="0" fontId="0" fillId="2" borderId="1" xfId="0" applyFill="1" applyBorder="1" applyAlignment="1">
      <alignment horizontal="center"/>
    </xf>
    <xf numFmtId="0" fontId="0" fillId="0" borderId="0" xfId="0" applyFont="1" applyFill="1" applyBorder="1" applyAlignment="1">
      <alignment horizontal="right"/>
    </xf>
    <xf numFmtId="0" fontId="1" fillId="0" borderId="0" xfId="0" applyFont="1" applyFill="1" applyBorder="1" applyAlignment="1">
      <alignment horizontal="right"/>
    </xf>
    <xf numFmtId="0" fontId="0" fillId="0" borderId="0" xfId="0" applyFill="1" applyBorder="1" applyAlignment="1">
      <alignment horizontal="right"/>
    </xf>
    <xf numFmtId="0" fontId="0" fillId="2" borderId="0" xfId="0" applyFont="1" applyFill="1" applyBorder="1"/>
    <xf numFmtId="0" fontId="8" fillId="0" borderId="0" xfId="0" applyFont="1" applyFill="1" applyAlignment="1">
      <alignment horizontal="center"/>
    </xf>
    <xf numFmtId="0" fontId="0" fillId="0" borderId="7" xfId="0" applyFill="1" applyBorder="1"/>
    <xf numFmtId="0" fontId="0" fillId="0" borderId="8" xfId="0" applyFill="1" applyBorder="1"/>
    <xf numFmtId="0" fontId="0" fillId="0" borderId="8" xfId="0" applyFill="1" applyBorder="1" applyAlignment="1">
      <alignment horizontal="center"/>
    </xf>
    <xf numFmtId="0" fontId="0" fillId="0" borderId="5" xfId="0" applyFill="1" applyBorder="1"/>
    <xf numFmtId="0" fontId="0" fillId="0" borderId="6" xfId="0" applyFill="1" applyBorder="1"/>
    <xf numFmtId="0" fontId="0" fillId="0" borderId="6" xfId="0" applyFill="1" applyBorder="1" applyAlignment="1">
      <alignment horizontal="center"/>
    </xf>
    <xf numFmtId="0" fontId="0" fillId="3" borderId="0" xfId="0" applyFont="1" applyFill="1"/>
    <xf numFmtId="0" fontId="0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2" borderId="0" xfId="0" applyFont="1" applyFill="1" applyBorder="1" applyAlignment="1">
      <alignment horizontal="center"/>
    </xf>
    <xf numFmtId="0" fontId="7" fillId="0" borderId="0" xfId="0" applyFont="1" applyFill="1" applyBorder="1"/>
    <xf numFmtId="0" fontId="8" fillId="0" borderId="0" xfId="0" applyFont="1" applyFill="1" applyBorder="1"/>
    <xf numFmtId="0" fontId="1" fillId="0" borderId="0" xfId="0" applyFont="1" applyFill="1" applyBorder="1" applyAlignment="1">
      <alignment horizontal="left"/>
    </xf>
    <xf numFmtId="0" fontId="8" fillId="0" borderId="0" xfId="0" applyFont="1" applyFill="1" applyBorder="1" applyAlignment="1">
      <alignment horizontal="center"/>
    </xf>
    <xf numFmtId="1" fontId="0" fillId="0" borderId="0" xfId="0" applyNumberFormat="1" applyFont="1" applyFill="1" applyBorder="1"/>
    <xf numFmtId="0" fontId="9" fillId="0" borderId="0" xfId="0" applyFont="1" applyFill="1" applyBorder="1"/>
    <xf numFmtId="0" fontId="0" fillId="2" borderId="1" xfId="0" applyFont="1" applyFill="1" applyBorder="1" applyAlignment="1">
      <alignment horizontal="center"/>
    </xf>
    <xf numFmtId="0" fontId="0" fillId="0" borderId="7" xfId="0" applyFont="1" applyFill="1" applyBorder="1"/>
    <xf numFmtId="0" fontId="0" fillId="0" borderId="7" xfId="0" applyBorder="1"/>
    <xf numFmtId="0" fontId="0" fillId="2" borderId="0" xfId="0" applyFont="1" applyFill="1" applyAlignment="1">
      <alignment horizontal="center"/>
    </xf>
    <xf numFmtId="0" fontId="10" fillId="0" borderId="0" xfId="0" applyFont="1" applyFill="1" applyAlignment="1">
      <alignment horizontal="center"/>
    </xf>
    <xf numFmtId="1" fontId="10" fillId="0" borderId="0" xfId="0" applyNumberFormat="1" applyFont="1" applyFill="1" applyAlignment="1">
      <alignment horizontal="center"/>
    </xf>
    <xf numFmtId="0" fontId="10" fillId="0" borderId="4" xfId="0" applyFont="1" applyFill="1" applyBorder="1" applyAlignment="1">
      <alignment horizontal="center"/>
    </xf>
    <xf numFmtId="0" fontId="10" fillId="0" borderId="1" xfId="0" applyFont="1" applyFill="1" applyBorder="1" applyAlignment="1">
      <alignment horizontal="center"/>
    </xf>
    <xf numFmtId="0" fontId="11" fillId="0" borderId="1" xfId="0" applyFont="1" applyFill="1" applyBorder="1" applyAlignment="1">
      <alignment horizontal="center"/>
    </xf>
    <xf numFmtId="1" fontId="11" fillId="0" borderId="0" xfId="0" applyNumberFormat="1" applyFont="1" applyFill="1" applyBorder="1" applyAlignment="1">
      <alignment horizontal="center"/>
    </xf>
    <xf numFmtId="0" fontId="11" fillId="0" borderId="0" xfId="0" applyFont="1" applyFill="1" applyBorder="1" applyAlignment="1">
      <alignment horizontal="center"/>
    </xf>
    <xf numFmtId="0" fontId="11" fillId="0" borderId="0" xfId="0" applyFont="1" applyFill="1" applyAlignment="1">
      <alignment horizontal="center"/>
    </xf>
    <xf numFmtId="1" fontId="11" fillId="0" borderId="0" xfId="0" applyNumberFormat="1" applyFont="1" applyFill="1" applyAlignment="1">
      <alignment horizontal="center"/>
    </xf>
    <xf numFmtId="0" fontId="9" fillId="0" borderId="1" xfId="0" applyFont="1" applyFill="1" applyBorder="1"/>
    <xf numFmtId="1" fontId="9" fillId="0" borderId="0" xfId="0" applyNumberFormat="1" applyFont="1" applyFill="1"/>
    <xf numFmtId="0" fontId="9" fillId="0" borderId="0" xfId="0" applyFont="1" applyFill="1"/>
    <xf numFmtId="0" fontId="12" fillId="0" borderId="0" xfId="0" applyFont="1" applyFill="1"/>
    <xf numFmtId="0" fontId="0" fillId="0" borderId="9" xfId="0" applyFont="1" applyFill="1" applyBorder="1"/>
    <xf numFmtId="0" fontId="9" fillId="0" borderId="9" xfId="0" applyFont="1" applyFill="1" applyBorder="1"/>
    <xf numFmtId="0" fontId="10" fillId="0" borderId="0" xfId="0" applyFont="1" applyFill="1" applyBorder="1" applyAlignment="1">
      <alignment horizontal="center" wrapText="1"/>
    </xf>
    <xf numFmtId="0" fontId="0" fillId="0" borderId="4" xfId="0" applyFont="1" applyFill="1" applyBorder="1" applyAlignment="1">
      <alignment horizontal="center"/>
    </xf>
    <xf numFmtId="0" fontId="0" fillId="0" borderId="10" xfId="0" applyFont="1" applyFill="1" applyBorder="1" applyAlignment="1">
      <alignment horizontal="center"/>
    </xf>
    <xf numFmtId="0" fontId="4" fillId="0" borderId="7" xfId="0" applyFont="1" applyFill="1" applyBorder="1"/>
    <xf numFmtId="0" fontId="0" fillId="0" borderId="11" xfId="0" applyFill="1" applyBorder="1"/>
    <xf numFmtId="0" fontId="0" fillId="0" borderId="12" xfId="0" applyFont="1" applyFill="1" applyBorder="1"/>
    <xf numFmtId="0" fontId="0" fillId="0" borderId="13" xfId="0" applyFont="1" applyFill="1" applyBorder="1"/>
    <xf numFmtId="0" fontId="1" fillId="0" borderId="3" xfId="0" applyFont="1" applyFill="1" applyBorder="1" applyAlignment="1">
      <alignment horizontal="left"/>
    </xf>
    <xf numFmtId="0" fontId="5" fillId="0" borderId="1" xfId="0" applyFont="1" applyFill="1" applyBorder="1"/>
    <xf numFmtId="0" fontId="1" fillId="0" borderId="5" xfId="0" applyFont="1" applyFill="1" applyBorder="1" applyAlignment="1">
      <alignment horizontal="left"/>
    </xf>
    <xf numFmtId="0" fontId="1" fillId="4" borderId="0" xfId="0" applyFont="1" applyFill="1" applyAlignment="1">
      <alignment horizontal="center"/>
    </xf>
    <xf numFmtId="0" fontId="0" fillId="4" borderId="0" xfId="0" applyFill="1"/>
    <xf numFmtId="0" fontId="0" fillId="4" borderId="0" xfId="0" applyFill="1" applyBorder="1"/>
    <xf numFmtId="0" fontId="0" fillId="4" borderId="7" xfId="0" applyFill="1" applyBorder="1"/>
    <xf numFmtId="0" fontId="0" fillId="4" borderId="5" xfId="0" applyFill="1" applyBorder="1"/>
    <xf numFmtId="1" fontId="0" fillId="0" borderId="9" xfId="0" applyNumberFormat="1" applyFont="1" applyFill="1" applyBorder="1"/>
    <xf numFmtId="0" fontId="0" fillId="0" borderId="9" xfId="0" applyFill="1" applyBorder="1" applyAlignment="1">
      <alignment horizontal="center"/>
    </xf>
    <xf numFmtId="0" fontId="4" fillId="0" borderId="0" xfId="0" applyFont="1" applyFill="1" applyBorder="1"/>
    <xf numFmtId="0" fontId="0" fillId="0" borderId="9" xfId="0" applyFont="1" applyFill="1" applyBorder="1" applyAlignment="1">
      <alignment horizontal="center"/>
    </xf>
    <xf numFmtId="0" fontId="0" fillId="0" borderId="1" xfId="0" applyFont="1" applyFill="1" applyBorder="1" applyAlignment="1">
      <alignment horizontal="left"/>
    </xf>
    <xf numFmtId="0" fontId="10" fillId="0" borderId="1" xfId="0" applyFont="1" applyFill="1" applyBorder="1" applyAlignment="1">
      <alignment horizontal="left"/>
    </xf>
    <xf numFmtId="0" fontId="0" fillId="0" borderId="0" xfId="0" applyFont="1" applyFill="1" applyBorder="1" applyAlignment="1">
      <alignment horizontal="left"/>
    </xf>
    <xf numFmtId="0" fontId="0" fillId="0" borderId="0" xfId="0" applyFill="1" applyBorder="1" applyAlignment="1">
      <alignment horizontal="left"/>
    </xf>
    <xf numFmtId="0" fontId="0" fillId="2" borderId="1" xfId="0" applyFont="1" applyFill="1" applyBorder="1" applyAlignment="1">
      <alignment horizontal="left"/>
    </xf>
    <xf numFmtId="0" fontId="1" fillId="2" borderId="0" xfId="0" applyFont="1" applyFill="1" applyAlignment="1">
      <alignment horizontal="center"/>
    </xf>
    <xf numFmtId="0" fontId="0" fillId="4" borderId="0" xfId="0" applyFont="1" applyFill="1"/>
    <xf numFmtId="0" fontId="0" fillId="2" borderId="7" xfId="0" applyFill="1" applyBorder="1"/>
    <xf numFmtId="0" fontId="0" fillId="2" borderId="5" xfId="0" applyFill="1" applyBorder="1"/>
    <xf numFmtId="49" fontId="1" fillId="0" borderId="0" xfId="0" applyNumberFormat="1" applyFont="1" applyFill="1" applyBorder="1" applyAlignment="1">
      <alignment horizontal="center"/>
    </xf>
    <xf numFmtId="0" fontId="10" fillId="2" borderId="0" xfId="0" applyFont="1" applyFill="1" applyAlignment="1">
      <alignment horizontal="center"/>
    </xf>
    <xf numFmtId="0" fontId="0" fillId="5" borderId="0" xfId="0" applyFont="1" applyFill="1"/>
    <xf numFmtId="0" fontId="0" fillId="5" borderId="0" xfId="0" applyFont="1" applyFill="1" applyBorder="1"/>
    <xf numFmtId="0" fontId="7" fillId="5" borderId="0" xfId="0" applyFont="1" applyFill="1" applyBorder="1"/>
    <xf numFmtId="0" fontId="0" fillId="5" borderId="0" xfId="0" applyFill="1"/>
    <xf numFmtId="1" fontId="0" fillId="2" borderId="0" xfId="0" applyNumberFormat="1" applyFont="1" applyFill="1"/>
    <xf numFmtId="0" fontId="0" fillId="2" borderId="4" xfId="0" applyFont="1" applyFill="1" applyBorder="1" applyAlignment="1">
      <alignment horizontal="center"/>
    </xf>
    <xf numFmtId="0" fontId="9" fillId="2" borderId="1" xfId="0" applyFont="1" applyFill="1" applyBorder="1"/>
    <xf numFmtId="0" fontId="9" fillId="2" borderId="0" xfId="0" applyFont="1" applyFill="1" applyBorder="1"/>
    <xf numFmtId="1" fontId="9" fillId="2" borderId="0" xfId="0" applyNumberFormat="1" applyFont="1" applyFill="1"/>
    <xf numFmtId="0" fontId="9" fillId="2" borderId="0" xfId="0" applyFont="1" applyFill="1"/>
    <xf numFmtId="0" fontId="4" fillId="2" borderId="0" xfId="0" applyFont="1" applyFill="1"/>
    <xf numFmtId="0" fontId="0" fillId="5" borderId="0" xfId="0" applyFill="1" applyBorder="1"/>
    <xf numFmtId="0" fontId="0" fillId="5" borderId="7" xfId="0" applyFill="1" applyBorder="1"/>
    <xf numFmtId="0" fontId="0" fillId="5" borderId="5" xfId="0" applyFill="1" applyBorder="1"/>
    <xf numFmtId="0" fontId="0" fillId="2" borderId="1" xfId="0" applyFont="1" applyFill="1" applyBorder="1"/>
  </cellXfs>
  <cellStyles count="797">
    <cellStyle name="Followed Hyperlink" xfId="464" builtinId="9" hidden="1"/>
    <cellStyle name="Followed Hyperlink" xfId="480" builtinId="9" hidden="1"/>
    <cellStyle name="Followed Hyperlink" xfId="496" builtinId="9" hidden="1"/>
    <cellStyle name="Followed Hyperlink" xfId="512" builtinId="9" hidden="1"/>
    <cellStyle name="Followed Hyperlink" xfId="528" builtinId="9" hidden="1"/>
    <cellStyle name="Followed Hyperlink" xfId="544" builtinId="9" hidden="1"/>
    <cellStyle name="Followed Hyperlink" xfId="560" builtinId="9" hidden="1"/>
    <cellStyle name="Followed Hyperlink" xfId="576" builtinId="9" hidden="1"/>
    <cellStyle name="Followed Hyperlink" xfId="592" builtinId="9" hidden="1"/>
    <cellStyle name="Followed Hyperlink" xfId="608" builtinId="9" hidden="1"/>
    <cellStyle name="Followed Hyperlink" xfId="624" builtinId="9" hidden="1"/>
    <cellStyle name="Followed Hyperlink" xfId="640" builtinId="9" hidden="1"/>
    <cellStyle name="Followed Hyperlink" xfId="656" builtinId="9" hidden="1"/>
    <cellStyle name="Followed Hyperlink" xfId="672" builtinId="9" hidden="1"/>
    <cellStyle name="Followed Hyperlink" xfId="688" builtinId="9" hidden="1"/>
    <cellStyle name="Followed Hyperlink" xfId="704" builtinId="9" hidden="1"/>
    <cellStyle name="Followed Hyperlink" xfId="720" builtinId="9" hidden="1"/>
    <cellStyle name="Followed Hyperlink" xfId="736" builtinId="9" hidden="1"/>
    <cellStyle name="Followed Hyperlink" xfId="752" builtinId="9" hidden="1"/>
    <cellStyle name="Followed Hyperlink" xfId="768" builtinId="9" hidden="1"/>
    <cellStyle name="Followed Hyperlink" xfId="758" builtinId="9" hidden="1"/>
    <cellStyle name="Followed Hyperlink" xfId="742" builtinId="9" hidden="1"/>
    <cellStyle name="Followed Hyperlink" xfId="726" builtinId="9" hidden="1"/>
    <cellStyle name="Followed Hyperlink" xfId="710" builtinId="9" hidden="1"/>
    <cellStyle name="Followed Hyperlink" xfId="694" builtinId="9" hidden="1"/>
    <cellStyle name="Followed Hyperlink" xfId="678" builtinId="9" hidden="1"/>
    <cellStyle name="Followed Hyperlink" xfId="662" builtinId="9" hidden="1"/>
    <cellStyle name="Followed Hyperlink" xfId="646" builtinId="9" hidden="1"/>
    <cellStyle name="Followed Hyperlink" xfId="630" builtinId="9" hidden="1"/>
    <cellStyle name="Followed Hyperlink" xfId="614" builtinId="9" hidden="1"/>
    <cellStyle name="Followed Hyperlink" xfId="598" builtinId="9" hidden="1"/>
    <cellStyle name="Followed Hyperlink" xfId="582" builtinId="9" hidden="1"/>
    <cellStyle name="Followed Hyperlink" xfId="566" builtinId="9" hidden="1"/>
    <cellStyle name="Followed Hyperlink" xfId="550" builtinId="9" hidden="1"/>
    <cellStyle name="Followed Hyperlink" xfId="534" builtinId="9" hidden="1"/>
    <cellStyle name="Followed Hyperlink" xfId="518" builtinId="9" hidden="1"/>
    <cellStyle name="Followed Hyperlink" xfId="502" builtinId="9" hidden="1"/>
    <cellStyle name="Followed Hyperlink" xfId="486" builtinId="9" hidden="1"/>
    <cellStyle name="Followed Hyperlink" xfId="470" builtinId="9" hidden="1"/>
    <cellStyle name="Followed Hyperlink" xfId="454" builtinId="9" hidden="1"/>
    <cellStyle name="Followed Hyperlink" xfId="438" builtinId="9" hidden="1"/>
    <cellStyle name="Followed Hyperlink" xfId="422" builtinId="9" hidden="1"/>
    <cellStyle name="Followed Hyperlink" xfId="406" builtinId="9" hidden="1"/>
    <cellStyle name="Followed Hyperlink" xfId="390" builtinId="9" hidden="1"/>
    <cellStyle name="Followed Hyperlink" xfId="374" builtinId="9" hidden="1"/>
    <cellStyle name="Followed Hyperlink" xfId="358" builtinId="9" hidden="1"/>
    <cellStyle name="Followed Hyperlink" xfId="342" builtinId="9" hidden="1"/>
    <cellStyle name="Followed Hyperlink" xfId="326" builtinId="9" hidden="1"/>
    <cellStyle name="Followed Hyperlink" xfId="310" builtinId="9" hidden="1"/>
    <cellStyle name="Followed Hyperlink" xfId="294" builtinId="9" hidden="1"/>
    <cellStyle name="Followed Hyperlink" xfId="278" builtinId="9" hidden="1"/>
    <cellStyle name="Followed Hyperlink" xfId="262" builtinId="9" hidden="1"/>
    <cellStyle name="Followed Hyperlink" xfId="246" builtinId="9" hidden="1"/>
    <cellStyle name="Followed Hyperlink" xfId="230" builtinId="9" hidden="1"/>
    <cellStyle name="Followed Hyperlink" xfId="214" builtinId="9" hidden="1"/>
    <cellStyle name="Followed Hyperlink" xfId="198" builtinId="9" hidden="1"/>
    <cellStyle name="Followed Hyperlink" xfId="182" builtinId="9" hidden="1"/>
    <cellStyle name="Followed Hyperlink" xfId="166" builtinId="9" hidden="1"/>
    <cellStyle name="Followed Hyperlink" xfId="150" builtinId="9" hidden="1"/>
    <cellStyle name="Followed Hyperlink" xfId="134" builtinId="9" hidden="1"/>
    <cellStyle name="Followed Hyperlink" xfId="118" builtinId="9" hidden="1"/>
    <cellStyle name="Followed Hyperlink" xfId="102" builtinId="9" hidden="1"/>
    <cellStyle name="Followed Hyperlink" xfId="86" builtinId="9" hidden="1"/>
    <cellStyle name="Followed Hyperlink" xfId="70" builtinId="9" hidden="1"/>
    <cellStyle name="Followed Hyperlink" xfId="28" builtinId="9" hidden="1"/>
    <cellStyle name="Followed Hyperlink" xfId="40" builtinId="9" hidden="1"/>
    <cellStyle name="Followed Hyperlink" xfId="50" builtinId="9" hidden="1"/>
    <cellStyle name="Followed Hyperlink" xfId="60" builtinId="9" hidden="1"/>
    <cellStyle name="Followed Hyperlink" xfId="46" builtinId="9" hidden="1"/>
    <cellStyle name="Followed Hyperlink" xfId="10" builtinId="9" hidden="1"/>
    <cellStyle name="Followed Hyperlink" xfId="20" builtinId="9" hidden="1"/>
    <cellStyle name="Followed Hyperlink" xfId="4" builtinId="9" hidden="1"/>
    <cellStyle name="Followed Hyperlink" xfId="8" builtinId="9" hidden="1"/>
    <cellStyle name="Followed Hyperlink" xfId="18" builtinId="9" hidden="1"/>
    <cellStyle name="Followed Hyperlink" xfId="22" builtinId="9" hidden="1"/>
    <cellStyle name="Followed Hyperlink" xfId="54" builtinId="9" hidden="1"/>
    <cellStyle name="Followed Hyperlink" xfId="58" builtinId="9" hidden="1"/>
    <cellStyle name="Followed Hyperlink" xfId="48" builtinId="9" hidden="1"/>
    <cellStyle name="Followed Hyperlink" xfId="36" builtinId="9" hidden="1"/>
    <cellStyle name="Followed Hyperlink" xfId="26" builtinId="9" hidden="1"/>
    <cellStyle name="Followed Hyperlink" xfId="74" builtinId="9" hidden="1"/>
    <cellStyle name="Followed Hyperlink" xfId="90" builtinId="9" hidden="1"/>
    <cellStyle name="Followed Hyperlink" xfId="106" builtinId="9" hidden="1"/>
    <cellStyle name="Followed Hyperlink" xfId="122" builtinId="9" hidden="1"/>
    <cellStyle name="Followed Hyperlink" xfId="138" builtinId="9" hidden="1"/>
    <cellStyle name="Followed Hyperlink" xfId="154" builtinId="9" hidden="1"/>
    <cellStyle name="Followed Hyperlink" xfId="170" builtinId="9" hidden="1"/>
    <cellStyle name="Followed Hyperlink" xfId="186" builtinId="9" hidden="1"/>
    <cellStyle name="Followed Hyperlink" xfId="202" builtinId="9" hidden="1"/>
    <cellStyle name="Followed Hyperlink" xfId="218" builtinId="9" hidden="1"/>
    <cellStyle name="Followed Hyperlink" xfId="234" builtinId="9" hidden="1"/>
    <cellStyle name="Followed Hyperlink" xfId="250" builtinId="9" hidden="1"/>
    <cellStyle name="Followed Hyperlink" xfId="266" builtinId="9" hidden="1"/>
    <cellStyle name="Followed Hyperlink" xfId="282" builtinId="9" hidden="1"/>
    <cellStyle name="Followed Hyperlink" xfId="298" builtinId="9" hidden="1"/>
    <cellStyle name="Followed Hyperlink" xfId="314" builtinId="9" hidden="1"/>
    <cellStyle name="Followed Hyperlink" xfId="330" builtinId="9" hidden="1"/>
    <cellStyle name="Followed Hyperlink" xfId="346" builtinId="9" hidden="1"/>
    <cellStyle name="Followed Hyperlink" xfId="362" builtinId="9" hidden="1"/>
    <cellStyle name="Followed Hyperlink" xfId="378" builtinId="9" hidden="1"/>
    <cellStyle name="Followed Hyperlink" xfId="394" builtinId="9" hidden="1"/>
    <cellStyle name="Followed Hyperlink" xfId="410" builtinId="9" hidden="1"/>
    <cellStyle name="Followed Hyperlink" xfId="426" builtinId="9" hidden="1"/>
    <cellStyle name="Followed Hyperlink" xfId="442" builtinId="9" hidden="1"/>
    <cellStyle name="Followed Hyperlink" xfId="458" builtinId="9" hidden="1"/>
    <cellStyle name="Followed Hyperlink" xfId="474" builtinId="9" hidden="1"/>
    <cellStyle name="Followed Hyperlink" xfId="490" builtinId="9" hidden="1"/>
    <cellStyle name="Followed Hyperlink" xfId="506" builtinId="9" hidden="1"/>
    <cellStyle name="Followed Hyperlink" xfId="522" builtinId="9" hidden="1"/>
    <cellStyle name="Followed Hyperlink" xfId="538" builtinId="9" hidden="1"/>
    <cellStyle name="Followed Hyperlink" xfId="554" builtinId="9" hidden="1"/>
    <cellStyle name="Followed Hyperlink" xfId="570" builtinId="9" hidden="1"/>
    <cellStyle name="Followed Hyperlink" xfId="586" builtinId="9" hidden="1"/>
    <cellStyle name="Followed Hyperlink" xfId="602" builtinId="9" hidden="1"/>
    <cellStyle name="Followed Hyperlink" xfId="618" builtinId="9" hidden="1"/>
    <cellStyle name="Followed Hyperlink" xfId="634" builtinId="9" hidden="1"/>
    <cellStyle name="Followed Hyperlink" xfId="650" builtinId="9" hidden="1"/>
    <cellStyle name="Followed Hyperlink" xfId="666" builtinId="9" hidden="1"/>
    <cellStyle name="Followed Hyperlink" xfId="682" builtinId="9" hidden="1"/>
    <cellStyle name="Followed Hyperlink" xfId="698" builtinId="9" hidden="1"/>
    <cellStyle name="Followed Hyperlink" xfId="714" builtinId="9" hidden="1"/>
    <cellStyle name="Followed Hyperlink" xfId="730" builtinId="9" hidden="1"/>
    <cellStyle name="Followed Hyperlink" xfId="746" builtinId="9" hidden="1"/>
    <cellStyle name="Followed Hyperlink" xfId="762" builtinId="9" hidden="1"/>
    <cellStyle name="Followed Hyperlink" xfId="764" builtinId="9" hidden="1"/>
    <cellStyle name="Followed Hyperlink" xfId="748" builtinId="9" hidden="1"/>
    <cellStyle name="Followed Hyperlink" xfId="732" builtinId="9" hidden="1"/>
    <cellStyle name="Followed Hyperlink" xfId="716" builtinId="9" hidden="1"/>
    <cellStyle name="Followed Hyperlink" xfId="700" builtinId="9" hidden="1"/>
    <cellStyle name="Followed Hyperlink" xfId="684" builtinId="9" hidden="1"/>
    <cellStyle name="Followed Hyperlink" xfId="668" builtinId="9" hidden="1"/>
    <cellStyle name="Followed Hyperlink" xfId="652" builtinId="9" hidden="1"/>
    <cellStyle name="Followed Hyperlink" xfId="636" builtinId="9" hidden="1"/>
    <cellStyle name="Followed Hyperlink" xfId="620" builtinId="9" hidden="1"/>
    <cellStyle name="Followed Hyperlink" xfId="604" builtinId="9" hidden="1"/>
    <cellStyle name="Followed Hyperlink" xfId="588" builtinId="9" hidden="1"/>
    <cellStyle name="Followed Hyperlink" xfId="572" builtinId="9" hidden="1"/>
    <cellStyle name="Followed Hyperlink" xfId="556" builtinId="9" hidden="1"/>
    <cellStyle name="Followed Hyperlink" xfId="540" builtinId="9" hidden="1"/>
    <cellStyle name="Followed Hyperlink" xfId="524" builtinId="9" hidden="1"/>
    <cellStyle name="Followed Hyperlink" xfId="508" builtinId="9" hidden="1"/>
    <cellStyle name="Followed Hyperlink" xfId="492" builtinId="9" hidden="1"/>
    <cellStyle name="Followed Hyperlink" xfId="476" builtinId="9" hidden="1"/>
    <cellStyle name="Followed Hyperlink" xfId="460" builtinId="9" hidden="1"/>
    <cellStyle name="Followed Hyperlink" xfId="444" builtinId="9" hidden="1"/>
    <cellStyle name="Followed Hyperlink" xfId="428" builtinId="9" hidden="1"/>
    <cellStyle name="Followed Hyperlink" xfId="412" builtinId="9" hidden="1"/>
    <cellStyle name="Followed Hyperlink" xfId="396" builtinId="9" hidden="1"/>
    <cellStyle name="Followed Hyperlink" xfId="380" builtinId="9" hidden="1"/>
    <cellStyle name="Followed Hyperlink" xfId="364" builtinId="9" hidden="1"/>
    <cellStyle name="Followed Hyperlink" xfId="348" builtinId="9" hidden="1"/>
    <cellStyle name="Followed Hyperlink" xfId="332" builtinId="9" hidden="1"/>
    <cellStyle name="Followed Hyperlink" xfId="316" builtinId="9" hidden="1"/>
    <cellStyle name="Followed Hyperlink" xfId="300" builtinId="9" hidden="1"/>
    <cellStyle name="Followed Hyperlink" xfId="284" builtinId="9" hidden="1"/>
    <cellStyle name="Followed Hyperlink" xfId="268" builtinId="9" hidden="1"/>
    <cellStyle name="Followed Hyperlink" xfId="252" builtinId="9" hidden="1"/>
    <cellStyle name="Followed Hyperlink" xfId="236" builtinId="9" hidden="1"/>
    <cellStyle name="Followed Hyperlink" xfId="220" builtinId="9" hidden="1"/>
    <cellStyle name="Followed Hyperlink" xfId="204" builtinId="9" hidden="1"/>
    <cellStyle name="Followed Hyperlink" xfId="112" builtinId="9" hidden="1"/>
    <cellStyle name="Followed Hyperlink" xfId="120" builtinId="9" hidden="1"/>
    <cellStyle name="Followed Hyperlink" xfId="132" builtinId="9" hidden="1"/>
    <cellStyle name="Followed Hyperlink" xfId="144" builtinId="9" hidden="1"/>
    <cellStyle name="Followed Hyperlink" xfId="152" builtinId="9" hidden="1"/>
    <cellStyle name="Followed Hyperlink" xfId="164" builtinId="9" hidden="1"/>
    <cellStyle name="Followed Hyperlink" xfId="176" builtinId="9" hidden="1"/>
    <cellStyle name="Followed Hyperlink" xfId="184" builtinId="9" hidden="1"/>
    <cellStyle name="Followed Hyperlink" xfId="188" builtinId="9" hidden="1"/>
    <cellStyle name="Followed Hyperlink" xfId="156" builtinId="9" hidden="1"/>
    <cellStyle name="Followed Hyperlink" xfId="124" builtinId="9" hidden="1"/>
    <cellStyle name="Followed Hyperlink" xfId="84" builtinId="9" hidden="1"/>
    <cellStyle name="Followed Hyperlink" xfId="96" builtinId="9" hidden="1"/>
    <cellStyle name="Followed Hyperlink" xfId="104" builtinId="9" hidden="1"/>
    <cellStyle name="Followed Hyperlink" xfId="76" builtinId="9" hidden="1"/>
    <cellStyle name="Followed Hyperlink" xfId="72" builtinId="9" hidden="1"/>
    <cellStyle name="Followed Hyperlink" xfId="68" builtinId="9" hidden="1"/>
    <cellStyle name="Followed Hyperlink" xfId="80" builtinId="9" hidden="1"/>
    <cellStyle name="Followed Hyperlink" xfId="92" builtinId="9" hidden="1"/>
    <cellStyle name="Followed Hyperlink" xfId="100" builtinId="9" hidden="1"/>
    <cellStyle name="Followed Hyperlink" xfId="88" builtinId="9" hidden="1"/>
    <cellStyle name="Followed Hyperlink" xfId="108" builtinId="9" hidden="1"/>
    <cellStyle name="Followed Hyperlink" xfId="140" builtinId="9" hidden="1"/>
    <cellStyle name="Followed Hyperlink" xfId="172" builtinId="9" hidden="1"/>
    <cellStyle name="Followed Hyperlink" xfId="192" builtinId="9" hidden="1"/>
    <cellStyle name="Followed Hyperlink" xfId="180" builtinId="9" hidden="1"/>
    <cellStyle name="Followed Hyperlink" xfId="168" builtinId="9" hidden="1"/>
    <cellStyle name="Followed Hyperlink" xfId="160" builtinId="9" hidden="1"/>
    <cellStyle name="Followed Hyperlink" xfId="148" builtinId="9" hidden="1"/>
    <cellStyle name="Followed Hyperlink" xfId="136" builtinId="9" hidden="1"/>
    <cellStyle name="Followed Hyperlink" xfId="128" builtinId="9" hidden="1"/>
    <cellStyle name="Followed Hyperlink" xfId="116" builtinId="9" hidden="1"/>
    <cellStyle name="Followed Hyperlink" xfId="196" builtinId="9" hidden="1"/>
    <cellStyle name="Followed Hyperlink" xfId="212" builtinId="9" hidden="1"/>
    <cellStyle name="Followed Hyperlink" xfId="228" builtinId="9" hidden="1"/>
    <cellStyle name="Followed Hyperlink" xfId="244" builtinId="9" hidden="1"/>
    <cellStyle name="Followed Hyperlink" xfId="260" builtinId="9" hidden="1"/>
    <cellStyle name="Followed Hyperlink" xfId="276" builtinId="9" hidden="1"/>
    <cellStyle name="Followed Hyperlink" xfId="292" builtinId="9" hidden="1"/>
    <cellStyle name="Followed Hyperlink" xfId="308" builtinId="9" hidden="1"/>
    <cellStyle name="Followed Hyperlink" xfId="324" builtinId="9" hidden="1"/>
    <cellStyle name="Followed Hyperlink" xfId="340" builtinId="9" hidden="1"/>
    <cellStyle name="Followed Hyperlink" xfId="356" builtinId="9" hidden="1"/>
    <cellStyle name="Followed Hyperlink" xfId="372" builtinId="9" hidden="1"/>
    <cellStyle name="Followed Hyperlink" xfId="388" builtinId="9" hidden="1"/>
    <cellStyle name="Followed Hyperlink" xfId="404" builtinId="9" hidden="1"/>
    <cellStyle name="Followed Hyperlink" xfId="420" builtinId="9" hidden="1"/>
    <cellStyle name="Followed Hyperlink" xfId="436" builtinId="9" hidden="1"/>
    <cellStyle name="Followed Hyperlink" xfId="452" builtinId="9" hidden="1"/>
    <cellStyle name="Followed Hyperlink" xfId="468" builtinId="9" hidden="1"/>
    <cellStyle name="Followed Hyperlink" xfId="484" builtinId="9" hidden="1"/>
    <cellStyle name="Followed Hyperlink" xfId="500" builtinId="9" hidden="1"/>
    <cellStyle name="Followed Hyperlink" xfId="516" builtinId="9" hidden="1"/>
    <cellStyle name="Followed Hyperlink" xfId="532" builtinId="9" hidden="1"/>
    <cellStyle name="Followed Hyperlink" xfId="548" builtinId="9" hidden="1"/>
    <cellStyle name="Followed Hyperlink" xfId="564" builtinId="9" hidden="1"/>
    <cellStyle name="Followed Hyperlink" xfId="580" builtinId="9" hidden="1"/>
    <cellStyle name="Followed Hyperlink" xfId="596" builtinId="9" hidden="1"/>
    <cellStyle name="Followed Hyperlink" xfId="612" builtinId="9" hidden="1"/>
    <cellStyle name="Followed Hyperlink" xfId="628" builtinId="9" hidden="1"/>
    <cellStyle name="Followed Hyperlink" xfId="644" builtinId="9" hidden="1"/>
    <cellStyle name="Followed Hyperlink" xfId="660" builtinId="9" hidden="1"/>
    <cellStyle name="Followed Hyperlink" xfId="676" builtinId="9" hidden="1"/>
    <cellStyle name="Followed Hyperlink" xfId="692" builtinId="9" hidden="1"/>
    <cellStyle name="Followed Hyperlink" xfId="708" builtinId="9" hidden="1"/>
    <cellStyle name="Followed Hyperlink" xfId="724" builtinId="9" hidden="1"/>
    <cellStyle name="Followed Hyperlink" xfId="740" builtinId="9" hidden="1"/>
    <cellStyle name="Followed Hyperlink" xfId="756" builtinId="9" hidden="1"/>
    <cellStyle name="Followed Hyperlink" xfId="770" builtinId="9" hidden="1"/>
    <cellStyle name="Followed Hyperlink" xfId="754" builtinId="9" hidden="1"/>
    <cellStyle name="Followed Hyperlink" xfId="738" builtinId="9" hidden="1"/>
    <cellStyle name="Followed Hyperlink" xfId="722" builtinId="9" hidden="1"/>
    <cellStyle name="Followed Hyperlink" xfId="706" builtinId="9" hidden="1"/>
    <cellStyle name="Followed Hyperlink" xfId="690" builtinId="9" hidden="1"/>
    <cellStyle name="Followed Hyperlink" xfId="674" builtinId="9" hidden="1"/>
    <cellStyle name="Followed Hyperlink" xfId="658" builtinId="9" hidden="1"/>
    <cellStyle name="Followed Hyperlink" xfId="642" builtinId="9" hidden="1"/>
    <cellStyle name="Followed Hyperlink" xfId="626" builtinId="9" hidden="1"/>
    <cellStyle name="Followed Hyperlink" xfId="610" builtinId="9" hidden="1"/>
    <cellStyle name="Followed Hyperlink" xfId="594" builtinId="9" hidden="1"/>
    <cellStyle name="Followed Hyperlink" xfId="578" builtinId="9" hidden="1"/>
    <cellStyle name="Followed Hyperlink" xfId="562" builtinId="9" hidden="1"/>
    <cellStyle name="Followed Hyperlink" xfId="546" builtinId="9" hidden="1"/>
    <cellStyle name="Followed Hyperlink" xfId="530" builtinId="9" hidden="1"/>
    <cellStyle name="Followed Hyperlink" xfId="514" builtinId="9" hidden="1"/>
    <cellStyle name="Followed Hyperlink" xfId="498" builtinId="9" hidden="1"/>
    <cellStyle name="Followed Hyperlink" xfId="482" builtinId="9" hidden="1"/>
    <cellStyle name="Followed Hyperlink" xfId="466" builtinId="9" hidden="1"/>
    <cellStyle name="Followed Hyperlink" xfId="450" builtinId="9" hidden="1"/>
    <cellStyle name="Followed Hyperlink" xfId="434" builtinId="9" hidden="1"/>
    <cellStyle name="Followed Hyperlink" xfId="418" builtinId="9" hidden="1"/>
    <cellStyle name="Followed Hyperlink" xfId="402" builtinId="9" hidden="1"/>
    <cellStyle name="Followed Hyperlink" xfId="386" builtinId="9" hidden="1"/>
    <cellStyle name="Followed Hyperlink" xfId="370" builtinId="9" hidden="1"/>
    <cellStyle name="Followed Hyperlink" xfId="354" builtinId="9" hidden="1"/>
    <cellStyle name="Followed Hyperlink" xfId="338" builtinId="9" hidden="1"/>
    <cellStyle name="Followed Hyperlink" xfId="322" builtinId="9" hidden="1"/>
    <cellStyle name="Followed Hyperlink" xfId="306" builtinId="9" hidden="1"/>
    <cellStyle name="Followed Hyperlink" xfId="290" builtinId="9" hidden="1"/>
    <cellStyle name="Followed Hyperlink" xfId="274" builtinId="9" hidden="1"/>
    <cellStyle name="Followed Hyperlink" xfId="258" builtinId="9" hidden="1"/>
    <cellStyle name="Followed Hyperlink" xfId="242" builtinId="9" hidden="1"/>
    <cellStyle name="Followed Hyperlink" xfId="226" builtinId="9" hidden="1"/>
    <cellStyle name="Followed Hyperlink" xfId="210" builtinId="9" hidden="1"/>
    <cellStyle name="Followed Hyperlink" xfId="194" builtinId="9" hidden="1"/>
    <cellStyle name="Followed Hyperlink" xfId="178" builtinId="9" hidden="1"/>
    <cellStyle name="Followed Hyperlink" xfId="162" builtinId="9" hidden="1"/>
    <cellStyle name="Followed Hyperlink" xfId="146" builtinId="9" hidden="1"/>
    <cellStyle name="Followed Hyperlink" xfId="130" builtinId="9" hidden="1"/>
    <cellStyle name="Followed Hyperlink" xfId="114" builtinId="9" hidden="1"/>
    <cellStyle name="Followed Hyperlink" xfId="98" builtinId="9" hidden="1"/>
    <cellStyle name="Followed Hyperlink" xfId="82" builtinId="9" hidden="1"/>
    <cellStyle name="Followed Hyperlink" xfId="66" builtinId="9" hidden="1"/>
    <cellStyle name="Followed Hyperlink" xfId="32" builtinId="9" hidden="1"/>
    <cellStyle name="Followed Hyperlink" xfId="42" builtinId="9" hidden="1"/>
    <cellStyle name="Followed Hyperlink" xfId="52" builtinId="9" hidden="1"/>
    <cellStyle name="Followed Hyperlink" xfId="64" builtinId="9" hidden="1"/>
    <cellStyle name="Followed Hyperlink" xfId="38" builtinId="9" hidden="1"/>
    <cellStyle name="Followed Hyperlink" xfId="12" builtinId="9" hidden="1"/>
    <cellStyle name="Followed Hyperlink" xfId="14" builtinId="9" hidden="1"/>
    <cellStyle name="Followed Hyperlink" xfId="2" builtinId="9" hidden="1"/>
    <cellStyle name="Followed Hyperlink" xfId="6" builtinId="9" hidden="1"/>
    <cellStyle name="Followed Hyperlink" xfId="16" builtinId="9" hidden="1"/>
    <cellStyle name="Followed Hyperlink" xfId="30" builtinId="9" hidden="1"/>
    <cellStyle name="Followed Hyperlink" xfId="62" builtinId="9" hidden="1"/>
    <cellStyle name="Followed Hyperlink" xfId="56" builtinId="9" hidden="1"/>
    <cellStyle name="Followed Hyperlink" xfId="44" builtinId="9" hidden="1"/>
    <cellStyle name="Followed Hyperlink" xfId="34" builtinId="9" hidden="1"/>
    <cellStyle name="Followed Hyperlink" xfId="24" builtinId="9" hidden="1"/>
    <cellStyle name="Followed Hyperlink" xfId="78" builtinId="9" hidden="1"/>
    <cellStyle name="Followed Hyperlink" xfId="94" builtinId="9" hidden="1"/>
    <cellStyle name="Followed Hyperlink" xfId="110" builtinId="9" hidden="1"/>
    <cellStyle name="Followed Hyperlink" xfId="126" builtinId="9" hidden="1"/>
    <cellStyle name="Followed Hyperlink" xfId="142" builtinId="9" hidden="1"/>
    <cellStyle name="Followed Hyperlink" xfId="158" builtinId="9" hidden="1"/>
    <cellStyle name="Followed Hyperlink" xfId="174" builtinId="9" hidden="1"/>
    <cellStyle name="Followed Hyperlink" xfId="190" builtinId="9" hidden="1"/>
    <cellStyle name="Followed Hyperlink" xfId="206" builtinId="9" hidden="1"/>
    <cellStyle name="Followed Hyperlink" xfId="222" builtinId="9" hidden="1"/>
    <cellStyle name="Followed Hyperlink" xfId="238" builtinId="9" hidden="1"/>
    <cellStyle name="Followed Hyperlink" xfId="254" builtinId="9" hidden="1"/>
    <cellStyle name="Followed Hyperlink" xfId="270" builtinId="9" hidden="1"/>
    <cellStyle name="Followed Hyperlink" xfId="286" builtinId="9" hidden="1"/>
    <cellStyle name="Followed Hyperlink" xfId="302" builtinId="9" hidden="1"/>
    <cellStyle name="Followed Hyperlink" xfId="318" builtinId="9" hidden="1"/>
    <cellStyle name="Followed Hyperlink" xfId="334" builtinId="9" hidden="1"/>
    <cellStyle name="Followed Hyperlink" xfId="350" builtinId="9" hidden="1"/>
    <cellStyle name="Followed Hyperlink" xfId="366" builtinId="9" hidden="1"/>
    <cellStyle name="Followed Hyperlink" xfId="382" builtinId="9" hidden="1"/>
    <cellStyle name="Followed Hyperlink" xfId="398" builtinId="9" hidden="1"/>
    <cellStyle name="Followed Hyperlink" xfId="414" builtinId="9" hidden="1"/>
    <cellStyle name="Followed Hyperlink" xfId="430" builtinId="9" hidden="1"/>
    <cellStyle name="Followed Hyperlink" xfId="446" builtinId="9" hidden="1"/>
    <cellStyle name="Followed Hyperlink" xfId="462" builtinId="9" hidden="1"/>
    <cellStyle name="Followed Hyperlink" xfId="478" builtinId="9" hidden="1"/>
    <cellStyle name="Followed Hyperlink" xfId="494" builtinId="9" hidden="1"/>
    <cellStyle name="Followed Hyperlink" xfId="510" builtinId="9" hidden="1"/>
    <cellStyle name="Followed Hyperlink" xfId="526" builtinId="9" hidden="1"/>
    <cellStyle name="Followed Hyperlink" xfId="542" builtinId="9" hidden="1"/>
    <cellStyle name="Followed Hyperlink" xfId="558" builtinId="9" hidden="1"/>
    <cellStyle name="Followed Hyperlink" xfId="574" builtinId="9" hidden="1"/>
    <cellStyle name="Followed Hyperlink" xfId="590" builtinId="9" hidden="1"/>
    <cellStyle name="Followed Hyperlink" xfId="606" builtinId="9" hidden="1"/>
    <cellStyle name="Followed Hyperlink" xfId="622" builtinId="9" hidden="1"/>
    <cellStyle name="Followed Hyperlink" xfId="638" builtinId="9" hidden="1"/>
    <cellStyle name="Followed Hyperlink" xfId="654" builtinId="9" hidden="1"/>
    <cellStyle name="Followed Hyperlink" xfId="670" builtinId="9" hidden="1"/>
    <cellStyle name="Followed Hyperlink" xfId="686" builtinId="9" hidden="1"/>
    <cellStyle name="Followed Hyperlink" xfId="702" builtinId="9" hidden="1"/>
    <cellStyle name="Followed Hyperlink" xfId="718" builtinId="9" hidden="1"/>
    <cellStyle name="Followed Hyperlink" xfId="734" builtinId="9" hidden="1"/>
    <cellStyle name="Followed Hyperlink" xfId="750" builtinId="9" hidden="1"/>
    <cellStyle name="Followed Hyperlink" xfId="766" builtinId="9" hidden="1"/>
    <cellStyle name="Followed Hyperlink" xfId="760" builtinId="9" hidden="1"/>
    <cellStyle name="Followed Hyperlink" xfId="744" builtinId="9" hidden="1"/>
    <cellStyle name="Followed Hyperlink" xfId="728" builtinId="9" hidden="1"/>
    <cellStyle name="Followed Hyperlink" xfId="712" builtinId="9" hidden="1"/>
    <cellStyle name="Followed Hyperlink" xfId="696" builtinId="9" hidden="1"/>
    <cellStyle name="Followed Hyperlink" xfId="680" builtinId="9" hidden="1"/>
    <cellStyle name="Followed Hyperlink" xfId="664" builtinId="9" hidden="1"/>
    <cellStyle name="Followed Hyperlink" xfId="648" builtinId="9" hidden="1"/>
    <cellStyle name="Followed Hyperlink" xfId="632" builtinId="9" hidden="1"/>
    <cellStyle name="Followed Hyperlink" xfId="616" builtinId="9" hidden="1"/>
    <cellStyle name="Followed Hyperlink" xfId="600" builtinId="9" hidden="1"/>
    <cellStyle name="Followed Hyperlink" xfId="584" builtinId="9" hidden="1"/>
    <cellStyle name="Followed Hyperlink" xfId="568" builtinId="9" hidden="1"/>
    <cellStyle name="Followed Hyperlink" xfId="552" builtinId="9" hidden="1"/>
    <cellStyle name="Followed Hyperlink" xfId="536" builtinId="9" hidden="1"/>
    <cellStyle name="Followed Hyperlink" xfId="520" builtinId="9" hidden="1"/>
    <cellStyle name="Followed Hyperlink" xfId="504" builtinId="9" hidden="1"/>
    <cellStyle name="Followed Hyperlink" xfId="488" builtinId="9" hidden="1"/>
    <cellStyle name="Followed Hyperlink" xfId="472" builtinId="9" hidden="1"/>
    <cellStyle name="Followed Hyperlink" xfId="456" builtinId="9" hidden="1"/>
    <cellStyle name="Followed Hyperlink" xfId="288" builtinId="9" hidden="1"/>
    <cellStyle name="Followed Hyperlink" xfId="296" builtinId="9" hidden="1"/>
    <cellStyle name="Followed Hyperlink" xfId="304" builtinId="9" hidden="1"/>
    <cellStyle name="Followed Hyperlink" xfId="320" builtinId="9" hidden="1"/>
    <cellStyle name="Followed Hyperlink" xfId="328" builtinId="9" hidden="1"/>
    <cellStyle name="Followed Hyperlink" xfId="336" builtinId="9" hidden="1"/>
    <cellStyle name="Followed Hyperlink" xfId="352" builtinId="9" hidden="1"/>
    <cellStyle name="Followed Hyperlink" xfId="360" builtinId="9" hidden="1"/>
    <cellStyle name="Followed Hyperlink" xfId="368" builtinId="9" hidden="1"/>
    <cellStyle name="Followed Hyperlink" xfId="384" builtinId="9" hidden="1"/>
    <cellStyle name="Followed Hyperlink" xfId="392" builtinId="9" hidden="1"/>
    <cellStyle name="Followed Hyperlink" xfId="400" builtinId="9" hidden="1"/>
    <cellStyle name="Followed Hyperlink" xfId="416" builtinId="9" hidden="1"/>
    <cellStyle name="Followed Hyperlink" xfId="424" builtinId="9" hidden="1"/>
    <cellStyle name="Followed Hyperlink" xfId="432" builtinId="9" hidden="1"/>
    <cellStyle name="Followed Hyperlink" xfId="448" builtinId="9" hidden="1"/>
    <cellStyle name="Followed Hyperlink" xfId="440" builtinId="9" hidden="1"/>
    <cellStyle name="Followed Hyperlink" xfId="408" builtinId="9" hidden="1"/>
    <cellStyle name="Followed Hyperlink" xfId="376" builtinId="9" hidden="1"/>
    <cellStyle name="Followed Hyperlink" xfId="344" builtinId="9" hidden="1"/>
    <cellStyle name="Followed Hyperlink" xfId="312" builtinId="9" hidden="1"/>
    <cellStyle name="Followed Hyperlink" xfId="280" builtinId="9" hidden="1"/>
    <cellStyle name="Followed Hyperlink" xfId="232" builtinId="9" hidden="1"/>
    <cellStyle name="Followed Hyperlink" xfId="240" builtinId="9" hidden="1"/>
    <cellStyle name="Followed Hyperlink" xfId="256" builtinId="9" hidden="1"/>
    <cellStyle name="Followed Hyperlink" xfId="264" builtinId="9" hidden="1"/>
    <cellStyle name="Followed Hyperlink" xfId="272" builtinId="9" hidden="1"/>
    <cellStyle name="Followed Hyperlink" xfId="248" builtinId="9" hidden="1"/>
    <cellStyle name="Followed Hyperlink" xfId="216" builtinId="9" hidden="1"/>
    <cellStyle name="Followed Hyperlink" xfId="224" builtinId="9" hidden="1"/>
    <cellStyle name="Followed Hyperlink" xfId="208" builtinId="9" hidden="1"/>
    <cellStyle name="Followed Hyperlink" xfId="20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Hyperlink" xfId="65" builtinId="8" hidden="1"/>
    <cellStyle name="Hyperlink" xfId="67" builtinId="8" hidden="1"/>
    <cellStyle name="Hyperlink" xfId="73" builtinId="8" hidden="1"/>
    <cellStyle name="Hyperlink" xfId="75" builtinId="8" hidden="1"/>
    <cellStyle name="Hyperlink" xfId="81" builtinId="8" hidden="1"/>
    <cellStyle name="Hyperlink" xfId="85" builtinId="8" hidden="1"/>
    <cellStyle name="Hyperlink" xfId="89" builtinId="8" hidden="1"/>
    <cellStyle name="Hyperlink" xfId="91" builtinId="8" hidden="1"/>
    <cellStyle name="Hyperlink" xfId="97" builtinId="8" hidden="1"/>
    <cellStyle name="Hyperlink" xfId="99" builtinId="8" hidden="1"/>
    <cellStyle name="Hyperlink" xfId="101" builtinId="8" hidden="1"/>
    <cellStyle name="Hyperlink" xfId="107" builtinId="8" hidden="1"/>
    <cellStyle name="Hyperlink" xfId="109" builtinId="8" hidden="1"/>
    <cellStyle name="Hyperlink" xfId="115" builtinId="8" hidden="1"/>
    <cellStyle name="Hyperlink" xfId="119" builtinId="8" hidden="1"/>
    <cellStyle name="Hyperlink" xfId="79" builtinId="8" hidden="1"/>
    <cellStyle name="Hyperlink" xfId="27" builtinId="8" hidden="1"/>
    <cellStyle name="Hyperlink" xfId="33" builtinId="8" hidden="1"/>
    <cellStyle name="Hyperlink" xfId="35" builtinId="8" hidden="1"/>
    <cellStyle name="Hyperlink" xfId="37" builtinId="8" hidden="1"/>
    <cellStyle name="Hyperlink" xfId="43" builtinId="8" hidden="1"/>
    <cellStyle name="Hyperlink" xfId="45" builtinId="8" hidden="1"/>
    <cellStyle name="Hyperlink" xfId="51" builtinId="8" hidden="1"/>
    <cellStyle name="Hyperlink" xfId="55" builtinId="8" hidden="1"/>
    <cellStyle name="Hyperlink" xfId="13" builtinId="8" hidden="1"/>
    <cellStyle name="Hyperlink" xfId="15" builtinId="8" hidden="1"/>
    <cellStyle name="Hyperlink" xfId="21" builtinId="8" hidden="1"/>
    <cellStyle name="Hyperlink" xfId="23" builtinId="8" hidden="1"/>
    <cellStyle name="Hyperlink" xfId="25" builtinId="8" hidden="1"/>
    <cellStyle name="Hyperlink" xfId="11" builtinId="8" hidden="1"/>
    <cellStyle name="Hyperlink" xfId="3" builtinId="8" hidden="1"/>
    <cellStyle name="Hyperlink" xfId="1" builtinId="8" hidden="1"/>
    <cellStyle name="Hyperlink" xfId="7" builtinId="8" hidden="1"/>
    <cellStyle name="Hyperlink" xfId="19" builtinId="8" hidden="1"/>
    <cellStyle name="Hyperlink" xfId="47" builtinId="8" hidden="1"/>
    <cellStyle name="Hyperlink" xfId="39" builtinId="8" hidden="1"/>
    <cellStyle name="Hyperlink" xfId="31" builtinId="8" hidden="1"/>
    <cellStyle name="Hyperlink" xfId="111" builtinId="8" hidden="1"/>
    <cellStyle name="Hyperlink" xfId="103" builtinId="8" hidden="1"/>
    <cellStyle name="Hyperlink" xfId="95" builtinId="8" hidden="1"/>
    <cellStyle name="Hyperlink" xfId="87" builtinId="8" hidden="1"/>
    <cellStyle name="Hyperlink" xfId="69" builtinId="8" hidden="1"/>
    <cellStyle name="Hyperlink" xfId="61" builtinId="8" hidden="1"/>
    <cellStyle name="Hyperlink" xfId="143" builtinId="8" hidden="1"/>
    <cellStyle name="Hyperlink" xfId="271" builtinId="8" hidden="1"/>
    <cellStyle name="Hyperlink" xfId="275" builtinId="8" hidden="1"/>
    <cellStyle name="Hyperlink" xfId="265" builtinId="8" hidden="1"/>
    <cellStyle name="Hyperlink" xfId="247" builtinId="8" hidden="1"/>
    <cellStyle name="Hyperlink" xfId="237" builtinId="8" hidden="1"/>
    <cellStyle name="Hyperlink" xfId="229" builtinId="8" hidden="1"/>
    <cellStyle name="Hyperlink" xfId="211" builtinId="8" hidden="1"/>
    <cellStyle name="Hyperlink" xfId="201" builtinId="8" hidden="1"/>
    <cellStyle name="Hyperlink" xfId="193" builtinId="8" hidden="1"/>
    <cellStyle name="Hyperlink" xfId="173" builtinId="8" hidden="1"/>
    <cellStyle name="Hyperlink" xfId="165" builtinId="8" hidden="1"/>
    <cellStyle name="Hyperlink" xfId="155" builtinId="8" hidden="1"/>
    <cellStyle name="Hyperlink" xfId="137" builtinId="8" hidden="1"/>
    <cellStyle name="Hyperlink" xfId="129" builtinId="8" hidden="1"/>
    <cellStyle name="Hyperlink" xfId="287" builtinId="8" hidden="1"/>
    <cellStyle name="Hyperlink" xfId="351" builtinId="8" hidden="1"/>
    <cellStyle name="Hyperlink" xfId="383" builtinId="8" hidden="1"/>
    <cellStyle name="Hyperlink" xfId="415" builtinId="8" hidden="1"/>
    <cellStyle name="Hyperlink" xfId="479" builtinId="8" hidden="1"/>
    <cellStyle name="Hyperlink" xfId="511" builtinId="8" hidden="1"/>
    <cellStyle name="Hyperlink" xfId="543" builtinId="8" hidden="1"/>
    <cellStyle name="Hyperlink" xfId="607" builtinId="8" hidden="1"/>
    <cellStyle name="Hyperlink" xfId="639" builtinId="8" hidden="1"/>
    <cellStyle name="Hyperlink" xfId="671" builtinId="8" hidden="1"/>
    <cellStyle name="Hyperlink" xfId="735" builtinId="8" hidden="1"/>
    <cellStyle name="Hyperlink" xfId="767" builtinId="8" hidden="1"/>
    <cellStyle name="Hyperlink" xfId="761" builtinId="8" hidden="1"/>
    <cellStyle name="Hyperlink" xfId="739" builtinId="8" hidden="1"/>
    <cellStyle name="Hyperlink" xfId="729" builtinId="8" hidden="1"/>
    <cellStyle name="Hyperlink" xfId="717" builtinId="8" hidden="1"/>
    <cellStyle name="Hyperlink" xfId="697" builtinId="8" hidden="1"/>
    <cellStyle name="Hyperlink" xfId="685" builtinId="8" hidden="1"/>
    <cellStyle name="Hyperlink" xfId="675" builtinId="8" hidden="1"/>
    <cellStyle name="Hyperlink" xfId="443" builtinId="8" hidden="1"/>
    <cellStyle name="Hyperlink" xfId="445" builtinId="8" hidden="1"/>
    <cellStyle name="Hyperlink" xfId="449" builtinId="8" hidden="1"/>
    <cellStyle name="Hyperlink" xfId="457" builtinId="8" hidden="1"/>
    <cellStyle name="Hyperlink" xfId="459" builtinId="8" hidden="1"/>
    <cellStyle name="Hyperlink" xfId="461" builtinId="8" hidden="1"/>
    <cellStyle name="Hyperlink" xfId="467" builtinId="8" hidden="1"/>
    <cellStyle name="Hyperlink" xfId="469" builtinId="8" hidden="1"/>
    <cellStyle name="Hyperlink" xfId="475" builtinId="8" hidden="1"/>
    <cellStyle name="Hyperlink" xfId="481" builtinId="8" hidden="1"/>
    <cellStyle name="Hyperlink" xfId="483" builtinId="8" hidden="1"/>
    <cellStyle name="Hyperlink" xfId="485" builtinId="8" hidden="1"/>
    <cellStyle name="Hyperlink" xfId="491" builtinId="8" hidden="1"/>
    <cellStyle name="Hyperlink" xfId="497" builtinId="8" hidden="1"/>
    <cellStyle name="Hyperlink" xfId="499" builtinId="8" hidden="1"/>
    <cellStyle name="Hyperlink" xfId="505" builtinId="8" hidden="1"/>
    <cellStyle name="Hyperlink" xfId="507" builtinId="8" hidden="1"/>
    <cellStyle name="Hyperlink" xfId="509" builtinId="8" hidden="1"/>
    <cellStyle name="Hyperlink" xfId="517" builtinId="8" hidden="1"/>
    <cellStyle name="Hyperlink" xfId="521" builtinId="8" hidden="1"/>
    <cellStyle name="Hyperlink" xfId="523" builtinId="8" hidden="1"/>
    <cellStyle name="Hyperlink" xfId="529" builtinId="8" hidden="1"/>
    <cellStyle name="Hyperlink" xfId="531" builtinId="8" hidden="1"/>
    <cellStyle name="Hyperlink" xfId="533" builtinId="8" hidden="1"/>
    <cellStyle name="Hyperlink" xfId="541" builtinId="8" hidden="1"/>
    <cellStyle name="Hyperlink" xfId="545" builtinId="8" hidden="1"/>
    <cellStyle name="Hyperlink" xfId="547" builtinId="8" hidden="1"/>
    <cellStyle name="Hyperlink" xfId="553" builtinId="8" hidden="1"/>
    <cellStyle name="Hyperlink" xfId="555" builtinId="8" hidden="1"/>
    <cellStyle name="Hyperlink" xfId="561" builtinId="8" hidden="1"/>
    <cellStyle name="Hyperlink" xfId="565" builtinId="8" hidden="1"/>
    <cellStyle name="Hyperlink" xfId="569" builtinId="8" hidden="1"/>
    <cellStyle name="Hyperlink" xfId="571" builtinId="8" hidden="1"/>
    <cellStyle name="Hyperlink" xfId="577" builtinId="8" hidden="1"/>
    <cellStyle name="Hyperlink" xfId="581" builtinId="8" hidden="1"/>
    <cellStyle name="Hyperlink" xfId="585" builtinId="8" hidden="1"/>
    <cellStyle name="Hyperlink" xfId="589" builtinId="8" hidden="1"/>
    <cellStyle name="Hyperlink" xfId="593" builtinId="8" hidden="1"/>
    <cellStyle name="Hyperlink" xfId="595" builtinId="8" hidden="1"/>
    <cellStyle name="Hyperlink" xfId="603" builtinId="8" hidden="1"/>
    <cellStyle name="Hyperlink" xfId="605" builtinId="8" hidden="1"/>
    <cellStyle name="Hyperlink" xfId="609" builtinId="8" hidden="1"/>
    <cellStyle name="Hyperlink" xfId="613" builtinId="8" hidden="1"/>
    <cellStyle name="Hyperlink" xfId="617" builtinId="8" hidden="1"/>
    <cellStyle name="Hyperlink" xfId="619" builtinId="8" hidden="1"/>
    <cellStyle name="Hyperlink" xfId="627" builtinId="8" hidden="1"/>
    <cellStyle name="Hyperlink" xfId="629" builtinId="8" hidden="1"/>
    <cellStyle name="Hyperlink" xfId="633" builtinId="8" hidden="1"/>
    <cellStyle name="Hyperlink" xfId="637" builtinId="8" hidden="1"/>
    <cellStyle name="Hyperlink" xfId="641" builtinId="8" hidden="1"/>
    <cellStyle name="Hyperlink" xfId="645" builtinId="8" hidden="1"/>
    <cellStyle name="Hyperlink" xfId="651" builtinId="8" hidden="1"/>
    <cellStyle name="Hyperlink" xfId="653" builtinId="8" hidden="1"/>
    <cellStyle name="Hyperlink" xfId="657" builtinId="8" hidden="1"/>
    <cellStyle name="Hyperlink" xfId="621" builtinId="8" hidden="1"/>
    <cellStyle name="Hyperlink" xfId="601" builtinId="8" hidden="1"/>
    <cellStyle name="Hyperlink" xfId="579" builtinId="8" hidden="1"/>
    <cellStyle name="Hyperlink" xfId="537" builtinId="8" hidden="1"/>
    <cellStyle name="Hyperlink" xfId="515" builtinId="8" hidden="1"/>
    <cellStyle name="Hyperlink" xfId="493" builtinId="8" hidden="1"/>
    <cellStyle name="Hyperlink" xfId="451" builtinId="8" hidden="1"/>
    <cellStyle name="Hyperlink" xfId="357" builtinId="8" hidden="1"/>
    <cellStyle name="Hyperlink" xfId="361" builtinId="8" hidden="1"/>
    <cellStyle name="Hyperlink" xfId="365" builtinId="8" hidden="1"/>
    <cellStyle name="Hyperlink" xfId="369" builtinId="8" hidden="1"/>
    <cellStyle name="Hyperlink" xfId="371" builtinId="8" hidden="1"/>
    <cellStyle name="Hyperlink" xfId="377" builtinId="8" hidden="1"/>
    <cellStyle name="Hyperlink" xfId="379" builtinId="8" hidden="1"/>
    <cellStyle name="Hyperlink" xfId="381" builtinId="8" hidden="1"/>
    <cellStyle name="Hyperlink" xfId="389" builtinId="8" hidden="1"/>
    <cellStyle name="Hyperlink" xfId="393" builtinId="8" hidden="1"/>
    <cellStyle name="Hyperlink" xfId="395" builtinId="8" hidden="1"/>
    <cellStyle name="Hyperlink" xfId="401" builtinId="8" hidden="1"/>
    <cellStyle name="Hyperlink" xfId="403" builtinId="8" hidden="1"/>
    <cellStyle name="Hyperlink" xfId="405" builtinId="8" hidden="1"/>
    <cellStyle name="Hyperlink" xfId="411" builtinId="8" hidden="1"/>
    <cellStyle name="Hyperlink" xfId="413" builtinId="8" hidden="1"/>
    <cellStyle name="Hyperlink" xfId="417" builtinId="8" hidden="1"/>
    <cellStyle name="Hyperlink" xfId="421" builtinId="8" hidden="1"/>
    <cellStyle name="Hyperlink" xfId="425" builtinId="8" hidden="1"/>
    <cellStyle name="Hyperlink" xfId="427" builtinId="8" hidden="1"/>
    <cellStyle name="Hyperlink" xfId="435" builtinId="8" hidden="1"/>
    <cellStyle name="Hyperlink" xfId="437" builtinId="8" hidden="1"/>
    <cellStyle name="Hyperlink" xfId="441" builtinId="8" hidden="1"/>
    <cellStyle name="Hyperlink" xfId="387" builtinId="8" hidden="1"/>
    <cellStyle name="Hyperlink" xfId="317" builtinId="8" hidden="1"/>
    <cellStyle name="Hyperlink" xfId="321" builtinId="8" hidden="1"/>
    <cellStyle name="Hyperlink" xfId="325" builtinId="8" hidden="1"/>
    <cellStyle name="Hyperlink" xfId="329" builtinId="8" hidden="1"/>
    <cellStyle name="Hyperlink" xfId="331" builtinId="8" hidden="1"/>
    <cellStyle name="Hyperlink" xfId="337" builtinId="8" hidden="1"/>
    <cellStyle name="Hyperlink" xfId="339" builtinId="8" hidden="1"/>
    <cellStyle name="Hyperlink" xfId="341" builtinId="8" hidden="1"/>
    <cellStyle name="Hyperlink" xfId="349" builtinId="8" hidden="1"/>
    <cellStyle name="Hyperlink" xfId="353" builtinId="8" hidden="1"/>
    <cellStyle name="Hyperlink" xfId="355" builtinId="8" hidden="1"/>
    <cellStyle name="Hyperlink" xfId="299" builtinId="8" hidden="1"/>
    <cellStyle name="Hyperlink" xfId="301" builtinId="8" hidden="1"/>
    <cellStyle name="Hyperlink" xfId="305" builtinId="8" hidden="1"/>
    <cellStyle name="Hyperlink" xfId="309" builtinId="8" hidden="1"/>
    <cellStyle name="Hyperlink" xfId="313" builtinId="8" hidden="1"/>
    <cellStyle name="Hyperlink" xfId="315" builtinId="8" hidden="1"/>
    <cellStyle name="Hyperlink" xfId="293" builtinId="8" hidden="1"/>
    <cellStyle name="Hyperlink" xfId="297" builtinId="8" hidden="1"/>
    <cellStyle name="Hyperlink" xfId="285" builtinId="8" hidden="1"/>
    <cellStyle name="Hyperlink" xfId="283" builtinId="8" hidden="1"/>
    <cellStyle name="Hyperlink" xfId="289" builtinId="8" hidden="1"/>
    <cellStyle name="Hyperlink" xfId="291" builtinId="8" hidden="1"/>
    <cellStyle name="Hyperlink" xfId="307" builtinId="8" hidden="1"/>
    <cellStyle name="Hyperlink" xfId="345" builtinId="8" hidden="1"/>
    <cellStyle name="Hyperlink" xfId="347" builtinId="8" hidden="1"/>
    <cellStyle name="Hyperlink" xfId="333" builtinId="8" hidden="1"/>
    <cellStyle name="Hyperlink" xfId="323" builtinId="8" hidden="1"/>
    <cellStyle name="Hyperlink" xfId="429" builtinId="8" hidden="1"/>
    <cellStyle name="Hyperlink" xfId="433" builtinId="8" hidden="1"/>
    <cellStyle name="Hyperlink" xfId="419" builtinId="8" hidden="1"/>
    <cellStyle name="Hyperlink" xfId="409" builtinId="8" hidden="1"/>
    <cellStyle name="Hyperlink" xfId="397" builtinId="8" hidden="1"/>
    <cellStyle name="Hyperlink" xfId="385" builtinId="8" hidden="1"/>
    <cellStyle name="Hyperlink" xfId="373" builtinId="8" hidden="1"/>
    <cellStyle name="Hyperlink" xfId="363" builtinId="8" hidden="1"/>
    <cellStyle name="Hyperlink" xfId="473" builtinId="8" hidden="1"/>
    <cellStyle name="Hyperlink" xfId="557" builtinId="8" hidden="1"/>
    <cellStyle name="Hyperlink" xfId="643" builtinId="8" hidden="1"/>
    <cellStyle name="Hyperlink" xfId="649" builtinId="8" hidden="1"/>
    <cellStyle name="Hyperlink" xfId="635" builtinId="8" hidden="1"/>
    <cellStyle name="Hyperlink" xfId="625" builtinId="8" hidden="1"/>
    <cellStyle name="Hyperlink" xfId="611" builtinId="8" hidden="1"/>
    <cellStyle name="Hyperlink" xfId="597" builtinId="8" hidden="1"/>
    <cellStyle name="Hyperlink" xfId="587" builtinId="8" hidden="1"/>
    <cellStyle name="Hyperlink" xfId="573" builtinId="8" hidden="1"/>
    <cellStyle name="Hyperlink" xfId="563" builtinId="8" hidden="1"/>
    <cellStyle name="Hyperlink" xfId="549" builtinId="8" hidden="1"/>
    <cellStyle name="Hyperlink" xfId="539" builtinId="8" hidden="1"/>
    <cellStyle name="Hyperlink" xfId="525" builtinId="8" hidden="1"/>
    <cellStyle name="Hyperlink" xfId="513" builtinId="8" hidden="1"/>
    <cellStyle name="Hyperlink" xfId="501" builtinId="8" hidden="1"/>
    <cellStyle name="Hyperlink" xfId="489" builtinId="8" hidden="1"/>
    <cellStyle name="Hyperlink" xfId="477" builtinId="8" hidden="1"/>
    <cellStyle name="Hyperlink" xfId="465" builtinId="8" hidden="1"/>
    <cellStyle name="Hyperlink" xfId="453" builtinId="8" hidden="1"/>
    <cellStyle name="Hyperlink" xfId="665" builtinId="8" hidden="1"/>
    <cellStyle name="Hyperlink" xfId="707" builtinId="8" hidden="1"/>
    <cellStyle name="Hyperlink" xfId="749" builtinId="8" hidden="1"/>
    <cellStyle name="Hyperlink" xfId="703" builtinId="8" hidden="1"/>
    <cellStyle name="Hyperlink" xfId="575" builtinId="8" hidden="1"/>
    <cellStyle name="Hyperlink" xfId="447" builtinId="8" hidden="1"/>
    <cellStyle name="Hyperlink" xfId="319" builtinId="8" hidden="1"/>
    <cellStyle name="Hyperlink" xfId="147" builtinId="8" hidden="1"/>
    <cellStyle name="Hyperlink" xfId="183" builtinId="8" hidden="1"/>
    <cellStyle name="Hyperlink" xfId="219" builtinId="8" hidden="1"/>
    <cellStyle name="Hyperlink" xfId="257" builtinId="8" hidden="1"/>
    <cellStyle name="Hyperlink" xfId="207" builtinId="8" hidden="1"/>
    <cellStyle name="Hyperlink" xfId="77" builtinId="8" hidden="1"/>
    <cellStyle name="Hyperlink" xfId="113" builtinId="8" hidden="1"/>
    <cellStyle name="Hyperlink" xfId="49" builtinId="8" hidden="1"/>
    <cellStyle name="Hyperlink" xfId="5" builtinId="8" hidden="1"/>
    <cellStyle name="Hyperlink" xfId="9" builtinId="8" hidden="1"/>
    <cellStyle name="Hyperlink" xfId="17" builtinId="8" hidden="1"/>
    <cellStyle name="Hyperlink" xfId="53" builtinId="8" hidden="1"/>
    <cellStyle name="Hyperlink" xfId="41" builtinId="8" hidden="1"/>
    <cellStyle name="Hyperlink" xfId="29" builtinId="8" hidden="1"/>
    <cellStyle name="Hyperlink" xfId="117" builtinId="8" hidden="1"/>
    <cellStyle name="Hyperlink" xfId="105" builtinId="8" hidden="1"/>
    <cellStyle name="Hyperlink" xfId="93" builtinId="8" hidden="1"/>
    <cellStyle name="Hyperlink" xfId="83" builtinId="8" hidden="1"/>
    <cellStyle name="Hyperlink" xfId="71" builtinId="8" hidden="1"/>
    <cellStyle name="Hyperlink" xfId="463" builtinId="8" hidden="1"/>
    <cellStyle name="Hyperlink" xfId="455" builtinId="8" hidden="1"/>
    <cellStyle name="Hyperlink" xfId="439" builtinId="8" hidden="1"/>
    <cellStyle name="Hyperlink" xfId="423" builtinId="8" hidden="1"/>
    <cellStyle name="Hyperlink" xfId="407" builtinId="8" hidden="1"/>
    <cellStyle name="Hyperlink" xfId="399" builtinId="8" hidden="1"/>
    <cellStyle name="Hyperlink" xfId="391" builtinId="8" hidden="1"/>
    <cellStyle name="Hyperlink" xfId="375" builtinId="8" hidden="1"/>
    <cellStyle name="Hyperlink" xfId="367" builtinId="8" hidden="1"/>
    <cellStyle name="Hyperlink" xfId="359" builtinId="8" hidden="1"/>
    <cellStyle name="Hyperlink" xfId="335" builtinId="8" hidden="1"/>
    <cellStyle name="Hyperlink" xfId="327" builtinId="8" hidden="1"/>
    <cellStyle name="Hyperlink" xfId="311" builtinId="8" hidden="1"/>
    <cellStyle name="Hyperlink" xfId="303" builtinId="8" hidden="1"/>
    <cellStyle name="Hyperlink" xfId="295" builtinId="8" hidden="1"/>
    <cellStyle name="Hyperlink" xfId="121" builtinId="8" hidden="1"/>
    <cellStyle name="Hyperlink" xfId="123" builtinId="8" hidden="1"/>
    <cellStyle name="Hyperlink" xfId="131" builtinId="8" hidden="1"/>
    <cellStyle name="Hyperlink" xfId="133" builtinId="8" hidden="1"/>
    <cellStyle name="Hyperlink" xfId="135" builtinId="8" hidden="1"/>
    <cellStyle name="Hyperlink" xfId="139" builtinId="8" hidden="1"/>
    <cellStyle name="Hyperlink" xfId="141" builtinId="8" hidden="1"/>
    <cellStyle name="Hyperlink" xfId="145" builtinId="8" hidden="1"/>
    <cellStyle name="Hyperlink" xfId="149" builtinId="8" hidden="1"/>
    <cellStyle name="Hyperlink" xfId="153" builtinId="8" hidden="1"/>
    <cellStyle name="Hyperlink" xfId="157" builtinId="8" hidden="1"/>
    <cellStyle name="Hyperlink" xfId="161" builtinId="8" hidden="1"/>
    <cellStyle name="Hyperlink" xfId="163" builtinId="8" hidden="1"/>
    <cellStyle name="Hyperlink" xfId="167" builtinId="8" hidden="1"/>
    <cellStyle name="Hyperlink" xfId="169" builtinId="8" hidden="1"/>
    <cellStyle name="Hyperlink" xfId="171" builtinId="8" hidden="1"/>
    <cellStyle name="Hyperlink" xfId="179" builtinId="8" hidden="1"/>
    <cellStyle name="Hyperlink" xfId="181" builtinId="8" hidden="1"/>
    <cellStyle name="Hyperlink" xfId="185" builtinId="8" hidden="1"/>
    <cellStyle name="Hyperlink" xfId="187" builtinId="8" hidden="1"/>
    <cellStyle name="Hyperlink" xfId="189" builtinId="8" hidden="1"/>
    <cellStyle name="Hyperlink" xfId="195" builtinId="8" hidden="1"/>
    <cellStyle name="Hyperlink" xfId="197" builtinId="8" hidden="1"/>
    <cellStyle name="Hyperlink" xfId="203" builtinId="8" hidden="1"/>
    <cellStyle name="Hyperlink" xfId="205" builtinId="8" hidden="1"/>
    <cellStyle name="Hyperlink" xfId="209" builtinId="8" hidden="1"/>
    <cellStyle name="Hyperlink" xfId="213" builtinId="8" hidden="1"/>
    <cellStyle name="Hyperlink" xfId="215" builtinId="8" hidden="1"/>
    <cellStyle name="Hyperlink" xfId="217" builtinId="8" hidden="1"/>
    <cellStyle name="Hyperlink" xfId="221" builtinId="8" hidden="1"/>
    <cellStyle name="Hyperlink" xfId="227" builtinId="8" hidden="1"/>
    <cellStyle name="Hyperlink" xfId="231" builtinId="8" hidden="1"/>
    <cellStyle name="Hyperlink" xfId="233" builtinId="8" hidden="1"/>
    <cellStyle name="Hyperlink" xfId="235" builtinId="8" hidden="1"/>
    <cellStyle name="Hyperlink" xfId="241" builtinId="8" hidden="1"/>
    <cellStyle name="Hyperlink" xfId="243" builtinId="8" hidden="1"/>
    <cellStyle name="Hyperlink" xfId="245" builtinId="8" hidden="1"/>
    <cellStyle name="Hyperlink" xfId="251" builtinId="8" hidden="1"/>
    <cellStyle name="Hyperlink" xfId="253" builtinId="8" hidden="1"/>
    <cellStyle name="Hyperlink" xfId="259" builtinId="8" hidden="1"/>
    <cellStyle name="Hyperlink" xfId="261" builtinId="8" hidden="1"/>
    <cellStyle name="Hyperlink" xfId="263" builtinId="8" hidden="1"/>
    <cellStyle name="Hyperlink" xfId="267" builtinId="8" hidden="1"/>
    <cellStyle name="Hyperlink" xfId="269" builtinId="8" hidden="1"/>
    <cellStyle name="Hyperlink" xfId="277" builtinId="8" hidden="1"/>
    <cellStyle name="Hyperlink" xfId="279" builtinId="8" hidden="1"/>
    <cellStyle name="Hyperlink" xfId="281" builtinId="8" hidden="1"/>
    <cellStyle name="Hyperlink" xfId="255" builtinId="8" hidden="1"/>
    <cellStyle name="Hyperlink" xfId="239" builtinId="8" hidden="1"/>
    <cellStyle name="Hyperlink" xfId="223" builtinId="8" hidden="1"/>
    <cellStyle name="Hyperlink" xfId="191" builtinId="8" hidden="1"/>
    <cellStyle name="Hyperlink" xfId="159" builtinId="8" hidden="1"/>
    <cellStyle name="Hyperlink" xfId="127" builtinId="8" hidden="1"/>
    <cellStyle name="Hyperlink" xfId="57" builtinId="8" hidden="1"/>
    <cellStyle name="Hyperlink" xfId="59" builtinId="8" hidden="1"/>
    <cellStyle name="Hyperlink" xfId="63" builtinId="8" hidden="1"/>
    <cellStyle name="Hyperlink" xfId="175" builtinId="8" hidden="1"/>
    <cellStyle name="Hyperlink" xfId="273" builtinId="8" hidden="1"/>
    <cellStyle name="Hyperlink" xfId="249" builtinId="8" hidden="1"/>
    <cellStyle name="Hyperlink" xfId="225" builtinId="8" hidden="1"/>
    <cellStyle name="Hyperlink" xfId="199" builtinId="8" hidden="1"/>
    <cellStyle name="Hyperlink" xfId="177" builtinId="8" hidden="1"/>
    <cellStyle name="Hyperlink" xfId="151" builtinId="8" hidden="1"/>
    <cellStyle name="Hyperlink" xfId="125" builtinId="8" hidden="1"/>
    <cellStyle name="Hyperlink" xfId="343" builtinId="8" hidden="1"/>
    <cellStyle name="Hyperlink" xfId="431" builtinId="8" hidden="1"/>
    <cellStyle name="Hyperlink" xfId="757" builtinId="8" hidden="1"/>
    <cellStyle name="Hyperlink" xfId="763" builtinId="8" hidden="1"/>
    <cellStyle name="Hyperlink" xfId="765" builtinId="8" hidden="1"/>
    <cellStyle name="Hyperlink" xfId="769" builtinId="8" hidden="1"/>
    <cellStyle name="Hyperlink" xfId="759" builtinId="8" hidden="1"/>
    <cellStyle name="Hyperlink" xfId="751" builtinId="8" hidden="1"/>
    <cellStyle name="Hyperlink" xfId="743" builtinId="8" hidden="1"/>
    <cellStyle name="Hyperlink" xfId="727" builtinId="8" hidden="1"/>
    <cellStyle name="Hyperlink" xfId="719" builtinId="8" hidden="1"/>
    <cellStyle name="Hyperlink" xfId="711" builtinId="8" hidden="1"/>
    <cellStyle name="Hyperlink" xfId="695" builtinId="8" hidden="1"/>
    <cellStyle name="Hyperlink" xfId="679" builtinId="8" hidden="1"/>
    <cellStyle name="Hyperlink" xfId="663" builtinId="8" hidden="1"/>
    <cellStyle name="Hyperlink" xfId="655" builtinId="8" hidden="1"/>
    <cellStyle name="Hyperlink" xfId="647" builtinId="8" hidden="1"/>
    <cellStyle name="Hyperlink" xfId="631" builtinId="8" hidden="1"/>
    <cellStyle name="Hyperlink" xfId="623" builtinId="8" hidden="1"/>
    <cellStyle name="Hyperlink" xfId="615" builtinId="8" hidden="1"/>
    <cellStyle name="Hyperlink" xfId="599" builtinId="8" hidden="1"/>
    <cellStyle name="Hyperlink" xfId="591" builtinId="8" hidden="1"/>
    <cellStyle name="Hyperlink" xfId="583" builtinId="8" hidden="1"/>
    <cellStyle name="Hyperlink" xfId="567" builtinId="8" hidden="1"/>
    <cellStyle name="Hyperlink" xfId="559" builtinId="8" hidden="1"/>
    <cellStyle name="Hyperlink" xfId="551" builtinId="8" hidden="1"/>
    <cellStyle name="Hyperlink" xfId="535" builtinId="8" hidden="1"/>
    <cellStyle name="Hyperlink" xfId="527" builtinId="8" hidden="1"/>
    <cellStyle name="Hyperlink" xfId="503" builtinId="8" hidden="1"/>
    <cellStyle name="Hyperlink" xfId="495" builtinId="8" hidden="1"/>
    <cellStyle name="Hyperlink" xfId="487" builtinId="8" hidden="1"/>
    <cellStyle name="Hyperlink" xfId="471" builtinId="8" hidden="1"/>
    <cellStyle name="Hyperlink" xfId="519" builtinId="8" hidden="1"/>
    <cellStyle name="Hyperlink" xfId="687" builtinId="8" hidden="1"/>
    <cellStyle name="Hyperlink" xfId="705" builtinId="8" hidden="1"/>
    <cellStyle name="Hyperlink" xfId="709" builtinId="8" hidden="1"/>
    <cellStyle name="Hyperlink" xfId="713" builtinId="8" hidden="1"/>
    <cellStyle name="Hyperlink" xfId="715" builtinId="8" hidden="1"/>
    <cellStyle name="Hyperlink" xfId="721" builtinId="8" hidden="1"/>
    <cellStyle name="Hyperlink" xfId="723" builtinId="8" hidden="1"/>
    <cellStyle name="Hyperlink" xfId="725" builtinId="8" hidden="1"/>
    <cellStyle name="Hyperlink" xfId="731" builtinId="8" hidden="1"/>
    <cellStyle name="Hyperlink" xfId="733" builtinId="8" hidden="1"/>
    <cellStyle name="Hyperlink" xfId="737" builtinId="8" hidden="1"/>
    <cellStyle name="Hyperlink" xfId="745" builtinId="8" hidden="1"/>
    <cellStyle name="Hyperlink" xfId="747" builtinId="8" hidden="1"/>
    <cellStyle name="Hyperlink" xfId="753" builtinId="8" hidden="1"/>
    <cellStyle name="Hyperlink" xfId="755" builtinId="8" hidden="1"/>
    <cellStyle name="Hyperlink" xfId="741" builtinId="8" hidden="1"/>
    <cellStyle name="Hyperlink" xfId="681" builtinId="8" hidden="1"/>
    <cellStyle name="Hyperlink" xfId="683" builtinId="8" hidden="1"/>
    <cellStyle name="Hyperlink" xfId="689" builtinId="8" hidden="1"/>
    <cellStyle name="Hyperlink" xfId="691" builtinId="8" hidden="1"/>
    <cellStyle name="Hyperlink" xfId="693" builtinId="8" hidden="1"/>
    <cellStyle name="Hyperlink" xfId="699" builtinId="8" hidden="1"/>
    <cellStyle name="Hyperlink" xfId="701" builtinId="8" hidden="1"/>
    <cellStyle name="Hyperlink" xfId="669" builtinId="8" hidden="1"/>
    <cellStyle name="Hyperlink" xfId="673" builtinId="8" hidden="1"/>
    <cellStyle name="Hyperlink" xfId="677" builtinId="8" hidden="1"/>
    <cellStyle name="Hyperlink" xfId="661" builtinId="8" hidden="1"/>
    <cellStyle name="Hyperlink" xfId="667" builtinId="8" hidden="1"/>
    <cellStyle name="Hyperlink" xfId="65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Normal" xfId="0" builtinId="0"/>
  </cellStyles>
  <dxfs count="49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C00000"/>
      </font>
      <fill>
        <patternFill patternType="none">
          <bgColor auto="1"/>
        </patternFill>
      </fill>
    </dxf>
    <dxf>
      <font>
        <color rgb="FF7030A0"/>
      </font>
      <fill>
        <patternFill patternType="none">
          <bgColor auto="1"/>
        </patternFill>
      </fill>
    </dxf>
    <dxf>
      <font>
        <color rgb="FF00B050"/>
      </font>
      <fill>
        <patternFill patternType="none">
          <bgColor auto="1"/>
        </patternFill>
      </fill>
    </dxf>
    <dxf>
      <font>
        <color rgb="FFC00000"/>
      </font>
      <fill>
        <patternFill patternType="none"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sz val="12"/>
        <color rgb="FF006100"/>
        <name val="Calibri"/>
      </font>
      <fill>
        <patternFill>
          <bgColor rgb="FFC6EFCE"/>
        </patternFill>
      </fill>
    </dxf>
    <dxf>
      <font>
        <sz val="12"/>
        <color rgb="FF9C6500"/>
        <name val="Calibri"/>
      </font>
      <fill>
        <patternFill>
          <bgColor rgb="FFFFEB9C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006100"/>
        <name val="Calibri"/>
      </font>
      <fill>
        <patternFill>
          <bgColor rgb="FFC6EFCE"/>
        </patternFill>
      </fill>
    </dxf>
    <dxf>
      <font>
        <sz val="12"/>
        <color rgb="FF9C6500"/>
        <name val="Calibri"/>
      </font>
      <fill>
        <patternFill>
          <bgColor rgb="FFFFEB9C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connections" Target="connections.xml"/><Relationship Id="rId15" Type="http://schemas.openxmlformats.org/officeDocument/2006/relationships/styles" Target="styles.xml"/><Relationship Id="rId16" Type="http://schemas.openxmlformats.org/officeDocument/2006/relationships/sharedStrings" Target="sharedStrings.xml"/><Relationship Id="rId1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5e (red)</a:t>
            </a:r>
            <a:r>
              <a:rPr lang="en-US" baseline="0"/>
              <a:t> and 6b (green) vs Length 5x50-6x50 (ICL3 length approximation)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0542950729414576"/>
          <c:y val="0.015495584352692"/>
          <c:w val="0.937382013432145"/>
          <c:h val="0.741397790343666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'ICL3'!$F$7:$F$40</c:f>
              <c:numCache>
                <c:formatCode>General</c:formatCode>
                <c:ptCount val="34"/>
                <c:pt idx="0">
                  <c:v>43.0</c:v>
                </c:pt>
                <c:pt idx="1">
                  <c:v>43.0</c:v>
                </c:pt>
                <c:pt idx="2">
                  <c:v>44.0</c:v>
                </c:pt>
                <c:pt idx="3">
                  <c:v>45.0</c:v>
                </c:pt>
                <c:pt idx="4">
                  <c:v>46.0</c:v>
                </c:pt>
                <c:pt idx="5">
                  <c:v>46.0</c:v>
                </c:pt>
                <c:pt idx="6">
                  <c:v>48.0</c:v>
                </c:pt>
                <c:pt idx="7">
                  <c:v>48.0</c:v>
                </c:pt>
                <c:pt idx="8">
                  <c:v>50.0</c:v>
                </c:pt>
                <c:pt idx="9">
                  <c:v>50.0</c:v>
                </c:pt>
                <c:pt idx="10">
                  <c:v>50.0</c:v>
                </c:pt>
                <c:pt idx="11">
                  <c:v>50.0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51.0</c:v>
                </c:pt>
                <c:pt idx="17">
                  <c:v>52.0</c:v>
                </c:pt>
                <c:pt idx="18">
                  <c:v>52.0</c:v>
                </c:pt>
                <c:pt idx="19">
                  <c:v>53.0</c:v>
                </c:pt>
                <c:pt idx="20">
                  <c:v>56.0</c:v>
                </c:pt>
                <c:pt idx="21">
                  <c:v>57.0</c:v>
                </c:pt>
                <c:pt idx="22">
                  <c:v>58.0</c:v>
                </c:pt>
                <c:pt idx="23">
                  <c:v>59.0</c:v>
                </c:pt>
                <c:pt idx="24">
                  <c:v>74.0</c:v>
                </c:pt>
                <c:pt idx="25">
                  <c:v>77.0</c:v>
                </c:pt>
                <c:pt idx="26">
                  <c:v>109.0</c:v>
                </c:pt>
                <c:pt idx="27">
                  <c:v>110.0</c:v>
                </c:pt>
                <c:pt idx="28">
                  <c:v>144.0</c:v>
                </c:pt>
                <c:pt idx="29">
                  <c:v>180.0</c:v>
                </c:pt>
                <c:pt idx="30">
                  <c:v>204.0</c:v>
                </c:pt>
                <c:pt idx="31">
                  <c:v>208.0</c:v>
                </c:pt>
                <c:pt idx="32">
                  <c:v>228.0</c:v>
                </c:pt>
                <c:pt idx="33">
                  <c:v>263.0</c:v>
                </c:pt>
              </c:numCache>
            </c:numRef>
          </c:cat>
          <c:val>
            <c:numRef>
              <c:f>'ICL3'!$G$7:$G$40</c:f>
              <c:numCache>
                <c:formatCode>General</c:formatCode>
                <c:ptCount val="34"/>
                <c:pt idx="0">
                  <c:v>68.0</c:v>
                </c:pt>
                <c:pt idx="1">
                  <c:v>68.0</c:v>
                </c:pt>
                <c:pt idx="2">
                  <c:v>68.0</c:v>
                </c:pt>
                <c:pt idx="3">
                  <c:v>67.0</c:v>
                </c:pt>
                <c:pt idx="4">
                  <c:v>67.0</c:v>
                </c:pt>
                <c:pt idx="5">
                  <c:v>68.0</c:v>
                </c:pt>
                <c:pt idx="6">
                  <c:v>68.0</c:v>
                </c:pt>
                <c:pt idx="7">
                  <c:v>68.0</c:v>
                </c:pt>
                <c:pt idx="8">
                  <c:v>72.0</c:v>
                </c:pt>
                <c:pt idx="9">
                  <c:v>71.0</c:v>
                </c:pt>
                <c:pt idx="10">
                  <c:v>71.0</c:v>
                </c:pt>
                <c:pt idx="11">
                  <c:v>71.0</c:v>
                </c:pt>
                <c:pt idx="12">
                  <c:v>68.0</c:v>
                </c:pt>
                <c:pt idx="13">
                  <c:v>68.0</c:v>
                </c:pt>
                <c:pt idx="14">
                  <c:v>68.0</c:v>
                </c:pt>
                <c:pt idx="15">
                  <c:v>68.0</c:v>
                </c:pt>
                <c:pt idx="16">
                  <c:v>68.0</c:v>
                </c:pt>
                <c:pt idx="17">
                  <c:v>72.0</c:v>
                </c:pt>
                <c:pt idx="18">
                  <c:v>72.0</c:v>
                </c:pt>
                <c:pt idx="19">
                  <c:v>72.0</c:v>
                </c:pt>
                <c:pt idx="20">
                  <c:v>73.0</c:v>
                </c:pt>
                <c:pt idx="21">
                  <c:v>72.0</c:v>
                </c:pt>
                <c:pt idx="22">
                  <c:v>73.0</c:v>
                </c:pt>
                <c:pt idx="23">
                  <c:v>74.0</c:v>
                </c:pt>
                <c:pt idx="24">
                  <c:v>76.0</c:v>
                </c:pt>
                <c:pt idx="25">
                  <c:v>76.0</c:v>
                </c:pt>
                <c:pt idx="26">
                  <c:v>74.0</c:v>
                </c:pt>
                <c:pt idx="27">
                  <c:v>76.0</c:v>
                </c:pt>
                <c:pt idx="28">
                  <c:v>76.0</c:v>
                </c:pt>
                <c:pt idx="29">
                  <c:v>75.0</c:v>
                </c:pt>
                <c:pt idx="30">
                  <c:v>75.0</c:v>
                </c:pt>
                <c:pt idx="31">
                  <c:v>75.0</c:v>
                </c:pt>
                <c:pt idx="32">
                  <c:v>76.0</c:v>
                </c:pt>
                <c:pt idx="33">
                  <c:v>75.0</c:v>
                </c:pt>
              </c:numCache>
            </c:numRef>
          </c:val>
          <c:smooth val="0"/>
        </c:ser>
        <c:ser>
          <c:idx val="3"/>
          <c:order val="1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'ICL3'!$F$7:$F$40</c:f>
              <c:numCache>
                <c:formatCode>General</c:formatCode>
                <c:ptCount val="34"/>
                <c:pt idx="0">
                  <c:v>43.0</c:v>
                </c:pt>
                <c:pt idx="1">
                  <c:v>43.0</c:v>
                </c:pt>
                <c:pt idx="2">
                  <c:v>44.0</c:v>
                </c:pt>
                <c:pt idx="3">
                  <c:v>45.0</c:v>
                </c:pt>
                <c:pt idx="4">
                  <c:v>46.0</c:v>
                </c:pt>
                <c:pt idx="5">
                  <c:v>46.0</c:v>
                </c:pt>
                <c:pt idx="6">
                  <c:v>48.0</c:v>
                </c:pt>
                <c:pt idx="7">
                  <c:v>48.0</c:v>
                </c:pt>
                <c:pt idx="8">
                  <c:v>50.0</c:v>
                </c:pt>
                <c:pt idx="9">
                  <c:v>50.0</c:v>
                </c:pt>
                <c:pt idx="10">
                  <c:v>50.0</c:v>
                </c:pt>
                <c:pt idx="11">
                  <c:v>50.0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51.0</c:v>
                </c:pt>
                <c:pt idx="17">
                  <c:v>52.0</c:v>
                </c:pt>
                <c:pt idx="18">
                  <c:v>52.0</c:v>
                </c:pt>
                <c:pt idx="19">
                  <c:v>53.0</c:v>
                </c:pt>
                <c:pt idx="20">
                  <c:v>56.0</c:v>
                </c:pt>
                <c:pt idx="21">
                  <c:v>57.0</c:v>
                </c:pt>
                <c:pt idx="22">
                  <c:v>58.0</c:v>
                </c:pt>
                <c:pt idx="23">
                  <c:v>59.0</c:v>
                </c:pt>
                <c:pt idx="24">
                  <c:v>74.0</c:v>
                </c:pt>
                <c:pt idx="25">
                  <c:v>77.0</c:v>
                </c:pt>
                <c:pt idx="26">
                  <c:v>109.0</c:v>
                </c:pt>
                <c:pt idx="27">
                  <c:v>110.0</c:v>
                </c:pt>
                <c:pt idx="28">
                  <c:v>144.0</c:v>
                </c:pt>
                <c:pt idx="29">
                  <c:v>180.0</c:v>
                </c:pt>
                <c:pt idx="30">
                  <c:v>204.0</c:v>
                </c:pt>
                <c:pt idx="31">
                  <c:v>208.0</c:v>
                </c:pt>
                <c:pt idx="32">
                  <c:v>228.0</c:v>
                </c:pt>
                <c:pt idx="33">
                  <c:v>263.0</c:v>
                </c:pt>
              </c:numCache>
            </c:numRef>
          </c:cat>
          <c:val>
            <c:numRef>
              <c:f>'ICL3'!$H$7:$H$40</c:f>
              <c:numCache>
                <c:formatCode>General</c:formatCode>
                <c:ptCount val="34"/>
                <c:pt idx="0">
                  <c:v>28.0</c:v>
                </c:pt>
                <c:pt idx="1">
                  <c:v>29.0</c:v>
                </c:pt>
                <c:pt idx="2">
                  <c:v>28.0</c:v>
                </c:pt>
                <c:pt idx="3">
                  <c:v>28.0</c:v>
                </c:pt>
                <c:pt idx="4">
                  <c:v>26.0</c:v>
                </c:pt>
                <c:pt idx="5">
                  <c:v>28.0</c:v>
                </c:pt>
                <c:pt idx="6">
                  <c:v>24.0</c:v>
                </c:pt>
                <c:pt idx="7">
                  <c:v>28.0</c:v>
                </c:pt>
                <c:pt idx="8">
                  <c:v>29.0</c:v>
                </c:pt>
                <c:pt idx="9">
                  <c:v>28.0</c:v>
                </c:pt>
                <c:pt idx="10">
                  <c:v>29.0</c:v>
                </c:pt>
                <c:pt idx="11">
                  <c:v>30.0</c:v>
                </c:pt>
                <c:pt idx="12">
                  <c:v>23.0</c:v>
                </c:pt>
                <c:pt idx="13">
                  <c:v>23.0</c:v>
                </c:pt>
                <c:pt idx="14">
                  <c:v>23.0</c:v>
                </c:pt>
                <c:pt idx="15">
                  <c:v>23.0</c:v>
                </c:pt>
                <c:pt idx="16">
                  <c:v>23.0</c:v>
                </c:pt>
                <c:pt idx="17">
                  <c:v>24.0</c:v>
                </c:pt>
                <c:pt idx="18">
                  <c:v>24.0</c:v>
                </c:pt>
                <c:pt idx="19">
                  <c:v>24.0</c:v>
                </c:pt>
                <c:pt idx="20">
                  <c:v>22.0</c:v>
                </c:pt>
                <c:pt idx="21">
                  <c:v>24.0</c:v>
                </c:pt>
                <c:pt idx="22">
                  <c:v>24.0</c:v>
                </c:pt>
                <c:pt idx="23">
                  <c:v>21.0</c:v>
                </c:pt>
                <c:pt idx="24">
                  <c:v>24.0</c:v>
                </c:pt>
                <c:pt idx="25">
                  <c:v>24.0</c:v>
                </c:pt>
                <c:pt idx="26">
                  <c:v>24.0</c:v>
                </c:pt>
                <c:pt idx="27">
                  <c:v>24.0</c:v>
                </c:pt>
                <c:pt idx="28">
                  <c:v>24.0</c:v>
                </c:pt>
                <c:pt idx="29">
                  <c:v>24.0</c:v>
                </c:pt>
                <c:pt idx="30">
                  <c:v>24.0</c:v>
                </c:pt>
                <c:pt idx="31">
                  <c:v>24.0</c:v>
                </c:pt>
                <c:pt idx="32">
                  <c:v>24.0</c:v>
                </c:pt>
                <c:pt idx="33">
                  <c:v>24.0</c:v>
                </c:pt>
              </c:numCache>
            </c:numRef>
          </c:val>
          <c:smooth val="0"/>
        </c:ser>
        <c:ser>
          <c:idx val="1"/>
          <c:order val="2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'ICL3'!$F$7:$F$40</c:f>
              <c:numCache>
                <c:formatCode>General</c:formatCode>
                <c:ptCount val="34"/>
                <c:pt idx="0">
                  <c:v>43.0</c:v>
                </c:pt>
                <c:pt idx="1">
                  <c:v>43.0</c:v>
                </c:pt>
                <c:pt idx="2">
                  <c:v>44.0</c:v>
                </c:pt>
                <c:pt idx="3">
                  <c:v>45.0</c:v>
                </c:pt>
                <c:pt idx="4">
                  <c:v>46.0</c:v>
                </c:pt>
                <c:pt idx="5">
                  <c:v>46.0</c:v>
                </c:pt>
                <c:pt idx="6">
                  <c:v>48.0</c:v>
                </c:pt>
                <c:pt idx="7">
                  <c:v>48.0</c:v>
                </c:pt>
                <c:pt idx="8">
                  <c:v>50.0</c:v>
                </c:pt>
                <c:pt idx="9">
                  <c:v>50.0</c:v>
                </c:pt>
                <c:pt idx="10">
                  <c:v>50.0</c:v>
                </c:pt>
                <c:pt idx="11">
                  <c:v>50.0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51.0</c:v>
                </c:pt>
                <c:pt idx="17">
                  <c:v>52.0</c:v>
                </c:pt>
                <c:pt idx="18">
                  <c:v>52.0</c:v>
                </c:pt>
                <c:pt idx="19">
                  <c:v>53.0</c:v>
                </c:pt>
                <c:pt idx="20">
                  <c:v>56.0</c:v>
                </c:pt>
                <c:pt idx="21">
                  <c:v>57.0</c:v>
                </c:pt>
                <c:pt idx="22">
                  <c:v>58.0</c:v>
                </c:pt>
                <c:pt idx="23">
                  <c:v>59.0</c:v>
                </c:pt>
                <c:pt idx="24">
                  <c:v>74.0</c:v>
                </c:pt>
                <c:pt idx="25">
                  <c:v>77.0</c:v>
                </c:pt>
                <c:pt idx="26">
                  <c:v>109.0</c:v>
                </c:pt>
                <c:pt idx="27">
                  <c:v>110.0</c:v>
                </c:pt>
                <c:pt idx="28">
                  <c:v>144.0</c:v>
                </c:pt>
                <c:pt idx="29">
                  <c:v>180.0</c:v>
                </c:pt>
                <c:pt idx="30">
                  <c:v>204.0</c:v>
                </c:pt>
                <c:pt idx="31">
                  <c:v>208.0</c:v>
                </c:pt>
                <c:pt idx="32">
                  <c:v>228.0</c:v>
                </c:pt>
                <c:pt idx="33">
                  <c:v>263.0</c:v>
                </c:pt>
              </c:numCache>
            </c:numRef>
          </c:cat>
          <c:val>
            <c:numRef>
              <c:f>'ICL3'!$G$7:$G$40</c:f>
              <c:numCache>
                <c:formatCode>General</c:formatCode>
                <c:ptCount val="34"/>
                <c:pt idx="0">
                  <c:v>68.0</c:v>
                </c:pt>
                <c:pt idx="1">
                  <c:v>68.0</c:v>
                </c:pt>
                <c:pt idx="2">
                  <c:v>68.0</c:v>
                </c:pt>
                <c:pt idx="3">
                  <c:v>67.0</c:v>
                </c:pt>
                <c:pt idx="4">
                  <c:v>67.0</c:v>
                </c:pt>
                <c:pt idx="5">
                  <c:v>68.0</c:v>
                </c:pt>
                <c:pt idx="6">
                  <c:v>68.0</c:v>
                </c:pt>
                <c:pt idx="7">
                  <c:v>68.0</c:v>
                </c:pt>
                <c:pt idx="8">
                  <c:v>72.0</c:v>
                </c:pt>
                <c:pt idx="9">
                  <c:v>71.0</c:v>
                </c:pt>
                <c:pt idx="10">
                  <c:v>71.0</c:v>
                </c:pt>
                <c:pt idx="11">
                  <c:v>71.0</c:v>
                </c:pt>
                <c:pt idx="12">
                  <c:v>68.0</c:v>
                </c:pt>
                <c:pt idx="13">
                  <c:v>68.0</c:v>
                </c:pt>
                <c:pt idx="14">
                  <c:v>68.0</c:v>
                </c:pt>
                <c:pt idx="15">
                  <c:v>68.0</c:v>
                </c:pt>
                <c:pt idx="16">
                  <c:v>68.0</c:v>
                </c:pt>
                <c:pt idx="17">
                  <c:v>72.0</c:v>
                </c:pt>
                <c:pt idx="18">
                  <c:v>72.0</c:v>
                </c:pt>
                <c:pt idx="19">
                  <c:v>72.0</c:v>
                </c:pt>
                <c:pt idx="20">
                  <c:v>73.0</c:v>
                </c:pt>
                <c:pt idx="21">
                  <c:v>72.0</c:v>
                </c:pt>
                <c:pt idx="22">
                  <c:v>73.0</c:v>
                </c:pt>
                <c:pt idx="23">
                  <c:v>74.0</c:v>
                </c:pt>
                <c:pt idx="24">
                  <c:v>76.0</c:v>
                </c:pt>
                <c:pt idx="25">
                  <c:v>76.0</c:v>
                </c:pt>
                <c:pt idx="26">
                  <c:v>74.0</c:v>
                </c:pt>
                <c:pt idx="27">
                  <c:v>76.0</c:v>
                </c:pt>
                <c:pt idx="28">
                  <c:v>76.0</c:v>
                </c:pt>
                <c:pt idx="29">
                  <c:v>75.0</c:v>
                </c:pt>
                <c:pt idx="30">
                  <c:v>75.0</c:v>
                </c:pt>
                <c:pt idx="31">
                  <c:v>75.0</c:v>
                </c:pt>
                <c:pt idx="32">
                  <c:v>76.0</c:v>
                </c:pt>
                <c:pt idx="33">
                  <c:v>75.0</c:v>
                </c:pt>
              </c:numCache>
            </c:numRef>
          </c:val>
          <c:smooth val="0"/>
        </c:ser>
        <c:ser>
          <c:idx val="2"/>
          <c:order val="3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'ICL3'!$F$7:$F$40</c:f>
              <c:numCache>
                <c:formatCode>General</c:formatCode>
                <c:ptCount val="34"/>
                <c:pt idx="0">
                  <c:v>43.0</c:v>
                </c:pt>
                <c:pt idx="1">
                  <c:v>43.0</c:v>
                </c:pt>
                <c:pt idx="2">
                  <c:v>44.0</c:v>
                </c:pt>
                <c:pt idx="3">
                  <c:v>45.0</c:v>
                </c:pt>
                <c:pt idx="4">
                  <c:v>46.0</c:v>
                </c:pt>
                <c:pt idx="5">
                  <c:v>46.0</c:v>
                </c:pt>
                <c:pt idx="6">
                  <c:v>48.0</c:v>
                </c:pt>
                <c:pt idx="7">
                  <c:v>48.0</c:v>
                </c:pt>
                <c:pt idx="8">
                  <c:v>50.0</c:v>
                </c:pt>
                <c:pt idx="9">
                  <c:v>50.0</c:v>
                </c:pt>
                <c:pt idx="10">
                  <c:v>50.0</c:v>
                </c:pt>
                <c:pt idx="11">
                  <c:v>50.0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51.0</c:v>
                </c:pt>
                <c:pt idx="17">
                  <c:v>52.0</c:v>
                </c:pt>
                <c:pt idx="18">
                  <c:v>52.0</c:v>
                </c:pt>
                <c:pt idx="19">
                  <c:v>53.0</c:v>
                </c:pt>
                <c:pt idx="20">
                  <c:v>56.0</c:v>
                </c:pt>
                <c:pt idx="21">
                  <c:v>57.0</c:v>
                </c:pt>
                <c:pt idx="22">
                  <c:v>58.0</c:v>
                </c:pt>
                <c:pt idx="23">
                  <c:v>59.0</c:v>
                </c:pt>
                <c:pt idx="24">
                  <c:v>74.0</c:v>
                </c:pt>
                <c:pt idx="25">
                  <c:v>77.0</c:v>
                </c:pt>
                <c:pt idx="26">
                  <c:v>109.0</c:v>
                </c:pt>
                <c:pt idx="27">
                  <c:v>110.0</c:v>
                </c:pt>
                <c:pt idx="28">
                  <c:v>144.0</c:v>
                </c:pt>
                <c:pt idx="29">
                  <c:v>180.0</c:v>
                </c:pt>
                <c:pt idx="30">
                  <c:v>204.0</c:v>
                </c:pt>
                <c:pt idx="31">
                  <c:v>208.0</c:v>
                </c:pt>
                <c:pt idx="32">
                  <c:v>228.0</c:v>
                </c:pt>
                <c:pt idx="33">
                  <c:v>263.0</c:v>
                </c:pt>
              </c:numCache>
            </c:numRef>
          </c:cat>
          <c:val>
            <c:numRef>
              <c:f>'ICL3'!$H$7:$H$40</c:f>
              <c:numCache>
                <c:formatCode>General</c:formatCode>
                <c:ptCount val="34"/>
                <c:pt idx="0">
                  <c:v>28.0</c:v>
                </c:pt>
                <c:pt idx="1">
                  <c:v>29.0</c:v>
                </c:pt>
                <c:pt idx="2">
                  <c:v>28.0</c:v>
                </c:pt>
                <c:pt idx="3">
                  <c:v>28.0</c:v>
                </c:pt>
                <c:pt idx="4">
                  <c:v>26.0</c:v>
                </c:pt>
                <c:pt idx="5">
                  <c:v>28.0</c:v>
                </c:pt>
                <c:pt idx="6">
                  <c:v>24.0</c:v>
                </c:pt>
                <c:pt idx="7">
                  <c:v>28.0</c:v>
                </c:pt>
                <c:pt idx="8">
                  <c:v>29.0</c:v>
                </c:pt>
                <c:pt idx="9">
                  <c:v>28.0</c:v>
                </c:pt>
                <c:pt idx="10">
                  <c:v>29.0</c:v>
                </c:pt>
                <c:pt idx="11">
                  <c:v>30.0</c:v>
                </c:pt>
                <c:pt idx="12">
                  <c:v>23.0</c:v>
                </c:pt>
                <c:pt idx="13">
                  <c:v>23.0</c:v>
                </c:pt>
                <c:pt idx="14">
                  <c:v>23.0</c:v>
                </c:pt>
                <c:pt idx="15">
                  <c:v>23.0</c:v>
                </c:pt>
                <c:pt idx="16">
                  <c:v>23.0</c:v>
                </c:pt>
                <c:pt idx="17">
                  <c:v>24.0</c:v>
                </c:pt>
                <c:pt idx="18">
                  <c:v>24.0</c:v>
                </c:pt>
                <c:pt idx="19">
                  <c:v>24.0</c:v>
                </c:pt>
                <c:pt idx="20">
                  <c:v>22.0</c:v>
                </c:pt>
                <c:pt idx="21">
                  <c:v>24.0</c:v>
                </c:pt>
                <c:pt idx="22">
                  <c:v>24.0</c:v>
                </c:pt>
                <c:pt idx="23">
                  <c:v>21.0</c:v>
                </c:pt>
                <c:pt idx="24">
                  <c:v>24.0</c:v>
                </c:pt>
                <c:pt idx="25">
                  <c:v>24.0</c:v>
                </c:pt>
                <c:pt idx="26">
                  <c:v>24.0</c:v>
                </c:pt>
                <c:pt idx="27">
                  <c:v>24.0</c:v>
                </c:pt>
                <c:pt idx="28">
                  <c:v>24.0</c:v>
                </c:pt>
                <c:pt idx="29">
                  <c:v>24.0</c:v>
                </c:pt>
                <c:pt idx="30">
                  <c:v>24.0</c:v>
                </c:pt>
                <c:pt idx="31">
                  <c:v>24.0</c:v>
                </c:pt>
                <c:pt idx="32">
                  <c:v>24.0</c:v>
                </c:pt>
                <c:pt idx="33">
                  <c:v>24.0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53952592"/>
        <c:axId val="-2053948336"/>
      </c:lineChart>
      <c:catAx>
        <c:axId val="-2053952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53948336"/>
        <c:crosses val="autoZero"/>
        <c:auto val="1"/>
        <c:lblAlgn val="ctr"/>
        <c:lblOffset val="100"/>
        <c:noMultiLvlLbl val="0"/>
      </c:catAx>
      <c:valAx>
        <c:axId val="-2053948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53952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104863</xdr:colOff>
      <xdr:row>18</xdr:row>
      <xdr:rowOff>69227</xdr:rowOff>
    </xdr:from>
    <xdr:to>
      <xdr:col>24</xdr:col>
      <xdr:colOff>274744</xdr:colOff>
      <xdr:row>38</xdr:row>
      <xdr:rowOff>30582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human_GPCR_fasta.fas" connectionId="2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GPCRdb_alignment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Relationship Id="rId2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Relationship Id="rId2" Type="http://schemas.openxmlformats.org/officeDocument/2006/relationships/queryTable" Target="../queryTables/query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AMO289"/>
  <sheetViews>
    <sheetView zoomScale="110" zoomScaleNormal="110" zoomScalePageLayoutView="110" workbookViewId="0">
      <pane xSplit="3" ySplit="1" topLeftCell="D80" activePane="bottomRight" state="frozenSplit"/>
      <selection pane="topRight" activeCell="D1" sqref="D1"/>
      <selection pane="bottomLeft" activeCell="A2" sqref="A2"/>
      <selection pane="bottomRight" activeCell="B1" sqref="B1:B1048576"/>
    </sheetView>
  </sheetViews>
  <sheetFormatPr baseColWidth="10" defaultColWidth="8.83203125" defaultRowHeight="16" x14ac:dyDescent="0.2"/>
  <cols>
    <col min="1" max="1" width="19.1640625" style="3" customWidth="1"/>
    <col min="2" max="2" width="12.83203125" style="3" bestFit="1" customWidth="1"/>
    <col min="3" max="3" width="9.33203125" style="3" bestFit="1" customWidth="1"/>
    <col min="4" max="4" width="2.83203125" style="3" bestFit="1" customWidth="1"/>
    <col min="5" max="5" width="4.33203125" style="3" bestFit="1" customWidth="1"/>
    <col min="6" max="6" width="2.5" style="3" bestFit="1" customWidth="1"/>
    <col min="7" max="7" width="5.33203125" style="3" bestFit="1" customWidth="1"/>
    <col min="8" max="8" width="2.83203125" style="3" bestFit="1" customWidth="1"/>
    <col min="9" max="9" width="4.1640625" style="3" bestFit="1" customWidth="1"/>
    <col min="10" max="10" width="2.5" style="3" bestFit="1" customWidth="1"/>
    <col min="11" max="11" width="4.1640625" style="3" bestFit="1" customWidth="1"/>
    <col min="12" max="12" width="2.5" style="3" bestFit="1" customWidth="1"/>
    <col min="13" max="13" width="4.33203125" style="3" bestFit="1" customWidth="1"/>
    <col min="14" max="14" width="2.83203125" style="3" bestFit="1" customWidth="1"/>
    <col min="15" max="15" width="4.33203125" style="3" bestFit="1" customWidth="1"/>
    <col min="16" max="16" width="2.83203125" style="3" bestFit="1" customWidth="1"/>
    <col min="17" max="17" width="4.33203125" style="3" customWidth="1"/>
    <col min="18" max="18" width="2.83203125" style="3" bestFit="1" customWidth="1"/>
    <col min="19" max="19" width="4.33203125" style="3" bestFit="1" customWidth="1"/>
    <col min="20" max="20" width="2.5" style="3" bestFit="1" customWidth="1"/>
    <col min="21" max="21" width="4.33203125" style="3" bestFit="1" customWidth="1"/>
    <col min="22" max="22" width="2.83203125" style="3" bestFit="1" customWidth="1"/>
    <col min="23" max="23" width="4.33203125" style="3" bestFit="1" customWidth="1"/>
    <col min="24" max="24" width="2.83203125" style="3" bestFit="1" customWidth="1"/>
    <col min="25" max="25" width="4.33203125" style="3" bestFit="1" customWidth="1"/>
    <col min="26" max="26" width="2.83203125" style="3" bestFit="1" customWidth="1"/>
    <col min="27" max="27" width="4.33203125" style="3" bestFit="1" customWidth="1"/>
    <col min="28" max="28" width="2.83203125" style="3" bestFit="1" customWidth="1"/>
    <col min="29" max="29" width="4.33203125" style="9" bestFit="1" customWidth="1"/>
    <col min="30" max="30" width="2.83203125" style="3" bestFit="1" customWidth="1"/>
    <col min="31" max="31" width="4.33203125" style="3" bestFit="1" customWidth="1"/>
    <col min="32" max="32" width="2.1640625" style="3" bestFit="1" customWidth="1"/>
    <col min="33" max="33" width="4.33203125" style="3" bestFit="1" customWidth="1"/>
    <col min="34" max="34" width="2.33203125" style="3" bestFit="1" customWidth="1"/>
    <col min="35" max="35" width="4.33203125" style="3" bestFit="1" customWidth="1"/>
    <col min="36" max="36" width="2.83203125" style="3" bestFit="1" customWidth="1"/>
    <col min="37" max="37" width="4.33203125" style="3" bestFit="1" customWidth="1"/>
    <col min="38" max="38" width="2.83203125" style="3" bestFit="1" customWidth="1"/>
    <col min="39" max="39" width="4.33203125" style="3" bestFit="1" customWidth="1"/>
    <col min="40" max="40" width="2.83203125" style="3" bestFit="1" customWidth="1"/>
    <col min="41" max="41" width="4.33203125" style="3" bestFit="1" customWidth="1"/>
    <col min="42" max="42" width="2.5" style="3" bestFit="1" customWidth="1"/>
    <col min="43" max="43" width="4.33203125" style="3" bestFit="1" customWidth="1"/>
    <col min="44" max="44" width="2.83203125" style="3" bestFit="1" customWidth="1"/>
    <col min="45" max="45" width="4.33203125" style="3" customWidth="1"/>
    <col min="46" max="46" width="2.83203125" style="3" bestFit="1" customWidth="1"/>
    <col min="47" max="47" width="4.33203125" style="3" bestFit="1" customWidth="1"/>
    <col min="48" max="48" width="2.33203125" style="3" bestFit="1" customWidth="1"/>
    <col min="49" max="49" width="4.33203125" style="3" bestFit="1" customWidth="1"/>
    <col min="50" max="50" width="2.83203125" style="3" bestFit="1" customWidth="1"/>
    <col min="51" max="51" width="4.33203125" style="3" bestFit="1" customWidth="1"/>
    <col min="52" max="52" width="3.1640625" style="80" bestFit="1" customWidth="1"/>
    <col min="53" max="53" width="3.1640625" style="96" customWidth="1"/>
    <col min="54" max="54" width="6.6640625" style="76" customWidth="1"/>
    <col min="55" max="55" width="5" style="3" bestFit="1" customWidth="1"/>
    <col min="56" max="56" width="8.1640625" style="76" bestFit="1" customWidth="1"/>
    <col min="57" max="57" width="5.6640625" style="3" customWidth="1"/>
    <col min="58" max="59" width="5.6640625" style="50" customWidth="1"/>
    <col min="60" max="60" width="8.5" style="3" customWidth="1"/>
    <col min="61" max="61" width="3.1640625" style="77" bestFit="1" customWidth="1"/>
    <col min="62" max="62" width="3.6640625" style="58" bestFit="1" customWidth="1"/>
    <col min="63" max="63" width="3.1640625" style="58" bestFit="1" customWidth="1"/>
    <col min="64" max="64" width="4.1640625" style="58" bestFit="1" customWidth="1"/>
    <col min="65" max="65" width="3.1640625" style="58" bestFit="1" customWidth="1"/>
    <col min="66" max="66" width="3.6640625" style="58" bestFit="1" customWidth="1"/>
    <col min="67" max="67" width="3.1640625" style="58" bestFit="1" customWidth="1"/>
    <col min="68" max="68" width="4.1640625" style="58" bestFit="1" customWidth="1"/>
    <col min="69" max="71" width="3.1640625" style="58" bestFit="1" customWidth="1"/>
    <col min="72" max="72" width="3.1640625" style="74" bestFit="1" customWidth="1"/>
    <col min="73" max="73" width="4.1640625" style="77" bestFit="1" customWidth="1"/>
    <col min="74" max="84" width="4.1640625" style="74" bestFit="1" customWidth="1"/>
    <col min="85" max="85" width="4.1640625" style="77" bestFit="1" customWidth="1"/>
    <col min="86" max="96" width="4.1640625" style="74" bestFit="1" customWidth="1"/>
    <col min="97" max="97" width="8.1640625" style="3" bestFit="1" customWidth="1"/>
    <col min="98" max="1028" width="8.83203125" style="3"/>
    <col min="1029" max="16384" width="8.83203125" style="1"/>
  </cols>
  <sheetData>
    <row r="1" spans="1:1028" s="63" customFormat="1" ht="16" customHeight="1" x14ac:dyDescent="0.2">
      <c r="A1" s="63" t="s">
        <v>1077</v>
      </c>
      <c r="B1" s="63" t="s">
        <v>31</v>
      </c>
      <c r="C1" s="63" t="s">
        <v>30</v>
      </c>
      <c r="E1" s="63" t="s">
        <v>1061</v>
      </c>
      <c r="G1" s="63" t="s">
        <v>1062</v>
      </c>
      <c r="I1" s="64" t="s">
        <v>1078</v>
      </c>
      <c r="K1" s="64" t="s">
        <v>1079</v>
      </c>
      <c r="M1" s="63" t="s">
        <v>1063</v>
      </c>
      <c r="O1" s="63" t="s">
        <v>1064</v>
      </c>
      <c r="Q1" s="63" t="s">
        <v>1080</v>
      </c>
      <c r="S1" s="63" t="s">
        <v>1081</v>
      </c>
      <c r="U1" s="63" t="s">
        <v>1065</v>
      </c>
      <c r="W1" s="63" t="s">
        <v>1066</v>
      </c>
      <c r="Y1" s="63" t="s">
        <v>1093</v>
      </c>
      <c r="AA1" s="63" t="s">
        <v>1094</v>
      </c>
      <c r="AC1" s="107" t="s">
        <v>1067</v>
      </c>
      <c r="AE1" s="63" t="s">
        <v>1068</v>
      </c>
      <c r="AG1" s="63" t="s">
        <v>1096</v>
      </c>
      <c r="AI1" s="63" t="s">
        <v>1097</v>
      </c>
      <c r="AK1" s="63" t="s">
        <v>1069</v>
      </c>
      <c r="AM1" s="63" t="s">
        <v>1070</v>
      </c>
      <c r="AO1" s="63" t="s">
        <v>1071</v>
      </c>
      <c r="AQ1" s="63" t="s">
        <v>1072</v>
      </c>
      <c r="AS1" s="63" t="s">
        <v>1073</v>
      </c>
      <c r="AU1" s="63" t="s">
        <v>1074</v>
      </c>
      <c r="AW1" s="63" t="s">
        <v>1075</v>
      </c>
      <c r="AY1" s="63" t="s">
        <v>1076</v>
      </c>
      <c r="AZ1" s="65" t="s">
        <v>99</v>
      </c>
      <c r="BA1" s="66" t="s">
        <v>1387</v>
      </c>
      <c r="BB1" s="66" t="s">
        <v>1203</v>
      </c>
      <c r="BC1" s="63" t="s">
        <v>1168</v>
      </c>
      <c r="BD1" s="66" t="s">
        <v>1100</v>
      </c>
      <c r="BE1" s="63" t="s">
        <v>1380</v>
      </c>
      <c r="BF1" s="78" t="s">
        <v>1388</v>
      </c>
      <c r="BG1" s="78" t="s">
        <v>1389</v>
      </c>
      <c r="BH1" s="63" t="s">
        <v>1108</v>
      </c>
      <c r="BI1" s="67" t="s">
        <v>1061</v>
      </c>
      <c r="BJ1" s="68" t="s">
        <v>1078</v>
      </c>
      <c r="BK1" s="69" t="s">
        <v>1063</v>
      </c>
      <c r="BL1" s="69" t="s">
        <v>1080</v>
      </c>
      <c r="BM1" s="69" t="s">
        <v>1065</v>
      </c>
      <c r="BN1" s="69" t="s">
        <v>1093</v>
      </c>
      <c r="BO1" s="69" t="s">
        <v>1067</v>
      </c>
      <c r="BP1" s="69" t="s">
        <v>1096</v>
      </c>
      <c r="BQ1" s="69" t="s">
        <v>1069</v>
      </c>
      <c r="BR1" s="69" t="s">
        <v>1071</v>
      </c>
      <c r="BS1" s="69" t="s">
        <v>1073</v>
      </c>
      <c r="BT1" s="70" t="s">
        <v>1075</v>
      </c>
      <c r="BU1" s="67" t="s">
        <v>1061</v>
      </c>
      <c r="BV1" s="71" t="s">
        <v>1078</v>
      </c>
      <c r="BW1" s="70" t="s">
        <v>1063</v>
      </c>
      <c r="BX1" s="70" t="s">
        <v>1080</v>
      </c>
      <c r="BY1" s="70" t="s">
        <v>1065</v>
      </c>
      <c r="BZ1" s="70" t="s">
        <v>1093</v>
      </c>
      <c r="CA1" s="70" t="s">
        <v>1067</v>
      </c>
      <c r="CB1" s="70" t="s">
        <v>1096</v>
      </c>
      <c r="CC1" s="70" t="s">
        <v>1069</v>
      </c>
      <c r="CD1" s="70" t="s">
        <v>1071</v>
      </c>
      <c r="CE1" s="70" t="s">
        <v>1073</v>
      </c>
      <c r="CF1" s="70" t="s">
        <v>1075</v>
      </c>
      <c r="CG1" s="67" t="s">
        <v>1062</v>
      </c>
      <c r="CH1" s="71" t="s">
        <v>1079</v>
      </c>
      <c r="CI1" s="70" t="s">
        <v>1064</v>
      </c>
      <c r="CJ1" s="70" t="s">
        <v>1081</v>
      </c>
      <c r="CK1" s="70" t="s">
        <v>1066</v>
      </c>
      <c r="CL1" s="70" t="s">
        <v>1094</v>
      </c>
      <c r="CM1" s="70" t="s">
        <v>1068</v>
      </c>
      <c r="CN1" s="70" t="s">
        <v>1097</v>
      </c>
      <c r="CO1" s="70" t="s">
        <v>1070</v>
      </c>
      <c r="CP1" s="70" t="s">
        <v>1072</v>
      </c>
      <c r="CQ1" s="70" t="s">
        <v>1074</v>
      </c>
      <c r="CR1" s="70" t="s">
        <v>1076</v>
      </c>
      <c r="CS1" s="63" t="s">
        <v>1294</v>
      </c>
    </row>
    <row r="2" spans="1:1028" x14ac:dyDescent="0.2">
      <c r="A2" s="3" t="str">
        <f t="shared" ref="A2:A38" si="0">CONCATENATE(B2,"_",C2)</f>
        <v>5ht1b_human__wt</v>
      </c>
      <c r="B2" s="3" t="s">
        <v>34</v>
      </c>
      <c r="C2" s="3" t="s">
        <v>100</v>
      </c>
      <c r="D2" s="3" t="str">
        <f>IFERROR(MID(VLOOKUP($B2,Seqs!$A:$B,2,0),E2,1),"")</f>
        <v>L</v>
      </c>
      <c r="E2" s="3">
        <v>46</v>
      </c>
      <c r="F2" s="3" t="str">
        <f>IFERROR(MID(VLOOKUP($B2,Seqs!$A:$B,2,0),G2,1),"")</f>
        <v>T</v>
      </c>
      <c r="G2" s="3">
        <v>77</v>
      </c>
      <c r="H2" s="3" t="str">
        <f>IFERROR(MID(VLOOKUP($B2,Seqs!$A:$B,2,0),I2,1),"")</f>
        <v>R</v>
      </c>
      <c r="I2" s="23">
        <v>78</v>
      </c>
      <c r="J2" s="3" t="str">
        <f>IFERROR(MID(VLOOKUP($B2,Seqs!$A:$B,2,0),K2,1),"")</f>
        <v>H</v>
      </c>
      <c r="K2" s="23">
        <v>81</v>
      </c>
      <c r="L2" s="3" t="str">
        <f>IFERROR(MID(VLOOKUP($B2,Seqs!$A:$B,2,0),M2,1),"")</f>
        <v>T</v>
      </c>
      <c r="M2" s="3">
        <v>82</v>
      </c>
      <c r="N2" s="3" t="str">
        <f>IFERROR(MID(VLOOKUP($B2,Seqs!$A:$B,2,0),O2,1),"")</f>
        <v>T</v>
      </c>
      <c r="O2" s="3">
        <v>112</v>
      </c>
      <c r="P2" s="3" t="str">
        <f>IFERROR(MID(VLOOKUP($B2,Seqs!$A:$B,2,0),Q2,1),"")</f>
        <v>R</v>
      </c>
      <c r="Q2" s="3">
        <v>114</v>
      </c>
      <c r="R2" s="3" t="str">
        <f>IFERROR(MID(VLOOKUP($B2,Seqs!$A:$B,2,0),S2,1),"")</f>
        <v>L</v>
      </c>
      <c r="S2" s="3">
        <v>117</v>
      </c>
      <c r="T2" s="3" t="str">
        <f>IFERROR(MID(VLOOKUP($B2,Seqs!$A:$B,2,0),U2,1),"")</f>
        <v>G</v>
      </c>
      <c r="U2" s="3">
        <v>118</v>
      </c>
      <c r="V2" s="3" t="str">
        <f>IFERROR(MID(VLOOKUP($B2,Seqs!$A:$B,2,0),W2,1),"")</f>
        <v>D</v>
      </c>
      <c r="W2" s="3">
        <v>153</v>
      </c>
      <c r="X2" s="3" t="str">
        <f>IFERROR(MID(VLOOKUP($B2,Seqs!$A:$B,2,0),Y2,1),"")</f>
        <v>A</v>
      </c>
      <c r="Y2" s="3">
        <v>154</v>
      </c>
      <c r="Z2" s="3" t="str">
        <f>IFERROR(MID(VLOOKUP($B2,Seqs!$A:$B,2,0),AA2,1),"")</f>
        <v>R</v>
      </c>
      <c r="AA2" s="3">
        <v>161</v>
      </c>
      <c r="AB2" s="3" t="str">
        <f>IFERROR(MID(VLOOKUP($B2,Seqs!$A:$B,2,0),AC2,1),"")</f>
        <v>T</v>
      </c>
      <c r="AC2" s="9">
        <v>162</v>
      </c>
      <c r="AD2" s="3" t="str">
        <f>IFERROR(MID(VLOOKUP($B2,Seqs!$A:$B,2,0),AE2,1),"")</f>
        <v>W</v>
      </c>
      <c r="AE2" s="3">
        <v>187</v>
      </c>
      <c r="AF2" s="3" t="str">
        <f>IFERROR(MID(VLOOKUP($B2,Seqs!$A:$B,2,0),AG2,1),"")</f>
        <v>C</v>
      </c>
      <c r="AG2" s="3">
        <v>199</v>
      </c>
      <c r="AH2" s="3" t="str">
        <f>IFERROR(MID(VLOOKUP($B2,Seqs!$A:$B,2,0),AI2,1),"")</f>
        <v>V</v>
      </c>
      <c r="AI2" s="3">
        <v>201</v>
      </c>
      <c r="AJ2" s="3" t="str">
        <f>IFERROR(MID(VLOOKUP($B2,Seqs!$A:$B,2,0),AK2,1),"")</f>
        <v>H</v>
      </c>
      <c r="AK2" s="3">
        <v>205</v>
      </c>
      <c r="AL2" s="3" t="str">
        <f>IFERROR(MID(VLOOKUP($B2,Seqs!$A:$B,2,0),AM2,1),"")</f>
        <v>P</v>
      </c>
      <c r="AM2" s="3">
        <v>244</v>
      </c>
      <c r="AN2" s="3" t="str">
        <f>IFERROR(MID(VLOOKUP($B2,Seqs!$A:$B,2,0),AO2,1),"")</f>
        <v>K</v>
      </c>
      <c r="AO2" s="3">
        <v>303</v>
      </c>
      <c r="AP2" s="3" t="str">
        <f>IFERROR(MID(VLOOKUP($B2,Seqs!$A:$B,2,0),AQ2,1),"")</f>
        <v>I</v>
      </c>
      <c r="AQ2" s="3">
        <v>339</v>
      </c>
      <c r="AR2" s="3" t="str">
        <f>IFERROR(MID(VLOOKUP($B2,Seqs!$A:$B,2,0),AS2,1),"")</f>
        <v>H</v>
      </c>
      <c r="AS2" s="3">
        <v>347</v>
      </c>
      <c r="AT2" s="3" t="str">
        <f>IFERROR(MID(VLOOKUP($B2,Seqs!$A:$B,2,0),AU2,1),"")</f>
        <v>S</v>
      </c>
      <c r="AU2" s="3">
        <v>372</v>
      </c>
      <c r="AV2" s="3" t="str">
        <f>IFERROR(MID(VLOOKUP($B2,Seqs!$A:$B,2,0),AW2,1),"")</f>
        <v>N</v>
      </c>
      <c r="AW2" s="3">
        <v>373</v>
      </c>
      <c r="AX2" s="3" t="str">
        <f>IFERROR(MID(VLOOKUP($B2,Seqs!$A:$B,2,0),AY2,1),"")</f>
        <v>I</v>
      </c>
      <c r="AY2" s="3">
        <v>384</v>
      </c>
      <c r="AZ2" s="79" t="str">
        <f>VLOOKUP(B2,Classification!A:D,2,0)</f>
        <v>A</v>
      </c>
      <c r="BA2" s="97" t="str">
        <f>VLOOKUP(B2,Classification!A:D,4,0)</f>
        <v>5-Hydroxytryptamine</v>
      </c>
      <c r="BB2" s="27" t="b">
        <f t="shared" ref="BB2:BB38" si="1">AND(E2&lt;G2,OR(G2&lt;I2,I2="-"),OR(I2&lt;K2,I2="-"),OR(K2&lt;M2,K2="-"),M2&lt;O2,OR(O2&lt;Q2,Q2="-"),OR(Q2&lt;S2,Q2="-"),OR(S2&lt;U2,S2="-"),U2&lt;W2,OR(W2&lt;Y2,Y2="-"),OR(Y2&lt;AA2,Y2="-"),OR(AA2&lt;AC2,AA2="-"),AC2&lt;AE2,OR(AE2&lt;AG2,AG2="-"),OR(AG2&lt;AI2,AG2="-"),OR(AI2&lt;AK2,AI2="-"),AK2&lt;AM2,AM2&lt;AO2,AO2&lt;AQ2,AQ2&lt;AS2,AS2&lt;AU2,OR(AU2&lt;AW2,AW2="-"),OR(AW2&lt;AY2,AW2="-"))</f>
        <v>1</v>
      </c>
      <c r="BC2" s="23">
        <f t="shared" ref="BC2:BC22" si="2">_xlfn.AGGREGATE(9,6,CG2:CR2)-_xlfn.AGGREGATE(9,6,BU2:CF2)+12</f>
        <v>259</v>
      </c>
      <c r="BD2" s="35" t="s">
        <v>1379</v>
      </c>
      <c r="BE2" s="3" t="s">
        <v>1381</v>
      </c>
      <c r="BF2" s="50" t="s">
        <v>1379</v>
      </c>
      <c r="BG2" s="50" t="s">
        <v>1384</v>
      </c>
      <c r="BH2" s="1"/>
      <c r="BI2" s="72" t="s">
        <v>1293</v>
      </c>
      <c r="BJ2" s="58" t="s">
        <v>1293</v>
      </c>
      <c r="BK2" s="58" t="s">
        <v>1293</v>
      </c>
      <c r="BL2" s="58" t="s">
        <v>1293</v>
      </c>
      <c r="BM2" s="58" t="s">
        <v>1293</v>
      </c>
      <c r="BN2" s="58" t="s">
        <v>1293</v>
      </c>
      <c r="BO2" s="58" t="s">
        <v>1293</v>
      </c>
      <c r="BP2" s="58" t="s">
        <v>1293</v>
      </c>
      <c r="BQ2" s="58" t="s">
        <v>1293</v>
      </c>
      <c r="BR2" s="58" t="s">
        <v>1293</v>
      </c>
      <c r="BS2" s="58" t="s">
        <v>1293</v>
      </c>
      <c r="BT2" s="58" t="s">
        <v>1293</v>
      </c>
      <c r="BU2" s="72">
        <f t="shared" ref="BU2:BU22" si="3">E2</f>
        <v>46</v>
      </c>
      <c r="BV2" s="73">
        <f t="shared" ref="BV2:BV22" si="4">I2</f>
        <v>78</v>
      </c>
      <c r="BW2" s="74">
        <f t="shared" ref="BW2:BW22" si="5">M2</f>
        <v>82</v>
      </c>
      <c r="BX2" s="73">
        <f t="shared" ref="BX2:BX22" si="6">Q2</f>
        <v>114</v>
      </c>
      <c r="BY2" s="74">
        <f t="shared" ref="BY2:BY22" si="7">U2</f>
        <v>118</v>
      </c>
      <c r="BZ2" s="73">
        <f t="shared" ref="BZ2:BZ22" si="8">Y2</f>
        <v>154</v>
      </c>
      <c r="CA2" s="74">
        <f t="shared" ref="CA2:CA22" si="9">AC2</f>
        <v>162</v>
      </c>
      <c r="CB2" s="73">
        <f t="shared" ref="CB2:CB22" si="10">AG2</f>
        <v>199</v>
      </c>
      <c r="CC2" s="74">
        <f t="shared" ref="CC2:CC22" si="11">AK2</f>
        <v>205</v>
      </c>
      <c r="CD2" s="73">
        <f t="shared" ref="CD2:CD22" si="12">AO2</f>
        <v>303</v>
      </c>
      <c r="CE2" s="74">
        <f t="shared" ref="CE2:CE22" si="13">AS2</f>
        <v>347</v>
      </c>
      <c r="CF2" s="73">
        <f t="shared" ref="CF2:CF22" si="14">AW2</f>
        <v>373</v>
      </c>
      <c r="CG2" s="72">
        <f t="shared" ref="CG2:CG22" si="15">G2</f>
        <v>77</v>
      </c>
      <c r="CH2" s="73">
        <f t="shared" ref="CH2:CH22" si="16">K2</f>
        <v>81</v>
      </c>
      <c r="CI2" s="74">
        <f t="shared" ref="CI2:CI22" si="17">O2</f>
        <v>112</v>
      </c>
      <c r="CJ2" s="74">
        <f t="shared" ref="CJ2:CJ22" si="18">S2</f>
        <v>117</v>
      </c>
      <c r="CK2" s="74">
        <f t="shared" ref="CK2:CK22" si="19">W2</f>
        <v>153</v>
      </c>
      <c r="CL2" s="74">
        <f t="shared" ref="CL2:CL22" si="20">AA2</f>
        <v>161</v>
      </c>
      <c r="CM2" s="74">
        <f t="shared" ref="CM2:CM22" si="21">AE2</f>
        <v>187</v>
      </c>
      <c r="CN2" s="74">
        <f t="shared" ref="CN2:CN22" si="22">AI2</f>
        <v>201</v>
      </c>
      <c r="CO2" s="74">
        <f t="shared" ref="CO2:CO22" si="23">AM2</f>
        <v>244</v>
      </c>
      <c r="CP2" s="74">
        <f t="shared" ref="CP2:CP22" si="24">AQ2</f>
        <v>339</v>
      </c>
      <c r="CQ2" s="74">
        <f t="shared" ref="CQ2:CQ22" si="25">AU2</f>
        <v>372</v>
      </c>
      <c r="CR2" s="74">
        <f t="shared" ref="CR2:CR22" si="26">AY2</f>
        <v>384</v>
      </c>
      <c r="CS2" s="23">
        <f t="shared" ref="CS2:CS22" si="27">M2-K2</f>
        <v>1</v>
      </c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1"/>
      <c r="QL2" s="1"/>
      <c r="QM2" s="1"/>
      <c r="QN2" s="1"/>
      <c r="QO2" s="1"/>
      <c r="QP2" s="1"/>
      <c r="QQ2" s="1"/>
      <c r="QR2" s="1"/>
      <c r="QS2" s="1"/>
      <c r="QT2" s="1"/>
      <c r="QU2" s="1"/>
      <c r="QV2" s="1"/>
      <c r="QW2" s="1"/>
      <c r="QX2" s="1"/>
      <c r="QY2" s="1"/>
      <c r="QZ2" s="1"/>
      <c r="RA2" s="1"/>
      <c r="RB2" s="1"/>
      <c r="RC2" s="1"/>
      <c r="RD2" s="1"/>
      <c r="RE2" s="1"/>
      <c r="RF2" s="1"/>
      <c r="RG2" s="1"/>
      <c r="RH2" s="1"/>
      <c r="RI2" s="1"/>
      <c r="RJ2" s="1"/>
      <c r="RK2" s="1"/>
      <c r="RL2" s="1"/>
      <c r="RM2" s="1"/>
      <c r="RN2" s="1"/>
      <c r="RO2" s="1"/>
      <c r="RP2" s="1"/>
      <c r="RQ2" s="1"/>
      <c r="RR2" s="1"/>
      <c r="RS2" s="1"/>
      <c r="RT2" s="1"/>
      <c r="RU2" s="1"/>
      <c r="RV2" s="1"/>
      <c r="RW2" s="1"/>
      <c r="RX2" s="1"/>
      <c r="RY2" s="1"/>
      <c r="RZ2" s="1"/>
      <c r="SA2" s="1"/>
      <c r="SB2" s="1"/>
      <c r="SC2" s="1"/>
      <c r="SD2" s="1"/>
      <c r="SE2" s="1"/>
      <c r="SF2" s="1"/>
      <c r="SG2" s="1"/>
      <c r="SH2" s="1"/>
      <c r="SI2" s="1"/>
      <c r="SJ2" s="1"/>
      <c r="SK2" s="1"/>
      <c r="SL2" s="1"/>
      <c r="SM2" s="1"/>
      <c r="SN2" s="1"/>
      <c r="SO2" s="1"/>
      <c r="SP2" s="1"/>
      <c r="SQ2" s="1"/>
      <c r="SR2" s="1"/>
      <c r="SS2" s="1"/>
      <c r="ST2" s="1"/>
      <c r="SU2" s="1"/>
      <c r="SV2" s="1"/>
      <c r="SW2" s="1"/>
      <c r="SX2" s="1"/>
      <c r="SY2" s="1"/>
      <c r="SZ2" s="1"/>
      <c r="TA2" s="1"/>
      <c r="TB2" s="1"/>
      <c r="TC2" s="1"/>
      <c r="TD2" s="1"/>
      <c r="TE2" s="1"/>
      <c r="TF2" s="1"/>
      <c r="TG2" s="1"/>
      <c r="TH2" s="1"/>
      <c r="TI2" s="1"/>
      <c r="TJ2" s="1"/>
      <c r="TK2" s="1"/>
      <c r="TL2" s="1"/>
      <c r="TM2" s="1"/>
      <c r="TN2" s="1"/>
      <c r="TO2" s="1"/>
      <c r="TP2" s="1"/>
      <c r="TQ2" s="1"/>
      <c r="TR2" s="1"/>
      <c r="TS2" s="1"/>
      <c r="TT2" s="1"/>
      <c r="TU2" s="1"/>
      <c r="TV2" s="1"/>
      <c r="TW2" s="1"/>
      <c r="TX2" s="1"/>
      <c r="TY2" s="1"/>
      <c r="TZ2" s="1"/>
      <c r="UA2" s="1"/>
      <c r="UB2" s="1"/>
      <c r="UC2" s="1"/>
      <c r="UD2" s="1"/>
      <c r="UE2" s="1"/>
      <c r="UF2" s="1"/>
      <c r="UG2" s="1"/>
      <c r="UH2" s="1"/>
      <c r="UI2" s="1"/>
      <c r="UJ2" s="1"/>
      <c r="UK2" s="1"/>
      <c r="UL2" s="1"/>
      <c r="UM2" s="1"/>
      <c r="UN2" s="1"/>
      <c r="UO2" s="1"/>
      <c r="UP2" s="1"/>
      <c r="UQ2" s="1"/>
      <c r="UR2" s="1"/>
      <c r="US2" s="1"/>
      <c r="UT2" s="1"/>
      <c r="UU2" s="1"/>
      <c r="UV2" s="1"/>
      <c r="UW2" s="1"/>
      <c r="UX2" s="1"/>
      <c r="UY2" s="1"/>
      <c r="UZ2" s="1"/>
      <c r="VA2" s="1"/>
      <c r="VB2" s="1"/>
      <c r="VC2" s="1"/>
      <c r="VD2" s="1"/>
      <c r="VE2" s="1"/>
      <c r="VF2" s="1"/>
      <c r="VG2" s="1"/>
      <c r="VH2" s="1"/>
      <c r="VI2" s="1"/>
      <c r="VJ2" s="1"/>
      <c r="VK2" s="1"/>
      <c r="VL2" s="1"/>
      <c r="VM2" s="1"/>
      <c r="VN2" s="1"/>
      <c r="VO2" s="1"/>
      <c r="VP2" s="1"/>
      <c r="VQ2" s="1"/>
      <c r="VR2" s="1"/>
      <c r="VS2" s="1"/>
      <c r="VT2" s="1"/>
      <c r="VU2" s="1"/>
      <c r="VV2" s="1"/>
      <c r="VW2" s="1"/>
      <c r="VX2" s="1"/>
      <c r="VY2" s="1"/>
      <c r="VZ2" s="1"/>
      <c r="WA2" s="1"/>
      <c r="WB2" s="1"/>
      <c r="WC2" s="1"/>
      <c r="WD2" s="1"/>
      <c r="WE2" s="1"/>
      <c r="WF2" s="1"/>
      <c r="WG2" s="1"/>
      <c r="WH2" s="1"/>
      <c r="WI2" s="1"/>
      <c r="WJ2" s="1"/>
      <c r="WK2" s="1"/>
      <c r="WL2" s="1"/>
      <c r="WM2" s="1"/>
      <c r="WN2" s="1"/>
      <c r="WO2" s="1"/>
      <c r="WP2" s="1"/>
      <c r="WQ2" s="1"/>
      <c r="WR2" s="1"/>
      <c r="WS2" s="1"/>
      <c r="WT2" s="1"/>
      <c r="WU2" s="1"/>
      <c r="WV2" s="1"/>
      <c r="WW2" s="1"/>
      <c r="WX2" s="1"/>
      <c r="WY2" s="1"/>
      <c r="WZ2" s="1"/>
      <c r="XA2" s="1"/>
      <c r="XB2" s="1"/>
      <c r="XC2" s="1"/>
      <c r="XD2" s="1"/>
      <c r="XE2" s="1"/>
      <c r="XF2" s="1"/>
      <c r="XG2" s="1"/>
      <c r="XH2" s="1"/>
      <c r="XI2" s="1"/>
      <c r="XJ2" s="1"/>
      <c r="XK2" s="1"/>
      <c r="XL2" s="1"/>
      <c r="XM2" s="1"/>
      <c r="XN2" s="1"/>
      <c r="XO2" s="1"/>
      <c r="XP2" s="1"/>
      <c r="XQ2" s="1"/>
      <c r="XR2" s="1"/>
      <c r="XS2" s="1"/>
      <c r="XT2" s="1"/>
      <c r="XU2" s="1"/>
      <c r="XV2" s="1"/>
      <c r="XW2" s="1"/>
      <c r="XX2" s="1"/>
      <c r="XY2" s="1"/>
      <c r="XZ2" s="1"/>
      <c r="YA2" s="1"/>
      <c r="YB2" s="1"/>
      <c r="YC2" s="1"/>
      <c r="YD2" s="1"/>
      <c r="YE2" s="1"/>
      <c r="YF2" s="1"/>
      <c r="YG2" s="1"/>
      <c r="YH2" s="1"/>
      <c r="YI2" s="1"/>
      <c r="YJ2" s="1"/>
      <c r="YK2" s="1"/>
      <c r="YL2" s="1"/>
      <c r="YM2" s="1"/>
      <c r="YN2" s="1"/>
      <c r="YO2" s="1"/>
      <c r="YP2" s="1"/>
      <c r="YQ2" s="1"/>
      <c r="YR2" s="1"/>
      <c r="YS2" s="1"/>
      <c r="YT2" s="1"/>
      <c r="YU2" s="1"/>
      <c r="YV2" s="1"/>
      <c r="YW2" s="1"/>
      <c r="YX2" s="1"/>
      <c r="YY2" s="1"/>
      <c r="YZ2" s="1"/>
      <c r="ZA2" s="1"/>
      <c r="ZB2" s="1"/>
      <c r="ZC2" s="1"/>
      <c r="ZD2" s="1"/>
      <c r="ZE2" s="1"/>
      <c r="ZF2" s="1"/>
      <c r="ZG2" s="1"/>
      <c r="ZH2" s="1"/>
      <c r="ZI2" s="1"/>
      <c r="ZJ2" s="1"/>
      <c r="ZK2" s="1"/>
      <c r="ZL2" s="1"/>
      <c r="ZM2" s="1"/>
      <c r="ZN2" s="1"/>
      <c r="ZO2" s="1"/>
      <c r="ZP2" s="1"/>
      <c r="ZQ2" s="1"/>
      <c r="ZR2" s="1"/>
      <c r="ZS2" s="1"/>
      <c r="ZT2" s="1"/>
      <c r="ZU2" s="1"/>
      <c r="ZV2" s="1"/>
      <c r="ZW2" s="1"/>
      <c r="ZX2" s="1"/>
      <c r="ZY2" s="1"/>
      <c r="ZZ2" s="1"/>
      <c r="AAA2" s="1"/>
      <c r="AAB2" s="1"/>
      <c r="AAC2" s="1"/>
      <c r="AAD2" s="1"/>
      <c r="AAE2" s="1"/>
      <c r="AAF2" s="1"/>
      <c r="AAG2" s="1"/>
      <c r="AAH2" s="1"/>
      <c r="AAI2" s="1"/>
      <c r="AAJ2" s="1"/>
      <c r="AAK2" s="1"/>
      <c r="AAL2" s="1"/>
      <c r="AAM2" s="1"/>
      <c r="AAN2" s="1"/>
      <c r="AAO2" s="1"/>
      <c r="AAP2" s="1"/>
      <c r="AAQ2" s="1"/>
      <c r="AAR2" s="1"/>
      <c r="AAS2" s="1"/>
      <c r="AAT2" s="1"/>
      <c r="AAU2" s="1"/>
      <c r="AAV2" s="1"/>
      <c r="AAW2" s="1"/>
      <c r="AAX2" s="1"/>
      <c r="AAY2" s="1"/>
      <c r="AAZ2" s="1"/>
      <c r="ABA2" s="1"/>
      <c r="ABB2" s="1"/>
      <c r="ABC2" s="1"/>
      <c r="ABD2" s="1"/>
      <c r="ABE2" s="1"/>
      <c r="ABF2" s="1"/>
      <c r="ABG2" s="1"/>
      <c r="ABH2" s="1"/>
      <c r="ABI2" s="1"/>
      <c r="ABJ2" s="1"/>
      <c r="ABK2" s="1"/>
      <c r="ABL2" s="1"/>
      <c r="ABM2" s="1"/>
      <c r="ABN2" s="1"/>
      <c r="ABO2" s="1"/>
      <c r="ABP2" s="1"/>
      <c r="ABQ2" s="1"/>
      <c r="ABR2" s="1"/>
      <c r="ABS2" s="1"/>
      <c r="ABT2" s="1"/>
      <c r="ABU2" s="1"/>
      <c r="ABV2" s="1"/>
      <c r="ABW2" s="1"/>
      <c r="ABX2" s="1"/>
      <c r="ABY2" s="1"/>
      <c r="ABZ2" s="1"/>
      <c r="ACA2" s="1"/>
      <c r="ACB2" s="1"/>
      <c r="ACC2" s="1"/>
      <c r="ACD2" s="1"/>
      <c r="ACE2" s="1"/>
      <c r="ACF2" s="1"/>
      <c r="ACG2" s="1"/>
      <c r="ACH2" s="1"/>
      <c r="ACI2" s="1"/>
      <c r="ACJ2" s="1"/>
      <c r="ACK2" s="1"/>
      <c r="ACL2" s="1"/>
      <c r="ACM2" s="1"/>
      <c r="ACN2" s="1"/>
      <c r="ACO2" s="1"/>
      <c r="ACP2" s="1"/>
      <c r="ACQ2" s="1"/>
      <c r="ACR2" s="1"/>
      <c r="ACS2" s="1"/>
      <c r="ACT2" s="1"/>
      <c r="ACU2" s="1"/>
      <c r="ACV2" s="1"/>
      <c r="ACW2" s="1"/>
      <c r="ACX2" s="1"/>
      <c r="ACY2" s="1"/>
      <c r="ACZ2" s="1"/>
      <c r="ADA2" s="1"/>
      <c r="ADB2" s="1"/>
      <c r="ADC2" s="1"/>
      <c r="ADD2" s="1"/>
      <c r="ADE2" s="1"/>
      <c r="ADF2" s="1"/>
      <c r="ADG2" s="1"/>
      <c r="ADH2" s="1"/>
      <c r="ADI2" s="1"/>
      <c r="ADJ2" s="1"/>
      <c r="ADK2" s="1"/>
      <c r="ADL2" s="1"/>
      <c r="ADM2" s="1"/>
      <c r="ADN2" s="1"/>
      <c r="ADO2" s="1"/>
      <c r="ADP2" s="1"/>
      <c r="ADQ2" s="1"/>
      <c r="ADR2" s="1"/>
      <c r="ADS2" s="1"/>
      <c r="ADT2" s="1"/>
      <c r="ADU2" s="1"/>
      <c r="ADV2" s="1"/>
      <c r="ADW2" s="1"/>
      <c r="ADX2" s="1"/>
      <c r="ADY2" s="1"/>
      <c r="ADZ2" s="1"/>
      <c r="AEA2" s="1"/>
      <c r="AEB2" s="1"/>
      <c r="AEC2" s="1"/>
      <c r="AED2" s="1"/>
      <c r="AEE2" s="1"/>
      <c r="AEF2" s="1"/>
      <c r="AEG2" s="1"/>
      <c r="AEH2" s="1"/>
      <c r="AEI2" s="1"/>
      <c r="AEJ2" s="1"/>
      <c r="AEK2" s="1"/>
      <c r="AEL2" s="1"/>
      <c r="AEM2" s="1"/>
      <c r="AEN2" s="1"/>
      <c r="AEO2" s="1"/>
      <c r="AEP2" s="1"/>
      <c r="AEQ2" s="1"/>
      <c r="AER2" s="1"/>
      <c r="AES2" s="1"/>
      <c r="AET2" s="1"/>
      <c r="AEU2" s="1"/>
      <c r="AEV2" s="1"/>
      <c r="AEW2" s="1"/>
      <c r="AEX2" s="1"/>
      <c r="AEY2" s="1"/>
      <c r="AEZ2" s="1"/>
      <c r="AFA2" s="1"/>
      <c r="AFB2" s="1"/>
      <c r="AFC2" s="1"/>
      <c r="AFD2" s="1"/>
      <c r="AFE2" s="1"/>
      <c r="AFF2" s="1"/>
      <c r="AFG2" s="1"/>
      <c r="AFH2" s="1"/>
      <c r="AFI2" s="1"/>
      <c r="AFJ2" s="1"/>
      <c r="AFK2" s="1"/>
      <c r="AFL2" s="1"/>
      <c r="AFM2" s="1"/>
      <c r="AFN2" s="1"/>
      <c r="AFO2" s="1"/>
      <c r="AFP2" s="1"/>
      <c r="AFQ2" s="1"/>
      <c r="AFR2" s="1"/>
      <c r="AFS2" s="1"/>
      <c r="AFT2" s="1"/>
      <c r="AFU2" s="1"/>
      <c r="AFV2" s="1"/>
      <c r="AFW2" s="1"/>
      <c r="AFX2" s="1"/>
      <c r="AFY2" s="1"/>
      <c r="AFZ2" s="1"/>
      <c r="AGA2" s="1"/>
      <c r="AGB2" s="1"/>
      <c r="AGC2" s="1"/>
      <c r="AGD2" s="1"/>
      <c r="AGE2" s="1"/>
      <c r="AGF2" s="1"/>
      <c r="AGG2" s="1"/>
      <c r="AGH2" s="1"/>
      <c r="AGI2" s="1"/>
      <c r="AGJ2" s="1"/>
      <c r="AGK2" s="1"/>
      <c r="AGL2" s="1"/>
      <c r="AGM2" s="1"/>
      <c r="AGN2" s="1"/>
      <c r="AGO2" s="1"/>
      <c r="AGP2" s="1"/>
      <c r="AGQ2" s="1"/>
      <c r="AGR2" s="1"/>
      <c r="AGS2" s="1"/>
      <c r="AGT2" s="1"/>
      <c r="AGU2" s="1"/>
      <c r="AGV2" s="1"/>
      <c r="AGW2" s="1"/>
      <c r="AGX2" s="1"/>
      <c r="AGY2" s="1"/>
      <c r="AGZ2" s="1"/>
      <c r="AHA2" s="1"/>
      <c r="AHB2" s="1"/>
      <c r="AHC2" s="1"/>
      <c r="AHD2" s="1"/>
      <c r="AHE2" s="1"/>
      <c r="AHF2" s="1"/>
      <c r="AHG2" s="1"/>
      <c r="AHH2" s="1"/>
      <c r="AHI2" s="1"/>
      <c r="AHJ2" s="1"/>
      <c r="AHK2" s="1"/>
      <c r="AHL2" s="1"/>
      <c r="AHM2" s="1"/>
      <c r="AHN2" s="1"/>
      <c r="AHO2" s="1"/>
      <c r="AHP2" s="1"/>
      <c r="AHQ2" s="1"/>
      <c r="AHR2" s="1"/>
      <c r="AHS2" s="1"/>
      <c r="AHT2" s="1"/>
      <c r="AHU2" s="1"/>
      <c r="AHV2" s="1"/>
      <c r="AHW2" s="1"/>
      <c r="AHX2" s="1"/>
      <c r="AHY2" s="1"/>
      <c r="AHZ2" s="1"/>
      <c r="AIA2" s="1"/>
      <c r="AIB2" s="1"/>
      <c r="AIC2" s="1"/>
      <c r="AID2" s="1"/>
      <c r="AIE2" s="1"/>
      <c r="AIF2" s="1"/>
      <c r="AIG2" s="1"/>
      <c r="AIH2" s="1"/>
      <c r="AII2" s="1"/>
      <c r="AIJ2" s="1"/>
      <c r="AIK2" s="1"/>
      <c r="AIL2" s="1"/>
      <c r="AIM2" s="1"/>
      <c r="AIN2" s="1"/>
      <c r="AIO2" s="1"/>
      <c r="AIP2" s="1"/>
      <c r="AIQ2" s="1"/>
      <c r="AIR2" s="1"/>
      <c r="AIS2" s="1"/>
      <c r="AIT2" s="1"/>
      <c r="AIU2" s="1"/>
      <c r="AIV2" s="1"/>
      <c r="AIW2" s="1"/>
      <c r="AIX2" s="1"/>
      <c r="AIY2" s="1"/>
      <c r="AIZ2" s="1"/>
      <c r="AJA2" s="1"/>
      <c r="AJB2" s="1"/>
      <c r="AJC2" s="1"/>
      <c r="AJD2" s="1"/>
      <c r="AJE2" s="1"/>
      <c r="AJF2" s="1"/>
      <c r="AJG2" s="1"/>
      <c r="AJH2" s="1"/>
      <c r="AJI2" s="1"/>
      <c r="AJJ2" s="1"/>
      <c r="AJK2" s="1"/>
      <c r="AJL2" s="1"/>
      <c r="AJM2" s="1"/>
      <c r="AJN2" s="1"/>
      <c r="AJO2" s="1"/>
      <c r="AJP2" s="1"/>
      <c r="AJQ2" s="1"/>
      <c r="AJR2" s="1"/>
      <c r="AJS2" s="1"/>
      <c r="AJT2" s="1"/>
      <c r="AJU2" s="1"/>
      <c r="AJV2" s="1"/>
      <c r="AJW2" s="1"/>
      <c r="AJX2" s="1"/>
      <c r="AJY2" s="1"/>
      <c r="AJZ2" s="1"/>
      <c r="AKA2" s="1"/>
      <c r="AKB2" s="1"/>
      <c r="AKC2" s="1"/>
      <c r="AKD2" s="1"/>
      <c r="AKE2" s="1"/>
      <c r="AKF2" s="1"/>
      <c r="AKG2" s="1"/>
      <c r="AKH2" s="1"/>
      <c r="AKI2" s="1"/>
      <c r="AKJ2" s="1"/>
      <c r="AKK2" s="1"/>
      <c r="AKL2" s="1"/>
      <c r="AKM2" s="1"/>
      <c r="AKN2" s="1"/>
      <c r="AKO2" s="1"/>
      <c r="AKP2" s="1"/>
      <c r="AKQ2" s="1"/>
      <c r="AKR2" s="1"/>
      <c r="AKS2" s="1"/>
      <c r="AKT2" s="1"/>
      <c r="AKU2" s="1"/>
      <c r="AKV2" s="1"/>
      <c r="AKW2" s="1"/>
      <c r="AKX2" s="1"/>
      <c r="AKY2" s="1"/>
      <c r="AKZ2" s="1"/>
      <c r="ALA2" s="1"/>
      <c r="ALB2" s="1"/>
      <c r="ALC2" s="1"/>
      <c r="ALD2" s="1"/>
      <c r="ALE2" s="1"/>
      <c r="ALF2" s="1"/>
      <c r="ALG2" s="1"/>
      <c r="ALH2" s="1"/>
      <c r="ALI2" s="1"/>
      <c r="ALJ2" s="1"/>
      <c r="ALK2" s="1"/>
      <c r="ALL2" s="1"/>
      <c r="ALM2" s="1"/>
      <c r="ALN2" s="1"/>
      <c r="ALO2" s="1"/>
      <c r="ALP2" s="1"/>
      <c r="ALQ2" s="1"/>
      <c r="ALR2" s="1"/>
      <c r="ALS2" s="1"/>
      <c r="ALT2" s="1"/>
      <c r="ALU2" s="1"/>
      <c r="ALV2" s="1"/>
      <c r="ALW2" s="1"/>
      <c r="ALX2" s="1"/>
      <c r="ALY2" s="1"/>
      <c r="ALZ2" s="1"/>
      <c r="AMA2" s="1"/>
      <c r="AMB2" s="1"/>
      <c r="AMC2" s="1"/>
      <c r="AMD2" s="1"/>
      <c r="AME2" s="1"/>
      <c r="AMF2" s="1"/>
      <c r="AMG2" s="1"/>
      <c r="AMH2" s="1"/>
      <c r="AMI2" s="1"/>
      <c r="AMJ2" s="1"/>
      <c r="AMK2" s="1"/>
      <c r="AML2" s="1"/>
      <c r="AMM2" s="1"/>
      <c r="AMN2" s="1"/>
    </row>
    <row r="3" spans="1:1028" x14ac:dyDescent="0.2">
      <c r="A3" s="3" t="str">
        <f t="shared" si="0"/>
        <v>5ht1b_human_4IAQ</v>
      </c>
      <c r="B3" s="3" t="s">
        <v>34</v>
      </c>
      <c r="C3" s="3" t="s">
        <v>1043</v>
      </c>
      <c r="D3" s="3" t="str">
        <f>IFERROR(MID(VLOOKUP($B3,Seqs!$A:$B,2,0),E3,1),"")</f>
        <v>L</v>
      </c>
      <c r="E3" s="3">
        <v>46</v>
      </c>
      <c r="F3" s="3" t="str">
        <f>IFERROR(MID(VLOOKUP($B3,Seqs!$A:$B,2,0),G3,1),"")</f>
        <v>T</v>
      </c>
      <c r="G3" s="3">
        <v>77</v>
      </c>
      <c r="H3" s="3" t="str">
        <f>IFERROR(MID(VLOOKUP($B3,Seqs!$A:$B,2,0),I3,1),"")</f>
        <v>R</v>
      </c>
      <c r="I3" s="23">
        <v>78</v>
      </c>
      <c r="J3" s="3" t="str">
        <f>IFERROR(MID(VLOOKUP($B3,Seqs!$A:$B,2,0),K3,1),"")</f>
        <v>H</v>
      </c>
      <c r="K3" s="23">
        <v>81</v>
      </c>
      <c r="L3" s="3" t="str">
        <f>IFERROR(MID(VLOOKUP($B3,Seqs!$A:$B,2,0),M3,1),"")</f>
        <v>T</v>
      </c>
      <c r="M3" s="3">
        <v>82</v>
      </c>
      <c r="N3" s="3" t="str">
        <f>IFERROR(MID(VLOOKUP($B3,Seqs!$A:$B,2,0),O3,1),"")</f>
        <v>T</v>
      </c>
      <c r="O3" s="3">
        <v>112</v>
      </c>
      <c r="P3" s="3" t="str">
        <f>IFERROR(MID(VLOOKUP($B3,Seqs!$A:$B,2,0),Q3,1),"")</f>
        <v>R</v>
      </c>
      <c r="Q3" s="3">
        <v>114</v>
      </c>
      <c r="R3" s="3" t="str">
        <f>IFERROR(MID(VLOOKUP($B3,Seqs!$A:$B,2,0),S3,1),"")</f>
        <v>L</v>
      </c>
      <c r="S3" s="3">
        <v>117</v>
      </c>
      <c r="T3" s="3" t="str">
        <f>IFERROR(MID(VLOOKUP($B3,Seqs!$A:$B,2,0),U3,1),"")</f>
        <v>G</v>
      </c>
      <c r="U3" s="3">
        <v>118</v>
      </c>
      <c r="V3" s="3" t="str">
        <f>IFERROR(MID(VLOOKUP($B3,Seqs!$A:$B,2,0),W3,1),"")</f>
        <v>D</v>
      </c>
      <c r="W3" s="3">
        <v>153</v>
      </c>
      <c r="X3" s="3" t="str">
        <f>IFERROR(MID(VLOOKUP($B3,Seqs!$A:$B,2,0),Y3,1),"")</f>
        <v>A</v>
      </c>
      <c r="Y3" s="3">
        <v>154</v>
      </c>
      <c r="Z3" s="3" t="str">
        <f>IFERROR(MID(VLOOKUP($B3,Seqs!$A:$B,2,0),AA3,1),"")</f>
        <v>R</v>
      </c>
      <c r="AA3" s="3">
        <v>161</v>
      </c>
      <c r="AB3" s="3" t="str">
        <f>IFERROR(MID(VLOOKUP($B3,Seqs!$A:$B,2,0),AC3,1),"")</f>
        <v>T</v>
      </c>
      <c r="AC3" s="9">
        <v>162</v>
      </c>
      <c r="AD3" s="3" t="str">
        <f>IFERROR(MID(VLOOKUP($B3,Seqs!$A:$B,2,0),AE3,1),"")</f>
        <v>P</v>
      </c>
      <c r="AE3" s="3">
        <v>184</v>
      </c>
      <c r="AF3" s="3" t="str">
        <f>IFERROR(MID(VLOOKUP($B3,Seqs!$A:$B,2,0),AG3,1),"")</f>
        <v>C</v>
      </c>
      <c r="AG3" s="3">
        <v>199</v>
      </c>
      <c r="AH3" s="3" t="str">
        <f>IFERROR(MID(VLOOKUP($B3,Seqs!$A:$B,2,0),AI3,1),"")</f>
        <v>V</v>
      </c>
      <c r="AI3" s="3">
        <v>201</v>
      </c>
      <c r="AJ3" s="3" t="str">
        <f>IFERROR(MID(VLOOKUP($B3,Seqs!$A:$B,2,0),AK3,1),"")</f>
        <v>H</v>
      </c>
      <c r="AK3" s="3">
        <v>205</v>
      </c>
      <c r="AL3" s="3" t="str">
        <f>IFERROR(MID(VLOOKUP($B3,Seqs!$A:$B,2,0),AM3,1),"")</f>
        <v>R</v>
      </c>
      <c r="AM3" s="3">
        <v>238</v>
      </c>
      <c r="AN3" s="3" t="str">
        <f>IFERROR(MID(VLOOKUP($B3,Seqs!$A:$B,2,0),AO3,1),"")</f>
        <v>L</v>
      </c>
      <c r="AO3" s="3">
        <v>304</v>
      </c>
      <c r="AP3" s="3" t="str">
        <f>IFERROR(MID(VLOOKUP($B3,Seqs!$A:$B,2,0),AQ3,1),"")</f>
        <v>I</v>
      </c>
      <c r="AQ3" s="3">
        <v>339</v>
      </c>
      <c r="AR3" s="3" t="str">
        <f>IFERROR(MID(VLOOKUP($B3,Seqs!$A:$B,2,0),AS3,1),"")</f>
        <v>L</v>
      </c>
      <c r="AS3" s="3">
        <v>348</v>
      </c>
      <c r="AT3" s="3" t="str">
        <f>IFERROR(MID(VLOOKUP($B3,Seqs!$A:$B,2,0),AU3,1),"")</f>
        <v>S</v>
      </c>
      <c r="AU3" s="3">
        <v>372</v>
      </c>
      <c r="AV3" s="3" t="str">
        <f>IFERROR(MID(VLOOKUP($B3,Seqs!$A:$B,2,0),AW3,1),"")</f>
        <v>N</v>
      </c>
      <c r="AW3" s="3">
        <v>373</v>
      </c>
      <c r="AX3" s="3" t="str">
        <f>IFERROR(MID(VLOOKUP($B3,Seqs!$A:$B,2,0),AY3,1),"")</f>
        <v>I</v>
      </c>
      <c r="AY3" s="3">
        <v>384</v>
      </c>
      <c r="AZ3" s="79" t="str">
        <f>VLOOKUP(B3,Classification!A:D,2,0)</f>
        <v>A</v>
      </c>
      <c r="BA3" s="97" t="str">
        <f>VLOOKUP(B3,Classification!A:D,4,0)</f>
        <v>5-Hydroxytryptamine</v>
      </c>
      <c r="BB3" s="27" t="b">
        <f t="shared" si="1"/>
        <v>1</v>
      </c>
      <c r="BC3" s="23">
        <f t="shared" si="2"/>
        <v>248</v>
      </c>
      <c r="BD3" s="16" t="s">
        <v>1383</v>
      </c>
      <c r="BE3" s="3" t="s">
        <v>1381</v>
      </c>
      <c r="BF3" s="50" t="s">
        <v>1384</v>
      </c>
      <c r="BG3" s="50" t="s">
        <v>1384</v>
      </c>
      <c r="BH3" s="1"/>
      <c r="BI3" s="72" t="s">
        <v>1293</v>
      </c>
      <c r="BJ3" s="58" t="s">
        <v>1293</v>
      </c>
      <c r="BK3" s="58" t="s">
        <v>1293</v>
      </c>
      <c r="BL3" s="58" t="s">
        <v>1293</v>
      </c>
      <c r="BM3" s="58" t="s">
        <v>1293</v>
      </c>
      <c r="BN3" s="58" t="s">
        <v>1293</v>
      </c>
      <c r="BO3" s="58" t="s">
        <v>1293</v>
      </c>
      <c r="BP3" s="58" t="s">
        <v>1293</v>
      </c>
      <c r="BQ3" s="58" t="s">
        <v>1293</v>
      </c>
      <c r="BR3" s="58" t="s">
        <v>1293</v>
      </c>
      <c r="BS3" s="58" t="s">
        <v>1293</v>
      </c>
      <c r="BT3" s="58" t="s">
        <v>1293</v>
      </c>
      <c r="BU3" s="72">
        <f t="shared" si="3"/>
        <v>46</v>
      </c>
      <c r="BV3" s="73">
        <f t="shared" si="4"/>
        <v>78</v>
      </c>
      <c r="BW3" s="74">
        <f t="shared" si="5"/>
        <v>82</v>
      </c>
      <c r="BX3" s="73">
        <f t="shared" si="6"/>
        <v>114</v>
      </c>
      <c r="BY3" s="74">
        <f t="shared" si="7"/>
        <v>118</v>
      </c>
      <c r="BZ3" s="73">
        <f t="shared" si="8"/>
        <v>154</v>
      </c>
      <c r="CA3" s="74">
        <f t="shared" si="9"/>
        <v>162</v>
      </c>
      <c r="CB3" s="73">
        <f t="shared" si="10"/>
        <v>199</v>
      </c>
      <c r="CC3" s="74">
        <f t="shared" si="11"/>
        <v>205</v>
      </c>
      <c r="CD3" s="73">
        <f t="shared" si="12"/>
        <v>304</v>
      </c>
      <c r="CE3" s="74">
        <f t="shared" si="13"/>
        <v>348</v>
      </c>
      <c r="CF3" s="73">
        <f t="shared" si="14"/>
        <v>373</v>
      </c>
      <c r="CG3" s="72">
        <f t="shared" si="15"/>
        <v>77</v>
      </c>
      <c r="CH3" s="73">
        <f t="shared" si="16"/>
        <v>81</v>
      </c>
      <c r="CI3" s="74">
        <f t="shared" si="17"/>
        <v>112</v>
      </c>
      <c r="CJ3" s="74">
        <f t="shared" si="18"/>
        <v>117</v>
      </c>
      <c r="CK3" s="74">
        <f t="shared" si="19"/>
        <v>153</v>
      </c>
      <c r="CL3" s="74">
        <f t="shared" si="20"/>
        <v>161</v>
      </c>
      <c r="CM3" s="74">
        <f t="shared" si="21"/>
        <v>184</v>
      </c>
      <c r="CN3" s="74">
        <f t="shared" si="22"/>
        <v>201</v>
      </c>
      <c r="CO3" s="74">
        <f t="shared" si="23"/>
        <v>238</v>
      </c>
      <c r="CP3" s="74">
        <f t="shared" si="24"/>
        <v>339</v>
      </c>
      <c r="CQ3" s="74">
        <f t="shared" si="25"/>
        <v>372</v>
      </c>
      <c r="CR3" s="74">
        <f t="shared" si="26"/>
        <v>384</v>
      </c>
      <c r="CS3" s="23">
        <f t="shared" si="27"/>
        <v>1</v>
      </c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U3" s="1"/>
      <c r="OV3" s="1"/>
      <c r="OW3" s="1"/>
      <c r="OX3" s="1"/>
      <c r="OY3" s="1"/>
      <c r="OZ3" s="1"/>
      <c r="PA3" s="1"/>
      <c r="PB3" s="1"/>
      <c r="PC3" s="1"/>
      <c r="PD3" s="1"/>
      <c r="PE3" s="1"/>
      <c r="PF3" s="1"/>
      <c r="PG3" s="1"/>
      <c r="PH3" s="1"/>
      <c r="PI3" s="1"/>
      <c r="PJ3" s="1"/>
      <c r="PK3" s="1"/>
      <c r="PL3" s="1"/>
      <c r="PM3" s="1"/>
      <c r="PN3" s="1"/>
      <c r="PO3" s="1"/>
      <c r="PP3" s="1"/>
      <c r="PQ3" s="1"/>
      <c r="PR3" s="1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/>
      <c r="QI3" s="1"/>
      <c r="QJ3" s="1"/>
      <c r="QK3" s="1"/>
      <c r="QL3" s="1"/>
      <c r="QM3" s="1"/>
      <c r="QN3" s="1"/>
      <c r="QO3" s="1"/>
      <c r="QP3" s="1"/>
      <c r="QQ3" s="1"/>
      <c r="QR3" s="1"/>
      <c r="QS3" s="1"/>
      <c r="QT3" s="1"/>
      <c r="QU3" s="1"/>
      <c r="QV3" s="1"/>
      <c r="QW3" s="1"/>
      <c r="QX3" s="1"/>
      <c r="QY3" s="1"/>
      <c r="QZ3" s="1"/>
      <c r="RA3" s="1"/>
      <c r="RB3" s="1"/>
      <c r="RC3" s="1"/>
      <c r="RD3" s="1"/>
      <c r="RE3" s="1"/>
      <c r="RF3" s="1"/>
      <c r="RG3" s="1"/>
      <c r="RH3" s="1"/>
      <c r="RI3" s="1"/>
      <c r="RJ3" s="1"/>
      <c r="RK3" s="1"/>
      <c r="RL3" s="1"/>
      <c r="RM3" s="1"/>
      <c r="RN3" s="1"/>
      <c r="RO3" s="1"/>
      <c r="RP3" s="1"/>
      <c r="RQ3" s="1"/>
      <c r="RR3" s="1"/>
      <c r="RS3" s="1"/>
      <c r="RT3" s="1"/>
      <c r="RU3" s="1"/>
      <c r="RV3" s="1"/>
      <c r="RW3" s="1"/>
      <c r="RX3" s="1"/>
      <c r="RY3" s="1"/>
      <c r="RZ3" s="1"/>
      <c r="SA3" s="1"/>
      <c r="SB3" s="1"/>
      <c r="SC3" s="1"/>
      <c r="SD3" s="1"/>
      <c r="SE3" s="1"/>
      <c r="SF3" s="1"/>
      <c r="SG3" s="1"/>
      <c r="SH3" s="1"/>
      <c r="SI3" s="1"/>
      <c r="SJ3" s="1"/>
      <c r="SK3" s="1"/>
      <c r="SL3" s="1"/>
      <c r="SM3" s="1"/>
      <c r="SN3" s="1"/>
      <c r="SO3" s="1"/>
      <c r="SP3" s="1"/>
      <c r="SQ3" s="1"/>
      <c r="SR3" s="1"/>
      <c r="SS3" s="1"/>
      <c r="ST3" s="1"/>
      <c r="SU3" s="1"/>
      <c r="SV3" s="1"/>
      <c r="SW3" s="1"/>
      <c r="SX3" s="1"/>
      <c r="SY3" s="1"/>
      <c r="SZ3" s="1"/>
      <c r="TA3" s="1"/>
      <c r="TB3" s="1"/>
      <c r="TC3" s="1"/>
      <c r="TD3" s="1"/>
      <c r="TE3" s="1"/>
      <c r="TF3" s="1"/>
      <c r="TG3" s="1"/>
      <c r="TH3" s="1"/>
      <c r="TI3" s="1"/>
      <c r="TJ3" s="1"/>
      <c r="TK3" s="1"/>
      <c r="TL3" s="1"/>
      <c r="TM3" s="1"/>
      <c r="TN3" s="1"/>
      <c r="TO3" s="1"/>
      <c r="TP3" s="1"/>
      <c r="TQ3" s="1"/>
      <c r="TR3" s="1"/>
      <c r="TS3" s="1"/>
      <c r="TT3" s="1"/>
      <c r="TU3" s="1"/>
      <c r="TV3" s="1"/>
      <c r="TW3" s="1"/>
      <c r="TX3" s="1"/>
      <c r="TY3" s="1"/>
      <c r="TZ3" s="1"/>
      <c r="UA3" s="1"/>
      <c r="UB3" s="1"/>
      <c r="UC3" s="1"/>
      <c r="UD3" s="1"/>
      <c r="UE3" s="1"/>
      <c r="UF3" s="1"/>
      <c r="UG3" s="1"/>
      <c r="UH3" s="1"/>
      <c r="UI3" s="1"/>
      <c r="UJ3" s="1"/>
      <c r="UK3" s="1"/>
      <c r="UL3" s="1"/>
      <c r="UM3" s="1"/>
      <c r="UN3" s="1"/>
      <c r="UO3" s="1"/>
      <c r="UP3" s="1"/>
      <c r="UQ3" s="1"/>
      <c r="UR3" s="1"/>
      <c r="US3" s="1"/>
      <c r="UT3" s="1"/>
      <c r="UU3" s="1"/>
      <c r="UV3" s="1"/>
      <c r="UW3" s="1"/>
      <c r="UX3" s="1"/>
      <c r="UY3" s="1"/>
      <c r="UZ3" s="1"/>
      <c r="VA3" s="1"/>
      <c r="VB3" s="1"/>
      <c r="VC3" s="1"/>
      <c r="VD3" s="1"/>
      <c r="VE3" s="1"/>
      <c r="VF3" s="1"/>
      <c r="VG3" s="1"/>
      <c r="VH3" s="1"/>
      <c r="VI3" s="1"/>
      <c r="VJ3" s="1"/>
      <c r="VK3" s="1"/>
      <c r="VL3" s="1"/>
      <c r="VM3" s="1"/>
      <c r="VN3" s="1"/>
      <c r="VO3" s="1"/>
      <c r="VP3" s="1"/>
      <c r="VQ3" s="1"/>
      <c r="VR3" s="1"/>
      <c r="VS3" s="1"/>
      <c r="VT3" s="1"/>
      <c r="VU3" s="1"/>
      <c r="VV3" s="1"/>
      <c r="VW3" s="1"/>
      <c r="VX3" s="1"/>
      <c r="VY3" s="1"/>
      <c r="VZ3" s="1"/>
      <c r="WA3" s="1"/>
      <c r="WB3" s="1"/>
      <c r="WC3" s="1"/>
      <c r="WD3" s="1"/>
      <c r="WE3" s="1"/>
      <c r="WF3" s="1"/>
      <c r="WG3" s="1"/>
      <c r="WH3" s="1"/>
      <c r="WI3" s="1"/>
      <c r="WJ3" s="1"/>
      <c r="WK3" s="1"/>
      <c r="WL3" s="1"/>
      <c r="WM3" s="1"/>
      <c r="WN3" s="1"/>
      <c r="WO3" s="1"/>
      <c r="WP3" s="1"/>
      <c r="WQ3" s="1"/>
      <c r="WR3" s="1"/>
      <c r="WS3" s="1"/>
      <c r="WT3" s="1"/>
      <c r="WU3" s="1"/>
      <c r="WV3" s="1"/>
      <c r="WW3" s="1"/>
      <c r="WX3" s="1"/>
      <c r="WY3" s="1"/>
      <c r="WZ3" s="1"/>
      <c r="XA3" s="1"/>
      <c r="XB3" s="1"/>
      <c r="XC3" s="1"/>
      <c r="XD3" s="1"/>
      <c r="XE3" s="1"/>
      <c r="XF3" s="1"/>
      <c r="XG3" s="1"/>
      <c r="XH3" s="1"/>
      <c r="XI3" s="1"/>
      <c r="XJ3" s="1"/>
      <c r="XK3" s="1"/>
      <c r="XL3" s="1"/>
      <c r="XM3" s="1"/>
      <c r="XN3" s="1"/>
      <c r="XO3" s="1"/>
      <c r="XP3" s="1"/>
      <c r="XQ3" s="1"/>
      <c r="XR3" s="1"/>
      <c r="XS3" s="1"/>
      <c r="XT3" s="1"/>
      <c r="XU3" s="1"/>
      <c r="XV3" s="1"/>
      <c r="XW3" s="1"/>
      <c r="XX3" s="1"/>
      <c r="XY3" s="1"/>
      <c r="XZ3" s="1"/>
      <c r="YA3" s="1"/>
      <c r="YB3" s="1"/>
      <c r="YC3" s="1"/>
      <c r="YD3" s="1"/>
      <c r="YE3" s="1"/>
      <c r="YF3" s="1"/>
      <c r="YG3" s="1"/>
      <c r="YH3" s="1"/>
      <c r="YI3" s="1"/>
      <c r="YJ3" s="1"/>
      <c r="YK3" s="1"/>
      <c r="YL3" s="1"/>
      <c r="YM3" s="1"/>
      <c r="YN3" s="1"/>
      <c r="YO3" s="1"/>
      <c r="YP3" s="1"/>
      <c r="YQ3" s="1"/>
      <c r="YR3" s="1"/>
      <c r="YS3" s="1"/>
      <c r="YT3" s="1"/>
      <c r="YU3" s="1"/>
      <c r="YV3" s="1"/>
      <c r="YW3" s="1"/>
      <c r="YX3" s="1"/>
      <c r="YY3" s="1"/>
      <c r="YZ3" s="1"/>
      <c r="ZA3" s="1"/>
      <c r="ZB3" s="1"/>
      <c r="ZC3" s="1"/>
      <c r="ZD3" s="1"/>
      <c r="ZE3" s="1"/>
      <c r="ZF3" s="1"/>
      <c r="ZG3" s="1"/>
      <c r="ZH3" s="1"/>
      <c r="ZI3" s="1"/>
      <c r="ZJ3" s="1"/>
      <c r="ZK3" s="1"/>
      <c r="ZL3" s="1"/>
      <c r="ZM3" s="1"/>
      <c r="ZN3" s="1"/>
      <c r="ZO3" s="1"/>
      <c r="ZP3" s="1"/>
      <c r="ZQ3" s="1"/>
      <c r="ZR3" s="1"/>
      <c r="ZS3" s="1"/>
      <c r="ZT3" s="1"/>
      <c r="ZU3" s="1"/>
      <c r="ZV3" s="1"/>
      <c r="ZW3" s="1"/>
      <c r="ZX3" s="1"/>
      <c r="ZY3" s="1"/>
      <c r="ZZ3" s="1"/>
      <c r="AAA3" s="1"/>
      <c r="AAB3" s="1"/>
      <c r="AAC3" s="1"/>
      <c r="AAD3" s="1"/>
      <c r="AAE3" s="1"/>
      <c r="AAF3" s="1"/>
      <c r="AAG3" s="1"/>
      <c r="AAH3" s="1"/>
      <c r="AAI3" s="1"/>
      <c r="AAJ3" s="1"/>
      <c r="AAK3" s="1"/>
      <c r="AAL3" s="1"/>
      <c r="AAM3" s="1"/>
      <c r="AAN3" s="1"/>
      <c r="AAO3" s="1"/>
      <c r="AAP3" s="1"/>
      <c r="AAQ3" s="1"/>
      <c r="AAR3" s="1"/>
      <c r="AAS3" s="1"/>
      <c r="AAT3" s="1"/>
      <c r="AAU3" s="1"/>
      <c r="AAV3" s="1"/>
      <c r="AAW3" s="1"/>
      <c r="AAX3" s="1"/>
      <c r="AAY3" s="1"/>
      <c r="AAZ3" s="1"/>
      <c r="ABA3" s="1"/>
      <c r="ABB3" s="1"/>
      <c r="ABC3" s="1"/>
      <c r="ABD3" s="1"/>
      <c r="ABE3" s="1"/>
      <c r="ABF3" s="1"/>
      <c r="ABG3" s="1"/>
      <c r="ABH3" s="1"/>
      <c r="ABI3" s="1"/>
      <c r="ABJ3" s="1"/>
      <c r="ABK3" s="1"/>
      <c r="ABL3" s="1"/>
      <c r="ABM3" s="1"/>
      <c r="ABN3" s="1"/>
      <c r="ABO3" s="1"/>
      <c r="ABP3" s="1"/>
      <c r="ABQ3" s="1"/>
      <c r="ABR3" s="1"/>
      <c r="ABS3" s="1"/>
      <c r="ABT3" s="1"/>
      <c r="ABU3" s="1"/>
      <c r="ABV3" s="1"/>
      <c r="ABW3" s="1"/>
      <c r="ABX3" s="1"/>
      <c r="ABY3" s="1"/>
      <c r="ABZ3" s="1"/>
      <c r="ACA3" s="1"/>
      <c r="ACB3" s="1"/>
      <c r="ACC3" s="1"/>
      <c r="ACD3" s="1"/>
      <c r="ACE3" s="1"/>
      <c r="ACF3" s="1"/>
      <c r="ACG3" s="1"/>
      <c r="ACH3" s="1"/>
      <c r="ACI3" s="1"/>
      <c r="ACJ3" s="1"/>
      <c r="ACK3" s="1"/>
      <c r="ACL3" s="1"/>
      <c r="ACM3" s="1"/>
      <c r="ACN3" s="1"/>
      <c r="ACO3" s="1"/>
      <c r="ACP3" s="1"/>
      <c r="ACQ3" s="1"/>
      <c r="ACR3" s="1"/>
      <c r="ACS3" s="1"/>
      <c r="ACT3" s="1"/>
      <c r="ACU3" s="1"/>
      <c r="ACV3" s="1"/>
      <c r="ACW3" s="1"/>
      <c r="ACX3" s="1"/>
      <c r="ACY3" s="1"/>
      <c r="ACZ3" s="1"/>
      <c r="ADA3" s="1"/>
      <c r="ADB3" s="1"/>
      <c r="ADC3" s="1"/>
      <c r="ADD3" s="1"/>
      <c r="ADE3" s="1"/>
      <c r="ADF3" s="1"/>
      <c r="ADG3" s="1"/>
      <c r="ADH3" s="1"/>
      <c r="ADI3" s="1"/>
      <c r="ADJ3" s="1"/>
      <c r="ADK3" s="1"/>
      <c r="ADL3" s="1"/>
      <c r="ADM3" s="1"/>
      <c r="ADN3" s="1"/>
      <c r="ADO3" s="1"/>
      <c r="ADP3" s="1"/>
      <c r="ADQ3" s="1"/>
      <c r="ADR3" s="1"/>
      <c r="ADS3" s="1"/>
      <c r="ADT3" s="1"/>
      <c r="ADU3" s="1"/>
      <c r="ADV3" s="1"/>
      <c r="ADW3" s="1"/>
      <c r="ADX3" s="1"/>
      <c r="ADY3" s="1"/>
      <c r="ADZ3" s="1"/>
      <c r="AEA3" s="1"/>
      <c r="AEB3" s="1"/>
      <c r="AEC3" s="1"/>
      <c r="AED3" s="1"/>
      <c r="AEE3" s="1"/>
      <c r="AEF3" s="1"/>
      <c r="AEG3" s="1"/>
      <c r="AEH3" s="1"/>
      <c r="AEI3" s="1"/>
      <c r="AEJ3" s="1"/>
      <c r="AEK3" s="1"/>
      <c r="AEL3" s="1"/>
      <c r="AEM3" s="1"/>
      <c r="AEN3" s="1"/>
      <c r="AEO3" s="1"/>
      <c r="AEP3" s="1"/>
      <c r="AEQ3" s="1"/>
      <c r="AER3" s="1"/>
      <c r="AES3" s="1"/>
      <c r="AET3" s="1"/>
      <c r="AEU3" s="1"/>
      <c r="AEV3" s="1"/>
      <c r="AEW3" s="1"/>
      <c r="AEX3" s="1"/>
      <c r="AEY3" s="1"/>
      <c r="AEZ3" s="1"/>
      <c r="AFA3" s="1"/>
      <c r="AFB3" s="1"/>
      <c r="AFC3" s="1"/>
      <c r="AFD3" s="1"/>
      <c r="AFE3" s="1"/>
      <c r="AFF3" s="1"/>
      <c r="AFG3" s="1"/>
      <c r="AFH3" s="1"/>
      <c r="AFI3" s="1"/>
      <c r="AFJ3" s="1"/>
      <c r="AFK3" s="1"/>
      <c r="AFL3" s="1"/>
      <c r="AFM3" s="1"/>
      <c r="AFN3" s="1"/>
      <c r="AFO3" s="1"/>
      <c r="AFP3" s="1"/>
      <c r="AFQ3" s="1"/>
      <c r="AFR3" s="1"/>
      <c r="AFS3" s="1"/>
      <c r="AFT3" s="1"/>
      <c r="AFU3" s="1"/>
      <c r="AFV3" s="1"/>
      <c r="AFW3" s="1"/>
      <c r="AFX3" s="1"/>
      <c r="AFY3" s="1"/>
      <c r="AFZ3" s="1"/>
      <c r="AGA3" s="1"/>
      <c r="AGB3" s="1"/>
      <c r="AGC3" s="1"/>
      <c r="AGD3" s="1"/>
      <c r="AGE3" s="1"/>
      <c r="AGF3" s="1"/>
      <c r="AGG3" s="1"/>
      <c r="AGH3" s="1"/>
      <c r="AGI3" s="1"/>
      <c r="AGJ3" s="1"/>
      <c r="AGK3" s="1"/>
      <c r="AGL3" s="1"/>
      <c r="AGM3" s="1"/>
      <c r="AGN3" s="1"/>
      <c r="AGO3" s="1"/>
      <c r="AGP3" s="1"/>
      <c r="AGQ3" s="1"/>
      <c r="AGR3" s="1"/>
      <c r="AGS3" s="1"/>
      <c r="AGT3" s="1"/>
      <c r="AGU3" s="1"/>
      <c r="AGV3" s="1"/>
      <c r="AGW3" s="1"/>
      <c r="AGX3" s="1"/>
      <c r="AGY3" s="1"/>
      <c r="AGZ3" s="1"/>
      <c r="AHA3" s="1"/>
      <c r="AHB3" s="1"/>
      <c r="AHC3" s="1"/>
      <c r="AHD3" s="1"/>
      <c r="AHE3" s="1"/>
      <c r="AHF3" s="1"/>
      <c r="AHG3" s="1"/>
      <c r="AHH3" s="1"/>
      <c r="AHI3" s="1"/>
      <c r="AHJ3" s="1"/>
      <c r="AHK3" s="1"/>
      <c r="AHL3" s="1"/>
      <c r="AHM3" s="1"/>
      <c r="AHN3" s="1"/>
      <c r="AHO3" s="1"/>
      <c r="AHP3" s="1"/>
      <c r="AHQ3" s="1"/>
      <c r="AHR3" s="1"/>
      <c r="AHS3" s="1"/>
      <c r="AHT3" s="1"/>
      <c r="AHU3" s="1"/>
      <c r="AHV3" s="1"/>
      <c r="AHW3" s="1"/>
      <c r="AHX3" s="1"/>
      <c r="AHY3" s="1"/>
      <c r="AHZ3" s="1"/>
      <c r="AIA3" s="1"/>
      <c r="AIB3" s="1"/>
      <c r="AIC3" s="1"/>
      <c r="AID3" s="1"/>
      <c r="AIE3" s="1"/>
      <c r="AIF3" s="1"/>
      <c r="AIG3" s="1"/>
      <c r="AIH3" s="1"/>
      <c r="AII3" s="1"/>
      <c r="AIJ3" s="1"/>
      <c r="AIK3" s="1"/>
      <c r="AIL3" s="1"/>
      <c r="AIM3" s="1"/>
      <c r="AIN3" s="1"/>
      <c r="AIO3" s="1"/>
      <c r="AIP3" s="1"/>
      <c r="AIQ3" s="1"/>
      <c r="AIR3" s="1"/>
      <c r="AIS3" s="1"/>
      <c r="AIT3" s="1"/>
      <c r="AIU3" s="1"/>
      <c r="AIV3" s="1"/>
      <c r="AIW3" s="1"/>
      <c r="AIX3" s="1"/>
      <c r="AIY3" s="1"/>
      <c r="AIZ3" s="1"/>
      <c r="AJA3" s="1"/>
      <c r="AJB3" s="1"/>
      <c r="AJC3" s="1"/>
      <c r="AJD3" s="1"/>
      <c r="AJE3" s="1"/>
      <c r="AJF3" s="1"/>
      <c r="AJG3" s="1"/>
      <c r="AJH3" s="1"/>
      <c r="AJI3" s="1"/>
      <c r="AJJ3" s="1"/>
      <c r="AJK3" s="1"/>
      <c r="AJL3" s="1"/>
      <c r="AJM3" s="1"/>
      <c r="AJN3" s="1"/>
      <c r="AJO3" s="1"/>
      <c r="AJP3" s="1"/>
      <c r="AJQ3" s="1"/>
      <c r="AJR3" s="1"/>
      <c r="AJS3" s="1"/>
      <c r="AJT3" s="1"/>
      <c r="AJU3" s="1"/>
      <c r="AJV3" s="1"/>
      <c r="AJW3" s="1"/>
      <c r="AJX3" s="1"/>
      <c r="AJY3" s="1"/>
      <c r="AJZ3" s="1"/>
      <c r="AKA3" s="1"/>
      <c r="AKB3" s="1"/>
      <c r="AKC3" s="1"/>
      <c r="AKD3" s="1"/>
      <c r="AKE3" s="1"/>
      <c r="AKF3" s="1"/>
      <c r="AKG3" s="1"/>
      <c r="AKH3" s="1"/>
      <c r="AKI3" s="1"/>
      <c r="AKJ3" s="1"/>
      <c r="AKK3" s="1"/>
      <c r="AKL3" s="1"/>
      <c r="AKM3" s="1"/>
      <c r="AKN3" s="1"/>
      <c r="AKO3" s="1"/>
      <c r="AKP3" s="1"/>
      <c r="AKQ3" s="1"/>
      <c r="AKR3" s="1"/>
      <c r="AKS3" s="1"/>
      <c r="AKT3" s="1"/>
      <c r="AKU3" s="1"/>
      <c r="AKV3" s="1"/>
      <c r="AKW3" s="1"/>
      <c r="AKX3" s="1"/>
      <c r="AKY3" s="1"/>
      <c r="AKZ3" s="1"/>
      <c r="ALA3" s="1"/>
      <c r="ALB3" s="1"/>
      <c r="ALC3" s="1"/>
      <c r="ALD3" s="1"/>
      <c r="ALE3" s="1"/>
      <c r="ALF3" s="1"/>
      <c r="ALG3" s="1"/>
      <c r="ALH3" s="1"/>
      <c r="ALI3" s="1"/>
      <c r="ALJ3" s="1"/>
      <c r="ALK3" s="1"/>
      <c r="ALL3" s="1"/>
      <c r="ALM3" s="1"/>
      <c r="ALN3" s="1"/>
      <c r="ALO3" s="1"/>
      <c r="ALP3" s="1"/>
      <c r="ALQ3" s="1"/>
      <c r="ALR3" s="1"/>
      <c r="ALS3" s="1"/>
      <c r="ALT3" s="1"/>
      <c r="ALU3" s="1"/>
      <c r="ALV3" s="1"/>
      <c r="ALW3" s="1"/>
      <c r="ALX3" s="1"/>
      <c r="ALY3" s="1"/>
      <c r="ALZ3" s="1"/>
      <c r="AMA3" s="1"/>
      <c r="AMB3" s="1"/>
      <c r="AMC3" s="1"/>
      <c r="AMD3" s="1"/>
      <c r="AME3" s="1"/>
      <c r="AMF3" s="1"/>
      <c r="AMG3" s="1"/>
      <c r="AMH3" s="1"/>
      <c r="AMI3" s="1"/>
      <c r="AMJ3" s="1"/>
      <c r="AMK3" s="1"/>
      <c r="AML3" s="1"/>
      <c r="AMM3" s="1"/>
      <c r="AMN3" s="1"/>
    </row>
    <row r="4" spans="1:1028" x14ac:dyDescent="0.2">
      <c r="A4" s="3" t="str">
        <f t="shared" si="0"/>
        <v>5ht1b_human_4IAR</v>
      </c>
      <c r="B4" s="3" t="s">
        <v>34</v>
      </c>
      <c r="C4" s="3" t="s">
        <v>60</v>
      </c>
      <c r="D4" s="3" t="str">
        <f>IFERROR(MID(VLOOKUP($B4,Seqs!$A:$B,2,0),E4,1),"")</f>
        <v>L</v>
      </c>
      <c r="E4" s="3">
        <v>46</v>
      </c>
      <c r="F4" s="3" t="str">
        <f>IFERROR(MID(VLOOKUP($B4,Seqs!$A:$B,2,0),G4,1),"")</f>
        <v>T</v>
      </c>
      <c r="G4" s="3">
        <v>77</v>
      </c>
      <c r="H4" s="3" t="str">
        <f>IFERROR(MID(VLOOKUP($B4,Seqs!$A:$B,2,0),I4,1),"")</f>
        <v>R</v>
      </c>
      <c r="I4" s="23">
        <v>78</v>
      </c>
      <c r="J4" s="3" t="str">
        <f>IFERROR(MID(VLOOKUP($B4,Seqs!$A:$B,2,0),K4,1),"")</f>
        <v>H</v>
      </c>
      <c r="K4" s="23">
        <v>81</v>
      </c>
      <c r="L4" s="3" t="str">
        <f>IFERROR(MID(VLOOKUP($B4,Seqs!$A:$B,2,0),M4,1),"")</f>
        <v>T</v>
      </c>
      <c r="M4" s="3">
        <v>82</v>
      </c>
      <c r="N4" s="3" t="str">
        <f>IFERROR(MID(VLOOKUP($B4,Seqs!$A:$B,2,0),O4,1),"")</f>
        <v>T</v>
      </c>
      <c r="O4" s="3">
        <v>112</v>
      </c>
      <c r="P4" s="3" t="str">
        <f>IFERROR(MID(VLOOKUP($B4,Seqs!$A:$B,2,0),Q4,1),"")</f>
        <v>R</v>
      </c>
      <c r="Q4" s="3">
        <v>114</v>
      </c>
      <c r="R4" s="3" t="str">
        <f>IFERROR(MID(VLOOKUP($B4,Seqs!$A:$B,2,0),S4,1),"")</f>
        <v>L</v>
      </c>
      <c r="S4" s="3">
        <v>117</v>
      </c>
      <c r="T4" s="3" t="str">
        <f>IFERROR(MID(VLOOKUP($B4,Seqs!$A:$B,2,0),U4,1),"")</f>
        <v>G</v>
      </c>
      <c r="U4" s="3">
        <v>118</v>
      </c>
      <c r="V4" s="3" t="str">
        <f>IFERROR(MID(VLOOKUP($B4,Seqs!$A:$B,2,0),W4,1),"")</f>
        <v>D</v>
      </c>
      <c r="W4" s="3">
        <v>153</v>
      </c>
      <c r="X4" s="3" t="str">
        <f>IFERROR(MID(VLOOKUP($B4,Seqs!$A:$B,2,0),Y4,1),"")</f>
        <v>A</v>
      </c>
      <c r="Y4" s="3">
        <v>154</v>
      </c>
      <c r="Z4" s="3" t="str">
        <f>IFERROR(MID(VLOOKUP($B4,Seqs!$A:$B,2,0),AA4,1),"")</f>
        <v>R</v>
      </c>
      <c r="AA4" s="3">
        <v>161</v>
      </c>
      <c r="AB4" s="3" t="str">
        <f>IFERROR(MID(VLOOKUP($B4,Seqs!$A:$B,2,0),AC4,1),"")</f>
        <v>T</v>
      </c>
      <c r="AC4" s="9">
        <v>162</v>
      </c>
      <c r="AD4" s="3" t="str">
        <f>IFERROR(MID(VLOOKUP($B4,Seqs!$A:$B,2,0),AE4,1),"")</f>
        <v>P</v>
      </c>
      <c r="AE4" s="3">
        <v>184</v>
      </c>
      <c r="AF4" s="3" t="str">
        <f>IFERROR(MID(VLOOKUP($B4,Seqs!$A:$B,2,0),AG4,1),"")</f>
        <v>C</v>
      </c>
      <c r="AG4" s="3">
        <v>199</v>
      </c>
      <c r="AH4" s="3" t="str">
        <f>IFERROR(MID(VLOOKUP($B4,Seqs!$A:$B,2,0),AI4,1),"")</f>
        <v>V</v>
      </c>
      <c r="AI4" s="3">
        <v>201</v>
      </c>
      <c r="AJ4" s="3" t="str">
        <f>IFERROR(MID(VLOOKUP($B4,Seqs!$A:$B,2,0),AK4,1),"")</f>
        <v>H</v>
      </c>
      <c r="AK4" s="3">
        <v>205</v>
      </c>
      <c r="AL4" s="3" t="str">
        <f>IFERROR(MID(VLOOKUP($B4,Seqs!$A:$B,2,0),AM4,1),"")</f>
        <v>I</v>
      </c>
      <c r="AM4" s="3">
        <v>239</v>
      </c>
      <c r="AN4" s="3" t="str">
        <f>IFERROR(MID(VLOOKUP($B4,Seqs!$A:$B,2,0),AO4,1),"")</f>
        <v>R</v>
      </c>
      <c r="AO4" s="3">
        <v>310</v>
      </c>
      <c r="AP4" s="3" t="str">
        <f>IFERROR(MID(VLOOKUP($B4,Seqs!$A:$B,2,0),AQ4,1),"")</f>
        <v>I</v>
      </c>
      <c r="AQ4" s="3">
        <v>339</v>
      </c>
      <c r="AR4" s="3" t="str">
        <f>IFERROR(MID(VLOOKUP($B4,Seqs!$A:$B,2,0),AS4,1),"")</f>
        <v>H</v>
      </c>
      <c r="AS4" s="3">
        <v>347</v>
      </c>
      <c r="AT4" s="3" t="str">
        <f>IFERROR(MID(VLOOKUP($B4,Seqs!$A:$B,2,0),AU4,1),"")</f>
        <v>M</v>
      </c>
      <c r="AU4" s="3">
        <v>371</v>
      </c>
      <c r="AV4" s="3" t="str">
        <f>IFERROR(MID(VLOOKUP($B4,Seqs!$A:$B,2,0),AW4,1),"")</f>
        <v>N</v>
      </c>
      <c r="AW4" s="3">
        <v>373</v>
      </c>
      <c r="AX4" s="3" t="str">
        <f>IFERROR(MID(VLOOKUP($B4,Seqs!$A:$B,2,0),AY4,1),"")</f>
        <v>I</v>
      </c>
      <c r="AY4" s="3">
        <v>384</v>
      </c>
      <c r="AZ4" s="79" t="str">
        <f>VLOOKUP(B4,Classification!A:D,2,0)</f>
        <v>A</v>
      </c>
      <c r="BA4" s="97" t="str">
        <f>VLOOKUP(B4,Classification!A:D,4,0)</f>
        <v>5-Hydroxytryptamine</v>
      </c>
      <c r="BB4" s="27" t="b">
        <f t="shared" si="1"/>
        <v>1</v>
      </c>
      <c r="BC4" s="23">
        <f t="shared" si="2"/>
        <v>243</v>
      </c>
      <c r="BD4" s="4" t="s">
        <v>23</v>
      </c>
      <c r="BE4" s="3" t="s">
        <v>1381</v>
      </c>
      <c r="BF4" s="50" t="s">
        <v>1384</v>
      </c>
      <c r="BG4" s="50" t="s">
        <v>1384</v>
      </c>
      <c r="BH4" s="1"/>
      <c r="BI4" s="72" t="s">
        <v>1293</v>
      </c>
      <c r="BJ4" s="58" t="s">
        <v>1293</v>
      </c>
      <c r="BK4" s="58" t="s">
        <v>1293</v>
      </c>
      <c r="BL4" s="58" t="s">
        <v>1293</v>
      </c>
      <c r="BM4" s="58" t="s">
        <v>1293</v>
      </c>
      <c r="BN4" s="58" t="s">
        <v>1293</v>
      </c>
      <c r="BO4" s="58" t="s">
        <v>1293</v>
      </c>
      <c r="BP4" s="58" t="s">
        <v>1293</v>
      </c>
      <c r="BQ4" s="58" t="s">
        <v>1293</v>
      </c>
      <c r="BR4" s="58" t="s">
        <v>1293</v>
      </c>
      <c r="BS4" s="58" t="s">
        <v>1293</v>
      </c>
      <c r="BT4" s="58" t="s">
        <v>1293</v>
      </c>
      <c r="BU4" s="72">
        <f t="shared" si="3"/>
        <v>46</v>
      </c>
      <c r="BV4" s="73">
        <f t="shared" si="4"/>
        <v>78</v>
      </c>
      <c r="BW4" s="74">
        <f t="shared" si="5"/>
        <v>82</v>
      </c>
      <c r="BX4" s="73">
        <f t="shared" si="6"/>
        <v>114</v>
      </c>
      <c r="BY4" s="74">
        <f t="shared" si="7"/>
        <v>118</v>
      </c>
      <c r="BZ4" s="73">
        <f t="shared" si="8"/>
        <v>154</v>
      </c>
      <c r="CA4" s="74">
        <f t="shared" si="9"/>
        <v>162</v>
      </c>
      <c r="CB4" s="73">
        <f t="shared" si="10"/>
        <v>199</v>
      </c>
      <c r="CC4" s="74">
        <f t="shared" si="11"/>
        <v>205</v>
      </c>
      <c r="CD4" s="73">
        <f t="shared" si="12"/>
        <v>310</v>
      </c>
      <c r="CE4" s="74">
        <f t="shared" si="13"/>
        <v>347</v>
      </c>
      <c r="CF4" s="73">
        <f t="shared" si="14"/>
        <v>373</v>
      </c>
      <c r="CG4" s="72">
        <f t="shared" si="15"/>
        <v>77</v>
      </c>
      <c r="CH4" s="73">
        <f t="shared" si="16"/>
        <v>81</v>
      </c>
      <c r="CI4" s="74">
        <f t="shared" si="17"/>
        <v>112</v>
      </c>
      <c r="CJ4" s="74">
        <f t="shared" si="18"/>
        <v>117</v>
      </c>
      <c r="CK4" s="74">
        <f t="shared" si="19"/>
        <v>153</v>
      </c>
      <c r="CL4" s="74">
        <f t="shared" si="20"/>
        <v>161</v>
      </c>
      <c r="CM4" s="74">
        <f t="shared" si="21"/>
        <v>184</v>
      </c>
      <c r="CN4" s="74">
        <f t="shared" si="22"/>
        <v>201</v>
      </c>
      <c r="CO4" s="74">
        <f t="shared" si="23"/>
        <v>239</v>
      </c>
      <c r="CP4" s="74">
        <f t="shared" si="24"/>
        <v>339</v>
      </c>
      <c r="CQ4" s="74">
        <f t="shared" si="25"/>
        <v>371</v>
      </c>
      <c r="CR4" s="74">
        <f t="shared" si="26"/>
        <v>384</v>
      </c>
      <c r="CS4" s="23">
        <f t="shared" si="27"/>
        <v>1</v>
      </c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/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/>
      <c r="PW4" s="1"/>
      <c r="PX4" s="1"/>
      <c r="PY4" s="1"/>
      <c r="PZ4" s="1"/>
      <c r="QA4" s="1"/>
      <c r="QB4" s="1"/>
      <c r="QC4" s="1"/>
      <c r="QD4" s="1"/>
      <c r="QE4" s="1"/>
      <c r="QF4" s="1"/>
      <c r="QG4" s="1"/>
      <c r="QH4" s="1"/>
      <c r="QI4" s="1"/>
      <c r="QJ4" s="1"/>
      <c r="QK4" s="1"/>
      <c r="QL4" s="1"/>
      <c r="QM4" s="1"/>
      <c r="QN4" s="1"/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/>
      <c r="RB4" s="1"/>
      <c r="RC4" s="1"/>
      <c r="RD4" s="1"/>
      <c r="RE4" s="1"/>
      <c r="RF4" s="1"/>
      <c r="RG4" s="1"/>
      <c r="RH4" s="1"/>
      <c r="RI4" s="1"/>
      <c r="RJ4" s="1"/>
      <c r="RK4" s="1"/>
      <c r="RL4" s="1"/>
      <c r="RM4" s="1"/>
      <c r="RN4" s="1"/>
      <c r="RO4" s="1"/>
      <c r="RP4" s="1"/>
      <c r="RQ4" s="1"/>
      <c r="RR4" s="1"/>
      <c r="RS4" s="1"/>
      <c r="RT4" s="1"/>
      <c r="RU4" s="1"/>
      <c r="RV4" s="1"/>
      <c r="RW4" s="1"/>
      <c r="RX4" s="1"/>
      <c r="RY4" s="1"/>
      <c r="RZ4" s="1"/>
      <c r="SA4" s="1"/>
      <c r="SB4" s="1"/>
      <c r="SC4" s="1"/>
      <c r="SD4" s="1"/>
      <c r="SE4" s="1"/>
      <c r="SF4" s="1"/>
      <c r="SG4" s="1"/>
      <c r="SH4" s="1"/>
      <c r="SI4" s="1"/>
      <c r="SJ4" s="1"/>
      <c r="SK4" s="1"/>
      <c r="SL4" s="1"/>
      <c r="SM4" s="1"/>
      <c r="SN4" s="1"/>
      <c r="SO4" s="1"/>
      <c r="SP4" s="1"/>
      <c r="SQ4" s="1"/>
      <c r="SR4" s="1"/>
      <c r="SS4" s="1"/>
      <c r="ST4" s="1"/>
      <c r="SU4" s="1"/>
      <c r="SV4" s="1"/>
      <c r="SW4" s="1"/>
      <c r="SX4" s="1"/>
      <c r="SY4" s="1"/>
      <c r="SZ4" s="1"/>
      <c r="TA4" s="1"/>
      <c r="TB4" s="1"/>
      <c r="TC4" s="1"/>
      <c r="TD4" s="1"/>
      <c r="TE4" s="1"/>
      <c r="TF4" s="1"/>
      <c r="TG4" s="1"/>
      <c r="TH4" s="1"/>
      <c r="TI4" s="1"/>
      <c r="TJ4" s="1"/>
      <c r="TK4" s="1"/>
      <c r="TL4" s="1"/>
      <c r="TM4" s="1"/>
      <c r="TN4" s="1"/>
      <c r="TO4" s="1"/>
      <c r="TP4" s="1"/>
      <c r="TQ4" s="1"/>
      <c r="TR4" s="1"/>
      <c r="TS4" s="1"/>
      <c r="TT4" s="1"/>
      <c r="TU4" s="1"/>
      <c r="TV4" s="1"/>
      <c r="TW4" s="1"/>
      <c r="TX4" s="1"/>
      <c r="TY4" s="1"/>
      <c r="TZ4" s="1"/>
      <c r="UA4" s="1"/>
      <c r="UB4" s="1"/>
      <c r="UC4" s="1"/>
      <c r="UD4" s="1"/>
      <c r="UE4" s="1"/>
      <c r="UF4" s="1"/>
      <c r="UG4" s="1"/>
      <c r="UH4" s="1"/>
      <c r="UI4" s="1"/>
      <c r="UJ4" s="1"/>
      <c r="UK4" s="1"/>
      <c r="UL4" s="1"/>
      <c r="UM4" s="1"/>
      <c r="UN4" s="1"/>
      <c r="UO4" s="1"/>
      <c r="UP4" s="1"/>
      <c r="UQ4" s="1"/>
      <c r="UR4" s="1"/>
      <c r="US4" s="1"/>
      <c r="UT4" s="1"/>
      <c r="UU4" s="1"/>
      <c r="UV4" s="1"/>
      <c r="UW4" s="1"/>
      <c r="UX4" s="1"/>
      <c r="UY4" s="1"/>
      <c r="UZ4" s="1"/>
      <c r="VA4" s="1"/>
      <c r="VB4" s="1"/>
      <c r="VC4" s="1"/>
      <c r="VD4" s="1"/>
      <c r="VE4" s="1"/>
      <c r="VF4" s="1"/>
      <c r="VG4" s="1"/>
      <c r="VH4" s="1"/>
      <c r="VI4" s="1"/>
      <c r="VJ4" s="1"/>
      <c r="VK4" s="1"/>
      <c r="VL4" s="1"/>
      <c r="VM4" s="1"/>
      <c r="VN4" s="1"/>
      <c r="VO4" s="1"/>
      <c r="VP4" s="1"/>
      <c r="VQ4" s="1"/>
      <c r="VR4" s="1"/>
      <c r="VS4" s="1"/>
      <c r="VT4" s="1"/>
      <c r="VU4" s="1"/>
      <c r="VV4" s="1"/>
      <c r="VW4" s="1"/>
      <c r="VX4" s="1"/>
      <c r="VY4" s="1"/>
      <c r="VZ4" s="1"/>
      <c r="WA4" s="1"/>
      <c r="WB4" s="1"/>
      <c r="WC4" s="1"/>
      <c r="WD4" s="1"/>
      <c r="WE4" s="1"/>
      <c r="WF4" s="1"/>
      <c r="WG4" s="1"/>
      <c r="WH4" s="1"/>
      <c r="WI4" s="1"/>
      <c r="WJ4" s="1"/>
      <c r="WK4" s="1"/>
      <c r="WL4" s="1"/>
      <c r="WM4" s="1"/>
      <c r="WN4" s="1"/>
      <c r="WO4" s="1"/>
      <c r="WP4" s="1"/>
      <c r="WQ4" s="1"/>
      <c r="WR4" s="1"/>
      <c r="WS4" s="1"/>
      <c r="WT4" s="1"/>
      <c r="WU4" s="1"/>
      <c r="WV4" s="1"/>
      <c r="WW4" s="1"/>
      <c r="WX4" s="1"/>
      <c r="WY4" s="1"/>
      <c r="WZ4" s="1"/>
      <c r="XA4" s="1"/>
      <c r="XB4" s="1"/>
      <c r="XC4" s="1"/>
      <c r="XD4" s="1"/>
      <c r="XE4" s="1"/>
      <c r="XF4" s="1"/>
      <c r="XG4" s="1"/>
      <c r="XH4" s="1"/>
      <c r="XI4" s="1"/>
      <c r="XJ4" s="1"/>
      <c r="XK4" s="1"/>
      <c r="XL4" s="1"/>
      <c r="XM4" s="1"/>
      <c r="XN4" s="1"/>
      <c r="XO4" s="1"/>
      <c r="XP4" s="1"/>
      <c r="XQ4" s="1"/>
      <c r="XR4" s="1"/>
      <c r="XS4" s="1"/>
      <c r="XT4" s="1"/>
      <c r="XU4" s="1"/>
      <c r="XV4" s="1"/>
      <c r="XW4" s="1"/>
      <c r="XX4" s="1"/>
      <c r="XY4" s="1"/>
      <c r="XZ4" s="1"/>
      <c r="YA4" s="1"/>
      <c r="YB4" s="1"/>
      <c r="YC4" s="1"/>
      <c r="YD4" s="1"/>
      <c r="YE4" s="1"/>
      <c r="YF4" s="1"/>
      <c r="YG4" s="1"/>
      <c r="YH4" s="1"/>
      <c r="YI4" s="1"/>
      <c r="YJ4" s="1"/>
      <c r="YK4" s="1"/>
      <c r="YL4" s="1"/>
      <c r="YM4" s="1"/>
      <c r="YN4" s="1"/>
      <c r="YO4" s="1"/>
      <c r="YP4" s="1"/>
      <c r="YQ4" s="1"/>
      <c r="YR4" s="1"/>
      <c r="YS4" s="1"/>
      <c r="YT4" s="1"/>
      <c r="YU4" s="1"/>
      <c r="YV4" s="1"/>
      <c r="YW4" s="1"/>
      <c r="YX4" s="1"/>
      <c r="YY4" s="1"/>
      <c r="YZ4" s="1"/>
      <c r="ZA4" s="1"/>
      <c r="ZB4" s="1"/>
      <c r="ZC4" s="1"/>
      <c r="ZD4" s="1"/>
      <c r="ZE4" s="1"/>
      <c r="ZF4" s="1"/>
      <c r="ZG4" s="1"/>
      <c r="ZH4" s="1"/>
      <c r="ZI4" s="1"/>
      <c r="ZJ4" s="1"/>
      <c r="ZK4" s="1"/>
      <c r="ZL4" s="1"/>
      <c r="ZM4" s="1"/>
      <c r="ZN4" s="1"/>
      <c r="ZO4" s="1"/>
      <c r="ZP4" s="1"/>
      <c r="ZQ4" s="1"/>
      <c r="ZR4" s="1"/>
      <c r="ZS4" s="1"/>
      <c r="ZT4" s="1"/>
      <c r="ZU4" s="1"/>
      <c r="ZV4" s="1"/>
      <c r="ZW4" s="1"/>
      <c r="ZX4" s="1"/>
      <c r="ZY4" s="1"/>
      <c r="ZZ4" s="1"/>
      <c r="AAA4" s="1"/>
      <c r="AAB4" s="1"/>
      <c r="AAC4" s="1"/>
      <c r="AAD4" s="1"/>
      <c r="AAE4" s="1"/>
      <c r="AAF4" s="1"/>
      <c r="AAG4" s="1"/>
      <c r="AAH4" s="1"/>
      <c r="AAI4" s="1"/>
      <c r="AAJ4" s="1"/>
      <c r="AAK4" s="1"/>
      <c r="AAL4" s="1"/>
      <c r="AAM4" s="1"/>
      <c r="AAN4" s="1"/>
      <c r="AAO4" s="1"/>
      <c r="AAP4" s="1"/>
      <c r="AAQ4" s="1"/>
      <c r="AAR4" s="1"/>
      <c r="AAS4" s="1"/>
      <c r="AAT4" s="1"/>
      <c r="AAU4" s="1"/>
      <c r="AAV4" s="1"/>
      <c r="AAW4" s="1"/>
      <c r="AAX4" s="1"/>
      <c r="AAY4" s="1"/>
      <c r="AAZ4" s="1"/>
      <c r="ABA4" s="1"/>
      <c r="ABB4" s="1"/>
      <c r="ABC4" s="1"/>
      <c r="ABD4" s="1"/>
      <c r="ABE4" s="1"/>
      <c r="ABF4" s="1"/>
      <c r="ABG4" s="1"/>
      <c r="ABH4" s="1"/>
      <c r="ABI4" s="1"/>
      <c r="ABJ4" s="1"/>
      <c r="ABK4" s="1"/>
      <c r="ABL4" s="1"/>
      <c r="ABM4" s="1"/>
      <c r="ABN4" s="1"/>
      <c r="ABO4" s="1"/>
      <c r="ABP4" s="1"/>
      <c r="ABQ4" s="1"/>
      <c r="ABR4" s="1"/>
      <c r="ABS4" s="1"/>
      <c r="ABT4" s="1"/>
      <c r="ABU4" s="1"/>
      <c r="ABV4" s="1"/>
      <c r="ABW4" s="1"/>
      <c r="ABX4" s="1"/>
      <c r="ABY4" s="1"/>
      <c r="ABZ4" s="1"/>
      <c r="ACA4" s="1"/>
      <c r="ACB4" s="1"/>
      <c r="ACC4" s="1"/>
      <c r="ACD4" s="1"/>
      <c r="ACE4" s="1"/>
      <c r="ACF4" s="1"/>
      <c r="ACG4" s="1"/>
      <c r="ACH4" s="1"/>
      <c r="ACI4" s="1"/>
      <c r="ACJ4" s="1"/>
      <c r="ACK4" s="1"/>
      <c r="ACL4" s="1"/>
      <c r="ACM4" s="1"/>
      <c r="ACN4" s="1"/>
      <c r="ACO4" s="1"/>
      <c r="ACP4" s="1"/>
      <c r="ACQ4" s="1"/>
      <c r="ACR4" s="1"/>
      <c r="ACS4" s="1"/>
      <c r="ACT4" s="1"/>
      <c r="ACU4" s="1"/>
      <c r="ACV4" s="1"/>
      <c r="ACW4" s="1"/>
      <c r="ACX4" s="1"/>
      <c r="ACY4" s="1"/>
      <c r="ACZ4" s="1"/>
      <c r="ADA4" s="1"/>
      <c r="ADB4" s="1"/>
      <c r="ADC4" s="1"/>
      <c r="ADD4" s="1"/>
      <c r="ADE4" s="1"/>
      <c r="ADF4" s="1"/>
      <c r="ADG4" s="1"/>
      <c r="ADH4" s="1"/>
      <c r="ADI4" s="1"/>
      <c r="ADJ4" s="1"/>
      <c r="ADK4" s="1"/>
      <c r="ADL4" s="1"/>
      <c r="ADM4" s="1"/>
      <c r="ADN4" s="1"/>
      <c r="ADO4" s="1"/>
      <c r="ADP4" s="1"/>
      <c r="ADQ4" s="1"/>
      <c r="ADR4" s="1"/>
      <c r="ADS4" s="1"/>
      <c r="ADT4" s="1"/>
      <c r="ADU4" s="1"/>
      <c r="ADV4" s="1"/>
      <c r="ADW4" s="1"/>
      <c r="ADX4" s="1"/>
      <c r="ADY4" s="1"/>
      <c r="ADZ4" s="1"/>
      <c r="AEA4" s="1"/>
      <c r="AEB4" s="1"/>
      <c r="AEC4" s="1"/>
      <c r="AED4" s="1"/>
      <c r="AEE4" s="1"/>
      <c r="AEF4" s="1"/>
      <c r="AEG4" s="1"/>
      <c r="AEH4" s="1"/>
      <c r="AEI4" s="1"/>
      <c r="AEJ4" s="1"/>
      <c r="AEK4" s="1"/>
      <c r="AEL4" s="1"/>
      <c r="AEM4" s="1"/>
      <c r="AEN4" s="1"/>
      <c r="AEO4" s="1"/>
      <c r="AEP4" s="1"/>
      <c r="AEQ4" s="1"/>
      <c r="AER4" s="1"/>
      <c r="AES4" s="1"/>
      <c r="AET4" s="1"/>
      <c r="AEU4" s="1"/>
      <c r="AEV4" s="1"/>
      <c r="AEW4" s="1"/>
      <c r="AEX4" s="1"/>
      <c r="AEY4" s="1"/>
      <c r="AEZ4" s="1"/>
      <c r="AFA4" s="1"/>
      <c r="AFB4" s="1"/>
      <c r="AFC4" s="1"/>
      <c r="AFD4" s="1"/>
      <c r="AFE4" s="1"/>
      <c r="AFF4" s="1"/>
      <c r="AFG4" s="1"/>
      <c r="AFH4" s="1"/>
      <c r="AFI4" s="1"/>
      <c r="AFJ4" s="1"/>
      <c r="AFK4" s="1"/>
      <c r="AFL4" s="1"/>
      <c r="AFM4" s="1"/>
      <c r="AFN4" s="1"/>
      <c r="AFO4" s="1"/>
      <c r="AFP4" s="1"/>
      <c r="AFQ4" s="1"/>
      <c r="AFR4" s="1"/>
      <c r="AFS4" s="1"/>
      <c r="AFT4" s="1"/>
      <c r="AFU4" s="1"/>
      <c r="AFV4" s="1"/>
      <c r="AFW4" s="1"/>
      <c r="AFX4" s="1"/>
      <c r="AFY4" s="1"/>
      <c r="AFZ4" s="1"/>
      <c r="AGA4" s="1"/>
      <c r="AGB4" s="1"/>
      <c r="AGC4" s="1"/>
      <c r="AGD4" s="1"/>
      <c r="AGE4" s="1"/>
      <c r="AGF4" s="1"/>
      <c r="AGG4" s="1"/>
      <c r="AGH4" s="1"/>
      <c r="AGI4" s="1"/>
      <c r="AGJ4" s="1"/>
      <c r="AGK4" s="1"/>
      <c r="AGL4" s="1"/>
      <c r="AGM4" s="1"/>
      <c r="AGN4" s="1"/>
      <c r="AGO4" s="1"/>
      <c r="AGP4" s="1"/>
      <c r="AGQ4" s="1"/>
      <c r="AGR4" s="1"/>
      <c r="AGS4" s="1"/>
      <c r="AGT4" s="1"/>
      <c r="AGU4" s="1"/>
      <c r="AGV4" s="1"/>
      <c r="AGW4" s="1"/>
      <c r="AGX4" s="1"/>
      <c r="AGY4" s="1"/>
      <c r="AGZ4" s="1"/>
      <c r="AHA4" s="1"/>
      <c r="AHB4" s="1"/>
      <c r="AHC4" s="1"/>
      <c r="AHD4" s="1"/>
      <c r="AHE4" s="1"/>
      <c r="AHF4" s="1"/>
      <c r="AHG4" s="1"/>
      <c r="AHH4" s="1"/>
      <c r="AHI4" s="1"/>
      <c r="AHJ4" s="1"/>
      <c r="AHK4" s="1"/>
      <c r="AHL4" s="1"/>
      <c r="AHM4" s="1"/>
      <c r="AHN4" s="1"/>
      <c r="AHO4" s="1"/>
      <c r="AHP4" s="1"/>
      <c r="AHQ4" s="1"/>
      <c r="AHR4" s="1"/>
      <c r="AHS4" s="1"/>
      <c r="AHT4" s="1"/>
      <c r="AHU4" s="1"/>
      <c r="AHV4" s="1"/>
      <c r="AHW4" s="1"/>
      <c r="AHX4" s="1"/>
      <c r="AHY4" s="1"/>
      <c r="AHZ4" s="1"/>
      <c r="AIA4" s="1"/>
      <c r="AIB4" s="1"/>
      <c r="AIC4" s="1"/>
      <c r="AID4" s="1"/>
      <c r="AIE4" s="1"/>
      <c r="AIF4" s="1"/>
      <c r="AIG4" s="1"/>
      <c r="AIH4" s="1"/>
      <c r="AII4" s="1"/>
      <c r="AIJ4" s="1"/>
      <c r="AIK4" s="1"/>
      <c r="AIL4" s="1"/>
      <c r="AIM4" s="1"/>
      <c r="AIN4" s="1"/>
      <c r="AIO4" s="1"/>
      <c r="AIP4" s="1"/>
      <c r="AIQ4" s="1"/>
      <c r="AIR4" s="1"/>
      <c r="AIS4" s="1"/>
      <c r="AIT4" s="1"/>
      <c r="AIU4" s="1"/>
      <c r="AIV4" s="1"/>
      <c r="AIW4" s="1"/>
      <c r="AIX4" s="1"/>
      <c r="AIY4" s="1"/>
      <c r="AIZ4" s="1"/>
      <c r="AJA4" s="1"/>
      <c r="AJB4" s="1"/>
      <c r="AJC4" s="1"/>
      <c r="AJD4" s="1"/>
      <c r="AJE4" s="1"/>
      <c r="AJF4" s="1"/>
      <c r="AJG4" s="1"/>
      <c r="AJH4" s="1"/>
      <c r="AJI4" s="1"/>
      <c r="AJJ4" s="1"/>
      <c r="AJK4" s="1"/>
      <c r="AJL4" s="1"/>
      <c r="AJM4" s="1"/>
      <c r="AJN4" s="1"/>
      <c r="AJO4" s="1"/>
      <c r="AJP4" s="1"/>
      <c r="AJQ4" s="1"/>
      <c r="AJR4" s="1"/>
      <c r="AJS4" s="1"/>
      <c r="AJT4" s="1"/>
      <c r="AJU4" s="1"/>
      <c r="AJV4" s="1"/>
      <c r="AJW4" s="1"/>
      <c r="AJX4" s="1"/>
      <c r="AJY4" s="1"/>
      <c r="AJZ4" s="1"/>
      <c r="AKA4" s="1"/>
      <c r="AKB4" s="1"/>
      <c r="AKC4" s="1"/>
      <c r="AKD4" s="1"/>
      <c r="AKE4" s="1"/>
      <c r="AKF4" s="1"/>
      <c r="AKG4" s="1"/>
      <c r="AKH4" s="1"/>
      <c r="AKI4" s="1"/>
      <c r="AKJ4" s="1"/>
      <c r="AKK4" s="1"/>
      <c r="AKL4" s="1"/>
      <c r="AKM4" s="1"/>
      <c r="AKN4" s="1"/>
      <c r="AKO4" s="1"/>
      <c r="AKP4" s="1"/>
      <c r="AKQ4" s="1"/>
      <c r="AKR4" s="1"/>
      <c r="AKS4" s="1"/>
      <c r="AKT4" s="1"/>
      <c r="AKU4" s="1"/>
      <c r="AKV4" s="1"/>
      <c r="AKW4" s="1"/>
      <c r="AKX4" s="1"/>
      <c r="AKY4" s="1"/>
      <c r="AKZ4" s="1"/>
      <c r="ALA4" s="1"/>
      <c r="ALB4" s="1"/>
      <c r="ALC4" s="1"/>
      <c r="ALD4" s="1"/>
      <c r="ALE4" s="1"/>
      <c r="ALF4" s="1"/>
      <c r="ALG4" s="1"/>
      <c r="ALH4" s="1"/>
      <c r="ALI4" s="1"/>
      <c r="ALJ4" s="1"/>
      <c r="ALK4" s="1"/>
      <c r="ALL4" s="1"/>
      <c r="ALM4" s="1"/>
      <c r="ALN4" s="1"/>
      <c r="ALO4" s="1"/>
      <c r="ALP4" s="1"/>
      <c r="ALQ4" s="1"/>
      <c r="ALR4" s="1"/>
      <c r="ALS4" s="1"/>
      <c r="ALT4" s="1"/>
      <c r="ALU4" s="1"/>
      <c r="ALV4" s="1"/>
      <c r="ALW4" s="1"/>
      <c r="ALX4" s="1"/>
      <c r="ALY4" s="1"/>
      <c r="ALZ4" s="1"/>
      <c r="AMA4" s="1"/>
      <c r="AMB4" s="1"/>
      <c r="AMC4" s="1"/>
      <c r="AMD4" s="1"/>
      <c r="AME4" s="1"/>
      <c r="AMF4" s="1"/>
      <c r="AMG4" s="1"/>
      <c r="AMH4" s="1"/>
      <c r="AMI4" s="1"/>
      <c r="AMJ4" s="1"/>
      <c r="AMK4" s="1"/>
      <c r="AML4" s="1"/>
      <c r="AMM4" s="1"/>
      <c r="AMN4" s="1"/>
    </row>
    <row r="5" spans="1:1028" x14ac:dyDescent="0.2">
      <c r="A5" s="3" t="str">
        <f t="shared" si="0"/>
        <v>5ht2b_human__wt</v>
      </c>
      <c r="B5" s="3" t="s">
        <v>35</v>
      </c>
      <c r="C5" s="3" t="s">
        <v>100</v>
      </c>
      <c r="D5" s="3" t="str">
        <f>IFERROR(MID(VLOOKUP($B5,Seqs!$A:$B,2,0),E5,1),"")</f>
        <v>L</v>
      </c>
      <c r="E5" s="3">
        <v>54</v>
      </c>
      <c r="F5" s="3" t="str">
        <f>IFERROR(MID(VLOOKUP($B5,Seqs!$A:$B,2,0),G5,1),"")</f>
        <v>E</v>
      </c>
      <c r="G5" s="3">
        <v>82</v>
      </c>
      <c r="H5" s="3" t="str">
        <f>IFERROR(MID(VLOOKUP($B5,Seqs!$A:$B,2,0),I5,1),"")</f>
        <v>K</v>
      </c>
      <c r="I5" s="23">
        <v>83</v>
      </c>
      <c r="J5" s="3" t="str">
        <f>IFERROR(MID(VLOOKUP($B5,Seqs!$A:$B,2,0),K5,1),"")</f>
        <v>Q</v>
      </c>
      <c r="K5" s="23">
        <v>86</v>
      </c>
      <c r="L5" s="3" t="str">
        <f>IFERROR(MID(VLOOKUP($B5,Seqs!$A:$B,2,0),M5,1),"")</f>
        <v>Y</v>
      </c>
      <c r="M5" s="3">
        <v>87</v>
      </c>
      <c r="N5" s="3" t="str">
        <f>IFERROR(MID(VLOOKUP($B5,Seqs!$A:$B,2,0),O5,1),"")</f>
        <v>F</v>
      </c>
      <c r="O5" s="3">
        <v>117</v>
      </c>
      <c r="P5" s="3" t="str">
        <f>IFERROR(MID(VLOOKUP($B5,Seqs!$A:$B,2,0),Q5,1),"")</f>
        <v>M</v>
      </c>
      <c r="Q5" s="3">
        <v>120</v>
      </c>
      <c r="R5" s="3" t="str">
        <f>IFERROR(MID(VLOOKUP($B5,Seqs!$A:$B,2,0),S5,1),"")</f>
        <v>L</v>
      </c>
      <c r="S5" s="3">
        <v>123</v>
      </c>
      <c r="T5" s="3" t="str">
        <f>IFERROR(MID(VLOOKUP($B5,Seqs!$A:$B,2,0),U5,1),"")</f>
        <v>P</v>
      </c>
      <c r="U5" s="3">
        <v>124</v>
      </c>
      <c r="V5" s="3" t="str">
        <f>IFERROR(MID(VLOOKUP($B5,Seqs!$A:$B,2,0),W5,1),"")</f>
        <v>K</v>
      </c>
      <c r="W5" s="3">
        <v>159</v>
      </c>
      <c r="X5" s="3" t="str">
        <f>IFERROR(MID(VLOOKUP($B5,Seqs!$A:$B,2,0),Y5,1),"")</f>
        <v>P</v>
      </c>
      <c r="Y5" s="3">
        <v>160</v>
      </c>
      <c r="Z5" s="3" t="str">
        <f>IFERROR(MID(VLOOKUP($B5,Seqs!$A:$B,2,0),AA5,1),"")</f>
        <v>N</v>
      </c>
      <c r="AA5" s="3">
        <v>167</v>
      </c>
      <c r="AB5" s="3" t="str">
        <f>IFERROR(MID(VLOOKUP($B5,Seqs!$A:$B,2,0),AC5,1),"")</f>
        <v>S</v>
      </c>
      <c r="AC5" s="9">
        <v>168</v>
      </c>
      <c r="AD5" s="3" t="str">
        <f>IFERROR(MID(VLOOKUP($B5,Seqs!$A:$B,2,0),AE5,1),"")</f>
        <v>G</v>
      </c>
      <c r="AE5" s="3">
        <v>194</v>
      </c>
      <c r="AF5" s="3" t="str">
        <f>IFERROR(MID(VLOOKUP($B5,Seqs!$A:$B,2,0),AG5,1),"")</f>
        <v>C</v>
      </c>
      <c r="AG5" s="3">
        <v>207</v>
      </c>
      <c r="AH5" s="3" t="str">
        <f>IFERROR(MID(VLOOKUP($B5,Seqs!$A:$B,2,0),AI5,1),"")</f>
        <v>L</v>
      </c>
      <c r="AI5" s="3">
        <v>209</v>
      </c>
      <c r="AJ5" s="3" t="str">
        <f>IFERROR(MID(VLOOKUP($B5,Seqs!$A:$B,2,0),AK5,1),"")</f>
        <v>F</v>
      </c>
      <c r="AK5" s="3">
        <v>214</v>
      </c>
      <c r="AL5" s="3" t="str">
        <f>IFERROR(MID(VLOOKUP($B5,Seqs!$A:$B,2,0),AM5,1),"")</f>
        <v>P</v>
      </c>
      <c r="AM5" s="3">
        <v>255</v>
      </c>
      <c r="AN5" s="3" t="str">
        <f>IFERROR(MID(VLOOKUP($B5,Seqs!$A:$B,2,0),AO5,1),"")</f>
        <v>V</v>
      </c>
      <c r="AO5" s="3">
        <v>313</v>
      </c>
      <c r="AP5" s="3" t="str">
        <f>IFERROR(MID(VLOOKUP($B5,Seqs!$A:$B,2,0),AQ5,1),"")</f>
        <v>C</v>
      </c>
      <c r="AQ5" s="3">
        <v>350</v>
      </c>
      <c r="AR5" s="3" t="str">
        <f>IFERROR(MID(VLOOKUP($B5,Seqs!$A:$B,2,0),AS5,1),"")</f>
        <v>Q</v>
      </c>
      <c r="AS5" s="3">
        <v>355</v>
      </c>
      <c r="AT5" s="3" t="str">
        <f>IFERROR(MID(VLOOKUP($B5,Seqs!$A:$B,2,0),AU5,1),"")</f>
        <v>F</v>
      </c>
      <c r="AU5" s="3">
        <v>383</v>
      </c>
      <c r="AV5" s="3" t="str">
        <f>IFERROR(MID(VLOOKUP($B5,Seqs!$A:$B,2,0),AW5,1),"")</f>
        <v>N</v>
      </c>
      <c r="AW5" s="3">
        <v>384</v>
      </c>
      <c r="AX5" s="3" t="str">
        <f>IFERROR(MID(VLOOKUP($B5,Seqs!$A:$B,2,0),AY5,1),"")</f>
        <v>I</v>
      </c>
      <c r="AY5" s="3">
        <v>395</v>
      </c>
      <c r="AZ5" s="79" t="str">
        <f>VLOOKUP(B5,Classification!A:D,2,0)</f>
        <v>A</v>
      </c>
      <c r="BA5" s="97" t="str">
        <f>VLOOKUP(B5,Classification!A:D,4,0)</f>
        <v>5-Hydroxytryptamine</v>
      </c>
      <c r="BB5" s="27" t="b">
        <f t="shared" si="1"/>
        <v>1</v>
      </c>
      <c r="BC5" s="23">
        <f t="shared" si="2"/>
        <v>263</v>
      </c>
      <c r="BD5" s="93" t="s">
        <v>1379</v>
      </c>
      <c r="BE5" s="3" t="s">
        <v>1381</v>
      </c>
      <c r="BF5" s="50" t="s">
        <v>1379</v>
      </c>
      <c r="BG5" s="50" t="s">
        <v>1384</v>
      </c>
      <c r="BH5" s="1"/>
      <c r="BI5" s="72" t="s">
        <v>1293</v>
      </c>
      <c r="BJ5" s="58" t="s">
        <v>1293</v>
      </c>
      <c r="BK5" s="58" t="s">
        <v>1293</v>
      </c>
      <c r="BL5" s="58" t="s">
        <v>1293</v>
      </c>
      <c r="BM5" s="58" t="s">
        <v>1293</v>
      </c>
      <c r="BN5" s="58" t="s">
        <v>1293</v>
      </c>
      <c r="BO5" s="58" t="s">
        <v>1293</v>
      </c>
      <c r="BP5" s="58" t="s">
        <v>1293</v>
      </c>
      <c r="BQ5" s="58" t="s">
        <v>1293</v>
      </c>
      <c r="BR5" s="58" t="s">
        <v>1293</v>
      </c>
      <c r="BS5" s="58" t="s">
        <v>1293</v>
      </c>
      <c r="BT5" s="58" t="s">
        <v>1293</v>
      </c>
      <c r="BU5" s="72">
        <f t="shared" si="3"/>
        <v>54</v>
      </c>
      <c r="BV5" s="73">
        <f t="shared" si="4"/>
        <v>83</v>
      </c>
      <c r="BW5" s="74">
        <f t="shared" si="5"/>
        <v>87</v>
      </c>
      <c r="BX5" s="73">
        <f t="shared" si="6"/>
        <v>120</v>
      </c>
      <c r="BY5" s="74">
        <f t="shared" si="7"/>
        <v>124</v>
      </c>
      <c r="BZ5" s="73">
        <f t="shared" si="8"/>
        <v>160</v>
      </c>
      <c r="CA5" s="74">
        <f t="shared" si="9"/>
        <v>168</v>
      </c>
      <c r="CB5" s="73">
        <f t="shared" si="10"/>
        <v>207</v>
      </c>
      <c r="CC5" s="74">
        <f t="shared" si="11"/>
        <v>214</v>
      </c>
      <c r="CD5" s="73">
        <f t="shared" si="12"/>
        <v>313</v>
      </c>
      <c r="CE5" s="74">
        <f t="shared" si="13"/>
        <v>355</v>
      </c>
      <c r="CF5" s="73">
        <f t="shared" si="14"/>
        <v>384</v>
      </c>
      <c r="CG5" s="72">
        <f t="shared" si="15"/>
        <v>82</v>
      </c>
      <c r="CH5" s="73">
        <f t="shared" si="16"/>
        <v>86</v>
      </c>
      <c r="CI5" s="74">
        <f t="shared" si="17"/>
        <v>117</v>
      </c>
      <c r="CJ5" s="74">
        <f t="shared" si="18"/>
        <v>123</v>
      </c>
      <c r="CK5" s="74">
        <f t="shared" si="19"/>
        <v>159</v>
      </c>
      <c r="CL5" s="74">
        <f t="shared" si="20"/>
        <v>167</v>
      </c>
      <c r="CM5" s="74">
        <f t="shared" si="21"/>
        <v>194</v>
      </c>
      <c r="CN5" s="74">
        <f t="shared" si="22"/>
        <v>209</v>
      </c>
      <c r="CO5" s="74">
        <f t="shared" si="23"/>
        <v>255</v>
      </c>
      <c r="CP5" s="74">
        <f t="shared" si="24"/>
        <v>350</v>
      </c>
      <c r="CQ5" s="74">
        <f t="shared" si="25"/>
        <v>383</v>
      </c>
      <c r="CR5" s="74">
        <f t="shared" si="26"/>
        <v>395</v>
      </c>
      <c r="CS5" s="23">
        <f t="shared" si="27"/>
        <v>1</v>
      </c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  <c r="OK5" s="1"/>
      <c r="OL5" s="1"/>
      <c r="OM5" s="1"/>
      <c r="ON5" s="1"/>
      <c r="OO5" s="1"/>
      <c r="OP5" s="1"/>
      <c r="OQ5" s="1"/>
      <c r="OR5" s="1"/>
      <c r="OS5" s="1"/>
      <c r="OT5" s="1"/>
      <c r="OU5" s="1"/>
      <c r="OV5" s="1"/>
      <c r="OW5" s="1"/>
      <c r="OX5" s="1"/>
      <c r="OY5" s="1"/>
      <c r="OZ5" s="1"/>
      <c r="PA5" s="1"/>
      <c r="PB5" s="1"/>
      <c r="PC5" s="1"/>
      <c r="PD5" s="1"/>
      <c r="PE5" s="1"/>
      <c r="PF5" s="1"/>
      <c r="PG5" s="1"/>
      <c r="PH5" s="1"/>
      <c r="PI5" s="1"/>
      <c r="PJ5" s="1"/>
      <c r="PK5" s="1"/>
      <c r="PL5" s="1"/>
      <c r="PM5" s="1"/>
      <c r="PN5" s="1"/>
      <c r="PO5" s="1"/>
      <c r="PP5" s="1"/>
      <c r="PQ5" s="1"/>
      <c r="PR5" s="1"/>
      <c r="PS5" s="1"/>
      <c r="PT5" s="1"/>
      <c r="PU5" s="1"/>
      <c r="PV5" s="1"/>
      <c r="PW5" s="1"/>
      <c r="PX5" s="1"/>
      <c r="PY5" s="1"/>
      <c r="PZ5" s="1"/>
      <c r="QA5" s="1"/>
      <c r="QB5" s="1"/>
      <c r="QC5" s="1"/>
      <c r="QD5" s="1"/>
      <c r="QE5" s="1"/>
      <c r="QF5" s="1"/>
      <c r="QG5" s="1"/>
      <c r="QH5" s="1"/>
      <c r="QI5" s="1"/>
      <c r="QJ5" s="1"/>
      <c r="QK5" s="1"/>
      <c r="QL5" s="1"/>
      <c r="QM5" s="1"/>
      <c r="QN5" s="1"/>
      <c r="QO5" s="1"/>
      <c r="QP5" s="1"/>
      <c r="QQ5" s="1"/>
      <c r="QR5" s="1"/>
      <c r="QS5" s="1"/>
      <c r="QT5" s="1"/>
      <c r="QU5" s="1"/>
      <c r="QV5" s="1"/>
      <c r="QW5" s="1"/>
      <c r="QX5" s="1"/>
      <c r="QY5" s="1"/>
      <c r="QZ5" s="1"/>
      <c r="RA5" s="1"/>
      <c r="RB5" s="1"/>
      <c r="RC5" s="1"/>
      <c r="RD5" s="1"/>
      <c r="RE5" s="1"/>
      <c r="RF5" s="1"/>
      <c r="RG5" s="1"/>
      <c r="RH5" s="1"/>
      <c r="RI5" s="1"/>
      <c r="RJ5" s="1"/>
      <c r="RK5" s="1"/>
      <c r="RL5" s="1"/>
      <c r="RM5" s="1"/>
      <c r="RN5" s="1"/>
      <c r="RO5" s="1"/>
      <c r="RP5" s="1"/>
      <c r="RQ5" s="1"/>
      <c r="RR5" s="1"/>
      <c r="RS5" s="1"/>
      <c r="RT5" s="1"/>
      <c r="RU5" s="1"/>
      <c r="RV5" s="1"/>
      <c r="RW5" s="1"/>
      <c r="RX5" s="1"/>
      <c r="RY5" s="1"/>
      <c r="RZ5" s="1"/>
      <c r="SA5" s="1"/>
      <c r="SB5" s="1"/>
      <c r="SC5" s="1"/>
      <c r="SD5" s="1"/>
      <c r="SE5" s="1"/>
      <c r="SF5" s="1"/>
      <c r="SG5" s="1"/>
      <c r="SH5" s="1"/>
      <c r="SI5" s="1"/>
      <c r="SJ5" s="1"/>
      <c r="SK5" s="1"/>
      <c r="SL5" s="1"/>
      <c r="SM5" s="1"/>
      <c r="SN5" s="1"/>
      <c r="SO5" s="1"/>
      <c r="SP5" s="1"/>
      <c r="SQ5" s="1"/>
      <c r="SR5" s="1"/>
      <c r="SS5" s="1"/>
      <c r="ST5" s="1"/>
      <c r="SU5" s="1"/>
      <c r="SV5" s="1"/>
      <c r="SW5" s="1"/>
      <c r="SX5" s="1"/>
      <c r="SY5" s="1"/>
      <c r="SZ5" s="1"/>
      <c r="TA5" s="1"/>
      <c r="TB5" s="1"/>
      <c r="TC5" s="1"/>
      <c r="TD5" s="1"/>
      <c r="TE5" s="1"/>
      <c r="TF5" s="1"/>
      <c r="TG5" s="1"/>
      <c r="TH5" s="1"/>
      <c r="TI5" s="1"/>
      <c r="TJ5" s="1"/>
      <c r="TK5" s="1"/>
      <c r="TL5" s="1"/>
      <c r="TM5" s="1"/>
      <c r="TN5" s="1"/>
      <c r="TO5" s="1"/>
      <c r="TP5" s="1"/>
      <c r="TQ5" s="1"/>
      <c r="TR5" s="1"/>
      <c r="TS5" s="1"/>
      <c r="TT5" s="1"/>
      <c r="TU5" s="1"/>
      <c r="TV5" s="1"/>
      <c r="TW5" s="1"/>
      <c r="TX5" s="1"/>
      <c r="TY5" s="1"/>
      <c r="TZ5" s="1"/>
      <c r="UA5" s="1"/>
      <c r="UB5" s="1"/>
      <c r="UC5" s="1"/>
      <c r="UD5" s="1"/>
      <c r="UE5" s="1"/>
      <c r="UF5" s="1"/>
      <c r="UG5" s="1"/>
      <c r="UH5" s="1"/>
      <c r="UI5" s="1"/>
      <c r="UJ5" s="1"/>
      <c r="UK5" s="1"/>
      <c r="UL5" s="1"/>
      <c r="UM5" s="1"/>
      <c r="UN5" s="1"/>
      <c r="UO5" s="1"/>
      <c r="UP5" s="1"/>
      <c r="UQ5" s="1"/>
      <c r="UR5" s="1"/>
      <c r="US5" s="1"/>
      <c r="UT5" s="1"/>
      <c r="UU5" s="1"/>
      <c r="UV5" s="1"/>
      <c r="UW5" s="1"/>
      <c r="UX5" s="1"/>
      <c r="UY5" s="1"/>
      <c r="UZ5" s="1"/>
      <c r="VA5" s="1"/>
      <c r="VB5" s="1"/>
      <c r="VC5" s="1"/>
      <c r="VD5" s="1"/>
      <c r="VE5" s="1"/>
      <c r="VF5" s="1"/>
      <c r="VG5" s="1"/>
      <c r="VH5" s="1"/>
      <c r="VI5" s="1"/>
      <c r="VJ5" s="1"/>
      <c r="VK5" s="1"/>
      <c r="VL5" s="1"/>
      <c r="VM5" s="1"/>
      <c r="VN5" s="1"/>
      <c r="VO5" s="1"/>
      <c r="VP5" s="1"/>
      <c r="VQ5" s="1"/>
      <c r="VR5" s="1"/>
      <c r="VS5" s="1"/>
      <c r="VT5" s="1"/>
      <c r="VU5" s="1"/>
      <c r="VV5" s="1"/>
      <c r="VW5" s="1"/>
      <c r="VX5" s="1"/>
      <c r="VY5" s="1"/>
      <c r="VZ5" s="1"/>
      <c r="WA5" s="1"/>
      <c r="WB5" s="1"/>
      <c r="WC5" s="1"/>
      <c r="WD5" s="1"/>
      <c r="WE5" s="1"/>
      <c r="WF5" s="1"/>
      <c r="WG5" s="1"/>
      <c r="WH5" s="1"/>
      <c r="WI5" s="1"/>
      <c r="WJ5" s="1"/>
      <c r="WK5" s="1"/>
      <c r="WL5" s="1"/>
      <c r="WM5" s="1"/>
      <c r="WN5" s="1"/>
      <c r="WO5" s="1"/>
      <c r="WP5" s="1"/>
      <c r="WQ5" s="1"/>
      <c r="WR5" s="1"/>
      <c r="WS5" s="1"/>
      <c r="WT5" s="1"/>
      <c r="WU5" s="1"/>
      <c r="WV5" s="1"/>
      <c r="WW5" s="1"/>
      <c r="WX5" s="1"/>
      <c r="WY5" s="1"/>
      <c r="WZ5" s="1"/>
      <c r="XA5" s="1"/>
      <c r="XB5" s="1"/>
      <c r="XC5" s="1"/>
      <c r="XD5" s="1"/>
      <c r="XE5" s="1"/>
      <c r="XF5" s="1"/>
      <c r="XG5" s="1"/>
      <c r="XH5" s="1"/>
      <c r="XI5" s="1"/>
      <c r="XJ5" s="1"/>
      <c r="XK5" s="1"/>
      <c r="XL5" s="1"/>
      <c r="XM5" s="1"/>
      <c r="XN5" s="1"/>
      <c r="XO5" s="1"/>
      <c r="XP5" s="1"/>
      <c r="XQ5" s="1"/>
      <c r="XR5" s="1"/>
      <c r="XS5" s="1"/>
      <c r="XT5" s="1"/>
      <c r="XU5" s="1"/>
      <c r="XV5" s="1"/>
      <c r="XW5" s="1"/>
      <c r="XX5" s="1"/>
      <c r="XY5" s="1"/>
      <c r="XZ5" s="1"/>
      <c r="YA5" s="1"/>
      <c r="YB5" s="1"/>
      <c r="YC5" s="1"/>
      <c r="YD5" s="1"/>
      <c r="YE5" s="1"/>
      <c r="YF5" s="1"/>
      <c r="YG5" s="1"/>
      <c r="YH5" s="1"/>
      <c r="YI5" s="1"/>
      <c r="YJ5" s="1"/>
      <c r="YK5" s="1"/>
      <c r="YL5" s="1"/>
      <c r="YM5" s="1"/>
      <c r="YN5" s="1"/>
      <c r="YO5" s="1"/>
      <c r="YP5" s="1"/>
      <c r="YQ5" s="1"/>
      <c r="YR5" s="1"/>
      <c r="YS5" s="1"/>
      <c r="YT5" s="1"/>
      <c r="YU5" s="1"/>
      <c r="YV5" s="1"/>
      <c r="YW5" s="1"/>
      <c r="YX5" s="1"/>
      <c r="YY5" s="1"/>
      <c r="YZ5" s="1"/>
      <c r="ZA5" s="1"/>
      <c r="ZB5" s="1"/>
      <c r="ZC5" s="1"/>
      <c r="ZD5" s="1"/>
      <c r="ZE5" s="1"/>
      <c r="ZF5" s="1"/>
      <c r="ZG5" s="1"/>
      <c r="ZH5" s="1"/>
      <c r="ZI5" s="1"/>
      <c r="ZJ5" s="1"/>
      <c r="ZK5" s="1"/>
      <c r="ZL5" s="1"/>
      <c r="ZM5" s="1"/>
      <c r="ZN5" s="1"/>
      <c r="ZO5" s="1"/>
      <c r="ZP5" s="1"/>
      <c r="ZQ5" s="1"/>
      <c r="ZR5" s="1"/>
      <c r="ZS5" s="1"/>
      <c r="ZT5" s="1"/>
      <c r="ZU5" s="1"/>
      <c r="ZV5" s="1"/>
      <c r="ZW5" s="1"/>
      <c r="ZX5" s="1"/>
      <c r="ZY5" s="1"/>
      <c r="ZZ5" s="1"/>
      <c r="AAA5" s="1"/>
      <c r="AAB5" s="1"/>
      <c r="AAC5" s="1"/>
      <c r="AAD5" s="1"/>
      <c r="AAE5" s="1"/>
      <c r="AAF5" s="1"/>
      <c r="AAG5" s="1"/>
      <c r="AAH5" s="1"/>
      <c r="AAI5" s="1"/>
      <c r="AAJ5" s="1"/>
      <c r="AAK5" s="1"/>
      <c r="AAL5" s="1"/>
      <c r="AAM5" s="1"/>
      <c r="AAN5" s="1"/>
      <c r="AAO5" s="1"/>
      <c r="AAP5" s="1"/>
      <c r="AAQ5" s="1"/>
      <c r="AAR5" s="1"/>
      <c r="AAS5" s="1"/>
      <c r="AAT5" s="1"/>
      <c r="AAU5" s="1"/>
      <c r="AAV5" s="1"/>
      <c r="AAW5" s="1"/>
      <c r="AAX5" s="1"/>
      <c r="AAY5" s="1"/>
      <c r="AAZ5" s="1"/>
      <c r="ABA5" s="1"/>
      <c r="ABB5" s="1"/>
      <c r="ABC5" s="1"/>
      <c r="ABD5" s="1"/>
      <c r="ABE5" s="1"/>
      <c r="ABF5" s="1"/>
      <c r="ABG5" s="1"/>
      <c r="ABH5" s="1"/>
      <c r="ABI5" s="1"/>
      <c r="ABJ5" s="1"/>
      <c r="ABK5" s="1"/>
      <c r="ABL5" s="1"/>
      <c r="ABM5" s="1"/>
      <c r="ABN5" s="1"/>
      <c r="ABO5" s="1"/>
      <c r="ABP5" s="1"/>
      <c r="ABQ5" s="1"/>
      <c r="ABR5" s="1"/>
      <c r="ABS5" s="1"/>
      <c r="ABT5" s="1"/>
      <c r="ABU5" s="1"/>
      <c r="ABV5" s="1"/>
      <c r="ABW5" s="1"/>
      <c r="ABX5" s="1"/>
      <c r="ABY5" s="1"/>
      <c r="ABZ5" s="1"/>
      <c r="ACA5" s="1"/>
      <c r="ACB5" s="1"/>
      <c r="ACC5" s="1"/>
      <c r="ACD5" s="1"/>
      <c r="ACE5" s="1"/>
      <c r="ACF5" s="1"/>
      <c r="ACG5" s="1"/>
      <c r="ACH5" s="1"/>
      <c r="ACI5" s="1"/>
      <c r="ACJ5" s="1"/>
      <c r="ACK5" s="1"/>
      <c r="ACL5" s="1"/>
      <c r="ACM5" s="1"/>
      <c r="ACN5" s="1"/>
      <c r="ACO5" s="1"/>
      <c r="ACP5" s="1"/>
      <c r="ACQ5" s="1"/>
      <c r="ACR5" s="1"/>
      <c r="ACS5" s="1"/>
      <c r="ACT5" s="1"/>
      <c r="ACU5" s="1"/>
      <c r="ACV5" s="1"/>
      <c r="ACW5" s="1"/>
      <c r="ACX5" s="1"/>
      <c r="ACY5" s="1"/>
      <c r="ACZ5" s="1"/>
      <c r="ADA5" s="1"/>
      <c r="ADB5" s="1"/>
      <c r="ADC5" s="1"/>
      <c r="ADD5" s="1"/>
      <c r="ADE5" s="1"/>
      <c r="ADF5" s="1"/>
      <c r="ADG5" s="1"/>
      <c r="ADH5" s="1"/>
      <c r="ADI5" s="1"/>
      <c r="ADJ5" s="1"/>
      <c r="ADK5" s="1"/>
      <c r="ADL5" s="1"/>
      <c r="ADM5" s="1"/>
      <c r="ADN5" s="1"/>
      <c r="ADO5" s="1"/>
      <c r="ADP5" s="1"/>
      <c r="ADQ5" s="1"/>
      <c r="ADR5" s="1"/>
      <c r="ADS5" s="1"/>
      <c r="ADT5" s="1"/>
      <c r="ADU5" s="1"/>
      <c r="ADV5" s="1"/>
      <c r="ADW5" s="1"/>
      <c r="ADX5" s="1"/>
      <c r="ADY5" s="1"/>
      <c r="ADZ5" s="1"/>
      <c r="AEA5" s="1"/>
      <c r="AEB5" s="1"/>
      <c r="AEC5" s="1"/>
      <c r="AED5" s="1"/>
      <c r="AEE5" s="1"/>
      <c r="AEF5" s="1"/>
      <c r="AEG5" s="1"/>
      <c r="AEH5" s="1"/>
      <c r="AEI5" s="1"/>
      <c r="AEJ5" s="1"/>
      <c r="AEK5" s="1"/>
      <c r="AEL5" s="1"/>
      <c r="AEM5" s="1"/>
      <c r="AEN5" s="1"/>
      <c r="AEO5" s="1"/>
      <c r="AEP5" s="1"/>
      <c r="AEQ5" s="1"/>
      <c r="AER5" s="1"/>
      <c r="AES5" s="1"/>
      <c r="AET5" s="1"/>
      <c r="AEU5" s="1"/>
      <c r="AEV5" s="1"/>
      <c r="AEW5" s="1"/>
      <c r="AEX5" s="1"/>
      <c r="AEY5" s="1"/>
      <c r="AEZ5" s="1"/>
      <c r="AFA5" s="1"/>
      <c r="AFB5" s="1"/>
      <c r="AFC5" s="1"/>
      <c r="AFD5" s="1"/>
      <c r="AFE5" s="1"/>
      <c r="AFF5" s="1"/>
      <c r="AFG5" s="1"/>
      <c r="AFH5" s="1"/>
      <c r="AFI5" s="1"/>
      <c r="AFJ5" s="1"/>
      <c r="AFK5" s="1"/>
      <c r="AFL5" s="1"/>
      <c r="AFM5" s="1"/>
      <c r="AFN5" s="1"/>
      <c r="AFO5" s="1"/>
      <c r="AFP5" s="1"/>
      <c r="AFQ5" s="1"/>
      <c r="AFR5" s="1"/>
      <c r="AFS5" s="1"/>
      <c r="AFT5" s="1"/>
      <c r="AFU5" s="1"/>
      <c r="AFV5" s="1"/>
      <c r="AFW5" s="1"/>
      <c r="AFX5" s="1"/>
      <c r="AFY5" s="1"/>
      <c r="AFZ5" s="1"/>
      <c r="AGA5" s="1"/>
      <c r="AGB5" s="1"/>
      <c r="AGC5" s="1"/>
      <c r="AGD5" s="1"/>
      <c r="AGE5" s="1"/>
      <c r="AGF5" s="1"/>
      <c r="AGG5" s="1"/>
      <c r="AGH5" s="1"/>
      <c r="AGI5" s="1"/>
      <c r="AGJ5" s="1"/>
      <c r="AGK5" s="1"/>
      <c r="AGL5" s="1"/>
      <c r="AGM5" s="1"/>
      <c r="AGN5" s="1"/>
      <c r="AGO5" s="1"/>
      <c r="AGP5" s="1"/>
      <c r="AGQ5" s="1"/>
      <c r="AGR5" s="1"/>
      <c r="AGS5" s="1"/>
      <c r="AGT5" s="1"/>
      <c r="AGU5" s="1"/>
      <c r="AGV5" s="1"/>
      <c r="AGW5" s="1"/>
      <c r="AGX5" s="1"/>
      <c r="AGY5" s="1"/>
      <c r="AGZ5" s="1"/>
      <c r="AHA5" s="1"/>
      <c r="AHB5" s="1"/>
      <c r="AHC5" s="1"/>
      <c r="AHD5" s="1"/>
      <c r="AHE5" s="1"/>
      <c r="AHF5" s="1"/>
      <c r="AHG5" s="1"/>
      <c r="AHH5" s="1"/>
      <c r="AHI5" s="1"/>
      <c r="AHJ5" s="1"/>
      <c r="AHK5" s="1"/>
      <c r="AHL5" s="1"/>
      <c r="AHM5" s="1"/>
      <c r="AHN5" s="1"/>
      <c r="AHO5" s="1"/>
      <c r="AHP5" s="1"/>
      <c r="AHQ5" s="1"/>
      <c r="AHR5" s="1"/>
      <c r="AHS5" s="1"/>
      <c r="AHT5" s="1"/>
      <c r="AHU5" s="1"/>
      <c r="AHV5" s="1"/>
      <c r="AHW5" s="1"/>
      <c r="AHX5" s="1"/>
      <c r="AHY5" s="1"/>
      <c r="AHZ5" s="1"/>
      <c r="AIA5" s="1"/>
      <c r="AIB5" s="1"/>
      <c r="AIC5" s="1"/>
      <c r="AID5" s="1"/>
      <c r="AIE5" s="1"/>
      <c r="AIF5" s="1"/>
      <c r="AIG5" s="1"/>
      <c r="AIH5" s="1"/>
      <c r="AII5" s="1"/>
      <c r="AIJ5" s="1"/>
      <c r="AIK5" s="1"/>
      <c r="AIL5" s="1"/>
      <c r="AIM5" s="1"/>
      <c r="AIN5" s="1"/>
      <c r="AIO5" s="1"/>
      <c r="AIP5" s="1"/>
      <c r="AIQ5" s="1"/>
      <c r="AIR5" s="1"/>
      <c r="AIS5" s="1"/>
      <c r="AIT5" s="1"/>
      <c r="AIU5" s="1"/>
      <c r="AIV5" s="1"/>
      <c r="AIW5" s="1"/>
      <c r="AIX5" s="1"/>
      <c r="AIY5" s="1"/>
      <c r="AIZ5" s="1"/>
      <c r="AJA5" s="1"/>
      <c r="AJB5" s="1"/>
      <c r="AJC5" s="1"/>
      <c r="AJD5" s="1"/>
      <c r="AJE5" s="1"/>
      <c r="AJF5" s="1"/>
      <c r="AJG5" s="1"/>
      <c r="AJH5" s="1"/>
      <c r="AJI5" s="1"/>
      <c r="AJJ5" s="1"/>
      <c r="AJK5" s="1"/>
      <c r="AJL5" s="1"/>
      <c r="AJM5" s="1"/>
      <c r="AJN5" s="1"/>
      <c r="AJO5" s="1"/>
      <c r="AJP5" s="1"/>
      <c r="AJQ5" s="1"/>
      <c r="AJR5" s="1"/>
      <c r="AJS5" s="1"/>
      <c r="AJT5" s="1"/>
      <c r="AJU5" s="1"/>
      <c r="AJV5" s="1"/>
      <c r="AJW5" s="1"/>
      <c r="AJX5" s="1"/>
      <c r="AJY5" s="1"/>
      <c r="AJZ5" s="1"/>
      <c r="AKA5" s="1"/>
      <c r="AKB5" s="1"/>
      <c r="AKC5" s="1"/>
      <c r="AKD5" s="1"/>
      <c r="AKE5" s="1"/>
      <c r="AKF5" s="1"/>
      <c r="AKG5" s="1"/>
      <c r="AKH5" s="1"/>
      <c r="AKI5" s="1"/>
      <c r="AKJ5" s="1"/>
      <c r="AKK5" s="1"/>
      <c r="AKL5" s="1"/>
      <c r="AKM5" s="1"/>
      <c r="AKN5" s="1"/>
      <c r="AKO5" s="1"/>
      <c r="AKP5" s="1"/>
      <c r="AKQ5" s="1"/>
      <c r="AKR5" s="1"/>
      <c r="AKS5" s="1"/>
      <c r="AKT5" s="1"/>
      <c r="AKU5" s="1"/>
      <c r="AKV5" s="1"/>
      <c r="AKW5" s="1"/>
      <c r="AKX5" s="1"/>
      <c r="AKY5" s="1"/>
      <c r="AKZ5" s="1"/>
      <c r="ALA5" s="1"/>
      <c r="ALB5" s="1"/>
      <c r="ALC5" s="1"/>
      <c r="ALD5" s="1"/>
      <c r="ALE5" s="1"/>
      <c r="ALF5" s="1"/>
      <c r="ALG5" s="1"/>
      <c r="ALH5" s="1"/>
      <c r="ALI5" s="1"/>
      <c r="ALJ5" s="1"/>
      <c r="ALK5" s="1"/>
      <c r="ALL5" s="1"/>
      <c r="ALM5" s="1"/>
      <c r="ALN5" s="1"/>
      <c r="ALO5" s="1"/>
      <c r="ALP5" s="1"/>
      <c r="ALQ5" s="1"/>
      <c r="ALR5" s="1"/>
      <c r="ALS5" s="1"/>
      <c r="ALT5" s="1"/>
      <c r="ALU5" s="1"/>
      <c r="ALV5" s="1"/>
      <c r="ALW5" s="1"/>
      <c r="ALX5" s="1"/>
      <c r="ALY5" s="1"/>
      <c r="ALZ5" s="1"/>
      <c r="AMA5" s="1"/>
      <c r="AMB5" s="1"/>
      <c r="AMC5" s="1"/>
      <c r="AMD5" s="1"/>
      <c r="AME5" s="1"/>
      <c r="AMF5" s="1"/>
      <c r="AMG5" s="1"/>
      <c r="AMH5" s="1"/>
      <c r="AMI5" s="1"/>
      <c r="AMJ5" s="1"/>
      <c r="AMK5" s="1"/>
      <c r="AML5" s="1"/>
      <c r="AMM5" s="1"/>
      <c r="AMN5" s="1"/>
    </row>
    <row r="6" spans="1:1028" x14ac:dyDescent="0.2">
      <c r="A6" s="3" t="str">
        <f t="shared" si="0"/>
        <v>5ht2b_human_4IB4</v>
      </c>
      <c r="B6" s="3" t="s">
        <v>35</v>
      </c>
      <c r="C6" s="3" t="s">
        <v>70</v>
      </c>
      <c r="D6" s="3" t="str">
        <f>IFERROR(MID(VLOOKUP($B6,Seqs!$A:$B,2,0),E6,1),"")</f>
        <v>L</v>
      </c>
      <c r="E6" s="3">
        <v>54</v>
      </c>
      <c r="F6" s="3" t="str">
        <f>IFERROR(MID(VLOOKUP($B6,Seqs!$A:$B,2,0),G6,1),"")</f>
        <v>E</v>
      </c>
      <c r="G6" s="3">
        <v>82</v>
      </c>
      <c r="H6" s="3" t="str">
        <f>IFERROR(MID(VLOOKUP($B6,Seqs!$A:$B,2,0),I6,1),"")</f>
        <v>K</v>
      </c>
      <c r="I6" s="23">
        <v>83</v>
      </c>
      <c r="J6" s="3" t="str">
        <f>IFERROR(MID(VLOOKUP($B6,Seqs!$A:$B,2,0),K6,1),"")</f>
        <v>Q</v>
      </c>
      <c r="K6" s="23">
        <v>86</v>
      </c>
      <c r="L6" s="3" t="str">
        <f>IFERROR(MID(VLOOKUP($B6,Seqs!$A:$B,2,0),M6,1),"")</f>
        <v>Y</v>
      </c>
      <c r="M6" s="3">
        <v>87</v>
      </c>
      <c r="N6" s="3" t="str">
        <f>IFERROR(MID(VLOOKUP($B6,Seqs!$A:$B,2,0),O6,1),"")</f>
        <v>F</v>
      </c>
      <c r="O6" s="3">
        <v>117</v>
      </c>
      <c r="P6" s="3" t="str">
        <f>IFERROR(MID(VLOOKUP($B6,Seqs!$A:$B,2,0),Q6,1),"")</f>
        <v>M</v>
      </c>
      <c r="Q6" s="3">
        <v>120</v>
      </c>
      <c r="R6" s="3" t="str">
        <f>IFERROR(MID(VLOOKUP($B6,Seqs!$A:$B,2,0),S6,1),"")</f>
        <v>L</v>
      </c>
      <c r="S6" s="3">
        <v>123</v>
      </c>
      <c r="T6" s="3" t="str">
        <f>IFERROR(MID(VLOOKUP($B6,Seqs!$A:$B,2,0),U6,1),"")</f>
        <v>P</v>
      </c>
      <c r="U6" s="3">
        <v>124</v>
      </c>
      <c r="V6" s="3" t="str">
        <f>IFERROR(MID(VLOOKUP($B6,Seqs!$A:$B,2,0),W6,1),"")</f>
        <v>K</v>
      </c>
      <c r="W6" s="3">
        <v>159</v>
      </c>
      <c r="X6" s="3" t="str">
        <f>IFERROR(MID(VLOOKUP($B6,Seqs!$A:$B,2,0),Y6,1),"")</f>
        <v/>
      </c>
      <c r="Y6" s="3" t="s">
        <v>23</v>
      </c>
      <c r="Z6" s="3" t="str">
        <f>IFERROR(MID(VLOOKUP($B6,Seqs!$A:$B,2,0),AA6,1),"")</f>
        <v/>
      </c>
      <c r="AA6" s="3" t="s">
        <v>23</v>
      </c>
      <c r="AB6" s="3" t="str">
        <f>IFERROR(MID(VLOOKUP($B6,Seqs!$A:$B,2,0),AC6,1),"")</f>
        <v>N</v>
      </c>
      <c r="AC6" s="108">
        <v>164</v>
      </c>
      <c r="AD6" s="3" t="str">
        <f>IFERROR(MID(VLOOKUP($B6,Seqs!$A:$B,2,0),AE6,1),"")</f>
        <v>G</v>
      </c>
      <c r="AE6" s="3">
        <v>194</v>
      </c>
      <c r="AF6" s="3" t="str">
        <f>IFERROR(MID(VLOOKUP($B6,Seqs!$A:$B,2,0),AG6,1),"")</f>
        <v>C</v>
      </c>
      <c r="AG6" s="3">
        <v>207</v>
      </c>
      <c r="AH6" s="3" t="str">
        <f>IFERROR(MID(VLOOKUP($B6,Seqs!$A:$B,2,0),AI6,1),"")</f>
        <v>L</v>
      </c>
      <c r="AI6" s="3">
        <v>209</v>
      </c>
      <c r="AJ6" s="3" t="str">
        <f>IFERROR(MID(VLOOKUP($B6,Seqs!$A:$B,2,0),AK6,1),"")</f>
        <v>F</v>
      </c>
      <c r="AK6" s="3">
        <v>214</v>
      </c>
      <c r="AL6" s="3" t="str">
        <f>IFERROR(MID(VLOOKUP($B6,Seqs!$A:$B,2,0),AM6,1),"")</f>
        <v>A</v>
      </c>
      <c r="AM6" s="108">
        <v>248</v>
      </c>
      <c r="AN6" s="3" t="str">
        <f>IFERROR(MID(VLOOKUP($B6,Seqs!$A:$B,2,0),AO6,1),"")</f>
        <v>Q</v>
      </c>
      <c r="AO6" s="108">
        <v>314</v>
      </c>
      <c r="AP6" s="3" t="str">
        <f>IFERROR(MID(VLOOKUP($B6,Seqs!$A:$B,2,0),AQ6,1),"")</f>
        <v>C</v>
      </c>
      <c r="AQ6" s="3">
        <v>350</v>
      </c>
      <c r="AR6" s="3" t="str">
        <f>IFERROR(MID(VLOOKUP($B6,Seqs!$A:$B,2,0),AS6,1),"")</f>
        <v>Q</v>
      </c>
      <c r="AS6" s="3">
        <v>355</v>
      </c>
      <c r="AT6" s="3" t="str">
        <f>IFERROR(MID(VLOOKUP($B6,Seqs!$A:$B,2,0),AU6,1),"")</f>
        <v>F</v>
      </c>
      <c r="AU6" s="3">
        <v>383</v>
      </c>
      <c r="AV6" s="3" t="str">
        <f>IFERROR(MID(VLOOKUP($B6,Seqs!$A:$B,2,0),AW6,1),"")</f>
        <v>N</v>
      </c>
      <c r="AW6" s="3">
        <v>384</v>
      </c>
      <c r="AX6" s="3" t="str">
        <f>IFERROR(MID(VLOOKUP($B6,Seqs!$A:$B,2,0),AY6,1),"")</f>
        <v>I</v>
      </c>
      <c r="AY6" s="3">
        <v>395</v>
      </c>
      <c r="AZ6" s="79" t="str">
        <f>VLOOKUP(B6,Classification!A:D,2,0)</f>
        <v>A</v>
      </c>
      <c r="BA6" s="97" t="str">
        <f>VLOOKUP(B6,Classification!A:D,4,0)</f>
        <v>5-Hydroxytryptamine</v>
      </c>
      <c r="BB6" s="27" t="b">
        <f t="shared" si="1"/>
        <v>1</v>
      </c>
      <c r="BC6" s="23">
        <f t="shared" si="2"/>
        <v>252</v>
      </c>
      <c r="BD6" s="16" t="s">
        <v>1383</v>
      </c>
      <c r="BE6" s="3" t="s">
        <v>1381</v>
      </c>
      <c r="BF6" s="50" t="s">
        <v>1384</v>
      </c>
      <c r="BG6" s="50" t="s">
        <v>1384</v>
      </c>
      <c r="BH6" s="1"/>
      <c r="BI6" s="72" t="s">
        <v>1293</v>
      </c>
      <c r="BJ6" s="58" t="s">
        <v>1293</v>
      </c>
      <c r="BK6" s="58" t="s">
        <v>1293</v>
      </c>
      <c r="BL6" s="58" t="s">
        <v>1293</v>
      </c>
      <c r="BM6" s="58" t="s">
        <v>1293</v>
      </c>
      <c r="BN6" s="58" t="s">
        <v>1293</v>
      </c>
      <c r="BO6" s="58" t="s">
        <v>1293</v>
      </c>
      <c r="BP6" s="58" t="s">
        <v>1293</v>
      </c>
      <c r="BQ6" s="58" t="s">
        <v>1293</v>
      </c>
      <c r="BR6" s="58" t="s">
        <v>1293</v>
      </c>
      <c r="BS6" s="58" t="s">
        <v>1293</v>
      </c>
      <c r="BT6" s="58" t="s">
        <v>1293</v>
      </c>
      <c r="BU6" s="72">
        <f t="shared" si="3"/>
        <v>54</v>
      </c>
      <c r="BV6" s="73">
        <f t="shared" si="4"/>
        <v>83</v>
      </c>
      <c r="BW6" s="74">
        <f t="shared" si="5"/>
        <v>87</v>
      </c>
      <c r="BX6" s="73">
        <f t="shared" si="6"/>
        <v>120</v>
      </c>
      <c r="BY6" s="74">
        <f t="shared" si="7"/>
        <v>124</v>
      </c>
      <c r="BZ6" s="73" t="str">
        <f t="shared" si="8"/>
        <v>-</v>
      </c>
      <c r="CA6" s="74">
        <f t="shared" si="9"/>
        <v>164</v>
      </c>
      <c r="CB6" s="73">
        <f t="shared" si="10"/>
        <v>207</v>
      </c>
      <c r="CC6" s="74">
        <f t="shared" si="11"/>
        <v>214</v>
      </c>
      <c r="CD6" s="73">
        <f t="shared" si="12"/>
        <v>314</v>
      </c>
      <c r="CE6" s="74">
        <f t="shared" si="13"/>
        <v>355</v>
      </c>
      <c r="CF6" s="73">
        <f t="shared" si="14"/>
        <v>384</v>
      </c>
      <c r="CG6" s="72">
        <f t="shared" si="15"/>
        <v>82</v>
      </c>
      <c r="CH6" s="73">
        <f t="shared" si="16"/>
        <v>86</v>
      </c>
      <c r="CI6" s="74">
        <f t="shared" si="17"/>
        <v>117</v>
      </c>
      <c r="CJ6" s="74">
        <f t="shared" si="18"/>
        <v>123</v>
      </c>
      <c r="CK6" s="74">
        <f t="shared" si="19"/>
        <v>159</v>
      </c>
      <c r="CL6" s="74" t="str">
        <f t="shared" si="20"/>
        <v>-</v>
      </c>
      <c r="CM6" s="74">
        <f t="shared" si="21"/>
        <v>194</v>
      </c>
      <c r="CN6" s="74">
        <f t="shared" si="22"/>
        <v>209</v>
      </c>
      <c r="CO6" s="74">
        <f t="shared" si="23"/>
        <v>248</v>
      </c>
      <c r="CP6" s="74">
        <f t="shared" si="24"/>
        <v>350</v>
      </c>
      <c r="CQ6" s="74">
        <f t="shared" si="25"/>
        <v>383</v>
      </c>
      <c r="CR6" s="74">
        <f t="shared" si="26"/>
        <v>395</v>
      </c>
      <c r="CS6" s="23">
        <f t="shared" si="27"/>
        <v>1</v>
      </c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  <c r="OK6" s="1"/>
      <c r="OL6" s="1"/>
      <c r="OM6" s="1"/>
      <c r="ON6" s="1"/>
      <c r="OO6" s="1"/>
      <c r="OP6" s="1"/>
      <c r="OQ6" s="1"/>
      <c r="OR6" s="1"/>
      <c r="OS6" s="1"/>
      <c r="OT6" s="1"/>
      <c r="OU6" s="1"/>
      <c r="OV6" s="1"/>
      <c r="OW6" s="1"/>
      <c r="OX6" s="1"/>
      <c r="OY6" s="1"/>
      <c r="OZ6" s="1"/>
      <c r="PA6" s="1"/>
      <c r="PB6" s="1"/>
      <c r="PC6" s="1"/>
      <c r="PD6" s="1"/>
      <c r="PE6" s="1"/>
      <c r="PF6" s="1"/>
      <c r="PG6" s="1"/>
      <c r="PH6" s="1"/>
      <c r="PI6" s="1"/>
      <c r="PJ6" s="1"/>
      <c r="PK6" s="1"/>
      <c r="PL6" s="1"/>
      <c r="PM6" s="1"/>
      <c r="PN6" s="1"/>
      <c r="PO6" s="1"/>
      <c r="PP6" s="1"/>
      <c r="PQ6" s="1"/>
      <c r="PR6" s="1"/>
      <c r="PS6" s="1"/>
      <c r="PT6" s="1"/>
      <c r="PU6" s="1"/>
      <c r="PV6" s="1"/>
      <c r="PW6" s="1"/>
      <c r="PX6" s="1"/>
      <c r="PY6" s="1"/>
      <c r="PZ6" s="1"/>
      <c r="QA6" s="1"/>
      <c r="QB6" s="1"/>
      <c r="QC6" s="1"/>
      <c r="QD6" s="1"/>
      <c r="QE6" s="1"/>
      <c r="QF6" s="1"/>
      <c r="QG6" s="1"/>
      <c r="QH6" s="1"/>
      <c r="QI6" s="1"/>
      <c r="QJ6" s="1"/>
      <c r="QK6" s="1"/>
      <c r="QL6" s="1"/>
      <c r="QM6" s="1"/>
      <c r="QN6" s="1"/>
      <c r="QO6" s="1"/>
      <c r="QP6" s="1"/>
      <c r="QQ6" s="1"/>
      <c r="QR6" s="1"/>
      <c r="QS6" s="1"/>
      <c r="QT6" s="1"/>
      <c r="QU6" s="1"/>
      <c r="QV6" s="1"/>
      <c r="QW6" s="1"/>
      <c r="QX6" s="1"/>
      <c r="QY6" s="1"/>
      <c r="QZ6" s="1"/>
      <c r="RA6" s="1"/>
      <c r="RB6" s="1"/>
      <c r="RC6" s="1"/>
      <c r="RD6" s="1"/>
      <c r="RE6" s="1"/>
      <c r="RF6" s="1"/>
      <c r="RG6" s="1"/>
      <c r="RH6" s="1"/>
      <c r="RI6" s="1"/>
      <c r="RJ6" s="1"/>
      <c r="RK6" s="1"/>
      <c r="RL6" s="1"/>
      <c r="RM6" s="1"/>
      <c r="RN6" s="1"/>
      <c r="RO6" s="1"/>
      <c r="RP6" s="1"/>
      <c r="RQ6" s="1"/>
      <c r="RR6" s="1"/>
      <c r="RS6" s="1"/>
      <c r="RT6" s="1"/>
      <c r="RU6" s="1"/>
      <c r="RV6" s="1"/>
      <c r="RW6" s="1"/>
      <c r="RX6" s="1"/>
      <c r="RY6" s="1"/>
      <c r="RZ6" s="1"/>
      <c r="SA6" s="1"/>
      <c r="SB6" s="1"/>
      <c r="SC6" s="1"/>
      <c r="SD6" s="1"/>
      <c r="SE6" s="1"/>
      <c r="SF6" s="1"/>
      <c r="SG6" s="1"/>
      <c r="SH6" s="1"/>
      <c r="SI6" s="1"/>
      <c r="SJ6" s="1"/>
      <c r="SK6" s="1"/>
      <c r="SL6" s="1"/>
      <c r="SM6" s="1"/>
      <c r="SN6" s="1"/>
      <c r="SO6" s="1"/>
      <c r="SP6" s="1"/>
      <c r="SQ6" s="1"/>
      <c r="SR6" s="1"/>
      <c r="SS6" s="1"/>
      <c r="ST6" s="1"/>
      <c r="SU6" s="1"/>
      <c r="SV6" s="1"/>
      <c r="SW6" s="1"/>
      <c r="SX6" s="1"/>
      <c r="SY6" s="1"/>
      <c r="SZ6" s="1"/>
      <c r="TA6" s="1"/>
      <c r="TB6" s="1"/>
      <c r="TC6" s="1"/>
      <c r="TD6" s="1"/>
      <c r="TE6" s="1"/>
      <c r="TF6" s="1"/>
      <c r="TG6" s="1"/>
      <c r="TH6" s="1"/>
      <c r="TI6" s="1"/>
      <c r="TJ6" s="1"/>
      <c r="TK6" s="1"/>
      <c r="TL6" s="1"/>
      <c r="TM6" s="1"/>
      <c r="TN6" s="1"/>
      <c r="TO6" s="1"/>
      <c r="TP6" s="1"/>
      <c r="TQ6" s="1"/>
      <c r="TR6" s="1"/>
      <c r="TS6" s="1"/>
      <c r="TT6" s="1"/>
      <c r="TU6" s="1"/>
      <c r="TV6" s="1"/>
      <c r="TW6" s="1"/>
      <c r="TX6" s="1"/>
      <c r="TY6" s="1"/>
      <c r="TZ6" s="1"/>
      <c r="UA6" s="1"/>
      <c r="UB6" s="1"/>
      <c r="UC6" s="1"/>
      <c r="UD6" s="1"/>
      <c r="UE6" s="1"/>
      <c r="UF6" s="1"/>
      <c r="UG6" s="1"/>
      <c r="UH6" s="1"/>
      <c r="UI6" s="1"/>
      <c r="UJ6" s="1"/>
      <c r="UK6" s="1"/>
      <c r="UL6" s="1"/>
      <c r="UM6" s="1"/>
      <c r="UN6" s="1"/>
      <c r="UO6" s="1"/>
      <c r="UP6" s="1"/>
      <c r="UQ6" s="1"/>
      <c r="UR6" s="1"/>
      <c r="US6" s="1"/>
      <c r="UT6" s="1"/>
      <c r="UU6" s="1"/>
      <c r="UV6" s="1"/>
      <c r="UW6" s="1"/>
      <c r="UX6" s="1"/>
      <c r="UY6" s="1"/>
      <c r="UZ6" s="1"/>
      <c r="VA6" s="1"/>
      <c r="VB6" s="1"/>
      <c r="VC6" s="1"/>
      <c r="VD6" s="1"/>
      <c r="VE6" s="1"/>
      <c r="VF6" s="1"/>
      <c r="VG6" s="1"/>
      <c r="VH6" s="1"/>
      <c r="VI6" s="1"/>
      <c r="VJ6" s="1"/>
      <c r="VK6" s="1"/>
      <c r="VL6" s="1"/>
      <c r="VM6" s="1"/>
      <c r="VN6" s="1"/>
      <c r="VO6" s="1"/>
      <c r="VP6" s="1"/>
      <c r="VQ6" s="1"/>
      <c r="VR6" s="1"/>
      <c r="VS6" s="1"/>
      <c r="VT6" s="1"/>
      <c r="VU6" s="1"/>
      <c r="VV6" s="1"/>
      <c r="VW6" s="1"/>
      <c r="VX6" s="1"/>
      <c r="VY6" s="1"/>
      <c r="VZ6" s="1"/>
      <c r="WA6" s="1"/>
      <c r="WB6" s="1"/>
      <c r="WC6" s="1"/>
      <c r="WD6" s="1"/>
      <c r="WE6" s="1"/>
      <c r="WF6" s="1"/>
      <c r="WG6" s="1"/>
      <c r="WH6" s="1"/>
      <c r="WI6" s="1"/>
      <c r="WJ6" s="1"/>
      <c r="WK6" s="1"/>
      <c r="WL6" s="1"/>
      <c r="WM6" s="1"/>
      <c r="WN6" s="1"/>
      <c r="WO6" s="1"/>
      <c r="WP6" s="1"/>
      <c r="WQ6" s="1"/>
      <c r="WR6" s="1"/>
      <c r="WS6" s="1"/>
      <c r="WT6" s="1"/>
      <c r="WU6" s="1"/>
      <c r="WV6" s="1"/>
      <c r="WW6" s="1"/>
      <c r="WX6" s="1"/>
      <c r="WY6" s="1"/>
      <c r="WZ6" s="1"/>
      <c r="XA6" s="1"/>
      <c r="XB6" s="1"/>
      <c r="XC6" s="1"/>
      <c r="XD6" s="1"/>
      <c r="XE6" s="1"/>
      <c r="XF6" s="1"/>
      <c r="XG6" s="1"/>
      <c r="XH6" s="1"/>
      <c r="XI6" s="1"/>
      <c r="XJ6" s="1"/>
      <c r="XK6" s="1"/>
      <c r="XL6" s="1"/>
      <c r="XM6" s="1"/>
      <c r="XN6" s="1"/>
      <c r="XO6" s="1"/>
      <c r="XP6" s="1"/>
      <c r="XQ6" s="1"/>
      <c r="XR6" s="1"/>
      <c r="XS6" s="1"/>
      <c r="XT6" s="1"/>
      <c r="XU6" s="1"/>
      <c r="XV6" s="1"/>
      <c r="XW6" s="1"/>
      <c r="XX6" s="1"/>
      <c r="XY6" s="1"/>
      <c r="XZ6" s="1"/>
      <c r="YA6" s="1"/>
      <c r="YB6" s="1"/>
      <c r="YC6" s="1"/>
      <c r="YD6" s="1"/>
      <c r="YE6" s="1"/>
      <c r="YF6" s="1"/>
      <c r="YG6" s="1"/>
      <c r="YH6" s="1"/>
      <c r="YI6" s="1"/>
      <c r="YJ6" s="1"/>
      <c r="YK6" s="1"/>
      <c r="YL6" s="1"/>
      <c r="YM6" s="1"/>
      <c r="YN6" s="1"/>
      <c r="YO6" s="1"/>
      <c r="YP6" s="1"/>
      <c r="YQ6" s="1"/>
      <c r="YR6" s="1"/>
      <c r="YS6" s="1"/>
      <c r="YT6" s="1"/>
      <c r="YU6" s="1"/>
      <c r="YV6" s="1"/>
      <c r="YW6" s="1"/>
      <c r="YX6" s="1"/>
      <c r="YY6" s="1"/>
      <c r="YZ6" s="1"/>
      <c r="ZA6" s="1"/>
      <c r="ZB6" s="1"/>
      <c r="ZC6" s="1"/>
      <c r="ZD6" s="1"/>
      <c r="ZE6" s="1"/>
      <c r="ZF6" s="1"/>
      <c r="ZG6" s="1"/>
      <c r="ZH6" s="1"/>
      <c r="ZI6" s="1"/>
      <c r="ZJ6" s="1"/>
      <c r="ZK6" s="1"/>
      <c r="ZL6" s="1"/>
      <c r="ZM6" s="1"/>
      <c r="ZN6" s="1"/>
      <c r="ZO6" s="1"/>
      <c r="ZP6" s="1"/>
      <c r="ZQ6" s="1"/>
      <c r="ZR6" s="1"/>
      <c r="ZS6" s="1"/>
      <c r="ZT6" s="1"/>
      <c r="ZU6" s="1"/>
      <c r="ZV6" s="1"/>
      <c r="ZW6" s="1"/>
      <c r="ZX6" s="1"/>
      <c r="ZY6" s="1"/>
      <c r="ZZ6" s="1"/>
      <c r="AAA6" s="1"/>
      <c r="AAB6" s="1"/>
      <c r="AAC6" s="1"/>
      <c r="AAD6" s="1"/>
      <c r="AAE6" s="1"/>
      <c r="AAF6" s="1"/>
      <c r="AAG6" s="1"/>
      <c r="AAH6" s="1"/>
      <c r="AAI6" s="1"/>
      <c r="AAJ6" s="1"/>
      <c r="AAK6" s="1"/>
      <c r="AAL6" s="1"/>
      <c r="AAM6" s="1"/>
      <c r="AAN6" s="1"/>
      <c r="AAO6" s="1"/>
      <c r="AAP6" s="1"/>
      <c r="AAQ6" s="1"/>
      <c r="AAR6" s="1"/>
      <c r="AAS6" s="1"/>
      <c r="AAT6" s="1"/>
      <c r="AAU6" s="1"/>
      <c r="AAV6" s="1"/>
      <c r="AAW6" s="1"/>
      <c r="AAX6" s="1"/>
      <c r="AAY6" s="1"/>
      <c r="AAZ6" s="1"/>
      <c r="ABA6" s="1"/>
      <c r="ABB6" s="1"/>
      <c r="ABC6" s="1"/>
      <c r="ABD6" s="1"/>
      <c r="ABE6" s="1"/>
      <c r="ABF6" s="1"/>
      <c r="ABG6" s="1"/>
      <c r="ABH6" s="1"/>
      <c r="ABI6" s="1"/>
      <c r="ABJ6" s="1"/>
      <c r="ABK6" s="1"/>
      <c r="ABL6" s="1"/>
      <c r="ABM6" s="1"/>
      <c r="ABN6" s="1"/>
      <c r="ABO6" s="1"/>
      <c r="ABP6" s="1"/>
      <c r="ABQ6" s="1"/>
      <c r="ABR6" s="1"/>
      <c r="ABS6" s="1"/>
      <c r="ABT6" s="1"/>
      <c r="ABU6" s="1"/>
      <c r="ABV6" s="1"/>
      <c r="ABW6" s="1"/>
      <c r="ABX6" s="1"/>
      <c r="ABY6" s="1"/>
      <c r="ABZ6" s="1"/>
      <c r="ACA6" s="1"/>
      <c r="ACB6" s="1"/>
      <c r="ACC6" s="1"/>
      <c r="ACD6" s="1"/>
      <c r="ACE6" s="1"/>
      <c r="ACF6" s="1"/>
      <c r="ACG6" s="1"/>
      <c r="ACH6" s="1"/>
      <c r="ACI6" s="1"/>
      <c r="ACJ6" s="1"/>
      <c r="ACK6" s="1"/>
      <c r="ACL6" s="1"/>
      <c r="ACM6" s="1"/>
      <c r="ACN6" s="1"/>
      <c r="ACO6" s="1"/>
      <c r="ACP6" s="1"/>
      <c r="ACQ6" s="1"/>
      <c r="ACR6" s="1"/>
      <c r="ACS6" s="1"/>
      <c r="ACT6" s="1"/>
      <c r="ACU6" s="1"/>
      <c r="ACV6" s="1"/>
      <c r="ACW6" s="1"/>
      <c r="ACX6" s="1"/>
      <c r="ACY6" s="1"/>
      <c r="ACZ6" s="1"/>
      <c r="ADA6" s="1"/>
      <c r="ADB6" s="1"/>
      <c r="ADC6" s="1"/>
      <c r="ADD6" s="1"/>
      <c r="ADE6" s="1"/>
      <c r="ADF6" s="1"/>
      <c r="ADG6" s="1"/>
      <c r="ADH6" s="1"/>
      <c r="ADI6" s="1"/>
      <c r="ADJ6" s="1"/>
      <c r="ADK6" s="1"/>
      <c r="ADL6" s="1"/>
      <c r="ADM6" s="1"/>
      <c r="ADN6" s="1"/>
      <c r="ADO6" s="1"/>
      <c r="ADP6" s="1"/>
      <c r="ADQ6" s="1"/>
      <c r="ADR6" s="1"/>
      <c r="ADS6" s="1"/>
      <c r="ADT6" s="1"/>
      <c r="ADU6" s="1"/>
      <c r="ADV6" s="1"/>
      <c r="ADW6" s="1"/>
      <c r="ADX6" s="1"/>
      <c r="ADY6" s="1"/>
      <c r="ADZ6" s="1"/>
      <c r="AEA6" s="1"/>
      <c r="AEB6" s="1"/>
      <c r="AEC6" s="1"/>
      <c r="AED6" s="1"/>
      <c r="AEE6" s="1"/>
      <c r="AEF6" s="1"/>
      <c r="AEG6" s="1"/>
      <c r="AEH6" s="1"/>
      <c r="AEI6" s="1"/>
      <c r="AEJ6" s="1"/>
      <c r="AEK6" s="1"/>
      <c r="AEL6" s="1"/>
      <c r="AEM6" s="1"/>
      <c r="AEN6" s="1"/>
      <c r="AEO6" s="1"/>
      <c r="AEP6" s="1"/>
      <c r="AEQ6" s="1"/>
      <c r="AER6" s="1"/>
      <c r="AES6" s="1"/>
      <c r="AET6" s="1"/>
      <c r="AEU6" s="1"/>
      <c r="AEV6" s="1"/>
      <c r="AEW6" s="1"/>
      <c r="AEX6" s="1"/>
      <c r="AEY6" s="1"/>
      <c r="AEZ6" s="1"/>
      <c r="AFA6" s="1"/>
      <c r="AFB6" s="1"/>
      <c r="AFC6" s="1"/>
      <c r="AFD6" s="1"/>
      <c r="AFE6" s="1"/>
      <c r="AFF6" s="1"/>
      <c r="AFG6" s="1"/>
      <c r="AFH6" s="1"/>
      <c r="AFI6" s="1"/>
      <c r="AFJ6" s="1"/>
      <c r="AFK6" s="1"/>
      <c r="AFL6" s="1"/>
      <c r="AFM6" s="1"/>
      <c r="AFN6" s="1"/>
      <c r="AFO6" s="1"/>
      <c r="AFP6" s="1"/>
      <c r="AFQ6" s="1"/>
      <c r="AFR6" s="1"/>
      <c r="AFS6" s="1"/>
      <c r="AFT6" s="1"/>
      <c r="AFU6" s="1"/>
      <c r="AFV6" s="1"/>
      <c r="AFW6" s="1"/>
      <c r="AFX6" s="1"/>
      <c r="AFY6" s="1"/>
      <c r="AFZ6" s="1"/>
      <c r="AGA6" s="1"/>
      <c r="AGB6" s="1"/>
      <c r="AGC6" s="1"/>
      <c r="AGD6" s="1"/>
      <c r="AGE6" s="1"/>
      <c r="AGF6" s="1"/>
      <c r="AGG6" s="1"/>
      <c r="AGH6" s="1"/>
      <c r="AGI6" s="1"/>
      <c r="AGJ6" s="1"/>
      <c r="AGK6" s="1"/>
      <c r="AGL6" s="1"/>
      <c r="AGM6" s="1"/>
      <c r="AGN6" s="1"/>
      <c r="AGO6" s="1"/>
      <c r="AGP6" s="1"/>
      <c r="AGQ6" s="1"/>
      <c r="AGR6" s="1"/>
      <c r="AGS6" s="1"/>
      <c r="AGT6" s="1"/>
      <c r="AGU6" s="1"/>
      <c r="AGV6" s="1"/>
      <c r="AGW6" s="1"/>
      <c r="AGX6" s="1"/>
      <c r="AGY6" s="1"/>
      <c r="AGZ6" s="1"/>
      <c r="AHA6" s="1"/>
      <c r="AHB6" s="1"/>
      <c r="AHC6" s="1"/>
      <c r="AHD6" s="1"/>
      <c r="AHE6" s="1"/>
      <c r="AHF6" s="1"/>
      <c r="AHG6" s="1"/>
      <c r="AHH6" s="1"/>
      <c r="AHI6" s="1"/>
      <c r="AHJ6" s="1"/>
      <c r="AHK6" s="1"/>
      <c r="AHL6" s="1"/>
      <c r="AHM6" s="1"/>
      <c r="AHN6" s="1"/>
      <c r="AHO6" s="1"/>
      <c r="AHP6" s="1"/>
      <c r="AHQ6" s="1"/>
      <c r="AHR6" s="1"/>
      <c r="AHS6" s="1"/>
      <c r="AHT6" s="1"/>
      <c r="AHU6" s="1"/>
      <c r="AHV6" s="1"/>
      <c r="AHW6" s="1"/>
      <c r="AHX6" s="1"/>
      <c r="AHY6" s="1"/>
      <c r="AHZ6" s="1"/>
      <c r="AIA6" s="1"/>
      <c r="AIB6" s="1"/>
      <c r="AIC6" s="1"/>
      <c r="AID6" s="1"/>
      <c r="AIE6" s="1"/>
      <c r="AIF6" s="1"/>
      <c r="AIG6" s="1"/>
      <c r="AIH6" s="1"/>
      <c r="AII6" s="1"/>
      <c r="AIJ6" s="1"/>
      <c r="AIK6" s="1"/>
      <c r="AIL6" s="1"/>
      <c r="AIM6" s="1"/>
      <c r="AIN6" s="1"/>
      <c r="AIO6" s="1"/>
      <c r="AIP6" s="1"/>
      <c r="AIQ6" s="1"/>
      <c r="AIR6" s="1"/>
      <c r="AIS6" s="1"/>
      <c r="AIT6" s="1"/>
      <c r="AIU6" s="1"/>
      <c r="AIV6" s="1"/>
      <c r="AIW6" s="1"/>
      <c r="AIX6" s="1"/>
      <c r="AIY6" s="1"/>
      <c r="AIZ6" s="1"/>
      <c r="AJA6" s="1"/>
      <c r="AJB6" s="1"/>
      <c r="AJC6" s="1"/>
      <c r="AJD6" s="1"/>
      <c r="AJE6" s="1"/>
      <c r="AJF6" s="1"/>
      <c r="AJG6" s="1"/>
      <c r="AJH6" s="1"/>
      <c r="AJI6" s="1"/>
      <c r="AJJ6" s="1"/>
      <c r="AJK6" s="1"/>
      <c r="AJL6" s="1"/>
      <c r="AJM6" s="1"/>
      <c r="AJN6" s="1"/>
      <c r="AJO6" s="1"/>
      <c r="AJP6" s="1"/>
      <c r="AJQ6" s="1"/>
      <c r="AJR6" s="1"/>
      <c r="AJS6" s="1"/>
      <c r="AJT6" s="1"/>
      <c r="AJU6" s="1"/>
      <c r="AJV6" s="1"/>
      <c r="AJW6" s="1"/>
      <c r="AJX6" s="1"/>
      <c r="AJY6" s="1"/>
      <c r="AJZ6" s="1"/>
      <c r="AKA6" s="1"/>
      <c r="AKB6" s="1"/>
      <c r="AKC6" s="1"/>
      <c r="AKD6" s="1"/>
      <c r="AKE6" s="1"/>
      <c r="AKF6" s="1"/>
      <c r="AKG6" s="1"/>
      <c r="AKH6" s="1"/>
      <c r="AKI6" s="1"/>
      <c r="AKJ6" s="1"/>
      <c r="AKK6" s="1"/>
      <c r="AKL6" s="1"/>
      <c r="AKM6" s="1"/>
      <c r="AKN6" s="1"/>
      <c r="AKO6" s="1"/>
      <c r="AKP6" s="1"/>
      <c r="AKQ6" s="1"/>
      <c r="AKR6" s="1"/>
      <c r="AKS6" s="1"/>
      <c r="AKT6" s="1"/>
      <c r="AKU6" s="1"/>
      <c r="AKV6" s="1"/>
      <c r="AKW6" s="1"/>
      <c r="AKX6" s="1"/>
      <c r="AKY6" s="1"/>
      <c r="AKZ6" s="1"/>
      <c r="ALA6" s="1"/>
      <c r="ALB6" s="1"/>
      <c r="ALC6" s="1"/>
      <c r="ALD6" s="1"/>
      <c r="ALE6" s="1"/>
      <c r="ALF6" s="1"/>
      <c r="ALG6" s="1"/>
      <c r="ALH6" s="1"/>
      <c r="ALI6" s="1"/>
      <c r="ALJ6" s="1"/>
      <c r="ALK6" s="1"/>
      <c r="ALL6" s="1"/>
      <c r="ALM6" s="1"/>
      <c r="ALN6" s="1"/>
      <c r="ALO6" s="1"/>
      <c r="ALP6" s="1"/>
      <c r="ALQ6" s="1"/>
      <c r="ALR6" s="1"/>
      <c r="ALS6" s="1"/>
      <c r="ALT6" s="1"/>
      <c r="ALU6" s="1"/>
      <c r="ALV6" s="1"/>
      <c r="ALW6" s="1"/>
      <c r="ALX6" s="1"/>
      <c r="ALY6" s="1"/>
      <c r="ALZ6" s="1"/>
      <c r="AMA6" s="1"/>
      <c r="AMB6" s="1"/>
      <c r="AMC6" s="1"/>
      <c r="AMD6" s="1"/>
      <c r="AME6" s="1"/>
      <c r="AMF6" s="1"/>
      <c r="AMG6" s="1"/>
      <c r="AMH6" s="1"/>
      <c r="AMI6" s="1"/>
      <c r="AMJ6" s="1"/>
      <c r="AMK6" s="1"/>
      <c r="AML6" s="1"/>
      <c r="AMM6" s="1"/>
      <c r="AMN6" s="1"/>
    </row>
    <row r="7" spans="1:1028" x14ac:dyDescent="0.2">
      <c r="A7" s="3" t="str">
        <f t="shared" si="0"/>
        <v>5ht2b_human_4IB4_dist</v>
      </c>
      <c r="B7" s="3" t="s">
        <v>35</v>
      </c>
      <c r="C7" s="3" t="s">
        <v>1165</v>
      </c>
      <c r="D7" s="3" t="str">
        <f>IFERROR(MID(VLOOKUP($B7,Seqs!$A:$B,2,0),E7,1),"")</f>
        <v>L</v>
      </c>
      <c r="E7" s="3">
        <v>54</v>
      </c>
      <c r="F7" s="3" t="str">
        <f>IFERROR(MID(VLOOKUP($B7,Seqs!$A:$B,2,0),G7,1),"")</f>
        <v>E</v>
      </c>
      <c r="G7" s="3">
        <v>82</v>
      </c>
      <c r="H7" s="3" t="str">
        <f>IFERROR(MID(VLOOKUP($B7,Seqs!$A:$B,2,0),I7,1),"")</f>
        <v>K</v>
      </c>
      <c r="I7" s="23">
        <v>83</v>
      </c>
      <c r="J7" s="3" t="str">
        <f>IFERROR(MID(VLOOKUP($B7,Seqs!$A:$B,2,0),K7,1),"")</f>
        <v>Q</v>
      </c>
      <c r="K7" s="23">
        <v>86</v>
      </c>
      <c r="L7" s="3" t="str">
        <f>IFERROR(MID(VLOOKUP($B7,Seqs!$A:$B,2,0),M7,1),"")</f>
        <v>Y</v>
      </c>
      <c r="M7" s="3">
        <v>87</v>
      </c>
      <c r="N7" s="3" t="str">
        <f>IFERROR(MID(VLOOKUP($B7,Seqs!$A:$B,2,0),O7,1),"")</f>
        <v>F</v>
      </c>
      <c r="O7" s="3">
        <v>117</v>
      </c>
      <c r="P7" s="3" t="str">
        <f>IFERROR(MID(VLOOKUP($B7,Seqs!$A:$B,2,0),Q7,1),"")</f>
        <v>M</v>
      </c>
      <c r="Q7" s="3">
        <v>120</v>
      </c>
      <c r="R7" s="3" t="str">
        <f>IFERROR(MID(VLOOKUP($B7,Seqs!$A:$B,2,0),S7,1),"")</f>
        <v>L</v>
      </c>
      <c r="S7" s="3">
        <v>123</v>
      </c>
      <c r="T7" s="3" t="str">
        <f>IFERROR(MID(VLOOKUP($B7,Seqs!$A:$B,2,0),U7,1),"")</f>
        <v>P</v>
      </c>
      <c r="U7" s="3">
        <v>124</v>
      </c>
      <c r="V7" s="3" t="str">
        <f>IFERROR(MID(VLOOKUP($B7,Seqs!$A:$B,2,0),W7,1),"")</f>
        <v>K</v>
      </c>
      <c r="W7" s="3">
        <v>159</v>
      </c>
      <c r="X7" s="3" t="str">
        <f>IFERROR(MID(VLOOKUP($B7,Seqs!$A:$B,2,0),Y7,1),"")</f>
        <v/>
      </c>
      <c r="Y7" s="3" t="s">
        <v>23</v>
      </c>
      <c r="Z7" s="3" t="str">
        <f>IFERROR(MID(VLOOKUP($B7,Seqs!$A:$B,2,0),AA7,1),"")</f>
        <v/>
      </c>
      <c r="AA7" s="3" t="s">
        <v>23</v>
      </c>
      <c r="AB7" s="3" t="str">
        <f>IFERROR(MID(VLOOKUP($B7,Seqs!$A:$B,2,0),AC7,1),"")</f>
        <v>Q</v>
      </c>
      <c r="AC7" s="9">
        <v>165</v>
      </c>
      <c r="AD7" s="3" t="str">
        <f>IFERROR(MID(VLOOKUP($B7,Seqs!$A:$B,2,0),AE7,1),"")</f>
        <v>G</v>
      </c>
      <c r="AE7" s="3">
        <v>194</v>
      </c>
      <c r="AF7" s="3" t="str">
        <f>IFERROR(MID(VLOOKUP($B7,Seqs!$A:$B,2,0),AG7,1),"")</f>
        <v>C</v>
      </c>
      <c r="AG7" s="3">
        <v>207</v>
      </c>
      <c r="AH7" s="3" t="str">
        <f>IFERROR(MID(VLOOKUP($B7,Seqs!$A:$B,2,0),AI7,1),"")</f>
        <v>L</v>
      </c>
      <c r="AI7" s="3">
        <v>209</v>
      </c>
      <c r="AJ7" s="3" t="str">
        <f>IFERROR(MID(VLOOKUP($B7,Seqs!$A:$B,2,0),AK7,1),"")</f>
        <v>F</v>
      </c>
      <c r="AK7" s="3">
        <v>214</v>
      </c>
      <c r="AL7" s="3" t="str">
        <f>IFERROR(MID(VLOOKUP($B7,Seqs!$A:$B,2,0),AM7,1),"")</f>
        <v>A</v>
      </c>
      <c r="AM7" s="108">
        <v>248</v>
      </c>
      <c r="AN7" s="3" t="str">
        <f>IFERROR(MID(VLOOKUP($B7,Seqs!$A:$B,2,0),AO7,1),"")</f>
        <v>Q</v>
      </c>
      <c r="AO7" s="108">
        <v>314</v>
      </c>
      <c r="AP7" s="3" t="str">
        <f>IFERROR(MID(VLOOKUP($B7,Seqs!$A:$B,2,0),AQ7,1),"")</f>
        <v>C</v>
      </c>
      <c r="AQ7" s="3">
        <v>350</v>
      </c>
      <c r="AR7" s="3" t="str">
        <f>IFERROR(MID(VLOOKUP($B7,Seqs!$A:$B,2,0),AS7,1),"")</f>
        <v>Q</v>
      </c>
      <c r="AS7" s="3">
        <v>355</v>
      </c>
      <c r="AT7" s="3" t="str">
        <f>IFERROR(MID(VLOOKUP($B7,Seqs!$A:$B,2,0),AU7,1),"")</f>
        <v>F</v>
      </c>
      <c r="AU7" s="3">
        <v>383</v>
      </c>
      <c r="AV7" s="3" t="str">
        <f>IFERROR(MID(VLOOKUP($B7,Seqs!$A:$B,2,0),AW7,1),"")</f>
        <v>N</v>
      </c>
      <c r="AW7" s="3">
        <v>384</v>
      </c>
      <c r="AX7" s="3" t="str">
        <f>IFERROR(MID(VLOOKUP($B7,Seqs!$A:$B,2,0),AY7,1),"")</f>
        <v>I</v>
      </c>
      <c r="AY7" s="3">
        <v>395</v>
      </c>
      <c r="AZ7" s="79" t="str">
        <f>VLOOKUP(B7,Classification!A:D,2,0)</f>
        <v>A</v>
      </c>
      <c r="BA7" s="97" t="str">
        <f>VLOOKUP(B7,Classification!A:D,4,0)</f>
        <v>5-Hydroxytryptamine</v>
      </c>
      <c r="BB7" s="27" t="b">
        <f t="shared" si="1"/>
        <v>1</v>
      </c>
      <c r="BC7" s="23">
        <f t="shared" si="2"/>
        <v>251</v>
      </c>
      <c r="BD7" s="57" t="s">
        <v>1379</v>
      </c>
      <c r="BE7" s="3" t="s">
        <v>1381</v>
      </c>
      <c r="BF7" s="50" t="s">
        <v>1384</v>
      </c>
      <c r="BG7" s="50" t="s">
        <v>1384</v>
      </c>
      <c r="BH7" s="1"/>
      <c r="BI7" s="72" t="s">
        <v>1293</v>
      </c>
      <c r="BJ7" s="58" t="s">
        <v>1293</v>
      </c>
      <c r="BK7" s="58" t="s">
        <v>1293</v>
      </c>
      <c r="BL7" s="58" t="s">
        <v>1293</v>
      </c>
      <c r="BM7" s="58" t="s">
        <v>1293</v>
      </c>
      <c r="BN7" s="58" t="s">
        <v>1293</v>
      </c>
      <c r="BO7" s="58" t="s">
        <v>1293</v>
      </c>
      <c r="BP7" s="58" t="s">
        <v>1293</v>
      </c>
      <c r="BQ7" s="58" t="s">
        <v>1293</v>
      </c>
      <c r="BR7" s="58" t="s">
        <v>1293</v>
      </c>
      <c r="BS7" s="58" t="s">
        <v>1293</v>
      </c>
      <c r="BT7" s="58" t="s">
        <v>1293</v>
      </c>
      <c r="BU7" s="72">
        <f t="shared" si="3"/>
        <v>54</v>
      </c>
      <c r="BV7" s="73">
        <f t="shared" si="4"/>
        <v>83</v>
      </c>
      <c r="BW7" s="74">
        <f t="shared" si="5"/>
        <v>87</v>
      </c>
      <c r="BX7" s="73">
        <f t="shared" si="6"/>
        <v>120</v>
      </c>
      <c r="BY7" s="74">
        <f t="shared" si="7"/>
        <v>124</v>
      </c>
      <c r="BZ7" s="73" t="str">
        <f t="shared" si="8"/>
        <v>-</v>
      </c>
      <c r="CA7" s="74">
        <f t="shared" si="9"/>
        <v>165</v>
      </c>
      <c r="CB7" s="73">
        <f t="shared" si="10"/>
        <v>207</v>
      </c>
      <c r="CC7" s="74">
        <f t="shared" si="11"/>
        <v>214</v>
      </c>
      <c r="CD7" s="73">
        <f t="shared" si="12"/>
        <v>314</v>
      </c>
      <c r="CE7" s="74">
        <f t="shared" si="13"/>
        <v>355</v>
      </c>
      <c r="CF7" s="73">
        <f t="shared" si="14"/>
        <v>384</v>
      </c>
      <c r="CG7" s="72">
        <f t="shared" si="15"/>
        <v>82</v>
      </c>
      <c r="CH7" s="73">
        <f t="shared" si="16"/>
        <v>86</v>
      </c>
      <c r="CI7" s="74">
        <f t="shared" si="17"/>
        <v>117</v>
      </c>
      <c r="CJ7" s="74">
        <f t="shared" si="18"/>
        <v>123</v>
      </c>
      <c r="CK7" s="74">
        <f t="shared" si="19"/>
        <v>159</v>
      </c>
      <c r="CL7" s="74" t="str">
        <f t="shared" si="20"/>
        <v>-</v>
      </c>
      <c r="CM7" s="74">
        <f t="shared" si="21"/>
        <v>194</v>
      </c>
      <c r="CN7" s="74">
        <f t="shared" si="22"/>
        <v>209</v>
      </c>
      <c r="CO7" s="74">
        <f t="shared" si="23"/>
        <v>248</v>
      </c>
      <c r="CP7" s="74">
        <f t="shared" si="24"/>
        <v>350</v>
      </c>
      <c r="CQ7" s="74">
        <f t="shared" si="25"/>
        <v>383</v>
      </c>
      <c r="CR7" s="74">
        <f t="shared" si="26"/>
        <v>395</v>
      </c>
      <c r="CS7" s="23">
        <f t="shared" si="27"/>
        <v>1</v>
      </c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  <c r="OK7" s="1"/>
      <c r="OL7" s="1"/>
      <c r="OM7" s="1"/>
      <c r="ON7" s="1"/>
      <c r="OO7" s="1"/>
      <c r="OP7" s="1"/>
      <c r="OQ7" s="1"/>
      <c r="OR7" s="1"/>
      <c r="OS7" s="1"/>
      <c r="OT7" s="1"/>
      <c r="OU7" s="1"/>
      <c r="OV7" s="1"/>
      <c r="OW7" s="1"/>
      <c r="OX7" s="1"/>
      <c r="OY7" s="1"/>
      <c r="OZ7" s="1"/>
      <c r="PA7" s="1"/>
      <c r="PB7" s="1"/>
      <c r="PC7" s="1"/>
      <c r="PD7" s="1"/>
      <c r="PE7" s="1"/>
      <c r="PF7" s="1"/>
      <c r="PG7" s="1"/>
      <c r="PH7" s="1"/>
      <c r="PI7" s="1"/>
      <c r="PJ7" s="1"/>
      <c r="PK7" s="1"/>
      <c r="PL7" s="1"/>
      <c r="PM7" s="1"/>
      <c r="PN7" s="1"/>
      <c r="PO7" s="1"/>
      <c r="PP7" s="1"/>
      <c r="PQ7" s="1"/>
      <c r="PR7" s="1"/>
      <c r="PS7" s="1"/>
      <c r="PT7" s="1"/>
      <c r="PU7" s="1"/>
      <c r="PV7" s="1"/>
      <c r="PW7" s="1"/>
      <c r="PX7" s="1"/>
      <c r="PY7" s="1"/>
      <c r="PZ7" s="1"/>
      <c r="QA7" s="1"/>
      <c r="QB7" s="1"/>
      <c r="QC7" s="1"/>
      <c r="QD7" s="1"/>
      <c r="QE7" s="1"/>
      <c r="QF7" s="1"/>
      <c r="QG7" s="1"/>
      <c r="QH7" s="1"/>
      <c r="QI7" s="1"/>
      <c r="QJ7" s="1"/>
      <c r="QK7" s="1"/>
      <c r="QL7" s="1"/>
      <c r="QM7" s="1"/>
      <c r="QN7" s="1"/>
      <c r="QO7" s="1"/>
      <c r="QP7" s="1"/>
      <c r="QQ7" s="1"/>
      <c r="QR7" s="1"/>
      <c r="QS7" s="1"/>
      <c r="QT7" s="1"/>
      <c r="QU7" s="1"/>
      <c r="QV7" s="1"/>
      <c r="QW7" s="1"/>
      <c r="QX7" s="1"/>
      <c r="QY7" s="1"/>
      <c r="QZ7" s="1"/>
      <c r="RA7" s="1"/>
      <c r="RB7" s="1"/>
      <c r="RC7" s="1"/>
      <c r="RD7" s="1"/>
      <c r="RE7" s="1"/>
      <c r="RF7" s="1"/>
      <c r="RG7" s="1"/>
      <c r="RH7" s="1"/>
      <c r="RI7" s="1"/>
      <c r="RJ7" s="1"/>
      <c r="RK7" s="1"/>
      <c r="RL7" s="1"/>
      <c r="RM7" s="1"/>
      <c r="RN7" s="1"/>
      <c r="RO7" s="1"/>
      <c r="RP7" s="1"/>
      <c r="RQ7" s="1"/>
      <c r="RR7" s="1"/>
      <c r="RS7" s="1"/>
      <c r="RT7" s="1"/>
      <c r="RU7" s="1"/>
      <c r="RV7" s="1"/>
      <c r="RW7" s="1"/>
      <c r="RX7" s="1"/>
      <c r="RY7" s="1"/>
      <c r="RZ7" s="1"/>
      <c r="SA7" s="1"/>
      <c r="SB7" s="1"/>
      <c r="SC7" s="1"/>
      <c r="SD7" s="1"/>
      <c r="SE7" s="1"/>
      <c r="SF7" s="1"/>
      <c r="SG7" s="1"/>
      <c r="SH7" s="1"/>
      <c r="SI7" s="1"/>
      <c r="SJ7" s="1"/>
      <c r="SK7" s="1"/>
      <c r="SL7" s="1"/>
      <c r="SM7" s="1"/>
      <c r="SN7" s="1"/>
      <c r="SO7" s="1"/>
      <c r="SP7" s="1"/>
      <c r="SQ7" s="1"/>
      <c r="SR7" s="1"/>
      <c r="SS7" s="1"/>
      <c r="ST7" s="1"/>
      <c r="SU7" s="1"/>
      <c r="SV7" s="1"/>
      <c r="SW7" s="1"/>
      <c r="SX7" s="1"/>
      <c r="SY7" s="1"/>
      <c r="SZ7" s="1"/>
      <c r="TA7" s="1"/>
      <c r="TB7" s="1"/>
      <c r="TC7" s="1"/>
      <c r="TD7" s="1"/>
      <c r="TE7" s="1"/>
      <c r="TF7" s="1"/>
      <c r="TG7" s="1"/>
      <c r="TH7" s="1"/>
      <c r="TI7" s="1"/>
      <c r="TJ7" s="1"/>
      <c r="TK7" s="1"/>
      <c r="TL7" s="1"/>
      <c r="TM7" s="1"/>
      <c r="TN7" s="1"/>
      <c r="TO7" s="1"/>
      <c r="TP7" s="1"/>
      <c r="TQ7" s="1"/>
      <c r="TR7" s="1"/>
      <c r="TS7" s="1"/>
      <c r="TT7" s="1"/>
      <c r="TU7" s="1"/>
      <c r="TV7" s="1"/>
      <c r="TW7" s="1"/>
      <c r="TX7" s="1"/>
      <c r="TY7" s="1"/>
      <c r="TZ7" s="1"/>
      <c r="UA7" s="1"/>
      <c r="UB7" s="1"/>
      <c r="UC7" s="1"/>
      <c r="UD7" s="1"/>
      <c r="UE7" s="1"/>
      <c r="UF7" s="1"/>
      <c r="UG7" s="1"/>
      <c r="UH7" s="1"/>
      <c r="UI7" s="1"/>
      <c r="UJ7" s="1"/>
      <c r="UK7" s="1"/>
      <c r="UL7" s="1"/>
      <c r="UM7" s="1"/>
      <c r="UN7" s="1"/>
      <c r="UO7" s="1"/>
      <c r="UP7" s="1"/>
      <c r="UQ7" s="1"/>
      <c r="UR7" s="1"/>
      <c r="US7" s="1"/>
      <c r="UT7" s="1"/>
      <c r="UU7" s="1"/>
      <c r="UV7" s="1"/>
      <c r="UW7" s="1"/>
      <c r="UX7" s="1"/>
      <c r="UY7" s="1"/>
      <c r="UZ7" s="1"/>
      <c r="VA7" s="1"/>
      <c r="VB7" s="1"/>
      <c r="VC7" s="1"/>
      <c r="VD7" s="1"/>
      <c r="VE7" s="1"/>
      <c r="VF7" s="1"/>
      <c r="VG7" s="1"/>
      <c r="VH7" s="1"/>
      <c r="VI7" s="1"/>
      <c r="VJ7" s="1"/>
      <c r="VK7" s="1"/>
      <c r="VL7" s="1"/>
      <c r="VM7" s="1"/>
      <c r="VN7" s="1"/>
      <c r="VO7" s="1"/>
      <c r="VP7" s="1"/>
      <c r="VQ7" s="1"/>
      <c r="VR7" s="1"/>
      <c r="VS7" s="1"/>
      <c r="VT7" s="1"/>
      <c r="VU7" s="1"/>
      <c r="VV7" s="1"/>
      <c r="VW7" s="1"/>
      <c r="VX7" s="1"/>
      <c r="VY7" s="1"/>
      <c r="VZ7" s="1"/>
      <c r="WA7" s="1"/>
      <c r="WB7" s="1"/>
      <c r="WC7" s="1"/>
      <c r="WD7" s="1"/>
      <c r="WE7" s="1"/>
      <c r="WF7" s="1"/>
      <c r="WG7" s="1"/>
      <c r="WH7" s="1"/>
      <c r="WI7" s="1"/>
      <c r="WJ7" s="1"/>
      <c r="WK7" s="1"/>
      <c r="WL7" s="1"/>
      <c r="WM7" s="1"/>
      <c r="WN7" s="1"/>
      <c r="WO7" s="1"/>
      <c r="WP7" s="1"/>
      <c r="WQ7" s="1"/>
      <c r="WR7" s="1"/>
      <c r="WS7" s="1"/>
      <c r="WT7" s="1"/>
      <c r="WU7" s="1"/>
      <c r="WV7" s="1"/>
      <c r="WW7" s="1"/>
      <c r="WX7" s="1"/>
      <c r="WY7" s="1"/>
      <c r="WZ7" s="1"/>
      <c r="XA7" s="1"/>
      <c r="XB7" s="1"/>
      <c r="XC7" s="1"/>
      <c r="XD7" s="1"/>
      <c r="XE7" s="1"/>
      <c r="XF7" s="1"/>
      <c r="XG7" s="1"/>
      <c r="XH7" s="1"/>
      <c r="XI7" s="1"/>
      <c r="XJ7" s="1"/>
      <c r="XK7" s="1"/>
      <c r="XL7" s="1"/>
      <c r="XM7" s="1"/>
      <c r="XN7" s="1"/>
      <c r="XO7" s="1"/>
      <c r="XP7" s="1"/>
      <c r="XQ7" s="1"/>
      <c r="XR7" s="1"/>
      <c r="XS7" s="1"/>
      <c r="XT7" s="1"/>
      <c r="XU7" s="1"/>
      <c r="XV7" s="1"/>
      <c r="XW7" s="1"/>
      <c r="XX7" s="1"/>
      <c r="XY7" s="1"/>
      <c r="XZ7" s="1"/>
      <c r="YA7" s="1"/>
      <c r="YB7" s="1"/>
      <c r="YC7" s="1"/>
      <c r="YD7" s="1"/>
      <c r="YE7" s="1"/>
      <c r="YF7" s="1"/>
      <c r="YG7" s="1"/>
      <c r="YH7" s="1"/>
      <c r="YI7" s="1"/>
      <c r="YJ7" s="1"/>
      <c r="YK7" s="1"/>
      <c r="YL7" s="1"/>
      <c r="YM7" s="1"/>
      <c r="YN7" s="1"/>
      <c r="YO7" s="1"/>
      <c r="YP7" s="1"/>
      <c r="YQ7" s="1"/>
      <c r="YR7" s="1"/>
      <c r="YS7" s="1"/>
      <c r="YT7" s="1"/>
      <c r="YU7" s="1"/>
      <c r="YV7" s="1"/>
      <c r="YW7" s="1"/>
      <c r="YX7" s="1"/>
      <c r="YY7" s="1"/>
      <c r="YZ7" s="1"/>
      <c r="ZA7" s="1"/>
      <c r="ZB7" s="1"/>
      <c r="ZC7" s="1"/>
      <c r="ZD7" s="1"/>
      <c r="ZE7" s="1"/>
      <c r="ZF7" s="1"/>
      <c r="ZG7" s="1"/>
      <c r="ZH7" s="1"/>
      <c r="ZI7" s="1"/>
      <c r="ZJ7" s="1"/>
      <c r="ZK7" s="1"/>
      <c r="ZL7" s="1"/>
      <c r="ZM7" s="1"/>
      <c r="ZN7" s="1"/>
      <c r="ZO7" s="1"/>
      <c r="ZP7" s="1"/>
      <c r="ZQ7" s="1"/>
      <c r="ZR7" s="1"/>
      <c r="ZS7" s="1"/>
      <c r="ZT7" s="1"/>
      <c r="ZU7" s="1"/>
      <c r="ZV7" s="1"/>
      <c r="ZW7" s="1"/>
      <c r="ZX7" s="1"/>
      <c r="ZY7" s="1"/>
      <c r="ZZ7" s="1"/>
      <c r="AAA7" s="1"/>
      <c r="AAB7" s="1"/>
      <c r="AAC7" s="1"/>
      <c r="AAD7" s="1"/>
      <c r="AAE7" s="1"/>
      <c r="AAF7" s="1"/>
      <c r="AAG7" s="1"/>
      <c r="AAH7" s="1"/>
      <c r="AAI7" s="1"/>
      <c r="AAJ7" s="1"/>
      <c r="AAK7" s="1"/>
      <c r="AAL7" s="1"/>
      <c r="AAM7" s="1"/>
      <c r="AAN7" s="1"/>
      <c r="AAO7" s="1"/>
      <c r="AAP7" s="1"/>
      <c r="AAQ7" s="1"/>
      <c r="AAR7" s="1"/>
      <c r="AAS7" s="1"/>
      <c r="AAT7" s="1"/>
      <c r="AAU7" s="1"/>
      <c r="AAV7" s="1"/>
      <c r="AAW7" s="1"/>
      <c r="AAX7" s="1"/>
      <c r="AAY7" s="1"/>
      <c r="AAZ7" s="1"/>
      <c r="ABA7" s="1"/>
      <c r="ABB7" s="1"/>
      <c r="ABC7" s="1"/>
      <c r="ABD7" s="1"/>
      <c r="ABE7" s="1"/>
      <c r="ABF7" s="1"/>
      <c r="ABG7" s="1"/>
      <c r="ABH7" s="1"/>
      <c r="ABI7" s="1"/>
      <c r="ABJ7" s="1"/>
      <c r="ABK7" s="1"/>
      <c r="ABL7" s="1"/>
      <c r="ABM7" s="1"/>
      <c r="ABN7" s="1"/>
      <c r="ABO7" s="1"/>
      <c r="ABP7" s="1"/>
      <c r="ABQ7" s="1"/>
      <c r="ABR7" s="1"/>
      <c r="ABS7" s="1"/>
      <c r="ABT7" s="1"/>
      <c r="ABU7" s="1"/>
      <c r="ABV7" s="1"/>
      <c r="ABW7" s="1"/>
      <c r="ABX7" s="1"/>
      <c r="ABY7" s="1"/>
      <c r="ABZ7" s="1"/>
      <c r="ACA7" s="1"/>
      <c r="ACB7" s="1"/>
      <c r="ACC7" s="1"/>
      <c r="ACD7" s="1"/>
      <c r="ACE7" s="1"/>
      <c r="ACF7" s="1"/>
      <c r="ACG7" s="1"/>
      <c r="ACH7" s="1"/>
      <c r="ACI7" s="1"/>
      <c r="ACJ7" s="1"/>
      <c r="ACK7" s="1"/>
      <c r="ACL7" s="1"/>
      <c r="ACM7" s="1"/>
      <c r="ACN7" s="1"/>
      <c r="ACO7" s="1"/>
      <c r="ACP7" s="1"/>
      <c r="ACQ7" s="1"/>
      <c r="ACR7" s="1"/>
      <c r="ACS7" s="1"/>
      <c r="ACT7" s="1"/>
      <c r="ACU7" s="1"/>
      <c r="ACV7" s="1"/>
      <c r="ACW7" s="1"/>
      <c r="ACX7" s="1"/>
      <c r="ACY7" s="1"/>
      <c r="ACZ7" s="1"/>
      <c r="ADA7" s="1"/>
      <c r="ADB7" s="1"/>
      <c r="ADC7" s="1"/>
      <c r="ADD7" s="1"/>
      <c r="ADE7" s="1"/>
      <c r="ADF7" s="1"/>
      <c r="ADG7" s="1"/>
      <c r="ADH7" s="1"/>
      <c r="ADI7" s="1"/>
      <c r="ADJ7" s="1"/>
      <c r="ADK7" s="1"/>
      <c r="ADL7" s="1"/>
      <c r="ADM7" s="1"/>
      <c r="ADN7" s="1"/>
      <c r="ADO7" s="1"/>
      <c r="ADP7" s="1"/>
      <c r="ADQ7" s="1"/>
      <c r="ADR7" s="1"/>
      <c r="ADS7" s="1"/>
      <c r="ADT7" s="1"/>
      <c r="ADU7" s="1"/>
      <c r="ADV7" s="1"/>
      <c r="ADW7" s="1"/>
      <c r="ADX7" s="1"/>
      <c r="ADY7" s="1"/>
      <c r="ADZ7" s="1"/>
      <c r="AEA7" s="1"/>
      <c r="AEB7" s="1"/>
      <c r="AEC7" s="1"/>
      <c r="AED7" s="1"/>
      <c r="AEE7" s="1"/>
      <c r="AEF7" s="1"/>
      <c r="AEG7" s="1"/>
      <c r="AEH7" s="1"/>
      <c r="AEI7" s="1"/>
      <c r="AEJ7" s="1"/>
      <c r="AEK7" s="1"/>
      <c r="AEL7" s="1"/>
      <c r="AEM7" s="1"/>
      <c r="AEN7" s="1"/>
      <c r="AEO7" s="1"/>
      <c r="AEP7" s="1"/>
      <c r="AEQ7" s="1"/>
      <c r="AER7" s="1"/>
      <c r="AES7" s="1"/>
      <c r="AET7" s="1"/>
      <c r="AEU7" s="1"/>
      <c r="AEV7" s="1"/>
      <c r="AEW7" s="1"/>
      <c r="AEX7" s="1"/>
      <c r="AEY7" s="1"/>
      <c r="AEZ7" s="1"/>
      <c r="AFA7" s="1"/>
      <c r="AFB7" s="1"/>
      <c r="AFC7" s="1"/>
      <c r="AFD7" s="1"/>
      <c r="AFE7" s="1"/>
      <c r="AFF7" s="1"/>
      <c r="AFG7" s="1"/>
      <c r="AFH7" s="1"/>
      <c r="AFI7" s="1"/>
      <c r="AFJ7" s="1"/>
      <c r="AFK7" s="1"/>
      <c r="AFL7" s="1"/>
      <c r="AFM7" s="1"/>
      <c r="AFN7" s="1"/>
      <c r="AFO7" s="1"/>
      <c r="AFP7" s="1"/>
      <c r="AFQ7" s="1"/>
      <c r="AFR7" s="1"/>
      <c r="AFS7" s="1"/>
      <c r="AFT7" s="1"/>
      <c r="AFU7" s="1"/>
      <c r="AFV7" s="1"/>
      <c r="AFW7" s="1"/>
      <c r="AFX7" s="1"/>
      <c r="AFY7" s="1"/>
      <c r="AFZ7" s="1"/>
      <c r="AGA7" s="1"/>
      <c r="AGB7" s="1"/>
      <c r="AGC7" s="1"/>
      <c r="AGD7" s="1"/>
      <c r="AGE7" s="1"/>
      <c r="AGF7" s="1"/>
      <c r="AGG7" s="1"/>
      <c r="AGH7" s="1"/>
      <c r="AGI7" s="1"/>
      <c r="AGJ7" s="1"/>
      <c r="AGK7" s="1"/>
      <c r="AGL7" s="1"/>
      <c r="AGM7" s="1"/>
      <c r="AGN7" s="1"/>
      <c r="AGO7" s="1"/>
      <c r="AGP7" s="1"/>
      <c r="AGQ7" s="1"/>
      <c r="AGR7" s="1"/>
      <c r="AGS7" s="1"/>
      <c r="AGT7" s="1"/>
      <c r="AGU7" s="1"/>
      <c r="AGV7" s="1"/>
      <c r="AGW7" s="1"/>
      <c r="AGX7" s="1"/>
      <c r="AGY7" s="1"/>
      <c r="AGZ7" s="1"/>
      <c r="AHA7" s="1"/>
      <c r="AHB7" s="1"/>
      <c r="AHC7" s="1"/>
      <c r="AHD7" s="1"/>
      <c r="AHE7" s="1"/>
      <c r="AHF7" s="1"/>
      <c r="AHG7" s="1"/>
      <c r="AHH7" s="1"/>
      <c r="AHI7" s="1"/>
      <c r="AHJ7" s="1"/>
      <c r="AHK7" s="1"/>
      <c r="AHL7" s="1"/>
      <c r="AHM7" s="1"/>
      <c r="AHN7" s="1"/>
      <c r="AHO7" s="1"/>
      <c r="AHP7" s="1"/>
      <c r="AHQ7" s="1"/>
      <c r="AHR7" s="1"/>
      <c r="AHS7" s="1"/>
      <c r="AHT7" s="1"/>
      <c r="AHU7" s="1"/>
      <c r="AHV7" s="1"/>
      <c r="AHW7" s="1"/>
      <c r="AHX7" s="1"/>
      <c r="AHY7" s="1"/>
      <c r="AHZ7" s="1"/>
      <c r="AIA7" s="1"/>
      <c r="AIB7" s="1"/>
      <c r="AIC7" s="1"/>
      <c r="AID7" s="1"/>
      <c r="AIE7" s="1"/>
      <c r="AIF7" s="1"/>
      <c r="AIG7" s="1"/>
      <c r="AIH7" s="1"/>
      <c r="AII7" s="1"/>
      <c r="AIJ7" s="1"/>
      <c r="AIK7" s="1"/>
      <c r="AIL7" s="1"/>
      <c r="AIM7" s="1"/>
      <c r="AIN7" s="1"/>
      <c r="AIO7" s="1"/>
      <c r="AIP7" s="1"/>
      <c r="AIQ7" s="1"/>
      <c r="AIR7" s="1"/>
      <c r="AIS7" s="1"/>
      <c r="AIT7" s="1"/>
      <c r="AIU7" s="1"/>
      <c r="AIV7" s="1"/>
      <c r="AIW7" s="1"/>
      <c r="AIX7" s="1"/>
      <c r="AIY7" s="1"/>
      <c r="AIZ7" s="1"/>
      <c r="AJA7" s="1"/>
      <c r="AJB7" s="1"/>
      <c r="AJC7" s="1"/>
      <c r="AJD7" s="1"/>
      <c r="AJE7" s="1"/>
      <c r="AJF7" s="1"/>
      <c r="AJG7" s="1"/>
      <c r="AJH7" s="1"/>
      <c r="AJI7" s="1"/>
      <c r="AJJ7" s="1"/>
      <c r="AJK7" s="1"/>
      <c r="AJL7" s="1"/>
      <c r="AJM7" s="1"/>
      <c r="AJN7" s="1"/>
      <c r="AJO7" s="1"/>
      <c r="AJP7" s="1"/>
      <c r="AJQ7" s="1"/>
      <c r="AJR7" s="1"/>
      <c r="AJS7" s="1"/>
      <c r="AJT7" s="1"/>
      <c r="AJU7" s="1"/>
      <c r="AJV7" s="1"/>
      <c r="AJW7" s="1"/>
      <c r="AJX7" s="1"/>
      <c r="AJY7" s="1"/>
      <c r="AJZ7" s="1"/>
      <c r="AKA7" s="1"/>
      <c r="AKB7" s="1"/>
      <c r="AKC7" s="1"/>
      <c r="AKD7" s="1"/>
      <c r="AKE7" s="1"/>
      <c r="AKF7" s="1"/>
      <c r="AKG7" s="1"/>
      <c r="AKH7" s="1"/>
      <c r="AKI7" s="1"/>
      <c r="AKJ7" s="1"/>
      <c r="AKK7" s="1"/>
      <c r="AKL7" s="1"/>
      <c r="AKM7" s="1"/>
      <c r="AKN7" s="1"/>
      <c r="AKO7" s="1"/>
      <c r="AKP7" s="1"/>
      <c r="AKQ7" s="1"/>
      <c r="AKR7" s="1"/>
      <c r="AKS7" s="1"/>
      <c r="AKT7" s="1"/>
      <c r="AKU7" s="1"/>
      <c r="AKV7" s="1"/>
      <c r="AKW7" s="1"/>
      <c r="AKX7" s="1"/>
      <c r="AKY7" s="1"/>
      <c r="AKZ7" s="1"/>
      <c r="ALA7" s="1"/>
      <c r="ALB7" s="1"/>
      <c r="ALC7" s="1"/>
      <c r="ALD7" s="1"/>
      <c r="ALE7" s="1"/>
      <c r="ALF7" s="1"/>
      <c r="ALG7" s="1"/>
      <c r="ALH7" s="1"/>
      <c r="ALI7" s="1"/>
      <c r="ALJ7" s="1"/>
      <c r="ALK7" s="1"/>
      <c r="ALL7" s="1"/>
      <c r="ALM7" s="1"/>
      <c r="ALN7" s="1"/>
      <c r="ALO7" s="1"/>
      <c r="ALP7" s="1"/>
      <c r="ALQ7" s="1"/>
      <c r="ALR7" s="1"/>
      <c r="ALS7" s="1"/>
      <c r="ALT7" s="1"/>
      <c r="ALU7" s="1"/>
      <c r="ALV7" s="1"/>
      <c r="ALW7" s="1"/>
      <c r="ALX7" s="1"/>
      <c r="ALY7" s="1"/>
      <c r="ALZ7" s="1"/>
      <c r="AMA7" s="1"/>
      <c r="AMB7" s="1"/>
      <c r="AMC7" s="1"/>
      <c r="AMD7" s="1"/>
      <c r="AME7" s="1"/>
      <c r="AMF7" s="1"/>
      <c r="AMG7" s="1"/>
      <c r="AMH7" s="1"/>
      <c r="AMI7" s="1"/>
      <c r="AMJ7" s="1"/>
      <c r="AMK7" s="1"/>
      <c r="AML7" s="1"/>
      <c r="AMM7" s="1"/>
      <c r="AMN7" s="1"/>
    </row>
    <row r="8" spans="1:1028" x14ac:dyDescent="0.2">
      <c r="A8" s="3" t="str">
        <f t="shared" si="0"/>
        <v>5ht2b_human_4NC3</v>
      </c>
      <c r="B8" s="3" t="s">
        <v>35</v>
      </c>
      <c r="C8" s="3" t="s">
        <v>1314</v>
      </c>
      <c r="D8" s="3" t="str">
        <f>IFERROR(MID(VLOOKUP($B8,Seqs!$A:$B,2,0),E8,1),"")</f>
        <v>L</v>
      </c>
      <c r="E8" s="3">
        <v>54</v>
      </c>
      <c r="F8" s="3" t="str">
        <f>IFERROR(MID(VLOOKUP($B8,Seqs!$A:$B,2,0),G8,1),"")</f>
        <v>E</v>
      </c>
      <c r="G8" s="3">
        <v>82</v>
      </c>
      <c r="H8" s="3" t="str">
        <f>IFERROR(MID(VLOOKUP($B8,Seqs!$A:$B,2,0),I8,1),"")</f>
        <v>K</v>
      </c>
      <c r="I8" s="23">
        <v>83</v>
      </c>
      <c r="J8" s="3" t="str">
        <f>IFERROR(MID(VLOOKUP($B8,Seqs!$A:$B,2,0),K8,1),"")</f>
        <v>Q</v>
      </c>
      <c r="K8" s="23">
        <v>86</v>
      </c>
      <c r="L8" s="3" t="str">
        <f>IFERROR(MID(VLOOKUP($B8,Seqs!$A:$B,2,0),M8,1),"")</f>
        <v>Y</v>
      </c>
      <c r="M8" s="3">
        <v>87</v>
      </c>
      <c r="N8" s="3" t="str">
        <f>IFERROR(MID(VLOOKUP($B8,Seqs!$A:$B,2,0),O8,1),"")</f>
        <v>F</v>
      </c>
      <c r="O8" s="3">
        <v>117</v>
      </c>
      <c r="P8" s="3" t="str">
        <f>IFERROR(MID(VLOOKUP($B8,Seqs!$A:$B,2,0),Q8,1),"")</f>
        <v>M</v>
      </c>
      <c r="Q8" s="3">
        <v>120</v>
      </c>
      <c r="R8" s="3" t="str">
        <f>IFERROR(MID(VLOOKUP($B8,Seqs!$A:$B,2,0),S8,1),"")</f>
        <v>L</v>
      </c>
      <c r="S8" s="3">
        <v>123</v>
      </c>
      <c r="T8" s="3" t="str">
        <f>IFERROR(MID(VLOOKUP($B8,Seqs!$A:$B,2,0),U8,1),"")</f>
        <v>P</v>
      </c>
      <c r="U8" s="3">
        <v>124</v>
      </c>
      <c r="V8" s="3" t="str">
        <f>IFERROR(MID(VLOOKUP($B8,Seqs!$A:$B,2,0),W8,1),"")</f>
        <v>K</v>
      </c>
      <c r="W8" s="3">
        <v>159</v>
      </c>
      <c r="X8" s="3" t="str">
        <f>IFERROR(MID(VLOOKUP($B8,Seqs!$A:$B,2,0),Y8,1),"")</f>
        <v/>
      </c>
      <c r="Y8" s="3" t="s">
        <v>23</v>
      </c>
      <c r="Z8" s="3" t="str">
        <f>IFERROR(MID(VLOOKUP($B8,Seqs!$A:$B,2,0),AA8,1),"")</f>
        <v/>
      </c>
      <c r="AA8" s="3" t="s">
        <v>23</v>
      </c>
      <c r="AB8" s="3" t="str">
        <f>IFERROR(MID(VLOOKUP($B8,Seqs!$A:$B,2,0),AC8,1),"")</f>
        <v>N</v>
      </c>
      <c r="AC8" s="108">
        <v>164</v>
      </c>
      <c r="AD8" s="3" t="str">
        <f>IFERROR(MID(VLOOKUP($B8,Seqs!$A:$B,2,0),AE8,1),"")</f>
        <v>G</v>
      </c>
      <c r="AE8" s="3">
        <v>194</v>
      </c>
      <c r="AF8" s="3" t="str">
        <f>IFERROR(MID(VLOOKUP($B8,Seqs!$A:$B,2,0),AG8,1),"")</f>
        <v>C</v>
      </c>
      <c r="AG8" s="3">
        <v>207</v>
      </c>
      <c r="AH8" s="3" t="str">
        <f>IFERROR(MID(VLOOKUP($B8,Seqs!$A:$B,2,0),AI8,1),"")</f>
        <v>L</v>
      </c>
      <c r="AI8" s="3">
        <v>209</v>
      </c>
      <c r="AJ8" s="3" t="str">
        <f>IFERROR(MID(VLOOKUP($B8,Seqs!$A:$B,2,0),AK8,1),"")</f>
        <v>F</v>
      </c>
      <c r="AK8" s="3">
        <v>214</v>
      </c>
      <c r="AL8" s="3" t="str">
        <f>IFERROR(MID(VLOOKUP($B8,Seqs!$A:$B,2,0),AM8,1),"")</f>
        <v>A</v>
      </c>
      <c r="AM8" s="108">
        <v>248</v>
      </c>
      <c r="AN8" s="3" t="str">
        <f>IFERROR(MID(VLOOKUP($B8,Seqs!$A:$B,2,0),AO8,1),"")</f>
        <v>Q</v>
      </c>
      <c r="AO8" s="108">
        <v>314</v>
      </c>
      <c r="AP8" s="3" t="str">
        <f>IFERROR(MID(VLOOKUP($B8,Seqs!$A:$B,2,0),AQ8,1),"")</f>
        <v>C</v>
      </c>
      <c r="AQ8" s="3">
        <v>350</v>
      </c>
      <c r="AR8" s="3" t="str">
        <f>IFERROR(MID(VLOOKUP($B8,Seqs!$A:$B,2,0),AS8,1),"")</f>
        <v>Q</v>
      </c>
      <c r="AS8" s="3">
        <v>355</v>
      </c>
      <c r="AT8" s="3" t="str">
        <f>IFERROR(MID(VLOOKUP($B8,Seqs!$A:$B,2,0),AU8,1),"")</f>
        <v>F</v>
      </c>
      <c r="AU8" s="3">
        <v>383</v>
      </c>
      <c r="AV8" s="3" t="str">
        <f>IFERROR(MID(VLOOKUP($B8,Seqs!$A:$B,2,0),AW8,1),"")</f>
        <v>N</v>
      </c>
      <c r="AW8" s="3">
        <v>384</v>
      </c>
      <c r="AX8" s="3" t="str">
        <f>IFERROR(MID(VLOOKUP($B8,Seqs!$A:$B,2,0),AY8,1),"")</f>
        <v>I</v>
      </c>
      <c r="AY8" s="3">
        <v>395</v>
      </c>
      <c r="AZ8" s="79" t="str">
        <f>VLOOKUP(B8,Classification!A:D,2,0)</f>
        <v>A</v>
      </c>
      <c r="BA8" s="97" t="str">
        <f>VLOOKUP(B8,Classification!A:D,4,0)</f>
        <v>5-Hydroxytryptamine</v>
      </c>
      <c r="BB8" s="27" t="b">
        <f t="shared" si="1"/>
        <v>1</v>
      </c>
      <c r="BC8" s="23">
        <f t="shared" si="2"/>
        <v>252</v>
      </c>
      <c r="BD8" s="4" t="s">
        <v>23</v>
      </c>
      <c r="BE8" s="3" t="s">
        <v>1381</v>
      </c>
      <c r="BF8" s="50" t="s">
        <v>1384</v>
      </c>
      <c r="BG8" s="50" t="s">
        <v>1384</v>
      </c>
      <c r="BH8" s="1"/>
      <c r="BI8" s="72" t="s">
        <v>1293</v>
      </c>
      <c r="BJ8" s="58" t="s">
        <v>1293</v>
      </c>
      <c r="BK8" s="58" t="s">
        <v>1293</v>
      </c>
      <c r="BL8" s="58" t="s">
        <v>1293</v>
      </c>
      <c r="BM8" s="58" t="s">
        <v>1293</v>
      </c>
      <c r="BN8" s="58" t="s">
        <v>1293</v>
      </c>
      <c r="BO8" s="58" t="s">
        <v>1293</v>
      </c>
      <c r="BP8" s="58" t="s">
        <v>1293</v>
      </c>
      <c r="BQ8" s="58" t="s">
        <v>1293</v>
      </c>
      <c r="BR8" s="58" t="s">
        <v>1293</v>
      </c>
      <c r="BS8" s="58" t="s">
        <v>1293</v>
      </c>
      <c r="BT8" s="58" t="s">
        <v>1293</v>
      </c>
      <c r="BU8" s="72">
        <f t="shared" si="3"/>
        <v>54</v>
      </c>
      <c r="BV8" s="73">
        <f t="shared" si="4"/>
        <v>83</v>
      </c>
      <c r="BW8" s="74">
        <f t="shared" si="5"/>
        <v>87</v>
      </c>
      <c r="BX8" s="73">
        <f t="shared" si="6"/>
        <v>120</v>
      </c>
      <c r="BY8" s="74">
        <f t="shared" si="7"/>
        <v>124</v>
      </c>
      <c r="BZ8" s="73" t="str">
        <f t="shared" si="8"/>
        <v>-</v>
      </c>
      <c r="CA8" s="74">
        <f t="shared" si="9"/>
        <v>164</v>
      </c>
      <c r="CB8" s="73">
        <f t="shared" si="10"/>
        <v>207</v>
      </c>
      <c r="CC8" s="74">
        <f t="shared" si="11"/>
        <v>214</v>
      </c>
      <c r="CD8" s="73">
        <f t="shared" si="12"/>
        <v>314</v>
      </c>
      <c r="CE8" s="74">
        <f t="shared" si="13"/>
        <v>355</v>
      </c>
      <c r="CF8" s="73">
        <f t="shared" si="14"/>
        <v>384</v>
      </c>
      <c r="CG8" s="72">
        <f t="shared" si="15"/>
        <v>82</v>
      </c>
      <c r="CH8" s="73">
        <f t="shared" si="16"/>
        <v>86</v>
      </c>
      <c r="CI8" s="74">
        <f t="shared" si="17"/>
        <v>117</v>
      </c>
      <c r="CJ8" s="74">
        <f t="shared" si="18"/>
        <v>123</v>
      </c>
      <c r="CK8" s="74">
        <f t="shared" si="19"/>
        <v>159</v>
      </c>
      <c r="CL8" s="74" t="str">
        <f t="shared" si="20"/>
        <v>-</v>
      </c>
      <c r="CM8" s="74">
        <f t="shared" si="21"/>
        <v>194</v>
      </c>
      <c r="CN8" s="74">
        <f t="shared" si="22"/>
        <v>209</v>
      </c>
      <c r="CO8" s="74">
        <f t="shared" si="23"/>
        <v>248</v>
      </c>
      <c r="CP8" s="74">
        <f t="shared" si="24"/>
        <v>350</v>
      </c>
      <c r="CQ8" s="74">
        <f t="shared" si="25"/>
        <v>383</v>
      </c>
      <c r="CR8" s="74">
        <f t="shared" si="26"/>
        <v>395</v>
      </c>
      <c r="CS8" s="23">
        <f t="shared" si="27"/>
        <v>1</v>
      </c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  <c r="OK8" s="1"/>
      <c r="OL8" s="1"/>
      <c r="OM8" s="1"/>
      <c r="ON8" s="1"/>
      <c r="OO8" s="1"/>
      <c r="OP8" s="1"/>
      <c r="OQ8" s="1"/>
      <c r="OR8" s="1"/>
      <c r="OS8" s="1"/>
      <c r="OT8" s="1"/>
      <c r="OU8" s="1"/>
      <c r="OV8" s="1"/>
      <c r="OW8" s="1"/>
      <c r="OX8" s="1"/>
      <c r="OY8" s="1"/>
      <c r="OZ8" s="1"/>
      <c r="PA8" s="1"/>
      <c r="PB8" s="1"/>
      <c r="PC8" s="1"/>
      <c r="PD8" s="1"/>
      <c r="PE8" s="1"/>
      <c r="PF8" s="1"/>
      <c r="PG8" s="1"/>
      <c r="PH8" s="1"/>
      <c r="PI8" s="1"/>
      <c r="PJ8" s="1"/>
      <c r="PK8" s="1"/>
      <c r="PL8" s="1"/>
      <c r="PM8" s="1"/>
      <c r="PN8" s="1"/>
      <c r="PO8" s="1"/>
      <c r="PP8" s="1"/>
      <c r="PQ8" s="1"/>
      <c r="PR8" s="1"/>
      <c r="PS8" s="1"/>
      <c r="PT8" s="1"/>
      <c r="PU8" s="1"/>
      <c r="PV8" s="1"/>
      <c r="PW8" s="1"/>
      <c r="PX8" s="1"/>
      <c r="PY8" s="1"/>
      <c r="PZ8" s="1"/>
      <c r="QA8" s="1"/>
      <c r="QB8" s="1"/>
      <c r="QC8" s="1"/>
      <c r="QD8" s="1"/>
      <c r="QE8" s="1"/>
      <c r="QF8" s="1"/>
      <c r="QG8" s="1"/>
      <c r="QH8" s="1"/>
      <c r="QI8" s="1"/>
      <c r="QJ8" s="1"/>
      <c r="QK8" s="1"/>
      <c r="QL8" s="1"/>
      <c r="QM8" s="1"/>
      <c r="QN8" s="1"/>
      <c r="QO8" s="1"/>
      <c r="QP8" s="1"/>
      <c r="QQ8" s="1"/>
      <c r="QR8" s="1"/>
      <c r="QS8" s="1"/>
      <c r="QT8" s="1"/>
      <c r="QU8" s="1"/>
      <c r="QV8" s="1"/>
      <c r="QW8" s="1"/>
      <c r="QX8" s="1"/>
      <c r="QY8" s="1"/>
      <c r="QZ8" s="1"/>
      <c r="RA8" s="1"/>
      <c r="RB8" s="1"/>
      <c r="RC8" s="1"/>
      <c r="RD8" s="1"/>
      <c r="RE8" s="1"/>
      <c r="RF8" s="1"/>
      <c r="RG8" s="1"/>
      <c r="RH8" s="1"/>
      <c r="RI8" s="1"/>
      <c r="RJ8" s="1"/>
      <c r="RK8" s="1"/>
      <c r="RL8" s="1"/>
      <c r="RM8" s="1"/>
      <c r="RN8" s="1"/>
      <c r="RO8" s="1"/>
      <c r="RP8" s="1"/>
      <c r="RQ8" s="1"/>
      <c r="RR8" s="1"/>
      <c r="RS8" s="1"/>
      <c r="RT8" s="1"/>
      <c r="RU8" s="1"/>
      <c r="RV8" s="1"/>
      <c r="RW8" s="1"/>
      <c r="RX8" s="1"/>
      <c r="RY8" s="1"/>
      <c r="RZ8" s="1"/>
      <c r="SA8" s="1"/>
      <c r="SB8" s="1"/>
      <c r="SC8" s="1"/>
      <c r="SD8" s="1"/>
      <c r="SE8" s="1"/>
      <c r="SF8" s="1"/>
      <c r="SG8" s="1"/>
      <c r="SH8" s="1"/>
      <c r="SI8" s="1"/>
      <c r="SJ8" s="1"/>
      <c r="SK8" s="1"/>
      <c r="SL8" s="1"/>
      <c r="SM8" s="1"/>
      <c r="SN8" s="1"/>
      <c r="SO8" s="1"/>
      <c r="SP8" s="1"/>
      <c r="SQ8" s="1"/>
      <c r="SR8" s="1"/>
      <c r="SS8" s="1"/>
      <c r="ST8" s="1"/>
      <c r="SU8" s="1"/>
      <c r="SV8" s="1"/>
      <c r="SW8" s="1"/>
      <c r="SX8" s="1"/>
      <c r="SY8" s="1"/>
      <c r="SZ8" s="1"/>
      <c r="TA8" s="1"/>
      <c r="TB8" s="1"/>
      <c r="TC8" s="1"/>
      <c r="TD8" s="1"/>
      <c r="TE8" s="1"/>
      <c r="TF8" s="1"/>
      <c r="TG8" s="1"/>
      <c r="TH8" s="1"/>
      <c r="TI8" s="1"/>
      <c r="TJ8" s="1"/>
      <c r="TK8" s="1"/>
      <c r="TL8" s="1"/>
      <c r="TM8" s="1"/>
      <c r="TN8" s="1"/>
      <c r="TO8" s="1"/>
      <c r="TP8" s="1"/>
      <c r="TQ8" s="1"/>
      <c r="TR8" s="1"/>
      <c r="TS8" s="1"/>
      <c r="TT8" s="1"/>
      <c r="TU8" s="1"/>
      <c r="TV8" s="1"/>
      <c r="TW8" s="1"/>
      <c r="TX8" s="1"/>
      <c r="TY8" s="1"/>
      <c r="TZ8" s="1"/>
      <c r="UA8" s="1"/>
      <c r="UB8" s="1"/>
      <c r="UC8" s="1"/>
      <c r="UD8" s="1"/>
      <c r="UE8" s="1"/>
      <c r="UF8" s="1"/>
      <c r="UG8" s="1"/>
      <c r="UH8" s="1"/>
      <c r="UI8" s="1"/>
      <c r="UJ8" s="1"/>
      <c r="UK8" s="1"/>
      <c r="UL8" s="1"/>
      <c r="UM8" s="1"/>
      <c r="UN8" s="1"/>
      <c r="UO8" s="1"/>
      <c r="UP8" s="1"/>
      <c r="UQ8" s="1"/>
      <c r="UR8" s="1"/>
      <c r="US8" s="1"/>
      <c r="UT8" s="1"/>
      <c r="UU8" s="1"/>
      <c r="UV8" s="1"/>
      <c r="UW8" s="1"/>
      <c r="UX8" s="1"/>
      <c r="UY8" s="1"/>
      <c r="UZ8" s="1"/>
      <c r="VA8" s="1"/>
      <c r="VB8" s="1"/>
      <c r="VC8" s="1"/>
      <c r="VD8" s="1"/>
      <c r="VE8" s="1"/>
      <c r="VF8" s="1"/>
      <c r="VG8" s="1"/>
      <c r="VH8" s="1"/>
      <c r="VI8" s="1"/>
      <c r="VJ8" s="1"/>
      <c r="VK8" s="1"/>
      <c r="VL8" s="1"/>
      <c r="VM8" s="1"/>
      <c r="VN8" s="1"/>
      <c r="VO8" s="1"/>
      <c r="VP8" s="1"/>
      <c r="VQ8" s="1"/>
      <c r="VR8" s="1"/>
      <c r="VS8" s="1"/>
      <c r="VT8" s="1"/>
      <c r="VU8" s="1"/>
      <c r="VV8" s="1"/>
      <c r="VW8" s="1"/>
      <c r="VX8" s="1"/>
      <c r="VY8" s="1"/>
      <c r="VZ8" s="1"/>
      <c r="WA8" s="1"/>
      <c r="WB8" s="1"/>
      <c r="WC8" s="1"/>
      <c r="WD8" s="1"/>
      <c r="WE8" s="1"/>
      <c r="WF8" s="1"/>
      <c r="WG8" s="1"/>
      <c r="WH8" s="1"/>
      <c r="WI8" s="1"/>
      <c r="WJ8" s="1"/>
      <c r="WK8" s="1"/>
      <c r="WL8" s="1"/>
      <c r="WM8" s="1"/>
      <c r="WN8" s="1"/>
      <c r="WO8" s="1"/>
      <c r="WP8" s="1"/>
      <c r="WQ8" s="1"/>
      <c r="WR8" s="1"/>
      <c r="WS8" s="1"/>
      <c r="WT8" s="1"/>
      <c r="WU8" s="1"/>
      <c r="WV8" s="1"/>
      <c r="WW8" s="1"/>
      <c r="WX8" s="1"/>
      <c r="WY8" s="1"/>
      <c r="WZ8" s="1"/>
      <c r="XA8" s="1"/>
      <c r="XB8" s="1"/>
      <c r="XC8" s="1"/>
      <c r="XD8" s="1"/>
      <c r="XE8" s="1"/>
      <c r="XF8" s="1"/>
      <c r="XG8" s="1"/>
      <c r="XH8" s="1"/>
      <c r="XI8" s="1"/>
      <c r="XJ8" s="1"/>
      <c r="XK8" s="1"/>
      <c r="XL8" s="1"/>
      <c r="XM8" s="1"/>
      <c r="XN8" s="1"/>
      <c r="XO8" s="1"/>
      <c r="XP8" s="1"/>
      <c r="XQ8" s="1"/>
      <c r="XR8" s="1"/>
      <c r="XS8" s="1"/>
      <c r="XT8" s="1"/>
      <c r="XU8" s="1"/>
      <c r="XV8" s="1"/>
      <c r="XW8" s="1"/>
      <c r="XX8" s="1"/>
      <c r="XY8" s="1"/>
      <c r="XZ8" s="1"/>
      <c r="YA8" s="1"/>
      <c r="YB8" s="1"/>
      <c r="YC8" s="1"/>
      <c r="YD8" s="1"/>
      <c r="YE8" s="1"/>
      <c r="YF8" s="1"/>
      <c r="YG8" s="1"/>
      <c r="YH8" s="1"/>
      <c r="YI8" s="1"/>
      <c r="YJ8" s="1"/>
      <c r="YK8" s="1"/>
      <c r="YL8" s="1"/>
      <c r="YM8" s="1"/>
      <c r="YN8" s="1"/>
      <c r="YO8" s="1"/>
      <c r="YP8" s="1"/>
      <c r="YQ8" s="1"/>
      <c r="YR8" s="1"/>
      <c r="YS8" s="1"/>
      <c r="YT8" s="1"/>
      <c r="YU8" s="1"/>
      <c r="YV8" s="1"/>
      <c r="YW8" s="1"/>
      <c r="YX8" s="1"/>
      <c r="YY8" s="1"/>
      <c r="YZ8" s="1"/>
      <c r="ZA8" s="1"/>
      <c r="ZB8" s="1"/>
      <c r="ZC8" s="1"/>
      <c r="ZD8" s="1"/>
      <c r="ZE8" s="1"/>
      <c r="ZF8" s="1"/>
      <c r="ZG8" s="1"/>
      <c r="ZH8" s="1"/>
      <c r="ZI8" s="1"/>
      <c r="ZJ8" s="1"/>
      <c r="ZK8" s="1"/>
      <c r="ZL8" s="1"/>
      <c r="ZM8" s="1"/>
      <c r="ZN8" s="1"/>
      <c r="ZO8" s="1"/>
      <c r="ZP8" s="1"/>
      <c r="ZQ8" s="1"/>
      <c r="ZR8" s="1"/>
      <c r="ZS8" s="1"/>
      <c r="ZT8" s="1"/>
      <c r="ZU8" s="1"/>
      <c r="ZV8" s="1"/>
      <c r="ZW8" s="1"/>
      <c r="ZX8" s="1"/>
      <c r="ZY8" s="1"/>
      <c r="ZZ8" s="1"/>
      <c r="AAA8" s="1"/>
      <c r="AAB8" s="1"/>
      <c r="AAC8" s="1"/>
      <c r="AAD8" s="1"/>
      <c r="AAE8" s="1"/>
      <c r="AAF8" s="1"/>
      <c r="AAG8" s="1"/>
      <c r="AAH8" s="1"/>
      <c r="AAI8" s="1"/>
      <c r="AAJ8" s="1"/>
      <c r="AAK8" s="1"/>
      <c r="AAL8" s="1"/>
      <c r="AAM8" s="1"/>
      <c r="AAN8" s="1"/>
      <c r="AAO8" s="1"/>
      <c r="AAP8" s="1"/>
      <c r="AAQ8" s="1"/>
      <c r="AAR8" s="1"/>
      <c r="AAS8" s="1"/>
      <c r="AAT8" s="1"/>
      <c r="AAU8" s="1"/>
      <c r="AAV8" s="1"/>
      <c r="AAW8" s="1"/>
      <c r="AAX8" s="1"/>
      <c r="AAY8" s="1"/>
      <c r="AAZ8" s="1"/>
      <c r="ABA8" s="1"/>
      <c r="ABB8" s="1"/>
      <c r="ABC8" s="1"/>
      <c r="ABD8" s="1"/>
      <c r="ABE8" s="1"/>
      <c r="ABF8" s="1"/>
      <c r="ABG8" s="1"/>
      <c r="ABH8" s="1"/>
      <c r="ABI8" s="1"/>
      <c r="ABJ8" s="1"/>
      <c r="ABK8" s="1"/>
      <c r="ABL8" s="1"/>
      <c r="ABM8" s="1"/>
      <c r="ABN8" s="1"/>
      <c r="ABO8" s="1"/>
      <c r="ABP8" s="1"/>
      <c r="ABQ8" s="1"/>
      <c r="ABR8" s="1"/>
      <c r="ABS8" s="1"/>
      <c r="ABT8" s="1"/>
      <c r="ABU8" s="1"/>
      <c r="ABV8" s="1"/>
      <c r="ABW8" s="1"/>
      <c r="ABX8" s="1"/>
      <c r="ABY8" s="1"/>
      <c r="ABZ8" s="1"/>
      <c r="ACA8" s="1"/>
      <c r="ACB8" s="1"/>
      <c r="ACC8" s="1"/>
      <c r="ACD8" s="1"/>
      <c r="ACE8" s="1"/>
      <c r="ACF8" s="1"/>
      <c r="ACG8" s="1"/>
      <c r="ACH8" s="1"/>
      <c r="ACI8" s="1"/>
      <c r="ACJ8" s="1"/>
      <c r="ACK8" s="1"/>
      <c r="ACL8" s="1"/>
      <c r="ACM8" s="1"/>
      <c r="ACN8" s="1"/>
      <c r="ACO8" s="1"/>
      <c r="ACP8" s="1"/>
      <c r="ACQ8" s="1"/>
      <c r="ACR8" s="1"/>
      <c r="ACS8" s="1"/>
      <c r="ACT8" s="1"/>
      <c r="ACU8" s="1"/>
      <c r="ACV8" s="1"/>
      <c r="ACW8" s="1"/>
      <c r="ACX8" s="1"/>
      <c r="ACY8" s="1"/>
      <c r="ACZ8" s="1"/>
      <c r="ADA8" s="1"/>
      <c r="ADB8" s="1"/>
      <c r="ADC8" s="1"/>
      <c r="ADD8" s="1"/>
      <c r="ADE8" s="1"/>
      <c r="ADF8" s="1"/>
      <c r="ADG8" s="1"/>
      <c r="ADH8" s="1"/>
      <c r="ADI8" s="1"/>
      <c r="ADJ8" s="1"/>
      <c r="ADK8" s="1"/>
      <c r="ADL8" s="1"/>
      <c r="ADM8" s="1"/>
      <c r="ADN8" s="1"/>
      <c r="ADO8" s="1"/>
      <c r="ADP8" s="1"/>
      <c r="ADQ8" s="1"/>
      <c r="ADR8" s="1"/>
      <c r="ADS8" s="1"/>
      <c r="ADT8" s="1"/>
      <c r="ADU8" s="1"/>
      <c r="ADV8" s="1"/>
      <c r="ADW8" s="1"/>
      <c r="ADX8" s="1"/>
      <c r="ADY8" s="1"/>
      <c r="ADZ8" s="1"/>
      <c r="AEA8" s="1"/>
      <c r="AEB8" s="1"/>
      <c r="AEC8" s="1"/>
      <c r="AED8" s="1"/>
      <c r="AEE8" s="1"/>
      <c r="AEF8" s="1"/>
      <c r="AEG8" s="1"/>
      <c r="AEH8" s="1"/>
      <c r="AEI8" s="1"/>
      <c r="AEJ8" s="1"/>
      <c r="AEK8" s="1"/>
      <c r="AEL8" s="1"/>
      <c r="AEM8" s="1"/>
      <c r="AEN8" s="1"/>
      <c r="AEO8" s="1"/>
      <c r="AEP8" s="1"/>
      <c r="AEQ8" s="1"/>
      <c r="AER8" s="1"/>
      <c r="AES8" s="1"/>
      <c r="AET8" s="1"/>
      <c r="AEU8" s="1"/>
      <c r="AEV8" s="1"/>
      <c r="AEW8" s="1"/>
      <c r="AEX8" s="1"/>
      <c r="AEY8" s="1"/>
      <c r="AEZ8" s="1"/>
      <c r="AFA8" s="1"/>
      <c r="AFB8" s="1"/>
      <c r="AFC8" s="1"/>
      <c r="AFD8" s="1"/>
      <c r="AFE8" s="1"/>
      <c r="AFF8" s="1"/>
      <c r="AFG8" s="1"/>
      <c r="AFH8" s="1"/>
      <c r="AFI8" s="1"/>
      <c r="AFJ8" s="1"/>
      <c r="AFK8" s="1"/>
      <c r="AFL8" s="1"/>
      <c r="AFM8" s="1"/>
      <c r="AFN8" s="1"/>
      <c r="AFO8" s="1"/>
      <c r="AFP8" s="1"/>
      <c r="AFQ8" s="1"/>
      <c r="AFR8" s="1"/>
      <c r="AFS8" s="1"/>
      <c r="AFT8" s="1"/>
      <c r="AFU8" s="1"/>
      <c r="AFV8" s="1"/>
      <c r="AFW8" s="1"/>
      <c r="AFX8" s="1"/>
      <c r="AFY8" s="1"/>
      <c r="AFZ8" s="1"/>
      <c r="AGA8" s="1"/>
      <c r="AGB8" s="1"/>
      <c r="AGC8" s="1"/>
      <c r="AGD8" s="1"/>
      <c r="AGE8" s="1"/>
      <c r="AGF8" s="1"/>
      <c r="AGG8" s="1"/>
      <c r="AGH8" s="1"/>
      <c r="AGI8" s="1"/>
      <c r="AGJ8" s="1"/>
      <c r="AGK8" s="1"/>
      <c r="AGL8" s="1"/>
      <c r="AGM8" s="1"/>
      <c r="AGN8" s="1"/>
      <c r="AGO8" s="1"/>
      <c r="AGP8" s="1"/>
      <c r="AGQ8" s="1"/>
      <c r="AGR8" s="1"/>
      <c r="AGS8" s="1"/>
      <c r="AGT8" s="1"/>
      <c r="AGU8" s="1"/>
      <c r="AGV8" s="1"/>
      <c r="AGW8" s="1"/>
      <c r="AGX8" s="1"/>
      <c r="AGY8" s="1"/>
      <c r="AGZ8" s="1"/>
      <c r="AHA8" s="1"/>
      <c r="AHB8" s="1"/>
      <c r="AHC8" s="1"/>
      <c r="AHD8" s="1"/>
      <c r="AHE8" s="1"/>
      <c r="AHF8" s="1"/>
      <c r="AHG8" s="1"/>
      <c r="AHH8" s="1"/>
      <c r="AHI8" s="1"/>
      <c r="AHJ8" s="1"/>
      <c r="AHK8" s="1"/>
      <c r="AHL8" s="1"/>
      <c r="AHM8" s="1"/>
      <c r="AHN8" s="1"/>
      <c r="AHO8" s="1"/>
      <c r="AHP8" s="1"/>
      <c r="AHQ8" s="1"/>
      <c r="AHR8" s="1"/>
      <c r="AHS8" s="1"/>
      <c r="AHT8" s="1"/>
      <c r="AHU8" s="1"/>
      <c r="AHV8" s="1"/>
      <c r="AHW8" s="1"/>
      <c r="AHX8" s="1"/>
      <c r="AHY8" s="1"/>
      <c r="AHZ8" s="1"/>
      <c r="AIA8" s="1"/>
      <c r="AIB8" s="1"/>
      <c r="AIC8" s="1"/>
      <c r="AID8" s="1"/>
      <c r="AIE8" s="1"/>
      <c r="AIF8" s="1"/>
      <c r="AIG8" s="1"/>
      <c r="AIH8" s="1"/>
      <c r="AII8" s="1"/>
      <c r="AIJ8" s="1"/>
      <c r="AIK8" s="1"/>
      <c r="AIL8" s="1"/>
      <c r="AIM8" s="1"/>
      <c r="AIN8" s="1"/>
      <c r="AIO8" s="1"/>
      <c r="AIP8" s="1"/>
      <c r="AIQ8" s="1"/>
      <c r="AIR8" s="1"/>
      <c r="AIS8" s="1"/>
      <c r="AIT8" s="1"/>
      <c r="AIU8" s="1"/>
      <c r="AIV8" s="1"/>
      <c r="AIW8" s="1"/>
      <c r="AIX8" s="1"/>
      <c r="AIY8" s="1"/>
      <c r="AIZ8" s="1"/>
      <c r="AJA8" s="1"/>
      <c r="AJB8" s="1"/>
      <c r="AJC8" s="1"/>
      <c r="AJD8" s="1"/>
      <c r="AJE8" s="1"/>
      <c r="AJF8" s="1"/>
      <c r="AJG8" s="1"/>
      <c r="AJH8" s="1"/>
      <c r="AJI8" s="1"/>
      <c r="AJJ8" s="1"/>
      <c r="AJK8" s="1"/>
      <c r="AJL8" s="1"/>
      <c r="AJM8" s="1"/>
      <c r="AJN8" s="1"/>
      <c r="AJO8" s="1"/>
      <c r="AJP8" s="1"/>
      <c r="AJQ8" s="1"/>
      <c r="AJR8" s="1"/>
      <c r="AJS8" s="1"/>
      <c r="AJT8" s="1"/>
      <c r="AJU8" s="1"/>
      <c r="AJV8" s="1"/>
      <c r="AJW8" s="1"/>
      <c r="AJX8" s="1"/>
      <c r="AJY8" s="1"/>
      <c r="AJZ8" s="1"/>
      <c r="AKA8" s="1"/>
      <c r="AKB8" s="1"/>
      <c r="AKC8" s="1"/>
      <c r="AKD8" s="1"/>
      <c r="AKE8" s="1"/>
      <c r="AKF8" s="1"/>
      <c r="AKG8" s="1"/>
      <c r="AKH8" s="1"/>
      <c r="AKI8" s="1"/>
      <c r="AKJ8" s="1"/>
      <c r="AKK8" s="1"/>
      <c r="AKL8" s="1"/>
      <c r="AKM8" s="1"/>
      <c r="AKN8" s="1"/>
      <c r="AKO8" s="1"/>
      <c r="AKP8" s="1"/>
      <c r="AKQ8" s="1"/>
      <c r="AKR8" s="1"/>
      <c r="AKS8" s="1"/>
      <c r="AKT8" s="1"/>
      <c r="AKU8" s="1"/>
      <c r="AKV8" s="1"/>
      <c r="AKW8" s="1"/>
      <c r="AKX8" s="1"/>
      <c r="AKY8" s="1"/>
      <c r="AKZ8" s="1"/>
      <c r="ALA8" s="1"/>
      <c r="ALB8" s="1"/>
      <c r="ALC8" s="1"/>
      <c r="ALD8" s="1"/>
      <c r="ALE8" s="1"/>
      <c r="ALF8" s="1"/>
      <c r="ALG8" s="1"/>
      <c r="ALH8" s="1"/>
      <c r="ALI8" s="1"/>
      <c r="ALJ8" s="1"/>
      <c r="ALK8" s="1"/>
      <c r="ALL8" s="1"/>
      <c r="ALM8" s="1"/>
      <c r="ALN8" s="1"/>
      <c r="ALO8" s="1"/>
      <c r="ALP8" s="1"/>
      <c r="ALQ8" s="1"/>
      <c r="ALR8" s="1"/>
      <c r="ALS8" s="1"/>
      <c r="ALT8" s="1"/>
      <c r="ALU8" s="1"/>
      <c r="ALV8" s="1"/>
      <c r="ALW8" s="1"/>
      <c r="ALX8" s="1"/>
      <c r="ALY8" s="1"/>
      <c r="ALZ8" s="1"/>
      <c r="AMA8" s="1"/>
      <c r="AMB8" s="1"/>
      <c r="AMC8" s="1"/>
      <c r="AMD8" s="1"/>
      <c r="AME8" s="1"/>
      <c r="AMF8" s="1"/>
      <c r="AMG8" s="1"/>
      <c r="AMH8" s="1"/>
      <c r="AMI8" s="1"/>
      <c r="AMJ8" s="1"/>
      <c r="AMK8" s="1"/>
      <c r="AML8" s="1"/>
      <c r="AMM8" s="1"/>
      <c r="AMN8" s="1"/>
    </row>
    <row r="9" spans="1:1028" x14ac:dyDescent="0.2">
      <c r="A9" s="3" t="str">
        <f t="shared" ref="A9" si="28">CONCATENATE(B9,"_",C9)</f>
        <v>5ht2b_human_5TVN</v>
      </c>
      <c r="B9" s="3" t="s">
        <v>35</v>
      </c>
      <c r="C9" s="3" t="s">
        <v>1393</v>
      </c>
      <c r="D9" s="3" t="str">
        <f>IFERROR(MID(VLOOKUP($B9,Seqs!$A:$B,2,0),E9,1),"")</f>
        <v>L</v>
      </c>
      <c r="E9" s="3">
        <v>54</v>
      </c>
      <c r="F9" s="3" t="str">
        <f>IFERROR(MID(VLOOKUP($B9,Seqs!$A:$B,2,0),G9,1),"")</f>
        <v>E</v>
      </c>
      <c r="G9" s="3">
        <v>82</v>
      </c>
      <c r="H9" s="3" t="str">
        <f>IFERROR(MID(VLOOKUP($B9,Seqs!$A:$B,2,0),I9,1),"")</f>
        <v>K</v>
      </c>
      <c r="I9" s="23">
        <v>83</v>
      </c>
      <c r="J9" s="3" t="str">
        <f>IFERROR(MID(VLOOKUP($B9,Seqs!$A:$B,2,0),K9,1),"")</f>
        <v>Q</v>
      </c>
      <c r="K9" s="23">
        <v>86</v>
      </c>
      <c r="L9" s="3" t="str">
        <f>IFERROR(MID(VLOOKUP($B9,Seqs!$A:$B,2,0),M9,1),"")</f>
        <v>Y</v>
      </c>
      <c r="M9" s="3">
        <v>87</v>
      </c>
      <c r="N9" s="3" t="str">
        <f>IFERROR(MID(VLOOKUP($B9,Seqs!$A:$B,2,0),O9,1),"")</f>
        <v>F</v>
      </c>
      <c r="O9" s="3">
        <v>117</v>
      </c>
      <c r="P9" s="3" t="str">
        <f>IFERROR(MID(VLOOKUP($B9,Seqs!$A:$B,2,0),Q9,1),"")</f>
        <v>M</v>
      </c>
      <c r="Q9" s="3">
        <v>120</v>
      </c>
      <c r="R9" s="3" t="str">
        <f>IFERROR(MID(VLOOKUP($B9,Seqs!$A:$B,2,0),S9,1),"")</f>
        <v>L</v>
      </c>
      <c r="S9" s="3">
        <v>123</v>
      </c>
      <c r="T9" s="3" t="str">
        <f>IFERROR(MID(VLOOKUP($B9,Seqs!$A:$B,2,0),U9,1),"")</f>
        <v>P</v>
      </c>
      <c r="U9" s="3">
        <v>124</v>
      </c>
      <c r="V9" s="3" t="str">
        <f>IFERROR(MID(VLOOKUP($B9,Seqs!$A:$B,2,0),W9,1),"")</f>
        <v>K</v>
      </c>
      <c r="W9" s="3">
        <v>159</v>
      </c>
      <c r="X9" s="3" t="str">
        <f>IFERROR(MID(VLOOKUP($B9,Seqs!$A:$B,2,0),Y9,1),"")</f>
        <v/>
      </c>
      <c r="Y9" s="3" t="s">
        <v>23</v>
      </c>
      <c r="Z9" s="3" t="str">
        <f>IFERROR(MID(VLOOKUP($B9,Seqs!$A:$B,2,0),AA9,1),"")</f>
        <v/>
      </c>
      <c r="AA9" s="3" t="s">
        <v>23</v>
      </c>
      <c r="AB9" s="3" t="str">
        <f>IFERROR(MID(VLOOKUP($B9,Seqs!$A:$B,2,0),AC9,1),"")</f>
        <v>S</v>
      </c>
      <c r="AC9" s="3">
        <v>168</v>
      </c>
      <c r="AD9" s="3" t="str">
        <f>IFERROR(MID(VLOOKUP($B9,Seqs!$A:$B,2,0),AE9,1),"")</f>
        <v>G</v>
      </c>
      <c r="AE9" s="3">
        <v>194</v>
      </c>
      <c r="AF9" s="3" t="str">
        <f>IFERROR(MID(VLOOKUP($B9,Seqs!$A:$B,2,0),AG9,1),"")</f>
        <v>C</v>
      </c>
      <c r="AG9" s="3">
        <v>207</v>
      </c>
      <c r="AH9" s="3" t="str">
        <f>IFERROR(MID(VLOOKUP($B9,Seqs!$A:$B,2,0),AI9,1),"")</f>
        <v>L</v>
      </c>
      <c r="AI9" s="3">
        <v>209</v>
      </c>
      <c r="AJ9" s="3" t="str">
        <f>IFERROR(MID(VLOOKUP($B9,Seqs!$A:$B,2,0),AK9,1),"")</f>
        <v>F</v>
      </c>
      <c r="AK9" s="3">
        <v>214</v>
      </c>
      <c r="AL9" s="3" t="str">
        <f>IFERROR(MID(VLOOKUP($B9,Seqs!$A:$B,2,0),AM9,1),"")</f>
        <v>A</v>
      </c>
      <c r="AM9" s="3">
        <v>248</v>
      </c>
      <c r="AN9" s="3" t="str">
        <f>IFERROR(MID(VLOOKUP($B9,Seqs!$A:$B,2,0),AO9,1),"")</f>
        <v>V</v>
      </c>
      <c r="AO9" s="3">
        <v>313</v>
      </c>
      <c r="AP9" s="3" t="str">
        <f>IFERROR(MID(VLOOKUP($B9,Seqs!$A:$B,2,0),AQ9,1),"")</f>
        <v>C</v>
      </c>
      <c r="AQ9" s="3">
        <v>350</v>
      </c>
      <c r="AR9" s="3" t="str">
        <f>IFERROR(MID(VLOOKUP($B9,Seqs!$A:$B,2,0),AS9,1),"")</f>
        <v>Q</v>
      </c>
      <c r="AS9" s="3">
        <v>355</v>
      </c>
      <c r="AT9" s="3" t="str">
        <f>IFERROR(MID(VLOOKUP($B9,Seqs!$A:$B,2,0),AU9,1),"")</f>
        <v>F</v>
      </c>
      <c r="AU9" s="3">
        <v>383</v>
      </c>
      <c r="AV9" s="3" t="str">
        <f>IFERROR(MID(VLOOKUP($B9,Seqs!$A:$B,2,0),AW9,1),"")</f>
        <v>N</v>
      </c>
      <c r="AW9" s="3">
        <v>384</v>
      </c>
      <c r="AX9" s="3" t="str">
        <f>IFERROR(MID(VLOOKUP($B9,Seqs!$A:$B,2,0),AY9,1),"")</f>
        <v>I</v>
      </c>
      <c r="AY9" s="3">
        <v>395</v>
      </c>
      <c r="AZ9" s="79" t="str">
        <f>VLOOKUP(B9,Classification!A:D,2,0)</f>
        <v>A</v>
      </c>
      <c r="BA9" s="97" t="str">
        <f>VLOOKUP(B9,Classification!A:D,4,0)</f>
        <v>5-Hydroxytryptamine</v>
      </c>
      <c r="BB9" s="27" t="b">
        <f t="shared" ref="BB9" si="29">AND(E9&lt;G9,OR(G9&lt;I9,I9="-"),OR(I9&lt;K9,I9="-"),OR(K9&lt;M9,K9="-"),M9&lt;O9,OR(O9&lt;Q9,Q9="-"),OR(Q9&lt;S9,Q9="-"),OR(S9&lt;U9,S9="-"),U9&lt;W9,OR(W9&lt;Y9,Y9="-"),OR(Y9&lt;AA9,Y9="-"),OR(AA9&lt;AC9,AA9="-"),AC9&lt;AE9,OR(AE9&lt;AG9,AG9="-"),OR(AG9&lt;AI9,AG9="-"),OR(AI9&lt;AK9,AI9="-"),AK9&lt;AM9,AM9&lt;AO9,AO9&lt;AQ9,AQ9&lt;AS9,AS9&lt;AU9,OR(AU9&lt;AW9,AW9="-"),OR(AW9&lt;AY9,AW9="-"))</f>
        <v>1</v>
      </c>
      <c r="BC9" s="23">
        <f t="shared" ref="BC9" si="30">_xlfn.AGGREGATE(9,6,CG9:CR9)-_xlfn.AGGREGATE(9,6,BU9:CF9)+12</f>
        <v>249</v>
      </c>
      <c r="BD9" s="4" t="s">
        <v>23</v>
      </c>
      <c r="BE9" s="3" t="s">
        <v>1381</v>
      </c>
      <c r="BF9" s="50" t="s">
        <v>1384</v>
      </c>
      <c r="BG9" s="50" t="s">
        <v>1384</v>
      </c>
      <c r="BH9" s="1"/>
      <c r="BI9" s="72" t="s">
        <v>1293</v>
      </c>
      <c r="BJ9" s="58" t="s">
        <v>1293</v>
      </c>
      <c r="BK9" s="58" t="s">
        <v>1293</v>
      </c>
      <c r="BL9" s="58" t="s">
        <v>1293</v>
      </c>
      <c r="BM9" s="58" t="s">
        <v>1293</v>
      </c>
      <c r="BN9" s="58" t="s">
        <v>1293</v>
      </c>
      <c r="BO9" s="58" t="s">
        <v>1293</v>
      </c>
      <c r="BP9" s="58" t="s">
        <v>1293</v>
      </c>
      <c r="BQ9" s="58" t="s">
        <v>1293</v>
      </c>
      <c r="BR9" s="58" t="s">
        <v>1293</v>
      </c>
      <c r="BS9" s="58" t="s">
        <v>1293</v>
      </c>
      <c r="BT9" s="58" t="s">
        <v>1293</v>
      </c>
      <c r="BU9" s="72">
        <f t="shared" ref="BU9" si="31">E9</f>
        <v>54</v>
      </c>
      <c r="BV9" s="73">
        <f t="shared" ref="BV9" si="32">I9</f>
        <v>83</v>
      </c>
      <c r="BW9" s="74">
        <f t="shared" ref="BW9" si="33">M9</f>
        <v>87</v>
      </c>
      <c r="BX9" s="73">
        <f t="shared" ref="BX9" si="34">Q9</f>
        <v>120</v>
      </c>
      <c r="BY9" s="74">
        <f t="shared" ref="BY9" si="35">U9</f>
        <v>124</v>
      </c>
      <c r="BZ9" s="73" t="str">
        <f t="shared" ref="BZ9" si="36">Y9</f>
        <v>-</v>
      </c>
      <c r="CA9" s="74">
        <f t="shared" ref="CA9" si="37">AC9</f>
        <v>168</v>
      </c>
      <c r="CB9" s="73">
        <f t="shared" ref="CB9" si="38">AG9</f>
        <v>207</v>
      </c>
      <c r="CC9" s="74">
        <f t="shared" ref="CC9" si="39">AK9</f>
        <v>214</v>
      </c>
      <c r="CD9" s="73">
        <f t="shared" ref="CD9" si="40">AO9</f>
        <v>313</v>
      </c>
      <c r="CE9" s="74">
        <f t="shared" ref="CE9" si="41">AS9</f>
        <v>355</v>
      </c>
      <c r="CF9" s="73">
        <f t="shared" ref="CF9" si="42">AW9</f>
        <v>384</v>
      </c>
      <c r="CG9" s="72">
        <f t="shared" ref="CG9" si="43">G9</f>
        <v>82</v>
      </c>
      <c r="CH9" s="73">
        <f t="shared" ref="CH9" si="44">K9</f>
        <v>86</v>
      </c>
      <c r="CI9" s="74">
        <f t="shared" ref="CI9" si="45">O9</f>
        <v>117</v>
      </c>
      <c r="CJ9" s="74">
        <f t="shared" ref="CJ9" si="46">S9</f>
        <v>123</v>
      </c>
      <c r="CK9" s="74">
        <f t="shared" ref="CK9" si="47">W9</f>
        <v>159</v>
      </c>
      <c r="CL9" s="74" t="str">
        <f t="shared" ref="CL9" si="48">AA9</f>
        <v>-</v>
      </c>
      <c r="CM9" s="74">
        <f t="shared" ref="CM9" si="49">AE9</f>
        <v>194</v>
      </c>
      <c r="CN9" s="74">
        <f t="shared" ref="CN9" si="50">AI9</f>
        <v>209</v>
      </c>
      <c r="CO9" s="74">
        <f t="shared" ref="CO9" si="51">AM9</f>
        <v>248</v>
      </c>
      <c r="CP9" s="74">
        <f t="shared" ref="CP9" si="52">AQ9</f>
        <v>350</v>
      </c>
      <c r="CQ9" s="74">
        <f t="shared" ref="CQ9" si="53">AU9</f>
        <v>383</v>
      </c>
      <c r="CR9" s="74">
        <f t="shared" ref="CR9" si="54">AY9</f>
        <v>395</v>
      </c>
      <c r="CS9" s="23">
        <f t="shared" ref="CS9" si="55">M9-K9</f>
        <v>1</v>
      </c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  <c r="OK9" s="1"/>
      <c r="OL9" s="1"/>
      <c r="OM9" s="1"/>
      <c r="ON9" s="1"/>
      <c r="OO9" s="1"/>
      <c r="OP9" s="1"/>
      <c r="OQ9" s="1"/>
      <c r="OR9" s="1"/>
      <c r="OS9" s="1"/>
      <c r="OT9" s="1"/>
      <c r="OU9" s="1"/>
      <c r="OV9" s="1"/>
      <c r="OW9" s="1"/>
      <c r="OX9" s="1"/>
      <c r="OY9" s="1"/>
      <c r="OZ9" s="1"/>
      <c r="PA9" s="1"/>
      <c r="PB9" s="1"/>
      <c r="PC9" s="1"/>
      <c r="PD9" s="1"/>
      <c r="PE9" s="1"/>
      <c r="PF9" s="1"/>
      <c r="PG9" s="1"/>
      <c r="PH9" s="1"/>
      <c r="PI9" s="1"/>
      <c r="PJ9" s="1"/>
      <c r="PK9" s="1"/>
      <c r="PL9" s="1"/>
      <c r="PM9" s="1"/>
      <c r="PN9" s="1"/>
      <c r="PO9" s="1"/>
      <c r="PP9" s="1"/>
      <c r="PQ9" s="1"/>
      <c r="PR9" s="1"/>
      <c r="PS9" s="1"/>
      <c r="PT9" s="1"/>
      <c r="PU9" s="1"/>
      <c r="PV9" s="1"/>
      <c r="PW9" s="1"/>
      <c r="PX9" s="1"/>
      <c r="PY9" s="1"/>
      <c r="PZ9" s="1"/>
      <c r="QA9" s="1"/>
      <c r="QB9" s="1"/>
      <c r="QC9" s="1"/>
      <c r="QD9" s="1"/>
      <c r="QE9" s="1"/>
      <c r="QF9" s="1"/>
      <c r="QG9" s="1"/>
      <c r="QH9" s="1"/>
      <c r="QI9" s="1"/>
      <c r="QJ9" s="1"/>
      <c r="QK9" s="1"/>
      <c r="QL9" s="1"/>
      <c r="QM9" s="1"/>
      <c r="QN9" s="1"/>
      <c r="QO9" s="1"/>
      <c r="QP9" s="1"/>
      <c r="QQ9" s="1"/>
      <c r="QR9" s="1"/>
      <c r="QS9" s="1"/>
      <c r="QT9" s="1"/>
      <c r="QU9" s="1"/>
      <c r="QV9" s="1"/>
      <c r="QW9" s="1"/>
      <c r="QX9" s="1"/>
      <c r="QY9" s="1"/>
      <c r="QZ9" s="1"/>
      <c r="RA9" s="1"/>
      <c r="RB9" s="1"/>
      <c r="RC9" s="1"/>
      <c r="RD9" s="1"/>
      <c r="RE9" s="1"/>
      <c r="RF9" s="1"/>
      <c r="RG9" s="1"/>
      <c r="RH9" s="1"/>
      <c r="RI9" s="1"/>
      <c r="RJ9" s="1"/>
      <c r="RK9" s="1"/>
      <c r="RL9" s="1"/>
      <c r="RM9" s="1"/>
      <c r="RN9" s="1"/>
      <c r="RO9" s="1"/>
      <c r="RP9" s="1"/>
      <c r="RQ9" s="1"/>
      <c r="RR9" s="1"/>
      <c r="RS9" s="1"/>
      <c r="RT9" s="1"/>
      <c r="RU9" s="1"/>
      <c r="RV9" s="1"/>
      <c r="RW9" s="1"/>
      <c r="RX9" s="1"/>
      <c r="RY9" s="1"/>
      <c r="RZ9" s="1"/>
      <c r="SA9" s="1"/>
      <c r="SB9" s="1"/>
      <c r="SC9" s="1"/>
      <c r="SD9" s="1"/>
      <c r="SE9" s="1"/>
      <c r="SF9" s="1"/>
      <c r="SG9" s="1"/>
      <c r="SH9" s="1"/>
      <c r="SI9" s="1"/>
      <c r="SJ9" s="1"/>
      <c r="SK9" s="1"/>
      <c r="SL9" s="1"/>
      <c r="SM9" s="1"/>
      <c r="SN9" s="1"/>
      <c r="SO9" s="1"/>
      <c r="SP9" s="1"/>
      <c r="SQ9" s="1"/>
      <c r="SR9" s="1"/>
      <c r="SS9" s="1"/>
      <c r="ST9" s="1"/>
      <c r="SU9" s="1"/>
      <c r="SV9" s="1"/>
      <c r="SW9" s="1"/>
      <c r="SX9" s="1"/>
      <c r="SY9" s="1"/>
      <c r="SZ9" s="1"/>
      <c r="TA9" s="1"/>
      <c r="TB9" s="1"/>
      <c r="TC9" s="1"/>
      <c r="TD9" s="1"/>
      <c r="TE9" s="1"/>
      <c r="TF9" s="1"/>
      <c r="TG9" s="1"/>
      <c r="TH9" s="1"/>
      <c r="TI9" s="1"/>
      <c r="TJ9" s="1"/>
      <c r="TK9" s="1"/>
      <c r="TL9" s="1"/>
      <c r="TM9" s="1"/>
      <c r="TN9" s="1"/>
      <c r="TO9" s="1"/>
      <c r="TP9" s="1"/>
      <c r="TQ9" s="1"/>
      <c r="TR9" s="1"/>
      <c r="TS9" s="1"/>
      <c r="TT9" s="1"/>
      <c r="TU9" s="1"/>
      <c r="TV9" s="1"/>
      <c r="TW9" s="1"/>
      <c r="TX9" s="1"/>
      <c r="TY9" s="1"/>
      <c r="TZ9" s="1"/>
      <c r="UA9" s="1"/>
      <c r="UB9" s="1"/>
      <c r="UC9" s="1"/>
      <c r="UD9" s="1"/>
      <c r="UE9" s="1"/>
      <c r="UF9" s="1"/>
      <c r="UG9" s="1"/>
      <c r="UH9" s="1"/>
      <c r="UI9" s="1"/>
      <c r="UJ9" s="1"/>
      <c r="UK9" s="1"/>
      <c r="UL9" s="1"/>
      <c r="UM9" s="1"/>
      <c r="UN9" s="1"/>
      <c r="UO9" s="1"/>
      <c r="UP9" s="1"/>
      <c r="UQ9" s="1"/>
      <c r="UR9" s="1"/>
      <c r="US9" s="1"/>
      <c r="UT9" s="1"/>
      <c r="UU9" s="1"/>
      <c r="UV9" s="1"/>
      <c r="UW9" s="1"/>
      <c r="UX9" s="1"/>
      <c r="UY9" s="1"/>
      <c r="UZ9" s="1"/>
      <c r="VA9" s="1"/>
      <c r="VB9" s="1"/>
      <c r="VC9" s="1"/>
      <c r="VD9" s="1"/>
      <c r="VE9" s="1"/>
      <c r="VF9" s="1"/>
      <c r="VG9" s="1"/>
      <c r="VH9" s="1"/>
      <c r="VI9" s="1"/>
      <c r="VJ9" s="1"/>
      <c r="VK9" s="1"/>
      <c r="VL9" s="1"/>
      <c r="VM9" s="1"/>
      <c r="VN9" s="1"/>
      <c r="VO9" s="1"/>
      <c r="VP9" s="1"/>
      <c r="VQ9" s="1"/>
      <c r="VR9" s="1"/>
      <c r="VS9" s="1"/>
      <c r="VT9" s="1"/>
      <c r="VU9" s="1"/>
      <c r="VV9" s="1"/>
      <c r="VW9" s="1"/>
      <c r="VX9" s="1"/>
      <c r="VY9" s="1"/>
      <c r="VZ9" s="1"/>
      <c r="WA9" s="1"/>
      <c r="WB9" s="1"/>
      <c r="WC9" s="1"/>
      <c r="WD9" s="1"/>
      <c r="WE9" s="1"/>
      <c r="WF9" s="1"/>
      <c r="WG9" s="1"/>
      <c r="WH9" s="1"/>
      <c r="WI9" s="1"/>
      <c r="WJ9" s="1"/>
      <c r="WK9" s="1"/>
      <c r="WL9" s="1"/>
      <c r="WM9" s="1"/>
      <c r="WN9" s="1"/>
      <c r="WO9" s="1"/>
      <c r="WP9" s="1"/>
      <c r="WQ9" s="1"/>
      <c r="WR9" s="1"/>
      <c r="WS9" s="1"/>
      <c r="WT9" s="1"/>
      <c r="WU9" s="1"/>
      <c r="WV9" s="1"/>
      <c r="WW9" s="1"/>
      <c r="WX9" s="1"/>
      <c r="WY9" s="1"/>
      <c r="WZ9" s="1"/>
      <c r="XA9" s="1"/>
      <c r="XB9" s="1"/>
      <c r="XC9" s="1"/>
      <c r="XD9" s="1"/>
      <c r="XE9" s="1"/>
      <c r="XF9" s="1"/>
      <c r="XG9" s="1"/>
      <c r="XH9" s="1"/>
      <c r="XI9" s="1"/>
      <c r="XJ9" s="1"/>
      <c r="XK9" s="1"/>
      <c r="XL9" s="1"/>
      <c r="XM9" s="1"/>
      <c r="XN9" s="1"/>
      <c r="XO9" s="1"/>
      <c r="XP9" s="1"/>
      <c r="XQ9" s="1"/>
      <c r="XR9" s="1"/>
      <c r="XS9" s="1"/>
      <c r="XT9" s="1"/>
      <c r="XU9" s="1"/>
      <c r="XV9" s="1"/>
      <c r="XW9" s="1"/>
      <c r="XX9" s="1"/>
      <c r="XY9" s="1"/>
      <c r="XZ9" s="1"/>
      <c r="YA9" s="1"/>
      <c r="YB9" s="1"/>
      <c r="YC9" s="1"/>
      <c r="YD9" s="1"/>
      <c r="YE9" s="1"/>
      <c r="YF9" s="1"/>
      <c r="YG9" s="1"/>
      <c r="YH9" s="1"/>
      <c r="YI9" s="1"/>
      <c r="YJ9" s="1"/>
      <c r="YK9" s="1"/>
      <c r="YL9" s="1"/>
      <c r="YM9" s="1"/>
      <c r="YN9" s="1"/>
      <c r="YO9" s="1"/>
      <c r="YP9" s="1"/>
      <c r="YQ9" s="1"/>
      <c r="YR9" s="1"/>
      <c r="YS9" s="1"/>
      <c r="YT9" s="1"/>
      <c r="YU9" s="1"/>
      <c r="YV9" s="1"/>
      <c r="YW9" s="1"/>
      <c r="YX9" s="1"/>
      <c r="YY9" s="1"/>
      <c r="YZ9" s="1"/>
      <c r="ZA9" s="1"/>
      <c r="ZB9" s="1"/>
      <c r="ZC9" s="1"/>
      <c r="ZD9" s="1"/>
      <c r="ZE9" s="1"/>
      <c r="ZF9" s="1"/>
      <c r="ZG9" s="1"/>
      <c r="ZH9" s="1"/>
      <c r="ZI9" s="1"/>
      <c r="ZJ9" s="1"/>
      <c r="ZK9" s="1"/>
      <c r="ZL9" s="1"/>
      <c r="ZM9" s="1"/>
      <c r="ZN9" s="1"/>
      <c r="ZO9" s="1"/>
      <c r="ZP9" s="1"/>
      <c r="ZQ9" s="1"/>
      <c r="ZR9" s="1"/>
      <c r="ZS9" s="1"/>
      <c r="ZT9" s="1"/>
      <c r="ZU9" s="1"/>
      <c r="ZV9" s="1"/>
      <c r="ZW9" s="1"/>
      <c r="ZX9" s="1"/>
      <c r="ZY9" s="1"/>
      <c r="ZZ9" s="1"/>
      <c r="AAA9" s="1"/>
      <c r="AAB9" s="1"/>
      <c r="AAC9" s="1"/>
      <c r="AAD9" s="1"/>
      <c r="AAE9" s="1"/>
      <c r="AAF9" s="1"/>
      <c r="AAG9" s="1"/>
      <c r="AAH9" s="1"/>
      <c r="AAI9" s="1"/>
      <c r="AAJ9" s="1"/>
      <c r="AAK9" s="1"/>
      <c r="AAL9" s="1"/>
      <c r="AAM9" s="1"/>
      <c r="AAN9" s="1"/>
      <c r="AAO9" s="1"/>
      <c r="AAP9" s="1"/>
      <c r="AAQ9" s="1"/>
      <c r="AAR9" s="1"/>
      <c r="AAS9" s="1"/>
      <c r="AAT9" s="1"/>
      <c r="AAU9" s="1"/>
      <c r="AAV9" s="1"/>
      <c r="AAW9" s="1"/>
      <c r="AAX9" s="1"/>
      <c r="AAY9" s="1"/>
      <c r="AAZ9" s="1"/>
      <c r="ABA9" s="1"/>
      <c r="ABB9" s="1"/>
      <c r="ABC9" s="1"/>
      <c r="ABD9" s="1"/>
      <c r="ABE9" s="1"/>
      <c r="ABF9" s="1"/>
      <c r="ABG9" s="1"/>
      <c r="ABH9" s="1"/>
      <c r="ABI9" s="1"/>
      <c r="ABJ9" s="1"/>
      <c r="ABK9" s="1"/>
      <c r="ABL9" s="1"/>
      <c r="ABM9" s="1"/>
      <c r="ABN9" s="1"/>
      <c r="ABO9" s="1"/>
      <c r="ABP9" s="1"/>
      <c r="ABQ9" s="1"/>
      <c r="ABR9" s="1"/>
      <c r="ABS9" s="1"/>
      <c r="ABT9" s="1"/>
      <c r="ABU9" s="1"/>
      <c r="ABV9" s="1"/>
      <c r="ABW9" s="1"/>
      <c r="ABX9" s="1"/>
      <c r="ABY9" s="1"/>
      <c r="ABZ9" s="1"/>
      <c r="ACA9" s="1"/>
      <c r="ACB9" s="1"/>
      <c r="ACC9" s="1"/>
      <c r="ACD9" s="1"/>
      <c r="ACE9" s="1"/>
      <c r="ACF9" s="1"/>
      <c r="ACG9" s="1"/>
      <c r="ACH9" s="1"/>
      <c r="ACI9" s="1"/>
      <c r="ACJ9" s="1"/>
      <c r="ACK9" s="1"/>
      <c r="ACL9" s="1"/>
      <c r="ACM9" s="1"/>
      <c r="ACN9" s="1"/>
      <c r="ACO9" s="1"/>
      <c r="ACP9" s="1"/>
      <c r="ACQ9" s="1"/>
      <c r="ACR9" s="1"/>
      <c r="ACS9" s="1"/>
      <c r="ACT9" s="1"/>
      <c r="ACU9" s="1"/>
      <c r="ACV9" s="1"/>
      <c r="ACW9" s="1"/>
      <c r="ACX9" s="1"/>
      <c r="ACY9" s="1"/>
      <c r="ACZ9" s="1"/>
      <c r="ADA9" s="1"/>
      <c r="ADB9" s="1"/>
      <c r="ADC9" s="1"/>
      <c r="ADD9" s="1"/>
      <c r="ADE9" s="1"/>
      <c r="ADF9" s="1"/>
      <c r="ADG9" s="1"/>
      <c r="ADH9" s="1"/>
      <c r="ADI9" s="1"/>
      <c r="ADJ9" s="1"/>
      <c r="ADK9" s="1"/>
      <c r="ADL9" s="1"/>
      <c r="ADM9" s="1"/>
      <c r="ADN9" s="1"/>
      <c r="ADO9" s="1"/>
      <c r="ADP9" s="1"/>
      <c r="ADQ9" s="1"/>
      <c r="ADR9" s="1"/>
      <c r="ADS9" s="1"/>
      <c r="ADT9" s="1"/>
      <c r="ADU9" s="1"/>
      <c r="ADV9" s="1"/>
      <c r="ADW9" s="1"/>
      <c r="ADX9" s="1"/>
      <c r="ADY9" s="1"/>
      <c r="ADZ9" s="1"/>
      <c r="AEA9" s="1"/>
      <c r="AEB9" s="1"/>
      <c r="AEC9" s="1"/>
      <c r="AED9" s="1"/>
      <c r="AEE9" s="1"/>
      <c r="AEF9" s="1"/>
      <c r="AEG9" s="1"/>
      <c r="AEH9" s="1"/>
      <c r="AEI9" s="1"/>
      <c r="AEJ9" s="1"/>
      <c r="AEK9" s="1"/>
      <c r="AEL9" s="1"/>
      <c r="AEM9" s="1"/>
      <c r="AEN9" s="1"/>
      <c r="AEO9" s="1"/>
      <c r="AEP9" s="1"/>
      <c r="AEQ9" s="1"/>
      <c r="AER9" s="1"/>
      <c r="AES9" s="1"/>
      <c r="AET9" s="1"/>
      <c r="AEU9" s="1"/>
      <c r="AEV9" s="1"/>
      <c r="AEW9" s="1"/>
      <c r="AEX9" s="1"/>
      <c r="AEY9" s="1"/>
      <c r="AEZ9" s="1"/>
      <c r="AFA9" s="1"/>
      <c r="AFB9" s="1"/>
      <c r="AFC9" s="1"/>
      <c r="AFD9" s="1"/>
      <c r="AFE9" s="1"/>
      <c r="AFF9" s="1"/>
      <c r="AFG9" s="1"/>
      <c r="AFH9" s="1"/>
      <c r="AFI9" s="1"/>
      <c r="AFJ9" s="1"/>
      <c r="AFK9" s="1"/>
      <c r="AFL9" s="1"/>
      <c r="AFM9" s="1"/>
      <c r="AFN9" s="1"/>
      <c r="AFO9" s="1"/>
      <c r="AFP9" s="1"/>
      <c r="AFQ9" s="1"/>
      <c r="AFR9" s="1"/>
      <c r="AFS9" s="1"/>
      <c r="AFT9" s="1"/>
      <c r="AFU9" s="1"/>
      <c r="AFV9" s="1"/>
      <c r="AFW9" s="1"/>
      <c r="AFX9" s="1"/>
      <c r="AFY9" s="1"/>
      <c r="AFZ9" s="1"/>
      <c r="AGA9" s="1"/>
      <c r="AGB9" s="1"/>
      <c r="AGC9" s="1"/>
      <c r="AGD9" s="1"/>
      <c r="AGE9" s="1"/>
      <c r="AGF9" s="1"/>
      <c r="AGG9" s="1"/>
      <c r="AGH9" s="1"/>
      <c r="AGI9" s="1"/>
      <c r="AGJ9" s="1"/>
      <c r="AGK9" s="1"/>
      <c r="AGL9" s="1"/>
      <c r="AGM9" s="1"/>
      <c r="AGN9" s="1"/>
      <c r="AGO9" s="1"/>
      <c r="AGP9" s="1"/>
      <c r="AGQ9" s="1"/>
      <c r="AGR9" s="1"/>
      <c r="AGS9" s="1"/>
      <c r="AGT9" s="1"/>
      <c r="AGU9" s="1"/>
      <c r="AGV9" s="1"/>
      <c r="AGW9" s="1"/>
      <c r="AGX9" s="1"/>
      <c r="AGY9" s="1"/>
      <c r="AGZ9" s="1"/>
      <c r="AHA9" s="1"/>
      <c r="AHB9" s="1"/>
      <c r="AHC9" s="1"/>
      <c r="AHD9" s="1"/>
      <c r="AHE9" s="1"/>
      <c r="AHF9" s="1"/>
      <c r="AHG9" s="1"/>
      <c r="AHH9" s="1"/>
      <c r="AHI9" s="1"/>
      <c r="AHJ9" s="1"/>
      <c r="AHK9" s="1"/>
      <c r="AHL9" s="1"/>
      <c r="AHM9" s="1"/>
      <c r="AHN9" s="1"/>
      <c r="AHO9" s="1"/>
      <c r="AHP9" s="1"/>
      <c r="AHQ9" s="1"/>
      <c r="AHR9" s="1"/>
      <c r="AHS9" s="1"/>
      <c r="AHT9" s="1"/>
      <c r="AHU9" s="1"/>
      <c r="AHV9" s="1"/>
      <c r="AHW9" s="1"/>
      <c r="AHX9" s="1"/>
      <c r="AHY9" s="1"/>
      <c r="AHZ9" s="1"/>
      <c r="AIA9" s="1"/>
      <c r="AIB9" s="1"/>
      <c r="AIC9" s="1"/>
      <c r="AID9" s="1"/>
      <c r="AIE9" s="1"/>
      <c r="AIF9" s="1"/>
      <c r="AIG9" s="1"/>
      <c r="AIH9" s="1"/>
      <c r="AII9" s="1"/>
      <c r="AIJ9" s="1"/>
      <c r="AIK9" s="1"/>
      <c r="AIL9" s="1"/>
      <c r="AIM9" s="1"/>
      <c r="AIN9" s="1"/>
      <c r="AIO9" s="1"/>
      <c r="AIP9" s="1"/>
      <c r="AIQ9" s="1"/>
      <c r="AIR9" s="1"/>
      <c r="AIS9" s="1"/>
      <c r="AIT9" s="1"/>
      <c r="AIU9" s="1"/>
      <c r="AIV9" s="1"/>
      <c r="AIW9" s="1"/>
      <c r="AIX9" s="1"/>
      <c r="AIY9" s="1"/>
      <c r="AIZ9" s="1"/>
      <c r="AJA9" s="1"/>
      <c r="AJB9" s="1"/>
      <c r="AJC9" s="1"/>
      <c r="AJD9" s="1"/>
      <c r="AJE9" s="1"/>
      <c r="AJF9" s="1"/>
      <c r="AJG9" s="1"/>
      <c r="AJH9" s="1"/>
      <c r="AJI9" s="1"/>
      <c r="AJJ9" s="1"/>
      <c r="AJK9" s="1"/>
      <c r="AJL9" s="1"/>
      <c r="AJM9" s="1"/>
      <c r="AJN9" s="1"/>
      <c r="AJO9" s="1"/>
      <c r="AJP9" s="1"/>
      <c r="AJQ9" s="1"/>
      <c r="AJR9" s="1"/>
      <c r="AJS9" s="1"/>
      <c r="AJT9" s="1"/>
      <c r="AJU9" s="1"/>
      <c r="AJV9" s="1"/>
      <c r="AJW9" s="1"/>
      <c r="AJX9" s="1"/>
      <c r="AJY9" s="1"/>
      <c r="AJZ9" s="1"/>
      <c r="AKA9" s="1"/>
      <c r="AKB9" s="1"/>
      <c r="AKC9" s="1"/>
      <c r="AKD9" s="1"/>
      <c r="AKE9" s="1"/>
      <c r="AKF9" s="1"/>
      <c r="AKG9" s="1"/>
      <c r="AKH9" s="1"/>
      <c r="AKI9" s="1"/>
      <c r="AKJ9" s="1"/>
      <c r="AKK9" s="1"/>
      <c r="AKL9" s="1"/>
      <c r="AKM9" s="1"/>
      <c r="AKN9" s="1"/>
      <c r="AKO9" s="1"/>
      <c r="AKP9" s="1"/>
      <c r="AKQ9" s="1"/>
      <c r="AKR9" s="1"/>
      <c r="AKS9" s="1"/>
      <c r="AKT9" s="1"/>
      <c r="AKU9" s="1"/>
      <c r="AKV9" s="1"/>
      <c r="AKW9" s="1"/>
      <c r="AKX9" s="1"/>
      <c r="AKY9" s="1"/>
      <c r="AKZ9" s="1"/>
      <c r="ALA9" s="1"/>
      <c r="ALB9" s="1"/>
      <c r="ALC9" s="1"/>
      <c r="ALD9" s="1"/>
      <c r="ALE9" s="1"/>
      <c r="ALF9" s="1"/>
      <c r="ALG9" s="1"/>
      <c r="ALH9" s="1"/>
      <c r="ALI9" s="1"/>
      <c r="ALJ9" s="1"/>
      <c r="ALK9" s="1"/>
      <c r="ALL9" s="1"/>
      <c r="ALM9" s="1"/>
      <c r="ALN9" s="1"/>
      <c r="ALO9" s="1"/>
      <c r="ALP9" s="1"/>
      <c r="ALQ9" s="1"/>
      <c r="ALR9" s="1"/>
      <c r="ALS9" s="1"/>
      <c r="ALT9" s="1"/>
      <c r="ALU9" s="1"/>
      <c r="ALV9" s="1"/>
      <c r="ALW9" s="1"/>
      <c r="ALX9" s="1"/>
      <c r="ALY9" s="1"/>
      <c r="ALZ9" s="1"/>
      <c r="AMA9" s="1"/>
      <c r="AMB9" s="1"/>
      <c r="AMC9" s="1"/>
      <c r="AMD9" s="1"/>
      <c r="AME9" s="1"/>
      <c r="AMF9" s="1"/>
      <c r="AMG9" s="1"/>
      <c r="AMH9" s="1"/>
      <c r="AMI9" s="1"/>
      <c r="AMJ9" s="1"/>
      <c r="AMK9" s="1"/>
      <c r="AML9" s="1"/>
      <c r="AMM9" s="1"/>
      <c r="AMN9" s="1"/>
    </row>
    <row r="10" spans="1:1028" x14ac:dyDescent="0.2">
      <c r="A10" s="3" t="str">
        <f t="shared" ref="A10:A11" si="56">CONCATENATE(B10,"_",C10)</f>
        <v>aa1r_human__wt</v>
      </c>
      <c r="B10" s="3" t="s">
        <v>138</v>
      </c>
      <c r="C10" s="3" t="s">
        <v>100</v>
      </c>
      <c r="D10" s="3" t="str">
        <f>IFERROR(MID(VLOOKUP($B10,Seqs!$A:$B,2,0),E10,1),"")</f>
        <v>S</v>
      </c>
      <c r="E10" s="3">
        <v>6</v>
      </c>
      <c r="F10" s="3" t="str">
        <f>IFERROR(MID(VLOOKUP($B10,Seqs!$A:$B,2,0),G10,1),"")</f>
        <v>N</v>
      </c>
      <c r="G10" s="3">
        <v>37</v>
      </c>
      <c r="H10" s="3" t="str">
        <f>IFERROR(MID(VLOOKUP($B10,Seqs!$A:$B,2,0),I10,1),"")</f>
        <v>Q</v>
      </c>
      <c r="I10" s="23">
        <v>38</v>
      </c>
      <c r="J10" s="3" t="str">
        <f>IFERROR(MID(VLOOKUP($B10,Seqs!$A:$B,2,0),K10,1),"")</f>
        <v>R</v>
      </c>
      <c r="K10" s="23">
        <v>41</v>
      </c>
      <c r="L10" s="3" t="str">
        <f>IFERROR(MID(VLOOKUP($B10,Seqs!$A:$B,2,0),M10,1),"")</f>
        <v>D</v>
      </c>
      <c r="M10" s="3">
        <v>42</v>
      </c>
      <c r="N10" s="3" t="str">
        <f>IFERROR(MID(VLOOKUP($B10,Seqs!$A:$B,2,0),O10,1),"")</f>
        <v>G</v>
      </c>
      <c r="O10" s="3">
        <v>72</v>
      </c>
      <c r="P10" s="3" t="str">
        <f>IFERROR(MID(VLOOKUP($B10,Seqs!$A:$B,2,0),Q10,1),"")</f>
        <v>P</v>
      </c>
      <c r="Q10" s="3">
        <v>73</v>
      </c>
      <c r="R10" s="3" t="str">
        <f>IFERROR(MID(VLOOKUP($B10,Seqs!$A:$B,2,0),S10,1),"")</f>
        <v>T</v>
      </c>
      <c r="S10" s="3">
        <v>75</v>
      </c>
      <c r="T10" s="3" t="str">
        <f>IFERROR(MID(VLOOKUP($B10,Seqs!$A:$B,2,0),U10,1),"")</f>
        <v>Y</v>
      </c>
      <c r="U10" s="3">
        <v>76</v>
      </c>
      <c r="V10" s="3" t="str">
        <f>IFERROR(MID(VLOOKUP($B10,Seqs!$A:$B,2,0),W10,1),"")</f>
        <v>I</v>
      </c>
      <c r="W10" s="3">
        <v>111</v>
      </c>
      <c r="X10" s="3" t="str">
        <f>IFERROR(MID(VLOOKUP($B10,Seqs!$A:$B,2,0),Y10,1),"")</f>
        <v>P</v>
      </c>
      <c r="Y10" s="3">
        <v>112</v>
      </c>
      <c r="Z10" s="3" t="str">
        <f>IFERROR(MID(VLOOKUP($B10,Seqs!$A:$B,2,0),AA10,1),"")</f>
        <v>V</v>
      </c>
      <c r="AA10" s="3">
        <v>119</v>
      </c>
      <c r="AB10" s="3" t="str">
        <f>IFERROR(MID(VLOOKUP($B10,Seqs!$A:$B,2,0),AC10,1),"")</f>
        <v>T</v>
      </c>
      <c r="AC10" s="3">
        <v>120</v>
      </c>
      <c r="AD10" s="3" t="str">
        <f>IFERROR(MID(VLOOKUP($B10,Seqs!$A:$B,2,0),AE10,1),"")</f>
        <v>G</v>
      </c>
      <c r="AE10" s="3">
        <v>145</v>
      </c>
      <c r="AF10" s="3" t="str">
        <f>IFERROR(MID(VLOOKUP($B10,Seqs!$A:$B,2,0),AG10,1),"")</f>
        <v>C</v>
      </c>
      <c r="AG10" s="3">
        <v>169</v>
      </c>
      <c r="AH10" s="3" t="str">
        <f>IFERROR(MID(VLOOKUP($B10,Seqs!$A:$B,2,0),AI10,1),"")</f>
        <v>F</v>
      </c>
      <c r="AI10" s="3">
        <v>171</v>
      </c>
      <c r="AJ10" s="3" t="str">
        <f>IFERROR(MID(VLOOKUP($B10,Seqs!$A:$B,2,0),AK10,1),"")</f>
        <v>S</v>
      </c>
      <c r="AK10" s="3">
        <v>176</v>
      </c>
      <c r="AL10" s="3" t="str">
        <f>IFERROR(MID(VLOOKUP($B10,Seqs!$A:$B,2,0),AM10,1),"")</f>
        <v>V</v>
      </c>
      <c r="AM10" s="3">
        <v>215</v>
      </c>
      <c r="AN10" s="3" t="str">
        <f>IFERROR(MID(VLOOKUP($B10,Seqs!$A:$B,2,0),AO10,1),"")</f>
        <v>D</v>
      </c>
      <c r="AO10" s="3">
        <v>221</v>
      </c>
      <c r="AP10" s="3" t="str">
        <f>IFERROR(MID(VLOOKUP($B10,Seqs!$A:$B,2,0),AQ10,1),"")</f>
        <v>C</v>
      </c>
      <c r="AQ10" s="3">
        <v>260</v>
      </c>
      <c r="AR10" s="3" t="str">
        <f>IFERROR(MID(VLOOKUP($B10,Seqs!$A:$B,2,0),AS10,1),"")</f>
        <v>P</v>
      </c>
      <c r="AS10" s="3">
        <v>266</v>
      </c>
      <c r="AT10" s="3" t="str">
        <f>IFERROR(MID(VLOOKUP($B10,Seqs!$A:$B,2,0),AU10,1),"")</f>
        <v>R</v>
      </c>
      <c r="AU10" s="3">
        <v>291</v>
      </c>
      <c r="AV10" s="3" t="str">
        <f>IFERROR(MID(VLOOKUP($B10,Seqs!$A:$B,2,0),AW10,1),"")</f>
        <v>I</v>
      </c>
      <c r="AW10" s="3">
        <v>292</v>
      </c>
      <c r="AX10" s="3" t="str">
        <f>IFERROR(MID(VLOOKUP($B10,Seqs!$A:$B,2,0),AY10,1),"")</f>
        <v>P</v>
      </c>
      <c r="AY10" s="3">
        <v>314</v>
      </c>
      <c r="AZ10" s="79" t="str">
        <f>VLOOKUP(B10,Classification!A:D,2,0)</f>
        <v>A</v>
      </c>
      <c r="BA10" s="97" t="str">
        <f>VLOOKUP(B10,Classification!A:D,4,0)</f>
        <v>Adenosine</v>
      </c>
      <c r="BB10" s="27" t="b">
        <f t="shared" ref="BB10:BB11" si="57">AND(E10&lt;G10,OR(G10&lt;I10,I10="-"),OR(I10&lt;K10,I10="-"),OR(K10&lt;M10,K10="-"),M10&lt;O10,OR(O10&lt;Q10,Q10="-"),OR(Q10&lt;S10,Q10="-"),OR(S10&lt;U10,S10="-"),U10&lt;W10,OR(W10&lt;Y10,Y10="-"),OR(Y10&lt;AA10,Y10="-"),OR(AA10&lt;AC10,AA10="-"),AC10&lt;AE10,OR(AE10&lt;AG10,AG10="-"),OR(AG10&lt;AI10,AG10="-"),OR(AI10&lt;AK10,AI10="-"),AK10&lt;AM10,AM10&lt;AO10,AO10&lt;AQ10,AQ10&lt;AS10,AS10&lt;AU10,OR(AU10&lt;AW10,AW10="-"),OR(AW10&lt;AY10,AW10="-"))</f>
        <v>1</v>
      </c>
      <c r="BC10" s="23">
        <f t="shared" ref="BC10:BC11" si="58">_xlfn.AGGREGATE(9,6,CG10:CR10)-_xlfn.AGGREGATE(9,6,BU10:CF10)+12</f>
        <v>272</v>
      </c>
      <c r="BD10" s="4" t="s">
        <v>23</v>
      </c>
      <c r="BE10" s="3" t="s">
        <v>1381</v>
      </c>
      <c r="BF10" s="50" t="s">
        <v>1384</v>
      </c>
      <c r="BG10" s="50" t="s">
        <v>1384</v>
      </c>
      <c r="BH10" s="1"/>
      <c r="BI10" s="72" t="s">
        <v>1293</v>
      </c>
      <c r="BJ10" s="58" t="s">
        <v>1293</v>
      </c>
      <c r="BK10" s="58" t="s">
        <v>1293</v>
      </c>
      <c r="BL10" s="58" t="s">
        <v>1293</v>
      </c>
      <c r="BM10" s="58" t="s">
        <v>1293</v>
      </c>
      <c r="BN10" s="58" t="s">
        <v>1293</v>
      </c>
      <c r="BO10" s="58" t="s">
        <v>1293</v>
      </c>
      <c r="BP10" s="58" t="s">
        <v>1293</v>
      </c>
      <c r="BQ10" s="58" t="s">
        <v>1293</v>
      </c>
      <c r="BR10" s="58" t="s">
        <v>1293</v>
      </c>
      <c r="BS10" s="58" t="s">
        <v>1293</v>
      </c>
      <c r="BT10" s="58" t="s">
        <v>1293</v>
      </c>
      <c r="BU10" s="72">
        <f t="shared" ref="BU10:BU11" si="59">E10</f>
        <v>6</v>
      </c>
      <c r="BV10" s="73">
        <f t="shared" ref="BV10:BV11" si="60">I10</f>
        <v>38</v>
      </c>
      <c r="BW10" s="74">
        <f t="shared" ref="BW10:BW11" si="61">M10</f>
        <v>42</v>
      </c>
      <c r="BX10" s="73">
        <f t="shared" ref="BX10:BX11" si="62">Q10</f>
        <v>73</v>
      </c>
      <c r="BY10" s="74">
        <f t="shared" ref="BY10:BY11" si="63">U10</f>
        <v>76</v>
      </c>
      <c r="BZ10" s="73">
        <f t="shared" ref="BZ10:BZ11" si="64">Y10</f>
        <v>112</v>
      </c>
      <c r="CA10" s="74">
        <f t="shared" ref="CA10:CA11" si="65">AC10</f>
        <v>120</v>
      </c>
      <c r="CB10" s="73">
        <f t="shared" ref="CB10:CB11" si="66">AG10</f>
        <v>169</v>
      </c>
      <c r="CC10" s="74">
        <f t="shared" ref="CC10:CC11" si="67">AK10</f>
        <v>176</v>
      </c>
      <c r="CD10" s="73">
        <f t="shared" ref="CD10:CD11" si="68">AO10</f>
        <v>221</v>
      </c>
      <c r="CE10" s="74">
        <f t="shared" ref="CE10:CE11" si="69">AS10</f>
        <v>266</v>
      </c>
      <c r="CF10" s="73">
        <f t="shared" ref="CF10:CF11" si="70">AW10</f>
        <v>292</v>
      </c>
      <c r="CG10" s="72">
        <f t="shared" ref="CG10:CG11" si="71">G10</f>
        <v>37</v>
      </c>
      <c r="CH10" s="73">
        <f t="shared" ref="CH10:CH11" si="72">K10</f>
        <v>41</v>
      </c>
      <c r="CI10" s="74">
        <f t="shared" ref="CI10:CI11" si="73">O10</f>
        <v>72</v>
      </c>
      <c r="CJ10" s="74">
        <f t="shared" ref="CJ10:CJ11" si="74">S10</f>
        <v>75</v>
      </c>
      <c r="CK10" s="74">
        <f t="shared" ref="CK10:CK11" si="75">W10</f>
        <v>111</v>
      </c>
      <c r="CL10" s="74">
        <f t="shared" ref="CL10:CL11" si="76">AA10</f>
        <v>119</v>
      </c>
      <c r="CM10" s="74">
        <f t="shared" ref="CM10:CM11" si="77">AE10</f>
        <v>145</v>
      </c>
      <c r="CN10" s="74">
        <f t="shared" ref="CN10:CN11" si="78">AI10</f>
        <v>171</v>
      </c>
      <c r="CO10" s="74">
        <f t="shared" ref="CO10:CO11" si="79">AM10</f>
        <v>215</v>
      </c>
      <c r="CP10" s="74">
        <f t="shared" ref="CP10:CP11" si="80">AQ10</f>
        <v>260</v>
      </c>
      <c r="CQ10" s="74">
        <f t="shared" ref="CQ10:CQ11" si="81">AU10</f>
        <v>291</v>
      </c>
      <c r="CR10" s="74">
        <f t="shared" ref="CR10:CR11" si="82">AY10</f>
        <v>314</v>
      </c>
      <c r="CS10" s="23">
        <f t="shared" ref="CS10:CS11" si="83">M10-K10</f>
        <v>1</v>
      </c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  <c r="OK10" s="1"/>
      <c r="OL10" s="1"/>
      <c r="OM10" s="1"/>
      <c r="ON10" s="1"/>
      <c r="OO10" s="1"/>
      <c r="OP10" s="1"/>
      <c r="OQ10" s="1"/>
      <c r="OR10" s="1"/>
      <c r="OS10" s="1"/>
      <c r="OT10" s="1"/>
      <c r="OU10" s="1"/>
      <c r="OV10" s="1"/>
      <c r="OW10" s="1"/>
      <c r="OX10" s="1"/>
      <c r="OY10" s="1"/>
      <c r="OZ10" s="1"/>
      <c r="PA10" s="1"/>
      <c r="PB10" s="1"/>
      <c r="PC10" s="1"/>
      <c r="PD10" s="1"/>
      <c r="PE10" s="1"/>
      <c r="PF10" s="1"/>
      <c r="PG10" s="1"/>
      <c r="PH10" s="1"/>
      <c r="PI10" s="1"/>
      <c r="PJ10" s="1"/>
      <c r="PK10" s="1"/>
      <c r="PL10" s="1"/>
      <c r="PM10" s="1"/>
      <c r="PN10" s="1"/>
      <c r="PO10" s="1"/>
      <c r="PP10" s="1"/>
      <c r="PQ10" s="1"/>
      <c r="PR10" s="1"/>
      <c r="PS10" s="1"/>
      <c r="PT10" s="1"/>
      <c r="PU10" s="1"/>
      <c r="PV10" s="1"/>
      <c r="PW10" s="1"/>
      <c r="PX10" s="1"/>
      <c r="PY10" s="1"/>
      <c r="PZ10" s="1"/>
      <c r="QA10" s="1"/>
      <c r="QB10" s="1"/>
      <c r="QC10" s="1"/>
      <c r="QD10" s="1"/>
      <c r="QE10" s="1"/>
      <c r="QF10" s="1"/>
      <c r="QG10" s="1"/>
      <c r="QH10" s="1"/>
      <c r="QI10" s="1"/>
      <c r="QJ10" s="1"/>
      <c r="QK10" s="1"/>
      <c r="QL10" s="1"/>
      <c r="QM10" s="1"/>
      <c r="QN10" s="1"/>
      <c r="QO10" s="1"/>
      <c r="QP10" s="1"/>
      <c r="QQ10" s="1"/>
      <c r="QR10" s="1"/>
      <c r="QS10" s="1"/>
      <c r="QT10" s="1"/>
      <c r="QU10" s="1"/>
      <c r="QV10" s="1"/>
      <c r="QW10" s="1"/>
      <c r="QX10" s="1"/>
      <c r="QY10" s="1"/>
      <c r="QZ10" s="1"/>
      <c r="RA10" s="1"/>
      <c r="RB10" s="1"/>
      <c r="RC10" s="1"/>
      <c r="RD10" s="1"/>
      <c r="RE10" s="1"/>
      <c r="RF10" s="1"/>
      <c r="RG10" s="1"/>
      <c r="RH10" s="1"/>
      <c r="RI10" s="1"/>
      <c r="RJ10" s="1"/>
      <c r="RK10" s="1"/>
      <c r="RL10" s="1"/>
      <c r="RM10" s="1"/>
      <c r="RN10" s="1"/>
      <c r="RO10" s="1"/>
      <c r="RP10" s="1"/>
      <c r="RQ10" s="1"/>
      <c r="RR10" s="1"/>
      <c r="RS10" s="1"/>
      <c r="RT10" s="1"/>
      <c r="RU10" s="1"/>
      <c r="RV10" s="1"/>
      <c r="RW10" s="1"/>
      <c r="RX10" s="1"/>
      <c r="RY10" s="1"/>
      <c r="RZ10" s="1"/>
      <c r="SA10" s="1"/>
      <c r="SB10" s="1"/>
      <c r="SC10" s="1"/>
      <c r="SD10" s="1"/>
      <c r="SE10" s="1"/>
      <c r="SF10" s="1"/>
      <c r="SG10" s="1"/>
      <c r="SH10" s="1"/>
      <c r="SI10" s="1"/>
      <c r="SJ10" s="1"/>
      <c r="SK10" s="1"/>
      <c r="SL10" s="1"/>
      <c r="SM10" s="1"/>
      <c r="SN10" s="1"/>
      <c r="SO10" s="1"/>
      <c r="SP10" s="1"/>
      <c r="SQ10" s="1"/>
      <c r="SR10" s="1"/>
      <c r="SS10" s="1"/>
      <c r="ST10" s="1"/>
      <c r="SU10" s="1"/>
      <c r="SV10" s="1"/>
      <c r="SW10" s="1"/>
      <c r="SX10" s="1"/>
      <c r="SY10" s="1"/>
      <c r="SZ10" s="1"/>
      <c r="TA10" s="1"/>
      <c r="TB10" s="1"/>
      <c r="TC10" s="1"/>
      <c r="TD10" s="1"/>
      <c r="TE10" s="1"/>
      <c r="TF10" s="1"/>
      <c r="TG10" s="1"/>
      <c r="TH10" s="1"/>
      <c r="TI10" s="1"/>
      <c r="TJ10" s="1"/>
      <c r="TK10" s="1"/>
      <c r="TL10" s="1"/>
      <c r="TM10" s="1"/>
      <c r="TN10" s="1"/>
      <c r="TO10" s="1"/>
      <c r="TP10" s="1"/>
      <c r="TQ10" s="1"/>
      <c r="TR10" s="1"/>
      <c r="TS10" s="1"/>
      <c r="TT10" s="1"/>
      <c r="TU10" s="1"/>
      <c r="TV10" s="1"/>
      <c r="TW10" s="1"/>
      <c r="TX10" s="1"/>
      <c r="TY10" s="1"/>
      <c r="TZ10" s="1"/>
      <c r="UA10" s="1"/>
      <c r="UB10" s="1"/>
      <c r="UC10" s="1"/>
      <c r="UD10" s="1"/>
      <c r="UE10" s="1"/>
      <c r="UF10" s="1"/>
      <c r="UG10" s="1"/>
      <c r="UH10" s="1"/>
      <c r="UI10" s="1"/>
      <c r="UJ10" s="1"/>
      <c r="UK10" s="1"/>
      <c r="UL10" s="1"/>
      <c r="UM10" s="1"/>
      <c r="UN10" s="1"/>
      <c r="UO10" s="1"/>
      <c r="UP10" s="1"/>
      <c r="UQ10" s="1"/>
      <c r="UR10" s="1"/>
      <c r="US10" s="1"/>
      <c r="UT10" s="1"/>
      <c r="UU10" s="1"/>
      <c r="UV10" s="1"/>
      <c r="UW10" s="1"/>
      <c r="UX10" s="1"/>
      <c r="UY10" s="1"/>
      <c r="UZ10" s="1"/>
      <c r="VA10" s="1"/>
      <c r="VB10" s="1"/>
      <c r="VC10" s="1"/>
      <c r="VD10" s="1"/>
      <c r="VE10" s="1"/>
      <c r="VF10" s="1"/>
      <c r="VG10" s="1"/>
      <c r="VH10" s="1"/>
      <c r="VI10" s="1"/>
      <c r="VJ10" s="1"/>
      <c r="VK10" s="1"/>
      <c r="VL10" s="1"/>
      <c r="VM10" s="1"/>
      <c r="VN10" s="1"/>
      <c r="VO10" s="1"/>
      <c r="VP10" s="1"/>
      <c r="VQ10" s="1"/>
      <c r="VR10" s="1"/>
      <c r="VS10" s="1"/>
      <c r="VT10" s="1"/>
      <c r="VU10" s="1"/>
      <c r="VV10" s="1"/>
      <c r="VW10" s="1"/>
      <c r="VX10" s="1"/>
      <c r="VY10" s="1"/>
      <c r="VZ10" s="1"/>
      <c r="WA10" s="1"/>
      <c r="WB10" s="1"/>
      <c r="WC10" s="1"/>
      <c r="WD10" s="1"/>
      <c r="WE10" s="1"/>
      <c r="WF10" s="1"/>
      <c r="WG10" s="1"/>
      <c r="WH10" s="1"/>
      <c r="WI10" s="1"/>
      <c r="WJ10" s="1"/>
      <c r="WK10" s="1"/>
      <c r="WL10" s="1"/>
      <c r="WM10" s="1"/>
      <c r="WN10" s="1"/>
      <c r="WO10" s="1"/>
      <c r="WP10" s="1"/>
      <c r="WQ10" s="1"/>
      <c r="WR10" s="1"/>
      <c r="WS10" s="1"/>
      <c r="WT10" s="1"/>
      <c r="WU10" s="1"/>
      <c r="WV10" s="1"/>
      <c r="WW10" s="1"/>
      <c r="WX10" s="1"/>
      <c r="WY10" s="1"/>
      <c r="WZ10" s="1"/>
      <c r="XA10" s="1"/>
      <c r="XB10" s="1"/>
      <c r="XC10" s="1"/>
      <c r="XD10" s="1"/>
      <c r="XE10" s="1"/>
      <c r="XF10" s="1"/>
      <c r="XG10" s="1"/>
      <c r="XH10" s="1"/>
      <c r="XI10" s="1"/>
      <c r="XJ10" s="1"/>
      <c r="XK10" s="1"/>
      <c r="XL10" s="1"/>
      <c r="XM10" s="1"/>
      <c r="XN10" s="1"/>
      <c r="XO10" s="1"/>
      <c r="XP10" s="1"/>
      <c r="XQ10" s="1"/>
      <c r="XR10" s="1"/>
      <c r="XS10" s="1"/>
      <c r="XT10" s="1"/>
      <c r="XU10" s="1"/>
      <c r="XV10" s="1"/>
      <c r="XW10" s="1"/>
      <c r="XX10" s="1"/>
      <c r="XY10" s="1"/>
      <c r="XZ10" s="1"/>
      <c r="YA10" s="1"/>
      <c r="YB10" s="1"/>
      <c r="YC10" s="1"/>
      <c r="YD10" s="1"/>
      <c r="YE10" s="1"/>
      <c r="YF10" s="1"/>
      <c r="YG10" s="1"/>
      <c r="YH10" s="1"/>
      <c r="YI10" s="1"/>
      <c r="YJ10" s="1"/>
      <c r="YK10" s="1"/>
      <c r="YL10" s="1"/>
      <c r="YM10" s="1"/>
      <c r="YN10" s="1"/>
      <c r="YO10" s="1"/>
      <c r="YP10" s="1"/>
      <c r="YQ10" s="1"/>
      <c r="YR10" s="1"/>
      <c r="YS10" s="1"/>
      <c r="YT10" s="1"/>
      <c r="YU10" s="1"/>
      <c r="YV10" s="1"/>
      <c r="YW10" s="1"/>
      <c r="YX10" s="1"/>
      <c r="YY10" s="1"/>
      <c r="YZ10" s="1"/>
      <c r="ZA10" s="1"/>
      <c r="ZB10" s="1"/>
      <c r="ZC10" s="1"/>
      <c r="ZD10" s="1"/>
      <c r="ZE10" s="1"/>
      <c r="ZF10" s="1"/>
      <c r="ZG10" s="1"/>
      <c r="ZH10" s="1"/>
      <c r="ZI10" s="1"/>
      <c r="ZJ10" s="1"/>
      <c r="ZK10" s="1"/>
      <c r="ZL10" s="1"/>
      <c r="ZM10" s="1"/>
      <c r="ZN10" s="1"/>
      <c r="ZO10" s="1"/>
      <c r="ZP10" s="1"/>
      <c r="ZQ10" s="1"/>
      <c r="ZR10" s="1"/>
      <c r="ZS10" s="1"/>
      <c r="ZT10" s="1"/>
      <c r="ZU10" s="1"/>
      <c r="ZV10" s="1"/>
      <c r="ZW10" s="1"/>
      <c r="ZX10" s="1"/>
      <c r="ZY10" s="1"/>
      <c r="ZZ10" s="1"/>
      <c r="AAA10" s="1"/>
      <c r="AAB10" s="1"/>
      <c r="AAC10" s="1"/>
      <c r="AAD10" s="1"/>
      <c r="AAE10" s="1"/>
      <c r="AAF10" s="1"/>
      <c r="AAG10" s="1"/>
      <c r="AAH10" s="1"/>
      <c r="AAI10" s="1"/>
      <c r="AAJ10" s="1"/>
      <c r="AAK10" s="1"/>
      <c r="AAL10" s="1"/>
      <c r="AAM10" s="1"/>
      <c r="AAN10" s="1"/>
      <c r="AAO10" s="1"/>
      <c r="AAP10" s="1"/>
      <c r="AAQ10" s="1"/>
      <c r="AAR10" s="1"/>
      <c r="AAS10" s="1"/>
      <c r="AAT10" s="1"/>
      <c r="AAU10" s="1"/>
      <c r="AAV10" s="1"/>
      <c r="AAW10" s="1"/>
      <c r="AAX10" s="1"/>
      <c r="AAY10" s="1"/>
      <c r="AAZ10" s="1"/>
      <c r="ABA10" s="1"/>
      <c r="ABB10" s="1"/>
      <c r="ABC10" s="1"/>
      <c r="ABD10" s="1"/>
      <c r="ABE10" s="1"/>
      <c r="ABF10" s="1"/>
      <c r="ABG10" s="1"/>
      <c r="ABH10" s="1"/>
      <c r="ABI10" s="1"/>
      <c r="ABJ10" s="1"/>
      <c r="ABK10" s="1"/>
      <c r="ABL10" s="1"/>
      <c r="ABM10" s="1"/>
      <c r="ABN10" s="1"/>
      <c r="ABO10" s="1"/>
      <c r="ABP10" s="1"/>
      <c r="ABQ10" s="1"/>
      <c r="ABR10" s="1"/>
      <c r="ABS10" s="1"/>
      <c r="ABT10" s="1"/>
      <c r="ABU10" s="1"/>
      <c r="ABV10" s="1"/>
      <c r="ABW10" s="1"/>
      <c r="ABX10" s="1"/>
      <c r="ABY10" s="1"/>
      <c r="ABZ10" s="1"/>
      <c r="ACA10" s="1"/>
      <c r="ACB10" s="1"/>
      <c r="ACC10" s="1"/>
      <c r="ACD10" s="1"/>
      <c r="ACE10" s="1"/>
      <c r="ACF10" s="1"/>
      <c r="ACG10" s="1"/>
      <c r="ACH10" s="1"/>
      <c r="ACI10" s="1"/>
      <c r="ACJ10" s="1"/>
      <c r="ACK10" s="1"/>
      <c r="ACL10" s="1"/>
      <c r="ACM10" s="1"/>
      <c r="ACN10" s="1"/>
      <c r="ACO10" s="1"/>
      <c r="ACP10" s="1"/>
      <c r="ACQ10" s="1"/>
      <c r="ACR10" s="1"/>
      <c r="ACS10" s="1"/>
      <c r="ACT10" s="1"/>
      <c r="ACU10" s="1"/>
      <c r="ACV10" s="1"/>
      <c r="ACW10" s="1"/>
      <c r="ACX10" s="1"/>
      <c r="ACY10" s="1"/>
      <c r="ACZ10" s="1"/>
      <c r="ADA10" s="1"/>
      <c r="ADB10" s="1"/>
      <c r="ADC10" s="1"/>
      <c r="ADD10" s="1"/>
      <c r="ADE10" s="1"/>
      <c r="ADF10" s="1"/>
      <c r="ADG10" s="1"/>
      <c r="ADH10" s="1"/>
      <c r="ADI10" s="1"/>
      <c r="ADJ10" s="1"/>
      <c r="ADK10" s="1"/>
      <c r="ADL10" s="1"/>
      <c r="ADM10" s="1"/>
      <c r="ADN10" s="1"/>
      <c r="ADO10" s="1"/>
      <c r="ADP10" s="1"/>
      <c r="ADQ10" s="1"/>
      <c r="ADR10" s="1"/>
      <c r="ADS10" s="1"/>
      <c r="ADT10" s="1"/>
      <c r="ADU10" s="1"/>
      <c r="ADV10" s="1"/>
      <c r="ADW10" s="1"/>
      <c r="ADX10" s="1"/>
      <c r="ADY10" s="1"/>
      <c r="ADZ10" s="1"/>
      <c r="AEA10" s="1"/>
      <c r="AEB10" s="1"/>
      <c r="AEC10" s="1"/>
      <c r="AED10" s="1"/>
      <c r="AEE10" s="1"/>
      <c r="AEF10" s="1"/>
      <c r="AEG10" s="1"/>
      <c r="AEH10" s="1"/>
      <c r="AEI10" s="1"/>
      <c r="AEJ10" s="1"/>
      <c r="AEK10" s="1"/>
      <c r="AEL10" s="1"/>
      <c r="AEM10" s="1"/>
      <c r="AEN10" s="1"/>
      <c r="AEO10" s="1"/>
      <c r="AEP10" s="1"/>
      <c r="AEQ10" s="1"/>
      <c r="AER10" s="1"/>
      <c r="AES10" s="1"/>
      <c r="AET10" s="1"/>
      <c r="AEU10" s="1"/>
      <c r="AEV10" s="1"/>
      <c r="AEW10" s="1"/>
      <c r="AEX10" s="1"/>
      <c r="AEY10" s="1"/>
      <c r="AEZ10" s="1"/>
      <c r="AFA10" s="1"/>
      <c r="AFB10" s="1"/>
      <c r="AFC10" s="1"/>
      <c r="AFD10" s="1"/>
      <c r="AFE10" s="1"/>
      <c r="AFF10" s="1"/>
      <c r="AFG10" s="1"/>
      <c r="AFH10" s="1"/>
      <c r="AFI10" s="1"/>
      <c r="AFJ10" s="1"/>
      <c r="AFK10" s="1"/>
      <c r="AFL10" s="1"/>
      <c r="AFM10" s="1"/>
      <c r="AFN10" s="1"/>
      <c r="AFO10" s="1"/>
      <c r="AFP10" s="1"/>
      <c r="AFQ10" s="1"/>
      <c r="AFR10" s="1"/>
      <c r="AFS10" s="1"/>
      <c r="AFT10" s="1"/>
      <c r="AFU10" s="1"/>
      <c r="AFV10" s="1"/>
      <c r="AFW10" s="1"/>
      <c r="AFX10" s="1"/>
      <c r="AFY10" s="1"/>
      <c r="AFZ10" s="1"/>
      <c r="AGA10" s="1"/>
      <c r="AGB10" s="1"/>
      <c r="AGC10" s="1"/>
      <c r="AGD10" s="1"/>
      <c r="AGE10" s="1"/>
      <c r="AGF10" s="1"/>
      <c r="AGG10" s="1"/>
      <c r="AGH10" s="1"/>
      <c r="AGI10" s="1"/>
      <c r="AGJ10" s="1"/>
      <c r="AGK10" s="1"/>
      <c r="AGL10" s="1"/>
      <c r="AGM10" s="1"/>
      <c r="AGN10" s="1"/>
      <c r="AGO10" s="1"/>
      <c r="AGP10" s="1"/>
      <c r="AGQ10" s="1"/>
      <c r="AGR10" s="1"/>
      <c r="AGS10" s="1"/>
      <c r="AGT10" s="1"/>
      <c r="AGU10" s="1"/>
      <c r="AGV10" s="1"/>
      <c r="AGW10" s="1"/>
      <c r="AGX10" s="1"/>
      <c r="AGY10" s="1"/>
      <c r="AGZ10" s="1"/>
      <c r="AHA10" s="1"/>
      <c r="AHB10" s="1"/>
      <c r="AHC10" s="1"/>
      <c r="AHD10" s="1"/>
      <c r="AHE10" s="1"/>
      <c r="AHF10" s="1"/>
      <c r="AHG10" s="1"/>
      <c r="AHH10" s="1"/>
      <c r="AHI10" s="1"/>
      <c r="AHJ10" s="1"/>
      <c r="AHK10" s="1"/>
      <c r="AHL10" s="1"/>
      <c r="AHM10" s="1"/>
      <c r="AHN10" s="1"/>
      <c r="AHO10" s="1"/>
      <c r="AHP10" s="1"/>
      <c r="AHQ10" s="1"/>
      <c r="AHR10" s="1"/>
      <c r="AHS10" s="1"/>
      <c r="AHT10" s="1"/>
      <c r="AHU10" s="1"/>
      <c r="AHV10" s="1"/>
      <c r="AHW10" s="1"/>
      <c r="AHX10" s="1"/>
      <c r="AHY10" s="1"/>
      <c r="AHZ10" s="1"/>
      <c r="AIA10" s="1"/>
      <c r="AIB10" s="1"/>
      <c r="AIC10" s="1"/>
      <c r="AID10" s="1"/>
      <c r="AIE10" s="1"/>
      <c r="AIF10" s="1"/>
      <c r="AIG10" s="1"/>
      <c r="AIH10" s="1"/>
      <c r="AII10" s="1"/>
      <c r="AIJ10" s="1"/>
      <c r="AIK10" s="1"/>
      <c r="AIL10" s="1"/>
      <c r="AIM10" s="1"/>
      <c r="AIN10" s="1"/>
      <c r="AIO10" s="1"/>
      <c r="AIP10" s="1"/>
      <c r="AIQ10" s="1"/>
      <c r="AIR10" s="1"/>
      <c r="AIS10" s="1"/>
      <c r="AIT10" s="1"/>
      <c r="AIU10" s="1"/>
      <c r="AIV10" s="1"/>
      <c r="AIW10" s="1"/>
      <c r="AIX10" s="1"/>
      <c r="AIY10" s="1"/>
      <c r="AIZ10" s="1"/>
      <c r="AJA10" s="1"/>
      <c r="AJB10" s="1"/>
      <c r="AJC10" s="1"/>
      <c r="AJD10" s="1"/>
      <c r="AJE10" s="1"/>
      <c r="AJF10" s="1"/>
      <c r="AJG10" s="1"/>
      <c r="AJH10" s="1"/>
      <c r="AJI10" s="1"/>
      <c r="AJJ10" s="1"/>
      <c r="AJK10" s="1"/>
      <c r="AJL10" s="1"/>
      <c r="AJM10" s="1"/>
      <c r="AJN10" s="1"/>
      <c r="AJO10" s="1"/>
      <c r="AJP10" s="1"/>
      <c r="AJQ10" s="1"/>
      <c r="AJR10" s="1"/>
      <c r="AJS10" s="1"/>
      <c r="AJT10" s="1"/>
      <c r="AJU10" s="1"/>
      <c r="AJV10" s="1"/>
      <c r="AJW10" s="1"/>
      <c r="AJX10" s="1"/>
      <c r="AJY10" s="1"/>
      <c r="AJZ10" s="1"/>
      <c r="AKA10" s="1"/>
      <c r="AKB10" s="1"/>
      <c r="AKC10" s="1"/>
      <c r="AKD10" s="1"/>
      <c r="AKE10" s="1"/>
      <c r="AKF10" s="1"/>
      <c r="AKG10" s="1"/>
      <c r="AKH10" s="1"/>
      <c r="AKI10" s="1"/>
      <c r="AKJ10" s="1"/>
      <c r="AKK10" s="1"/>
      <c r="AKL10" s="1"/>
      <c r="AKM10" s="1"/>
      <c r="AKN10" s="1"/>
      <c r="AKO10" s="1"/>
      <c r="AKP10" s="1"/>
      <c r="AKQ10" s="1"/>
      <c r="AKR10" s="1"/>
      <c r="AKS10" s="1"/>
      <c r="AKT10" s="1"/>
      <c r="AKU10" s="1"/>
      <c r="AKV10" s="1"/>
      <c r="AKW10" s="1"/>
      <c r="AKX10" s="1"/>
      <c r="AKY10" s="1"/>
      <c r="AKZ10" s="1"/>
      <c r="ALA10" s="1"/>
      <c r="ALB10" s="1"/>
      <c r="ALC10" s="1"/>
      <c r="ALD10" s="1"/>
      <c r="ALE10" s="1"/>
      <c r="ALF10" s="1"/>
      <c r="ALG10" s="1"/>
      <c r="ALH10" s="1"/>
      <c r="ALI10" s="1"/>
      <c r="ALJ10" s="1"/>
      <c r="ALK10" s="1"/>
      <c r="ALL10" s="1"/>
      <c r="ALM10" s="1"/>
      <c r="ALN10" s="1"/>
      <c r="ALO10" s="1"/>
      <c r="ALP10" s="1"/>
      <c r="ALQ10" s="1"/>
      <c r="ALR10" s="1"/>
      <c r="ALS10" s="1"/>
      <c r="ALT10" s="1"/>
      <c r="ALU10" s="1"/>
      <c r="ALV10" s="1"/>
      <c r="ALW10" s="1"/>
      <c r="ALX10" s="1"/>
      <c r="ALY10" s="1"/>
      <c r="ALZ10" s="1"/>
      <c r="AMA10" s="1"/>
      <c r="AMB10" s="1"/>
      <c r="AMC10" s="1"/>
      <c r="AMD10" s="1"/>
      <c r="AME10" s="1"/>
      <c r="AMF10" s="1"/>
      <c r="AMG10" s="1"/>
      <c r="AMH10" s="1"/>
      <c r="AMI10" s="1"/>
      <c r="AMJ10" s="1"/>
      <c r="AMK10" s="1"/>
      <c r="AML10" s="1"/>
      <c r="AMM10" s="1"/>
      <c r="AMN10" s="1"/>
    </row>
    <row r="11" spans="1:1028" x14ac:dyDescent="0.2">
      <c r="A11" s="3" t="str">
        <f t="shared" si="56"/>
        <v>aa1r_human_5UEN</v>
      </c>
      <c r="B11" s="3" t="s">
        <v>138</v>
      </c>
      <c r="C11" s="3" t="s">
        <v>1396</v>
      </c>
      <c r="D11" s="3" t="str">
        <f>IFERROR(MID(VLOOKUP($B11,Seqs!$A:$B,2,0),E11,1),"")</f>
        <v>S</v>
      </c>
      <c r="E11" s="3">
        <v>6</v>
      </c>
      <c r="F11" s="3" t="str">
        <f>IFERROR(MID(VLOOKUP($B11,Seqs!$A:$B,2,0),G11,1),"")</f>
        <v>N</v>
      </c>
      <c r="G11" s="3">
        <v>37</v>
      </c>
      <c r="H11" s="3" t="str">
        <f>IFERROR(MID(VLOOKUP($B11,Seqs!$A:$B,2,0),I11,1),"")</f>
        <v>Q</v>
      </c>
      <c r="I11" s="23">
        <v>38</v>
      </c>
      <c r="J11" s="3" t="str">
        <f>IFERROR(MID(VLOOKUP($B11,Seqs!$A:$B,2,0),K11,1),"")</f>
        <v>R</v>
      </c>
      <c r="K11" s="23">
        <v>41</v>
      </c>
      <c r="L11" s="3" t="str">
        <f>IFERROR(MID(VLOOKUP($B11,Seqs!$A:$B,2,0),M11,1),"")</f>
        <v>D</v>
      </c>
      <c r="M11" s="3">
        <v>42</v>
      </c>
      <c r="N11" s="3" t="str">
        <f>IFERROR(MID(VLOOKUP($B11,Seqs!$A:$B,2,0),O11,1),"")</f>
        <v>G</v>
      </c>
      <c r="O11" s="3">
        <v>72</v>
      </c>
      <c r="P11" s="3" t="str">
        <f>IFERROR(MID(VLOOKUP($B11,Seqs!$A:$B,2,0),Q11,1),"")</f>
        <v>P</v>
      </c>
      <c r="Q11" s="3">
        <v>73</v>
      </c>
      <c r="R11" s="3" t="str">
        <f>IFERROR(MID(VLOOKUP($B11,Seqs!$A:$B,2,0),S11,1),"")</f>
        <v>T</v>
      </c>
      <c r="S11" s="3">
        <v>75</v>
      </c>
      <c r="T11" s="3" t="str">
        <f>IFERROR(MID(VLOOKUP($B11,Seqs!$A:$B,2,0),U11,1),"")</f>
        <v>Y</v>
      </c>
      <c r="U11" s="3">
        <v>76</v>
      </c>
      <c r="V11" s="3" t="str">
        <f>IFERROR(MID(VLOOKUP($B11,Seqs!$A:$B,2,0),W11,1),"")</f>
        <v>I</v>
      </c>
      <c r="W11" s="3">
        <v>111</v>
      </c>
      <c r="X11" s="3" t="str">
        <f>IFERROR(MID(VLOOKUP($B11,Seqs!$A:$B,2,0),Y11,1),"")</f>
        <v>P</v>
      </c>
      <c r="Y11" s="3">
        <v>112</v>
      </c>
      <c r="Z11" s="3" t="str">
        <f>IFERROR(MID(VLOOKUP($B11,Seqs!$A:$B,2,0),AA11,1),"")</f>
        <v>V</v>
      </c>
      <c r="AA11" s="3">
        <v>119</v>
      </c>
      <c r="AB11" s="3" t="str">
        <f>IFERROR(MID(VLOOKUP($B11,Seqs!$A:$B,2,0),AC11,1),"")</f>
        <v>T</v>
      </c>
      <c r="AC11" s="3">
        <v>120</v>
      </c>
      <c r="AD11" s="3" t="str">
        <f>IFERROR(MID(VLOOKUP($B11,Seqs!$A:$B,2,0),AE11,1),"")</f>
        <v>G</v>
      </c>
      <c r="AE11" s="3">
        <v>145</v>
      </c>
      <c r="AF11" s="3" t="str">
        <f>IFERROR(MID(VLOOKUP($B11,Seqs!$A:$B,2,0),AG11,1),"")</f>
        <v>C</v>
      </c>
      <c r="AG11" s="3">
        <v>169</v>
      </c>
      <c r="AH11" s="3" t="str">
        <f>IFERROR(MID(VLOOKUP($B11,Seqs!$A:$B,2,0),AI11,1),"")</f>
        <v>F</v>
      </c>
      <c r="AI11" s="3">
        <v>171</v>
      </c>
      <c r="AJ11" s="3" t="str">
        <f>IFERROR(MID(VLOOKUP($B11,Seqs!$A:$B,2,0),AK11,1),"")</f>
        <v>S</v>
      </c>
      <c r="AK11" s="3">
        <v>176</v>
      </c>
      <c r="AL11" s="3" t="str">
        <f>IFERROR(MID(VLOOKUP($B11,Seqs!$A:$B,2,0),AM11,1),"")</f>
        <v>L</v>
      </c>
      <c r="AM11" s="3">
        <v>211</v>
      </c>
      <c r="AN11" s="3" t="str">
        <f>IFERROR(MID(VLOOKUP($B11,Seqs!$A:$B,2,0),AO11,1),"")</f>
        <v>G</v>
      </c>
      <c r="AO11" s="3">
        <v>220</v>
      </c>
      <c r="AP11" s="3" t="str">
        <f>IFERROR(MID(VLOOKUP($B11,Seqs!$A:$B,2,0),AQ11,1),"")</f>
        <v>C</v>
      </c>
      <c r="AQ11" s="3">
        <v>260</v>
      </c>
      <c r="AR11" s="3" t="str">
        <f>IFERROR(MID(VLOOKUP($B11,Seqs!$A:$B,2,0),AS11,1),"")</f>
        <v>P</v>
      </c>
      <c r="AS11" s="3">
        <v>266</v>
      </c>
      <c r="AT11" s="3" t="str">
        <f>IFERROR(MID(VLOOKUP($B11,Seqs!$A:$B,2,0),AU11,1),"")</f>
        <v>R</v>
      </c>
      <c r="AU11" s="3">
        <v>291</v>
      </c>
      <c r="AV11" s="3" t="str">
        <f>IFERROR(MID(VLOOKUP($B11,Seqs!$A:$B,2,0),AW11,1),"")</f>
        <v>I</v>
      </c>
      <c r="AW11" s="3">
        <v>292</v>
      </c>
      <c r="AX11" s="3" t="str">
        <f>IFERROR(MID(VLOOKUP($B11,Seqs!$A:$B,2,0),AY11,1),"")</f>
        <v>F</v>
      </c>
      <c r="AY11" s="3">
        <v>307</v>
      </c>
      <c r="AZ11" s="79" t="str">
        <f>VLOOKUP(B11,Classification!A:D,2,0)</f>
        <v>A</v>
      </c>
      <c r="BA11" s="97" t="str">
        <f>VLOOKUP(B11,Classification!A:D,4,0)</f>
        <v>Adenosine</v>
      </c>
      <c r="BB11" s="27" t="b">
        <f t="shared" si="57"/>
        <v>1</v>
      </c>
      <c r="BC11" s="23">
        <f t="shared" si="58"/>
        <v>262</v>
      </c>
      <c r="BD11" s="4" t="s">
        <v>23</v>
      </c>
      <c r="BE11" s="3" t="s">
        <v>1381</v>
      </c>
      <c r="BF11" s="50" t="s">
        <v>1384</v>
      </c>
      <c r="BG11" s="50" t="s">
        <v>1384</v>
      </c>
      <c r="BH11" s="1"/>
      <c r="BI11" s="72" t="s">
        <v>1293</v>
      </c>
      <c r="BJ11" s="58" t="s">
        <v>1293</v>
      </c>
      <c r="BK11" s="58" t="s">
        <v>1293</v>
      </c>
      <c r="BL11" s="58" t="s">
        <v>1293</v>
      </c>
      <c r="BM11" s="58" t="s">
        <v>1293</v>
      </c>
      <c r="BN11" s="58" t="s">
        <v>1293</v>
      </c>
      <c r="BO11" s="58" t="s">
        <v>1293</v>
      </c>
      <c r="BP11" s="58" t="s">
        <v>1293</v>
      </c>
      <c r="BQ11" s="58" t="s">
        <v>1293</v>
      </c>
      <c r="BR11" s="58" t="s">
        <v>1293</v>
      </c>
      <c r="BS11" s="58" t="s">
        <v>1293</v>
      </c>
      <c r="BT11" s="58" t="s">
        <v>1293</v>
      </c>
      <c r="BU11" s="72">
        <f t="shared" si="59"/>
        <v>6</v>
      </c>
      <c r="BV11" s="73">
        <f t="shared" si="60"/>
        <v>38</v>
      </c>
      <c r="BW11" s="74">
        <f t="shared" si="61"/>
        <v>42</v>
      </c>
      <c r="BX11" s="73">
        <f t="shared" si="62"/>
        <v>73</v>
      </c>
      <c r="BY11" s="74">
        <f t="shared" si="63"/>
        <v>76</v>
      </c>
      <c r="BZ11" s="73">
        <f t="shared" si="64"/>
        <v>112</v>
      </c>
      <c r="CA11" s="74">
        <f t="shared" si="65"/>
        <v>120</v>
      </c>
      <c r="CB11" s="73">
        <f t="shared" si="66"/>
        <v>169</v>
      </c>
      <c r="CC11" s="74">
        <f t="shared" si="67"/>
        <v>176</v>
      </c>
      <c r="CD11" s="73">
        <f t="shared" si="68"/>
        <v>220</v>
      </c>
      <c r="CE11" s="74">
        <f t="shared" si="69"/>
        <v>266</v>
      </c>
      <c r="CF11" s="73">
        <f t="shared" si="70"/>
        <v>292</v>
      </c>
      <c r="CG11" s="72">
        <f t="shared" si="71"/>
        <v>37</v>
      </c>
      <c r="CH11" s="73">
        <f t="shared" si="72"/>
        <v>41</v>
      </c>
      <c r="CI11" s="74">
        <f t="shared" si="73"/>
        <v>72</v>
      </c>
      <c r="CJ11" s="74">
        <f t="shared" si="74"/>
        <v>75</v>
      </c>
      <c r="CK11" s="74">
        <f t="shared" si="75"/>
        <v>111</v>
      </c>
      <c r="CL11" s="74">
        <f t="shared" si="76"/>
        <v>119</v>
      </c>
      <c r="CM11" s="74">
        <f t="shared" si="77"/>
        <v>145</v>
      </c>
      <c r="CN11" s="74">
        <f t="shared" si="78"/>
        <v>171</v>
      </c>
      <c r="CO11" s="74">
        <f t="shared" si="79"/>
        <v>211</v>
      </c>
      <c r="CP11" s="74">
        <f t="shared" si="80"/>
        <v>260</v>
      </c>
      <c r="CQ11" s="74">
        <f t="shared" si="81"/>
        <v>291</v>
      </c>
      <c r="CR11" s="74">
        <f t="shared" si="82"/>
        <v>307</v>
      </c>
      <c r="CS11" s="23">
        <f t="shared" si="83"/>
        <v>1</v>
      </c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  <c r="OK11" s="1"/>
      <c r="OL11" s="1"/>
      <c r="OM11" s="1"/>
      <c r="ON11" s="1"/>
      <c r="OO11" s="1"/>
      <c r="OP11" s="1"/>
      <c r="OQ11" s="1"/>
      <c r="OR11" s="1"/>
      <c r="OS11" s="1"/>
      <c r="OT11" s="1"/>
      <c r="OU11" s="1"/>
      <c r="OV11" s="1"/>
      <c r="OW11" s="1"/>
      <c r="OX11" s="1"/>
      <c r="OY11" s="1"/>
      <c r="OZ11" s="1"/>
      <c r="PA11" s="1"/>
      <c r="PB11" s="1"/>
      <c r="PC11" s="1"/>
      <c r="PD11" s="1"/>
      <c r="PE11" s="1"/>
      <c r="PF11" s="1"/>
      <c r="PG11" s="1"/>
      <c r="PH11" s="1"/>
      <c r="PI11" s="1"/>
      <c r="PJ11" s="1"/>
      <c r="PK11" s="1"/>
      <c r="PL11" s="1"/>
      <c r="PM11" s="1"/>
      <c r="PN11" s="1"/>
      <c r="PO11" s="1"/>
      <c r="PP11" s="1"/>
      <c r="PQ11" s="1"/>
      <c r="PR11" s="1"/>
      <c r="PS11" s="1"/>
      <c r="PT11" s="1"/>
      <c r="PU11" s="1"/>
      <c r="PV11" s="1"/>
      <c r="PW11" s="1"/>
      <c r="PX11" s="1"/>
      <c r="PY11" s="1"/>
      <c r="PZ11" s="1"/>
      <c r="QA11" s="1"/>
      <c r="QB11" s="1"/>
      <c r="QC11" s="1"/>
      <c r="QD11" s="1"/>
      <c r="QE11" s="1"/>
      <c r="QF11" s="1"/>
      <c r="QG11" s="1"/>
      <c r="QH11" s="1"/>
      <c r="QI11" s="1"/>
      <c r="QJ11" s="1"/>
      <c r="QK11" s="1"/>
      <c r="QL11" s="1"/>
      <c r="QM11" s="1"/>
      <c r="QN11" s="1"/>
      <c r="QO11" s="1"/>
      <c r="QP11" s="1"/>
      <c r="QQ11" s="1"/>
      <c r="QR11" s="1"/>
      <c r="QS11" s="1"/>
      <c r="QT11" s="1"/>
      <c r="QU11" s="1"/>
      <c r="QV11" s="1"/>
      <c r="QW11" s="1"/>
      <c r="QX11" s="1"/>
      <c r="QY11" s="1"/>
      <c r="QZ11" s="1"/>
      <c r="RA11" s="1"/>
      <c r="RB11" s="1"/>
      <c r="RC11" s="1"/>
      <c r="RD11" s="1"/>
      <c r="RE11" s="1"/>
      <c r="RF11" s="1"/>
      <c r="RG11" s="1"/>
      <c r="RH11" s="1"/>
      <c r="RI11" s="1"/>
      <c r="RJ11" s="1"/>
      <c r="RK11" s="1"/>
      <c r="RL11" s="1"/>
      <c r="RM11" s="1"/>
      <c r="RN11" s="1"/>
      <c r="RO11" s="1"/>
      <c r="RP11" s="1"/>
      <c r="RQ11" s="1"/>
      <c r="RR11" s="1"/>
      <c r="RS11" s="1"/>
      <c r="RT11" s="1"/>
      <c r="RU11" s="1"/>
      <c r="RV11" s="1"/>
      <c r="RW11" s="1"/>
      <c r="RX11" s="1"/>
      <c r="RY11" s="1"/>
      <c r="RZ11" s="1"/>
      <c r="SA11" s="1"/>
      <c r="SB11" s="1"/>
      <c r="SC11" s="1"/>
      <c r="SD11" s="1"/>
      <c r="SE11" s="1"/>
      <c r="SF11" s="1"/>
      <c r="SG11" s="1"/>
      <c r="SH11" s="1"/>
      <c r="SI11" s="1"/>
      <c r="SJ11" s="1"/>
      <c r="SK11" s="1"/>
      <c r="SL11" s="1"/>
      <c r="SM11" s="1"/>
      <c r="SN11" s="1"/>
      <c r="SO11" s="1"/>
      <c r="SP11" s="1"/>
      <c r="SQ11" s="1"/>
      <c r="SR11" s="1"/>
      <c r="SS11" s="1"/>
      <c r="ST11" s="1"/>
      <c r="SU11" s="1"/>
      <c r="SV11" s="1"/>
      <c r="SW11" s="1"/>
      <c r="SX11" s="1"/>
      <c r="SY11" s="1"/>
      <c r="SZ11" s="1"/>
      <c r="TA11" s="1"/>
      <c r="TB11" s="1"/>
      <c r="TC11" s="1"/>
      <c r="TD11" s="1"/>
      <c r="TE11" s="1"/>
      <c r="TF11" s="1"/>
      <c r="TG11" s="1"/>
      <c r="TH11" s="1"/>
      <c r="TI11" s="1"/>
      <c r="TJ11" s="1"/>
      <c r="TK11" s="1"/>
      <c r="TL11" s="1"/>
      <c r="TM11" s="1"/>
      <c r="TN11" s="1"/>
      <c r="TO11" s="1"/>
      <c r="TP11" s="1"/>
      <c r="TQ11" s="1"/>
      <c r="TR11" s="1"/>
      <c r="TS11" s="1"/>
      <c r="TT11" s="1"/>
      <c r="TU11" s="1"/>
      <c r="TV11" s="1"/>
      <c r="TW11" s="1"/>
      <c r="TX11" s="1"/>
      <c r="TY11" s="1"/>
      <c r="TZ11" s="1"/>
      <c r="UA11" s="1"/>
      <c r="UB11" s="1"/>
      <c r="UC11" s="1"/>
      <c r="UD11" s="1"/>
      <c r="UE11" s="1"/>
      <c r="UF11" s="1"/>
      <c r="UG11" s="1"/>
      <c r="UH11" s="1"/>
      <c r="UI11" s="1"/>
      <c r="UJ11" s="1"/>
      <c r="UK11" s="1"/>
      <c r="UL11" s="1"/>
      <c r="UM11" s="1"/>
      <c r="UN11" s="1"/>
      <c r="UO11" s="1"/>
      <c r="UP11" s="1"/>
      <c r="UQ11" s="1"/>
      <c r="UR11" s="1"/>
      <c r="US11" s="1"/>
      <c r="UT11" s="1"/>
      <c r="UU11" s="1"/>
      <c r="UV11" s="1"/>
      <c r="UW11" s="1"/>
      <c r="UX11" s="1"/>
      <c r="UY11" s="1"/>
      <c r="UZ11" s="1"/>
      <c r="VA11" s="1"/>
      <c r="VB11" s="1"/>
      <c r="VC11" s="1"/>
      <c r="VD11" s="1"/>
      <c r="VE11" s="1"/>
      <c r="VF11" s="1"/>
      <c r="VG11" s="1"/>
      <c r="VH11" s="1"/>
      <c r="VI11" s="1"/>
      <c r="VJ11" s="1"/>
      <c r="VK11" s="1"/>
      <c r="VL11" s="1"/>
      <c r="VM11" s="1"/>
      <c r="VN11" s="1"/>
      <c r="VO11" s="1"/>
      <c r="VP11" s="1"/>
      <c r="VQ11" s="1"/>
      <c r="VR11" s="1"/>
      <c r="VS11" s="1"/>
      <c r="VT11" s="1"/>
      <c r="VU11" s="1"/>
      <c r="VV11" s="1"/>
      <c r="VW11" s="1"/>
      <c r="VX11" s="1"/>
      <c r="VY11" s="1"/>
      <c r="VZ11" s="1"/>
      <c r="WA11" s="1"/>
      <c r="WB11" s="1"/>
      <c r="WC11" s="1"/>
      <c r="WD11" s="1"/>
      <c r="WE11" s="1"/>
      <c r="WF11" s="1"/>
      <c r="WG11" s="1"/>
      <c r="WH11" s="1"/>
      <c r="WI11" s="1"/>
      <c r="WJ11" s="1"/>
      <c r="WK11" s="1"/>
      <c r="WL11" s="1"/>
      <c r="WM11" s="1"/>
      <c r="WN11" s="1"/>
      <c r="WO11" s="1"/>
      <c r="WP11" s="1"/>
      <c r="WQ11" s="1"/>
      <c r="WR11" s="1"/>
      <c r="WS11" s="1"/>
      <c r="WT11" s="1"/>
      <c r="WU11" s="1"/>
      <c r="WV11" s="1"/>
      <c r="WW11" s="1"/>
      <c r="WX11" s="1"/>
      <c r="WY11" s="1"/>
      <c r="WZ11" s="1"/>
      <c r="XA11" s="1"/>
      <c r="XB11" s="1"/>
      <c r="XC11" s="1"/>
      <c r="XD11" s="1"/>
      <c r="XE11" s="1"/>
      <c r="XF11" s="1"/>
      <c r="XG11" s="1"/>
      <c r="XH11" s="1"/>
      <c r="XI11" s="1"/>
      <c r="XJ11" s="1"/>
      <c r="XK11" s="1"/>
      <c r="XL11" s="1"/>
      <c r="XM11" s="1"/>
      <c r="XN11" s="1"/>
      <c r="XO11" s="1"/>
      <c r="XP11" s="1"/>
      <c r="XQ11" s="1"/>
      <c r="XR11" s="1"/>
      <c r="XS11" s="1"/>
      <c r="XT11" s="1"/>
      <c r="XU11" s="1"/>
      <c r="XV11" s="1"/>
      <c r="XW11" s="1"/>
      <c r="XX11" s="1"/>
      <c r="XY11" s="1"/>
      <c r="XZ11" s="1"/>
      <c r="YA11" s="1"/>
      <c r="YB11" s="1"/>
      <c r="YC11" s="1"/>
      <c r="YD11" s="1"/>
      <c r="YE11" s="1"/>
      <c r="YF11" s="1"/>
      <c r="YG11" s="1"/>
      <c r="YH11" s="1"/>
      <c r="YI11" s="1"/>
      <c r="YJ11" s="1"/>
      <c r="YK11" s="1"/>
      <c r="YL11" s="1"/>
      <c r="YM11" s="1"/>
      <c r="YN11" s="1"/>
      <c r="YO11" s="1"/>
      <c r="YP11" s="1"/>
      <c r="YQ11" s="1"/>
      <c r="YR11" s="1"/>
      <c r="YS11" s="1"/>
      <c r="YT11" s="1"/>
      <c r="YU11" s="1"/>
      <c r="YV11" s="1"/>
      <c r="YW11" s="1"/>
      <c r="YX11" s="1"/>
      <c r="YY11" s="1"/>
      <c r="YZ11" s="1"/>
      <c r="ZA11" s="1"/>
      <c r="ZB11" s="1"/>
      <c r="ZC11" s="1"/>
      <c r="ZD11" s="1"/>
      <c r="ZE11" s="1"/>
      <c r="ZF11" s="1"/>
      <c r="ZG11" s="1"/>
      <c r="ZH11" s="1"/>
      <c r="ZI11" s="1"/>
      <c r="ZJ11" s="1"/>
      <c r="ZK11" s="1"/>
      <c r="ZL11" s="1"/>
      <c r="ZM11" s="1"/>
      <c r="ZN11" s="1"/>
      <c r="ZO11" s="1"/>
      <c r="ZP11" s="1"/>
      <c r="ZQ11" s="1"/>
      <c r="ZR11" s="1"/>
      <c r="ZS11" s="1"/>
      <c r="ZT11" s="1"/>
      <c r="ZU11" s="1"/>
      <c r="ZV11" s="1"/>
      <c r="ZW11" s="1"/>
      <c r="ZX11" s="1"/>
      <c r="ZY11" s="1"/>
      <c r="ZZ11" s="1"/>
      <c r="AAA11" s="1"/>
      <c r="AAB11" s="1"/>
      <c r="AAC11" s="1"/>
      <c r="AAD11" s="1"/>
      <c r="AAE11" s="1"/>
      <c r="AAF11" s="1"/>
      <c r="AAG11" s="1"/>
      <c r="AAH11" s="1"/>
      <c r="AAI11" s="1"/>
      <c r="AAJ11" s="1"/>
      <c r="AAK11" s="1"/>
      <c r="AAL11" s="1"/>
      <c r="AAM11" s="1"/>
      <c r="AAN11" s="1"/>
      <c r="AAO11" s="1"/>
      <c r="AAP11" s="1"/>
      <c r="AAQ11" s="1"/>
      <c r="AAR11" s="1"/>
      <c r="AAS11" s="1"/>
      <c r="AAT11" s="1"/>
      <c r="AAU11" s="1"/>
      <c r="AAV11" s="1"/>
      <c r="AAW11" s="1"/>
      <c r="AAX11" s="1"/>
      <c r="AAY11" s="1"/>
      <c r="AAZ11" s="1"/>
      <c r="ABA11" s="1"/>
      <c r="ABB11" s="1"/>
      <c r="ABC11" s="1"/>
      <c r="ABD11" s="1"/>
      <c r="ABE11" s="1"/>
      <c r="ABF11" s="1"/>
      <c r="ABG11" s="1"/>
      <c r="ABH11" s="1"/>
      <c r="ABI11" s="1"/>
      <c r="ABJ11" s="1"/>
      <c r="ABK11" s="1"/>
      <c r="ABL11" s="1"/>
      <c r="ABM11" s="1"/>
      <c r="ABN11" s="1"/>
      <c r="ABO11" s="1"/>
      <c r="ABP11" s="1"/>
      <c r="ABQ11" s="1"/>
      <c r="ABR11" s="1"/>
      <c r="ABS11" s="1"/>
      <c r="ABT11" s="1"/>
      <c r="ABU11" s="1"/>
      <c r="ABV11" s="1"/>
      <c r="ABW11" s="1"/>
      <c r="ABX11" s="1"/>
      <c r="ABY11" s="1"/>
      <c r="ABZ11" s="1"/>
      <c r="ACA11" s="1"/>
      <c r="ACB11" s="1"/>
      <c r="ACC11" s="1"/>
      <c r="ACD11" s="1"/>
      <c r="ACE11" s="1"/>
      <c r="ACF11" s="1"/>
      <c r="ACG11" s="1"/>
      <c r="ACH11" s="1"/>
      <c r="ACI11" s="1"/>
      <c r="ACJ11" s="1"/>
      <c r="ACK11" s="1"/>
      <c r="ACL11" s="1"/>
      <c r="ACM11" s="1"/>
      <c r="ACN11" s="1"/>
      <c r="ACO11" s="1"/>
      <c r="ACP11" s="1"/>
      <c r="ACQ11" s="1"/>
      <c r="ACR11" s="1"/>
      <c r="ACS11" s="1"/>
      <c r="ACT11" s="1"/>
      <c r="ACU11" s="1"/>
      <c r="ACV11" s="1"/>
      <c r="ACW11" s="1"/>
      <c r="ACX11" s="1"/>
      <c r="ACY11" s="1"/>
      <c r="ACZ11" s="1"/>
      <c r="ADA11" s="1"/>
      <c r="ADB11" s="1"/>
      <c r="ADC11" s="1"/>
      <c r="ADD11" s="1"/>
      <c r="ADE11" s="1"/>
      <c r="ADF11" s="1"/>
      <c r="ADG11" s="1"/>
      <c r="ADH11" s="1"/>
      <c r="ADI11" s="1"/>
      <c r="ADJ11" s="1"/>
      <c r="ADK11" s="1"/>
      <c r="ADL11" s="1"/>
      <c r="ADM11" s="1"/>
      <c r="ADN11" s="1"/>
      <c r="ADO11" s="1"/>
      <c r="ADP11" s="1"/>
      <c r="ADQ11" s="1"/>
      <c r="ADR11" s="1"/>
      <c r="ADS11" s="1"/>
      <c r="ADT11" s="1"/>
      <c r="ADU11" s="1"/>
      <c r="ADV11" s="1"/>
      <c r="ADW11" s="1"/>
      <c r="ADX11" s="1"/>
      <c r="ADY11" s="1"/>
      <c r="ADZ11" s="1"/>
      <c r="AEA11" s="1"/>
      <c r="AEB11" s="1"/>
      <c r="AEC11" s="1"/>
      <c r="AED11" s="1"/>
      <c r="AEE11" s="1"/>
      <c r="AEF11" s="1"/>
      <c r="AEG11" s="1"/>
      <c r="AEH11" s="1"/>
      <c r="AEI11" s="1"/>
      <c r="AEJ11" s="1"/>
      <c r="AEK11" s="1"/>
      <c r="AEL11" s="1"/>
      <c r="AEM11" s="1"/>
      <c r="AEN11" s="1"/>
      <c r="AEO11" s="1"/>
      <c r="AEP11" s="1"/>
      <c r="AEQ11" s="1"/>
      <c r="AER11" s="1"/>
      <c r="AES11" s="1"/>
      <c r="AET11" s="1"/>
      <c r="AEU11" s="1"/>
      <c r="AEV11" s="1"/>
      <c r="AEW11" s="1"/>
      <c r="AEX11" s="1"/>
      <c r="AEY11" s="1"/>
      <c r="AEZ11" s="1"/>
      <c r="AFA11" s="1"/>
      <c r="AFB11" s="1"/>
      <c r="AFC11" s="1"/>
      <c r="AFD11" s="1"/>
      <c r="AFE11" s="1"/>
      <c r="AFF11" s="1"/>
      <c r="AFG11" s="1"/>
      <c r="AFH11" s="1"/>
      <c r="AFI11" s="1"/>
      <c r="AFJ11" s="1"/>
      <c r="AFK11" s="1"/>
      <c r="AFL11" s="1"/>
      <c r="AFM11" s="1"/>
      <c r="AFN11" s="1"/>
      <c r="AFO11" s="1"/>
      <c r="AFP11" s="1"/>
      <c r="AFQ11" s="1"/>
      <c r="AFR11" s="1"/>
      <c r="AFS11" s="1"/>
      <c r="AFT11" s="1"/>
      <c r="AFU11" s="1"/>
      <c r="AFV11" s="1"/>
      <c r="AFW11" s="1"/>
      <c r="AFX11" s="1"/>
      <c r="AFY11" s="1"/>
      <c r="AFZ11" s="1"/>
      <c r="AGA11" s="1"/>
      <c r="AGB11" s="1"/>
      <c r="AGC11" s="1"/>
      <c r="AGD11" s="1"/>
      <c r="AGE11" s="1"/>
      <c r="AGF11" s="1"/>
      <c r="AGG11" s="1"/>
      <c r="AGH11" s="1"/>
      <c r="AGI11" s="1"/>
      <c r="AGJ11" s="1"/>
      <c r="AGK11" s="1"/>
      <c r="AGL11" s="1"/>
      <c r="AGM11" s="1"/>
      <c r="AGN11" s="1"/>
      <c r="AGO11" s="1"/>
      <c r="AGP11" s="1"/>
      <c r="AGQ11" s="1"/>
      <c r="AGR11" s="1"/>
      <c r="AGS11" s="1"/>
      <c r="AGT11" s="1"/>
      <c r="AGU11" s="1"/>
      <c r="AGV11" s="1"/>
      <c r="AGW11" s="1"/>
      <c r="AGX11" s="1"/>
      <c r="AGY11" s="1"/>
      <c r="AGZ11" s="1"/>
      <c r="AHA11" s="1"/>
      <c r="AHB11" s="1"/>
      <c r="AHC11" s="1"/>
      <c r="AHD11" s="1"/>
      <c r="AHE11" s="1"/>
      <c r="AHF11" s="1"/>
      <c r="AHG11" s="1"/>
      <c r="AHH11" s="1"/>
      <c r="AHI11" s="1"/>
      <c r="AHJ11" s="1"/>
      <c r="AHK11" s="1"/>
      <c r="AHL11" s="1"/>
      <c r="AHM11" s="1"/>
      <c r="AHN11" s="1"/>
      <c r="AHO11" s="1"/>
      <c r="AHP11" s="1"/>
      <c r="AHQ11" s="1"/>
      <c r="AHR11" s="1"/>
      <c r="AHS11" s="1"/>
      <c r="AHT11" s="1"/>
      <c r="AHU11" s="1"/>
      <c r="AHV11" s="1"/>
      <c r="AHW11" s="1"/>
      <c r="AHX11" s="1"/>
      <c r="AHY11" s="1"/>
      <c r="AHZ11" s="1"/>
      <c r="AIA11" s="1"/>
      <c r="AIB11" s="1"/>
      <c r="AIC11" s="1"/>
      <c r="AID11" s="1"/>
      <c r="AIE11" s="1"/>
      <c r="AIF11" s="1"/>
      <c r="AIG11" s="1"/>
      <c r="AIH11" s="1"/>
      <c r="AII11" s="1"/>
      <c r="AIJ11" s="1"/>
      <c r="AIK11" s="1"/>
      <c r="AIL11" s="1"/>
      <c r="AIM11" s="1"/>
      <c r="AIN11" s="1"/>
      <c r="AIO11" s="1"/>
      <c r="AIP11" s="1"/>
      <c r="AIQ11" s="1"/>
      <c r="AIR11" s="1"/>
      <c r="AIS11" s="1"/>
      <c r="AIT11" s="1"/>
      <c r="AIU11" s="1"/>
      <c r="AIV11" s="1"/>
      <c r="AIW11" s="1"/>
      <c r="AIX11" s="1"/>
      <c r="AIY11" s="1"/>
      <c r="AIZ11" s="1"/>
      <c r="AJA11" s="1"/>
      <c r="AJB11" s="1"/>
      <c r="AJC11" s="1"/>
      <c r="AJD11" s="1"/>
      <c r="AJE11" s="1"/>
      <c r="AJF11" s="1"/>
      <c r="AJG11" s="1"/>
      <c r="AJH11" s="1"/>
      <c r="AJI11" s="1"/>
      <c r="AJJ11" s="1"/>
      <c r="AJK11" s="1"/>
      <c r="AJL11" s="1"/>
      <c r="AJM11" s="1"/>
      <c r="AJN11" s="1"/>
      <c r="AJO11" s="1"/>
      <c r="AJP11" s="1"/>
      <c r="AJQ11" s="1"/>
      <c r="AJR11" s="1"/>
      <c r="AJS11" s="1"/>
      <c r="AJT11" s="1"/>
      <c r="AJU11" s="1"/>
      <c r="AJV11" s="1"/>
      <c r="AJW11" s="1"/>
      <c r="AJX11" s="1"/>
      <c r="AJY11" s="1"/>
      <c r="AJZ11" s="1"/>
      <c r="AKA11" s="1"/>
      <c r="AKB11" s="1"/>
      <c r="AKC11" s="1"/>
      <c r="AKD11" s="1"/>
      <c r="AKE11" s="1"/>
      <c r="AKF11" s="1"/>
      <c r="AKG11" s="1"/>
      <c r="AKH11" s="1"/>
      <c r="AKI11" s="1"/>
      <c r="AKJ11" s="1"/>
      <c r="AKK11" s="1"/>
      <c r="AKL11" s="1"/>
      <c r="AKM11" s="1"/>
      <c r="AKN11" s="1"/>
      <c r="AKO11" s="1"/>
      <c r="AKP11" s="1"/>
      <c r="AKQ11" s="1"/>
      <c r="AKR11" s="1"/>
      <c r="AKS11" s="1"/>
      <c r="AKT11" s="1"/>
      <c r="AKU11" s="1"/>
      <c r="AKV11" s="1"/>
      <c r="AKW11" s="1"/>
      <c r="AKX11" s="1"/>
      <c r="AKY11" s="1"/>
      <c r="AKZ11" s="1"/>
      <c r="ALA11" s="1"/>
      <c r="ALB11" s="1"/>
      <c r="ALC11" s="1"/>
      <c r="ALD11" s="1"/>
      <c r="ALE11" s="1"/>
      <c r="ALF11" s="1"/>
      <c r="ALG11" s="1"/>
      <c r="ALH11" s="1"/>
      <c r="ALI11" s="1"/>
      <c r="ALJ11" s="1"/>
      <c r="ALK11" s="1"/>
      <c r="ALL11" s="1"/>
      <c r="ALM11" s="1"/>
      <c r="ALN11" s="1"/>
      <c r="ALO11" s="1"/>
      <c r="ALP11" s="1"/>
      <c r="ALQ11" s="1"/>
      <c r="ALR11" s="1"/>
      <c r="ALS11" s="1"/>
      <c r="ALT11" s="1"/>
      <c r="ALU11" s="1"/>
      <c r="ALV11" s="1"/>
      <c r="ALW11" s="1"/>
      <c r="ALX11" s="1"/>
      <c r="ALY11" s="1"/>
      <c r="ALZ11" s="1"/>
      <c r="AMA11" s="1"/>
      <c r="AMB11" s="1"/>
      <c r="AMC11" s="1"/>
      <c r="AMD11" s="1"/>
      <c r="AME11" s="1"/>
      <c r="AMF11" s="1"/>
      <c r="AMG11" s="1"/>
      <c r="AMH11" s="1"/>
      <c r="AMI11" s="1"/>
      <c r="AMJ11" s="1"/>
      <c r="AMK11" s="1"/>
      <c r="AML11" s="1"/>
      <c r="AMM11" s="1"/>
      <c r="AMN11" s="1"/>
    </row>
    <row r="12" spans="1:1028" x14ac:dyDescent="0.2">
      <c r="A12" s="3" t="str">
        <f t="shared" si="0"/>
        <v>aa2ar_human__wt</v>
      </c>
      <c r="B12" s="3" t="s">
        <v>139</v>
      </c>
      <c r="C12" s="3" t="s">
        <v>100</v>
      </c>
      <c r="D12" s="3" t="str">
        <f>IFERROR(MID(VLOOKUP($B12,Seqs!$A:$B,2,0),E12,1),"")</f>
        <v>M</v>
      </c>
      <c r="E12" s="3">
        <v>1</v>
      </c>
      <c r="F12" s="3" t="str">
        <f>IFERROR(MID(VLOOKUP($B12,Seqs!$A:$B,2,0),G12,1),"")</f>
        <v>N</v>
      </c>
      <c r="G12" s="3">
        <v>34</v>
      </c>
      <c r="H12" s="3" t="str">
        <f>IFERROR(MID(VLOOKUP($B12,Seqs!$A:$B,2,0),I12,1),"")</f>
        <v>S</v>
      </c>
      <c r="I12" s="23">
        <v>35</v>
      </c>
      <c r="J12" s="3" t="str">
        <f>IFERROR(MID(VLOOKUP($B12,Seqs!$A:$B,2,0),K12,1),"")</f>
        <v>Q</v>
      </c>
      <c r="K12" s="23">
        <v>38</v>
      </c>
      <c r="L12" s="3" t="str">
        <f>IFERROR(MID(VLOOKUP($B12,Seqs!$A:$B,2,0),M12,1),"")</f>
        <v>N</v>
      </c>
      <c r="M12" s="3">
        <v>39</v>
      </c>
      <c r="N12" s="3" t="str">
        <f>IFERROR(MID(VLOOKUP($B12,Seqs!$A:$B,2,0),O12,1),"")</f>
        <v>G</v>
      </c>
      <c r="O12" s="3">
        <v>69</v>
      </c>
      <c r="P12" s="3" t="str">
        <f>IFERROR(MID(VLOOKUP($B12,Seqs!$A:$B,2,0),Q12,1),"")</f>
        <v>F</v>
      </c>
      <c r="Q12" s="3">
        <v>70</v>
      </c>
      <c r="R12" s="3" t="str">
        <f>IFERROR(MID(VLOOKUP($B12,Seqs!$A:$B,2,0),S12,1),"")</f>
        <v>A</v>
      </c>
      <c r="S12" s="3">
        <v>72</v>
      </c>
      <c r="T12" s="3" t="str">
        <f>IFERROR(MID(VLOOKUP($B12,Seqs!$A:$B,2,0),U12,1),"")</f>
        <v>A</v>
      </c>
      <c r="U12" s="3">
        <v>73</v>
      </c>
      <c r="V12" s="3" t="str">
        <f>IFERROR(MID(VLOOKUP($B12,Seqs!$A:$B,2,0),W12,1),"")</f>
        <v>I</v>
      </c>
      <c r="W12" s="3">
        <v>108</v>
      </c>
      <c r="X12" s="3" t="str">
        <f>IFERROR(MID(VLOOKUP($B12,Seqs!$A:$B,2,0),Y12,1),"")</f>
        <v>P</v>
      </c>
      <c r="Y12" s="3">
        <v>109</v>
      </c>
      <c r="Z12" s="3" t="str">
        <f>IFERROR(MID(VLOOKUP($B12,Seqs!$A:$B,2,0),AA12,1),"")</f>
        <v>V</v>
      </c>
      <c r="AA12" s="3">
        <v>116</v>
      </c>
      <c r="AB12" s="3" t="str">
        <f>IFERROR(MID(VLOOKUP($B12,Seqs!$A:$B,2,0),AC12,1),"")</f>
        <v>T</v>
      </c>
      <c r="AC12" s="9">
        <v>117</v>
      </c>
      <c r="AD12" s="3" t="str">
        <f>IFERROR(MID(VLOOKUP($B12,Seqs!$A:$B,2,0),AE12,1),"")</f>
        <v>G</v>
      </c>
      <c r="AE12" s="3">
        <v>142</v>
      </c>
      <c r="AF12" s="3" t="str">
        <f>IFERROR(MID(VLOOKUP($B12,Seqs!$A:$B,2,0),AG12,1),"")</f>
        <v>C</v>
      </c>
      <c r="AG12" s="3">
        <v>166</v>
      </c>
      <c r="AH12" s="3" t="str">
        <f>IFERROR(MID(VLOOKUP($B12,Seqs!$A:$B,2,0),AI12,1),"")</f>
        <v>F</v>
      </c>
      <c r="AI12" s="3">
        <v>168</v>
      </c>
      <c r="AJ12" s="3" t="str">
        <f>IFERROR(MID(VLOOKUP($B12,Seqs!$A:$B,2,0),AK12,1),"")</f>
        <v>P</v>
      </c>
      <c r="AK12" s="3">
        <v>173</v>
      </c>
      <c r="AL12" s="3" t="str">
        <f>IFERROR(MID(VLOOKUP($B12,Seqs!$A:$B,2,0),AM12,1),"")</f>
        <v>S</v>
      </c>
      <c r="AM12" s="3">
        <v>213</v>
      </c>
      <c r="AN12" s="3" t="str">
        <f>IFERROR(MID(VLOOKUP($B12,Seqs!$A:$B,2,0),AO12,1),"")</f>
        <v>E</v>
      </c>
      <c r="AO12" s="3">
        <v>219</v>
      </c>
      <c r="AP12" s="3" t="str">
        <f>IFERROR(MID(VLOOKUP($B12,Seqs!$A:$B,2,0),AQ12,1),"")</f>
        <v>C</v>
      </c>
      <c r="AQ12" s="3">
        <v>259</v>
      </c>
      <c r="AR12" s="3" t="str">
        <f>IFERROR(MID(VLOOKUP($B12,Seqs!$A:$B,2,0),AS12,1),"")</f>
        <v>P</v>
      </c>
      <c r="AS12" s="3">
        <v>266</v>
      </c>
      <c r="AT12" s="3" t="str">
        <f>IFERROR(MID(VLOOKUP($B12,Seqs!$A:$B,2,0),AU12,1),"")</f>
        <v>R</v>
      </c>
      <c r="AU12" s="3">
        <v>291</v>
      </c>
      <c r="AV12" s="3" t="str">
        <f>IFERROR(MID(VLOOKUP($B12,Seqs!$A:$B,2,0),AW12,1),"")</f>
        <v>I</v>
      </c>
      <c r="AW12" s="3">
        <v>292</v>
      </c>
      <c r="AX12" s="3" t="str">
        <f>IFERROR(MID(VLOOKUP($B12,Seqs!$A:$B,2,0),AY12,1),"")</f>
        <v>F</v>
      </c>
      <c r="AY12" s="3">
        <v>314</v>
      </c>
      <c r="AZ12" s="79" t="str">
        <f>VLOOKUP(B12,Classification!A:D,2,0)</f>
        <v>A</v>
      </c>
      <c r="BA12" s="97" t="str">
        <f>VLOOKUP(B12,Classification!A:D,4,0)</f>
        <v>Adenosine</v>
      </c>
      <c r="BB12" s="27" t="b">
        <f t="shared" si="1"/>
        <v>1</v>
      </c>
      <c r="BC12" s="23">
        <f t="shared" si="2"/>
        <v>276</v>
      </c>
      <c r="BD12" s="35" t="s">
        <v>1379</v>
      </c>
      <c r="BE12" s="3" t="s">
        <v>1381</v>
      </c>
      <c r="BF12" s="50" t="s">
        <v>1379</v>
      </c>
      <c r="BG12" s="50" t="s">
        <v>1384</v>
      </c>
      <c r="BH12" s="1"/>
      <c r="BI12" s="72" t="s">
        <v>1293</v>
      </c>
      <c r="BJ12" s="58" t="s">
        <v>1293</v>
      </c>
      <c r="BK12" s="58" t="s">
        <v>1293</v>
      </c>
      <c r="BL12" s="58" t="s">
        <v>1293</v>
      </c>
      <c r="BM12" s="58" t="s">
        <v>1293</v>
      </c>
      <c r="BN12" s="58" t="s">
        <v>1293</v>
      </c>
      <c r="BO12" s="58" t="s">
        <v>1293</v>
      </c>
      <c r="BP12" s="58" t="s">
        <v>1293</v>
      </c>
      <c r="BQ12" s="58" t="s">
        <v>1293</v>
      </c>
      <c r="BR12" s="58" t="s">
        <v>1293</v>
      </c>
      <c r="BS12" s="58" t="s">
        <v>1293</v>
      </c>
      <c r="BT12" s="58" t="s">
        <v>1293</v>
      </c>
      <c r="BU12" s="72">
        <f t="shared" si="3"/>
        <v>1</v>
      </c>
      <c r="BV12" s="73">
        <f t="shared" si="4"/>
        <v>35</v>
      </c>
      <c r="BW12" s="74">
        <f t="shared" si="5"/>
        <v>39</v>
      </c>
      <c r="BX12" s="73">
        <f t="shared" si="6"/>
        <v>70</v>
      </c>
      <c r="BY12" s="74">
        <f t="shared" si="7"/>
        <v>73</v>
      </c>
      <c r="BZ12" s="73">
        <f t="shared" si="8"/>
        <v>109</v>
      </c>
      <c r="CA12" s="74">
        <f t="shared" si="9"/>
        <v>117</v>
      </c>
      <c r="CB12" s="73">
        <f t="shared" si="10"/>
        <v>166</v>
      </c>
      <c r="CC12" s="74">
        <f t="shared" si="11"/>
        <v>173</v>
      </c>
      <c r="CD12" s="73">
        <f t="shared" si="12"/>
        <v>219</v>
      </c>
      <c r="CE12" s="74">
        <f t="shared" si="13"/>
        <v>266</v>
      </c>
      <c r="CF12" s="73">
        <f t="shared" si="14"/>
        <v>292</v>
      </c>
      <c r="CG12" s="72">
        <f t="shared" si="15"/>
        <v>34</v>
      </c>
      <c r="CH12" s="73">
        <f t="shared" si="16"/>
        <v>38</v>
      </c>
      <c r="CI12" s="74">
        <f t="shared" si="17"/>
        <v>69</v>
      </c>
      <c r="CJ12" s="74">
        <f t="shared" si="18"/>
        <v>72</v>
      </c>
      <c r="CK12" s="74">
        <f t="shared" si="19"/>
        <v>108</v>
      </c>
      <c r="CL12" s="74">
        <f t="shared" si="20"/>
        <v>116</v>
      </c>
      <c r="CM12" s="74">
        <f t="shared" si="21"/>
        <v>142</v>
      </c>
      <c r="CN12" s="74">
        <f t="shared" si="22"/>
        <v>168</v>
      </c>
      <c r="CO12" s="74">
        <f t="shared" si="23"/>
        <v>213</v>
      </c>
      <c r="CP12" s="74">
        <f t="shared" si="24"/>
        <v>259</v>
      </c>
      <c r="CQ12" s="74">
        <f t="shared" si="25"/>
        <v>291</v>
      </c>
      <c r="CR12" s="74">
        <f t="shared" si="26"/>
        <v>314</v>
      </c>
      <c r="CS12" s="23">
        <f t="shared" si="27"/>
        <v>1</v>
      </c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/>
      <c r="UB12" s="1"/>
      <c r="UC12" s="1"/>
      <c r="UD12" s="1"/>
      <c r="UE12" s="1"/>
      <c r="UF12" s="1"/>
      <c r="UG12" s="1"/>
      <c r="UH12" s="1"/>
      <c r="UI12" s="1"/>
      <c r="UJ12" s="1"/>
      <c r="UK12" s="1"/>
      <c r="UL12" s="1"/>
      <c r="UM12" s="1"/>
      <c r="UN12" s="1"/>
      <c r="UO12" s="1"/>
      <c r="UP12" s="1"/>
      <c r="UQ12" s="1"/>
      <c r="UR12" s="1"/>
      <c r="US12" s="1"/>
      <c r="UT12" s="1"/>
      <c r="UU12" s="1"/>
      <c r="UV12" s="1"/>
      <c r="UW12" s="1"/>
      <c r="UX12" s="1"/>
      <c r="UY12" s="1"/>
      <c r="UZ12" s="1"/>
      <c r="VA12" s="1"/>
      <c r="VB12" s="1"/>
      <c r="VC12" s="1"/>
      <c r="VD12" s="1"/>
      <c r="VE12" s="1"/>
      <c r="VF12" s="1"/>
      <c r="VG12" s="1"/>
      <c r="VH12" s="1"/>
      <c r="VI12" s="1"/>
      <c r="VJ12" s="1"/>
      <c r="VK12" s="1"/>
      <c r="VL12" s="1"/>
      <c r="VM12" s="1"/>
      <c r="VN12" s="1"/>
      <c r="VO12" s="1"/>
      <c r="VP12" s="1"/>
      <c r="VQ12" s="1"/>
      <c r="VR12" s="1"/>
      <c r="VS12" s="1"/>
      <c r="VT12" s="1"/>
      <c r="VU12" s="1"/>
      <c r="VV12" s="1"/>
      <c r="VW12" s="1"/>
      <c r="VX12" s="1"/>
      <c r="VY12" s="1"/>
      <c r="VZ12" s="1"/>
      <c r="WA12" s="1"/>
      <c r="WB12" s="1"/>
      <c r="WC12" s="1"/>
      <c r="WD12" s="1"/>
      <c r="WE12" s="1"/>
      <c r="WF12" s="1"/>
      <c r="WG12" s="1"/>
      <c r="WH12" s="1"/>
      <c r="WI12" s="1"/>
      <c r="WJ12" s="1"/>
      <c r="WK12" s="1"/>
      <c r="WL12" s="1"/>
      <c r="WM12" s="1"/>
      <c r="WN12" s="1"/>
      <c r="WO12" s="1"/>
      <c r="WP12" s="1"/>
      <c r="WQ12" s="1"/>
      <c r="WR12" s="1"/>
      <c r="WS12" s="1"/>
      <c r="WT12" s="1"/>
      <c r="WU12" s="1"/>
      <c r="WV12" s="1"/>
      <c r="WW12" s="1"/>
      <c r="WX12" s="1"/>
      <c r="WY12" s="1"/>
      <c r="WZ12" s="1"/>
      <c r="XA12" s="1"/>
      <c r="XB12" s="1"/>
      <c r="XC12" s="1"/>
      <c r="XD12" s="1"/>
      <c r="XE12" s="1"/>
      <c r="XF12" s="1"/>
      <c r="XG12" s="1"/>
      <c r="XH12" s="1"/>
      <c r="XI12" s="1"/>
      <c r="XJ12" s="1"/>
      <c r="XK12" s="1"/>
      <c r="XL12" s="1"/>
      <c r="XM12" s="1"/>
      <c r="XN12" s="1"/>
      <c r="XO12" s="1"/>
      <c r="XP12" s="1"/>
      <c r="XQ12" s="1"/>
      <c r="XR12" s="1"/>
      <c r="XS12" s="1"/>
      <c r="XT12" s="1"/>
      <c r="XU12" s="1"/>
      <c r="XV12" s="1"/>
      <c r="XW12" s="1"/>
      <c r="XX12" s="1"/>
      <c r="XY12" s="1"/>
      <c r="XZ12" s="1"/>
      <c r="YA12" s="1"/>
      <c r="YB12" s="1"/>
      <c r="YC12" s="1"/>
      <c r="YD12" s="1"/>
      <c r="YE12" s="1"/>
      <c r="YF12" s="1"/>
      <c r="YG12" s="1"/>
      <c r="YH12" s="1"/>
      <c r="YI12" s="1"/>
      <c r="YJ12" s="1"/>
      <c r="YK12" s="1"/>
      <c r="YL12" s="1"/>
      <c r="YM12" s="1"/>
      <c r="YN12" s="1"/>
      <c r="YO12" s="1"/>
      <c r="YP12" s="1"/>
      <c r="YQ12" s="1"/>
      <c r="YR12" s="1"/>
      <c r="YS12" s="1"/>
      <c r="YT12" s="1"/>
      <c r="YU12" s="1"/>
      <c r="YV12" s="1"/>
      <c r="YW12" s="1"/>
      <c r="YX12" s="1"/>
      <c r="YY12" s="1"/>
      <c r="YZ12" s="1"/>
      <c r="ZA12" s="1"/>
      <c r="ZB12" s="1"/>
      <c r="ZC12" s="1"/>
      <c r="ZD12" s="1"/>
      <c r="ZE12" s="1"/>
      <c r="ZF12" s="1"/>
      <c r="ZG12" s="1"/>
      <c r="ZH12" s="1"/>
      <c r="ZI12" s="1"/>
      <c r="ZJ12" s="1"/>
      <c r="ZK12" s="1"/>
      <c r="ZL12" s="1"/>
      <c r="ZM12" s="1"/>
      <c r="ZN12" s="1"/>
      <c r="ZO12" s="1"/>
      <c r="ZP12" s="1"/>
      <c r="ZQ12" s="1"/>
      <c r="ZR12" s="1"/>
      <c r="ZS12" s="1"/>
      <c r="ZT12" s="1"/>
      <c r="ZU12" s="1"/>
      <c r="ZV12" s="1"/>
      <c r="ZW12" s="1"/>
      <c r="ZX12" s="1"/>
      <c r="ZY12" s="1"/>
      <c r="ZZ12" s="1"/>
      <c r="AAA12" s="1"/>
      <c r="AAB12" s="1"/>
      <c r="AAC12" s="1"/>
      <c r="AAD12" s="1"/>
      <c r="AAE12" s="1"/>
      <c r="AAF12" s="1"/>
      <c r="AAG12" s="1"/>
      <c r="AAH12" s="1"/>
      <c r="AAI12" s="1"/>
      <c r="AAJ12" s="1"/>
      <c r="AAK12" s="1"/>
      <c r="AAL12" s="1"/>
      <c r="AAM12" s="1"/>
      <c r="AAN12" s="1"/>
      <c r="AAO12" s="1"/>
      <c r="AAP12" s="1"/>
      <c r="AAQ12" s="1"/>
      <c r="AAR12" s="1"/>
      <c r="AAS12" s="1"/>
      <c r="AAT12" s="1"/>
      <c r="AAU12" s="1"/>
      <c r="AAV12" s="1"/>
      <c r="AAW12" s="1"/>
      <c r="AAX12" s="1"/>
      <c r="AAY12" s="1"/>
      <c r="AAZ12" s="1"/>
      <c r="ABA12" s="1"/>
      <c r="ABB12" s="1"/>
      <c r="ABC12" s="1"/>
      <c r="ABD12" s="1"/>
      <c r="ABE12" s="1"/>
      <c r="ABF12" s="1"/>
      <c r="ABG12" s="1"/>
      <c r="ABH12" s="1"/>
      <c r="ABI12" s="1"/>
      <c r="ABJ12" s="1"/>
      <c r="ABK12" s="1"/>
      <c r="ABL12" s="1"/>
      <c r="ABM12" s="1"/>
      <c r="ABN12" s="1"/>
      <c r="ABO12" s="1"/>
      <c r="ABP12" s="1"/>
      <c r="ABQ12" s="1"/>
      <c r="ABR12" s="1"/>
      <c r="ABS12" s="1"/>
      <c r="ABT12" s="1"/>
      <c r="ABU12" s="1"/>
      <c r="ABV12" s="1"/>
      <c r="ABW12" s="1"/>
      <c r="ABX12" s="1"/>
      <c r="ABY12" s="1"/>
      <c r="ABZ12" s="1"/>
      <c r="ACA12" s="1"/>
      <c r="ACB12" s="1"/>
      <c r="ACC12" s="1"/>
      <c r="ACD12" s="1"/>
      <c r="ACE12" s="1"/>
      <c r="ACF12" s="1"/>
      <c r="ACG12" s="1"/>
      <c r="ACH12" s="1"/>
      <c r="ACI12" s="1"/>
      <c r="ACJ12" s="1"/>
      <c r="ACK12" s="1"/>
      <c r="ACL12" s="1"/>
      <c r="ACM12" s="1"/>
      <c r="ACN12" s="1"/>
      <c r="ACO12" s="1"/>
      <c r="ACP12" s="1"/>
      <c r="ACQ12" s="1"/>
      <c r="ACR12" s="1"/>
      <c r="ACS12" s="1"/>
      <c r="ACT12" s="1"/>
      <c r="ACU12" s="1"/>
      <c r="ACV12" s="1"/>
      <c r="ACW12" s="1"/>
      <c r="ACX12" s="1"/>
      <c r="ACY12" s="1"/>
      <c r="ACZ12" s="1"/>
      <c r="ADA12" s="1"/>
      <c r="ADB12" s="1"/>
      <c r="ADC12" s="1"/>
      <c r="ADD12" s="1"/>
      <c r="ADE12" s="1"/>
      <c r="ADF12" s="1"/>
      <c r="ADG12" s="1"/>
      <c r="ADH12" s="1"/>
      <c r="ADI12" s="1"/>
      <c r="ADJ12" s="1"/>
      <c r="ADK12" s="1"/>
      <c r="ADL12" s="1"/>
      <c r="ADM12" s="1"/>
      <c r="ADN12" s="1"/>
      <c r="ADO12" s="1"/>
      <c r="ADP12" s="1"/>
      <c r="ADQ12" s="1"/>
      <c r="ADR12" s="1"/>
      <c r="ADS12" s="1"/>
      <c r="ADT12" s="1"/>
      <c r="ADU12" s="1"/>
      <c r="ADV12" s="1"/>
      <c r="ADW12" s="1"/>
      <c r="ADX12" s="1"/>
      <c r="ADY12" s="1"/>
      <c r="ADZ12" s="1"/>
      <c r="AEA12" s="1"/>
      <c r="AEB12" s="1"/>
      <c r="AEC12" s="1"/>
      <c r="AED12" s="1"/>
      <c r="AEE12" s="1"/>
      <c r="AEF12" s="1"/>
      <c r="AEG12" s="1"/>
      <c r="AEH12" s="1"/>
      <c r="AEI12" s="1"/>
      <c r="AEJ12" s="1"/>
      <c r="AEK12" s="1"/>
      <c r="AEL12" s="1"/>
      <c r="AEM12" s="1"/>
      <c r="AEN12" s="1"/>
      <c r="AEO12" s="1"/>
      <c r="AEP12" s="1"/>
      <c r="AEQ12" s="1"/>
      <c r="AER12" s="1"/>
      <c r="AES12" s="1"/>
      <c r="AET12" s="1"/>
      <c r="AEU12" s="1"/>
      <c r="AEV12" s="1"/>
      <c r="AEW12" s="1"/>
      <c r="AEX12" s="1"/>
      <c r="AEY12" s="1"/>
      <c r="AEZ12" s="1"/>
      <c r="AFA12" s="1"/>
      <c r="AFB12" s="1"/>
      <c r="AFC12" s="1"/>
      <c r="AFD12" s="1"/>
      <c r="AFE12" s="1"/>
      <c r="AFF12" s="1"/>
      <c r="AFG12" s="1"/>
      <c r="AFH12" s="1"/>
      <c r="AFI12" s="1"/>
      <c r="AFJ12" s="1"/>
      <c r="AFK12" s="1"/>
      <c r="AFL12" s="1"/>
      <c r="AFM12" s="1"/>
      <c r="AFN12" s="1"/>
      <c r="AFO12" s="1"/>
      <c r="AFP12" s="1"/>
      <c r="AFQ12" s="1"/>
      <c r="AFR12" s="1"/>
      <c r="AFS12" s="1"/>
      <c r="AFT12" s="1"/>
      <c r="AFU12" s="1"/>
      <c r="AFV12" s="1"/>
      <c r="AFW12" s="1"/>
      <c r="AFX12" s="1"/>
      <c r="AFY12" s="1"/>
      <c r="AFZ12" s="1"/>
      <c r="AGA12" s="1"/>
      <c r="AGB12" s="1"/>
      <c r="AGC12" s="1"/>
      <c r="AGD12" s="1"/>
      <c r="AGE12" s="1"/>
      <c r="AGF12" s="1"/>
      <c r="AGG12" s="1"/>
      <c r="AGH12" s="1"/>
      <c r="AGI12" s="1"/>
      <c r="AGJ12" s="1"/>
      <c r="AGK12" s="1"/>
      <c r="AGL12" s="1"/>
      <c r="AGM12" s="1"/>
      <c r="AGN12" s="1"/>
      <c r="AGO12" s="1"/>
      <c r="AGP12" s="1"/>
      <c r="AGQ12" s="1"/>
      <c r="AGR12" s="1"/>
      <c r="AGS12" s="1"/>
      <c r="AGT12" s="1"/>
      <c r="AGU12" s="1"/>
      <c r="AGV12" s="1"/>
      <c r="AGW12" s="1"/>
      <c r="AGX12" s="1"/>
      <c r="AGY12" s="1"/>
      <c r="AGZ12" s="1"/>
      <c r="AHA12" s="1"/>
      <c r="AHB12" s="1"/>
      <c r="AHC12" s="1"/>
      <c r="AHD12" s="1"/>
      <c r="AHE12" s="1"/>
      <c r="AHF12" s="1"/>
      <c r="AHG12" s="1"/>
      <c r="AHH12" s="1"/>
      <c r="AHI12" s="1"/>
      <c r="AHJ12" s="1"/>
      <c r="AHK12" s="1"/>
      <c r="AHL12" s="1"/>
      <c r="AHM12" s="1"/>
      <c r="AHN12" s="1"/>
      <c r="AHO12" s="1"/>
      <c r="AHP12" s="1"/>
      <c r="AHQ12" s="1"/>
      <c r="AHR12" s="1"/>
      <c r="AHS12" s="1"/>
      <c r="AHT12" s="1"/>
      <c r="AHU12" s="1"/>
      <c r="AHV12" s="1"/>
      <c r="AHW12" s="1"/>
      <c r="AHX12" s="1"/>
      <c r="AHY12" s="1"/>
      <c r="AHZ12" s="1"/>
      <c r="AIA12" s="1"/>
      <c r="AIB12" s="1"/>
      <c r="AIC12" s="1"/>
      <c r="AID12" s="1"/>
      <c r="AIE12" s="1"/>
      <c r="AIF12" s="1"/>
      <c r="AIG12" s="1"/>
      <c r="AIH12" s="1"/>
      <c r="AII12" s="1"/>
      <c r="AIJ12" s="1"/>
      <c r="AIK12" s="1"/>
      <c r="AIL12" s="1"/>
      <c r="AIM12" s="1"/>
      <c r="AIN12" s="1"/>
      <c r="AIO12" s="1"/>
      <c r="AIP12" s="1"/>
      <c r="AIQ12" s="1"/>
      <c r="AIR12" s="1"/>
      <c r="AIS12" s="1"/>
      <c r="AIT12" s="1"/>
      <c r="AIU12" s="1"/>
      <c r="AIV12" s="1"/>
      <c r="AIW12" s="1"/>
      <c r="AIX12" s="1"/>
      <c r="AIY12" s="1"/>
      <c r="AIZ12" s="1"/>
      <c r="AJA12" s="1"/>
      <c r="AJB12" s="1"/>
      <c r="AJC12" s="1"/>
      <c r="AJD12" s="1"/>
      <c r="AJE12" s="1"/>
      <c r="AJF12" s="1"/>
      <c r="AJG12" s="1"/>
      <c r="AJH12" s="1"/>
      <c r="AJI12" s="1"/>
      <c r="AJJ12" s="1"/>
      <c r="AJK12" s="1"/>
      <c r="AJL12" s="1"/>
      <c r="AJM12" s="1"/>
      <c r="AJN12" s="1"/>
      <c r="AJO12" s="1"/>
      <c r="AJP12" s="1"/>
      <c r="AJQ12" s="1"/>
      <c r="AJR12" s="1"/>
      <c r="AJS12" s="1"/>
      <c r="AJT12" s="1"/>
      <c r="AJU12" s="1"/>
      <c r="AJV12" s="1"/>
      <c r="AJW12" s="1"/>
      <c r="AJX12" s="1"/>
      <c r="AJY12" s="1"/>
      <c r="AJZ12" s="1"/>
      <c r="AKA12" s="1"/>
      <c r="AKB12" s="1"/>
      <c r="AKC12" s="1"/>
      <c r="AKD12" s="1"/>
      <c r="AKE12" s="1"/>
      <c r="AKF12" s="1"/>
      <c r="AKG12" s="1"/>
      <c r="AKH12" s="1"/>
      <c r="AKI12" s="1"/>
      <c r="AKJ12" s="1"/>
      <c r="AKK12" s="1"/>
      <c r="AKL12" s="1"/>
      <c r="AKM12" s="1"/>
      <c r="AKN12" s="1"/>
      <c r="AKO12" s="1"/>
      <c r="AKP12" s="1"/>
      <c r="AKQ12" s="1"/>
      <c r="AKR12" s="1"/>
      <c r="AKS12" s="1"/>
      <c r="AKT12" s="1"/>
      <c r="AKU12" s="1"/>
      <c r="AKV12" s="1"/>
      <c r="AKW12" s="1"/>
      <c r="AKX12" s="1"/>
      <c r="AKY12" s="1"/>
      <c r="AKZ12" s="1"/>
      <c r="ALA12" s="1"/>
      <c r="ALB12" s="1"/>
      <c r="ALC12" s="1"/>
      <c r="ALD12" s="1"/>
      <c r="ALE12" s="1"/>
      <c r="ALF12" s="1"/>
      <c r="ALG12" s="1"/>
      <c r="ALH12" s="1"/>
      <c r="ALI12" s="1"/>
      <c r="ALJ12" s="1"/>
      <c r="ALK12" s="1"/>
      <c r="ALL12" s="1"/>
      <c r="ALM12" s="1"/>
      <c r="ALN12" s="1"/>
      <c r="ALO12" s="1"/>
      <c r="ALP12" s="1"/>
      <c r="ALQ12" s="1"/>
      <c r="ALR12" s="1"/>
      <c r="ALS12" s="1"/>
      <c r="ALT12" s="1"/>
      <c r="ALU12" s="1"/>
      <c r="ALV12" s="1"/>
      <c r="ALW12" s="1"/>
      <c r="ALX12" s="1"/>
      <c r="ALY12" s="1"/>
      <c r="ALZ12" s="1"/>
      <c r="AMA12" s="1"/>
      <c r="AMB12" s="1"/>
      <c r="AMC12" s="1"/>
      <c r="AMD12" s="1"/>
      <c r="AME12" s="1"/>
      <c r="AMF12" s="1"/>
      <c r="AMG12" s="1"/>
      <c r="AMH12" s="1"/>
      <c r="AMI12" s="1"/>
      <c r="AMJ12" s="1"/>
      <c r="AMK12" s="1"/>
      <c r="AML12" s="1"/>
      <c r="AMM12" s="1"/>
      <c r="AMN12" s="1"/>
    </row>
    <row r="13" spans="1:1028" x14ac:dyDescent="0.2">
      <c r="A13" s="3" t="str">
        <f t="shared" si="0"/>
        <v>aa2ar_human_2YDO</v>
      </c>
      <c r="B13" s="3" t="s">
        <v>139</v>
      </c>
      <c r="C13" s="3" t="s">
        <v>1029</v>
      </c>
      <c r="D13" s="3" t="str">
        <f>IFERROR(MID(VLOOKUP($B13,Seqs!$A:$B,2,0),E13,1),"")</f>
        <v>S</v>
      </c>
      <c r="E13" s="3">
        <v>7</v>
      </c>
      <c r="F13" s="3" t="str">
        <f>IFERROR(MID(VLOOKUP($B13,Seqs!$A:$B,2,0),G13,1),"")</f>
        <v>N</v>
      </c>
      <c r="G13" s="3">
        <v>34</v>
      </c>
      <c r="H13" s="3" t="str">
        <f>IFERROR(MID(VLOOKUP($B13,Seqs!$A:$B,2,0),I13,1),"")</f>
        <v>S</v>
      </c>
      <c r="I13" s="23">
        <v>35</v>
      </c>
      <c r="J13" s="3" t="str">
        <f>IFERROR(MID(VLOOKUP($B13,Seqs!$A:$B,2,0),K13,1),"")</f>
        <v>Q</v>
      </c>
      <c r="K13" s="23">
        <v>38</v>
      </c>
      <c r="L13" s="3" t="str">
        <f>IFERROR(MID(VLOOKUP($B13,Seqs!$A:$B,2,0),M13,1),"")</f>
        <v>N</v>
      </c>
      <c r="M13" s="3">
        <v>39</v>
      </c>
      <c r="N13" s="3" t="str">
        <f>IFERROR(MID(VLOOKUP($B13,Seqs!$A:$B,2,0),O13,1),"")</f>
        <v>G</v>
      </c>
      <c r="O13" s="3">
        <v>69</v>
      </c>
      <c r="P13" s="3" t="str">
        <f>IFERROR(MID(VLOOKUP($B13,Seqs!$A:$B,2,0),Q13,1),"")</f>
        <v>F</v>
      </c>
      <c r="Q13" s="3">
        <v>70</v>
      </c>
      <c r="R13" s="3" t="str">
        <f>IFERROR(MID(VLOOKUP($B13,Seqs!$A:$B,2,0),S13,1),"")</f>
        <v>A</v>
      </c>
      <c r="S13" s="3">
        <v>72</v>
      </c>
      <c r="T13" s="3" t="str">
        <f>IFERROR(MID(VLOOKUP($B13,Seqs!$A:$B,2,0),U13,1),"")</f>
        <v>A</v>
      </c>
      <c r="U13" s="3">
        <v>73</v>
      </c>
      <c r="V13" s="3" t="str">
        <f>IFERROR(MID(VLOOKUP($B13,Seqs!$A:$B,2,0),W13,1),"")</f>
        <v>I</v>
      </c>
      <c r="W13" s="3">
        <v>108</v>
      </c>
      <c r="X13" s="3" t="str">
        <f>IFERROR(MID(VLOOKUP($B13,Seqs!$A:$B,2,0),Y13,1),"")</f>
        <v>P</v>
      </c>
      <c r="Y13" s="3">
        <v>109</v>
      </c>
      <c r="Z13" s="3" t="str">
        <f>IFERROR(MID(VLOOKUP($B13,Seqs!$A:$B,2,0),AA13,1),"")</f>
        <v>V</v>
      </c>
      <c r="AA13" s="3">
        <v>116</v>
      </c>
      <c r="AB13" s="3" t="str">
        <f>IFERROR(MID(VLOOKUP($B13,Seqs!$A:$B,2,0),AC13,1),"")</f>
        <v>T</v>
      </c>
      <c r="AC13" s="9">
        <v>117</v>
      </c>
      <c r="AD13" s="3" t="str">
        <f>IFERROR(MID(VLOOKUP($B13,Seqs!$A:$B,2,0),AE13,1),"")</f>
        <v>G</v>
      </c>
      <c r="AE13" s="3">
        <v>142</v>
      </c>
      <c r="AF13" s="3" t="str">
        <f>IFERROR(MID(VLOOKUP($B13,Seqs!$A:$B,2,0),AG13,1),"")</f>
        <v>C</v>
      </c>
      <c r="AG13" s="3">
        <v>166</v>
      </c>
      <c r="AH13" s="3" t="str">
        <f>IFERROR(MID(VLOOKUP($B13,Seqs!$A:$B,2,0),AI13,1),"")</f>
        <v>F</v>
      </c>
      <c r="AI13" s="3">
        <v>168</v>
      </c>
      <c r="AJ13" s="3" t="str">
        <f>IFERROR(MID(VLOOKUP($B13,Seqs!$A:$B,2,0),AK13,1),"")</f>
        <v>P</v>
      </c>
      <c r="AK13" s="3">
        <v>173</v>
      </c>
      <c r="AL13" s="3" t="str">
        <f>IFERROR(MID(VLOOKUP($B13,Seqs!$A:$B,2,0),AM13,1),"")</f>
        <v>Q</v>
      </c>
      <c r="AM13" s="3">
        <v>210</v>
      </c>
      <c r="AN13" s="3" t="str">
        <f>IFERROR(MID(VLOOKUP($B13,Seqs!$A:$B,2,0),AO13,1),"")</f>
        <v>L</v>
      </c>
      <c r="AO13" s="3">
        <v>225</v>
      </c>
      <c r="AP13" s="3" t="str">
        <f>IFERROR(MID(VLOOKUP($B13,Seqs!$A:$B,2,0),AQ13,1),"")</f>
        <v>C</v>
      </c>
      <c r="AQ13" s="3">
        <v>259</v>
      </c>
      <c r="AR13" s="3" t="str">
        <f>IFERROR(MID(VLOOKUP($B13,Seqs!$A:$B,2,0),AS13,1),"")</f>
        <v>P</v>
      </c>
      <c r="AS13" s="3">
        <v>266</v>
      </c>
      <c r="AT13" s="3" t="str">
        <f>IFERROR(MID(VLOOKUP($B13,Seqs!$A:$B,2,0),AU13,1),"")</f>
        <v>R</v>
      </c>
      <c r="AU13" s="3">
        <v>291</v>
      </c>
      <c r="AV13" s="3" t="str">
        <f>IFERROR(MID(VLOOKUP($B13,Seqs!$A:$B,2,0),AW13,1),"")</f>
        <v>I</v>
      </c>
      <c r="AW13" s="3">
        <v>292</v>
      </c>
      <c r="AX13" s="3" t="str">
        <f>IFERROR(MID(VLOOKUP($B13,Seqs!$A:$B,2,0),AY13,1),"")</f>
        <v>A</v>
      </c>
      <c r="AY13" s="3">
        <v>317</v>
      </c>
      <c r="AZ13" s="79" t="str">
        <f>VLOOKUP(B13,Classification!A:D,2,0)</f>
        <v>A</v>
      </c>
      <c r="BA13" s="97" t="str">
        <f>VLOOKUP(B13,Classification!A:D,4,0)</f>
        <v>Adenosine</v>
      </c>
      <c r="BB13" s="27" t="b">
        <f t="shared" si="1"/>
        <v>1</v>
      </c>
      <c r="BC13" s="23">
        <f t="shared" si="2"/>
        <v>264</v>
      </c>
      <c r="BD13" s="4" t="s">
        <v>23</v>
      </c>
      <c r="BE13" s="3" t="s">
        <v>1297</v>
      </c>
      <c r="BF13" s="50" t="s">
        <v>1384</v>
      </c>
      <c r="BG13" s="50" t="s">
        <v>1384</v>
      </c>
      <c r="BH13" s="1"/>
      <c r="BI13" s="72" t="s">
        <v>1293</v>
      </c>
      <c r="BJ13" s="58" t="s">
        <v>1293</v>
      </c>
      <c r="BK13" s="58" t="s">
        <v>1293</v>
      </c>
      <c r="BL13" s="58" t="s">
        <v>1293</v>
      </c>
      <c r="BM13" s="58" t="s">
        <v>1293</v>
      </c>
      <c r="BN13" s="58" t="s">
        <v>1293</v>
      </c>
      <c r="BO13" s="58" t="s">
        <v>1293</v>
      </c>
      <c r="BP13" s="58" t="s">
        <v>1293</v>
      </c>
      <c r="BQ13" s="58" t="s">
        <v>1293</v>
      </c>
      <c r="BR13" s="58" t="s">
        <v>1293</v>
      </c>
      <c r="BS13" s="58" t="s">
        <v>1293</v>
      </c>
      <c r="BT13" s="58" t="s">
        <v>1293</v>
      </c>
      <c r="BU13" s="72">
        <f t="shared" si="3"/>
        <v>7</v>
      </c>
      <c r="BV13" s="73">
        <f t="shared" si="4"/>
        <v>35</v>
      </c>
      <c r="BW13" s="74">
        <f t="shared" si="5"/>
        <v>39</v>
      </c>
      <c r="BX13" s="73">
        <f t="shared" si="6"/>
        <v>70</v>
      </c>
      <c r="BY13" s="74">
        <f t="shared" si="7"/>
        <v>73</v>
      </c>
      <c r="BZ13" s="73">
        <f t="shared" si="8"/>
        <v>109</v>
      </c>
      <c r="CA13" s="74">
        <f t="shared" si="9"/>
        <v>117</v>
      </c>
      <c r="CB13" s="73">
        <f t="shared" si="10"/>
        <v>166</v>
      </c>
      <c r="CC13" s="74">
        <f t="shared" si="11"/>
        <v>173</v>
      </c>
      <c r="CD13" s="73">
        <f t="shared" si="12"/>
        <v>225</v>
      </c>
      <c r="CE13" s="74">
        <f t="shared" si="13"/>
        <v>266</v>
      </c>
      <c r="CF13" s="73">
        <f t="shared" si="14"/>
        <v>292</v>
      </c>
      <c r="CG13" s="72">
        <f t="shared" si="15"/>
        <v>34</v>
      </c>
      <c r="CH13" s="73">
        <f t="shared" si="16"/>
        <v>38</v>
      </c>
      <c r="CI13" s="74">
        <f t="shared" si="17"/>
        <v>69</v>
      </c>
      <c r="CJ13" s="74">
        <f t="shared" si="18"/>
        <v>72</v>
      </c>
      <c r="CK13" s="74">
        <f t="shared" si="19"/>
        <v>108</v>
      </c>
      <c r="CL13" s="74">
        <f t="shared" si="20"/>
        <v>116</v>
      </c>
      <c r="CM13" s="74">
        <f t="shared" si="21"/>
        <v>142</v>
      </c>
      <c r="CN13" s="74">
        <f t="shared" si="22"/>
        <v>168</v>
      </c>
      <c r="CO13" s="74">
        <f t="shared" si="23"/>
        <v>210</v>
      </c>
      <c r="CP13" s="74">
        <f t="shared" si="24"/>
        <v>259</v>
      </c>
      <c r="CQ13" s="74">
        <f t="shared" si="25"/>
        <v>291</v>
      </c>
      <c r="CR13" s="74">
        <f t="shared" si="26"/>
        <v>317</v>
      </c>
      <c r="CS13" s="23">
        <f t="shared" si="27"/>
        <v>1</v>
      </c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  <c r="OK13" s="1"/>
      <c r="OL13" s="1"/>
      <c r="OM13" s="1"/>
      <c r="ON13" s="1"/>
      <c r="OO13" s="1"/>
      <c r="OP13" s="1"/>
      <c r="OQ13" s="1"/>
      <c r="OR13" s="1"/>
      <c r="OS13" s="1"/>
      <c r="OT13" s="1"/>
      <c r="OU13" s="1"/>
      <c r="OV13" s="1"/>
      <c r="OW13" s="1"/>
      <c r="OX13" s="1"/>
      <c r="OY13" s="1"/>
      <c r="OZ13" s="1"/>
      <c r="PA13" s="1"/>
      <c r="PB13" s="1"/>
      <c r="PC13" s="1"/>
      <c r="PD13" s="1"/>
      <c r="PE13" s="1"/>
      <c r="PF13" s="1"/>
      <c r="PG13" s="1"/>
      <c r="PH13" s="1"/>
      <c r="PI13" s="1"/>
      <c r="PJ13" s="1"/>
      <c r="PK13" s="1"/>
      <c r="PL13" s="1"/>
      <c r="PM13" s="1"/>
      <c r="PN13" s="1"/>
      <c r="PO13" s="1"/>
      <c r="PP13" s="1"/>
      <c r="PQ13" s="1"/>
      <c r="PR13" s="1"/>
      <c r="PS13" s="1"/>
      <c r="PT13" s="1"/>
      <c r="PU13" s="1"/>
      <c r="PV13" s="1"/>
      <c r="PW13" s="1"/>
      <c r="PX13" s="1"/>
      <c r="PY13" s="1"/>
      <c r="PZ13" s="1"/>
      <c r="QA13" s="1"/>
      <c r="QB13" s="1"/>
      <c r="QC13" s="1"/>
      <c r="QD13" s="1"/>
      <c r="QE13" s="1"/>
      <c r="QF13" s="1"/>
      <c r="QG13" s="1"/>
      <c r="QH13" s="1"/>
      <c r="QI13" s="1"/>
      <c r="QJ13" s="1"/>
      <c r="QK13" s="1"/>
      <c r="QL13" s="1"/>
      <c r="QM13" s="1"/>
      <c r="QN13" s="1"/>
      <c r="QO13" s="1"/>
      <c r="QP13" s="1"/>
      <c r="QQ13" s="1"/>
      <c r="QR13" s="1"/>
      <c r="QS13" s="1"/>
      <c r="QT13" s="1"/>
      <c r="QU13" s="1"/>
      <c r="QV13" s="1"/>
      <c r="QW13" s="1"/>
      <c r="QX13" s="1"/>
      <c r="QY13" s="1"/>
      <c r="QZ13" s="1"/>
      <c r="RA13" s="1"/>
      <c r="RB13" s="1"/>
      <c r="RC13" s="1"/>
      <c r="RD13" s="1"/>
      <c r="RE13" s="1"/>
      <c r="RF13" s="1"/>
      <c r="RG13" s="1"/>
      <c r="RH13" s="1"/>
      <c r="RI13" s="1"/>
      <c r="RJ13" s="1"/>
      <c r="RK13" s="1"/>
      <c r="RL13" s="1"/>
      <c r="RM13" s="1"/>
      <c r="RN13" s="1"/>
      <c r="RO13" s="1"/>
      <c r="RP13" s="1"/>
      <c r="RQ13" s="1"/>
      <c r="RR13" s="1"/>
      <c r="RS13" s="1"/>
      <c r="RT13" s="1"/>
      <c r="RU13" s="1"/>
      <c r="RV13" s="1"/>
      <c r="RW13" s="1"/>
      <c r="RX13" s="1"/>
      <c r="RY13" s="1"/>
      <c r="RZ13" s="1"/>
      <c r="SA13" s="1"/>
      <c r="SB13" s="1"/>
      <c r="SC13" s="1"/>
      <c r="SD13" s="1"/>
      <c r="SE13" s="1"/>
      <c r="SF13" s="1"/>
      <c r="SG13" s="1"/>
      <c r="SH13" s="1"/>
      <c r="SI13" s="1"/>
      <c r="SJ13" s="1"/>
      <c r="SK13" s="1"/>
      <c r="SL13" s="1"/>
      <c r="SM13" s="1"/>
      <c r="SN13" s="1"/>
      <c r="SO13" s="1"/>
      <c r="SP13" s="1"/>
      <c r="SQ13" s="1"/>
      <c r="SR13" s="1"/>
      <c r="SS13" s="1"/>
      <c r="ST13" s="1"/>
      <c r="SU13" s="1"/>
      <c r="SV13" s="1"/>
      <c r="SW13" s="1"/>
      <c r="SX13" s="1"/>
      <c r="SY13" s="1"/>
      <c r="SZ13" s="1"/>
      <c r="TA13" s="1"/>
      <c r="TB13" s="1"/>
      <c r="TC13" s="1"/>
      <c r="TD13" s="1"/>
      <c r="TE13" s="1"/>
      <c r="TF13" s="1"/>
      <c r="TG13" s="1"/>
      <c r="TH13" s="1"/>
      <c r="TI13" s="1"/>
      <c r="TJ13" s="1"/>
      <c r="TK13" s="1"/>
      <c r="TL13" s="1"/>
      <c r="TM13" s="1"/>
      <c r="TN13" s="1"/>
      <c r="TO13" s="1"/>
      <c r="TP13" s="1"/>
      <c r="TQ13" s="1"/>
      <c r="TR13" s="1"/>
      <c r="TS13" s="1"/>
      <c r="TT13" s="1"/>
      <c r="TU13" s="1"/>
      <c r="TV13" s="1"/>
      <c r="TW13" s="1"/>
      <c r="TX13" s="1"/>
      <c r="TY13" s="1"/>
      <c r="TZ13" s="1"/>
      <c r="UA13" s="1"/>
      <c r="UB13" s="1"/>
      <c r="UC13" s="1"/>
      <c r="UD13" s="1"/>
      <c r="UE13" s="1"/>
      <c r="UF13" s="1"/>
      <c r="UG13" s="1"/>
      <c r="UH13" s="1"/>
      <c r="UI13" s="1"/>
      <c r="UJ13" s="1"/>
      <c r="UK13" s="1"/>
      <c r="UL13" s="1"/>
      <c r="UM13" s="1"/>
      <c r="UN13" s="1"/>
      <c r="UO13" s="1"/>
      <c r="UP13" s="1"/>
      <c r="UQ13" s="1"/>
      <c r="UR13" s="1"/>
      <c r="US13" s="1"/>
      <c r="UT13" s="1"/>
      <c r="UU13" s="1"/>
      <c r="UV13" s="1"/>
      <c r="UW13" s="1"/>
      <c r="UX13" s="1"/>
      <c r="UY13" s="1"/>
      <c r="UZ13" s="1"/>
      <c r="VA13" s="1"/>
      <c r="VB13" s="1"/>
      <c r="VC13" s="1"/>
      <c r="VD13" s="1"/>
      <c r="VE13" s="1"/>
      <c r="VF13" s="1"/>
      <c r="VG13" s="1"/>
      <c r="VH13" s="1"/>
      <c r="VI13" s="1"/>
      <c r="VJ13" s="1"/>
      <c r="VK13" s="1"/>
      <c r="VL13" s="1"/>
      <c r="VM13" s="1"/>
      <c r="VN13" s="1"/>
      <c r="VO13" s="1"/>
      <c r="VP13" s="1"/>
      <c r="VQ13" s="1"/>
      <c r="VR13" s="1"/>
      <c r="VS13" s="1"/>
      <c r="VT13" s="1"/>
      <c r="VU13" s="1"/>
      <c r="VV13" s="1"/>
      <c r="VW13" s="1"/>
      <c r="VX13" s="1"/>
      <c r="VY13" s="1"/>
      <c r="VZ13" s="1"/>
      <c r="WA13" s="1"/>
      <c r="WB13" s="1"/>
      <c r="WC13" s="1"/>
      <c r="WD13" s="1"/>
      <c r="WE13" s="1"/>
      <c r="WF13" s="1"/>
      <c r="WG13" s="1"/>
      <c r="WH13" s="1"/>
      <c r="WI13" s="1"/>
      <c r="WJ13" s="1"/>
      <c r="WK13" s="1"/>
      <c r="WL13" s="1"/>
      <c r="WM13" s="1"/>
      <c r="WN13" s="1"/>
      <c r="WO13" s="1"/>
      <c r="WP13" s="1"/>
      <c r="WQ13" s="1"/>
      <c r="WR13" s="1"/>
      <c r="WS13" s="1"/>
      <c r="WT13" s="1"/>
      <c r="WU13" s="1"/>
      <c r="WV13" s="1"/>
      <c r="WW13" s="1"/>
      <c r="WX13" s="1"/>
      <c r="WY13" s="1"/>
      <c r="WZ13" s="1"/>
      <c r="XA13" s="1"/>
      <c r="XB13" s="1"/>
      <c r="XC13" s="1"/>
      <c r="XD13" s="1"/>
      <c r="XE13" s="1"/>
      <c r="XF13" s="1"/>
      <c r="XG13" s="1"/>
      <c r="XH13" s="1"/>
      <c r="XI13" s="1"/>
      <c r="XJ13" s="1"/>
      <c r="XK13" s="1"/>
      <c r="XL13" s="1"/>
      <c r="XM13" s="1"/>
      <c r="XN13" s="1"/>
      <c r="XO13" s="1"/>
      <c r="XP13" s="1"/>
      <c r="XQ13" s="1"/>
      <c r="XR13" s="1"/>
      <c r="XS13" s="1"/>
      <c r="XT13" s="1"/>
      <c r="XU13" s="1"/>
      <c r="XV13" s="1"/>
      <c r="XW13" s="1"/>
      <c r="XX13" s="1"/>
      <c r="XY13" s="1"/>
      <c r="XZ13" s="1"/>
      <c r="YA13" s="1"/>
      <c r="YB13" s="1"/>
      <c r="YC13" s="1"/>
      <c r="YD13" s="1"/>
      <c r="YE13" s="1"/>
      <c r="YF13" s="1"/>
      <c r="YG13" s="1"/>
      <c r="YH13" s="1"/>
      <c r="YI13" s="1"/>
      <c r="YJ13" s="1"/>
      <c r="YK13" s="1"/>
      <c r="YL13" s="1"/>
      <c r="YM13" s="1"/>
      <c r="YN13" s="1"/>
      <c r="YO13" s="1"/>
      <c r="YP13" s="1"/>
      <c r="YQ13" s="1"/>
      <c r="YR13" s="1"/>
      <c r="YS13" s="1"/>
      <c r="YT13" s="1"/>
      <c r="YU13" s="1"/>
      <c r="YV13" s="1"/>
      <c r="YW13" s="1"/>
      <c r="YX13" s="1"/>
      <c r="YY13" s="1"/>
      <c r="YZ13" s="1"/>
      <c r="ZA13" s="1"/>
      <c r="ZB13" s="1"/>
      <c r="ZC13" s="1"/>
      <c r="ZD13" s="1"/>
      <c r="ZE13" s="1"/>
      <c r="ZF13" s="1"/>
      <c r="ZG13" s="1"/>
      <c r="ZH13" s="1"/>
      <c r="ZI13" s="1"/>
      <c r="ZJ13" s="1"/>
      <c r="ZK13" s="1"/>
      <c r="ZL13" s="1"/>
      <c r="ZM13" s="1"/>
      <c r="ZN13" s="1"/>
      <c r="ZO13" s="1"/>
      <c r="ZP13" s="1"/>
      <c r="ZQ13" s="1"/>
      <c r="ZR13" s="1"/>
      <c r="ZS13" s="1"/>
      <c r="ZT13" s="1"/>
      <c r="ZU13" s="1"/>
      <c r="ZV13" s="1"/>
      <c r="ZW13" s="1"/>
      <c r="ZX13" s="1"/>
      <c r="ZY13" s="1"/>
      <c r="ZZ13" s="1"/>
      <c r="AAA13" s="1"/>
      <c r="AAB13" s="1"/>
      <c r="AAC13" s="1"/>
      <c r="AAD13" s="1"/>
      <c r="AAE13" s="1"/>
      <c r="AAF13" s="1"/>
      <c r="AAG13" s="1"/>
      <c r="AAH13" s="1"/>
      <c r="AAI13" s="1"/>
      <c r="AAJ13" s="1"/>
      <c r="AAK13" s="1"/>
      <c r="AAL13" s="1"/>
      <c r="AAM13" s="1"/>
      <c r="AAN13" s="1"/>
      <c r="AAO13" s="1"/>
      <c r="AAP13" s="1"/>
      <c r="AAQ13" s="1"/>
      <c r="AAR13" s="1"/>
      <c r="AAS13" s="1"/>
      <c r="AAT13" s="1"/>
      <c r="AAU13" s="1"/>
      <c r="AAV13" s="1"/>
      <c r="AAW13" s="1"/>
      <c r="AAX13" s="1"/>
      <c r="AAY13" s="1"/>
      <c r="AAZ13" s="1"/>
      <c r="ABA13" s="1"/>
      <c r="ABB13" s="1"/>
      <c r="ABC13" s="1"/>
      <c r="ABD13" s="1"/>
      <c r="ABE13" s="1"/>
      <c r="ABF13" s="1"/>
      <c r="ABG13" s="1"/>
      <c r="ABH13" s="1"/>
      <c r="ABI13" s="1"/>
      <c r="ABJ13" s="1"/>
      <c r="ABK13" s="1"/>
      <c r="ABL13" s="1"/>
      <c r="ABM13" s="1"/>
      <c r="ABN13" s="1"/>
      <c r="ABO13" s="1"/>
      <c r="ABP13" s="1"/>
      <c r="ABQ13" s="1"/>
      <c r="ABR13" s="1"/>
      <c r="ABS13" s="1"/>
      <c r="ABT13" s="1"/>
      <c r="ABU13" s="1"/>
      <c r="ABV13" s="1"/>
      <c r="ABW13" s="1"/>
      <c r="ABX13" s="1"/>
      <c r="ABY13" s="1"/>
      <c r="ABZ13" s="1"/>
      <c r="ACA13" s="1"/>
      <c r="ACB13" s="1"/>
      <c r="ACC13" s="1"/>
      <c r="ACD13" s="1"/>
      <c r="ACE13" s="1"/>
      <c r="ACF13" s="1"/>
      <c r="ACG13" s="1"/>
      <c r="ACH13" s="1"/>
      <c r="ACI13" s="1"/>
      <c r="ACJ13" s="1"/>
      <c r="ACK13" s="1"/>
      <c r="ACL13" s="1"/>
      <c r="ACM13" s="1"/>
      <c r="ACN13" s="1"/>
      <c r="ACO13" s="1"/>
      <c r="ACP13" s="1"/>
      <c r="ACQ13" s="1"/>
      <c r="ACR13" s="1"/>
      <c r="ACS13" s="1"/>
      <c r="ACT13" s="1"/>
      <c r="ACU13" s="1"/>
      <c r="ACV13" s="1"/>
      <c r="ACW13" s="1"/>
      <c r="ACX13" s="1"/>
      <c r="ACY13" s="1"/>
      <c r="ACZ13" s="1"/>
      <c r="ADA13" s="1"/>
      <c r="ADB13" s="1"/>
      <c r="ADC13" s="1"/>
      <c r="ADD13" s="1"/>
      <c r="ADE13" s="1"/>
      <c r="ADF13" s="1"/>
      <c r="ADG13" s="1"/>
      <c r="ADH13" s="1"/>
      <c r="ADI13" s="1"/>
      <c r="ADJ13" s="1"/>
      <c r="ADK13" s="1"/>
      <c r="ADL13" s="1"/>
      <c r="ADM13" s="1"/>
      <c r="ADN13" s="1"/>
      <c r="ADO13" s="1"/>
      <c r="ADP13" s="1"/>
      <c r="ADQ13" s="1"/>
      <c r="ADR13" s="1"/>
      <c r="ADS13" s="1"/>
      <c r="ADT13" s="1"/>
      <c r="ADU13" s="1"/>
      <c r="ADV13" s="1"/>
      <c r="ADW13" s="1"/>
      <c r="ADX13" s="1"/>
      <c r="ADY13" s="1"/>
      <c r="ADZ13" s="1"/>
      <c r="AEA13" s="1"/>
      <c r="AEB13" s="1"/>
      <c r="AEC13" s="1"/>
      <c r="AED13" s="1"/>
      <c r="AEE13" s="1"/>
      <c r="AEF13" s="1"/>
      <c r="AEG13" s="1"/>
      <c r="AEH13" s="1"/>
      <c r="AEI13" s="1"/>
      <c r="AEJ13" s="1"/>
      <c r="AEK13" s="1"/>
      <c r="AEL13" s="1"/>
      <c r="AEM13" s="1"/>
      <c r="AEN13" s="1"/>
      <c r="AEO13" s="1"/>
      <c r="AEP13" s="1"/>
      <c r="AEQ13" s="1"/>
      <c r="AER13" s="1"/>
      <c r="AES13" s="1"/>
      <c r="AET13" s="1"/>
      <c r="AEU13" s="1"/>
      <c r="AEV13" s="1"/>
      <c r="AEW13" s="1"/>
      <c r="AEX13" s="1"/>
      <c r="AEY13" s="1"/>
      <c r="AEZ13" s="1"/>
      <c r="AFA13" s="1"/>
      <c r="AFB13" s="1"/>
      <c r="AFC13" s="1"/>
      <c r="AFD13" s="1"/>
      <c r="AFE13" s="1"/>
      <c r="AFF13" s="1"/>
      <c r="AFG13" s="1"/>
      <c r="AFH13" s="1"/>
      <c r="AFI13" s="1"/>
      <c r="AFJ13" s="1"/>
      <c r="AFK13" s="1"/>
      <c r="AFL13" s="1"/>
      <c r="AFM13" s="1"/>
      <c r="AFN13" s="1"/>
      <c r="AFO13" s="1"/>
      <c r="AFP13" s="1"/>
      <c r="AFQ13" s="1"/>
      <c r="AFR13" s="1"/>
      <c r="AFS13" s="1"/>
      <c r="AFT13" s="1"/>
      <c r="AFU13" s="1"/>
      <c r="AFV13" s="1"/>
      <c r="AFW13" s="1"/>
      <c r="AFX13" s="1"/>
      <c r="AFY13" s="1"/>
      <c r="AFZ13" s="1"/>
      <c r="AGA13" s="1"/>
      <c r="AGB13" s="1"/>
      <c r="AGC13" s="1"/>
      <c r="AGD13" s="1"/>
      <c r="AGE13" s="1"/>
      <c r="AGF13" s="1"/>
      <c r="AGG13" s="1"/>
      <c r="AGH13" s="1"/>
      <c r="AGI13" s="1"/>
      <c r="AGJ13" s="1"/>
      <c r="AGK13" s="1"/>
      <c r="AGL13" s="1"/>
      <c r="AGM13" s="1"/>
      <c r="AGN13" s="1"/>
      <c r="AGO13" s="1"/>
      <c r="AGP13" s="1"/>
      <c r="AGQ13" s="1"/>
      <c r="AGR13" s="1"/>
      <c r="AGS13" s="1"/>
      <c r="AGT13" s="1"/>
      <c r="AGU13" s="1"/>
      <c r="AGV13" s="1"/>
      <c r="AGW13" s="1"/>
      <c r="AGX13" s="1"/>
      <c r="AGY13" s="1"/>
      <c r="AGZ13" s="1"/>
      <c r="AHA13" s="1"/>
      <c r="AHB13" s="1"/>
      <c r="AHC13" s="1"/>
      <c r="AHD13" s="1"/>
      <c r="AHE13" s="1"/>
      <c r="AHF13" s="1"/>
      <c r="AHG13" s="1"/>
      <c r="AHH13" s="1"/>
      <c r="AHI13" s="1"/>
      <c r="AHJ13" s="1"/>
      <c r="AHK13" s="1"/>
      <c r="AHL13" s="1"/>
      <c r="AHM13" s="1"/>
      <c r="AHN13" s="1"/>
      <c r="AHO13" s="1"/>
      <c r="AHP13" s="1"/>
      <c r="AHQ13" s="1"/>
      <c r="AHR13" s="1"/>
      <c r="AHS13" s="1"/>
      <c r="AHT13" s="1"/>
      <c r="AHU13" s="1"/>
      <c r="AHV13" s="1"/>
      <c r="AHW13" s="1"/>
      <c r="AHX13" s="1"/>
      <c r="AHY13" s="1"/>
      <c r="AHZ13" s="1"/>
      <c r="AIA13" s="1"/>
      <c r="AIB13" s="1"/>
      <c r="AIC13" s="1"/>
      <c r="AID13" s="1"/>
      <c r="AIE13" s="1"/>
      <c r="AIF13" s="1"/>
      <c r="AIG13" s="1"/>
      <c r="AIH13" s="1"/>
      <c r="AII13" s="1"/>
      <c r="AIJ13" s="1"/>
      <c r="AIK13" s="1"/>
      <c r="AIL13" s="1"/>
      <c r="AIM13" s="1"/>
      <c r="AIN13" s="1"/>
      <c r="AIO13" s="1"/>
      <c r="AIP13" s="1"/>
      <c r="AIQ13" s="1"/>
      <c r="AIR13" s="1"/>
      <c r="AIS13" s="1"/>
      <c r="AIT13" s="1"/>
      <c r="AIU13" s="1"/>
      <c r="AIV13" s="1"/>
      <c r="AIW13" s="1"/>
      <c r="AIX13" s="1"/>
      <c r="AIY13" s="1"/>
      <c r="AIZ13" s="1"/>
      <c r="AJA13" s="1"/>
      <c r="AJB13" s="1"/>
      <c r="AJC13" s="1"/>
      <c r="AJD13" s="1"/>
      <c r="AJE13" s="1"/>
      <c r="AJF13" s="1"/>
      <c r="AJG13" s="1"/>
      <c r="AJH13" s="1"/>
      <c r="AJI13" s="1"/>
      <c r="AJJ13" s="1"/>
      <c r="AJK13" s="1"/>
      <c r="AJL13" s="1"/>
      <c r="AJM13" s="1"/>
      <c r="AJN13" s="1"/>
      <c r="AJO13" s="1"/>
      <c r="AJP13" s="1"/>
      <c r="AJQ13" s="1"/>
      <c r="AJR13" s="1"/>
      <c r="AJS13" s="1"/>
      <c r="AJT13" s="1"/>
      <c r="AJU13" s="1"/>
      <c r="AJV13" s="1"/>
      <c r="AJW13" s="1"/>
      <c r="AJX13" s="1"/>
      <c r="AJY13" s="1"/>
      <c r="AJZ13" s="1"/>
      <c r="AKA13" s="1"/>
      <c r="AKB13" s="1"/>
      <c r="AKC13" s="1"/>
      <c r="AKD13" s="1"/>
      <c r="AKE13" s="1"/>
      <c r="AKF13" s="1"/>
      <c r="AKG13" s="1"/>
      <c r="AKH13" s="1"/>
      <c r="AKI13" s="1"/>
      <c r="AKJ13" s="1"/>
      <c r="AKK13" s="1"/>
      <c r="AKL13" s="1"/>
      <c r="AKM13" s="1"/>
      <c r="AKN13" s="1"/>
      <c r="AKO13" s="1"/>
      <c r="AKP13" s="1"/>
      <c r="AKQ13" s="1"/>
      <c r="AKR13" s="1"/>
      <c r="AKS13" s="1"/>
      <c r="AKT13" s="1"/>
      <c r="AKU13" s="1"/>
      <c r="AKV13" s="1"/>
      <c r="AKW13" s="1"/>
      <c r="AKX13" s="1"/>
      <c r="AKY13" s="1"/>
      <c r="AKZ13" s="1"/>
      <c r="ALA13" s="1"/>
      <c r="ALB13" s="1"/>
      <c r="ALC13" s="1"/>
      <c r="ALD13" s="1"/>
      <c r="ALE13" s="1"/>
      <c r="ALF13" s="1"/>
      <c r="ALG13" s="1"/>
      <c r="ALH13" s="1"/>
      <c r="ALI13" s="1"/>
      <c r="ALJ13" s="1"/>
      <c r="ALK13" s="1"/>
      <c r="ALL13" s="1"/>
      <c r="ALM13" s="1"/>
      <c r="ALN13" s="1"/>
      <c r="ALO13" s="1"/>
      <c r="ALP13" s="1"/>
      <c r="ALQ13" s="1"/>
      <c r="ALR13" s="1"/>
      <c r="ALS13" s="1"/>
      <c r="ALT13" s="1"/>
      <c r="ALU13" s="1"/>
      <c r="ALV13" s="1"/>
      <c r="ALW13" s="1"/>
      <c r="ALX13" s="1"/>
      <c r="ALY13" s="1"/>
      <c r="ALZ13" s="1"/>
      <c r="AMA13" s="1"/>
      <c r="AMB13" s="1"/>
      <c r="AMC13" s="1"/>
      <c r="AMD13" s="1"/>
      <c r="AME13" s="1"/>
      <c r="AMF13" s="1"/>
      <c r="AMG13" s="1"/>
      <c r="AMH13" s="1"/>
      <c r="AMI13" s="1"/>
      <c r="AMJ13" s="1"/>
      <c r="AMK13" s="1"/>
      <c r="AML13" s="1"/>
      <c r="AMM13" s="1"/>
      <c r="AMN13" s="1"/>
    </row>
    <row r="14" spans="1:1028" x14ac:dyDescent="0.2">
      <c r="A14" s="3" t="str">
        <f t="shared" si="0"/>
        <v>aa2ar_human_2YDV</v>
      </c>
      <c r="B14" s="3" t="s">
        <v>139</v>
      </c>
      <c r="C14" s="3" t="s">
        <v>80</v>
      </c>
      <c r="D14" s="3" t="str">
        <f>IFERROR(MID(VLOOKUP($B14,Seqs!$A:$B,2,0),E14,1),"")</f>
        <v>S</v>
      </c>
      <c r="E14" s="3">
        <v>7</v>
      </c>
      <c r="F14" s="3" t="str">
        <f>IFERROR(MID(VLOOKUP($B14,Seqs!$A:$B,2,0),G14,1),"")</f>
        <v>N</v>
      </c>
      <c r="G14" s="3">
        <v>34</v>
      </c>
      <c r="H14" s="3" t="str">
        <f>IFERROR(MID(VLOOKUP($B14,Seqs!$A:$B,2,0),I14,1),"")</f>
        <v>S</v>
      </c>
      <c r="I14" s="23">
        <v>35</v>
      </c>
      <c r="J14" s="3" t="str">
        <f>IFERROR(MID(VLOOKUP($B14,Seqs!$A:$B,2,0),K14,1),"")</f>
        <v>Q</v>
      </c>
      <c r="K14" s="23">
        <v>38</v>
      </c>
      <c r="L14" s="3" t="str">
        <f>IFERROR(MID(VLOOKUP($B14,Seqs!$A:$B,2,0),M14,1),"")</f>
        <v>N</v>
      </c>
      <c r="M14" s="3">
        <v>39</v>
      </c>
      <c r="N14" s="3" t="str">
        <f>IFERROR(MID(VLOOKUP($B14,Seqs!$A:$B,2,0),O14,1),"")</f>
        <v>G</v>
      </c>
      <c r="O14" s="3">
        <v>69</v>
      </c>
      <c r="P14" s="3" t="str">
        <f>IFERROR(MID(VLOOKUP($B14,Seqs!$A:$B,2,0),Q14,1),"")</f>
        <v>F</v>
      </c>
      <c r="Q14" s="3">
        <v>70</v>
      </c>
      <c r="R14" s="3" t="str">
        <f>IFERROR(MID(VLOOKUP($B14,Seqs!$A:$B,2,0),S14,1),"")</f>
        <v>A</v>
      </c>
      <c r="S14" s="3">
        <v>72</v>
      </c>
      <c r="T14" s="3" t="str">
        <f>IFERROR(MID(VLOOKUP($B14,Seqs!$A:$B,2,0),U14,1),"")</f>
        <v>A</v>
      </c>
      <c r="U14" s="3">
        <v>73</v>
      </c>
      <c r="V14" s="3" t="str">
        <f>IFERROR(MID(VLOOKUP($B14,Seqs!$A:$B,2,0),W14,1),"")</f>
        <v>I</v>
      </c>
      <c r="W14" s="3">
        <v>108</v>
      </c>
      <c r="X14" s="3" t="str">
        <f>IFERROR(MID(VLOOKUP($B14,Seqs!$A:$B,2,0),Y14,1),"")</f>
        <v>P</v>
      </c>
      <c r="Y14" s="3">
        <v>109</v>
      </c>
      <c r="Z14" s="3" t="str">
        <f>IFERROR(MID(VLOOKUP($B14,Seqs!$A:$B,2,0),AA14,1),"")</f>
        <v>V</v>
      </c>
      <c r="AA14" s="3">
        <v>116</v>
      </c>
      <c r="AB14" s="3" t="str">
        <f>IFERROR(MID(VLOOKUP($B14,Seqs!$A:$B,2,0),AC14,1),"")</f>
        <v>T</v>
      </c>
      <c r="AC14" s="9">
        <v>117</v>
      </c>
      <c r="AD14" s="3" t="str">
        <f>IFERROR(MID(VLOOKUP($B14,Seqs!$A:$B,2,0),AE14,1),"")</f>
        <v>G</v>
      </c>
      <c r="AE14" s="3">
        <v>142</v>
      </c>
      <c r="AF14" s="3" t="str">
        <f>IFERROR(MID(VLOOKUP($B14,Seqs!$A:$B,2,0),AG14,1),"")</f>
        <v>C</v>
      </c>
      <c r="AG14" s="3">
        <v>166</v>
      </c>
      <c r="AH14" s="3" t="str">
        <f>IFERROR(MID(VLOOKUP($B14,Seqs!$A:$B,2,0),AI14,1),"")</f>
        <v>F</v>
      </c>
      <c r="AI14" s="3">
        <v>168</v>
      </c>
      <c r="AJ14" s="3" t="str">
        <f>IFERROR(MID(VLOOKUP($B14,Seqs!$A:$B,2,0),AK14,1),"")</f>
        <v>P</v>
      </c>
      <c r="AK14" s="3">
        <v>173</v>
      </c>
      <c r="AL14" s="3" t="str">
        <f>IFERROR(MID(VLOOKUP($B14,Seqs!$A:$B,2,0),AM14,1),"")</f>
        <v>Q</v>
      </c>
      <c r="AM14" s="3">
        <v>210</v>
      </c>
      <c r="AN14" s="3" t="str">
        <f>IFERROR(MID(VLOOKUP($B14,Seqs!$A:$B,2,0),AO14,1),"")</f>
        <v>T</v>
      </c>
      <c r="AO14" s="3">
        <v>224</v>
      </c>
      <c r="AP14" s="3" t="str">
        <f>IFERROR(MID(VLOOKUP($B14,Seqs!$A:$B,2,0),AQ14,1),"")</f>
        <v>C</v>
      </c>
      <c r="AQ14" s="3">
        <v>259</v>
      </c>
      <c r="AR14" s="3" t="str">
        <f>IFERROR(MID(VLOOKUP($B14,Seqs!$A:$B,2,0),AS14,1),"")</f>
        <v>P</v>
      </c>
      <c r="AS14" s="3">
        <v>266</v>
      </c>
      <c r="AT14" s="3" t="str">
        <f>IFERROR(MID(VLOOKUP($B14,Seqs!$A:$B,2,0),AU14,1),"")</f>
        <v>R</v>
      </c>
      <c r="AU14" s="3">
        <v>291</v>
      </c>
      <c r="AV14" s="3" t="str">
        <f>IFERROR(MID(VLOOKUP($B14,Seqs!$A:$B,2,0),AW14,1),"")</f>
        <v>I</v>
      </c>
      <c r="AW14" s="3">
        <v>292</v>
      </c>
      <c r="AX14" s="3" t="str">
        <f>IFERROR(MID(VLOOKUP($B14,Seqs!$A:$B,2,0),AY14,1),"")</f>
        <v>A</v>
      </c>
      <c r="AY14" s="3">
        <v>317</v>
      </c>
      <c r="AZ14" s="79" t="str">
        <f>VLOOKUP(B14,Classification!A:D,2,0)</f>
        <v>A</v>
      </c>
      <c r="BA14" s="97" t="str">
        <f>VLOOKUP(B14,Classification!A:D,4,0)</f>
        <v>Adenosine</v>
      </c>
      <c r="BB14" s="27" t="b">
        <f t="shared" si="1"/>
        <v>1</v>
      </c>
      <c r="BC14" s="23">
        <f t="shared" si="2"/>
        <v>265</v>
      </c>
      <c r="BD14" s="4" t="s">
        <v>1382</v>
      </c>
      <c r="BE14" s="3" t="s">
        <v>1297</v>
      </c>
      <c r="BF14" s="50" t="s">
        <v>1384</v>
      </c>
      <c r="BG14" s="50" t="s">
        <v>1384</v>
      </c>
      <c r="BH14" s="1"/>
      <c r="BI14" s="72" t="s">
        <v>1293</v>
      </c>
      <c r="BJ14" s="58" t="s">
        <v>1293</v>
      </c>
      <c r="BK14" s="58" t="s">
        <v>1293</v>
      </c>
      <c r="BL14" s="58" t="s">
        <v>1293</v>
      </c>
      <c r="BM14" s="58" t="s">
        <v>1293</v>
      </c>
      <c r="BN14" s="58" t="s">
        <v>1293</v>
      </c>
      <c r="BO14" s="58" t="s">
        <v>1293</v>
      </c>
      <c r="BP14" s="58" t="s">
        <v>1293</v>
      </c>
      <c r="BQ14" s="58" t="s">
        <v>1293</v>
      </c>
      <c r="BR14" s="58" t="s">
        <v>1293</v>
      </c>
      <c r="BS14" s="58" t="s">
        <v>1293</v>
      </c>
      <c r="BT14" s="58" t="s">
        <v>1293</v>
      </c>
      <c r="BU14" s="72">
        <f t="shared" si="3"/>
        <v>7</v>
      </c>
      <c r="BV14" s="73">
        <f t="shared" si="4"/>
        <v>35</v>
      </c>
      <c r="BW14" s="74">
        <f t="shared" si="5"/>
        <v>39</v>
      </c>
      <c r="BX14" s="73">
        <f t="shared" si="6"/>
        <v>70</v>
      </c>
      <c r="BY14" s="74">
        <f t="shared" si="7"/>
        <v>73</v>
      </c>
      <c r="BZ14" s="73">
        <f t="shared" si="8"/>
        <v>109</v>
      </c>
      <c r="CA14" s="74">
        <f t="shared" si="9"/>
        <v>117</v>
      </c>
      <c r="CB14" s="73">
        <f t="shared" si="10"/>
        <v>166</v>
      </c>
      <c r="CC14" s="74">
        <f t="shared" si="11"/>
        <v>173</v>
      </c>
      <c r="CD14" s="73">
        <f t="shared" si="12"/>
        <v>224</v>
      </c>
      <c r="CE14" s="74">
        <f t="shared" si="13"/>
        <v>266</v>
      </c>
      <c r="CF14" s="73">
        <f t="shared" si="14"/>
        <v>292</v>
      </c>
      <c r="CG14" s="72">
        <f t="shared" si="15"/>
        <v>34</v>
      </c>
      <c r="CH14" s="73">
        <f t="shared" si="16"/>
        <v>38</v>
      </c>
      <c r="CI14" s="74">
        <f t="shared" si="17"/>
        <v>69</v>
      </c>
      <c r="CJ14" s="74">
        <f t="shared" si="18"/>
        <v>72</v>
      </c>
      <c r="CK14" s="74">
        <f t="shared" si="19"/>
        <v>108</v>
      </c>
      <c r="CL14" s="74">
        <f t="shared" si="20"/>
        <v>116</v>
      </c>
      <c r="CM14" s="74">
        <f t="shared" si="21"/>
        <v>142</v>
      </c>
      <c r="CN14" s="74">
        <f t="shared" si="22"/>
        <v>168</v>
      </c>
      <c r="CO14" s="74">
        <f t="shared" si="23"/>
        <v>210</v>
      </c>
      <c r="CP14" s="74">
        <f t="shared" si="24"/>
        <v>259</v>
      </c>
      <c r="CQ14" s="74">
        <f t="shared" si="25"/>
        <v>291</v>
      </c>
      <c r="CR14" s="74">
        <f t="shared" si="26"/>
        <v>317</v>
      </c>
      <c r="CS14" s="23">
        <f t="shared" si="27"/>
        <v>1</v>
      </c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  <c r="OK14" s="1"/>
      <c r="OL14" s="1"/>
      <c r="OM14" s="1"/>
      <c r="ON14" s="1"/>
      <c r="OO14" s="1"/>
      <c r="OP14" s="1"/>
      <c r="OQ14" s="1"/>
      <c r="OR14" s="1"/>
      <c r="OS14" s="1"/>
      <c r="OT14" s="1"/>
      <c r="OU14" s="1"/>
      <c r="OV14" s="1"/>
      <c r="OW14" s="1"/>
      <c r="OX14" s="1"/>
      <c r="OY14" s="1"/>
      <c r="OZ14" s="1"/>
      <c r="PA14" s="1"/>
      <c r="PB14" s="1"/>
      <c r="PC14" s="1"/>
      <c r="PD14" s="1"/>
      <c r="PE14" s="1"/>
      <c r="PF14" s="1"/>
      <c r="PG14" s="1"/>
      <c r="PH14" s="1"/>
      <c r="PI14" s="1"/>
      <c r="PJ14" s="1"/>
      <c r="PK14" s="1"/>
      <c r="PL14" s="1"/>
      <c r="PM14" s="1"/>
      <c r="PN14" s="1"/>
      <c r="PO14" s="1"/>
      <c r="PP14" s="1"/>
      <c r="PQ14" s="1"/>
      <c r="PR14" s="1"/>
      <c r="PS14" s="1"/>
      <c r="PT14" s="1"/>
      <c r="PU14" s="1"/>
      <c r="PV14" s="1"/>
      <c r="PW14" s="1"/>
      <c r="PX14" s="1"/>
      <c r="PY14" s="1"/>
      <c r="PZ14" s="1"/>
      <c r="QA14" s="1"/>
      <c r="QB14" s="1"/>
      <c r="QC14" s="1"/>
      <c r="QD14" s="1"/>
      <c r="QE14" s="1"/>
      <c r="QF14" s="1"/>
      <c r="QG14" s="1"/>
      <c r="QH14" s="1"/>
      <c r="QI14" s="1"/>
      <c r="QJ14" s="1"/>
      <c r="QK14" s="1"/>
      <c r="QL14" s="1"/>
      <c r="QM14" s="1"/>
      <c r="QN14" s="1"/>
      <c r="QO14" s="1"/>
      <c r="QP14" s="1"/>
      <c r="QQ14" s="1"/>
      <c r="QR14" s="1"/>
      <c r="QS14" s="1"/>
      <c r="QT14" s="1"/>
      <c r="QU14" s="1"/>
      <c r="QV14" s="1"/>
      <c r="QW14" s="1"/>
      <c r="QX14" s="1"/>
      <c r="QY14" s="1"/>
      <c r="QZ14" s="1"/>
      <c r="RA14" s="1"/>
      <c r="RB14" s="1"/>
      <c r="RC14" s="1"/>
      <c r="RD14" s="1"/>
      <c r="RE14" s="1"/>
      <c r="RF14" s="1"/>
      <c r="RG14" s="1"/>
      <c r="RH14" s="1"/>
      <c r="RI14" s="1"/>
      <c r="RJ14" s="1"/>
      <c r="RK14" s="1"/>
      <c r="RL14" s="1"/>
      <c r="RM14" s="1"/>
      <c r="RN14" s="1"/>
      <c r="RO14" s="1"/>
      <c r="RP14" s="1"/>
      <c r="RQ14" s="1"/>
      <c r="RR14" s="1"/>
      <c r="RS14" s="1"/>
      <c r="RT14" s="1"/>
      <c r="RU14" s="1"/>
      <c r="RV14" s="1"/>
      <c r="RW14" s="1"/>
      <c r="RX14" s="1"/>
      <c r="RY14" s="1"/>
      <c r="RZ14" s="1"/>
      <c r="SA14" s="1"/>
      <c r="SB14" s="1"/>
      <c r="SC14" s="1"/>
      <c r="SD14" s="1"/>
      <c r="SE14" s="1"/>
      <c r="SF14" s="1"/>
      <c r="SG14" s="1"/>
      <c r="SH14" s="1"/>
      <c r="SI14" s="1"/>
      <c r="SJ14" s="1"/>
      <c r="SK14" s="1"/>
      <c r="SL14" s="1"/>
      <c r="SM14" s="1"/>
      <c r="SN14" s="1"/>
      <c r="SO14" s="1"/>
      <c r="SP14" s="1"/>
      <c r="SQ14" s="1"/>
      <c r="SR14" s="1"/>
      <c r="SS14" s="1"/>
      <c r="ST14" s="1"/>
      <c r="SU14" s="1"/>
      <c r="SV14" s="1"/>
      <c r="SW14" s="1"/>
      <c r="SX14" s="1"/>
      <c r="SY14" s="1"/>
      <c r="SZ14" s="1"/>
      <c r="TA14" s="1"/>
      <c r="TB14" s="1"/>
      <c r="TC14" s="1"/>
      <c r="TD14" s="1"/>
      <c r="TE14" s="1"/>
      <c r="TF14" s="1"/>
      <c r="TG14" s="1"/>
      <c r="TH14" s="1"/>
      <c r="TI14" s="1"/>
      <c r="TJ14" s="1"/>
      <c r="TK14" s="1"/>
      <c r="TL14" s="1"/>
      <c r="TM14" s="1"/>
      <c r="TN14" s="1"/>
      <c r="TO14" s="1"/>
      <c r="TP14" s="1"/>
      <c r="TQ14" s="1"/>
      <c r="TR14" s="1"/>
      <c r="TS14" s="1"/>
      <c r="TT14" s="1"/>
      <c r="TU14" s="1"/>
      <c r="TV14" s="1"/>
      <c r="TW14" s="1"/>
      <c r="TX14" s="1"/>
      <c r="TY14" s="1"/>
      <c r="TZ14" s="1"/>
      <c r="UA14" s="1"/>
      <c r="UB14" s="1"/>
      <c r="UC14" s="1"/>
      <c r="UD14" s="1"/>
      <c r="UE14" s="1"/>
      <c r="UF14" s="1"/>
      <c r="UG14" s="1"/>
      <c r="UH14" s="1"/>
      <c r="UI14" s="1"/>
      <c r="UJ14" s="1"/>
      <c r="UK14" s="1"/>
      <c r="UL14" s="1"/>
      <c r="UM14" s="1"/>
      <c r="UN14" s="1"/>
      <c r="UO14" s="1"/>
      <c r="UP14" s="1"/>
      <c r="UQ14" s="1"/>
      <c r="UR14" s="1"/>
      <c r="US14" s="1"/>
      <c r="UT14" s="1"/>
      <c r="UU14" s="1"/>
      <c r="UV14" s="1"/>
      <c r="UW14" s="1"/>
      <c r="UX14" s="1"/>
      <c r="UY14" s="1"/>
      <c r="UZ14" s="1"/>
      <c r="VA14" s="1"/>
      <c r="VB14" s="1"/>
      <c r="VC14" s="1"/>
      <c r="VD14" s="1"/>
      <c r="VE14" s="1"/>
      <c r="VF14" s="1"/>
      <c r="VG14" s="1"/>
      <c r="VH14" s="1"/>
      <c r="VI14" s="1"/>
      <c r="VJ14" s="1"/>
      <c r="VK14" s="1"/>
      <c r="VL14" s="1"/>
      <c r="VM14" s="1"/>
      <c r="VN14" s="1"/>
      <c r="VO14" s="1"/>
      <c r="VP14" s="1"/>
      <c r="VQ14" s="1"/>
      <c r="VR14" s="1"/>
      <c r="VS14" s="1"/>
      <c r="VT14" s="1"/>
      <c r="VU14" s="1"/>
      <c r="VV14" s="1"/>
      <c r="VW14" s="1"/>
      <c r="VX14" s="1"/>
      <c r="VY14" s="1"/>
      <c r="VZ14" s="1"/>
      <c r="WA14" s="1"/>
      <c r="WB14" s="1"/>
      <c r="WC14" s="1"/>
      <c r="WD14" s="1"/>
      <c r="WE14" s="1"/>
      <c r="WF14" s="1"/>
      <c r="WG14" s="1"/>
      <c r="WH14" s="1"/>
      <c r="WI14" s="1"/>
      <c r="WJ14" s="1"/>
      <c r="WK14" s="1"/>
      <c r="WL14" s="1"/>
      <c r="WM14" s="1"/>
      <c r="WN14" s="1"/>
      <c r="WO14" s="1"/>
      <c r="WP14" s="1"/>
      <c r="WQ14" s="1"/>
      <c r="WR14" s="1"/>
      <c r="WS14" s="1"/>
      <c r="WT14" s="1"/>
      <c r="WU14" s="1"/>
      <c r="WV14" s="1"/>
      <c r="WW14" s="1"/>
      <c r="WX14" s="1"/>
      <c r="WY14" s="1"/>
      <c r="WZ14" s="1"/>
      <c r="XA14" s="1"/>
      <c r="XB14" s="1"/>
      <c r="XC14" s="1"/>
      <c r="XD14" s="1"/>
      <c r="XE14" s="1"/>
      <c r="XF14" s="1"/>
      <c r="XG14" s="1"/>
      <c r="XH14" s="1"/>
      <c r="XI14" s="1"/>
      <c r="XJ14" s="1"/>
      <c r="XK14" s="1"/>
      <c r="XL14" s="1"/>
      <c r="XM14" s="1"/>
      <c r="XN14" s="1"/>
      <c r="XO14" s="1"/>
      <c r="XP14" s="1"/>
      <c r="XQ14" s="1"/>
      <c r="XR14" s="1"/>
      <c r="XS14" s="1"/>
      <c r="XT14" s="1"/>
      <c r="XU14" s="1"/>
      <c r="XV14" s="1"/>
      <c r="XW14" s="1"/>
      <c r="XX14" s="1"/>
      <c r="XY14" s="1"/>
      <c r="XZ14" s="1"/>
      <c r="YA14" s="1"/>
      <c r="YB14" s="1"/>
      <c r="YC14" s="1"/>
      <c r="YD14" s="1"/>
      <c r="YE14" s="1"/>
      <c r="YF14" s="1"/>
      <c r="YG14" s="1"/>
      <c r="YH14" s="1"/>
      <c r="YI14" s="1"/>
      <c r="YJ14" s="1"/>
      <c r="YK14" s="1"/>
      <c r="YL14" s="1"/>
      <c r="YM14" s="1"/>
      <c r="YN14" s="1"/>
      <c r="YO14" s="1"/>
      <c r="YP14" s="1"/>
      <c r="YQ14" s="1"/>
      <c r="YR14" s="1"/>
      <c r="YS14" s="1"/>
      <c r="YT14" s="1"/>
      <c r="YU14" s="1"/>
      <c r="YV14" s="1"/>
      <c r="YW14" s="1"/>
      <c r="YX14" s="1"/>
      <c r="YY14" s="1"/>
      <c r="YZ14" s="1"/>
      <c r="ZA14" s="1"/>
      <c r="ZB14" s="1"/>
      <c r="ZC14" s="1"/>
      <c r="ZD14" s="1"/>
      <c r="ZE14" s="1"/>
      <c r="ZF14" s="1"/>
      <c r="ZG14" s="1"/>
      <c r="ZH14" s="1"/>
      <c r="ZI14" s="1"/>
      <c r="ZJ14" s="1"/>
      <c r="ZK14" s="1"/>
      <c r="ZL14" s="1"/>
      <c r="ZM14" s="1"/>
      <c r="ZN14" s="1"/>
      <c r="ZO14" s="1"/>
      <c r="ZP14" s="1"/>
      <c r="ZQ14" s="1"/>
      <c r="ZR14" s="1"/>
      <c r="ZS14" s="1"/>
      <c r="ZT14" s="1"/>
      <c r="ZU14" s="1"/>
      <c r="ZV14" s="1"/>
      <c r="ZW14" s="1"/>
      <c r="ZX14" s="1"/>
      <c r="ZY14" s="1"/>
      <c r="ZZ14" s="1"/>
      <c r="AAA14" s="1"/>
      <c r="AAB14" s="1"/>
      <c r="AAC14" s="1"/>
      <c r="AAD14" s="1"/>
      <c r="AAE14" s="1"/>
      <c r="AAF14" s="1"/>
      <c r="AAG14" s="1"/>
      <c r="AAH14" s="1"/>
      <c r="AAI14" s="1"/>
      <c r="AAJ14" s="1"/>
      <c r="AAK14" s="1"/>
      <c r="AAL14" s="1"/>
      <c r="AAM14" s="1"/>
      <c r="AAN14" s="1"/>
      <c r="AAO14" s="1"/>
      <c r="AAP14" s="1"/>
      <c r="AAQ14" s="1"/>
      <c r="AAR14" s="1"/>
      <c r="AAS14" s="1"/>
      <c r="AAT14" s="1"/>
      <c r="AAU14" s="1"/>
      <c r="AAV14" s="1"/>
      <c r="AAW14" s="1"/>
      <c r="AAX14" s="1"/>
      <c r="AAY14" s="1"/>
      <c r="AAZ14" s="1"/>
      <c r="ABA14" s="1"/>
      <c r="ABB14" s="1"/>
      <c r="ABC14" s="1"/>
      <c r="ABD14" s="1"/>
      <c r="ABE14" s="1"/>
      <c r="ABF14" s="1"/>
      <c r="ABG14" s="1"/>
      <c r="ABH14" s="1"/>
      <c r="ABI14" s="1"/>
      <c r="ABJ14" s="1"/>
      <c r="ABK14" s="1"/>
      <c r="ABL14" s="1"/>
      <c r="ABM14" s="1"/>
      <c r="ABN14" s="1"/>
      <c r="ABO14" s="1"/>
      <c r="ABP14" s="1"/>
      <c r="ABQ14" s="1"/>
      <c r="ABR14" s="1"/>
      <c r="ABS14" s="1"/>
      <c r="ABT14" s="1"/>
      <c r="ABU14" s="1"/>
      <c r="ABV14" s="1"/>
      <c r="ABW14" s="1"/>
      <c r="ABX14" s="1"/>
      <c r="ABY14" s="1"/>
      <c r="ABZ14" s="1"/>
      <c r="ACA14" s="1"/>
      <c r="ACB14" s="1"/>
      <c r="ACC14" s="1"/>
      <c r="ACD14" s="1"/>
      <c r="ACE14" s="1"/>
      <c r="ACF14" s="1"/>
      <c r="ACG14" s="1"/>
      <c r="ACH14" s="1"/>
      <c r="ACI14" s="1"/>
      <c r="ACJ14" s="1"/>
      <c r="ACK14" s="1"/>
      <c r="ACL14" s="1"/>
      <c r="ACM14" s="1"/>
      <c r="ACN14" s="1"/>
      <c r="ACO14" s="1"/>
      <c r="ACP14" s="1"/>
      <c r="ACQ14" s="1"/>
      <c r="ACR14" s="1"/>
      <c r="ACS14" s="1"/>
      <c r="ACT14" s="1"/>
      <c r="ACU14" s="1"/>
      <c r="ACV14" s="1"/>
      <c r="ACW14" s="1"/>
      <c r="ACX14" s="1"/>
      <c r="ACY14" s="1"/>
      <c r="ACZ14" s="1"/>
      <c r="ADA14" s="1"/>
      <c r="ADB14" s="1"/>
      <c r="ADC14" s="1"/>
      <c r="ADD14" s="1"/>
      <c r="ADE14" s="1"/>
      <c r="ADF14" s="1"/>
      <c r="ADG14" s="1"/>
      <c r="ADH14" s="1"/>
      <c r="ADI14" s="1"/>
      <c r="ADJ14" s="1"/>
      <c r="ADK14" s="1"/>
      <c r="ADL14" s="1"/>
      <c r="ADM14" s="1"/>
      <c r="ADN14" s="1"/>
      <c r="ADO14" s="1"/>
      <c r="ADP14" s="1"/>
      <c r="ADQ14" s="1"/>
      <c r="ADR14" s="1"/>
      <c r="ADS14" s="1"/>
      <c r="ADT14" s="1"/>
      <c r="ADU14" s="1"/>
      <c r="ADV14" s="1"/>
      <c r="ADW14" s="1"/>
      <c r="ADX14" s="1"/>
      <c r="ADY14" s="1"/>
      <c r="ADZ14" s="1"/>
      <c r="AEA14" s="1"/>
      <c r="AEB14" s="1"/>
      <c r="AEC14" s="1"/>
      <c r="AED14" s="1"/>
      <c r="AEE14" s="1"/>
      <c r="AEF14" s="1"/>
      <c r="AEG14" s="1"/>
      <c r="AEH14" s="1"/>
      <c r="AEI14" s="1"/>
      <c r="AEJ14" s="1"/>
      <c r="AEK14" s="1"/>
      <c r="AEL14" s="1"/>
      <c r="AEM14" s="1"/>
      <c r="AEN14" s="1"/>
      <c r="AEO14" s="1"/>
      <c r="AEP14" s="1"/>
      <c r="AEQ14" s="1"/>
      <c r="AER14" s="1"/>
      <c r="AES14" s="1"/>
      <c r="AET14" s="1"/>
      <c r="AEU14" s="1"/>
      <c r="AEV14" s="1"/>
      <c r="AEW14" s="1"/>
      <c r="AEX14" s="1"/>
      <c r="AEY14" s="1"/>
      <c r="AEZ14" s="1"/>
      <c r="AFA14" s="1"/>
      <c r="AFB14" s="1"/>
      <c r="AFC14" s="1"/>
      <c r="AFD14" s="1"/>
      <c r="AFE14" s="1"/>
      <c r="AFF14" s="1"/>
      <c r="AFG14" s="1"/>
      <c r="AFH14" s="1"/>
      <c r="AFI14" s="1"/>
      <c r="AFJ14" s="1"/>
      <c r="AFK14" s="1"/>
      <c r="AFL14" s="1"/>
      <c r="AFM14" s="1"/>
      <c r="AFN14" s="1"/>
      <c r="AFO14" s="1"/>
      <c r="AFP14" s="1"/>
      <c r="AFQ14" s="1"/>
      <c r="AFR14" s="1"/>
      <c r="AFS14" s="1"/>
      <c r="AFT14" s="1"/>
      <c r="AFU14" s="1"/>
      <c r="AFV14" s="1"/>
      <c r="AFW14" s="1"/>
      <c r="AFX14" s="1"/>
      <c r="AFY14" s="1"/>
      <c r="AFZ14" s="1"/>
      <c r="AGA14" s="1"/>
      <c r="AGB14" s="1"/>
      <c r="AGC14" s="1"/>
      <c r="AGD14" s="1"/>
      <c r="AGE14" s="1"/>
      <c r="AGF14" s="1"/>
      <c r="AGG14" s="1"/>
      <c r="AGH14" s="1"/>
      <c r="AGI14" s="1"/>
      <c r="AGJ14" s="1"/>
      <c r="AGK14" s="1"/>
      <c r="AGL14" s="1"/>
      <c r="AGM14" s="1"/>
      <c r="AGN14" s="1"/>
      <c r="AGO14" s="1"/>
      <c r="AGP14" s="1"/>
      <c r="AGQ14" s="1"/>
      <c r="AGR14" s="1"/>
      <c r="AGS14" s="1"/>
      <c r="AGT14" s="1"/>
      <c r="AGU14" s="1"/>
      <c r="AGV14" s="1"/>
      <c r="AGW14" s="1"/>
      <c r="AGX14" s="1"/>
      <c r="AGY14" s="1"/>
      <c r="AGZ14" s="1"/>
      <c r="AHA14" s="1"/>
      <c r="AHB14" s="1"/>
      <c r="AHC14" s="1"/>
      <c r="AHD14" s="1"/>
      <c r="AHE14" s="1"/>
      <c r="AHF14" s="1"/>
      <c r="AHG14" s="1"/>
      <c r="AHH14" s="1"/>
      <c r="AHI14" s="1"/>
      <c r="AHJ14" s="1"/>
      <c r="AHK14" s="1"/>
      <c r="AHL14" s="1"/>
      <c r="AHM14" s="1"/>
      <c r="AHN14" s="1"/>
      <c r="AHO14" s="1"/>
      <c r="AHP14" s="1"/>
      <c r="AHQ14" s="1"/>
      <c r="AHR14" s="1"/>
      <c r="AHS14" s="1"/>
      <c r="AHT14" s="1"/>
      <c r="AHU14" s="1"/>
      <c r="AHV14" s="1"/>
      <c r="AHW14" s="1"/>
      <c r="AHX14" s="1"/>
      <c r="AHY14" s="1"/>
      <c r="AHZ14" s="1"/>
      <c r="AIA14" s="1"/>
      <c r="AIB14" s="1"/>
      <c r="AIC14" s="1"/>
      <c r="AID14" s="1"/>
      <c r="AIE14" s="1"/>
      <c r="AIF14" s="1"/>
      <c r="AIG14" s="1"/>
      <c r="AIH14" s="1"/>
      <c r="AII14" s="1"/>
      <c r="AIJ14" s="1"/>
      <c r="AIK14" s="1"/>
      <c r="AIL14" s="1"/>
      <c r="AIM14" s="1"/>
      <c r="AIN14" s="1"/>
      <c r="AIO14" s="1"/>
      <c r="AIP14" s="1"/>
      <c r="AIQ14" s="1"/>
      <c r="AIR14" s="1"/>
      <c r="AIS14" s="1"/>
      <c r="AIT14" s="1"/>
      <c r="AIU14" s="1"/>
      <c r="AIV14" s="1"/>
      <c r="AIW14" s="1"/>
      <c r="AIX14" s="1"/>
      <c r="AIY14" s="1"/>
      <c r="AIZ14" s="1"/>
      <c r="AJA14" s="1"/>
      <c r="AJB14" s="1"/>
      <c r="AJC14" s="1"/>
      <c r="AJD14" s="1"/>
      <c r="AJE14" s="1"/>
      <c r="AJF14" s="1"/>
      <c r="AJG14" s="1"/>
      <c r="AJH14" s="1"/>
      <c r="AJI14" s="1"/>
      <c r="AJJ14" s="1"/>
      <c r="AJK14" s="1"/>
      <c r="AJL14" s="1"/>
      <c r="AJM14" s="1"/>
      <c r="AJN14" s="1"/>
      <c r="AJO14" s="1"/>
      <c r="AJP14" s="1"/>
      <c r="AJQ14" s="1"/>
      <c r="AJR14" s="1"/>
      <c r="AJS14" s="1"/>
      <c r="AJT14" s="1"/>
      <c r="AJU14" s="1"/>
      <c r="AJV14" s="1"/>
      <c r="AJW14" s="1"/>
      <c r="AJX14" s="1"/>
      <c r="AJY14" s="1"/>
      <c r="AJZ14" s="1"/>
      <c r="AKA14" s="1"/>
      <c r="AKB14" s="1"/>
      <c r="AKC14" s="1"/>
      <c r="AKD14" s="1"/>
      <c r="AKE14" s="1"/>
      <c r="AKF14" s="1"/>
      <c r="AKG14" s="1"/>
      <c r="AKH14" s="1"/>
      <c r="AKI14" s="1"/>
      <c r="AKJ14" s="1"/>
      <c r="AKK14" s="1"/>
      <c r="AKL14" s="1"/>
      <c r="AKM14" s="1"/>
      <c r="AKN14" s="1"/>
      <c r="AKO14" s="1"/>
      <c r="AKP14" s="1"/>
      <c r="AKQ14" s="1"/>
      <c r="AKR14" s="1"/>
      <c r="AKS14" s="1"/>
      <c r="AKT14" s="1"/>
      <c r="AKU14" s="1"/>
      <c r="AKV14" s="1"/>
      <c r="AKW14" s="1"/>
      <c r="AKX14" s="1"/>
      <c r="AKY14" s="1"/>
      <c r="AKZ14" s="1"/>
      <c r="ALA14" s="1"/>
      <c r="ALB14" s="1"/>
      <c r="ALC14" s="1"/>
      <c r="ALD14" s="1"/>
      <c r="ALE14" s="1"/>
      <c r="ALF14" s="1"/>
      <c r="ALG14" s="1"/>
      <c r="ALH14" s="1"/>
      <c r="ALI14" s="1"/>
      <c r="ALJ14" s="1"/>
      <c r="ALK14" s="1"/>
      <c r="ALL14" s="1"/>
      <c r="ALM14" s="1"/>
      <c r="ALN14" s="1"/>
      <c r="ALO14" s="1"/>
      <c r="ALP14" s="1"/>
      <c r="ALQ14" s="1"/>
      <c r="ALR14" s="1"/>
      <c r="ALS14" s="1"/>
      <c r="ALT14" s="1"/>
      <c r="ALU14" s="1"/>
      <c r="ALV14" s="1"/>
      <c r="ALW14" s="1"/>
      <c r="ALX14" s="1"/>
      <c r="ALY14" s="1"/>
      <c r="ALZ14" s="1"/>
      <c r="AMA14" s="1"/>
      <c r="AMB14" s="1"/>
      <c r="AMC14" s="1"/>
      <c r="AMD14" s="1"/>
      <c r="AME14" s="1"/>
      <c r="AMF14" s="1"/>
      <c r="AMG14" s="1"/>
      <c r="AMH14" s="1"/>
      <c r="AMI14" s="1"/>
      <c r="AMJ14" s="1"/>
      <c r="AMK14" s="1"/>
      <c r="AML14" s="1"/>
      <c r="AMM14" s="1"/>
      <c r="AMN14" s="1"/>
    </row>
    <row r="15" spans="1:1028" x14ac:dyDescent="0.2">
      <c r="A15" s="3" t="str">
        <f t="shared" si="0"/>
        <v>aa2ar_human_3QAK</v>
      </c>
      <c r="B15" s="3" t="s">
        <v>139</v>
      </c>
      <c r="C15" s="3" t="s">
        <v>1034</v>
      </c>
      <c r="D15" s="3" t="str">
        <f>IFERROR(MID(VLOOKUP($B15,Seqs!$A:$B,2,0),E15,1),"")</f>
        <v>G</v>
      </c>
      <c r="E15" s="3">
        <v>5</v>
      </c>
      <c r="F15" s="3" t="str">
        <f>IFERROR(MID(VLOOKUP($B15,Seqs!$A:$B,2,0),G15,1),"")</f>
        <v>N</v>
      </c>
      <c r="G15" s="3">
        <v>34</v>
      </c>
      <c r="H15" s="3" t="str">
        <f>IFERROR(MID(VLOOKUP($B15,Seqs!$A:$B,2,0),I15,1),"")</f>
        <v>S</v>
      </c>
      <c r="I15" s="23">
        <v>35</v>
      </c>
      <c r="J15" s="3" t="str">
        <f>IFERROR(MID(VLOOKUP($B15,Seqs!$A:$B,2,0),K15,1),"")</f>
        <v>Q</v>
      </c>
      <c r="K15" s="23">
        <v>38</v>
      </c>
      <c r="L15" s="3" t="str">
        <f>IFERROR(MID(VLOOKUP($B15,Seqs!$A:$B,2,0),M15,1),"")</f>
        <v>N</v>
      </c>
      <c r="M15" s="3">
        <v>39</v>
      </c>
      <c r="N15" s="3" t="str">
        <f>IFERROR(MID(VLOOKUP($B15,Seqs!$A:$B,2,0),O15,1),"")</f>
        <v>G</v>
      </c>
      <c r="O15" s="3">
        <v>69</v>
      </c>
      <c r="P15" s="3" t="str">
        <f>IFERROR(MID(VLOOKUP($B15,Seqs!$A:$B,2,0),Q15,1),"")</f>
        <v>F</v>
      </c>
      <c r="Q15" s="3">
        <v>70</v>
      </c>
      <c r="R15" s="3" t="str">
        <f>IFERROR(MID(VLOOKUP($B15,Seqs!$A:$B,2,0),S15,1),"")</f>
        <v>A</v>
      </c>
      <c r="S15" s="3">
        <v>72</v>
      </c>
      <c r="T15" s="3" t="str">
        <f>IFERROR(MID(VLOOKUP($B15,Seqs!$A:$B,2,0),U15,1),"")</f>
        <v>A</v>
      </c>
      <c r="U15" s="3">
        <v>73</v>
      </c>
      <c r="V15" s="3" t="str">
        <f>IFERROR(MID(VLOOKUP($B15,Seqs!$A:$B,2,0),W15,1),"")</f>
        <v>I</v>
      </c>
      <c r="W15" s="3">
        <v>108</v>
      </c>
      <c r="X15" s="3" t="str">
        <f>IFERROR(MID(VLOOKUP($B15,Seqs!$A:$B,2,0),Y15,1),"")</f>
        <v>P</v>
      </c>
      <c r="Y15" s="3">
        <v>109</v>
      </c>
      <c r="Z15" s="3" t="str">
        <f>IFERROR(MID(VLOOKUP($B15,Seqs!$A:$B,2,0),AA15,1),"")</f>
        <v>V</v>
      </c>
      <c r="AA15" s="3">
        <v>116</v>
      </c>
      <c r="AB15" s="3" t="str">
        <f>IFERROR(MID(VLOOKUP($B15,Seqs!$A:$B,2,0),AC15,1),"")</f>
        <v>T</v>
      </c>
      <c r="AC15" s="9">
        <v>117</v>
      </c>
      <c r="AD15" s="3" t="str">
        <f>IFERROR(MID(VLOOKUP($B15,Seqs!$A:$B,2,0),AE15,1),"")</f>
        <v>G</v>
      </c>
      <c r="AE15" s="3">
        <v>142</v>
      </c>
      <c r="AF15" s="3" t="str">
        <f>IFERROR(MID(VLOOKUP($B15,Seqs!$A:$B,2,0),AG15,1),"")</f>
        <v>C</v>
      </c>
      <c r="AG15" s="3">
        <v>166</v>
      </c>
      <c r="AH15" s="3" t="str">
        <f>IFERROR(MID(VLOOKUP($B15,Seqs!$A:$B,2,0),AI15,1),"")</f>
        <v>F</v>
      </c>
      <c r="AI15" s="3">
        <v>168</v>
      </c>
      <c r="AJ15" s="3" t="str">
        <f>IFERROR(MID(VLOOKUP($B15,Seqs!$A:$B,2,0),AK15,1),"")</f>
        <v>P</v>
      </c>
      <c r="AK15" s="3">
        <v>173</v>
      </c>
      <c r="AL15" s="3" t="str">
        <f>IFERROR(MID(VLOOKUP($B15,Seqs!$A:$B,2,0),AM15,1),"")</f>
        <v>A</v>
      </c>
      <c r="AM15" s="3">
        <v>204</v>
      </c>
      <c r="AN15" s="3" t="str">
        <f>IFERROR(MID(VLOOKUP($B15,Seqs!$A:$B,2,0),AO15,1),"")</f>
        <v>Q</v>
      </c>
      <c r="AO15" s="3">
        <v>226</v>
      </c>
      <c r="AP15" s="3" t="str">
        <f>IFERROR(MID(VLOOKUP($B15,Seqs!$A:$B,2,0),AQ15,1),"")</f>
        <v>C</v>
      </c>
      <c r="AQ15" s="3">
        <v>259</v>
      </c>
      <c r="AR15" s="3" t="str">
        <f>IFERROR(MID(VLOOKUP($B15,Seqs!$A:$B,2,0),AS15,1),"")</f>
        <v>P</v>
      </c>
      <c r="AS15" s="3">
        <v>266</v>
      </c>
      <c r="AT15" s="3" t="str">
        <f>IFERROR(MID(VLOOKUP($B15,Seqs!$A:$B,2,0),AU15,1),"")</f>
        <v>R</v>
      </c>
      <c r="AU15" s="3">
        <v>291</v>
      </c>
      <c r="AV15" s="3" t="str">
        <f>IFERROR(MID(VLOOKUP($B15,Seqs!$A:$B,2,0),AW15,1),"")</f>
        <v>I</v>
      </c>
      <c r="AW15" s="3">
        <v>292</v>
      </c>
      <c r="AX15" s="3" t="str">
        <f>IFERROR(MID(VLOOKUP($B15,Seqs!$A:$B,2,0),AY15,1),"")</f>
        <v>L</v>
      </c>
      <c r="AY15" s="3">
        <v>308</v>
      </c>
      <c r="AZ15" s="79" t="str">
        <f>VLOOKUP(B15,Classification!A:D,2,0)</f>
        <v>A</v>
      </c>
      <c r="BA15" s="97" t="str">
        <f>VLOOKUP(B15,Classification!A:D,4,0)</f>
        <v>Adenosine</v>
      </c>
      <c r="BB15" s="27" t="b">
        <f t="shared" si="1"/>
        <v>1</v>
      </c>
      <c r="BC15" s="23">
        <f t="shared" si="2"/>
        <v>250</v>
      </c>
      <c r="BD15" s="4" t="s">
        <v>23</v>
      </c>
      <c r="BE15" s="3" t="s">
        <v>1381</v>
      </c>
      <c r="BF15" s="50" t="s">
        <v>1384</v>
      </c>
      <c r="BG15" s="50" t="s">
        <v>1384</v>
      </c>
      <c r="BH15" s="1"/>
      <c r="BI15" s="72" t="s">
        <v>1293</v>
      </c>
      <c r="BJ15" s="58" t="s">
        <v>1293</v>
      </c>
      <c r="BK15" s="58" t="s">
        <v>1293</v>
      </c>
      <c r="BL15" s="58" t="s">
        <v>1293</v>
      </c>
      <c r="BM15" s="58" t="s">
        <v>1293</v>
      </c>
      <c r="BN15" s="58" t="s">
        <v>1293</v>
      </c>
      <c r="BO15" s="58" t="s">
        <v>1293</v>
      </c>
      <c r="BP15" s="58" t="s">
        <v>1293</v>
      </c>
      <c r="BQ15" s="58" t="s">
        <v>1293</v>
      </c>
      <c r="BR15" s="58" t="s">
        <v>1293</v>
      </c>
      <c r="BS15" s="58" t="s">
        <v>1293</v>
      </c>
      <c r="BT15" s="58" t="s">
        <v>1293</v>
      </c>
      <c r="BU15" s="72">
        <f t="shared" si="3"/>
        <v>5</v>
      </c>
      <c r="BV15" s="73">
        <f t="shared" si="4"/>
        <v>35</v>
      </c>
      <c r="BW15" s="74">
        <f t="shared" si="5"/>
        <v>39</v>
      </c>
      <c r="BX15" s="73">
        <f t="shared" si="6"/>
        <v>70</v>
      </c>
      <c r="BY15" s="74">
        <f t="shared" si="7"/>
        <v>73</v>
      </c>
      <c r="BZ15" s="73">
        <f t="shared" si="8"/>
        <v>109</v>
      </c>
      <c r="CA15" s="74">
        <f t="shared" si="9"/>
        <v>117</v>
      </c>
      <c r="CB15" s="73">
        <f t="shared" si="10"/>
        <v>166</v>
      </c>
      <c r="CC15" s="74">
        <f t="shared" si="11"/>
        <v>173</v>
      </c>
      <c r="CD15" s="73">
        <f t="shared" si="12"/>
        <v>226</v>
      </c>
      <c r="CE15" s="74">
        <f t="shared" si="13"/>
        <v>266</v>
      </c>
      <c r="CF15" s="73">
        <f t="shared" si="14"/>
        <v>292</v>
      </c>
      <c r="CG15" s="72">
        <f t="shared" si="15"/>
        <v>34</v>
      </c>
      <c r="CH15" s="73">
        <f t="shared" si="16"/>
        <v>38</v>
      </c>
      <c r="CI15" s="74">
        <f t="shared" si="17"/>
        <v>69</v>
      </c>
      <c r="CJ15" s="74">
        <f t="shared" si="18"/>
        <v>72</v>
      </c>
      <c r="CK15" s="74">
        <f t="shared" si="19"/>
        <v>108</v>
      </c>
      <c r="CL15" s="74">
        <f t="shared" si="20"/>
        <v>116</v>
      </c>
      <c r="CM15" s="74">
        <f t="shared" si="21"/>
        <v>142</v>
      </c>
      <c r="CN15" s="74">
        <f t="shared" si="22"/>
        <v>168</v>
      </c>
      <c r="CO15" s="74">
        <f t="shared" si="23"/>
        <v>204</v>
      </c>
      <c r="CP15" s="74">
        <f t="shared" si="24"/>
        <v>259</v>
      </c>
      <c r="CQ15" s="74">
        <f t="shared" si="25"/>
        <v>291</v>
      </c>
      <c r="CR15" s="74">
        <f t="shared" si="26"/>
        <v>308</v>
      </c>
      <c r="CS15" s="23">
        <f t="shared" si="27"/>
        <v>1</v>
      </c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  <c r="OK15" s="1"/>
      <c r="OL15" s="1"/>
      <c r="OM15" s="1"/>
      <c r="ON15" s="1"/>
      <c r="OO15" s="1"/>
      <c r="OP15" s="1"/>
      <c r="OQ15" s="1"/>
      <c r="OR15" s="1"/>
      <c r="OS15" s="1"/>
      <c r="OT15" s="1"/>
      <c r="OU15" s="1"/>
      <c r="OV15" s="1"/>
      <c r="OW15" s="1"/>
      <c r="OX15" s="1"/>
      <c r="OY15" s="1"/>
      <c r="OZ15" s="1"/>
      <c r="PA15" s="1"/>
      <c r="PB15" s="1"/>
      <c r="PC15" s="1"/>
      <c r="PD15" s="1"/>
      <c r="PE15" s="1"/>
      <c r="PF15" s="1"/>
      <c r="PG15" s="1"/>
      <c r="PH15" s="1"/>
      <c r="PI15" s="1"/>
      <c r="PJ15" s="1"/>
      <c r="PK15" s="1"/>
      <c r="PL15" s="1"/>
      <c r="PM15" s="1"/>
      <c r="PN15" s="1"/>
      <c r="PO15" s="1"/>
      <c r="PP15" s="1"/>
      <c r="PQ15" s="1"/>
      <c r="PR15" s="1"/>
      <c r="PS15" s="1"/>
      <c r="PT15" s="1"/>
      <c r="PU15" s="1"/>
      <c r="PV15" s="1"/>
      <c r="PW15" s="1"/>
      <c r="PX15" s="1"/>
      <c r="PY15" s="1"/>
      <c r="PZ15" s="1"/>
      <c r="QA15" s="1"/>
      <c r="QB15" s="1"/>
      <c r="QC15" s="1"/>
      <c r="QD15" s="1"/>
      <c r="QE15" s="1"/>
      <c r="QF15" s="1"/>
      <c r="QG15" s="1"/>
      <c r="QH15" s="1"/>
      <c r="QI15" s="1"/>
      <c r="QJ15" s="1"/>
      <c r="QK15" s="1"/>
      <c r="QL15" s="1"/>
      <c r="QM15" s="1"/>
      <c r="QN15" s="1"/>
      <c r="QO15" s="1"/>
      <c r="QP15" s="1"/>
      <c r="QQ15" s="1"/>
      <c r="QR15" s="1"/>
      <c r="QS15" s="1"/>
      <c r="QT15" s="1"/>
      <c r="QU15" s="1"/>
      <c r="QV15" s="1"/>
      <c r="QW15" s="1"/>
      <c r="QX15" s="1"/>
      <c r="QY15" s="1"/>
      <c r="QZ15" s="1"/>
      <c r="RA15" s="1"/>
      <c r="RB15" s="1"/>
      <c r="RC15" s="1"/>
      <c r="RD15" s="1"/>
      <c r="RE15" s="1"/>
      <c r="RF15" s="1"/>
      <c r="RG15" s="1"/>
      <c r="RH15" s="1"/>
      <c r="RI15" s="1"/>
      <c r="RJ15" s="1"/>
      <c r="RK15" s="1"/>
      <c r="RL15" s="1"/>
      <c r="RM15" s="1"/>
      <c r="RN15" s="1"/>
      <c r="RO15" s="1"/>
      <c r="RP15" s="1"/>
      <c r="RQ15" s="1"/>
      <c r="RR15" s="1"/>
      <c r="RS15" s="1"/>
      <c r="RT15" s="1"/>
      <c r="RU15" s="1"/>
      <c r="RV15" s="1"/>
      <c r="RW15" s="1"/>
      <c r="RX15" s="1"/>
      <c r="RY15" s="1"/>
      <c r="RZ15" s="1"/>
      <c r="SA15" s="1"/>
      <c r="SB15" s="1"/>
      <c r="SC15" s="1"/>
      <c r="SD15" s="1"/>
      <c r="SE15" s="1"/>
      <c r="SF15" s="1"/>
      <c r="SG15" s="1"/>
      <c r="SH15" s="1"/>
      <c r="SI15" s="1"/>
      <c r="SJ15" s="1"/>
      <c r="SK15" s="1"/>
      <c r="SL15" s="1"/>
      <c r="SM15" s="1"/>
      <c r="SN15" s="1"/>
      <c r="SO15" s="1"/>
      <c r="SP15" s="1"/>
      <c r="SQ15" s="1"/>
      <c r="SR15" s="1"/>
      <c r="SS15" s="1"/>
      <c r="ST15" s="1"/>
      <c r="SU15" s="1"/>
      <c r="SV15" s="1"/>
      <c r="SW15" s="1"/>
      <c r="SX15" s="1"/>
      <c r="SY15" s="1"/>
      <c r="SZ15" s="1"/>
      <c r="TA15" s="1"/>
      <c r="TB15" s="1"/>
      <c r="TC15" s="1"/>
      <c r="TD15" s="1"/>
      <c r="TE15" s="1"/>
      <c r="TF15" s="1"/>
      <c r="TG15" s="1"/>
      <c r="TH15" s="1"/>
      <c r="TI15" s="1"/>
      <c r="TJ15" s="1"/>
      <c r="TK15" s="1"/>
      <c r="TL15" s="1"/>
      <c r="TM15" s="1"/>
      <c r="TN15" s="1"/>
      <c r="TO15" s="1"/>
      <c r="TP15" s="1"/>
      <c r="TQ15" s="1"/>
      <c r="TR15" s="1"/>
      <c r="TS15" s="1"/>
      <c r="TT15" s="1"/>
      <c r="TU15" s="1"/>
      <c r="TV15" s="1"/>
      <c r="TW15" s="1"/>
      <c r="TX15" s="1"/>
      <c r="TY15" s="1"/>
      <c r="TZ15" s="1"/>
      <c r="UA15" s="1"/>
      <c r="UB15" s="1"/>
      <c r="UC15" s="1"/>
      <c r="UD15" s="1"/>
      <c r="UE15" s="1"/>
      <c r="UF15" s="1"/>
      <c r="UG15" s="1"/>
      <c r="UH15" s="1"/>
      <c r="UI15" s="1"/>
      <c r="UJ15" s="1"/>
      <c r="UK15" s="1"/>
      <c r="UL15" s="1"/>
      <c r="UM15" s="1"/>
      <c r="UN15" s="1"/>
      <c r="UO15" s="1"/>
      <c r="UP15" s="1"/>
      <c r="UQ15" s="1"/>
      <c r="UR15" s="1"/>
      <c r="US15" s="1"/>
      <c r="UT15" s="1"/>
      <c r="UU15" s="1"/>
      <c r="UV15" s="1"/>
      <c r="UW15" s="1"/>
      <c r="UX15" s="1"/>
      <c r="UY15" s="1"/>
      <c r="UZ15" s="1"/>
      <c r="VA15" s="1"/>
      <c r="VB15" s="1"/>
      <c r="VC15" s="1"/>
      <c r="VD15" s="1"/>
      <c r="VE15" s="1"/>
      <c r="VF15" s="1"/>
      <c r="VG15" s="1"/>
      <c r="VH15" s="1"/>
      <c r="VI15" s="1"/>
      <c r="VJ15" s="1"/>
      <c r="VK15" s="1"/>
      <c r="VL15" s="1"/>
      <c r="VM15" s="1"/>
      <c r="VN15" s="1"/>
      <c r="VO15" s="1"/>
      <c r="VP15" s="1"/>
      <c r="VQ15" s="1"/>
      <c r="VR15" s="1"/>
      <c r="VS15" s="1"/>
      <c r="VT15" s="1"/>
      <c r="VU15" s="1"/>
      <c r="VV15" s="1"/>
      <c r="VW15" s="1"/>
      <c r="VX15" s="1"/>
      <c r="VY15" s="1"/>
      <c r="VZ15" s="1"/>
      <c r="WA15" s="1"/>
      <c r="WB15" s="1"/>
      <c r="WC15" s="1"/>
      <c r="WD15" s="1"/>
      <c r="WE15" s="1"/>
      <c r="WF15" s="1"/>
      <c r="WG15" s="1"/>
      <c r="WH15" s="1"/>
      <c r="WI15" s="1"/>
      <c r="WJ15" s="1"/>
      <c r="WK15" s="1"/>
      <c r="WL15" s="1"/>
      <c r="WM15" s="1"/>
      <c r="WN15" s="1"/>
      <c r="WO15" s="1"/>
      <c r="WP15" s="1"/>
      <c r="WQ15" s="1"/>
      <c r="WR15" s="1"/>
      <c r="WS15" s="1"/>
      <c r="WT15" s="1"/>
      <c r="WU15" s="1"/>
      <c r="WV15" s="1"/>
      <c r="WW15" s="1"/>
      <c r="WX15" s="1"/>
      <c r="WY15" s="1"/>
      <c r="WZ15" s="1"/>
      <c r="XA15" s="1"/>
      <c r="XB15" s="1"/>
      <c r="XC15" s="1"/>
      <c r="XD15" s="1"/>
      <c r="XE15" s="1"/>
      <c r="XF15" s="1"/>
      <c r="XG15" s="1"/>
      <c r="XH15" s="1"/>
      <c r="XI15" s="1"/>
      <c r="XJ15" s="1"/>
      <c r="XK15" s="1"/>
      <c r="XL15" s="1"/>
      <c r="XM15" s="1"/>
      <c r="XN15" s="1"/>
      <c r="XO15" s="1"/>
      <c r="XP15" s="1"/>
      <c r="XQ15" s="1"/>
      <c r="XR15" s="1"/>
      <c r="XS15" s="1"/>
      <c r="XT15" s="1"/>
      <c r="XU15" s="1"/>
      <c r="XV15" s="1"/>
      <c r="XW15" s="1"/>
      <c r="XX15" s="1"/>
      <c r="XY15" s="1"/>
      <c r="XZ15" s="1"/>
      <c r="YA15" s="1"/>
      <c r="YB15" s="1"/>
      <c r="YC15" s="1"/>
      <c r="YD15" s="1"/>
      <c r="YE15" s="1"/>
      <c r="YF15" s="1"/>
      <c r="YG15" s="1"/>
      <c r="YH15" s="1"/>
      <c r="YI15" s="1"/>
      <c r="YJ15" s="1"/>
      <c r="YK15" s="1"/>
      <c r="YL15" s="1"/>
      <c r="YM15" s="1"/>
      <c r="YN15" s="1"/>
      <c r="YO15" s="1"/>
      <c r="YP15" s="1"/>
      <c r="YQ15" s="1"/>
      <c r="YR15" s="1"/>
      <c r="YS15" s="1"/>
      <c r="YT15" s="1"/>
      <c r="YU15" s="1"/>
      <c r="YV15" s="1"/>
      <c r="YW15" s="1"/>
      <c r="YX15" s="1"/>
      <c r="YY15" s="1"/>
      <c r="YZ15" s="1"/>
      <c r="ZA15" s="1"/>
      <c r="ZB15" s="1"/>
      <c r="ZC15" s="1"/>
      <c r="ZD15" s="1"/>
      <c r="ZE15" s="1"/>
      <c r="ZF15" s="1"/>
      <c r="ZG15" s="1"/>
      <c r="ZH15" s="1"/>
      <c r="ZI15" s="1"/>
      <c r="ZJ15" s="1"/>
      <c r="ZK15" s="1"/>
      <c r="ZL15" s="1"/>
      <c r="ZM15" s="1"/>
      <c r="ZN15" s="1"/>
      <c r="ZO15" s="1"/>
      <c r="ZP15" s="1"/>
      <c r="ZQ15" s="1"/>
      <c r="ZR15" s="1"/>
      <c r="ZS15" s="1"/>
      <c r="ZT15" s="1"/>
      <c r="ZU15" s="1"/>
      <c r="ZV15" s="1"/>
      <c r="ZW15" s="1"/>
      <c r="ZX15" s="1"/>
      <c r="ZY15" s="1"/>
      <c r="ZZ15" s="1"/>
      <c r="AAA15" s="1"/>
      <c r="AAB15" s="1"/>
      <c r="AAC15" s="1"/>
      <c r="AAD15" s="1"/>
      <c r="AAE15" s="1"/>
      <c r="AAF15" s="1"/>
      <c r="AAG15" s="1"/>
      <c r="AAH15" s="1"/>
      <c r="AAI15" s="1"/>
      <c r="AAJ15" s="1"/>
      <c r="AAK15" s="1"/>
      <c r="AAL15" s="1"/>
      <c r="AAM15" s="1"/>
      <c r="AAN15" s="1"/>
      <c r="AAO15" s="1"/>
      <c r="AAP15" s="1"/>
      <c r="AAQ15" s="1"/>
      <c r="AAR15" s="1"/>
      <c r="AAS15" s="1"/>
      <c r="AAT15" s="1"/>
      <c r="AAU15" s="1"/>
      <c r="AAV15" s="1"/>
      <c r="AAW15" s="1"/>
      <c r="AAX15" s="1"/>
      <c r="AAY15" s="1"/>
      <c r="AAZ15" s="1"/>
      <c r="ABA15" s="1"/>
      <c r="ABB15" s="1"/>
      <c r="ABC15" s="1"/>
      <c r="ABD15" s="1"/>
      <c r="ABE15" s="1"/>
      <c r="ABF15" s="1"/>
      <c r="ABG15" s="1"/>
      <c r="ABH15" s="1"/>
      <c r="ABI15" s="1"/>
      <c r="ABJ15" s="1"/>
      <c r="ABK15" s="1"/>
      <c r="ABL15" s="1"/>
      <c r="ABM15" s="1"/>
      <c r="ABN15" s="1"/>
      <c r="ABO15" s="1"/>
      <c r="ABP15" s="1"/>
      <c r="ABQ15" s="1"/>
      <c r="ABR15" s="1"/>
      <c r="ABS15" s="1"/>
      <c r="ABT15" s="1"/>
      <c r="ABU15" s="1"/>
      <c r="ABV15" s="1"/>
      <c r="ABW15" s="1"/>
      <c r="ABX15" s="1"/>
      <c r="ABY15" s="1"/>
      <c r="ABZ15" s="1"/>
      <c r="ACA15" s="1"/>
      <c r="ACB15" s="1"/>
      <c r="ACC15" s="1"/>
      <c r="ACD15" s="1"/>
      <c r="ACE15" s="1"/>
      <c r="ACF15" s="1"/>
      <c r="ACG15" s="1"/>
      <c r="ACH15" s="1"/>
      <c r="ACI15" s="1"/>
      <c r="ACJ15" s="1"/>
      <c r="ACK15" s="1"/>
      <c r="ACL15" s="1"/>
      <c r="ACM15" s="1"/>
      <c r="ACN15" s="1"/>
      <c r="ACO15" s="1"/>
      <c r="ACP15" s="1"/>
      <c r="ACQ15" s="1"/>
      <c r="ACR15" s="1"/>
      <c r="ACS15" s="1"/>
      <c r="ACT15" s="1"/>
      <c r="ACU15" s="1"/>
      <c r="ACV15" s="1"/>
      <c r="ACW15" s="1"/>
      <c r="ACX15" s="1"/>
      <c r="ACY15" s="1"/>
      <c r="ACZ15" s="1"/>
      <c r="ADA15" s="1"/>
      <c r="ADB15" s="1"/>
      <c r="ADC15" s="1"/>
      <c r="ADD15" s="1"/>
      <c r="ADE15" s="1"/>
      <c r="ADF15" s="1"/>
      <c r="ADG15" s="1"/>
      <c r="ADH15" s="1"/>
      <c r="ADI15" s="1"/>
      <c r="ADJ15" s="1"/>
      <c r="ADK15" s="1"/>
      <c r="ADL15" s="1"/>
      <c r="ADM15" s="1"/>
      <c r="ADN15" s="1"/>
      <c r="ADO15" s="1"/>
      <c r="ADP15" s="1"/>
      <c r="ADQ15" s="1"/>
      <c r="ADR15" s="1"/>
      <c r="ADS15" s="1"/>
      <c r="ADT15" s="1"/>
      <c r="ADU15" s="1"/>
      <c r="ADV15" s="1"/>
      <c r="ADW15" s="1"/>
      <c r="ADX15" s="1"/>
      <c r="ADY15" s="1"/>
      <c r="ADZ15" s="1"/>
      <c r="AEA15" s="1"/>
      <c r="AEB15" s="1"/>
      <c r="AEC15" s="1"/>
      <c r="AED15" s="1"/>
      <c r="AEE15" s="1"/>
      <c r="AEF15" s="1"/>
      <c r="AEG15" s="1"/>
      <c r="AEH15" s="1"/>
      <c r="AEI15" s="1"/>
      <c r="AEJ15" s="1"/>
      <c r="AEK15" s="1"/>
      <c r="AEL15" s="1"/>
      <c r="AEM15" s="1"/>
      <c r="AEN15" s="1"/>
      <c r="AEO15" s="1"/>
      <c r="AEP15" s="1"/>
      <c r="AEQ15" s="1"/>
      <c r="AER15" s="1"/>
      <c r="AES15" s="1"/>
      <c r="AET15" s="1"/>
      <c r="AEU15" s="1"/>
      <c r="AEV15" s="1"/>
      <c r="AEW15" s="1"/>
      <c r="AEX15" s="1"/>
      <c r="AEY15" s="1"/>
      <c r="AEZ15" s="1"/>
      <c r="AFA15" s="1"/>
      <c r="AFB15" s="1"/>
      <c r="AFC15" s="1"/>
      <c r="AFD15" s="1"/>
      <c r="AFE15" s="1"/>
      <c r="AFF15" s="1"/>
      <c r="AFG15" s="1"/>
      <c r="AFH15" s="1"/>
      <c r="AFI15" s="1"/>
      <c r="AFJ15" s="1"/>
      <c r="AFK15" s="1"/>
      <c r="AFL15" s="1"/>
      <c r="AFM15" s="1"/>
      <c r="AFN15" s="1"/>
      <c r="AFO15" s="1"/>
      <c r="AFP15" s="1"/>
      <c r="AFQ15" s="1"/>
      <c r="AFR15" s="1"/>
      <c r="AFS15" s="1"/>
      <c r="AFT15" s="1"/>
      <c r="AFU15" s="1"/>
      <c r="AFV15" s="1"/>
      <c r="AFW15" s="1"/>
      <c r="AFX15" s="1"/>
      <c r="AFY15" s="1"/>
      <c r="AFZ15" s="1"/>
      <c r="AGA15" s="1"/>
      <c r="AGB15" s="1"/>
      <c r="AGC15" s="1"/>
      <c r="AGD15" s="1"/>
      <c r="AGE15" s="1"/>
      <c r="AGF15" s="1"/>
      <c r="AGG15" s="1"/>
      <c r="AGH15" s="1"/>
      <c r="AGI15" s="1"/>
      <c r="AGJ15" s="1"/>
      <c r="AGK15" s="1"/>
      <c r="AGL15" s="1"/>
      <c r="AGM15" s="1"/>
      <c r="AGN15" s="1"/>
      <c r="AGO15" s="1"/>
      <c r="AGP15" s="1"/>
      <c r="AGQ15" s="1"/>
      <c r="AGR15" s="1"/>
      <c r="AGS15" s="1"/>
      <c r="AGT15" s="1"/>
      <c r="AGU15" s="1"/>
      <c r="AGV15" s="1"/>
      <c r="AGW15" s="1"/>
      <c r="AGX15" s="1"/>
      <c r="AGY15" s="1"/>
      <c r="AGZ15" s="1"/>
      <c r="AHA15" s="1"/>
      <c r="AHB15" s="1"/>
      <c r="AHC15" s="1"/>
      <c r="AHD15" s="1"/>
      <c r="AHE15" s="1"/>
      <c r="AHF15" s="1"/>
      <c r="AHG15" s="1"/>
      <c r="AHH15" s="1"/>
      <c r="AHI15" s="1"/>
      <c r="AHJ15" s="1"/>
      <c r="AHK15" s="1"/>
      <c r="AHL15" s="1"/>
      <c r="AHM15" s="1"/>
      <c r="AHN15" s="1"/>
      <c r="AHO15" s="1"/>
      <c r="AHP15" s="1"/>
      <c r="AHQ15" s="1"/>
      <c r="AHR15" s="1"/>
      <c r="AHS15" s="1"/>
      <c r="AHT15" s="1"/>
      <c r="AHU15" s="1"/>
      <c r="AHV15" s="1"/>
      <c r="AHW15" s="1"/>
      <c r="AHX15" s="1"/>
      <c r="AHY15" s="1"/>
      <c r="AHZ15" s="1"/>
      <c r="AIA15" s="1"/>
      <c r="AIB15" s="1"/>
      <c r="AIC15" s="1"/>
      <c r="AID15" s="1"/>
      <c r="AIE15" s="1"/>
      <c r="AIF15" s="1"/>
      <c r="AIG15" s="1"/>
      <c r="AIH15" s="1"/>
      <c r="AII15" s="1"/>
      <c r="AIJ15" s="1"/>
      <c r="AIK15" s="1"/>
      <c r="AIL15" s="1"/>
      <c r="AIM15" s="1"/>
      <c r="AIN15" s="1"/>
      <c r="AIO15" s="1"/>
      <c r="AIP15" s="1"/>
      <c r="AIQ15" s="1"/>
      <c r="AIR15" s="1"/>
      <c r="AIS15" s="1"/>
      <c r="AIT15" s="1"/>
      <c r="AIU15" s="1"/>
      <c r="AIV15" s="1"/>
      <c r="AIW15" s="1"/>
      <c r="AIX15" s="1"/>
      <c r="AIY15" s="1"/>
      <c r="AIZ15" s="1"/>
      <c r="AJA15" s="1"/>
      <c r="AJB15" s="1"/>
      <c r="AJC15" s="1"/>
      <c r="AJD15" s="1"/>
      <c r="AJE15" s="1"/>
      <c r="AJF15" s="1"/>
      <c r="AJG15" s="1"/>
      <c r="AJH15" s="1"/>
      <c r="AJI15" s="1"/>
      <c r="AJJ15" s="1"/>
      <c r="AJK15" s="1"/>
      <c r="AJL15" s="1"/>
      <c r="AJM15" s="1"/>
      <c r="AJN15" s="1"/>
      <c r="AJO15" s="1"/>
      <c r="AJP15" s="1"/>
      <c r="AJQ15" s="1"/>
      <c r="AJR15" s="1"/>
      <c r="AJS15" s="1"/>
      <c r="AJT15" s="1"/>
      <c r="AJU15" s="1"/>
      <c r="AJV15" s="1"/>
      <c r="AJW15" s="1"/>
      <c r="AJX15" s="1"/>
      <c r="AJY15" s="1"/>
      <c r="AJZ15" s="1"/>
      <c r="AKA15" s="1"/>
      <c r="AKB15" s="1"/>
      <c r="AKC15" s="1"/>
      <c r="AKD15" s="1"/>
      <c r="AKE15" s="1"/>
      <c r="AKF15" s="1"/>
      <c r="AKG15" s="1"/>
      <c r="AKH15" s="1"/>
      <c r="AKI15" s="1"/>
      <c r="AKJ15" s="1"/>
      <c r="AKK15" s="1"/>
      <c r="AKL15" s="1"/>
      <c r="AKM15" s="1"/>
      <c r="AKN15" s="1"/>
      <c r="AKO15" s="1"/>
      <c r="AKP15" s="1"/>
      <c r="AKQ15" s="1"/>
      <c r="AKR15" s="1"/>
      <c r="AKS15" s="1"/>
      <c r="AKT15" s="1"/>
      <c r="AKU15" s="1"/>
      <c r="AKV15" s="1"/>
      <c r="AKW15" s="1"/>
      <c r="AKX15" s="1"/>
      <c r="AKY15" s="1"/>
      <c r="AKZ15" s="1"/>
      <c r="ALA15" s="1"/>
      <c r="ALB15" s="1"/>
      <c r="ALC15" s="1"/>
      <c r="ALD15" s="1"/>
      <c r="ALE15" s="1"/>
      <c r="ALF15" s="1"/>
      <c r="ALG15" s="1"/>
      <c r="ALH15" s="1"/>
      <c r="ALI15" s="1"/>
      <c r="ALJ15" s="1"/>
      <c r="ALK15" s="1"/>
      <c r="ALL15" s="1"/>
      <c r="ALM15" s="1"/>
      <c r="ALN15" s="1"/>
      <c r="ALO15" s="1"/>
      <c r="ALP15" s="1"/>
      <c r="ALQ15" s="1"/>
      <c r="ALR15" s="1"/>
      <c r="ALS15" s="1"/>
      <c r="ALT15" s="1"/>
      <c r="ALU15" s="1"/>
      <c r="ALV15" s="1"/>
      <c r="ALW15" s="1"/>
      <c r="ALX15" s="1"/>
      <c r="ALY15" s="1"/>
      <c r="ALZ15" s="1"/>
      <c r="AMA15" s="1"/>
      <c r="AMB15" s="1"/>
      <c r="AMC15" s="1"/>
      <c r="AMD15" s="1"/>
      <c r="AME15" s="1"/>
      <c r="AMF15" s="1"/>
      <c r="AMG15" s="1"/>
      <c r="AMH15" s="1"/>
      <c r="AMI15" s="1"/>
      <c r="AMJ15" s="1"/>
      <c r="AMK15" s="1"/>
      <c r="AML15" s="1"/>
      <c r="AMM15" s="1"/>
      <c r="AMN15" s="1"/>
    </row>
    <row r="16" spans="1:1028" x14ac:dyDescent="0.2">
      <c r="A16" s="3" t="str">
        <f t="shared" si="0"/>
        <v>aa2ar_human_3REY</v>
      </c>
      <c r="B16" s="3" t="s">
        <v>139</v>
      </c>
      <c r="C16" s="3" t="s">
        <v>83</v>
      </c>
      <c r="D16" s="3" t="str">
        <f>IFERROR(MID(VLOOKUP($B16,Seqs!$A:$B,2,0),E16,1),"")</f>
        <v>S</v>
      </c>
      <c r="E16" s="3">
        <v>7</v>
      </c>
      <c r="F16" s="3" t="str">
        <f>IFERROR(MID(VLOOKUP($B16,Seqs!$A:$B,2,0),G16,1),"")</f>
        <v>N</v>
      </c>
      <c r="G16" s="3">
        <v>34</v>
      </c>
      <c r="H16" s="3" t="str">
        <f>IFERROR(MID(VLOOKUP($B16,Seqs!$A:$B,2,0),I16,1),"")</f>
        <v>S</v>
      </c>
      <c r="I16" s="23">
        <v>35</v>
      </c>
      <c r="J16" s="3" t="str">
        <f>IFERROR(MID(VLOOKUP($B16,Seqs!$A:$B,2,0),K16,1),"")</f>
        <v>Q</v>
      </c>
      <c r="K16" s="23">
        <v>38</v>
      </c>
      <c r="L16" s="3" t="str">
        <f>IFERROR(MID(VLOOKUP($B16,Seqs!$A:$B,2,0),M16,1),"")</f>
        <v>N</v>
      </c>
      <c r="M16" s="3">
        <v>39</v>
      </c>
      <c r="N16" s="3" t="str">
        <f>IFERROR(MID(VLOOKUP($B16,Seqs!$A:$B,2,0),O16,1),"")</f>
        <v>G</v>
      </c>
      <c r="O16" s="3">
        <v>69</v>
      </c>
      <c r="P16" s="3" t="str">
        <f>IFERROR(MID(VLOOKUP($B16,Seqs!$A:$B,2,0),Q16,1),"")</f>
        <v>F</v>
      </c>
      <c r="Q16" s="3">
        <v>70</v>
      </c>
      <c r="R16" s="3" t="str">
        <f>IFERROR(MID(VLOOKUP($B16,Seqs!$A:$B,2,0),S16,1),"")</f>
        <v>A</v>
      </c>
      <c r="S16" s="3">
        <v>72</v>
      </c>
      <c r="T16" s="3" t="str">
        <f>IFERROR(MID(VLOOKUP($B16,Seqs!$A:$B,2,0),U16,1),"")</f>
        <v>A</v>
      </c>
      <c r="U16" s="3">
        <v>73</v>
      </c>
      <c r="V16" s="3" t="str">
        <f>IFERROR(MID(VLOOKUP($B16,Seqs!$A:$B,2,0),W16,1),"")</f>
        <v>I</v>
      </c>
      <c r="W16" s="3">
        <v>108</v>
      </c>
      <c r="X16" s="3" t="str">
        <f>IFERROR(MID(VLOOKUP($B16,Seqs!$A:$B,2,0),Y16,1),"")</f>
        <v>P</v>
      </c>
      <c r="Y16" s="3">
        <v>109</v>
      </c>
      <c r="Z16" s="3" t="str">
        <f>IFERROR(MID(VLOOKUP($B16,Seqs!$A:$B,2,0),AA16,1),"")</f>
        <v>V</v>
      </c>
      <c r="AA16" s="3">
        <v>116</v>
      </c>
      <c r="AB16" s="3" t="str">
        <f>IFERROR(MID(VLOOKUP($B16,Seqs!$A:$B,2,0),AC16,1),"")</f>
        <v>T</v>
      </c>
      <c r="AC16" s="9">
        <v>117</v>
      </c>
      <c r="AD16" s="3" t="str">
        <f>IFERROR(MID(VLOOKUP($B16,Seqs!$A:$B,2,0),AE16,1),"")</f>
        <v>G</v>
      </c>
      <c r="AE16" s="3">
        <v>142</v>
      </c>
      <c r="AF16" s="3" t="str">
        <f>IFERROR(MID(VLOOKUP($B16,Seqs!$A:$B,2,0),AG16,1),"")</f>
        <v>C</v>
      </c>
      <c r="AG16" s="3">
        <v>166</v>
      </c>
      <c r="AH16" s="3" t="str">
        <f>IFERROR(MID(VLOOKUP($B16,Seqs!$A:$B,2,0),AI16,1),"")</f>
        <v>F</v>
      </c>
      <c r="AI16" s="3">
        <v>168</v>
      </c>
      <c r="AJ16" s="3" t="str">
        <f>IFERROR(MID(VLOOKUP($B16,Seqs!$A:$B,2,0),AK16,1),"")</f>
        <v>P</v>
      </c>
      <c r="AK16" s="3">
        <v>173</v>
      </c>
      <c r="AL16" s="3" t="str">
        <f>IFERROR(MID(VLOOKUP($B16,Seqs!$A:$B,2,0),AM16,1),"")</f>
        <v>Q</v>
      </c>
      <c r="AM16" s="3">
        <v>210</v>
      </c>
      <c r="AN16" s="3" t="str">
        <f>IFERROR(MID(VLOOKUP($B16,Seqs!$A:$B,2,0),AO16,1),"")</f>
        <v>E</v>
      </c>
      <c r="AO16" s="3">
        <v>219</v>
      </c>
      <c r="AP16" s="3" t="str">
        <f>IFERROR(MID(VLOOKUP($B16,Seqs!$A:$B,2,0),AQ16,1),"")</f>
        <v>C</v>
      </c>
      <c r="AQ16" s="3">
        <v>259</v>
      </c>
      <c r="AR16" s="3" t="str">
        <f>IFERROR(MID(VLOOKUP($B16,Seqs!$A:$B,2,0),AS16,1),"")</f>
        <v>P</v>
      </c>
      <c r="AS16" s="3">
        <v>266</v>
      </c>
      <c r="AT16" s="3" t="str">
        <f>IFERROR(MID(VLOOKUP($B16,Seqs!$A:$B,2,0),AU16,1),"")</f>
        <v>R</v>
      </c>
      <c r="AU16" s="3">
        <v>291</v>
      </c>
      <c r="AV16" s="3" t="str">
        <f>IFERROR(MID(VLOOKUP($B16,Seqs!$A:$B,2,0),AW16,1),"")</f>
        <v>I</v>
      </c>
      <c r="AW16" s="3">
        <v>292</v>
      </c>
      <c r="AX16" s="3" t="str">
        <f>IFERROR(MID(VLOOKUP($B16,Seqs!$A:$B,2,0),AY16,1),"")</f>
        <v>S</v>
      </c>
      <c r="AY16" s="3">
        <v>305</v>
      </c>
      <c r="AZ16" s="79" t="str">
        <f>VLOOKUP(B16,Classification!A:D,2,0)</f>
        <v>A</v>
      </c>
      <c r="BA16" s="97" t="str">
        <f>VLOOKUP(B16,Classification!A:D,4,0)</f>
        <v>Adenosine</v>
      </c>
      <c r="BB16" s="27" t="b">
        <f t="shared" si="1"/>
        <v>1</v>
      </c>
      <c r="BC16" s="23">
        <f t="shared" si="2"/>
        <v>258</v>
      </c>
      <c r="BD16" s="4" t="s">
        <v>23</v>
      </c>
      <c r="BE16" s="3" t="s">
        <v>1381</v>
      </c>
      <c r="BF16" s="50" t="s">
        <v>1384</v>
      </c>
      <c r="BG16" s="50" t="s">
        <v>1384</v>
      </c>
      <c r="BH16" s="1"/>
      <c r="BI16" s="72" t="s">
        <v>1293</v>
      </c>
      <c r="BJ16" s="58" t="s">
        <v>1293</v>
      </c>
      <c r="BK16" s="58" t="s">
        <v>1293</v>
      </c>
      <c r="BL16" s="58" t="s">
        <v>1293</v>
      </c>
      <c r="BM16" s="58" t="s">
        <v>1293</v>
      </c>
      <c r="BN16" s="58" t="s">
        <v>1293</v>
      </c>
      <c r="BO16" s="58" t="s">
        <v>1293</v>
      </c>
      <c r="BP16" s="58" t="s">
        <v>1293</v>
      </c>
      <c r="BQ16" s="58" t="s">
        <v>1293</v>
      </c>
      <c r="BR16" s="58" t="s">
        <v>1293</v>
      </c>
      <c r="BS16" s="58" t="s">
        <v>1293</v>
      </c>
      <c r="BT16" s="58" t="s">
        <v>1293</v>
      </c>
      <c r="BU16" s="72">
        <f t="shared" si="3"/>
        <v>7</v>
      </c>
      <c r="BV16" s="73">
        <f t="shared" si="4"/>
        <v>35</v>
      </c>
      <c r="BW16" s="74">
        <f t="shared" si="5"/>
        <v>39</v>
      </c>
      <c r="BX16" s="73">
        <f t="shared" si="6"/>
        <v>70</v>
      </c>
      <c r="BY16" s="74">
        <f t="shared" si="7"/>
        <v>73</v>
      </c>
      <c r="BZ16" s="73">
        <f t="shared" si="8"/>
        <v>109</v>
      </c>
      <c r="CA16" s="74">
        <f t="shared" si="9"/>
        <v>117</v>
      </c>
      <c r="CB16" s="73">
        <f t="shared" si="10"/>
        <v>166</v>
      </c>
      <c r="CC16" s="74">
        <f t="shared" si="11"/>
        <v>173</v>
      </c>
      <c r="CD16" s="73">
        <f t="shared" si="12"/>
        <v>219</v>
      </c>
      <c r="CE16" s="74">
        <f t="shared" si="13"/>
        <v>266</v>
      </c>
      <c r="CF16" s="73">
        <f t="shared" si="14"/>
        <v>292</v>
      </c>
      <c r="CG16" s="72">
        <f t="shared" si="15"/>
        <v>34</v>
      </c>
      <c r="CH16" s="73">
        <f t="shared" si="16"/>
        <v>38</v>
      </c>
      <c r="CI16" s="74">
        <f t="shared" si="17"/>
        <v>69</v>
      </c>
      <c r="CJ16" s="74">
        <f t="shared" si="18"/>
        <v>72</v>
      </c>
      <c r="CK16" s="74">
        <f t="shared" si="19"/>
        <v>108</v>
      </c>
      <c r="CL16" s="74">
        <f t="shared" si="20"/>
        <v>116</v>
      </c>
      <c r="CM16" s="74">
        <f t="shared" si="21"/>
        <v>142</v>
      </c>
      <c r="CN16" s="74">
        <f t="shared" si="22"/>
        <v>168</v>
      </c>
      <c r="CO16" s="74">
        <f t="shared" si="23"/>
        <v>210</v>
      </c>
      <c r="CP16" s="74">
        <f t="shared" si="24"/>
        <v>259</v>
      </c>
      <c r="CQ16" s="74">
        <f t="shared" si="25"/>
        <v>291</v>
      </c>
      <c r="CR16" s="74">
        <f t="shared" si="26"/>
        <v>305</v>
      </c>
      <c r="CS16" s="23">
        <f t="shared" si="27"/>
        <v>1</v>
      </c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  <c r="OK16" s="1"/>
      <c r="OL16" s="1"/>
      <c r="OM16" s="1"/>
      <c r="ON16" s="1"/>
      <c r="OO16" s="1"/>
      <c r="OP16" s="1"/>
      <c r="OQ16" s="1"/>
      <c r="OR16" s="1"/>
      <c r="OS16" s="1"/>
      <c r="OT16" s="1"/>
      <c r="OU16" s="1"/>
      <c r="OV16" s="1"/>
      <c r="OW16" s="1"/>
      <c r="OX16" s="1"/>
      <c r="OY16" s="1"/>
      <c r="OZ16" s="1"/>
      <c r="PA16" s="1"/>
      <c r="PB16" s="1"/>
      <c r="PC16" s="1"/>
      <c r="PD16" s="1"/>
      <c r="PE16" s="1"/>
      <c r="PF16" s="1"/>
      <c r="PG16" s="1"/>
      <c r="PH16" s="1"/>
      <c r="PI16" s="1"/>
      <c r="PJ16" s="1"/>
      <c r="PK16" s="1"/>
      <c r="PL16" s="1"/>
      <c r="PM16" s="1"/>
      <c r="PN16" s="1"/>
      <c r="PO16" s="1"/>
      <c r="PP16" s="1"/>
      <c r="PQ16" s="1"/>
      <c r="PR16" s="1"/>
      <c r="PS16" s="1"/>
      <c r="PT16" s="1"/>
      <c r="PU16" s="1"/>
      <c r="PV16" s="1"/>
      <c r="PW16" s="1"/>
      <c r="PX16" s="1"/>
      <c r="PY16" s="1"/>
      <c r="PZ16" s="1"/>
      <c r="QA16" s="1"/>
      <c r="QB16" s="1"/>
      <c r="QC16" s="1"/>
      <c r="QD16" s="1"/>
      <c r="QE16" s="1"/>
      <c r="QF16" s="1"/>
      <c r="QG16" s="1"/>
      <c r="QH16" s="1"/>
      <c r="QI16" s="1"/>
      <c r="QJ16" s="1"/>
      <c r="QK16" s="1"/>
      <c r="QL16" s="1"/>
      <c r="QM16" s="1"/>
      <c r="QN16" s="1"/>
      <c r="QO16" s="1"/>
      <c r="QP16" s="1"/>
      <c r="QQ16" s="1"/>
      <c r="QR16" s="1"/>
      <c r="QS16" s="1"/>
      <c r="QT16" s="1"/>
      <c r="QU16" s="1"/>
      <c r="QV16" s="1"/>
      <c r="QW16" s="1"/>
      <c r="QX16" s="1"/>
      <c r="QY16" s="1"/>
      <c r="QZ16" s="1"/>
      <c r="RA16" s="1"/>
      <c r="RB16" s="1"/>
      <c r="RC16" s="1"/>
      <c r="RD16" s="1"/>
      <c r="RE16" s="1"/>
      <c r="RF16" s="1"/>
      <c r="RG16" s="1"/>
      <c r="RH16" s="1"/>
      <c r="RI16" s="1"/>
      <c r="RJ16" s="1"/>
      <c r="RK16" s="1"/>
      <c r="RL16" s="1"/>
      <c r="RM16" s="1"/>
      <c r="RN16" s="1"/>
      <c r="RO16" s="1"/>
      <c r="RP16" s="1"/>
      <c r="RQ16" s="1"/>
      <c r="RR16" s="1"/>
      <c r="RS16" s="1"/>
      <c r="RT16" s="1"/>
      <c r="RU16" s="1"/>
      <c r="RV16" s="1"/>
      <c r="RW16" s="1"/>
      <c r="RX16" s="1"/>
      <c r="RY16" s="1"/>
      <c r="RZ16" s="1"/>
      <c r="SA16" s="1"/>
      <c r="SB16" s="1"/>
      <c r="SC16" s="1"/>
      <c r="SD16" s="1"/>
      <c r="SE16" s="1"/>
      <c r="SF16" s="1"/>
      <c r="SG16" s="1"/>
      <c r="SH16" s="1"/>
      <c r="SI16" s="1"/>
      <c r="SJ16" s="1"/>
      <c r="SK16" s="1"/>
      <c r="SL16" s="1"/>
      <c r="SM16" s="1"/>
      <c r="SN16" s="1"/>
      <c r="SO16" s="1"/>
      <c r="SP16" s="1"/>
      <c r="SQ16" s="1"/>
      <c r="SR16" s="1"/>
      <c r="SS16" s="1"/>
      <c r="ST16" s="1"/>
      <c r="SU16" s="1"/>
      <c r="SV16" s="1"/>
      <c r="SW16" s="1"/>
      <c r="SX16" s="1"/>
      <c r="SY16" s="1"/>
      <c r="SZ16" s="1"/>
      <c r="TA16" s="1"/>
      <c r="TB16" s="1"/>
      <c r="TC16" s="1"/>
      <c r="TD16" s="1"/>
      <c r="TE16" s="1"/>
      <c r="TF16" s="1"/>
      <c r="TG16" s="1"/>
      <c r="TH16" s="1"/>
      <c r="TI16" s="1"/>
      <c r="TJ16" s="1"/>
      <c r="TK16" s="1"/>
      <c r="TL16" s="1"/>
      <c r="TM16" s="1"/>
      <c r="TN16" s="1"/>
      <c r="TO16" s="1"/>
      <c r="TP16" s="1"/>
      <c r="TQ16" s="1"/>
      <c r="TR16" s="1"/>
      <c r="TS16" s="1"/>
      <c r="TT16" s="1"/>
      <c r="TU16" s="1"/>
      <c r="TV16" s="1"/>
      <c r="TW16" s="1"/>
      <c r="TX16" s="1"/>
      <c r="TY16" s="1"/>
      <c r="TZ16" s="1"/>
      <c r="UA16" s="1"/>
      <c r="UB16" s="1"/>
      <c r="UC16" s="1"/>
      <c r="UD16" s="1"/>
      <c r="UE16" s="1"/>
      <c r="UF16" s="1"/>
      <c r="UG16" s="1"/>
      <c r="UH16" s="1"/>
      <c r="UI16" s="1"/>
      <c r="UJ16" s="1"/>
      <c r="UK16" s="1"/>
      <c r="UL16" s="1"/>
      <c r="UM16" s="1"/>
      <c r="UN16" s="1"/>
      <c r="UO16" s="1"/>
      <c r="UP16" s="1"/>
      <c r="UQ16" s="1"/>
      <c r="UR16" s="1"/>
      <c r="US16" s="1"/>
      <c r="UT16" s="1"/>
      <c r="UU16" s="1"/>
      <c r="UV16" s="1"/>
      <c r="UW16" s="1"/>
      <c r="UX16" s="1"/>
      <c r="UY16" s="1"/>
      <c r="UZ16" s="1"/>
      <c r="VA16" s="1"/>
      <c r="VB16" s="1"/>
      <c r="VC16" s="1"/>
      <c r="VD16" s="1"/>
      <c r="VE16" s="1"/>
      <c r="VF16" s="1"/>
      <c r="VG16" s="1"/>
      <c r="VH16" s="1"/>
      <c r="VI16" s="1"/>
      <c r="VJ16" s="1"/>
      <c r="VK16" s="1"/>
      <c r="VL16" s="1"/>
      <c r="VM16" s="1"/>
      <c r="VN16" s="1"/>
      <c r="VO16" s="1"/>
      <c r="VP16" s="1"/>
      <c r="VQ16" s="1"/>
      <c r="VR16" s="1"/>
      <c r="VS16" s="1"/>
      <c r="VT16" s="1"/>
      <c r="VU16" s="1"/>
      <c r="VV16" s="1"/>
      <c r="VW16" s="1"/>
      <c r="VX16" s="1"/>
      <c r="VY16" s="1"/>
      <c r="VZ16" s="1"/>
      <c r="WA16" s="1"/>
      <c r="WB16" s="1"/>
      <c r="WC16" s="1"/>
      <c r="WD16" s="1"/>
      <c r="WE16" s="1"/>
      <c r="WF16" s="1"/>
      <c r="WG16" s="1"/>
      <c r="WH16" s="1"/>
      <c r="WI16" s="1"/>
      <c r="WJ16" s="1"/>
      <c r="WK16" s="1"/>
      <c r="WL16" s="1"/>
      <c r="WM16" s="1"/>
      <c r="WN16" s="1"/>
      <c r="WO16" s="1"/>
      <c r="WP16" s="1"/>
      <c r="WQ16" s="1"/>
      <c r="WR16" s="1"/>
      <c r="WS16" s="1"/>
      <c r="WT16" s="1"/>
      <c r="WU16" s="1"/>
      <c r="WV16" s="1"/>
      <c r="WW16" s="1"/>
      <c r="WX16" s="1"/>
      <c r="WY16" s="1"/>
      <c r="WZ16" s="1"/>
      <c r="XA16" s="1"/>
      <c r="XB16" s="1"/>
      <c r="XC16" s="1"/>
      <c r="XD16" s="1"/>
      <c r="XE16" s="1"/>
      <c r="XF16" s="1"/>
      <c r="XG16" s="1"/>
      <c r="XH16" s="1"/>
      <c r="XI16" s="1"/>
      <c r="XJ16" s="1"/>
      <c r="XK16" s="1"/>
      <c r="XL16" s="1"/>
      <c r="XM16" s="1"/>
      <c r="XN16" s="1"/>
      <c r="XO16" s="1"/>
      <c r="XP16" s="1"/>
      <c r="XQ16" s="1"/>
      <c r="XR16" s="1"/>
      <c r="XS16" s="1"/>
      <c r="XT16" s="1"/>
      <c r="XU16" s="1"/>
      <c r="XV16" s="1"/>
      <c r="XW16" s="1"/>
      <c r="XX16" s="1"/>
      <c r="XY16" s="1"/>
      <c r="XZ16" s="1"/>
      <c r="YA16" s="1"/>
      <c r="YB16" s="1"/>
      <c r="YC16" s="1"/>
      <c r="YD16" s="1"/>
      <c r="YE16" s="1"/>
      <c r="YF16" s="1"/>
      <c r="YG16" s="1"/>
      <c r="YH16" s="1"/>
      <c r="YI16" s="1"/>
      <c r="YJ16" s="1"/>
      <c r="YK16" s="1"/>
      <c r="YL16" s="1"/>
      <c r="YM16" s="1"/>
      <c r="YN16" s="1"/>
      <c r="YO16" s="1"/>
      <c r="YP16" s="1"/>
      <c r="YQ16" s="1"/>
      <c r="YR16" s="1"/>
      <c r="YS16" s="1"/>
      <c r="YT16" s="1"/>
      <c r="YU16" s="1"/>
      <c r="YV16" s="1"/>
      <c r="YW16" s="1"/>
      <c r="YX16" s="1"/>
      <c r="YY16" s="1"/>
      <c r="YZ16" s="1"/>
      <c r="ZA16" s="1"/>
      <c r="ZB16" s="1"/>
      <c r="ZC16" s="1"/>
      <c r="ZD16" s="1"/>
      <c r="ZE16" s="1"/>
      <c r="ZF16" s="1"/>
      <c r="ZG16" s="1"/>
      <c r="ZH16" s="1"/>
      <c r="ZI16" s="1"/>
      <c r="ZJ16" s="1"/>
      <c r="ZK16" s="1"/>
      <c r="ZL16" s="1"/>
      <c r="ZM16" s="1"/>
      <c r="ZN16" s="1"/>
      <c r="ZO16" s="1"/>
      <c r="ZP16" s="1"/>
      <c r="ZQ16" s="1"/>
      <c r="ZR16" s="1"/>
      <c r="ZS16" s="1"/>
      <c r="ZT16" s="1"/>
      <c r="ZU16" s="1"/>
      <c r="ZV16" s="1"/>
      <c r="ZW16" s="1"/>
      <c r="ZX16" s="1"/>
      <c r="ZY16" s="1"/>
      <c r="ZZ16" s="1"/>
      <c r="AAA16" s="1"/>
      <c r="AAB16" s="1"/>
      <c r="AAC16" s="1"/>
      <c r="AAD16" s="1"/>
      <c r="AAE16" s="1"/>
      <c r="AAF16" s="1"/>
      <c r="AAG16" s="1"/>
      <c r="AAH16" s="1"/>
      <c r="AAI16" s="1"/>
      <c r="AAJ16" s="1"/>
      <c r="AAK16" s="1"/>
      <c r="AAL16" s="1"/>
      <c r="AAM16" s="1"/>
      <c r="AAN16" s="1"/>
      <c r="AAO16" s="1"/>
      <c r="AAP16" s="1"/>
      <c r="AAQ16" s="1"/>
      <c r="AAR16" s="1"/>
      <c r="AAS16" s="1"/>
      <c r="AAT16" s="1"/>
      <c r="AAU16" s="1"/>
      <c r="AAV16" s="1"/>
      <c r="AAW16" s="1"/>
      <c r="AAX16" s="1"/>
      <c r="AAY16" s="1"/>
      <c r="AAZ16" s="1"/>
      <c r="ABA16" s="1"/>
      <c r="ABB16" s="1"/>
      <c r="ABC16" s="1"/>
      <c r="ABD16" s="1"/>
      <c r="ABE16" s="1"/>
      <c r="ABF16" s="1"/>
      <c r="ABG16" s="1"/>
      <c r="ABH16" s="1"/>
      <c r="ABI16" s="1"/>
      <c r="ABJ16" s="1"/>
      <c r="ABK16" s="1"/>
      <c r="ABL16" s="1"/>
      <c r="ABM16" s="1"/>
      <c r="ABN16" s="1"/>
      <c r="ABO16" s="1"/>
      <c r="ABP16" s="1"/>
      <c r="ABQ16" s="1"/>
      <c r="ABR16" s="1"/>
      <c r="ABS16" s="1"/>
      <c r="ABT16" s="1"/>
      <c r="ABU16" s="1"/>
      <c r="ABV16" s="1"/>
      <c r="ABW16" s="1"/>
      <c r="ABX16" s="1"/>
      <c r="ABY16" s="1"/>
      <c r="ABZ16" s="1"/>
      <c r="ACA16" s="1"/>
      <c r="ACB16" s="1"/>
      <c r="ACC16" s="1"/>
      <c r="ACD16" s="1"/>
      <c r="ACE16" s="1"/>
      <c r="ACF16" s="1"/>
      <c r="ACG16" s="1"/>
      <c r="ACH16" s="1"/>
      <c r="ACI16" s="1"/>
      <c r="ACJ16" s="1"/>
      <c r="ACK16" s="1"/>
      <c r="ACL16" s="1"/>
      <c r="ACM16" s="1"/>
      <c r="ACN16" s="1"/>
      <c r="ACO16" s="1"/>
      <c r="ACP16" s="1"/>
      <c r="ACQ16" s="1"/>
      <c r="ACR16" s="1"/>
      <c r="ACS16" s="1"/>
      <c r="ACT16" s="1"/>
      <c r="ACU16" s="1"/>
      <c r="ACV16" s="1"/>
      <c r="ACW16" s="1"/>
      <c r="ACX16" s="1"/>
      <c r="ACY16" s="1"/>
      <c r="ACZ16" s="1"/>
      <c r="ADA16" s="1"/>
      <c r="ADB16" s="1"/>
      <c r="ADC16" s="1"/>
      <c r="ADD16" s="1"/>
      <c r="ADE16" s="1"/>
      <c r="ADF16" s="1"/>
      <c r="ADG16" s="1"/>
      <c r="ADH16" s="1"/>
      <c r="ADI16" s="1"/>
      <c r="ADJ16" s="1"/>
      <c r="ADK16" s="1"/>
      <c r="ADL16" s="1"/>
      <c r="ADM16" s="1"/>
      <c r="ADN16" s="1"/>
      <c r="ADO16" s="1"/>
      <c r="ADP16" s="1"/>
      <c r="ADQ16" s="1"/>
      <c r="ADR16" s="1"/>
      <c r="ADS16" s="1"/>
      <c r="ADT16" s="1"/>
      <c r="ADU16" s="1"/>
      <c r="ADV16" s="1"/>
      <c r="ADW16" s="1"/>
      <c r="ADX16" s="1"/>
      <c r="ADY16" s="1"/>
      <c r="ADZ16" s="1"/>
      <c r="AEA16" s="1"/>
      <c r="AEB16" s="1"/>
      <c r="AEC16" s="1"/>
      <c r="AED16" s="1"/>
      <c r="AEE16" s="1"/>
      <c r="AEF16" s="1"/>
      <c r="AEG16" s="1"/>
      <c r="AEH16" s="1"/>
      <c r="AEI16" s="1"/>
      <c r="AEJ16" s="1"/>
      <c r="AEK16" s="1"/>
      <c r="AEL16" s="1"/>
      <c r="AEM16" s="1"/>
      <c r="AEN16" s="1"/>
      <c r="AEO16" s="1"/>
      <c r="AEP16" s="1"/>
      <c r="AEQ16" s="1"/>
      <c r="AER16" s="1"/>
      <c r="AES16" s="1"/>
      <c r="AET16" s="1"/>
      <c r="AEU16" s="1"/>
      <c r="AEV16" s="1"/>
      <c r="AEW16" s="1"/>
      <c r="AEX16" s="1"/>
      <c r="AEY16" s="1"/>
      <c r="AEZ16" s="1"/>
      <c r="AFA16" s="1"/>
      <c r="AFB16" s="1"/>
      <c r="AFC16" s="1"/>
      <c r="AFD16" s="1"/>
      <c r="AFE16" s="1"/>
      <c r="AFF16" s="1"/>
      <c r="AFG16" s="1"/>
      <c r="AFH16" s="1"/>
      <c r="AFI16" s="1"/>
      <c r="AFJ16" s="1"/>
      <c r="AFK16" s="1"/>
      <c r="AFL16" s="1"/>
      <c r="AFM16" s="1"/>
      <c r="AFN16" s="1"/>
      <c r="AFO16" s="1"/>
      <c r="AFP16" s="1"/>
      <c r="AFQ16" s="1"/>
      <c r="AFR16" s="1"/>
      <c r="AFS16" s="1"/>
      <c r="AFT16" s="1"/>
      <c r="AFU16" s="1"/>
      <c r="AFV16" s="1"/>
      <c r="AFW16" s="1"/>
      <c r="AFX16" s="1"/>
      <c r="AFY16" s="1"/>
      <c r="AFZ16" s="1"/>
      <c r="AGA16" s="1"/>
      <c r="AGB16" s="1"/>
      <c r="AGC16" s="1"/>
      <c r="AGD16" s="1"/>
      <c r="AGE16" s="1"/>
      <c r="AGF16" s="1"/>
      <c r="AGG16" s="1"/>
      <c r="AGH16" s="1"/>
      <c r="AGI16" s="1"/>
      <c r="AGJ16" s="1"/>
      <c r="AGK16" s="1"/>
      <c r="AGL16" s="1"/>
      <c r="AGM16" s="1"/>
      <c r="AGN16" s="1"/>
      <c r="AGO16" s="1"/>
      <c r="AGP16" s="1"/>
      <c r="AGQ16" s="1"/>
      <c r="AGR16" s="1"/>
      <c r="AGS16" s="1"/>
      <c r="AGT16" s="1"/>
      <c r="AGU16" s="1"/>
      <c r="AGV16" s="1"/>
      <c r="AGW16" s="1"/>
      <c r="AGX16" s="1"/>
      <c r="AGY16" s="1"/>
      <c r="AGZ16" s="1"/>
      <c r="AHA16" s="1"/>
      <c r="AHB16" s="1"/>
      <c r="AHC16" s="1"/>
      <c r="AHD16" s="1"/>
      <c r="AHE16" s="1"/>
      <c r="AHF16" s="1"/>
      <c r="AHG16" s="1"/>
      <c r="AHH16" s="1"/>
      <c r="AHI16" s="1"/>
      <c r="AHJ16" s="1"/>
      <c r="AHK16" s="1"/>
      <c r="AHL16" s="1"/>
      <c r="AHM16" s="1"/>
      <c r="AHN16" s="1"/>
      <c r="AHO16" s="1"/>
      <c r="AHP16" s="1"/>
      <c r="AHQ16" s="1"/>
      <c r="AHR16" s="1"/>
      <c r="AHS16" s="1"/>
      <c r="AHT16" s="1"/>
      <c r="AHU16" s="1"/>
      <c r="AHV16" s="1"/>
      <c r="AHW16" s="1"/>
      <c r="AHX16" s="1"/>
      <c r="AHY16" s="1"/>
      <c r="AHZ16" s="1"/>
      <c r="AIA16" s="1"/>
      <c r="AIB16" s="1"/>
      <c r="AIC16" s="1"/>
      <c r="AID16" s="1"/>
      <c r="AIE16" s="1"/>
      <c r="AIF16" s="1"/>
      <c r="AIG16" s="1"/>
      <c r="AIH16" s="1"/>
      <c r="AII16" s="1"/>
      <c r="AIJ16" s="1"/>
      <c r="AIK16" s="1"/>
      <c r="AIL16" s="1"/>
      <c r="AIM16" s="1"/>
      <c r="AIN16" s="1"/>
      <c r="AIO16" s="1"/>
      <c r="AIP16" s="1"/>
      <c r="AIQ16" s="1"/>
      <c r="AIR16" s="1"/>
      <c r="AIS16" s="1"/>
      <c r="AIT16" s="1"/>
      <c r="AIU16" s="1"/>
      <c r="AIV16" s="1"/>
      <c r="AIW16" s="1"/>
      <c r="AIX16" s="1"/>
      <c r="AIY16" s="1"/>
      <c r="AIZ16" s="1"/>
      <c r="AJA16" s="1"/>
      <c r="AJB16" s="1"/>
      <c r="AJC16" s="1"/>
      <c r="AJD16" s="1"/>
      <c r="AJE16" s="1"/>
      <c r="AJF16" s="1"/>
      <c r="AJG16" s="1"/>
      <c r="AJH16" s="1"/>
      <c r="AJI16" s="1"/>
      <c r="AJJ16" s="1"/>
      <c r="AJK16" s="1"/>
      <c r="AJL16" s="1"/>
      <c r="AJM16" s="1"/>
      <c r="AJN16" s="1"/>
      <c r="AJO16" s="1"/>
      <c r="AJP16" s="1"/>
      <c r="AJQ16" s="1"/>
      <c r="AJR16" s="1"/>
      <c r="AJS16" s="1"/>
      <c r="AJT16" s="1"/>
      <c r="AJU16" s="1"/>
      <c r="AJV16" s="1"/>
      <c r="AJW16" s="1"/>
      <c r="AJX16" s="1"/>
      <c r="AJY16" s="1"/>
      <c r="AJZ16" s="1"/>
      <c r="AKA16" s="1"/>
      <c r="AKB16" s="1"/>
      <c r="AKC16" s="1"/>
      <c r="AKD16" s="1"/>
      <c r="AKE16" s="1"/>
      <c r="AKF16" s="1"/>
      <c r="AKG16" s="1"/>
      <c r="AKH16" s="1"/>
      <c r="AKI16" s="1"/>
      <c r="AKJ16" s="1"/>
      <c r="AKK16" s="1"/>
      <c r="AKL16" s="1"/>
      <c r="AKM16" s="1"/>
      <c r="AKN16" s="1"/>
      <c r="AKO16" s="1"/>
      <c r="AKP16" s="1"/>
      <c r="AKQ16" s="1"/>
      <c r="AKR16" s="1"/>
      <c r="AKS16" s="1"/>
      <c r="AKT16" s="1"/>
      <c r="AKU16" s="1"/>
      <c r="AKV16" s="1"/>
      <c r="AKW16" s="1"/>
      <c r="AKX16" s="1"/>
      <c r="AKY16" s="1"/>
      <c r="AKZ16" s="1"/>
      <c r="ALA16" s="1"/>
      <c r="ALB16" s="1"/>
      <c r="ALC16" s="1"/>
      <c r="ALD16" s="1"/>
      <c r="ALE16" s="1"/>
      <c r="ALF16" s="1"/>
      <c r="ALG16" s="1"/>
      <c r="ALH16" s="1"/>
      <c r="ALI16" s="1"/>
      <c r="ALJ16" s="1"/>
      <c r="ALK16" s="1"/>
      <c r="ALL16" s="1"/>
      <c r="ALM16" s="1"/>
      <c r="ALN16" s="1"/>
      <c r="ALO16" s="1"/>
      <c r="ALP16" s="1"/>
      <c r="ALQ16" s="1"/>
      <c r="ALR16" s="1"/>
      <c r="ALS16" s="1"/>
      <c r="ALT16" s="1"/>
      <c r="ALU16" s="1"/>
      <c r="ALV16" s="1"/>
      <c r="ALW16" s="1"/>
      <c r="ALX16" s="1"/>
      <c r="ALY16" s="1"/>
      <c r="ALZ16" s="1"/>
      <c r="AMA16" s="1"/>
      <c r="AMB16" s="1"/>
      <c r="AMC16" s="1"/>
      <c r="AMD16" s="1"/>
      <c r="AME16" s="1"/>
      <c r="AMF16" s="1"/>
      <c r="AMG16" s="1"/>
      <c r="AMH16" s="1"/>
      <c r="AMI16" s="1"/>
      <c r="AMJ16" s="1"/>
      <c r="AMK16" s="1"/>
      <c r="AML16" s="1"/>
      <c r="AMM16" s="1"/>
      <c r="AMN16" s="1"/>
    </row>
    <row r="17" spans="1:1029" x14ac:dyDescent="0.2">
      <c r="A17" s="3" t="str">
        <f t="shared" si="0"/>
        <v>aa2ar_human_3RFM</v>
      </c>
      <c r="B17" s="3" t="s">
        <v>139</v>
      </c>
      <c r="C17" s="3" t="s">
        <v>1035</v>
      </c>
      <c r="D17" s="3" t="str">
        <f>IFERROR(MID(VLOOKUP($B17,Seqs!$A:$B,2,0),E17,1),"")</f>
        <v>S</v>
      </c>
      <c r="E17" s="3">
        <v>7</v>
      </c>
      <c r="F17" s="3" t="str">
        <f>IFERROR(MID(VLOOKUP($B17,Seqs!$A:$B,2,0),G17,1),"")</f>
        <v>N</v>
      </c>
      <c r="G17" s="3">
        <v>34</v>
      </c>
      <c r="H17" s="3" t="str">
        <f>IFERROR(MID(VLOOKUP($B17,Seqs!$A:$B,2,0),I17,1),"")</f>
        <v>S</v>
      </c>
      <c r="I17" s="23">
        <v>35</v>
      </c>
      <c r="J17" s="3" t="str">
        <f>IFERROR(MID(VLOOKUP($B17,Seqs!$A:$B,2,0),K17,1),"")</f>
        <v>Q</v>
      </c>
      <c r="K17" s="23">
        <v>38</v>
      </c>
      <c r="L17" s="3" t="str">
        <f>IFERROR(MID(VLOOKUP($B17,Seqs!$A:$B,2,0),M17,1),"")</f>
        <v>N</v>
      </c>
      <c r="M17" s="3">
        <v>39</v>
      </c>
      <c r="N17" s="3" t="str">
        <f>IFERROR(MID(VLOOKUP($B17,Seqs!$A:$B,2,0),O17,1),"")</f>
        <v>G</v>
      </c>
      <c r="O17" s="3">
        <v>69</v>
      </c>
      <c r="P17" s="3" t="str">
        <f>IFERROR(MID(VLOOKUP($B17,Seqs!$A:$B,2,0),Q17,1),"")</f>
        <v>F</v>
      </c>
      <c r="Q17" s="3">
        <v>70</v>
      </c>
      <c r="R17" s="3" t="str">
        <f>IFERROR(MID(VLOOKUP($B17,Seqs!$A:$B,2,0),S17,1),"")</f>
        <v>A</v>
      </c>
      <c r="S17" s="3">
        <v>72</v>
      </c>
      <c r="T17" s="3" t="str">
        <f>IFERROR(MID(VLOOKUP($B17,Seqs!$A:$B,2,0),U17,1),"")</f>
        <v>A</v>
      </c>
      <c r="U17" s="3">
        <v>73</v>
      </c>
      <c r="V17" s="3" t="str">
        <f>IFERROR(MID(VLOOKUP($B17,Seqs!$A:$B,2,0),W17,1),"")</f>
        <v>I</v>
      </c>
      <c r="W17" s="3">
        <v>108</v>
      </c>
      <c r="X17" s="3" t="str">
        <f>IFERROR(MID(VLOOKUP($B17,Seqs!$A:$B,2,0),Y17,1),"")</f>
        <v>P</v>
      </c>
      <c r="Y17" s="3">
        <v>109</v>
      </c>
      <c r="Z17" s="3" t="str">
        <f>IFERROR(MID(VLOOKUP($B17,Seqs!$A:$B,2,0),AA17,1),"")</f>
        <v>V</v>
      </c>
      <c r="AA17" s="3">
        <v>116</v>
      </c>
      <c r="AB17" s="3" t="str">
        <f>IFERROR(MID(VLOOKUP($B17,Seqs!$A:$B,2,0),AC17,1),"")</f>
        <v>T</v>
      </c>
      <c r="AC17" s="9">
        <v>117</v>
      </c>
      <c r="AD17" s="3" t="str">
        <f>IFERROR(MID(VLOOKUP($B17,Seqs!$A:$B,2,0),AE17,1),"")</f>
        <v>G</v>
      </c>
      <c r="AE17" s="3">
        <v>142</v>
      </c>
      <c r="AF17" s="3" t="str">
        <f>IFERROR(MID(VLOOKUP($B17,Seqs!$A:$B,2,0),AG17,1),"")</f>
        <v>C</v>
      </c>
      <c r="AG17" s="3">
        <v>166</v>
      </c>
      <c r="AH17" s="3" t="str">
        <f>IFERROR(MID(VLOOKUP($B17,Seqs!$A:$B,2,0),AI17,1),"")</f>
        <v>F</v>
      </c>
      <c r="AI17" s="3">
        <v>168</v>
      </c>
      <c r="AJ17" s="3" t="str">
        <f>IFERROR(MID(VLOOKUP($B17,Seqs!$A:$B,2,0),AK17,1),"")</f>
        <v>P</v>
      </c>
      <c r="AK17" s="3">
        <v>173</v>
      </c>
      <c r="AL17" s="3" t="str">
        <f>IFERROR(MID(VLOOKUP($B17,Seqs!$A:$B,2,0),AM17,1),"")</f>
        <v>S</v>
      </c>
      <c r="AM17" s="3">
        <v>213</v>
      </c>
      <c r="AN17" s="3" t="str">
        <f>IFERROR(MID(VLOOKUP($B17,Seqs!$A:$B,2,0),AO17,1),"")</f>
        <v>E</v>
      </c>
      <c r="AO17" s="3">
        <v>219</v>
      </c>
      <c r="AP17" s="3" t="str">
        <f>IFERROR(MID(VLOOKUP($B17,Seqs!$A:$B,2,0),AQ17,1),"")</f>
        <v>C</v>
      </c>
      <c r="AQ17" s="3">
        <v>259</v>
      </c>
      <c r="AR17" s="3" t="str">
        <f>IFERROR(MID(VLOOKUP($B17,Seqs!$A:$B,2,0),AS17,1),"")</f>
        <v>P</v>
      </c>
      <c r="AS17" s="3">
        <v>266</v>
      </c>
      <c r="AT17" s="3" t="str">
        <f>IFERROR(MID(VLOOKUP($B17,Seqs!$A:$B,2,0),AU17,1),"")</f>
        <v>R</v>
      </c>
      <c r="AU17" s="3">
        <v>291</v>
      </c>
      <c r="AV17" s="3" t="str">
        <f>IFERROR(MID(VLOOKUP($B17,Seqs!$A:$B,2,0),AW17,1),"")</f>
        <v>I</v>
      </c>
      <c r="AW17" s="3">
        <v>292</v>
      </c>
      <c r="AX17" s="3" t="str">
        <f>IFERROR(MID(VLOOKUP($B17,Seqs!$A:$B,2,0),AY17,1),"")</f>
        <v>S</v>
      </c>
      <c r="AY17" s="3">
        <v>305</v>
      </c>
      <c r="AZ17" s="79" t="str">
        <f>VLOOKUP(B17,Classification!A:D,2,0)</f>
        <v>A</v>
      </c>
      <c r="BA17" s="97" t="str">
        <f>VLOOKUP(B17,Classification!A:D,4,0)</f>
        <v>Adenosine</v>
      </c>
      <c r="BB17" s="27" t="b">
        <f t="shared" si="1"/>
        <v>1</v>
      </c>
      <c r="BC17" s="23">
        <f t="shared" si="2"/>
        <v>261</v>
      </c>
      <c r="BD17" s="4" t="s">
        <v>23</v>
      </c>
      <c r="BE17" s="3" t="s">
        <v>1381</v>
      </c>
      <c r="BF17" s="50" t="s">
        <v>1384</v>
      </c>
      <c r="BG17" s="50" t="s">
        <v>1384</v>
      </c>
      <c r="BH17" s="1"/>
      <c r="BI17" s="72" t="s">
        <v>1293</v>
      </c>
      <c r="BJ17" s="58" t="s">
        <v>1293</v>
      </c>
      <c r="BK17" s="58" t="s">
        <v>1293</v>
      </c>
      <c r="BL17" s="58" t="s">
        <v>1293</v>
      </c>
      <c r="BM17" s="58" t="s">
        <v>1293</v>
      </c>
      <c r="BN17" s="58" t="s">
        <v>1293</v>
      </c>
      <c r="BO17" s="58" t="s">
        <v>1293</v>
      </c>
      <c r="BP17" s="58" t="s">
        <v>1293</v>
      </c>
      <c r="BQ17" s="58" t="s">
        <v>1293</v>
      </c>
      <c r="BR17" s="58" t="s">
        <v>1293</v>
      </c>
      <c r="BS17" s="58" t="s">
        <v>1293</v>
      </c>
      <c r="BT17" s="58" t="s">
        <v>1293</v>
      </c>
      <c r="BU17" s="72">
        <f t="shared" si="3"/>
        <v>7</v>
      </c>
      <c r="BV17" s="73">
        <f t="shared" si="4"/>
        <v>35</v>
      </c>
      <c r="BW17" s="74">
        <f t="shared" si="5"/>
        <v>39</v>
      </c>
      <c r="BX17" s="73">
        <f t="shared" si="6"/>
        <v>70</v>
      </c>
      <c r="BY17" s="74">
        <f t="shared" si="7"/>
        <v>73</v>
      </c>
      <c r="BZ17" s="73">
        <f t="shared" si="8"/>
        <v>109</v>
      </c>
      <c r="CA17" s="74">
        <f t="shared" si="9"/>
        <v>117</v>
      </c>
      <c r="CB17" s="73">
        <f t="shared" si="10"/>
        <v>166</v>
      </c>
      <c r="CC17" s="74">
        <f t="shared" si="11"/>
        <v>173</v>
      </c>
      <c r="CD17" s="73">
        <f t="shared" si="12"/>
        <v>219</v>
      </c>
      <c r="CE17" s="74">
        <f t="shared" si="13"/>
        <v>266</v>
      </c>
      <c r="CF17" s="73">
        <f t="shared" si="14"/>
        <v>292</v>
      </c>
      <c r="CG17" s="72">
        <f t="shared" si="15"/>
        <v>34</v>
      </c>
      <c r="CH17" s="73">
        <f t="shared" si="16"/>
        <v>38</v>
      </c>
      <c r="CI17" s="74">
        <f t="shared" si="17"/>
        <v>69</v>
      </c>
      <c r="CJ17" s="74">
        <f t="shared" si="18"/>
        <v>72</v>
      </c>
      <c r="CK17" s="74">
        <f t="shared" si="19"/>
        <v>108</v>
      </c>
      <c r="CL17" s="74">
        <f t="shared" si="20"/>
        <v>116</v>
      </c>
      <c r="CM17" s="74">
        <f t="shared" si="21"/>
        <v>142</v>
      </c>
      <c r="CN17" s="74">
        <f t="shared" si="22"/>
        <v>168</v>
      </c>
      <c r="CO17" s="74">
        <f t="shared" si="23"/>
        <v>213</v>
      </c>
      <c r="CP17" s="74">
        <f t="shared" si="24"/>
        <v>259</v>
      </c>
      <c r="CQ17" s="74">
        <f t="shared" si="25"/>
        <v>291</v>
      </c>
      <c r="CR17" s="74">
        <f t="shared" si="26"/>
        <v>305</v>
      </c>
      <c r="CS17" s="23">
        <f t="shared" si="27"/>
        <v>1</v>
      </c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  <c r="OK17" s="1"/>
      <c r="OL17" s="1"/>
      <c r="OM17" s="1"/>
      <c r="ON17" s="1"/>
      <c r="OO17" s="1"/>
      <c r="OP17" s="1"/>
      <c r="OQ17" s="1"/>
      <c r="OR17" s="1"/>
      <c r="OS17" s="1"/>
      <c r="OT17" s="1"/>
      <c r="OU17" s="1"/>
      <c r="OV17" s="1"/>
      <c r="OW17" s="1"/>
      <c r="OX17" s="1"/>
      <c r="OY17" s="1"/>
      <c r="OZ17" s="1"/>
      <c r="PA17" s="1"/>
      <c r="PB17" s="1"/>
      <c r="PC17" s="1"/>
      <c r="PD17" s="1"/>
      <c r="PE17" s="1"/>
      <c r="PF17" s="1"/>
      <c r="PG17" s="1"/>
      <c r="PH17" s="1"/>
      <c r="PI17" s="1"/>
      <c r="PJ17" s="1"/>
      <c r="PK17" s="1"/>
      <c r="PL17" s="1"/>
      <c r="PM17" s="1"/>
      <c r="PN17" s="1"/>
      <c r="PO17" s="1"/>
      <c r="PP17" s="1"/>
      <c r="PQ17" s="1"/>
      <c r="PR17" s="1"/>
      <c r="PS17" s="1"/>
      <c r="PT17" s="1"/>
      <c r="PU17" s="1"/>
      <c r="PV17" s="1"/>
      <c r="PW17" s="1"/>
      <c r="PX17" s="1"/>
      <c r="PY17" s="1"/>
      <c r="PZ17" s="1"/>
      <c r="QA17" s="1"/>
      <c r="QB17" s="1"/>
      <c r="QC17" s="1"/>
      <c r="QD17" s="1"/>
      <c r="QE17" s="1"/>
      <c r="QF17" s="1"/>
      <c r="QG17" s="1"/>
      <c r="QH17" s="1"/>
      <c r="QI17" s="1"/>
      <c r="QJ17" s="1"/>
      <c r="QK17" s="1"/>
      <c r="QL17" s="1"/>
      <c r="QM17" s="1"/>
      <c r="QN17" s="1"/>
      <c r="QO17" s="1"/>
      <c r="QP17" s="1"/>
      <c r="QQ17" s="1"/>
      <c r="QR17" s="1"/>
      <c r="QS17" s="1"/>
      <c r="QT17" s="1"/>
      <c r="QU17" s="1"/>
      <c r="QV17" s="1"/>
      <c r="QW17" s="1"/>
      <c r="QX17" s="1"/>
      <c r="QY17" s="1"/>
      <c r="QZ17" s="1"/>
      <c r="RA17" s="1"/>
      <c r="RB17" s="1"/>
      <c r="RC17" s="1"/>
      <c r="RD17" s="1"/>
      <c r="RE17" s="1"/>
      <c r="RF17" s="1"/>
      <c r="RG17" s="1"/>
      <c r="RH17" s="1"/>
      <c r="RI17" s="1"/>
      <c r="RJ17" s="1"/>
      <c r="RK17" s="1"/>
      <c r="RL17" s="1"/>
      <c r="RM17" s="1"/>
      <c r="RN17" s="1"/>
      <c r="RO17" s="1"/>
      <c r="RP17" s="1"/>
      <c r="RQ17" s="1"/>
      <c r="RR17" s="1"/>
      <c r="RS17" s="1"/>
      <c r="RT17" s="1"/>
      <c r="RU17" s="1"/>
      <c r="RV17" s="1"/>
      <c r="RW17" s="1"/>
      <c r="RX17" s="1"/>
      <c r="RY17" s="1"/>
      <c r="RZ17" s="1"/>
      <c r="SA17" s="1"/>
      <c r="SB17" s="1"/>
      <c r="SC17" s="1"/>
      <c r="SD17" s="1"/>
      <c r="SE17" s="1"/>
      <c r="SF17" s="1"/>
      <c r="SG17" s="1"/>
      <c r="SH17" s="1"/>
      <c r="SI17" s="1"/>
      <c r="SJ17" s="1"/>
      <c r="SK17" s="1"/>
      <c r="SL17" s="1"/>
      <c r="SM17" s="1"/>
      <c r="SN17" s="1"/>
      <c r="SO17" s="1"/>
      <c r="SP17" s="1"/>
      <c r="SQ17" s="1"/>
      <c r="SR17" s="1"/>
      <c r="SS17" s="1"/>
      <c r="ST17" s="1"/>
      <c r="SU17" s="1"/>
      <c r="SV17" s="1"/>
      <c r="SW17" s="1"/>
      <c r="SX17" s="1"/>
      <c r="SY17" s="1"/>
      <c r="SZ17" s="1"/>
      <c r="TA17" s="1"/>
      <c r="TB17" s="1"/>
      <c r="TC17" s="1"/>
      <c r="TD17" s="1"/>
      <c r="TE17" s="1"/>
      <c r="TF17" s="1"/>
      <c r="TG17" s="1"/>
      <c r="TH17" s="1"/>
      <c r="TI17" s="1"/>
      <c r="TJ17" s="1"/>
      <c r="TK17" s="1"/>
      <c r="TL17" s="1"/>
      <c r="TM17" s="1"/>
      <c r="TN17" s="1"/>
      <c r="TO17" s="1"/>
      <c r="TP17" s="1"/>
      <c r="TQ17" s="1"/>
      <c r="TR17" s="1"/>
      <c r="TS17" s="1"/>
      <c r="TT17" s="1"/>
      <c r="TU17" s="1"/>
      <c r="TV17" s="1"/>
      <c r="TW17" s="1"/>
      <c r="TX17" s="1"/>
      <c r="TY17" s="1"/>
      <c r="TZ17" s="1"/>
      <c r="UA17" s="1"/>
      <c r="UB17" s="1"/>
      <c r="UC17" s="1"/>
      <c r="UD17" s="1"/>
      <c r="UE17" s="1"/>
      <c r="UF17" s="1"/>
      <c r="UG17" s="1"/>
      <c r="UH17" s="1"/>
      <c r="UI17" s="1"/>
      <c r="UJ17" s="1"/>
      <c r="UK17" s="1"/>
      <c r="UL17" s="1"/>
      <c r="UM17" s="1"/>
      <c r="UN17" s="1"/>
      <c r="UO17" s="1"/>
      <c r="UP17" s="1"/>
      <c r="UQ17" s="1"/>
      <c r="UR17" s="1"/>
      <c r="US17" s="1"/>
      <c r="UT17" s="1"/>
      <c r="UU17" s="1"/>
      <c r="UV17" s="1"/>
      <c r="UW17" s="1"/>
      <c r="UX17" s="1"/>
      <c r="UY17" s="1"/>
      <c r="UZ17" s="1"/>
      <c r="VA17" s="1"/>
      <c r="VB17" s="1"/>
      <c r="VC17" s="1"/>
      <c r="VD17" s="1"/>
      <c r="VE17" s="1"/>
      <c r="VF17" s="1"/>
      <c r="VG17" s="1"/>
      <c r="VH17" s="1"/>
      <c r="VI17" s="1"/>
      <c r="VJ17" s="1"/>
      <c r="VK17" s="1"/>
      <c r="VL17" s="1"/>
      <c r="VM17" s="1"/>
      <c r="VN17" s="1"/>
      <c r="VO17" s="1"/>
      <c r="VP17" s="1"/>
      <c r="VQ17" s="1"/>
      <c r="VR17" s="1"/>
      <c r="VS17" s="1"/>
      <c r="VT17" s="1"/>
      <c r="VU17" s="1"/>
      <c r="VV17" s="1"/>
      <c r="VW17" s="1"/>
      <c r="VX17" s="1"/>
      <c r="VY17" s="1"/>
      <c r="VZ17" s="1"/>
      <c r="WA17" s="1"/>
      <c r="WB17" s="1"/>
      <c r="WC17" s="1"/>
      <c r="WD17" s="1"/>
      <c r="WE17" s="1"/>
      <c r="WF17" s="1"/>
      <c r="WG17" s="1"/>
      <c r="WH17" s="1"/>
      <c r="WI17" s="1"/>
      <c r="WJ17" s="1"/>
      <c r="WK17" s="1"/>
      <c r="WL17" s="1"/>
      <c r="WM17" s="1"/>
      <c r="WN17" s="1"/>
      <c r="WO17" s="1"/>
      <c r="WP17" s="1"/>
      <c r="WQ17" s="1"/>
      <c r="WR17" s="1"/>
      <c r="WS17" s="1"/>
      <c r="WT17" s="1"/>
      <c r="WU17" s="1"/>
      <c r="WV17" s="1"/>
      <c r="WW17" s="1"/>
      <c r="WX17" s="1"/>
      <c r="WY17" s="1"/>
      <c r="WZ17" s="1"/>
      <c r="XA17" s="1"/>
      <c r="XB17" s="1"/>
      <c r="XC17" s="1"/>
      <c r="XD17" s="1"/>
      <c r="XE17" s="1"/>
      <c r="XF17" s="1"/>
      <c r="XG17" s="1"/>
      <c r="XH17" s="1"/>
      <c r="XI17" s="1"/>
      <c r="XJ17" s="1"/>
      <c r="XK17" s="1"/>
      <c r="XL17" s="1"/>
      <c r="XM17" s="1"/>
      <c r="XN17" s="1"/>
      <c r="XO17" s="1"/>
      <c r="XP17" s="1"/>
      <c r="XQ17" s="1"/>
      <c r="XR17" s="1"/>
      <c r="XS17" s="1"/>
      <c r="XT17" s="1"/>
      <c r="XU17" s="1"/>
      <c r="XV17" s="1"/>
      <c r="XW17" s="1"/>
      <c r="XX17" s="1"/>
      <c r="XY17" s="1"/>
      <c r="XZ17" s="1"/>
      <c r="YA17" s="1"/>
      <c r="YB17" s="1"/>
      <c r="YC17" s="1"/>
      <c r="YD17" s="1"/>
      <c r="YE17" s="1"/>
      <c r="YF17" s="1"/>
      <c r="YG17" s="1"/>
      <c r="YH17" s="1"/>
      <c r="YI17" s="1"/>
      <c r="YJ17" s="1"/>
      <c r="YK17" s="1"/>
      <c r="YL17" s="1"/>
      <c r="YM17" s="1"/>
      <c r="YN17" s="1"/>
      <c r="YO17" s="1"/>
      <c r="YP17" s="1"/>
      <c r="YQ17" s="1"/>
      <c r="YR17" s="1"/>
      <c r="YS17" s="1"/>
      <c r="YT17" s="1"/>
      <c r="YU17" s="1"/>
      <c r="YV17" s="1"/>
      <c r="YW17" s="1"/>
      <c r="YX17" s="1"/>
      <c r="YY17" s="1"/>
      <c r="YZ17" s="1"/>
      <c r="ZA17" s="1"/>
      <c r="ZB17" s="1"/>
      <c r="ZC17" s="1"/>
      <c r="ZD17" s="1"/>
      <c r="ZE17" s="1"/>
      <c r="ZF17" s="1"/>
      <c r="ZG17" s="1"/>
      <c r="ZH17" s="1"/>
      <c r="ZI17" s="1"/>
      <c r="ZJ17" s="1"/>
      <c r="ZK17" s="1"/>
      <c r="ZL17" s="1"/>
      <c r="ZM17" s="1"/>
      <c r="ZN17" s="1"/>
      <c r="ZO17" s="1"/>
      <c r="ZP17" s="1"/>
      <c r="ZQ17" s="1"/>
      <c r="ZR17" s="1"/>
      <c r="ZS17" s="1"/>
      <c r="ZT17" s="1"/>
      <c r="ZU17" s="1"/>
      <c r="ZV17" s="1"/>
      <c r="ZW17" s="1"/>
      <c r="ZX17" s="1"/>
      <c r="ZY17" s="1"/>
      <c r="ZZ17" s="1"/>
      <c r="AAA17" s="1"/>
      <c r="AAB17" s="1"/>
      <c r="AAC17" s="1"/>
      <c r="AAD17" s="1"/>
      <c r="AAE17" s="1"/>
      <c r="AAF17" s="1"/>
      <c r="AAG17" s="1"/>
      <c r="AAH17" s="1"/>
      <c r="AAI17" s="1"/>
      <c r="AAJ17" s="1"/>
      <c r="AAK17" s="1"/>
      <c r="AAL17" s="1"/>
      <c r="AAM17" s="1"/>
      <c r="AAN17" s="1"/>
      <c r="AAO17" s="1"/>
      <c r="AAP17" s="1"/>
      <c r="AAQ17" s="1"/>
      <c r="AAR17" s="1"/>
      <c r="AAS17" s="1"/>
      <c r="AAT17" s="1"/>
      <c r="AAU17" s="1"/>
      <c r="AAV17" s="1"/>
      <c r="AAW17" s="1"/>
      <c r="AAX17" s="1"/>
      <c r="AAY17" s="1"/>
      <c r="AAZ17" s="1"/>
      <c r="ABA17" s="1"/>
      <c r="ABB17" s="1"/>
      <c r="ABC17" s="1"/>
      <c r="ABD17" s="1"/>
      <c r="ABE17" s="1"/>
      <c r="ABF17" s="1"/>
      <c r="ABG17" s="1"/>
      <c r="ABH17" s="1"/>
      <c r="ABI17" s="1"/>
      <c r="ABJ17" s="1"/>
      <c r="ABK17" s="1"/>
      <c r="ABL17" s="1"/>
      <c r="ABM17" s="1"/>
      <c r="ABN17" s="1"/>
      <c r="ABO17" s="1"/>
      <c r="ABP17" s="1"/>
      <c r="ABQ17" s="1"/>
      <c r="ABR17" s="1"/>
      <c r="ABS17" s="1"/>
      <c r="ABT17" s="1"/>
      <c r="ABU17" s="1"/>
      <c r="ABV17" s="1"/>
      <c r="ABW17" s="1"/>
      <c r="ABX17" s="1"/>
      <c r="ABY17" s="1"/>
      <c r="ABZ17" s="1"/>
      <c r="ACA17" s="1"/>
      <c r="ACB17" s="1"/>
      <c r="ACC17" s="1"/>
      <c r="ACD17" s="1"/>
      <c r="ACE17" s="1"/>
      <c r="ACF17" s="1"/>
      <c r="ACG17" s="1"/>
      <c r="ACH17" s="1"/>
      <c r="ACI17" s="1"/>
      <c r="ACJ17" s="1"/>
      <c r="ACK17" s="1"/>
      <c r="ACL17" s="1"/>
      <c r="ACM17" s="1"/>
      <c r="ACN17" s="1"/>
      <c r="ACO17" s="1"/>
      <c r="ACP17" s="1"/>
      <c r="ACQ17" s="1"/>
      <c r="ACR17" s="1"/>
      <c r="ACS17" s="1"/>
      <c r="ACT17" s="1"/>
      <c r="ACU17" s="1"/>
      <c r="ACV17" s="1"/>
      <c r="ACW17" s="1"/>
      <c r="ACX17" s="1"/>
      <c r="ACY17" s="1"/>
      <c r="ACZ17" s="1"/>
      <c r="ADA17" s="1"/>
      <c r="ADB17" s="1"/>
      <c r="ADC17" s="1"/>
      <c r="ADD17" s="1"/>
      <c r="ADE17" s="1"/>
      <c r="ADF17" s="1"/>
      <c r="ADG17" s="1"/>
      <c r="ADH17" s="1"/>
      <c r="ADI17" s="1"/>
      <c r="ADJ17" s="1"/>
      <c r="ADK17" s="1"/>
      <c r="ADL17" s="1"/>
      <c r="ADM17" s="1"/>
      <c r="ADN17" s="1"/>
      <c r="ADO17" s="1"/>
      <c r="ADP17" s="1"/>
      <c r="ADQ17" s="1"/>
      <c r="ADR17" s="1"/>
      <c r="ADS17" s="1"/>
      <c r="ADT17" s="1"/>
      <c r="ADU17" s="1"/>
      <c r="ADV17" s="1"/>
      <c r="ADW17" s="1"/>
      <c r="ADX17" s="1"/>
      <c r="ADY17" s="1"/>
      <c r="ADZ17" s="1"/>
      <c r="AEA17" s="1"/>
      <c r="AEB17" s="1"/>
      <c r="AEC17" s="1"/>
      <c r="AED17" s="1"/>
      <c r="AEE17" s="1"/>
      <c r="AEF17" s="1"/>
      <c r="AEG17" s="1"/>
      <c r="AEH17" s="1"/>
      <c r="AEI17" s="1"/>
      <c r="AEJ17" s="1"/>
      <c r="AEK17" s="1"/>
      <c r="AEL17" s="1"/>
      <c r="AEM17" s="1"/>
      <c r="AEN17" s="1"/>
      <c r="AEO17" s="1"/>
      <c r="AEP17" s="1"/>
      <c r="AEQ17" s="1"/>
      <c r="AER17" s="1"/>
      <c r="AES17" s="1"/>
      <c r="AET17" s="1"/>
      <c r="AEU17" s="1"/>
      <c r="AEV17" s="1"/>
      <c r="AEW17" s="1"/>
      <c r="AEX17" s="1"/>
      <c r="AEY17" s="1"/>
      <c r="AEZ17" s="1"/>
      <c r="AFA17" s="1"/>
      <c r="AFB17" s="1"/>
      <c r="AFC17" s="1"/>
      <c r="AFD17" s="1"/>
      <c r="AFE17" s="1"/>
      <c r="AFF17" s="1"/>
      <c r="AFG17" s="1"/>
      <c r="AFH17" s="1"/>
      <c r="AFI17" s="1"/>
      <c r="AFJ17" s="1"/>
      <c r="AFK17" s="1"/>
      <c r="AFL17" s="1"/>
      <c r="AFM17" s="1"/>
      <c r="AFN17" s="1"/>
      <c r="AFO17" s="1"/>
      <c r="AFP17" s="1"/>
      <c r="AFQ17" s="1"/>
      <c r="AFR17" s="1"/>
      <c r="AFS17" s="1"/>
      <c r="AFT17" s="1"/>
      <c r="AFU17" s="1"/>
      <c r="AFV17" s="1"/>
      <c r="AFW17" s="1"/>
      <c r="AFX17" s="1"/>
      <c r="AFY17" s="1"/>
      <c r="AFZ17" s="1"/>
      <c r="AGA17" s="1"/>
      <c r="AGB17" s="1"/>
      <c r="AGC17" s="1"/>
      <c r="AGD17" s="1"/>
      <c r="AGE17" s="1"/>
      <c r="AGF17" s="1"/>
      <c r="AGG17" s="1"/>
      <c r="AGH17" s="1"/>
      <c r="AGI17" s="1"/>
      <c r="AGJ17" s="1"/>
      <c r="AGK17" s="1"/>
      <c r="AGL17" s="1"/>
      <c r="AGM17" s="1"/>
      <c r="AGN17" s="1"/>
      <c r="AGO17" s="1"/>
      <c r="AGP17" s="1"/>
      <c r="AGQ17" s="1"/>
      <c r="AGR17" s="1"/>
      <c r="AGS17" s="1"/>
      <c r="AGT17" s="1"/>
      <c r="AGU17" s="1"/>
      <c r="AGV17" s="1"/>
      <c r="AGW17" s="1"/>
      <c r="AGX17" s="1"/>
      <c r="AGY17" s="1"/>
      <c r="AGZ17" s="1"/>
      <c r="AHA17" s="1"/>
      <c r="AHB17" s="1"/>
      <c r="AHC17" s="1"/>
      <c r="AHD17" s="1"/>
      <c r="AHE17" s="1"/>
      <c r="AHF17" s="1"/>
      <c r="AHG17" s="1"/>
      <c r="AHH17" s="1"/>
      <c r="AHI17" s="1"/>
      <c r="AHJ17" s="1"/>
      <c r="AHK17" s="1"/>
      <c r="AHL17" s="1"/>
      <c r="AHM17" s="1"/>
      <c r="AHN17" s="1"/>
      <c r="AHO17" s="1"/>
      <c r="AHP17" s="1"/>
      <c r="AHQ17" s="1"/>
      <c r="AHR17" s="1"/>
      <c r="AHS17" s="1"/>
      <c r="AHT17" s="1"/>
      <c r="AHU17" s="1"/>
      <c r="AHV17" s="1"/>
      <c r="AHW17" s="1"/>
      <c r="AHX17" s="1"/>
      <c r="AHY17" s="1"/>
      <c r="AHZ17" s="1"/>
      <c r="AIA17" s="1"/>
      <c r="AIB17" s="1"/>
      <c r="AIC17" s="1"/>
      <c r="AID17" s="1"/>
      <c r="AIE17" s="1"/>
      <c r="AIF17" s="1"/>
      <c r="AIG17" s="1"/>
      <c r="AIH17" s="1"/>
      <c r="AII17" s="1"/>
      <c r="AIJ17" s="1"/>
      <c r="AIK17" s="1"/>
      <c r="AIL17" s="1"/>
      <c r="AIM17" s="1"/>
      <c r="AIN17" s="1"/>
      <c r="AIO17" s="1"/>
      <c r="AIP17" s="1"/>
      <c r="AIQ17" s="1"/>
      <c r="AIR17" s="1"/>
      <c r="AIS17" s="1"/>
      <c r="AIT17" s="1"/>
      <c r="AIU17" s="1"/>
      <c r="AIV17" s="1"/>
      <c r="AIW17" s="1"/>
      <c r="AIX17" s="1"/>
      <c r="AIY17" s="1"/>
      <c r="AIZ17" s="1"/>
      <c r="AJA17" s="1"/>
      <c r="AJB17" s="1"/>
      <c r="AJC17" s="1"/>
      <c r="AJD17" s="1"/>
      <c r="AJE17" s="1"/>
      <c r="AJF17" s="1"/>
      <c r="AJG17" s="1"/>
      <c r="AJH17" s="1"/>
      <c r="AJI17" s="1"/>
      <c r="AJJ17" s="1"/>
      <c r="AJK17" s="1"/>
      <c r="AJL17" s="1"/>
      <c r="AJM17" s="1"/>
      <c r="AJN17" s="1"/>
      <c r="AJO17" s="1"/>
      <c r="AJP17" s="1"/>
      <c r="AJQ17" s="1"/>
      <c r="AJR17" s="1"/>
      <c r="AJS17" s="1"/>
      <c r="AJT17" s="1"/>
      <c r="AJU17" s="1"/>
      <c r="AJV17" s="1"/>
      <c r="AJW17" s="1"/>
      <c r="AJX17" s="1"/>
      <c r="AJY17" s="1"/>
      <c r="AJZ17" s="1"/>
      <c r="AKA17" s="1"/>
      <c r="AKB17" s="1"/>
      <c r="AKC17" s="1"/>
      <c r="AKD17" s="1"/>
      <c r="AKE17" s="1"/>
      <c r="AKF17" s="1"/>
      <c r="AKG17" s="1"/>
      <c r="AKH17" s="1"/>
      <c r="AKI17" s="1"/>
      <c r="AKJ17" s="1"/>
      <c r="AKK17" s="1"/>
      <c r="AKL17" s="1"/>
      <c r="AKM17" s="1"/>
      <c r="AKN17" s="1"/>
      <c r="AKO17" s="1"/>
      <c r="AKP17" s="1"/>
      <c r="AKQ17" s="1"/>
      <c r="AKR17" s="1"/>
      <c r="AKS17" s="1"/>
      <c r="AKT17" s="1"/>
      <c r="AKU17" s="1"/>
      <c r="AKV17" s="1"/>
      <c r="AKW17" s="1"/>
      <c r="AKX17" s="1"/>
      <c r="AKY17" s="1"/>
      <c r="AKZ17" s="1"/>
      <c r="ALA17" s="1"/>
      <c r="ALB17" s="1"/>
      <c r="ALC17" s="1"/>
      <c r="ALD17" s="1"/>
      <c r="ALE17" s="1"/>
      <c r="ALF17" s="1"/>
      <c r="ALG17" s="1"/>
      <c r="ALH17" s="1"/>
      <c r="ALI17" s="1"/>
      <c r="ALJ17" s="1"/>
      <c r="ALK17" s="1"/>
      <c r="ALL17" s="1"/>
      <c r="ALM17" s="1"/>
      <c r="ALN17" s="1"/>
      <c r="ALO17" s="1"/>
      <c r="ALP17" s="1"/>
      <c r="ALQ17" s="1"/>
      <c r="ALR17" s="1"/>
      <c r="ALS17" s="1"/>
      <c r="ALT17" s="1"/>
      <c r="ALU17" s="1"/>
      <c r="ALV17" s="1"/>
      <c r="ALW17" s="1"/>
      <c r="ALX17" s="1"/>
      <c r="ALY17" s="1"/>
      <c r="ALZ17" s="1"/>
      <c r="AMA17" s="1"/>
      <c r="AMB17" s="1"/>
      <c r="AMC17" s="1"/>
      <c r="AMD17" s="1"/>
      <c r="AME17" s="1"/>
      <c r="AMF17" s="1"/>
      <c r="AMG17" s="1"/>
      <c r="AMH17" s="1"/>
      <c r="AMI17" s="1"/>
      <c r="AMJ17" s="1"/>
      <c r="AMK17" s="1"/>
      <c r="AML17" s="1"/>
      <c r="AMM17" s="1"/>
      <c r="AMN17" s="1"/>
    </row>
    <row r="18" spans="1:1029" x14ac:dyDescent="0.2">
      <c r="A18" s="3" t="str">
        <f t="shared" si="0"/>
        <v>aa2ar_human_3UZA</v>
      </c>
      <c r="B18" s="3" t="s">
        <v>139</v>
      </c>
      <c r="C18" s="3" t="s">
        <v>1036</v>
      </c>
      <c r="D18" s="3" t="str">
        <f>IFERROR(MID(VLOOKUP($B18,Seqs!$A:$B,2,0),E18,1),"")</f>
        <v>S</v>
      </c>
      <c r="E18" s="3">
        <v>7</v>
      </c>
      <c r="F18" s="3" t="str">
        <f>IFERROR(MID(VLOOKUP($B18,Seqs!$A:$B,2,0),G18,1),"")</f>
        <v>N</v>
      </c>
      <c r="G18" s="3">
        <v>34</v>
      </c>
      <c r="H18" s="3" t="str">
        <f>IFERROR(MID(VLOOKUP($B18,Seqs!$A:$B,2,0),I18,1),"")</f>
        <v>S</v>
      </c>
      <c r="I18" s="23">
        <v>35</v>
      </c>
      <c r="J18" s="3" t="str">
        <f>IFERROR(MID(VLOOKUP($B18,Seqs!$A:$B,2,0),K18,1),"")</f>
        <v>Q</v>
      </c>
      <c r="K18" s="23">
        <v>38</v>
      </c>
      <c r="L18" s="3" t="str">
        <f>IFERROR(MID(VLOOKUP($B18,Seqs!$A:$B,2,0),M18,1),"")</f>
        <v>N</v>
      </c>
      <c r="M18" s="3">
        <v>39</v>
      </c>
      <c r="N18" s="3" t="str">
        <f>IFERROR(MID(VLOOKUP($B18,Seqs!$A:$B,2,0),O18,1),"")</f>
        <v>G</v>
      </c>
      <c r="O18" s="3">
        <v>69</v>
      </c>
      <c r="P18" s="3" t="str">
        <f>IFERROR(MID(VLOOKUP($B18,Seqs!$A:$B,2,0),Q18,1),"")</f>
        <v>F</v>
      </c>
      <c r="Q18" s="3">
        <v>70</v>
      </c>
      <c r="R18" s="3" t="str">
        <f>IFERROR(MID(VLOOKUP($B18,Seqs!$A:$B,2,0),S18,1),"")</f>
        <v>A</v>
      </c>
      <c r="S18" s="3">
        <v>72</v>
      </c>
      <c r="T18" s="3" t="str">
        <f>IFERROR(MID(VLOOKUP($B18,Seqs!$A:$B,2,0),U18,1),"")</f>
        <v>A</v>
      </c>
      <c r="U18" s="3">
        <v>73</v>
      </c>
      <c r="V18" s="3" t="str">
        <f>IFERROR(MID(VLOOKUP($B18,Seqs!$A:$B,2,0),W18,1),"")</f>
        <v>I</v>
      </c>
      <c r="W18" s="3">
        <v>108</v>
      </c>
      <c r="X18" s="3" t="str">
        <f>IFERROR(MID(VLOOKUP($B18,Seqs!$A:$B,2,0),Y18,1),"")</f>
        <v>P</v>
      </c>
      <c r="Y18" s="3">
        <v>109</v>
      </c>
      <c r="Z18" s="3" t="str">
        <f>IFERROR(MID(VLOOKUP($B18,Seqs!$A:$B,2,0),AA18,1),"")</f>
        <v>V</v>
      </c>
      <c r="AA18" s="3">
        <v>116</v>
      </c>
      <c r="AB18" s="3" t="str">
        <f>IFERROR(MID(VLOOKUP($B18,Seqs!$A:$B,2,0),AC18,1),"")</f>
        <v>T</v>
      </c>
      <c r="AC18" s="9">
        <v>117</v>
      </c>
      <c r="AD18" s="3" t="str">
        <f>IFERROR(MID(VLOOKUP($B18,Seqs!$A:$B,2,0),AE18,1),"")</f>
        <v>G</v>
      </c>
      <c r="AE18" s="3">
        <v>142</v>
      </c>
      <c r="AF18" s="3" t="str">
        <f>IFERROR(MID(VLOOKUP($B18,Seqs!$A:$B,2,0),AG18,1),"")</f>
        <v>C</v>
      </c>
      <c r="AG18" s="3">
        <v>166</v>
      </c>
      <c r="AH18" s="3" t="str">
        <f>IFERROR(MID(VLOOKUP($B18,Seqs!$A:$B,2,0),AI18,1),"")</f>
        <v>F</v>
      </c>
      <c r="AI18" s="3">
        <v>168</v>
      </c>
      <c r="AJ18" s="3" t="str">
        <f>IFERROR(MID(VLOOKUP($B18,Seqs!$A:$B,2,0),AK18,1),"")</f>
        <v>P</v>
      </c>
      <c r="AK18" s="3">
        <v>173</v>
      </c>
      <c r="AL18" s="3" t="str">
        <f>IFERROR(MID(VLOOKUP($B18,Seqs!$A:$B,2,0),AM18,1),"")</f>
        <v>S</v>
      </c>
      <c r="AM18" s="3">
        <v>213</v>
      </c>
      <c r="AN18" s="3" t="str">
        <f>IFERROR(MID(VLOOKUP($B18,Seqs!$A:$B,2,0),AO18,1),"")</f>
        <v>E</v>
      </c>
      <c r="AO18" s="3">
        <v>219</v>
      </c>
      <c r="AP18" s="3" t="str">
        <f>IFERROR(MID(VLOOKUP($B18,Seqs!$A:$B,2,0),AQ18,1),"")</f>
        <v>C</v>
      </c>
      <c r="AQ18" s="3">
        <v>259</v>
      </c>
      <c r="AR18" s="3" t="str">
        <f>IFERROR(MID(VLOOKUP($B18,Seqs!$A:$B,2,0),AS18,1),"")</f>
        <v>P</v>
      </c>
      <c r="AS18" s="3">
        <v>266</v>
      </c>
      <c r="AT18" s="3" t="str">
        <f>IFERROR(MID(VLOOKUP($B18,Seqs!$A:$B,2,0),AU18,1),"")</f>
        <v>R</v>
      </c>
      <c r="AU18" s="3">
        <v>291</v>
      </c>
      <c r="AV18" s="3" t="str">
        <f>IFERROR(MID(VLOOKUP($B18,Seqs!$A:$B,2,0),AW18,1),"")</f>
        <v>I</v>
      </c>
      <c r="AW18" s="3">
        <v>292</v>
      </c>
      <c r="AX18" s="3" t="str">
        <f>IFERROR(MID(VLOOKUP($B18,Seqs!$A:$B,2,0),AY18,1),"")</f>
        <v>S</v>
      </c>
      <c r="AY18" s="3">
        <v>305</v>
      </c>
      <c r="AZ18" s="79" t="str">
        <f>VLOOKUP(B18,Classification!A:D,2,0)</f>
        <v>A</v>
      </c>
      <c r="BA18" s="97" t="str">
        <f>VLOOKUP(B18,Classification!A:D,4,0)</f>
        <v>Adenosine</v>
      </c>
      <c r="BB18" s="27" t="b">
        <f t="shared" si="1"/>
        <v>1</v>
      </c>
      <c r="BC18" s="23">
        <f t="shared" si="2"/>
        <v>261</v>
      </c>
      <c r="BD18" s="4" t="s">
        <v>23</v>
      </c>
      <c r="BE18" s="3" t="s">
        <v>1381</v>
      </c>
      <c r="BF18" s="50" t="s">
        <v>1384</v>
      </c>
      <c r="BG18" s="50" t="s">
        <v>1384</v>
      </c>
      <c r="BH18" s="1"/>
      <c r="BI18" s="72" t="s">
        <v>1293</v>
      </c>
      <c r="BJ18" s="58" t="s">
        <v>1293</v>
      </c>
      <c r="BK18" s="58" t="s">
        <v>1293</v>
      </c>
      <c r="BL18" s="58" t="s">
        <v>1293</v>
      </c>
      <c r="BM18" s="58" t="s">
        <v>1293</v>
      </c>
      <c r="BN18" s="58" t="s">
        <v>1293</v>
      </c>
      <c r="BO18" s="58" t="s">
        <v>1293</v>
      </c>
      <c r="BP18" s="58" t="s">
        <v>1293</v>
      </c>
      <c r="BQ18" s="58" t="s">
        <v>1293</v>
      </c>
      <c r="BR18" s="58" t="s">
        <v>1293</v>
      </c>
      <c r="BS18" s="58" t="s">
        <v>1293</v>
      </c>
      <c r="BT18" s="58" t="s">
        <v>1293</v>
      </c>
      <c r="BU18" s="72">
        <f t="shared" si="3"/>
        <v>7</v>
      </c>
      <c r="BV18" s="73">
        <f t="shared" si="4"/>
        <v>35</v>
      </c>
      <c r="BW18" s="74">
        <f t="shared" si="5"/>
        <v>39</v>
      </c>
      <c r="BX18" s="73">
        <f t="shared" si="6"/>
        <v>70</v>
      </c>
      <c r="BY18" s="74">
        <f t="shared" si="7"/>
        <v>73</v>
      </c>
      <c r="BZ18" s="73">
        <f t="shared" si="8"/>
        <v>109</v>
      </c>
      <c r="CA18" s="74">
        <f t="shared" si="9"/>
        <v>117</v>
      </c>
      <c r="CB18" s="73">
        <f t="shared" si="10"/>
        <v>166</v>
      </c>
      <c r="CC18" s="74">
        <f t="shared" si="11"/>
        <v>173</v>
      </c>
      <c r="CD18" s="73">
        <f t="shared" si="12"/>
        <v>219</v>
      </c>
      <c r="CE18" s="74">
        <f t="shared" si="13"/>
        <v>266</v>
      </c>
      <c r="CF18" s="73">
        <f t="shared" si="14"/>
        <v>292</v>
      </c>
      <c r="CG18" s="72">
        <f t="shared" si="15"/>
        <v>34</v>
      </c>
      <c r="CH18" s="73">
        <f t="shared" si="16"/>
        <v>38</v>
      </c>
      <c r="CI18" s="74">
        <f t="shared" si="17"/>
        <v>69</v>
      </c>
      <c r="CJ18" s="74">
        <f t="shared" si="18"/>
        <v>72</v>
      </c>
      <c r="CK18" s="74">
        <f t="shared" si="19"/>
        <v>108</v>
      </c>
      <c r="CL18" s="74">
        <f t="shared" si="20"/>
        <v>116</v>
      </c>
      <c r="CM18" s="74">
        <f t="shared" si="21"/>
        <v>142</v>
      </c>
      <c r="CN18" s="74">
        <f t="shared" si="22"/>
        <v>168</v>
      </c>
      <c r="CO18" s="74">
        <f t="shared" si="23"/>
        <v>213</v>
      </c>
      <c r="CP18" s="74">
        <f t="shared" si="24"/>
        <v>259</v>
      </c>
      <c r="CQ18" s="74">
        <f t="shared" si="25"/>
        <v>291</v>
      </c>
      <c r="CR18" s="74">
        <f t="shared" si="26"/>
        <v>305</v>
      </c>
      <c r="CS18" s="23">
        <f t="shared" si="27"/>
        <v>1</v>
      </c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  <c r="OK18" s="1"/>
      <c r="OL18" s="1"/>
      <c r="OM18" s="1"/>
      <c r="ON18" s="1"/>
      <c r="OO18" s="1"/>
      <c r="OP18" s="1"/>
      <c r="OQ18" s="1"/>
      <c r="OR18" s="1"/>
      <c r="OS18" s="1"/>
      <c r="OT18" s="1"/>
      <c r="OU18" s="1"/>
      <c r="OV18" s="1"/>
      <c r="OW18" s="1"/>
      <c r="OX18" s="1"/>
      <c r="OY18" s="1"/>
      <c r="OZ18" s="1"/>
      <c r="PA18" s="1"/>
      <c r="PB18" s="1"/>
      <c r="PC18" s="1"/>
      <c r="PD18" s="1"/>
      <c r="PE18" s="1"/>
      <c r="PF18" s="1"/>
      <c r="PG18" s="1"/>
      <c r="PH18" s="1"/>
      <c r="PI18" s="1"/>
      <c r="PJ18" s="1"/>
      <c r="PK18" s="1"/>
      <c r="PL18" s="1"/>
      <c r="PM18" s="1"/>
      <c r="PN18" s="1"/>
      <c r="PO18" s="1"/>
      <c r="PP18" s="1"/>
      <c r="PQ18" s="1"/>
      <c r="PR18" s="1"/>
      <c r="PS18" s="1"/>
      <c r="PT18" s="1"/>
      <c r="PU18" s="1"/>
      <c r="PV18" s="1"/>
      <c r="PW18" s="1"/>
      <c r="PX18" s="1"/>
      <c r="PY18" s="1"/>
      <c r="PZ18" s="1"/>
      <c r="QA18" s="1"/>
      <c r="QB18" s="1"/>
      <c r="QC18" s="1"/>
      <c r="QD18" s="1"/>
      <c r="QE18" s="1"/>
      <c r="QF18" s="1"/>
      <c r="QG18" s="1"/>
      <c r="QH18" s="1"/>
      <c r="QI18" s="1"/>
      <c r="QJ18" s="1"/>
      <c r="QK18" s="1"/>
      <c r="QL18" s="1"/>
      <c r="QM18" s="1"/>
      <c r="QN18" s="1"/>
      <c r="QO18" s="1"/>
      <c r="QP18" s="1"/>
      <c r="QQ18" s="1"/>
      <c r="QR18" s="1"/>
      <c r="QS18" s="1"/>
      <c r="QT18" s="1"/>
      <c r="QU18" s="1"/>
      <c r="QV18" s="1"/>
      <c r="QW18" s="1"/>
      <c r="QX18" s="1"/>
      <c r="QY18" s="1"/>
      <c r="QZ18" s="1"/>
      <c r="RA18" s="1"/>
      <c r="RB18" s="1"/>
      <c r="RC18" s="1"/>
      <c r="RD18" s="1"/>
      <c r="RE18" s="1"/>
      <c r="RF18" s="1"/>
      <c r="RG18" s="1"/>
      <c r="RH18" s="1"/>
      <c r="RI18" s="1"/>
      <c r="RJ18" s="1"/>
      <c r="RK18" s="1"/>
      <c r="RL18" s="1"/>
      <c r="RM18" s="1"/>
      <c r="RN18" s="1"/>
      <c r="RO18" s="1"/>
      <c r="RP18" s="1"/>
      <c r="RQ18" s="1"/>
      <c r="RR18" s="1"/>
      <c r="RS18" s="1"/>
      <c r="RT18" s="1"/>
      <c r="RU18" s="1"/>
      <c r="RV18" s="1"/>
      <c r="RW18" s="1"/>
      <c r="RX18" s="1"/>
      <c r="RY18" s="1"/>
      <c r="RZ18" s="1"/>
      <c r="SA18" s="1"/>
      <c r="SB18" s="1"/>
      <c r="SC18" s="1"/>
      <c r="SD18" s="1"/>
      <c r="SE18" s="1"/>
      <c r="SF18" s="1"/>
      <c r="SG18" s="1"/>
      <c r="SH18" s="1"/>
      <c r="SI18" s="1"/>
      <c r="SJ18" s="1"/>
      <c r="SK18" s="1"/>
      <c r="SL18" s="1"/>
      <c r="SM18" s="1"/>
      <c r="SN18" s="1"/>
      <c r="SO18" s="1"/>
      <c r="SP18" s="1"/>
      <c r="SQ18" s="1"/>
      <c r="SR18" s="1"/>
      <c r="SS18" s="1"/>
      <c r="ST18" s="1"/>
      <c r="SU18" s="1"/>
      <c r="SV18" s="1"/>
      <c r="SW18" s="1"/>
      <c r="SX18" s="1"/>
      <c r="SY18" s="1"/>
      <c r="SZ18" s="1"/>
      <c r="TA18" s="1"/>
      <c r="TB18" s="1"/>
      <c r="TC18" s="1"/>
      <c r="TD18" s="1"/>
      <c r="TE18" s="1"/>
      <c r="TF18" s="1"/>
      <c r="TG18" s="1"/>
      <c r="TH18" s="1"/>
      <c r="TI18" s="1"/>
      <c r="TJ18" s="1"/>
      <c r="TK18" s="1"/>
      <c r="TL18" s="1"/>
      <c r="TM18" s="1"/>
      <c r="TN18" s="1"/>
      <c r="TO18" s="1"/>
      <c r="TP18" s="1"/>
      <c r="TQ18" s="1"/>
      <c r="TR18" s="1"/>
      <c r="TS18" s="1"/>
      <c r="TT18" s="1"/>
      <c r="TU18" s="1"/>
      <c r="TV18" s="1"/>
      <c r="TW18" s="1"/>
      <c r="TX18" s="1"/>
      <c r="TY18" s="1"/>
      <c r="TZ18" s="1"/>
      <c r="UA18" s="1"/>
      <c r="UB18" s="1"/>
      <c r="UC18" s="1"/>
      <c r="UD18" s="1"/>
      <c r="UE18" s="1"/>
      <c r="UF18" s="1"/>
      <c r="UG18" s="1"/>
      <c r="UH18" s="1"/>
      <c r="UI18" s="1"/>
      <c r="UJ18" s="1"/>
      <c r="UK18" s="1"/>
      <c r="UL18" s="1"/>
      <c r="UM18" s="1"/>
      <c r="UN18" s="1"/>
      <c r="UO18" s="1"/>
      <c r="UP18" s="1"/>
      <c r="UQ18" s="1"/>
      <c r="UR18" s="1"/>
      <c r="US18" s="1"/>
      <c r="UT18" s="1"/>
      <c r="UU18" s="1"/>
      <c r="UV18" s="1"/>
      <c r="UW18" s="1"/>
      <c r="UX18" s="1"/>
      <c r="UY18" s="1"/>
      <c r="UZ18" s="1"/>
      <c r="VA18" s="1"/>
      <c r="VB18" s="1"/>
      <c r="VC18" s="1"/>
      <c r="VD18" s="1"/>
      <c r="VE18" s="1"/>
      <c r="VF18" s="1"/>
      <c r="VG18" s="1"/>
      <c r="VH18" s="1"/>
      <c r="VI18" s="1"/>
      <c r="VJ18" s="1"/>
      <c r="VK18" s="1"/>
      <c r="VL18" s="1"/>
      <c r="VM18" s="1"/>
      <c r="VN18" s="1"/>
      <c r="VO18" s="1"/>
      <c r="VP18" s="1"/>
      <c r="VQ18" s="1"/>
      <c r="VR18" s="1"/>
      <c r="VS18" s="1"/>
      <c r="VT18" s="1"/>
      <c r="VU18" s="1"/>
      <c r="VV18" s="1"/>
      <c r="VW18" s="1"/>
      <c r="VX18" s="1"/>
      <c r="VY18" s="1"/>
      <c r="VZ18" s="1"/>
      <c r="WA18" s="1"/>
      <c r="WB18" s="1"/>
      <c r="WC18" s="1"/>
      <c r="WD18" s="1"/>
      <c r="WE18" s="1"/>
      <c r="WF18" s="1"/>
      <c r="WG18" s="1"/>
      <c r="WH18" s="1"/>
      <c r="WI18" s="1"/>
      <c r="WJ18" s="1"/>
      <c r="WK18" s="1"/>
      <c r="WL18" s="1"/>
      <c r="WM18" s="1"/>
      <c r="WN18" s="1"/>
      <c r="WO18" s="1"/>
      <c r="WP18" s="1"/>
      <c r="WQ18" s="1"/>
      <c r="WR18" s="1"/>
      <c r="WS18" s="1"/>
      <c r="WT18" s="1"/>
      <c r="WU18" s="1"/>
      <c r="WV18" s="1"/>
      <c r="WW18" s="1"/>
      <c r="WX18" s="1"/>
      <c r="WY18" s="1"/>
      <c r="WZ18" s="1"/>
      <c r="XA18" s="1"/>
      <c r="XB18" s="1"/>
      <c r="XC18" s="1"/>
      <c r="XD18" s="1"/>
      <c r="XE18" s="1"/>
      <c r="XF18" s="1"/>
      <c r="XG18" s="1"/>
      <c r="XH18" s="1"/>
      <c r="XI18" s="1"/>
      <c r="XJ18" s="1"/>
      <c r="XK18" s="1"/>
      <c r="XL18" s="1"/>
      <c r="XM18" s="1"/>
      <c r="XN18" s="1"/>
      <c r="XO18" s="1"/>
      <c r="XP18" s="1"/>
      <c r="XQ18" s="1"/>
      <c r="XR18" s="1"/>
      <c r="XS18" s="1"/>
      <c r="XT18" s="1"/>
      <c r="XU18" s="1"/>
      <c r="XV18" s="1"/>
      <c r="XW18" s="1"/>
      <c r="XX18" s="1"/>
      <c r="XY18" s="1"/>
      <c r="XZ18" s="1"/>
      <c r="YA18" s="1"/>
      <c r="YB18" s="1"/>
      <c r="YC18" s="1"/>
      <c r="YD18" s="1"/>
      <c r="YE18" s="1"/>
      <c r="YF18" s="1"/>
      <c r="YG18" s="1"/>
      <c r="YH18" s="1"/>
      <c r="YI18" s="1"/>
      <c r="YJ18" s="1"/>
      <c r="YK18" s="1"/>
      <c r="YL18" s="1"/>
      <c r="YM18" s="1"/>
      <c r="YN18" s="1"/>
      <c r="YO18" s="1"/>
      <c r="YP18" s="1"/>
      <c r="YQ18" s="1"/>
      <c r="YR18" s="1"/>
      <c r="YS18" s="1"/>
      <c r="YT18" s="1"/>
      <c r="YU18" s="1"/>
      <c r="YV18" s="1"/>
      <c r="YW18" s="1"/>
      <c r="YX18" s="1"/>
      <c r="YY18" s="1"/>
      <c r="YZ18" s="1"/>
      <c r="ZA18" s="1"/>
      <c r="ZB18" s="1"/>
      <c r="ZC18" s="1"/>
      <c r="ZD18" s="1"/>
      <c r="ZE18" s="1"/>
      <c r="ZF18" s="1"/>
      <c r="ZG18" s="1"/>
      <c r="ZH18" s="1"/>
      <c r="ZI18" s="1"/>
      <c r="ZJ18" s="1"/>
      <c r="ZK18" s="1"/>
      <c r="ZL18" s="1"/>
      <c r="ZM18" s="1"/>
      <c r="ZN18" s="1"/>
      <c r="ZO18" s="1"/>
      <c r="ZP18" s="1"/>
      <c r="ZQ18" s="1"/>
      <c r="ZR18" s="1"/>
      <c r="ZS18" s="1"/>
      <c r="ZT18" s="1"/>
      <c r="ZU18" s="1"/>
      <c r="ZV18" s="1"/>
      <c r="ZW18" s="1"/>
      <c r="ZX18" s="1"/>
      <c r="ZY18" s="1"/>
      <c r="ZZ18" s="1"/>
      <c r="AAA18" s="1"/>
      <c r="AAB18" s="1"/>
      <c r="AAC18" s="1"/>
      <c r="AAD18" s="1"/>
      <c r="AAE18" s="1"/>
      <c r="AAF18" s="1"/>
      <c r="AAG18" s="1"/>
      <c r="AAH18" s="1"/>
      <c r="AAI18" s="1"/>
      <c r="AAJ18" s="1"/>
      <c r="AAK18" s="1"/>
      <c r="AAL18" s="1"/>
      <c r="AAM18" s="1"/>
      <c r="AAN18" s="1"/>
      <c r="AAO18" s="1"/>
      <c r="AAP18" s="1"/>
      <c r="AAQ18" s="1"/>
      <c r="AAR18" s="1"/>
      <c r="AAS18" s="1"/>
      <c r="AAT18" s="1"/>
      <c r="AAU18" s="1"/>
      <c r="AAV18" s="1"/>
      <c r="AAW18" s="1"/>
      <c r="AAX18" s="1"/>
      <c r="AAY18" s="1"/>
      <c r="AAZ18" s="1"/>
      <c r="ABA18" s="1"/>
      <c r="ABB18" s="1"/>
      <c r="ABC18" s="1"/>
      <c r="ABD18" s="1"/>
      <c r="ABE18" s="1"/>
      <c r="ABF18" s="1"/>
      <c r="ABG18" s="1"/>
      <c r="ABH18" s="1"/>
      <c r="ABI18" s="1"/>
      <c r="ABJ18" s="1"/>
      <c r="ABK18" s="1"/>
      <c r="ABL18" s="1"/>
      <c r="ABM18" s="1"/>
      <c r="ABN18" s="1"/>
      <c r="ABO18" s="1"/>
      <c r="ABP18" s="1"/>
      <c r="ABQ18" s="1"/>
      <c r="ABR18" s="1"/>
      <c r="ABS18" s="1"/>
      <c r="ABT18" s="1"/>
      <c r="ABU18" s="1"/>
      <c r="ABV18" s="1"/>
      <c r="ABW18" s="1"/>
      <c r="ABX18" s="1"/>
      <c r="ABY18" s="1"/>
      <c r="ABZ18" s="1"/>
      <c r="ACA18" s="1"/>
      <c r="ACB18" s="1"/>
      <c r="ACC18" s="1"/>
      <c r="ACD18" s="1"/>
      <c r="ACE18" s="1"/>
      <c r="ACF18" s="1"/>
      <c r="ACG18" s="1"/>
      <c r="ACH18" s="1"/>
      <c r="ACI18" s="1"/>
      <c r="ACJ18" s="1"/>
      <c r="ACK18" s="1"/>
      <c r="ACL18" s="1"/>
      <c r="ACM18" s="1"/>
      <c r="ACN18" s="1"/>
      <c r="ACO18" s="1"/>
      <c r="ACP18" s="1"/>
      <c r="ACQ18" s="1"/>
      <c r="ACR18" s="1"/>
      <c r="ACS18" s="1"/>
      <c r="ACT18" s="1"/>
      <c r="ACU18" s="1"/>
      <c r="ACV18" s="1"/>
      <c r="ACW18" s="1"/>
      <c r="ACX18" s="1"/>
      <c r="ACY18" s="1"/>
      <c r="ACZ18" s="1"/>
      <c r="ADA18" s="1"/>
      <c r="ADB18" s="1"/>
      <c r="ADC18" s="1"/>
      <c r="ADD18" s="1"/>
      <c r="ADE18" s="1"/>
      <c r="ADF18" s="1"/>
      <c r="ADG18" s="1"/>
      <c r="ADH18" s="1"/>
      <c r="ADI18" s="1"/>
      <c r="ADJ18" s="1"/>
      <c r="ADK18" s="1"/>
      <c r="ADL18" s="1"/>
      <c r="ADM18" s="1"/>
      <c r="ADN18" s="1"/>
      <c r="ADO18" s="1"/>
      <c r="ADP18" s="1"/>
      <c r="ADQ18" s="1"/>
      <c r="ADR18" s="1"/>
      <c r="ADS18" s="1"/>
      <c r="ADT18" s="1"/>
      <c r="ADU18" s="1"/>
      <c r="ADV18" s="1"/>
      <c r="ADW18" s="1"/>
      <c r="ADX18" s="1"/>
      <c r="ADY18" s="1"/>
      <c r="ADZ18" s="1"/>
      <c r="AEA18" s="1"/>
      <c r="AEB18" s="1"/>
      <c r="AEC18" s="1"/>
      <c r="AED18" s="1"/>
      <c r="AEE18" s="1"/>
      <c r="AEF18" s="1"/>
      <c r="AEG18" s="1"/>
      <c r="AEH18" s="1"/>
      <c r="AEI18" s="1"/>
      <c r="AEJ18" s="1"/>
      <c r="AEK18" s="1"/>
      <c r="AEL18" s="1"/>
      <c r="AEM18" s="1"/>
      <c r="AEN18" s="1"/>
      <c r="AEO18" s="1"/>
      <c r="AEP18" s="1"/>
      <c r="AEQ18" s="1"/>
      <c r="AER18" s="1"/>
      <c r="AES18" s="1"/>
      <c r="AET18" s="1"/>
      <c r="AEU18" s="1"/>
      <c r="AEV18" s="1"/>
      <c r="AEW18" s="1"/>
      <c r="AEX18" s="1"/>
      <c r="AEY18" s="1"/>
      <c r="AEZ18" s="1"/>
      <c r="AFA18" s="1"/>
      <c r="AFB18" s="1"/>
      <c r="AFC18" s="1"/>
      <c r="AFD18" s="1"/>
      <c r="AFE18" s="1"/>
      <c r="AFF18" s="1"/>
      <c r="AFG18" s="1"/>
      <c r="AFH18" s="1"/>
      <c r="AFI18" s="1"/>
      <c r="AFJ18" s="1"/>
      <c r="AFK18" s="1"/>
      <c r="AFL18" s="1"/>
      <c r="AFM18" s="1"/>
      <c r="AFN18" s="1"/>
      <c r="AFO18" s="1"/>
      <c r="AFP18" s="1"/>
      <c r="AFQ18" s="1"/>
      <c r="AFR18" s="1"/>
      <c r="AFS18" s="1"/>
      <c r="AFT18" s="1"/>
      <c r="AFU18" s="1"/>
      <c r="AFV18" s="1"/>
      <c r="AFW18" s="1"/>
      <c r="AFX18" s="1"/>
      <c r="AFY18" s="1"/>
      <c r="AFZ18" s="1"/>
      <c r="AGA18" s="1"/>
      <c r="AGB18" s="1"/>
      <c r="AGC18" s="1"/>
      <c r="AGD18" s="1"/>
      <c r="AGE18" s="1"/>
      <c r="AGF18" s="1"/>
      <c r="AGG18" s="1"/>
      <c r="AGH18" s="1"/>
      <c r="AGI18" s="1"/>
      <c r="AGJ18" s="1"/>
      <c r="AGK18" s="1"/>
      <c r="AGL18" s="1"/>
      <c r="AGM18" s="1"/>
      <c r="AGN18" s="1"/>
      <c r="AGO18" s="1"/>
      <c r="AGP18" s="1"/>
      <c r="AGQ18" s="1"/>
      <c r="AGR18" s="1"/>
      <c r="AGS18" s="1"/>
      <c r="AGT18" s="1"/>
      <c r="AGU18" s="1"/>
      <c r="AGV18" s="1"/>
      <c r="AGW18" s="1"/>
      <c r="AGX18" s="1"/>
      <c r="AGY18" s="1"/>
      <c r="AGZ18" s="1"/>
      <c r="AHA18" s="1"/>
      <c r="AHB18" s="1"/>
      <c r="AHC18" s="1"/>
      <c r="AHD18" s="1"/>
      <c r="AHE18" s="1"/>
      <c r="AHF18" s="1"/>
      <c r="AHG18" s="1"/>
      <c r="AHH18" s="1"/>
      <c r="AHI18" s="1"/>
      <c r="AHJ18" s="1"/>
      <c r="AHK18" s="1"/>
      <c r="AHL18" s="1"/>
      <c r="AHM18" s="1"/>
      <c r="AHN18" s="1"/>
      <c r="AHO18" s="1"/>
      <c r="AHP18" s="1"/>
      <c r="AHQ18" s="1"/>
      <c r="AHR18" s="1"/>
      <c r="AHS18" s="1"/>
      <c r="AHT18" s="1"/>
      <c r="AHU18" s="1"/>
      <c r="AHV18" s="1"/>
      <c r="AHW18" s="1"/>
      <c r="AHX18" s="1"/>
      <c r="AHY18" s="1"/>
      <c r="AHZ18" s="1"/>
      <c r="AIA18" s="1"/>
      <c r="AIB18" s="1"/>
      <c r="AIC18" s="1"/>
      <c r="AID18" s="1"/>
      <c r="AIE18" s="1"/>
      <c r="AIF18" s="1"/>
      <c r="AIG18" s="1"/>
      <c r="AIH18" s="1"/>
      <c r="AII18" s="1"/>
      <c r="AIJ18" s="1"/>
      <c r="AIK18" s="1"/>
      <c r="AIL18" s="1"/>
      <c r="AIM18" s="1"/>
      <c r="AIN18" s="1"/>
      <c r="AIO18" s="1"/>
      <c r="AIP18" s="1"/>
      <c r="AIQ18" s="1"/>
      <c r="AIR18" s="1"/>
      <c r="AIS18" s="1"/>
      <c r="AIT18" s="1"/>
      <c r="AIU18" s="1"/>
      <c r="AIV18" s="1"/>
      <c r="AIW18" s="1"/>
      <c r="AIX18" s="1"/>
      <c r="AIY18" s="1"/>
      <c r="AIZ18" s="1"/>
      <c r="AJA18" s="1"/>
      <c r="AJB18" s="1"/>
      <c r="AJC18" s="1"/>
      <c r="AJD18" s="1"/>
      <c r="AJE18" s="1"/>
      <c r="AJF18" s="1"/>
      <c r="AJG18" s="1"/>
      <c r="AJH18" s="1"/>
      <c r="AJI18" s="1"/>
      <c r="AJJ18" s="1"/>
      <c r="AJK18" s="1"/>
      <c r="AJL18" s="1"/>
      <c r="AJM18" s="1"/>
      <c r="AJN18" s="1"/>
      <c r="AJO18" s="1"/>
      <c r="AJP18" s="1"/>
      <c r="AJQ18" s="1"/>
      <c r="AJR18" s="1"/>
      <c r="AJS18" s="1"/>
      <c r="AJT18" s="1"/>
      <c r="AJU18" s="1"/>
      <c r="AJV18" s="1"/>
      <c r="AJW18" s="1"/>
      <c r="AJX18" s="1"/>
      <c r="AJY18" s="1"/>
      <c r="AJZ18" s="1"/>
      <c r="AKA18" s="1"/>
      <c r="AKB18" s="1"/>
      <c r="AKC18" s="1"/>
      <c r="AKD18" s="1"/>
      <c r="AKE18" s="1"/>
      <c r="AKF18" s="1"/>
      <c r="AKG18" s="1"/>
      <c r="AKH18" s="1"/>
      <c r="AKI18" s="1"/>
      <c r="AKJ18" s="1"/>
      <c r="AKK18" s="1"/>
      <c r="AKL18" s="1"/>
      <c r="AKM18" s="1"/>
      <c r="AKN18" s="1"/>
      <c r="AKO18" s="1"/>
      <c r="AKP18" s="1"/>
      <c r="AKQ18" s="1"/>
      <c r="AKR18" s="1"/>
      <c r="AKS18" s="1"/>
      <c r="AKT18" s="1"/>
      <c r="AKU18" s="1"/>
      <c r="AKV18" s="1"/>
      <c r="AKW18" s="1"/>
      <c r="AKX18" s="1"/>
      <c r="AKY18" s="1"/>
      <c r="AKZ18" s="1"/>
      <c r="ALA18" s="1"/>
      <c r="ALB18" s="1"/>
      <c r="ALC18" s="1"/>
      <c r="ALD18" s="1"/>
      <c r="ALE18" s="1"/>
      <c r="ALF18" s="1"/>
      <c r="ALG18" s="1"/>
      <c r="ALH18" s="1"/>
      <c r="ALI18" s="1"/>
      <c r="ALJ18" s="1"/>
      <c r="ALK18" s="1"/>
      <c r="ALL18" s="1"/>
      <c r="ALM18" s="1"/>
      <c r="ALN18" s="1"/>
      <c r="ALO18" s="1"/>
      <c r="ALP18" s="1"/>
      <c r="ALQ18" s="1"/>
      <c r="ALR18" s="1"/>
      <c r="ALS18" s="1"/>
      <c r="ALT18" s="1"/>
      <c r="ALU18" s="1"/>
      <c r="ALV18" s="1"/>
      <c r="ALW18" s="1"/>
      <c r="ALX18" s="1"/>
      <c r="ALY18" s="1"/>
      <c r="ALZ18" s="1"/>
      <c r="AMA18" s="1"/>
      <c r="AMB18" s="1"/>
      <c r="AMC18" s="1"/>
      <c r="AMD18" s="1"/>
      <c r="AME18" s="1"/>
      <c r="AMF18" s="1"/>
      <c r="AMG18" s="1"/>
      <c r="AMH18" s="1"/>
      <c r="AMI18" s="1"/>
      <c r="AMJ18" s="1"/>
      <c r="AMK18" s="1"/>
      <c r="AML18" s="1"/>
      <c r="AMM18" s="1"/>
      <c r="AMN18" s="1"/>
    </row>
    <row r="19" spans="1:1029" s="6" customFormat="1" x14ac:dyDescent="0.2">
      <c r="A19" s="3" t="str">
        <f t="shared" si="0"/>
        <v>aa2ar_human_3UZC</v>
      </c>
      <c r="B19" s="3" t="s">
        <v>139</v>
      </c>
      <c r="C19" s="3" t="s">
        <v>1037</v>
      </c>
      <c r="D19" s="3" t="str">
        <f>IFERROR(MID(VLOOKUP($B19,Seqs!$A:$B,2,0),E19,1),"")</f>
        <v>S</v>
      </c>
      <c r="E19" s="3">
        <v>7</v>
      </c>
      <c r="F19" s="3" t="str">
        <f>IFERROR(MID(VLOOKUP($B19,Seqs!$A:$B,2,0),G19,1),"")</f>
        <v>N</v>
      </c>
      <c r="G19" s="3">
        <v>34</v>
      </c>
      <c r="H19" s="3" t="str">
        <f>IFERROR(MID(VLOOKUP($B19,Seqs!$A:$B,2,0),I19,1),"")</f>
        <v>S</v>
      </c>
      <c r="I19" s="23">
        <v>35</v>
      </c>
      <c r="J19" s="3" t="str">
        <f>IFERROR(MID(VLOOKUP($B19,Seqs!$A:$B,2,0),K19,1),"")</f>
        <v>Q</v>
      </c>
      <c r="K19" s="23">
        <v>38</v>
      </c>
      <c r="L19" s="3" t="str">
        <f>IFERROR(MID(VLOOKUP($B19,Seqs!$A:$B,2,0),M19,1),"")</f>
        <v>N</v>
      </c>
      <c r="M19" s="3">
        <v>39</v>
      </c>
      <c r="N19" s="3" t="str">
        <f>IFERROR(MID(VLOOKUP($B19,Seqs!$A:$B,2,0),O19,1),"")</f>
        <v>G</v>
      </c>
      <c r="O19" s="3">
        <v>69</v>
      </c>
      <c r="P19" s="3" t="str">
        <f>IFERROR(MID(VLOOKUP($B19,Seqs!$A:$B,2,0),Q19,1),"")</f>
        <v>F</v>
      </c>
      <c r="Q19" s="3">
        <v>70</v>
      </c>
      <c r="R19" s="3" t="str">
        <f>IFERROR(MID(VLOOKUP($B19,Seqs!$A:$B,2,0),S19,1),"")</f>
        <v>A</v>
      </c>
      <c r="S19" s="3">
        <v>72</v>
      </c>
      <c r="T19" s="3" t="str">
        <f>IFERROR(MID(VLOOKUP($B19,Seqs!$A:$B,2,0),U19,1),"")</f>
        <v>A</v>
      </c>
      <c r="U19" s="3">
        <v>73</v>
      </c>
      <c r="V19" s="3" t="str">
        <f>IFERROR(MID(VLOOKUP($B19,Seqs!$A:$B,2,0),W19,1),"")</f>
        <v>I</v>
      </c>
      <c r="W19" s="3">
        <v>108</v>
      </c>
      <c r="X19" s="3" t="str">
        <f>IFERROR(MID(VLOOKUP($B19,Seqs!$A:$B,2,0),Y19,1),"")</f>
        <v>P</v>
      </c>
      <c r="Y19" s="3">
        <v>109</v>
      </c>
      <c r="Z19" s="3" t="str">
        <f>IFERROR(MID(VLOOKUP($B19,Seqs!$A:$B,2,0),AA19,1),"")</f>
        <v>V</v>
      </c>
      <c r="AA19" s="3">
        <v>116</v>
      </c>
      <c r="AB19" s="3" t="str">
        <f>IFERROR(MID(VLOOKUP($B19,Seqs!$A:$B,2,0),AC19,1),"")</f>
        <v>T</v>
      </c>
      <c r="AC19" s="9">
        <v>117</v>
      </c>
      <c r="AD19" s="3" t="str">
        <f>IFERROR(MID(VLOOKUP($B19,Seqs!$A:$B,2,0),AE19,1),"")</f>
        <v>G</v>
      </c>
      <c r="AE19" s="3">
        <v>142</v>
      </c>
      <c r="AF19" s="3" t="str">
        <f>IFERROR(MID(VLOOKUP($B19,Seqs!$A:$B,2,0),AG19,1),"")</f>
        <v>C</v>
      </c>
      <c r="AG19" s="3">
        <v>166</v>
      </c>
      <c r="AH19" s="3" t="str">
        <f>IFERROR(MID(VLOOKUP($B19,Seqs!$A:$B,2,0),AI19,1),"")</f>
        <v>F</v>
      </c>
      <c r="AI19" s="3">
        <v>168</v>
      </c>
      <c r="AJ19" s="3" t="str">
        <f>IFERROR(MID(VLOOKUP($B19,Seqs!$A:$B,2,0),AK19,1),"")</f>
        <v>P</v>
      </c>
      <c r="AK19" s="3">
        <v>173</v>
      </c>
      <c r="AL19" s="3" t="str">
        <f>IFERROR(MID(VLOOKUP($B19,Seqs!$A:$B,2,0),AM19,1),"")</f>
        <v>S</v>
      </c>
      <c r="AM19" s="3">
        <v>213</v>
      </c>
      <c r="AN19" s="3" t="str">
        <f>IFERROR(MID(VLOOKUP($B19,Seqs!$A:$B,2,0),AO19,1),"")</f>
        <v>E</v>
      </c>
      <c r="AO19" s="3">
        <v>219</v>
      </c>
      <c r="AP19" s="3" t="str">
        <f>IFERROR(MID(VLOOKUP($B19,Seqs!$A:$B,2,0),AQ19,1),"")</f>
        <v>C</v>
      </c>
      <c r="AQ19" s="3">
        <v>259</v>
      </c>
      <c r="AR19" s="3" t="str">
        <f>IFERROR(MID(VLOOKUP($B19,Seqs!$A:$B,2,0),AS19,1),"")</f>
        <v>P</v>
      </c>
      <c r="AS19" s="3">
        <v>266</v>
      </c>
      <c r="AT19" s="3" t="str">
        <f>IFERROR(MID(VLOOKUP($B19,Seqs!$A:$B,2,0),AU19,1),"")</f>
        <v>R</v>
      </c>
      <c r="AU19" s="3">
        <v>291</v>
      </c>
      <c r="AV19" s="3" t="str">
        <f>IFERROR(MID(VLOOKUP($B19,Seqs!$A:$B,2,0),AW19,1),"")</f>
        <v>I</v>
      </c>
      <c r="AW19" s="3">
        <v>292</v>
      </c>
      <c r="AX19" s="3" t="str">
        <f>IFERROR(MID(VLOOKUP($B19,Seqs!$A:$B,2,0),AY19,1),"")</f>
        <v>S</v>
      </c>
      <c r="AY19" s="3">
        <v>305</v>
      </c>
      <c r="AZ19" s="79" t="str">
        <f>VLOOKUP(B19,Classification!A:D,2,0)</f>
        <v>A</v>
      </c>
      <c r="BA19" s="97" t="str">
        <f>VLOOKUP(B19,Classification!A:D,4,0)</f>
        <v>Adenosine</v>
      </c>
      <c r="BB19" s="27" t="b">
        <f t="shared" si="1"/>
        <v>1</v>
      </c>
      <c r="BC19" s="23">
        <f t="shared" si="2"/>
        <v>261</v>
      </c>
      <c r="BD19" s="4" t="s">
        <v>23</v>
      </c>
      <c r="BE19" s="3" t="s">
        <v>1381</v>
      </c>
      <c r="BF19" s="50" t="s">
        <v>1384</v>
      </c>
      <c r="BG19" s="50" t="s">
        <v>1384</v>
      </c>
      <c r="BH19" s="1"/>
      <c r="BI19" s="72" t="s">
        <v>1293</v>
      </c>
      <c r="BJ19" s="58" t="s">
        <v>1293</v>
      </c>
      <c r="BK19" s="58" t="s">
        <v>1293</v>
      </c>
      <c r="BL19" s="58" t="s">
        <v>1293</v>
      </c>
      <c r="BM19" s="58" t="s">
        <v>1293</v>
      </c>
      <c r="BN19" s="58" t="s">
        <v>1293</v>
      </c>
      <c r="BO19" s="58" t="s">
        <v>1293</v>
      </c>
      <c r="BP19" s="58" t="s">
        <v>1293</v>
      </c>
      <c r="BQ19" s="58" t="s">
        <v>1293</v>
      </c>
      <c r="BR19" s="58" t="s">
        <v>1293</v>
      </c>
      <c r="BS19" s="58" t="s">
        <v>1293</v>
      </c>
      <c r="BT19" s="58" t="s">
        <v>1293</v>
      </c>
      <c r="BU19" s="72">
        <f t="shared" si="3"/>
        <v>7</v>
      </c>
      <c r="BV19" s="73">
        <f t="shared" si="4"/>
        <v>35</v>
      </c>
      <c r="BW19" s="74">
        <f t="shared" si="5"/>
        <v>39</v>
      </c>
      <c r="BX19" s="73">
        <f t="shared" si="6"/>
        <v>70</v>
      </c>
      <c r="BY19" s="74">
        <f t="shared" si="7"/>
        <v>73</v>
      </c>
      <c r="BZ19" s="73">
        <f t="shared" si="8"/>
        <v>109</v>
      </c>
      <c r="CA19" s="74">
        <f t="shared" si="9"/>
        <v>117</v>
      </c>
      <c r="CB19" s="73">
        <f t="shared" si="10"/>
        <v>166</v>
      </c>
      <c r="CC19" s="74">
        <f t="shared" si="11"/>
        <v>173</v>
      </c>
      <c r="CD19" s="73">
        <f t="shared" si="12"/>
        <v>219</v>
      </c>
      <c r="CE19" s="74">
        <f t="shared" si="13"/>
        <v>266</v>
      </c>
      <c r="CF19" s="73">
        <f t="shared" si="14"/>
        <v>292</v>
      </c>
      <c r="CG19" s="72">
        <f t="shared" si="15"/>
        <v>34</v>
      </c>
      <c r="CH19" s="73">
        <f t="shared" si="16"/>
        <v>38</v>
      </c>
      <c r="CI19" s="74">
        <f t="shared" si="17"/>
        <v>69</v>
      </c>
      <c r="CJ19" s="74">
        <f t="shared" si="18"/>
        <v>72</v>
      </c>
      <c r="CK19" s="74">
        <f t="shared" si="19"/>
        <v>108</v>
      </c>
      <c r="CL19" s="74">
        <f t="shared" si="20"/>
        <v>116</v>
      </c>
      <c r="CM19" s="74">
        <f t="shared" si="21"/>
        <v>142</v>
      </c>
      <c r="CN19" s="74">
        <f t="shared" si="22"/>
        <v>168</v>
      </c>
      <c r="CO19" s="74">
        <f t="shared" si="23"/>
        <v>213</v>
      </c>
      <c r="CP19" s="74">
        <f t="shared" si="24"/>
        <v>259</v>
      </c>
      <c r="CQ19" s="74">
        <f t="shared" si="25"/>
        <v>291</v>
      </c>
      <c r="CR19" s="74">
        <f t="shared" si="26"/>
        <v>305</v>
      </c>
      <c r="CS19" s="23">
        <f t="shared" si="27"/>
        <v>1</v>
      </c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/>
      <c r="PD19" s="1"/>
      <c r="PE19" s="1"/>
      <c r="PF19" s="1"/>
      <c r="PG19" s="1"/>
      <c r="PH19" s="1"/>
      <c r="PI19" s="1"/>
      <c r="PJ19" s="1"/>
      <c r="PK19" s="1"/>
      <c r="PL19" s="1"/>
      <c r="PM19" s="1"/>
      <c r="PN19" s="1"/>
      <c r="PO19" s="1"/>
      <c r="PP19" s="1"/>
      <c r="PQ19" s="1"/>
      <c r="PR19" s="1"/>
      <c r="PS19" s="1"/>
      <c r="PT19" s="1"/>
      <c r="PU19" s="1"/>
      <c r="PV19" s="1"/>
      <c r="PW19" s="1"/>
      <c r="PX19" s="1"/>
      <c r="PY19" s="1"/>
      <c r="PZ19" s="1"/>
      <c r="QA19" s="1"/>
      <c r="QB19" s="1"/>
      <c r="QC19" s="1"/>
      <c r="QD19" s="1"/>
      <c r="QE19" s="1"/>
      <c r="QF19" s="1"/>
      <c r="QG19" s="1"/>
      <c r="QH19" s="1"/>
      <c r="QI19" s="1"/>
      <c r="QJ19" s="1"/>
      <c r="QK19" s="1"/>
      <c r="QL19" s="1"/>
      <c r="QM19" s="1"/>
      <c r="QN19" s="1"/>
      <c r="QO19" s="1"/>
      <c r="QP19" s="1"/>
      <c r="QQ19" s="1"/>
      <c r="QR19" s="1"/>
      <c r="QS19" s="1"/>
      <c r="QT19" s="1"/>
      <c r="QU19" s="1"/>
      <c r="QV19" s="1"/>
      <c r="QW19" s="1"/>
      <c r="QX19" s="1"/>
      <c r="QY19" s="1"/>
      <c r="QZ19" s="1"/>
      <c r="RA19" s="1"/>
      <c r="RB19" s="1"/>
      <c r="RC19" s="1"/>
      <c r="RD19" s="1"/>
      <c r="RE19" s="1"/>
      <c r="RF19" s="1"/>
      <c r="RG19" s="1"/>
      <c r="RH19" s="1"/>
      <c r="RI19" s="1"/>
      <c r="RJ19" s="1"/>
      <c r="RK19" s="1"/>
      <c r="RL19" s="1"/>
      <c r="RM19" s="1"/>
      <c r="RN19" s="1"/>
      <c r="RO19" s="1"/>
      <c r="RP19" s="1"/>
      <c r="RQ19" s="1"/>
      <c r="RR19" s="1"/>
      <c r="RS19" s="1"/>
      <c r="RT19" s="1"/>
      <c r="RU19" s="1"/>
      <c r="RV19" s="1"/>
      <c r="RW19" s="1"/>
      <c r="RX19" s="1"/>
      <c r="RY19" s="1"/>
      <c r="RZ19" s="1"/>
      <c r="SA19" s="1"/>
      <c r="SB19" s="1"/>
      <c r="SC19" s="1"/>
      <c r="SD19" s="1"/>
      <c r="SE19" s="1"/>
      <c r="SF19" s="1"/>
      <c r="SG19" s="1"/>
      <c r="SH19" s="1"/>
      <c r="SI19" s="1"/>
      <c r="SJ19" s="1"/>
      <c r="SK19" s="1"/>
      <c r="SL19" s="1"/>
      <c r="SM19" s="1"/>
      <c r="SN19" s="1"/>
      <c r="SO19" s="1"/>
      <c r="SP19" s="1"/>
      <c r="SQ19" s="1"/>
      <c r="SR19" s="1"/>
      <c r="SS19" s="1"/>
      <c r="ST19" s="1"/>
      <c r="SU19" s="1"/>
      <c r="SV19" s="1"/>
      <c r="SW19" s="1"/>
      <c r="SX19" s="1"/>
      <c r="SY19" s="1"/>
      <c r="SZ19" s="1"/>
      <c r="TA19" s="1"/>
      <c r="TB19" s="1"/>
      <c r="TC19" s="1"/>
      <c r="TD19" s="1"/>
      <c r="TE19" s="1"/>
      <c r="TF19" s="1"/>
      <c r="TG19" s="1"/>
      <c r="TH19" s="1"/>
      <c r="TI19" s="1"/>
      <c r="TJ19" s="1"/>
      <c r="TK19" s="1"/>
      <c r="TL19" s="1"/>
      <c r="TM19" s="1"/>
      <c r="TN19" s="1"/>
      <c r="TO19" s="1"/>
      <c r="TP19" s="1"/>
      <c r="TQ19" s="1"/>
      <c r="TR19" s="1"/>
      <c r="TS19" s="1"/>
      <c r="TT19" s="1"/>
      <c r="TU19" s="1"/>
      <c r="TV19" s="1"/>
      <c r="TW19" s="1"/>
      <c r="TX19" s="1"/>
      <c r="TY19" s="1"/>
      <c r="TZ19" s="1"/>
      <c r="UA19" s="1"/>
      <c r="UB19" s="1"/>
      <c r="UC19" s="1"/>
      <c r="UD19" s="1"/>
      <c r="UE19" s="1"/>
      <c r="UF19" s="1"/>
      <c r="UG19" s="1"/>
      <c r="UH19" s="1"/>
      <c r="UI19" s="1"/>
      <c r="UJ19" s="1"/>
      <c r="UK19" s="1"/>
      <c r="UL19" s="1"/>
      <c r="UM19" s="1"/>
      <c r="UN19" s="1"/>
      <c r="UO19" s="1"/>
      <c r="UP19" s="1"/>
      <c r="UQ19" s="1"/>
      <c r="UR19" s="1"/>
      <c r="US19" s="1"/>
      <c r="UT19" s="1"/>
      <c r="UU19" s="1"/>
      <c r="UV19" s="1"/>
      <c r="UW19" s="1"/>
      <c r="UX19" s="1"/>
      <c r="UY19" s="1"/>
      <c r="UZ19" s="1"/>
      <c r="VA19" s="1"/>
      <c r="VB19" s="1"/>
      <c r="VC19" s="1"/>
      <c r="VD19" s="1"/>
      <c r="VE19" s="1"/>
      <c r="VF19" s="1"/>
      <c r="VG19" s="1"/>
      <c r="VH19" s="1"/>
      <c r="VI19" s="1"/>
      <c r="VJ19" s="1"/>
      <c r="VK19" s="1"/>
      <c r="VL19" s="1"/>
      <c r="VM19" s="1"/>
      <c r="VN19" s="1"/>
      <c r="VO19" s="1"/>
      <c r="VP19" s="1"/>
      <c r="VQ19" s="1"/>
      <c r="VR19" s="1"/>
      <c r="VS19" s="1"/>
      <c r="VT19" s="1"/>
      <c r="VU19" s="1"/>
      <c r="VV19" s="1"/>
      <c r="VW19" s="1"/>
      <c r="VX19" s="1"/>
      <c r="VY19" s="1"/>
      <c r="VZ19" s="1"/>
      <c r="WA19" s="1"/>
      <c r="WB19" s="1"/>
      <c r="WC19" s="1"/>
      <c r="WD19" s="1"/>
      <c r="WE19" s="1"/>
      <c r="WF19" s="1"/>
      <c r="WG19" s="1"/>
      <c r="WH19" s="1"/>
      <c r="WI19" s="1"/>
      <c r="WJ19" s="1"/>
      <c r="WK19" s="1"/>
      <c r="WL19" s="1"/>
      <c r="WM19" s="1"/>
      <c r="WN19" s="1"/>
      <c r="WO19" s="1"/>
      <c r="WP19" s="1"/>
      <c r="WQ19" s="1"/>
      <c r="WR19" s="1"/>
      <c r="WS19" s="1"/>
      <c r="WT19" s="1"/>
      <c r="WU19" s="1"/>
      <c r="WV19" s="1"/>
      <c r="WW19" s="1"/>
      <c r="WX19" s="1"/>
      <c r="WY19" s="1"/>
      <c r="WZ19" s="1"/>
      <c r="XA19" s="1"/>
      <c r="XB19" s="1"/>
      <c r="XC19" s="1"/>
      <c r="XD19" s="1"/>
      <c r="XE19" s="1"/>
      <c r="XF19" s="1"/>
      <c r="XG19" s="1"/>
      <c r="XH19" s="1"/>
      <c r="XI19" s="1"/>
      <c r="XJ19" s="1"/>
      <c r="XK19" s="1"/>
      <c r="XL19" s="1"/>
      <c r="XM19" s="1"/>
      <c r="XN19" s="1"/>
      <c r="XO19" s="1"/>
      <c r="XP19" s="1"/>
      <c r="XQ19" s="1"/>
      <c r="XR19" s="1"/>
      <c r="XS19" s="1"/>
      <c r="XT19" s="1"/>
      <c r="XU19" s="1"/>
      <c r="XV19" s="1"/>
      <c r="XW19" s="1"/>
      <c r="XX19" s="1"/>
      <c r="XY19" s="1"/>
      <c r="XZ19" s="1"/>
      <c r="YA19" s="1"/>
      <c r="YB19" s="1"/>
      <c r="YC19" s="1"/>
      <c r="YD19" s="1"/>
      <c r="YE19" s="1"/>
      <c r="YF19" s="1"/>
      <c r="YG19" s="1"/>
      <c r="YH19" s="1"/>
      <c r="YI19" s="1"/>
      <c r="YJ19" s="1"/>
      <c r="YK19" s="1"/>
      <c r="YL19" s="1"/>
      <c r="YM19" s="1"/>
      <c r="YN19" s="1"/>
      <c r="YO19" s="1"/>
      <c r="YP19" s="1"/>
      <c r="YQ19" s="1"/>
      <c r="YR19" s="1"/>
      <c r="YS19" s="1"/>
      <c r="YT19" s="1"/>
      <c r="YU19" s="1"/>
      <c r="YV19" s="1"/>
      <c r="YW19" s="1"/>
      <c r="YX19" s="1"/>
      <c r="YY19" s="1"/>
      <c r="YZ19" s="1"/>
      <c r="ZA19" s="1"/>
      <c r="ZB19" s="1"/>
      <c r="ZC19" s="1"/>
      <c r="ZD19" s="1"/>
      <c r="ZE19" s="1"/>
      <c r="ZF19" s="1"/>
      <c r="ZG19" s="1"/>
      <c r="ZH19" s="1"/>
      <c r="ZI19" s="1"/>
      <c r="ZJ19" s="1"/>
      <c r="ZK19" s="1"/>
      <c r="ZL19" s="1"/>
      <c r="ZM19" s="1"/>
      <c r="ZN19" s="1"/>
      <c r="ZO19" s="1"/>
      <c r="ZP19" s="1"/>
      <c r="ZQ19" s="1"/>
      <c r="ZR19" s="1"/>
      <c r="ZS19" s="1"/>
      <c r="ZT19" s="1"/>
      <c r="ZU19" s="1"/>
      <c r="ZV19" s="1"/>
      <c r="ZW19" s="1"/>
      <c r="ZX19" s="1"/>
      <c r="ZY19" s="1"/>
      <c r="ZZ19" s="1"/>
      <c r="AAA19" s="1"/>
      <c r="AAB19" s="1"/>
      <c r="AAC19" s="1"/>
      <c r="AAD19" s="1"/>
      <c r="AAE19" s="1"/>
      <c r="AAF19" s="1"/>
      <c r="AAG19" s="1"/>
      <c r="AAH19" s="1"/>
      <c r="AAI19" s="1"/>
      <c r="AAJ19" s="1"/>
      <c r="AAK19" s="1"/>
      <c r="AAL19" s="1"/>
      <c r="AAM19" s="1"/>
      <c r="AAN19" s="1"/>
      <c r="AAO19" s="1"/>
      <c r="AAP19" s="1"/>
      <c r="AAQ19" s="1"/>
      <c r="AAR19" s="1"/>
      <c r="AAS19" s="1"/>
      <c r="AAT19" s="1"/>
      <c r="AAU19" s="1"/>
      <c r="AAV19" s="1"/>
      <c r="AAW19" s="1"/>
      <c r="AAX19" s="1"/>
      <c r="AAY19" s="1"/>
      <c r="AAZ19" s="1"/>
      <c r="ABA19" s="1"/>
      <c r="ABB19" s="1"/>
      <c r="ABC19" s="1"/>
      <c r="ABD19" s="1"/>
      <c r="ABE19" s="1"/>
      <c r="ABF19" s="1"/>
      <c r="ABG19" s="1"/>
      <c r="ABH19" s="1"/>
      <c r="ABI19" s="1"/>
      <c r="ABJ19" s="1"/>
      <c r="ABK19" s="1"/>
      <c r="ABL19" s="1"/>
      <c r="ABM19" s="1"/>
      <c r="ABN19" s="1"/>
      <c r="ABO19" s="1"/>
      <c r="ABP19" s="1"/>
      <c r="ABQ19" s="1"/>
      <c r="ABR19" s="1"/>
      <c r="ABS19" s="1"/>
      <c r="ABT19" s="1"/>
      <c r="ABU19" s="1"/>
      <c r="ABV19" s="1"/>
      <c r="ABW19" s="1"/>
      <c r="ABX19" s="1"/>
      <c r="ABY19" s="1"/>
      <c r="ABZ19" s="1"/>
      <c r="ACA19" s="1"/>
      <c r="ACB19" s="1"/>
      <c r="ACC19" s="1"/>
      <c r="ACD19" s="1"/>
      <c r="ACE19" s="1"/>
      <c r="ACF19" s="1"/>
      <c r="ACG19" s="1"/>
      <c r="ACH19" s="1"/>
      <c r="ACI19" s="1"/>
      <c r="ACJ19" s="1"/>
      <c r="ACK19" s="1"/>
      <c r="ACL19" s="1"/>
      <c r="ACM19" s="1"/>
      <c r="ACN19" s="1"/>
      <c r="ACO19" s="1"/>
      <c r="ACP19" s="1"/>
      <c r="ACQ19" s="1"/>
      <c r="ACR19" s="1"/>
      <c r="ACS19" s="1"/>
      <c r="ACT19" s="1"/>
      <c r="ACU19" s="1"/>
      <c r="ACV19" s="1"/>
      <c r="ACW19" s="1"/>
      <c r="ACX19" s="1"/>
      <c r="ACY19" s="1"/>
      <c r="ACZ19" s="1"/>
      <c r="ADA19" s="1"/>
      <c r="ADB19" s="1"/>
      <c r="ADC19" s="1"/>
      <c r="ADD19" s="1"/>
      <c r="ADE19" s="1"/>
      <c r="ADF19" s="1"/>
      <c r="ADG19" s="1"/>
      <c r="ADH19" s="1"/>
      <c r="ADI19" s="1"/>
      <c r="ADJ19" s="1"/>
      <c r="ADK19" s="1"/>
      <c r="ADL19" s="1"/>
      <c r="ADM19" s="1"/>
      <c r="ADN19" s="1"/>
      <c r="ADO19" s="1"/>
      <c r="ADP19" s="1"/>
      <c r="ADQ19" s="1"/>
      <c r="ADR19" s="1"/>
      <c r="ADS19" s="1"/>
      <c r="ADT19" s="1"/>
      <c r="ADU19" s="1"/>
      <c r="ADV19" s="1"/>
      <c r="ADW19" s="1"/>
      <c r="ADX19" s="1"/>
      <c r="ADY19" s="1"/>
      <c r="ADZ19" s="1"/>
      <c r="AEA19" s="1"/>
      <c r="AEB19" s="1"/>
      <c r="AEC19" s="1"/>
      <c r="AED19" s="1"/>
      <c r="AEE19" s="1"/>
      <c r="AEF19" s="1"/>
      <c r="AEG19" s="1"/>
      <c r="AEH19" s="1"/>
      <c r="AEI19" s="1"/>
      <c r="AEJ19" s="1"/>
      <c r="AEK19" s="1"/>
      <c r="AEL19" s="1"/>
      <c r="AEM19" s="1"/>
      <c r="AEN19" s="1"/>
      <c r="AEO19" s="1"/>
      <c r="AEP19" s="1"/>
      <c r="AEQ19" s="1"/>
      <c r="AER19" s="1"/>
      <c r="AES19" s="1"/>
      <c r="AET19" s="1"/>
      <c r="AEU19" s="1"/>
      <c r="AEV19" s="1"/>
      <c r="AEW19" s="1"/>
      <c r="AEX19" s="1"/>
      <c r="AEY19" s="1"/>
      <c r="AEZ19" s="1"/>
      <c r="AFA19" s="1"/>
      <c r="AFB19" s="1"/>
      <c r="AFC19" s="1"/>
      <c r="AFD19" s="1"/>
      <c r="AFE19" s="1"/>
      <c r="AFF19" s="1"/>
      <c r="AFG19" s="1"/>
      <c r="AFH19" s="1"/>
      <c r="AFI19" s="1"/>
      <c r="AFJ19" s="1"/>
      <c r="AFK19" s="1"/>
      <c r="AFL19" s="1"/>
      <c r="AFM19" s="1"/>
      <c r="AFN19" s="1"/>
      <c r="AFO19" s="1"/>
      <c r="AFP19" s="1"/>
      <c r="AFQ19" s="1"/>
      <c r="AFR19" s="1"/>
      <c r="AFS19" s="1"/>
      <c r="AFT19" s="1"/>
      <c r="AFU19" s="1"/>
      <c r="AFV19" s="1"/>
      <c r="AFW19" s="1"/>
      <c r="AFX19" s="1"/>
      <c r="AFY19" s="1"/>
      <c r="AFZ19" s="1"/>
      <c r="AGA19" s="1"/>
      <c r="AGB19" s="1"/>
      <c r="AGC19" s="1"/>
      <c r="AGD19" s="1"/>
      <c r="AGE19" s="1"/>
      <c r="AGF19" s="1"/>
      <c r="AGG19" s="1"/>
      <c r="AGH19" s="1"/>
      <c r="AGI19" s="1"/>
      <c r="AGJ19" s="1"/>
      <c r="AGK19" s="1"/>
      <c r="AGL19" s="1"/>
      <c r="AGM19" s="1"/>
      <c r="AGN19" s="1"/>
      <c r="AGO19" s="1"/>
      <c r="AGP19" s="1"/>
      <c r="AGQ19" s="1"/>
      <c r="AGR19" s="1"/>
      <c r="AGS19" s="1"/>
      <c r="AGT19" s="1"/>
      <c r="AGU19" s="1"/>
      <c r="AGV19" s="1"/>
      <c r="AGW19" s="1"/>
      <c r="AGX19" s="1"/>
      <c r="AGY19" s="1"/>
      <c r="AGZ19" s="1"/>
      <c r="AHA19" s="1"/>
      <c r="AHB19" s="1"/>
      <c r="AHC19" s="1"/>
      <c r="AHD19" s="1"/>
      <c r="AHE19" s="1"/>
      <c r="AHF19" s="1"/>
      <c r="AHG19" s="1"/>
      <c r="AHH19" s="1"/>
      <c r="AHI19" s="1"/>
      <c r="AHJ19" s="1"/>
      <c r="AHK19" s="1"/>
      <c r="AHL19" s="1"/>
      <c r="AHM19" s="1"/>
      <c r="AHN19" s="1"/>
      <c r="AHO19" s="1"/>
      <c r="AHP19" s="1"/>
      <c r="AHQ19" s="1"/>
      <c r="AHR19" s="1"/>
      <c r="AHS19" s="1"/>
      <c r="AHT19" s="1"/>
      <c r="AHU19" s="1"/>
      <c r="AHV19" s="1"/>
      <c r="AHW19" s="1"/>
      <c r="AHX19" s="1"/>
      <c r="AHY19" s="1"/>
      <c r="AHZ19" s="1"/>
      <c r="AIA19" s="1"/>
      <c r="AIB19" s="1"/>
      <c r="AIC19" s="1"/>
      <c r="AID19" s="1"/>
      <c r="AIE19" s="1"/>
      <c r="AIF19" s="1"/>
      <c r="AIG19" s="1"/>
      <c r="AIH19" s="1"/>
      <c r="AII19" s="1"/>
      <c r="AIJ19" s="1"/>
      <c r="AIK19" s="1"/>
      <c r="AIL19" s="1"/>
      <c r="AIM19" s="1"/>
      <c r="AIN19" s="1"/>
      <c r="AIO19" s="1"/>
      <c r="AIP19" s="1"/>
      <c r="AIQ19" s="1"/>
      <c r="AIR19" s="1"/>
      <c r="AIS19" s="1"/>
      <c r="AIT19" s="1"/>
      <c r="AIU19" s="1"/>
      <c r="AIV19" s="1"/>
      <c r="AIW19" s="1"/>
      <c r="AIX19" s="1"/>
      <c r="AIY19" s="1"/>
      <c r="AIZ19" s="1"/>
      <c r="AJA19" s="1"/>
      <c r="AJB19" s="1"/>
      <c r="AJC19" s="1"/>
      <c r="AJD19" s="1"/>
      <c r="AJE19" s="1"/>
      <c r="AJF19" s="1"/>
      <c r="AJG19" s="1"/>
      <c r="AJH19" s="1"/>
      <c r="AJI19" s="1"/>
      <c r="AJJ19" s="1"/>
      <c r="AJK19" s="1"/>
      <c r="AJL19" s="1"/>
      <c r="AJM19" s="1"/>
      <c r="AJN19" s="1"/>
      <c r="AJO19" s="1"/>
      <c r="AJP19" s="1"/>
      <c r="AJQ19" s="1"/>
      <c r="AJR19" s="1"/>
      <c r="AJS19" s="1"/>
      <c r="AJT19" s="1"/>
      <c r="AJU19" s="1"/>
      <c r="AJV19" s="1"/>
      <c r="AJW19" s="1"/>
      <c r="AJX19" s="1"/>
      <c r="AJY19" s="1"/>
      <c r="AJZ19" s="1"/>
      <c r="AKA19" s="1"/>
      <c r="AKB19" s="1"/>
      <c r="AKC19" s="1"/>
      <c r="AKD19" s="1"/>
      <c r="AKE19" s="1"/>
      <c r="AKF19" s="1"/>
      <c r="AKG19" s="1"/>
      <c r="AKH19" s="1"/>
      <c r="AKI19" s="1"/>
      <c r="AKJ19" s="1"/>
      <c r="AKK19" s="1"/>
      <c r="AKL19" s="1"/>
      <c r="AKM19" s="1"/>
      <c r="AKN19" s="1"/>
      <c r="AKO19" s="1"/>
      <c r="AKP19" s="1"/>
      <c r="AKQ19" s="1"/>
      <c r="AKR19" s="1"/>
      <c r="AKS19" s="1"/>
      <c r="AKT19" s="1"/>
      <c r="AKU19" s="1"/>
      <c r="AKV19" s="1"/>
      <c r="AKW19" s="1"/>
      <c r="AKX19" s="1"/>
      <c r="AKY19" s="1"/>
      <c r="AKZ19" s="1"/>
      <c r="ALA19" s="1"/>
      <c r="ALB19" s="1"/>
      <c r="ALC19" s="1"/>
      <c r="ALD19" s="1"/>
      <c r="ALE19" s="1"/>
      <c r="ALF19" s="1"/>
      <c r="ALG19" s="1"/>
      <c r="ALH19" s="1"/>
      <c r="ALI19" s="1"/>
      <c r="ALJ19" s="1"/>
      <c r="ALK19" s="1"/>
      <c r="ALL19" s="1"/>
      <c r="ALM19" s="1"/>
      <c r="ALN19" s="1"/>
      <c r="ALO19" s="1"/>
      <c r="ALP19" s="1"/>
      <c r="ALQ19" s="1"/>
      <c r="ALR19" s="1"/>
      <c r="ALS19" s="1"/>
      <c r="ALT19" s="1"/>
      <c r="ALU19" s="1"/>
      <c r="ALV19" s="1"/>
      <c r="ALW19" s="1"/>
      <c r="ALX19" s="1"/>
      <c r="ALY19" s="1"/>
      <c r="ALZ19" s="1"/>
      <c r="AMA19" s="1"/>
      <c r="AMB19" s="1"/>
      <c r="AMC19" s="1"/>
      <c r="AMD19" s="1"/>
      <c r="AME19" s="1"/>
      <c r="AMF19" s="1"/>
      <c r="AMG19" s="1"/>
      <c r="AMH19" s="1"/>
      <c r="AMI19" s="1"/>
      <c r="AMJ19" s="1"/>
      <c r="AMK19" s="1"/>
      <c r="AML19" s="1"/>
      <c r="AMM19" s="1"/>
      <c r="AMN19" s="1"/>
      <c r="AMO19" s="1"/>
    </row>
    <row r="20" spans="1:1029" s="6" customFormat="1" x14ac:dyDescent="0.2">
      <c r="A20" s="3" t="str">
        <f t="shared" si="0"/>
        <v>aa2ar_human_3VG9</v>
      </c>
      <c r="B20" s="3" t="s">
        <v>139</v>
      </c>
      <c r="C20" s="3" t="s">
        <v>1104</v>
      </c>
      <c r="D20" s="3" t="str">
        <f>IFERROR(MID(VLOOKUP($B20,Seqs!$A:$B,2,0),E20,1),"")</f>
        <v>S</v>
      </c>
      <c r="E20" s="3">
        <v>6</v>
      </c>
      <c r="F20" s="3" t="str">
        <f>IFERROR(MID(VLOOKUP($B20,Seqs!$A:$B,2,0),G20,1),"")</f>
        <v>N</v>
      </c>
      <c r="G20" s="3">
        <v>34</v>
      </c>
      <c r="H20" s="3" t="str">
        <f>IFERROR(MID(VLOOKUP($B20,Seqs!$A:$B,2,0),I20,1),"")</f>
        <v>S</v>
      </c>
      <c r="I20" s="23">
        <v>35</v>
      </c>
      <c r="J20" s="3" t="str">
        <f>IFERROR(MID(VLOOKUP($B20,Seqs!$A:$B,2,0),K20,1),"")</f>
        <v>Q</v>
      </c>
      <c r="K20" s="23">
        <v>38</v>
      </c>
      <c r="L20" s="3" t="str">
        <f>IFERROR(MID(VLOOKUP($B20,Seqs!$A:$B,2,0),M20,1),"")</f>
        <v>N</v>
      </c>
      <c r="M20" s="3">
        <v>39</v>
      </c>
      <c r="N20" s="3" t="str">
        <f>IFERROR(MID(VLOOKUP($B20,Seqs!$A:$B,2,0),O20,1),"")</f>
        <v>G</v>
      </c>
      <c r="O20" s="3">
        <v>69</v>
      </c>
      <c r="P20" s="3" t="str">
        <f>IFERROR(MID(VLOOKUP($B20,Seqs!$A:$B,2,0),Q20,1),"")</f>
        <v>F</v>
      </c>
      <c r="Q20" s="3">
        <v>70</v>
      </c>
      <c r="R20" s="3" t="str">
        <f>IFERROR(MID(VLOOKUP($B20,Seqs!$A:$B,2,0),S20,1),"")</f>
        <v>A</v>
      </c>
      <c r="S20" s="3">
        <v>72</v>
      </c>
      <c r="T20" s="3" t="str">
        <f>IFERROR(MID(VLOOKUP($B20,Seqs!$A:$B,2,0),U20,1),"")</f>
        <v>A</v>
      </c>
      <c r="U20" s="3">
        <v>73</v>
      </c>
      <c r="V20" s="3" t="str">
        <f>IFERROR(MID(VLOOKUP($B20,Seqs!$A:$B,2,0),W20,1),"")</f>
        <v>I</v>
      </c>
      <c r="W20" s="3">
        <v>108</v>
      </c>
      <c r="X20" s="3" t="str">
        <f>IFERROR(MID(VLOOKUP($B20,Seqs!$A:$B,2,0),Y20,1),"")</f>
        <v>P</v>
      </c>
      <c r="Y20" s="3">
        <v>109</v>
      </c>
      <c r="Z20" s="3" t="str">
        <f>IFERROR(MID(VLOOKUP($B20,Seqs!$A:$B,2,0),AA20,1),"")</f>
        <v>V</v>
      </c>
      <c r="AA20" s="3">
        <v>116</v>
      </c>
      <c r="AB20" s="3" t="str">
        <f>IFERROR(MID(VLOOKUP($B20,Seqs!$A:$B,2,0),AC20,1),"")</f>
        <v>T</v>
      </c>
      <c r="AC20" s="9">
        <v>117</v>
      </c>
      <c r="AD20" s="3" t="str">
        <f>IFERROR(MID(VLOOKUP($B20,Seqs!$A:$B,2,0),AE20,1),"")</f>
        <v>G</v>
      </c>
      <c r="AE20" s="3">
        <v>142</v>
      </c>
      <c r="AF20" s="3" t="str">
        <f>IFERROR(MID(VLOOKUP($B20,Seqs!$A:$B,2,0),AG20,1),"")</f>
        <v>C</v>
      </c>
      <c r="AG20" s="3">
        <v>166</v>
      </c>
      <c r="AH20" s="3" t="str">
        <f>IFERROR(MID(VLOOKUP($B20,Seqs!$A:$B,2,0),AI20,1),"")</f>
        <v>F</v>
      </c>
      <c r="AI20" s="3">
        <v>168</v>
      </c>
      <c r="AJ20" s="3" t="str">
        <f>IFERROR(MID(VLOOKUP($B20,Seqs!$A:$B,2,0),AK20,1),"")</f>
        <v>P</v>
      </c>
      <c r="AK20" s="3">
        <v>173</v>
      </c>
      <c r="AL20" s="3" t="str">
        <f>IFERROR(MID(VLOOKUP($B20,Seqs!$A:$B,2,0),AM20,1),"")</f>
        <v>Q</v>
      </c>
      <c r="AM20" s="3">
        <v>214</v>
      </c>
      <c r="AN20" s="3" t="str">
        <f>IFERROR(MID(VLOOKUP($B20,Seqs!$A:$B,2,0),AO20,1),"")</f>
        <v>A</v>
      </c>
      <c r="AO20" s="3">
        <v>221</v>
      </c>
      <c r="AP20" s="3" t="str">
        <f>IFERROR(MID(VLOOKUP($B20,Seqs!$A:$B,2,0),AQ20,1),"")</f>
        <v>C</v>
      </c>
      <c r="AQ20" s="3">
        <v>259</v>
      </c>
      <c r="AR20" s="3" t="str">
        <f>IFERROR(MID(VLOOKUP($B20,Seqs!$A:$B,2,0),AS20,1),"")</f>
        <v>P</v>
      </c>
      <c r="AS20" s="3">
        <v>266</v>
      </c>
      <c r="AT20" s="3" t="str">
        <f>IFERROR(MID(VLOOKUP($B20,Seqs!$A:$B,2,0),AU20,1),"")</f>
        <v>R</v>
      </c>
      <c r="AU20" s="3">
        <v>291</v>
      </c>
      <c r="AV20" s="3" t="str">
        <f>IFERROR(MID(VLOOKUP($B20,Seqs!$A:$B,2,0),AW20,1),"")</f>
        <v>I</v>
      </c>
      <c r="AW20" s="3">
        <v>292</v>
      </c>
      <c r="AX20" s="3" t="str">
        <f>IFERROR(MID(VLOOKUP($B20,Seqs!$A:$B,2,0),AY20,1),"")</f>
        <v>Q</v>
      </c>
      <c r="AY20" s="3">
        <v>311</v>
      </c>
      <c r="AZ20" s="79" t="str">
        <f>VLOOKUP(B20,Classification!A:D,2,0)</f>
        <v>A</v>
      </c>
      <c r="BA20" s="97" t="str">
        <f>VLOOKUP(B20,Classification!A:D,4,0)</f>
        <v>Adenosine</v>
      </c>
      <c r="BB20" s="27" t="b">
        <f t="shared" si="1"/>
        <v>1</v>
      </c>
      <c r="BC20" s="23">
        <f t="shared" si="2"/>
        <v>267</v>
      </c>
      <c r="BD20" s="4" t="s">
        <v>23</v>
      </c>
      <c r="BE20" s="3" t="s">
        <v>1381</v>
      </c>
      <c r="BF20" s="50" t="s">
        <v>1384</v>
      </c>
      <c r="BG20" s="50" t="s">
        <v>1384</v>
      </c>
      <c r="BH20" s="1"/>
      <c r="BI20" s="72" t="s">
        <v>1293</v>
      </c>
      <c r="BJ20" s="58" t="s">
        <v>1293</v>
      </c>
      <c r="BK20" s="58" t="s">
        <v>1293</v>
      </c>
      <c r="BL20" s="58" t="s">
        <v>1293</v>
      </c>
      <c r="BM20" s="58" t="s">
        <v>1293</v>
      </c>
      <c r="BN20" s="58" t="s">
        <v>1293</v>
      </c>
      <c r="BO20" s="58" t="s">
        <v>1293</v>
      </c>
      <c r="BP20" s="58" t="s">
        <v>1293</v>
      </c>
      <c r="BQ20" s="58" t="s">
        <v>1293</v>
      </c>
      <c r="BR20" s="58" t="s">
        <v>1293</v>
      </c>
      <c r="BS20" s="58" t="s">
        <v>1293</v>
      </c>
      <c r="BT20" s="58" t="s">
        <v>1293</v>
      </c>
      <c r="BU20" s="72">
        <f t="shared" si="3"/>
        <v>6</v>
      </c>
      <c r="BV20" s="73">
        <f t="shared" si="4"/>
        <v>35</v>
      </c>
      <c r="BW20" s="74">
        <f t="shared" si="5"/>
        <v>39</v>
      </c>
      <c r="BX20" s="73">
        <f t="shared" si="6"/>
        <v>70</v>
      </c>
      <c r="BY20" s="74">
        <f t="shared" si="7"/>
        <v>73</v>
      </c>
      <c r="BZ20" s="73">
        <f t="shared" si="8"/>
        <v>109</v>
      </c>
      <c r="CA20" s="74">
        <f t="shared" si="9"/>
        <v>117</v>
      </c>
      <c r="CB20" s="73">
        <f t="shared" si="10"/>
        <v>166</v>
      </c>
      <c r="CC20" s="74">
        <f t="shared" si="11"/>
        <v>173</v>
      </c>
      <c r="CD20" s="73">
        <f t="shared" si="12"/>
        <v>221</v>
      </c>
      <c r="CE20" s="74">
        <f t="shared" si="13"/>
        <v>266</v>
      </c>
      <c r="CF20" s="73">
        <f t="shared" si="14"/>
        <v>292</v>
      </c>
      <c r="CG20" s="72">
        <f t="shared" si="15"/>
        <v>34</v>
      </c>
      <c r="CH20" s="73">
        <f t="shared" si="16"/>
        <v>38</v>
      </c>
      <c r="CI20" s="74">
        <f t="shared" si="17"/>
        <v>69</v>
      </c>
      <c r="CJ20" s="74">
        <f t="shared" si="18"/>
        <v>72</v>
      </c>
      <c r="CK20" s="74">
        <f t="shared" si="19"/>
        <v>108</v>
      </c>
      <c r="CL20" s="74">
        <f t="shared" si="20"/>
        <v>116</v>
      </c>
      <c r="CM20" s="74">
        <f t="shared" si="21"/>
        <v>142</v>
      </c>
      <c r="CN20" s="74">
        <f t="shared" si="22"/>
        <v>168</v>
      </c>
      <c r="CO20" s="74">
        <f t="shared" si="23"/>
        <v>214</v>
      </c>
      <c r="CP20" s="74">
        <f t="shared" si="24"/>
        <v>259</v>
      </c>
      <c r="CQ20" s="74">
        <f t="shared" si="25"/>
        <v>291</v>
      </c>
      <c r="CR20" s="74">
        <f t="shared" si="26"/>
        <v>311</v>
      </c>
      <c r="CS20" s="23">
        <f t="shared" si="27"/>
        <v>1</v>
      </c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  <c r="OK20" s="1"/>
      <c r="OL20" s="1"/>
      <c r="OM20" s="1"/>
      <c r="ON20" s="1"/>
      <c r="OO20" s="1"/>
      <c r="OP20" s="1"/>
      <c r="OQ20" s="1"/>
      <c r="OR20" s="1"/>
      <c r="OS20" s="1"/>
      <c r="OT20" s="1"/>
      <c r="OU20" s="1"/>
      <c r="OV20" s="1"/>
      <c r="OW20" s="1"/>
      <c r="OX20" s="1"/>
      <c r="OY20" s="1"/>
      <c r="OZ20" s="1"/>
      <c r="PA20" s="1"/>
      <c r="PB20" s="1"/>
      <c r="PC20" s="1"/>
      <c r="PD20" s="1"/>
      <c r="PE20" s="1"/>
      <c r="PF20" s="1"/>
      <c r="PG20" s="1"/>
      <c r="PH20" s="1"/>
      <c r="PI20" s="1"/>
      <c r="PJ20" s="1"/>
      <c r="PK20" s="1"/>
      <c r="PL20" s="1"/>
      <c r="PM20" s="1"/>
      <c r="PN20" s="1"/>
      <c r="PO20" s="1"/>
      <c r="PP20" s="1"/>
      <c r="PQ20" s="1"/>
      <c r="PR20" s="1"/>
      <c r="PS20" s="1"/>
      <c r="PT20" s="1"/>
      <c r="PU20" s="1"/>
      <c r="PV20" s="1"/>
      <c r="PW20" s="1"/>
      <c r="PX20" s="1"/>
      <c r="PY20" s="1"/>
      <c r="PZ20" s="1"/>
      <c r="QA20" s="1"/>
      <c r="QB20" s="1"/>
      <c r="QC20" s="1"/>
      <c r="QD20" s="1"/>
      <c r="QE20" s="1"/>
      <c r="QF20" s="1"/>
      <c r="QG20" s="1"/>
      <c r="QH20" s="1"/>
      <c r="QI20" s="1"/>
      <c r="QJ20" s="1"/>
      <c r="QK20" s="1"/>
      <c r="QL20" s="1"/>
      <c r="QM20" s="1"/>
      <c r="QN20" s="1"/>
      <c r="QO20" s="1"/>
      <c r="QP20" s="1"/>
      <c r="QQ20" s="1"/>
      <c r="QR20" s="1"/>
      <c r="QS20" s="1"/>
      <c r="QT20" s="1"/>
      <c r="QU20" s="1"/>
      <c r="QV20" s="1"/>
      <c r="QW20" s="1"/>
      <c r="QX20" s="1"/>
      <c r="QY20" s="1"/>
      <c r="QZ20" s="1"/>
      <c r="RA20" s="1"/>
      <c r="RB20" s="1"/>
      <c r="RC20" s="1"/>
      <c r="RD20" s="1"/>
      <c r="RE20" s="1"/>
      <c r="RF20" s="1"/>
      <c r="RG20" s="1"/>
      <c r="RH20" s="1"/>
      <c r="RI20" s="1"/>
      <c r="RJ20" s="1"/>
      <c r="RK20" s="1"/>
      <c r="RL20" s="1"/>
      <c r="RM20" s="1"/>
      <c r="RN20" s="1"/>
      <c r="RO20" s="1"/>
      <c r="RP20" s="1"/>
      <c r="RQ20" s="1"/>
      <c r="RR20" s="1"/>
      <c r="RS20" s="1"/>
      <c r="RT20" s="1"/>
      <c r="RU20" s="1"/>
      <c r="RV20" s="1"/>
      <c r="RW20" s="1"/>
      <c r="RX20" s="1"/>
      <c r="RY20" s="1"/>
      <c r="RZ20" s="1"/>
      <c r="SA20" s="1"/>
      <c r="SB20" s="1"/>
      <c r="SC20" s="1"/>
      <c r="SD20" s="1"/>
      <c r="SE20" s="1"/>
      <c r="SF20" s="1"/>
      <c r="SG20" s="1"/>
      <c r="SH20" s="1"/>
      <c r="SI20" s="1"/>
      <c r="SJ20" s="1"/>
      <c r="SK20" s="1"/>
      <c r="SL20" s="1"/>
      <c r="SM20" s="1"/>
      <c r="SN20" s="1"/>
      <c r="SO20" s="1"/>
      <c r="SP20" s="1"/>
      <c r="SQ20" s="1"/>
      <c r="SR20" s="1"/>
      <c r="SS20" s="1"/>
      <c r="ST20" s="1"/>
      <c r="SU20" s="1"/>
      <c r="SV20" s="1"/>
      <c r="SW20" s="1"/>
      <c r="SX20" s="1"/>
      <c r="SY20" s="1"/>
      <c r="SZ20" s="1"/>
      <c r="TA20" s="1"/>
      <c r="TB20" s="1"/>
      <c r="TC20" s="1"/>
      <c r="TD20" s="1"/>
      <c r="TE20" s="1"/>
      <c r="TF20" s="1"/>
      <c r="TG20" s="1"/>
      <c r="TH20" s="1"/>
      <c r="TI20" s="1"/>
      <c r="TJ20" s="1"/>
      <c r="TK20" s="1"/>
      <c r="TL20" s="1"/>
      <c r="TM20" s="1"/>
      <c r="TN20" s="1"/>
      <c r="TO20" s="1"/>
      <c r="TP20" s="1"/>
      <c r="TQ20" s="1"/>
      <c r="TR20" s="1"/>
      <c r="TS20" s="1"/>
      <c r="TT20" s="1"/>
      <c r="TU20" s="1"/>
      <c r="TV20" s="1"/>
      <c r="TW20" s="1"/>
      <c r="TX20" s="1"/>
      <c r="TY20" s="1"/>
      <c r="TZ20" s="1"/>
      <c r="UA20" s="1"/>
      <c r="UB20" s="1"/>
      <c r="UC20" s="1"/>
      <c r="UD20" s="1"/>
      <c r="UE20" s="1"/>
      <c r="UF20" s="1"/>
      <c r="UG20" s="1"/>
      <c r="UH20" s="1"/>
      <c r="UI20" s="1"/>
      <c r="UJ20" s="1"/>
      <c r="UK20" s="1"/>
      <c r="UL20" s="1"/>
      <c r="UM20" s="1"/>
      <c r="UN20" s="1"/>
      <c r="UO20" s="1"/>
      <c r="UP20" s="1"/>
      <c r="UQ20" s="1"/>
      <c r="UR20" s="1"/>
      <c r="US20" s="1"/>
      <c r="UT20" s="1"/>
      <c r="UU20" s="1"/>
      <c r="UV20" s="1"/>
      <c r="UW20" s="1"/>
      <c r="UX20" s="1"/>
      <c r="UY20" s="1"/>
      <c r="UZ20" s="1"/>
      <c r="VA20" s="1"/>
      <c r="VB20" s="1"/>
      <c r="VC20" s="1"/>
      <c r="VD20" s="1"/>
      <c r="VE20" s="1"/>
      <c r="VF20" s="1"/>
      <c r="VG20" s="1"/>
      <c r="VH20" s="1"/>
      <c r="VI20" s="1"/>
      <c r="VJ20" s="1"/>
      <c r="VK20" s="1"/>
      <c r="VL20" s="1"/>
      <c r="VM20" s="1"/>
      <c r="VN20" s="1"/>
      <c r="VO20" s="1"/>
      <c r="VP20" s="1"/>
      <c r="VQ20" s="1"/>
      <c r="VR20" s="1"/>
      <c r="VS20" s="1"/>
      <c r="VT20" s="1"/>
      <c r="VU20" s="1"/>
      <c r="VV20" s="1"/>
      <c r="VW20" s="1"/>
      <c r="VX20" s="1"/>
      <c r="VY20" s="1"/>
      <c r="VZ20" s="1"/>
      <c r="WA20" s="1"/>
      <c r="WB20" s="1"/>
      <c r="WC20" s="1"/>
      <c r="WD20" s="1"/>
      <c r="WE20" s="1"/>
      <c r="WF20" s="1"/>
      <c r="WG20" s="1"/>
      <c r="WH20" s="1"/>
      <c r="WI20" s="1"/>
      <c r="WJ20" s="1"/>
      <c r="WK20" s="1"/>
      <c r="WL20" s="1"/>
      <c r="WM20" s="1"/>
      <c r="WN20" s="1"/>
      <c r="WO20" s="1"/>
      <c r="WP20" s="1"/>
      <c r="WQ20" s="1"/>
      <c r="WR20" s="1"/>
      <c r="WS20" s="1"/>
      <c r="WT20" s="1"/>
      <c r="WU20" s="1"/>
      <c r="WV20" s="1"/>
      <c r="WW20" s="1"/>
      <c r="WX20" s="1"/>
      <c r="WY20" s="1"/>
      <c r="WZ20" s="1"/>
      <c r="XA20" s="1"/>
      <c r="XB20" s="1"/>
      <c r="XC20" s="1"/>
      <c r="XD20" s="1"/>
      <c r="XE20" s="1"/>
      <c r="XF20" s="1"/>
      <c r="XG20" s="1"/>
      <c r="XH20" s="1"/>
      <c r="XI20" s="1"/>
      <c r="XJ20" s="1"/>
      <c r="XK20" s="1"/>
      <c r="XL20" s="1"/>
      <c r="XM20" s="1"/>
      <c r="XN20" s="1"/>
      <c r="XO20" s="1"/>
      <c r="XP20" s="1"/>
      <c r="XQ20" s="1"/>
      <c r="XR20" s="1"/>
      <c r="XS20" s="1"/>
      <c r="XT20" s="1"/>
      <c r="XU20" s="1"/>
      <c r="XV20" s="1"/>
      <c r="XW20" s="1"/>
      <c r="XX20" s="1"/>
      <c r="XY20" s="1"/>
      <c r="XZ20" s="1"/>
      <c r="YA20" s="1"/>
      <c r="YB20" s="1"/>
      <c r="YC20" s="1"/>
      <c r="YD20" s="1"/>
      <c r="YE20" s="1"/>
      <c r="YF20" s="1"/>
      <c r="YG20" s="1"/>
      <c r="YH20" s="1"/>
      <c r="YI20" s="1"/>
      <c r="YJ20" s="1"/>
      <c r="YK20" s="1"/>
      <c r="YL20" s="1"/>
      <c r="YM20" s="1"/>
      <c r="YN20" s="1"/>
      <c r="YO20" s="1"/>
      <c r="YP20" s="1"/>
      <c r="YQ20" s="1"/>
      <c r="YR20" s="1"/>
      <c r="YS20" s="1"/>
      <c r="YT20" s="1"/>
      <c r="YU20" s="1"/>
      <c r="YV20" s="1"/>
      <c r="YW20" s="1"/>
      <c r="YX20" s="1"/>
      <c r="YY20" s="1"/>
      <c r="YZ20" s="1"/>
      <c r="ZA20" s="1"/>
      <c r="ZB20" s="1"/>
      <c r="ZC20" s="1"/>
      <c r="ZD20" s="1"/>
      <c r="ZE20" s="1"/>
      <c r="ZF20" s="1"/>
      <c r="ZG20" s="1"/>
      <c r="ZH20" s="1"/>
      <c r="ZI20" s="1"/>
      <c r="ZJ20" s="1"/>
      <c r="ZK20" s="1"/>
      <c r="ZL20" s="1"/>
      <c r="ZM20" s="1"/>
      <c r="ZN20" s="1"/>
      <c r="ZO20" s="1"/>
      <c r="ZP20" s="1"/>
      <c r="ZQ20" s="1"/>
      <c r="ZR20" s="1"/>
      <c r="ZS20" s="1"/>
      <c r="ZT20" s="1"/>
      <c r="ZU20" s="1"/>
      <c r="ZV20" s="1"/>
      <c r="ZW20" s="1"/>
      <c r="ZX20" s="1"/>
      <c r="ZY20" s="1"/>
      <c r="ZZ20" s="1"/>
      <c r="AAA20" s="1"/>
      <c r="AAB20" s="1"/>
      <c r="AAC20" s="1"/>
      <c r="AAD20" s="1"/>
      <c r="AAE20" s="1"/>
      <c r="AAF20" s="1"/>
      <c r="AAG20" s="1"/>
      <c r="AAH20" s="1"/>
      <c r="AAI20" s="1"/>
      <c r="AAJ20" s="1"/>
      <c r="AAK20" s="1"/>
      <c r="AAL20" s="1"/>
      <c r="AAM20" s="1"/>
      <c r="AAN20" s="1"/>
      <c r="AAO20" s="1"/>
      <c r="AAP20" s="1"/>
      <c r="AAQ20" s="1"/>
      <c r="AAR20" s="1"/>
      <c r="AAS20" s="1"/>
      <c r="AAT20" s="1"/>
      <c r="AAU20" s="1"/>
      <c r="AAV20" s="1"/>
      <c r="AAW20" s="1"/>
      <c r="AAX20" s="1"/>
      <c r="AAY20" s="1"/>
      <c r="AAZ20" s="1"/>
      <c r="ABA20" s="1"/>
      <c r="ABB20" s="1"/>
      <c r="ABC20" s="1"/>
      <c r="ABD20" s="1"/>
      <c r="ABE20" s="1"/>
      <c r="ABF20" s="1"/>
      <c r="ABG20" s="1"/>
      <c r="ABH20" s="1"/>
      <c r="ABI20" s="1"/>
      <c r="ABJ20" s="1"/>
      <c r="ABK20" s="1"/>
      <c r="ABL20" s="1"/>
      <c r="ABM20" s="1"/>
      <c r="ABN20" s="1"/>
      <c r="ABO20" s="1"/>
      <c r="ABP20" s="1"/>
      <c r="ABQ20" s="1"/>
      <c r="ABR20" s="1"/>
      <c r="ABS20" s="1"/>
      <c r="ABT20" s="1"/>
      <c r="ABU20" s="1"/>
      <c r="ABV20" s="1"/>
      <c r="ABW20" s="1"/>
      <c r="ABX20" s="1"/>
      <c r="ABY20" s="1"/>
      <c r="ABZ20" s="1"/>
      <c r="ACA20" s="1"/>
      <c r="ACB20" s="1"/>
      <c r="ACC20" s="1"/>
      <c r="ACD20" s="1"/>
      <c r="ACE20" s="1"/>
      <c r="ACF20" s="1"/>
      <c r="ACG20" s="1"/>
      <c r="ACH20" s="1"/>
      <c r="ACI20" s="1"/>
      <c r="ACJ20" s="1"/>
      <c r="ACK20" s="1"/>
      <c r="ACL20" s="1"/>
      <c r="ACM20" s="1"/>
      <c r="ACN20" s="1"/>
      <c r="ACO20" s="1"/>
      <c r="ACP20" s="1"/>
      <c r="ACQ20" s="1"/>
      <c r="ACR20" s="1"/>
      <c r="ACS20" s="1"/>
      <c r="ACT20" s="1"/>
      <c r="ACU20" s="1"/>
      <c r="ACV20" s="1"/>
      <c r="ACW20" s="1"/>
      <c r="ACX20" s="1"/>
      <c r="ACY20" s="1"/>
      <c r="ACZ20" s="1"/>
      <c r="ADA20" s="1"/>
      <c r="ADB20" s="1"/>
      <c r="ADC20" s="1"/>
      <c r="ADD20" s="1"/>
      <c r="ADE20" s="1"/>
      <c r="ADF20" s="1"/>
      <c r="ADG20" s="1"/>
      <c r="ADH20" s="1"/>
      <c r="ADI20" s="1"/>
      <c r="ADJ20" s="1"/>
      <c r="ADK20" s="1"/>
      <c r="ADL20" s="1"/>
      <c r="ADM20" s="1"/>
      <c r="ADN20" s="1"/>
      <c r="ADO20" s="1"/>
      <c r="ADP20" s="1"/>
      <c r="ADQ20" s="1"/>
      <c r="ADR20" s="1"/>
      <c r="ADS20" s="1"/>
      <c r="ADT20" s="1"/>
      <c r="ADU20" s="1"/>
      <c r="ADV20" s="1"/>
      <c r="ADW20" s="1"/>
      <c r="ADX20" s="1"/>
      <c r="ADY20" s="1"/>
      <c r="ADZ20" s="1"/>
      <c r="AEA20" s="1"/>
      <c r="AEB20" s="1"/>
      <c r="AEC20" s="1"/>
      <c r="AED20" s="1"/>
      <c r="AEE20" s="1"/>
      <c r="AEF20" s="1"/>
      <c r="AEG20" s="1"/>
      <c r="AEH20" s="1"/>
      <c r="AEI20" s="1"/>
      <c r="AEJ20" s="1"/>
      <c r="AEK20" s="1"/>
      <c r="AEL20" s="1"/>
      <c r="AEM20" s="1"/>
      <c r="AEN20" s="1"/>
      <c r="AEO20" s="1"/>
      <c r="AEP20" s="1"/>
      <c r="AEQ20" s="1"/>
      <c r="AER20" s="1"/>
      <c r="AES20" s="1"/>
      <c r="AET20" s="1"/>
      <c r="AEU20" s="1"/>
      <c r="AEV20" s="1"/>
      <c r="AEW20" s="1"/>
      <c r="AEX20" s="1"/>
      <c r="AEY20" s="1"/>
      <c r="AEZ20" s="1"/>
      <c r="AFA20" s="1"/>
      <c r="AFB20" s="1"/>
      <c r="AFC20" s="1"/>
      <c r="AFD20" s="1"/>
      <c r="AFE20" s="1"/>
      <c r="AFF20" s="1"/>
      <c r="AFG20" s="1"/>
      <c r="AFH20" s="1"/>
      <c r="AFI20" s="1"/>
      <c r="AFJ20" s="1"/>
      <c r="AFK20" s="1"/>
      <c r="AFL20" s="1"/>
      <c r="AFM20" s="1"/>
      <c r="AFN20" s="1"/>
      <c r="AFO20" s="1"/>
      <c r="AFP20" s="1"/>
      <c r="AFQ20" s="1"/>
      <c r="AFR20" s="1"/>
      <c r="AFS20" s="1"/>
      <c r="AFT20" s="1"/>
      <c r="AFU20" s="1"/>
      <c r="AFV20" s="1"/>
      <c r="AFW20" s="1"/>
      <c r="AFX20" s="1"/>
      <c r="AFY20" s="1"/>
      <c r="AFZ20" s="1"/>
      <c r="AGA20" s="1"/>
      <c r="AGB20" s="1"/>
      <c r="AGC20" s="1"/>
      <c r="AGD20" s="1"/>
      <c r="AGE20" s="1"/>
      <c r="AGF20" s="1"/>
      <c r="AGG20" s="1"/>
      <c r="AGH20" s="1"/>
      <c r="AGI20" s="1"/>
      <c r="AGJ20" s="1"/>
      <c r="AGK20" s="1"/>
      <c r="AGL20" s="1"/>
      <c r="AGM20" s="1"/>
      <c r="AGN20" s="1"/>
      <c r="AGO20" s="1"/>
      <c r="AGP20" s="1"/>
      <c r="AGQ20" s="1"/>
      <c r="AGR20" s="1"/>
      <c r="AGS20" s="1"/>
      <c r="AGT20" s="1"/>
      <c r="AGU20" s="1"/>
      <c r="AGV20" s="1"/>
      <c r="AGW20" s="1"/>
      <c r="AGX20" s="1"/>
      <c r="AGY20" s="1"/>
      <c r="AGZ20" s="1"/>
      <c r="AHA20" s="1"/>
      <c r="AHB20" s="1"/>
      <c r="AHC20" s="1"/>
      <c r="AHD20" s="1"/>
      <c r="AHE20" s="1"/>
      <c r="AHF20" s="1"/>
      <c r="AHG20" s="1"/>
      <c r="AHH20" s="1"/>
      <c r="AHI20" s="1"/>
      <c r="AHJ20" s="1"/>
      <c r="AHK20" s="1"/>
      <c r="AHL20" s="1"/>
      <c r="AHM20" s="1"/>
      <c r="AHN20" s="1"/>
      <c r="AHO20" s="1"/>
      <c r="AHP20" s="1"/>
      <c r="AHQ20" s="1"/>
      <c r="AHR20" s="1"/>
      <c r="AHS20" s="1"/>
      <c r="AHT20" s="1"/>
      <c r="AHU20" s="1"/>
      <c r="AHV20" s="1"/>
      <c r="AHW20" s="1"/>
      <c r="AHX20" s="1"/>
      <c r="AHY20" s="1"/>
      <c r="AHZ20" s="1"/>
      <c r="AIA20" s="1"/>
      <c r="AIB20" s="1"/>
      <c r="AIC20" s="1"/>
      <c r="AID20" s="1"/>
      <c r="AIE20" s="1"/>
      <c r="AIF20" s="1"/>
      <c r="AIG20" s="1"/>
      <c r="AIH20" s="1"/>
      <c r="AII20" s="1"/>
      <c r="AIJ20" s="1"/>
      <c r="AIK20" s="1"/>
      <c r="AIL20" s="1"/>
      <c r="AIM20" s="1"/>
      <c r="AIN20" s="1"/>
      <c r="AIO20" s="1"/>
      <c r="AIP20" s="1"/>
      <c r="AIQ20" s="1"/>
      <c r="AIR20" s="1"/>
      <c r="AIS20" s="1"/>
      <c r="AIT20" s="1"/>
      <c r="AIU20" s="1"/>
      <c r="AIV20" s="1"/>
      <c r="AIW20" s="1"/>
      <c r="AIX20" s="1"/>
      <c r="AIY20" s="1"/>
      <c r="AIZ20" s="1"/>
      <c r="AJA20" s="1"/>
      <c r="AJB20" s="1"/>
      <c r="AJC20" s="1"/>
      <c r="AJD20" s="1"/>
      <c r="AJE20" s="1"/>
      <c r="AJF20" s="1"/>
      <c r="AJG20" s="1"/>
      <c r="AJH20" s="1"/>
      <c r="AJI20" s="1"/>
      <c r="AJJ20" s="1"/>
      <c r="AJK20" s="1"/>
      <c r="AJL20" s="1"/>
      <c r="AJM20" s="1"/>
      <c r="AJN20" s="1"/>
      <c r="AJO20" s="1"/>
      <c r="AJP20" s="1"/>
      <c r="AJQ20" s="1"/>
      <c r="AJR20" s="1"/>
      <c r="AJS20" s="1"/>
      <c r="AJT20" s="1"/>
      <c r="AJU20" s="1"/>
      <c r="AJV20" s="1"/>
      <c r="AJW20" s="1"/>
      <c r="AJX20" s="1"/>
      <c r="AJY20" s="1"/>
      <c r="AJZ20" s="1"/>
      <c r="AKA20" s="1"/>
      <c r="AKB20" s="1"/>
      <c r="AKC20" s="1"/>
      <c r="AKD20" s="1"/>
      <c r="AKE20" s="1"/>
      <c r="AKF20" s="1"/>
      <c r="AKG20" s="1"/>
      <c r="AKH20" s="1"/>
      <c r="AKI20" s="1"/>
      <c r="AKJ20" s="1"/>
      <c r="AKK20" s="1"/>
      <c r="AKL20" s="1"/>
      <c r="AKM20" s="1"/>
      <c r="AKN20" s="1"/>
      <c r="AKO20" s="1"/>
      <c r="AKP20" s="1"/>
      <c r="AKQ20" s="1"/>
      <c r="AKR20" s="1"/>
      <c r="AKS20" s="1"/>
      <c r="AKT20" s="1"/>
      <c r="AKU20" s="1"/>
      <c r="AKV20" s="1"/>
      <c r="AKW20" s="1"/>
      <c r="AKX20" s="1"/>
      <c r="AKY20" s="1"/>
      <c r="AKZ20" s="1"/>
      <c r="ALA20" s="1"/>
      <c r="ALB20" s="1"/>
      <c r="ALC20" s="1"/>
      <c r="ALD20" s="1"/>
      <c r="ALE20" s="1"/>
      <c r="ALF20" s="1"/>
      <c r="ALG20" s="1"/>
      <c r="ALH20" s="1"/>
      <c r="ALI20" s="1"/>
      <c r="ALJ20" s="1"/>
      <c r="ALK20" s="1"/>
      <c r="ALL20" s="1"/>
      <c r="ALM20" s="1"/>
      <c r="ALN20" s="1"/>
      <c r="ALO20" s="1"/>
      <c r="ALP20" s="1"/>
      <c r="ALQ20" s="1"/>
      <c r="ALR20" s="1"/>
      <c r="ALS20" s="1"/>
      <c r="ALT20" s="1"/>
      <c r="ALU20" s="1"/>
      <c r="ALV20" s="1"/>
      <c r="ALW20" s="1"/>
      <c r="ALX20" s="1"/>
      <c r="ALY20" s="1"/>
      <c r="ALZ20" s="1"/>
      <c r="AMA20" s="1"/>
      <c r="AMB20" s="1"/>
      <c r="AMC20" s="1"/>
      <c r="AMD20" s="1"/>
      <c r="AME20" s="1"/>
      <c r="AMF20" s="1"/>
      <c r="AMG20" s="1"/>
      <c r="AMH20" s="1"/>
      <c r="AMI20" s="1"/>
      <c r="AMJ20" s="1"/>
      <c r="AMK20" s="1"/>
      <c r="AML20" s="1"/>
      <c r="AMM20" s="1"/>
      <c r="AMN20" s="1"/>
      <c r="AMO20" s="1"/>
    </row>
    <row r="21" spans="1:1029" x14ac:dyDescent="0.2">
      <c r="A21" s="3" t="str">
        <f t="shared" si="0"/>
        <v>aa2ar_human_4EIY</v>
      </c>
      <c r="B21" s="3" t="s">
        <v>139</v>
      </c>
      <c r="C21" s="3" t="s">
        <v>81</v>
      </c>
      <c r="D21" s="3" t="str">
        <f>IFERROR(MID(VLOOKUP($B21,Seqs!$A:$B,2,0),E21,1),"")</f>
        <v>P</v>
      </c>
      <c r="E21" s="3">
        <v>2</v>
      </c>
      <c r="F21" s="3" t="str">
        <f>IFERROR(MID(VLOOKUP($B21,Seqs!$A:$B,2,0),G21,1),"")</f>
        <v>N</v>
      </c>
      <c r="G21" s="3">
        <v>34</v>
      </c>
      <c r="H21" s="3" t="str">
        <f>IFERROR(MID(VLOOKUP($B21,Seqs!$A:$B,2,0),I21,1),"")</f>
        <v>S</v>
      </c>
      <c r="I21" s="23">
        <v>35</v>
      </c>
      <c r="J21" s="3" t="str">
        <f>IFERROR(MID(VLOOKUP($B21,Seqs!$A:$B,2,0),K21,1),"")</f>
        <v>Q</v>
      </c>
      <c r="K21" s="23">
        <v>38</v>
      </c>
      <c r="L21" s="3" t="str">
        <f>IFERROR(MID(VLOOKUP($B21,Seqs!$A:$B,2,0),M21,1),"")</f>
        <v>N</v>
      </c>
      <c r="M21" s="3">
        <v>39</v>
      </c>
      <c r="N21" s="3" t="str">
        <f>IFERROR(MID(VLOOKUP($B21,Seqs!$A:$B,2,0),O21,1),"")</f>
        <v>G</v>
      </c>
      <c r="O21" s="3">
        <v>69</v>
      </c>
      <c r="P21" s="3" t="str">
        <f>IFERROR(MID(VLOOKUP($B21,Seqs!$A:$B,2,0),Q21,1),"")</f>
        <v>F</v>
      </c>
      <c r="Q21" s="3">
        <v>70</v>
      </c>
      <c r="R21" s="3" t="str">
        <f>IFERROR(MID(VLOOKUP($B21,Seqs!$A:$B,2,0),S21,1),"")</f>
        <v>A</v>
      </c>
      <c r="S21" s="3">
        <v>72</v>
      </c>
      <c r="T21" s="3" t="str">
        <f>IFERROR(MID(VLOOKUP($B21,Seqs!$A:$B,2,0),U21,1),"")</f>
        <v>A</v>
      </c>
      <c r="U21" s="3">
        <v>73</v>
      </c>
      <c r="V21" s="3" t="str">
        <f>IFERROR(MID(VLOOKUP($B21,Seqs!$A:$B,2,0),W21,1),"")</f>
        <v>I</v>
      </c>
      <c r="W21" s="3">
        <v>108</v>
      </c>
      <c r="X21" s="3" t="str">
        <f>IFERROR(MID(VLOOKUP($B21,Seqs!$A:$B,2,0),Y21,1),"")</f>
        <v>P</v>
      </c>
      <c r="Y21" s="3">
        <v>109</v>
      </c>
      <c r="Z21" s="3" t="str">
        <f>IFERROR(MID(VLOOKUP($B21,Seqs!$A:$B,2,0),AA21,1),"")</f>
        <v>V</v>
      </c>
      <c r="AA21" s="3">
        <v>116</v>
      </c>
      <c r="AB21" s="3" t="str">
        <f>IFERROR(MID(VLOOKUP($B21,Seqs!$A:$B,2,0),AC21,1),"")</f>
        <v>T</v>
      </c>
      <c r="AC21" s="9">
        <v>117</v>
      </c>
      <c r="AD21" s="3" t="str">
        <f>IFERROR(MID(VLOOKUP($B21,Seqs!$A:$B,2,0),AE21,1),"")</f>
        <v>G</v>
      </c>
      <c r="AE21" s="3">
        <v>142</v>
      </c>
      <c r="AF21" s="3" t="str">
        <f>IFERROR(MID(VLOOKUP($B21,Seqs!$A:$B,2,0),AG21,1),"")</f>
        <v>C</v>
      </c>
      <c r="AG21" s="3">
        <v>166</v>
      </c>
      <c r="AH21" s="3" t="str">
        <f>IFERROR(MID(VLOOKUP($B21,Seqs!$A:$B,2,0),AI21,1),"")</f>
        <v>F</v>
      </c>
      <c r="AI21" s="3">
        <v>168</v>
      </c>
      <c r="AJ21" s="3" t="str">
        <f>IFERROR(MID(VLOOKUP($B21,Seqs!$A:$B,2,0),AK21,1),"")</f>
        <v>P</v>
      </c>
      <c r="AK21" s="3">
        <v>173</v>
      </c>
      <c r="AL21" s="3" t="str">
        <f>IFERROR(MID(VLOOKUP($B21,Seqs!$A:$B,2,0),AM21,1),"")</f>
        <v>Q</v>
      </c>
      <c r="AM21" s="3">
        <v>207</v>
      </c>
      <c r="AN21" s="3" t="str">
        <f>IFERROR(MID(VLOOKUP($B21,Seqs!$A:$B,2,0),AO21,1),"")</f>
        <v>E</v>
      </c>
      <c r="AO21" s="3">
        <v>219</v>
      </c>
      <c r="AP21" s="3" t="str">
        <f>IFERROR(MID(VLOOKUP($B21,Seqs!$A:$B,2,0),AQ21,1),"")</f>
        <v>C</v>
      </c>
      <c r="AQ21" s="3">
        <v>259</v>
      </c>
      <c r="AR21" s="3" t="str">
        <f>IFERROR(MID(VLOOKUP($B21,Seqs!$A:$B,2,0),AS21,1),"")</f>
        <v>P</v>
      </c>
      <c r="AS21" s="3">
        <v>266</v>
      </c>
      <c r="AT21" s="3" t="str">
        <f>IFERROR(MID(VLOOKUP($B21,Seqs!$A:$B,2,0),AU21,1),"")</f>
        <v>R</v>
      </c>
      <c r="AU21" s="3">
        <v>291</v>
      </c>
      <c r="AV21" s="3" t="str">
        <f>IFERROR(MID(VLOOKUP($B21,Seqs!$A:$B,2,0),AW21,1),"")</f>
        <v>I</v>
      </c>
      <c r="AW21" s="3">
        <v>292</v>
      </c>
      <c r="AX21" s="3" t="str">
        <f>IFERROR(MID(VLOOKUP($B21,Seqs!$A:$B,2,0),AY21,1),"")</f>
        <v>V</v>
      </c>
      <c r="AY21" s="3">
        <v>307</v>
      </c>
      <c r="AZ21" s="79" t="str">
        <f>VLOOKUP(B21,Classification!A:D,2,0)</f>
        <v>A</v>
      </c>
      <c r="BA21" s="97" t="str">
        <f>VLOOKUP(B21,Classification!A:D,4,0)</f>
        <v>Adenosine</v>
      </c>
      <c r="BB21" s="27" t="b">
        <f t="shared" si="1"/>
        <v>1</v>
      </c>
      <c r="BC21" s="23">
        <f t="shared" si="2"/>
        <v>262</v>
      </c>
      <c r="BD21" s="4" t="s">
        <v>23</v>
      </c>
      <c r="BE21" s="3" t="s">
        <v>1381</v>
      </c>
      <c r="BF21" s="50" t="s">
        <v>1384</v>
      </c>
      <c r="BG21" s="50" t="s">
        <v>1384</v>
      </c>
      <c r="BH21" s="1"/>
      <c r="BI21" s="72" t="s">
        <v>1293</v>
      </c>
      <c r="BJ21" s="58" t="s">
        <v>1293</v>
      </c>
      <c r="BK21" s="58" t="s">
        <v>1293</v>
      </c>
      <c r="BL21" s="58" t="s">
        <v>1293</v>
      </c>
      <c r="BM21" s="58" t="s">
        <v>1293</v>
      </c>
      <c r="BN21" s="58" t="s">
        <v>1293</v>
      </c>
      <c r="BO21" s="58" t="s">
        <v>1293</v>
      </c>
      <c r="BP21" s="58" t="s">
        <v>1293</v>
      </c>
      <c r="BQ21" s="58" t="s">
        <v>1293</v>
      </c>
      <c r="BR21" s="58" t="s">
        <v>1293</v>
      </c>
      <c r="BS21" s="58" t="s">
        <v>1293</v>
      </c>
      <c r="BT21" s="58" t="s">
        <v>1293</v>
      </c>
      <c r="BU21" s="72">
        <f t="shared" si="3"/>
        <v>2</v>
      </c>
      <c r="BV21" s="73">
        <f t="shared" si="4"/>
        <v>35</v>
      </c>
      <c r="BW21" s="74">
        <f t="shared" si="5"/>
        <v>39</v>
      </c>
      <c r="BX21" s="73">
        <f t="shared" si="6"/>
        <v>70</v>
      </c>
      <c r="BY21" s="74">
        <f t="shared" si="7"/>
        <v>73</v>
      </c>
      <c r="BZ21" s="73">
        <f t="shared" si="8"/>
        <v>109</v>
      </c>
      <c r="CA21" s="74">
        <f t="shared" si="9"/>
        <v>117</v>
      </c>
      <c r="CB21" s="73">
        <f t="shared" si="10"/>
        <v>166</v>
      </c>
      <c r="CC21" s="74">
        <f t="shared" si="11"/>
        <v>173</v>
      </c>
      <c r="CD21" s="73">
        <f t="shared" si="12"/>
        <v>219</v>
      </c>
      <c r="CE21" s="74">
        <f t="shared" si="13"/>
        <v>266</v>
      </c>
      <c r="CF21" s="73">
        <f t="shared" si="14"/>
        <v>292</v>
      </c>
      <c r="CG21" s="72">
        <f t="shared" si="15"/>
        <v>34</v>
      </c>
      <c r="CH21" s="73">
        <f t="shared" si="16"/>
        <v>38</v>
      </c>
      <c r="CI21" s="74">
        <f t="shared" si="17"/>
        <v>69</v>
      </c>
      <c r="CJ21" s="74">
        <f t="shared" si="18"/>
        <v>72</v>
      </c>
      <c r="CK21" s="74">
        <f t="shared" si="19"/>
        <v>108</v>
      </c>
      <c r="CL21" s="74">
        <f t="shared" si="20"/>
        <v>116</v>
      </c>
      <c r="CM21" s="74">
        <f t="shared" si="21"/>
        <v>142</v>
      </c>
      <c r="CN21" s="74">
        <f t="shared" si="22"/>
        <v>168</v>
      </c>
      <c r="CO21" s="74">
        <f t="shared" si="23"/>
        <v>207</v>
      </c>
      <c r="CP21" s="74">
        <f t="shared" si="24"/>
        <v>259</v>
      </c>
      <c r="CQ21" s="74">
        <f t="shared" si="25"/>
        <v>291</v>
      </c>
      <c r="CR21" s="74">
        <f t="shared" si="26"/>
        <v>307</v>
      </c>
      <c r="CS21" s="23">
        <f t="shared" si="27"/>
        <v>1</v>
      </c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  <c r="OK21" s="1"/>
      <c r="OL21" s="1"/>
      <c r="OM21" s="1"/>
      <c r="ON21" s="1"/>
      <c r="OO21" s="1"/>
      <c r="OP21" s="1"/>
      <c r="OQ21" s="1"/>
      <c r="OR21" s="1"/>
      <c r="OS21" s="1"/>
      <c r="OT21" s="1"/>
      <c r="OU21" s="1"/>
      <c r="OV21" s="1"/>
      <c r="OW21" s="1"/>
      <c r="OX21" s="1"/>
      <c r="OY21" s="1"/>
      <c r="OZ21" s="1"/>
      <c r="PA21" s="1"/>
      <c r="PB21" s="1"/>
      <c r="PC21" s="1"/>
      <c r="PD21" s="1"/>
      <c r="PE21" s="1"/>
      <c r="PF21" s="1"/>
      <c r="PG21" s="1"/>
      <c r="PH21" s="1"/>
      <c r="PI21" s="1"/>
      <c r="PJ21" s="1"/>
      <c r="PK21" s="1"/>
      <c r="PL21" s="1"/>
      <c r="PM21" s="1"/>
      <c r="PN21" s="1"/>
      <c r="PO21" s="1"/>
      <c r="PP21" s="1"/>
      <c r="PQ21" s="1"/>
      <c r="PR21" s="1"/>
      <c r="PS21" s="1"/>
      <c r="PT21" s="1"/>
      <c r="PU21" s="1"/>
      <c r="PV21" s="1"/>
      <c r="PW21" s="1"/>
      <c r="PX21" s="1"/>
      <c r="PY21" s="1"/>
      <c r="PZ21" s="1"/>
      <c r="QA21" s="1"/>
      <c r="QB21" s="1"/>
      <c r="QC21" s="1"/>
      <c r="QD21" s="1"/>
      <c r="QE21" s="1"/>
      <c r="QF21" s="1"/>
      <c r="QG21" s="1"/>
      <c r="QH21" s="1"/>
      <c r="QI21" s="1"/>
      <c r="QJ21" s="1"/>
      <c r="QK21" s="1"/>
      <c r="QL21" s="1"/>
      <c r="QM21" s="1"/>
      <c r="QN21" s="1"/>
      <c r="QO21" s="1"/>
      <c r="QP21" s="1"/>
      <c r="QQ21" s="1"/>
      <c r="QR21" s="1"/>
      <c r="QS21" s="1"/>
      <c r="QT21" s="1"/>
      <c r="QU21" s="1"/>
      <c r="QV21" s="1"/>
      <c r="QW21" s="1"/>
      <c r="QX21" s="1"/>
      <c r="QY21" s="1"/>
      <c r="QZ21" s="1"/>
      <c r="RA21" s="1"/>
      <c r="RB21" s="1"/>
      <c r="RC21" s="1"/>
      <c r="RD21" s="1"/>
      <c r="RE21" s="1"/>
      <c r="RF21" s="1"/>
      <c r="RG21" s="1"/>
      <c r="RH21" s="1"/>
      <c r="RI21" s="1"/>
      <c r="RJ21" s="1"/>
      <c r="RK21" s="1"/>
      <c r="RL21" s="1"/>
      <c r="RM21" s="1"/>
      <c r="RN21" s="1"/>
      <c r="RO21" s="1"/>
      <c r="RP21" s="1"/>
      <c r="RQ21" s="1"/>
      <c r="RR21" s="1"/>
      <c r="RS21" s="1"/>
      <c r="RT21" s="1"/>
      <c r="RU21" s="1"/>
      <c r="RV21" s="1"/>
      <c r="RW21" s="1"/>
      <c r="RX21" s="1"/>
      <c r="RY21" s="1"/>
      <c r="RZ21" s="1"/>
      <c r="SA21" s="1"/>
      <c r="SB21" s="1"/>
      <c r="SC21" s="1"/>
      <c r="SD21" s="1"/>
      <c r="SE21" s="1"/>
      <c r="SF21" s="1"/>
      <c r="SG21" s="1"/>
      <c r="SH21" s="1"/>
      <c r="SI21" s="1"/>
      <c r="SJ21" s="1"/>
      <c r="SK21" s="1"/>
      <c r="SL21" s="1"/>
      <c r="SM21" s="1"/>
      <c r="SN21" s="1"/>
      <c r="SO21" s="1"/>
      <c r="SP21" s="1"/>
      <c r="SQ21" s="1"/>
      <c r="SR21" s="1"/>
      <c r="SS21" s="1"/>
      <c r="ST21" s="1"/>
      <c r="SU21" s="1"/>
      <c r="SV21" s="1"/>
      <c r="SW21" s="1"/>
      <c r="SX21" s="1"/>
      <c r="SY21" s="1"/>
      <c r="SZ21" s="1"/>
      <c r="TA21" s="1"/>
      <c r="TB21" s="1"/>
      <c r="TC21" s="1"/>
      <c r="TD21" s="1"/>
      <c r="TE21" s="1"/>
      <c r="TF21" s="1"/>
      <c r="TG21" s="1"/>
      <c r="TH21" s="1"/>
      <c r="TI21" s="1"/>
      <c r="TJ21" s="1"/>
      <c r="TK21" s="1"/>
      <c r="TL21" s="1"/>
      <c r="TM21" s="1"/>
      <c r="TN21" s="1"/>
      <c r="TO21" s="1"/>
      <c r="TP21" s="1"/>
      <c r="TQ21" s="1"/>
      <c r="TR21" s="1"/>
      <c r="TS21" s="1"/>
      <c r="TT21" s="1"/>
      <c r="TU21" s="1"/>
      <c r="TV21" s="1"/>
      <c r="TW21" s="1"/>
      <c r="TX21" s="1"/>
      <c r="TY21" s="1"/>
      <c r="TZ21" s="1"/>
      <c r="UA21" s="1"/>
      <c r="UB21" s="1"/>
      <c r="UC21" s="1"/>
      <c r="UD21" s="1"/>
      <c r="UE21" s="1"/>
      <c r="UF21" s="1"/>
      <c r="UG21" s="1"/>
      <c r="UH21" s="1"/>
      <c r="UI21" s="1"/>
      <c r="UJ21" s="1"/>
      <c r="UK21" s="1"/>
      <c r="UL21" s="1"/>
      <c r="UM21" s="1"/>
      <c r="UN21" s="1"/>
      <c r="UO21" s="1"/>
      <c r="UP21" s="1"/>
      <c r="UQ21" s="1"/>
      <c r="UR21" s="1"/>
      <c r="US21" s="1"/>
      <c r="UT21" s="1"/>
      <c r="UU21" s="1"/>
      <c r="UV21" s="1"/>
      <c r="UW21" s="1"/>
      <c r="UX21" s="1"/>
      <c r="UY21" s="1"/>
      <c r="UZ21" s="1"/>
      <c r="VA21" s="1"/>
      <c r="VB21" s="1"/>
      <c r="VC21" s="1"/>
      <c r="VD21" s="1"/>
      <c r="VE21" s="1"/>
      <c r="VF21" s="1"/>
      <c r="VG21" s="1"/>
      <c r="VH21" s="1"/>
      <c r="VI21" s="1"/>
      <c r="VJ21" s="1"/>
      <c r="VK21" s="1"/>
      <c r="VL21" s="1"/>
      <c r="VM21" s="1"/>
      <c r="VN21" s="1"/>
      <c r="VO21" s="1"/>
      <c r="VP21" s="1"/>
      <c r="VQ21" s="1"/>
      <c r="VR21" s="1"/>
      <c r="VS21" s="1"/>
      <c r="VT21" s="1"/>
      <c r="VU21" s="1"/>
      <c r="VV21" s="1"/>
      <c r="VW21" s="1"/>
      <c r="VX21" s="1"/>
      <c r="VY21" s="1"/>
      <c r="VZ21" s="1"/>
      <c r="WA21" s="1"/>
      <c r="WB21" s="1"/>
      <c r="WC21" s="1"/>
      <c r="WD21" s="1"/>
      <c r="WE21" s="1"/>
      <c r="WF21" s="1"/>
      <c r="WG21" s="1"/>
      <c r="WH21" s="1"/>
      <c r="WI21" s="1"/>
      <c r="WJ21" s="1"/>
      <c r="WK21" s="1"/>
      <c r="WL21" s="1"/>
      <c r="WM21" s="1"/>
      <c r="WN21" s="1"/>
      <c r="WO21" s="1"/>
      <c r="WP21" s="1"/>
      <c r="WQ21" s="1"/>
      <c r="WR21" s="1"/>
      <c r="WS21" s="1"/>
      <c r="WT21" s="1"/>
      <c r="WU21" s="1"/>
      <c r="WV21" s="1"/>
      <c r="WW21" s="1"/>
      <c r="WX21" s="1"/>
      <c r="WY21" s="1"/>
      <c r="WZ21" s="1"/>
      <c r="XA21" s="1"/>
      <c r="XB21" s="1"/>
      <c r="XC21" s="1"/>
      <c r="XD21" s="1"/>
      <c r="XE21" s="1"/>
      <c r="XF21" s="1"/>
      <c r="XG21" s="1"/>
      <c r="XH21" s="1"/>
      <c r="XI21" s="1"/>
      <c r="XJ21" s="1"/>
      <c r="XK21" s="1"/>
      <c r="XL21" s="1"/>
      <c r="XM21" s="1"/>
      <c r="XN21" s="1"/>
      <c r="XO21" s="1"/>
      <c r="XP21" s="1"/>
      <c r="XQ21" s="1"/>
      <c r="XR21" s="1"/>
      <c r="XS21" s="1"/>
      <c r="XT21" s="1"/>
      <c r="XU21" s="1"/>
      <c r="XV21" s="1"/>
      <c r="XW21" s="1"/>
      <c r="XX21" s="1"/>
      <c r="XY21" s="1"/>
      <c r="XZ21" s="1"/>
      <c r="YA21" s="1"/>
      <c r="YB21" s="1"/>
      <c r="YC21" s="1"/>
      <c r="YD21" s="1"/>
      <c r="YE21" s="1"/>
      <c r="YF21" s="1"/>
      <c r="YG21" s="1"/>
      <c r="YH21" s="1"/>
      <c r="YI21" s="1"/>
      <c r="YJ21" s="1"/>
      <c r="YK21" s="1"/>
      <c r="YL21" s="1"/>
      <c r="YM21" s="1"/>
      <c r="YN21" s="1"/>
      <c r="YO21" s="1"/>
      <c r="YP21" s="1"/>
      <c r="YQ21" s="1"/>
      <c r="YR21" s="1"/>
      <c r="YS21" s="1"/>
      <c r="YT21" s="1"/>
      <c r="YU21" s="1"/>
      <c r="YV21" s="1"/>
      <c r="YW21" s="1"/>
      <c r="YX21" s="1"/>
      <c r="YY21" s="1"/>
      <c r="YZ21" s="1"/>
      <c r="ZA21" s="1"/>
      <c r="ZB21" s="1"/>
      <c r="ZC21" s="1"/>
      <c r="ZD21" s="1"/>
      <c r="ZE21" s="1"/>
      <c r="ZF21" s="1"/>
      <c r="ZG21" s="1"/>
      <c r="ZH21" s="1"/>
      <c r="ZI21" s="1"/>
      <c r="ZJ21" s="1"/>
      <c r="ZK21" s="1"/>
      <c r="ZL21" s="1"/>
      <c r="ZM21" s="1"/>
      <c r="ZN21" s="1"/>
      <c r="ZO21" s="1"/>
      <c r="ZP21" s="1"/>
      <c r="ZQ21" s="1"/>
      <c r="ZR21" s="1"/>
      <c r="ZS21" s="1"/>
      <c r="ZT21" s="1"/>
      <c r="ZU21" s="1"/>
      <c r="ZV21" s="1"/>
      <c r="ZW21" s="1"/>
      <c r="ZX21" s="1"/>
      <c r="ZY21" s="1"/>
      <c r="ZZ21" s="1"/>
      <c r="AAA21" s="1"/>
      <c r="AAB21" s="1"/>
      <c r="AAC21" s="1"/>
      <c r="AAD21" s="1"/>
      <c r="AAE21" s="1"/>
      <c r="AAF21" s="1"/>
      <c r="AAG21" s="1"/>
      <c r="AAH21" s="1"/>
      <c r="AAI21" s="1"/>
      <c r="AAJ21" s="1"/>
      <c r="AAK21" s="1"/>
      <c r="AAL21" s="1"/>
      <c r="AAM21" s="1"/>
      <c r="AAN21" s="1"/>
      <c r="AAO21" s="1"/>
      <c r="AAP21" s="1"/>
      <c r="AAQ21" s="1"/>
      <c r="AAR21" s="1"/>
      <c r="AAS21" s="1"/>
      <c r="AAT21" s="1"/>
      <c r="AAU21" s="1"/>
      <c r="AAV21" s="1"/>
      <c r="AAW21" s="1"/>
      <c r="AAX21" s="1"/>
      <c r="AAY21" s="1"/>
      <c r="AAZ21" s="1"/>
      <c r="ABA21" s="1"/>
      <c r="ABB21" s="1"/>
      <c r="ABC21" s="1"/>
      <c r="ABD21" s="1"/>
      <c r="ABE21" s="1"/>
      <c r="ABF21" s="1"/>
      <c r="ABG21" s="1"/>
      <c r="ABH21" s="1"/>
      <c r="ABI21" s="1"/>
      <c r="ABJ21" s="1"/>
      <c r="ABK21" s="1"/>
      <c r="ABL21" s="1"/>
      <c r="ABM21" s="1"/>
      <c r="ABN21" s="1"/>
      <c r="ABO21" s="1"/>
      <c r="ABP21" s="1"/>
      <c r="ABQ21" s="1"/>
      <c r="ABR21" s="1"/>
      <c r="ABS21" s="1"/>
      <c r="ABT21" s="1"/>
      <c r="ABU21" s="1"/>
      <c r="ABV21" s="1"/>
      <c r="ABW21" s="1"/>
      <c r="ABX21" s="1"/>
      <c r="ABY21" s="1"/>
      <c r="ABZ21" s="1"/>
      <c r="ACA21" s="1"/>
      <c r="ACB21" s="1"/>
      <c r="ACC21" s="1"/>
      <c r="ACD21" s="1"/>
      <c r="ACE21" s="1"/>
      <c r="ACF21" s="1"/>
      <c r="ACG21" s="1"/>
      <c r="ACH21" s="1"/>
      <c r="ACI21" s="1"/>
      <c r="ACJ21" s="1"/>
      <c r="ACK21" s="1"/>
      <c r="ACL21" s="1"/>
      <c r="ACM21" s="1"/>
      <c r="ACN21" s="1"/>
      <c r="ACO21" s="1"/>
      <c r="ACP21" s="1"/>
      <c r="ACQ21" s="1"/>
      <c r="ACR21" s="1"/>
      <c r="ACS21" s="1"/>
      <c r="ACT21" s="1"/>
      <c r="ACU21" s="1"/>
      <c r="ACV21" s="1"/>
      <c r="ACW21" s="1"/>
      <c r="ACX21" s="1"/>
      <c r="ACY21" s="1"/>
      <c r="ACZ21" s="1"/>
      <c r="ADA21" s="1"/>
      <c r="ADB21" s="1"/>
      <c r="ADC21" s="1"/>
      <c r="ADD21" s="1"/>
      <c r="ADE21" s="1"/>
      <c r="ADF21" s="1"/>
      <c r="ADG21" s="1"/>
      <c r="ADH21" s="1"/>
      <c r="ADI21" s="1"/>
      <c r="ADJ21" s="1"/>
      <c r="ADK21" s="1"/>
      <c r="ADL21" s="1"/>
      <c r="ADM21" s="1"/>
      <c r="ADN21" s="1"/>
      <c r="ADO21" s="1"/>
      <c r="ADP21" s="1"/>
      <c r="ADQ21" s="1"/>
      <c r="ADR21" s="1"/>
      <c r="ADS21" s="1"/>
      <c r="ADT21" s="1"/>
      <c r="ADU21" s="1"/>
      <c r="ADV21" s="1"/>
      <c r="ADW21" s="1"/>
      <c r="ADX21" s="1"/>
      <c r="ADY21" s="1"/>
      <c r="ADZ21" s="1"/>
      <c r="AEA21" s="1"/>
      <c r="AEB21" s="1"/>
      <c r="AEC21" s="1"/>
      <c r="AED21" s="1"/>
      <c r="AEE21" s="1"/>
      <c r="AEF21" s="1"/>
      <c r="AEG21" s="1"/>
      <c r="AEH21" s="1"/>
      <c r="AEI21" s="1"/>
      <c r="AEJ21" s="1"/>
      <c r="AEK21" s="1"/>
      <c r="AEL21" s="1"/>
      <c r="AEM21" s="1"/>
      <c r="AEN21" s="1"/>
      <c r="AEO21" s="1"/>
      <c r="AEP21" s="1"/>
      <c r="AEQ21" s="1"/>
      <c r="AER21" s="1"/>
      <c r="AES21" s="1"/>
      <c r="AET21" s="1"/>
      <c r="AEU21" s="1"/>
      <c r="AEV21" s="1"/>
      <c r="AEW21" s="1"/>
      <c r="AEX21" s="1"/>
      <c r="AEY21" s="1"/>
      <c r="AEZ21" s="1"/>
      <c r="AFA21" s="1"/>
      <c r="AFB21" s="1"/>
      <c r="AFC21" s="1"/>
      <c r="AFD21" s="1"/>
      <c r="AFE21" s="1"/>
      <c r="AFF21" s="1"/>
      <c r="AFG21" s="1"/>
      <c r="AFH21" s="1"/>
      <c r="AFI21" s="1"/>
      <c r="AFJ21" s="1"/>
      <c r="AFK21" s="1"/>
      <c r="AFL21" s="1"/>
      <c r="AFM21" s="1"/>
      <c r="AFN21" s="1"/>
      <c r="AFO21" s="1"/>
      <c r="AFP21" s="1"/>
      <c r="AFQ21" s="1"/>
      <c r="AFR21" s="1"/>
      <c r="AFS21" s="1"/>
      <c r="AFT21" s="1"/>
      <c r="AFU21" s="1"/>
      <c r="AFV21" s="1"/>
      <c r="AFW21" s="1"/>
      <c r="AFX21" s="1"/>
      <c r="AFY21" s="1"/>
      <c r="AFZ21" s="1"/>
      <c r="AGA21" s="1"/>
      <c r="AGB21" s="1"/>
      <c r="AGC21" s="1"/>
      <c r="AGD21" s="1"/>
      <c r="AGE21" s="1"/>
      <c r="AGF21" s="1"/>
      <c r="AGG21" s="1"/>
      <c r="AGH21" s="1"/>
      <c r="AGI21" s="1"/>
      <c r="AGJ21" s="1"/>
      <c r="AGK21" s="1"/>
      <c r="AGL21" s="1"/>
      <c r="AGM21" s="1"/>
      <c r="AGN21" s="1"/>
      <c r="AGO21" s="1"/>
      <c r="AGP21" s="1"/>
      <c r="AGQ21" s="1"/>
      <c r="AGR21" s="1"/>
      <c r="AGS21" s="1"/>
      <c r="AGT21" s="1"/>
      <c r="AGU21" s="1"/>
      <c r="AGV21" s="1"/>
      <c r="AGW21" s="1"/>
      <c r="AGX21" s="1"/>
      <c r="AGY21" s="1"/>
      <c r="AGZ21" s="1"/>
      <c r="AHA21" s="1"/>
      <c r="AHB21" s="1"/>
      <c r="AHC21" s="1"/>
      <c r="AHD21" s="1"/>
      <c r="AHE21" s="1"/>
      <c r="AHF21" s="1"/>
      <c r="AHG21" s="1"/>
      <c r="AHH21" s="1"/>
      <c r="AHI21" s="1"/>
      <c r="AHJ21" s="1"/>
      <c r="AHK21" s="1"/>
      <c r="AHL21" s="1"/>
      <c r="AHM21" s="1"/>
      <c r="AHN21" s="1"/>
      <c r="AHO21" s="1"/>
      <c r="AHP21" s="1"/>
      <c r="AHQ21" s="1"/>
      <c r="AHR21" s="1"/>
      <c r="AHS21" s="1"/>
      <c r="AHT21" s="1"/>
      <c r="AHU21" s="1"/>
      <c r="AHV21" s="1"/>
      <c r="AHW21" s="1"/>
      <c r="AHX21" s="1"/>
      <c r="AHY21" s="1"/>
      <c r="AHZ21" s="1"/>
      <c r="AIA21" s="1"/>
      <c r="AIB21" s="1"/>
      <c r="AIC21" s="1"/>
      <c r="AID21" s="1"/>
      <c r="AIE21" s="1"/>
      <c r="AIF21" s="1"/>
      <c r="AIG21" s="1"/>
      <c r="AIH21" s="1"/>
      <c r="AII21" s="1"/>
      <c r="AIJ21" s="1"/>
      <c r="AIK21" s="1"/>
      <c r="AIL21" s="1"/>
      <c r="AIM21" s="1"/>
      <c r="AIN21" s="1"/>
      <c r="AIO21" s="1"/>
      <c r="AIP21" s="1"/>
      <c r="AIQ21" s="1"/>
      <c r="AIR21" s="1"/>
      <c r="AIS21" s="1"/>
      <c r="AIT21" s="1"/>
      <c r="AIU21" s="1"/>
      <c r="AIV21" s="1"/>
      <c r="AIW21" s="1"/>
      <c r="AIX21" s="1"/>
      <c r="AIY21" s="1"/>
      <c r="AIZ21" s="1"/>
      <c r="AJA21" s="1"/>
      <c r="AJB21" s="1"/>
      <c r="AJC21" s="1"/>
      <c r="AJD21" s="1"/>
      <c r="AJE21" s="1"/>
      <c r="AJF21" s="1"/>
      <c r="AJG21" s="1"/>
      <c r="AJH21" s="1"/>
      <c r="AJI21" s="1"/>
      <c r="AJJ21" s="1"/>
      <c r="AJK21" s="1"/>
      <c r="AJL21" s="1"/>
      <c r="AJM21" s="1"/>
      <c r="AJN21" s="1"/>
      <c r="AJO21" s="1"/>
      <c r="AJP21" s="1"/>
      <c r="AJQ21" s="1"/>
      <c r="AJR21" s="1"/>
      <c r="AJS21" s="1"/>
      <c r="AJT21" s="1"/>
      <c r="AJU21" s="1"/>
      <c r="AJV21" s="1"/>
      <c r="AJW21" s="1"/>
      <c r="AJX21" s="1"/>
      <c r="AJY21" s="1"/>
      <c r="AJZ21" s="1"/>
      <c r="AKA21" s="1"/>
      <c r="AKB21" s="1"/>
      <c r="AKC21" s="1"/>
      <c r="AKD21" s="1"/>
      <c r="AKE21" s="1"/>
      <c r="AKF21" s="1"/>
      <c r="AKG21" s="1"/>
      <c r="AKH21" s="1"/>
      <c r="AKI21" s="1"/>
      <c r="AKJ21" s="1"/>
      <c r="AKK21" s="1"/>
      <c r="AKL21" s="1"/>
      <c r="AKM21" s="1"/>
      <c r="AKN21" s="1"/>
      <c r="AKO21" s="1"/>
      <c r="AKP21" s="1"/>
      <c r="AKQ21" s="1"/>
      <c r="AKR21" s="1"/>
      <c r="AKS21" s="1"/>
      <c r="AKT21" s="1"/>
      <c r="AKU21" s="1"/>
      <c r="AKV21" s="1"/>
      <c r="AKW21" s="1"/>
      <c r="AKX21" s="1"/>
      <c r="AKY21" s="1"/>
      <c r="AKZ21" s="1"/>
      <c r="ALA21" s="1"/>
      <c r="ALB21" s="1"/>
      <c r="ALC21" s="1"/>
      <c r="ALD21" s="1"/>
      <c r="ALE21" s="1"/>
      <c r="ALF21" s="1"/>
      <c r="ALG21" s="1"/>
      <c r="ALH21" s="1"/>
      <c r="ALI21" s="1"/>
      <c r="ALJ21" s="1"/>
      <c r="ALK21" s="1"/>
      <c r="ALL21" s="1"/>
      <c r="ALM21" s="1"/>
      <c r="ALN21" s="1"/>
      <c r="ALO21" s="1"/>
      <c r="ALP21" s="1"/>
      <c r="ALQ21" s="1"/>
      <c r="ALR21" s="1"/>
      <c r="ALS21" s="1"/>
      <c r="ALT21" s="1"/>
      <c r="ALU21" s="1"/>
      <c r="ALV21" s="1"/>
      <c r="ALW21" s="1"/>
      <c r="ALX21" s="1"/>
      <c r="ALY21" s="1"/>
      <c r="ALZ21" s="1"/>
      <c r="AMA21" s="1"/>
      <c r="AMB21" s="1"/>
      <c r="AMC21" s="1"/>
      <c r="AMD21" s="1"/>
      <c r="AME21" s="1"/>
      <c r="AMF21" s="1"/>
      <c r="AMG21" s="1"/>
      <c r="AMH21" s="1"/>
      <c r="AMI21" s="1"/>
      <c r="AMJ21" s="1"/>
      <c r="AMK21" s="1"/>
      <c r="AML21" s="1"/>
      <c r="AMM21" s="1"/>
      <c r="AMN21" s="1"/>
    </row>
    <row r="22" spans="1:1029" x14ac:dyDescent="0.2">
      <c r="A22" s="3" t="str">
        <f t="shared" si="0"/>
        <v>aa2ar_human_4UHR</v>
      </c>
      <c r="B22" s="3" t="s">
        <v>139</v>
      </c>
      <c r="C22" s="3" t="s">
        <v>1055</v>
      </c>
      <c r="D22" s="3" t="str">
        <f>IFERROR(MID(VLOOKUP($B22,Seqs!$A:$B,2,0),E22,1),"")</f>
        <v>S</v>
      </c>
      <c r="E22" s="3">
        <v>6</v>
      </c>
      <c r="F22" s="3" t="str">
        <f>IFERROR(MID(VLOOKUP($B22,Seqs!$A:$B,2,0),G22,1),"")</f>
        <v>N</v>
      </c>
      <c r="G22" s="3">
        <v>34</v>
      </c>
      <c r="H22" s="3" t="str">
        <f>IFERROR(MID(VLOOKUP($B22,Seqs!$A:$B,2,0),I22,1),"")</f>
        <v>S</v>
      </c>
      <c r="I22" s="23">
        <v>35</v>
      </c>
      <c r="J22" s="3" t="str">
        <f>IFERROR(MID(VLOOKUP($B22,Seqs!$A:$B,2,0),K22,1),"")</f>
        <v>Q</v>
      </c>
      <c r="K22" s="23">
        <v>38</v>
      </c>
      <c r="L22" s="3" t="str">
        <f>IFERROR(MID(VLOOKUP($B22,Seqs!$A:$B,2,0),M22,1),"")</f>
        <v>N</v>
      </c>
      <c r="M22" s="3">
        <v>39</v>
      </c>
      <c r="N22" s="3" t="str">
        <f>IFERROR(MID(VLOOKUP($B22,Seqs!$A:$B,2,0),O22,1),"")</f>
        <v>G</v>
      </c>
      <c r="O22" s="3">
        <v>69</v>
      </c>
      <c r="P22" s="3" t="str">
        <f>IFERROR(MID(VLOOKUP($B22,Seqs!$A:$B,2,0),Q22,1),"")</f>
        <v>F</v>
      </c>
      <c r="Q22" s="3">
        <v>70</v>
      </c>
      <c r="R22" s="3" t="str">
        <f>IFERROR(MID(VLOOKUP($B22,Seqs!$A:$B,2,0),S22,1),"")</f>
        <v>A</v>
      </c>
      <c r="S22" s="3">
        <v>72</v>
      </c>
      <c r="T22" s="3" t="str">
        <f>IFERROR(MID(VLOOKUP($B22,Seqs!$A:$B,2,0),U22,1),"")</f>
        <v>A</v>
      </c>
      <c r="U22" s="3">
        <v>73</v>
      </c>
      <c r="V22" s="3" t="str">
        <f>IFERROR(MID(VLOOKUP($B22,Seqs!$A:$B,2,0),W22,1),"")</f>
        <v>I</v>
      </c>
      <c r="W22" s="3">
        <v>108</v>
      </c>
      <c r="X22" s="3" t="str">
        <f>IFERROR(MID(VLOOKUP($B22,Seqs!$A:$B,2,0),Y22,1),"")</f>
        <v>P</v>
      </c>
      <c r="Y22" s="3">
        <v>109</v>
      </c>
      <c r="Z22" s="3" t="str">
        <f>IFERROR(MID(VLOOKUP($B22,Seqs!$A:$B,2,0),AA22,1),"")</f>
        <v>V</v>
      </c>
      <c r="AA22" s="3">
        <v>116</v>
      </c>
      <c r="AB22" s="3" t="str">
        <f>IFERROR(MID(VLOOKUP($B22,Seqs!$A:$B,2,0),AC22,1),"")</f>
        <v>T</v>
      </c>
      <c r="AC22" s="9">
        <v>117</v>
      </c>
      <c r="AD22" s="3" t="str">
        <f>IFERROR(MID(VLOOKUP($B22,Seqs!$A:$B,2,0),AE22,1),"")</f>
        <v>G</v>
      </c>
      <c r="AE22" s="3">
        <v>142</v>
      </c>
      <c r="AF22" s="3" t="str">
        <f>IFERROR(MID(VLOOKUP($B22,Seqs!$A:$B,2,0),AG22,1),"")</f>
        <v>C</v>
      </c>
      <c r="AG22" s="3">
        <v>166</v>
      </c>
      <c r="AH22" s="3" t="str">
        <f>IFERROR(MID(VLOOKUP($B22,Seqs!$A:$B,2,0),AI22,1),"")</f>
        <v>F</v>
      </c>
      <c r="AI22" s="3">
        <v>168</v>
      </c>
      <c r="AJ22" s="3" t="str">
        <f>IFERROR(MID(VLOOKUP($B22,Seqs!$A:$B,2,0),AK22,1),"")</f>
        <v>P</v>
      </c>
      <c r="AK22" s="3">
        <v>173</v>
      </c>
      <c r="AL22" s="3" t="str">
        <f>IFERROR(MID(VLOOKUP($B22,Seqs!$A:$B,2,0),AM22,1),"")</f>
        <v>S</v>
      </c>
      <c r="AM22" s="3">
        <v>213</v>
      </c>
      <c r="AN22" s="3" t="str">
        <f>IFERROR(MID(VLOOKUP($B22,Seqs!$A:$B,2,0),AO22,1),"")</f>
        <v>E</v>
      </c>
      <c r="AO22" s="3">
        <v>219</v>
      </c>
      <c r="AP22" s="3" t="str">
        <f>IFERROR(MID(VLOOKUP($B22,Seqs!$A:$B,2,0),AQ22,1),"")</f>
        <v>C</v>
      </c>
      <c r="AQ22" s="3">
        <v>259</v>
      </c>
      <c r="AR22" s="3" t="str">
        <f>IFERROR(MID(VLOOKUP($B22,Seqs!$A:$B,2,0),AS22,1),"")</f>
        <v>P</v>
      </c>
      <c r="AS22" s="3">
        <v>266</v>
      </c>
      <c r="AT22" s="3" t="str">
        <f>IFERROR(MID(VLOOKUP($B22,Seqs!$A:$B,2,0),AU22,1),"")</f>
        <v>R</v>
      </c>
      <c r="AU22" s="3">
        <v>291</v>
      </c>
      <c r="AV22" s="3" t="str">
        <f>IFERROR(MID(VLOOKUP($B22,Seqs!$A:$B,2,0),AW22,1),"")</f>
        <v>I</v>
      </c>
      <c r="AW22" s="3">
        <v>292</v>
      </c>
      <c r="AX22" s="3" t="str">
        <f>IFERROR(MID(VLOOKUP($B22,Seqs!$A:$B,2,0),AY22,1),"")</f>
        <v>Q</v>
      </c>
      <c r="AY22" s="3">
        <v>311</v>
      </c>
      <c r="AZ22" s="79" t="str">
        <f>VLOOKUP(B22,Classification!A:D,2,0)</f>
        <v>A</v>
      </c>
      <c r="BA22" s="97" t="str">
        <f>VLOOKUP(B22,Classification!A:D,4,0)</f>
        <v>Adenosine</v>
      </c>
      <c r="BB22" s="27" t="b">
        <f t="shared" si="1"/>
        <v>1</v>
      </c>
      <c r="BC22" s="23">
        <f t="shared" si="2"/>
        <v>268</v>
      </c>
      <c r="BD22" s="2" t="s">
        <v>1383</v>
      </c>
      <c r="BE22" s="3" t="s">
        <v>1381</v>
      </c>
      <c r="BF22" s="50" t="s">
        <v>1384</v>
      </c>
      <c r="BG22" s="50" t="s">
        <v>1384</v>
      </c>
      <c r="BH22" s="1"/>
      <c r="BI22" s="72" t="s">
        <v>1293</v>
      </c>
      <c r="BJ22" s="58" t="s">
        <v>1293</v>
      </c>
      <c r="BK22" s="58" t="s">
        <v>1293</v>
      </c>
      <c r="BL22" s="58" t="s">
        <v>1293</v>
      </c>
      <c r="BM22" s="58" t="s">
        <v>1293</v>
      </c>
      <c r="BN22" s="58" t="s">
        <v>1293</v>
      </c>
      <c r="BO22" s="58" t="s">
        <v>1293</v>
      </c>
      <c r="BP22" s="58" t="s">
        <v>1293</v>
      </c>
      <c r="BQ22" s="58" t="s">
        <v>1293</v>
      </c>
      <c r="BR22" s="58" t="s">
        <v>1293</v>
      </c>
      <c r="BS22" s="58" t="s">
        <v>1293</v>
      </c>
      <c r="BT22" s="58" t="s">
        <v>1293</v>
      </c>
      <c r="BU22" s="72">
        <f t="shared" si="3"/>
        <v>6</v>
      </c>
      <c r="BV22" s="73">
        <f t="shared" si="4"/>
        <v>35</v>
      </c>
      <c r="BW22" s="74">
        <f t="shared" si="5"/>
        <v>39</v>
      </c>
      <c r="BX22" s="73">
        <f t="shared" si="6"/>
        <v>70</v>
      </c>
      <c r="BY22" s="74">
        <f t="shared" si="7"/>
        <v>73</v>
      </c>
      <c r="BZ22" s="73">
        <f t="shared" si="8"/>
        <v>109</v>
      </c>
      <c r="CA22" s="74">
        <f t="shared" si="9"/>
        <v>117</v>
      </c>
      <c r="CB22" s="73">
        <f t="shared" si="10"/>
        <v>166</v>
      </c>
      <c r="CC22" s="74">
        <f t="shared" si="11"/>
        <v>173</v>
      </c>
      <c r="CD22" s="73">
        <f t="shared" si="12"/>
        <v>219</v>
      </c>
      <c r="CE22" s="74">
        <f t="shared" si="13"/>
        <v>266</v>
      </c>
      <c r="CF22" s="73">
        <f t="shared" si="14"/>
        <v>292</v>
      </c>
      <c r="CG22" s="72">
        <f t="shared" si="15"/>
        <v>34</v>
      </c>
      <c r="CH22" s="73">
        <f t="shared" si="16"/>
        <v>38</v>
      </c>
      <c r="CI22" s="74">
        <f t="shared" si="17"/>
        <v>69</v>
      </c>
      <c r="CJ22" s="74">
        <f t="shared" si="18"/>
        <v>72</v>
      </c>
      <c r="CK22" s="74">
        <f t="shared" si="19"/>
        <v>108</v>
      </c>
      <c r="CL22" s="74">
        <f t="shared" si="20"/>
        <v>116</v>
      </c>
      <c r="CM22" s="74">
        <f t="shared" si="21"/>
        <v>142</v>
      </c>
      <c r="CN22" s="74">
        <f t="shared" si="22"/>
        <v>168</v>
      </c>
      <c r="CO22" s="74">
        <f t="shared" si="23"/>
        <v>213</v>
      </c>
      <c r="CP22" s="74">
        <f t="shared" si="24"/>
        <v>259</v>
      </c>
      <c r="CQ22" s="74">
        <f t="shared" si="25"/>
        <v>291</v>
      </c>
      <c r="CR22" s="74">
        <f t="shared" si="26"/>
        <v>311</v>
      </c>
      <c r="CS22" s="23">
        <f t="shared" si="27"/>
        <v>1</v>
      </c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  <c r="OK22" s="1"/>
      <c r="OL22" s="1"/>
      <c r="OM22" s="1"/>
      <c r="ON22" s="1"/>
      <c r="OO22" s="1"/>
      <c r="OP22" s="1"/>
      <c r="OQ22" s="1"/>
      <c r="OR22" s="1"/>
      <c r="OS22" s="1"/>
      <c r="OT22" s="1"/>
      <c r="OU22" s="1"/>
      <c r="OV22" s="1"/>
      <c r="OW22" s="1"/>
      <c r="OX22" s="1"/>
      <c r="OY22" s="1"/>
      <c r="OZ22" s="1"/>
      <c r="PA22" s="1"/>
      <c r="PB22" s="1"/>
      <c r="PC22" s="1"/>
      <c r="PD22" s="1"/>
      <c r="PE22" s="1"/>
      <c r="PF22" s="1"/>
      <c r="PG22" s="1"/>
      <c r="PH22" s="1"/>
      <c r="PI22" s="1"/>
      <c r="PJ22" s="1"/>
      <c r="PK22" s="1"/>
      <c r="PL22" s="1"/>
      <c r="PM22" s="1"/>
      <c r="PN22" s="1"/>
      <c r="PO22" s="1"/>
      <c r="PP22" s="1"/>
      <c r="PQ22" s="1"/>
      <c r="PR22" s="1"/>
      <c r="PS22" s="1"/>
      <c r="PT22" s="1"/>
      <c r="PU22" s="1"/>
      <c r="PV22" s="1"/>
      <c r="PW22" s="1"/>
      <c r="PX22" s="1"/>
      <c r="PY22" s="1"/>
      <c r="PZ22" s="1"/>
      <c r="QA22" s="1"/>
      <c r="QB22" s="1"/>
      <c r="QC22" s="1"/>
      <c r="QD22" s="1"/>
      <c r="QE22" s="1"/>
      <c r="QF22" s="1"/>
      <c r="QG22" s="1"/>
      <c r="QH22" s="1"/>
      <c r="QI22" s="1"/>
      <c r="QJ22" s="1"/>
      <c r="QK22" s="1"/>
      <c r="QL22" s="1"/>
      <c r="QM22" s="1"/>
      <c r="QN22" s="1"/>
      <c r="QO22" s="1"/>
      <c r="QP22" s="1"/>
      <c r="QQ22" s="1"/>
      <c r="QR22" s="1"/>
      <c r="QS22" s="1"/>
      <c r="QT22" s="1"/>
      <c r="QU22" s="1"/>
      <c r="QV22" s="1"/>
      <c r="QW22" s="1"/>
      <c r="QX22" s="1"/>
      <c r="QY22" s="1"/>
      <c r="QZ22" s="1"/>
      <c r="RA22" s="1"/>
      <c r="RB22" s="1"/>
      <c r="RC22" s="1"/>
      <c r="RD22" s="1"/>
      <c r="RE22" s="1"/>
      <c r="RF22" s="1"/>
      <c r="RG22" s="1"/>
      <c r="RH22" s="1"/>
      <c r="RI22" s="1"/>
      <c r="RJ22" s="1"/>
      <c r="RK22" s="1"/>
      <c r="RL22" s="1"/>
      <c r="RM22" s="1"/>
      <c r="RN22" s="1"/>
      <c r="RO22" s="1"/>
      <c r="RP22" s="1"/>
      <c r="RQ22" s="1"/>
      <c r="RR22" s="1"/>
      <c r="RS22" s="1"/>
      <c r="RT22" s="1"/>
      <c r="RU22" s="1"/>
      <c r="RV22" s="1"/>
      <c r="RW22" s="1"/>
      <c r="RX22" s="1"/>
      <c r="RY22" s="1"/>
      <c r="RZ22" s="1"/>
      <c r="SA22" s="1"/>
      <c r="SB22" s="1"/>
      <c r="SC22" s="1"/>
      <c r="SD22" s="1"/>
      <c r="SE22" s="1"/>
      <c r="SF22" s="1"/>
      <c r="SG22" s="1"/>
      <c r="SH22" s="1"/>
      <c r="SI22" s="1"/>
      <c r="SJ22" s="1"/>
      <c r="SK22" s="1"/>
      <c r="SL22" s="1"/>
      <c r="SM22" s="1"/>
      <c r="SN22" s="1"/>
      <c r="SO22" s="1"/>
      <c r="SP22" s="1"/>
      <c r="SQ22" s="1"/>
      <c r="SR22" s="1"/>
      <c r="SS22" s="1"/>
      <c r="ST22" s="1"/>
      <c r="SU22" s="1"/>
      <c r="SV22" s="1"/>
      <c r="SW22" s="1"/>
      <c r="SX22" s="1"/>
      <c r="SY22" s="1"/>
      <c r="SZ22" s="1"/>
      <c r="TA22" s="1"/>
      <c r="TB22" s="1"/>
      <c r="TC22" s="1"/>
      <c r="TD22" s="1"/>
      <c r="TE22" s="1"/>
      <c r="TF22" s="1"/>
      <c r="TG22" s="1"/>
      <c r="TH22" s="1"/>
      <c r="TI22" s="1"/>
      <c r="TJ22" s="1"/>
      <c r="TK22" s="1"/>
      <c r="TL22" s="1"/>
      <c r="TM22" s="1"/>
      <c r="TN22" s="1"/>
      <c r="TO22" s="1"/>
      <c r="TP22" s="1"/>
      <c r="TQ22" s="1"/>
      <c r="TR22" s="1"/>
      <c r="TS22" s="1"/>
      <c r="TT22" s="1"/>
      <c r="TU22" s="1"/>
      <c r="TV22" s="1"/>
      <c r="TW22" s="1"/>
      <c r="TX22" s="1"/>
      <c r="TY22" s="1"/>
      <c r="TZ22" s="1"/>
      <c r="UA22" s="1"/>
      <c r="UB22" s="1"/>
      <c r="UC22" s="1"/>
      <c r="UD22" s="1"/>
      <c r="UE22" s="1"/>
      <c r="UF22" s="1"/>
      <c r="UG22" s="1"/>
      <c r="UH22" s="1"/>
      <c r="UI22" s="1"/>
      <c r="UJ22" s="1"/>
      <c r="UK22" s="1"/>
      <c r="UL22" s="1"/>
      <c r="UM22" s="1"/>
      <c r="UN22" s="1"/>
      <c r="UO22" s="1"/>
      <c r="UP22" s="1"/>
      <c r="UQ22" s="1"/>
      <c r="UR22" s="1"/>
      <c r="US22" s="1"/>
      <c r="UT22" s="1"/>
      <c r="UU22" s="1"/>
      <c r="UV22" s="1"/>
      <c r="UW22" s="1"/>
      <c r="UX22" s="1"/>
      <c r="UY22" s="1"/>
      <c r="UZ22" s="1"/>
      <c r="VA22" s="1"/>
      <c r="VB22" s="1"/>
      <c r="VC22" s="1"/>
      <c r="VD22" s="1"/>
      <c r="VE22" s="1"/>
      <c r="VF22" s="1"/>
      <c r="VG22" s="1"/>
      <c r="VH22" s="1"/>
      <c r="VI22" s="1"/>
      <c r="VJ22" s="1"/>
      <c r="VK22" s="1"/>
      <c r="VL22" s="1"/>
      <c r="VM22" s="1"/>
      <c r="VN22" s="1"/>
      <c r="VO22" s="1"/>
      <c r="VP22" s="1"/>
      <c r="VQ22" s="1"/>
      <c r="VR22" s="1"/>
      <c r="VS22" s="1"/>
      <c r="VT22" s="1"/>
      <c r="VU22" s="1"/>
      <c r="VV22" s="1"/>
      <c r="VW22" s="1"/>
      <c r="VX22" s="1"/>
      <c r="VY22" s="1"/>
      <c r="VZ22" s="1"/>
      <c r="WA22" s="1"/>
      <c r="WB22" s="1"/>
      <c r="WC22" s="1"/>
      <c r="WD22" s="1"/>
      <c r="WE22" s="1"/>
      <c r="WF22" s="1"/>
      <c r="WG22" s="1"/>
      <c r="WH22" s="1"/>
      <c r="WI22" s="1"/>
      <c r="WJ22" s="1"/>
      <c r="WK22" s="1"/>
      <c r="WL22" s="1"/>
      <c r="WM22" s="1"/>
      <c r="WN22" s="1"/>
      <c r="WO22" s="1"/>
      <c r="WP22" s="1"/>
      <c r="WQ22" s="1"/>
      <c r="WR22" s="1"/>
      <c r="WS22" s="1"/>
      <c r="WT22" s="1"/>
      <c r="WU22" s="1"/>
      <c r="WV22" s="1"/>
      <c r="WW22" s="1"/>
      <c r="WX22" s="1"/>
      <c r="WY22" s="1"/>
      <c r="WZ22" s="1"/>
      <c r="XA22" s="1"/>
      <c r="XB22" s="1"/>
      <c r="XC22" s="1"/>
      <c r="XD22" s="1"/>
      <c r="XE22" s="1"/>
      <c r="XF22" s="1"/>
      <c r="XG22" s="1"/>
      <c r="XH22" s="1"/>
      <c r="XI22" s="1"/>
      <c r="XJ22" s="1"/>
      <c r="XK22" s="1"/>
      <c r="XL22" s="1"/>
      <c r="XM22" s="1"/>
      <c r="XN22" s="1"/>
      <c r="XO22" s="1"/>
      <c r="XP22" s="1"/>
      <c r="XQ22" s="1"/>
      <c r="XR22" s="1"/>
      <c r="XS22" s="1"/>
      <c r="XT22" s="1"/>
      <c r="XU22" s="1"/>
      <c r="XV22" s="1"/>
      <c r="XW22" s="1"/>
      <c r="XX22" s="1"/>
      <c r="XY22" s="1"/>
      <c r="XZ22" s="1"/>
      <c r="YA22" s="1"/>
      <c r="YB22" s="1"/>
      <c r="YC22" s="1"/>
      <c r="YD22" s="1"/>
      <c r="YE22" s="1"/>
      <c r="YF22" s="1"/>
      <c r="YG22" s="1"/>
      <c r="YH22" s="1"/>
      <c r="YI22" s="1"/>
      <c r="YJ22" s="1"/>
      <c r="YK22" s="1"/>
      <c r="YL22" s="1"/>
      <c r="YM22" s="1"/>
      <c r="YN22" s="1"/>
      <c r="YO22" s="1"/>
      <c r="YP22" s="1"/>
      <c r="YQ22" s="1"/>
      <c r="YR22" s="1"/>
      <c r="YS22" s="1"/>
      <c r="YT22" s="1"/>
      <c r="YU22" s="1"/>
      <c r="YV22" s="1"/>
      <c r="YW22" s="1"/>
      <c r="YX22" s="1"/>
      <c r="YY22" s="1"/>
      <c r="YZ22" s="1"/>
      <c r="ZA22" s="1"/>
      <c r="ZB22" s="1"/>
      <c r="ZC22" s="1"/>
      <c r="ZD22" s="1"/>
      <c r="ZE22" s="1"/>
      <c r="ZF22" s="1"/>
      <c r="ZG22" s="1"/>
      <c r="ZH22" s="1"/>
      <c r="ZI22" s="1"/>
      <c r="ZJ22" s="1"/>
      <c r="ZK22" s="1"/>
      <c r="ZL22" s="1"/>
      <c r="ZM22" s="1"/>
      <c r="ZN22" s="1"/>
      <c r="ZO22" s="1"/>
      <c r="ZP22" s="1"/>
      <c r="ZQ22" s="1"/>
      <c r="ZR22" s="1"/>
      <c r="ZS22" s="1"/>
      <c r="ZT22" s="1"/>
      <c r="ZU22" s="1"/>
      <c r="ZV22" s="1"/>
      <c r="ZW22" s="1"/>
      <c r="ZX22" s="1"/>
      <c r="ZY22" s="1"/>
      <c r="ZZ22" s="1"/>
      <c r="AAA22" s="1"/>
      <c r="AAB22" s="1"/>
      <c r="AAC22" s="1"/>
      <c r="AAD22" s="1"/>
      <c r="AAE22" s="1"/>
      <c r="AAF22" s="1"/>
      <c r="AAG22" s="1"/>
      <c r="AAH22" s="1"/>
      <c r="AAI22" s="1"/>
      <c r="AAJ22" s="1"/>
      <c r="AAK22" s="1"/>
      <c r="AAL22" s="1"/>
      <c r="AAM22" s="1"/>
      <c r="AAN22" s="1"/>
      <c r="AAO22" s="1"/>
      <c r="AAP22" s="1"/>
      <c r="AAQ22" s="1"/>
      <c r="AAR22" s="1"/>
      <c r="AAS22" s="1"/>
      <c r="AAT22" s="1"/>
      <c r="AAU22" s="1"/>
      <c r="AAV22" s="1"/>
      <c r="AAW22" s="1"/>
      <c r="AAX22" s="1"/>
      <c r="AAY22" s="1"/>
      <c r="AAZ22" s="1"/>
      <c r="ABA22" s="1"/>
      <c r="ABB22" s="1"/>
      <c r="ABC22" s="1"/>
      <c r="ABD22" s="1"/>
      <c r="ABE22" s="1"/>
      <c r="ABF22" s="1"/>
      <c r="ABG22" s="1"/>
      <c r="ABH22" s="1"/>
      <c r="ABI22" s="1"/>
      <c r="ABJ22" s="1"/>
      <c r="ABK22" s="1"/>
      <c r="ABL22" s="1"/>
      <c r="ABM22" s="1"/>
      <c r="ABN22" s="1"/>
      <c r="ABO22" s="1"/>
      <c r="ABP22" s="1"/>
      <c r="ABQ22" s="1"/>
      <c r="ABR22" s="1"/>
      <c r="ABS22" s="1"/>
      <c r="ABT22" s="1"/>
      <c r="ABU22" s="1"/>
      <c r="ABV22" s="1"/>
      <c r="ABW22" s="1"/>
      <c r="ABX22" s="1"/>
      <c r="ABY22" s="1"/>
      <c r="ABZ22" s="1"/>
      <c r="ACA22" s="1"/>
      <c r="ACB22" s="1"/>
      <c r="ACC22" s="1"/>
      <c r="ACD22" s="1"/>
      <c r="ACE22" s="1"/>
      <c r="ACF22" s="1"/>
      <c r="ACG22" s="1"/>
      <c r="ACH22" s="1"/>
      <c r="ACI22" s="1"/>
      <c r="ACJ22" s="1"/>
      <c r="ACK22" s="1"/>
      <c r="ACL22" s="1"/>
      <c r="ACM22" s="1"/>
      <c r="ACN22" s="1"/>
      <c r="ACO22" s="1"/>
      <c r="ACP22" s="1"/>
      <c r="ACQ22" s="1"/>
      <c r="ACR22" s="1"/>
      <c r="ACS22" s="1"/>
      <c r="ACT22" s="1"/>
      <c r="ACU22" s="1"/>
      <c r="ACV22" s="1"/>
      <c r="ACW22" s="1"/>
      <c r="ACX22" s="1"/>
      <c r="ACY22" s="1"/>
      <c r="ACZ22" s="1"/>
      <c r="ADA22" s="1"/>
      <c r="ADB22" s="1"/>
      <c r="ADC22" s="1"/>
      <c r="ADD22" s="1"/>
      <c r="ADE22" s="1"/>
      <c r="ADF22" s="1"/>
      <c r="ADG22" s="1"/>
      <c r="ADH22" s="1"/>
      <c r="ADI22" s="1"/>
      <c r="ADJ22" s="1"/>
      <c r="ADK22" s="1"/>
      <c r="ADL22" s="1"/>
      <c r="ADM22" s="1"/>
      <c r="ADN22" s="1"/>
      <c r="ADO22" s="1"/>
      <c r="ADP22" s="1"/>
      <c r="ADQ22" s="1"/>
      <c r="ADR22" s="1"/>
      <c r="ADS22" s="1"/>
      <c r="ADT22" s="1"/>
      <c r="ADU22" s="1"/>
      <c r="ADV22" s="1"/>
      <c r="ADW22" s="1"/>
      <c r="ADX22" s="1"/>
      <c r="ADY22" s="1"/>
      <c r="ADZ22" s="1"/>
      <c r="AEA22" s="1"/>
      <c r="AEB22" s="1"/>
      <c r="AEC22" s="1"/>
      <c r="AED22" s="1"/>
      <c r="AEE22" s="1"/>
      <c r="AEF22" s="1"/>
      <c r="AEG22" s="1"/>
      <c r="AEH22" s="1"/>
      <c r="AEI22" s="1"/>
      <c r="AEJ22" s="1"/>
      <c r="AEK22" s="1"/>
      <c r="AEL22" s="1"/>
      <c r="AEM22" s="1"/>
      <c r="AEN22" s="1"/>
      <c r="AEO22" s="1"/>
      <c r="AEP22" s="1"/>
      <c r="AEQ22" s="1"/>
      <c r="AER22" s="1"/>
      <c r="AES22" s="1"/>
      <c r="AET22" s="1"/>
      <c r="AEU22" s="1"/>
      <c r="AEV22" s="1"/>
      <c r="AEW22" s="1"/>
      <c r="AEX22" s="1"/>
      <c r="AEY22" s="1"/>
      <c r="AEZ22" s="1"/>
      <c r="AFA22" s="1"/>
      <c r="AFB22" s="1"/>
      <c r="AFC22" s="1"/>
      <c r="AFD22" s="1"/>
      <c r="AFE22" s="1"/>
      <c r="AFF22" s="1"/>
      <c r="AFG22" s="1"/>
      <c r="AFH22" s="1"/>
      <c r="AFI22" s="1"/>
      <c r="AFJ22" s="1"/>
      <c r="AFK22" s="1"/>
      <c r="AFL22" s="1"/>
      <c r="AFM22" s="1"/>
      <c r="AFN22" s="1"/>
      <c r="AFO22" s="1"/>
      <c r="AFP22" s="1"/>
      <c r="AFQ22" s="1"/>
      <c r="AFR22" s="1"/>
      <c r="AFS22" s="1"/>
      <c r="AFT22" s="1"/>
      <c r="AFU22" s="1"/>
      <c r="AFV22" s="1"/>
      <c r="AFW22" s="1"/>
      <c r="AFX22" s="1"/>
      <c r="AFY22" s="1"/>
      <c r="AFZ22" s="1"/>
      <c r="AGA22" s="1"/>
      <c r="AGB22" s="1"/>
      <c r="AGC22" s="1"/>
      <c r="AGD22" s="1"/>
      <c r="AGE22" s="1"/>
      <c r="AGF22" s="1"/>
      <c r="AGG22" s="1"/>
      <c r="AGH22" s="1"/>
      <c r="AGI22" s="1"/>
      <c r="AGJ22" s="1"/>
      <c r="AGK22" s="1"/>
      <c r="AGL22" s="1"/>
      <c r="AGM22" s="1"/>
      <c r="AGN22" s="1"/>
      <c r="AGO22" s="1"/>
      <c r="AGP22" s="1"/>
      <c r="AGQ22" s="1"/>
      <c r="AGR22" s="1"/>
      <c r="AGS22" s="1"/>
      <c r="AGT22" s="1"/>
      <c r="AGU22" s="1"/>
      <c r="AGV22" s="1"/>
      <c r="AGW22" s="1"/>
      <c r="AGX22" s="1"/>
      <c r="AGY22" s="1"/>
      <c r="AGZ22" s="1"/>
      <c r="AHA22" s="1"/>
      <c r="AHB22" s="1"/>
      <c r="AHC22" s="1"/>
      <c r="AHD22" s="1"/>
      <c r="AHE22" s="1"/>
      <c r="AHF22" s="1"/>
      <c r="AHG22" s="1"/>
      <c r="AHH22" s="1"/>
      <c r="AHI22" s="1"/>
      <c r="AHJ22" s="1"/>
      <c r="AHK22" s="1"/>
      <c r="AHL22" s="1"/>
      <c r="AHM22" s="1"/>
      <c r="AHN22" s="1"/>
      <c r="AHO22" s="1"/>
      <c r="AHP22" s="1"/>
      <c r="AHQ22" s="1"/>
      <c r="AHR22" s="1"/>
      <c r="AHS22" s="1"/>
      <c r="AHT22" s="1"/>
      <c r="AHU22" s="1"/>
      <c r="AHV22" s="1"/>
      <c r="AHW22" s="1"/>
      <c r="AHX22" s="1"/>
      <c r="AHY22" s="1"/>
      <c r="AHZ22" s="1"/>
      <c r="AIA22" s="1"/>
      <c r="AIB22" s="1"/>
      <c r="AIC22" s="1"/>
      <c r="AID22" s="1"/>
      <c r="AIE22" s="1"/>
      <c r="AIF22" s="1"/>
      <c r="AIG22" s="1"/>
      <c r="AIH22" s="1"/>
      <c r="AII22" s="1"/>
      <c r="AIJ22" s="1"/>
      <c r="AIK22" s="1"/>
      <c r="AIL22" s="1"/>
      <c r="AIM22" s="1"/>
      <c r="AIN22" s="1"/>
      <c r="AIO22" s="1"/>
      <c r="AIP22" s="1"/>
      <c r="AIQ22" s="1"/>
      <c r="AIR22" s="1"/>
      <c r="AIS22" s="1"/>
      <c r="AIT22" s="1"/>
      <c r="AIU22" s="1"/>
      <c r="AIV22" s="1"/>
      <c r="AIW22" s="1"/>
      <c r="AIX22" s="1"/>
      <c r="AIY22" s="1"/>
      <c r="AIZ22" s="1"/>
      <c r="AJA22" s="1"/>
      <c r="AJB22" s="1"/>
      <c r="AJC22" s="1"/>
      <c r="AJD22" s="1"/>
      <c r="AJE22" s="1"/>
      <c r="AJF22" s="1"/>
      <c r="AJG22" s="1"/>
      <c r="AJH22" s="1"/>
      <c r="AJI22" s="1"/>
      <c r="AJJ22" s="1"/>
      <c r="AJK22" s="1"/>
      <c r="AJL22" s="1"/>
      <c r="AJM22" s="1"/>
      <c r="AJN22" s="1"/>
      <c r="AJO22" s="1"/>
      <c r="AJP22" s="1"/>
      <c r="AJQ22" s="1"/>
      <c r="AJR22" s="1"/>
      <c r="AJS22" s="1"/>
      <c r="AJT22" s="1"/>
      <c r="AJU22" s="1"/>
      <c r="AJV22" s="1"/>
      <c r="AJW22" s="1"/>
      <c r="AJX22" s="1"/>
      <c r="AJY22" s="1"/>
      <c r="AJZ22" s="1"/>
      <c r="AKA22" s="1"/>
      <c r="AKB22" s="1"/>
      <c r="AKC22" s="1"/>
      <c r="AKD22" s="1"/>
      <c r="AKE22" s="1"/>
      <c r="AKF22" s="1"/>
      <c r="AKG22" s="1"/>
      <c r="AKH22" s="1"/>
      <c r="AKI22" s="1"/>
      <c r="AKJ22" s="1"/>
      <c r="AKK22" s="1"/>
      <c r="AKL22" s="1"/>
      <c r="AKM22" s="1"/>
      <c r="AKN22" s="1"/>
      <c r="AKO22" s="1"/>
      <c r="AKP22" s="1"/>
      <c r="AKQ22" s="1"/>
      <c r="AKR22" s="1"/>
      <c r="AKS22" s="1"/>
      <c r="AKT22" s="1"/>
      <c r="AKU22" s="1"/>
      <c r="AKV22" s="1"/>
      <c r="AKW22" s="1"/>
      <c r="AKX22" s="1"/>
      <c r="AKY22" s="1"/>
      <c r="AKZ22" s="1"/>
      <c r="ALA22" s="1"/>
      <c r="ALB22" s="1"/>
      <c r="ALC22" s="1"/>
      <c r="ALD22" s="1"/>
      <c r="ALE22" s="1"/>
      <c r="ALF22" s="1"/>
      <c r="ALG22" s="1"/>
      <c r="ALH22" s="1"/>
      <c r="ALI22" s="1"/>
      <c r="ALJ22" s="1"/>
      <c r="ALK22" s="1"/>
      <c r="ALL22" s="1"/>
      <c r="ALM22" s="1"/>
      <c r="ALN22" s="1"/>
      <c r="ALO22" s="1"/>
      <c r="ALP22" s="1"/>
      <c r="ALQ22" s="1"/>
      <c r="ALR22" s="1"/>
      <c r="ALS22" s="1"/>
      <c r="ALT22" s="1"/>
      <c r="ALU22" s="1"/>
      <c r="ALV22" s="1"/>
      <c r="ALW22" s="1"/>
      <c r="ALX22" s="1"/>
      <c r="ALY22" s="1"/>
      <c r="ALZ22" s="1"/>
      <c r="AMA22" s="1"/>
      <c r="AMB22" s="1"/>
      <c r="AMC22" s="1"/>
      <c r="AMD22" s="1"/>
      <c r="AME22" s="1"/>
      <c r="AMF22" s="1"/>
      <c r="AMG22" s="1"/>
      <c r="AMH22" s="1"/>
      <c r="AMI22" s="1"/>
      <c r="AMJ22" s="1"/>
      <c r="AMK22" s="1"/>
      <c r="AML22" s="1"/>
      <c r="AMM22" s="1"/>
      <c r="AMN22" s="1"/>
    </row>
    <row r="23" spans="1:1029" x14ac:dyDescent="0.2">
      <c r="A23" s="3" t="str">
        <f t="shared" si="0"/>
        <v>aa2ar_human_5G53</v>
      </c>
      <c r="B23" s="3" t="s">
        <v>139</v>
      </c>
      <c r="C23" s="3" t="s">
        <v>1298</v>
      </c>
      <c r="D23" s="3" t="str">
        <f>IFERROR(MID(VLOOKUP($B23,Seqs!$A:$B,2,0),E23,1),"")</f>
        <v>S</v>
      </c>
      <c r="E23" s="3">
        <v>6</v>
      </c>
      <c r="F23" s="3" t="str">
        <f>IFERROR(MID(VLOOKUP($B23,Seqs!$A:$B,2,0),G23,1),"")</f>
        <v>N</v>
      </c>
      <c r="G23" s="3">
        <v>34</v>
      </c>
      <c r="H23" s="3" t="str">
        <f>IFERROR(MID(VLOOKUP($B23,Seqs!$A:$B,2,0),I23,1),"")</f>
        <v>S</v>
      </c>
      <c r="I23" s="23">
        <v>35</v>
      </c>
      <c r="J23" s="3" t="str">
        <f>IFERROR(MID(VLOOKUP($B23,Seqs!$A:$B,2,0),K23,1),"")</f>
        <v>Q</v>
      </c>
      <c r="K23" s="23">
        <v>38</v>
      </c>
      <c r="L23" s="3" t="str">
        <f>IFERROR(MID(VLOOKUP($B23,Seqs!$A:$B,2,0),M23,1),"")</f>
        <v>N</v>
      </c>
      <c r="M23" s="3">
        <v>39</v>
      </c>
      <c r="N23" s="3" t="str">
        <f>IFERROR(MID(VLOOKUP($B23,Seqs!$A:$B,2,0),O23,1),"")</f>
        <v>G</v>
      </c>
      <c r="O23" s="3">
        <v>69</v>
      </c>
      <c r="P23" s="3" t="str">
        <f>IFERROR(MID(VLOOKUP($B23,Seqs!$A:$B,2,0),Q23,1),"")</f>
        <v>F</v>
      </c>
      <c r="Q23" s="3">
        <v>70</v>
      </c>
      <c r="R23" s="3" t="str">
        <f>IFERROR(MID(VLOOKUP($B23,Seqs!$A:$B,2,0),S23,1),"")</f>
        <v>A</v>
      </c>
      <c r="S23" s="3">
        <v>72</v>
      </c>
      <c r="T23" s="3" t="str">
        <f>IFERROR(MID(VLOOKUP($B23,Seqs!$A:$B,2,0),U23,1),"")</f>
        <v>A</v>
      </c>
      <c r="U23" s="3">
        <v>73</v>
      </c>
      <c r="V23" s="3" t="str">
        <f>IFERROR(MID(VLOOKUP($B23,Seqs!$A:$B,2,0),W23,1),"")</f>
        <v>I</v>
      </c>
      <c r="W23" s="3">
        <v>108</v>
      </c>
      <c r="X23" s="3" t="str">
        <f>IFERROR(MID(VLOOKUP($B23,Seqs!$A:$B,2,0),Y23,1),"")</f>
        <v>P</v>
      </c>
      <c r="Y23" s="3">
        <v>109</v>
      </c>
      <c r="Z23" s="3" t="str">
        <f>IFERROR(MID(VLOOKUP($B23,Seqs!$A:$B,2,0),AA23,1),"")</f>
        <v>V</v>
      </c>
      <c r="AA23" s="3">
        <v>116</v>
      </c>
      <c r="AB23" s="3" t="str">
        <f>IFERROR(MID(VLOOKUP($B23,Seqs!$A:$B,2,0),AC23,1),"")</f>
        <v>T</v>
      </c>
      <c r="AC23" s="9">
        <v>117</v>
      </c>
      <c r="AD23" s="3" t="str">
        <f>IFERROR(MID(VLOOKUP($B23,Seqs!$A:$B,2,0),AE23,1),"")</f>
        <v>G</v>
      </c>
      <c r="AE23" s="3">
        <v>142</v>
      </c>
      <c r="AF23" s="3" t="str">
        <f>IFERROR(MID(VLOOKUP($B23,Seqs!$A:$B,2,0),AG23,1),"")</f>
        <v>C</v>
      </c>
      <c r="AG23" s="3">
        <v>166</v>
      </c>
      <c r="AH23" s="3" t="str">
        <f>IFERROR(MID(VLOOKUP($B23,Seqs!$A:$B,2,0),AI23,1),"")</f>
        <v>F</v>
      </c>
      <c r="AI23" s="3">
        <v>168</v>
      </c>
      <c r="AJ23" s="3" t="str">
        <f>IFERROR(MID(VLOOKUP($B23,Seqs!$A:$B,2,0),AK23,1),"")</f>
        <v>P</v>
      </c>
      <c r="AK23" s="3">
        <v>173</v>
      </c>
      <c r="AL23" s="3" t="str">
        <f>IFERROR(MID(VLOOKUP($B23,Seqs!$A:$B,2,0),AM23,1),"")</f>
        <v>Q</v>
      </c>
      <c r="AM23" s="3">
        <v>207</v>
      </c>
      <c r="AN23" s="3" t="str">
        <f>IFERROR(MID(VLOOKUP($B23,Seqs!$A:$B,2,0),AO23,1),"")</f>
        <v>T</v>
      </c>
      <c r="AO23" s="3">
        <v>224</v>
      </c>
      <c r="AP23" s="3" t="str">
        <f>IFERROR(MID(VLOOKUP($B23,Seqs!$A:$B,2,0),AQ23,1),"")</f>
        <v>C</v>
      </c>
      <c r="AQ23" s="3">
        <v>259</v>
      </c>
      <c r="AR23" s="3" t="str">
        <f>IFERROR(MID(VLOOKUP($B23,Seqs!$A:$B,2,0),AS23,1),"")</f>
        <v>P</v>
      </c>
      <c r="AS23" s="3">
        <v>266</v>
      </c>
      <c r="AT23" s="3" t="str">
        <f>IFERROR(MID(VLOOKUP($B23,Seqs!$A:$B,2,0),AU23,1),"")</f>
        <v>R</v>
      </c>
      <c r="AU23" s="3">
        <v>291</v>
      </c>
      <c r="AV23" s="3" t="str">
        <f>IFERROR(MID(VLOOKUP($B23,Seqs!$A:$B,2,0),AW23,1),"")</f>
        <v>I</v>
      </c>
      <c r="AW23" s="3">
        <v>292</v>
      </c>
      <c r="AX23" s="3" t="str">
        <f>IFERROR(MID(VLOOKUP($B23,Seqs!$A:$B,2,0),AY23,1),"")</f>
        <v>S</v>
      </c>
      <c r="AY23" s="3">
        <v>305</v>
      </c>
      <c r="AZ23" s="79" t="str">
        <f>VLOOKUP(B23,Classification!A:D,2,0)</f>
        <v>A</v>
      </c>
      <c r="BA23" s="97" t="str">
        <f>VLOOKUP(B23,Classification!A:D,4,0)</f>
        <v>Adenosine</v>
      </c>
      <c r="BB23" s="27" t="b">
        <f t="shared" si="1"/>
        <v>1</v>
      </c>
      <c r="BC23" s="23">
        <f t="shared" ref="BC23:BC57" si="84">_xlfn.AGGREGATE(9,6,CG23:CR23)-_xlfn.AGGREGATE(9,6,BU23:CF23)+12</f>
        <v>251</v>
      </c>
      <c r="BD23" s="4" t="s">
        <v>23</v>
      </c>
      <c r="BE23" s="3" t="s">
        <v>1381</v>
      </c>
      <c r="BF23" s="50" t="s">
        <v>1287</v>
      </c>
      <c r="BG23" s="50" t="s">
        <v>1287</v>
      </c>
      <c r="BH23" s="1"/>
      <c r="BI23" s="72" t="s">
        <v>1293</v>
      </c>
      <c r="BJ23" s="58" t="s">
        <v>1293</v>
      </c>
      <c r="BK23" s="58" t="s">
        <v>1293</v>
      </c>
      <c r="BL23" s="58" t="s">
        <v>1293</v>
      </c>
      <c r="BM23" s="58" t="s">
        <v>1293</v>
      </c>
      <c r="BN23" s="58" t="s">
        <v>1293</v>
      </c>
      <c r="BO23" s="58" t="s">
        <v>1293</v>
      </c>
      <c r="BP23" s="58" t="s">
        <v>1293</v>
      </c>
      <c r="BQ23" s="58" t="s">
        <v>1293</v>
      </c>
      <c r="BR23" s="58" t="s">
        <v>1293</v>
      </c>
      <c r="BS23" s="58" t="s">
        <v>1293</v>
      </c>
      <c r="BT23" s="58" t="s">
        <v>1293</v>
      </c>
      <c r="BU23" s="72">
        <f t="shared" ref="BU23:BU57" si="85">E23</f>
        <v>6</v>
      </c>
      <c r="BV23" s="73">
        <f t="shared" ref="BV23:BV57" si="86">I23</f>
        <v>35</v>
      </c>
      <c r="BW23" s="74">
        <f t="shared" ref="BW23:BW57" si="87">M23</f>
        <v>39</v>
      </c>
      <c r="BX23" s="73">
        <f t="shared" ref="BX23:BX57" si="88">Q23</f>
        <v>70</v>
      </c>
      <c r="BY23" s="74">
        <f t="shared" ref="BY23:BY57" si="89">U23</f>
        <v>73</v>
      </c>
      <c r="BZ23" s="73">
        <f t="shared" ref="BZ23:BZ57" si="90">Y23</f>
        <v>109</v>
      </c>
      <c r="CA23" s="74">
        <f t="shared" ref="CA23:CA57" si="91">AC23</f>
        <v>117</v>
      </c>
      <c r="CB23" s="73">
        <f t="shared" ref="CB23:CB57" si="92">AG23</f>
        <v>166</v>
      </c>
      <c r="CC23" s="74">
        <f t="shared" ref="CC23:CC57" si="93">AK23</f>
        <v>173</v>
      </c>
      <c r="CD23" s="73">
        <f t="shared" ref="CD23:CD57" si="94">AO23</f>
        <v>224</v>
      </c>
      <c r="CE23" s="74">
        <f t="shared" ref="CE23:CE57" si="95">AS23</f>
        <v>266</v>
      </c>
      <c r="CF23" s="73">
        <f t="shared" ref="CF23:CF57" si="96">AW23</f>
        <v>292</v>
      </c>
      <c r="CG23" s="72">
        <f t="shared" ref="CG23:CG57" si="97">G23</f>
        <v>34</v>
      </c>
      <c r="CH23" s="73">
        <f t="shared" ref="CH23:CH57" si="98">K23</f>
        <v>38</v>
      </c>
      <c r="CI23" s="74">
        <f t="shared" ref="CI23:CI57" si="99">O23</f>
        <v>69</v>
      </c>
      <c r="CJ23" s="74">
        <f t="shared" ref="CJ23:CJ57" si="100">S23</f>
        <v>72</v>
      </c>
      <c r="CK23" s="74">
        <f t="shared" ref="CK23:CK57" si="101">W23</f>
        <v>108</v>
      </c>
      <c r="CL23" s="74">
        <f t="shared" ref="CL23:CL57" si="102">AA23</f>
        <v>116</v>
      </c>
      <c r="CM23" s="74">
        <f t="shared" ref="CM23:CM57" si="103">AE23</f>
        <v>142</v>
      </c>
      <c r="CN23" s="74">
        <f t="shared" ref="CN23:CN57" si="104">AI23</f>
        <v>168</v>
      </c>
      <c r="CO23" s="74">
        <f t="shared" ref="CO23:CO57" si="105">AM23</f>
        <v>207</v>
      </c>
      <c r="CP23" s="74">
        <f t="shared" ref="CP23:CP57" si="106">AQ23</f>
        <v>259</v>
      </c>
      <c r="CQ23" s="74">
        <f t="shared" ref="CQ23:CQ57" si="107">AU23</f>
        <v>291</v>
      </c>
      <c r="CR23" s="74">
        <f t="shared" ref="CR23:CR57" si="108">AY23</f>
        <v>305</v>
      </c>
      <c r="CS23" s="23">
        <f t="shared" ref="CS23:CS57" si="109">M23-K23</f>
        <v>1</v>
      </c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  <c r="OK23" s="1"/>
      <c r="OL23" s="1"/>
      <c r="OM23" s="1"/>
      <c r="ON23" s="1"/>
      <c r="OO23" s="1"/>
      <c r="OP23" s="1"/>
      <c r="OQ23" s="1"/>
      <c r="OR23" s="1"/>
      <c r="OS23" s="1"/>
      <c r="OT23" s="1"/>
      <c r="OU23" s="1"/>
      <c r="OV23" s="1"/>
      <c r="OW23" s="1"/>
      <c r="OX23" s="1"/>
      <c r="OY23" s="1"/>
      <c r="OZ23" s="1"/>
      <c r="PA23" s="1"/>
      <c r="PB23" s="1"/>
      <c r="PC23" s="1"/>
      <c r="PD23" s="1"/>
      <c r="PE23" s="1"/>
      <c r="PF23" s="1"/>
      <c r="PG23" s="1"/>
      <c r="PH23" s="1"/>
      <c r="PI23" s="1"/>
      <c r="PJ23" s="1"/>
      <c r="PK23" s="1"/>
      <c r="PL23" s="1"/>
      <c r="PM23" s="1"/>
      <c r="PN23" s="1"/>
      <c r="PO23" s="1"/>
      <c r="PP23" s="1"/>
      <c r="PQ23" s="1"/>
      <c r="PR23" s="1"/>
      <c r="PS23" s="1"/>
      <c r="PT23" s="1"/>
      <c r="PU23" s="1"/>
      <c r="PV23" s="1"/>
      <c r="PW23" s="1"/>
      <c r="PX23" s="1"/>
      <c r="PY23" s="1"/>
      <c r="PZ23" s="1"/>
      <c r="QA23" s="1"/>
      <c r="QB23" s="1"/>
      <c r="QC23" s="1"/>
      <c r="QD23" s="1"/>
      <c r="QE23" s="1"/>
      <c r="QF23" s="1"/>
      <c r="QG23" s="1"/>
      <c r="QH23" s="1"/>
      <c r="QI23" s="1"/>
      <c r="QJ23" s="1"/>
      <c r="QK23" s="1"/>
      <c r="QL23" s="1"/>
      <c r="QM23" s="1"/>
      <c r="QN23" s="1"/>
      <c r="QO23" s="1"/>
      <c r="QP23" s="1"/>
      <c r="QQ23" s="1"/>
      <c r="QR23" s="1"/>
      <c r="QS23" s="1"/>
      <c r="QT23" s="1"/>
      <c r="QU23" s="1"/>
      <c r="QV23" s="1"/>
      <c r="QW23" s="1"/>
      <c r="QX23" s="1"/>
      <c r="QY23" s="1"/>
      <c r="QZ23" s="1"/>
      <c r="RA23" s="1"/>
      <c r="RB23" s="1"/>
      <c r="RC23" s="1"/>
      <c r="RD23" s="1"/>
      <c r="RE23" s="1"/>
      <c r="RF23" s="1"/>
      <c r="RG23" s="1"/>
      <c r="RH23" s="1"/>
      <c r="RI23" s="1"/>
      <c r="RJ23" s="1"/>
      <c r="RK23" s="1"/>
      <c r="RL23" s="1"/>
      <c r="RM23" s="1"/>
      <c r="RN23" s="1"/>
      <c r="RO23" s="1"/>
      <c r="RP23" s="1"/>
      <c r="RQ23" s="1"/>
      <c r="RR23" s="1"/>
      <c r="RS23" s="1"/>
      <c r="RT23" s="1"/>
      <c r="RU23" s="1"/>
      <c r="RV23" s="1"/>
      <c r="RW23" s="1"/>
      <c r="RX23" s="1"/>
      <c r="RY23" s="1"/>
      <c r="RZ23" s="1"/>
      <c r="SA23" s="1"/>
      <c r="SB23" s="1"/>
      <c r="SC23" s="1"/>
      <c r="SD23" s="1"/>
      <c r="SE23" s="1"/>
      <c r="SF23" s="1"/>
      <c r="SG23" s="1"/>
      <c r="SH23" s="1"/>
      <c r="SI23" s="1"/>
      <c r="SJ23" s="1"/>
      <c r="SK23" s="1"/>
      <c r="SL23" s="1"/>
      <c r="SM23" s="1"/>
      <c r="SN23" s="1"/>
      <c r="SO23" s="1"/>
      <c r="SP23" s="1"/>
      <c r="SQ23" s="1"/>
      <c r="SR23" s="1"/>
      <c r="SS23" s="1"/>
      <c r="ST23" s="1"/>
      <c r="SU23" s="1"/>
      <c r="SV23" s="1"/>
      <c r="SW23" s="1"/>
      <c r="SX23" s="1"/>
      <c r="SY23" s="1"/>
      <c r="SZ23" s="1"/>
      <c r="TA23" s="1"/>
      <c r="TB23" s="1"/>
      <c r="TC23" s="1"/>
      <c r="TD23" s="1"/>
      <c r="TE23" s="1"/>
      <c r="TF23" s="1"/>
      <c r="TG23" s="1"/>
      <c r="TH23" s="1"/>
      <c r="TI23" s="1"/>
      <c r="TJ23" s="1"/>
      <c r="TK23" s="1"/>
      <c r="TL23" s="1"/>
      <c r="TM23" s="1"/>
      <c r="TN23" s="1"/>
      <c r="TO23" s="1"/>
      <c r="TP23" s="1"/>
      <c r="TQ23" s="1"/>
      <c r="TR23" s="1"/>
      <c r="TS23" s="1"/>
      <c r="TT23" s="1"/>
      <c r="TU23" s="1"/>
      <c r="TV23" s="1"/>
      <c r="TW23" s="1"/>
      <c r="TX23" s="1"/>
      <c r="TY23" s="1"/>
      <c r="TZ23" s="1"/>
      <c r="UA23" s="1"/>
      <c r="UB23" s="1"/>
      <c r="UC23" s="1"/>
      <c r="UD23" s="1"/>
      <c r="UE23" s="1"/>
      <c r="UF23" s="1"/>
      <c r="UG23" s="1"/>
      <c r="UH23" s="1"/>
      <c r="UI23" s="1"/>
      <c r="UJ23" s="1"/>
      <c r="UK23" s="1"/>
      <c r="UL23" s="1"/>
      <c r="UM23" s="1"/>
      <c r="UN23" s="1"/>
      <c r="UO23" s="1"/>
      <c r="UP23" s="1"/>
      <c r="UQ23" s="1"/>
      <c r="UR23" s="1"/>
      <c r="US23" s="1"/>
      <c r="UT23" s="1"/>
      <c r="UU23" s="1"/>
      <c r="UV23" s="1"/>
      <c r="UW23" s="1"/>
      <c r="UX23" s="1"/>
      <c r="UY23" s="1"/>
      <c r="UZ23" s="1"/>
      <c r="VA23" s="1"/>
      <c r="VB23" s="1"/>
      <c r="VC23" s="1"/>
      <c r="VD23" s="1"/>
      <c r="VE23" s="1"/>
      <c r="VF23" s="1"/>
      <c r="VG23" s="1"/>
      <c r="VH23" s="1"/>
      <c r="VI23" s="1"/>
      <c r="VJ23" s="1"/>
      <c r="VK23" s="1"/>
      <c r="VL23" s="1"/>
      <c r="VM23" s="1"/>
      <c r="VN23" s="1"/>
      <c r="VO23" s="1"/>
      <c r="VP23" s="1"/>
      <c r="VQ23" s="1"/>
      <c r="VR23" s="1"/>
      <c r="VS23" s="1"/>
      <c r="VT23" s="1"/>
      <c r="VU23" s="1"/>
      <c r="VV23" s="1"/>
      <c r="VW23" s="1"/>
      <c r="VX23" s="1"/>
      <c r="VY23" s="1"/>
      <c r="VZ23" s="1"/>
      <c r="WA23" s="1"/>
      <c r="WB23" s="1"/>
      <c r="WC23" s="1"/>
      <c r="WD23" s="1"/>
      <c r="WE23" s="1"/>
      <c r="WF23" s="1"/>
      <c r="WG23" s="1"/>
      <c r="WH23" s="1"/>
      <c r="WI23" s="1"/>
      <c r="WJ23" s="1"/>
      <c r="WK23" s="1"/>
      <c r="WL23" s="1"/>
      <c r="WM23" s="1"/>
      <c r="WN23" s="1"/>
      <c r="WO23" s="1"/>
      <c r="WP23" s="1"/>
      <c r="WQ23" s="1"/>
      <c r="WR23" s="1"/>
      <c r="WS23" s="1"/>
      <c r="WT23" s="1"/>
      <c r="WU23" s="1"/>
      <c r="WV23" s="1"/>
      <c r="WW23" s="1"/>
      <c r="WX23" s="1"/>
      <c r="WY23" s="1"/>
      <c r="WZ23" s="1"/>
      <c r="XA23" s="1"/>
      <c r="XB23" s="1"/>
      <c r="XC23" s="1"/>
      <c r="XD23" s="1"/>
      <c r="XE23" s="1"/>
      <c r="XF23" s="1"/>
      <c r="XG23" s="1"/>
      <c r="XH23" s="1"/>
      <c r="XI23" s="1"/>
      <c r="XJ23" s="1"/>
      <c r="XK23" s="1"/>
      <c r="XL23" s="1"/>
      <c r="XM23" s="1"/>
      <c r="XN23" s="1"/>
      <c r="XO23" s="1"/>
      <c r="XP23" s="1"/>
      <c r="XQ23" s="1"/>
      <c r="XR23" s="1"/>
      <c r="XS23" s="1"/>
      <c r="XT23" s="1"/>
      <c r="XU23" s="1"/>
      <c r="XV23" s="1"/>
      <c r="XW23" s="1"/>
      <c r="XX23" s="1"/>
      <c r="XY23" s="1"/>
      <c r="XZ23" s="1"/>
      <c r="YA23" s="1"/>
      <c r="YB23" s="1"/>
      <c r="YC23" s="1"/>
      <c r="YD23" s="1"/>
      <c r="YE23" s="1"/>
      <c r="YF23" s="1"/>
      <c r="YG23" s="1"/>
      <c r="YH23" s="1"/>
      <c r="YI23" s="1"/>
      <c r="YJ23" s="1"/>
      <c r="YK23" s="1"/>
      <c r="YL23" s="1"/>
      <c r="YM23" s="1"/>
      <c r="YN23" s="1"/>
      <c r="YO23" s="1"/>
      <c r="YP23" s="1"/>
      <c r="YQ23" s="1"/>
      <c r="YR23" s="1"/>
      <c r="YS23" s="1"/>
      <c r="YT23" s="1"/>
      <c r="YU23" s="1"/>
      <c r="YV23" s="1"/>
      <c r="YW23" s="1"/>
      <c r="YX23" s="1"/>
      <c r="YY23" s="1"/>
      <c r="YZ23" s="1"/>
      <c r="ZA23" s="1"/>
      <c r="ZB23" s="1"/>
      <c r="ZC23" s="1"/>
      <c r="ZD23" s="1"/>
      <c r="ZE23" s="1"/>
      <c r="ZF23" s="1"/>
      <c r="ZG23" s="1"/>
      <c r="ZH23" s="1"/>
      <c r="ZI23" s="1"/>
      <c r="ZJ23" s="1"/>
      <c r="ZK23" s="1"/>
      <c r="ZL23" s="1"/>
      <c r="ZM23" s="1"/>
      <c r="ZN23" s="1"/>
      <c r="ZO23" s="1"/>
      <c r="ZP23" s="1"/>
      <c r="ZQ23" s="1"/>
      <c r="ZR23" s="1"/>
      <c r="ZS23" s="1"/>
      <c r="ZT23" s="1"/>
      <c r="ZU23" s="1"/>
      <c r="ZV23" s="1"/>
      <c r="ZW23" s="1"/>
      <c r="ZX23" s="1"/>
      <c r="ZY23" s="1"/>
      <c r="ZZ23" s="1"/>
      <c r="AAA23" s="1"/>
      <c r="AAB23" s="1"/>
      <c r="AAC23" s="1"/>
      <c r="AAD23" s="1"/>
      <c r="AAE23" s="1"/>
      <c r="AAF23" s="1"/>
      <c r="AAG23" s="1"/>
      <c r="AAH23" s="1"/>
      <c r="AAI23" s="1"/>
      <c r="AAJ23" s="1"/>
      <c r="AAK23" s="1"/>
      <c r="AAL23" s="1"/>
      <c r="AAM23" s="1"/>
      <c r="AAN23" s="1"/>
      <c r="AAO23" s="1"/>
      <c r="AAP23" s="1"/>
      <c r="AAQ23" s="1"/>
      <c r="AAR23" s="1"/>
      <c r="AAS23" s="1"/>
      <c r="AAT23" s="1"/>
      <c r="AAU23" s="1"/>
      <c r="AAV23" s="1"/>
      <c r="AAW23" s="1"/>
      <c r="AAX23" s="1"/>
      <c r="AAY23" s="1"/>
      <c r="AAZ23" s="1"/>
      <c r="ABA23" s="1"/>
      <c r="ABB23" s="1"/>
      <c r="ABC23" s="1"/>
      <c r="ABD23" s="1"/>
      <c r="ABE23" s="1"/>
      <c r="ABF23" s="1"/>
      <c r="ABG23" s="1"/>
      <c r="ABH23" s="1"/>
      <c r="ABI23" s="1"/>
      <c r="ABJ23" s="1"/>
      <c r="ABK23" s="1"/>
      <c r="ABL23" s="1"/>
      <c r="ABM23" s="1"/>
      <c r="ABN23" s="1"/>
      <c r="ABO23" s="1"/>
      <c r="ABP23" s="1"/>
      <c r="ABQ23" s="1"/>
      <c r="ABR23" s="1"/>
      <c r="ABS23" s="1"/>
      <c r="ABT23" s="1"/>
      <c r="ABU23" s="1"/>
      <c r="ABV23" s="1"/>
      <c r="ABW23" s="1"/>
      <c r="ABX23" s="1"/>
      <c r="ABY23" s="1"/>
      <c r="ABZ23" s="1"/>
      <c r="ACA23" s="1"/>
      <c r="ACB23" s="1"/>
      <c r="ACC23" s="1"/>
      <c r="ACD23" s="1"/>
      <c r="ACE23" s="1"/>
      <c r="ACF23" s="1"/>
      <c r="ACG23" s="1"/>
      <c r="ACH23" s="1"/>
      <c r="ACI23" s="1"/>
      <c r="ACJ23" s="1"/>
      <c r="ACK23" s="1"/>
      <c r="ACL23" s="1"/>
      <c r="ACM23" s="1"/>
      <c r="ACN23" s="1"/>
      <c r="ACO23" s="1"/>
      <c r="ACP23" s="1"/>
      <c r="ACQ23" s="1"/>
      <c r="ACR23" s="1"/>
      <c r="ACS23" s="1"/>
      <c r="ACT23" s="1"/>
      <c r="ACU23" s="1"/>
      <c r="ACV23" s="1"/>
      <c r="ACW23" s="1"/>
      <c r="ACX23" s="1"/>
      <c r="ACY23" s="1"/>
      <c r="ACZ23" s="1"/>
      <c r="ADA23" s="1"/>
      <c r="ADB23" s="1"/>
      <c r="ADC23" s="1"/>
      <c r="ADD23" s="1"/>
      <c r="ADE23" s="1"/>
      <c r="ADF23" s="1"/>
      <c r="ADG23" s="1"/>
      <c r="ADH23" s="1"/>
      <c r="ADI23" s="1"/>
      <c r="ADJ23" s="1"/>
      <c r="ADK23" s="1"/>
      <c r="ADL23" s="1"/>
      <c r="ADM23" s="1"/>
      <c r="ADN23" s="1"/>
      <c r="ADO23" s="1"/>
      <c r="ADP23" s="1"/>
      <c r="ADQ23" s="1"/>
      <c r="ADR23" s="1"/>
      <c r="ADS23" s="1"/>
      <c r="ADT23" s="1"/>
      <c r="ADU23" s="1"/>
      <c r="ADV23" s="1"/>
      <c r="ADW23" s="1"/>
      <c r="ADX23" s="1"/>
      <c r="ADY23" s="1"/>
      <c r="ADZ23" s="1"/>
      <c r="AEA23" s="1"/>
      <c r="AEB23" s="1"/>
      <c r="AEC23" s="1"/>
      <c r="AED23" s="1"/>
      <c r="AEE23" s="1"/>
      <c r="AEF23" s="1"/>
      <c r="AEG23" s="1"/>
      <c r="AEH23" s="1"/>
      <c r="AEI23" s="1"/>
      <c r="AEJ23" s="1"/>
      <c r="AEK23" s="1"/>
      <c r="AEL23" s="1"/>
      <c r="AEM23" s="1"/>
      <c r="AEN23" s="1"/>
      <c r="AEO23" s="1"/>
      <c r="AEP23" s="1"/>
      <c r="AEQ23" s="1"/>
      <c r="AER23" s="1"/>
      <c r="AES23" s="1"/>
      <c r="AET23" s="1"/>
      <c r="AEU23" s="1"/>
      <c r="AEV23" s="1"/>
      <c r="AEW23" s="1"/>
      <c r="AEX23" s="1"/>
      <c r="AEY23" s="1"/>
      <c r="AEZ23" s="1"/>
      <c r="AFA23" s="1"/>
      <c r="AFB23" s="1"/>
      <c r="AFC23" s="1"/>
      <c r="AFD23" s="1"/>
      <c r="AFE23" s="1"/>
      <c r="AFF23" s="1"/>
      <c r="AFG23" s="1"/>
      <c r="AFH23" s="1"/>
      <c r="AFI23" s="1"/>
      <c r="AFJ23" s="1"/>
      <c r="AFK23" s="1"/>
      <c r="AFL23" s="1"/>
      <c r="AFM23" s="1"/>
      <c r="AFN23" s="1"/>
      <c r="AFO23" s="1"/>
      <c r="AFP23" s="1"/>
      <c r="AFQ23" s="1"/>
      <c r="AFR23" s="1"/>
      <c r="AFS23" s="1"/>
      <c r="AFT23" s="1"/>
      <c r="AFU23" s="1"/>
      <c r="AFV23" s="1"/>
      <c r="AFW23" s="1"/>
      <c r="AFX23" s="1"/>
      <c r="AFY23" s="1"/>
      <c r="AFZ23" s="1"/>
      <c r="AGA23" s="1"/>
      <c r="AGB23" s="1"/>
      <c r="AGC23" s="1"/>
      <c r="AGD23" s="1"/>
      <c r="AGE23" s="1"/>
      <c r="AGF23" s="1"/>
      <c r="AGG23" s="1"/>
      <c r="AGH23" s="1"/>
      <c r="AGI23" s="1"/>
      <c r="AGJ23" s="1"/>
      <c r="AGK23" s="1"/>
      <c r="AGL23" s="1"/>
      <c r="AGM23" s="1"/>
      <c r="AGN23" s="1"/>
      <c r="AGO23" s="1"/>
      <c r="AGP23" s="1"/>
      <c r="AGQ23" s="1"/>
      <c r="AGR23" s="1"/>
      <c r="AGS23" s="1"/>
      <c r="AGT23" s="1"/>
      <c r="AGU23" s="1"/>
      <c r="AGV23" s="1"/>
      <c r="AGW23" s="1"/>
      <c r="AGX23" s="1"/>
      <c r="AGY23" s="1"/>
      <c r="AGZ23" s="1"/>
      <c r="AHA23" s="1"/>
      <c r="AHB23" s="1"/>
      <c r="AHC23" s="1"/>
      <c r="AHD23" s="1"/>
      <c r="AHE23" s="1"/>
      <c r="AHF23" s="1"/>
      <c r="AHG23" s="1"/>
      <c r="AHH23" s="1"/>
      <c r="AHI23" s="1"/>
      <c r="AHJ23" s="1"/>
      <c r="AHK23" s="1"/>
      <c r="AHL23" s="1"/>
      <c r="AHM23" s="1"/>
      <c r="AHN23" s="1"/>
      <c r="AHO23" s="1"/>
      <c r="AHP23" s="1"/>
      <c r="AHQ23" s="1"/>
      <c r="AHR23" s="1"/>
      <c r="AHS23" s="1"/>
      <c r="AHT23" s="1"/>
      <c r="AHU23" s="1"/>
      <c r="AHV23" s="1"/>
      <c r="AHW23" s="1"/>
      <c r="AHX23" s="1"/>
      <c r="AHY23" s="1"/>
      <c r="AHZ23" s="1"/>
      <c r="AIA23" s="1"/>
      <c r="AIB23" s="1"/>
      <c r="AIC23" s="1"/>
      <c r="AID23" s="1"/>
      <c r="AIE23" s="1"/>
      <c r="AIF23" s="1"/>
      <c r="AIG23" s="1"/>
      <c r="AIH23" s="1"/>
      <c r="AII23" s="1"/>
      <c r="AIJ23" s="1"/>
      <c r="AIK23" s="1"/>
      <c r="AIL23" s="1"/>
      <c r="AIM23" s="1"/>
      <c r="AIN23" s="1"/>
      <c r="AIO23" s="1"/>
      <c r="AIP23" s="1"/>
      <c r="AIQ23" s="1"/>
      <c r="AIR23" s="1"/>
      <c r="AIS23" s="1"/>
      <c r="AIT23" s="1"/>
      <c r="AIU23" s="1"/>
      <c r="AIV23" s="1"/>
      <c r="AIW23" s="1"/>
      <c r="AIX23" s="1"/>
      <c r="AIY23" s="1"/>
      <c r="AIZ23" s="1"/>
      <c r="AJA23" s="1"/>
      <c r="AJB23" s="1"/>
      <c r="AJC23" s="1"/>
      <c r="AJD23" s="1"/>
      <c r="AJE23" s="1"/>
      <c r="AJF23" s="1"/>
      <c r="AJG23" s="1"/>
      <c r="AJH23" s="1"/>
      <c r="AJI23" s="1"/>
      <c r="AJJ23" s="1"/>
      <c r="AJK23" s="1"/>
      <c r="AJL23" s="1"/>
      <c r="AJM23" s="1"/>
      <c r="AJN23" s="1"/>
      <c r="AJO23" s="1"/>
      <c r="AJP23" s="1"/>
      <c r="AJQ23" s="1"/>
      <c r="AJR23" s="1"/>
      <c r="AJS23" s="1"/>
      <c r="AJT23" s="1"/>
      <c r="AJU23" s="1"/>
      <c r="AJV23" s="1"/>
      <c r="AJW23" s="1"/>
      <c r="AJX23" s="1"/>
      <c r="AJY23" s="1"/>
      <c r="AJZ23" s="1"/>
      <c r="AKA23" s="1"/>
      <c r="AKB23" s="1"/>
      <c r="AKC23" s="1"/>
      <c r="AKD23" s="1"/>
      <c r="AKE23" s="1"/>
      <c r="AKF23" s="1"/>
      <c r="AKG23" s="1"/>
      <c r="AKH23" s="1"/>
      <c r="AKI23" s="1"/>
      <c r="AKJ23" s="1"/>
      <c r="AKK23" s="1"/>
      <c r="AKL23" s="1"/>
      <c r="AKM23" s="1"/>
      <c r="AKN23" s="1"/>
      <c r="AKO23" s="1"/>
      <c r="AKP23" s="1"/>
      <c r="AKQ23" s="1"/>
      <c r="AKR23" s="1"/>
      <c r="AKS23" s="1"/>
      <c r="AKT23" s="1"/>
      <c r="AKU23" s="1"/>
      <c r="AKV23" s="1"/>
      <c r="AKW23" s="1"/>
      <c r="AKX23" s="1"/>
      <c r="AKY23" s="1"/>
      <c r="AKZ23" s="1"/>
      <c r="ALA23" s="1"/>
      <c r="ALB23" s="1"/>
      <c r="ALC23" s="1"/>
      <c r="ALD23" s="1"/>
      <c r="ALE23" s="1"/>
      <c r="ALF23" s="1"/>
      <c r="ALG23" s="1"/>
      <c r="ALH23" s="1"/>
      <c r="ALI23" s="1"/>
      <c r="ALJ23" s="1"/>
      <c r="ALK23" s="1"/>
      <c r="ALL23" s="1"/>
      <c r="ALM23" s="1"/>
      <c r="ALN23" s="1"/>
      <c r="ALO23" s="1"/>
      <c r="ALP23" s="1"/>
      <c r="ALQ23" s="1"/>
      <c r="ALR23" s="1"/>
      <c r="ALS23" s="1"/>
      <c r="ALT23" s="1"/>
      <c r="ALU23" s="1"/>
      <c r="ALV23" s="1"/>
      <c r="ALW23" s="1"/>
      <c r="ALX23" s="1"/>
      <c r="ALY23" s="1"/>
      <c r="ALZ23" s="1"/>
      <c r="AMA23" s="1"/>
      <c r="AMB23" s="1"/>
      <c r="AMC23" s="1"/>
      <c r="AMD23" s="1"/>
      <c r="AME23" s="1"/>
      <c r="AMF23" s="1"/>
      <c r="AMG23" s="1"/>
      <c r="AMH23" s="1"/>
      <c r="AMI23" s="1"/>
      <c r="AMJ23" s="1"/>
      <c r="AMK23" s="1"/>
      <c r="AML23" s="1"/>
      <c r="AMM23" s="1"/>
      <c r="AMN23" s="1"/>
    </row>
    <row r="24" spans="1:1029" x14ac:dyDescent="0.2">
      <c r="A24" s="3" t="str">
        <f t="shared" si="0"/>
        <v>aa2ar_human_5IU4</v>
      </c>
      <c r="B24" s="3" t="s">
        <v>139</v>
      </c>
      <c r="C24" s="3" t="s">
        <v>1351</v>
      </c>
      <c r="D24" s="3" t="str">
        <f>IFERROR(MID(VLOOKUP($B24,Seqs!$A:$B,2,0),E24,1),"")</f>
        <v>P</v>
      </c>
      <c r="E24" s="3">
        <v>2</v>
      </c>
      <c r="F24" s="3" t="str">
        <f>IFERROR(MID(VLOOKUP($B24,Seqs!$A:$B,2,0),G24,1),"")</f>
        <v>N</v>
      </c>
      <c r="G24" s="3">
        <v>34</v>
      </c>
      <c r="H24" s="3" t="str">
        <f>IFERROR(MID(VLOOKUP($B24,Seqs!$A:$B,2,0),I24,1),"")</f>
        <v>S</v>
      </c>
      <c r="I24" s="23">
        <v>35</v>
      </c>
      <c r="J24" s="3" t="str">
        <f>IFERROR(MID(VLOOKUP($B24,Seqs!$A:$B,2,0),K24,1),"")</f>
        <v>Q</v>
      </c>
      <c r="K24" s="23">
        <v>38</v>
      </c>
      <c r="L24" s="3" t="str">
        <f>IFERROR(MID(VLOOKUP($B24,Seqs!$A:$B,2,0),M24,1),"")</f>
        <v>N</v>
      </c>
      <c r="M24" s="3">
        <v>39</v>
      </c>
      <c r="N24" s="3" t="str">
        <f>IFERROR(MID(VLOOKUP($B24,Seqs!$A:$B,2,0),O24,1),"")</f>
        <v>G</v>
      </c>
      <c r="O24" s="3">
        <v>69</v>
      </c>
      <c r="P24" s="3" t="str">
        <f>IFERROR(MID(VLOOKUP($B24,Seqs!$A:$B,2,0),Q24,1),"")</f>
        <v>F</v>
      </c>
      <c r="Q24" s="3">
        <v>70</v>
      </c>
      <c r="R24" s="3" t="str">
        <f>IFERROR(MID(VLOOKUP($B24,Seqs!$A:$B,2,0),S24,1),"")</f>
        <v>A</v>
      </c>
      <c r="S24" s="3">
        <v>72</v>
      </c>
      <c r="T24" s="3" t="str">
        <f>IFERROR(MID(VLOOKUP($B24,Seqs!$A:$B,2,0),U24,1),"")</f>
        <v>A</v>
      </c>
      <c r="U24" s="3">
        <v>73</v>
      </c>
      <c r="V24" s="3" t="str">
        <f>IFERROR(MID(VLOOKUP($B24,Seqs!$A:$B,2,0),W24,1),"")</f>
        <v>I</v>
      </c>
      <c r="W24" s="3">
        <v>108</v>
      </c>
      <c r="X24" s="3" t="str">
        <f>IFERROR(MID(VLOOKUP($B24,Seqs!$A:$B,2,0),Y24,1),"")</f>
        <v>P</v>
      </c>
      <c r="Y24" s="3">
        <v>109</v>
      </c>
      <c r="Z24" s="3" t="str">
        <f>IFERROR(MID(VLOOKUP($B24,Seqs!$A:$B,2,0),AA24,1),"")</f>
        <v>V</v>
      </c>
      <c r="AA24" s="3">
        <v>116</v>
      </c>
      <c r="AB24" s="3" t="str">
        <f>IFERROR(MID(VLOOKUP($B24,Seqs!$A:$B,2,0),AC24,1),"")</f>
        <v>T</v>
      </c>
      <c r="AC24" s="9">
        <v>117</v>
      </c>
      <c r="AD24" s="3" t="str">
        <f>IFERROR(MID(VLOOKUP($B24,Seqs!$A:$B,2,0),AE24,1),"")</f>
        <v>G</v>
      </c>
      <c r="AE24" s="3">
        <v>142</v>
      </c>
      <c r="AF24" s="3" t="str">
        <f>IFERROR(MID(VLOOKUP($B24,Seqs!$A:$B,2,0),AG24,1),"")</f>
        <v>C</v>
      </c>
      <c r="AG24" s="3">
        <v>166</v>
      </c>
      <c r="AH24" s="3" t="str">
        <f>IFERROR(MID(VLOOKUP($B24,Seqs!$A:$B,2,0),AI24,1),"")</f>
        <v>F</v>
      </c>
      <c r="AI24" s="3">
        <v>168</v>
      </c>
      <c r="AJ24" s="3" t="str">
        <f>IFERROR(MID(VLOOKUP($B24,Seqs!$A:$B,2,0),AK24,1),"")</f>
        <v>P</v>
      </c>
      <c r="AK24" s="3">
        <v>173</v>
      </c>
      <c r="AL24" s="3" t="str">
        <f>IFERROR(MID(VLOOKUP($B24,Seqs!$A:$B,2,0),AM24,1),"")</f>
        <v>L</v>
      </c>
      <c r="AM24" s="3">
        <v>208</v>
      </c>
      <c r="AN24" s="3" t="str">
        <f>IFERROR(MID(VLOOKUP($B24,Seqs!$A:$B,2,0),AO24,1),"")</f>
        <v>E</v>
      </c>
      <c r="AO24" s="3">
        <v>219</v>
      </c>
      <c r="AP24" s="3" t="str">
        <f>IFERROR(MID(VLOOKUP($B24,Seqs!$A:$B,2,0),AQ24,1),"")</f>
        <v>C</v>
      </c>
      <c r="AQ24" s="3">
        <v>259</v>
      </c>
      <c r="AR24" s="3" t="str">
        <f>IFERROR(MID(VLOOKUP($B24,Seqs!$A:$B,2,0),AS24,1),"")</f>
        <v>P</v>
      </c>
      <c r="AS24" s="3">
        <v>266</v>
      </c>
      <c r="AT24" s="3" t="str">
        <f>IFERROR(MID(VLOOKUP($B24,Seqs!$A:$B,2,0),AU24,1),"")</f>
        <v>R</v>
      </c>
      <c r="AU24" s="3">
        <v>291</v>
      </c>
      <c r="AV24" s="3" t="str">
        <f>IFERROR(MID(VLOOKUP($B24,Seqs!$A:$B,2,0),AW24,1),"")</f>
        <v>I</v>
      </c>
      <c r="AW24" s="3">
        <v>292</v>
      </c>
      <c r="AX24" s="3" t="str">
        <f>IFERROR(MID(VLOOKUP($B24,Seqs!$A:$B,2,0),AY24,1),"")</f>
        <v>S</v>
      </c>
      <c r="AY24" s="3">
        <v>305</v>
      </c>
      <c r="AZ24" s="79" t="str">
        <f>VLOOKUP(B24,Classification!A:D,2,0)</f>
        <v>A</v>
      </c>
      <c r="BA24" s="97" t="str">
        <f>VLOOKUP(B24,Classification!A:D,4,0)</f>
        <v>Adenosine</v>
      </c>
      <c r="BB24" s="27" t="b">
        <f t="shared" si="1"/>
        <v>1</v>
      </c>
      <c r="BC24" s="23">
        <f t="shared" si="84"/>
        <v>261</v>
      </c>
      <c r="BD24" s="4" t="s">
        <v>23</v>
      </c>
      <c r="BE24" s="3" t="s">
        <v>1381</v>
      </c>
      <c r="BF24" s="50" t="s">
        <v>1384</v>
      </c>
      <c r="BG24" s="50" t="s">
        <v>1384</v>
      </c>
      <c r="BH24" s="1"/>
      <c r="BI24" s="72" t="s">
        <v>1293</v>
      </c>
      <c r="BJ24" s="58" t="s">
        <v>1293</v>
      </c>
      <c r="BK24" s="58" t="s">
        <v>1293</v>
      </c>
      <c r="BL24" s="58" t="s">
        <v>1293</v>
      </c>
      <c r="BM24" s="58" t="s">
        <v>1293</v>
      </c>
      <c r="BN24" s="58" t="s">
        <v>1293</v>
      </c>
      <c r="BO24" s="58" t="s">
        <v>1293</v>
      </c>
      <c r="BP24" s="58" t="s">
        <v>1293</v>
      </c>
      <c r="BQ24" s="58" t="s">
        <v>1293</v>
      </c>
      <c r="BR24" s="58" t="s">
        <v>1293</v>
      </c>
      <c r="BS24" s="58" t="s">
        <v>1293</v>
      </c>
      <c r="BT24" s="58" t="s">
        <v>1293</v>
      </c>
      <c r="BU24" s="72">
        <f t="shared" si="85"/>
        <v>2</v>
      </c>
      <c r="BV24" s="73">
        <f t="shared" si="86"/>
        <v>35</v>
      </c>
      <c r="BW24" s="74">
        <f t="shared" si="87"/>
        <v>39</v>
      </c>
      <c r="BX24" s="73">
        <f t="shared" si="88"/>
        <v>70</v>
      </c>
      <c r="BY24" s="74">
        <f t="shared" si="89"/>
        <v>73</v>
      </c>
      <c r="BZ24" s="73">
        <f t="shared" si="90"/>
        <v>109</v>
      </c>
      <c r="CA24" s="74">
        <f t="shared" si="91"/>
        <v>117</v>
      </c>
      <c r="CB24" s="73">
        <f t="shared" si="92"/>
        <v>166</v>
      </c>
      <c r="CC24" s="74">
        <f t="shared" si="93"/>
        <v>173</v>
      </c>
      <c r="CD24" s="73">
        <f t="shared" si="94"/>
        <v>219</v>
      </c>
      <c r="CE24" s="74">
        <f t="shared" si="95"/>
        <v>266</v>
      </c>
      <c r="CF24" s="73">
        <f t="shared" si="96"/>
        <v>292</v>
      </c>
      <c r="CG24" s="72">
        <f t="shared" si="97"/>
        <v>34</v>
      </c>
      <c r="CH24" s="73">
        <f t="shared" si="98"/>
        <v>38</v>
      </c>
      <c r="CI24" s="74">
        <f t="shared" si="99"/>
        <v>69</v>
      </c>
      <c r="CJ24" s="74">
        <f t="shared" si="100"/>
        <v>72</v>
      </c>
      <c r="CK24" s="74">
        <f t="shared" si="101"/>
        <v>108</v>
      </c>
      <c r="CL24" s="74">
        <f t="shared" si="102"/>
        <v>116</v>
      </c>
      <c r="CM24" s="74">
        <f t="shared" si="103"/>
        <v>142</v>
      </c>
      <c r="CN24" s="74">
        <f t="shared" si="104"/>
        <v>168</v>
      </c>
      <c r="CO24" s="74">
        <f t="shared" si="105"/>
        <v>208</v>
      </c>
      <c r="CP24" s="74">
        <f t="shared" si="106"/>
        <v>259</v>
      </c>
      <c r="CQ24" s="74">
        <f t="shared" si="107"/>
        <v>291</v>
      </c>
      <c r="CR24" s="74">
        <f t="shared" si="108"/>
        <v>305</v>
      </c>
      <c r="CS24" s="23">
        <f t="shared" si="109"/>
        <v>1</v>
      </c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  <c r="OK24" s="1"/>
      <c r="OL24" s="1"/>
      <c r="OM24" s="1"/>
      <c r="ON24" s="1"/>
      <c r="OO24" s="1"/>
      <c r="OP24" s="1"/>
      <c r="OQ24" s="1"/>
      <c r="OR24" s="1"/>
      <c r="OS24" s="1"/>
      <c r="OT24" s="1"/>
      <c r="OU24" s="1"/>
      <c r="OV24" s="1"/>
      <c r="OW24" s="1"/>
      <c r="OX24" s="1"/>
      <c r="OY24" s="1"/>
      <c r="OZ24" s="1"/>
      <c r="PA24" s="1"/>
      <c r="PB24" s="1"/>
      <c r="PC24" s="1"/>
      <c r="PD24" s="1"/>
      <c r="PE24" s="1"/>
      <c r="PF24" s="1"/>
      <c r="PG24" s="1"/>
      <c r="PH24" s="1"/>
      <c r="PI24" s="1"/>
      <c r="PJ24" s="1"/>
      <c r="PK24" s="1"/>
      <c r="PL24" s="1"/>
      <c r="PM24" s="1"/>
      <c r="PN24" s="1"/>
      <c r="PO24" s="1"/>
      <c r="PP24" s="1"/>
      <c r="PQ24" s="1"/>
      <c r="PR24" s="1"/>
      <c r="PS24" s="1"/>
      <c r="PT24" s="1"/>
      <c r="PU24" s="1"/>
      <c r="PV24" s="1"/>
      <c r="PW24" s="1"/>
      <c r="PX24" s="1"/>
      <c r="PY24" s="1"/>
      <c r="PZ24" s="1"/>
      <c r="QA24" s="1"/>
      <c r="QB24" s="1"/>
      <c r="QC24" s="1"/>
      <c r="QD24" s="1"/>
      <c r="QE24" s="1"/>
      <c r="QF24" s="1"/>
      <c r="QG24" s="1"/>
      <c r="QH24" s="1"/>
      <c r="QI24" s="1"/>
      <c r="QJ24" s="1"/>
      <c r="QK24" s="1"/>
      <c r="QL24" s="1"/>
      <c r="QM24" s="1"/>
      <c r="QN24" s="1"/>
      <c r="QO24" s="1"/>
      <c r="QP24" s="1"/>
      <c r="QQ24" s="1"/>
      <c r="QR24" s="1"/>
      <c r="QS24" s="1"/>
      <c r="QT24" s="1"/>
      <c r="QU24" s="1"/>
      <c r="QV24" s="1"/>
      <c r="QW24" s="1"/>
      <c r="QX24" s="1"/>
      <c r="QY24" s="1"/>
      <c r="QZ24" s="1"/>
      <c r="RA24" s="1"/>
      <c r="RB24" s="1"/>
      <c r="RC24" s="1"/>
      <c r="RD24" s="1"/>
      <c r="RE24" s="1"/>
      <c r="RF24" s="1"/>
      <c r="RG24" s="1"/>
      <c r="RH24" s="1"/>
      <c r="RI24" s="1"/>
      <c r="RJ24" s="1"/>
      <c r="RK24" s="1"/>
      <c r="RL24" s="1"/>
      <c r="RM24" s="1"/>
      <c r="RN24" s="1"/>
      <c r="RO24" s="1"/>
      <c r="RP24" s="1"/>
      <c r="RQ24" s="1"/>
      <c r="RR24" s="1"/>
      <c r="RS24" s="1"/>
      <c r="RT24" s="1"/>
      <c r="RU24" s="1"/>
      <c r="RV24" s="1"/>
      <c r="RW24" s="1"/>
      <c r="RX24" s="1"/>
      <c r="RY24" s="1"/>
      <c r="RZ24" s="1"/>
      <c r="SA24" s="1"/>
      <c r="SB24" s="1"/>
      <c r="SC24" s="1"/>
      <c r="SD24" s="1"/>
      <c r="SE24" s="1"/>
      <c r="SF24" s="1"/>
      <c r="SG24" s="1"/>
      <c r="SH24" s="1"/>
      <c r="SI24" s="1"/>
      <c r="SJ24" s="1"/>
      <c r="SK24" s="1"/>
      <c r="SL24" s="1"/>
      <c r="SM24" s="1"/>
      <c r="SN24" s="1"/>
      <c r="SO24" s="1"/>
      <c r="SP24" s="1"/>
      <c r="SQ24" s="1"/>
      <c r="SR24" s="1"/>
      <c r="SS24" s="1"/>
      <c r="ST24" s="1"/>
      <c r="SU24" s="1"/>
      <c r="SV24" s="1"/>
      <c r="SW24" s="1"/>
      <c r="SX24" s="1"/>
      <c r="SY24" s="1"/>
      <c r="SZ24" s="1"/>
      <c r="TA24" s="1"/>
      <c r="TB24" s="1"/>
      <c r="TC24" s="1"/>
      <c r="TD24" s="1"/>
      <c r="TE24" s="1"/>
      <c r="TF24" s="1"/>
      <c r="TG24" s="1"/>
      <c r="TH24" s="1"/>
      <c r="TI24" s="1"/>
      <c r="TJ24" s="1"/>
      <c r="TK24" s="1"/>
      <c r="TL24" s="1"/>
      <c r="TM24" s="1"/>
      <c r="TN24" s="1"/>
      <c r="TO24" s="1"/>
      <c r="TP24" s="1"/>
      <c r="TQ24" s="1"/>
      <c r="TR24" s="1"/>
      <c r="TS24" s="1"/>
      <c r="TT24" s="1"/>
      <c r="TU24" s="1"/>
      <c r="TV24" s="1"/>
      <c r="TW24" s="1"/>
      <c r="TX24" s="1"/>
      <c r="TY24" s="1"/>
      <c r="TZ24" s="1"/>
      <c r="UA24" s="1"/>
      <c r="UB24" s="1"/>
      <c r="UC24" s="1"/>
      <c r="UD24" s="1"/>
      <c r="UE24" s="1"/>
      <c r="UF24" s="1"/>
      <c r="UG24" s="1"/>
      <c r="UH24" s="1"/>
      <c r="UI24" s="1"/>
      <c r="UJ24" s="1"/>
      <c r="UK24" s="1"/>
      <c r="UL24" s="1"/>
      <c r="UM24" s="1"/>
      <c r="UN24" s="1"/>
      <c r="UO24" s="1"/>
      <c r="UP24" s="1"/>
      <c r="UQ24" s="1"/>
      <c r="UR24" s="1"/>
      <c r="US24" s="1"/>
      <c r="UT24" s="1"/>
      <c r="UU24" s="1"/>
      <c r="UV24" s="1"/>
      <c r="UW24" s="1"/>
      <c r="UX24" s="1"/>
      <c r="UY24" s="1"/>
      <c r="UZ24" s="1"/>
      <c r="VA24" s="1"/>
      <c r="VB24" s="1"/>
      <c r="VC24" s="1"/>
      <c r="VD24" s="1"/>
      <c r="VE24" s="1"/>
      <c r="VF24" s="1"/>
      <c r="VG24" s="1"/>
      <c r="VH24" s="1"/>
      <c r="VI24" s="1"/>
      <c r="VJ24" s="1"/>
      <c r="VK24" s="1"/>
      <c r="VL24" s="1"/>
      <c r="VM24" s="1"/>
      <c r="VN24" s="1"/>
      <c r="VO24" s="1"/>
      <c r="VP24" s="1"/>
      <c r="VQ24" s="1"/>
      <c r="VR24" s="1"/>
      <c r="VS24" s="1"/>
      <c r="VT24" s="1"/>
      <c r="VU24" s="1"/>
      <c r="VV24" s="1"/>
      <c r="VW24" s="1"/>
      <c r="VX24" s="1"/>
      <c r="VY24" s="1"/>
      <c r="VZ24" s="1"/>
      <c r="WA24" s="1"/>
      <c r="WB24" s="1"/>
      <c r="WC24" s="1"/>
      <c r="WD24" s="1"/>
      <c r="WE24" s="1"/>
      <c r="WF24" s="1"/>
      <c r="WG24" s="1"/>
      <c r="WH24" s="1"/>
      <c r="WI24" s="1"/>
      <c r="WJ24" s="1"/>
      <c r="WK24" s="1"/>
      <c r="WL24" s="1"/>
      <c r="WM24" s="1"/>
      <c r="WN24" s="1"/>
      <c r="WO24" s="1"/>
      <c r="WP24" s="1"/>
      <c r="WQ24" s="1"/>
      <c r="WR24" s="1"/>
      <c r="WS24" s="1"/>
      <c r="WT24" s="1"/>
      <c r="WU24" s="1"/>
      <c r="WV24" s="1"/>
      <c r="WW24" s="1"/>
      <c r="WX24" s="1"/>
      <c r="WY24" s="1"/>
      <c r="WZ24" s="1"/>
      <c r="XA24" s="1"/>
      <c r="XB24" s="1"/>
      <c r="XC24" s="1"/>
      <c r="XD24" s="1"/>
      <c r="XE24" s="1"/>
      <c r="XF24" s="1"/>
      <c r="XG24" s="1"/>
      <c r="XH24" s="1"/>
      <c r="XI24" s="1"/>
      <c r="XJ24" s="1"/>
      <c r="XK24" s="1"/>
      <c r="XL24" s="1"/>
      <c r="XM24" s="1"/>
      <c r="XN24" s="1"/>
      <c r="XO24" s="1"/>
      <c r="XP24" s="1"/>
      <c r="XQ24" s="1"/>
      <c r="XR24" s="1"/>
      <c r="XS24" s="1"/>
      <c r="XT24" s="1"/>
      <c r="XU24" s="1"/>
      <c r="XV24" s="1"/>
      <c r="XW24" s="1"/>
      <c r="XX24" s="1"/>
      <c r="XY24" s="1"/>
      <c r="XZ24" s="1"/>
      <c r="YA24" s="1"/>
      <c r="YB24" s="1"/>
      <c r="YC24" s="1"/>
      <c r="YD24" s="1"/>
      <c r="YE24" s="1"/>
      <c r="YF24" s="1"/>
      <c r="YG24" s="1"/>
      <c r="YH24" s="1"/>
      <c r="YI24" s="1"/>
      <c r="YJ24" s="1"/>
      <c r="YK24" s="1"/>
      <c r="YL24" s="1"/>
      <c r="YM24" s="1"/>
      <c r="YN24" s="1"/>
      <c r="YO24" s="1"/>
      <c r="YP24" s="1"/>
      <c r="YQ24" s="1"/>
      <c r="YR24" s="1"/>
      <c r="YS24" s="1"/>
      <c r="YT24" s="1"/>
      <c r="YU24" s="1"/>
      <c r="YV24" s="1"/>
      <c r="YW24" s="1"/>
      <c r="YX24" s="1"/>
      <c r="YY24" s="1"/>
      <c r="YZ24" s="1"/>
      <c r="ZA24" s="1"/>
      <c r="ZB24" s="1"/>
      <c r="ZC24" s="1"/>
      <c r="ZD24" s="1"/>
      <c r="ZE24" s="1"/>
      <c r="ZF24" s="1"/>
      <c r="ZG24" s="1"/>
      <c r="ZH24" s="1"/>
      <c r="ZI24" s="1"/>
      <c r="ZJ24" s="1"/>
      <c r="ZK24" s="1"/>
      <c r="ZL24" s="1"/>
      <c r="ZM24" s="1"/>
      <c r="ZN24" s="1"/>
      <c r="ZO24" s="1"/>
      <c r="ZP24" s="1"/>
      <c r="ZQ24" s="1"/>
      <c r="ZR24" s="1"/>
      <c r="ZS24" s="1"/>
      <c r="ZT24" s="1"/>
      <c r="ZU24" s="1"/>
      <c r="ZV24" s="1"/>
      <c r="ZW24" s="1"/>
      <c r="ZX24" s="1"/>
      <c r="ZY24" s="1"/>
      <c r="ZZ24" s="1"/>
      <c r="AAA24" s="1"/>
      <c r="AAB24" s="1"/>
      <c r="AAC24" s="1"/>
      <c r="AAD24" s="1"/>
      <c r="AAE24" s="1"/>
      <c r="AAF24" s="1"/>
      <c r="AAG24" s="1"/>
      <c r="AAH24" s="1"/>
      <c r="AAI24" s="1"/>
      <c r="AAJ24" s="1"/>
      <c r="AAK24" s="1"/>
      <c r="AAL24" s="1"/>
      <c r="AAM24" s="1"/>
      <c r="AAN24" s="1"/>
      <c r="AAO24" s="1"/>
      <c r="AAP24" s="1"/>
      <c r="AAQ24" s="1"/>
      <c r="AAR24" s="1"/>
      <c r="AAS24" s="1"/>
      <c r="AAT24" s="1"/>
      <c r="AAU24" s="1"/>
      <c r="AAV24" s="1"/>
      <c r="AAW24" s="1"/>
      <c r="AAX24" s="1"/>
      <c r="AAY24" s="1"/>
      <c r="AAZ24" s="1"/>
      <c r="ABA24" s="1"/>
      <c r="ABB24" s="1"/>
      <c r="ABC24" s="1"/>
      <c r="ABD24" s="1"/>
      <c r="ABE24" s="1"/>
      <c r="ABF24" s="1"/>
      <c r="ABG24" s="1"/>
      <c r="ABH24" s="1"/>
      <c r="ABI24" s="1"/>
      <c r="ABJ24" s="1"/>
      <c r="ABK24" s="1"/>
      <c r="ABL24" s="1"/>
      <c r="ABM24" s="1"/>
      <c r="ABN24" s="1"/>
      <c r="ABO24" s="1"/>
      <c r="ABP24" s="1"/>
      <c r="ABQ24" s="1"/>
      <c r="ABR24" s="1"/>
      <c r="ABS24" s="1"/>
      <c r="ABT24" s="1"/>
      <c r="ABU24" s="1"/>
      <c r="ABV24" s="1"/>
      <c r="ABW24" s="1"/>
      <c r="ABX24" s="1"/>
      <c r="ABY24" s="1"/>
      <c r="ABZ24" s="1"/>
      <c r="ACA24" s="1"/>
      <c r="ACB24" s="1"/>
      <c r="ACC24" s="1"/>
      <c r="ACD24" s="1"/>
      <c r="ACE24" s="1"/>
      <c r="ACF24" s="1"/>
      <c r="ACG24" s="1"/>
      <c r="ACH24" s="1"/>
      <c r="ACI24" s="1"/>
      <c r="ACJ24" s="1"/>
      <c r="ACK24" s="1"/>
      <c r="ACL24" s="1"/>
      <c r="ACM24" s="1"/>
      <c r="ACN24" s="1"/>
      <c r="ACO24" s="1"/>
      <c r="ACP24" s="1"/>
      <c r="ACQ24" s="1"/>
      <c r="ACR24" s="1"/>
      <c r="ACS24" s="1"/>
      <c r="ACT24" s="1"/>
      <c r="ACU24" s="1"/>
      <c r="ACV24" s="1"/>
      <c r="ACW24" s="1"/>
      <c r="ACX24" s="1"/>
      <c r="ACY24" s="1"/>
      <c r="ACZ24" s="1"/>
      <c r="ADA24" s="1"/>
      <c r="ADB24" s="1"/>
      <c r="ADC24" s="1"/>
      <c r="ADD24" s="1"/>
      <c r="ADE24" s="1"/>
      <c r="ADF24" s="1"/>
      <c r="ADG24" s="1"/>
      <c r="ADH24" s="1"/>
      <c r="ADI24" s="1"/>
      <c r="ADJ24" s="1"/>
      <c r="ADK24" s="1"/>
      <c r="ADL24" s="1"/>
      <c r="ADM24" s="1"/>
      <c r="ADN24" s="1"/>
      <c r="ADO24" s="1"/>
      <c r="ADP24" s="1"/>
      <c r="ADQ24" s="1"/>
      <c r="ADR24" s="1"/>
      <c r="ADS24" s="1"/>
      <c r="ADT24" s="1"/>
      <c r="ADU24" s="1"/>
      <c r="ADV24" s="1"/>
      <c r="ADW24" s="1"/>
      <c r="ADX24" s="1"/>
      <c r="ADY24" s="1"/>
      <c r="ADZ24" s="1"/>
      <c r="AEA24" s="1"/>
      <c r="AEB24" s="1"/>
      <c r="AEC24" s="1"/>
      <c r="AED24" s="1"/>
      <c r="AEE24" s="1"/>
      <c r="AEF24" s="1"/>
      <c r="AEG24" s="1"/>
      <c r="AEH24" s="1"/>
      <c r="AEI24" s="1"/>
      <c r="AEJ24" s="1"/>
      <c r="AEK24" s="1"/>
      <c r="AEL24" s="1"/>
      <c r="AEM24" s="1"/>
      <c r="AEN24" s="1"/>
      <c r="AEO24" s="1"/>
      <c r="AEP24" s="1"/>
      <c r="AEQ24" s="1"/>
      <c r="AER24" s="1"/>
      <c r="AES24" s="1"/>
      <c r="AET24" s="1"/>
      <c r="AEU24" s="1"/>
      <c r="AEV24" s="1"/>
      <c r="AEW24" s="1"/>
      <c r="AEX24" s="1"/>
      <c r="AEY24" s="1"/>
      <c r="AEZ24" s="1"/>
      <c r="AFA24" s="1"/>
      <c r="AFB24" s="1"/>
      <c r="AFC24" s="1"/>
      <c r="AFD24" s="1"/>
      <c r="AFE24" s="1"/>
      <c r="AFF24" s="1"/>
      <c r="AFG24" s="1"/>
      <c r="AFH24" s="1"/>
      <c r="AFI24" s="1"/>
      <c r="AFJ24" s="1"/>
      <c r="AFK24" s="1"/>
      <c r="AFL24" s="1"/>
      <c r="AFM24" s="1"/>
      <c r="AFN24" s="1"/>
      <c r="AFO24" s="1"/>
      <c r="AFP24" s="1"/>
      <c r="AFQ24" s="1"/>
      <c r="AFR24" s="1"/>
      <c r="AFS24" s="1"/>
      <c r="AFT24" s="1"/>
      <c r="AFU24" s="1"/>
      <c r="AFV24" s="1"/>
      <c r="AFW24" s="1"/>
      <c r="AFX24" s="1"/>
      <c r="AFY24" s="1"/>
      <c r="AFZ24" s="1"/>
      <c r="AGA24" s="1"/>
      <c r="AGB24" s="1"/>
      <c r="AGC24" s="1"/>
      <c r="AGD24" s="1"/>
      <c r="AGE24" s="1"/>
      <c r="AGF24" s="1"/>
      <c r="AGG24" s="1"/>
      <c r="AGH24" s="1"/>
      <c r="AGI24" s="1"/>
      <c r="AGJ24" s="1"/>
      <c r="AGK24" s="1"/>
      <c r="AGL24" s="1"/>
      <c r="AGM24" s="1"/>
      <c r="AGN24" s="1"/>
      <c r="AGO24" s="1"/>
      <c r="AGP24" s="1"/>
      <c r="AGQ24" s="1"/>
      <c r="AGR24" s="1"/>
      <c r="AGS24" s="1"/>
      <c r="AGT24" s="1"/>
      <c r="AGU24" s="1"/>
      <c r="AGV24" s="1"/>
      <c r="AGW24" s="1"/>
      <c r="AGX24" s="1"/>
      <c r="AGY24" s="1"/>
      <c r="AGZ24" s="1"/>
      <c r="AHA24" s="1"/>
      <c r="AHB24" s="1"/>
      <c r="AHC24" s="1"/>
      <c r="AHD24" s="1"/>
      <c r="AHE24" s="1"/>
      <c r="AHF24" s="1"/>
      <c r="AHG24" s="1"/>
      <c r="AHH24" s="1"/>
      <c r="AHI24" s="1"/>
      <c r="AHJ24" s="1"/>
      <c r="AHK24" s="1"/>
      <c r="AHL24" s="1"/>
      <c r="AHM24" s="1"/>
      <c r="AHN24" s="1"/>
      <c r="AHO24" s="1"/>
      <c r="AHP24" s="1"/>
      <c r="AHQ24" s="1"/>
      <c r="AHR24" s="1"/>
      <c r="AHS24" s="1"/>
      <c r="AHT24" s="1"/>
      <c r="AHU24" s="1"/>
      <c r="AHV24" s="1"/>
      <c r="AHW24" s="1"/>
      <c r="AHX24" s="1"/>
      <c r="AHY24" s="1"/>
      <c r="AHZ24" s="1"/>
      <c r="AIA24" s="1"/>
      <c r="AIB24" s="1"/>
      <c r="AIC24" s="1"/>
      <c r="AID24" s="1"/>
      <c r="AIE24" s="1"/>
      <c r="AIF24" s="1"/>
      <c r="AIG24" s="1"/>
      <c r="AIH24" s="1"/>
      <c r="AII24" s="1"/>
      <c r="AIJ24" s="1"/>
      <c r="AIK24" s="1"/>
      <c r="AIL24" s="1"/>
      <c r="AIM24" s="1"/>
      <c r="AIN24" s="1"/>
      <c r="AIO24" s="1"/>
      <c r="AIP24" s="1"/>
      <c r="AIQ24" s="1"/>
      <c r="AIR24" s="1"/>
      <c r="AIS24" s="1"/>
      <c r="AIT24" s="1"/>
      <c r="AIU24" s="1"/>
      <c r="AIV24" s="1"/>
      <c r="AIW24" s="1"/>
      <c r="AIX24" s="1"/>
      <c r="AIY24" s="1"/>
      <c r="AIZ24" s="1"/>
      <c r="AJA24" s="1"/>
      <c r="AJB24" s="1"/>
      <c r="AJC24" s="1"/>
      <c r="AJD24" s="1"/>
      <c r="AJE24" s="1"/>
      <c r="AJF24" s="1"/>
      <c r="AJG24" s="1"/>
      <c r="AJH24" s="1"/>
      <c r="AJI24" s="1"/>
      <c r="AJJ24" s="1"/>
      <c r="AJK24" s="1"/>
      <c r="AJL24" s="1"/>
      <c r="AJM24" s="1"/>
      <c r="AJN24" s="1"/>
      <c r="AJO24" s="1"/>
      <c r="AJP24" s="1"/>
      <c r="AJQ24" s="1"/>
      <c r="AJR24" s="1"/>
      <c r="AJS24" s="1"/>
      <c r="AJT24" s="1"/>
      <c r="AJU24" s="1"/>
      <c r="AJV24" s="1"/>
      <c r="AJW24" s="1"/>
      <c r="AJX24" s="1"/>
      <c r="AJY24" s="1"/>
      <c r="AJZ24" s="1"/>
      <c r="AKA24" s="1"/>
      <c r="AKB24" s="1"/>
      <c r="AKC24" s="1"/>
      <c r="AKD24" s="1"/>
      <c r="AKE24" s="1"/>
      <c r="AKF24" s="1"/>
      <c r="AKG24" s="1"/>
      <c r="AKH24" s="1"/>
      <c r="AKI24" s="1"/>
      <c r="AKJ24" s="1"/>
      <c r="AKK24" s="1"/>
      <c r="AKL24" s="1"/>
      <c r="AKM24" s="1"/>
      <c r="AKN24" s="1"/>
      <c r="AKO24" s="1"/>
      <c r="AKP24" s="1"/>
      <c r="AKQ24" s="1"/>
      <c r="AKR24" s="1"/>
      <c r="AKS24" s="1"/>
      <c r="AKT24" s="1"/>
      <c r="AKU24" s="1"/>
      <c r="AKV24" s="1"/>
      <c r="AKW24" s="1"/>
      <c r="AKX24" s="1"/>
      <c r="AKY24" s="1"/>
      <c r="AKZ24" s="1"/>
      <c r="ALA24" s="1"/>
      <c r="ALB24" s="1"/>
      <c r="ALC24" s="1"/>
      <c r="ALD24" s="1"/>
      <c r="ALE24" s="1"/>
      <c r="ALF24" s="1"/>
      <c r="ALG24" s="1"/>
      <c r="ALH24" s="1"/>
      <c r="ALI24" s="1"/>
      <c r="ALJ24" s="1"/>
      <c r="ALK24" s="1"/>
      <c r="ALL24" s="1"/>
      <c r="ALM24" s="1"/>
      <c r="ALN24" s="1"/>
      <c r="ALO24" s="1"/>
      <c r="ALP24" s="1"/>
      <c r="ALQ24" s="1"/>
      <c r="ALR24" s="1"/>
      <c r="ALS24" s="1"/>
      <c r="ALT24" s="1"/>
      <c r="ALU24" s="1"/>
      <c r="ALV24" s="1"/>
      <c r="ALW24" s="1"/>
      <c r="ALX24" s="1"/>
      <c r="ALY24" s="1"/>
      <c r="ALZ24" s="1"/>
      <c r="AMA24" s="1"/>
      <c r="AMB24" s="1"/>
      <c r="AMC24" s="1"/>
      <c r="AMD24" s="1"/>
      <c r="AME24" s="1"/>
      <c r="AMF24" s="1"/>
      <c r="AMG24" s="1"/>
      <c r="AMH24" s="1"/>
      <c r="AMI24" s="1"/>
      <c r="AMJ24" s="1"/>
      <c r="AMK24" s="1"/>
      <c r="AML24" s="1"/>
      <c r="AMM24" s="1"/>
      <c r="AMN24" s="1"/>
    </row>
    <row r="25" spans="1:1029" x14ac:dyDescent="0.2">
      <c r="A25" s="3" t="str">
        <f t="shared" si="0"/>
        <v>aa2ar_human_5IU7</v>
      </c>
      <c r="B25" s="3" t="s">
        <v>139</v>
      </c>
      <c r="C25" s="3" t="s">
        <v>1352</v>
      </c>
      <c r="D25" s="3" t="str">
        <f>IFERROR(MID(VLOOKUP($B25,Seqs!$A:$B,2,0),E25,1),"")</f>
        <v>P</v>
      </c>
      <c r="E25" s="3">
        <v>2</v>
      </c>
      <c r="F25" s="3" t="str">
        <f>IFERROR(MID(VLOOKUP($B25,Seqs!$A:$B,2,0),G25,1),"")</f>
        <v>N</v>
      </c>
      <c r="G25" s="3">
        <v>34</v>
      </c>
      <c r="H25" s="3" t="str">
        <f>IFERROR(MID(VLOOKUP($B25,Seqs!$A:$B,2,0),I25,1),"")</f>
        <v>S</v>
      </c>
      <c r="I25" s="23">
        <v>35</v>
      </c>
      <c r="J25" s="3" t="str">
        <f>IFERROR(MID(VLOOKUP($B25,Seqs!$A:$B,2,0),K25,1),"")</f>
        <v>Q</v>
      </c>
      <c r="K25" s="23">
        <v>38</v>
      </c>
      <c r="L25" s="3" t="str">
        <f>IFERROR(MID(VLOOKUP($B25,Seqs!$A:$B,2,0),M25,1),"")</f>
        <v>N</v>
      </c>
      <c r="M25" s="3">
        <v>39</v>
      </c>
      <c r="N25" s="3" t="str">
        <f>IFERROR(MID(VLOOKUP($B25,Seqs!$A:$B,2,0),O25,1),"")</f>
        <v>G</v>
      </c>
      <c r="O25" s="3">
        <v>69</v>
      </c>
      <c r="P25" s="3" t="str">
        <f>IFERROR(MID(VLOOKUP($B25,Seqs!$A:$B,2,0),Q25,1),"")</f>
        <v>F</v>
      </c>
      <c r="Q25" s="3">
        <v>70</v>
      </c>
      <c r="R25" s="3" t="str">
        <f>IFERROR(MID(VLOOKUP($B25,Seqs!$A:$B,2,0),S25,1),"")</f>
        <v>A</v>
      </c>
      <c r="S25" s="3">
        <v>72</v>
      </c>
      <c r="T25" s="3" t="str">
        <f>IFERROR(MID(VLOOKUP($B25,Seqs!$A:$B,2,0),U25,1),"")</f>
        <v>A</v>
      </c>
      <c r="U25" s="3">
        <v>73</v>
      </c>
      <c r="V25" s="3" t="str">
        <f>IFERROR(MID(VLOOKUP($B25,Seqs!$A:$B,2,0),W25,1),"")</f>
        <v>I</v>
      </c>
      <c r="W25" s="3">
        <v>108</v>
      </c>
      <c r="X25" s="3" t="str">
        <f>IFERROR(MID(VLOOKUP($B25,Seqs!$A:$B,2,0),Y25,1),"")</f>
        <v>P</v>
      </c>
      <c r="Y25" s="3">
        <v>109</v>
      </c>
      <c r="Z25" s="3" t="str">
        <f>IFERROR(MID(VLOOKUP($B25,Seqs!$A:$B,2,0),AA25,1),"")</f>
        <v>V</v>
      </c>
      <c r="AA25" s="3">
        <v>116</v>
      </c>
      <c r="AB25" s="3" t="str">
        <f>IFERROR(MID(VLOOKUP($B25,Seqs!$A:$B,2,0),AC25,1),"")</f>
        <v>T</v>
      </c>
      <c r="AC25" s="9">
        <v>117</v>
      </c>
      <c r="AD25" s="3" t="str">
        <f>IFERROR(MID(VLOOKUP($B25,Seqs!$A:$B,2,0),AE25,1),"")</f>
        <v>G</v>
      </c>
      <c r="AE25" s="3">
        <v>142</v>
      </c>
      <c r="AF25" s="3" t="str">
        <f>IFERROR(MID(VLOOKUP($B25,Seqs!$A:$B,2,0),AG25,1),"")</f>
        <v>C</v>
      </c>
      <c r="AG25" s="3">
        <v>166</v>
      </c>
      <c r="AH25" s="3" t="str">
        <f>IFERROR(MID(VLOOKUP($B25,Seqs!$A:$B,2,0),AI25,1),"")</f>
        <v>F</v>
      </c>
      <c r="AI25" s="3">
        <v>168</v>
      </c>
      <c r="AJ25" s="3" t="str">
        <f>IFERROR(MID(VLOOKUP($B25,Seqs!$A:$B,2,0),AK25,1),"")</f>
        <v>P</v>
      </c>
      <c r="AK25" s="3">
        <v>173</v>
      </c>
      <c r="AL25" s="3" t="str">
        <f>IFERROR(MID(VLOOKUP($B25,Seqs!$A:$B,2,0),AM25,1),"")</f>
        <v>L</v>
      </c>
      <c r="AM25" s="3">
        <v>208</v>
      </c>
      <c r="AN25" s="3" t="str">
        <f>IFERROR(MID(VLOOKUP($B25,Seqs!$A:$B,2,0),AO25,1),"")</f>
        <v>E</v>
      </c>
      <c r="AO25" s="3">
        <v>219</v>
      </c>
      <c r="AP25" s="3" t="str">
        <f>IFERROR(MID(VLOOKUP($B25,Seqs!$A:$B,2,0),AQ25,1),"")</f>
        <v>C</v>
      </c>
      <c r="AQ25" s="3">
        <v>259</v>
      </c>
      <c r="AR25" s="3" t="str">
        <f>IFERROR(MID(VLOOKUP($B25,Seqs!$A:$B,2,0),AS25,1),"")</f>
        <v>P</v>
      </c>
      <c r="AS25" s="3">
        <v>266</v>
      </c>
      <c r="AT25" s="3" t="str">
        <f>IFERROR(MID(VLOOKUP($B25,Seqs!$A:$B,2,0),AU25,1),"")</f>
        <v>R</v>
      </c>
      <c r="AU25" s="3">
        <v>291</v>
      </c>
      <c r="AV25" s="3" t="str">
        <f>IFERROR(MID(VLOOKUP($B25,Seqs!$A:$B,2,0),AW25,1),"")</f>
        <v>I</v>
      </c>
      <c r="AW25" s="3">
        <v>292</v>
      </c>
      <c r="AX25" s="3" t="str">
        <f>IFERROR(MID(VLOOKUP($B25,Seqs!$A:$B,2,0),AY25,1),"")</f>
        <v>V</v>
      </c>
      <c r="AY25" s="3">
        <v>307</v>
      </c>
      <c r="AZ25" s="79" t="str">
        <f>VLOOKUP(B25,Classification!A:D,2,0)</f>
        <v>A</v>
      </c>
      <c r="BA25" s="97" t="str">
        <f>VLOOKUP(B25,Classification!A:D,4,0)</f>
        <v>Adenosine</v>
      </c>
      <c r="BB25" s="27" t="b">
        <f t="shared" si="1"/>
        <v>1</v>
      </c>
      <c r="BC25" s="23">
        <f t="shared" si="84"/>
        <v>263</v>
      </c>
      <c r="BD25" s="4" t="s">
        <v>23</v>
      </c>
      <c r="BE25" s="3" t="s">
        <v>1381</v>
      </c>
      <c r="BF25" s="50" t="s">
        <v>1384</v>
      </c>
      <c r="BG25" s="50" t="s">
        <v>1384</v>
      </c>
      <c r="BH25" s="1"/>
      <c r="BI25" s="72" t="s">
        <v>1293</v>
      </c>
      <c r="BJ25" s="58" t="s">
        <v>1293</v>
      </c>
      <c r="BK25" s="58" t="s">
        <v>1293</v>
      </c>
      <c r="BL25" s="58" t="s">
        <v>1293</v>
      </c>
      <c r="BM25" s="58" t="s">
        <v>1293</v>
      </c>
      <c r="BN25" s="58" t="s">
        <v>1293</v>
      </c>
      <c r="BO25" s="58" t="s">
        <v>1293</v>
      </c>
      <c r="BP25" s="58" t="s">
        <v>1293</v>
      </c>
      <c r="BQ25" s="58" t="s">
        <v>1293</v>
      </c>
      <c r="BR25" s="58" t="s">
        <v>1293</v>
      </c>
      <c r="BS25" s="58" t="s">
        <v>1293</v>
      </c>
      <c r="BT25" s="58" t="s">
        <v>1293</v>
      </c>
      <c r="BU25" s="72">
        <f t="shared" si="85"/>
        <v>2</v>
      </c>
      <c r="BV25" s="73">
        <f t="shared" si="86"/>
        <v>35</v>
      </c>
      <c r="BW25" s="74">
        <f t="shared" si="87"/>
        <v>39</v>
      </c>
      <c r="BX25" s="73">
        <f t="shared" si="88"/>
        <v>70</v>
      </c>
      <c r="BY25" s="74">
        <f t="shared" si="89"/>
        <v>73</v>
      </c>
      <c r="BZ25" s="73">
        <f t="shared" si="90"/>
        <v>109</v>
      </c>
      <c r="CA25" s="74">
        <f t="shared" si="91"/>
        <v>117</v>
      </c>
      <c r="CB25" s="73">
        <f t="shared" si="92"/>
        <v>166</v>
      </c>
      <c r="CC25" s="74">
        <f t="shared" si="93"/>
        <v>173</v>
      </c>
      <c r="CD25" s="73">
        <f t="shared" si="94"/>
        <v>219</v>
      </c>
      <c r="CE25" s="74">
        <f t="shared" si="95"/>
        <v>266</v>
      </c>
      <c r="CF25" s="73">
        <f t="shared" si="96"/>
        <v>292</v>
      </c>
      <c r="CG25" s="72">
        <f t="shared" si="97"/>
        <v>34</v>
      </c>
      <c r="CH25" s="73">
        <f t="shared" si="98"/>
        <v>38</v>
      </c>
      <c r="CI25" s="74">
        <f t="shared" si="99"/>
        <v>69</v>
      </c>
      <c r="CJ25" s="74">
        <f t="shared" si="100"/>
        <v>72</v>
      </c>
      <c r="CK25" s="74">
        <f t="shared" si="101"/>
        <v>108</v>
      </c>
      <c r="CL25" s="74">
        <f t="shared" si="102"/>
        <v>116</v>
      </c>
      <c r="CM25" s="74">
        <f t="shared" si="103"/>
        <v>142</v>
      </c>
      <c r="CN25" s="74">
        <f t="shared" si="104"/>
        <v>168</v>
      </c>
      <c r="CO25" s="74">
        <f t="shared" si="105"/>
        <v>208</v>
      </c>
      <c r="CP25" s="74">
        <f t="shared" si="106"/>
        <v>259</v>
      </c>
      <c r="CQ25" s="74">
        <f t="shared" si="107"/>
        <v>291</v>
      </c>
      <c r="CR25" s="74">
        <f t="shared" si="108"/>
        <v>307</v>
      </c>
      <c r="CS25" s="23">
        <f t="shared" si="109"/>
        <v>1</v>
      </c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  <c r="OK25" s="1"/>
      <c r="OL25" s="1"/>
      <c r="OM25" s="1"/>
      <c r="ON25" s="1"/>
      <c r="OO25" s="1"/>
      <c r="OP25" s="1"/>
      <c r="OQ25" s="1"/>
      <c r="OR25" s="1"/>
      <c r="OS25" s="1"/>
      <c r="OT25" s="1"/>
      <c r="OU25" s="1"/>
      <c r="OV25" s="1"/>
      <c r="OW25" s="1"/>
      <c r="OX25" s="1"/>
      <c r="OY25" s="1"/>
      <c r="OZ25" s="1"/>
      <c r="PA25" s="1"/>
      <c r="PB25" s="1"/>
      <c r="PC25" s="1"/>
      <c r="PD25" s="1"/>
      <c r="PE25" s="1"/>
      <c r="PF25" s="1"/>
      <c r="PG25" s="1"/>
      <c r="PH25" s="1"/>
      <c r="PI25" s="1"/>
      <c r="PJ25" s="1"/>
      <c r="PK25" s="1"/>
      <c r="PL25" s="1"/>
      <c r="PM25" s="1"/>
      <c r="PN25" s="1"/>
      <c r="PO25" s="1"/>
      <c r="PP25" s="1"/>
      <c r="PQ25" s="1"/>
      <c r="PR25" s="1"/>
      <c r="PS25" s="1"/>
      <c r="PT25" s="1"/>
      <c r="PU25" s="1"/>
      <c r="PV25" s="1"/>
      <c r="PW25" s="1"/>
      <c r="PX25" s="1"/>
      <c r="PY25" s="1"/>
      <c r="PZ25" s="1"/>
      <c r="QA25" s="1"/>
      <c r="QB25" s="1"/>
      <c r="QC25" s="1"/>
      <c r="QD25" s="1"/>
      <c r="QE25" s="1"/>
      <c r="QF25" s="1"/>
      <c r="QG25" s="1"/>
      <c r="QH25" s="1"/>
      <c r="QI25" s="1"/>
      <c r="QJ25" s="1"/>
      <c r="QK25" s="1"/>
      <c r="QL25" s="1"/>
      <c r="QM25" s="1"/>
      <c r="QN25" s="1"/>
      <c r="QO25" s="1"/>
      <c r="QP25" s="1"/>
      <c r="QQ25" s="1"/>
      <c r="QR25" s="1"/>
      <c r="QS25" s="1"/>
      <c r="QT25" s="1"/>
      <c r="QU25" s="1"/>
      <c r="QV25" s="1"/>
      <c r="QW25" s="1"/>
      <c r="QX25" s="1"/>
      <c r="QY25" s="1"/>
      <c r="QZ25" s="1"/>
      <c r="RA25" s="1"/>
      <c r="RB25" s="1"/>
      <c r="RC25" s="1"/>
      <c r="RD25" s="1"/>
      <c r="RE25" s="1"/>
      <c r="RF25" s="1"/>
      <c r="RG25" s="1"/>
      <c r="RH25" s="1"/>
      <c r="RI25" s="1"/>
      <c r="RJ25" s="1"/>
      <c r="RK25" s="1"/>
      <c r="RL25" s="1"/>
      <c r="RM25" s="1"/>
      <c r="RN25" s="1"/>
      <c r="RO25" s="1"/>
      <c r="RP25" s="1"/>
      <c r="RQ25" s="1"/>
      <c r="RR25" s="1"/>
      <c r="RS25" s="1"/>
      <c r="RT25" s="1"/>
      <c r="RU25" s="1"/>
      <c r="RV25" s="1"/>
      <c r="RW25" s="1"/>
      <c r="RX25" s="1"/>
      <c r="RY25" s="1"/>
      <c r="RZ25" s="1"/>
      <c r="SA25" s="1"/>
      <c r="SB25" s="1"/>
      <c r="SC25" s="1"/>
      <c r="SD25" s="1"/>
      <c r="SE25" s="1"/>
      <c r="SF25" s="1"/>
      <c r="SG25" s="1"/>
      <c r="SH25" s="1"/>
      <c r="SI25" s="1"/>
      <c r="SJ25" s="1"/>
      <c r="SK25" s="1"/>
      <c r="SL25" s="1"/>
      <c r="SM25" s="1"/>
      <c r="SN25" s="1"/>
      <c r="SO25" s="1"/>
      <c r="SP25" s="1"/>
      <c r="SQ25" s="1"/>
      <c r="SR25" s="1"/>
      <c r="SS25" s="1"/>
      <c r="ST25" s="1"/>
      <c r="SU25" s="1"/>
      <c r="SV25" s="1"/>
      <c r="SW25" s="1"/>
      <c r="SX25" s="1"/>
      <c r="SY25" s="1"/>
      <c r="SZ25" s="1"/>
      <c r="TA25" s="1"/>
      <c r="TB25" s="1"/>
      <c r="TC25" s="1"/>
      <c r="TD25" s="1"/>
      <c r="TE25" s="1"/>
      <c r="TF25" s="1"/>
      <c r="TG25" s="1"/>
      <c r="TH25" s="1"/>
      <c r="TI25" s="1"/>
      <c r="TJ25" s="1"/>
      <c r="TK25" s="1"/>
      <c r="TL25" s="1"/>
      <c r="TM25" s="1"/>
      <c r="TN25" s="1"/>
      <c r="TO25" s="1"/>
      <c r="TP25" s="1"/>
      <c r="TQ25" s="1"/>
      <c r="TR25" s="1"/>
      <c r="TS25" s="1"/>
      <c r="TT25" s="1"/>
      <c r="TU25" s="1"/>
      <c r="TV25" s="1"/>
      <c r="TW25" s="1"/>
      <c r="TX25" s="1"/>
      <c r="TY25" s="1"/>
      <c r="TZ25" s="1"/>
      <c r="UA25" s="1"/>
      <c r="UB25" s="1"/>
      <c r="UC25" s="1"/>
      <c r="UD25" s="1"/>
      <c r="UE25" s="1"/>
      <c r="UF25" s="1"/>
      <c r="UG25" s="1"/>
      <c r="UH25" s="1"/>
      <c r="UI25" s="1"/>
      <c r="UJ25" s="1"/>
      <c r="UK25" s="1"/>
      <c r="UL25" s="1"/>
      <c r="UM25" s="1"/>
      <c r="UN25" s="1"/>
      <c r="UO25" s="1"/>
      <c r="UP25" s="1"/>
      <c r="UQ25" s="1"/>
      <c r="UR25" s="1"/>
      <c r="US25" s="1"/>
      <c r="UT25" s="1"/>
      <c r="UU25" s="1"/>
      <c r="UV25" s="1"/>
      <c r="UW25" s="1"/>
      <c r="UX25" s="1"/>
      <c r="UY25" s="1"/>
      <c r="UZ25" s="1"/>
      <c r="VA25" s="1"/>
      <c r="VB25" s="1"/>
      <c r="VC25" s="1"/>
      <c r="VD25" s="1"/>
      <c r="VE25" s="1"/>
      <c r="VF25" s="1"/>
      <c r="VG25" s="1"/>
      <c r="VH25" s="1"/>
      <c r="VI25" s="1"/>
      <c r="VJ25" s="1"/>
      <c r="VK25" s="1"/>
      <c r="VL25" s="1"/>
      <c r="VM25" s="1"/>
      <c r="VN25" s="1"/>
      <c r="VO25" s="1"/>
      <c r="VP25" s="1"/>
      <c r="VQ25" s="1"/>
      <c r="VR25" s="1"/>
      <c r="VS25" s="1"/>
      <c r="VT25" s="1"/>
      <c r="VU25" s="1"/>
      <c r="VV25" s="1"/>
      <c r="VW25" s="1"/>
      <c r="VX25" s="1"/>
      <c r="VY25" s="1"/>
      <c r="VZ25" s="1"/>
      <c r="WA25" s="1"/>
      <c r="WB25" s="1"/>
      <c r="WC25" s="1"/>
      <c r="WD25" s="1"/>
      <c r="WE25" s="1"/>
      <c r="WF25" s="1"/>
      <c r="WG25" s="1"/>
      <c r="WH25" s="1"/>
      <c r="WI25" s="1"/>
      <c r="WJ25" s="1"/>
      <c r="WK25" s="1"/>
      <c r="WL25" s="1"/>
      <c r="WM25" s="1"/>
      <c r="WN25" s="1"/>
      <c r="WO25" s="1"/>
      <c r="WP25" s="1"/>
      <c r="WQ25" s="1"/>
      <c r="WR25" s="1"/>
      <c r="WS25" s="1"/>
      <c r="WT25" s="1"/>
      <c r="WU25" s="1"/>
      <c r="WV25" s="1"/>
      <c r="WW25" s="1"/>
      <c r="WX25" s="1"/>
      <c r="WY25" s="1"/>
      <c r="WZ25" s="1"/>
      <c r="XA25" s="1"/>
      <c r="XB25" s="1"/>
      <c r="XC25" s="1"/>
      <c r="XD25" s="1"/>
      <c r="XE25" s="1"/>
      <c r="XF25" s="1"/>
      <c r="XG25" s="1"/>
      <c r="XH25" s="1"/>
      <c r="XI25" s="1"/>
      <c r="XJ25" s="1"/>
      <c r="XK25" s="1"/>
      <c r="XL25" s="1"/>
      <c r="XM25" s="1"/>
      <c r="XN25" s="1"/>
      <c r="XO25" s="1"/>
      <c r="XP25" s="1"/>
      <c r="XQ25" s="1"/>
      <c r="XR25" s="1"/>
      <c r="XS25" s="1"/>
      <c r="XT25" s="1"/>
      <c r="XU25" s="1"/>
      <c r="XV25" s="1"/>
      <c r="XW25" s="1"/>
      <c r="XX25" s="1"/>
      <c r="XY25" s="1"/>
      <c r="XZ25" s="1"/>
      <c r="YA25" s="1"/>
      <c r="YB25" s="1"/>
      <c r="YC25" s="1"/>
      <c r="YD25" s="1"/>
      <c r="YE25" s="1"/>
      <c r="YF25" s="1"/>
      <c r="YG25" s="1"/>
      <c r="YH25" s="1"/>
      <c r="YI25" s="1"/>
      <c r="YJ25" s="1"/>
      <c r="YK25" s="1"/>
      <c r="YL25" s="1"/>
      <c r="YM25" s="1"/>
      <c r="YN25" s="1"/>
      <c r="YO25" s="1"/>
      <c r="YP25" s="1"/>
      <c r="YQ25" s="1"/>
      <c r="YR25" s="1"/>
      <c r="YS25" s="1"/>
      <c r="YT25" s="1"/>
      <c r="YU25" s="1"/>
      <c r="YV25" s="1"/>
      <c r="YW25" s="1"/>
      <c r="YX25" s="1"/>
      <c r="YY25" s="1"/>
      <c r="YZ25" s="1"/>
      <c r="ZA25" s="1"/>
      <c r="ZB25" s="1"/>
      <c r="ZC25" s="1"/>
      <c r="ZD25" s="1"/>
      <c r="ZE25" s="1"/>
      <c r="ZF25" s="1"/>
      <c r="ZG25" s="1"/>
      <c r="ZH25" s="1"/>
      <c r="ZI25" s="1"/>
      <c r="ZJ25" s="1"/>
      <c r="ZK25" s="1"/>
      <c r="ZL25" s="1"/>
      <c r="ZM25" s="1"/>
      <c r="ZN25" s="1"/>
      <c r="ZO25" s="1"/>
      <c r="ZP25" s="1"/>
      <c r="ZQ25" s="1"/>
      <c r="ZR25" s="1"/>
      <c r="ZS25" s="1"/>
      <c r="ZT25" s="1"/>
      <c r="ZU25" s="1"/>
      <c r="ZV25" s="1"/>
      <c r="ZW25" s="1"/>
      <c r="ZX25" s="1"/>
      <c r="ZY25" s="1"/>
      <c r="ZZ25" s="1"/>
      <c r="AAA25" s="1"/>
      <c r="AAB25" s="1"/>
      <c r="AAC25" s="1"/>
      <c r="AAD25" s="1"/>
      <c r="AAE25" s="1"/>
      <c r="AAF25" s="1"/>
      <c r="AAG25" s="1"/>
      <c r="AAH25" s="1"/>
      <c r="AAI25" s="1"/>
      <c r="AAJ25" s="1"/>
      <c r="AAK25" s="1"/>
      <c r="AAL25" s="1"/>
      <c r="AAM25" s="1"/>
      <c r="AAN25" s="1"/>
      <c r="AAO25" s="1"/>
      <c r="AAP25" s="1"/>
      <c r="AAQ25" s="1"/>
      <c r="AAR25" s="1"/>
      <c r="AAS25" s="1"/>
      <c r="AAT25" s="1"/>
      <c r="AAU25" s="1"/>
      <c r="AAV25" s="1"/>
      <c r="AAW25" s="1"/>
      <c r="AAX25" s="1"/>
      <c r="AAY25" s="1"/>
      <c r="AAZ25" s="1"/>
      <c r="ABA25" s="1"/>
      <c r="ABB25" s="1"/>
      <c r="ABC25" s="1"/>
      <c r="ABD25" s="1"/>
      <c r="ABE25" s="1"/>
      <c r="ABF25" s="1"/>
      <c r="ABG25" s="1"/>
      <c r="ABH25" s="1"/>
      <c r="ABI25" s="1"/>
      <c r="ABJ25" s="1"/>
      <c r="ABK25" s="1"/>
      <c r="ABL25" s="1"/>
      <c r="ABM25" s="1"/>
      <c r="ABN25" s="1"/>
      <c r="ABO25" s="1"/>
      <c r="ABP25" s="1"/>
      <c r="ABQ25" s="1"/>
      <c r="ABR25" s="1"/>
      <c r="ABS25" s="1"/>
      <c r="ABT25" s="1"/>
      <c r="ABU25" s="1"/>
      <c r="ABV25" s="1"/>
      <c r="ABW25" s="1"/>
      <c r="ABX25" s="1"/>
      <c r="ABY25" s="1"/>
      <c r="ABZ25" s="1"/>
      <c r="ACA25" s="1"/>
      <c r="ACB25" s="1"/>
      <c r="ACC25" s="1"/>
      <c r="ACD25" s="1"/>
      <c r="ACE25" s="1"/>
      <c r="ACF25" s="1"/>
      <c r="ACG25" s="1"/>
      <c r="ACH25" s="1"/>
      <c r="ACI25" s="1"/>
      <c r="ACJ25" s="1"/>
      <c r="ACK25" s="1"/>
      <c r="ACL25" s="1"/>
      <c r="ACM25" s="1"/>
      <c r="ACN25" s="1"/>
      <c r="ACO25" s="1"/>
      <c r="ACP25" s="1"/>
      <c r="ACQ25" s="1"/>
      <c r="ACR25" s="1"/>
      <c r="ACS25" s="1"/>
      <c r="ACT25" s="1"/>
      <c r="ACU25" s="1"/>
      <c r="ACV25" s="1"/>
      <c r="ACW25" s="1"/>
      <c r="ACX25" s="1"/>
      <c r="ACY25" s="1"/>
      <c r="ACZ25" s="1"/>
      <c r="ADA25" s="1"/>
      <c r="ADB25" s="1"/>
      <c r="ADC25" s="1"/>
      <c r="ADD25" s="1"/>
      <c r="ADE25" s="1"/>
      <c r="ADF25" s="1"/>
      <c r="ADG25" s="1"/>
      <c r="ADH25" s="1"/>
      <c r="ADI25" s="1"/>
      <c r="ADJ25" s="1"/>
      <c r="ADK25" s="1"/>
      <c r="ADL25" s="1"/>
      <c r="ADM25" s="1"/>
      <c r="ADN25" s="1"/>
      <c r="ADO25" s="1"/>
      <c r="ADP25" s="1"/>
      <c r="ADQ25" s="1"/>
      <c r="ADR25" s="1"/>
      <c r="ADS25" s="1"/>
      <c r="ADT25" s="1"/>
      <c r="ADU25" s="1"/>
      <c r="ADV25" s="1"/>
      <c r="ADW25" s="1"/>
      <c r="ADX25" s="1"/>
      <c r="ADY25" s="1"/>
      <c r="ADZ25" s="1"/>
      <c r="AEA25" s="1"/>
      <c r="AEB25" s="1"/>
      <c r="AEC25" s="1"/>
      <c r="AED25" s="1"/>
      <c r="AEE25" s="1"/>
      <c r="AEF25" s="1"/>
      <c r="AEG25" s="1"/>
      <c r="AEH25" s="1"/>
      <c r="AEI25" s="1"/>
      <c r="AEJ25" s="1"/>
      <c r="AEK25" s="1"/>
      <c r="AEL25" s="1"/>
      <c r="AEM25" s="1"/>
      <c r="AEN25" s="1"/>
      <c r="AEO25" s="1"/>
      <c r="AEP25" s="1"/>
      <c r="AEQ25" s="1"/>
      <c r="AER25" s="1"/>
      <c r="AES25" s="1"/>
      <c r="AET25" s="1"/>
      <c r="AEU25" s="1"/>
      <c r="AEV25" s="1"/>
      <c r="AEW25" s="1"/>
      <c r="AEX25" s="1"/>
      <c r="AEY25" s="1"/>
      <c r="AEZ25" s="1"/>
      <c r="AFA25" s="1"/>
      <c r="AFB25" s="1"/>
      <c r="AFC25" s="1"/>
      <c r="AFD25" s="1"/>
      <c r="AFE25" s="1"/>
      <c r="AFF25" s="1"/>
      <c r="AFG25" s="1"/>
      <c r="AFH25" s="1"/>
      <c r="AFI25" s="1"/>
      <c r="AFJ25" s="1"/>
      <c r="AFK25" s="1"/>
      <c r="AFL25" s="1"/>
      <c r="AFM25" s="1"/>
      <c r="AFN25" s="1"/>
      <c r="AFO25" s="1"/>
      <c r="AFP25" s="1"/>
      <c r="AFQ25" s="1"/>
      <c r="AFR25" s="1"/>
      <c r="AFS25" s="1"/>
      <c r="AFT25" s="1"/>
      <c r="AFU25" s="1"/>
      <c r="AFV25" s="1"/>
      <c r="AFW25" s="1"/>
      <c r="AFX25" s="1"/>
      <c r="AFY25" s="1"/>
      <c r="AFZ25" s="1"/>
      <c r="AGA25" s="1"/>
      <c r="AGB25" s="1"/>
      <c r="AGC25" s="1"/>
      <c r="AGD25" s="1"/>
      <c r="AGE25" s="1"/>
      <c r="AGF25" s="1"/>
      <c r="AGG25" s="1"/>
      <c r="AGH25" s="1"/>
      <c r="AGI25" s="1"/>
      <c r="AGJ25" s="1"/>
      <c r="AGK25" s="1"/>
      <c r="AGL25" s="1"/>
      <c r="AGM25" s="1"/>
      <c r="AGN25" s="1"/>
      <c r="AGO25" s="1"/>
      <c r="AGP25" s="1"/>
      <c r="AGQ25" s="1"/>
      <c r="AGR25" s="1"/>
      <c r="AGS25" s="1"/>
      <c r="AGT25" s="1"/>
      <c r="AGU25" s="1"/>
      <c r="AGV25" s="1"/>
      <c r="AGW25" s="1"/>
      <c r="AGX25" s="1"/>
      <c r="AGY25" s="1"/>
      <c r="AGZ25" s="1"/>
      <c r="AHA25" s="1"/>
      <c r="AHB25" s="1"/>
      <c r="AHC25" s="1"/>
      <c r="AHD25" s="1"/>
      <c r="AHE25" s="1"/>
      <c r="AHF25" s="1"/>
      <c r="AHG25" s="1"/>
      <c r="AHH25" s="1"/>
      <c r="AHI25" s="1"/>
      <c r="AHJ25" s="1"/>
      <c r="AHK25" s="1"/>
      <c r="AHL25" s="1"/>
      <c r="AHM25" s="1"/>
      <c r="AHN25" s="1"/>
      <c r="AHO25" s="1"/>
      <c r="AHP25" s="1"/>
      <c r="AHQ25" s="1"/>
      <c r="AHR25" s="1"/>
      <c r="AHS25" s="1"/>
      <c r="AHT25" s="1"/>
      <c r="AHU25" s="1"/>
      <c r="AHV25" s="1"/>
      <c r="AHW25" s="1"/>
      <c r="AHX25" s="1"/>
      <c r="AHY25" s="1"/>
      <c r="AHZ25" s="1"/>
      <c r="AIA25" s="1"/>
      <c r="AIB25" s="1"/>
      <c r="AIC25" s="1"/>
      <c r="AID25" s="1"/>
      <c r="AIE25" s="1"/>
      <c r="AIF25" s="1"/>
      <c r="AIG25" s="1"/>
      <c r="AIH25" s="1"/>
      <c r="AII25" s="1"/>
      <c r="AIJ25" s="1"/>
      <c r="AIK25" s="1"/>
      <c r="AIL25" s="1"/>
      <c r="AIM25" s="1"/>
      <c r="AIN25" s="1"/>
      <c r="AIO25" s="1"/>
      <c r="AIP25" s="1"/>
      <c r="AIQ25" s="1"/>
      <c r="AIR25" s="1"/>
      <c r="AIS25" s="1"/>
      <c r="AIT25" s="1"/>
      <c r="AIU25" s="1"/>
      <c r="AIV25" s="1"/>
      <c r="AIW25" s="1"/>
      <c r="AIX25" s="1"/>
      <c r="AIY25" s="1"/>
      <c r="AIZ25" s="1"/>
      <c r="AJA25" s="1"/>
      <c r="AJB25" s="1"/>
      <c r="AJC25" s="1"/>
      <c r="AJD25" s="1"/>
      <c r="AJE25" s="1"/>
      <c r="AJF25" s="1"/>
      <c r="AJG25" s="1"/>
      <c r="AJH25" s="1"/>
      <c r="AJI25" s="1"/>
      <c r="AJJ25" s="1"/>
      <c r="AJK25" s="1"/>
      <c r="AJL25" s="1"/>
      <c r="AJM25" s="1"/>
      <c r="AJN25" s="1"/>
      <c r="AJO25" s="1"/>
      <c r="AJP25" s="1"/>
      <c r="AJQ25" s="1"/>
      <c r="AJR25" s="1"/>
      <c r="AJS25" s="1"/>
      <c r="AJT25" s="1"/>
      <c r="AJU25" s="1"/>
      <c r="AJV25" s="1"/>
      <c r="AJW25" s="1"/>
      <c r="AJX25" s="1"/>
      <c r="AJY25" s="1"/>
      <c r="AJZ25" s="1"/>
      <c r="AKA25" s="1"/>
      <c r="AKB25" s="1"/>
      <c r="AKC25" s="1"/>
      <c r="AKD25" s="1"/>
      <c r="AKE25" s="1"/>
      <c r="AKF25" s="1"/>
      <c r="AKG25" s="1"/>
      <c r="AKH25" s="1"/>
      <c r="AKI25" s="1"/>
      <c r="AKJ25" s="1"/>
      <c r="AKK25" s="1"/>
      <c r="AKL25" s="1"/>
      <c r="AKM25" s="1"/>
      <c r="AKN25" s="1"/>
      <c r="AKO25" s="1"/>
      <c r="AKP25" s="1"/>
      <c r="AKQ25" s="1"/>
      <c r="AKR25" s="1"/>
      <c r="AKS25" s="1"/>
      <c r="AKT25" s="1"/>
      <c r="AKU25" s="1"/>
      <c r="AKV25" s="1"/>
      <c r="AKW25" s="1"/>
      <c r="AKX25" s="1"/>
      <c r="AKY25" s="1"/>
      <c r="AKZ25" s="1"/>
      <c r="ALA25" s="1"/>
      <c r="ALB25" s="1"/>
      <c r="ALC25" s="1"/>
      <c r="ALD25" s="1"/>
      <c r="ALE25" s="1"/>
      <c r="ALF25" s="1"/>
      <c r="ALG25" s="1"/>
      <c r="ALH25" s="1"/>
      <c r="ALI25" s="1"/>
      <c r="ALJ25" s="1"/>
      <c r="ALK25" s="1"/>
      <c r="ALL25" s="1"/>
      <c r="ALM25" s="1"/>
      <c r="ALN25" s="1"/>
      <c r="ALO25" s="1"/>
      <c r="ALP25" s="1"/>
      <c r="ALQ25" s="1"/>
      <c r="ALR25" s="1"/>
      <c r="ALS25" s="1"/>
      <c r="ALT25" s="1"/>
      <c r="ALU25" s="1"/>
      <c r="ALV25" s="1"/>
      <c r="ALW25" s="1"/>
      <c r="ALX25" s="1"/>
      <c r="ALY25" s="1"/>
      <c r="ALZ25" s="1"/>
      <c r="AMA25" s="1"/>
      <c r="AMB25" s="1"/>
      <c r="AMC25" s="1"/>
      <c r="AMD25" s="1"/>
      <c r="AME25" s="1"/>
      <c r="AMF25" s="1"/>
      <c r="AMG25" s="1"/>
      <c r="AMH25" s="1"/>
      <c r="AMI25" s="1"/>
      <c r="AMJ25" s="1"/>
      <c r="AMK25" s="1"/>
      <c r="AML25" s="1"/>
      <c r="AMM25" s="1"/>
      <c r="AMN25" s="1"/>
    </row>
    <row r="26" spans="1:1029" x14ac:dyDescent="0.2">
      <c r="A26" s="3" t="str">
        <f t="shared" si="0"/>
        <v>aa2ar_human_5IU8</v>
      </c>
      <c r="B26" s="3" t="s">
        <v>139</v>
      </c>
      <c r="C26" s="3" t="s">
        <v>1353</v>
      </c>
      <c r="D26" s="3" t="str">
        <f>IFERROR(MID(VLOOKUP($B26,Seqs!$A:$B,2,0),E26,1),"")</f>
        <v>P</v>
      </c>
      <c r="E26" s="3">
        <v>2</v>
      </c>
      <c r="F26" s="3" t="str">
        <f>IFERROR(MID(VLOOKUP($B26,Seqs!$A:$B,2,0),G26,1),"")</f>
        <v>N</v>
      </c>
      <c r="G26" s="3">
        <v>34</v>
      </c>
      <c r="H26" s="3" t="str">
        <f>IFERROR(MID(VLOOKUP($B26,Seqs!$A:$B,2,0),I26,1),"")</f>
        <v>S</v>
      </c>
      <c r="I26" s="23">
        <v>35</v>
      </c>
      <c r="J26" s="3" t="str">
        <f>IFERROR(MID(VLOOKUP($B26,Seqs!$A:$B,2,0),K26,1),"")</f>
        <v>Q</v>
      </c>
      <c r="K26" s="23">
        <v>38</v>
      </c>
      <c r="L26" s="3" t="str">
        <f>IFERROR(MID(VLOOKUP($B26,Seqs!$A:$B,2,0),M26,1),"")</f>
        <v>N</v>
      </c>
      <c r="M26" s="3">
        <v>39</v>
      </c>
      <c r="N26" s="3" t="str">
        <f>IFERROR(MID(VLOOKUP($B26,Seqs!$A:$B,2,0),O26,1),"")</f>
        <v>G</v>
      </c>
      <c r="O26" s="3">
        <v>69</v>
      </c>
      <c r="P26" s="3" t="str">
        <f>IFERROR(MID(VLOOKUP($B26,Seqs!$A:$B,2,0),Q26,1),"")</f>
        <v>F</v>
      </c>
      <c r="Q26" s="3">
        <v>70</v>
      </c>
      <c r="R26" s="3" t="str">
        <f>IFERROR(MID(VLOOKUP($B26,Seqs!$A:$B,2,0),S26,1),"")</f>
        <v>A</v>
      </c>
      <c r="S26" s="3">
        <v>72</v>
      </c>
      <c r="T26" s="3" t="str">
        <f>IFERROR(MID(VLOOKUP($B26,Seqs!$A:$B,2,0),U26,1),"")</f>
        <v>A</v>
      </c>
      <c r="U26" s="3">
        <v>73</v>
      </c>
      <c r="V26" s="3" t="str">
        <f>IFERROR(MID(VLOOKUP($B26,Seqs!$A:$B,2,0),W26,1),"")</f>
        <v>I</v>
      </c>
      <c r="W26" s="3">
        <v>108</v>
      </c>
      <c r="X26" s="3" t="str">
        <f>IFERROR(MID(VLOOKUP($B26,Seqs!$A:$B,2,0),Y26,1),"")</f>
        <v>P</v>
      </c>
      <c r="Y26" s="3">
        <v>109</v>
      </c>
      <c r="Z26" s="3" t="str">
        <f>IFERROR(MID(VLOOKUP($B26,Seqs!$A:$B,2,0),AA26,1),"")</f>
        <v>V</v>
      </c>
      <c r="AA26" s="3">
        <v>116</v>
      </c>
      <c r="AB26" s="3" t="str">
        <f>IFERROR(MID(VLOOKUP($B26,Seqs!$A:$B,2,0),AC26,1),"")</f>
        <v>T</v>
      </c>
      <c r="AC26" s="9">
        <v>117</v>
      </c>
      <c r="AD26" s="3" t="str">
        <f>IFERROR(MID(VLOOKUP($B26,Seqs!$A:$B,2,0),AE26,1),"")</f>
        <v>G</v>
      </c>
      <c r="AE26" s="3">
        <v>142</v>
      </c>
      <c r="AF26" s="3" t="str">
        <f>IFERROR(MID(VLOOKUP($B26,Seqs!$A:$B,2,0),AG26,1),"")</f>
        <v>C</v>
      </c>
      <c r="AG26" s="3">
        <v>166</v>
      </c>
      <c r="AH26" s="3" t="str">
        <f>IFERROR(MID(VLOOKUP($B26,Seqs!$A:$B,2,0),AI26,1),"")</f>
        <v>F</v>
      </c>
      <c r="AI26" s="3">
        <v>168</v>
      </c>
      <c r="AJ26" s="3" t="str">
        <f>IFERROR(MID(VLOOKUP($B26,Seqs!$A:$B,2,0),AK26,1),"")</f>
        <v>P</v>
      </c>
      <c r="AK26" s="3">
        <v>173</v>
      </c>
      <c r="AL26" s="3" t="str">
        <f>IFERROR(MID(VLOOKUP($B26,Seqs!$A:$B,2,0),AM26,1),"")</f>
        <v>L</v>
      </c>
      <c r="AM26" s="3">
        <v>208</v>
      </c>
      <c r="AN26" s="3" t="str">
        <f>IFERROR(MID(VLOOKUP($B26,Seqs!$A:$B,2,0),AO26,1),"")</f>
        <v>E</v>
      </c>
      <c r="AO26" s="3">
        <v>219</v>
      </c>
      <c r="AP26" s="3" t="str">
        <f>IFERROR(MID(VLOOKUP($B26,Seqs!$A:$B,2,0),AQ26,1),"")</f>
        <v>C</v>
      </c>
      <c r="AQ26" s="3">
        <v>259</v>
      </c>
      <c r="AR26" s="3" t="str">
        <f>IFERROR(MID(VLOOKUP($B26,Seqs!$A:$B,2,0),AS26,1),"")</f>
        <v>P</v>
      </c>
      <c r="AS26" s="3">
        <v>266</v>
      </c>
      <c r="AT26" s="3" t="str">
        <f>IFERROR(MID(VLOOKUP($B26,Seqs!$A:$B,2,0),AU26,1),"")</f>
        <v>R</v>
      </c>
      <c r="AU26" s="3">
        <v>291</v>
      </c>
      <c r="AV26" s="3" t="str">
        <f>IFERROR(MID(VLOOKUP($B26,Seqs!$A:$B,2,0),AW26,1),"")</f>
        <v>I</v>
      </c>
      <c r="AW26" s="3">
        <v>292</v>
      </c>
      <c r="AX26" s="3" t="str">
        <f>IFERROR(MID(VLOOKUP($B26,Seqs!$A:$B,2,0),AY26,1),"")</f>
        <v>S</v>
      </c>
      <c r="AY26" s="3">
        <v>305</v>
      </c>
      <c r="AZ26" s="79" t="str">
        <f>VLOOKUP(B26,Classification!A:D,2,0)</f>
        <v>A</v>
      </c>
      <c r="BA26" s="97" t="str">
        <f>VLOOKUP(B26,Classification!A:D,4,0)</f>
        <v>Adenosine</v>
      </c>
      <c r="BB26" s="27" t="b">
        <f t="shared" si="1"/>
        <v>1</v>
      </c>
      <c r="BC26" s="23">
        <f t="shared" si="84"/>
        <v>261</v>
      </c>
      <c r="BD26" s="4" t="s">
        <v>23</v>
      </c>
      <c r="BE26" s="3" t="s">
        <v>1381</v>
      </c>
      <c r="BF26" s="50" t="s">
        <v>1384</v>
      </c>
      <c r="BG26" s="50" t="s">
        <v>1384</v>
      </c>
      <c r="BH26" s="1"/>
      <c r="BI26" s="72" t="s">
        <v>1293</v>
      </c>
      <c r="BJ26" s="58" t="s">
        <v>1293</v>
      </c>
      <c r="BK26" s="58" t="s">
        <v>1293</v>
      </c>
      <c r="BL26" s="58" t="s">
        <v>1293</v>
      </c>
      <c r="BM26" s="58" t="s">
        <v>1293</v>
      </c>
      <c r="BN26" s="58" t="s">
        <v>1293</v>
      </c>
      <c r="BO26" s="58" t="s">
        <v>1293</v>
      </c>
      <c r="BP26" s="58" t="s">
        <v>1293</v>
      </c>
      <c r="BQ26" s="58" t="s">
        <v>1293</v>
      </c>
      <c r="BR26" s="58" t="s">
        <v>1293</v>
      </c>
      <c r="BS26" s="58" t="s">
        <v>1293</v>
      </c>
      <c r="BT26" s="58" t="s">
        <v>1293</v>
      </c>
      <c r="BU26" s="72">
        <f t="shared" si="85"/>
        <v>2</v>
      </c>
      <c r="BV26" s="73">
        <f t="shared" si="86"/>
        <v>35</v>
      </c>
      <c r="BW26" s="74">
        <f t="shared" si="87"/>
        <v>39</v>
      </c>
      <c r="BX26" s="73">
        <f t="shared" si="88"/>
        <v>70</v>
      </c>
      <c r="BY26" s="74">
        <f t="shared" si="89"/>
        <v>73</v>
      </c>
      <c r="BZ26" s="73">
        <f t="shared" si="90"/>
        <v>109</v>
      </c>
      <c r="CA26" s="74">
        <f t="shared" si="91"/>
        <v>117</v>
      </c>
      <c r="CB26" s="73">
        <f t="shared" si="92"/>
        <v>166</v>
      </c>
      <c r="CC26" s="74">
        <f t="shared" si="93"/>
        <v>173</v>
      </c>
      <c r="CD26" s="73">
        <f t="shared" si="94"/>
        <v>219</v>
      </c>
      <c r="CE26" s="74">
        <f t="shared" si="95"/>
        <v>266</v>
      </c>
      <c r="CF26" s="73">
        <f t="shared" si="96"/>
        <v>292</v>
      </c>
      <c r="CG26" s="72">
        <f t="shared" si="97"/>
        <v>34</v>
      </c>
      <c r="CH26" s="73">
        <f t="shared" si="98"/>
        <v>38</v>
      </c>
      <c r="CI26" s="74">
        <f t="shared" si="99"/>
        <v>69</v>
      </c>
      <c r="CJ26" s="74">
        <f t="shared" si="100"/>
        <v>72</v>
      </c>
      <c r="CK26" s="74">
        <f t="shared" si="101"/>
        <v>108</v>
      </c>
      <c r="CL26" s="74">
        <f t="shared" si="102"/>
        <v>116</v>
      </c>
      <c r="CM26" s="74">
        <f t="shared" si="103"/>
        <v>142</v>
      </c>
      <c r="CN26" s="74">
        <f t="shared" si="104"/>
        <v>168</v>
      </c>
      <c r="CO26" s="74">
        <f t="shared" si="105"/>
        <v>208</v>
      </c>
      <c r="CP26" s="74">
        <f t="shared" si="106"/>
        <v>259</v>
      </c>
      <c r="CQ26" s="74">
        <f t="shared" si="107"/>
        <v>291</v>
      </c>
      <c r="CR26" s="74">
        <f t="shared" si="108"/>
        <v>305</v>
      </c>
      <c r="CS26" s="23">
        <f t="shared" si="109"/>
        <v>1</v>
      </c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  <c r="OK26" s="1"/>
      <c r="OL26" s="1"/>
      <c r="OM26" s="1"/>
      <c r="ON26" s="1"/>
      <c r="OO26" s="1"/>
      <c r="OP26" s="1"/>
      <c r="OQ26" s="1"/>
      <c r="OR26" s="1"/>
      <c r="OS26" s="1"/>
      <c r="OT26" s="1"/>
      <c r="OU26" s="1"/>
      <c r="OV26" s="1"/>
      <c r="OW26" s="1"/>
      <c r="OX26" s="1"/>
      <c r="OY26" s="1"/>
      <c r="OZ26" s="1"/>
      <c r="PA26" s="1"/>
      <c r="PB26" s="1"/>
      <c r="PC26" s="1"/>
      <c r="PD26" s="1"/>
      <c r="PE26" s="1"/>
      <c r="PF26" s="1"/>
      <c r="PG26" s="1"/>
      <c r="PH26" s="1"/>
      <c r="PI26" s="1"/>
      <c r="PJ26" s="1"/>
      <c r="PK26" s="1"/>
      <c r="PL26" s="1"/>
      <c r="PM26" s="1"/>
      <c r="PN26" s="1"/>
      <c r="PO26" s="1"/>
      <c r="PP26" s="1"/>
      <c r="PQ26" s="1"/>
      <c r="PR26" s="1"/>
      <c r="PS26" s="1"/>
      <c r="PT26" s="1"/>
      <c r="PU26" s="1"/>
      <c r="PV26" s="1"/>
      <c r="PW26" s="1"/>
      <c r="PX26" s="1"/>
      <c r="PY26" s="1"/>
      <c r="PZ26" s="1"/>
      <c r="QA26" s="1"/>
      <c r="QB26" s="1"/>
      <c r="QC26" s="1"/>
      <c r="QD26" s="1"/>
      <c r="QE26" s="1"/>
      <c r="QF26" s="1"/>
      <c r="QG26" s="1"/>
      <c r="QH26" s="1"/>
      <c r="QI26" s="1"/>
      <c r="QJ26" s="1"/>
      <c r="QK26" s="1"/>
      <c r="QL26" s="1"/>
      <c r="QM26" s="1"/>
      <c r="QN26" s="1"/>
      <c r="QO26" s="1"/>
      <c r="QP26" s="1"/>
      <c r="QQ26" s="1"/>
      <c r="QR26" s="1"/>
      <c r="QS26" s="1"/>
      <c r="QT26" s="1"/>
      <c r="QU26" s="1"/>
      <c r="QV26" s="1"/>
      <c r="QW26" s="1"/>
      <c r="QX26" s="1"/>
      <c r="QY26" s="1"/>
      <c r="QZ26" s="1"/>
      <c r="RA26" s="1"/>
      <c r="RB26" s="1"/>
      <c r="RC26" s="1"/>
      <c r="RD26" s="1"/>
      <c r="RE26" s="1"/>
      <c r="RF26" s="1"/>
      <c r="RG26" s="1"/>
      <c r="RH26" s="1"/>
      <c r="RI26" s="1"/>
      <c r="RJ26" s="1"/>
      <c r="RK26" s="1"/>
      <c r="RL26" s="1"/>
      <c r="RM26" s="1"/>
      <c r="RN26" s="1"/>
      <c r="RO26" s="1"/>
      <c r="RP26" s="1"/>
      <c r="RQ26" s="1"/>
      <c r="RR26" s="1"/>
      <c r="RS26" s="1"/>
      <c r="RT26" s="1"/>
      <c r="RU26" s="1"/>
      <c r="RV26" s="1"/>
      <c r="RW26" s="1"/>
      <c r="RX26" s="1"/>
      <c r="RY26" s="1"/>
      <c r="RZ26" s="1"/>
      <c r="SA26" s="1"/>
      <c r="SB26" s="1"/>
      <c r="SC26" s="1"/>
      <c r="SD26" s="1"/>
      <c r="SE26" s="1"/>
      <c r="SF26" s="1"/>
      <c r="SG26" s="1"/>
      <c r="SH26" s="1"/>
      <c r="SI26" s="1"/>
      <c r="SJ26" s="1"/>
      <c r="SK26" s="1"/>
      <c r="SL26" s="1"/>
      <c r="SM26" s="1"/>
      <c r="SN26" s="1"/>
      <c r="SO26" s="1"/>
      <c r="SP26" s="1"/>
      <c r="SQ26" s="1"/>
      <c r="SR26" s="1"/>
      <c r="SS26" s="1"/>
      <c r="ST26" s="1"/>
      <c r="SU26" s="1"/>
      <c r="SV26" s="1"/>
      <c r="SW26" s="1"/>
      <c r="SX26" s="1"/>
      <c r="SY26" s="1"/>
      <c r="SZ26" s="1"/>
      <c r="TA26" s="1"/>
      <c r="TB26" s="1"/>
      <c r="TC26" s="1"/>
      <c r="TD26" s="1"/>
      <c r="TE26" s="1"/>
      <c r="TF26" s="1"/>
      <c r="TG26" s="1"/>
      <c r="TH26" s="1"/>
      <c r="TI26" s="1"/>
      <c r="TJ26" s="1"/>
      <c r="TK26" s="1"/>
      <c r="TL26" s="1"/>
      <c r="TM26" s="1"/>
      <c r="TN26" s="1"/>
      <c r="TO26" s="1"/>
      <c r="TP26" s="1"/>
      <c r="TQ26" s="1"/>
      <c r="TR26" s="1"/>
      <c r="TS26" s="1"/>
      <c r="TT26" s="1"/>
      <c r="TU26" s="1"/>
      <c r="TV26" s="1"/>
      <c r="TW26" s="1"/>
      <c r="TX26" s="1"/>
      <c r="TY26" s="1"/>
      <c r="TZ26" s="1"/>
      <c r="UA26" s="1"/>
      <c r="UB26" s="1"/>
      <c r="UC26" s="1"/>
      <c r="UD26" s="1"/>
      <c r="UE26" s="1"/>
      <c r="UF26" s="1"/>
      <c r="UG26" s="1"/>
      <c r="UH26" s="1"/>
      <c r="UI26" s="1"/>
      <c r="UJ26" s="1"/>
      <c r="UK26" s="1"/>
      <c r="UL26" s="1"/>
      <c r="UM26" s="1"/>
      <c r="UN26" s="1"/>
      <c r="UO26" s="1"/>
      <c r="UP26" s="1"/>
      <c r="UQ26" s="1"/>
      <c r="UR26" s="1"/>
      <c r="US26" s="1"/>
      <c r="UT26" s="1"/>
      <c r="UU26" s="1"/>
      <c r="UV26" s="1"/>
      <c r="UW26" s="1"/>
      <c r="UX26" s="1"/>
      <c r="UY26" s="1"/>
      <c r="UZ26" s="1"/>
      <c r="VA26" s="1"/>
      <c r="VB26" s="1"/>
      <c r="VC26" s="1"/>
      <c r="VD26" s="1"/>
      <c r="VE26" s="1"/>
      <c r="VF26" s="1"/>
      <c r="VG26" s="1"/>
      <c r="VH26" s="1"/>
      <c r="VI26" s="1"/>
      <c r="VJ26" s="1"/>
      <c r="VK26" s="1"/>
      <c r="VL26" s="1"/>
      <c r="VM26" s="1"/>
      <c r="VN26" s="1"/>
      <c r="VO26" s="1"/>
      <c r="VP26" s="1"/>
      <c r="VQ26" s="1"/>
      <c r="VR26" s="1"/>
      <c r="VS26" s="1"/>
      <c r="VT26" s="1"/>
      <c r="VU26" s="1"/>
      <c r="VV26" s="1"/>
      <c r="VW26" s="1"/>
      <c r="VX26" s="1"/>
      <c r="VY26" s="1"/>
      <c r="VZ26" s="1"/>
      <c r="WA26" s="1"/>
      <c r="WB26" s="1"/>
      <c r="WC26" s="1"/>
      <c r="WD26" s="1"/>
      <c r="WE26" s="1"/>
      <c r="WF26" s="1"/>
      <c r="WG26" s="1"/>
      <c r="WH26" s="1"/>
      <c r="WI26" s="1"/>
      <c r="WJ26" s="1"/>
      <c r="WK26" s="1"/>
      <c r="WL26" s="1"/>
      <c r="WM26" s="1"/>
      <c r="WN26" s="1"/>
      <c r="WO26" s="1"/>
      <c r="WP26" s="1"/>
      <c r="WQ26" s="1"/>
      <c r="WR26" s="1"/>
      <c r="WS26" s="1"/>
      <c r="WT26" s="1"/>
      <c r="WU26" s="1"/>
      <c r="WV26" s="1"/>
      <c r="WW26" s="1"/>
      <c r="WX26" s="1"/>
      <c r="WY26" s="1"/>
      <c r="WZ26" s="1"/>
      <c r="XA26" s="1"/>
      <c r="XB26" s="1"/>
      <c r="XC26" s="1"/>
      <c r="XD26" s="1"/>
      <c r="XE26" s="1"/>
      <c r="XF26" s="1"/>
      <c r="XG26" s="1"/>
      <c r="XH26" s="1"/>
      <c r="XI26" s="1"/>
      <c r="XJ26" s="1"/>
      <c r="XK26" s="1"/>
      <c r="XL26" s="1"/>
      <c r="XM26" s="1"/>
      <c r="XN26" s="1"/>
      <c r="XO26" s="1"/>
      <c r="XP26" s="1"/>
      <c r="XQ26" s="1"/>
      <c r="XR26" s="1"/>
      <c r="XS26" s="1"/>
      <c r="XT26" s="1"/>
      <c r="XU26" s="1"/>
      <c r="XV26" s="1"/>
      <c r="XW26" s="1"/>
      <c r="XX26" s="1"/>
      <c r="XY26" s="1"/>
      <c r="XZ26" s="1"/>
      <c r="YA26" s="1"/>
      <c r="YB26" s="1"/>
      <c r="YC26" s="1"/>
      <c r="YD26" s="1"/>
      <c r="YE26" s="1"/>
      <c r="YF26" s="1"/>
      <c r="YG26" s="1"/>
      <c r="YH26" s="1"/>
      <c r="YI26" s="1"/>
      <c r="YJ26" s="1"/>
      <c r="YK26" s="1"/>
      <c r="YL26" s="1"/>
      <c r="YM26" s="1"/>
      <c r="YN26" s="1"/>
      <c r="YO26" s="1"/>
      <c r="YP26" s="1"/>
      <c r="YQ26" s="1"/>
      <c r="YR26" s="1"/>
      <c r="YS26" s="1"/>
      <c r="YT26" s="1"/>
      <c r="YU26" s="1"/>
      <c r="YV26" s="1"/>
      <c r="YW26" s="1"/>
      <c r="YX26" s="1"/>
      <c r="YY26" s="1"/>
      <c r="YZ26" s="1"/>
      <c r="ZA26" s="1"/>
      <c r="ZB26" s="1"/>
      <c r="ZC26" s="1"/>
      <c r="ZD26" s="1"/>
      <c r="ZE26" s="1"/>
      <c r="ZF26" s="1"/>
      <c r="ZG26" s="1"/>
      <c r="ZH26" s="1"/>
      <c r="ZI26" s="1"/>
      <c r="ZJ26" s="1"/>
      <c r="ZK26" s="1"/>
      <c r="ZL26" s="1"/>
      <c r="ZM26" s="1"/>
      <c r="ZN26" s="1"/>
      <c r="ZO26" s="1"/>
      <c r="ZP26" s="1"/>
      <c r="ZQ26" s="1"/>
      <c r="ZR26" s="1"/>
      <c r="ZS26" s="1"/>
      <c r="ZT26" s="1"/>
      <c r="ZU26" s="1"/>
      <c r="ZV26" s="1"/>
      <c r="ZW26" s="1"/>
      <c r="ZX26" s="1"/>
      <c r="ZY26" s="1"/>
      <c r="ZZ26" s="1"/>
      <c r="AAA26" s="1"/>
      <c r="AAB26" s="1"/>
      <c r="AAC26" s="1"/>
      <c r="AAD26" s="1"/>
      <c r="AAE26" s="1"/>
      <c r="AAF26" s="1"/>
      <c r="AAG26" s="1"/>
      <c r="AAH26" s="1"/>
      <c r="AAI26" s="1"/>
      <c r="AAJ26" s="1"/>
      <c r="AAK26" s="1"/>
      <c r="AAL26" s="1"/>
      <c r="AAM26" s="1"/>
      <c r="AAN26" s="1"/>
      <c r="AAO26" s="1"/>
      <c r="AAP26" s="1"/>
      <c r="AAQ26" s="1"/>
      <c r="AAR26" s="1"/>
      <c r="AAS26" s="1"/>
      <c r="AAT26" s="1"/>
      <c r="AAU26" s="1"/>
      <c r="AAV26" s="1"/>
      <c r="AAW26" s="1"/>
      <c r="AAX26" s="1"/>
      <c r="AAY26" s="1"/>
      <c r="AAZ26" s="1"/>
      <c r="ABA26" s="1"/>
      <c r="ABB26" s="1"/>
      <c r="ABC26" s="1"/>
      <c r="ABD26" s="1"/>
      <c r="ABE26" s="1"/>
      <c r="ABF26" s="1"/>
      <c r="ABG26" s="1"/>
      <c r="ABH26" s="1"/>
      <c r="ABI26" s="1"/>
      <c r="ABJ26" s="1"/>
      <c r="ABK26" s="1"/>
      <c r="ABL26" s="1"/>
      <c r="ABM26" s="1"/>
      <c r="ABN26" s="1"/>
      <c r="ABO26" s="1"/>
      <c r="ABP26" s="1"/>
      <c r="ABQ26" s="1"/>
      <c r="ABR26" s="1"/>
      <c r="ABS26" s="1"/>
      <c r="ABT26" s="1"/>
      <c r="ABU26" s="1"/>
      <c r="ABV26" s="1"/>
      <c r="ABW26" s="1"/>
      <c r="ABX26" s="1"/>
      <c r="ABY26" s="1"/>
      <c r="ABZ26" s="1"/>
      <c r="ACA26" s="1"/>
      <c r="ACB26" s="1"/>
      <c r="ACC26" s="1"/>
      <c r="ACD26" s="1"/>
      <c r="ACE26" s="1"/>
      <c r="ACF26" s="1"/>
      <c r="ACG26" s="1"/>
      <c r="ACH26" s="1"/>
      <c r="ACI26" s="1"/>
      <c r="ACJ26" s="1"/>
      <c r="ACK26" s="1"/>
      <c r="ACL26" s="1"/>
      <c r="ACM26" s="1"/>
      <c r="ACN26" s="1"/>
      <c r="ACO26" s="1"/>
      <c r="ACP26" s="1"/>
      <c r="ACQ26" s="1"/>
      <c r="ACR26" s="1"/>
      <c r="ACS26" s="1"/>
      <c r="ACT26" s="1"/>
      <c r="ACU26" s="1"/>
      <c r="ACV26" s="1"/>
      <c r="ACW26" s="1"/>
      <c r="ACX26" s="1"/>
      <c r="ACY26" s="1"/>
      <c r="ACZ26" s="1"/>
      <c r="ADA26" s="1"/>
      <c r="ADB26" s="1"/>
      <c r="ADC26" s="1"/>
      <c r="ADD26" s="1"/>
      <c r="ADE26" s="1"/>
      <c r="ADF26" s="1"/>
      <c r="ADG26" s="1"/>
      <c r="ADH26" s="1"/>
      <c r="ADI26" s="1"/>
      <c r="ADJ26" s="1"/>
      <c r="ADK26" s="1"/>
      <c r="ADL26" s="1"/>
      <c r="ADM26" s="1"/>
      <c r="ADN26" s="1"/>
      <c r="ADO26" s="1"/>
      <c r="ADP26" s="1"/>
      <c r="ADQ26" s="1"/>
      <c r="ADR26" s="1"/>
      <c r="ADS26" s="1"/>
      <c r="ADT26" s="1"/>
      <c r="ADU26" s="1"/>
      <c r="ADV26" s="1"/>
      <c r="ADW26" s="1"/>
      <c r="ADX26" s="1"/>
      <c r="ADY26" s="1"/>
      <c r="ADZ26" s="1"/>
      <c r="AEA26" s="1"/>
      <c r="AEB26" s="1"/>
      <c r="AEC26" s="1"/>
      <c r="AED26" s="1"/>
      <c r="AEE26" s="1"/>
      <c r="AEF26" s="1"/>
      <c r="AEG26" s="1"/>
      <c r="AEH26" s="1"/>
      <c r="AEI26" s="1"/>
      <c r="AEJ26" s="1"/>
      <c r="AEK26" s="1"/>
      <c r="AEL26" s="1"/>
      <c r="AEM26" s="1"/>
      <c r="AEN26" s="1"/>
      <c r="AEO26" s="1"/>
      <c r="AEP26" s="1"/>
      <c r="AEQ26" s="1"/>
      <c r="AER26" s="1"/>
      <c r="AES26" s="1"/>
      <c r="AET26" s="1"/>
      <c r="AEU26" s="1"/>
      <c r="AEV26" s="1"/>
      <c r="AEW26" s="1"/>
      <c r="AEX26" s="1"/>
      <c r="AEY26" s="1"/>
      <c r="AEZ26" s="1"/>
      <c r="AFA26" s="1"/>
      <c r="AFB26" s="1"/>
      <c r="AFC26" s="1"/>
      <c r="AFD26" s="1"/>
      <c r="AFE26" s="1"/>
      <c r="AFF26" s="1"/>
      <c r="AFG26" s="1"/>
      <c r="AFH26" s="1"/>
      <c r="AFI26" s="1"/>
      <c r="AFJ26" s="1"/>
      <c r="AFK26" s="1"/>
      <c r="AFL26" s="1"/>
      <c r="AFM26" s="1"/>
      <c r="AFN26" s="1"/>
      <c r="AFO26" s="1"/>
      <c r="AFP26" s="1"/>
      <c r="AFQ26" s="1"/>
      <c r="AFR26" s="1"/>
      <c r="AFS26" s="1"/>
      <c r="AFT26" s="1"/>
      <c r="AFU26" s="1"/>
      <c r="AFV26" s="1"/>
      <c r="AFW26" s="1"/>
      <c r="AFX26" s="1"/>
      <c r="AFY26" s="1"/>
      <c r="AFZ26" s="1"/>
      <c r="AGA26" s="1"/>
      <c r="AGB26" s="1"/>
      <c r="AGC26" s="1"/>
      <c r="AGD26" s="1"/>
      <c r="AGE26" s="1"/>
      <c r="AGF26" s="1"/>
      <c r="AGG26" s="1"/>
      <c r="AGH26" s="1"/>
      <c r="AGI26" s="1"/>
      <c r="AGJ26" s="1"/>
      <c r="AGK26" s="1"/>
      <c r="AGL26" s="1"/>
      <c r="AGM26" s="1"/>
      <c r="AGN26" s="1"/>
      <c r="AGO26" s="1"/>
      <c r="AGP26" s="1"/>
      <c r="AGQ26" s="1"/>
      <c r="AGR26" s="1"/>
      <c r="AGS26" s="1"/>
      <c r="AGT26" s="1"/>
      <c r="AGU26" s="1"/>
      <c r="AGV26" s="1"/>
      <c r="AGW26" s="1"/>
      <c r="AGX26" s="1"/>
      <c r="AGY26" s="1"/>
      <c r="AGZ26" s="1"/>
      <c r="AHA26" s="1"/>
      <c r="AHB26" s="1"/>
      <c r="AHC26" s="1"/>
      <c r="AHD26" s="1"/>
      <c r="AHE26" s="1"/>
      <c r="AHF26" s="1"/>
      <c r="AHG26" s="1"/>
      <c r="AHH26" s="1"/>
      <c r="AHI26" s="1"/>
      <c r="AHJ26" s="1"/>
      <c r="AHK26" s="1"/>
      <c r="AHL26" s="1"/>
      <c r="AHM26" s="1"/>
      <c r="AHN26" s="1"/>
      <c r="AHO26" s="1"/>
      <c r="AHP26" s="1"/>
      <c r="AHQ26" s="1"/>
      <c r="AHR26" s="1"/>
      <c r="AHS26" s="1"/>
      <c r="AHT26" s="1"/>
      <c r="AHU26" s="1"/>
      <c r="AHV26" s="1"/>
      <c r="AHW26" s="1"/>
      <c r="AHX26" s="1"/>
      <c r="AHY26" s="1"/>
      <c r="AHZ26" s="1"/>
      <c r="AIA26" s="1"/>
      <c r="AIB26" s="1"/>
      <c r="AIC26" s="1"/>
      <c r="AID26" s="1"/>
      <c r="AIE26" s="1"/>
      <c r="AIF26" s="1"/>
      <c r="AIG26" s="1"/>
      <c r="AIH26" s="1"/>
      <c r="AII26" s="1"/>
      <c r="AIJ26" s="1"/>
      <c r="AIK26" s="1"/>
      <c r="AIL26" s="1"/>
      <c r="AIM26" s="1"/>
      <c r="AIN26" s="1"/>
      <c r="AIO26" s="1"/>
      <c r="AIP26" s="1"/>
      <c r="AIQ26" s="1"/>
      <c r="AIR26" s="1"/>
      <c r="AIS26" s="1"/>
      <c r="AIT26" s="1"/>
      <c r="AIU26" s="1"/>
      <c r="AIV26" s="1"/>
      <c r="AIW26" s="1"/>
      <c r="AIX26" s="1"/>
      <c r="AIY26" s="1"/>
      <c r="AIZ26" s="1"/>
      <c r="AJA26" s="1"/>
      <c r="AJB26" s="1"/>
      <c r="AJC26" s="1"/>
      <c r="AJD26" s="1"/>
      <c r="AJE26" s="1"/>
      <c r="AJF26" s="1"/>
      <c r="AJG26" s="1"/>
      <c r="AJH26" s="1"/>
      <c r="AJI26" s="1"/>
      <c r="AJJ26" s="1"/>
      <c r="AJK26" s="1"/>
      <c r="AJL26" s="1"/>
      <c r="AJM26" s="1"/>
      <c r="AJN26" s="1"/>
      <c r="AJO26" s="1"/>
      <c r="AJP26" s="1"/>
      <c r="AJQ26" s="1"/>
      <c r="AJR26" s="1"/>
      <c r="AJS26" s="1"/>
      <c r="AJT26" s="1"/>
      <c r="AJU26" s="1"/>
      <c r="AJV26" s="1"/>
      <c r="AJW26" s="1"/>
      <c r="AJX26" s="1"/>
      <c r="AJY26" s="1"/>
      <c r="AJZ26" s="1"/>
      <c r="AKA26" s="1"/>
      <c r="AKB26" s="1"/>
      <c r="AKC26" s="1"/>
      <c r="AKD26" s="1"/>
      <c r="AKE26" s="1"/>
      <c r="AKF26" s="1"/>
      <c r="AKG26" s="1"/>
      <c r="AKH26" s="1"/>
      <c r="AKI26" s="1"/>
      <c r="AKJ26" s="1"/>
      <c r="AKK26" s="1"/>
      <c r="AKL26" s="1"/>
      <c r="AKM26" s="1"/>
      <c r="AKN26" s="1"/>
      <c r="AKO26" s="1"/>
      <c r="AKP26" s="1"/>
      <c r="AKQ26" s="1"/>
      <c r="AKR26" s="1"/>
      <c r="AKS26" s="1"/>
      <c r="AKT26" s="1"/>
      <c r="AKU26" s="1"/>
      <c r="AKV26" s="1"/>
      <c r="AKW26" s="1"/>
      <c r="AKX26" s="1"/>
      <c r="AKY26" s="1"/>
      <c r="AKZ26" s="1"/>
      <c r="ALA26" s="1"/>
      <c r="ALB26" s="1"/>
      <c r="ALC26" s="1"/>
      <c r="ALD26" s="1"/>
      <c r="ALE26" s="1"/>
      <c r="ALF26" s="1"/>
      <c r="ALG26" s="1"/>
      <c r="ALH26" s="1"/>
      <c r="ALI26" s="1"/>
      <c r="ALJ26" s="1"/>
      <c r="ALK26" s="1"/>
      <c r="ALL26" s="1"/>
      <c r="ALM26" s="1"/>
      <c r="ALN26" s="1"/>
      <c r="ALO26" s="1"/>
      <c r="ALP26" s="1"/>
      <c r="ALQ26" s="1"/>
      <c r="ALR26" s="1"/>
      <c r="ALS26" s="1"/>
      <c r="ALT26" s="1"/>
      <c r="ALU26" s="1"/>
      <c r="ALV26" s="1"/>
      <c r="ALW26" s="1"/>
      <c r="ALX26" s="1"/>
      <c r="ALY26" s="1"/>
      <c r="ALZ26" s="1"/>
      <c r="AMA26" s="1"/>
      <c r="AMB26" s="1"/>
      <c r="AMC26" s="1"/>
      <c r="AMD26" s="1"/>
      <c r="AME26" s="1"/>
      <c r="AMF26" s="1"/>
      <c r="AMG26" s="1"/>
      <c r="AMH26" s="1"/>
      <c r="AMI26" s="1"/>
      <c r="AMJ26" s="1"/>
      <c r="AMK26" s="1"/>
      <c r="AML26" s="1"/>
      <c r="AMM26" s="1"/>
      <c r="AMN26" s="1"/>
    </row>
    <row r="27" spans="1:1029" x14ac:dyDescent="0.2">
      <c r="A27" s="3" t="str">
        <f t="shared" si="0"/>
        <v>aa2ar_human_5IUA</v>
      </c>
      <c r="B27" s="3" t="s">
        <v>139</v>
      </c>
      <c r="C27" s="3" t="s">
        <v>1354</v>
      </c>
      <c r="D27" s="3" t="str">
        <f>IFERROR(MID(VLOOKUP($B27,Seqs!$A:$B,2,0),E27,1),"")</f>
        <v>P</v>
      </c>
      <c r="E27" s="3">
        <v>2</v>
      </c>
      <c r="F27" s="3" t="str">
        <f>IFERROR(MID(VLOOKUP($B27,Seqs!$A:$B,2,0),G27,1),"")</f>
        <v>N</v>
      </c>
      <c r="G27" s="3">
        <v>34</v>
      </c>
      <c r="H27" s="3" t="str">
        <f>IFERROR(MID(VLOOKUP($B27,Seqs!$A:$B,2,0),I27,1),"")</f>
        <v>S</v>
      </c>
      <c r="I27" s="23">
        <v>35</v>
      </c>
      <c r="J27" s="3" t="str">
        <f>IFERROR(MID(VLOOKUP($B27,Seqs!$A:$B,2,0),K27,1),"")</f>
        <v>Q</v>
      </c>
      <c r="K27" s="23">
        <v>38</v>
      </c>
      <c r="L27" s="3" t="str">
        <f>IFERROR(MID(VLOOKUP($B27,Seqs!$A:$B,2,0),M27,1),"")</f>
        <v>N</v>
      </c>
      <c r="M27" s="3">
        <v>39</v>
      </c>
      <c r="N27" s="3" t="str">
        <f>IFERROR(MID(VLOOKUP($B27,Seqs!$A:$B,2,0),O27,1),"")</f>
        <v>G</v>
      </c>
      <c r="O27" s="3">
        <v>69</v>
      </c>
      <c r="P27" s="3" t="str">
        <f>IFERROR(MID(VLOOKUP($B27,Seqs!$A:$B,2,0),Q27,1),"")</f>
        <v>F</v>
      </c>
      <c r="Q27" s="3">
        <v>70</v>
      </c>
      <c r="R27" s="3" t="str">
        <f>IFERROR(MID(VLOOKUP($B27,Seqs!$A:$B,2,0),S27,1),"")</f>
        <v>A</v>
      </c>
      <c r="S27" s="3">
        <v>72</v>
      </c>
      <c r="T27" s="3" t="str">
        <f>IFERROR(MID(VLOOKUP($B27,Seqs!$A:$B,2,0),U27,1),"")</f>
        <v>A</v>
      </c>
      <c r="U27" s="3">
        <v>73</v>
      </c>
      <c r="V27" s="3" t="str">
        <f>IFERROR(MID(VLOOKUP($B27,Seqs!$A:$B,2,0),W27,1),"")</f>
        <v>I</v>
      </c>
      <c r="W27" s="3">
        <v>108</v>
      </c>
      <c r="X27" s="3" t="str">
        <f>IFERROR(MID(VLOOKUP($B27,Seqs!$A:$B,2,0),Y27,1),"")</f>
        <v>P</v>
      </c>
      <c r="Y27" s="3">
        <v>109</v>
      </c>
      <c r="Z27" s="3" t="str">
        <f>IFERROR(MID(VLOOKUP($B27,Seqs!$A:$B,2,0),AA27,1),"")</f>
        <v>V</v>
      </c>
      <c r="AA27" s="3">
        <v>116</v>
      </c>
      <c r="AB27" s="3" t="str">
        <f>IFERROR(MID(VLOOKUP($B27,Seqs!$A:$B,2,0),AC27,1),"")</f>
        <v>T</v>
      </c>
      <c r="AC27" s="9">
        <v>117</v>
      </c>
      <c r="AD27" s="3" t="str">
        <f>IFERROR(MID(VLOOKUP($B27,Seqs!$A:$B,2,0),AE27,1),"")</f>
        <v>G</v>
      </c>
      <c r="AE27" s="3">
        <v>142</v>
      </c>
      <c r="AF27" s="3" t="str">
        <f>IFERROR(MID(VLOOKUP($B27,Seqs!$A:$B,2,0),AG27,1),"")</f>
        <v>C</v>
      </c>
      <c r="AG27" s="3">
        <v>166</v>
      </c>
      <c r="AH27" s="3" t="str">
        <f>IFERROR(MID(VLOOKUP($B27,Seqs!$A:$B,2,0),AI27,1),"")</f>
        <v>F</v>
      </c>
      <c r="AI27" s="3">
        <v>168</v>
      </c>
      <c r="AJ27" s="3" t="str">
        <f>IFERROR(MID(VLOOKUP($B27,Seqs!$A:$B,2,0),AK27,1),"")</f>
        <v>P</v>
      </c>
      <c r="AK27" s="3">
        <v>173</v>
      </c>
      <c r="AL27" s="3" t="str">
        <f>IFERROR(MID(VLOOKUP($B27,Seqs!$A:$B,2,0),AM27,1),"")</f>
        <v>L</v>
      </c>
      <c r="AM27" s="3">
        <v>208</v>
      </c>
      <c r="AN27" s="3" t="str">
        <f>IFERROR(MID(VLOOKUP($B27,Seqs!$A:$B,2,0),AO27,1),"")</f>
        <v>E</v>
      </c>
      <c r="AO27" s="3">
        <v>219</v>
      </c>
      <c r="AP27" s="3" t="str">
        <f>IFERROR(MID(VLOOKUP($B27,Seqs!$A:$B,2,0),AQ27,1),"")</f>
        <v>C</v>
      </c>
      <c r="AQ27" s="3">
        <v>259</v>
      </c>
      <c r="AR27" s="3" t="str">
        <f>IFERROR(MID(VLOOKUP($B27,Seqs!$A:$B,2,0),AS27,1),"")</f>
        <v>P</v>
      </c>
      <c r="AS27" s="3">
        <v>266</v>
      </c>
      <c r="AT27" s="3" t="str">
        <f>IFERROR(MID(VLOOKUP($B27,Seqs!$A:$B,2,0),AU27,1),"")</f>
        <v>R</v>
      </c>
      <c r="AU27" s="3">
        <v>291</v>
      </c>
      <c r="AV27" s="3" t="str">
        <f>IFERROR(MID(VLOOKUP($B27,Seqs!$A:$B,2,0),AW27,1),"")</f>
        <v>I</v>
      </c>
      <c r="AW27" s="3">
        <v>292</v>
      </c>
      <c r="AX27" s="3" t="str">
        <f>IFERROR(MID(VLOOKUP($B27,Seqs!$A:$B,2,0),AY27,1),"")</f>
        <v>H</v>
      </c>
      <c r="AY27" s="3">
        <v>306</v>
      </c>
      <c r="AZ27" s="79" t="str">
        <f>VLOOKUP(B27,Classification!A:D,2,0)</f>
        <v>A</v>
      </c>
      <c r="BA27" s="97" t="str">
        <f>VLOOKUP(B27,Classification!A:D,4,0)</f>
        <v>Adenosine</v>
      </c>
      <c r="BB27" s="27" t="b">
        <f t="shared" si="1"/>
        <v>1</v>
      </c>
      <c r="BC27" s="23">
        <f t="shared" si="84"/>
        <v>262</v>
      </c>
      <c r="BD27" s="4" t="s">
        <v>23</v>
      </c>
      <c r="BE27" s="3" t="s">
        <v>1381</v>
      </c>
      <c r="BF27" s="50" t="s">
        <v>1384</v>
      </c>
      <c r="BG27" s="50" t="s">
        <v>1384</v>
      </c>
      <c r="BH27" s="1"/>
      <c r="BI27" s="72" t="s">
        <v>1293</v>
      </c>
      <c r="BJ27" s="58" t="s">
        <v>1293</v>
      </c>
      <c r="BK27" s="58" t="s">
        <v>1293</v>
      </c>
      <c r="BL27" s="58" t="s">
        <v>1293</v>
      </c>
      <c r="BM27" s="58" t="s">
        <v>1293</v>
      </c>
      <c r="BN27" s="58" t="s">
        <v>1293</v>
      </c>
      <c r="BO27" s="58" t="s">
        <v>1293</v>
      </c>
      <c r="BP27" s="58" t="s">
        <v>1293</v>
      </c>
      <c r="BQ27" s="58" t="s">
        <v>1293</v>
      </c>
      <c r="BR27" s="58" t="s">
        <v>1293</v>
      </c>
      <c r="BS27" s="58" t="s">
        <v>1293</v>
      </c>
      <c r="BT27" s="58" t="s">
        <v>1293</v>
      </c>
      <c r="BU27" s="72">
        <f t="shared" si="85"/>
        <v>2</v>
      </c>
      <c r="BV27" s="73">
        <f t="shared" si="86"/>
        <v>35</v>
      </c>
      <c r="BW27" s="74">
        <f t="shared" si="87"/>
        <v>39</v>
      </c>
      <c r="BX27" s="73">
        <f t="shared" si="88"/>
        <v>70</v>
      </c>
      <c r="BY27" s="74">
        <f t="shared" si="89"/>
        <v>73</v>
      </c>
      <c r="BZ27" s="73">
        <f t="shared" si="90"/>
        <v>109</v>
      </c>
      <c r="CA27" s="74">
        <f t="shared" si="91"/>
        <v>117</v>
      </c>
      <c r="CB27" s="73">
        <f t="shared" si="92"/>
        <v>166</v>
      </c>
      <c r="CC27" s="74">
        <f t="shared" si="93"/>
        <v>173</v>
      </c>
      <c r="CD27" s="73">
        <f t="shared" si="94"/>
        <v>219</v>
      </c>
      <c r="CE27" s="74">
        <f t="shared" si="95"/>
        <v>266</v>
      </c>
      <c r="CF27" s="73">
        <f t="shared" si="96"/>
        <v>292</v>
      </c>
      <c r="CG27" s="72">
        <f t="shared" si="97"/>
        <v>34</v>
      </c>
      <c r="CH27" s="73">
        <f t="shared" si="98"/>
        <v>38</v>
      </c>
      <c r="CI27" s="74">
        <f t="shared" si="99"/>
        <v>69</v>
      </c>
      <c r="CJ27" s="74">
        <f t="shared" si="100"/>
        <v>72</v>
      </c>
      <c r="CK27" s="74">
        <f t="shared" si="101"/>
        <v>108</v>
      </c>
      <c r="CL27" s="74">
        <f t="shared" si="102"/>
        <v>116</v>
      </c>
      <c r="CM27" s="74">
        <f t="shared" si="103"/>
        <v>142</v>
      </c>
      <c r="CN27" s="74">
        <f t="shared" si="104"/>
        <v>168</v>
      </c>
      <c r="CO27" s="74">
        <f t="shared" si="105"/>
        <v>208</v>
      </c>
      <c r="CP27" s="74">
        <f t="shared" si="106"/>
        <v>259</v>
      </c>
      <c r="CQ27" s="74">
        <f t="shared" si="107"/>
        <v>291</v>
      </c>
      <c r="CR27" s="74">
        <f t="shared" si="108"/>
        <v>306</v>
      </c>
      <c r="CS27" s="23">
        <f t="shared" si="109"/>
        <v>1</v>
      </c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  <c r="OK27" s="1"/>
      <c r="OL27" s="1"/>
      <c r="OM27" s="1"/>
      <c r="ON27" s="1"/>
      <c r="OO27" s="1"/>
      <c r="OP27" s="1"/>
      <c r="OQ27" s="1"/>
      <c r="OR27" s="1"/>
      <c r="OS27" s="1"/>
      <c r="OT27" s="1"/>
      <c r="OU27" s="1"/>
      <c r="OV27" s="1"/>
      <c r="OW27" s="1"/>
      <c r="OX27" s="1"/>
      <c r="OY27" s="1"/>
      <c r="OZ27" s="1"/>
      <c r="PA27" s="1"/>
      <c r="PB27" s="1"/>
      <c r="PC27" s="1"/>
      <c r="PD27" s="1"/>
      <c r="PE27" s="1"/>
      <c r="PF27" s="1"/>
      <c r="PG27" s="1"/>
      <c r="PH27" s="1"/>
      <c r="PI27" s="1"/>
      <c r="PJ27" s="1"/>
      <c r="PK27" s="1"/>
      <c r="PL27" s="1"/>
      <c r="PM27" s="1"/>
      <c r="PN27" s="1"/>
      <c r="PO27" s="1"/>
      <c r="PP27" s="1"/>
      <c r="PQ27" s="1"/>
      <c r="PR27" s="1"/>
      <c r="PS27" s="1"/>
      <c r="PT27" s="1"/>
      <c r="PU27" s="1"/>
      <c r="PV27" s="1"/>
      <c r="PW27" s="1"/>
      <c r="PX27" s="1"/>
      <c r="PY27" s="1"/>
      <c r="PZ27" s="1"/>
      <c r="QA27" s="1"/>
      <c r="QB27" s="1"/>
      <c r="QC27" s="1"/>
      <c r="QD27" s="1"/>
      <c r="QE27" s="1"/>
      <c r="QF27" s="1"/>
      <c r="QG27" s="1"/>
      <c r="QH27" s="1"/>
      <c r="QI27" s="1"/>
      <c r="QJ27" s="1"/>
      <c r="QK27" s="1"/>
      <c r="QL27" s="1"/>
      <c r="QM27" s="1"/>
      <c r="QN27" s="1"/>
      <c r="QO27" s="1"/>
      <c r="QP27" s="1"/>
      <c r="QQ27" s="1"/>
      <c r="QR27" s="1"/>
      <c r="QS27" s="1"/>
      <c r="QT27" s="1"/>
      <c r="QU27" s="1"/>
      <c r="QV27" s="1"/>
      <c r="QW27" s="1"/>
      <c r="QX27" s="1"/>
      <c r="QY27" s="1"/>
      <c r="QZ27" s="1"/>
      <c r="RA27" s="1"/>
      <c r="RB27" s="1"/>
      <c r="RC27" s="1"/>
      <c r="RD27" s="1"/>
      <c r="RE27" s="1"/>
      <c r="RF27" s="1"/>
      <c r="RG27" s="1"/>
      <c r="RH27" s="1"/>
      <c r="RI27" s="1"/>
      <c r="RJ27" s="1"/>
      <c r="RK27" s="1"/>
      <c r="RL27" s="1"/>
      <c r="RM27" s="1"/>
      <c r="RN27" s="1"/>
      <c r="RO27" s="1"/>
      <c r="RP27" s="1"/>
      <c r="RQ27" s="1"/>
      <c r="RR27" s="1"/>
      <c r="RS27" s="1"/>
      <c r="RT27" s="1"/>
      <c r="RU27" s="1"/>
      <c r="RV27" s="1"/>
      <c r="RW27" s="1"/>
      <c r="RX27" s="1"/>
      <c r="RY27" s="1"/>
      <c r="RZ27" s="1"/>
      <c r="SA27" s="1"/>
      <c r="SB27" s="1"/>
      <c r="SC27" s="1"/>
      <c r="SD27" s="1"/>
      <c r="SE27" s="1"/>
      <c r="SF27" s="1"/>
      <c r="SG27" s="1"/>
      <c r="SH27" s="1"/>
      <c r="SI27" s="1"/>
      <c r="SJ27" s="1"/>
      <c r="SK27" s="1"/>
      <c r="SL27" s="1"/>
      <c r="SM27" s="1"/>
      <c r="SN27" s="1"/>
      <c r="SO27" s="1"/>
      <c r="SP27" s="1"/>
      <c r="SQ27" s="1"/>
      <c r="SR27" s="1"/>
      <c r="SS27" s="1"/>
      <c r="ST27" s="1"/>
      <c r="SU27" s="1"/>
      <c r="SV27" s="1"/>
      <c r="SW27" s="1"/>
      <c r="SX27" s="1"/>
      <c r="SY27" s="1"/>
      <c r="SZ27" s="1"/>
      <c r="TA27" s="1"/>
      <c r="TB27" s="1"/>
      <c r="TC27" s="1"/>
      <c r="TD27" s="1"/>
      <c r="TE27" s="1"/>
      <c r="TF27" s="1"/>
      <c r="TG27" s="1"/>
      <c r="TH27" s="1"/>
      <c r="TI27" s="1"/>
      <c r="TJ27" s="1"/>
      <c r="TK27" s="1"/>
      <c r="TL27" s="1"/>
      <c r="TM27" s="1"/>
      <c r="TN27" s="1"/>
      <c r="TO27" s="1"/>
      <c r="TP27" s="1"/>
      <c r="TQ27" s="1"/>
      <c r="TR27" s="1"/>
      <c r="TS27" s="1"/>
      <c r="TT27" s="1"/>
      <c r="TU27" s="1"/>
      <c r="TV27" s="1"/>
      <c r="TW27" s="1"/>
      <c r="TX27" s="1"/>
      <c r="TY27" s="1"/>
      <c r="TZ27" s="1"/>
      <c r="UA27" s="1"/>
      <c r="UB27" s="1"/>
      <c r="UC27" s="1"/>
      <c r="UD27" s="1"/>
      <c r="UE27" s="1"/>
      <c r="UF27" s="1"/>
      <c r="UG27" s="1"/>
      <c r="UH27" s="1"/>
      <c r="UI27" s="1"/>
      <c r="UJ27" s="1"/>
      <c r="UK27" s="1"/>
      <c r="UL27" s="1"/>
      <c r="UM27" s="1"/>
      <c r="UN27" s="1"/>
      <c r="UO27" s="1"/>
      <c r="UP27" s="1"/>
      <c r="UQ27" s="1"/>
      <c r="UR27" s="1"/>
      <c r="US27" s="1"/>
      <c r="UT27" s="1"/>
      <c r="UU27" s="1"/>
      <c r="UV27" s="1"/>
      <c r="UW27" s="1"/>
      <c r="UX27" s="1"/>
      <c r="UY27" s="1"/>
      <c r="UZ27" s="1"/>
      <c r="VA27" s="1"/>
      <c r="VB27" s="1"/>
      <c r="VC27" s="1"/>
      <c r="VD27" s="1"/>
      <c r="VE27" s="1"/>
      <c r="VF27" s="1"/>
      <c r="VG27" s="1"/>
      <c r="VH27" s="1"/>
      <c r="VI27" s="1"/>
      <c r="VJ27" s="1"/>
      <c r="VK27" s="1"/>
      <c r="VL27" s="1"/>
      <c r="VM27" s="1"/>
      <c r="VN27" s="1"/>
      <c r="VO27" s="1"/>
      <c r="VP27" s="1"/>
      <c r="VQ27" s="1"/>
      <c r="VR27" s="1"/>
      <c r="VS27" s="1"/>
      <c r="VT27" s="1"/>
      <c r="VU27" s="1"/>
      <c r="VV27" s="1"/>
      <c r="VW27" s="1"/>
      <c r="VX27" s="1"/>
      <c r="VY27" s="1"/>
      <c r="VZ27" s="1"/>
      <c r="WA27" s="1"/>
      <c r="WB27" s="1"/>
      <c r="WC27" s="1"/>
      <c r="WD27" s="1"/>
      <c r="WE27" s="1"/>
      <c r="WF27" s="1"/>
      <c r="WG27" s="1"/>
      <c r="WH27" s="1"/>
      <c r="WI27" s="1"/>
      <c r="WJ27" s="1"/>
      <c r="WK27" s="1"/>
      <c r="WL27" s="1"/>
      <c r="WM27" s="1"/>
      <c r="WN27" s="1"/>
      <c r="WO27" s="1"/>
      <c r="WP27" s="1"/>
      <c r="WQ27" s="1"/>
      <c r="WR27" s="1"/>
      <c r="WS27" s="1"/>
      <c r="WT27" s="1"/>
      <c r="WU27" s="1"/>
      <c r="WV27" s="1"/>
      <c r="WW27" s="1"/>
      <c r="WX27" s="1"/>
      <c r="WY27" s="1"/>
      <c r="WZ27" s="1"/>
      <c r="XA27" s="1"/>
      <c r="XB27" s="1"/>
      <c r="XC27" s="1"/>
      <c r="XD27" s="1"/>
      <c r="XE27" s="1"/>
      <c r="XF27" s="1"/>
      <c r="XG27" s="1"/>
      <c r="XH27" s="1"/>
      <c r="XI27" s="1"/>
      <c r="XJ27" s="1"/>
      <c r="XK27" s="1"/>
      <c r="XL27" s="1"/>
      <c r="XM27" s="1"/>
      <c r="XN27" s="1"/>
      <c r="XO27" s="1"/>
      <c r="XP27" s="1"/>
      <c r="XQ27" s="1"/>
      <c r="XR27" s="1"/>
      <c r="XS27" s="1"/>
      <c r="XT27" s="1"/>
      <c r="XU27" s="1"/>
      <c r="XV27" s="1"/>
      <c r="XW27" s="1"/>
      <c r="XX27" s="1"/>
      <c r="XY27" s="1"/>
      <c r="XZ27" s="1"/>
      <c r="YA27" s="1"/>
      <c r="YB27" s="1"/>
      <c r="YC27" s="1"/>
      <c r="YD27" s="1"/>
      <c r="YE27" s="1"/>
      <c r="YF27" s="1"/>
      <c r="YG27" s="1"/>
      <c r="YH27" s="1"/>
      <c r="YI27" s="1"/>
      <c r="YJ27" s="1"/>
      <c r="YK27" s="1"/>
      <c r="YL27" s="1"/>
      <c r="YM27" s="1"/>
      <c r="YN27" s="1"/>
      <c r="YO27" s="1"/>
      <c r="YP27" s="1"/>
      <c r="YQ27" s="1"/>
      <c r="YR27" s="1"/>
      <c r="YS27" s="1"/>
      <c r="YT27" s="1"/>
      <c r="YU27" s="1"/>
      <c r="YV27" s="1"/>
      <c r="YW27" s="1"/>
      <c r="YX27" s="1"/>
      <c r="YY27" s="1"/>
      <c r="YZ27" s="1"/>
      <c r="ZA27" s="1"/>
      <c r="ZB27" s="1"/>
      <c r="ZC27" s="1"/>
      <c r="ZD27" s="1"/>
      <c r="ZE27" s="1"/>
      <c r="ZF27" s="1"/>
      <c r="ZG27" s="1"/>
      <c r="ZH27" s="1"/>
      <c r="ZI27" s="1"/>
      <c r="ZJ27" s="1"/>
      <c r="ZK27" s="1"/>
      <c r="ZL27" s="1"/>
      <c r="ZM27" s="1"/>
      <c r="ZN27" s="1"/>
      <c r="ZO27" s="1"/>
      <c r="ZP27" s="1"/>
      <c r="ZQ27" s="1"/>
      <c r="ZR27" s="1"/>
      <c r="ZS27" s="1"/>
      <c r="ZT27" s="1"/>
      <c r="ZU27" s="1"/>
      <c r="ZV27" s="1"/>
      <c r="ZW27" s="1"/>
      <c r="ZX27" s="1"/>
      <c r="ZY27" s="1"/>
      <c r="ZZ27" s="1"/>
      <c r="AAA27" s="1"/>
      <c r="AAB27" s="1"/>
      <c r="AAC27" s="1"/>
      <c r="AAD27" s="1"/>
      <c r="AAE27" s="1"/>
      <c r="AAF27" s="1"/>
      <c r="AAG27" s="1"/>
      <c r="AAH27" s="1"/>
      <c r="AAI27" s="1"/>
      <c r="AAJ27" s="1"/>
      <c r="AAK27" s="1"/>
      <c r="AAL27" s="1"/>
      <c r="AAM27" s="1"/>
      <c r="AAN27" s="1"/>
      <c r="AAO27" s="1"/>
      <c r="AAP27" s="1"/>
      <c r="AAQ27" s="1"/>
      <c r="AAR27" s="1"/>
      <c r="AAS27" s="1"/>
      <c r="AAT27" s="1"/>
      <c r="AAU27" s="1"/>
      <c r="AAV27" s="1"/>
      <c r="AAW27" s="1"/>
      <c r="AAX27" s="1"/>
      <c r="AAY27" s="1"/>
      <c r="AAZ27" s="1"/>
      <c r="ABA27" s="1"/>
      <c r="ABB27" s="1"/>
      <c r="ABC27" s="1"/>
      <c r="ABD27" s="1"/>
      <c r="ABE27" s="1"/>
      <c r="ABF27" s="1"/>
      <c r="ABG27" s="1"/>
      <c r="ABH27" s="1"/>
      <c r="ABI27" s="1"/>
      <c r="ABJ27" s="1"/>
      <c r="ABK27" s="1"/>
      <c r="ABL27" s="1"/>
      <c r="ABM27" s="1"/>
      <c r="ABN27" s="1"/>
      <c r="ABO27" s="1"/>
      <c r="ABP27" s="1"/>
      <c r="ABQ27" s="1"/>
      <c r="ABR27" s="1"/>
      <c r="ABS27" s="1"/>
      <c r="ABT27" s="1"/>
      <c r="ABU27" s="1"/>
      <c r="ABV27" s="1"/>
      <c r="ABW27" s="1"/>
      <c r="ABX27" s="1"/>
      <c r="ABY27" s="1"/>
      <c r="ABZ27" s="1"/>
      <c r="ACA27" s="1"/>
      <c r="ACB27" s="1"/>
      <c r="ACC27" s="1"/>
      <c r="ACD27" s="1"/>
      <c r="ACE27" s="1"/>
      <c r="ACF27" s="1"/>
      <c r="ACG27" s="1"/>
      <c r="ACH27" s="1"/>
      <c r="ACI27" s="1"/>
      <c r="ACJ27" s="1"/>
      <c r="ACK27" s="1"/>
      <c r="ACL27" s="1"/>
      <c r="ACM27" s="1"/>
      <c r="ACN27" s="1"/>
      <c r="ACO27" s="1"/>
      <c r="ACP27" s="1"/>
      <c r="ACQ27" s="1"/>
      <c r="ACR27" s="1"/>
      <c r="ACS27" s="1"/>
      <c r="ACT27" s="1"/>
      <c r="ACU27" s="1"/>
      <c r="ACV27" s="1"/>
      <c r="ACW27" s="1"/>
      <c r="ACX27" s="1"/>
      <c r="ACY27" s="1"/>
      <c r="ACZ27" s="1"/>
      <c r="ADA27" s="1"/>
      <c r="ADB27" s="1"/>
      <c r="ADC27" s="1"/>
      <c r="ADD27" s="1"/>
      <c r="ADE27" s="1"/>
      <c r="ADF27" s="1"/>
      <c r="ADG27" s="1"/>
      <c r="ADH27" s="1"/>
      <c r="ADI27" s="1"/>
      <c r="ADJ27" s="1"/>
      <c r="ADK27" s="1"/>
      <c r="ADL27" s="1"/>
      <c r="ADM27" s="1"/>
      <c r="ADN27" s="1"/>
      <c r="ADO27" s="1"/>
      <c r="ADP27" s="1"/>
      <c r="ADQ27" s="1"/>
      <c r="ADR27" s="1"/>
      <c r="ADS27" s="1"/>
      <c r="ADT27" s="1"/>
      <c r="ADU27" s="1"/>
      <c r="ADV27" s="1"/>
      <c r="ADW27" s="1"/>
      <c r="ADX27" s="1"/>
      <c r="ADY27" s="1"/>
      <c r="ADZ27" s="1"/>
      <c r="AEA27" s="1"/>
      <c r="AEB27" s="1"/>
      <c r="AEC27" s="1"/>
      <c r="AED27" s="1"/>
      <c r="AEE27" s="1"/>
      <c r="AEF27" s="1"/>
      <c r="AEG27" s="1"/>
      <c r="AEH27" s="1"/>
      <c r="AEI27" s="1"/>
      <c r="AEJ27" s="1"/>
      <c r="AEK27" s="1"/>
      <c r="AEL27" s="1"/>
      <c r="AEM27" s="1"/>
      <c r="AEN27" s="1"/>
      <c r="AEO27" s="1"/>
      <c r="AEP27" s="1"/>
      <c r="AEQ27" s="1"/>
      <c r="AER27" s="1"/>
      <c r="AES27" s="1"/>
      <c r="AET27" s="1"/>
      <c r="AEU27" s="1"/>
      <c r="AEV27" s="1"/>
      <c r="AEW27" s="1"/>
      <c r="AEX27" s="1"/>
      <c r="AEY27" s="1"/>
      <c r="AEZ27" s="1"/>
      <c r="AFA27" s="1"/>
      <c r="AFB27" s="1"/>
      <c r="AFC27" s="1"/>
      <c r="AFD27" s="1"/>
      <c r="AFE27" s="1"/>
      <c r="AFF27" s="1"/>
      <c r="AFG27" s="1"/>
      <c r="AFH27" s="1"/>
      <c r="AFI27" s="1"/>
      <c r="AFJ27" s="1"/>
      <c r="AFK27" s="1"/>
      <c r="AFL27" s="1"/>
      <c r="AFM27" s="1"/>
      <c r="AFN27" s="1"/>
      <c r="AFO27" s="1"/>
      <c r="AFP27" s="1"/>
      <c r="AFQ27" s="1"/>
      <c r="AFR27" s="1"/>
      <c r="AFS27" s="1"/>
      <c r="AFT27" s="1"/>
      <c r="AFU27" s="1"/>
      <c r="AFV27" s="1"/>
      <c r="AFW27" s="1"/>
      <c r="AFX27" s="1"/>
      <c r="AFY27" s="1"/>
      <c r="AFZ27" s="1"/>
      <c r="AGA27" s="1"/>
      <c r="AGB27" s="1"/>
      <c r="AGC27" s="1"/>
      <c r="AGD27" s="1"/>
      <c r="AGE27" s="1"/>
      <c r="AGF27" s="1"/>
      <c r="AGG27" s="1"/>
      <c r="AGH27" s="1"/>
      <c r="AGI27" s="1"/>
      <c r="AGJ27" s="1"/>
      <c r="AGK27" s="1"/>
      <c r="AGL27" s="1"/>
      <c r="AGM27" s="1"/>
      <c r="AGN27" s="1"/>
      <c r="AGO27" s="1"/>
      <c r="AGP27" s="1"/>
      <c r="AGQ27" s="1"/>
      <c r="AGR27" s="1"/>
      <c r="AGS27" s="1"/>
      <c r="AGT27" s="1"/>
      <c r="AGU27" s="1"/>
      <c r="AGV27" s="1"/>
      <c r="AGW27" s="1"/>
      <c r="AGX27" s="1"/>
      <c r="AGY27" s="1"/>
      <c r="AGZ27" s="1"/>
      <c r="AHA27" s="1"/>
      <c r="AHB27" s="1"/>
      <c r="AHC27" s="1"/>
      <c r="AHD27" s="1"/>
      <c r="AHE27" s="1"/>
      <c r="AHF27" s="1"/>
      <c r="AHG27" s="1"/>
      <c r="AHH27" s="1"/>
      <c r="AHI27" s="1"/>
      <c r="AHJ27" s="1"/>
      <c r="AHK27" s="1"/>
      <c r="AHL27" s="1"/>
      <c r="AHM27" s="1"/>
      <c r="AHN27" s="1"/>
      <c r="AHO27" s="1"/>
      <c r="AHP27" s="1"/>
      <c r="AHQ27" s="1"/>
      <c r="AHR27" s="1"/>
      <c r="AHS27" s="1"/>
      <c r="AHT27" s="1"/>
      <c r="AHU27" s="1"/>
      <c r="AHV27" s="1"/>
      <c r="AHW27" s="1"/>
      <c r="AHX27" s="1"/>
      <c r="AHY27" s="1"/>
      <c r="AHZ27" s="1"/>
      <c r="AIA27" s="1"/>
      <c r="AIB27" s="1"/>
      <c r="AIC27" s="1"/>
      <c r="AID27" s="1"/>
      <c r="AIE27" s="1"/>
      <c r="AIF27" s="1"/>
      <c r="AIG27" s="1"/>
      <c r="AIH27" s="1"/>
      <c r="AII27" s="1"/>
      <c r="AIJ27" s="1"/>
      <c r="AIK27" s="1"/>
      <c r="AIL27" s="1"/>
      <c r="AIM27" s="1"/>
      <c r="AIN27" s="1"/>
      <c r="AIO27" s="1"/>
      <c r="AIP27" s="1"/>
      <c r="AIQ27" s="1"/>
      <c r="AIR27" s="1"/>
      <c r="AIS27" s="1"/>
      <c r="AIT27" s="1"/>
      <c r="AIU27" s="1"/>
      <c r="AIV27" s="1"/>
      <c r="AIW27" s="1"/>
      <c r="AIX27" s="1"/>
      <c r="AIY27" s="1"/>
      <c r="AIZ27" s="1"/>
      <c r="AJA27" s="1"/>
      <c r="AJB27" s="1"/>
      <c r="AJC27" s="1"/>
      <c r="AJD27" s="1"/>
      <c r="AJE27" s="1"/>
      <c r="AJF27" s="1"/>
      <c r="AJG27" s="1"/>
      <c r="AJH27" s="1"/>
      <c r="AJI27" s="1"/>
      <c r="AJJ27" s="1"/>
      <c r="AJK27" s="1"/>
      <c r="AJL27" s="1"/>
      <c r="AJM27" s="1"/>
      <c r="AJN27" s="1"/>
      <c r="AJO27" s="1"/>
      <c r="AJP27" s="1"/>
      <c r="AJQ27" s="1"/>
      <c r="AJR27" s="1"/>
      <c r="AJS27" s="1"/>
      <c r="AJT27" s="1"/>
      <c r="AJU27" s="1"/>
      <c r="AJV27" s="1"/>
      <c r="AJW27" s="1"/>
      <c r="AJX27" s="1"/>
      <c r="AJY27" s="1"/>
      <c r="AJZ27" s="1"/>
      <c r="AKA27" s="1"/>
      <c r="AKB27" s="1"/>
      <c r="AKC27" s="1"/>
      <c r="AKD27" s="1"/>
      <c r="AKE27" s="1"/>
      <c r="AKF27" s="1"/>
      <c r="AKG27" s="1"/>
      <c r="AKH27" s="1"/>
      <c r="AKI27" s="1"/>
      <c r="AKJ27" s="1"/>
      <c r="AKK27" s="1"/>
      <c r="AKL27" s="1"/>
      <c r="AKM27" s="1"/>
      <c r="AKN27" s="1"/>
      <c r="AKO27" s="1"/>
      <c r="AKP27" s="1"/>
      <c r="AKQ27" s="1"/>
      <c r="AKR27" s="1"/>
      <c r="AKS27" s="1"/>
      <c r="AKT27" s="1"/>
      <c r="AKU27" s="1"/>
      <c r="AKV27" s="1"/>
      <c r="AKW27" s="1"/>
      <c r="AKX27" s="1"/>
      <c r="AKY27" s="1"/>
      <c r="AKZ27" s="1"/>
      <c r="ALA27" s="1"/>
      <c r="ALB27" s="1"/>
      <c r="ALC27" s="1"/>
      <c r="ALD27" s="1"/>
      <c r="ALE27" s="1"/>
      <c r="ALF27" s="1"/>
      <c r="ALG27" s="1"/>
      <c r="ALH27" s="1"/>
      <c r="ALI27" s="1"/>
      <c r="ALJ27" s="1"/>
      <c r="ALK27" s="1"/>
      <c r="ALL27" s="1"/>
      <c r="ALM27" s="1"/>
      <c r="ALN27" s="1"/>
      <c r="ALO27" s="1"/>
      <c r="ALP27" s="1"/>
      <c r="ALQ27" s="1"/>
      <c r="ALR27" s="1"/>
      <c r="ALS27" s="1"/>
      <c r="ALT27" s="1"/>
      <c r="ALU27" s="1"/>
      <c r="ALV27" s="1"/>
      <c r="ALW27" s="1"/>
      <c r="ALX27" s="1"/>
      <c r="ALY27" s="1"/>
      <c r="ALZ27" s="1"/>
      <c r="AMA27" s="1"/>
      <c r="AMB27" s="1"/>
      <c r="AMC27" s="1"/>
      <c r="AMD27" s="1"/>
      <c r="AME27" s="1"/>
      <c r="AMF27" s="1"/>
      <c r="AMG27" s="1"/>
      <c r="AMH27" s="1"/>
      <c r="AMI27" s="1"/>
      <c r="AMJ27" s="1"/>
      <c r="AMK27" s="1"/>
      <c r="AML27" s="1"/>
      <c r="AMM27" s="1"/>
      <c r="AMN27" s="1"/>
    </row>
    <row r="28" spans="1:1029" x14ac:dyDescent="0.2">
      <c r="A28" s="3" t="str">
        <f t="shared" si="0"/>
        <v>aa2ar_human_5IUB</v>
      </c>
      <c r="B28" s="3" t="s">
        <v>139</v>
      </c>
      <c r="C28" s="3" t="s">
        <v>1355</v>
      </c>
      <c r="D28" s="3" t="str">
        <f>IFERROR(MID(VLOOKUP($B28,Seqs!$A:$B,2,0),E28,1),"")</f>
        <v>P</v>
      </c>
      <c r="E28" s="3">
        <v>2</v>
      </c>
      <c r="F28" s="3" t="str">
        <f>IFERROR(MID(VLOOKUP($B28,Seqs!$A:$B,2,0),G28,1),"")</f>
        <v>N</v>
      </c>
      <c r="G28" s="3">
        <v>34</v>
      </c>
      <c r="H28" s="3" t="str">
        <f>IFERROR(MID(VLOOKUP($B28,Seqs!$A:$B,2,0),I28,1),"")</f>
        <v>S</v>
      </c>
      <c r="I28" s="23">
        <v>35</v>
      </c>
      <c r="J28" s="3" t="str">
        <f>IFERROR(MID(VLOOKUP($B28,Seqs!$A:$B,2,0),K28,1),"")</f>
        <v>Q</v>
      </c>
      <c r="K28" s="23">
        <v>38</v>
      </c>
      <c r="L28" s="3" t="str">
        <f>IFERROR(MID(VLOOKUP($B28,Seqs!$A:$B,2,0),M28,1),"")</f>
        <v>N</v>
      </c>
      <c r="M28" s="3">
        <v>39</v>
      </c>
      <c r="N28" s="3" t="str">
        <f>IFERROR(MID(VLOOKUP($B28,Seqs!$A:$B,2,0),O28,1),"")</f>
        <v>G</v>
      </c>
      <c r="O28" s="3">
        <v>69</v>
      </c>
      <c r="P28" s="3" t="str">
        <f>IFERROR(MID(VLOOKUP($B28,Seqs!$A:$B,2,0),Q28,1),"")</f>
        <v>F</v>
      </c>
      <c r="Q28" s="3">
        <v>70</v>
      </c>
      <c r="R28" s="3" t="str">
        <f>IFERROR(MID(VLOOKUP($B28,Seqs!$A:$B,2,0),S28,1),"")</f>
        <v>A</v>
      </c>
      <c r="S28" s="3">
        <v>72</v>
      </c>
      <c r="T28" s="3" t="str">
        <f>IFERROR(MID(VLOOKUP($B28,Seqs!$A:$B,2,0),U28,1),"")</f>
        <v>A</v>
      </c>
      <c r="U28" s="3">
        <v>73</v>
      </c>
      <c r="V28" s="3" t="str">
        <f>IFERROR(MID(VLOOKUP($B28,Seqs!$A:$B,2,0),W28,1),"")</f>
        <v>I</v>
      </c>
      <c r="W28" s="3">
        <v>108</v>
      </c>
      <c r="X28" s="3" t="str">
        <f>IFERROR(MID(VLOOKUP($B28,Seqs!$A:$B,2,0),Y28,1),"")</f>
        <v>P</v>
      </c>
      <c r="Y28" s="3">
        <v>109</v>
      </c>
      <c r="Z28" s="3" t="str">
        <f>IFERROR(MID(VLOOKUP($B28,Seqs!$A:$B,2,0),AA28,1),"")</f>
        <v>V</v>
      </c>
      <c r="AA28" s="3">
        <v>116</v>
      </c>
      <c r="AB28" s="3" t="str">
        <f>IFERROR(MID(VLOOKUP($B28,Seqs!$A:$B,2,0),AC28,1),"")</f>
        <v>T</v>
      </c>
      <c r="AC28" s="9">
        <v>117</v>
      </c>
      <c r="AD28" s="3" t="str">
        <f>IFERROR(MID(VLOOKUP($B28,Seqs!$A:$B,2,0),AE28,1),"")</f>
        <v>G</v>
      </c>
      <c r="AE28" s="3">
        <v>142</v>
      </c>
      <c r="AF28" s="3" t="str">
        <f>IFERROR(MID(VLOOKUP($B28,Seqs!$A:$B,2,0),AG28,1),"")</f>
        <v>C</v>
      </c>
      <c r="AG28" s="3">
        <v>166</v>
      </c>
      <c r="AH28" s="3" t="str">
        <f>IFERROR(MID(VLOOKUP($B28,Seqs!$A:$B,2,0),AI28,1),"")</f>
        <v>F</v>
      </c>
      <c r="AI28" s="3">
        <v>168</v>
      </c>
      <c r="AJ28" s="3" t="str">
        <f>IFERROR(MID(VLOOKUP($B28,Seqs!$A:$B,2,0),AK28,1),"")</f>
        <v>P</v>
      </c>
      <c r="AK28" s="3">
        <v>173</v>
      </c>
      <c r="AL28" s="3" t="str">
        <f>IFERROR(MID(VLOOKUP($B28,Seqs!$A:$B,2,0),AM28,1),"")</f>
        <v>L</v>
      </c>
      <c r="AM28" s="3">
        <v>208</v>
      </c>
      <c r="AN28" s="3" t="str">
        <f>IFERROR(MID(VLOOKUP($B28,Seqs!$A:$B,2,0),AO28,1),"")</f>
        <v>E</v>
      </c>
      <c r="AO28" s="3">
        <v>219</v>
      </c>
      <c r="AP28" s="3" t="str">
        <f>IFERROR(MID(VLOOKUP($B28,Seqs!$A:$B,2,0),AQ28,1),"")</f>
        <v>C</v>
      </c>
      <c r="AQ28" s="3">
        <v>259</v>
      </c>
      <c r="AR28" s="3" t="str">
        <f>IFERROR(MID(VLOOKUP($B28,Seqs!$A:$B,2,0),AS28,1),"")</f>
        <v>P</v>
      </c>
      <c r="AS28" s="3">
        <v>266</v>
      </c>
      <c r="AT28" s="3" t="str">
        <f>IFERROR(MID(VLOOKUP($B28,Seqs!$A:$B,2,0),AU28,1),"")</f>
        <v>R</v>
      </c>
      <c r="AU28" s="3">
        <v>291</v>
      </c>
      <c r="AV28" s="3" t="str">
        <f>IFERROR(MID(VLOOKUP($B28,Seqs!$A:$B,2,0),AW28,1),"")</f>
        <v>I</v>
      </c>
      <c r="AW28" s="3">
        <v>292</v>
      </c>
      <c r="AX28" s="3" t="str">
        <f>IFERROR(MID(VLOOKUP($B28,Seqs!$A:$B,2,0),AY28,1),"")</f>
        <v>S</v>
      </c>
      <c r="AY28" s="3">
        <v>305</v>
      </c>
      <c r="AZ28" s="79" t="str">
        <f>VLOOKUP(B28,Classification!A:D,2,0)</f>
        <v>A</v>
      </c>
      <c r="BA28" s="97" t="str">
        <f>VLOOKUP(B28,Classification!A:D,4,0)</f>
        <v>Adenosine</v>
      </c>
      <c r="BB28" s="27" t="b">
        <f t="shared" si="1"/>
        <v>1</v>
      </c>
      <c r="BC28" s="23">
        <f t="shared" si="84"/>
        <v>261</v>
      </c>
      <c r="BD28" s="4" t="s">
        <v>23</v>
      </c>
      <c r="BE28" s="3" t="s">
        <v>1381</v>
      </c>
      <c r="BF28" s="50" t="s">
        <v>1384</v>
      </c>
      <c r="BG28" s="50" t="s">
        <v>1384</v>
      </c>
      <c r="BH28" s="1"/>
      <c r="BI28" s="72" t="s">
        <v>1293</v>
      </c>
      <c r="BJ28" s="58" t="s">
        <v>1293</v>
      </c>
      <c r="BK28" s="58" t="s">
        <v>1293</v>
      </c>
      <c r="BL28" s="58" t="s">
        <v>1293</v>
      </c>
      <c r="BM28" s="58" t="s">
        <v>1293</v>
      </c>
      <c r="BN28" s="58" t="s">
        <v>1293</v>
      </c>
      <c r="BO28" s="58" t="s">
        <v>1293</v>
      </c>
      <c r="BP28" s="58" t="s">
        <v>1293</v>
      </c>
      <c r="BQ28" s="58" t="s">
        <v>1293</v>
      </c>
      <c r="BR28" s="58" t="s">
        <v>1293</v>
      </c>
      <c r="BS28" s="58" t="s">
        <v>1293</v>
      </c>
      <c r="BT28" s="58" t="s">
        <v>1293</v>
      </c>
      <c r="BU28" s="72">
        <f t="shared" si="85"/>
        <v>2</v>
      </c>
      <c r="BV28" s="73">
        <f t="shared" si="86"/>
        <v>35</v>
      </c>
      <c r="BW28" s="74">
        <f t="shared" si="87"/>
        <v>39</v>
      </c>
      <c r="BX28" s="73">
        <f t="shared" si="88"/>
        <v>70</v>
      </c>
      <c r="BY28" s="74">
        <f t="shared" si="89"/>
        <v>73</v>
      </c>
      <c r="BZ28" s="73">
        <f t="shared" si="90"/>
        <v>109</v>
      </c>
      <c r="CA28" s="74">
        <f t="shared" si="91"/>
        <v>117</v>
      </c>
      <c r="CB28" s="73">
        <f t="shared" si="92"/>
        <v>166</v>
      </c>
      <c r="CC28" s="74">
        <f t="shared" si="93"/>
        <v>173</v>
      </c>
      <c r="CD28" s="73">
        <f t="shared" si="94"/>
        <v>219</v>
      </c>
      <c r="CE28" s="74">
        <f t="shared" si="95"/>
        <v>266</v>
      </c>
      <c r="CF28" s="73">
        <f t="shared" si="96"/>
        <v>292</v>
      </c>
      <c r="CG28" s="72">
        <f t="shared" si="97"/>
        <v>34</v>
      </c>
      <c r="CH28" s="73">
        <f t="shared" si="98"/>
        <v>38</v>
      </c>
      <c r="CI28" s="74">
        <f t="shared" si="99"/>
        <v>69</v>
      </c>
      <c r="CJ28" s="74">
        <f t="shared" si="100"/>
        <v>72</v>
      </c>
      <c r="CK28" s="74">
        <f t="shared" si="101"/>
        <v>108</v>
      </c>
      <c r="CL28" s="74">
        <f t="shared" si="102"/>
        <v>116</v>
      </c>
      <c r="CM28" s="74">
        <f t="shared" si="103"/>
        <v>142</v>
      </c>
      <c r="CN28" s="74">
        <f t="shared" si="104"/>
        <v>168</v>
      </c>
      <c r="CO28" s="74">
        <f t="shared" si="105"/>
        <v>208</v>
      </c>
      <c r="CP28" s="74">
        <f t="shared" si="106"/>
        <v>259</v>
      </c>
      <c r="CQ28" s="74">
        <f t="shared" si="107"/>
        <v>291</v>
      </c>
      <c r="CR28" s="74">
        <f t="shared" si="108"/>
        <v>305</v>
      </c>
      <c r="CS28" s="23">
        <f t="shared" si="109"/>
        <v>1</v>
      </c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  <c r="OK28" s="1"/>
      <c r="OL28" s="1"/>
      <c r="OM28" s="1"/>
      <c r="ON28" s="1"/>
      <c r="OO28" s="1"/>
      <c r="OP28" s="1"/>
      <c r="OQ28" s="1"/>
      <c r="OR28" s="1"/>
      <c r="OS28" s="1"/>
      <c r="OT28" s="1"/>
      <c r="OU28" s="1"/>
      <c r="OV28" s="1"/>
      <c r="OW28" s="1"/>
      <c r="OX28" s="1"/>
      <c r="OY28" s="1"/>
      <c r="OZ28" s="1"/>
      <c r="PA28" s="1"/>
      <c r="PB28" s="1"/>
      <c r="PC28" s="1"/>
      <c r="PD28" s="1"/>
      <c r="PE28" s="1"/>
      <c r="PF28" s="1"/>
      <c r="PG28" s="1"/>
      <c r="PH28" s="1"/>
      <c r="PI28" s="1"/>
      <c r="PJ28" s="1"/>
      <c r="PK28" s="1"/>
      <c r="PL28" s="1"/>
      <c r="PM28" s="1"/>
      <c r="PN28" s="1"/>
      <c r="PO28" s="1"/>
      <c r="PP28" s="1"/>
      <c r="PQ28" s="1"/>
      <c r="PR28" s="1"/>
      <c r="PS28" s="1"/>
      <c r="PT28" s="1"/>
      <c r="PU28" s="1"/>
      <c r="PV28" s="1"/>
      <c r="PW28" s="1"/>
      <c r="PX28" s="1"/>
      <c r="PY28" s="1"/>
      <c r="PZ28" s="1"/>
      <c r="QA28" s="1"/>
      <c r="QB28" s="1"/>
      <c r="QC28" s="1"/>
      <c r="QD28" s="1"/>
      <c r="QE28" s="1"/>
      <c r="QF28" s="1"/>
      <c r="QG28" s="1"/>
      <c r="QH28" s="1"/>
      <c r="QI28" s="1"/>
      <c r="QJ28" s="1"/>
      <c r="QK28" s="1"/>
      <c r="QL28" s="1"/>
      <c r="QM28" s="1"/>
      <c r="QN28" s="1"/>
      <c r="QO28" s="1"/>
      <c r="QP28" s="1"/>
      <c r="QQ28" s="1"/>
      <c r="QR28" s="1"/>
      <c r="QS28" s="1"/>
      <c r="QT28" s="1"/>
      <c r="QU28" s="1"/>
      <c r="QV28" s="1"/>
      <c r="QW28" s="1"/>
      <c r="QX28" s="1"/>
      <c r="QY28" s="1"/>
      <c r="QZ28" s="1"/>
      <c r="RA28" s="1"/>
      <c r="RB28" s="1"/>
      <c r="RC28" s="1"/>
      <c r="RD28" s="1"/>
      <c r="RE28" s="1"/>
      <c r="RF28" s="1"/>
      <c r="RG28" s="1"/>
      <c r="RH28" s="1"/>
      <c r="RI28" s="1"/>
      <c r="RJ28" s="1"/>
      <c r="RK28" s="1"/>
      <c r="RL28" s="1"/>
      <c r="RM28" s="1"/>
      <c r="RN28" s="1"/>
      <c r="RO28" s="1"/>
      <c r="RP28" s="1"/>
      <c r="RQ28" s="1"/>
      <c r="RR28" s="1"/>
      <c r="RS28" s="1"/>
      <c r="RT28" s="1"/>
      <c r="RU28" s="1"/>
      <c r="RV28" s="1"/>
      <c r="RW28" s="1"/>
      <c r="RX28" s="1"/>
      <c r="RY28" s="1"/>
      <c r="RZ28" s="1"/>
      <c r="SA28" s="1"/>
      <c r="SB28" s="1"/>
      <c r="SC28" s="1"/>
      <c r="SD28" s="1"/>
      <c r="SE28" s="1"/>
      <c r="SF28" s="1"/>
      <c r="SG28" s="1"/>
      <c r="SH28" s="1"/>
      <c r="SI28" s="1"/>
      <c r="SJ28" s="1"/>
      <c r="SK28" s="1"/>
      <c r="SL28" s="1"/>
      <c r="SM28" s="1"/>
      <c r="SN28" s="1"/>
      <c r="SO28" s="1"/>
      <c r="SP28" s="1"/>
      <c r="SQ28" s="1"/>
      <c r="SR28" s="1"/>
      <c r="SS28" s="1"/>
      <c r="ST28" s="1"/>
      <c r="SU28" s="1"/>
      <c r="SV28" s="1"/>
      <c r="SW28" s="1"/>
      <c r="SX28" s="1"/>
      <c r="SY28" s="1"/>
      <c r="SZ28" s="1"/>
      <c r="TA28" s="1"/>
      <c r="TB28" s="1"/>
      <c r="TC28" s="1"/>
      <c r="TD28" s="1"/>
      <c r="TE28" s="1"/>
      <c r="TF28" s="1"/>
      <c r="TG28" s="1"/>
      <c r="TH28" s="1"/>
      <c r="TI28" s="1"/>
      <c r="TJ28" s="1"/>
      <c r="TK28" s="1"/>
      <c r="TL28" s="1"/>
      <c r="TM28" s="1"/>
      <c r="TN28" s="1"/>
      <c r="TO28" s="1"/>
      <c r="TP28" s="1"/>
      <c r="TQ28" s="1"/>
      <c r="TR28" s="1"/>
      <c r="TS28" s="1"/>
      <c r="TT28" s="1"/>
      <c r="TU28" s="1"/>
      <c r="TV28" s="1"/>
      <c r="TW28" s="1"/>
      <c r="TX28" s="1"/>
      <c r="TY28" s="1"/>
      <c r="TZ28" s="1"/>
      <c r="UA28" s="1"/>
      <c r="UB28" s="1"/>
      <c r="UC28" s="1"/>
      <c r="UD28" s="1"/>
      <c r="UE28" s="1"/>
      <c r="UF28" s="1"/>
      <c r="UG28" s="1"/>
      <c r="UH28" s="1"/>
      <c r="UI28" s="1"/>
      <c r="UJ28" s="1"/>
      <c r="UK28" s="1"/>
      <c r="UL28" s="1"/>
      <c r="UM28" s="1"/>
      <c r="UN28" s="1"/>
      <c r="UO28" s="1"/>
      <c r="UP28" s="1"/>
      <c r="UQ28" s="1"/>
      <c r="UR28" s="1"/>
      <c r="US28" s="1"/>
      <c r="UT28" s="1"/>
      <c r="UU28" s="1"/>
      <c r="UV28" s="1"/>
      <c r="UW28" s="1"/>
      <c r="UX28" s="1"/>
      <c r="UY28" s="1"/>
      <c r="UZ28" s="1"/>
      <c r="VA28" s="1"/>
      <c r="VB28" s="1"/>
      <c r="VC28" s="1"/>
      <c r="VD28" s="1"/>
      <c r="VE28" s="1"/>
      <c r="VF28" s="1"/>
      <c r="VG28" s="1"/>
      <c r="VH28" s="1"/>
      <c r="VI28" s="1"/>
      <c r="VJ28" s="1"/>
      <c r="VK28" s="1"/>
      <c r="VL28" s="1"/>
      <c r="VM28" s="1"/>
      <c r="VN28" s="1"/>
      <c r="VO28" s="1"/>
      <c r="VP28" s="1"/>
      <c r="VQ28" s="1"/>
      <c r="VR28" s="1"/>
      <c r="VS28" s="1"/>
      <c r="VT28" s="1"/>
      <c r="VU28" s="1"/>
      <c r="VV28" s="1"/>
      <c r="VW28" s="1"/>
      <c r="VX28" s="1"/>
      <c r="VY28" s="1"/>
      <c r="VZ28" s="1"/>
      <c r="WA28" s="1"/>
      <c r="WB28" s="1"/>
      <c r="WC28" s="1"/>
      <c r="WD28" s="1"/>
      <c r="WE28" s="1"/>
      <c r="WF28" s="1"/>
      <c r="WG28" s="1"/>
      <c r="WH28" s="1"/>
      <c r="WI28" s="1"/>
      <c r="WJ28" s="1"/>
      <c r="WK28" s="1"/>
      <c r="WL28" s="1"/>
      <c r="WM28" s="1"/>
      <c r="WN28" s="1"/>
      <c r="WO28" s="1"/>
      <c r="WP28" s="1"/>
      <c r="WQ28" s="1"/>
      <c r="WR28" s="1"/>
      <c r="WS28" s="1"/>
      <c r="WT28" s="1"/>
      <c r="WU28" s="1"/>
      <c r="WV28" s="1"/>
      <c r="WW28" s="1"/>
      <c r="WX28" s="1"/>
      <c r="WY28" s="1"/>
      <c r="WZ28" s="1"/>
      <c r="XA28" s="1"/>
      <c r="XB28" s="1"/>
      <c r="XC28" s="1"/>
      <c r="XD28" s="1"/>
      <c r="XE28" s="1"/>
      <c r="XF28" s="1"/>
      <c r="XG28" s="1"/>
      <c r="XH28" s="1"/>
      <c r="XI28" s="1"/>
      <c r="XJ28" s="1"/>
      <c r="XK28" s="1"/>
      <c r="XL28" s="1"/>
      <c r="XM28" s="1"/>
      <c r="XN28" s="1"/>
      <c r="XO28" s="1"/>
      <c r="XP28" s="1"/>
      <c r="XQ28" s="1"/>
      <c r="XR28" s="1"/>
      <c r="XS28" s="1"/>
      <c r="XT28" s="1"/>
      <c r="XU28" s="1"/>
      <c r="XV28" s="1"/>
      <c r="XW28" s="1"/>
      <c r="XX28" s="1"/>
      <c r="XY28" s="1"/>
      <c r="XZ28" s="1"/>
      <c r="YA28" s="1"/>
      <c r="YB28" s="1"/>
      <c r="YC28" s="1"/>
      <c r="YD28" s="1"/>
      <c r="YE28" s="1"/>
      <c r="YF28" s="1"/>
      <c r="YG28" s="1"/>
      <c r="YH28" s="1"/>
      <c r="YI28" s="1"/>
      <c r="YJ28" s="1"/>
      <c r="YK28" s="1"/>
      <c r="YL28" s="1"/>
      <c r="YM28" s="1"/>
      <c r="YN28" s="1"/>
      <c r="YO28" s="1"/>
      <c r="YP28" s="1"/>
      <c r="YQ28" s="1"/>
      <c r="YR28" s="1"/>
      <c r="YS28" s="1"/>
      <c r="YT28" s="1"/>
      <c r="YU28" s="1"/>
      <c r="YV28" s="1"/>
      <c r="YW28" s="1"/>
      <c r="YX28" s="1"/>
      <c r="YY28" s="1"/>
      <c r="YZ28" s="1"/>
      <c r="ZA28" s="1"/>
      <c r="ZB28" s="1"/>
      <c r="ZC28" s="1"/>
      <c r="ZD28" s="1"/>
      <c r="ZE28" s="1"/>
      <c r="ZF28" s="1"/>
      <c r="ZG28" s="1"/>
      <c r="ZH28" s="1"/>
      <c r="ZI28" s="1"/>
      <c r="ZJ28" s="1"/>
      <c r="ZK28" s="1"/>
      <c r="ZL28" s="1"/>
      <c r="ZM28" s="1"/>
      <c r="ZN28" s="1"/>
      <c r="ZO28" s="1"/>
      <c r="ZP28" s="1"/>
      <c r="ZQ28" s="1"/>
      <c r="ZR28" s="1"/>
      <c r="ZS28" s="1"/>
      <c r="ZT28" s="1"/>
      <c r="ZU28" s="1"/>
      <c r="ZV28" s="1"/>
      <c r="ZW28" s="1"/>
      <c r="ZX28" s="1"/>
      <c r="ZY28" s="1"/>
      <c r="ZZ28" s="1"/>
      <c r="AAA28" s="1"/>
      <c r="AAB28" s="1"/>
      <c r="AAC28" s="1"/>
      <c r="AAD28" s="1"/>
      <c r="AAE28" s="1"/>
      <c r="AAF28" s="1"/>
      <c r="AAG28" s="1"/>
      <c r="AAH28" s="1"/>
      <c r="AAI28" s="1"/>
      <c r="AAJ28" s="1"/>
      <c r="AAK28" s="1"/>
      <c r="AAL28" s="1"/>
      <c r="AAM28" s="1"/>
      <c r="AAN28" s="1"/>
      <c r="AAO28" s="1"/>
      <c r="AAP28" s="1"/>
      <c r="AAQ28" s="1"/>
      <c r="AAR28" s="1"/>
      <c r="AAS28" s="1"/>
      <c r="AAT28" s="1"/>
      <c r="AAU28" s="1"/>
      <c r="AAV28" s="1"/>
      <c r="AAW28" s="1"/>
      <c r="AAX28" s="1"/>
      <c r="AAY28" s="1"/>
      <c r="AAZ28" s="1"/>
      <c r="ABA28" s="1"/>
      <c r="ABB28" s="1"/>
      <c r="ABC28" s="1"/>
      <c r="ABD28" s="1"/>
      <c r="ABE28" s="1"/>
      <c r="ABF28" s="1"/>
      <c r="ABG28" s="1"/>
      <c r="ABH28" s="1"/>
      <c r="ABI28" s="1"/>
      <c r="ABJ28" s="1"/>
      <c r="ABK28" s="1"/>
      <c r="ABL28" s="1"/>
      <c r="ABM28" s="1"/>
      <c r="ABN28" s="1"/>
      <c r="ABO28" s="1"/>
      <c r="ABP28" s="1"/>
      <c r="ABQ28" s="1"/>
      <c r="ABR28" s="1"/>
      <c r="ABS28" s="1"/>
      <c r="ABT28" s="1"/>
      <c r="ABU28" s="1"/>
      <c r="ABV28" s="1"/>
      <c r="ABW28" s="1"/>
      <c r="ABX28" s="1"/>
      <c r="ABY28" s="1"/>
      <c r="ABZ28" s="1"/>
      <c r="ACA28" s="1"/>
      <c r="ACB28" s="1"/>
      <c r="ACC28" s="1"/>
      <c r="ACD28" s="1"/>
      <c r="ACE28" s="1"/>
      <c r="ACF28" s="1"/>
      <c r="ACG28" s="1"/>
      <c r="ACH28" s="1"/>
      <c r="ACI28" s="1"/>
      <c r="ACJ28" s="1"/>
      <c r="ACK28" s="1"/>
      <c r="ACL28" s="1"/>
      <c r="ACM28" s="1"/>
      <c r="ACN28" s="1"/>
      <c r="ACO28" s="1"/>
      <c r="ACP28" s="1"/>
      <c r="ACQ28" s="1"/>
      <c r="ACR28" s="1"/>
      <c r="ACS28" s="1"/>
      <c r="ACT28" s="1"/>
      <c r="ACU28" s="1"/>
      <c r="ACV28" s="1"/>
      <c r="ACW28" s="1"/>
      <c r="ACX28" s="1"/>
      <c r="ACY28" s="1"/>
      <c r="ACZ28" s="1"/>
      <c r="ADA28" s="1"/>
      <c r="ADB28" s="1"/>
      <c r="ADC28" s="1"/>
      <c r="ADD28" s="1"/>
      <c r="ADE28" s="1"/>
      <c r="ADF28" s="1"/>
      <c r="ADG28" s="1"/>
      <c r="ADH28" s="1"/>
      <c r="ADI28" s="1"/>
      <c r="ADJ28" s="1"/>
      <c r="ADK28" s="1"/>
      <c r="ADL28" s="1"/>
      <c r="ADM28" s="1"/>
      <c r="ADN28" s="1"/>
      <c r="ADO28" s="1"/>
      <c r="ADP28" s="1"/>
      <c r="ADQ28" s="1"/>
      <c r="ADR28" s="1"/>
      <c r="ADS28" s="1"/>
      <c r="ADT28" s="1"/>
      <c r="ADU28" s="1"/>
      <c r="ADV28" s="1"/>
      <c r="ADW28" s="1"/>
      <c r="ADX28" s="1"/>
      <c r="ADY28" s="1"/>
      <c r="ADZ28" s="1"/>
      <c r="AEA28" s="1"/>
      <c r="AEB28" s="1"/>
      <c r="AEC28" s="1"/>
      <c r="AED28" s="1"/>
      <c r="AEE28" s="1"/>
      <c r="AEF28" s="1"/>
      <c r="AEG28" s="1"/>
      <c r="AEH28" s="1"/>
      <c r="AEI28" s="1"/>
      <c r="AEJ28" s="1"/>
      <c r="AEK28" s="1"/>
      <c r="AEL28" s="1"/>
      <c r="AEM28" s="1"/>
      <c r="AEN28" s="1"/>
      <c r="AEO28" s="1"/>
      <c r="AEP28" s="1"/>
      <c r="AEQ28" s="1"/>
      <c r="AER28" s="1"/>
      <c r="AES28" s="1"/>
      <c r="AET28" s="1"/>
      <c r="AEU28" s="1"/>
      <c r="AEV28" s="1"/>
      <c r="AEW28" s="1"/>
      <c r="AEX28" s="1"/>
      <c r="AEY28" s="1"/>
      <c r="AEZ28" s="1"/>
      <c r="AFA28" s="1"/>
      <c r="AFB28" s="1"/>
      <c r="AFC28" s="1"/>
      <c r="AFD28" s="1"/>
      <c r="AFE28" s="1"/>
      <c r="AFF28" s="1"/>
      <c r="AFG28" s="1"/>
      <c r="AFH28" s="1"/>
      <c r="AFI28" s="1"/>
      <c r="AFJ28" s="1"/>
      <c r="AFK28" s="1"/>
      <c r="AFL28" s="1"/>
      <c r="AFM28" s="1"/>
      <c r="AFN28" s="1"/>
      <c r="AFO28" s="1"/>
      <c r="AFP28" s="1"/>
      <c r="AFQ28" s="1"/>
      <c r="AFR28" s="1"/>
      <c r="AFS28" s="1"/>
      <c r="AFT28" s="1"/>
      <c r="AFU28" s="1"/>
      <c r="AFV28" s="1"/>
      <c r="AFW28" s="1"/>
      <c r="AFX28" s="1"/>
      <c r="AFY28" s="1"/>
      <c r="AFZ28" s="1"/>
      <c r="AGA28" s="1"/>
      <c r="AGB28" s="1"/>
      <c r="AGC28" s="1"/>
      <c r="AGD28" s="1"/>
      <c r="AGE28" s="1"/>
      <c r="AGF28" s="1"/>
      <c r="AGG28" s="1"/>
      <c r="AGH28" s="1"/>
      <c r="AGI28" s="1"/>
      <c r="AGJ28" s="1"/>
      <c r="AGK28" s="1"/>
      <c r="AGL28" s="1"/>
      <c r="AGM28" s="1"/>
      <c r="AGN28" s="1"/>
      <c r="AGO28" s="1"/>
      <c r="AGP28" s="1"/>
      <c r="AGQ28" s="1"/>
      <c r="AGR28" s="1"/>
      <c r="AGS28" s="1"/>
      <c r="AGT28" s="1"/>
      <c r="AGU28" s="1"/>
      <c r="AGV28" s="1"/>
      <c r="AGW28" s="1"/>
      <c r="AGX28" s="1"/>
      <c r="AGY28" s="1"/>
      <c r="AGZ28" s="1"/>
      <c r="AHA28" s="1"/>
      <c r="AHB28" s="1"/>
      <c r="AHC28" s="1"/>
      <c r="AHD28" s="1"/>
      <c r="AHE28" s="1"/>
      <c r="AHF28" s="1"/>
      <c r="AHG28" s="1"/>
      <c r="AHH28" s="1"/>
      <c r="AHI28" s="1"/>
      <c r="AHJ28" s="1"/>
      <c r="AHK28" s="1"/>
      <c r="AHL28" s="1"/>
      <c r="AHM28" s="1"/>
      <c r="AHN28" s="1"/>
      <c r="AHO28" s="1"/>
      <c r="AHP28" s="1"/>
      <c r="AHQ28" s="1"/>
      <c r="AHR28" s="1"/>
      <c r="AHS28" s="1"/>
      <c r="AHT28" s="1"/>
      <c r="AHU28" s="1"/>
      <c r="AHV28" s="1"/>
      <c r="AHW28" s="1"/>
      <c r="AHX28" s="1"/>
      <c r="AHY28" s="1"/>
      <c r="AHZ28" s="1"/>
      <c r="AIA28" s="1"/>
      <c r="AIB28" s="1"/>
      <c r="AIC28" s="1"/>
      <c r="AID28" s="1"/>
      <c r="AIE28" s="1"/>
      <c r="AIF28" s="1"/>
      <c r="AIG28" s="1"/>
      <c r="AIH28" s="1"/>
      <c r="AII28" s="1"/>
      <c r="AIJ28" s="1"/>
      <c r="AIK28" s="1"/>
      <c r="AIL28" s="1"/>
      <c r="AIM28" s="1"/>
      <c r="AIN28" s="1"/>
      <c r="AIO28" s="1"/>
      <c r="AIP28" s="1"/>
      <c r="AIQ28" s="1"/>
      <c r="AIR28" s="1"/>
      <c r="AIS28" s="1"/>
      <c r="AIT28" s="1"/>
      <c r="AIU28" s="1"/>
      <c r="AIV28" s="1"/>
      <c r="AIW28" s="1"/>
      <c r="AIX28" s="1"/>
      <c r="AIY28" s="1"/>
      <c r="AIZ28" s="1"/>
      <c r="AJA28" s="1"/>
      <c r="AJB28" s="1"/>
      <c r="AJC28" s="1"/>
      <c r="AJD28" s="1"/>
      <c r="AJE28" s="1"/>
      <c r="AJF28" s="1"/>
      <c r="AJG28" s="1"/>
      <c r="AJH28" s="1"/>
      <c r="AJI28" s="1"/>
      <c r="AJJ28" s="1"/>
      <c r="AJK28" s="1"/>
      <c r="AJL28" s="1"/>
      <c r="AJM28" s="1"/>
      <c r="AJN28" s="1"/>
      <c r="AJO28" s="1"/>
      <c r="AJP28" s="1"/>
      <c r="AJQ28" s="1"/>
      <c r="AJR28" s="1"/>
      <c r="AJS28" s="1"/>
      <c r="AJT28" s="1"/>
      <c r="AJU28" s="1"/>
      <c r="AJV28" s="1"/>
      <c r="AJW28" s="1"/>
      <c r="AJX28" s="1"/>
      <c r="AJY28" s="1"/>
      <c r="AJZ28" s="1"/>
      <c r="AKA28" s="1"/>
      <c r="AKB28" s="1"/>
      <c r="AKC28" s="1"/>
      <c r="AKD28" s="1"/>
      <c r="AKE28" s="1"/>
      <c r="AKF28" s="1"/>
      <c r="AKG28" s="1"/>
      <c r="AKH28" s="1"/>
      <c r="AKI28" s="1"/>
      <c r="AKJ28" s="1"/>
      <c r="AKK28" s="1"/>
      <c r="AKL28" s="1"/>
      <c r="AKM28" s="1"/>
      <c r="AKN28" s="1"/>
      <c r="AKO28" s="1"/>
      <c r="AKP28" s="1"/>
      <c r="AKQ28" s="1"/>
      <c r="AKR28" s="1"/>
      <c r="AKS28" s="1"/>
      <c r="AKT28" s="1"/>
      <c r="AKU28" s="1"/>
      <c r="AKV28" s="1"/>
      <c r="AKW28" s="1"/>
      <c r="AKX28" s="1"/>
      <c r="AKY28" s="1"/>
      <c r="AKZ28" s="1"/>
      <c r="ALA28" s="1"/>
      <c r="ALB28" s="1"/>
      <c r="ALC28" s="1"/>
      <c r="ALD28" s="1"/>
      <c r="ALE28" s="1"/>
      <c r="ALF28" s="1"/>
      <c r="ALG28" s="1"/>
      <c r="ALH28" s="1"/>
      <c r="ALI28" s="1"/>
      <c r="ALJ28" s="1"/>
      <c r="ALK28" s="1"/>
      <c r="ALL28" s="1"/>
      <c r="ALM28" s="1"/>
      <c r="ALN28" s="1"/>
      <c r="ALO28" s="1"/>
      <c r="ALP28" s="1"/>
      <c r="ALQ28" s="1"/>
      <c r="ALR28" s="1"/>
      <c r="ALS28" s="1"/>
      <c r="ALT28" s="1"/>
      <c r="ALU28" s="1"/>
      <c r="ALV28" s="1"/>
      <c r="ALW28" s="1"/>
      <c r="ALX28" s="1"/>
      <c r="ALY28" s="1"/>
      <c r="ALZ28" s="1"/>
      <c r="AMA28" s="1"/>
      <c r="AMB28" s="1"/>
      <c r="AMC28" s="1"/>
      <c r="AMD28" s="1"/>
      <c r="AME28" s="1"/>
      <c r="AMF28" s="1"/>
      <c r="AMG28" s="1"/>
      <c r="AMH28" s="1"/>
      <c r="AMI28" s="1"/>
      <c r="AMJ28" s="1"/>
      <c r="AMK28" s="1"/>
      <c r="AML28" s="1"/>
      <c r="AMM28" s="1"/>
      <c r="AMN28" s="1"/>
    </row>
    <row r="29" spans="1:1029" x14ac:dyDescent="0.2">
      <c r="A29" s="3" t="str">
        <f t="shared" si="0"/>
        <v>aa2ar_human_5K2A</v>
      </c>
      <c r="B29" s="3" t="s">
        <v>139</v>
      </c>
      <c r="C29" s="3" t="s">
        <v>1345</v>
      </c>
      <c r="D29" s="3" t="str">
        <f>IFERROR(MID(VLOOKUP($B29,Seqs!$A:$B,2,0),E29,1),"")</f>
        <v>P</v>
      </c>
      <c r="E29" s="3">
        <v>2</v>
      </c>
      <c r="F29" s="3" t="str">
        <f>IFERROR(MID(VLOOKUP($B29,Seqs!$A:$B,2,0),G29,1),"")</f>
        <v>N</v>
      </c>
      <c r="G29" s="3">
        <v>34</v>
      </c>
      <c r="H29" s="3" t="str">
        <f>IFERROR(MID(VLOOKUP($B29,Seqs!$A:$B,2,0),I29,1),"")</f>
        <v>S</v>
      </c>
      <c r="I29" s="23">
        <v>35</v>
      </c>
      <c r="J29" s="3" t="str">
        <f>IFERROR(MID(VLOOKUP($B29,Seqs!$A:$B,2,0),K29,1),"")</f>
        <v>Q</v>
      </c>
      <c r="K29" s="23">
        <v>38</v>
      </c>
      <c r="L29" s="3" t="str">
        <f>IFERROR(MID(VLOOKUP($B29,Seqs!$A:$B,2,0),M29,1),"")</f>
        <v>N</v>
      </c>
      <c r="M29" s="3">
        <v>39</v>
      </c>
      <c r="N29" s="3" t="str">
        <f>IFERROR(MID(VLOOKUP($B29,Seqs!$A:$B,2,0),O29,1),"")</f>
        <v>G</v>
      </c>
      <c r="O29" s="3">
        <v>69</v>
      </c>
      <c r="P29" s="3" t="str">
        <f>IFERROR(MID(VLOOKUP($B29,Seqs!$A:$B,2,0),Q29,1),"")</f>
        <v>F</v>
      </c>
      <c r="Q29" s="3">
        <v>70</v>
      </c>
      <c r="R29" s="3" t="str">
        <f>IFERROR(MID(VLOOKUP($B29,Seqs!$A:$B,2,0),S29,1),"")</f>
        <v>A</v>
      </c>
      <c r="S29" s="3">
        <v>72</v>
      </c>
      <c r="T29" s="3" t="str">
        <f>IFERROR(MID(VLOOKUP($B29,Seqs!$A:$B,2,0),U29,1),"")</f>
        <v>A</v>
      </c>
      <c r="U29" s="3">
        <v>73</v>
      </c>
      <c r="V29" s="3" t="str">
        <f>IFERROR(MID(VLOOKUP($B29,Seqs!$A:$B,2,0),W29,1),"")</f>
        <v>I</v>
      </c>
      <c r="W29" s="3">
        <v>108</v>
      </c>
      <c r="X29" s="3" t="str">
        <f>IFERROR(MID(VLOOKUP($B29,Seqs!$A:$B,2,0),Y29,1),"")</f>
        <v>P</v>
      </c>
      <c r="Y29" s="3">
        <v>109</v>
      </c>
      <c r="Z29" s="3" t="str">
        <f>IFERROR(MID(VLOOKUP($B29,Seqs!$A:$B,2,0),AA29,1),"")</f>
        <v>V</v>
      </c>
      <c r="AA29" s="3">
        <v>116</v>
      </c>
      <c r="AB29" s="3" t="str">
        <f>IFERROR(MID(VLOOKUP($B29,Seqs!$A:$B,2,0),AC29,1),"")</f>
        <v>T</v>
      </c>
      <c r="AC29" s="9">
        <v>117</v>
      </c>
      <c r="AD29" s="3" t="str">
        <f>IFERROR(MID(VLOOKUP($B29,Seqs!$A:$B,2,0),AE29,1),"")</f>
        <v>G</v>
      </c>
      <c r="AE29" s="3">
        <v>142</v>
      </c>
      <c r="AF29" s="3" t="str">
        <f>IFERROR(MID(VLOOKUP($B29,Seqs!$A:$B,2,0),AG29,1),"")</f>
        <v>C</v>
      </c>
      <c r="AG29" s="3">
        <v>166</v>
      </c>
      <c r="AH29" s="3" t="str">
        <f>IFERROR(MID(VLOOKUP($B29,Seqs!$A:$B,2,0),AI29,1),"")</f>
        <v>F</v>
      </c>
      <c r="AI29" s="3">
        <v>168</v>
      </c>
      <c r="AJ29" s="3" t="str">
        <f>IFERROR(MID(VLOOKUP($B29,Seqs!$A:$B,2,0),AK29,1),"")</f>
        <v>P</v>
      </c>
      <c r="AK29" s="3">
        <v>173</v>
      </c>
      <c r="AL29" s="3" t="str">
        <f>IFERROR(MID(VLOOKUP($B29,Seqs!$A:$B,2,0),AM29,1),"")</f>
        <v>L</v>
      </c>
      <c r="AM29" s="3">
        <v>208</v>
      </c>
      <c r="AN29" s="3" t="str">
        <f>IFERROR(MID(VLOOKUP($B29,Seqs!$A:$B,2,0),AO29,1),"")</f>
        <v>E</v>
      </c>
      <c r="AO29" s="3">
        <v>219</v>
      </c>
      <c r="AP29" s="3" t="str">
        <f>IFERROR(MID(VLOOKUP($B29,Seqs!$A:$B,2,0),AQ29,1),"")</f>
        <v>C</v>
      </c>
      <c r="AQ29" s="3">
        <v>259</v>
      </c>
      <c r="AR29" s="3" t="str">
        <f>IFERROR(MID(VLOOKUP($B29,Seqs!$A:$B,2,0),AS29,1),"")</f>
        <v>P</v>
      </c>
      <c r="AS29" s="3">
        <v>266</v>
      </c>
      <c r="AT29" s="3" t="str">
        <f>IFERROR(MID(VLOOKUP($B29,Seqs!$A:$B,2,0),AU29,1),"")</f>
        <v>R</v>
      </c>
      <c r="AU29" s="3">
        <v>291</v>
      </c>
      <c r="AV29" s="3" t="str">
        <f>IFERROR(MID(VLOOKUP($B29,Seqs!$A:$B,2,0),AW29,1),"")</f>
        <v>I</v>
      </c>
      <c r="AW29" s="3">
        <v>292</v>
      </c>
      <c r="AX29" s="3" t="str">
        <f>IFERROR(MID(VLOOKUP($B29,Seqs!$A:$B,2,0),AY29,1),"")</f>
        <v>V</v>
      </c>
      <c r="AY29" s="3">
        <v>307</v>
      </c>
      <c r="AZ29" s="79" t="str">
        <f>VLOOKUP(B29,Classification!A:D,2,0)</f>
        <v>A</v>
      </c>
      <c r="BA29" s="97" t="str">
        <f>VLOOKUP(B29,Classification!A:D,4,0)</f>
        <v>Adenosine</v>
      </c>
      <c r="BB29" s="27" t="b">
        <f t="shared" si="1"/>
        <v>1</v>
      </c>
      <c r="BC29" s="23">
        <f t="shared" si="84"/>
        <v>263</v>
      </c>
      <c r="BD29" s="1" t="s">
        <v>23</v>
      </c>
      <c r="BE29" s="3" t="s">
        <v>1381</v>
      </c>
      <c r="BF29" s="50" t="s">
        <v>1384</v>
      </c>
      <c r="BG29" s="50" t="s">
        <v>1384</v>
      </c>
      <c r="BH29" s="1"/>
      <c r="BI29" s="72" t="s">
        <v>1293</v>
      </c>
      <c r="BJ29" s="58" t="s">
        <v>1293</v>
      </c>
      <c r="BK29" s="58" t="s">
        <v>1293</v>
      </c>
      <c r="BL29" s="58" t="s">
        <v>1293</v>
      </c>
      <c r="BM29" s="58" t="s">
        <v>1293</v>
      </c>
      <c r="BN29" s="58" t="s">
        <v>1293</v>
      </c>
      <c r="BO29" s="58" t="s">
        <v>1293</v>
      </c>
      <c r="BP29" s="58" t="s">
        <v>1293</v>
      </c>
      <c r="BQ29" s="58" t="s">
        <v>1293</v>
      </c>
      <c r="BR29" s="58" t="s">
        <v>1293</v>
      </c>
      <c r="BS29" s="58" t="s">
        <v>1293</v>
      </c>
      <c r="BT29" s="58" t="s">
        <v>1293</v>
      </c>
      <c r="BU29" s="72">
        <f t="shared" si="85"/>
        <v>2</v>
      </c>
      <c r="BV29" s="73">
        <f t="shared" si="86"/>
        <v>35</v>
      </c>
      <c r="BW29" s="74">
        <f t="shared" si="87"/>
        <v>39</v>
      </c>
      <c r="BX29" s="73">
        <f t="shared" si="88"/>
        <v>70</v>
      </c>
      <c r="BY29" s="74">
        <f t="shared" si="89"/>
        <v>73</v>
      </c>
      <c r="BZ29" s="73">
        <f t="shared" si="90"/>
        <v>109</v>
      </c>
      <c r="CA29" s="74">
        <f t="shared" si="91"/>
        <v>117</v>
      </c>
      <c r="CB29" s="73">
        <f t="shared" si="92"/>
        <v>166</v>
      </c>
      <c r="CC29" s="74">
        <f t="shared" si="93"/>
        <v>173</v>
      </c>
      <c r="CD29" s="73">
        <f t="shared" si="94"/>
        <v>219</v>
      </c>
      <c r="CE29" s="74">
        <f t="shared" si="95"/>
        <v>266</v>
      </c>
      <c r="CF29" s="73">
        <f t="shared" si="96"/>
        <v>292</v>
      </c>
      <c r="CG29" s="72">
        <f t="shared" si="97"/>
        <v>34</v>
      </c>
      <c r="CH29" s="73">
        <f t="shared" si="98"/>
        <v>38</v>
      </c>
      <c r="CI29" s="74">
        <f t="shared" si="99"/>
        <v>69</v>
      </c>
      <c r="CJ29" s="74">
        <f t="shared" si="100"/>
        <v>72</v>
      </c>
      <c r="CK29" s="74">
        <f t="shared" si="101"/>
        <v>108</v>
      </c>
      <c r="CL29" s="74">
        <f t="shared" si="102"/>
        <v>116</v>
      </c>
      <c r="CM29" s="74">
        <f t="shared" si="103"/>
        <v>142</v>
      </c>
      <c r="CN29" s="74">
        <f t="shared" si="104"/>
        <v>168</v>
      </c>
      <c r="CO29" s="74">
        <f t="shared" si="105"/>
        <v>208</v>
      </c>
      <c r="CP29" s="74">
        <f t="shared" si="106"/>
        <v>259</v>
      </c>
      <c r="CQ29" s="74">
        <f t="shared" si="107"/>
        <v>291</v>
      </c>
      <c r="CR29" s="74">
        <f t="shared" si="108"/>
        <v>307</v>
      </c>
      <c r="CS29" s="23">
        <f t="shared" si="109"/>
        <v>1</v>
      </c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  <c r="OK29" s="1"/>
      <c r="OL29" s="1"/>
      <c r="OM29" s="1"/>
      <c r="ON29" s="1"/>
      <c r="OO29" s="1"/>
      <c r="OP29" s="1"/>
      <c r="OQ29" s="1"/>
      <c r="OR29" s="1"/>
      <c r="OS29" s="1"/>
      <c r="OT29" s="1"/>
      <c r="OU29" s="1"/>
      <c r="OV29" s="1"/>
      <c r="OW29" s="1"/>
      <c r="OX29" s="1"/>
      <c r="OY29" s="1"/>
      <c r="OZ29" s="1"/>
      <c r="PA29" s="1"/>
      <c r="PB29" s="1"/>
      <c r="PC29" s="1"/>
      <c r="PD29" s="1"/>
      <c r="PE29" s="1"/>
      <c r="PF29" s="1"/>
      <c r="PG29" s="1"/>
      <c r="PH29" s="1"/>
      <c r="PI29" s="1"/>
      <c r="PJ29" s="1"/>
      <c r="PK29" s="1"/>
      <c r="PL29" s="1"/>
      <c r="PM29" s="1"/>
      <c r="PN29" s="1"/>
      <c r="PO29" s="1"/>
      <c r="PP29" s="1"/>
      <c r="PQ29" s="1"/>
      <c r="PR29" s="1"/>
      <c r="PS29" s="1"/>
      <c r="PT29" s="1"/>
      <c r="PU29" s="1"/>
      <c r="PV29" s="1"/>
      <c r="PW29" s="1"/>
      <c r="PX29" s="1"/>
      <c r="PY29" s="1"/>
      <c r="PZ29" s="1"/>
      <c r="QA29" s="1"/>
      <c r="QB29" s="1"/>
      <c r="QC29" s="1"/>
      <c r="QD29" s="1"/>
      <c r="QE29" s="1"/>
      <c r="QF29" s="1"/>
      <c r="QG29" s="1"/>
      <c r="QH29" s="1"/>
      <c r="QI29" s="1"/>
      <c r="QJ29" s="1"/>
      <c r="QK29" s="1"/>
      <c r="QL29" s="1"/>
      <c r="QM29" s="1"/>
      <c r="QN29" s="1"/>
      <c r="QO29" s="1"/>
      <c r="QP29" s="1"/>
      <c r="QQ29" s="1"/>
      <c r="QR29" s="1"/>
      <c r="QS29" s="1"/>
      <c r="QT29" s="1"/>
      <c r="QU29" s="1"/>
      <c r="QV29" s="1"/>
      <c r="QW29" s="1"/>
      <c r="QX29" s="1"/>
      <c r="QY29" s="1"/>
      <c r="QZ29" s="1"/>
      <c r="RA29" s="1"/>
      <c r="RB29" s="1"/>
      <c r="RC29" s="1"/>
      <c r="RD29" s="1"/>
      <c r="RE29" s="1"/>
      <c r="RF29" s="1"/>
      <c r="RG29" s="1"/>
      <c r="RH29" s="1"/>
      <c r="RI29" s="1"/>
      <c r="RJ29" s="1"/>
      <c r="RK29" s="1"/>
      <c r="RL29" s="1"/>
      <c r="RM29" s="1"/>
      <c r="RN29" s="1"/>
      <c r="RO29" s="1"/>
      <c r="RP29" s="1"/>
      <c r="RQ29" s="1"/>
      <c r="RR29" s="1"/>
      <c r="RS29" s="1"/>
      <c r="RT29" s="1"/>
      <c r="RU29" s="1"/>
      <c r="RV29" s="1"/>
      <c r="RW29" s="1"/>
      <c r="RX29" s="1"/>
      <c r="RY29" s="1"/>
      <c r="RZ29" s="1"/>
      <c r="SA29" s="1"/>
      <c r="SB29" s="1"/>
      <c r="SC29" s="1"/>
      <c r="SD29" s="1"/>
      <c r="SE29" s="1"/>
      <c r="SF29" s="1"/>
      <c r="SG29" s="1"/>
      <c r="SH29" s="1"/>
      <c r="SI29" s="1"/>
      <c r="SJ29" s="1"/>
      <c r="SK29" s="1"/>
      <c r="SL29" s="1"/>
      <c r="SM29" s="1"/>
      <c r="SN29" s="1"/>
      <c r="SO29" s="1"/>
      <c r="SP29" s="1"/>
      <c r="SQ29" s="1"/>
      <c r="SR29" s="1"/>
      <c r="SS29" s="1"/>
      <c r="ST29" s="1"/>
      <c r="SU29" s="1"/>
      <c r="SV29" s="1"/>
      <c r="SW29" s="1"/>
      <c r="SX29" s="1"/>
      <c r="SY29" s="1"/>
      <c r="SZ29" s="1"/>
      <c r="TA29" s="1"/>
      <c r="TB29" s="1"/>
      <c r="TC29" s="1"/>
      <c r="TD29" s="1"/>
      <c r="TE29" s="1"/>
      <c r="TF29" s="1"/>
      <c r="TG29" s="1"/>
      <c r="TH29" s="1"/>
      <c r="TI29" s="1"/>
      <c r="TJ29" s="1"/>
      <c r="TK29" s="1"/>
      <c r="TL29" s="1"/>
      <c r="TM29" s="1"/>
      <c r="TN29" s="1"/>
      <c r="TO29" s="1"/>
      <c r="TP29" s="1"/>
      <c r="TQ29" s="1"/>
      <c r="TR29" s="1"/>
      <c r="TS29" s="1"/>
      <c r="TT29" s="1"/>
      <c r="TU29" s="1"/>
      <c r="TV29" s="1"/>
      <c r="TW29" s="1"/>
      <c r="TX29" s="1"/>
      <c r="TY29" s="1"/>
      <c r="TZ29" s="1"/>
      <c r="UA29" s="1"/>
      <c r="UB29" s="1"/>
      <c r="UC29" s="1"/>
      <c r="UD29" s="1"/>
      <c r="UE29" s="1"/>
      <c r="UF29" s="1"/>
      <c r="UG29" s="1"/>
      <c r="UH29" s="1"/>
      <c r="UI29" s="1"/>
      <c r="UJ29" s="1"/>
      <c r="UK29" s="1"/>
      <c r="UL29" s="1"/>
      <c r="UM29" s="1"/>
      <c r="UN29" s="1"/>
      <c r="UO29" s="1"/>
      <c r="UP29" s="1"/>
      <c r="UQ29" s="1"/>
      <c r="UR29" s="1"/>
      <c r="US29" s="1"/>
      <c r="UT29" s="1"/>
      <c r="UU29" s="1"/>
      <c r="UV29" s="1"/>
      <c r="UW29" s="1"/>
      <c r="UX29" s="1"/>
      <c r="UY29" s="1"/>
      <c r="UZ29" s="1"/>
      <c r="VA29" s="1"/>
      <c r="VB29" s="1"/>
      <c r="VC29" s="1"/>
      <c r="VD29" s="1"/>
      <c r="VE29" s="1"/>
      <c r="VF29" s="1"/>
      <c r="VG29" s="1"/>
      <c r="VH29" s="1"/>
      <c r="VI29" s="1"/>
      <c r="VJ29" s="1"/>
      <c r="VK29" s="1"/>
      <c r="VL29" s="1"/>
      <c r="VM29" s="1"/>
      <c r="VN29" s="1"/>
      <c r="VO29" s="1"/>
      <c r="VP29" s="1"/>
      <c r="VQ29" s="1"/>
      <c r="VR29" s="1"/>
      <c r="VS29" s="1"/>
      <c r="VT29" s="1"/>
      <c r="VU29" s="1"/>
      <c r="VV29" s="1"/>
      <c r="VW29" s="1"/>
      <c r="VX29" s="1"/>
      <c r="VY29" s="1"/>
      <c r="VZ29" s="1"/>
      <c r="WA29" s="1"/>
      <c r="WB29" s="1"/>
      <c r="WC29" s="1"/>
      <c r="WD29" s="1"/>
      <c r="WE29" s="1"/>
      <c r="WF29" s="1"/>
      <c r="WG29" s="1"/>
      <c r="WH29" s="1"/>
      <c r="WI29" s="1"/>
      <c r="WJ29" s="1"/>
      <c r="WK29" s="1"/>
      <c r="WL29" s="1"/>
      <c r="WM29" s="1"/>
      <c r="WN29" s="1"/>
      <c r="WO29" s="1"/>
      <c r="WP29" s="1"/>
      <c r="WQ29" s="1"/>
      <c r="WR29" s="1"/>
      <c r="WS29" s="1"/>
      <c r="WT29" s="1"/>
      <c r="WU29" s="1"/>
      <c r="WV29" s="1"/>
      <c r="WW29" s="1"/>
      <c r="WX29" s="1"/>
      <c r="WY29" s="1"/>
      <c r="WZ29" s="1"/>
      <c r="XA29" s="1"/>
      <c r="XB29" s="1"/>
      <c r="XC29" s="1"/>
      <c r="XD29" s="1"/>
      <c r="XE29" s="1"/>
      <c r="XF29" s="1"/>
      <c r="XG29" s="1"/>
      <c r="XH29" s="1"/>
      <c r="XI29" s="1"/>
      <c r="XJ29" s="1"/>
      <c r="XK29" s="1"/>
      <c r="XL29" s="1"/>
      <c r="XM29" s="1"/>
      <c r="XN29" s="1"/>
      <c r="XO29" s="1"/>
      <c r="XP29" s="1"/>
      <c r="XQ29" s="1"/>
      <c r="XR29" s="1"/>
      <c r="XS29" s="1"/>
      <c r="XT29" s="1"/>
      <c r="XU29" s="1"/>
      <c r="XV29" s="1"/>
      <c r="XW29" s="1"/>
      <c r="XX29" s="1"/>
      <c r="XY29" s="1"/>
      <c r="XZ29" s="1"/>
      <c r="YA29" s="1"/>
      <c r="YB29" s="1"/>
      <c r="YC29" s="1"/>
      <c r="YD29" s="1"/>
      <c r="YE29" s="1"/>
      <c r="YF29" s="1"/>
      <c r="YG29" s="1"/>
      <c r="YH29" s="1"/>
      <c r="YI29" s="1"/>
      <c r="YJ29" s="1"/>
      <c r="YK29" s="1"/>
      <c r="YL29" s="1"/>
      <c r="YM29" s="1"/>
      <c r="YN29" s="1"/>
      <c r="YO29" s="1"/>
      <c r="YP29" s="1"/>
      <c r="YQ29" s="1"/>
      <c r="YR29" s="1"/>
      <c r="YS29" s="1"/>
      <c r="YT29" s="1"/>
      <c r="YU29" s="1"/>
      <c r="YV29" s="1"/>
      <c r="YW29" s="1"/>
      <c r="YX29" s="1"/>
      <c r="YY29" s="1"/>
      <c r="YZ29" s="1"/>
      <c r="ZA29" s="1"/>
      <c r="ZB29" s="1"/>
      <c r="ZC29" s="1"/>
      <c r="ZD29" s="1"/>
      <c r="ZE29" s="1"/>
      <c r="ZF29" s="1"/>
      <c r="ZG29" s="1"/>
      <c r="ZH29" s="1"/>
      <c r="ZI29" s="1"/>
      <c r="ZJ29" s="1"/>
      <c r="ZK29" s="1"/>
      <c r="ZL29" s="1"/>
      <c r="ZM29" s="1"/>
      <c r="ZN29" s="1"/>
      <c r="ZO29" s="1"/>
      <c r="ZP29" s="1"/>
      <c r="ZQ29" s="1"/>
      <c r="ZR29" s="1"/>
      <c r="ZS29" s="1"/>
      <c r="ZT29" s="1"/>
      <c r="ZU29" s="1"/>
      <c r="ZV29" s="1"/>
      <c r="ZW29" s="1"/>
      <c r="ZX29" s="1"/>
      <c r="ZY29" s="1"/>
      <c r="ZZ29" s="1"/>
      <c r="AAA29" s="1"/>
      <c r="AAB29" s="1"/>
      <c r="AAC29" s="1"/>
      <c r="AAD29" s="1"/>
      <c r="AAE29" s="1"/>
      <c r="AAF29" s="1"/>
      <c r="AAG29" s="1"/>
      <c r="AAH29" s="1"/>
      <c r="AAI29" s="1"/>
      <c r="AAJ29" s="1"/>
      <c r="AAK29" s="1"/>
      <c r="AAL29" s="1"/>
      <c r="AAM29" s="1"/>
      <c r="AAN29" s="1"/>
      <c r="AAO29" s="1"/>
      <c r="AAP29" s="1"/>
      <c r="AAQ29" s="1"/>
      <c r="AAR29" s="1"/>
      <c r="AAS29" s="1"/>
      <c r="AAT29" s="1"/>
      <c r="AAU29" s="1"/>
      <c r="AAV29" s="1"/>
      <c r="AAW29" s="1"/>
      <c r="AAX29" s="1"/>
      <c r="AAY29" s="1"/>
      <c r="AAZ29" s="1"/>
      <c r="ABA29" s="1"/>
      <c r="ABB29" s="1"/>
      <c r="ABC29" s="1"/>
      <c r="ABD29" s="1"/>
      <c r="ABE29" s="1"/>
      <c r="ABF29" s="1"/>
      <c r="ABG29" s="1"/>
      <c r="ABH29" s="1"/>
      <c r="ABI29" s="1"/>
      <c r="ABJ29" s="1"/>
      <c r="ABK29" s="1"/>
      <c r="ABL29" s="1"/>
      <c r="ABM29" s="1"/>
      <c r="ABN29" s="1"/>
      <c r="ABO29" s="1"/>
      <c r="ABP29" s="1"/>
      <c r="ABQ29" s="1"/>
      <c r="ABR29" s="1"/>
      <c r="ABS29" s="1"/>
      <c r="ABT29" s="1"/>
      <c r="ABU29" s="1"/>
      <c r="ABV29" s="1"/>
      <c r="ABW29" s="1"/>
      <c r="ABX29" s="1"/>
      <c r="ABY29" s="1"/>
      <c r="ABZ29" s="1"/>
      <c r="ACA29" s="1"/>
      <c r="ACB29" s="1"/>
      <c r="ACC29" s="1"/>
      <c r="ACD29" s="1"/>
      <c r="ACE29" s="1"/>
      <c r="ACF29" s="1"/>
      <c r="ACG29" s="1"/>
      <c r="ACH29" s="1"/>
      <c r="ACI29" s="1"/>
      <c r="ACJ29" s="1"/>
      <c r="ACK29" s="1"/>
      <c r="ACL29" s="1"/>
      <c r="ACM29" s="1"/>
      <c r="ACN29" s="1"/>
      <c r="ACO29" s="1"/>
      <c r="ACP29" s="1"/>
      <c r="ACQ29" s="1"/>
      <c r="ACR29" s="1"/>
      <c r="ACS29" s="1"/>
      <c r="ACT29" s="1"/>
      <c r="ACU29" s="1"/>
      <c r="ACV29" s="1"/>
      <c r="ACW29" s="1"/>
      <c r="ACX29" s="1"/>
      <c r="ACY29" s="1"/>
      <c r="ACZ29" s="1"/>
      <c r="ADA29" s="1"/>
      <c r="ADB29" s="1"/>
      <c r="ADC29" s="1"/>
      <c r="ADD29" s="1"/>
      <c r="ADE29" s="1"/>
      <c r="ADF29" s="1"/>
      <c r="ADG29" s="1"/>
      <c r="ADH29" s="1"/>
      <c r="ADI29" s="1"/>
      <c r="ADJ29" s="1"/>
      <c r="ADK29" s="1"/>
      <c r="ADL29" s="1"/>
      <c r="ADM29" s="1"/>
      <c r="ADN29" s="1"/>
      <c r="ADO29" s="1"/>
      <c r="ADP29" s="1"/>
      <c r="ADQ29" s="1"/>
      <c r="ADR29" s="1"/>
      <c r="ADS29" s="1"/>
      <c r="ADT29" s="1"/>
      <c r="ADU29" s="1"/>
      <c r="ADV29" s="1"/>
      <c r="ADW29" s="1"/>
      <c r="ADX29" s="1"/>
      <c r="ADY29" s="1"/>
      <c r="ADZ29" s="1"/>
      <c r="AEA29" s="1"/>
      <c r="AEB29" s="1"/>
      <c r="AEC29" s="1"/>
      <c r="AED29" s="1"/>
      <c r="AEE29" s="1"/>
      <c r="AEF29" s="1"/>
      <c r="AEG29" s="1"/>
      <c r="AEH29" s="1"/>
      <c r="AEI29" s="1"/>
      <c r="AEJ29" s="1"/>
      <c r="AEK29" s="1"/>
      <c r="AEL29" s="1"/>
      <c r="AEM29" s="1"/>
      <c r="AEN29" s="1"/>
      <c r="AEO29" s="1"/>
      <c r="AEP29" s="1"/>
      <c r="AEQ29" s="1"/>
      <c r="AER29" s="1"/>
      <c r="AES29" s="1"/>
      <c r="AET29" s="1"/>
      <c r="AEU29" s="1"/>
      <c r="AEV29" s="1"/>
      <c r="AEW29" s="1"/>
      <c r="AEX29" s="1"/>
      <c r="AEY29" s="1"/>
      <c r="AEZ29" s="1"/>
      <c r="AFA29" s="1"/>
      <c r="AFB29" s="1"/>
      <c r="AFC29" s="1"/>
      <c r="AFD29" s="1"/>
      <c r="AFE29" s="1"/>
      <c r="AFF29" s="1"/>
      <c r="AFG29" s="1"/>
      <c r="AFH29" s="1"/>
      <c r="AFI29" s="1"/>
      <c r="AFJ29" s="1"/>
      <c r="AFK29" s="1"/>
      <c r="AFL29" s="1"/>
      <c r="AFM29" s="1"/>
      <c r="AFN29" s="1"/>
      <c r="AFO29" s="1"/>
      <c r="AFP29" s="1"/>
      <c r="AFQ29" s="1"/>
      <c r="AFR29" s="1"/>
      <c r="AFS29" s="1"/>
      <c r="AFT29" s="1"/>
      <c r="AFU29" s="1"/>
      <c r="AFV29" s="1"/>
      <c r="AFW29" s="1"/>
      <c r="AFX29" s="1"/>
      <c r="AFY29" s="1"/>
      <c r="AFZ29" s="1"/>
      <c r="AGA29" s="1"/>
      <c r="AGB29" s="1"/>
      <c r="AGC29" s="1"/>
      <c r="AGD29" s="1"/>
      <c r="AGE29" s="1"/>
      <c r="AGF29" s="1"/>
      <c r="AGG29" s="1"/>
      <c r="AGH29" s="1"/>
      <c r="AGI29" s="1"/>
      <c r="AGJ29" s="1"/>
      <c r="AGK29" s="1"/>
      <c r="AGL29" s="1"/>
      <c r="AGM29" s="1"/>
      <c r="AGN29" s="1"/>
      <c r="AGO29" s="1"/>
      <c r="AGP29" s="1"/>
      <c r="AGQ29" s="1"/>
      <c r="AGR29" s="1"/>
      <c r="AGS29" s="1"/>
      <c r="AGT29" s="1"/>
      <c r="AGU29" s="1"/>
      <c r="AGV29" s="1"/>
      <c r="AGW29" s="1"/>
      <c r="AGX29" s="1"/>
      <c r="AGY29" s="1"/>
      <c r="AGZ29" s="1"/>
      <c r="AHA29" s="1"/>
      <c r="AHB29" s="1"/>
      <c r="AHC29" s="1"/>
      <c r="AHD29" s="1"/>
      <c r="AHE29" s="1"/>
      <c r="AHF29" s="1"/>
      <c r="AHG29" s="1"/>
      <c r="AHH29" s="1"/>
      <c r="AHI29" s="1"/>
      <c r="AHJ29" s="1"/>
      <c r="AHK29" s="1"/>
      <c r="AHL29" s="1"/>
      <c r="AHM29" s="1"/>
      <c r="AHN29" s="1"/>
      <c r="AHO29" s="1"/>
      <c r="AHP29" s="1"/>
      <c r="AHQ29" s="1"/>
      <c r="AHR29" s="1"/>
      <c r="AHS29" s="1"/>
      <c r="AHT29" s="1"/>
      <c r="AHU29" s="1"/>
      <c r="AHV29" s="1"/>
      <c r="AHW29" s="1"/>
      <c r="AHX29" s="1"/>
      <c r="AHY29" s="1"/>
      <c r="AHZ29" s="1"/>
      <c r="AIA29" s="1"/>
      <c r="AIB29" s="1"/>
      <c r="AIC29" s="1"/>
      <c r="AID29" s="1"/>
      <c r="AIE29" s="1"/>
      <c r="AIF29" s="1"/>
      <c r="AIG29" s="1"/>
      <c r="AIH29" s="1"/>
      <c r="AII29" s="1"/>
      <c r="AIJ29" s="1"/>
      <c r="AIK29" s="1"/>
      <c r="AIL29" s="1"/>
      <c r="AIM29" s="1"/>
      <c r="AIN29" s="1"/>
      <c r="AIO29" s="1"/>
      <c r="AIP29" s="1"/>
      <c r="AIQ29" s="1"/>
      <c r="AIR29" s="1"/>
      <c r="AIS29" s="1"/>
      <c r="AIT29" s="1"/>
      <c r="AIU29" s="1"/>
      <c r="AIV29" s="1"/>
      <c r="AIW29" s="1"/>
      <c r="AIX29" s="1"/>
      <c r="AIY29" s="1"/>
      <c r="AIZ29" s="1"/>
      <c r="AJA29" s="1"/>
      <c r="AJB29" s="1"/>
      <c r="AJC29" s="1"/>
      <c r="AJD29" s="1"/>
      <c r="AJE29" s="1"/>
      <c r="AJF29" s="1"/>
      <c r="AJG29" s="1"/>
      <c r="AJH29" s="1"/>
      <c r="AJI29" s="1"/>
      <c r="AJJ29" s="1"/>
      <c r="AJK29" s="1"/>
      <c r="AJL29" s="1"/>
      <c r="AJM29" s="1"/>
      <c r="AJN29" s="1"/>
      <c r="AJO29" s="1"/>
      <c r="AJP29" s="1"/>
      <c r="AJQ29" s="1"/>
      <c r="AJR29" s="1"/>
      <c r="AJS29" s="1"/>
      <c r="AJT29" s="1"/>
      <c r="AJU29" s="1"/>
      <c r="AJV29" s="1"/>
      <c r="AJW29" s="1"/>
      <c r="AJX29" s="1"/>
      <c r="AJY29" s="1"/>
      <c r="AJZ29" s="1"/>
      <c r="AKA29" s="1"/>
      <c r="AKB29" s="1"/>
      <c r="AKC29" s="1"/>
      <c r="AKD29" s="1"/>
      <c r="AKE29" s="1"/>
      <c r="AKF29" s="1"/>
      <c r="AKG29" s="1"/>
      <c r="AKH29" s="1"/>
      <c r="AKI29" s="1"/>
      <c r="AKJ29" s="1"/>
      <c r="AKK29" s="1"/>
      <c r="AKL29" s="1"/>
      <c r="AKM29" s="1"/>
      <c r="AKN29" s="1"/>
      <c r="AKO29" s="1"/>
      <c r="AKP29" s="1"/>
      <c r="AKQ29" s="1"/>
      <c r="AKR29" s="1"/>
      <c r="AKS29" s="1"/>
      <c r="AKT29" s="1"/>
      <c r="AKU29" s="1"/>
      <c r="AKV29" s="1"/>
      <c r="AKW29" s="1"/>
      <c r="AKX29" s="1"/>
      <c r="AKY29" s="1"/>
      <c r="AKZ29" s="1"/>
      <c r="ALA29" s="1"/>
      <c r="ALB29" s="1"/>
      <c r="ALC29" s="1"/>
      <c r="ALD29" s="1"/>
      <c r="ALE29" s="1"/>
      <c r="ALF29" s="1"/>
      <c r="ALG29" s="1"/>
      <c r="ALH29" s="1"/>
      <c r="ALI29" s="1"/>
      <c r="ALJ29" s="1"/>
      <c r="ALK29" s="1"/>
      <c r="ALL29" s="1"/>
      <c r="ALM29" s="1"/>
      <c r="ALN29" s="1"/>
      <c r="ALO29" s="1"/>
      <c r="ALP29" s="1"/>
      <c r="ALQ29" s="1"/>
      <c r="ALR29" s="1"/>
      <c r="ALS29" s="1"/>
      <c r="ALT29" s="1"/>
      <c r="ALU29" s="1"/>
      <c r="ALV29" s="1"/>
      <c r="ALW29" s="1"/>
      <c r="ALX29" s="1"/>
      <c r="ALY29" s="1"/>
      <c r="ALZ29" s="1"/>
      <c r="AMA29" s="1"/>
      <c r="AMB29" s="1"/>
      <c r="AMC29" s="1"/>
      <c r="AMD29" s="1"/>
      <c r="AME29" s="1"/>
      <c r="AMF29" s="1"/>
      <c r="AMG29" s="1"/>
      <c r="AMH29" s="1"/>
      <c r="AMI29" s="1"/>
      <c r="AMJ29" s="1"/>
      <c r="AMK29" s="1"/>
      <c r="AML29" s="1"/>
      <c r="AMM29" s="1"/>
      <c r="AMN29" s="1"/>
    </row>
    <row r="30" spans="1:1029" x14ac:dyDescent="0.2">
      <c r="A30" s="3" t="str">
        <f t="shared" si="0"/>
        <v>aa2ar_human_5K2B</v>
      </c>
      <c r="B30" s="3" t="s">
        <v>139</v>
      </c>
      <c r="C30" s="3" t="s">
        <v>1346</v>
      </c>
      <c r="D30" s="3" t="str">
        <f>IFERROR(MID(VLOOKUP($B30,Seqs!$A:$B,2,0),E30,1),"")</f>
        <v>P</v>
      </c>
      <c r="E30" s="3">
        <v>2</v>
      </c>
      <c r="F30" s="3" t="str">
        <f>IFERROR(MID(VLOOKUP($B30,Seqs!$A:$B,2,0),G30,1),"")</f>
        <v>N</v>
      </c>
      <c r="G30" s="3">
        <v>34</v>
      </c>
      <c r="H30" s="3" t="str">
        <f>IFERROR(MID(VLOOKUP($B30,Seqs!$A:$B,2,0),I30,1),"")</f>
        <v>S</v>
      </c>
      <c r="I30" s="23">
        <v>35</v>
      </c>
      <c r="J30" s="3" t="str">
        <f>IFERROR(MID(VLOOKUP($B30,Seqs!$A:$B,2,0),K30,1),"")</f>
        <v>Q</v>
      </c>
      <c r="K30" s="23">
        <v>38</v>
      </c>
      <c r="L30" s="3" t="str">
        <f>IFERROR(MID(VLOOKUP($B30,Seqs!$A:$B,2,0),M30,1),"")</f>
        <v>N</v>
      </c>
      <c r="M30" s="3">
        <v>39</v>
      </c>
      <c r="N30" s="3" t="str">
        <f>IFERROR(MID(VLOOKUP($B30,Seqs!$A:$B,2,0),O30,1),"")</f>
        <v>G</v>
      </c>
      <c r="O30" s="3">
        <v>69</v>
      </c>
      <c r="P30" s="3" t="str">
        <f>IFERROR(MID(VLOOKUP($B30,Seqs!$A:$B,2,0),Q30,1),"")</f>
        <v>F</v>
      </c>
      <c r="Q30" s="3">
        <v>70</v>
      </c>
      <c r="R30" s="3" t="str">
        <f>IFERROR(MID(VLOOKUP($B30,Seqs!$A:$B,2,0),S30,1),"")</f>
        <v>A</v>
      </c>
      <c r="S30" s="3">
        <v>72</v>
      </c>
      <c r="T30" s="3" t="str">
        <f>IFERROR(MID(VLOOKUP($B30,Seqs!$A:$B,2,0),U30,1),"")</f>
        <v>A</v>
      </c>
      <c r="U30" s="3">
        <v>73</v>
      </c>
      <c r="V30" s="3" t="str">
        <f>IFERROR(MID(VLOOKUP($B30,Seqs!$A:$B,2,0),W30,1),"")</f>
        <v>I</v>
      </c>
      <c r="W30" s="3">
        <v>108</v>
      </c>
      <c r="X30" s="3" t="str">
        <f>IFERROR(MID(VLOOKUP($B30,Seqs!$A:$B,2,0),Y30,1),"")</f>
        <v>P</v>
      </c>
      <c r="Y30" s="3">
        <v>109</v>
      </c>
      <c r="Z30" s="3" t="str">
        <f>IFERROR(MID(VLOOKUP($B30,Seqs!$A:$B,2,0),AA30,1),"")</f>
        <v>V</v>
      </c>
      <c r="AA30" s="3">
        <v>116</v>
      </c>
      <c r="AB30" s="3" t="str">
        <f>IFERROR(MID(VLOOKUP($B30,Seqs!$A:$B,2,0),AC30,1),"")</f>
        <v>T</v>
      </c>
      <c r="AC30" s="9">
        <v>117</v>
      </c>
      <c r="AD30" s="3" t="str">
        <f>IFERROR(MID(VLOOKUP($B30,Seqs!$A:$B,2,0),AE30,1),"")</f>
        <v>G</v>
      </c>
      <c r="AE30" s="3">
        <v>142</v>
      </c>
      <c r="AF30" s="3" t="str">
        <f>IFERROR(MID(VLOOKUP($B30,Seqs!$A:$B,2,0),AG30,1),"")</f>
        <v>C</v>
      </c>
      <c r="AG30" s="3">
        <v>166</v>
      </c>
      <c r="AH30" s="3" t="str">
        <f>IFERROR(MID(VLOOKUP($B30,Seqs!$A:$B,2,0),AI30,1),"")</f>
        <v>F</v>
      </c>
      <c r="AI30" s="3">
        <v>168</v>
      </c>
      <c r="AJ30" s="3" t="str">
        <f>IFERROR(MID(VLOOKUP($B30,Seqs!$A:$B,2,0),AK30,1),"")</f>
        <v>P</v>
      </c>
      <c r="AK30" s="3">
        <v>173</v>
      </c>
      <c r="AL30" s="3" t="str">
        <f>IFERROR(MID(VLOOKUP($B30,Seqs!$A:$B,2,0),AM30,1),"")</f>
        <v>L</v>
      </c>
      <c r="AM30" s="3">
        <v>208</v>
      </c>
      <c r="AN30" s="3" t="str">
        <f>IFERROR(MID(VLOOKUP($B30,Seqs!$A:$B,2,0),AO30,1),"")</f>
        <v>E</v>
      </c>
      <c r="AO30" s="3">
        <v>219</v>
      </c>
      <c r="AP30" s="3" t="str">
        <f>IFERROR(MID(VLOOKUP($B30,Seqs!$A:$B,2,0),AQ30,1),"")</f>
        <v>C</v>
      </c>
      <c r="AQ30" s="3">
        <v>259</v>
      </c>
      <c r="AR30" s="3" t="str">
        <f>IFERROR(MID(VLOOKUP($B30,Seqs!$A:$B,2,0),AS30,1),"")</f>
        <v>P</v>
      </c>
      <c r="AS30" s="3">
        <v>266</v>
      </c>
      <c r="AT30" s="3" t="str">
        <f>IFERROR(MID(VLOOKUP($B30,Seqs!$A:$B,2,0),AU30,1),"")</f>
        <v>R</v>
      </c>
      <c r="AU30" s="3">
        <v>291</v>
      </c>
      <c r="AV30" s="3" t="str">
        <f>IFERROR(MID(VLOOKUP($B30,Seqs!$A:$B,2,0),AW30,1),"")</f>
        <v>I</v>
      </c>
      <c r="AW30" s="3">
        <v>292</v>
      </c>
      <c r="AX30" s="3" t="str">
        <f>IFERROR(MID(VLOOKUP($B30,Seqs!$A:$B,2,0),AY30,1),"")</f>
        <v>V</v>
      </c>
      <c r="AY30" s="3">
        <v>307</v>
      </c>
      <c r="AZ30" s="79" t="str">
        <f>VLOOKUP(B30,Classification!A:D,2,0)</f>
        <v>A</v>
      </c>
      <c r="BA30" s="97" t="str">
        <f>VLOOKUP(B30,Classification!A:D,4,0)</f>
        <v>Adenosine</v>
      </c>
      <c r="BB30" s="27" t="b">
        <f t="shared" si="1"/>
        <v>1</v>
      </c>
      <c r="BC30" s="23">
        <f t="shared" si="84"/>
        <v>263</v>
      </c>
      <c r="BD30" s="4" t="s">
        <v>23</v>
      </c>
      <c r="BE30" s="3" t="s">
        <v>1381</v>
      </c>
      <c r="BF30" s="50" t="s">
        <v>1384</v>
      </c>
      <c r="BG30" s="50" t="s">
        <v>1384</v>
      </c>
      <c r="BH30" s="1"/>
      <c r="BI30" s="72" t="s">
        <v>1293</v>
      </c>
      <c r="BJ30" s="58" t="s">
        <v>1293</v>
      </c>
      <c r="BK30" s="58" t="s">
        <v>1293</v>
      </c>
      <c r="BL30" s="58" t="s">
        <v>1293</v>
      </c>
      <c r="BM30" s="58" t="s">
        <v>1293</v>
      </c>
      <c r="BN30" s="58" t="s">
        <v>1293</v>
      </c>
      <c r="BO30" s="58" t="s">
        <v>1293</v>
      </c>
      <c r="BP30" s="58" t="s">
        <v>1293</v>
      </c>
      <c r="BQ30" s="58" t="s">
        <v>1293</v>
      </c>
      <c r="BR30" s="58" t="s">
        <v>1293</v>
      </c>
      <c r="BS30" s="58" t="s">
        <v>1293</v>
      </c>
      <c r="BT30" s="58" t="s">
        <v>1293</v>
      </c>
      <c r="BU30" s="72">
        <f t="shared" si="85"/>
        <v>2</v>
      </c>
      <c r="BV30" s="73">
        <f t="shared" si="86"/>
        <v>35</v>
      </c>
      <c r="BW30" s="74">
        <f t="shared" si="87"/>
        <v>39</v>
      </c>
      <c r="BX30" s="73">
        <f t="shared" si="88"/>
        <v>70</v>
      </c>
      <c r="BY30" s="74">
        <f t="shared" si="89"/>
        <v>73</v>
      </c>
      <c r="BZ30" s="73">
        <f t="shared" si="90"/>
        <v>109</v>
      </c>
      <c r="CA30" s="74">
        <f t="shared" si="91"/>
        <v>117</v>
      </c>
      <c r="CB30" s="73">
        <f t="shared" si="92"/>
        <v>166</v>
      </c>
      <c r="CC30" s="74">
        <f t="shared" si="93"/>
        <v>173</v>
      </c>
      <c r="CD30" s="73">
        <f t="shared" si="94"/>
        <v>219</v>
      </c>
      <c r="CE30" s="74">
        <f t="shared" si="95"/>
        <v>266</v>
      </c>
      <c r="CF30" s="73">
        <f t="shared" si="96"/>
        <v>292</v>
      </c>
      <c r="CG30" s="72">
        <f t="shared" si="97"/>
        <v>34</v>
      </c>
      <c r="CH30" s="73">
        <f t="shared" si="98"/>
        <v>38</v>
      </c>
      <c r="CI30" s="74">
        <f t="shared" si="99"/>
        <v>69</v>
      </c>
      <c r="CJ30" s="74">
        <f t="shared" si="100"/>
        <v>72</v>
      </c>
      <c r="CK30" s="74">
        <f t="shared" si="101"/>
        <v>108</v>
      </c>
      <c r="CL30" s="74">
        <f t="shared" si="102"/>
        <v>116</v>
      </c>
      <c r="CM30" s="74">
        <f t="shared" si="103"/>
        <v>142</v>
      </c>
      <c r="CN30" s="74">
        <f t="shared" si="104"/>
        <v>168</v>
      </c>
      <c r="CO30" s="74">
        <f t="shared" si="105"/>
        <v>208</v>
      </c>
      <c r="CP30" s="74">
        <f t="shared" si="106"/>
        <v>259</v>
      </c>
      <c r="CQ30" s="74">
        <f t="shared" si="107"/>
        <v>291</v>
      </c>
      <c r="CR30" s="74">
        <f t="shared" si="108"/>
        <v>307</v>
      </c>
      <c r="CS30" s="23">
        <f t="shared" si="109"/>
        <v>1</v>
      </c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  <c r="OK30" s="1"/>
      <c r="OL30" s="1"/>
      <c r="OM30" s="1"/>
      <c r="ON30" s="1"/>
      <c r="OO30" s="1"/>
      <c r="OP30" s="1"/>
      <c r="OQ30" s="1"/>
      <c r="OR30" s="1"/>
      <c r="OS30" s="1"/>
      <c r="OT30" s="1"/>
      <c r="OU30" s="1"/>
      <c r="OV30" s="1"/>
      <c r="OW30" s="1"/>
      <c r="OX30" s="1"/>
      <c r="OY30" s="1"/>
      <c r="OZ30" s="1"/>
      <c r="PA30" s="1"/>
      <c r="PB30" s="1"/>
      <c r="PC30" s="1"/>
      <c r="PD30" s="1"/>
      <c r="PE30" s="1"/>
      <c r="PF30" s="1"/>
      <c r="PG30" s="1"/>
      <c r="PH30" s="1"/>
      <c r="PI30" s="1"/>
      <c r="PJ30" s="1"/>
      <c r="PK30" s="1"/>
      <c r="PL30" s="1"/>
      <c r="PM30" s="1"/>
      <c r="PN30" s="1"/>
      <c r="PO30" s="1"/>
      <c r="PP30" s="1"/>
      <c r="PQ30" s="1"/>
      <c r="PR30" s="1"/>
      <c r="PS30" s="1"/>
      <c r="PT30" s="1"/>
      <c r="PU30" s="1"/>
      <c r="PV30" s="1"/>
      <c r="PW30" s="1"/>
      <c r="PX30" s="1"/>
      <c r="PY30" s="1"/>
      <c r="PZ30" s="1"/>
      <c r="QA30" s="1"/>
      <c r="QB30" s="1"/>
      <c r="QC30" s="1"/>
      <c r="QD30" s="1"/>
      <c r="QE30" s="1"/>
      <c r="QF30" s="1"/>
      <c r="QG30" s="1"/>
      <c r="QH30" s="1"/>
      <c r="QI30" s="1"/>
      <c r="QJ30" s="1"/>
      <c r="QK30" s="1"/>
      <c r="QL30" s="1"/>
      <c r="QM30" s="1"/>
      <c r="QN30" s="1"/>
      <c r="QO30" s="1"/>
      <c r="QP30" s="1"/>
      <c r="QQ30" s="1"/>
      <c r="QR30" s="1"/>
      <c r="QS30" s="1"/>
      <c r="QT30" s="1"/>
      <c r="QU30" s="1"/>
      <c r="QV30" s="1"/>
      <c r="QW30" s="1"/>
      <c r="QX30" s="1"/>
      <c r="QY30" s="1"/>
      <c r="QZ30" s="1"/>
      <c r="RA30" s="1"/>
      <c r="RB30" s="1"/>
      <c r="RC30" s="1"/>
      <c r="RD30" s="1"/>
      <c r="RE30" s="1"/>
      <c r="RF30" s="1"/>
      <c r="RG30" s="1"/>
      <c r="RH30" s="1"/>
      <c r="RI30" s="1"/>
      <c r="RJ30" s="1"/>
      <c r="RK30" s="1"/>
      <c r="RL30" s="1"/>
      <c r="RM30" s="1"/>
      <c r="RN30" s="1"/>
      <c r="RO30" s="1"/>
      <c r="RP30" s="1"/>
      <c r="RQ30" s="1"/>
      <c r="RR30" s="1"/>
      <c r="RS30" s="1"/>
      <c r="RT30" s="1"/>
      <c r="RU30" s="1"/>
      <c r="RV30" s="1"/>
      <c r="RW30" s="1"/>
      <c r="RX30" s="1"/>
      <c r="RY30" s="1"/>
      <c r="RZ30" s="1"/>
      <c r="SA30" s="1"/>
      <c r="SB30" s="1"/>
      <c r="SC30" s="1"/>
      <c r="SD30" s="1"/>
      <c r="SE30" s="1"/>
      <c r="SF30" s="1"/>
      <c r="SG30" s="1"/>
      <c r="SH30" s="1"/>
      <c r="SI30" s="1"/>
      <c r="SJ30" s="1"/>
      <c r="SK30" s="1"/>
      <c r="SL30" s="1"/>
      <c r="SM30" s="1"/>
      <c r="SN30" s="1"/>
      <c r="SO30" s="1"/>
      <c r="SP30" s="1"/>
      <c r="SQ30" s="1"/>
      <c r="SR30" s="1"/>
      <c r="SS30" s="1"/>
      <c r="ST30" s="1"/>
      <c r="SU30" s="1"/>
      <c r="SV30" s="1"/>
      <c r="SW30" s="1"/>
      <c r="SX30" s="1"/>
      <c r="SY30" s="1"/>
      <c r="SZ30" s="1"/>
      <c r="TA30" s="1"/>
      <c r="TB30" s="1"/>
      <c r="TC30" s="1"/>
      <c r="TD30" s="1"/>
      <c r="TE30" s="1"/>
      <c r="TF30" s="1"/>
      <c r="TG30" s="1"/>
      <c r="TH30" s="1"/>
      <c r="TI30" s="1"/>
      <c r="TJ30" s="1"/>
      <c r="TK30" s="1"/>
      <c r="TL30" s="1"/>
      <c r="TM30" s="1"/>
      <c r="TN30" s="1"/>
      <c r="TO30" s="1"/>
      <c r="TP30" s="1"/>
      <c r="TQ30" s="1"/>
      <c r="TR30" s="1"/>
      <c r="TS30" s="1"/>
      <c r="TT30" s="1"/>
      <c r="TU30" s="1"/>
      <c r="TV30" s="1"/>
      <c r="TW30" s="1"/>
      <c r="TX30" s="1"/>
      <c r="TY30" s="1"/>
      <c r="TZ30" s="1"/>
      <c r="UA30" s="1"/>
      <c r="UB30" s="1"/>
      <c r="UC30" s="1"/>
      <c r="UD30" s="1"/>
      <c r="UE30" s="1"/>
      <c r="UF30" s="1"/>
      <c r="UG30" s="1"/>
      <c r="UH30" s="1"/>
      <c r="UI30" s="1"/>
      <c r="UJ30" s="1"/>
      <c r="UK30" s="1"/>
      <c r="UL30" s="1"/>
      <c r="UM30" s="1"/>
      <c r="UN30" s="1"/>
      <c r="UO30" s="1"/>
      <c r="UP30" s="1"/>
      <c r="UQ30" s="1"/>
      <c r="UR30" s="1"/>
      <c r="US30" s="1"/>
      <c r="UT30" s="1"/>
      <c r="UU30" s="1"/>
      <c r="UV30" s="1"/>
      <c r="UW30" s="1"/>
      <c r="UX30" s="1"/>
      <c r="UY30" s="1"/>
      <c r="UZ30" s="1"/>
      <c r="VA30" s="1"/>
      <c r="VB30" s="1"/>
      <c r="VC30" s="1"/>
      <c r="VD30" s="1"/>
      <c r="VE30" s="1"/>
      <c r="VF30" s="1"/>
      <c r="VG30" s="1"/>
      <c r="VH30" s="1"/>
      <c r="VI30" s="1"/>
      <c r="VJ30" s="1"/>
      <c r="VK30" s="1"/>
      <c r="VL30" s="1"/>
      <c r="VM30" s="1"/>
      <c r="VN30" s="1"/>
      <c r="VO30" s="1"/>
      <c r="VP30" s="1"/>
      <c r="VQ30" s="1"/>
      <c r="VR30" s="1"/>
      <c r="VS30" s="1"/>
      <c r="VT30" s="1"/>
      <c r="VU30" s="1"/>
      <c r="VV30" s="1"/>
      <c r="VW30" s="1"/>
      <c r="VX30" s="1"/>
      <c r="VY30" s="1"/>
      <c r="VZ30" s="1"/>
      <c r="WA30" s="1"/>
      <c r="WB30" s="1"/>
      <c r="WC30" s="1"/>
      <c r="WD30" s="1"/>
      <c r="WE30" s="1"/>
      <c r="WF30" s="1"/>
      <c r="WG30" s="1"/>
      <c r="WH30" s="1"/>
      <c r="WI30" s="1"/>
      <c r="WJ30" s="1"/>
      <c r="WK30" s="1"/>
      <c r="WL30" s="1"/>
      <c r="WM30" s="1"/>
      <c r="WN30" s="1"/>
      <c r="WO30" s="1"/>
      <c r="WP30" s="1"/>
      <c r="WQ30" s="1"/>
      <c r="WR30" s="1"/>
      <c r="WS30" s="1"/>
      <c r="WT30" s="1"/>
      <c r="WU30" s="1"/>
      <c r="WV30" s="1"/>
      <c r="WW30" s="1"/>
      <c r="WX30" s="1"/>
      <c r="WY30" s="1"/>
      <c r="WZ30" s="1"/>
      <c r="XA30" s="1"/>
      <c r="XB30" s="1"/>
      <c r="XC30" s="1"/>
      <c r="XD30" s="1"/>
      <c r="XE30" s="1"/>
      <c r="XF30" s="1"/>
      <c r="XG30" s="1"/>
      <c r="XH30" s="1"/>
      <c r="XI30" s="1"/>
      <c r="XJ30" s="1"/>
      <c r="XK30" s="1"/>
      <c r="XL30" s="1"/>
      <c r="XM30" s="1"/>
      <c r="XN30" s="1"/>
      <c r="XO30" s="1"/>
      <c r="XP30" s="1"/>
      <c r="XQ30" s="1"/>
      <c r="XR30" s="1"/>
      <c r="XS30" s="1"/>
      <c r="XT30" s="1"/>
      <c r="XU30" s="1"/>
      <c r="XV30" s="1"/>
      <c r="XW30" s="1"/>
      <c r="XX30" s="1"/>
      <c r="XY30" s="1"/>
      <c r="XZ30" s="1"/>
      <c r="YA30" s="1"/>
      <c r="YB30" s="1"/>
      <c r="YC30" s="1"/>
      <c r="YD30" s="1"/>
      <c r="YE30" s="1"/>
      <c r="YF30" s="1"/>
      <c r="YG30" s="1"/>
      <c r="YH30" s="1"/>
      <c r="YI30" s="1"/>
      <c r="YJ30" s="1"/>
      <c r="YK30" s="1"/>
      <c r="YL30" s="1"/>
      <c r="YM30" s="1"/>
      <c r="YN30" s="1"/>
      <c r="YO30" s="1"/>
      <c r="YP30" s="1"/>
      <c r="YQ30" s="1"/>
      <c r="YR30" s="1"/>
      <c r="YS30" s="1"/>
      <c r="YT30" s="1"/>
      <c r="YU30" s="1"/>
      <c r="YV30" s="1"/>
      <c r="YW30" s="1"/>
      <c r="YX30" s="1"/>
      <c r="YY30" s="1"/>
      <c r="YZ30" s="1"/>
      <c r="ZA30" s="1"/>
      <c r="ZB30" s="1"/>
      <c r="ZC30" s="1"/>
      <c r="ZD30" s="1"/>
      <c r="ZE30" s="1"/>
      <c r="ZF30" s="1"/>
      <c r="ZG30" s="1"/>
      <c r="ZH30" s="1"/>
      <c r="ZI30" s="1"/>
      <c r="ZJ30" s="1"/>
      <c r="ZK30" s="1"/>
      <c r="ZL30" s="1"/>
      <c r="ZM30" s="1"/>
      <c r="ZN30" s="1"/>
      <c r="ZO30" s="1"/>
      <c r="ZP30" s="1"/>
      <c r="ZQ30" s="1"/>
      <c r="ZR30" s="1"/>
      <c r="ZS30" s="1"/>
      <c r="ZT30" s="1"/>
      <c r="ZU30" s="1"/>
      <c r="ZV30" s="1"/>
      <c r="ZW30" s="1"/>
      <c r="ZX30" s="1"/>
      <c r="ZY30" s="1"/>
      <c r="ZZ30" s="1"/>
      <c r="AAA30" s="1"/>
      <c r="AAB30" s="1"/>
      <c r="AAC30" s="1"/>
      <c r="AAD30" s="1"/>
      <c r="AAE30" s="1"/>
      <c r="AAF30" s="1"/>
      <c r="AAG30" s="1"/>
      <c r="AAH30" s="1"/>
      <c r="AAI30" s="1"/>
      <c r="AAJ30" s="1"/>
      <c r="AAK30" s="1"/>
      <c r="AAL30" s="1"/>
      <c r="AAM30" s="1"/>
      <c r="AAN30" s="1"/>
      <c r="AAO30" s="1"/>
      <c r="AAP30" s="1"/>
      <c r="AAQ30" s="1"/>
      <c r="AAR30" s="1"/>
      <c r="AAS30" s="1"/>
      <c r="AAT30" s="1"/>
      <c r="AAU30" s="1"/>
      <c r="AAV30" s="1"/>
      <c r="AAW30" s="1"/>
      <c r="AAX30" s="1"/>
      <c r="AAY30" s="1"/>
      <c r="AAZ30" s="1"/>
      <c r="ABA30" s="1"/>
      <c r="ABB30" s="1"/>
      <c r="ABC30" s="1"/>
      <c r="ABD30" s="1"/>
      <c r="ABE30" s="1"/>
      <c r="ABF30" s="1"/>
      <c r="ABG30" s="1"/>
      <c r="ABH30" s="1"/>
      <c r="ABI30" s="1"/>
      <c r="ABJ30" s="1"/>
      <c r="ABK30" s="1"/>
      <c r="ABL30" s="1"/>
      <c r="ABM30" s="1"/>
      <c r="ABN30" s="1"/>
      <c r="ABO30" s="1"/>
      <c r="ABP30" s="1"/>
      <c r="ABQ30" s="1"/>
      <c r="ABR30" s="1"/>
      <c r="ABS30" s="1"/>
      <c r="ABT30" s="1"/>
      <c r="ABU30" s="1"/>
      <c r="ABV30" s="1"/>
      <c r="ABW30" s="1"/>
      <c r="ABX30" s="1"/>
      <c r="ABY30" s="1"/>
      <c r="ABZ30" s="1"/>
      <c r="ACA30" s="1"/>
      <c r="ACB30" s="1"/>
      <c r="ACC30" s="1"/>
      <c r="ACD30" s="1"/>
      <c r="ACE30" s="1"/>
      <c r="ACF30" s="1"/>
      <c r="ACG30" s="1"/>
      <c r="ACH30" s="1"/>
      <c r="ACI30" s="1"/>
      <c r="ACJ30" s="1"/>
      <c r="ACK30" s="1"/>
      <c r="ACL30" s="1"/>
      <c r="ACM30" s="1"/>
      <c r="ACN30" s="1"/>
      <c r="ACO30" s="1"/>
      <c r="ACP30" s="1"/>
      <c r="ACQ30" s="1"/>
      <c r="ACR30" s="1"/>
      <c r="ACS30" s="1"/>
      <c r="ACT30" s="1"/>
      <c r="ACU30" s="1"/>
      <c r="ACV30" s="1"/>
      <c r="ACW30" s="1"/>
      <c r="ACX30" s="1"/>
      <c r="ACY30" s="1"/>
      <c r="ACZ30" s="1"/>
      <c r="ADA30" s="1"/>
      <c r="ADB30" s="1"/>
      <c r="ADC30" s="1"/>
      <c r="ADD30" s="1"/>
      <c r="ADE30" s="1"/>
      <c r="ADF30" s="1"/>
      <c r="ADG30" s="1"/>
      <c r="ADH30" s="1"/>
      <c r="ADI30" s="1"/>
      <c r="ADJ30" s="1"/>
      <c r="ADK30" s="1"/>
      <c r="ADL30" s="1"/>
      <c r="ADM30" s="1"/>
      <c r="ADN30" s="1"/>
      <c r="ADO30" s="1"/>
      <c r="ADP30" s="1"/>
      <c r="ADQ30" s="1"/>
      <c r="ADR30" s="1"/>
      <c r="ADS30" s="1"/>
      <c r="ADT30" s="1"/>
      <c r="ADU30" s="1"/>
      <c r="ADV30" s="1"/>
      <c r="ADW30" s="1"/>
      <c r="ADX30" s="1"/>
      <c r="ADY30" s="1"/>
      <c r="ADZ30" s="1"/>
      <c r="AEA30" s="1"/>
      <c r="AEB30" s="1"/>
      <c r="AEC30" s="1"/>
      <c r="AED30" s="1"/>
      <c r="AEE30" s="1"/>
      <c r="AEF30" s="1"/>
      <c r="AEG30" s="1"/>
      <c r="AEH30" s="1"/>
      <c r="AEI30" s="1"/>
      <c r="AEJ30" s="1"/>
      <c r="AEK30" s="1"/>
      <c r="AEL30" s="1"/>
      <c r="AEM30" s="1"/>
      <c r="AEN30" s="1"/>
      <c r="AEO30" s="1"/>
      <c r="AEP30" s="1"/>
      <c r="AEQ30" s="1"/>
      <c r="AER30" s="1"/>
      <c r="AES30" s="1"/>
      <c r="AET30" s="1"/>
      <c r="AEU30" s="1"/>
      <c r="AEV30" s="1"/>
      <c r="AEW30" s="1"/>
      <c r="AEX30" s="1"/>
      <c r="AEY30" s="1"/>
      <c r="AEZ30" s="1"/>
      <c r="AFA30" s="1"/>
      <c r="AFB30" s="1"/>
      <c r="AFC30" s="1"/>
      <c r="AFD30" s="1"/>
      <c r="AFE30" s="1"/>
      <c r="AFF30" s="1"/>
      <c r="AFG30" s="1"/>
      <c r="AFH30" s="1"/>
      <c r="AFI30" s="1"/>
      <c r="AFJ30" s="1"/>
      <c r="AFK30" s="1"/>
      <c r="AFL30" s="1"/>
      <c r="AFM30" s="1"/>
      <c r="AFN30" s="1"/>
      <c r="AFO30" s="1"/>
      <c r="AFP30" s="1"/>
      <c r="AFQ30" s="1"/>
      <c r="AFR30" s="1"/>
      <c r="AFS30" s="1"/>
      <c r="AFT30" s="1"/>
      <c r="AFU30" s="1"/>
      <c r="AFV30" s="1"/>
      <c r="AFW30" s="1"/>
      <c r="AFX30" s="1"/>
      <c r="AFY30" s="1"/>
      <c r="AFZ30" s="1"/>
      <c r="AGA30" s="1"/>
      <c r="AGB30" s="1"/>
      <c r="AGC30" s="1"/>
      <c r="AGD30" s="1"/>
      <c r="AGE30" s="1"/>
      <c r="AGF30" s="1"/>
      <c r="AGG30" s="1"/>
      <c r="AGH30" s="1"/>
      <c r="AGI30" s="1"/>
      <c r="AGJ30" s="1"/>
      <c r="AGK30" s="1"/>
      <c r="AGL30" s="1"/>
      <c r="AGM30" s="1"/>
      <c r="AGN30" s="1"/>
      <c r="AGO30" s="1"/>
      <c r="AGP30" s="1"/>
      <c r="AGQ30" s="1"/>
      <c r="AGR30" s="1"/>
      <c r="AGS30" s="1"/>
      <c r="AGT30" s="1"/>
      <c r="AGU30" s="1"/>
      <c r="AGV30" s="1"/>
      <c r="AGW30" s="1"/>
      <c r="AGX30" s="1"/>
      <c r="AGY30" s="1"/>
      <c r="AGZ30" s="1"/>
      <c r="AHA30" s="1"/>
      <c r="AHB30" s="1"/>
      <c r="AHC30" s="1"/>
      <c r="AHD30" s="1"/>
      <c r="AHE30" s="1"/>
      <c r="AHF30" s="1"/>
      <c r="AHG30" s="1"/>
      <c r="AHH30" s="1"/>
      <c r="AHI30" s="1"/>
      <c r="AHJ30" s="1"/>
      <c r="AHK30" s="1"/>
      <c r="AHL30" s="1"/>
      <c r="AHM30" s="1"/>
      <c r="AHN30" s="1"/>
      <c r="AHO30" s="1"/>
      <c r="AHP30" s="1"/>
      <c r="AHQ30" s="1"/>
      <c r="AHR30" s="1"/>
      <c r="AHS30" s="1"/>
      <c r="AHT30" s="1"/>
      <c r="AHU30" s="1"/>
      <c r="AHV30" s="1"/>
      <c r="AHW30" s="1"/>
      <c r="AHX30" s="1"/>
      <c r="AHY30" s="1"/>
      <c r="AHZ30" s="1"/>
      <c r="AIA30" s="1"/>
      <c r="AIB30" s="1"/>
      <c r="AIC30" s="1"/>
      <c r="AID30" s="1"/>
      <c r="AIE30" s="1"/>
      <c r="AIF30" s="1"/>
      <c r="AIG30" s="1"/>
      <c r="AIH30" s="1"/>
      <c r="AII30" s="1"/>
      <c r="AIJ30" s="1"/>
      <c r="AIK30" s="1"/>
      <c r="AIL30" s="1"/>
      <c r="AIM30" s="1"/>
      <c r="AIN30" s="1"/>
      <c r="AIO30" s="1"/>
      <c r="AIP30" s="1"/>
      <c r="AIQ30" s="1"/>
      <c r="AIR30" s="1"/>
      <c r="AIS30" s="1"/>
      <c r="AIT30" s="1"/>
      <c r="AIU30" s="1"/>
      <c r="AIV30" s="1"/>
      <c r="AIW30" s="1"/>
      <c r="AIX30" s="1"/>
      <c r="AIY30" s="1"/>
      <c r="AIZ30" s="1"/>
      <c r="AJA30" s="1"/>
      <c r="AJB30" s="1"/>
      <c r="AJC30" s="1"/>
      <c r="AJD30" s="1"/>
      <c r="AJE30" s="1"/>
      <c r="AJF30" s="1"/>
      <c r="AJG30" s="1"/>
      <c r="AJH30" s="1"/>
      <c r="AJI30" s="1"/>
      <c r="AJJ30" s="1"/>
      <c r="AJK30" s="1"/>
      <c r="AJL30" s="1"/>
      <c r="AJM30" s="1"/>
      <c r="AJN30" s="1"/>
      <c r="AJO30" s="1"/>
      <c r="AJP30" s="1"/>
      <c r="AJQ30" s="1"/>
      <c r="AJR30" s="1"/>
      <c r="AJS30" s="1"/>
      <c r="AJT30" s="1"/>
      <c r="AJU30" s="1"/>
      <c r="AJV30" s="1"/>
      <c r="AJW30" s="1"/>
      <c r="AJX30" s="1"/>
      <c r="AJY30" s="1"/>
      <c r="AJZ30" s="1"/>
      <c r="AKA30" s="1"/>
      <c r="AKB30" s="1"/>
      <c r="AKC30" s="1"/>
      <c r="AKD30" s="1"/>
      <c r="AKE30" s="1"/>
      <c r="AKF30" s="1"/>
      <c r="AKG30" s="1"/>
      <c r="AKH30" s="1"/>
      <c r="AKI30" s="1"/>
      <c r="AKJ30" s="1"/>
      <c r="AKK30" s="1"/>
      <c r="AKL30" s="1"/>
      <c r="AKM30" s="1"/>
      <c r="AKN30" s="1"/>
      <c r="AKO30" s="1"/>
      <c r="AKP30" s="1"/>
      <c r="AKQ30" s="1"/>
      <c r="AKR30" s="1"/>
      <c r="AKS30" s="1"/>
      <c r="AKT30" s="1"/>
      <c r="AKU30" s="1"/>
      <c r="AKV30" s="1"/>
      <c r="AKW30" s="1"/>
      <c r="AKX30" s="1"/>
      <c r="AKY30" s="1"/>
      <c r="AKZ30" s="1"/>
      <c r="ALA30" s="1"/>
      <c r="ALB30" s="1"/>
      <c r="ALC30" s="1"/>
      <c r="ALD30" s="1"/>
      <c r="ALE30" s="1"/>
      <c r="ALF30" s="1"/>
      <c r="ALG30" s="1"/>
      <c r="ALH30" s="1"/>
      <c r="ALI30" s="1"/>
      <c r="ALJ30" s="1"/>
      <c r="ALK30" s="1"/>
      <c r="ALL30" s="1"/>
      <c r="ALM30" s="1"/>
      <c r="ALN30" s="1"/>
      <c r="ALO30" s="1"/>
      <c r="ALP30" s="1"/>
      <c r="ALQ30" s="1"/>
      <c r="ALR30" s="1"/>
      <c r="ALS30" s="1"/>
      <c r="ALT30" s="1"/>
      <c r="ALU30" s="1"/>
      <c r="ALV30" s="1"/>
      <c r="ALW30" s="1"/>
      <c r="ALX30" s="1"/>
      <c r="ALY30" s="1"/>
      <c r="ALZ30" s="1"/>
      <c r="AMA30" s="1"/>
      <c r="AMB30" s="1"/>
      <c r="AMC30" s="1"/>
      <c r="AMD30" s="1"/>
      <c r="AME30" s="1"/>
      <c r="AMF30" s="1"/>
      <c r="AMG30" s="1"/>
      <c r="AMH30" s="1"/>
      <c r="AMI30" s="1"/>
      <c r="AMJ30" s="1"/>
      <c r="AMK30" s="1"/>
      <c r="AML30" s="1"/>
      <c r="AMM30" s="1"/>
      <c r="AMN30" s="1"/>
    </row>
    <row r="31" spans="1:1029" x14ac:dyDescent="0.2">
      <c r="A31" s="3" t="str">
        <f t="shared" si="0"/>
        <v>aa2ar_human_5K2C</v>
      </c>
      <c r="B31" s="3" t="s">
        <v>139</v>
      </c>
      <c r="C31" s="3" t="s">
        <v>1347</v>
      </c>
      <c r="D31" s="3" t="str">
        <f>IFERROR(MID(VLOOKUP($B31,Seqs!$A:$B,2,0),E31,1),"")</f>
        <v>P</v>
      </c>
      <c r="E31" s="3">
        <v>2</v>
      </c>
      <c r="F31" s="3" t="str">
        <f>IFERROR(MID(VLOOKUP($B31,Seqs!$A:$B,2,0),G31,1),"")</f>
        <v>N</v>
      </c>
      <c r="G31" s="3">
        <v>34</v>
      </c>
      <c r="H31" s="3" t="str">
        <f>IFERROR(MID(VLOOKUP($B31,Seqs!$A:$B,2,0),I31,1),"")</f>
        <v>S</v>
      </c>
      <c r="I31" s="23">
        <v>35</v>
      </c>
      <c r="J31" s="3" t="str">
        <f>IFERROR(MID(VLOOKUP($B31,Seqs!$A:$B,2,0),K31,1),"")</f>
        <v>Q</v>
      </c>
      <c r="K31" s="23">
        <v>38</v>
      </c>
      <c r="L31" s="3" t="str">
        <f>IFERROR(MID(VLOOKUP($B31,Seqs!$A:$B,2,0),M31,1),"")</f>
        <v>N</v>
      </c>
      <c r="M31" s="3">
        <v>39</v>
      </c>
      <c r="N31" s="3" t="str">
        <f>IFERROR(MID(VLOOKUP($B31,Seqs!$A:$B,2,0),O31,1),"")</f>
        <v>G</v>
      </c>
      <c r="O31" s="3">
        <v>69</v>
      </c>
      <c r="P31" s="3" t="str">
        <f>IFERROR(MID(VLOOKUP($B31,Seqs!$A:$B,2,0),Q31,1),"")</f>
        <v>F</v>
      </c>
      <c r="Q31" s="3">
        <v>70</v>
      </c>
      <c r="R31" s="3" t="str">
        <f>IFERROR(MID(VLOOKUP($B31,Seqs!$A:$B,2,0),S31,1),"")</f>
        <v>A</v>
      </c>
      <c r="S31" s="3">
        <v>72</v>
      </c>
      <c r="T31" s="3" t="str">
        <f>IFERROR(MID(VLOOKUP($B31,Seqs!$A:$B,2,0),U31,1),"")</f>
        <v>A</v>
      </c>
      <c r="U31" s="3">
        <v>73</v>
      </c>
      <c r="V31" s="3" t="str">
        <f>IFERROR(MID(VLOOKUP($B31,Seqs!$A:$B,2,0),W31,1),"")</f>
        <v>I</v>
      </c>
      <c r="W31" s="3">
        <v>108</v>
      </c>
      <c r="X31" s="3" t="str">
        <f>IFERROR(MID(VLOOKUP($B31,Seqs!$A:$B,2,0),Y31,1),"")</f>
        <v>P</v>
      </c>
      <c r="Y31" s="3">
        <v>109</v>
      </c>
      <c r="Z31" s="3" t="str">
        <f>IFERROR(MID(VLOOKUP($B31,Seqs!$A:$B,2,0),AA31,1),"")</f>
        <v>V</v>
      </c>
      <c r="AA31" s="3">
        <v>116</v>
      </c>
      <c r="AB31" s="3" t="str">
        <f>IFERROR(MID(VLOOKUP($B31,Seqs!$A:$B,2,0),AC31,1),"")</f>
        <v>T</v>
      </c>
      <c r="AC31" s="9">
        <v>117</v>
      </c>
      <c r="AD31" s="3" t="str">
        <f>IFERROR(MID(VLOOKUP($B31,Seqs!$A:$B,2,0),AE31,1),"")</f>
        <v>G</v>
      </c>
      <c r="AE31" s="3">
        <v>142</v>
      </c>
      <c r="AF31" s="3" t="str">
        <f>IFERROR(MID(VLOOKUP($B31,Seqs!$A:$B,2,0),AG31,1),"")</f>
        <v>C</v>
      </c>
      <c r="AG31" s="3">
        <v>166</v>
      </c>
      <c r="AH31" s="3" t="str">
        <f>IFERROR(MID(VLOOKUP($B31,Seqs!$A:$B,2,0),AI31,1),"")</f>
        <v>F</v>
      </c>
      <c r="AI31" s="3">
        <v>168</v>
      </c>
      <c r="AJ31" s="3" t="str">
        <f>IFERROR(MID(VLOOKUP($B31,Seqs!$A:$B,2,0),AK31,1),"")</f>
        <v>P</v>
      </c>
      <c r="AK31" s="3">
        <v>173</v>
      </c>
      <c r="AL31" s="3" t="str">
        <f>IFERROR(MID(VLOOKUP($B31,Seqs!$A:$B,2,0),AM31,1),"")</f>
        <v>L</v>
      </c>
      <c r="AM31" s="3">
        <v>208</v>
      </c>
      <c r="AN31" s="3" t="str">
        <f>IFERROR(MID(VLOOKUP($B31,Seqs!$A:$B,2,0),AO31,1),"")</f>
        <v>E</v>
      </c>
      <c r="AO31" s="3">
        <v>219</v>
      </c>
      <c r="AP31" s="3" t="str">
        <f>IFERROR(MID(VLOOKUP($B31,Seqs!$A:$B,2,0),AQ31,1),"")</f>
        <v>C</v>
      </c>
      <c r="AQ31" s="3">
        <v>259</v>
      </c>
      <c r="AR31" s="3" t="str">
        <f>IFERROR(MID(VLOOKUP($B31,Seqs!$A:$B,2,0),AS31,1),"")</f>
        <v>P</v>
      </c>
      <c r="AS31" s="3">
        <v>266</v>
      </c>
      <c r="AT31" s="3" t="str">
        <f>IFERROR(MID(VLOOKUP($B31,Seqs!$A:$B,2,0),AU31,1),"")</f>
        <v>R</v>
      </c>
      <c r="AU31" s="3">
        <v>291</v>
      </c>
      <c r="AV31" s="3" t="str">
        <f>IFERROR(MID(VLOOKUP($B31,Seqs!$A:$B,2,0),AW31,1),"")</f>
        <v>I</v>
      </c>
      <c r="AW31" s="3">
        <v>292</v>
      </c>
      <c r="AX31" s="3" t="str">
        <f>IFERROR(MID(VLOOKUP($B31,Seqs!$A:$B,2,0),AY31,1),"")</f>
        <v>V</v>
      </c>
      <c r="AY31" s="3">
        <v>307</v>
      </c>
      <c r="AZ31" s="79" t="str">
        <f>VLOOKUP(B31,Classification!A:D,2,0)</f>
        <v>A</v>
      </c>
      <c r="BA31" s="97" t="str">
        <f>VLOOKUP(B31,Classification!A:D,4,0)</f>
        <v>Adenosine</v>
      </c>
      <c r="BB31" s="27" t="b">
        <f t="shared" si="1"/>
        <v>1</v>
      </c>
      <c r="BC31" s="23">
        <f t="shared" si="84"/>
        <v>263</v>
      </c>
      <c r="BD31" s="4" t="s">
        <v>23</v>
      </c>
      <c r="BE31" s="3" t="s">
        <v>1381</v>
      </c>
      <c r="BF31" s="50" t="s">
        <v>1384</v>
      </c>
      <c r="BG31" s="50" t="s">
        <v>1384</v>
      </c>
      <c r="BH31" s="1"/>
      <c r="BI31" s="72" t="s">
        <v>1293</v>
      </c>
      <c r="BJ31" s="58" t="s">
        <v>1293</v>
      </c>
      <c r="BK31" s="58" t="s">
        <v>1293</v>
      </c>
      <c r="BL31" s="58" t="s">
        <v>1293</v>
      </c>
      <c r="BM31" s="58" t="s">
        <v>1293</v>
      </c>
      <c r="BN31" s="58" t="s">
        <v>1293</v>
      </c>
      <c r="BO31" s="58" t="s">
        <v>1293</v>
      </c>
      <c r="BP31" s="58" t="s">
        <v>1293</v>
      </c>
      <c r="BQ31" s="58" t="s">
        <v>1293</v>
      </c>
      <c r="BR31" s="58" t="s">
        <v>1293</v>
      </c>
      <c r="BS31" s="58" t="s">
        <v>1293</v>
      </c>
      <c r="BT31" s="58" t="s">
        <v>1293</v>
      </c>
      <c r="BU31" s="72">
        <f t="shared" si="85"/>
        <v>2</v>
      </c>
      <c r="BV31" s="73">
        <f t="shared" si="86"/>
        <v>35</v>
      </c>
      <c r="BW31" s="74">
        <f t="shared" si="87"/>
        <v>39</v>
      </c>
      <c r="BX31" s="73">
        <f t="shared" si="88"/>
        <v>70</v>
      </c>
      <c r="BY31" s="74">
        <f t="shared" si="89"/>
        <v>73</v>
      </c>
      <c r="BZ31" s="73">
        <f t="shared" si="90"/>
        <v>109</v>
      </c>
      <c r="CA31" s="74">
        <f t="shared" si="91"/>
        <v>117</v>
      </c>
      <c r="CB31" s="73">
        <f t="shared" si="92"/>
        <v>166</v>
      </c>
      <c r="CC31" s="74">
        <f t="shared" si="93"/>
        <v>173</v>
      </c>
      <c r="CD31" s="73">
        <f t="shared" si="94"/>
        <v>219</v>
      </c>
      <c r="CE31" s="74">
        <f t="shared" si="95"/>
        <v>266</v>
      </c>
      <c r="CF31" s="73">
        <f t="shared" si="96"/>
        <v>292</v>
      </c>
      <c r="CG31" s="72">
        <f t="shared" si="97"/>
        <v>34</v>
      </c>
      <c r="CH31" s="73">
        <f t="shared" si="98"/>
        <v>38</v>
      </c>
      <c r="CI31" s="74">
        <f t="shared" si="99"/>
        <v>69</v>
      </c>
      <c r="CJ31" s="74">
        <f t="shared" si="100"/>
        <v>72</v>
      </c>
      <c r="CK31" s="74">
        <f t="shared" si="101"/>
        <v>108</v>
      </c>
      <c r="CL31" s="74">
        <f t="shared" si="102"/>
        <v>116</v>
      </c>
      <c r="CM31" s="74">
        <f t="shared" si="103"/>
        <v>142</v>
      </c>
      <c r="CN31" s="74">
        <f t="shared" si="104"/>
        <v>168</v>
      </c>
      <c r="CO31" s="74">
        <f t="shared" si="105"/>
        <v>208</v>
      </c>
      <c r="CP31" s="74">
        <f t="shared" si="106"/>
        <v>259</v>
      </c>
      <c r="CQ31" s="74">
        <f t="shared" si="107"/>
        <v>291</v>
      </c>
      <c r="CR31" s="74">
        <f t="shared" si="108"/>
        <v>307</v>
      </c>
      <c r="CS31" s="23">
        <f t="shared" si="109"/>
        <v>1</v>
      </c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  <c r="OK31" s="1"/>
      <c r="OL31" s="1"/>
      <c r="OM31" s="1"/>
      <c r="ON31" s="1"/>
      <c r="OO31" s="1"/>
      <c r="OP31" s="1"/>
      <c r="OQ31" s="1"/>
      <c r="OR31" s="1"/>
      <c r="OS31" s="1"/>
      <c r="OT31" s="1"/>
      <c r="OU31" s="1"/>
      <c r="OV31" s="1"/>
      <c r="OW31" s="1"/>
      <c r="OX31" s="1"/>
      <c r="OY31" s="1"/>
      <c r="OZ31" s="1"/>
      <c r="PA31" s="1"/>
      <c r="PB31" s="1"/>
      <c r="PC31" s="1"/>
      <c r="PD31" s="1"/>
      <c r="PE31" s="1"/>
      <c r="PF31" s="1"/>
      <c r="PG31" s="1"/>
      <c r="PH31" s="1"/>
      <c r="PI31" s="1"/>
      <c r="PJ31" s="1"/>
      <c r="PK31" s="1"/>
      <c r="PL31" s="1"/>
      <c r="PM31" s="1"/>
      <c r="PN31" s="1"/>
      <c r="PO31" s="1"/>
      <c r="PP31" s="1"/>
      <c r="PQ31" s="1"/>
      <c r="PR31" s="1"/>
      <c r="PS31" s="1"/>
      <c r="PT31" s="1"/>
      <c r="PU31" s="1"/>
      <c r="PV31" s="1"/>
      <c r="PW31" s="1"/>
      <c r="PX31" s="1"/>
      <c r="PY31" s="1"/>
      <c r="PZ31" s="1"/>
      <c r="QA31" s="1"/>
      <c r="QB31" s="1"/>
      <c r="QC31" s="1"/>
      <c r="QD31" s="1"/>
      <c r="QE31" s="1"/>
      <c r="QF31" s="1"/>
      <c r="QG31" s="1"/>
      <c r="QH31" s="1"/>
      <c r="QI31" s="1"/>
      <c r="QJ31" s="1"/>
      <c r="QK31" s="1"/>
      <c r="QL31" s="1"/>
      <c r="QM31" s="1"/>
      <c r="QN31" s="1"/>
      <c r="QO31" s="1"/>
      <c r="QP31" s="1"/>
      <c r="QQ31" s="1"/>
      <c r="QR31" s="1"/>
      <c r="QS31" s="1"/>
      <c r="QT31" s="1"/>
      <c r="QU31" s="1"/>
      <c r="QV31" s="1"/>
      <c r="QW31" s="1"/>
      <c r="QX31" s="1"/>
      <c r="QY31" s="1"/>
      <c r="QZ31" s="1"/>
      <c r="RA31" s="1"/>
      <c r="RB31" s="1"/>
      <c r="RC31" s="1"/>
      <c r="RD31" s="1"/>
      <c r="RE31" s="1"/>
      <c r="RF31" s="1"/>
      <c r="RG31" s="1"/>
      <c r="RH31" s="1"/>
      <c r="RI31" s="1"/>
      <c r="RJ31" s="1"/>
      <c r="RK31" s="1"/>
      <c r="RL31" s="1"/>
      <c r="RM31" s="1"/>
      <c r="RN31" s="1"/>
      <c r="RO31" s="1"/>
      <c r="RP31" s="1"/>
      <c r="RQ31" s="1"/>
      <c r="RR31" s="1"/>
      <c r="RS31" s="1"/>
      <c r="RT31" s="1"/>
      <c r="RU31" s="1"/>
      <c r="RV31" s="1"/>
      <c r="RW31" s="1"/>
      <c r="RX31" s="1"/>
      <c r="RY31" s="1"/>
      <c r="RZ31" s="1"/>
      <c r="SA31" s="1"/>
      <c r="SB31" s="1"/>
      <c r="SC31" s="1"/>
      <c r="SD31" s="1"/>
      <c r="SE31" s="1"/>
      <c r="SF31" s="1"/>
      <c r="SG31" s="1"/>
      <c r="SH31" s="1"/>
      <c r="SI31" s="1"/>
      <c r="SJ31" s="1"/>
      <c r="SK31" s="1"/>
      <c r="SL31" s="1"/>
      <c r="SM31" s="1"/>
      <c r="SN31" s="1"/>
      <c r="SO31" s="1"/>
      <c r="SP31" s="1"/>
      <c r="SQ31" s="1"/>
      <c r="SR31" s="1"/>
      <c r="SS31" s="1"/>
      <c r="ST31" s="1"/>
      <c r="SU31" s="1"/>
      <c r="SV31" s="1"/>
      <c r="SW31" s="1"/>
      <c r="SX31" s="1"/>
      <c r="SY31" s="1"/>
      <c r="SZ31" s="1"/>
      <c r="TA31" s="1"/>
      <c r="TB31" s="1"/>
      <c r="TC31" s="1"/>
      <c r="TD31" s="1"/>
      <c r="TE31" s="1"/>
      <c r="TF31" s="1"/>
      <c r="TG31" s="1"/>
      <c r="TH31" s="1"/>
      <c r="TI31" s="1"/>
      <c r="TJ31" s="1"/>
      <c r="TK31" s="1"/>
      <c r="TL31" s="1"/>
      <c r="TM31" s="1"/>
      <c r="TN31" s="1"/>
      <c r="TO31" s="1"/>
      <c r="TP31" s="1"/>
      <c r="TQ31" s="1"/>
      <c r="TR31" s="1"/>
      <c r="TS31" s="1"/>
      <c r="TT31" s="1"/>
      <c r="TU31" s="1"/>
      <c r="TV31" s="1"/>
      <c r="TW31" s="1"/>
      <c r="TX31" s="1"/>
      <c r="TY31" s="1"/>
      <c r="TZ31" s="1"/>
      <c r="UA31" s="1"/>
      <c r="UB31" s="1"/>
      <c r="UC31" s="1"/>
      <c r="UD31" s="1"/>
      <c r="UE31" s="1"/>
      <c r="UF31" s="1"/>
      <c r="UG31" s="1"/>
      <c r="UH31" s="1"/>
      <c r="UI31" s="1"/>
      <c r="UJ31" s="1"/>
      <c r="UK31" s="1"/>
      <c r="UL31" s="1"/>
      <c r="UM31" s="1"/>
      <c r="UN31" s="1"/>
      <c r="UO31" s="1"/>
      <c r="UP31" s="1"/>
      <c r="UQ31" s="1"/>
      <c r="UR31" s="1"/>
      <c r="US31" s="1"/>
      <c r="UT31" s="1"/>
      <c r="UU31" s="1"/>
      <c r="UV31" s="1"/>
      <c r="UW31" s="1"/>
      <c r="UX31" s="1"/>
      <c r="UY31" s="1"/>
      <c r="UZ31" s="1"/>
      <c r="VA31" s="1"/>
      <c r="VB31" s="1"/>
      <c r="VC31" s="1"/>
      <c r="VD31" s="1"/>
      <c r="VE31" s="1"/>
      <c r="VF31" s="1"/>
      <c r="VG31" s="1"/>
      <c r="VH31" s="1"/>
      <c r="VI31" s="1"/>
      <c r="VJ31" s="1"/>
      <c r="VK31" s="1"/>
      <c r="VL31" s="1"/>
      <c r="VM31" s="1"/>
      <c r="VN31" s="1"/>
      <c r="VO31" s="1"/>
      <c r="VP31" s="1"/>
      <c r="VQ31" s="1"/>
      <c r="VR31" s="1"/>
      <c r="VS31" s="1"/>
      <c r="VT31" s="1"/>
      <c r="VU31" s="1"/>
      <c r="VV31" s="1"/>
      <c r="VW31" s="1"/>
      <c r="VX31" s="1"/>
      <c r="VY31" s="1"/>
      <c r="VZ31" s="1"/>
      <c r="WA31" s="1"/>
      <c r="WB31" s="1"/>
      <c r="WC31" s="1"/>
      <c r="WD31" s="1"/>
      <c r="WE31" s="1"/>
      <c r="WF31" s="1"/>
      <c r="WG31" s="1"/>
      <c r="WH31" s="1"/>
      <c r="WI31" s="1"/>
      <c r="WJ31" s="1"/>
      <c r="WK31" s="1"/>
      <c r="WL31" s="1"/>
      <c r="WM31" s="1"/>
      <c r="WN31" s="1"/>
      <c r="WO31" s="1"/>
      <c r="WP31" s="1"/>
      <c r="WQ31" s="1"/>
      <c r="WR31" s="1"/>
      <c r="WS31" s="1"/>
      <c r="WT31" s="1"/>
      <c r="WU31" s="1"/>
      <c r="WV31" s="1"/>
      <c r="WW31" s="1"/>
      <c r="WX31" s="1"/>
      <c r="WY31" s="1"/>
      <c r="WZ31" s="1"/>
      <c r="XA31" s="1"/>
      <c r="XB31" s="1"/>
      <c r="XC31" s="1"/>
      <c r="XD31" s="1"/>
      <c r="XE31" s="1"/>
      <c r="XF31" s="1"/>
      <c r="XG31" s="1"/>
      <c r="XH31" s="1"/>
      <c r="XI31" s="1"/>
      <c r="XJ31" s="1"/>
      <c r="XK31" s="1"/>
      <c r="XL31" s="1"/>
      <c r="XM31" s="1"/>
      <c r="XN31" s="1"/>
      <c r="XO31" s="1"/>
      <c r="XP31" s="1"/>
      <c r="XQ31" s="1"/>
      <c r="XR31" s="1"/>
      <c r="XS31" s="1"/>
      <c r="XT31" s="1"/>
      <c r="XU31" s="1"/>
      <c r="XV31" s="1"/>
      <c r="XW31" s="1"/>
      <c r="XX31" s="1"/>
      <c r="XY31" s="1"/>
      <c r="XZ31" s="1"/>
      <c r="YA31" s="1"/>
      <c r="YB31" s="1"/>
      <c r="YC31" s="1"/>
      <c r="YD31" s="1"/>
      <c r="YE31" s="1"/>
      <c r="YF31" s="1"/>
      <c r="YG31" s="1"/>
      <c r="YH31" s="1"/>
      <c r="YI31" s="1"/>
      <c r="YJ31" s="1"/>
      <c r="YK31" s="1"/>
      <c r="YL31" s="1"/>
      <c r="YM31" s="1"/>
      <c r="YN31" s="1"/>
      <c r="YO31" s="1"/>
      <c r="YP31" s="1"/>
      <c r="YQ31" s="1"/>
      <c r="YR31" s="1"/>
      <c r="YS31" s="1"/>
      <c r="YT31" s="1"/>
      <c r="YU31" s="1"/>
      <c r="YV31" s="1"/>
      <c r="YW31" s="1"/>
      <c r="YX31" s="1"/>
      <c r="YY31" s="1"/>
      <c r="YZ31" s="1"/>
      <c r="ZA31" s="1"/>
      <c r="ZB31" s="1"/>
      <c r="ZC31" s="1"/>
      <c r="ZD31" s="1"/>
      <c r="ZE31" s="1"/>
      <c r="ZF31" s="1"/>
      <c r="ZG31" s="1"/>
      <c r="ZH31" s="1"/>
      <c r="ZI31" s="1"/>
      <c r="ZJ31" s="1"/>
      <c r="ZK31" s="1"/>
      <c r="ZL31" s="1"/>
      <c r="ZM31" s="1"/>
      <c r="ZN31" s="1"/>
      <c r="ZO31" s="1"/>
      <c r="ZP31" s="1"/>
      <c r="ZQ31" s="1"/>
      <c r="ZR31" s="1"/>
      <c r="ZS31" s="1"/>
      <c r="ZT31" s="1"/>
      <c r="ZU31" s="1"/>
      <c r="ZV31" s="1"/>
      <c r="ZW31" s="1"/>
      <c r="ZX31" s="1"/>
      <c r="ZY31" s="1"/>
      <c r="ZZ31" s="1"/>
      <c r="AAA31" s="1"/>
      <c r="AAB31" s="1"/>
      <c r="AAC31" s="1"/>
      <c r="AAD31" s="1"/>
      <c r="AAE31" s="1"/>
      <c r="AAF31" s="1"/>
      <c r="AAG31" s="1"/>
      <c r="AAH31" s="1"/>
      <c r="AAI31" s="1"/>
      <c r="AAJ31" s="1"/>
      <c r="AAK31" s="1"/>
      <c r="AAL31" s="1"/>
      <c r="AAM31" s="1"/>
      <c r="AAN31" s="1"/>
      <c r="AAO31" s="1"/>
      <c r="AAP31" s="1"/>
      <c r="AAQ31" s="1"/>
      <c r="AAR31" s="1"/>
      <c r="AAS31" s="1"/>
      <c r="AAT31" s="1"/>
      <c r="AAU31" s="1"/>
      <c r="AAV31" s="1"/>
      <c r="AAW31" s="1"/>
      <c r="AAX31" s="1"/>
      <c r="AAY31" s="1"/>
      <c r="AAZ31" s="1"/>
      <c r="ABA31" s="1"/>
      <c r="ABB31" s="1"/>
      <c r="ABC31" s="1"/>
      <c r="ABD31" s="1"/>
      <c r="ABE31" s="1"/>
      <c r="ABF31" s="1"/>
      <c r="ABG31" s="1"/>
      <c r="ABH31" s="1"/>
      <c r="ABI31" s="1"/>
      <c r="ABJ31" s="1"/>
      <c r="ABK31" s="1"/>
      <c r="ABL31" s="1"/>
      <c r="ABM31" s="1"/>
      <c r="ABN31" s="1"/>
      <c r="ABO31" s="1"/>
      <c r="ABP31" s="1"/>
      <c r="ABQ31" s="1"/>
      <c r="ABR31" s="1"/>
      <c r="ABS31" s="1"/>
      <c r="ABT31" s="1"/>
      <c r="ABU31" s="1"/>
      <c r="ABV31" s="1"/>
      <c r="ABW31" s="1"/>
      <c r="ABX31" s="1"/>
      <c r="ABY31" s="1"/>
      <c r="ABZ31" s="1"/>
      <c r="ACA31" s="1"/>
      <c r="ACB31" s="1"/>
      <c r="ACC31" s="1"/>
      <c r="ACD31" s="1"/>
      <c r="ACE31" s="1"/>
      <c r="ACF31" s="1"/>
      <c r="ACG31" s="1"/>
      <c r="ACH31" s="1"/>
      <c r="ACI31" s="1"/>
      <c r="ACJ31" s="1"/>
      <c r="ACK31" s="1"/>
      <c r="ACL31" s="1"/>
      <c r="ACM31" s="1"/>
      <c r="ACN31" s="1"/>
      <c r="ACO31" s="1"/>
      <c r="ACP31" s="1"/>
      <c r="ACQ31" s="1"/>
      <c r="ACR31" s="1"/>
      <c r="ACS31" s="1"/>
      <c r="ACT31" s="1"/>
      <c r="ACU31" s="1"/>
      <c r="ACV31" s="1"/>
      <c r="ACW31" s="1"/>
      <c r="ACX31" s="1"/>
      <c r="ACY31" s="1"/>
      <c r="ACZ31" s="1"/>
      <c r="ADA31" s="1"/>
      <c r="ADB31" s="1"/>
      <c r="ADC31" s="1"/>
      <c r="ADD31" s="1"/>
      <c r="ADE31" s="1"/>
      <c r="ADF31" s="1"/>
      <c r="ADG31" s="1"/>
      <c r="ADH31" s="1"/>
      <c r="ADI31" s="1"/>
      <c r="ADJ31" s="1"/>
      <c r="ADK31" s="1"/>
      <c r="ADL31" s="1"/>
      <c r="ADM31" s="1"/>
      <c r="ADN31" s="1"/>
      <c r="ADO31" s="1"/>
      <c r="ADP31" s="1"/>
      <c r="ADQ31" s="1"/>
      <c r="ADR31" s="1"/>
      <c r="ADS31" s="1"/>
      <c r="ADT31" s="1"/>
      <c r="ADU31" s="1"/>
      <c r="ADV31" s="1"/>
      <c r="ADW31" s="1"/>
      <c r="ADX31" s="1"/>
      <c r="ADY31" s="1"/>
      <c r="ADZ31" s="1"/>
      <c r="AEA31" s="1"/>
      <c r="AEB31" s="1"/>
      <c r="AEC31" s="1"/>
      <c r="AED31" s="1"/>
      <c r="AEE31" s="1"/>
      <c r="AEF31" s="1"/>
      <c r="AEG31" s="1"/>
      <c r="AEH31" s="1"/>
      <c r="AEI31" s="1"/>
      <c r="AEJ31" s="1"/>
      <c r="AEK31" s="1"/>
      <c r="AEL31" s="1"/>
      <c r="AEM31" s="1"/>
      <c r="AEN31" s="1"/>
      <c r="AEO31" s="1"/>
      <c r="AEP31" s="1"/>
      <c r="AEQ31" s="1"/>
      <c r="AER31" s="1"/>
      <c r="AES31" s="1"/>
      <c r="AET31" s="1"/>
      <c r="AEU31" s="1"/>
      <c r="AEV31" s="1"/>
      <c r="AEW31" s="1"/>
      <c r="AEX31" s="1"/>
      <c r="AEY31" s="1"/>
      <c r="AEZ31" s="1"/>
      <c r="AFA31" s="1"/>
      <c r="AFB31" s="1"/>
      <c r="AFC31" s="1"/>
      <c r="AFD31" s="1"/>
      <c r="AFE31" s="1"/>
      <c r="AFF31" s="1"/>
      <c r="AFG31" s="1"/>
      <c r="AFH31" s="1"/>
      <c r="AFI31" s="1"/>
      <c r="AFJ31" s="1"/>
      <c r="AFK31" s="1"/>
      <c r="AFL31" s="1"/>
      <c r="AFM31" s="1"/>
      <c r="AFN31" s="1"/>
      <c r="AFO31" s="1"/>
      <c r="AFP31" s="1"/>
      <c r="AFQ31" s="1"/>
      <c r="AFR31" s="1"/>
      <c r="AFS31" s="1"/>
      <c r="AFT31" s="1"/>
      <c r="AFU31" s="1"/>
      <c r="AFV31" s="1"/>
      <c r="AFW31" s="1"/>
      <c r="AFX31" s="1"/>
      <c r="AFY31" s="1"/>
      <c r="AFZ31" s="1"/>
      <c r="AGA31" s="1"/>
      <c r="AGB31" s="1"/>
      <c r="AGC31" s="1"/>
      <c r="AGD31" s="1"/>
      <c r="AGE31" s="1"/>
      <c r="AGF31" s="1"/>
      <c r="AGG31" s="1"/>
      <c r="AGH31" s="1"/>
      <c r="AGI31" s="1"/>
      <c r="AGJ31" s="1"/>
      <c r="AGK31" s="1"/>
      <c r="AGL31" s="1"/>
      <c r="AGM31" s="1"/>
      <c r="AGN31" s="1"/>
      <c r="AGO31" s="1"/>
      <c r="AGP31" s="1"/>
      <c r="AGQ31" s="1"/>
      <c r="AGR31" s="1"/>
      <c r="AGS31" s="1"/>
      <c r="AGT31" s="1"/>
      <c r="AGU31" s="1"/>
      <c r="AGV31" s="1"/>
      <c r="AGW31" s="1"/>
      <c r="AGX31" s="1"/>
      <c r="AGY31" s="1"/>
      <c r="AGZ31" s="1"/>
      <c r="AHA31" s="1"/>
      <c r="AHB31" s="1"/>
      <c r="AHC31" s="1"/>
      <c r="AHD31" s="1"/>
      <c r="AHE31" s="1"/>
      <c r="AHF31" s="1"/>
      <c r="AHG31" s="1"/>
      <c r="AHH31" s="1"/>
      <c r="AHI31" s="1"/>
      <c r="AHJ31" s="1"/>
      <c r="AHK31" s="1"/>
      <c r="AHL31" s="1"/>
      <c r="AHM31" s="1"/>
      <c r="AHN31" s="1"/>
      <c r="AHO31" s="1"/>
      <c r="AHP31" s="1"/>
      <c r="AHQ31" s="1"/>
      <c r="AHR31" s="1"/>
      <c r="AHS31" s="1"/>
      <c r="AHT31" s="1"/>
      <c r="AHU31" s="1"/>
      <c r="AHV31" s="1"/>
      <c r="AHW31" s="1"/>
      <c r="AHX31" s="1"/>
      <c r="AHY31" s="1"/>
      <c r="AHZ31" s="1"/>
      <c r="AIA31" s="1"/>
      <c r="AIB31" s="1"/>
      <c r="AIC31" s="1"/>
      <c r="AID31" s="1"/>
      <c r="AIE31" s="1"/>
      <c r="AIF31" s="1"/>
      <c r="AIG31" s="1"/>
      <c r="AIH31" s="1"/>
      <c r="AII31" s="1"/>
      <c r="AIJ31" s="1"/>
      <c r="AIK31" s="1"/>
      <c r="AIL31" s="1"/>
      <c r="AIM31" s="1"/>
      <c r="AIN31" s="1"/>
      <c r="AIO31" s="1"/>
      <c r="AIP31" s="1"/>
      <c r="AIQ31" s="1"/>
      <c r="AIR31" s="1"/>
      <c r="AIS31" s="1"/>
      <c r="AIT31" s="1"/>
      <c r="AIU31" s="1"/>
      <c r="AIV31" s="1"/>
      <c r="AIW31" s="1"/>
      <c r="AIX31" s="1"/>
      <c r="AIY31" s="1"/>
      <c r="AIZ31" s="1"/>
      <c r="AJA31" s="1"/>
      <c r="AJB31" s="1"/>
      <c r="AJC31" s="1"/>
      <c r="AJD31" s="1"/>
      <c r="AJE31" s="1"/>
      <c r="AJF31" s="1"/>
      <c r="AJG31" s="1"/>
      <c r="AJH31" s="1"/>
      <c r="AJI31" s="1"/>
      <c r="AJJ31" s="1"/>
      <c r="AJK31" s="1"/>
      <c r="AJL31" s="1"/>
      <c r="AJM31" s="1"/>
      <c r="AJN31" s="1"/>
      <c r="AJO31" s="1"/>
      <c r="AJP31" s="1"/>
      <c r="AJQ31" s="1"/>
      <c r="AJR31" s="1"/>
      <c r="AJS31" s="1"/>
      <c r="AJT31" s="1"/>
      <c r="AJU31" s="1"/>
      <c r="AJV31" s="1"/>
      <c r="AJW31" s="1"/>
      <c r="AJX31" s="1"/>
      <c r="AJY31" s="1"/>
      <c r="AJZ31" s="1"/>
      <c r="AKA31" s="1"/>
      <c r="AKB31" s="1"/>
      <c r="AKC31" s="1"/>
      <c r="AKD31" s="1"/>
      <c r="AKE31" s="1"/>
      <c r="AKF31" s="1"/>
      <c r="AKG31" s="1"/>
      <c r="AKH31" s="1"/>
      <c r="AKI31" s="1"/>
      <c r="AKJ31" s="1"/>
      <c r="AKK31" s="1"/>
      <c r="AKL31" s="1"/>
      <c r="AKM31" s="1"/>
      <c r="AKN31" s="1"/>
      <c r="AKO31" s="1"/>
      <c r="AKP31" s="1"/>
      <c r="AKQ31" s="1"/>
      <c r="AKR31" s="1"/>
      <c r="AKS31" s="1"/>
      <c r="AKT31" s="1"/>
      <c r="AKU31" s="1"/>
      <c r="AKV31" s="1"/>
      <c r="AKW31" s="1"/>
      <c r="AKX31" s="1"/>
      <c r="AKY31" s="1"/>
      <c r="AKZ31" s="1"/>
      <c r="ALA31" s="1"/>
      <c r="ALB31" s="1"/>
      <c r="ALC31" s="1"/>
      <c r="ALD31" s="1"/>
      <c r="ALE31" s="1"/>
      <c r="ALF31" s="1"/>
      <c r="ALG31" s="1"/>
      <c r="ALH31" s="1"/>
      <c r="ALI31" s="1"/>
      <c r="ALJ31" s="1"/>
      <c r="ALK31" s="1"/>
      <c r="ALL31" s="1"/>
      <c r="ALM31" s="1"/>
      <c r="ALN31" s="1"/>
      <c r="ALO31" s="1"/>
      <c r="ALP31" s="1"/>
      <c r="ALQ31" s="1"/>
      <c r="ALR31" s="1"/>
      <c r="ALS31" s="1"/>
      <c r="ALT31" s="1"/>
      <c r="ALU31" s="1"/>
      <c r="ALV31" s="1"/>
      <c r="ALW31" s="1"/>
      <c r="ALX31" s="1"/>
      <c r="ALY31" s="1"/>
      <c r="ALZ31" s="1"/>
      <c r="AMA31" s="1"/>
      <c r="AMB31" s="1"/>
      <c r="AMC31" s="1"/>
      <c r="AMD31" s="1"/>
      <c r="AME31" s="1"/>
      <c r="AMF31" s="1"/>
      <c r="AMG31" s="1"/>
      <c r="AMH31" s="1"/>
      <c r="AMI31" s="1"/>
      <c r="AMJ31" s="1"/>
      <c r="AMK31" s="1"/>
      <c r="AML31" s="1"/>
      <c r="AMM31" s="1"/>
      <c r="AMN31" s="1"/>
    </row>
    <row r="32" spans="1:1029" x14ac:dyDescent="0.2">
      <c r="A32" s="3" t="str">
        <f t="shared" si="0"/>
        <v>aa2ar_human_5K2D</v>
      </c>
      <c r="B32" s="3" t="s">
        <v>139</v>
      </c>
      <c r="C32" s="3" t="s">
        <v>1348</v>
      </c>
      <c r="D32" s="3" t="str">
        <f>IFERROR(MID(VLOOKUP($B32,Seqs!$A:$B,2,0),E32,1),"")</f>
        <v>P</v>
      </c>
      <c r="E32" s="3">
        <v>2</v>
      </c>
      <c r="F32" s="3" t="str">
        <f>IFERROR(MID(VLOOKUP($B32,Seqs!$A:$B,2,0),G32,1),"")</f>
        <v>N</v>
      </c>
      <c r="G32" s="3">
        <v>34</v>
      </c>
      <c r="H32" s="3" t="str">
        <f>IFERROR(MID(VLOOKUP($B32,Seqs!$A:$B,2,0),I32,1),"")</f>
        <v>S</v>
      </c>
      <c r="I32" s="23">
        <v>35</v>
      </c>
      <c r="J32" s="3" t="str">
        <f>IFERROR(MID(VLOOKUP($B32,Seqs!$A:$B,2,0),K32,1),"")</f>
        <v>Q</v>
      </c>
      <c r="K32" s="23">
        <v>38</v>
      </c>
      <c r="L32" s="3" t="str">
        <f>IFERROR(MID(VLOOKUP($B32,Seqs!$A:$B,2,0),M32,1),"")</f>
        <v>N</v>
      </c>
      <c r="M32" s="3">
        <v>39</v>
      </c>
      <c r="N32" s="3" t="str">
        <f>IFERROR(MID(VLOOKUP($B32,Seqs!$A:$B,2,0),O32,1),"")</f>
        <v>G</v>
      </c>
      <c r="O32" s="3">
        <v>69</v>
      </c>
      <c r="P32" s="3" t="str">
        <f>IFERROR(MID(VLOOKUP($B32,Seqs!$A:$B,2,0),Q32,1),"")</f>
        <v>F</v>
      </c>
      <c r="Q32" s="3">
        <v>70</v>
      </c>
      <c r="R32" s="3" t="str">
        <f>IFERROR(MID(VLOOKUP($B32,Seqs!$A:$B,2,0),S32,1),"")</f>
        <v>A</v>
      </c>
      <c r="S32" s="3">
        <v>72</v>
      </c>
      <c r="T32" s="3" t="str">
        <f>IFERROR(MID(VLOOKUP($B32,Seqs!$A:$B,2,0),U32,1),"")</f>
        <v>A</v>
      </c>
      <c r="U32" s="3">
        <v>73</v>
      </c>
      <c r="V32" s="3" t="str">
        <f>IFERROR(MID(VLOOKUP($B32,Seqs!$A:$B,2,0),W32,1),"")</f>
        <v>I</v>
      </c>
      <c r="W32" s="3">
        <v>108</v>
      </c>
      <c r="X32" s="3" t="str">
        <f>IFERROR(MID(VLOOKUP($B32,Seqs!$A:$B,2,0),Y32,1),"")</f>
        <v>P</v>
      </c>
      <c r="Y32" s="3">
        <v>109</v>
      </c>
      <c r="Z32" s="3" t="str">
        <f>IFERROR(MID(VLOOKUP($B32,Seqs!$A:$B,2,0),AA32,1),"")</f>
        <v>V</v>
      </c>
      <c r="AA32" s="3">
        <v>116</v>
      </c>
      <c r="AB32" s="3" t="str">
        <f>IFERROR(MID(VLOOKUP($B32,Seqs!$A:$B,2,0),AC32,1),"")</f>
        <v>T</v>
      </c>
      <c r="AC32" s="9">
        <v>117</v>
      </c>
      <c r="AD32" s="3" t="str">
        <f>IFERROR(MID(VLOOKUP($B32,Seqs!$A:$B,2,0),AE32,1),"")</f>
        <v>G</v>
      </c>
      <c r="AE32" s="3">
        <v>142</v>
      </c>
      <c r="AF32" s="3" t="str">
        <f>IFERROR(MID(VLOOKUP($B32,Seqs!$A:$B,2,0),AG32,1),"")</f>
        <v>C</v>
      </c>
      <c r="AG32" s="3">
        <v>166</v>
      </c>
      <c r="AH32" s="3" t="str">
        <f>IFERROR(MID(VLOOKUP($B32,Seqs!$A:$B,2,0),AI32,1),"")</f>
        <v>F</v>
      </c>
      <c r="AI32" s="3">
        <v>168</v>
      </c>
      <c r="AJ32" s="3" t="str">
        <f>IFERROR(MID(VLOOKUP($B32,Seqs!$A:$B,2,0),AK32,1),"")</f>
        <v>P</v>
      </c>
      <c r="AK32" s="3">
        <v>173</v>
      </c>
      <c r="AL32" s="3" t="str">
        <f>IFERROR(MID(VLOOKUP($B32,Seqs!$A:$B,2,0),AM32,1),"")</f>
        <v>L</v>
      </c>
      <c r="AM32" s="3">
        <v>208</v>
      </c>
      <c r="AN32" s="3" t="str">
        <f>IFERROR(MID(VLOOKUP($B32,Seqs!$A:$B,2,0),AO32,1),"")</f>
        <v>E</v>
      </c>
      <c r="AO32" s="3">
        <v>219</v>
      </c>
      <c r="AP32" s="3" t="str">
        <f>IFERROR(MID(VLOOKUP($B32,Seqs!$A:$B,2,0),AQ32,1),"")</f>
        <v>C</v>
      </c>
      <c r="AQ32" s="3">
        <v>259</v>
      </c>
      <c r="AR32" s="3" t="str">
        <f>IFERROR(MID(VLOOKUP($B32,Seqs!$A:$B,2,0),AS32,1),"")</f>
        <v>P</v>
      </c>
      <c r="AS32" s="3">
        <v>266</v>
      </c>
      <c r="AT32" s="3" t="str">
        <f>IFERROR(MID(VLOOKUP($B32,Seqs!$A:$B,2,0),AU32,1),"")</f>
        <v>R</v>
      </c>
      <c r="AU32" s="3">
        <v>291</v>
      </c>
      <c r="AV32" s="3" t="str">
        <f>IFERROR(MID(VLOOKUP($B32,Seqs!$A:$B,2,0),AW32,1),"")</f>
        <v>I</v>
      </c>
      <c r="AW32" s="3">
        <v>292</v>
      </c>
      <c r="AX32" s="3" t="str">
        <f>IFERROR(MID(VLOOKUP($B32,Seqs!$A:$B,2,0),AY32,1),"")</f>
        <v>V</v>
      </c>
      <c r="AY32" s="3">
        <v>307</v>
      </c>
      <c r="AZ32" s="79" t="str">
        <f>VLOOKUP(B32,Classification!A:D,2,0)</f>
        <v>A</v>
      </c>
      <c r="BA32" s="97" t="str">
        <f>VLOOKUP(B32,Classification!A:D,4,0)</f>
        <v>Adenosine</v>
      </c>
      <c r="BB32" s="27" t="b">
        <f t="shared" si="1"/>
        <v>1</v>
      </c>
      <c r="BC32" s="23">
        <f t="shared" si="84"/>
        <v>263</v>
      </c>
      <c r="BD32" s="5" t="s">
        <v>23</v>
      </c>
      <c r="BE32" s="3" t="s">
        <v>1381</v>
      </c>
      <c r="BF32" s="50" t="s">
        <v>1384</v>
      </c>
      <c r="BG32" s="50" t="s">
        <v>1384</v>
      </c>
      <c r="BH32" s="1"/>
      <c r="BI32" s="72" t="s">
        <v>1293</v>
      </c>
      <c r="BJ32" s="58" t="s">
        <v>1293</v>
      </c>
      <c r="BK32" s="58" t="s">
        <v>1293</v>
      </c>
      <c r="BL32" s="58" t="s">
        <v>1293</v>
      </c>
      <c r="BM32" s="58" t="s">
        <v>1293</v>
      </c>
      <c r="BN32" s="58" t="s">
        <v>1293</v>
      </c>
      <c r="BO32" s="58" t="s">
        <v>1293</v>
      </c>
      <c r="BP32" s="58" t="s">
        <v>1293</v>
      </c>
      <c r="BQ32" s="58" t="s">
        <v>1293</v>
      </c>
      <c r="BR32" s="58" t="s">
        <v>1293</v>
      </c>
      <c r="BS32" s="58" t="s">
        <v>1293</v>
      </c>
      <c r="BT32" s="58" t="s">
        <v>1293</v>
      </c>
      <c r="BU32" s="72">
        <f t="shared" si="85"/>
        <v>2</v>
      </c>
      <c r="BV32" s="73">
        <f t="shared" si="86"/>
        <v>35</v>
      </c>
      <c r="BW32" s="74">
        <f t="shared" si="87"/>
        <v>39</v>
      </c>
      <c r="BX32" s="73">
        <f t="shared" si="88"/>
        <v>70</v>
      </c>
      <c r="BY32" s="74">
        <f t="shared" si="89"/>
        <v>73</v>
      </c>
      <c r="BZ32" s="73">
        <f t="shared" si="90"/>
        <v>109</v>
      </c>
      <c r="CA32" s="74">
        <f t="shared" si="91"/>
        <v>117</v>
      </c>
      <c r="CB32" s="73">
        <f t="shared" si="92"/>
        <v>166</v>
      </c>
      <c r="CC32" s="74">
        <f t="shared" si="93"/>
        <v>173</v>
      </c>
      <c r="CD32" s="73">
        <f t="shared" si="94"/>
        <v>219</v>
      </c>
      <c r="CE32" s="74">
        <f t="shared" si="95"/>
        <v>266</v>
      </c>
      <c r="CF32" s="73">
        <f t="shared" si="96"/>
        <v>292</v>
      </c>
      <c r="CG32" s="72">
        <f t="shared" si="97"/>
        <v>34</v>
      </c>
      <c r="CH32" s="73">
        <f t="shared" si="98"/>
        <v>38</v>
      </c>
      <c r="CI32" s="74">
        <f t="shared" si="99"/>
        <v>69</v>
      </c>
      <c r="CJ32" s="74">
        <f t="shared" si="100"/>
        <v>72</v>
      </c>
      <c r="CK32" s="74">
        <f t="shared" si="101"/>
        <v>108</v>
      </c>
      <c r="CL32" s="74">
        <f t="shared" si="102"/>
        <v>116</v>
      </c>
      <c r="CM32" s="74">
        <f t="shared" si="103"/>
        <v>142</v>
      </c>
      <c r="CN32" s="74">
        <f t="shared" si="104"/>
        <v>168</v>
      </c>
      <c r="CO32" s="74">
        <f t="shared" si="105"/>
        <v>208</v>
      </c>
      <c r="CP32" s="74">
        <f t="shared" si="106"/>
        <v>259</v>
      </c>
      <c r="CQ32" s="74">
        <f t="shared" si="107"/>
        <v>291</v>
      </c>
      <c r="CR32" s="74">
        <f t="shared" si="108"/>
        <v>307</v>
      </c>
      <c r="CS32" s="23">
        <f t="shared" si="109"/>
        <v>1</v>
      </c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  <c r="OK32" s="1"/>
      <c r="OL32" s="1"/>
      <c r="OM32" s="1"/>
      <c r="ON32" s="1"/>
      <c r="OO32" s="1"/>
      <c r="OP32" s="1"/>
      <c r="OQ32" s="1"/>
      <c r="OR32" s="1"/>
      <c r="OS32" s="1"/>
      <c r="OT32" s="1"/>
      <c r="OU32" s="1"/>
      <c r="OV32" s="1"/>
      <c r="OW32" s="1"/>
      <c r="OX32" s="1"/>
      <c r="OY32" s="1"/>
      <c r="OZ32" s="1"/>
      <c r="PA32" s="1"/>
      <c r="PB32" s="1"/>
      <c r="PC32" s="1"/>
      <c r="PD32" s="1"/>
      <c r="PE32" s="1"/>
      <c r="PF32" s="1"/>
      <c r="PG32" s="1"/>
      <c r="PH32" s="1"/>
      <c r="PI32" s="1"/>
      <c r="PJ32" s="1"/>
      <c r="PK32" s="1"/>
      <c r="PL32" s="1"/>
      <c r="PM32" s="1"/>
      <c r="PN32" s="1"/>
      <c r="PO32" s="1"/>
      <c r="PP32" s="1"/>
      <c r="PQ32" s="1"/>
      <c r="PR32" s="1"/>
      <c r="PS32" s="1"/>
      <c r="PT32" s="1"/>
      <c r="PU32" s="1"/>
      <c r="PV32" s="1"/>
      <c r="PW32" s="1"/>
      <c r="PX32" s="1"/>
      <c r="PY32" s="1"/>
      <c r="PZ32" s="1"/>
      <c r="QA32" s="1"/>
      <c r="QB32" s="1"/>
      <c r="QC32" s="1"/>
      <c r="QD32" s="1"/>
      <c r="QE32" s="1"/>
      <c r="QF32" s="1"/>
      <c r="QG32" s="1"/>
      <c r="QH32" s="1"/>
      <c r="QI32" s="1"/>
      <c r="QJ32" s="1"/>
      <c r="QK32" s="1"/>
      <c r="QL32" s="1"/>
      <c r="QM32" s="1"/>
      <c r="QN32" s="1"/>
      <c r="QO32" s="1"/>
      <c r="QP32" s="1"/>
      <c r="QQ32" s="1"/>
      <c r="QR32" s="1"/>
      <c r="QS32" s="1"/>
      <c r="QT32" s="1"/>
      <c r="QU32" s="1"/>
      <c r="QV32" s="1"/>
      <c r="QW32" s="1"/>
      <c r="QX32" s="1"/>
      <c r="QY32" s="1"/>
      <c r="QZ32" s="1"/>
      <c r="RA32" s="1"/>
      <c r="RB32" s="1"/>
      <c r="RC32" s="1"/>
      <c r="RD32" s="1"/>
      <c r="RE32" s="1"/>
      <c r="RF32" s="1"/>
      <c r="RG32" s="1"/>
      <c r="RH32" s="1"/>
      <c r="RI32" s="1"/>
      <c r="RJ32" s="1"/>
      <c r="RK32" s="1"/>
      <c r="RL32" s="1"/>
      <c r="RM32" s="1"/>
      <c r="RN32" s="1"/>
      <c r="RO32" s="1"/>
      <c r="RP32" s="1"/>
      <c r="RQ32" s="1"/>
      <c r="RR32" s="1"/>
      <c r="RS32" s="1"/>
      <c r="RT32" s="1"/>
      <c r="RU32" s="1"/>
      <c r="RV32" s="1"/>
      <c r="RW32" s="1"/>
      <c r="RX32" s="1"/>
      <c r="RY32" s="1"/>
      <c r="RZ32" s="1"/>
      <c r="SA32" s="1"/>
      <c r="SB32" s="1"/>
      <c r="SC32" s="1"/>
      <c r="SD32" s="1"/>
      <c r="SE32" s="1"/>
      <c r="SF32" s="1"/>
      <c r="SG32" s="1"/>
      <c r="SH32" s="1"/>
      <c r="SI32" s="1"/>
      <c r="SJ32" s="1"/>
      <c r="SK32" s="1"/>
      <c r="SL32" s="1"/>
      <c r="SM32" s="1"/>
      <c r="SN32" s="1"/>
      <c r="SO32" s="1"/>
      <c r="SP32" s="1"/>
      <c r="SQ32" s="1"/>
      <c r="SR32" s="1"/>
      <c r="SS32" s="1"/>
      <c r="ST32" s="1"/>
      <c r="SU32" s="1"/>
      <c r="SV32" s="1"/>
      <c r="SW32" s="1"/>
      <c r="SX32" s="1"/>
      <c r="SY32" s="1"/>
      <c r="SZ32" s="1"/>
      <c r="TA32" s="1"/>
      <c r="TB32" s="1"/>
      <c r="TC32" s="1"/>
      <c r="TD32" s="1"/>
      <c r="TE32" s="1"/>
      <c r="TF32" s="1"/>
      <c r="TG32" s="1"/>
      <c r="TH32" s="1"/>
      <c r="TI32" s="1"/>
      <c r="TJ32" s="1"/>
      <c r="TK32" s="1"/>
      <c r="TL32" s="1"/>
      <c r="TM32" s="1"/>
      <c r="TN32" s="1"/>
      <c r="TO32" s="1"/>
      <c r="TP32" s="1"/>
      <c r="TQ32" s="1"/>
      <c r="TR32" s="1"/>
      <c r="TS32" s="1"/>
      <c r="TT32" s="1"/>
      <c r="TU32" s="1"/>
      <c r="TV32" s="1"/>
      <c r="TW32" s="1"/>
      <c r="TX32" s="1"/>
      <c r="TY32" s="1"/>
      <c r="TZ32" s="1"/>
      <c r="UA32" s="1"/>
      <c r="UB32" s="1"/>
      <c r="UC32" s="1"/>
      <c r="UD32" s="1"/>
      <c r="UE32" s="1"/>
      <c r="UF32" s="1"/>
      <c r="UG32" s="1"/>
      <c r="UH32" s="1"/>
      <c r="UI32" s="1"/>
      <c r="UJ32" s="1"/>
      <c r="UK32" s="1"/>
      <c r="UL32" s="1"/>
      <c r="UM32" s="1"/>
      <c r="UN32" s="1"/>
      <c r="UO32" s="1"/>
      <c r="UP32" s="1"/>
      <c r="UQ32" s="1"/>
      <c r="UR32" s="1"/>
      <c r="US32" s="1"/>
      <c r="UT32" s="1"/>
      <c r="UU32" s="1"/>
      <c r="UV32" s="1"/>
      <c r="UW32" s="1"/>
      <c r="UX32" s="1"/>
      <c r="UY32" s="1"/>
      <c r="UZ32" s="1"/>
      <c r="VA32" s="1"/>
      <c r="VB32" s="1"/>
      <c r="VC32" s="1"/>
      <c r="VD32" s="1"/>
      <c r="VE32" s="1"/>
      <c r="VF32" s="1"/>
      <c r="VG32" s="1"/>
      <c r="VH32" s="1"/>
      <c r="VI32" s="1"/>
      <c r="VJ32" s="1"/>
      <c r="VK32" s="1"/>
      <c r="VL32" s="1"/>
      <c r="VM32" s="1"/>
      <c r="VN32" s="1"/>
      <c r="VO32" s="1"/>
      <c r="VP32" s="1"/>
      <c r="VQ32" s="1"/>
      <c r="VR32" s="1"/>
      <c r="VS32" s="1"/>
      <c r="VT32" s="1"/>
      <c r="VU32" s="1"/>
      <c r="VV32" s="1"/>
      <c r="VW32" s="1"/>
      <c r="VX32" s="1"/>
      <c r="VY32" s="1"/>
      <c r="VZ32" s="1"/>
      <c r="WA32" s="1"/>
      <c r="WB32" s="1"/>
      <c r="WC32" s="1"/>
      <c r="WD32" s="1"/>
      <c r="WE32" s="1"/>
      <c r="WF32" s="1"/>
      <c r="WG32" s="1"/>
      <c r="WH32" s="1"/>
      <c r="WI32" s="1"/>
      <c r="WJ32" s="1"/>
      <c r="WK32" s="1"/>
      <c r="WL32" s="1"/>
      <c r="WM32" s="1"/>
      <c r="WN32" s="1"/>
      <c r="WO32" s="1"/>
      <c r="WP32" s="1"/>
      <c r="WQ32" s="1"/>
      <c r="WR32" s="1"/>
      <c r="WS32" s="1"/>
      <c r="WT32" s="1"/>
      <c r="WU32" s="1"/>
      <c r="WV32" s="1"/>
      <c r="WW32" s="1"/>
      <c r="WX32" s="1"/>
      <c r="WY32" s="1"/>
      <c r="WZ32" s="1"/>
      <c r="XA32" s="1"/>
      <c r="XB32" s="1"/>
      <c r="XC32" s="1"/>
      <c r="XD32" s="1"/>
      <c r="XE32" s="1"/>
      <c r="XF32" s="1"/>
      <c r="XG32" s="1"/>
      <c r="XH32" s="1"/>
      <c r="XI32" s="1"/>
      <c r="XJ32" s="1"/>
      <c r="XK32" s="1"/>
      <c r="XL32" s="1"/>
      <c r="XM32" s="1"/>
      <c r="XN32" s="1"/>
      <c r="XO32" s="1"/>
      <c r="XP32" s="1"/>
      <c r="XQ32" s="1"/>
      <c r="XR32" s="1"/>
      <c r="XS32" s="1"/>
      <c r="XT32" s="1"/>
      <c r="XU32" s="1"/>
      <c r="XV32" s="1"/>
      <c r="XW32" s="1"/>
      <c r="XX32" s="1"/>
      <c r="XY32" s="1"/>
      <c r="XZ32" s="1"/>
      <c r="YA32" s="1"/>
      <c r="YB32" s="1"/>
      <c r="YC32" s="1"/>
      <c r="YD32" s="1"/>
      <c r="YE32" s="1"/>
      <c r="YF32" s="1"/>
      <c r="YG32" s="1"/>
      <c r="YH32" s="1"/>
      <c r="YI32" s="1"/>
      <c r="YJ32" s="1"/>
      <c r="YK32" s="1"/>
      <c r="YL32" s="1"/>
      <c r="YM32" s="1"/>
      <c r="YN32" s="1"/>
      <c r="YO32" s="1"/>
      <c r="YP32" s="1"/>
      <c r="YQ32" s="1"/>
      <c r="YR32" s="1"/>
      <c r="YS32" s="1"/>
      <c r="YT32" s="1"/>
      <c r="YU32" s="1"/>
      <c r="YV32" s="1"/>
      <c r="YW32" s="1"/>
      <c r="YX32" s="1"/>
      <c r="YY32" s="1"/>
      <c r="YZ32" s="1"/>
      <c r="ZA32" s="1"/>
      <c r="ZB32" s="1"/>
      <c r="ZC32" s="1"/>
      <c r="ZD32" s="1"/>
      <c r="ZE32" s="1"/>
      <c r="ZF32" s="1"/>
      <c r="ZG32" s="1"/>
      <c r="ZH32" s="1"/>
      <c r="ZI32" s="1"/>
      <c r="ZJ32" s="1"/>
      <c r="ZK32" s="1"/>
      <c r="ZL32" s="1"/>
      <c r="ZM32" s="1"/>
      <c r="ZN32" s="1"/>
      <c r="ZO32" s="1"/>
      <c r="ZP32" s="1"/>
      <c r="ZQ32" s="1"/>
      <c r="ZR32" s="1"/>
      <c r="ZS32" s="1"/>
      <c r="ZT32" s="1"/>
      <c r="ZU32" s="1"/>
      <c r="ZV32" s="1"/>
      <c r="ZW32" s="1"/>
      <c r="ZX32" s="1"/>
      <c r="ZY32" s="1"/>
      <c r="ZZ32" s="1"/>
      <c r="AAA32" s="1"/>
      <c r="AAB32" s="1"/>
      <c r="AAC32" s="1"/>
      <c r="AAD32" s="1"/>
      <c r="AAE32" s="1"/>
      <c r="AAF32" s="1"/>
      <c r="AAG32" s="1"/>
      <c r="AAH32" s="1"/>
      <c r="AAI32" s="1"/>
      <c r="AAJ32" s="1"/>
      <c r="AAK32" s="1"/>
      <c r="AAL32" s="1"/>
      <c r="AAM32" s="1"/>
      <c r="AAN32" s="1"/>
      <c r="AAO32" s="1"/>
      <c r="AAP32" s="1"/>
      <c r="AAQ32" s="1"/>
      <c r="AAR32" s="1"/>
      <c r="AAS32" s="1"/>
      <c r="AAT32" s="1"/>
      <c r="AAU32" s="1"/>
      <c r="AAV32" s="1"/>
      <c r="AAW32" s="1"/>
      <c r="AAX32" s="1"/>
      <c r="AAY32" s="1"/>
      <c r="AAZ32" s="1"/>
      <c r="ABA32" s="1"/>
      <c r="ABB32" s="1"/>
      <c r="ABC32" s="1"/>
      <c r="ABD32" s="1"/>
      <c r="ABE32" s="1"/>
      <c r="ABF32" s="1"/>
      <c r="ABG32" s="1"/>
      <c r="ABH32" s="1"/>
      <c r="ABI32" s="1"/>
      <c r="ABJ32" s="1"/>
      <c r="ABK32" s="1"/>
      <c r="ABL32" s="1"/>
      <c r="ABM32" s="1"/>
      <c r="ABN32" s="1"/>
      <c r="ABO32" s="1"/>
      <c r="ABP32" s="1"/>
      <c r="ABQ32" s="1"/>
      <c r="ABR32" s="1"/>
      <c r="ABS32" s="1"/>
      <c r="ABT32" s="1"/>
      <c r="ABU32" s="1"/>
      <c r="ABV32" s="1"/>
      <c r="ABW32" s="1"/>
      <c r="ABX32" s="1"/>
      <c r="ABY32" s="1"/>
      <c r="ABZ32" s="1"/>
      <c r="ACA32" s="1"/>
      <c r="ACB32" s="1"/>
      <c r="ACC32" s="1"/>
      <c r="ACD32" s="1"/>
      <c r="ACE32" s="1"/>
      <c r="ACF32" s="1"/>
      <c r="ACG32" s="1"/>
      <c r="ACH32" s="1"/>
      <c r="ACI32" s="1"/>
      <c r="ACJ32" s="1"/>
      <c r="ACK32" s="1"/>
      <c r="ACL32" s="1"/>
      <c r="ACM32" s="1"/>
      <c r="ACN32" s="1"/>
      <c r="ACO32" s="1"/>
      <c r="ACP32" s="1"/>
      <c r="ACQ32" s="1"/>
      <c r="ACR32" s="1"/>
      <c r="ACS32" s="1"/>
      <c r="ACT32" s="1"/>
      <c r="ACU32" s="1"/>
      <c r="ACV32" s="1"/>
      <c r="ACW32" s="1"/>
      <c r="ACX32" s="1"/>
      <c r="ACY32" s="1"/>
      <c r="ACZ32" s="1"/>
      <c r="ADA32" s="1"/>
      <c r="ADB32" s="1"/>
      <c r="ADC32" s="1"/>
      <c r="ADD32" s="1"/>
      <c r="ADE32" s="1"/>
      <c r="ADF32" s="1"/>
      <c r="ADG32" s="1"/>
      <c r="ADH32" s="1"/>
      <c r="ADI32" s="1"/>
      <c r="ADJ32" s="1"/>
      <c r="ADK32" s="1"/>
      <c r="ADL32" s="1"/>
      <c r="ADM32" s="1"/>
      <c r="ADN32" s="1"/>
      <c r="ADO32" s="1"/>
      <c r="ADP32" s="1"/>
      <c r="ADQ32" s="1"/>
      <c r="ADR32" s="1"/>
      <c r="ADS32" s="1"/>
      <c r="ADT32" s="1"/>
      <c r="ADU32" s="1"/>
      <c r="ADV32" s="1"/>
      <c r="ADW32" s="1"/>
      <c r="ADX32" s="1"/>
      <c r="ADY32" s="1"/>
      <c r="ADZ32" s="1"/>
      <c r="AEA32" s="1"/>
      <c r="AEB32" s="1"/>
      <c r="AEC32" s="1"/>
      <c r="AED32" s="1"/>
      <c r="AEE32" s="1"/>
      <c r="AEF32" s="1"/>
      <c r="AEG32" s="1"/>
      <c r="AEH32" s="1"/>
      <c r="AEI32" s="1"/>
      <c r="AEJ32" s="1"/>
      <c r="AEK32" s="1"/>
      <c r="AEL32" s="1"/>
      <c r="AEM32" s="1"/>
      <c r="AEN32" s="1"/>
      <c r="AEO32" s="1"/>
      <c r="AEP32" s="1"/>
      <c r="AEQ32" s="1"/>
      <c r="AER32" s="1"/>
      <c r="AES32" s="1"/>
      <c r="AET32" s="1"/>
      <c r="AEU32" s="1"/>
      <c r="AEV32" s="1"/>
      <c r="AEW32" s="1"/>
      <c r="AEX32" s="1"/>
      <c r="AEY32" s="1"/>
      <c r="AEZ32" s="1"/>
      <c r="AFA32" s="1"/>
      <c r="AFB32" s="1"/>
      <c r="AFC32" s="1"/>
      <c r="AFD32" s="1"/>
      <c r="AFE32" s="1"/>
      <c r="AFF32" s="1"/>
      <c r="AFG32" s="1"/>
      <c r="AFH32" s="1"/>
      <c r="AFI32" s="1"/>
      <c r="AFJ32" s="1"/>
      <c r="AFK32" s="1"/>
      <c r="AFL32" s="1"/>
      <c r="AFM32" s="1"/>
      <c r="AFN32" s="1"/>
      <c r="AFO32" s="1"/>
      <c r="AFP32" s="1"/>
      <c r="AFQ32" s="1"/>
      <c r="AFR32" s="1"/>
      <c r="AFS32" s="1"/>
      <c r="AFT32" s="1"/>
      <c r="AFU32" s="1"/>
      <c r="AFV32" s="1"/>
      <c r="AFW32" s="1"/>
      <c r="AFX32" s="1"/>
      <c r="AFY32" s="1"/>
      <c r="AFZ32" s="1"/>
      <c r="AGA32" s="1"/>
      <c r="AGB32" s="1"/>
      <c r="AGC32" s="1"/>
      <c r="AGD32" s="1"/>
      <c r="AGE32" s="1"/>
      <c r="AGF32" s="1"/>
      <c r="AGG32" s="1"/>
      <c r="AGH32" s="1"/>
      <c r="AGI32" s="1"/>
      <c r="AGJ32" s="1"/>
      <c r="AGK32" s="1"/>
      <c r="AGL32" s="1"/>
      <c r="AGM32" s="1"/>
      <c r="AGN32" s="1"/>
      <c r="AGO32" s="1"/>
      <c r="AGP32" s="1"/>
      <c r="AGQ32" s="1"/>
      <c r="AGR32" s="1"/>
      <c r="AGS32" s="1"/>
      <c r="AGT32" s="1"/>
      <c r="AGU32" s="1"/>
      <c r="AGV32" s="1"/>
      <c r="AGW32" s="1"/>
      <c r="AGX32" s="1"/>
      <c r="AGY32" s="1"/>
      <c r="AGZ32" s="1"/>
      <c r="AHA32" s="1"/>
      <c r="AHB32" s="1"/>
      <c r="AHC32" s="1"/>
      <c r="AHD32" s="1"/>
      <c r="AHE32" s="1"/>
      <c r="AHF32" s="1"/>
      <c r="AHG32" s="1"/>
      <c r="AHH32" s="1"/>
      <c r="AHI32" s="1"/>
      <c r="AHJ32" s="1"/>
      <c r="AHK32" s="1"/>
      <c r="AHL32" s="1"/>
      <c r="AHM32" s="1"/>
      <c r="AHN32" s="1"/>
      <c r="AHO32" s="1"/>
      <c r="AHP32" s="1"/>
      <c r="AHQ32" s="1"/>
      <c r="AHR32" s="1"/>
      <c r="AHS32" s="1"/>
      <c r="AHT32" s="1"/>
      <c r="AHU32" s="1"/>
      <c r="AHV32" s="1"/>
      <c r="AHW32" s="1"/>
      <c r="AHX32" s="1"/>
      <c r="AHY32" s="1"/>
      <c r="AHZ32" s="1"/>
      <c r="AIA32" s="1"/>
      <c r="AIB32" s="1"/>
      <c r="AIC32" s="1"/>
      <c r="AID32" s="1"/>
      <c r="AIE32" s="1"/>
      <c r="AIF32" s="1"/>
      <c r="AIG32" s="1"/>
      <c r="AIH32" s="1"/>
      <c r="AII32" s="1"/>
      <c r="AIJ32" s="1"/>
      <c r="AIK32" s="1"/>
      <c r="AIL32" s="1"/>
      <c r="AIM32" s="1"/>
      <c r="AIN32" s="1"/>
      <c r="AIO32" s="1"/>
      <c r="AIP32" s="1"/>
      <c r="AIQ32" s="1"/>
      <c r="AIR32" s="1"/>
      <c r="AIS32" s="1"/>
      <c r="AIT32" s="1"/>
      <c r="AIU32" s="1"/>
      <c r="AIV32" s="1"/>
      <c r="AIW32" s="1"/>
      <c r="AIX32" s="1"/>
      <c r="AIY32" s="1"/>
      <c r="AIZ32" s="1"/>
      <c r="AJA32" s="1"/>
      <c r="AJB32" s="1"/>
      <c r="AJC32" s="1"/>
      <c r="AJD32" s="1"/>
      <c r="AJE32" s="1"/>
      <c r="AJF32" s="1"/>
      <c r="AJG32" s="1"/>
      <c r="AJH32" s="1"/>
      <c r="AJI32" s="1"/>
      <c r="AJJ32" s="1"/>
      <c r="AJK32" s="1"/>
      <c r="AJL32" s="1"/>
      <c r="AJM32" s="1"/>
      <c r="AJN32" s="1"/>
      <c r="AJO32" s="1"/>
      <c r="AJP32" s="1"/>
      <c r="AJQ32" s="1"/>
      <c r="AJR32" s="1"/>
      <c r="AJS32" s="1"/>
      <c r="AJT32" s="1"/>
      <c r="AJU32" s="1"/>
      <c r="AJV32" s="1"/>
      <c r="AJW32" s="1"/>
      <c r="AJX32" s="1"/>
      <c r="AJY32" s="1"/>
      <c r="AJZ32" s="1"/>
      <c r="AKA32" s="1"/>
      <c r="AKB32" s="1"/>
      <c r="AKC32" s="1"/>
      <c r="AKD32" s="1"/>
      <c r="AKE32" s="1"/>
      <c r="AKF32" s="1"/>
      <c r="AKG32" s="1"/>
      <c r="AKH32" s="1"/>
      <c r="AKI32" s="1"/>
      <c r="AKJ32" s="1"/>
      <c r="AKK32" s="1"/>
      <c r="AKL32" s="1"/>
      <c r="AKM32" s="1"/>
      <c r="AKN32" s="1"/>
      <c r="AKO32" s="1"/>
      <c r="AKP32" s="1"/>
      <c r="AKQ32" s="1"/>
      <c r="AKR32" s="1"/>
      <c r="AKS32" s="1"/>
      <c r="AKT32" s="1"/>
      <c r="AKU32" s="1"/>
      <c r="AKV32" s="1"/>
      <c r="AKW32" s="1"/>
      <c r="AKX32" s="1"/>
      <c r="AKY32" s="1"/>
      <c r="AKZ32" s="1"/>
      <c r="ALA32" s="1"/>
      <c r="ALB32" s="1"/>
      <c r="ALC32" s="1"/>
      <c r="ALD32" s="1"/>
      <c r="ALE32" s="1"/>
      <c r="ALF32" s="1"/>
      <c r="ALG32" s="1"/>
      <c r="ALH32" s="1"/>
      <c r="ALI32" s="1"/>
      <c r="ALJ32" s="1"/>
      <c r="ALK32" s="1"/>
      <c r="ALL32" s="1"/>
      <c r="ALM32" s="1"/>
      <c r="ALN32" s="1"/>
      <c r="ALO32" s="1"/>
      <c r="ALP32" s="1"/>
      <c r="ALQ32" s="1"/>
      <c r="ALR32" s="1"/>
      <c r="ALS32" s="1"/>
      <c r="ALT32" s="1"/>
      <c r="ALU32" s="1"/>
      <c r="ALV32" s="1"/>
      <c r="ALW32" s="1"/>
      <c r="ALX32" s="1"/>
      <c r="ALY32" s="1"/>
      <c r="ALZ32" s="1"/>
      <c r="AMA32" s="1"/>
      <c r="AMB32" s="1"/>
      <c r="AMC32" s="1"/>
      <c r="AMD32" s="1"/>
      <c r="AME32" s="1"/>
      <c r="AMF32" s="1"/>
      <c r="AMG32" s="1"/>
      <c r="AMH32" s="1"/>
      <c r="AMI32" s="1"/>
      <c r="AMJ32" s="1"/>
      <c r="AMK32" s="1"/>
      <c r="AML32" s="1"/>
      <c r="AMM32" s="1"/>
      <c r="AMN32" s="1"/>
    </row>
    <row r="33" spans="1:1028" x14ac:dyDescent="0.2">
      <c r="A33" s="3" t="str">
        <f t="shared" ref="A33" si="110">CONCATENATE(B33,"_",C33)</f>
        <v>aa2ar_human_5UIG</v>
      </c>
      <c r="B33" s="3" t="s">
        <v>139</v>
      </c>
      <c r="C33" s="3" t="s">
        <v>1394</v>
      </c>
      <c r="D33" s="3" t="str">
        <f>IFERROR(MID(VLOOKUP($B33,Seqs!$A:$B,2,0),E33,1),"")</f>
        <v>M</v>
      </c>
      <c r="E33" s="3">
        <v>4</v>
      </c>
      <c r="F33" s="3" t="str">
        <f>IFERROR(MID(VLOOKUP($B33,Seqs!$A:$B,2,0),G33,1),"")</f>
        <v>N</v>
      </c>
      <c r="G33" s="3">
        <v>34</v>
      </c>
      <c r="H33" s="3" t="str">
        <f>IFERROR(MID(VLOOKUP($B33,Seqs!$A:$B,2,0),I33,1),"")</f>
        <v>S</v>
      </c>
      <c r="I33" s="23">
        <v>35</v>
      </c>
      <c r="J33" s="3" t="str">
        <f>IFERROR(MID(VLOOKUP($B33,Seqs!$A:$B,2,0),K33,1),"")</f>
        <v>Q</v>
      </c>
      <c r="K33" s="23">
        <v>38</v>
      </c>
      <c r="L33" s="3" t="str">
        <f>IFERROR(MID(VLOOKUP($B33,Seqs!$A:$B,2,0),M33,1),"")</f>
        <v>N</v>
      </c>
      <c r="M33" s="3">
        <v>39</v>
      </c>
      <c r="N33" s="3" t="str">
        <f>IFERROR(MID(VLOOKUP($B33,Seqs!$A:$B,2,0),O33,1),"")</f>
        <v>G</v>
      </c>
      <c r="O33" s="3">
        <v>69</v>
      </c>
      <c r="P33" s="3" t="str">
        <f>IFERROR(MID(VLOOKUP($B33,Seqs!$A:$B,2,0),Q33,1),"")</f>
        <v>F</v>
      </c>
      <c r="Q33" s="3">
        <v>70</v>
      </c>
      <c r="R33" s="3" t="str">
        <f>IFERROR(MID(VLOOKUP($B33,Seqs!$A:$B,2,0),S33,1),"")</f>
        <v>A</v>
      </c>
      <c r="S33" s="3">
        <v>72</v>
      </c>
      <c r="T33" s="3" t="str">
        <f>IFERROR(MID(VLOOKUP($B33,Seqs!$A:$B,2,0),U33,1),"")</f>
        <v>A</v>
      </c>
      <c r="U33" s="3">
        <v>73</v>
      </c>
      <c r="V33" s="3" t="str">
        <f>IFERROR(MID(VLOOKUP($B33,Seqs!$A:$B,2,0),W33,1),"")</f>
        <v>I</v>
      </c>
      <c r="W33" s="3">
        <v>108</v>
      </c>
      <c r="X33" s="3" t="str">
        <f>IFERROR(MID(VLOOKUP($B33,Seqs!$A:$B,2,0),Y33,1),"")</f>
        <v>P</v>
      </c>
      <c r="Y33" s="3">
        <v>109</v>
      </c>
      <c r="Z33" s="3" t="str">
        <f>IFERROR(MID(VLOOKUP($B33,Seqs!$A:$B,2,0),AA33,1),"")</f>
        <v>V</v>
      </c>
      <c r="AA33" s="3">
        <v>116</v>
      </c>
      <c r="AB33" s="3" t="str">
        <f>IFERROR(MID(VLOOKUP($B33,Seqs!$A:$B,2,0),AC33,1),"")</f>
        <v>T</v>
      </c>
      <c r="AC33" s="3">
        <v>117</v>
      </c>
      <c r="AD33" s="3" t="str">
        <f>IFERROR(MID(VLOOKUP($B33,Seqs!$A:$B,2,0),AE33,1),"")</f>
        <v>G</v>
      </c>
      <c r="AE33" s="3">
        <v>142</v>
      </c>
      <c r="AF33" s="3" t="str">
        <f>IFERROR(MID(VLOOKUP($B33,Seqs!$A:$B,2,0),AG33,1),"")</f>
        <v>C</v>
      </c>
      <c r="AG33" s="3">
        <v>166</v>
      </c>
      <c r="AH33" s="3" t="str">
        <f>IFERROR(MID(VLOOKUP($B33,Seqs!$A:$B,2,0),AI33,1),"")</f>
        <v>F</v>
      </c>
      <c r="AI33" s="3">
        <v>168</v>
      </c>
      <c r="AJ33" s="3" t="str">
        <f>IFERROR(MID(VLOOKUP($B33,Seqs!$A:$B,2,0),AK33,1),"")</f>
        <v>P</v>
      </c>
      <c r="AK33" s="3">
        <v>173</v>
      </c>
      <c r="AL33" s="3" t="str">
        <f>IFERROR(MID(VLOOKUP($B33,Seqs!$A:$B,2,0),AM33,1),"")</f>
        <v>L</v>
      </c>
      <c r="AM33" s="3">
        <v>208</v>
      </c>
      <c r="AN33" s="3" t="str">
        <f>IFERROR(MID(VLOOKUP($B33,Seqs!$A:$B,2,0),AO33,1),"")</f>
        <v>E</v>
      </c>
      <c r="AO33" s="3">
        <v>219</v>
      </c>
      <c r="AP33" s="3" t="str">
        <f>IFERROR(MID(VLOOKUP($B33,Seqs!$A:$B,2,0),AQ33,1),"")</f>
        <v>C</v>
      </c>
      <c r="AQ33" s="3">
        <v>259</v>
      </c>
      <c r="AR33" s="3" t="str">
        <f>IFERROR(MID(VLOOKUP($B33,Seqs!$A:$B,2,0),AS33,1),"")</f>
        <v>P</v>
      </c>
      <c r="AS33" s="3">
        <v>266</v>
      </c>
      <c r="AT33" s="3" t="str">
        <f>IFERROR(MID(VLOOKUP($B33,Seqs!$A:$B,2,0),AU33,1),"")</f>
        <v>R</v>
      </c>
      <c r="AU33" s="3">
        <v>291</v>
      </c>
      <c r="AV33" s="3" t="str">
        <f>IFERROR(MID(VLOOKUP($B33,Seqs!$A:$B,2,0),AW33,1),"")</f>
        <v>I</v>
      </c>
      <c r="AW33" s="3">
        <v>292</v>
      </c>
      <c r="AX33" s="3" t="str">
        <f>IFERROR(MID(VLOOKUP($B33,Seqs!$A:$B,2,0),AY33,1),"")</f>
        <v>Q</v>
      </c>
      <c r="AY33" s="3">
        <v>297</v>
      </c>
      <c r="AZ33" s="79" t="str">
        <f>VLOOKUP(B33,Classification!A:D,2,0)</f>
        <v>A</v>
      </c>
      <c r="BA33" s="97" t="str">
        <f>VLOOKUP(B33,Classification!A:D,4,0)</f>
        <v>Adenosine</v>
      </c>
      <c r="BB33" s="27" t="b">
        <f t="shared" ref="BB33" si="111">AND(E33&lt;G33,OR(G33&lt;I33,I33="-"),OR(I33&lt;K33,I33="-"),OR(K33&lt;M33,K33="-"),M33&lt;O33,OR(O33&lt;Q33,Q33="-"),OR(Q33&lt;S33,Q33="-"),OR(S33&lt;U33,S33="-"),U33&lt;W33,OR(W33&lt;Y33,Y33="-"),OR(Y33&lt;AA33,Y33="-"),OR(AA33&lt;AC33,AA33="-"),AC33&lt;AE33,OR(AE33&lt;AG33,AG33="-"),OR(AG33&lt;AI33,AG33="-"),OR(AI33&lt;AK33,AI33="-"),AK33&lt;AM33,AM33&lt;AO33,AO33&lt;AQ33,AQ33&lt;AS33,AS33&lt;AU33,OR(AU33&lt;AW33,AW33="-"),OR(AW33&lt;AY33,AW33="-"))</f>
        <v>1</v>
      </c>
      <c r="BC33" s="23">
        <f t="shared" ref="BC33" si="112">_xlfn.AGGREGATE(9,6,CG33:CR33)-_xlfn.AGGREGATE(9,6,BU33:CF33)+12</f>
        <v>251</v>
      </c>
      <c r="BD33" s="5" t="s">
        <v>23</v>
      </c>
      <c r="BE33" s="3" t="s">
        <v>1381</v>
      </c>
      <c r="BF33" s="50" t="s">
        <v>1384</v>
      </c>
      <c r="BG33" s="50" t="s">
        <v>1384</v>
      </c>
      <c r="BH33" s="1"/>
      <c r="BI33" s="72" t="s">
        <v>1293</v>
      </c>
      <c r="BJ33" s="58" t="s">
        <v>1293</v>
      </c>
      <c r="BK33" s="58" t="s">
        <v>1293</v>
      </c>
      <c r="BL33" s="58" t="s">
        <v>1293</v>
      </c>
      <c r="BM33" s="58" t="s">
        <v>1293</v>
      </c>
      <c r="BN33" s="58" t="s">
        <v>1293</v>
      </c>
      <c r="BO33" s="58" t="s">
        <v>1293</v>
      </c>
      <c r="BP33" s="58" t="s">
        <v>1293</v>
      </c>
      <c r="BQ33" s="58" t="s">
        <v>1293</v>
      </c>
      <c r="BR33" s="58" t="s">
        <v>1293</v>
      </c>
      <c r="BS33" s="58" t="s">
        <v>1293</v>
      </c>
      <c r="BT33" s="58" t="s">
        <v>1293</v>
      </c>
      <c r="BU33" s="72">
        <f t="shared" ref="BU33" si="113">E33</f>
        <v>4</v>
      </c>
      <c r="BV33" s="73">
        <f t="shared" ref="BV33" si="114">I33</f>
        <v>35</v>
      </c>
      <c r="BW33" s="74">
        <f t="shared" ref="BW33" si="115">M33</f>
        <v>39</v>
      </c>
      <c r="BX33" s="73">
        <f t="shared" ref="BX33" si="116">Q33</f>
        <v>70</v>
      </c>
      <c r="BY33" s="74">
        <f t="shared" ref="BY33" si="117">U33</f>
        <v>73</v>
      </c>
      <c r="BZ33" s="73">
        <f t="shared" ref="BZ33" si="118">Y33</f>
        <v>109</v>
      </c>
      <c r="CA33" s="74">
        <f t="shared" ref="CA33" si="119">AC33</f>
        <v>117</v>
      </c>
      <c r="CB33" s="73">
        <f t="shared" ref="CB33" si="120">AG33</f>
        <v>166</v>
      </c>
      <c r="CC33" s="74">
        <f t="shared" ref="CC33" si="121">AK33</f>
        <v>173</v>
      </c>
      <c r="CD33" s="73">
        <f t="shared" ref="CD33" si="122">AO33</f>
        <v>219</v>
      </c>
      <c r="CE33" s="74">
        <f t="shared" ref="CE33" si="123">AS33</f>
        <v>266</v>
      </c>
      <c r="CF33" s="73">
        <f t="shared" ref="CF33" si="124">AW33</f>
        <v>292</v>
      </c>
      <c r="CG33" s="72">
        <f t="shared" ref="CG33" si="125">G33</f>
        <v>34</v>
      </c>
      <c r="CH33" s="73">
        <f t="shared" ref="CH33" si="126">K33</f>
        <v>38</v>
      </c>
      <c r="CI33" s="74">
        <f t="shared" ref="CI33" si="127">O33</f>
        <v>69</v>
      </c>
      <c r="CJ33" s="74">
        <f t="shared" ref="CJ33" si="128">S33</f>
        <v>72</v>
      </c>
      <c r="CK33" s="74">
        <f t="shared" ref="CK33" si="129">W33</f>
        <v>108</v>
      </c>
      <c r="CL33" s="74">
        <f t="shared" ref="CL33" si="130">AA33</f>
        <v>116</v>
      </c>
      <c r="CM33" s="74">
        <f t="shared" ref="CM33" si="131">AE33</f>
        <v>142</v>
      </c>
      <c r="CN33" s="74">
        <f t="shared" ref="CN33" si="132">AI33</f>
        <v>168</v>
      </c>
      <c r="CO33" s="74">
        <f t="shared" ref="CO33" si="133">AM33</f>
        <v>208</v>
      </c>
      <c r="CP33" s="74">
        <f t="shared" ref="CP33" si="134">AQ33</f>
        <v>259</v>
      </c>
      <c r="CQ33" s="74">
        <f t="shared" ref="CQ33" si="135">AU33</f>
        <v>291</v>
      </c>
      <c r="CR33" s="74">
        <f t="shared" ref="CR33" si="136">AY33</f>
        <v>297</v>
      </c>
      <c r="CS33" s="23">
        <f t="shared" ref="CS33" si="137">M33-K33</f>
        <v>1</v>
      </c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  <c r="OK33" s="1"/>
      <c r="OL33" s="1"/>
      <c r="OM33" s="1"/>
      <c r="ON33" s="1"/>
      <c r="OO33" s="1"/>
      <c r="OP33" s="1"/>
      <c r="OQ33" s="1"/>
      <c r="OR33" s="1"/>
      <c r="OS33" s="1"/>
      <c r="OT33" s="1"/>
      <c r="OU33" s="1"/>
      <c r="OV33" s="1"/>
      <c r="OW33" s="1"/>
      <c r="OX33" s="1"/>
      <c r="OY33" s="1"/>
      <c r="OZ33" s="1"/>
      <c r="PA33" s="1"/>
      <c r="PB33" s="1"/>
      <c r="PC33" s="1"/>
      <c r="PD33" s="1"/>
      <c r="PE33" s="1"/>
      <c r="PF33" s="1"/>
      <c r="PG33" s="1"/>
      <c r="PH33" s="1"/>
      <c r="PI33" s="1"/>
      <c r="PJ33" s="1"/>
      <c r="PK33" s="1"/>
      <c r="PL33" s="1"/>
      <c r="PM33" s="1"/>
      <c r="PN33" s="1"/>
      <c r="PO33" s="1"/>
      <c r="PP33" s="1"/>
      <c r="PQ33" s="1"/>
      <c r="PR33" s="1"/>
      <c r="PS33" s="1"/>
      <c r="PT33" s="1"/>
      <c r="PU33" s="1"/>
      <c r="PV33" s="1"/>
      <c r="PW33" s="1"/>
      <c r="PX33" s="1"/>
      <c r="PY33" s="1"/>
      <c r="PZ33" s="1"/>
      <c r="QA33" s="1"/>
      <c r="QB33" s="1"/>
      <c r="QC33" s="1"/>
      <c r="QD33" s="1"/>
      <c r="QE33" s="1"/>
      <c r="QF33" s="1"/>
      <c r="QG33" s="1"/>
      <c r="QH33" s="1"/>
      <c r="QI33" s="1"/>
      <c r="QJ33" s="1"/>
      <c r="QK33" s="1"/>
      <c r="QL33" s="1"/>
      <c r="QM33" s="1"/>
      <c r="QN33" s="1"/>
      <c r="QO33" s="1"/>
      <c r="QP33" s="1"/>
      <c r="QQ33" s="1"/>
      <c r="QR33" s="1"/>
      <c r="QS33" s="1"/>
      <c r="QT33" s="1"/>
      <c r="QU33" s="1"/>
      <c r="QV33" s="1"/>
      <c r="QW33" s="1"/>
      <c r="QX33" s="1"/>
      <c r="QY33" s="1"/>
      <c r="QZ33" s="1"/>
      <c r="RA33" s="1"/>
      <c r="RB33" s="1"/>
      <c r="RC33" s="1"/>
      <c r="RD33" s="1"/>
      <c r="RE33" s="1"/>
      <c r="RF33" s="1"/>
      <c r="RG33" s="1"/>
      <c r="RH33" s="1"/>
      <c r="RI33" s="1"/>
      <c r="RJ33" s="1"/>
      <c r="RK33" s="1"/>
      <c r="RL33" s="1"/>
      <c r="RM33" s="1"/>
      <c r="RN33" s="1"/>
      <c r="RO33" s="1"/>
      <c r="RP33" s="1"/>
      <c r="RQ33" s="1"/>
      <c r="RR33" s="1"/>
      <c r="RS33" s="1"/>
      <c r="RT33" s="1"/>
      <c r="RU33" s="1"/>
      <c r="RV33" s="1"/>
      <c r="RW33" s="1"/>
      <c r="RX33" s="1"/>
      <c r="RY33" s="1"/>
      <c r="RZ33" s="1"/>
      <c r="SA33" s="1"/>
      <c r="SB33" s="1"/>
      <c r="SC33" s="1"/>
      <c r="SD33" s="1"/>
      <c r="SE33" s="1"/>
      <c r="SF33" s="1"/>
      <c r="SG33" s="1"/>
      <c r="SH33" s="1"/>
      <c r="SI33" s="1"/>
      <c r="SJ33" s="1"/>
      <c r="SK33" s="1"/>
      <c r="SL33" s="1"/>
      <c r="SM33" s="1"/>
      <c r="SN33" s="1"/>
      <c r="SO33" s="1"/>
      <c r="SP33" s="1"/>
      <c r="SQ33" s="1"/>
      <c r="SR33" s="1"/>
      <c r="SS33" s="1"/>
      <c r="ST33" s="1"/>
      <c r="SU33" s="1"/>
      <c r="SV33" s="1"/>
      <c r="SW33" s="1"/>
      <c r="SX33" s="1"/>
      <c r="SY33" s="1"/>
      <c r="SZ33" s="1"/>
      <c r="TA33" s="1"/>
      <c r="TB33" s="1"/>
      <c r="TC33" s="1"/>
      <c r="TD33" s="1"/>
      <c r="TE33" s="1"/>
      <c r="TF33" s="1"/>
      <c r="TG33" s="1"/>
      <c r="TH33" s="1"/>
      <c r="TI33" s="1"/>
      <c r="TJ33" s="1"/>
      <c r="TK33" s="1"/>
      <c r="TL33" s="1"/>
      <c r="TM33" s="1"/>
      <c r="TN33" s="1"/>
      <c r="TO33" s="1"/>
      <c r="TP33" s="1"/>
      <c r="TQ33" s="1"/>
      <c r="TR33" s="1"/>
      <c r="TS33" s="1"/>
      <c r="TT33" s="1"/>
      <c r="TU33" s="1"/>
      <c r="TV33" s="1"/>
      <c r="TW33" s="1"/>
      <c r="TX33" s="1"/>
      <c r="TY33" s="1"/>
      <c r="TZ33" s="1"/>
      <c r="UA33" s="1"/>
      <c r="UB33" s="1"/>
      <c r="UC33" s="1"/>
      <c r="UD33" s="1"/>
      <c r="UE33" s="1"/>
      <c r="UF33" s="1"/>
      <c r="UG33" s="1"/>
      <c r="UH33" s="1"/>
      <c r="UI33" s="1"/>
      <c r="UJ33" s="1"/>
      <c r="UK33" s="1"/>
      <c r="UL33" s="1"/>
      <c r="UM33" s="1"/>
      <c r="UN33" s="1"/>
      <c r="UO33" s="1"/>
      <c r="UP33" s="1"/>
      <c r="UQ33" s="1"/>
      <c r="UR33" s="1"/>
      <c r="US33" s="1"/>
      <c r="UT33" s="1"/>
      <c r="UU33" s="1"/>
      <c r="UV33" s="1"/>
      <c r="UW33" s="1"/>
      <c r="UX33" s="1"/>
      <c r="UY33" s="1"/>
      <c r="UZ33" s="1"/>
      <c r="VA33" s="1"/>
      <c r="VB33" s="1"/>
      <c r="VC33" s="1"/>
      <c r="VD33" s="1"/>
      <c r="VE33" s="1"/>
      <c r="VF33" s="1"/>
      <c r="VG33" s="1"/>
      <c r="VH33" s="1"/>
      <c r="VI33" s="1"/>
      <c r="VJ33" s="1"/>
      <c r="VK33" s="1"/>
      <c r="VL33" s="1"/>
      <c r="VM33" s="1"/>
      <c r="VN33" s="1"/>
      <c r="VO33" s="1"/>
      <c r="VP33" s="1"/>
      <c r="VQ33" s="1"/>
      <c r="VR33" s="1"/>
      <c r="VS33" s="1"/>
      <c r="VT33" s="1"/>
      <c r="VU33" s="1"/>
      <c r="VV33" s="1"/>
      <c r="VW33" s="1"/>
      <c r="VX33" s="1"/>
      <c r="VY33" s="1"/>
      <c r="VZ33" s="1"/>
      <c r="WA33" s="1"/>
      <c r="WB33" s="1"/>
      <c r="WC33" s="1"/>
      <c r="WD33" s="1"/>
      <c r="WE33" s="1"/>
      <c r="WF33" s="1"/>
      <c r="WG33" s="1"/>
      <c r="WH33" s="1"/>
      <c r="WI33" s="1"/>
      <c r="WJ33" s="1"/>
      <c r="WK33" s="1"/>
      <c r="WL33" s="1"/>
      <c r="WM33" s="1"/>
      <c r="WN33" s="1"/>
      <c r="WO33" s="1"/>
      <c r="WP33" s="1"/>
      <c r="WQ33" s="1"/>
      <c r="WR33" s="1"/>
      <c r="WS33" s="1"/>
      <c r="WT33" s="1"/>
      <c r="WU33" s="1"/>
      <c r="WV33" s="1"/>
      <c r="WW33" s="1"/>
      <c r="WX33" s="1"/>
      <c r="WY33" s="1"/>
      <c r="WZ33" s="1"/>
      <c r="XA33" s="1"/>
      <c r="XB33" s="1"/>
      <c r="XC33" s="1"/>
      <c r="XD33" s="1"/>
      <c r="XE33" s="1"/>
      <c r="XF33" s="1"/>
      <c r="XG33" s="1"/>
      <c r="XH33" s="1"/>
      <c r="XI33" s="1"/>
      <c r="XJ33" s="1"/>
      <c r="XK33" s="1"/>
      <c r="XL33" s="1"/>
      <c r="XM33" s="1"/>
      <c r="XN33" s="1"/>
      <c r="XO33" s="1"/>
      <c r="XP33" s="1"/>
      <c r="XQ33" s="1"/>
      <c r="XR33" s="1"/>
      <c r="XS33" s="1"/>
      <c r="XT33" s="1"/>
      <c r="XU33" s="1"/>
      <c r="XV33" s="1"/>
      <c r="XW33" s="1"/>
      <c r="XX33" s="1"/>
      <c r="XY33" s="1"/>
      <c r="XZ33" s="1"/>
      <c r="YA33" s="1"/>
      <c r="YB33" s="1"/>
      <c r="YC33" s="1"/>
      <c r="YD33" s="1"/>
      <c r="YE33" s="1"/>
      <c r="YF33" s="1"/>
      <c r="YG33" s="1"/>
      <c r="YH33" s="1"/>
      <c r="YI33" s="1"/>
      <c r="YJ33" s="1"/>
      <c r="YK33" s="1"/>
      <c r="YL33" s="1"/>
      <c r="YM33" s="1"/>
      <c r="YN33" s="1"/>
      <c r="YO33" s="1"/>
      <c r="YP33" s="1"/>
      <c r="YQ33" s="1"/>
      <c r="YR33" s="1"/>
      <c r="YS33" s="1"/>
      <c r="YT33" s="1"/>
      <c r="YU33" s="1"/>
      <c r="YV33" s="1"/>
      <c r="YW33" s="1"/>
      <c r="YX33" s="1"/>
      <c r="YY33" s="1"/>
      <c r="YZ33" s="1"/>
      <c r="ZA33" s="1"/>
      <c r="ZB33" s="1"/>
      <c r="ZC33" s="1"/>
      <c r="ZD33" s="1"/>
      <c r="ZE33" s="1"/>
      <c r="ZF33" s="1"/>
      <c r="ZG33" s="1"/>
      <c r="ZH33" s="1"/>
      <c r="ZI33" s="1"/>
      <c r="ZJ33" s="1"/>
      <c r="ZK33" s="1"/>
      <c r="ZL33" s="1"/>
      <c r="ZM33" s="1"/>
      <c r="ZN33" s="1"/>
      <c r="ZO33" s="1"/>
      <c r="ZP33" s="1"/>
      <c r="ZQ33" s="1"/>
      <c r="ZR33" s="1"/>
      <c r="ZS33" s="1"/>
      <c r="ZT33" s="1"/>
      <c r="ZU33" s="1"/>
      <c r="ZV33" s="1"/>
      <c r="ZW33" s="1"/>
      <c r="ZX33" s="1"/>
      <c r="ZY33" s="1"/>
      <c r="ZZ33" s="1"/>
      <c r="AAA33" s="1"/>
      <c r="AAB33" s="1"/>
      <c r="AAC33" s="1"/>
      <c r="AAD33" s="1"/>
      <c r="AAE33" s="1"/>
      <c r="AAF33" s="1"/>
      <c r="AAG33" s="1"/>
      <c r="AAH33" s="1"/>
      <c r="AAI33" s="1"/>
      <c r="AAJ33" s="1"/>
      <c r="AAK33" s="1"/>
      <c r="AAL33" s="1"/>
      <c r="AAM33" s="1"/>
      <c r="AAN33" s="1"/>
      <c r="AAO33" s="1"/>
      <c r="AAP33" s="1"/>
      <c r="AAQ33" s="1"/>
      <c r="AAR33" s="1"/>
      <c r="AAS33" s="1"/>
      <c r="AAT33" s="1"/>
      <c r="AAU33" s="1"/>
      <c r="AAV33" s="1"/>
      <c r="AAW33" s="1"/>
      <c r="AAX33" s="1"/>
      <c r="AAY33" s="1"/>
      <c r="AAZ33" s="1"/>
      <c r="ABA33" s="1"/>
      <c r="ABB33" s="1"/>
      <c r="ABC33" s="1"/>
      <c r="ABD33" s="1"/>
      <c r="ABE33" s="1"/>
      <c r="ABF33" s="1"/>
      <c r="ABG33" s="1"/>
      <c r="ABH33" s="1"/>
      <c r="ABI33" s="1"/>
      <c r="ABJ33" s="1"/>
      <c r="ABK33" s="1"/>
      <c r="ABL33" s="1"/>
      <c r="ABM33" s="1"/>
      <c r="ABN33" s="1"/>
      <c r="ABO33" s="1"/>
      <c r="ABP33" s="1"/>
      <c r="ABQ33" s="1"/>
      <c r="ABR33" s="1"/>
      <c r="ABS33" s="1"/>
      <c r="ABT33" s="1"/>
      <c r="ABU33" s="1"/>
      <c r="ABV33" s="1"/>
      <c r="ABW33" s="1"/>
      <c r="ABX33" s="1"/>
      <c r="ABY33" s="1"/>
      <c r="ABZ33" s="1"/>
      <c r="ACA33" s="1"/>
      <c r="ACB33" s="1"/>
      <c r="ACC33" s="1"/>
      <c r="ACD33" s="1"/>
      <c r="ACE33" s="1"/>
      <c r="ACF33" s="1"/>
      <c r="ACG33" s="1"/>
      <c r="ACH33" s="1"/>
      <c r="ACI33" s="1"/>
      <c r="ACJ33" s="1"/>
      <c r="ACK33" s="1"/>
      <c r="ACL33" s="1"/>
      <c r="ACM33" s="1"/>
      <c r="ACN33" s="1"/>
      <c r="ACO33" s="1"/>
      <c r="ACP33" s="1"/>
      <c r="ACQ33" s="1"/>
      <c r="ACR33" s="1"/>
      <c r="ACS33" s="1"/>
      <c r="ACT33" s="1"/>
      <c r="ACU33" s="1"/>
      <c r="ACV33" s="1"/>
      <c r="ACW33" s="1"/>
      <c r="ACX33" s="1"/>
      <c r="ACY33" s="1"/>
      <c r="ACZ33" s="1"/>
      <c r="ADA33" s="1"/>
      <c r="ADB33" s="1"/>
      <c r="ADC33" s="1"/>
      <c r="ADD33" s="1"/>
      <c r="ADE33" s="1"/>
      <c r="ADF33" s="1"/>
      <c r="ADG33" s="1"/>
      <c r="ADH33" s="1"/>
      <c r="ADI33" s="1"/>
      <c r="ADJ33" s="1"/>
      <c r="ADK33" s="1"/>
      <c r="ADL33" s="1"/>
      <c r="ADM33" s="1"/>
      <c r="ADN33" s="1"/>
      <c r="ADO33" s="1"/>
      <c r="ADP33" s="1"/>
      <c r="ADQ33" s="1"/>
      <c r="ADR33" s="1"/>
      <c r="ADS33" s="1"/>
      <c r="ADT33" s="1"/>
      <c r="ADU33" s="1"/>
      <c r="ADV33" s="1"/>
      <c r="ADW33" s="1"/>
      <c r="ADX33" s="1"/>
      <c r="ADY33" s="1"/>
      <c r="ADZ33" s="1"/>
      <c r="AEA33" s="1"/>
      <c r="AEB33" s="1"/>
      <c r="AEC33" s="1"/>
      <c r="AED33" s="1"/>
      <c r="AEE33" s="1"/>
      <c r="AEF33" s="1"/>
      <c r="AEG33" s="1"/>
      <c r="AEH33" s="1"/>
      <c r="AEI33" s="1"/>
      <c r="AEJ33" s="1"/>
      <c r="AEK33" s="1"/>
      <c r="AEL33" s="1"/>
      <c r="AEM33" s="1"/>
      <c r="AEN33" s="1"/>
      <c r="AEO33" s="1"/>
      <c r="AEP33" s="1"/>
      <c r="AEQ33" s="1"/>
      <c r="AER33" s="1"/>
      <c r="AES33" s="1"/>
      <c r="AET33" s="1"/>
      <c r="AEU33" s="1"/>
      <c r="AEV33" s="1"/>
      <c r="AEW33" s="1"/>
      <c r="AEX33" s="1"/>
      <c r="AEY33" s="1"/>
      <c r="AEZ33" s="1"/>
      <c r="AFA33" s="1"/>
      <c r="AFB33" s="1"/>
      <c r="AFC33" s="1"/>
      <c r="AFD33" s="1"/>
      <c r="AFE33" s="1"/>
      <c r="AFF33" s="1"/>
      <c r="AFG33" s="1"/>
      <c r="AFH33" s="1"/>
      <c r="AFI33" s="1"/>
      <c r="AFJ33" s="1"/>
      <c r="AFK33" s="1"/>
      <c r="AFL33" s="1"/>
      <c r="AFM33" s="1"/>
      <c r="AFN33" s="1"/>
      <c r="AFO33" s="1"/>
      <c r="AFP33" s="1"/>
      <c r="AFQ33" s="1"/>
      <c r="AFR33" s="1"/>
      <c r="AFS33" s="1"/>
      <c r="AFT33" s="1"/>
      <c r="AFU33" s="1"/>
      <c r="AFV33" s="1"/>
      <c r="AFW33" s="1"/>
      <c r="AFX33" s="1"/>
      <c r="AFY33" s="1"/>
      <c r="AFZ33" s="1"/>
      <c r="AGA33" s="1"/>
      <c r="AGB33" s="1"/>
      <c r="AGC33" s="1"/>
      <c r="AGD33" s="1"/>
      <c r="AGE33" s="1"/>
      <c r="AGF33" s="1"/>
      <c r="AGG33" s="1"/>
      <c r="AGH33" s="1"/>
      <c r="AGI33" s="1"/>
      <c r="AGJ33" s="1"/>
      <c r="AGK33" s="1"/>
      <c r="AGL33" s="1"/>
      <c r="AGM33" s="1"/>
      <c r="AGN33" s="1"/>
      <c r="AGO33" s="1"/>
      <c r="AGP33" s="1"/>
      <c r="AGQ33" s="1"/>
      <c r="AGR33" s="1"/>
      <c r="AGS33" s="1"/>
      <c r="AGT33" s="1"/>
      <c r="AGU33" s="1"/>
      <c r="AGV33" s="1"/>
      <c r="AGW33" s="1"/>
      <c r="AGX33" s="1"/>
      <c r="AGY33" s="1"/>
      <c r="AGZ33" s="1"/>
      <c r="AHA33" s="1"/>
      <c r="AHB33" s="1"/>
      <c r="AHC33" s="1"/>
      <c r="AHD33" s="1"/>
      <c r="AHE33" s="1"/>
      <c r="AHF33" s="1"/>
      <c r="AHG33" s="1"/>
      <c r="AHH33" s="1"/>
      <c r="AHI33" s="1"/>
      <c r="AHJ33" s="1"/>
      <c r="AHK33" s="1"/>
      <c r="AHL33" s="1"/>
      <c r="AHM33" s="1"/>
      <c r="AHN33" s="1"/>
      <c r="AHO33" s="1"/>
      <c r="AHP33" s="1"/>
      <c r="AHQ33" s="1"/>
      <c r="AHR33" s="1"/>
      <c r="AHS33" s="1"/>
      <c r="AHT33" s="1"/>
      <c r="AHU33" s="1"/>
      <c r="AHV33" s="1"/>
      <c r="AHW33" s="1"/>
      <c r="AHX33" s="1"/>
      <c r="AHY33" s="1"/>
      <c r="AHZ33" s="1"/>
      <c r="AIA33" s="1"/>
      <c r="AIB33" s="1"/>
      <c r="AIC33" s="1"/>
      <c r="AID33" s="1"/>
      <c r="AIE33" s="1"/>
      <c r="AIF33" s="1"/>
      <c r="AIG33" s="1"/>
      <c r="AIH33" s="1"/>
      <c r="AII33" s="1"/>
      <c r="AIJ33" s="1"/>
      <c r="AIK33" s="1"/>
      <c r="AIL33" s="1"/>
      <c r="AIM33" s="1"/>
      <c r="AIN33" s="1"/>
      <c r="AIO33" s="1"/>
      <c r="AIP33" s="1"/>
      <c r="AIQ33" s="1"/>
      <c r="AIR33" s="1"/>
      <c r="AIS33" s="1"/>
      <c r="AIT33" s="1"/>
      <c r="AIU33" s="1"/>
      <c r="AIV33" s="1"/>
      <c r="AIW33" s="1"/>
      <c r="AIX33" s="1"/>
      <c r="AIY33" s="1"/>
      <c r="AIZ33" s="1"/>
      <c r="AJA33" s="1"/>
      <c r="AJB33" s="1"/>
      <c r="AJC33" s="1"/>
      <c r="AJD33" s="1"/>
      <c r="AJE33" s="1"/>
      <c r="AJF33" s="1"/>
      <c r="AJG33" s="1"/>
      <c r="AJH33" s="1"/>
      <c r="AJI33" s="1"/>
      <c r="AJJ33" s="1"/>
      <c r="AJK33" s="1"/>
      <c r="AJL33" s="1"/>
      <c r="AJM33" s="1"/>
      <c r="AJN33" s="1"/>
      <c r="AJO33" s="1"/>
      <c r="AJP33" s="1"/>
      <c r="AJQ33" s="1"/>
      <c r="AJR33" s="1"/>
      <c r="AJS33" s="1"/>
      <c r="AJT33" s="1"/>
      <c r="AJU33" s="1"/>
      <c r="AJV33" s="1"/>
      <c r="AJW33" s="1"/>
      <c r="AJX33" s="1"/>
      <c r="AJY33" s="1"/>
      <c r="AJZ33" s="1"/>
      <c r="AKA33" s="1"/>
      <c r="AKB33" s="1"/>
      <c r="AKC33" s="1"/>
      <c r="AKD33" s="1"/>
      <c r="AKE33" s="1"/>
      <c r="AKF33" s="1"/>
      <c r="AKG33" s="1"/>
      <c r="AKH33" s="1"/>
      <c r="AKI33" s="1"/>
      <c r="AKJ33" s="1"/>
      <c r="AKK33" s="1"/>
      <c r="AKL33" s="1"/>
      <c r="AKM33" s="1"/>
      <c r="AKN33" s="1"/>
      <c r="AKO33" s="1"/>
      <c r="AKP33" s="1"/>
      <c r="AKQ33" s="1"/>
      <c r="AKR33" s="1"/>
      <c r="AKS33" s="1"/>
      <c r="AKT33" s="1"/>
      <c r="AKU33" s="1"/>
      <c r="AKV33" s="1"/>
      <c r="AKW33" s="1"/>
      <c r="AKX33" s="1"/>
      <c r="AKY33" s="1"/>
      <c r="AKZ33" s="1"/>
      <c r="ALA33" s="1"/>
      <c r="ALB33" s="1"/>
      <c r="ALC33" s="1"/>
      <c r="ALD33" s="1"/>
      <c r="ALE33" s="1"/>
      <c r="ALF33" s="1"/>
      <c r="ALG33" s="1"/>
      <c r="ALH33" s="1"/>
      <c r="ALI33" s="1"/>
      <c r="ALJ33" s="1"/>
      <c r="ALK33" s="1"/>
      <c r="ALL33" s="1"/>
      <c r="ALM33" s="1"/>
      <c r="ALN33" s="1"/>
      <c r="ALO33" s="1"/>
      <c r="ALP33" s="1"/>
      <c r="ALQ33" s="1"/>
      <c r="ALR33" s="1"/>
      <c r="ALS33" s="1"/>
      <c r="ALT33" s="1"/>
      <c r="ALU33" s="1"/>
      <c r="ALV33" s="1"/>
      <c r="ALW33" s="1"/>
      <c r="ALX33" s="1"/>
      <c r="ALY33" s="1"/>
      <c r="ALZ33" s="1"/>
      <c r="AMA33" s="1"/>
      <c r="AMB33" s="1"/>
      <c r="AMC33" s="1"/>
      <c r="AMD33" s="1"/>
      <c r="AME33" s="1"/>
      <c r="AMF33" s="1"/>
      <c r="AMG33" s="1"/>
      <c r="AMH33" s="1"/>
      <c r="AMI33" s="1"/>
      <c r="AMJ33" s="1"/>
      <c r="AMK33" s="1"/>
      <c r="AML33" s="1"/>
      <c r="AMM33" s="1"/>
      <c r="AMN33" s="1"/>
    </row>
    <row r="34" spans="1:1028" s="12" customFormat="1" x14ac:dyDescent="0.2">
      <c r="A34" s="9" t="str">
        <f t="shared" ref="A34" si="138">CONCATENATE(B34,"_",C34)</f>
        <v>aa2ar_human_5UVI</v>
      </c>
      <c r="B34" s="9" t="s">
        <v>139</v>
      </c>
      <c r="C34" s="9" t="s">
        <v>1421</v>
      </c>
      <c r="D34" s="9" t="str">
        <f>IFERROR(MID(VLOOKUP($B34,Seqs!$A:$B,2,0),E34,1),"")</f>
        <v>M</v>
      </c>
      <c r="E34" s="9">
        <v>1</v>
      </c>
      <c r="F34" s="9" t="str">
        <f>IFERROR(MID(VLOOKUP($B34,Seqs!$A:$B,2,0),G34,1),"")</f>
        <v>N</v>
      </c>
      <c r="G34" s="9">
        <v>34</v>
      </c>
      <c r="H34" s="9" t="str">
        <f>IFERROR(MID(VLOOKUP($B34,Seqs!$A:$B,2,0),I34,1),"")</f>
        <v>S</v>
      </c>
      <c r="I34" s="112">
        <v>35</v>
      </c>
      <c r="J34" s="9" t="str">
        <f>IFERROR(MID(VLOOKUP($B34,Seqs!$A:$B,2,0),K34,1),"")</f>
        <v>Q</v>
      </c>
      <c r="K34" s="112">
        <v>38</v>
      </c>
      <c r="L34" s="9" t="str">
        <f>IFERROR(MID(VLOOKUP($B34,Seqs!$A:$B,2,0),M34,1),"")</f>
        <v>N</v>
      </c>
      <c r="M34" s="9">
        <v>39</v>
      </c>
      <c r="N34" s="9" t="str">
        <f>IFERROR(MID(VLOOKUP($B34,Seqs!$A:$B,2,0),O34,1),"")</f>
        <v>G</v>
      </c>
      <c r="O34" s="9">
        <v>69</v>
      </c>
      <c r="P34" s="9" t="str">
        <f>IFERROR(MID(VLOOKUP($B34,Seqs!$A:$B,2,0),Q34,1),"")</f>
        <v>F</v>
      </c>
      <c r="Q34" s="9">
        <v>70</v>
      </c>
      <c r="R34" s="9" t="str">
        <f>IFERROR(MID(VLOOKUP($B34,Seqs!$A:$B,2,0),S34,1),"")</f>
        <v>A</v>
      </c>
      <c r="S34" s="9">
        <v>72</v>
      </c>
      <c r="T34" s="9" t="str">
        <f>IFERROR(MID(VLOOKUP($B34,Seqs!$A:$B,2,0),U34,1),"")</f>
        <v>A</v>
      </c>
      <c r="U34" s="9">
        <v>73</v>
      </c>
      <c r="V34" s="9" t="str">
        <f>IFERROR(MID(VLOOKUP($B34,Seqs!$A:$B,2,0),W34,1),"")</f>
        <v>I</v>
      </c>
      <c r="W34" s="9">
        <v>108</v>
      </c>
      <c r="X34" s="9" t="str">
        <f>IFERROR(MID(VLOOKUP($B34,Seqs!$A:$B,2,0),Y34,1),"")</f>
        <v>P</v>
      </c>
      <c r="Y34" s="9">
        <v>109</v>
      </c>
      <c r="Z34" s="9" t="str">
        <f>IFERROR(MID(VLOOKUP($B34,Seqs!$A:$B,2,0),AA34,1),"")</f>
        <v>V</v>
      </c>
      <c r="AA34" s="9">
        <v>116</v>
      </c>
      <c r="AB34" s="9" t="str">
        <f>IFERROR(MID(VLOOKUP($B34,Seqs!$A:$B,2,0),AC34,1),"")</f>
        <v>T</v>
      </c>
      <c r="AC34" s="9">
        <v>117</v>
      </c>
      <c r="AD34" s="9" t="str">
        <f>IFERROR(MID(VLOOKUP($B34,Seqs!$A:$B,2,0),AE34,1),"")</f>
        <v>G</v>
      </c>
      <c r="AE34" s="9">
        <v>142</v>
      </c>
      <c r="AF34" s="9" t="str">
        <f>IFERROR(MID(VLOOKUP($B34,Seqs!$A:$B,2,0),AG34,1),"")</f>
        <v>C</v>
      </c>
      <c r="AG34" s="9">
        <v>166</v>
      </c>
      <c r="AH34" s="9" t="str">
        <f>IFERROR(MID(VLOOKUP($B34,Seqs!$A:$B,2,0),AI34,1),"")</f>
        <v>F</v>
      </c>
      <c r="AI34" s="9">
        <v>168</v>
      </c>
      <c r="AJ34" s="9" t="str">
        <f>IFERROR(MID(VLOOKUP($B34,Seqs!$A:$B,2,0),AK34,1),"")</f>
        <v>P</v>
      </c>
      <c r="AK34" s="9">
        <v>173</v>
      </c>
      <c r="AL34" s="9" t="str">
        <f>IFERROR(MID(VLOOKUP($B34,Seqs!$A:$B,2,0),AM34,1),"")</f>
        <v>L</v>
      </c>
      <c r="AM34" s="9">
        <v>208</v>
      </c>
      <c r="AN34" s="9" t="str">
        <f>IFERROR(MID(VLOOKUP($B34,Seqs!$A:$B,2,0),AO34,1),"")</f>
        <v>E</v>
      </c>
      <c r="AO34" s="9">
        <v>219</v>
      </c>
      <c r="AP34" s="9" t="str">
        <f>IFERROR(MID(VLOOKUP($B34,Seqs!$A:$B,2,0),AQ34,1),"")</f>
        <v>C</v>
      </c>
      <c r="AQ34" s="9">
        <v>259</v>
      </c>
      <c r="AR34" s="9" t="str">
        <f>IFERROR(MID(VLOOKUP($B34,Seqs!$A:$B,2,0),AS34,1),"")</f>
        <v>P</v>
      </c>
      <c r="AS34" s="9">
        <v>266</v>
      </c>
      <c r="AT34" s="9" t="str">
        <f>IFERROR(MID(VLOOKUP($B34,Seqs!$A:$B,2,0),AU34,1),"")</f>
        <v>R</v>
      </c>
      <c r="AU34" s="9">
        <v>291</v>
      </c>
      <c r="AV34" s="9" t="str">
        <f>IFERROR(MID(VLOOKUP($B34,Seqs!$A:$B,2,0),AW34,1),"")</f>
        <v>I</v>
      </c>
      <c r="AW34" s="9">
        <v>292</v>
      </c>
      <c r="AX34" s="9" t="str">
        <f>IFERROR(MID(VLOOKUP($B34,Seqs!$A:$B,2,0),AY34,1),"")</f>
        <v>H</v>
      </c>
      <c r="AY34" s="9">
        <v>306</v>
      </c>
      <c r="AZ34" s="113" t="str">
        <f>VLOOKUP(B34,Classification!A:D,2,0)</f>
        <v>A</v>
      </c>
      <c r="BA34" s="101" t="str">
        <f>VLOOKUP(B34,Classification!A:D,4,0)</f>
        <v>Adenosine</v>
      </c>
      <c r="BB34" s="37" t="b">
        <f t="shared" ref="BB34" si="139">AND(E34&lt;G34,OR(G34&lt;I34,I34="-"),OR(I34&lt;K34,I34="-"),OR(K34&lt;M34,K34="-"),M34&lt;O34,OR(O34&lt;Q34,Q34="-"),OR(Q34&lt;S34,Q34="-"),OR(S34&lt;U34,S34="-"),U34&lt;W34,OR(W34&lt;Y34,Y34="-"),OR(Y34&lt;AA34,Y34="-"),OR(AA34&lt;AC34,AA34="-"),AC34&lt;AE34,OR(AE34&lt;AG34,AG34="-"),OR(AG34&lt;AI34,AG34="-"),OR(AI34&lt;AK34,AI34="-"),AK34&lt;AM34,AM34&lt;AO34,AO34&lt;AQ34,AQ34&lt;AS34,AS34&lt;AU34,OR(AU34&lt;AW34,AW34="-"),OR(AW34&lt;AY34,AW34="-"))</f>
        <v>1</v>
      </c>
      <c r="BC34" s="112">
        <f t="shared" ref="BC34" si="140">_xlfn.AGGREGATE(9,6,CG34:CR34)-_xlfn.AGGREGATE(9,6,BU34:CF34)+12</f>
        <v>263</v>
      </c>
      <c r="BD34" s="13" t="s">
        <v>23</v>
      </c>
      <c r="BE34" s="9" t="s">
        <v>1381</v>
      </c>
      <c r="BF34" s="52" t="s">
        <v>1</v>
      </c>
      <c r="BG34" s="52" t="s">
        <v>1</v>
      </c>
      <c r="BI34" s="114" t="s">
        <v>1293</v>
      </c>
      <c r="BJ34" s="115" t="s">
        <v>1293</v>
      </c>
      <c r="BK34" s="115" t="s">
        <v>1293</v>
      </c>
      <c r="BL34" s="115" t="s">
        <v>1293</v>
      </c>
      <c r="BM34" s="115" t="s">
        <v>1293</v>
      </c>
      <c r="BN34" s="115" t="s">
        <v>1293</v>
      </c>
      <c r="BO34" s="115" t="s">
        <v>1293</v>
      </c>
      <c r="BP34" s="115" t="s">
        <v>1293</v>
      </c>
      <c r="BQ34" s="115" t="s">
        <v>1293</v>
      </c>
      <c r="BR34" s="115" t="s">
        <v>1293</v>
      </c>
      <c r="BS34" s="115" t="s">
        <v>1293</v>
      </c>
      <c r="BT34" s="115" t="s">
        <v>1293</v>
      </c>
      <c r="BU34" s="114">
        <f t="shared" ref="BU34" si="141">E34</f>
        <v>1</v>
      </c>
      <c r="BV34" s="116">
        <f t="shared" ref="BV34" si="142">I34</f>
        <v>35</v>
      </c>
      <c r="BW34" s="117">
        <f t="shared" ref="BW34" si="143">M34</f>
        <v>39</v>
      </c>
      <c r="BX34" s="116">
        <f t="shared" ref="BX34" si="144">Q34</f>
        <v>70</v>
      </c>
      <c r="BY34" s="117">
        <f t="shared" ref="BY34" si="145">U34</f>
        <v>73</v>
      </c>
      <c r="BZ34" s="116">
        <f t="shared" ref="BZ34" si="146">Y34</f>
        <v>109</v>
      </c>
      <c r="CA34" s="117">
        <f t="shared" ref="CA34" si="147">AC34</f>
        <v>117</v>
      </c>
      <c r="CB34" s="116">
        <f t="shared" ref="CB34" si="148">AG34</f>
        <v>166</v>
      </c>
      <c r="CC34" s="117">
        <f t="shared" ref="CC34" si="149">AK34</f>
        <v>173</v>
      </c>
      <c r="CD34" s="116">
        <f t="shared" ref="CD34" si="150">AO34</f>
        <v>219</v>
      </c>
      <c r="CE34" s="117">
        <f t="shared" ref="CE34" si="151">AS34</f>
        <v>266</v>
      </c>
      <c r="CF34" s="116">
        <f t="shared" ref="CF34" si="152">AW34</f>
        <v>292</v>
      </c>
      <c r="CG34" s="114">
        <f t="shared" ref="CG34" si="153">G34</f>
        <v>34</v>
      </c>
      <c r="CH34" s="116">
        <f t="shared" ref="CH34" si="154">K34</f>
        <v>38</v>
      </c>
      <c r="CI34" s="117">
        <f t="shared" ref="CI34" si="155">O34</f>
        <v>69</v>
      </c>
      <c r="CJ34" s="117">
        <f t="shared" ref="CJ34" si="156">S34</f>
        <v>72</v>
      </c>
      <c r="CK34" s="117">
        <f t="shared" ref="CK34" si="157">W34</f>
        <v>108</v>
      </c>
      <c r="CL34" s="117">
        <f t="shared" ref="CL34" si="158">AA34</f>
        <v>116</v>
      </c>
      <c r="CM34" s="117">
        <f t="shared" ref="CM34" si="159">AE34</f>
        <v>142</v>
      </c>
      <c r="CN34" s="117">
        <f t="shared" ref="CN34" si="160">AI34</f>
        <v>168</v>
      </c>
      <c r="CO34" s="117">
        <f t="shared" ref="CO34" si="161">AM34</f>
        <v>208</v>
      </c>
      <c r="CP34" s="117">
        <f t="shared" ref="CP34" si="162">AQ34</f>
        <v>259</v>
      </c>
      <c r="CQ34" s="117">
        <f t="shared" ref="CQ34" si="163">AU34</f>
        <v>291</v>
      </c>
      <c r="CR34" s="117">
        <f t="shared" ref="CR34" si="164">AY34</f>
        <v>306</v>
      </c>
      <c r="CS34" s="112">
        <f t="shared" ref="CS34" si="165">M34-K34</f>
        <v>1</v>
      </c>
    </row>
    <row r="35" spans="1:1028" s="12" customFormat="1" x14ac:dyDescent="0.2">
      <c r="A35" s="9" t="str">
        <f t="shared" ref="A35" si="166">CONCATENATE(B35,"_",C35)</f>
        <v>aa2ar_human_5JTB</v>
      </c>
      <c r="B35" s="9" t="s">
        <v>139</v>
      </c>
      <c r="C35" s="9" t="s">
        <v>1422</v>
      </c>
      <c r="D35" s="9" t="str">
        <f>IFERROR(MID(VLOOKUP($B35,Seqs!$A:$B,2,0),E35,1),"")</f>
        <v>M</v>
      </c>
      <c r="E35" s="9">
        <v>1</v>
      </c>
      <c r="F35" s="9" t="str">
        <f>IFERROR(MID(VLOOKUP($B35,Seqs!$A:$B,2,0),G35,1),"")</f>
        <v>N</v>
      </c>
      <c r="G35" s="9">
        <v>34</v>
      </c>
      <c r="H35" s="9" t="str">
        <f>IFERROR(MID(VLOOKUP($B35,Seqs!$A:$B,2,0),I35,1),"")</f>
        <v>S</v>
      </c>
      <c r="I35" s="112">
        <v>35</v>
      </c>
      <c r="J35" s="9" t="str">
        <f>IFERROR(MID(VLOOKUP($B35,Seqs!$A:$B,2,0),K35,1),"")</f>
        <v>Q</v>
      </c>
      <c r="K35" s="112">
        <v>38</v>
      </c>
      <c r="L35" s="9" t="str">
        <f>IFERROR(MID(VLOOKUP($B35,Seqs!$A:$B,2,0),M35,1),"")</f>
        <v>N</v>
      </c>
      <c r="M35" s="9">
        <v>39</v>
      </c>
      <c r="N35" s="9" t="str">
        <f>IFERROR(MID(VLOOKUP($B35,Seqs!$A:$B,2,0),O35,1),"")</f>
        <v>G</v>
      </c>
      <c r="O35" s="9">
        <v>69</v>
      </c>
      <c r="P35" s="9" t="str">
        <f>IFERROR(MID(VLOOKUP($B35,Seqs!$A:$B,2,0),Q35,1),"")</f>
        <v>F</v>
      </c>
      <c r="Q35" s="9">
        <v>70</v>
      </c>
      <c r="R35" s="9" t="str">
        <f>IFERROR(MID(VLOOKUP($B35,Seqs!$A:$B,2,0),S35,1),"")</f>
        <v>A</v>
      </c>
      <c r="S35" s="9">
        <v>72</v>
      </c>
      <c r="T35" s="9" t="str">
        <f>IFERROR(MID(VLOOKUP($B35,Seqs!$A:$B,2,0),U35,1),"")</f>
        <v>A</v>
      </c>
      <c r="U35" s="9">
        <v>73</v>
      </c>
      <c r="V35" s="9" t="str">
        <f>IFERROR(MID(VLOOKUP($B35,Seqs!$A:$B,2,0),W35,1),"")</f>
        <v>I</v>
      </c>
      <c r="W35" s="9">
        <v>108</v>
      </c>
      <c r="X35" s="9" t="str">
        <f>IFERROR(MID(VLOOKUP($B35,Seqs!$A:$B,2,0),Y35,1),"")</f>
        <v>P</v>
      </c>
      <c r="Y35" s="9">
        <v>109</v>
      </c>
      <c r="Z35" s="9" t="str">
        <f>IFERROR(MID(VLOOKUP($B35,Seqs!$A:$B,2,0),AA35,1),"")</f>
        <v>V</v>
      </c>
      <c r="AA35" s="9">
        <v>116</v>
      </c>
      <c r="AB35" s="9" t="str">
        <f>IFERROR(MID(VLOOKUP($B35,Seqs!$A:$B,2,0),AC35,1),"")</f>
        <v>T</v>
      </c>
      <c r="AC35" s="9">
        <v>117</v>
      </c>
      <c r="AD35" s="9" t="str">
        <f>IFERROR(MID(VLOOKUP($B35,Seqs!$A:$B,2,0),AE35,1),"")</f>
        <v>G</v>
      </c>
      <c r="AE35" s="9">
        <v>142</v>
      </c>
      <c r="AF35" s="9" t="str">
        <f>IFERROR(MID(VLOOKUP($B35,Seqs!$A:$B,2,0),AG35,1),"")</f>
        <v>C</v>
      </c>
      <c r="AG35" s="9">
        <v>166</v>
      </c>
      <c r="AH35" s="9" t="str">
        <f>IFERROR(MID(VLOOKUP($B35,Seqs!$A:$B,2,0),AI35,1),"")</f>
        <v>F</v>
      </c>
      <c r="AI35" s="9">
        <v>168</v>
      </c>
      <c r="AJ35" s="9" t="str">
        <f>IFERROR(MID(VLOOKUP($B35,Seqs!$A:$B,2,0),AK35,1),"")</f>
        <v>P</v>
      </c>
      <c r="AK35" s="9">
        <v>173</v>
      </c>
      <c r="AL35" s="9" t="str">
        <f>IFERROR(MID(VLOOKUP($B35,Seqs!$A:$B,2,0),AM35,1),"")</f>
        <v>L</v>
      </c>
      <c r="AM35" s="9">
        <v>208</v>
      </c>
      <c r="AN35" s="9" t="str">
        <f>IFERROR(MID(VLOOKUP($B35,Seqs!$A:$B,2,0),AO35,1),"")</f>
        <v>E</v>
      </c>
      <c r="AO35" s="9">
        <v>219</v>
      </c>
      <c r="AP35" s="9" t="str">
        <f>IFERROR(MID(VLOOKUP($B35,Seqs!$A:$B,2,0),AQ35,1),"")</f>
        <v>C</v>
      </c>
      <c r="AQ35" s="9">
        <v>259</v>
      </c>
      <c r="AR35" s="9" t="str">
        <f>IFERROR(MID(VLOOKUP($B35,Seqs!$A:$B,2,0),AS35,1),"")</f>
        <v>P</v>
      </c>
      <c r="AS35" s="9">
        <v>266</v>
      </c>
      <c r="AT35" s="9" t="str">
        <f>IFERROR(MID(VLOOKUP($B35,Seqs!$A:$B,2,0),AU35,1),"")</f>
        <v>R</v>
      </c>
      <c r="AU35" s="9">
        <v>291</v>
      </c>
      <c r="AV35" s="9" t="str">
        <f>IFERROR(MID(VLOOKUP($B35,Seqs!$A:$B,2,0),AW35,1),"")</f>
        <v>I</v>
      </c>
      <c r="AW35" s="9">
        <v>292</v>
      </c>
      <c r="AX35" s="9" t="str">
        <f>IFERROR(MID(VLOOKUP($B35,Seqs!$A:$B,2,0),AY35,1),"")</f>
        <v>V</v>
      </c>
      <c r="AY35" s="9">
        <v>307</v>
      </c>
      <c r="AZ35" s="113" t="str">
        <f>VLOOKUP(B35,Classification!A:D,2,0)</f>
        <v>A</v>
      </c>
      <c r="BA35" s="101" t="str">
        <f>VLOOKUP(B35,Classification!A:D,4,0)</f>
        <v>Adenosine</v>
      </c>
      <c r="BB35" s="37" t="b">
        <f t="shared" ref="BB35" si="167">AND(E35&lt;G35,OR(G35&lt;I35,I35="-"),OR(I35&lt;K35,I35="-"),OR(K35&lt;M35,K35="-"),M35&lt;O35,OR(O35&lt;Q35,Q35="-"),OR(Q35&lt;S35,Q35="-"),OR(S35&lt;U35,S35="-"),U35&lt;W35,OR(W35&lt;Y35,Y35="-"),OR(Y35&lt;AA35,Y35="-"),OR(AA35&lt;AC35,AA35="-"),AC35&lt;AE35,OR(AE35&lt;AG35,AG35="-"),OR(AG35&lt;AI35,AG35="-"),OR(AI35&lt;AK35,AI35="-"),AK35&lt;AM35,AM35&lt;AO35,AO35&lt;AQ35,AQ35&lt;AS35,AS35&lt;AU35,OR(AU35&lt;AW35,AW35="-"),OR(AW35&lt;AY35,AW35="-"))</f>
        <v>1</v>
      </c>
      <c r="BC35" s="112">
        <f t="shared" ref="BC35" si="168">_xlfn.AGGREGATE(9,6,CG35:CR35)-_xlfn.AGGREGATE(9,6,BU35:CF35)+12</f>
        <v>264</v>
      </c>
      <c r="BD35" s="13" t="s">
        <v>23</v>
      </c>
      <c r="BE35" s="9" t="s">
        <v>1381</v>
      </c>
      <c r="BF35" s="52" t="s">
        <v>1</v>
      </c>
      <c r="BG35" s="52" t="s">
        <v>1</v>
      </c>
      <c r="BI35" s="114" t="s">
        <v>1293</v>
      </c>
      <c r="BJ35" s="115" t="s">
        <v>1293</v>
      </c>
      <c r="BK35" s="115" t="s">
        <v>1293</v>
      </c>
      <c r="BL35" s="115" t="s">
        <v>1293</v>
      </c>
      <c r="BM35" s="115" t="s">
        <v>1293</v>
      </c>
      <c r="BN35" s="115" t="s">
        <v>1293</v>
      </c>
      <c r="BO35" s="115" t="s">
        <v>1293</v>
      </c>
      <c r="BP35" s="115" t="s">
        <v>1293</v>
      </c>
      <c r="BQ35" s="115" t="s">
        <v>1293</v>
      </c>
      <c r="BR35" s="115" t="s">
        <v>1293</v>
      </c>
      <c r="BS35" s="115" t="s">
        <v>1293</v>
      </c>
      <c r="BT35" s="115" t="s">
        <v>1293</v>
      </c>
      <c r="BU35" s="114">
        <f t="shared" ref="BU35" si="169">E35</f>
        <v>1</v>
      </c>
      <c r="BV35" s="116">
        <f t="shared" ref="BV35" si="170">I35</f>
        <v>35</v>
      </c>
      <c r="BW35" s="117">
        <f t="shared" ref="BW35" si="171">M35</f>
        <v>39</v>
      </c>
      <c r="BX35" s="116">
        <f t="shared" ref="BX35" si="172">Q35</f>
        <v>70</v>
      </c>
      <c r="BY35" s="117">
        <f t="shared" ref="BY35" si="173">U35</f>
        <v>73</v>
      </c>
      <c r="BZ35" s="116">
        <f t="shared" ref="BZ35" si="174">Y35</f>
        <v>109</v>
      </c>
      <c r="CA35" s="117">
        <f t="shared" ref="CA35" si="175">AC35</f>
        <v>117</v>
      </c>
      <c r="CB35" s="116">
        <f t="shared" ref="CB35" si="176">AG35</f>
        <v>166</v>
      </c>
      <c r="CC35" s="117">
        <f t="shared" ref="CC35" si="177">AK35</f>
        <v>173</v>
      </c>
      <c r="CD35" s="116">
        <f t="shared" ref="CD35" si="178">AO35</f>
        <v>219</v>
      </c>
      <c r="CE35" s="117">
        <f t="shared" ref="CE35" si="179">AS35</f>
        <v>266</v>
      </c>
      <c r="CF35" s="116">
        <f t="shared" ref="CF35" si="180">AW35</f>
        <v>292</v>
      </c>
      <c r="CG35" s="114">
        <f t="shared" ref="CG35" si="181">G35</f>
        <v>34</v>
      </c>
      <c r="CH35" s="116">
        <f t="shared" ref="CH35" si="182">K35</f>
        <v>38</v>
      </c>
      <c r="CI35" s="117">
        <f t="shared" ref="CI35" si="183">O35</f>
        <v>69</v>
      </c>
      <c r="CJ35" s="117">
        <f t="shared" ref="CJ35" si="184">S35</f>
        <v>72</v>
      </c>
      <c r="CK35" s="117">
        <f t="shared" ref="CK35" si="185">W35</f>
        <v>108</v>
      </c>
      <c r="CL35" s="117">
        <f t="shared" ref="CL35" si="186">AA35</f>
        <v>116</v>
      </c>
      <c r="CM35" s="117">
        <f t="shared" ref="CM35" si="187">AE35</f>
        <v>142</v>
      </c>
      <c r="CN35" s="117">
        <f t="shared" ref="CN35" si="188">AI35</f>
        <v>168</v>
      </c>
      <c r="CO35" s="117">
        <f t="shared" ref="CO35" si="189">AM35</f>
        <v>208</v>
      </c>
      <c r="CP35" s="117">
        <f t="shared" ref="CP35" si="190">AQ35</f>
        <v>259</v>
      </c>
      <c r="CQ35" s="117">
        <f t="shared" ref="CQ35" si="191">AU35</f>
        <v>291</v>
      </c>
      <c r="CR35" s="117">
        <f t="shared" ref="CR35" si="192">AY35</f>
        <v>307</v>
      </c>
      <c r="CS35" s="112">
        <f t="shared" ref="CS35" si="193">M35-K35</f>
        <v>1</v>
      </c>
    </row>
    <row r="36" spans="1:1028" x14ac:dyDescent="0.2">
      <c r="A36" s="3" t="str">
        <f t="shared" si="0"/>
        <v>acm1_human__wt</v>
      </c>
      <c r="B36" s="3" t="s">
        <v>146</v>
      </c>
      <c r="C36" s="3" t="s">
        <v>100</v>
      </c>
      <c r="D36" s="3" t="str">
        <f>IFERROR(MID(VLOOKUP($B36,Seqs!$A:$B,2,0),E36,1),"")</f>
        <v>P</v>
      </c>
      <c r="E36" s="3">
        <v>22</v>
      </c>
      <c r="F36" s="3" t="str">
        <f>IFERROR(MID(VLOOKUP($B36,Seqs!$A:$B,2,0),G36,1),"")</f>
        <v>N</v>
      </c>
      <c r="G36" s="3">
        <v>53</v>
      </c>
      <c r="H36" s="3" t="str">
        <f>IFERROR(MID(VLOOKUP($B36,Seqs!$A:$B,2,0),I36,1),"")</f>
        <v>T</v>
      </c>
      <c r="I36" s="23">
        <v>54</v>
      </c>
      <c r="J36" s="3" t="str">
        <f>IFERROR(MID(VLOOKUP($B36,Seqs!$A:$B,2,0),K36,1),"")</f>
        <v>K</v>
      </c>
      <c r="K36" s="23">
        <v>57</v>
      </c>
      <c r="L36" s="3" t="str">
        <f>IFERROR(MID(VLOOKUP($B36,Seqs!$A:$B,2,0),M36,1),"")</f>
        <v>T</v>
      </c>
      <c r="M36" s="3">
        <v>58</v>
      </c>
      <c r="N36" s="3" t="str">
        <f>IFERROR(MID(VLOOKUP($B36,Seqs!$A:$B,2,0),O36,1),"")</f>
        <v>M</v>
      </c>
      <c r="O36" s="3">
        <v>88</v>
      </c>
      <c r="P36" s="3" t="str">
        <f>IFERROR(MID(VLOOKUP($B36,Seqs!$A:$B,2,0),Q36,1),"")</f>
        <v>H</v>
      </c>
      <c r="Q36" s="3">
        <v>90</v>
      </c>
      <c r="R36" s="3" t="str">
        <f>IFERROR(MID(VLOOKUP($B36,Seqs!$A:$B,2,0),S36,1),"")</f>
        <v>L</v>
      </c>
      <c r="S36" s="3">
        <v>93</v>
      </c>
      <c r="T36" s="3" t="str">
        <f>IFERROR(MID(VLOOKUP($B36,Seqs!$A:$B,2,0),U36,1),"")</f>
        <v>G</v>
      </c>
      <c r="U36" s="3">
        <v>94</v>
      </c>
      <c r="V36" s="3" t="str">
        <f>IFERROR(MID(VLOOKUP($B36,Seqs!$A:$B,2,0),W36,1),"")</f>
        <v>R</v>
      </c>
      <c r="W36" s="3">
        <v>129</v>
      </c>
      <c r="X36" s="3" t="str">
        <f>IFERROR(MID(VLOOKUP($B36,Seqs!$A:$B,2,0),Y36,1),"")</f>
        <v>P</v>
      </c>
      <c r="Y36" s="3">
        <v>130</v>
      </c>
      <c r="Z36" s="3" t="str">
        <f>IFERROR(MID(VLOOKUP($B36,Seqs!$A:$B,2,0),AA36,1),"")</f>
        <v>R</v>
      </c>
      <c r="AA36" s="3">
        <v>137</v>
      </c>
      <c r="AB36" s="3" t="str">
        <f>IFERROR(MID(VLOOKUP($B36,Seqs!$A:$B,2,0),AC36,1),"")</f>
        <v>T</v>
      </c>
      <c r="AC36" s="9">
        <v>138</v>
      </c>
      <c r="AD36" s="3" t="str">
        <f>IFERROR(MID(VLOOKUP($B36,Seqs!$A:$B,2,0),AE36,1),"")</f>
        <v>G</v>
      </c>
      <c r="AE36" s="3">
        <v>169</v>
      </c>
      <c r="AF36" s="3" t="str">
        <f>IFERROR(MID(VLOOKUP($B36,Seqs!$A:$B,2,0),AG36,1),"")</f>
        <v>C</v>
      </c>
      <c r="AG36" s="3">
        <v>178</v>
      </c>
      <c r="AH36" s="3" t="str">
        <f>IFERROR(MID(VLOOKUP($B36,Seqs!$A:$B,2,0),AI36,1),"")</f>
        <v>I</v>
      </c>
      <c r="AI36" s="3">
        <v>180</v>
      </c>
      <c r="AJ36" s="3" t="str">
        <f>IFERROR(MID(VLOOKUP($B36,Seqs!$A:$B,2,0),AK36,1),"")</f>
        <v>Q</v>
      </c>
      <c r="AK36" s="3">
        <v>185</v>
      </c>
      <c r="AL36" s="3" t="str">
        <f>IFERROR(MID(VLOOKUP($B36,Seqs!$A:$B,2,0),AM36,1),"")</f>
        <v>L</v>
      </c>
      <c r="AM36" s="3">
        <v>225</v>
      </c>
      <c r="AN36" s="3" t="str">
        <f>IFERROR(MID(VLOOKUP($B36,Seqs!$A:$B,2,0),AO36,1),"")</f>
        <v>T</v>
      </c>
      <c r="AO36" s="3">
        <v>354</v>
      </c>
      <c r="AP36" s="3" t="str">
        <f>IFERROR(MID(VLOOKUP($B36,Seqs!$A:$B,2,0),AQ36,1),"")</f>
        <v>C</v>
      </c>
      <c r="AQ36" s="3">
        <v>391</v>
      </c>
      <c r="AR36" s="3" t="str">
        <f>IFERROR(MID(VLOOKUP($B36,Seqs!$A:$B,2,0),AS36,1),"")</f>
        <v>P</v>
      </c>
      <c r="AS36" s="3">
        <v>396</v>
      </c>
      <c r="AT36" s="3" t="str">
        <f>IFERROR(MID(VLOOKUP($B36,Seqs!$A:$B,2,0),AU36,1),"")</f>
        <v>C</v>
      </c>
      <c r="AU36" s="3">
        <v>421</v>
      </c>
      <c r="AV36" s="3" t="str">
        <f>IFERROR(MID(VLOOKUP($B36,Seqs!$A:$B,2,0),AW36,1),"")</f>
        <v>N</v>
      </c>
      <c r="AW36" s="3">
        <v>422</v>
      </c>
      <c r="AX36" s="3" t="str">
        <f>IFERROR(MID(VLOOKUP($B36,Seqs!$A:$B,2,0),AY36,1),"")</f>
        <v>L</v>
      </c>
      <c r="AY36" s="3">
        <v>434</v>
      </c>
      <c r="AZ36" s="79" t="str">
        <f>VLOOKUP(B36,Classification!A:D,2,0)</f>
        <v>A</v>
      </c>
      <c r="BA36" s="97" t="str">
        <f>VLOOKUP(B36,Classification!A:D,4,0)</f>
        <v>Acetylcholine(muscarinic)</v>
      </c>
      <c r="BB36" s="27" t="b">
        <f t="shared" si="1"/>
        <v>1</v>
      </c>
      <c r="BC36" s="23">
        <f t="shared" si="84"/>
        <v>268</v>
      </c>
      <c r="BD36" s="57" t="s">
        <v>1379</v>
      </c>
      <c r="BE36" s="3" t="s">
        <v>1381</v>
      </c>
      <c r="BF36" s="50" t="s">
        <v>1379</v>
      </c>
      <c r="BG36" s="50" t="s">
        <v>1384</v>
      </c>
      <c r="BH36" s="1"/>
      <c r="BI36" s="72" t="s">
        <v>1293</v>
      </c>
      <c r="BJ36" s="58" t="s">
        <v>1293</v>
      </c>
      <c r="BK36" s="58" t="s">
        <v>1293</v>
      </c>
      <c r="BL36" s="58" t="s">
        <v>1293</v>
      </c>
      <c r="BM36" s="58" t="s">
        <v>1293</v>
      </c>
      <c r="BN36" s="58" t="s">
        <v>1293</v>
      </c>
      <c r="BO36" s="58" t="s">
        <v>1293</v>
      </c>
      <c r="BP36" s="58" t="s">
        <v>1293</v>
      </c>
      <c r="BQ36" s="58" t="s">
        <v>1293</v>
      </c>
      <c r="BR36" s="58" t="s">
        <v>1293</v>
      </c>
      <c r="BS36" s="58" t="s">
        <v>1293</v>
      </c>
      <c r="BT36" s="58" t="s">
        <v>1293</v>
      </c>
      <c r="BU36" s="72">
        <f t="shared" si="85"/>
        <v>22</v>
      </c>
      <c r="BV36" s="73">
        <f t="shared" si="86"/>
        <v>54</v>
      </c>
      <c r="BW36" s="74">
        <f t="shared" si="87"/>
        <v>58</v>
      </c>
      <c r="BX36" s="73">
        <f t="shared" si="88"/>
        <v>90</v>
      </c>
      <c r="BY36" s="74">
        <f t="shared" si="89"/>
        <v>94</v>
      </c>
      <c r="BZ36" s="73">
        <f t="shared" si="90"/>
        <v>130</v>
      </c>
      <c r="CA36" s="74">
        <f t="shared" si="91"/>
        <v>138</v>
      </c>
      <c r="CB36" s="73">
        <f t="shared" si="92"/>
        <v>178</v>
      </c>
      <c r="CC36" s="74">
        <f t="shared" si="93"/>
        <v>185</v>
      </c>
      <c r="CD36" s="73">
        <f t="shared" si="94"/>
        <v>354</v>
      </c>
      <c r="CE36" s="74">
        <f t="shared" si="95"/>
        <v>396</v>
      </c>
      <c r="CF36" s="73">
        <f t="shared" si="96"/>
        <v>422</v>
      </c>
      <c r="CG36" s="72">
        <f t="shared" si="97"/>
        <v>53</v>
      </c>
      <c r="CH36" s="73">
        <f t="shared" si="98"/>
        <v>57</v>
      </c>
      <c r="CI36" s="74">
        <f t="shared" si="99"/>
        <v>88</v>
      </c>
      <c r="CJ36" s="74">
        <f t="shared" si="100"/>
        <v>93</v>
      </c>
      <c r="CK36" s="74">
        <f t="shared" si="101"/>
        <v>129</v>
      </c>
      <c r="CL36" s="74">
        <f t="shared" si="102"/>
        <v>137</v>
      </c>
      <c r="CM36" s="74">
        <f t="shared" si="103"/>
        <v>169</v>
      </c>
      <c r="CN36" s="74">
        <f t="shared" si="104"/>
        <v>180</v>
      </c>
      <c r="CO36" s="74">
        <f t="shared" si="105"/>
        <v>225</v>
      </c>
      <c r="CP36" s="74">
        <f t="shared" si="106"/>
        <v>391</v>
      </c>
      <c r="CQ36" s="74">
        <f t="shared" si="107"/>
        <v>421</v>
      </c>
      <c r="CR36" s="74">
        <f t="shared" si="108"/>
        <v>434</v>
      </c>
      <c r="CS36" s="23">
        <f t="shared" si="109"/>
        <v>1</v>
      </c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  <c r="OK36" s="1"/>
      <c r="OL36" s="1"/>
      <c r="OM36" s="1"/>
      <c r="ON36" s="1"/>
      <c r="OO36" s="1"/>
      <c r="OP36" s="1"/>
      <c r="OQ36" s="1"/>
      <c r="OR36" s="1"/>
      <c r="OS36" s="1"/>
      <c r="OT36" s="1"/>
      <c r="OU36" s="1"/>
      <c r="OV36" s="1"/>
      <c r="OW36" s="1"/>
      <c r="OX36" s="1"/>
      <c r="OY36" s="1"/>
      <c r="OZ36" s="1"/>
      <c r="PA36" s="1"/>
      <c r="PB36" s="1"/>
      <c r="PC36" s="1"/>
      <c r="PD36" s="1"/>
      <c r="PE36" s="1"/>
      <c r="PF36" s="1"/>
      <c r="PG36" s="1"/>
      <c r="PH36" s="1"/>
      <c r="PI36" s="1"/>
      <c r="PJ36" s="1"/>
      <c r="PK36" s="1"/>
      <c r="PL36" s="1"/>
      <c r="PM36" s="1"/>
      <c r="PN36" s="1"/>
      <c r="PO36" s="1"/>
      <c r="PP36" s="1"/>
      <c r="PQ36" s="1"/>
      <c r="PR36" s="1"/>
      <c r="PS36" s="1"/>
      <c r="PT36" s="1"/>
      <c r="PU36" s="1"/>
      <c r="PV36" s="1"/>
      <c r="PW36" s="1"/>
      <c r="PX36" s="1"/>
      <c r="PY36" s="1"/>
      <c r="PZ36" s="1"/>
      <c r="QA36" s="1"/>
      <c r="QB36" s="1"/>
      <c r="QC36" s="1"/>
      <c r="QD36" s="1"/>
      <c r="QE36" s="1"/>
      <c r="QF36" s="1"/>
      <c r="QG36" s="1"/>
      <c r="QH36" s="1"/>
      <c r="QI36" s="1"/>
      <c r="QJ36" s="1"/>
      <c r="QK36" s="1"/>
      <c r="QL36" s="1"/>
      <c r="QM36" s="1"/>
      <c r="QN36" s="1"/>
      <c r="QO36" s="1"/>
      <c r="QP36" s="1"/>
      <c r="QQ36" s="1"/>
      <c r="QR36" s="1"/>
      <c r="QS36" s="1"/>
      <c r="QT36" s="1"/>
      <c r="QU36" s="1"/>
      <c r="QV36" s="1"/>
      <c r="QW36" s="1"/>
      <c r="QX36" s="1"/>
      <c r="QY36" s="1"/>
      <c r="QZ36" s="1"/>
      <c r="RA36" s="1"/>
      <c r="RB36" s="1"/>
      <c r="RC36" s="1"/>
      <c r="RD36" s="1"/>
      <c r="RE36" s="1"/>
      <c r="RF36" s="1"/>
      <c r="RG36" s="1"/>
      <c r="RH36" s="1"/>
      <c r="RI36" s="1"/>
      <c r="RJ36" s="1"/>
      <c r="RK36" s="1"/>
      <c r="RL36" s="1"/>
      <c r="RM36" s="1"/>
      <c r="RN36" s="1"/>
      <c r="RO36" s="1"/>
      <c r="RP36" s="1"/>
      <c r="RQ36" s="1"/>
      <c r="RR36" s="1"/>
      <c r="RS36" s="1"/>
      <c r="RT36" s="1"/>
      <c r="RU36" s="1"/>
      <c r="RV36" s="1"/>
      <c r="RW36" s="1"/>
      <c r="RX36" s="1"/>
      <c r="RY36" s="1"/>
      <c r="RZ36" s="1"/>
      <c r="SA36" s="1"/>
      <c r="SB36" s="1"/>
      <c r="SC36" s="1"/>
      <c r="SD36" s="1"/>
      <c r="SE36" s="1"/>
      <c r="SF36" s="1"/>
      <c r="SG36" s="1"/>
      <c r="SH36" s="1"/>
      <c r="SI36" s="1"/>
      <c r="SJ36" s="1"/>
      <c r="SK36" s="1"/>
      <c r="SL36" s="1"/>
      <c r="SM36" s="1"/>
      <c r="SN36" s="1"/>
      <c r="SO36" s="1"/>
      <c r="SP36" s="1"/>
      <c r="SQ36" s="1"/>
      <c r="SR36" s="1"/>
      <c r="SS36" s="1"/>
      <c r="ST36" s="1"/>
      <c r="SU36" s="1"/>
      <c r="SV36" s="1"/>
      <c r="SW36" s="1"/>
      <c r="SX36" s="1"/>
      <c r="SY36" s="1"/>
      <c r="SZ36" s="1"/>
      <c r="TA36" s="1"/>
      <c r="TB36" s="1"/>
      <c r="TC36" s="1"/>
      <c r="TD36" s="1"/>
      <c r="TE36" s="1"/>
      <c r="TF36" s="1"/>
      <c r="TG36" s="1"/>
      <c r="TH36" s="1"/>
      <c r="TI36" s="1"/>
      <c r="TJ36" s="1"/>
      <c r="TK36" s="1"/>
      <c r="TL36" s="1"/>
      <c r="TM36" s="1"/>
      <c r="TN36" s="1"/>
      <c r="TO36" s="1"/>
      <c r="TP36" s="1"/>
      <c r="TQ36" s="1"/>
      <c r="TR36" s="1"/>
      <c r="TS36" s="1"/>
      <c r="TT36" s="1"/>
      <c r="TU36" s="1"/>
      <c r="TV36" s="1"/>
      <c r="TW36" s="1"/>
      <c r="TX36" s="1"/>
      <c r="TY36" s="1"/>
      <c r="TZ36" s="1"/>
      <c r="UA36" s="1"/>
      <c r="UB36" s="1"/>
      <c r="UC36" s="1"/>
      <c r="UD36" s="1"/>
      <c r="UE36" s="1"/>
      <c r="UF36" s="1"/>
      <c r="UG36" s="1"/>
      <c r="UH36" s="1"/>
      <c r="UI36" s="1"/>
      <c r="UJ36" s="1"/>
      <c r="UK36" s="1"/>
      <c r="UL36" s="1"/>
      <c r="UM36" s="1"/>
      <c r="UN36" s="1"/>
      <c r="UO36" s="1"/>
      <c r="UP36" s="1"/>
      <c r="UQ36" s="1"/>
      <c r="UR36" s="1"/>
      <c r="US36" s="1"/>
      <c r="UT36" s="1"/>
      <c r="UU36" s="1"/>
      <c r="UV36" s="1"/>
      <c r="UW36" s="1"/>
      <c r="UX36" s="1"/>
      <c r="UY36" s="1"/>
      <c r="UZ36" s="1"/>
      <c r="VA36" s="1"/>
      <c r="VB36" s="1"/>
      <c r="VC36" s="1"/>
      <c r="VD36" s="1"/>
      <c r="VE36" s="1"/>
      <c r="VF36" s="1"/>
      <c r="VG36" s="1"/>
      <c r="VH36" s="1"/>
      <c r="VI36" s="1"/>
      <c r="VJ36" s="1"/>
      <c r="VK36" s="1"/>
      <c r="VL36" s="1"/>
      <c r="VM36" s="1"/>
      <c r="VN36" s="1"/>
      <c r="VO36" s="1"/>
      <c r="VP36" s="1"/>
      <c r="VQ36" s="1"/>
      <c r="VR36" s="1"/>
      <c r="VS36" s="1"/>
      <c r="VT36" s="1"/>
      <c r="VU36" s="1"/>
      <c r="VV36" s="1"/>
      <c r="VW36" s="1"/>
      <c r="VX36" s="1"/>
      <c r="VY36" s="1"/>
      <c r="VZ36" s="1"/>
      <c r="WA36" s="1"/>
      <c r="WB36" s="1"/>
      <c r="WC36" s="1"/>
      <c r="WD36" s="1"/>
      <c r="WE36" s="1"/>
      <c r="WF36" s="1"/>
      <c r="WG36" s="1"/>
      <c r="WH36" s="1"/>
      <c r="WI36" s="1"/>
      <c r="WJ36" s="1"/>
      <c r="WK36" s="1"/>
      <c r="WL36" s="1"/>
      <c r="WM36" s="1"/>
      <c r="WN36" s="1"/>
      <c r="WO36" s="1"/>
      <c r="WP36" s="1"/>
      <c r="WQ36" s="1"/>
      <c r="WR36" s="1"/>
      <c r="WS36" s="1"/>
      <c r="WT36" s="1"/>
      <c r="WU36" s="1"/>
      <c r="WV36" s="1"/>
      <c r="WW36" s="1"/>
      <c r="WX36" s="1"/>
      <c r="WY36" s="1"/>
      <c r="WZ36" s="1"/>
      <c r="XA36" s="1"/>
      <c r="XB36" s="1"/>
      <c r="XC36" s="1"/>
      <c r="XD36" s="1"/>
      <c r="XE36" s="1"/>
      <c r="XF36" s="1"/>
      <c r="XG36" s="1"/>
      <c r="XH36" s="1"/>
      <c r="XI36" s="1"/>
      <c r="XJ36" s="1"/>
      <c r="XK36" s="1"/>
      <c r="XL36" s="1"/>
      <c r="XM36" s="1"/>
      <c r="XN36" s="1"/>
      <c r="XO36" s="1"/>
      <c r="XP36" s="1"/>
      <c r="XQ36" s="1"/>
      <c r="XR36" s="1"/>
      <c r="XS36" s="1"/>
      <c r="XT36" s="1"/>
      <c r="XU36" s="1"/>
      <c r="XV36" s="1"/>
      <c r="XW36" s="1"/>
      <c r="XX36" s="1"/>
      <c r="XY36" s="1"/>
      <c r="XZ36" s="1"/>
      <c r="YA36" s="1"/>
      <c r="YB36" s="1"/>
      <c r="YC36" s="1"/>
      <c r="YD36" s="1"/>
      <c r="YE36" s="1"/>
      <c r="YF36" s="1"/>
      <c r="YG36" s="1"/>
      <c r="YH36" s="1"/>
      <c r="YI36" s="1"/>
      <c r="YJ36" s="1"/>
      <c r="YK36" s="1"/>
      <c r="YL36" s="1"/>
      <c r="YM36" s="1"/>
      <c r="YN36" s="1"/>
      <c r="YO36" s="1"/>
      <c r="YP36" s="1"/>
      <c r="YQ36" s="1"/>
      <c r="YR36" s="1"/>
      <c r="YS36" s="1"/>
      <c r="YT36" s="1"/>
      <c r="YU36" s="1"/>
      <c r="YV36" s="1"/>
      <c r="YW36" s="1"/>
      <c r="YX36" s="1"/>
      <c r="YY36" s="1"/>
      <c r="YZ36" s="1"/>
      <c r="ZA36" s="1"/>
      <c r="ZB36" s="1"/>
      <c r="ZC36" s="1"/>
      <c r="ZD36" s="1"/>
      <c r="ZE36" s="1"/>
      <c r="ZF36" s="1"/>
      <c r="ZG36" s="1"/>
      <c r="ZH36" s="1"/>
      <c r="ZI36" s="1"/>
      <c r="ZJ36" s="1"/>
      <c r="ZK36" s="1"/>
      <c r="ZL36" s="1"/>
      <c r="ZM36" s="1"/>
      <c r="ZN36" s="1"/>
      <c r="ZO36" s="1"/>
      <c r="ZP36" s="1"/>
      <c r="ZQ36" s="1"/>
      <c r="ZR36" s="1"/>
      <c r="ZS36" s="1"/>
      <c r="ZT36" s="1"/>
      <c r="ZU36" s="1"/>
      <c r="ZV36" s="1"/>
      <c r="ZW36" s="1"/>
      <c r="ZX36" s="1"/>
      <c r="ZY36" s="1"/>
      <c r="ZZ36" s="1"/>
      <c r="AAA36" s="1"/>
      <c r="AAB36" s="1"/>
      <c r="AAC36" s="1"/>
      <c r="AAD36" s="1"/>
      <c r="AAE36" s="1"/>
      <c r="AAF36" s="1"/>
      <c r="AAG36" s="1"/>
      <c r="AAH36" s="1"/>
      <c r="AAI36" s="1"/>
      <c r="AAJ36" s="1"/>
      <c r="AAK36" s="1"/>
      <c r="AAL36" s="1"/>
      <c r="AAM36" s="1"/>
      <c r="AAN36" s="1"/>
      <c r="AAO36" s="1"/>
      <c r="AAP36" s="1"/>
      <c r="AAQ36" s="1"/>
      <c r="AAR36" s="1"/>
      <c r="AAS36" s="1"/>
      <c r="AAT36" s="1"/>
      <c r="AAU36" s="1"/>
      <c r="AAV36" s="1"/>
      <c r="AAW36" s="1"/>
      <c r="AAX36" s="1"/>
      <c r="AAY36" s="1"/>
      <c r="AAZ36" s="1"/>
      <c r="ABA36" s="1"/>
      <c r="ABB36" s="1"/>
      <c r="ABC36" s="1"/>
      <c r="ABD36" s="1"/>
      <c r="ABE36" s="1"/>
      <c r="ABF36" s="1"/>
      <c r="ABG36" s="1"/>
      <c r="ABH36" s="1"/>
      <c r="ABI36" s="1"/>
      <c r="ABJ36" s="1"/>
      <c r="ABK36" s="1"/>
      <c r="ABL36" s="1"/>
      <c r="ABM36" s="1"/>
      <c r="ABN36" s="1"/>
      <c r="ABO36" s="1"/>
      <c r="ABP36" s="1"/>
      <c r="ABQ36" s="1"/>
      <c r="ABR36" s="1"/>
      <c r="ABS36" s="1"/>
      <c r="ABT36" s="1"/>
      <c r="ABU36" s="1"/>
      <c r="ABV36" s="1"/>
      <c r="ABW36" s="1"/>
      <c r="ABX36" s="1"/>
      <c r="ABY36" s="1"/>
      <c r="ABZ36" s="1"/>
      <c r="ACA36" s="1"/>
      <c r="ACB36" s="1"/>
      <c r="ACC36" s="1"/>
      <c r="ACD36" s="1"/>
      <c r="ACE36" s="1"/>
      <c r="ACF36" s="1"/>
      <c r="ACG36" s="1"/>
      <c r="ACH36" s="1"/>
      <c r="ACI36" s="1"/>
      <c r="ACJ36" s="1"/>
      <c r="ACK36" s="1"/>
      <c r="ACL36" s="1"/>
      <c r="ACM36" s="1"/>
      <c r="ACN36" s="1"/>
      <c r="ACO36" s="1"/>
      <c r="ACP36" s="1"/>
      <c r="ACQ36" s="1"/>
      <c r="ACR36" s="1"/>
      <c r="ACS36" s="1"/>
      <c r="ACT36" s="1"/>
      <c r="ACU36" s="1"/>
      <c r="ACV36" s="1"/>
      <c r="ACW36" s="1"/>
      <c r="ACX36" s="1"/>
      <c r="ACY36" s="1"/>
      <c r="ACZ36" s="1"/>
      <c r="ADA36" s="1"/>
      <c r="ADB36" s="1"/>
      <c r="ADC36" s="1"/>
      <c r="ADD36" s="1"/>
      <c r="ADE36" s="1"/>
      <c r="ADF36" s="1"/>
      <c r="ADG36" s="1"/>
      <c r="ADH36" s="1"/>
      <c r="ADI36" s="1"/>
      <c r="ADJ36" s="1"/>
      <c r="ADK36" s="1"/>
      <c r="ADL36" s="1"/>
      <c r="ADM36" s="1"/>
      <c r="ADN36" s="1"/>
      <c r="ADO36" s="1"/>
      <c r="ADP36" s="1"/>
      <c r="ADQ36" s="1"/>
      <c r="ADR36" s="1"/>
      <c r="ADS36" s="1"/>
      <c r="ADT36" s="1"/>
      <c r="ADU36" s="1"/>
      <c r="ADV36" s="1"/>
      <c r="ADW36" s="1"/>
      <c r="ADX36" s="1"/>
      <c r="ADY36" s="1"/>
      <c r="ADZ36" s="1"/>
      <c r="AEA36" s="1"/>
      <c r="AEB36" s="1"/>
      <c r="AEC36" s="1"/>
      <c r="AED36" s="1"/>
      <c r="AEE36" s="1"/>
      <c r="AEF36" s="1"/>
      <c r="AEG36" s="1"/>
      <c r="AEH36" s="1"/>
      <c r="AEI36" s="1"/>
      <c r="AEJ36" s="1"/>
      <c r="AEK36" s="1"/>
      <c r="AEL36" s="1"/>
      <c r="AEM36" s="1"/>
      <c r="AEN36" s="1"/>
      <c r="AEO36" s="1"/>
      <c r="AEP36" s="1"/>
      <c r="AEQ36" s="1"/>
      <c r="AER36" s="1"/>
      <c r="AES36" s="1"/>
      <c r="AET36" s="1"/>
      <c r="AEU36" s="1"/>
      <c r="AEV36" s="1"/>
      <c r="AEW36" s="1"/>
      <c r="AEX36" s="1"/>
      <c r="AEY36" s="1"/>
      <c r="AEZ36" s="1"/>
      <c r="AFA36" s="1"/>
      <c r="AFB36" s="1"/>
      <c r="AFC36" s="1"/>
      <c r="AFD36" s="1"/>
      <c r="AFE36" s="1"/>
      <c r="AFF36" s="1"/>
      <c r="AFG36" s="1"/>
      <c r="AFH36" s="1"/>
      <c r="AFI36" s="1"/>
      <c r="AFJ36" s="1"/>
      <c r="AFK36" s="1"/>
      <c r="AFL36" s="1"/>
      <c r="AFM36" s="1"/>
      <c r="AFN36" s="1"/>
      <c r="AFO36" s="1"/>
      <c r="AFP36" s="1"/>
      <c r="AFQ36" s="1"/>
      <c r="AFR36" s="1"/>
      <c r="AFS36" s="1"/>
      <c r="AFT36" s="1"/>
      <c r="AFU36" s="1"/>
      <c r="AFV36" s="1"/>
      <c r="AFW36" s="1"/>
      <c r="AFX36" s="1"/>
      <c r="AFY36" s="1"/>
      <c r="AFZ36" s="1"/>
      <c r="AGA36" s="1"/>
      <c r="AGB36" s="1"/>
      <c r="AGC36" s="1"/>
      <c r="AGD36" s="1"/>
      <c r="AGE36" s="1"/>
      <c r="AGF36" s="1"/>
      <c r="AGG36" s="1"/>
      <c r="AGH36" s="1"/>
      <c r="AGI36" s="1"/>
      <c r="AGJ36" s="1"/>
      <c r="AGK36" s="1"/>
      <c r="AGL36" s="1"/>
      <c r="AGM36" s="1"/>
      <c r="AGN36" s="1"/>
      <c r="AGO36" s="1"/>
      <c r="AGP36" s="1"/>
      <c r="AGQ36" s="1"/>
      <c r="AGR36" s="1"/>
      <c r="AGS36" s="1"/>
      <c r="AGT36" s="1"/>
      <c r="AGU36" s="1"/>
      <c r="AGV36" s="1"/>
      <c r="AGW36" s="1"/>
      <c r="AGX36" s="1"/>
      <c r="AGY36" s="1"/>
      <c r="AGZ36" s="1"/>
      <c r="AHA36" s="1"/>
      <c r="AHB36" s="1"/>
      <c r="AHC36" s="1"/>
      <c r="AHD36" s="1"/>
      <c r="AHE36" s="1"/>
      <c r="AHF36" s="1"/>
      <c r="AHG36" s="1"/>
      <c r="AHH36" s="1"/>
      <c r="AHI36" s="1"/>
      <c r="AHJ36" s="1"/>
      <c r="AHK36" s="1"/>
      <c r="AHL36" s="1"/>
      <c r="AHM36" s="1"/>
      <c r="AHN36" s="1"/>
      <c r="AHO36" s="1"/>
      <c r="AHP36" s="1"/>
      <c r="AHQ36" s="1"/>
      <c r="AHR36" s="1"/>
      <c r="AHS36" s="1"/>
      <c r="AHT36" s="1"/>
      <c r="AHU36" s="1"/>
      <c r="AHV36" s="1"/>
      <c r="AHW36" s="1"/>
      <c r="AHX36" s="1"/>
      <c r="AHY36" s="1"/>
      <c r="AHZ36" s="1"/>
      <c r="AIA36" s="1"/>
      <c r="AIB36" s="1"/>
      <c r="AIC36" s="1"/>
      <c r="AID36" s="1"/>
      <c r="AIE36" s="1"/>
      <c r="AIF36" s="1"/>
      <c r="AIG36" s="1"/>
      <c r="AIH36" s="1"/>
      <c r="AII36" s="1"/>
      <c r="AIJ36" s="1"/>
      <c r="AIK36" s="1"/>
      <c r="AIL36" s="1"/>
      <c r="AIM36" s="1"/>
      <c r="AIN36" s="1"/>
      <c r="AIO36" s="1"/>
      <c r="AIP36" s="1"/>
      <c r="AIQ36" s="1"/>
      <c r="AIR36" s="1"/>
      <c r="AIS36" s="1"/>
      <c r="AIT36" s="1"/>
      <c r="AIU36" s="1"/>
      <c r="AIV36" s="1"/>
      <c r="AIW36" s="1"/>
      <c r="AIX36" s="1"/>
      <c r="AIY36" s="1"/>
      <c r="AIZ36" s="1"/>
      <c r="AJA36" s="1"/>
      <c r="AJB36" s="1"/>
      <c r="AJC36" s="1"/>
      <c r="AJD36" s="1"/>
      <c r="AJE36" s="1"/>
      <c r="AJF36" s="1"/>
      <c r="AJG36" s="1"/>
      <c r="AJH36" s="1"/>
      <c r="AJI36" s="1"/>
      <c r="AJJ36" s="1"/>
      <c r="AJK36" s="1"/>
      <c r="AJL36" s="1"/>
      <c r="AJM36" s="1"/>
      <c r="AJN36" s="1"/>
      <c r="AJO36" s="1"/>
      <c r="AJP36" s="1"/>
      <c r="AJQ36" s="1"/>
      <c r="AJR36" s="1"/>
      <c r="AJS36" s="1"/>
      <c r="AJT36" s="1"/>
      <c r="AJU36" s="1"/>
      <c r="AJV36" s="1"/>
      <c r="AJW36" s="1"/>
      <c r="AJX36" s="1"/>
      <c r="AJY36" s="1"/>
      <c r="AJZ36" s="1"/>
      <c r="AKA36" s="1"/>
      <c r="AKB36" s="1"/>
      <c r="AKC36" s="1"/>
      <c r="AKD36" s="1"/>
      <c r="AKE36" s="1"/>
      <c r="AKF36" s="1"/>
      <c r="AKG36" s="1"/>
      <c r="AKH36" s="1"/>
      <c r="AKI36" s="1"/>
      <c r="AKJ36" s="1"/>
      <c r="AKK36" s="1"/>
      <c r="AKL36" s="1"/>
      <c r="AKM36" s="1"/>
      <c r="AKN36" s="1"/>
      <c r="AKO36" s="1"/>
      <c r="AKP36" s="1"/>
      <c r="AKQ36" s="1"/>
      <c r="AKR36" s="1"/>
      <c r="AKS36" s="1"/>
      <c r="AKT36" s="1"/>
      <c r="AKU36" s="1"/>
      <c r="AKV36" s="1"/>
      <c r="AKW36" s="1"/>
      <c r="AKX36" s="1"/>
      <c r="AKY36" s="1"/>
      <c r="AKZ36" s="1"/>
      <c r="ALA36" s="1"/>
      <c r="ALB36" s="1"/>
      <c r="ALC36" s="1"/>
      <c r="ALD36" s="1"/>
      <c r="ALE36" s="1"/>
      <c r="ALF36" s="1"/>
      <c r="ALG36" s="1"/>
      <c r="ALH36" s="1"/>
      <c r="ALI36" s="1"/>
      <c r="ALJ36" s="1"/>
      <c r="ALK36" s="1"/>
      <c r="ALL36" s="1"/>
      <c r="ALM36" s="1"/>
      <c r="ALN36" s="1"/>
      <c r="ALO36" s="1"/>
      <c r="ALP36" s="1"/>
      <c r="ALQ36" s="1"/>
      <c r="ALR36" s="1"/>
      <c r="ALS36" s="1"/>
      <c r="ALT36" s="1"/>
      <c r="ALU36" s="1"/>
      <c r="ALV36" s="1"/>
      <c r="ALW36" s="1"/>
      <c r="ALX36" s="1"/>
      <c r="ALY36" s="1"/>
      <c r="ALZ36" s="1"/>
      <c r="AMA36" s="1"/>
      <c r="AMB36" s="1"/>
      <c r="AMC36" s="1"/>
      <c r="AMD36" s="1"/>
      <c r="AME36" s="1"/>
      <c r="AMF36" s="1"/>
      <c r="AMG36" s="1"/>
      <c r="AMH36" s="1"/>
      <c r="AMI36" s="1"/>
      <c r="AMJ36" s="1"/>
      <c r="AMK36" s="1"/>
      <c r="AML36" s="1"/>
      <c r="AMM36" s="1"/>
      <c r="AMN36" s="1"/>
    </row>
    <row r="37" spans="1:1028" x14ac:dyDescent="0.2">
      <c r="A37" s="3" t="str">
        <f t="shared" si="0"/>
        <v>acm1_human_5CXV</v>
      </c>
      <c r="B37" s="3" t="s">
        <v>146</v>
      </c>
      <c r="C37" s="3" t="s">
        <v>62</v>
      </c>
      <c r="D37" s="3" t="str">
        <f>IFERROR(MID(VLOOKUP($B37,Seqs!$A:$B,2,0),E37,1),"")</f>
        <v>P</v>
      </c>
      <c r="E37" s="3">
        <v>22</v>
      </c>
      <c r="F37" s="3" t="str">
        <f>IFERROR(MID(VLOOKUP($B37,Seqs!$A:$B,2,0),G37,1),"")</f>
        <v>N</v>
      </c>
      <c r="G37" s="3">
        <v>53</v>
      </c>
      <c r="H37" s="3" t="str">
        <f>IFERROR(MID(VLOOKUP($B37,Seqs!$A:$B,2,0),I37,1),"")</f>
        <v>T</v>
      </c>
      <c r="I37" s="23">
        <v>54</v>
      </c>
      <c r="J37" s="3" t="str">
        <f>IFERROR(MID(VLOOKUP($B37,Seqs!$A:$B,2,0),K37,1),"")</f>
        <v>K</v>
      </c>
      <c r="K37" s="23">
        <v>57</v>
      </c>
      <c r="L37" s="3" t="str">
        <f>IFERROR(MID(VLOOKUP($B37,Seqs!$A:$B,2,0),M37,1),"")</f>
        <v>T</v>
      </c>
      <c r="M37" s="3">
        <v>58</v>
      </c>
      <c r="N37" s="3" t="str">
        <f>IFERROR(MID(VLOOKUP($B37,Seqs!$A:$B,2,0),O37,1),"")</f>
        <v>M</v>
      </c>
      <c r="O37" s="3">
        <v>88</v>
      </c>
      <c r="P37" s="3" t="str">
        <f>IFERROR(MID(VLOOKUP($B37,Seqs!$A:$B,2,0),Q37,1),"")</f>
        <v>H</v>
      </c>
      <c r="Q37" s="3">
        <v>90</v>
      </c>
      <c r="R37" s="3" t="str">
        <f>IFERROR(MID(VLOOKUP($B37,Seqs!$A:$B,2,0),S37,1),"")</f>
        <v>L</v>
      </c>
      <c r="S37" s="3">
        <v>93</v>
      </c>
      <c r="T37" s="3" t="str">
        <f>IFERROR(MID(VLOOKUP($B37,Seqs!$A:$B,2,0),U37,1),"")</f>
        <v>G</v>
      </c>
      <c r="U37" s="3">
        <v>94</v>
      </c>
      <c r="V37" s="3" t="str">
        <f>IFERROR(MID(VLOOKUP($B37,Seqs!$A:$B,2,0),W37,1),"")</f>
        <v>R</v>
      </c>
      <c r="W37" s="3">
        <v>129</v>
      </c>
      <c r="X37" s="3" t="str">
        <f>IFERROR(MID(VLOOKUP($B37,Seqs!$A:$B,2,0),Y37,1),"")</f>
        <v>P</v>
      </c>
      <c r="Y37" s="3">
        <v>130</v>
      </c>
      <c r="Z37" s="3" t="str">
        <f>IFERROR(MID(VLOOKUP($B37,Seqs!$A:$B,2,0),AA37,1),"")</f>
        <v>R</v>
      </c>
      <c r="AA37" s="3">
        <v>137</v>
      </c>
      <c r="AB37" s="3" t="str">
        <f>IFERROR(MID(VLOOKUP($B37,Seqs!$A:$B,2,0),AC37,1),"")</f>
        <v>T</v>
      </c>
      <c r="AC37" s="9">
        <v>138</v>
      </c>
      <c r="AD37" s="3" t="str">
        <f>IFERROR(MID(VLOOKUP($B37,Seqs!$A:$B,2,0),AE37,1),"")</f>
        <v>G</v>
      </c>
      <c r="AE37" s="3">
        <v>169</v>
      </c>
      <c r="AF37" s="3" t="str">
        <f>IFERROR(MID(VLOOKUP($B37,Seqs!$A:$B,2,0),AG37,1),"")</f>
        <v>C</v>
      </c>
      <c r="AG37" s="3">
        <v>178</v>
      </c>
      <c r="AH37" s="3" t="str">
        <f>IFERROR(MID(VLOOKUP($B37,Seqs!$A:$B,2,0),AI37,1),"")</f>
        <v>I</v>
      </c>
      <c r="AI37" s="3">
        <v>180</v>
      </c>
      <c r="AJ37" s="3" t="str">
        <f>IFERROR(MID(VLOOKUP($B37,Seqs!$A:$B,2,0),AK37,1),"")</f>
        <v>Q</v>
      </c>
      <c r="AK37" s="3">
        <v>185</v>
      </c>
      <c r="AL37" s="3" t="str">
        <f>IFERROR(MID(VLOOKUP($B37,Seqs!$A:$B,2,0),AM37,1),"")</f>
        <v>R</v>
      </c>
      <c r="AM37" s="3">
        <v>213</v>
      </c>
      <c r="AN37" s="3" t="str">
        <f>IFERROR(MID(VLOOKUP($B37,Seqs!$A:$B,2,0),AO37,1),"")</f>
        <v>L</v>
      </c>
      <c r="AO37" s="3">
        <v>357</v>
      </c>
      <c r="AP37" s="3" t="str">
        <f>IFERROR(MID(VLOOKUP($B37,Seqs!$A:$B,2,0),AQ37,1),"")</f>
        <v>C</v>
      </c>
      <c r="AQ37" s="3">
        <v>391</v>
      </c>
      <c r="AR37" s="3" t="str">
        <f>IFERROR(MID(VLOOKUP($B37,Seqs!$A:$B,2,0),AS37,1),"")</f>
        <v>P</v>
      </c>
      <c r="AS37" s="3">
        <v>396</v>
      </c>
      <c r="AT37" s="3" t="str">
        <f>IFERROR(MID(VLOOKUP($B37,Seqs!$A:$B,2,0),AU37,1),"")</f>
        <v>C</v>
      </c>
      <c r="AU37" s="3">
        <v>421</v>
      </c>
      <c r="AV37" s="3" t="str">
        <f>IFERROR(MID(VLOOKUP($B37,Seqs!$A:$B,2,0),AW37,1),"")</f>
        <v>N</v>
      </c>
      <c r="AW37" s="3">
        <v>422</v>
      </c>
      <c r="AX37" s="3" t="str">
        <f>IFERROR(MID(VLOOKUP($B37,Seqs!$A:$B,2,0),AY37,1),"")</f>
        <v>L</v>
      </c>
      <c r="AY37" s="3">
        <v>434</v>
      </c>
      <c r="AZ37" s="79" t="str">
        <f>VLOOKUP(B37,Classification!A:D,2,0)</f>
        <v>A</v>
      </c>
      <c r="BA37" s="97" t="str">
        <f>VLOOKUP(B37,Classification!A:D,4,0)</f>
        <v>Acetylcholine(muscarinic)</v>
      </c>
      <c r="BB37" s="27" t="b">
        <f t="shared" si="1"/>
        <v>1</v>
      </c>
      <c r="BC37" s="23">
        <f t="shared" si="84"/>
        <v>253</v>
      </c>
      <c r="BD37" s="16" t="s">
        <v>1383</v>
      </c>
      <c r="BE37" s="3" t="s">
        <v>1381</v>
      </c>
      <c r="BF37" s="50" t="s">
        <v>1384</v>
      </c>
      <c r="BG37" s="50" t="s">
        <v>1384</v>
      </c>
      <c r="BH37" s="1"/>
      <c r="BI37" s="72" t="s">
        <v>1293</v>
      </c>
      <c r="BJ37" s="58" t="s">
        <v>1293</v>
      </c>
      <c r="BK37" s="58" t="s">
        <v>1293</v>
      </c>
      <c r="BL37" s="58" t="s">
        <v>1293</v>
      </c>
      <c r="BM37" s="58" t="s">
        <v>1293</v>
      </c>
      <c r="BN37" s="58" t="s">
        <v>1293</v>
      </c>
      <c r="BO37" s="58" t="s">
        <v>1293</v>
      </c>
      <c r="BP37" s="58" t="s">
        <v>1293</v>
      </c>
      <c r="BQ37" s="58" t="s">
        <v>1293</v>
      </c>
      <c r="BR37" s="58" t="s">
        <v>1293</v>
      </c>
      <c r="BS37" s="58" t="s">
        <v>1293</v>
      </c>
      <c r="BT37" s="58" t="s">
        <v>1293</v>
      </c>
      <c r="BU37" s="72">
        <f t="shared" si="85"/>
        <v>22</v>
      </c>
      <c r="BV37" s="73">
        <f t="shared" si="86"/>
        <v>54</v>
      </c>
      <c r="BW37" s="74">
        <f t="shared" si="87"/>
        <v>58</v>
      </c>
      <c r="BX37" s="73">
        <f t="shared" si="88"/>
        <v>90</v>
      </c>
      <c r="BY37" s="74">
        <f t="shared" si="89"/>
        <v>94</v>
      </c>
      <c r="BZ37" s="73">
        <f t="shared" si="90"/>
        <v>130</v>
      </c>
      <c r="CA37" s="74">
        <f t="shared" si="91"/>
        <v>138</v>
      </c>
      <c r="CB37" s="73">
        <f t="shared" si="92"/>
        <v>178</v>
      </c>
      <c r="CC37" s="74">
        <f t="shared" si="93"/>
        <v>185</v>
      </c>
      <c r="CD37" s="73">
        <f t="shared" si="94"/>
        <v>357</v>
      </c>
      <c r="CE37" s="74">
        <f t="shared" si="95"/>
        <v>396</v>
      </c>
      <c r="CF37" s="73">
        <f t="shared" si="96"/>
        <v>422</v>
      </c>
      <c r="CG37" s="72">
        <f t="shared" si="97"/>
        <v>53</v>
      </c>
      <c r="CH37" s="73">
        <f t="shared" si="98"/>
        <v>57</v>
      </c>
      <c r="CI37" s="74">
        <f t="shared" si="99"/>
        <v>88</v>
      </c>
      <c r="CJ37" s="74">
        <f t="shared" si="100"/>
        <v>93</v>
      </c>
      <c r="CK37" s="74">
        <f t="shared" si="101"/>
        <v>129</v>
      </c>
      <c r="CL37" s="74">
        <f t="shared" si="102"/>
        <v>137</v>
      </c>
      <c r="CM37" s="74">
        <f t="shared" si="103"/>
        <v>169</v>
      </c>
      <c r="CN37" s="74">
        <f t="shared" si="104"/>
        <v>180</v>
      </c>
      <c r="CO37" s="74">
        <f t="shared" si="105"/>
        <v>213</v>
      </c>
      <c r="CP37" s="74">
        <f t="shared" si="106"/>
        <v>391</v>
      </c>
      <c r="CQ37" s="74">
        <f t="shared" si="107"/>
        <v>421</v>
      </c>
      <c r="CR37" s="74">
        <f t="shared" si="108"/>
        <v>434</v>
      </c>
      <c r="CS37" s="23">
        <f t="shared" si="109"/>
        <v>1</v>
      </c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  <c r="OK37" s="1"/>
      <c r="OL37" s="1"/>
      <c r="OM37" s="1"/>
      <c r="ON37" s="1"/>
      <c r="OO37" s="1"/>
      <c r="OP37" s="1"/>
      <c r="OQ37" s="1"/>
      <c r="OR37" s="1"/>
      <c r="OS37" s="1"/>
      <c r="OT37" s="1"/>
      <c r="OU37" s="1"/>
      <c r="OV37" s="1"/>
      <c r="OW37" s="1"/>
      <c r="OX37" s="1"/>
      <c r="OY37" s="1"/>
      <c r="OZ37" s="1"/>
      <c r="PA37" s="1"/>
      <c r="PB37" s="1"/>
      <c r="PC37" s="1"/>
      <c r="PD37" s="1"/>
      <c r="PE37" s="1"/>
      <c r="PF37" s="1"/>
      <c r="PG37" s="1"/>
      <c r="PH37" s="1"/>
      <c r="PI37" s="1"/>
      <c r="PJ37" s="1"/>
      <c r="PK37" s="1"/>
      <c r="PL37" s="1"/>
      <c r="PM37" s="1"/>
      <c r="PN37" s="1"/>
      <c r="PO37" s="1"/>
      <c r="PP37" s="1"/>
      <c r="PQ37" s="1"/>
      <c r="PR37" s="1"/>
      <c r="PS37" s="1"/>
      <c r="PT37" s="1"/>
      <c r="PU37" s="1"/>
      <c r="PV37" s="1"/>
      <c r="PW37" s="1"/>
      <c r="PX37" s="1"/>
      <c r="PY37" s="1"/>
      <c r="PZ37" s="1"/>
      <c r="QA37" s="1"/>
      <c r="QB37" s="1"/>
      <c r="QC37" s="1"/>
      <c r="QD37" s="1"/>
      <c r="QE37" s="1"/>
      <c r="QF37" s="1"/>
      <c r="QG37" s="1"/>
      <c r="QH37" s="1"/>
      <c r="QI37" s="1"/>
      <c r="QJ37" s="1"/>
      <c r="QK37" s="1"/>
      <c r="QL37" s="1"/>
      <c r="QM37" s="1"/>
      <c r="QN37" s="1"/>
      <c r="QO37" s="1"/>
      <c r="QP37" s="1"/>
      <c r="QQ37" s="1"/>
      <c r="QR37" s="1"/>
      <c r="QS37" s="1"/>
      <c r="QT37" s="1"/>
      <c r="QU37" s="1"/>
      <c r="QV37" s="1"/>
      <c r="QW37" s="1"/>
      <c r="QX37" s="1"/>
      <c r="QY37" s="1"/>
      <c r="QZ37" s="1"/>
      <c r="RA37" s="1"/>
      <c r="RB37" s="1"/>
      <c r="RC37" s="1"/>
      <c r="RD37" s="1"/>
      <c r="RE37" s="1"/>
      <c r="RF37" s="1"/>
      <c r="RG37" s="1"/>
      <c r="RH37" s="1"/>
      <c r="RI37" s="1"/>
      <c r="RJ37" s="1"/>
      <c r="RK37" s="1"/>
      <c r="RL37" s="1"/>
      <c r="RM37" s="1"/>
      <c r="RN37" s="1"/>
      <c r="RO37" s="1"/>
      <c r="RP37" s="1"/>
      <c r="RQ37" s="1"/>
      <c r="RR37" s="1"/>
      <c r="RS37" s="1"/>
      <c r="RT37" s="1"/>
      <c r="RU37" s="1"/>
      <c r="RV37" s="1"/>
      <c r="RW37" s="1"/>
      <c r="RX37" s="1"/>
      <c r="RY37" s="1"/>
      <c r="RZ37" s="1"/>
      <c r="SA37" s="1"/>
      <c r="SB37" s="1"/>
      <c r="SC37" s="1"/>
      <c r="SD37" s="1"/>
      <c r="SE37" s="1"/>
      <c r="SF37" s="1"/>
      <c r="SG37" s="1"/>
      <c r="SH37" s="1"/>
      <c r="SI37" s="1"/>
      <c r="SJ37" s="1"/>
      <c r="SK37" s="1"/>
      <c r="SL37" s="1"/>
      <c r="SM37" s="1"/>
      <c r="SN37" s="1"/>
      <c r="SO37" s="1"/>
      <c r="SP37" s="1"/>
      <c r="SQ37" s="1"/>
      <c r="SR37" s="1"/>
      <c r="SS37" s="1"/>
      <c r="ST37" s="1"/>
      <c r="SU37" s="1"/>
      <c r="SV37" s="1"/>
      <c r="SW37" s="1"/>
      <c r="SX37" s="1"/>
      <c r="SY37" s="1"/>
      <c r="SZ37" s="1"/>
      <c r="TA37" s="1"/>
      <c r="TB37" s="1"/>
      <c r="TC37" s="1"/>
      <c r="TD37" s="1"/>
      <c r="TE37" s="1"/>
      <c r="TF37" s="1"/>
      <c r="TG37" s="1"/>
      <c r="TH37" s="1"/>
      <c r="TI37" s="1"/>
      <c r="TJ37" s="1"/>
      <c r="TK37" s="1"/>
      <c r="TL37" s="1"/>
      <c r="TM37" s="1"/>
      <c r="TN37" s="1"/>
      <c r="TO37" s="1"/>
      <c r="TP37" s="1"/>
      <c r="TQ37" s="1"/>
      <c r="TR37" s="1"/>
      <c r="TS37" s="1"/>
      <c r="TT37" s="1"/>
      <c r="TU37" s="1"/>
      <c r="TV37" s="1"/>
      <c r="TW37" s="1"/>
      <c r="TX37" s="1"/>
      <c r="TY37" s="1"/>
      <c r="TZ37" s="1"/>
      <c r="UA37" s="1"/>
      <c r="UB37" s="1"/>
      <c r="UC37" s="1"/>
      <c r="UD37" s="1"/>
      <c r="UE37" s="1"/>
      <c r="UF37" s="1"/>
      <c r="UG37" s="1"/>
      <c r="UH37" s="1"/>
      <c r="UI37" s="1"/>
      <c r="UJ37" s="1"/>
      <c r="UK37" s="1"/>
      <c r="UL37" s="1"/>
      <c r="UM37" s="1"/>
      <c r="UN37" s="1"/>
      <c r="UO37" s="1"/>
      <c r="UP37" s="1"/>
      <c r="UQ37" s="1"/>
      <c r="UR37" s="1"/>
      <c r="US37" s="1"/>
      <c r="UT37" s="1"/>
      <c r="UU37" s="1"/>
      <c r="UV37" s="1"/>
      <c r="UW37" s="1"/>
      <c r="UX37" s="1"/>
      <c r="UY37" s="1"/>
      <c r="UZ37" s="1"/>
      <c r="VA37" s="1"/>
      <c r="VB37" s="1"/>
      <c r="VC37" s="1"/>
      <c r="VD37" s="1"/>
      <c r="VE37" s="1"/>
      <c r="VF37" s="1"/>
      <c r="VG37" s="1"/>
      <c r="VH37" s="1"/>
      <c r="VI37" s="1"/>
      <c r="VJ37" s="1"/>
      <c r="VK37" s="1"/>
      <c r="VL37" s="1"/>
      <c r="VM37" s="1"/>
      <c r="VN37" s="1"/>
      <c r="VO37" s="1"/>
      <c r="VP37" s="1"/>
      <c r="VQ37" s="1"/>
      <c r="VR37" s="1"/>
      <c r="VS37" s="1"/>
      <c r="VT37" s="1"/>
      <c r="VU37" s="1"/>
      <c r="VV37" s="1"/>
      <c r="VW37" s="1"/>
      <c r="VX37" s="1"/>
      <c r="VY37" s="1"/>
      <c r="VZ37" s="1"/>
      <c r="WA37" s="1"/>
      <c r="WB37" s="1"/>
      <c r="WC37" s="1"/>
      <c r="WD37" s="1"/>
      <c r="WE37" s="1"/>
      <c r="WF37" s="1"/>
      <c r="WG37" s="1"/>
      <c r="WH37" s="1"/>
      <c r="WI37" s="1"/>
      <c r="WJ37" s="1"/>
      <c r="WK37" s="1"/>
      <c r="WL37" s="1"/>
      <c r="WM37" s="1"/>
      <c r="WN37" s="1"/>
      <c r="WO37" s="1"/>
      <c r="WP37" s="1"/>
      <c r="WQ37" s="1"/>
      <c r="WR37" s="1"/>
      <c r="WS37" s="1"/>
      <c r="WT37" s="1"/>
      <c r="WU37" s="1"/>
      <c r="WV37" s="1"/>
      <c r="WW37" s="1"/>
      <c r="WX37" s="1"/>
      <c r="WY37" s="1"/>
      <c r="WZ37" s="1"/>
      <c r="XA37" s="1"/>
      <c r="XB37" s="1"/>
      <c r="XC37" s="1"/>
      <c r="XD37" s="1"/>
      <c r="XE37" s="1"/>
      <c r="XF37" s="1"/>
      <c r="XG37" s="1"/>
      <c r="XH37" s="1"/>
      <c r="XI37" s="1"/>
      <c r="XJ37" s="1"/>
      <c r="XK37" s="1"/>
      <c r="XL37" s="1"/>
      <c r="XM37" s="1"/>
      <c r="XN37" s="1"/>
      <c r="XO37" s="1"/>
      <c r="XP37" s="1"/>
      <c r="XQ37" s="1"/>
      <c r="XR37" s="1"/>
      <c r="XS37" s="1"/>
      <c r="XT37" s="1"/>
      <c r="XU37" s="1"/>
      <c r="XV37" s="1"/>
      <c r="XW37" s="1"/>
      <c r="XX37" s="1"/>
      <c r="XY37" s="1"/>
      <c r="XZ37" s="1"/>
      <c r="YA37" s="1"/>
      <c r="YB37" s="1"/>
      <c r="YC37" s="1"/>
      <c r="YD37" s="1"/>
      <c r="YE37" s="1"/>
      <c r="YF37" s="1"/>
      <c r="YG37" s="1"/>
      <c r="YH37" s="1"/>
      <c r="YI37" s="1"/>
      <c r="YJ37" s="1"/>
      <c r="YK37" s="1"/>
      <c r="YL37" s="1"/>
      <c r="YM37" s="1"/>
      <c r="YN37" s="1"/>
      <c r="YO37" s="1"/>
      <c r="YP37" s="1"/>
      <c r="YQ37" s="1"/>
      <c r="YR37" s="1"/>
      <c r="YS37" s="1"/>
      <c r="YT37" s="1"/>
      <c r="YU37" s="1"/>
      <c r="YV37" s="1"/>
      <c r="YW37" s="1"/>
      <c r="YX37" s="1"/>
      <c r="YY37" s="1"/>
      <c r="YZ37" s="1"/>
      <c r="ZA37" s="1"/>
      <c r="ZB37" s="1"/>
      <c r="ZC37" s="1"/>
      <c r="ZD37" s="1"/>
      <c r="ZE37" s="1"/>
      <c r="ZF37" s="1"/>
      <c r="ZG37" s="1"/>
      <c r="ZH37" s="1"/>
      <c r="ZI37" s="1"/>
      <c r="ZJ37" s="1"/>
      <c r="ZK37" s="1"/>
      <c r="ZL37" s="1"/>
      <c r="ZM37" s="1"/>
      <c r="ZN37" s="1"/>
      <c r="ZO37" s="1"/>
      <c r="ZP37" s="1"/>
      <c r="ZQ37" s="1"/>
      <c r="ZR37" s="1"/>
      <c r="ZS37" s="1"/>
      <c r="ZT37" s="1"/>
      <c r="ZU37" s="1"/>
      <c r="ZV37" s="1"/>
      <c r="ZW37" s="1"/>
      <c r="ZX37" s="1"/>
      <c r="ZY37" s="1"/>
      <c r="ZZ37" s="1"/>
      <c r="AAA37" s="1"/>
      <c r="AAB37" s="1"/>
      <c r="AAC37" s="1"/>
      <c r="AAD37" s="1"/>
      <c r="AAE37" s="1"/>
      <c r="AAF37" s="1"/>
      <c r="AAG37" s="1"/>
      <c r="AAH37" s="1"/>
      <c r="AAI37" s="1"/>
      <c r="AAJ37" s="1"/>
      <c r="AAK37" s="1"/>
      <c r="AAL37" s="1"/>
      <c r="AAM37" s="1"/>
      <c r="AAN37" s="1"/>
      <c r="AAO37" s="1"/>
      <c r="AAP37" s="1"/>
      <c r="AAQ37" s="1"/>
      <c r="AAR37" s="1"/>
      <c r="AAS37" s="1"/>
      <c r="AAT37" s="1"/>
      <c r="AAU37" s="1"/>
      <c r="AAV37" s="1"/>
      <c r="AAW37" s="1"/>
      <c r="AAX37" s="1"/>
      <c r="AAY37" s="1"/>
      <c r="AAZ37" s="1"/>
      <c r="ABA37" s="1"/>
      <c r="ABB37" s="1"/>
      <c r="ABC37" s="1"/>
      <c r="ABD37" s="1"/>
      <c r="ABE37" s="1"/>
      <c r="ABF37" s="1"/>
      <c r="ABG37" s="1"/>
      <c r="ABH37" s="1"/>
      <c r="ABI37" s="1"/>
      <c r="ABJ37" s="1"/>
      <c r="ABK37" s="1"/>
      <c r="ABL37" s="1"/>
      <c r="ABM37" s="1"/>
      <c r="ABN37" s="1"/>
      <c r="ABO37" s="1"/>
      <c r="ABP37" s="1"/>
      <c r="ABQ37" s="1"/>
      <c r="ABR37" s="1"/>
      <c r="ABS37" s="1"/>
      <c r="ABT37" s="1"/>
      <c r="ABU37" s="1"/>
      <c r="ABV37" s="1"/>
      <c r="ABW37" s="1"/>
      <c r="ABX37" s="1"/>
      <c r="ABY37" s="1"/>
      <c r="ABZ37" s="1"/>
      <c r="ACA37" s="1"/>
      <c r="ACB37" s="1"/>
      <c r="ACC37" s="1"/>
      <c r="ACD37" s="1"/>
      <c r="ACE37" s="1"/>
      <c r="ACF37" s="1"/>
      <c r="ACG37" s="1"/>
      <c r="ACH37" s="1"/>
      <c r="ACI37" s="1"/>
      <c r="ACJ37" s="1"/>
      <c r="ACK37" s="1"/>
      <c r="ACL37" s="1"/>
      <c r="ACM37" s="1"/>
      <c r="ACN37" s="1"/>
      <c r="ACO37" s="1"/>
      <c r="ACP37" s="1"/>
      <c r="ACQ37" s="1"/>
      <c r="ACR37" s="1"/>
      <c r="ACS37" s="1"/>
      <c r="ACT37" s="1"/>
      <c r="ACU37" s="1"/>
      <c r="ACV37" s="1"/>
      <c r="ACW37" s="1"/>
      <c r="ACX37" s="1"/>
      <c r="ACY37" s="1"/>
      <c r="ACZ37" s="1"/>
      <c r="ADA37" s="1"/>
      <c r="ADB37" s="1"/>
      <c r="ADC37" s="1"/>
      <c r="ADD37" s="1"/>
      <c r="ADE37" s="1"/>
      <c r="ADF37" s="1"/>
      <c r="ADG37" s="1"/>
      <c r="ADH37" s="1"/>
      <c r="ADI37" s="1"/>
      <c r="ADJ37" s="1"/>
      <c r="ADK37" s="1"/>
      <c r="ADL37" s="1"/>
      <c r="ADM37" s="1"/>
      <c r="ADN37" s="1"/>
      <c r="ADO37" s="1"/>
      <c r="ADP37" s="1"/>
      <c r="ADQ37" s="1"/>
      <c r="ADR37" s="1"/>
      <c r="ADS37" s="1"/>
      <c r="ADT37" s="1"/>
      <c r="ADU37" s="1"/>
      <c r="ADV37" s="1"/>
      <c r="ADW37" s="1"/>
      <c r="ADX37" s="1"/>
      <c r="ADY37" s="1"/>
      <c r="ADZ37" s="1"/>
      <c r="AEA37" s="1"/>
      <c r="AEB37" s="1"/>
      <c r="AEC37" s="1"/>
      <c r="AED37" s="1"/>
      <c r="AEE37" s="1"/>
      <c r="AEF37" s="1"/>
      <c r="AEG37" s="1"/>
      <c r="AEH37" s="1"/>
      <c r="AEI37" s="1"/>
      <c r="AEJ37" s="1"/>
      <c r="AEK37" s="1"/>
      <c r="AEL37" s="1"/>
      <c r="AEM37" s="1"/>
      <c r="AEN37" s="1"/>
      <c r="AEO37" s="1"/>
      <c r="AEP37" s="1"/>
      <c r="AEQ37" s="1"/>
      <c r="AER37" s="1"/>
      <c r="AES37" s="1"/>
      <c r="AET37" s="1"/>
      <c r="AEU37" s="1"/>
      <c r="AEV37" s="1"/>
      <c r="AEW37" s="1"/>
      <c r="AEX37" s="1"/>
      <c r="AEY37" s="1"/>
      <c r="AEZ37" s="1"/>
      <c r="AFA37" s="1"/>
      <c r="AFB37" s="1"/>
      <c r="AFC37" s="1"/>
      <c r="AFD37" s="1"/>
      <c r="AFE37" s="1"/>
      <c r="AFF37" s="1"/>
      <c r="AFG37" s="1"/>
      <c r="AFH37" s="1"/>
      <c r="AFI37" s="1"/>
      <c r="AFJ37" s="1"/>
      <c r="AFK37" s="1"/>
      <c r="AFL37" s="1"/>
      <c r="AFM37" s="1"/>
      <c r="AFN37" s="1"/>
      <c r="AFO37" s="1"/>
      <c r="AFP37" s="1"/>
      <c r="AFQ37" s="1"/>
      <c r="AFR37" s="1"/>
      <c r="AFS37" s="1"/>
      <c r="AFT37" s="1"/>
      <c r="AFU37" s="1"/>
      <c r="AFV37" s="1"/>
      <c r="AFW37" s="1"/>
      <c r="AFX37" s="1"/>
      <c r="AFY37" s="1"/>
      <c r="AFZ37" s="1"/>
      <c r="AGA37" s="1"/>
      <c r="AGB37" s="1"/>
      <c r="AGC37" s="1"/>
      <c r="AGD37" s="1"/>
      <c r="AGE37" s="1"/>
      <c r="AGF37" s="1"/>
      <c r="AGG37" s="1"/>
      <c r="AGH37" s="1"/>
      <c r="AGI37" s="1"/>
      <c r="AGJ37" s="1"/>
      <c r="AGK37" s="1"/>
      <c r="AGL37" s="1"/>
      <c r="AGM37" s="1"/>
      <c r="AGN37" s="1"/>
      <c r="AGO37" s="1"/>
      <c r="AGP37" s="1"/>
      <c r="AGQ37" s="1"/>
      <c r="AGR37" s="1"/>
      <c r="AGS37" s="1"/>
      <c r="AGT37" s="1"/>
      <c r="AGU37" s="1"/>
      <c r="AGV37" s="1"/>
      <c r="AGW37" s="1"/>
      <c r="AGX37" s="1"/>
      <c r="AGY37" s="1"/>
      <c r="AGZ37" s="1"/>
      <c r="AHA37" s="1"/>
      <c r="AHB37" s="1"/>
      <c r="AHC37" s="1"/>
      <c r="AHD37" s="1"/>
      <c r="AHE37" s="1"/>
      <c r="AHF37" s="1"/>
      <c r="AHG37" s="1"/>
      <c r="AHH37" s="1"/>
      <c r="AHI37" s="1"/>
      <c r="AHJ37" s="1"/>
      <c r="AHK37" s="1"/>
      <c r="AHL37" s="1"/>
      <c r="AHM37" s="1"/>
      <c r="AHN37" s="1"/>
      <c r="AHO37" s="1"/>
      <c r="AHP37" s="1"/>
      <c r="AHQ37" s="1"/>
      <c r="AHR37" s="1"/>
      <c r="AHS37" s="1"/>
      <c r="AHT37" s="1"/>
      <c r="AHU37" s="1"/>
      <c r="AHV37" s="1"/>
      <c r="AHW37" s="1"/>
      <c r="AHX37" s="1"/>
      <c r="AHY37" s="1"/>
      <c r="AHZ37" s="1"/>
      <c r="AIA37" s="1"/>
      <c r="AIB37" s="1"/>
      <c r="AIC37" s="1"/>
      <c r="AID37" s="1"/>
      <c r="AIE37" s="1"/>
      <c r="AIF37" s="1"/>
      <c r="AIG37" s="1"/>
      <c r="AIH37" s="1"/>
      <c r="AII37" s="1"/>
      <c r="AIJ37" s="1"/>
      <c r="AIK37" s="1"/>
      <c r="AIL37" s="1"/>
      <c r="AIM37" s="1"/>
      <c r="AIN37" s="1"/>
      <c r="AIO37" s="1"/>
      <c r="AIP37" s="1"/>
      <c r="AIQ37" s="1"/>
      <c r="AIR37" s="1"/>
      <c r="AIS37" s="1"/>
      <c r="AIT37" s="1"/>
      <c r="AIU37" s="1"/>
      <c r="AIV37" s="1"/>
      <c r="AIW37" s="1"/>
      <c r="AIX37" s="1"/>
      <c r="AIY37" s="1"/>
      <c r="AIZ37" s="1"/>
      <c r="AJA37" s="1"/>
      <c r="AJB37" s="1"/>
      <c r="AJC37" s="1"/>
      <c r="AJD37" s="1"/>
      <c r="AJE37" s="1"/>
      <c r="AJF37" s="1"/>
      <c r="AJG37" s="1"/>
      <c r="AJH37" s="1"/>
      <c r="AJI37" s="1"/>
      <c r="AJJ37" s="1"/>
      <c r="AJK37" s="1"/>
      <c r="AJL37" s="1"/>
      <c r="AJM37" s="1"/>
      <c r="AJN37" s="1"/>
      <c r="AJO37" s="1"/>
      <c r="AJP37" s="1"/>
      <c r="AJQ37" s="1"/>
      <c r="AJR37" s="1"/>
      <c r="AJS37" s="1"/>
      <c r="AJT37" s="1"/>
      <c r="AJU37" s="1"/>
      <c r="AJV37" s="1"/>
      <c r="AJW37" s="1"/>
      <c r="AJX37" s="1"/>
      <c r="AJY37" s="1"/>
      <c r="AJZ37" s="1"/>
      <c r="AKA37" s="1"/>
      <c r="AKB37" s="1"/>
      <c r="AKC37" s="1"/>
      <c r="AKD37" s="1"/>
      <c r="AKE37" s="1"/>
      <c r="AKF37" s="1"/>
      <c r="AKG37" s="1"/>
      <c r="AKH37" s="1"/>
      <c r="AKI37" s="1"/>
      <c r="AKJ37" s="1"/>
      <c r="AKK37" s="1"/>
      <c r="AKL37" s="1"/>
      <c r="AKM37" s="1"/>
      <c r="AKN37" s="1"/>
      <c r="AKO37" s="1"/>
      <c r="AKP37" s="1"/>
      <c r="AKQ37" s="1"/>
      <c r="AKR37" s="1"/>
      <c r="AKS37" s="1"/>
      <c r="AKT37" s="1"/>
      <c r="AKU37" s="1"/>
      <c r="AKV37" s="1"/>
      <c r="AKW37" s="1"/>
      <c r="AKX37" s="1"/>
      <c r="AKY37" s="1"/>
      <c r="AKZ37" s="1"/>
      <c r="ALA37" s="1"/>
      <c r="ALB37" s="1"/>
      <c r="ALC37" s="1"/>
      <c r="ALD37" s="1"/>
      <c r="ALE37" s="1"/>
      <c r="ALF37" s="1"/>
      <c r="ALG37" s="1"/>
      <c r="ALH37" s="1"/>
      <c r="ALI37" s="1"/>
      <c r="ALJ37" s="1"/>
      <c r="ALK37" s="1"/>
      <c r="ALL37" s="1"/>
      <c r="ALM37" s="1"/>
      <c r="ALN37" s="1"/>
      <c r="ALO37" s="1"/>
      <c r="ALP37" s="1"/>
      <c r="ALQ37" s="1"/>
      <c r="ALR37" s="1"/>
      <c r="ALS37" s="1"/>
      <c r="ALT37" s="1"/>
      <c r="ALU37" s="1"/>
      <c r="ALV37" s="1"/>
      <c r="ALW37" s="1"/>
      <c r="ALX37" s="1"/>
      <c r="ALY37" s="1"/>
      <c r="ALZ37" s="1"/>
      <c r="AMA37" s="1"/>
      <c r="AMB37" s="1"/>
      <c r="AMC37" s="1"/>
      <c r="AMD37" s="1"/>
      <c r="AME37" s="1"/>
      <c r="AMF37" s="1"/>
      <c r="AMG37" s="1"/>
      <c r="AMH37" s="1"/>
      <c r="AMI37" s="1"/>
      <c r="AMJ37" s="1"/>
      <c r="AMK37" s="1"/>
      <c r="AML37" s="1"/>
      <c r="AMM37" s="1"/>
      <c r="AMN37" s="1"/>
    </row>
    <row r="38" spans="1:1028" x14ac:dyDescent="0.2">
      <c r="A38" s="3" t="str">
        <f t="shared" si="0"/>
        <v>acm2_human__wt</v>
      </c>
      <c r="B38" s="3" t="s">
        <v>147</v>
      </c>
      <c r="C38" s="3" t="s">
        <v>100</v>
      </c>
      <c r="D38" s="3" t="str">
        <f>IFERROR(MID(VLOOKUP($B38,Seqs!$A:$B,2,0),E38,1),"")</f>
        <v>K</v>
      </c>
      <c r="E38" s="3">
        <v>19</v>
      </c>
      <c r="F38" s="3" t="str">
        <f>IFERROR(MID(VLOOKUP($B38,Seqs!$A:$B,2,0),G38,1),"")</f>
        <v>N</v>
      </c>
      <c r="G38" s="3">
        <v>51</v>
      </c>
      <c r="H38" s="3" t="str">
        <f>IFERROR(MID(VLOOKUP($B38,Seqs!$A:$B,2,0),I38,1),"")</f>
        <v>R</v>
      </c>
      <c r="I38" s="23">
        <v>52</v>
      </c>
      <c r="J38" s="3" t="str">
        <f>IFERROR(MID(VLOOKUP($B38,Seqs!$A:$B,2,0),K38,1),"")</f>
        <v>Q</v>
      </c>
      <c r="K38" s="23">
        <v>55</v>
      </c>
      <c r="L38" s="3" t="str">
        <f>IFERROR(MID(VLOOKUP($B38,Seqs!$A:$B,2,0),M38,1),"")</f>
        <v>T</v>
      </c>
      <c r="M38" s="3">
        <v>56</v>
      </c>
      <c r="N38" s="3" t="str">
        <f>IFERROR(MID(VLOOKUP($B38,Seqs!$A:$B,2,0),O38,1),"")</f>
        <v>I</v>
      </c>
      <c r="O38" s="3">
        <v>86</v>
      </c>
      <c r="P38" s="3" t="str">
        <f>IFERROR(MID(VLOOKUP($B38,Seqs!$A:$B,2,0),Q38,1),"")</f>
        <v>Y</v>
      </c>
      <c r="Q38" s="3">
        <v>88</v>
      </c>
      <c r="R38" s="3" t="str">
        <f>IFERROR(MID(VLOOKUP($B38,Seqs!$A:$B,2,0),S38,1),"")</f>
        <v>L</v>
      </c>
      <c r="S38" s="3">
        <v>91</v>
      </c>
      <c r="T38" s="3" t="str">
        <f>IFERROR(MID(VLOOKUP($B38,Seqs!$A:$B,2,0),U38,1),"")</f>
        <v>G</v>
      </c>
      <c r="U38" s="3">
        <v>92</v>
      </c>
      <c r="V38" s="3" t="str">
        <f>IFERROR(MID(VLOOKUP($B38,Seqs!$A:$B,2,0),W38,1),"")</f>
        <v>K</v>
      </c>
      <c r="W38" s="3">
        <v>127</v>
      </c>
      <c r="X38" s="3" t="str">
        <f>IFERROR(MID(VLOOKUP($B38,Seqs!$A:$B,2,0),Y38,1),"")</f>
        <v>P</v>
      </c>
      <c r="Y38" s="3">
        <v>128</v>
      </c>
      <c r="Z38" s="3" t="str">
        <f>IFERROR(MID(VLOOKUP($B38,Seqs!$A:$B,2,0),AA38,1),"")</f>
        <v>R</v>
      </c>
      <c r="AA38" s="3">
        <v>135</v>
      </c>
      <c r="AB38" s="3" t="str">
        <f>IFERROR(MID(VLOOKUP($B38,Seqs!$A:$B,2,0),AC38,1),"")</f>
        <v>T</v>
      </c>
      <c r="AC38" s="9">
        <v>136</v>
      </c>
      <c r="AD38" s="3" t="str">
        <f>IFERROR(MID(VLOOKUP($B38,Seqs!$A:$B,2,0),AE38,1),"")</f>
        <v>G</v>
      </c>
      <c r="AE38" s="3">
        <v>167</v>
      </c>
      <c r="AF38" s="3" t="str">
        <f>IFERROR(MID(VLOOKUP($B38,Seqs!$A:$B,2,0),AG38,1),"")</f>
        <v>C</v>
      </c>
      <c r="AG38" s="3">
        <v>176</v>
      </c>
      <c r="AH38" s="3" t="str">
        <f>IFERROR(MID(VLOOKUP($B38,Seqs!$A:$B,2,0),AI38,1),"")</f>
        <v>I</v>
      </c>
      <c r="AI38" s="3">
        <v>178</v>
      </c>
      <c r="AJ38" s="3" t="str">
        <f>IFERROR(MID(VLOOKUP($B38,Seqs!$A:$B,2,0),AK38,1),"")</f>
        <v>N</v>
      </c>
      <c r="AK38" s="3">
        <v>183</v>
      </c>
      <c r="AL38" s="3" t="str">
        <f>IFERROR(MID(VLOOKUP($B38,Seqs!$A:$B,2,0),AM38,1),"")</f>
        <v>E</v>
      </c>
      <c r="AM38" s="3">
        <v>223</v>
      </c>
      <c r="AN38" s="3" t="str">
        <f>IFERROR(MID(VLOOKUP($B38,Seqs!$A:$B,2,0),AO38,1),"")</f>
        <v>K</v>
      </c>
      <c r="AO38" s="3">
        <v>376</v>
      </c>
      <c r="AP38" s="3" t="str">
        <f>IFERROR(MID(VLOOKUP($B38,Seqs!$A:$B,2,0),AQ38,1),"")</f>
        <v>C</v>
      </c>
      <c r="AQ38" s="3">
        <v>413</v>
      </c>
      <c r="AR38" s="3" t="str">
        <f>IFERROR(MID(VLOOKUP($B38,Seqs!$A:$B,2,0),AS38,1),"")</f>
        <v>P</v>
      </c>
      <c r="AS38" s="3">
        <v>418</v>
      </c>
      <c r="AT38" s="3" t="str">
        <f>IFERROR(MID(VLOOKUP($B38,Seqs!$A:$B,2,0),AU38,1),"")</f>
        <v>C</v>
      </c>
      <c r="AU38" s="3">
        <v>443</v>
      </c>
      <c r="AV38" s="3" t="str">
        <f>IFERROR(MID(VLOOKUP($B38,Seqs!$A:$B,2,0),AW38,1),"")</f>
        <v>N</v>
      </c>
      <c r="AW38" s="3">
        <v>444</v>
      </c>
      <c r="AX38" s="3" t="str">
        <f>IFERROR(MID(VLOOKUP($B38,Seqs!$A:$B,2,0),AY38,1),"")</f>
        <v>M</v>
      </c>
      <c r="AY38" s="3">
        <v>456</v>
      </c>
      <c r="AZ38" s="79" t="str">
        <f>VLOOKUP(B38,Classification!A:D,2,0)</f>
        <v>A</v>
      </c>
      <c r="BA38" s="97" t="str">
        <f>VLOOKUP(B38,Classification!A:D,4,0)</f>
        <v>Acetylcholine(muscarinic)</v>
      </c>
      <c r="BB38" s="27" t="b">
        <f t="shared" si="1"/>
        <v>1</v>
      </c>
      <c r="BC38" s="23">
        <f t="shared" si="84"/>
        <v>269</v>
      </c>
      <c r="BD38" s="57" t="s">
        <v>1379</v>
      </c>
      <c r="BE38" s="3" t="s">
        <v>1381</v>
      </c>
      <c r="BF38" s="50" t="s">
        <v>1379</v>
      </c>
      <c r="BG38" s="50" t="s">
        <v>1384</v>
      </c>
      <c r="BH38" s="1"/>
      <c r="BI38" s="72" t="s">
        <v>1293</v>
      </c>
      <c r="BJ38" s="58" t="s">
        <v>1293</v>
      </c>
      <c r="BK38" s="58" t="s">
        <v>1293</v>
      </c>
      <c r="BL38" s="58" t="s">
        <v>1293</v>
      </c>
      <c r="BM38" s="58" t="s">
        <v>1293</v>
      </c>
      <c r="BN38" s="58" t="s">
        <v>1293</v>
      </c>
      <c r="BO38" s="58" t="s">
        <v>1293</v>
      </c>
      <c r="BP38" s="58" t="s">
        <v>1293</v>
      </c>
      <c r="BQ38" s="58" t="s">
        <v>1293</v>
      </c>
      <c r="BR38" s="58" t="s">
        <v>1293</v>
      </c>
      <c r="BS38" s="58" t="s">
        <v>1293</v>
      </c>
      <c r="BT38" s="58" t="s">
        <v>1293</v>
      </c>
      <c r="BU38" s="72">
        <f t="shared" si="85"/>
        <v>19</v>
      </c>
      <c r="BV38" s="73">
        <f t="shared" si="86"/>
        <v>52</v>
      </c>
      <c r="BW38" s="74">
        <f t="shared" si="87"/>
        <v>56</v>
      </c>
      <c r="BX38" s="73">
        <f t="shared" si="88"/>
        <v>88</v>
      </c>
      <c r="BY38" s="74">
        <f t="shared" si="89"/>
        <v>92</v>
      </c>
      <c r="BZ38" s="73">
        <f t="shared" si="90"/>
        <v>128</v>
      </c>
      <c r="CA38" s="74">
        <f t="shared" si="91"/>
        <v>136</v>
      </c>
      <c r="CB38" s="73">
        <f t="shared" si="92"/>
        <v>176</v>
      </c>
      <c r="CC38" s="74">
        <f t="shared" si="93"/>
        <v>183</v>
      </c>
      <c r="CD38" s="73">
        <f t="shared" si="94"/>
        <v>376</v>
      </c>
      <c r="CE38" s="74">
        <f t="shared" si="95"/>
        <v>418</v>
      </c>
      <c r="CF38" s="73">
        <f t="shared" si="96"/>
        <v>444</v>
      </c>
      <c r="CG38" s="72">
        <f t="shared" si="97"/>
        <v>51</v>
      </c>
      <c r="CH38" s="73">
        <f t="shared" si="98"/>
        <v>55</v>
      </c>
      <c r="CI38" s="74">
        <f t="shared" si="99"/>
        <v>86</v>
      </c>
      <c r="CJ38" s="74">
        <f t="shared" si="100"/>
        <v>91</v>
      </c>
      <c r="CK38" s="74">
        <f t="shared" si="101"/>
        <v>127</v>
      </c>
      <c r="CL38" s="74">
        <f t="shared" si="102"/>
        <v>135</v>
      </c>
      <c r="CM38" s="74">
        <f t="shared" si="103"/>
        <v>167</v>
      </c>
      <c r="CN38" s="74">
        <f t="shared" si="104"/>
        <v>178</v>
      </c>
      <c r="CO38" s="74">
        <f t="shared" si="105"/>
        <v>223</v>
      </c>
      <c r="CP38" s="74">
        <f t="shared" si="106"/>
        <v>413</v>
      </c>
      <c r="CQ38" s="74">
        <f t="shared" si="107"/>
        <v>443</v>
      </c>
      <c r="CR38" s="74">
        <f t="shared" si="108"/>
        <v>456</v>
      </c>
      <c r="CS38" s="23">
        <f t="shared" si="109"/>
        <v>1</v>
      </c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  <c r="OK38" s="1"/>
      <c r="OL38" s="1"/>
      <c r="OM38" s="1"/>
      <c r="ON38" s="1"/>
      <c r="OO38" s="1"/>
      <c r="OP38" s="1"/>
      <c r="OQ38" s="1"/>
      <c r="OR38" s="1"/>
      <c r="OS38" s="1"/>
      <c r="OT38" s="1"/>
      <c r="OU38" s="1"/>
      <c r="OV38" s="1"/>
      <c r="OW38" s="1"/>
      <c r="OX38" s="1"/>
      <c r="OY38" s="1"/>
      <c r="OZ38" s="1"/>
      <c r="PA38" s="1"/>
      <c r="PB38" s="1"/>
      <c r="PC38" s="1"/>
      <c r="PD38" s="1"/>
      <c r="PE38" s="1"/>
      <c r="PF38" s="1"/>
      <c r="PG38" s="1"/>
      <c r="PH38" s="1"/>
      <c r="PI38" s="1"/>
      <c r="PJ38" s="1"/>
      <c r="PK38" s="1"/>
      <c r="PL38" s="1"/>
      <c r="PM38" s="1"/>
      <c r="PN38" s="1"/>
      <c r="PO38" s="1"/>
      <c r="PP38" s="1"/>
      <c r="PQ38" s="1"/>
      <c r="PR38" s="1"/>
      <c r="PS38" s="1"/>
      <c r="PT38" s="1"/>
      <c r="PU38" s="1"/>
      <c r="PV38" s="1"/>
      <c r="PW38" s="1"/>
      <c r="PX38" s="1"/>
      <c r="PY38" s="1"/>
      <c r="PZ38" s="1"/>
      <c r="QA38" s="1"/>
      <c r="QB38" s="1"/>
      <c r="QC38" s="1"/>
      <c r="QD38" s="1"/>
      <c r="QE38" s="1"/>
      <c r="QF38" s="1"/>
      <c r="QG38" s="1"/>
      <c r="QH38" s="1"/>
      <c r="QI38" s="1"/>
      <c r="QJ38" s="1"/>
      <c r="QK38" s="1"/>
      <c r="QL38" s="1"/>
      <c r="QM38" s="1"/>
      <c r="QN38" s="1"/>
      <c r="QO38" s="1"/>
      <c r="QP38" s="1"/>
      <c r="QQ38" s="1"/>
      <c r="QR38" s="1"/>
      <c r="QS38" s="1"/>
      <c r="QT38" s="1"/>
      <c r="QU38" s="1"/>
      <c r="QV38" s="1"/>
      <c r="QW38" s="1"/>
      <c r="QX38" s="1"/>
      <c r="QY38" s="1"/>
      <c r="QZ38" s="1"/>
      <c r="RA38" s="1"/>
      <c r="RB38" s="1"/>
      <c r="RC38" s="1"/>
      <c r="RD38" s="1"/>
      <c r="RE38" s="1"/>
      <c r="RF38" s="1"/>
      <c r="RG38" s="1"/>
      <c r="RH38" s="1"/>
      <c r="RI38" s="1"/>
      <c r="RJ38" s="1"/>
      <c r="RK38" s="1"/>
      <c r="RL38" s="1"/>
      <c r="RM38" s="1"/>
      <c r="RN38" s="1"/>
      <c r="RO38" s="1"/>
      <c r="RP38" s="1"/>
      <c r="RQ38" s="1"/>
      <c r="RR38" s="1"/>
      <c r="RS38" s="1"/>
      <c r="RT38" s="1"/>
      <c r="RU38" s="1"/>
      <c r="RV38" s="1"/>
      <c r="RW38" s="1"/>
      <c r="RX38" s="1"/>
      <c r="RY38" s="1"/>
      <c r="RZ38" s="1"/>
      <c r="SA38" s="1"/>
      <c r="SB38" s="1"/>
      <c r="SC38" s="1"/>
      <c r="SD38" s="1"/>
      <c r="SE38" s="1"/>
      <c r="SF38" s="1"/>
      <c r="SG38" s="1"/>
      <c r="SH38" s="1"/>
      <c r="SI38" s="1"/>
      <c r="SJ38" s="1"/>
      <c r="SK38" s="1"/>
      <c r="SL38" s="1"/>
      <c r="SM38" s="1"/>
      <c r="SN38" s="1"/>
      <c r="SO38" s="1"/>
      <c r="SP38" s="1"/>
      <c r="SQ38" s="1"/>
      <c r="SR38" s="1"/>
      <c r="SS38" s="1"/>
      <c r="ST38" s="1"/>
      <c r="SU38" s="1"/>
      <c r="SV38" s="1"/>
      <c r="SW38" s="1"/>
      <c r="SX38" s="1"/>
      <c r="SY38" s="1"/>
      <c r="SZ38" s="1"/>
      <c r="TA38" s="1"/>
      <c r="TB38" s="1"/>
      <c r="TC38" s="1"/>
      <c r="TD38" s="1"/>
      <c r="TE38" s="1"/>
      <c r="TF38" s="1"/>
      <c r="TG38" s="1"/>
      <c r="TH38" s="1"/>
      <c r="TI38" s="1"/>
      <c r="TJ38" s="1"/>
      <c r="TK38" s="1"/>
      <c r="TL38" s="1"/>
      <c r="TM38" s="1"/>
      <c r="TN38" s="1"/>
      <c r="TO38" s="1"/>
      <c r="TP38" s="1"/>
      <c r="TQ38" s="1"/>
      <c r="TR38" s="1"/>
      <c r="TS38" s="1"/>
      <c r="TT38" s="1"/>
      <c r="TU38" s="1"/>
      <c r="TV38" s="1"/>
      <c r="TW38" s="1"/>
      <c r="TX38" s="1"/>
      <c r="TY38" s="1"/>
      <c r="TZ38" s="1"/>
      <c r="UA38" s="1"/>
      <c r="UB38" s="1"/>
      <c r="UC38" s="1"/>
      <c r="UD38" s="1"/>
      <c r="UE38" s="1"/>
      <c r="UF38" s="1"/>
      <c r="UG38" s="1"/>
      <c r="UH38" s="1"/>
      <c r="UI38" s="1"/>
      <c r="UJ38" s="1"/>
      <c r="UK38" s="1"/>
      <c r="UL38" s="1"/>
      <c r="UM38" s="1"/>
      <c r="UN38" s="1"/>
      <c r="UO38" s="1"/>
      <c r="UP38" s="1"/>
      <c r="UQ38" s="1"/>
      <c r="UR38" s="1"/>
      <c r="US38" s="1"/>
      <c r="UT38" s="1"/>
      <c r="UU38" s="1"/>
      <c r="UV38" s="1"/>
      <c r="UW38" s="1"/>
      <c r="UX38" s="1"/>
      <c r="UY38" s="1"/>
      <c r="UZ38" s="1"/>
      <c r="VA38" s="1"/>
      <c r="VB38" s="1"/>
      <c r="VC38" s="1"/>
      <c r="VD38" s="1"/>
      <c r="VE38" s="1"/>
      <c r="VF38" s="1"/>
      <c r="VG38" s="1"/>
      <c r="VH38" s="1"/>
      <c r="VI38" s="1"/>
      <c r="VJ38" s="1"/>
      <c r="VK38" s="1"/>
      <c r="VL38" s="1"/>
      <c r="VM38" s="1"/>
      <c r="VN38" s="1"/>
      <c r="VO38" s="1"/>
      <c r="VP38" s="1"/>
      <c r="VQ38" s="1"/>
      <c r="VR38" s="1"/>
      <c r="VS38" s="1"/>
      <c r="VT38" s="1"/>
      <c r="VU38" s="1"/>
      <c r="VV38" s="1"/>
      <c r="VW38" s="1"/>
      <c r="VX38" s="1"/>
      <c r="VY38" s="1"/>
      <c r="VZ38" s="1"/>
      <c r="WA38" s="1"/>
      <c r="WB38" s="1"/>
      <c r="WC38" s="1"/>
      <c r="WD38" s="1"/>
      <c r="WE38" s="1"/>
      <c r="WF38" s="1"/>
      <c r="WG38" s="1"/>
      <c r="WH38" s="1"/>
      <c r="WI38" s="1"/>
      <c r="WJ38" s="1"/>
      <c r="WK38" s="1"/>
      <c r="WL38" s="1"/>
      <c r="WM38" s="1"/>
      <c r="WN38" s="1"/>
      <c r="WO38" s="1"/>
      <c r="WP38" s="1"/>
      <c r="WQ38" s="1"/>
      <c r="WR38" s="1"/>
      <c r="WS38" s="1"/>
      <c r="WT38" s="1"/>
      <c r="WU38" s="1"/>
      <c r="WV38" s="1"/>
      <c r="WW38" s="1"/>
      <c r="WX38" s="1"/>
      <c r="WY38" s="1"/>
      <c r="WZ38" s="1"/>
      <c r="XA38" s="1"/>
      <c r="XB38" s="1"/>
      <c r="XC38" s="1"/>
      <c r="XD38" s="1"/>
      <c r="XE38" s="1"/>
      <c r="XF38" s="1"/>
      <c r="XG38" s="1"/>
      <c r="XH38" s="1"/>
      <c r="XI38" s="1"/>
      <c r="XJ38" s="1"/>
      <c r="XK38" s="1"/>
      <c r="XL38" s="1"/>
      <c r="XM38" s="1"/>
      <c r="XN38" s="1"/>
      <c r="XO38" s="1"/>
      <c r="XP38" s="1"/>
      <c r="XQ38" s="1"/>
      <c r="XR38" s="1"/>
      <c r="XS38" s="1"/>
      <c r="XT38" s="1"/>
      <c r="XU38" s="1"/>
      <c r="XV38" s="1"/>
      <c r="XW38" s="1"/>
      <c r="XX38" s="1"/>
      <c r="XY38" s="1"/>
      <c r="XZ38" s="1"/>
      <c r="YA38" s="1"/>
      <c r="YB38" s="1"/>
      <c r="YC38" s="1"/>
      <c r="YD38" s="1"/>
      <c r="YE38" s="1"/>
      <c r="YF38" s="1"/>
      <c r="YG38" s="1"/>
      <c r="YH38" s="1"/>
      <c r="YI38" s="1"/>
      <c r="YJ38" s="1"/>
      <c r="YK38" s="1"/>
      <c r="YL38" s="1"/>
      <c r="YM38" s="1"/>
      <c r="YN38" s="1"/>
      <c r="YO38" s="1"/>
      <c r="YP38" s="1"/>
      <c r="YQ38" s="1"/>
      <c r="YR38" s="1"/>
      <c r="YS38" s="1"/>
      <c r="YT38" s="1"/>
      <c r="YU38" s="1"/>
      <c r="YV38" s="1"/>
      <c r="YW38" s="1"/>
      <c r="YX38" s="1"/>
      <c r="YY38" s="1"/>
      <c r="YZ38" s="1"/>
      <c r="ZA38" s="1"/>
      <c r="ZB38" s="1"/>
      <c r="ZC38" s="1"/>
      <c r="ZD38" s="1"/>
      <c r="ZE38" s="1"/>
      <c r="ZF38" s="1"/>
      <c r="ZG38" s="1"/>
      <c r="ZH38" s="1"/>
      <c r="ZI38" s="1"/>
      <c r="ZJ38" s="1"/>
      <c r="ZK38" s="1"/>
      <c r="ZL38" s="1"/>
      <c r="ZM38" s="1"/>
      <c r="ZN38" s="1"/>
      <c r="ZO38" s="1"/>
      <c r="ZP38" s="1"/>
      <c r="ZQ38" s="1"/>
      <c r="ZR38" s="1"/>
      <c r="ZS38" s="1"/>
      <c r="ZT38" s="1"/>
      <c r="ZU38" s="1"/>
      <c r="ZV38" s="1"/>
      <c r="ZW38" s="1"/>
      <c r="ZX38" s="1"/>
      <c r="ZY38" s="1"/>
      <c r="ZZ38" s="1"/>
      <c r="AAA38" s="1"/>
      <c r="AAB38" s="1"/>
      <c r="AAC38" s="1"/>
      <c r="AAD38" s="1"/>
      <c r="AAE38" s="1"/>
      <c r="AAF38" s="1"/>
      <c r="AAG38" s="1"/>
      <c r="AAH38" s="1"/>
      <c r="AAI38" s="1"/>
      <c r="AAJ38" s="1"/>
      <c r="AAK38" s="1"/>
      <c r="AAL38" s="1"/>
      <c r="AAM38" s="1"/>
      <c r="AAN38" s="1"/>
      <c r="AAO38" s="1"/>
      <c r="AAP38" s="1"/>
      <c r="AAQ38" s="1"/>
      <c r="AAR38" s="1"/>
      <c r="AAS38" s="1"/>
      <c r="AAT38" s="1"/>
      <c r="AAU38" s="1"/>
      <c r="AAV38" s="1"/>
      <c r="AAW38" s="1"/>
      <c r="AAX38" s="1"/>
      <c r="AAY38" s="1"/>
      <c r="AAZ38" s="1"/>
      <c r="ABA38" s="1"/>
      <c r="ABB38" s="1"/>
      <c r="ABC38" s="1"/>
      <c r="ABD38" s="1"/>
      <c r="ABE38" s="1"/>
      <c r="ABF38" s="1"/>
      <c r="ABG38" s="1"/>
      <c r="ABH38" s="1"/>
      <c r="ABI38" s="1"/>
      <c r="ABJ38" s="1"/>
      <c r="ABK38" s="1"/>
      <c r="ABL38" s="1"/>
      <c r="ABM38" s="1"/>
      <c r="ABN38" s="1"/>
      <c r="ABO38" s="1"/>
      <c r="ABP38" s="1"/>
      <c r="ABQ38" s="1"/>
      <c r="ABR38" s="1"/>
      <c r="ABS38" s="1"/>
      <c r="ABT38" s="1"/>
      <c r="ABU38" s="1"/>
      <c r="ABV38" s="1"/>
      <c r="ABW38" s="1"/>
      <c r="ABX38" s="1"/>
      <c r="ABY38" s="1"/>
      <c r="ABZ38" s="1"/>
      <c r="ACA38" s="1"/>
      <c r="ACB38" s="1"/>
      <c r="ACC38" s="1"/>
      <c r="ACD38" s="1"/>
      <c r="ACE38" s="1"/>
      <c r="ACF38" s="1"/>
      <c r="ACG38" s="1"/>
      <c r="ACH38" s="1"/>
      <c r="ACI38" s="1"/>
      <c r="ACJ38" s="1"/>
      <c r="ACK38" s="1"/>
      <c r="ACL38" s="1"/>
      <c r="ACM38" s="1"/>
      <c r="ACN38" s="1"/>
      <c r="ACO38" s="1"/>
      <c r="ACP38" s="1"/>
      <c r="ACQ38" s="1"/>
      <c r="ACR38" s="1"/>
      <c r="ACS38" s="1"/>
      <c r="ACT38" s="1"/>
      <c r="ACU38" s="1"/>
      <c r="ACV38" s="1"/>
      <c r="ACW38" s="1"/>
      <c r="ACX38" s="1"/>
      <c r="ACY38" s="1"/>
      <c r="ACZ38" s="1"/>
      <c r="ADA38" s="1"/>
      <c r="ADB38" s="1"/>
      <c r="ADC38" s="1"/>
      <c r="ADD38" s="1"/>
      <c r="ADE38" s="1"/>
      <c r="ADF38" s="1"/>
      <c r="ADG38" s="1"/>
      <c r="ADH38" s="1"/>
      <c r="ADI38" s="1"/>
      <c r="ADJ38" s="1"/>
      <c r="ADK38" s="1"/>
      <c r="ADL38" s="1"/>
      <c r="ADM38" s="1"/>
      <c r="ADN38" s="1"/>
      <c r="ADO38" s="1"/>
      <c r="ADP38" s="1"/>
      <c r="ADQ38" s="1"/>
      <c r="ADR38" s="1"/>
      <c r="ADS38" s="1"/>
      <c r="ADT38" s="1"/>
      <c r="ADU38" s="1"/>
      <c r="ADV38" s="1"/>
      <c r="ADW38" s="1"/>
      <c r="ADX38" s="1"/>
      <c r="ADY38" s="1"/>
      <c r="ADZ38" s="1"/>
      <c r="AEA38" s="1"/>
      <c r="AEB38" s="1"/>
      <c r="AEC38" s="1"/>
      <c r="AED38" s="1"/>
      <c r="AEE38" s="1"/>
      <c r="AEF38" s="1"/>
      <c r="AEG38" s="1"/>
      <c r="AEH38" s="1"/>
      <c r="AEI38" s="1"/>
      <c r="AEJ38" s="1"/>
      <c r="AEK38" s="1"/>
      <c r="AEL38" s="1"/>
      <c r="AEM38" s="1"/>
      <c r="AEN38" s="1"/>
      <c r="AEO38" s="1"/>
      <c r="AEP38" s="1"/>
      <c r="AEQ38" s="1"/>
      <c r="AER38" s="1"/>
      <c r="AES38" s="1"/>
      <c r="AET38" s="1"/>
      <c r="AEU38" s="1"/>
      <c r="AEV38" s="1"/>
      <c r="AEW38" s="1"/>
      <c r="AEX38" s="1"/>
      <c r="AEY38" s="1"/>
      <c r="AEZ38" s="1"/>
      <c r="AFA38" s="1"/>
      <c r="AFB38" s="1"/>
      <c r="AFC38" s="1"/>
      <c r="AFD38" s="1"/>
      <c r="AFE38" s="1"/>
      <c r="AFF38" s="1"/>
      <c r="AFG38" s="1"/>
      <c r="AFH38" s="1"/>
      <c r="AFI38" s="1"/>
      <c r="AFJ38" s="1"/>
      <c r="AFK38" s="1"/>
      <c r="AFL38" s="1"/>
      <c r="AFM38" s="1"/>
      <c r="AFN38" s="1"/>
      <c r="AFO38" s="1"/>
      <c r="AFP38" s="1"/>
      <c r="AFQ38" s="1"/>
      <c r="AFR38" s="1"/>
      <c r="AFS38" s="1"/>
      <c r="AFT38" s="1"/>
      <c r="AFU38" s="1"/>
      <c r="AFV38" s="1"/>
      <c r="AFW38" s="1"/>
      <c r="AFX38" s="1"/>
      <c r="AFY38" s="1"/>
      <c r="AFZ38" s="1"/>
      <c r="AGA38" s="1"/>
      <c r="AGB38" s="1"/>
      <c r="AGC38" s="1"/>
      <c r="AGD38" s="1"/>
      <c r="AGE38" s="1"/>
      <c r="AGF38" s="1"/>
      <c r="AGG38" s="1"/>
      <c r="AGH38" s="1"/>
      <c r="AGI38" s="1"/>
      <c r="AGJ38" s="1"/>
      <c r="AGK38" s="1"/>
      <c r="AGL38" s="1"/>
      <c r="AGM38" s="1"/>
      <c r="AGN38" s="1"/>
      <c r="AGO38" s="1"/>
      <c r="AGP38" s="1"/>
      <c r="AGQ38" s="1"/>
      <c r="AGR38" s="1"/>
      <c r="AGS38" s="1"/>
      <c r="AGT38" s="1"/>
      <c r="AGU38" s="1"/>
      <c r="AGV38" s="1"/>
      <c r="AGW38" s="1"/>
      <c r="AGX38" s="1"/>
      <c r="AGY38" s="1"/>
      <c r="AGZ38" s="1"/>
      <c r="AHA38" s="1"/>
      <c r="AHB38" s="1"/>
      <c r="AHC38" s="1"/>
      <c r="AHD38" s="1"/>
      <c r="AHE38" s="1"/>
      <c r="AHF38" s="1"/>
      <c r="AHG38" s="1"/>
      <c r="AHH38" s="1"/>
      <c r="AHI38" s="1"/>
      <c r="AHJ38" s="1"/>
      <c r="AHK38" s="1"/>
      <c r="AHL38" s="1"/>
      <c r="AHM38" s="1"/>
      <c r="AHN38" s="1"/>
      <c r="AHO38" s="1"/>
      <c r="AHP38" s="1"/>
      <c r="AHQ38" s="1"/>
      <c r="AHR38" s="1"/>
      <c r="AHS38" s="1"/>
      <c r="AHT38" s="1"/>
      <c r="AHU38" s="1"/>
      <c r="AHV38" s="1"/>
      <c r="AHW38" s="1"/>
      <c r="AHX38" s="1"/>
      <c r="AHY38" s="1"/>
      <c r="AHZ38" s="1"/>
      <c r="AIA38" s="1"/>
      <c r="AIB38" s="1"/>
      <c r="AIC38" s="1"/>
      <c r="AID38" s="1"/>
      <c r="AIE38" s="1"/>
      <c r="AIF38" s="1"/>
      <c r="AIG38" s="1"/>
      <c r="AIH38" s="1"/>
      <c r="AII38" s="1"/>
      <c r="AIJ38" s="1"/>
      <c r="AIK38" s="1"/>
      <c r="AIL38" s="1"/>
      <c r="AIM38" s="1"/>
      <c r="AIN38" s="1"/>
      <c r="AIO38" s="1"/>
      <c r="AIP38" s="1"/>
      <c r="AIQ38" s="1"/>
      <c r="AIR38" s="1"/>
      <c r="AIS38" s="1"/>
      <c r="AIT38" s="1"/>
      <c r="AIU38" s="1"/>
      <c r="AIV38" s="1"/>
      <c r="AIW38" s="1"/>
      <c r="AIX38" s="1"/>
      <c r="AIY38" s="1"/>
      <c r="AIZ38" s="1"/>
      <c r="AJA38" s="1"/>
      <c r="AJB38" s="1"/>
      <c r="AJC38" s="1"/>
      <c r="AJD38" s="1"/>
      <c r="AJE38" s="1"/>
      <c r="AJF38" s="1"/>
      <c r="AJG38" s="1"/>
      <c r="AJH38" s="1"/>
      <c r="AJI38" s="1"/>
      <c r="AJJ38" s="1"/>
      <c r="AJK38" s="1"/>
      <c r="AJL38" s="1"/>
      <c r="AJM38" s="1"/>
      <c r="AJN38" s="1"/>
      <c r="AJO38" s="1"/>
      <c r="AJP38" s="1"/>
      <c r="AJQ38" s="1"/>
      <c r="AJR38" s="1"/>
      <c r="AJS38" s="1"/>
      <c r="AJT38" s="1"/>
      <c r="AJU38" s="1"/>
      <c r="AJV38" s="1"/>
      <c r="AJW38" s="1"/>
      <c r="AJX38" s="1"/>
      <c r="AJY38" s="1"/>
      <c r="AJZ38" s="1"/>
      <c r="AKA38" s="1"/>
      <c r="AKB38" s="1"/>
      <c r="AKC38" s="1"/>
      <c r="AKD38" s="1"/>
      <c r="AKE38" s="1"/>
      <c r="AKF38" s="1"/>
      <c r="AKG38" s="1"/>
      <c r="AKH38" s="1"/>
      <c r="AKI38" s="1"/>
      <c r="AKJ38" s="1"/>
      <c r="AKK38" s="1"/>
      <c r="AKL38" s="1"/>
      <c r="AKM38" s="1"/>
      <c r="AKN38" s="1"/>
      <c r="AKO38" s="1"/>
      <c r="AKP38" s="1"/>
      <c r="AKQ38" s="1"/>
      <c r="AKR38" s="1"/>
      <c r="AKS38" s="1"/>
      <c r="AKT38" s="1"/>
      <c r="AKU38" s="1"/>
      <c r="AKV38" s="1"/>
      <c r="AKW38" s="1"/>
      <c r="AKX38" s="1"/>
      <c r="AKY38" s="1"/>
      <c r="AKZ38" s="1"/>
      <c r="ALA38" s="1"/>
      <c r="ALB38" s="1"/>
      <c r="ALC38" s="1"/>
      <c r="ALD38" s="1"/>
      <c r="ALE38" s="1"/>
      <c r="ALF38" s="1"/>
      <c r="ALG38" s="1"/>
      <c r="ALH38" s="1"/>
      <c r="ALI38" s="1"/>
      <c r="ALJ38" s="1"/>
      <c r="ALK38" s="1"/>
      <c r="ALL38" s="1"/>
      <c r="ALM38" s="1"/>
      <c r="ALN38" s="1"/>
      <c r="ALO38" s="1"/>
      <c r="ALP38" s="1"/>
      <c r="ALQ38" s="1"/>
      <c r="ALR38" s="1"/>
      <c r="ALS38" s="1"/>
      <c r="ALT38" s="1"/>
      <c r="ALU38" s="1"/>
      <c r="ALV38" s="1"/>
      <c r="ALW38" s="1"/>
      <c r="ALX38" s="1"/>
      <c r="ALY38" s="1"/>
      <c r="ALZ38" s="1"/>
      <c r="AMA38" s="1"/>
      <c r="AMB38" s="1"/>
      <c r="AMC38" s="1"/>
      <c r="AMD38" s="1"/>
      <c r="AME38" s="1"/>
      <c r="AMF38" s="1"/>
      <c r="AMG38" s="1"/>
      <c r="AMH38" s="1"/>
      <c r="AMI38" s="1"/>
      <c r="AMJ38" s="1"/>
      <c r="AMK38" s="1"/>
      <c r="AML38" s="1"/>
      <c r="AMM38" s="1"/>
      <c r="AMN38" s="1"/>
    </row>
    <row r="39" spans="1:1028" x14ac:dyDescent="0.2">
      <c r="A39" s="3" t="str">
        <f t="shared" ref="A39:A70" si="194">CONCATENATE(B39,"_",C39)</f>
        <v>acm2_human_3UON</v>
      </c>
      <c r="B39" s="3" t="s">
        <v>147</v>
      </c>
      <c r="C39" s="3" t="s">
        <v>79</v>
      </c>
      <c r="D39" s="3" t="str">
        <f>IFERROR(MID(VLOOKUP($B39,Seqs!$A:$B,2,0),E39,1),"")</f>
        <v>V</v>
      </c>
      <c r="E39" s="3">
        <v>23</v>
      </c>
      <c r="F39" s="3" t="str">
        <f>IFERROR(MID(VLOOKUP($B39,Seqs!$A:$B,2,0),G39,1),"")</f>
        <v>N</v>
      </c>
      <c r="G39" s="3">
        <v>51</v>
      </c>
      <c r="H39" s="3" t="str">
        <f>IFERROR(MID(VLOOKUP($B39,Seqs!$A:$B,2,0),I39,1),"")</f>
        <v>R</v>
      </c>
      <c r="I39" s="23">
        <v>52</v>
      </c>
      <c r="J39" s="3" t="str">
        <f>IFERROR(MID(VLOOKUP($B39,Seqs!$A:$B,2,0),K39,1),"")</f>
        <v>Q</v>
      </c>
      <c r="K39" s="23">
        <v>55</v>
      </c>
      <c r="L39" s="3" t="str">
        <f>IFERROR(MID(VLOOKUP($B39,Seqs!$A:$B,2,0),M39,1),"")</f>
        <v>T</v>
      </c>
      <c r="M39" s="3">
        <v>56</v>
      </c>
      <c r="N39" s="3" t="str">
        <f>IFERROR(MID(VLOOKUP($B39,Seqs!$A:$B,2,0),O39,1),"")</f>
        <v>I</v>
      </c>
      <c r="O39" s="3">
        <v>86</v>
      </c>
      <c r="P39" s="3" t="str">
        <f>IFERROR(MID(VLOOKUP($B39,Seqs!$A:$B,2,0),Q39,1),"")</f>
        <v>Y</v>
      </c>
      <c r="Q39" s="3">
        <v>88</v>
      </c>
      <c r="R39" s="3" t="str">
        <f>IFERROR(MID(VLOOKUP($B39,Seqs!$A:$B,2,0),S39,1),"")</f>
        <v>L</v>
      </c>
      <c r="S39" s="3">
        <v>91</v>
      </c>
      <c r="T39" s="3" t="str">
        <f>IFERROR(MID(VLOOKUP($B39,Seqs!$A:$B,2,0),U39,1),"")</f>
        <v>G</v>
      </c>
      <c r="U39" s="3">
        <v>92</v>
      </c>
      <c r="V39" s="3" t="str">
        <f>IFERROR(MID(VLOOKUP($B39,Seqs!$A:$B,2,0),W39,1),"")</f>
        <v>K</v>
      </c>
      <c r="W39" s="3">
        <v>127</v>
      </c>
      <c r="X39" s="3" t="str">
        <f>IFERROR(MID(VLOOKUP($B39,Seqs!$A:$B,2,0),Y39,1),"")</f>
        <v>P</v>
      </c>
      <c r="Y39" s="3">
        <v>128</v>
      </c>
      <c r="Z39" s="3" t="str">
        <f>IFERROR(MID(VLOOKUP($B39,Seqs!$A:$B,2,0),AA39,1),"")</f>
        <v>R</v>
      </c>
      <c r="AA39" s="3">
        <v>135</v>
      </c>
      <c r="AB39" s="3" t="str">
        <f>IFERROR(MID(VLOOKUP($B39,Seqs!$A:$B,2,0),AC39,1),"")</f>
        <v>T</v>
      </c>
      <c r="AC39" s="9">
        <v>136</v>
      </c>
      <c r="AD39" s="3" t="str">
        <f>IFERROR(MID(VLOOKUP($B39,Seqs!$A:$B,2,0),AE39,1),"")</f>
        <v>G</v>
      </c>
      <c r="AE39" s="3">
        <v>167</v>
      </c>
      <c r="AF39" s="3" t="str">
        <f>IFERROR(MID(VLOOKUP($B39,Seqs!$A:$B,2,0),AG39,1),"")</f>
        <v>C</v>
      </c>
      <c r="AG39" s="3">
        <v>176</v>
      </c>
      <c r="AH39" s="3" t="str">
        <f>IFERROR(MID(VLOOKUP($B39,Seqs!$A:$B,2,0),AI39,1),"")</f>
        <v>I</v>
      </c>
      <c r="AI39" s="3">
        <v>178</v>
      </c>
      <c r="AJ39" s="3" t="str">
        <f>IFERROR(MID(VLOOKUP($B39,Seqs!$A:$B,2,0),AK39,1),"")</f>
        <v>N</v>
      </c>
      <c r="AK39" s="3">
        <v>183</v>
      </c>
      <c r="AL39" s="3" t="str">
        <f>IFERROR(MID(VLOOKUP($B39,Seqs!$A:$B,2,0),AM39,1),"")</f>
        <v>S</v>
      </c>
      <c r="AM39" s="3">
        <v>213</v>
      </c>
      <c r="AN39" s="3" t="str">
        <f>IFERROR(MID(VLOOKUP($B39,Seqs!$A:$B,2,0),AO39,1),"")</f>
        <v>K</v>
      </c>
      <c r="AO39" s="3">
        <v>384</v>
      </c>
      <c r="AP39" s="3" t="str">
        <f>IFERROR(MID(VLOOKUP($B39,Seqs!$A:$B,2,0),AQ39,1),"")</f>
        <v>C</v>
      </c>
      <c r="AQ39" s="3">
        <v>413</v>
      </c>
      <c r="AR39" s="3" t="str">
        <f>IFERROR(MID(VLOOKUP($B39,Seqs!$A:$B,2,0),AS39,1),"")</f>
        <v>P</v>
      </c>
      <c r="AS39" s="3">
        <v>418</v>
      </c>
      <c r="AT39" s="3" t="str">
        <f>IFERROR(MID(VLOOKUP($B39,Seqs!$A:$B,2,0),AU39,1),"")</f>
        <v>C</v>
      </c>
      <c r="AU39" s="3">
        <v>443</v>
      </c>
      <c r="AV39" s="3" t="str">
        <f>IFERROR(MID(VLOOKUP($B39,Seqs!$A:$B,2,0),AW39,1),"")</f>
        <v>N</v>
      </c>
      <c r="AW39" s="3">
        <v>444</v>
      </c>
      <c r="AX39" s="3" t="str">
        <f>IFERROR(MID(VLOOKUP($B39,Seqs!$A:$B,2,0),AY39,1),"")</f>
        <v>M</v>
      </c>
      <c r="AY39" s="3">
        <v>456</v>
      </c>
      <c r="AZ39" s="79" t="str">
        <f>VLOOKUP(B39,Classification!A:D,2,0)</f>
        <v>A</v>
      </c>
      <c r="BA39" s="97" t="str">
        <f>VLOOKUP(B39,Classification!A:D,4,0)</f>
        <v>Acetylcholine(muscarinic)</v>
      </c>
      <c r="BB39" s="27" t="b">
        <f t="shared" ref="BB39:BB70" si="195">AND(E39&lt;G39,OR(G39&lt;I39,I39="-"),OR(I39&lt;K39,I39="-"),OR(K39&lt;M39,K39="-"),M39&lt;O39,OR(O39&lt;Q39,Q39="-"),OR(Q39&lt;S39,Q39="-"),OR(S39&lt;U39,S39="-"),U39&lt;W39,OR(W39&lt;Y39,Y39="-"),OR(Y39&lt;AA39,Y39="-"),OR(AA39&lt;AC39,AA39="-"),AC39&lt;AE39,OR(AE39&lt;AG39,AG39="-"),OR(AG39&lt;AI39,AG39="-"),OR(AI39&lt;AK39,AI39="-"),AK39&lt;AM39,AM39&lt;AO39,AO39&lt;AQ39,AQ39&lt;AS39,AS39&lt;AU39,OR(AU39&lt;AW39,AW39="-"),OR(AW39&lt;AY39,AW39="-"))</f>
        <v>1</v>
      </c>
      <c r="BC39" s="23">
        <f t="shared" si="84"/>
        <v>247</v>
      </c>
      <c r="BD39" s="16" t="s">
        <v>1383</v>
      </c>
      <c r="BE39" s="3" t="s">
        <v>1381</v>
      </c>
      <c r="BF39" s="50" t="s">
        <v>1384</v>
      </c>
      <c r="BG39" s="50" t="s">
        <v>1384</v>
      </c>
      <c r="BH39" s="1"/>
      <c r="BI39" s="72" t="s">
        <v>1293</v>
      </c>
      <c r="BJ39" s="58" t="s">
        <v>1293</v>
      </c>
      <c r="BK39" s="58" t="s">
        <v>1293</v>
      </c>
      <c r="BL39" s="58" t="s">
        <v>1293</v>
      </c>
      <c r="BM39" s="58" t="s">
        <v>1293</v>
      </c>
      <c r="BN39" s="58" t="s">
        <v>1293</v>
      </c>
      <c r="BO39" s="58" t="s">
        <v>1293</v>
      </c>
      <c r="BP39" s="58" t="s">
        <v>1293</v>
      </c>
      <c r="BQ39" s="58" t="s">
        <v>1293</v>
      </c>
      <c r="BR39" s="58" t="s">
        <v>1293</v>
      </c>
      <c r="BS39" s="58" t="s">
        <v>1293</v>
      </c>
      <c r="BT39" s="58" t="s">
        <v>1293</v>
      </c>
      <c r="BU39" s="72">
        <f t="shared" si="85"/>
        <v>23</v>
      </c>
      <c r="BV39" s="73">
        <f t="shared" si="86"/>
        <v>52</v>
      </c>
      <c r="BW39" s="74">
        <f t="shared" si="87"/>
        <v>56</v>
      </c>
      <c r="BX39" s="73">
        <f t="shared" si="88"/>
        <v>88</v>
      </c>
      <c r="BY39" s="74">
        <f t="shared" si="89"/>
        <v>92</v>
      </c>
      <c r="BZ39" s="73">
        <f t="shared" si="90"/>
        <v>128</v>
      </c>
      <c r="CA39" s="74">
        <f t="shared" si="91"/>
        <v>136</v>
      </c>
      <c r="CB39" s="73">
        <f t="shared" si="92"/>
        <v>176</v>
      </c>
      <c r="CC39" s="74">
        <f t="shared" si="93"/>
        <v>183</v>
      </c>
      <c r="CD39" s="73">
        <f t="shared" si="94"/>
        <v>384</v>
      </c>
      <c r="CE39" s="74">
        <f t="shared" si="95"/>
        <v>418</v>
      </c>
      <c r="CF39" s="73">
        <f t="shared" si="96"/>
        <v>444</v>
      </c>
      <c r="CG39" s="72">
        <f t="shared" si="97"/>
        <v>51</v>
      </c>
      <c r="CH39" s="73">
        <f t="shared" si="98"/>
        <v>55</v>
      </c>
      <c r="CI39" s="74">
        <f t="shared" si="99"/>
        <v>86</v>
      </c>
      <c r="CJ39" s="74">
        <f t="shared" si="100"/>
        <v>91</v>
      </c>
      <c r="CK39" s="74">
        <f t="shared" si="101"/>
        <v>127</v>
      </c>
      <c r="CL39" s="74">
        <f t="shared" si="102"/>
        <v>135</v>
      </c>
      <c r="CM39" s="74">
        <f t="shared" si="103"/>
        <v>167</v>
      </c>
      <c r="CN39" s="74">
        <f t="shared" si="104"/>
        <v>178</v>
      </c>
      <c r="CO39" s="74">
        <f t="shared" si="105"/>
        <v>213</v>
      </c>
      <c r="CP39" s="74">
        <f t="shared" si="106"/>
        <v>413</v>
      </c>
      <c r="CQ39" s="74">
        <f t="shared" si="107"/>
        <v>443</v>
      </c>
      <c r="CR39" s="74">
        <f t="shared" si="108"/>
        <v>456</v>
      </c>
      <c r="CS39" s="23">
        <f t="shared" si="109"/>
        <v>1</v>
      </c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  <c r="OK39" s="1"/>
      <c r="OL39" s="1"/>
      <c r="OM39" s="1"/>
      <c r="ON39" s="1"/>
      <c r="OO39" s="1"/>
      <c r="OP39" s="1"/>
      <c r="OQ39" s="1"/>
      <c r="OR39" s="1"/>
      <c r="OS39" s="1"/>
      <c r="OT39" s="1"/>
      <c r="OU39" s="1"/>
      <c r="OV39" s="1"/>
      <c r="OW39" s="1"/>
      <c r="OX39" s="1"/>
      <c r="OY39" s="1"/>
      <c r="OZ39" s="1"/>
      <c r="PA39" s="1"/>
      <c r="PB39" s="1"/>
      <c r="PC39" s="1"/>
      <c r="PD39" s="1"/>
      <c r="PE39" s="1"/>
      <c r="PF39" s="1"/>
      <c r="PG39" s="1"/>
      <c r="PH39" s="1"/>
      <c r="PI39" s="1"/>
      <c r="PJ39" s="1"/>
      <c r="PK39" s="1"/>
      <c r="PL39" s="1"/>
      <c r="PM39" s="1"/>
      <c r="PN39" s="1"/>
      <c r="PO39" s="1"/>
      <c r="PP39" s="1"/>
      <c r="PQ39" s="1"/>
      <c r="PR39" s="1"/>
      <c r="PS39" s="1"/>
      <c r="PT39" s="1"/>
      <c r="PU39" s="1"/>
      <c r="PV39" s="1"/>
      <c r="PW39" s="1"/>
      <c r="PX39" s="1"/>
      <c r="PY39" s="1"/>
      <c r="PZ39" s="1"/>
      <c r="QA39" s="1"/>
      <c r="QB39" s="1"/>
      <c r="QC39" s="1"/>
      <c r="QD39" s="1"/>
      <c r="QE39" s="1"/>
      <c r="QF39" s="1"/>
      <c r="QG39" s="1"/>
      <c r="QH39" s="1"/>
      <c r="QI39" s="1"/>
      <c r="QJ39" s="1"/>
      <c r="QK39" s="1"/>
      <c r="QL39" s="1"/>
      <c r="QM39" s="1"/>
      <c r="QN39" s="1"/>
      <c r="QO39" s="1"/>
      <c r="QP39" s="1"/>
      <c r="QQ39" s="1"/>
      <c r="QR39" s="1"/>
      <c r="QS39" s="1"/>
      <c r="QT39" s="1"/>
      <c r="QU39" s="1"/>
      <c r="QV39" s="1"/>
      <c r="QW39" s="1"/>
      <c r="QX39" s="1"/>
      <c r="QY39" s="1"/>
      <c r="QZ39" s="1"/>
      <c r="RA39" s="1"/>
      <c r="RB39" s="1"/>
      <c r="RC39" s="1"/>
      <c r="RD39" s="1"/>
      <c r="RE39" s="1"/>
      <c r="RF39" s="1"/>
      <c r="RG39" s="1"/>
      <c r="RH39" s="1"/>
      <c r="RI39" s="1"/>
      <c r="RJ39" s="1"/>
      <c r="RK39" s="1"/>
      <c r="RL39" s="1"/>
      <c r="RM39" s="1"/>
      <c r="RN39" s="1"/>
      <c r="RO39" s="1"/>
      <c r="RP39" s="1"/>
      <c r="RQ39" s="1"/>
      <c r="RR39" s="1"/>
      <c r="RS39" s="1"/>
      <c r="RT39" s="1"/>
      <c r="RU39" s="1"/>
      <c r="RV39" s="1"/>
      <c r="RW39" s="1"/>
      <c r="RX39" s="1"/>
      <c r="RY39" s="1"/>
      <c r="RZ39" s="1"/>
      <c r="SA39" s="1"/>
      <c r="SB39" s="1"/>
      <c r="SC39" s="1"/>
      <c r="SD39" s="1"/>
      <c r="SE39" s="1"/>
      <c r="SF39" s="1"/>
      <c r="SG39" s="1"/>
      <c r="SH39" s="1"/>
      <c r="SI39" s="1"/>
      <c r="SJ39" s="1"/>
      <c r="SK39" s="1"/>
      <c r="SL39" s="1"/>
      <c r="SM39" s="1"/>
      <c r="SN39" s="1"/>
      <c r="SO39" s="1"/>
      <c r="SP39" s="1"/>
      <c r="SQ39" s="1"/>
      <c r="SR39" s="1"/>
      <c r="SS39" s="1"/>
      <c r="ST39" s="1"/>
      <c r="SU39" s="1"/>
      <c r="SV39" s="1"/>
      <c r="SW39" s="1"/>
      <c r="SX39" s="1"/>
      <c r="SY39" s="1"/>
      <c r="SZ39" s="1"/>
      <c r="TA39" s="1"/>
      <c r="TB39" s="1"/>
      <c r="TC39" s="1"/>
      <c r="TD39" s="1"/>
      <c r="TE39" s="1"/>
      <c r="TF39" s="1"/>
      <c r="TG39" s="1"/>
      <c r="TH39" s="1"/>
      <c r="TI39" s="1"/>
      <c r="TJ39" s="1"/>
      <c r="TK39" s="1"/>
      <c r="TL39" s="1"/>
      <c r="TM39" s="1"/>
      <c r="TN39" s="1"/>
      <c r="TO39" s="1"/>
      <c r="TP39" s="1"/>
      <c r="TQ39" s="1"/>
      <c r="TR39" s="1"/>
      <c r="TS39" s="1"/>
      <c r="TT39" s="1"/>
      <c r="TU39" s="1"/>
      <c r="TV39" s="1"/>
      <c r="TW39" s="1"/>
      <c r="TX39" s="1"/>
      <c r="TY39" s="1"/>
      <c r="TZ39" s="1"/>
      <c r="UA39" s="1"/>
      <c r="UB39" s="1"/>
      <c r="UC39" s="1"/>
      <c r="UD39" s="1"/>
      <c r="UE39" s="1"/>
      <c r="UF39" s="1"/>
      <c r="UG39" s="1"/>
      <c r="UH39" s="1"/>
      <c r="UI39" s="1"/>
      <c r="UJ39" s="1"/>
      <c r="UK39" s="1"/>
      <c r="UL39" s="1"/>
      <c r="UM39" s="1"/>
      <c r="UN39" s="1"/>
      <c r="UO39" s="1"/>
      <c r="UP39" s="1"/>
      <c r="UQ39" s="1"/>
      <c r="UR39" s="1"/>
      <c r="US39" s="1"/>
      <c r="UT39" s="1"/>
      <c r="UU39" s="1"/>
      <c r="UV39" s="1"/>
      <c r="UW39" s="1"/>
      <c r="UX39" s="1"/>
      <c r="UY39" s="1"/>
      <c r="UZ39" s="1"/>
      <c r="VA39" s="1"/>
      <c r="VB39" s="1"/>
      <c r="VC39" s="1"/>
      <c r="VD39" s="1"/>
      <c r="VE39" s="1"/>
      <c r="VF39" s="1"/>
      <c r="VG39" s="1"/>
      <c r="VH39" s="1"/>
      <c r="VI39" s="1"/>
      <c r="VJ39" s="1"/>
      <c r="VK39" s="1"/>
      <c r="VL39" s="1"/>
      <c r="VM39" s="1"/>
      <c r="VN39" s="1"/>
      <c r="VO39" s="1"/>
      <c r="VP39" s="1"/>
      <c r="VQ39" s="1"/>
      <c r="VR39" s="1"/>
      <c r="VS39" s="1"/>
      <c r="VT39" s="1"/>
      <c r="VU39" s="1"/>
      <c r="VV39" s="1"/>
      <c r="VW39" s="1"/>
      <c r="VX39" s="1"/>
      <c r="VY39" s="1"/>
      <c r="VZ39" s="1"/>
      <c r="WA39" s="1"/>
      <c r="WB39" s="1"/>
      <c r="WC39" s="1"/>
      <c r="WD39" s="1"/>
      <c r="WE39" s="1"/>
      <c r="WF39" s="1"/>
      <c r="WG39" s="1"/>
      <c r="WH39" s="1"/>
      <c r="WI39" s="1"/>
      <c r="WJ39" s="1"/>
      <c r="WK39" s="1"/>
      <c r="WL39" s="1"/>
      <c r="WM39" s="1"/>
      <c r="WN39" s="1"/>
      <c r="WO39" s="1"/>
      <c r="WP39" s="1"/>
      <c r="WQ39" s="1"/>
      <c r="WR39" s="1"/>
      <c r="WS39" s="1"/>
      <c r="WT39" s="1"/>
      <c r="WU39" s="1"/>
      <c r="WV39" s="1"/>
      <c r="WW39" s="1"/>
      <c r="WX39" s="1"/>
      <c r="WY39" s="1"/>
      <c r="WZ39" s="1"/>
      <c r="XA39" s="1"/>
      <c r="XB39" s="1"/>
      <c r="XC39" s="1"/>
      <c r="XD39" s="1"/>
      <c r="XE39" s="1"/>
      <c r="XF39" s="1"/>
      <c r="XG39" s="1"/>
      <c r="XH39" s="1"/>
      <c r="XI39" s="1"/>
      <c r="XJ39" s="1"/>
      <c r="XK39" s="1"/>
      <c r="XL39" s="1"/>
      <c r="XM39" s="1"/>
      <c r="XN39" s="1"/>
      <c r="XO39" s="1"/>
      <c r="XP39" s="1"/>
      <c r="XQ39" s="1"/>
      <c r="XR39" s="1"/>
      <c r="XS39" s="1"/>
      <c r="XT39" s="1"/>
      <c r="XU39" s="1"/>
      <c r="XV39" s="1"/>
      <c r="XW39" s="1"/>
      <c r="XX39" s="1"/>
      <c r="XY39" s="1"/>
      <c r="XZ39" s="1"/>
      <c r="YA39" s="1"/>
      <c r="YB39" s="1"/>
      <c r="YC39" s="1"/>
      <c r="YD39" s="1"/>
      <c r="YE39" s="1"/>
      <c r="YF39" s="1"/>
      <c r="YG39" s="1"/>
      <c r="YH39" s="1"/>
      <c r="YI39" s="1"/>
      <c r="YJ39" s="1"/>
      <c r="YK39" s="1"/>
      <c r="YL39" s="1"/>
      <c r="YM39" s="1"/>
      <c r="YN39" s="1"/>
      <c r="YO39" s="1"/>
      <c r="YP39" s="1"/>
      <c r="YQ39" s="1"/>
      <c r="YR39" s="1"/>
      <c r="YS39" s="1"/>
      <c r="YT39" s="1"/>
      <c r="YU39" s="1"/>
      <c r="YV39" s="1"/>
      <c r="YW39" s="1"/>
      <c r="YX39" s="1"/>
      <c r="YY39" s="1"/>
      <c r="YZ39" s="1"/>
      <c r="ZA39" s="1"/>
      <c r="ZB39" s="1"/>
      <c r="ZC39" s="1"/>
      <c r="ZD39" s="1"/>
      <c r="ZE39" s="1"/>
      <c r="ZF39" s="1"/>
      <c r="ZG39" s="1"/>
      <c r="ZH39" s="1"/>
      <c r="ZI39" s="1"/>
      <c r="ZJ39" s="1"/>
      <c r="ZK39" s="1"/>
      <c r="ZL39" s="1"/>
      <c r="ZM39" s="1"/>
      <c r="ZN39" s="1"/>
      <c r="ZO39" s="1"/>
      <c r="ZP39" s="1"/>
      <c r="ZQ39" s="1"/>
      <c r="ZR39" s="1"/>
      <c r="ZS39" s="1"/>
      <c r="ZT39" s="1"/>
      <c r="ZU39" s="1"/>
      <c r="ZV39" s="1"/>
      <c r="ZW39" s="1"/>
      <c r="ZX39" s="1"/>
      <c r="ZY39" s="1"/>
      <c r="ZZ39" s="1"/>
      <c r="AAA39" s="1"/>
      <c r="AAB39" s="1"/>
      <c r="AAC39" s="1"/>
      <c r="AAD39" s="1"/>
      <c r="AAE39" s="1"/>
      <c r="AAF39" s="1"/>
      <c r="AAG39" s="1"/>
      <c r="AAH39" s="1"/>
      <c r="AAI39" s="1"/>
      <c r="AAJ39" s="1"/>
      <c r="AAK39" s="1"/>
      <c r="AAL39" s="1"/>
      <c r="AAM39" s="1"/>
      <c r="AAN39" s="1"/>
      <c r="AAO39" s="1"/>
      <c r="AAP39" s="1"/>
      <c r="AAQ39" s="1"/>
      <c r="AAR39" s="1"/>
      <c r="AAS39" s="1"/>
      <c r="AAT39" s="1"/>
      <c r="AAU39" s="1"/>
      <c r="AAV39" s="1"/>
      <c r="AAW39" s="1"/>
      <c r="AAX39" s="1"/>
      <c r="AAY39" s="1"/>
      <c r="AAZ39" s="1"/>
      <c r="ABA39" s="1"/>
      <c r="ABB39" s="1"/>
      <c r="ABC39" s="1"/>
      <c r="ABD39" s="1"/>
      <c r="ABE39" s="1"/>
      <c r="ABF39" s="1"/>
      <c r="ABG39" s="1"/>
      <c r="ABH39" s="1"/>
      <c r="ABI39" s="1"/>
      <c r="ABJ39" s="1"/>
      <c r="ABK39" s="1"/>
      <c r="ABL39" s="1"/>
      <c r="ABM39" s="1"/>
      <c r="ABN39" s="1"/>
      <c r="ABO39" s="1"/>
      <c r="ABP39" s="1"/>
      <c r="ABQ39" s="1"/>
      <c r="ABR39" s="1"/>
      <c r="ABS39" s="1"/>
      <c r="ABT39" s="1"/>
      <c r="ABU39" s="1"/>
      <c r="ABV39" s="1"/>
      <c r="ABW39" s="1"/>
      <c r="ABX39" s="1"/>
      <c r="ABY39" s="1"/>
      <c r="ABZ39" s="1"/>
      <c r="ACA39" s="1"/>
      <c r="ACB39" s="1"/>
      <c r="ACC39" s="1"/>
      <c r="ACD39" s="1"/>
      <c r="ACE39" s="1"/>
      <c r="ACF39" s="1"/>
      <c r="ACG39" s="1"/>
      <c r="ACH39" s="1"/>
      <c r="ACI39" s="1"/>
      <c r="ACJ39" s="1"/>
      <c r="ACK39" s="1"/>
      <c r="ACL39" s="1"/>
      <c r="ACM39" s="1"/>
      <c r="ACN39" s="1"/>
      <c r="ACO39" s="1"/>
      <c r="ACP39" s="1"/>
      <c r="ACQ39" s="1"/>
      <c r="ACR39" s="1"/>
      <c r="ACS39" s="1"/>
      <c r="ACT39" s="1"/>
      <c r="ACU39" s="1"/>
      <c r="ACV39" s="1"/>
      <c r="ACW39" s="1"/>
      <c r="ACX39" s="1"/>
      <c r="ACY39" s="1"/>
      <c r="ACZ39" s="1"/>
      <c r="ADA39" s="1"/>
      <c r="ADB39" s="1"/>
      <c r="ADC39" s="1"/>
      <c r="ADD39" s="1"/>
      <c r="ADE39" s="1"/>
      <c r="ADF39" s="1"/>
      <c r="ADG39" s="1"/>
      <c r="ADH39" s="1"/>
      <c r="ADI39" s="1"/>
      <c r="ADJ39" s="1"/>
      <c r="ADK39" s="1"/>
      <c r="ADL39" s="1"/>
      <c r="ADM39" s="1"/>
      <c r="ADN39" s="1"/>
      <c r="ADO39" s="1"/>
      <c r="ADP39" s="1"/>
      <c r="ADQ39" s="1"/>
      <c r="ADR39" s="1"/>
      <c r="ADS39" s="1"/>
      <c r="ADT39" s="1"/>
      <c r="ADU39" s="1"/>
      <c r="ADV39" s="1"/>
      <c r="ADW39" s="1"/>
      <c r="ADX39" s="1"/>
      <c r="ADY39" s="1"/>
      <c r="ADZ39" s="1"/>
      <c r="AEA39" s="1"/>
      <c r="AEB39" s="1"/>
      <c r="AEC39" s="1"/>
      <c r="AED39" s="1"/>
      <c r="AEE39" s="1"/>
      <c r="AEF39" s="1"/>
      <c r="AEG39" s="1"/>
      <c r="AEH39" s="1"/>
      <c r="AEI39" s="1"/>
      <c r="AEJ39" s="1"/>
      <c r="AEK39" s="1"/>
      <c r="AEL39" s="1"/>
      <c r="AEM39" s="1"/>
      <c r="AEN39" s="1"/>
      <c r="AEO39" s="1"/>
      <c r="AEP39" s="1"/>
      <c r="AEQ39" s="1"/>
      <c r="AER39" s="1"/>
      <c r="AES39" s="1"/>
      <c r="AET39" s="1"/>
      <c r="AEU39" s="1"/>
      <c r="AEV39" s="1"/>
      <c r="AEW39" s="1"/>
      <c r="AEX39" s="1"/>
      <c r="AEY39" s="1"/>
      <c r="AEZ39" s="1"/>
      <c r="AFA39" s="1"/>
      <c r="AFB39" s="1"/>
      <c r="AFC39" s="1"/>
      <c r="AFD39" s="1"/>
      <c r="AFE39" s="1"/>
      <c r="AFF39" s="1"/>
      <c r="AFG39" s="1"/>
      <c r="AFH39" s="1"/>
      <c r="AFI39" s="1"/>
      <c r="AFJ39" s="1"/>
      <c r="AFK39" s="1"/>
      <c r="AFL39" s="1"/>
      <c r="AFM39" s="1"/>
      <c r="AFN39" s="1"/>
      <c r="AFO39" s="1"/>
      <c r="AFP39" s="1"/>
      <c r="AFQ39" s="1"/>
      <c r="AFR39" s="1"/>
      <c r="AFS39" s="1"/>
      <c r="AFT39" s="1"/>
      <c r="AFU39" s="1"/>
      <c r="AFV39" s="1"/>
      <c r="AFW39" s="1"/>
      <c r="AFX39" s="1"/>
      <c r="AFY39" s="1"/>
      <c r="AFZ39" s="1"/>
      <c r="AGA39" s="1"/>
      <c r="AGB39" s="1"/>
      <c r="AGC39" s="1"/>
      <c r="AGD39" s="1"/>
      <c r="AGE39" s="1"/>
      <c r="AGF39" s="1"/>
      <c r="AGG39" s="1"/>
      <c r="AGH39" s="1"/>
      <c r="AGI39" s="1"/>
      <c r="AGJ39" s="1"/>
      <c r="AGK39" s="1"/>
      <c r="AGL39" s="1"/>
      <c r="AGM39" s="1"/>
      <c r="AGN39" s="1"/>
      <c r="AGO39" s="1"/>
      <c r="AGP39" s="1"/>
      <c r="AGQ39" s="1"/>
      <c r="AGR39" s="1"/>
      <c r="AGS39" s="1"/>
      <c r="AGT39" s="1"/>
      <c r="AGU39" s="1"/>
      <c r="AGV39" s="1"/>
      <c r="AGW39" s="1"/>
      <c r="AGX39" s="1"/>
      <c r="AGY39" s="1"/>
      <c r="AGZ39" s="1"/>
      <c r="AHA39" s="1"/>
      <c r="AHB39" s="1"/>
      <c r="AHC39" s="1"/>
      <c r="AHD39" s="1"/>
      <c r="AHE39" s="1"/>
      <c r="AHF39" s="1"/>
      <c r="AHG39" s="1"/>
      <c r="AHH39" s="1"/>
      <c r="AHI39" s="1"/>
      <c r="AHJ39" s="1"/>
      <c r="AHK39" s="1"/>
      <c r="AHL39" s="1"/>
      <c r="AHM39" s="1"/>
      <c r="AHN39" s="1"/>
      <c r="AHO39" s="1"/>
      <c r="AHP39" s="1"/>
      <c r="AHQ39" s="1"/>
      <c r="AHR39" s="1"/>
      <c r="AHS39" s="1"/>
      <c r="AHT39" s="1"/>
      <c r="AHU39" s="1"/>
      <c r="AHV39" s="1"/>
      <c r="AHW39" s="1"/>
      <c r="AHX39" s="1"/>
      <c r="AHY39" s="1"/>
      <c r="AHZ39" s="1"/>
      <c r="AIA39" s="1"/>
      <c r="AIB39" s="1"/>
      <c r="AIC39" s="1"/>
      <c r="AID39" s="1"/>
      <c r="AIE39" s="1"/>
      <c r="AIF39" s="1"/>
      <c r="AIG39" s="1"/>
      <c r="AIH39" s="1"/>
      <c r="AII39" s="1"/>
      <c r="AIJ39" s="1"/>
      <c r="AIK39" s="1"/>
      <c r="AIL39" s="1"/>
      <c r="AIM39" s="1"/>
      <c r="AIN39" s="1"/>
      <c r="AIO39" s="1"/>
      <c r="AIP39" s="1"/>
      <c r="AIQ39" s="1"/>
      <c r="AIR39" s="1"/>
      <c r="AIS39" s="1"/>
      <c r="AIT39" s="1"/>
      <c r="AIU39" s="1"/>
      <c r="AIV39" s="1"/>
      <c r="AIW39" s="1"/>
      <c r="AIX39" s="1"/>
      <c r="AIY39" s="1"/>
      <c r="AIZ39" s="1"/>
      <c r="AJA39" s="1"/>
      <c r="AJB39" s="1"/>
      <c r="AJC39" s="1"/>
      <c r="AJD39" s="1"/>
      <c r="AJE39" s="1"/>
      <c r="AJF39" s="1"/>
      <c r="AJG39" s="1"/>
      <c r="AJH39" s="1"/>
      <c r="AJI39" s="1"/>
      <c r="AJJ39" s="1"/>
      <c r="AJK39" s="1"/>
      <c r="AJL39" s="1"/>
      <c r="AJM39" s="1"/>
      <c r="AJN39" s="1"/>
      <c r="AJO39" s="1"/>
      <c r="AJP39" s="1"/>
      <c r="AJQ39" s="1"/>
      <c r="AJR39" s="1"/>
      <c r="AJS39" s="1"/>
      <c r="AJT39" s="1"/>
      <c r="AJU39" s="1"/>
      <c r="AJV39" s="1"/>
      <c r="AJW39" s="1"/>
      <c r="AJX39" s="1"/>
      <c r="AJY39" s="1"/>
      <c r="AJZ39" s="1"/>
      <c r="AKA39" s="1"/>
      <c r="AKB39" s="1"/>
      <c r="AKC39" s="1"/>
      <c r="AKD39" s="1"/>
      <c r="AKE39" s="1"/>
      <c r="AKF39" s="1"/>
      <c r="AKG39" s="1"/>
      <c r="AKH39" s="1"/>
      <c r="AKI39" s="1"/>
      <c r="AKJ39" s="1"/>
      <c r="AKK39" s="1"/>
      <c r="AKL39" s="1"/>
      <c r="AKM39" s="1"/>
      <c r="AKN39" s="1"/>
      <c r="AKO39" s="1"/>
      <c r="AKP39" s="1"/>
      <c r="AKQ39" s="1"/>
      <c r="AKR39" s="1"/>
      <c r="AKS39" s="1"/>
      <c r="AKT39" s="1"/>
      <c r="AKU39" s="1"/>
      <c r="AKV39" s="1"/>
      <c r="AKW39" s="1"/>
      <c r="AKX39" s="1"/>
      <c r="AKY39" s="1"/>
      <c r="AKZ39" s="1"/>
      <c r="ALA39" s="1"/>
      <c r="ALB39" s="1"/>
      <c r="ALC39" s="1"/>
      <c r="ALD39" s="1"/>
      <c r="ALE39" s="1"/>
      <c r="ALF39" s="1"/>
      <c r="ALG39" s="1"/>
      <c r="ALH39" s="1"/>
      <c r="ALI39" s="1"/>
      <c r="ALJ39" s="1"/>
      <c r="ALK39" s="1"/>
      <c r="ALL39" s="1"/>
      <c r="ALM39" s="1"/>
      <c r="ALN39" s="1"/>
      <c r="ALO39" s="1"/>
      <c r="ALP39" s="1"/>
      <c r="ALQ39" s="1"/>
      <c r="ALR39" s="1"/>
      <c r="ALS39" s="1"/>
      <c r="ALT39" s="1"/>
      <c r="ALU39" s="1"/>
      <c r="ALV39" s="1"/>
      <c r="ALW39" s="1"/>
      <c r="ALX39" s="1"/>
      <c r="ALY39" s="1"/>
      <c r="ALZ39" s="1"/>
      <c r="AMA39" s="1"/>
      <c r="AMB39" s="1"/>
      <c r="AMC39" s="1"/>
      <c r="AMD39" s="1"/>
      <c r="AME39" s="1"/>
      <c r="AMF39" s="1"/>
      <c r="AMG39" s="1"/>
      <c r="AMH39" s="1"/>
      <c r="AMI39" s="1"/>
      <c r="AMJ39" s="1"/>
      <c r="AMK39" s="1"/>
      <c r="AML39" s="1"/>
      <c r="AMM39" s="1"/>
      <c r="AMN39" s="1"/>
    </row>
    <row r="40" spans="1:1028" x14ac:dyDescent="0.2">
      <c r="A40" s="3" t="str">
        <f t="shared" si="194"/>
        <v>acm2_human_4MQS</v>
      </c>
      <c r="B40" s="3" t="s">
        <v>147</v>
      </c>
      <c r="C40" s="3" t="s">
        <v>68</v>
      </c>
      <c r="D40" s="3" t="str">
        <f>IFERROR(MID(VLOOKUP($B40,Seqs!$A:$B,2,0),E40,1),"")</f>
        <v>K</v>
      </c>
      <c r="E40" s="3">
        <v>19</v>
      </c>
      <c r="F40" s="3" t="str">
        <f>IFERROR(MID(VLOOKUP($B40,Seqs!$A:$B,2,0),G40,1),"")</f>
        <v>N</v>
      </c>
      <c r="G40" s="3">
        <v>51</v>
      </c>
      <c r="H40" s="3" t="str">
        <f>IFERROR(MID(VLOOKUP($B40,Seqs!$A:$B,2,0),I40,1),"")</f>
        <v>R</v>
      </c>
      <c r="I40" s="23">
        <v>52</v>
      </c>
      <c r="J40" s="3" t="str">
        <f>IFERROR(MID(VLOOKUP($B40,Seqs!$A:$B,2,0),K40,1),"")</f>
        <v>Q</v>
      </c>
      <c r="K40" s="23">
        <v>55</v>
      </c>
      <c r="L40" s="3" t="str">
        <f>IFERROR(MID(VLOOKUP($B40,Seqs!$A:$B,2,0),M40,1),"")</f>
        <v>T</v>
      </c>
      <c r="M40" s="3">
        <v>56</v>
      </c>
      <c r="N40" s="3" t="str">
        <f>IFERROR(MID(VLOOKUP($B40,Seqs!$A:$B,2,0),O40,1),"")</f>
        <v>I</v>
      </c>
      <c r="O40" s="3">
        <v>86</v>
      </c>
      <c r="P40" s="3" t="str">
        <f>IFERROR(MID(VLOOKUP($B40,Seqs!$A:$B,2,0),Q40,1),"")</f>
        <v>Y</v>
      </c>
      <c r="Q40" s="3">
        <v>88</v>
      </c>
      <c r="R40" s="3" t="str">
        <f>IFERROR(MID(VLOOKUP($B40,Seqs!$A:$B,2,0),S40,1),"")</f>
        <v>L</v>
      </c>
      <c r="S40" s="3">
        <v>91</v>
      </c>
      <c r="T40" s="3" t="str">
        <f>IFERROR(MID(VLOOKUP($B40,Seqs!$A:$B,2,0),U40,1),"")</f>
        <v>G</v>
      </c>
      <c r="U40" s="3">
        <v>92</v>
      </c>
      <c r="V40" s="3" t="str">
        <f>IFERROR(MID(VLOOKUP($B40,Seqs!$A:$B,2,0),W40,1),"")</f>
        <v>K</v>
      </c>
      <c r="W40" s="3">
        <v>127</v>
      </c>
      <c r="X40" s="3" t="str">
        <f>IFERROR(MID(VLOOKUP($B40,Seqs!$A:$B,2,0),Y40,1),"")</f>
        <v>P</v>
      </c>
      <c r="Y40" s="3">
        <v>128</v>
      </c>
      <c r="Z40" s="3" t="str">
        <f>IFERROR(MID(VLOOKUP($B40,Seqs!$A:$B,2,0),AA40,1),"")</f>
        <v>R</v>
      </c>
      <c r="AA40" s="3">
        <v>135</v>
      </c>
      <c r="AB40" s="3" t="str">
        <f>IFERROR(MID(VLOOKUP($B40,Seqs!$A:$B,2,0),AC40,1),"")</f>
        <v>T</v>
      </c>
      <c r="AC40" s="9">
        <v>136</v>
      </c>
      <c r="AD40" s="3" t="str">
        <f>IFERROR(MID(VLOOKUP($B40,Seqs!$A:$B,2,0),AE40,1),"")</f>
        <v>G</v>
      </c>
      <c r="AE40" s="3">
        <v>167</v>
      </c>
      <c r="AF40" s="3" t="str">
        <f>IFERROR(MID(VLOOKUP($B40,Seqs!$A:$B,2,0),AG40,1),"")</f>
        <v>C</v>
      </c>
      <c r="AG40" s="3">
        <v>176</v>
      </c>
      <c r="AH40" s="3" t="str">
        <f>IFERROR(MID(VLOOKUP($B40,Seqs!$A:$B,2,0),AI40,1),"")</f>
        <v>I</v>
      </c>
      <c r="AI40" s="3">
        <v>178</v>
      </c>
      <c r="AJ40" s="3" t="str">
        <f>IFERROR(MID(VLOOKUP($B40,Seqs!$A:$B,2,0),AK40,1),"")</f>
        <v>N</v>
      </c>
      <c r="AK40" s="3">
        <v>183</v>
      </c>
      <c r="AL40" s="3" t="str">
        <f>IFERROR(MID(VLOOKUP($B40,Seqs!$A:$B,2,0),AM40,1),"")</f>
        <v>K</v>
      </c>
      <c r="AM40" s="3">
        <v>214</v>
      </c>
      <c r="AN40" s="3" t="str">
        <f>IFERROR(MID(VLOOKUP($B40,Seqs!$A:$B,2,0),AO40,1),"")</f>
        <v>S</v>
      </c>
      <c r="AO40" s="3">
        <v>380</v>
      </c>
      <c r="AP40" s="3" t="str">
        <f>IFERROR(MID(VLOOKUP($B40,Seqs!$A:$B,2,0),AQ40,1),"")</f>
        <v>C</v>
      </c>
      <c r="AQ40" s="3">
        <v>413</v>
      </c>
      <c r="AR40" s="3" t="str">
        <f>IFERROR(MID(VLOOKUP($B40,Seqs!$A:$B,2,0),AS40,1),"")</f>
        <v>P</v>
      </c>
      <c r="AS40" s="3">
        <v>418</v>
      </c>
      <c r="AT40" s="3" t="str">
        <f>IFERROR(MID(VLOOKUP($B40,Seqs!$A:$B,2,0),AU40,1),"")</f>
        <v>C</v>
      </c>
      <c r="AU40" s="3">
        <v>443</v>
      </c>
      <c r="AV40" s="3" t="str">
        <f>IFERROR(MID(VLOOKUP($B40,Seqs!$A:$B,2,0),AW40,1),"")</f>
        <v>N</v>
      </c>
      <c r="AW40" s="3">
        <v>444</v>
      </c>
      <c r="AX40" s="3" t="str">
        <f>IFERROR(MID(VLOOKUP($B40,Seqs!$A:$B,2,0),AY40,1),"")</f>
        <v>M</v>
      </c>
      <c r="AY40" s="3">
        <v>456</v>
      </c>
      <c r="AZ40" s="79" t="str">
        <f>VLOOKUP(B40,Classification!A:D,2,0)</f>
        <v>A</v>
      </c>
      <c r="BA40" s="97" t="str">
        <f>VLOOKUP(B40,Classification!A:D,4,0)</f>
        <v>Acetylcholine(muscarinic)</v>
      </c>
      <c r="BB40" s="27" t="b">
        <f t="shared" si="195"/>
        <v>1</v>
      </c>
      <c r="BC40" s="23">
        <f t="shared" si="84"/>
        <v>256</v>
      </c>
      <c r="BD40" s="4" t="s">
        <v>23</v>
      </c>
      <c r="BE40" s="3" t="s">
        <v>1297</v>
      </c>
      <c r="BF40" s="50" t="s">
        <v>1384</v>
      </c>
      <c r="BG40" s="50" t="s">
        <v>1384</v>
      </c>
      <c r="BH40" s="1"/>
      <c r="BI40" s="72" t="s">
        <v>1293</v>
      </c>
      <c r="BJ40" s="58" t="s">
        <v>1293</v>
      </c>
      <c r="BK40" s="58" t="s">
        <v>1293</v>
      </c>
      <c r="BL40" s="58" t="s">
        <v>1293</v>
      </c>
      <c r="BM40" s="58" t="s">
        <v>1293</v>
      </c>
      <c r="BN40" s="58" t="s">
        <v>1293</v>
      </c>
      <c r="BO40" s="58" t="s">
        <v>1293</v>
      </c>
      <c r="BP40" s="58" t="s">
        <v>1293</v>
      </c>
      <c r="BQ40" s="58" t="s">
        <v>1293</v>
      </c>
      <c r="BR40" s="58" t="s">
        <v>1293</v>
      </c>
      <c r="BS40" s="58" t="s">
        <v>1293</v>
      </c>
      <c r="BT40" s="58" t="s">
        <v>1293</v>
      </c>
      <c r="BU40" s="72">
        <f t="shared" si="85"/>
        <v>19</v>
      </c>
      <c r="BV40" s="73">
        <f t="shared" si="86"/>
        <v>52</v>
      </c>
      <c r="BW40" s="74">
        <f t="shared" si="87"/>
        <v>56</v>
      </c>
      <c r="BX40" s="73">
        <f t="shared" si="88"/>
        <v>88</v>
      </c>
      <c r="BY40" s="74">
        <f t="shared" si="89"/>
        <v>92</v>
      </c>
      <c r="BZ40" s="73">
        <f t="shared" si="90"/>
        <v>128</v>
      </c>
      <c r="CA40" s="74">
        <f t="shared" si="91"/>
        <v>136</v>
      </c>
      <c r="CB40" s="73">
        <f t="shared" si="92"/>
        <v>176</v>
      </c>
      <c r="CC40" s="74">
        <f t="shared" si="93"/>
        <v>183</v>
      </c>
      <c r="CD40" s="73">
        <f t="shared" si="94"/>
        <v>380</v>
      </c>
      <c r="CE40" s="74">
        <f t="shared" si="95"/>
        <v>418</v>
      </c>
      <c r="CF40" s="73">
        <f t="shared" si="96"/>
        <v>444</v>
      </c>
      <c r="CG40" s="72">
        <f t="shared" si="97"/>
        <v>51</v>
      </c>
      <c r="CH40" s="73">
        <f t="shared" si="98"/>
        <v>55</v>
      </c>
      <c r="CI40" s="74">
        <f t="shared" si="99"/>
        <v>86</v>
      </c>
      <c r="CJ40" s="74">
        <f t="shared" si="100"/>
        <v>91</v>
      </c>
      <c r="CK40" s="74">
        <f t="shared" si="101"/>
        <v>127</v>
      </c>
      <c r="CL40" s="74">
        <f t="shared" si="102"/>
        <v>135</v>
      </c>
      <c r="CM40" s="74">
        <f t="shared" si="103"/>
        <v>167</v>
      </c>
      <c r="CN40" s="74">
        <f t="shared" si="104"/>
        <v>178</v>
      </c>
      <c r="CO40" s="74">
        <f t="shared" si="105"/>
        <v>214</v>
      </c>
      <c r="CP40" s="74">
        <f t="shared" si="106"/>
        <v>413</v>
      </c>
      <c r="CQ40" s="74">
        <f t="shared" si="107"/>
        <v>443</v>
      </c>
      <c r="CR40" s="74">
        <f t="shared" si="108"/>
        <v>456</v>
      </c>
      <c r="CS40" s="23">
        <f t="shared" si="109"/>
        <v>1</v>
      </c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  <c r="OK40" s="1"/>
      <c r="OL40" s="1"/>
      <c r="OM40" s="1"/>
      <c r="ON40" s="1"/>
      <c r="OO40" s="1"/>
      <c r="OP40" s="1"/>
      <c r="OQ40" s="1"/>
      <c r="OR40" s="1"/>
      <c r="OS40" s="1"/>
      <c r="OT40" s="1"/>
      <c r="OU40" s="1"/>
      <c r="OV40" s="1"/>
      <c r="OW40" s="1"/>
      <c r="OX40" s="1"/>
      <c r="OY40" s="1"/>
      <c r="OZ40" s="1"/>
      <c r="PA40" s="1"/>
      <c r="PB40" s="1"/>
      <c r="PC40" s="1"/>
      <c r="PD40" s="1"/>
      <c r="PE40" s="1"/>
      <c r="PF40" s="1"/>
      <c r="PG40" s="1"/>
      <c r="PH40" s="1"/>
      <c r="PI40" s="1"/>
      <c r="PJ40" s="1"/>
      <c r="PK40" s="1"/>
      <c r="PL40" s="1"/>
      <c r="PM40" s="1"/>
      <c r="PN40" s="1"/>
      <c r="PO40" s="1"/>
      <c r="PP40" s="1"/>
      <c r="PQ40" s="1"/>
      <c r="PR40" s="1"/>
      <c r="PS40" s="1"/>
      <c r="PT40" s="1"/>
      <c r="PU40" s="1"/>
      <c r="PV40" s="1"/>
      <c r="PW40" s="1"/>
      <c r="PX40" s="1"/>
      <c r="PY40" s="1"/>
      <c r="PZ40" s="1"/>
      <c r="QA40" s="1"/>
      <c r="QB40" s="1"/>
      <c r="QC40" s="1"/>
      <c r="QD40" s="1"/>
      <c r="QE40" s="1"/>
      <c r="QF40" s="1"/>
      <c r="QG40" s="1"/>
      <c r="QH40" s="1"/>
      <c r="QI40" s="1"/>
      <c r="QJ40" s="1"/>
      <c r="QK40" s="1"/>
      <c r="QL40" s="1"/>
      <c r="QM40" s="1"/>
      <c r="QN40" s="1"/>
      <c r="QO40" s="1"/>
      <c r="QP40" s="1"/>
      <c r="QQ40" s="1"/>
      <c r="QR40" s="1"/>
      <c r="QS40" s="1"/>
      <c r="QT40" s="1"/>
      <c r="QU40" s="1"/>
      <c r="QV40" s="1"/>
      <c r="QW40" s="1"/>
      <c r="QX40" s="1"/>
      <c r="QY40" s="1"/>
      <c r="QZ40" s="1"/>
      <c r="RA40" s="1"/>
      <c r="RB40" s="1"/>
      <c r="RC40" s="1"/>
      <c r="RD40" s="1"/>
      <c r="RE40" s="1"/>
      <c r="RF40" s="1"/>
      <c r="RG40" s="1"/>
      <c r="RH40" s="1"/>
      <c r="RI40" s="1"/>
      <c r="RJ40" s="1"/>
      <c r="RK40" s="1"/>
      <c r="RL40" s="1"/>
      <c r="RM40" s="1"/>
      <c r="RN40" s="1"/>
      <c r="RO40" s="1"/>
      <c r="RP40" s="1"/>
      <c r="RQ40" s="1"/>
      <c r="RR40" s="1"/>
      <c r="RS40" s="1"/>
      <c r="RT40" s="1"/>
      <c r="RU40" s="1"/>
      <c r="RV40" s="1"/>
      <c r="RW40" s="1"/>
      <c r="RX40" s="1"/>
      <c r="RY40" s="1"/>
      <c r="RZ40" s="1"/>
      <c r="SA40" s="1"/>
      <c r="SB40" s="1"/>
      <c r="SC40" s="1"/>
      <c r="SD40" s="1"/>
      <c r="SE40" s="1"/>
      <c r="SF40" s="1"/>
      <c r="SG40" s="1"/>
      <c r="SH40" s="1"/>
      <c r="SI40" s="1"/>
      <c r="SJ40" s="1"/>
      <c r="SK40" s="1"/>
      <c r="SL40" s="1"/>
      <c r="SM40" s="1"/>
      <c r="SN40" s="1"/>
      <c r="SO40" s="1"/>
      <c r="SP40" s="1"/>
      <c r="SQ40" s="1"/>
      <c r="SR40" s="1"/>
      <c r="SS40" s="1"/>
      <c r="ST40" s="1"/>
      <c r="SU40" s="1"/>
      <c r="SV40" s="1"/>
      <c r="SW40" s="1"/>
      <c r="SX40" s="1"/>
      <c r="SY40" s="1"/>
      <c r="SZ40" s="1"/>
      <c r="TA40" s="1"/>
      <c r="TB40" s="1"/>
      <c r="TC40" s="1"/>
      <c r="TD40" s="1"/>
      <c r="TE40" s="1"/>
      <c r="TF40" s="1"/>
      <c r="TG40" s="1"/>
      <c r="TH40" s="1"/>
      <c r="TI40" s="1"/>
      <c r="TJ40" s="1"/>
      <c r="TK40" s="1"/>
      <c r="TL40" s="1"/>
      <c r="TM40" s="1"/>
      <c r="TN40" s="1"/>
      <c r="TO40" s="1"/>
      <c r="TP40" s="1"/>
      <c r="TQ40" s="1"/>
      <c r="TR40" s="1"/>
      <c r="TS40" s="1"/>
      <c r="TT40" s="1"/>
      <c r="TU40" s="1"/>
      <c r="TV40" s="1"/>
      <c r="TW40" s="1"/>
      <c r="TX40" s="1"/>
      <c r="TY40" s="1"/>
      <c r="TZ40" s="1"/>
      <c r="UA40" s="1"/>
      <c r="UB40" s="1"/>
      <c r="UC40" s="1"/>
      <c r="UD40" s="1"/>
      <c r="UE40" s="1"/>
      <c r="UF40" s="1"/>
      <c r="UG40" s="1"/>
      <c r="UH40" s="1"/>
      <c r="UI40" s="1"/>
      <c r="UJ40" s="1"/>
      <c r="UK40" s="1"/>
      <c r="UL40" s="1"/>
      <c r="UM40" s="1"/>
      <c r="UN40" s="1"/>
      <c r="UO40" s="1"/>
      <c r="UP40" s="1"/>
      <c r="UQ40" s="1"/>
      <c r="UR40" s="1"/>
      <c r="US40" s="1"/>
      <c r="UT40" s="1"/>
      <c r="UU40" s="1"/>
      <c r="UV40" s="1"/>
      <c r="UW40" s="1"/>
      <c r="UX40" s="1"/>
      <c r="UY40" s="1"/>
      <c r="UZ40" s="1"/>
      <c r="VA40" s="1"/>
      <c r="VB40" s="1"/>
      <c r="VC40" s="1"/>
      <c r="VD40" s="1"/>
      <c r="VE40" s="1"/>
      <c r="VF40" s="1"/>
      <c r="VG40" s="1"/>
      <c r="VH40" s="1"/>
      <c r="VI40" s="1"/>
      <c r="VJ40" s="1"/>
      <c r="VK40" s="1"/>
      <c r="VL40" s="1"/>
      <c r="VM40" s="1"/>
      <c r="VN40" s="1"/>
      <c r="VO40" s="1"/>
      <c r="VP40" s="1"/>
      <c r="VQ40" s="1"/>
      <c r="VR40" s="1"/>
      <c r="VS40" s="1"/>
      <c r="VT40" s="1"/>
      <c r="VU40" s="1"/>
      <c r="VV40" s="1"/>
      <c r="VW40" s="1"/>
      <c r="VX40" s="1"/>
      <c r="VY40" s="1"/>
      <c r="VZ40" s="1"/>
      <c r="WA40" s="1"/>
      <c r="WB40" s="1"/>
      <c r="WC40" s="1"/>
      <c r="WD40" s="1"/>
      <c r="WE40" s="1"/>
      <c r="WF40" s="1"/>
      <c r="WG40" s="1"/>
      <c r="WH40" s="1"/>
      <c r="WI40" s="1"/>
      <c r="WJ40" s="1"/>
      <c r="WK40" s="1"/>
      <c r="WL40" s="1"/>
      <c r="WM40" s="1"/>
      <c r="WN40" s="1"/>
      <c r="WO40" s="1"/>
      <c r="WP40" s="1"/>
      <c r="WQ40" s="1"/>
      <c r="WR40" s="1"/>
      <c r="WS40" s="1"/>
      <c r="WT40" s="1"/>
      <c r="WU40" s="1"/>
      <c r="WV40" s="1"/>
      <c r="WW40" s="1"/>
      <c r="WX40" s="1"/>
      <c r="WY40" s="1"/>
      <c r="WZ40" s="1"/>
      <c r="XA40" s="1"/>
      <c r="XB40" s="1"/>
      <c r="XC40" s="1"/>
      <c r="XD40" s="1"/>
      <c r="XE40" s="1"/>
      <c r="XF40" s="1"/>
      <c r="XG40" s="1"/>
      <c r="XH40" s="1"/>
      <c r="XI40" s="1"/>
      <c r="XJ40" s="1"/>
      <c r="XK40" s="1"/>
      <c r="XL40" s="1"/>
      <c r="XM40" s="1"/>
      <c r="XN40" s="1"/>
      <c r="XO40" s="1"/>
      <c r="XP40" s="1"/>
      <c r="XQ40" s="1"/>
      <c r="XR40" s="1"/>
      <c r="XS40" s="1"/>
      <c r="XT40" s="1"/>
      <c r="XU40" s="1"/>
      <c r="XV40" s="1"/>
      <c r="XW40" s="1"/>
      <c r="XX40" s="1"/>
      <c r="XY40" s="1"/>
      <c r="XZ40" s="1"/>
      <c r="YA40" s="1"/>
      <c r="YB40" s="1"/>
      <c r="YC40" s="1"/>
      <c r="YD40" s="1"/>
      <c r="YE40" s="1"/>
      <c r="YF40" s="1"/>
      <c r="YG40" s="1"/>
      <c r="YH40" s="1"/>
      <c r="YI40" s="1"/>
      <c r="YJ40" s="1"/>
      <c r="YK40" s="1"/>
      <c r="YL40" s="1"/>
      <c r="YM40" s="1"/>
      <c r="YN40" s="1"/>
      <c r="YO40" s="1"/>
      <c r="YP40" s="1"/>
      <c r="YQ40" s="1"/>
      <c r="YR40" s="1"/>
      <c r="YS40" s="1"/>
      <c r="YT40" s="1"/>
      <c r="YU40" s="1"/>
      <c r="YV40" s="1"/>
      <c r="YW40" s="1"/>
      <c r="YX40" s="1"/>
      <c r="YY40" s="1"/>
      <c r="YZ40" s="1"/>
      <c r="ZA40" s="1"/>
      <c r="ZB40" s="1"/>
      <c r="ZC40" s="1"/>
      <c r="ZD40" s="1"/>
      <c r="ZE40" s="1"/>
      <c r="ZF40" s="1"/>
      <c r="ZG40" s="1"/>
      <c r="ZH40" s="1"/>
      <c r="ZI40" s="1"/>
      <c r="ZJ40" s="1"/>
      <c r="ZK40" s="1"/>
      <c r="ZL40" s="1"/>
      <c r="ZM40" s="1"/>
      <c r="ZN40" s="1"/>
      <c r="ZO40" s="1"/>
      <c r="ZP40" s="1"/>
      <c r="ZQ40" s="1"/>
      <c r="ZR40" s="1"/>
      <c r="ZS40" s="1"/>
      <c r="ZT40" s="1"/>
      <c r="ZU40" s="1"/>
      <c r="ZV40" s="1"/>
      <c r="ZW40" s="1"/>
      <c r="ZX40" s="1"/>
      <c r="ZY40" s="1"/>
      <c r="ZZ40" s="1"/>
      <c r="AAA40" s="1"/>
      <c r="AAB40" s="1"/>
      <c r="AAC40" s="1"/>
      <c r="AAD40" s="1"/>
      <c r="AAE40" s="1"/>
      <c r="AAF40" s="1"/>
      <c r="AAG40" s="1"/>
      <c r="AAH40" s="1"/>
      <c r="AAI40" s="1"/>
      <c r="AAJ40" s="1"/>
      <c r="AAK40" s="1"/>
      <c r="AAL40" s="1"/>
      <c r="AAM40" s="1"/>
      <c r="AAN40" s="1"/>
      <c r="AAO40" s="1"/>
      <c r="AAP40" s="1"/>
      <c r="AAQ40" s="1"/>
      <c r="AAR40" s="1"/>
      <c r="AAS40" s="1"/>
      <c r="AAT40" s="1"/>
      <c r="AAU40" s="1"/>
      <c r="AAV40" s="1"/>
      <c r="AAW40" s="1"/>
      <c r="AAX40" s="1"/>
      <c r="AAY40" s="1"/>
      <c r="AAZ40" s="1"/>
      <c r="ABA40" s="1"/>
      <c r="ABB40" s="1"/>
      <c r="ABC40" s="1"/>
      <c r="ABD40" s="1"/>
      <c r="ABE40" s="1"/>
      <c r="ABF40" s="1"/>
      <c r="ABG40" s="1"/>
      <c r="ABH40" s="1"/>
      <c r="ABI40" s="1"/>
      <c r="ABJ40" s="1"/>
      <c r="ABK40" s="1"/>
      <c r="ABL40" s="1"/>
      <c r="ABM40" s="1"/>
      <c r="ABN40" s="1"/>
      <c r="ABO40" s="1"/>
      <c r="ABP40" s="1"/>
      <c r="ABQ40" s="1"/>
      <c r="ABR40" s="1"/>
      <c r="ABS40" s="1"/>
      <c r="ABT40" s="1"/>
      <c r="ABU40" s="1"/>
      <c r="ABV40" s="1"/>
      <c r="ABW40" s="1"/>
      <c r="ABX40" s="1"/>
      <c r="ABY40" s="1"/>
      <c r="ABZ40" s="1"/>
      <c r="ACA40" s="1"/>
      <c r="ACB40" s="1"/>
      <c r="ACC40" s="1"/>
      <c r="ACD40" s="1"/>
      <c r="ACE40" s="1"/>
      <c r="ACF40" s="1"/>
      <c r="ACG40" s="1"/>
      <c r="ACH40" s="1"/>
      <c r="ACI40" s="1"/>
      <c r="ACJ40" s="1"/>
      <c r="ACK40" s="1"/>
      <c r="ACL40" s="1"/>
      <c r="ACM40" s="1"/>
      <c r="ACN40" s="1"/>
      <c r="ACO40" s="1"/>
      <c r="ACP40" s="1"/>
      <c r="ACQ40" s="1"/>
      <c r="ACR40" s="1"/>
      <c r="ACS40" s="1"/>
      <c r="ACT40" s="1"/>
      <c r="ACU40" s="1"/>
      <c r="ACV40" s="1"/>
      <c r="ACW40" s="1"/>
      <c r="ACX40" s="1"/>
      <c r="ACY40" s="1"/>
      <c r="ACZ40" s="1"/>
      <c r="ADA40" s="1"/>
      <c r="ADB40" s="1"/>
      <c r="ADC40" s="1"/>
      <c r="ADD40" s="1"/>
      <c r="ADE40" s="1"/>
      <c r="ADF40" s="1"/>
      <c r="ADG40" s="1"/>
      <c r="ADH40" s="1"/>
      <c r="ADI40" s="1"/>
      <c r="ADJ40" s="1"/>
      <c r="ADK40" s="1"/>
      <c r="ADL40" s="1"/>
      <c r="ADM40" s="1"/>
      <c r="ADN40" s="1"/>
      <c r="ADO40" s="1"/>
      <c r="ADP40" s="1"/>
      <c r="ADQ40" s="1"/>
      <c r="ADR40" s="1"/>
      <c r="ADS40" s="1"/>
      <c r="ADT40" s="1"/>
      <c r="ADU40" s="1"/>
      <c r="ADV40" s="1"/>
      <c r="ADW40" s="1"/>
      <c r="ADX40" s="1"/>
      <c r="ADY40" s="1"/>
      <c r="ADZ40" s="1"/>
      <c r="AEA40" s="1"/>
      <c r="AEB40" s="1"/>
      <c r="AEC40" s="1"/>
      <c r="AED40" s="1"/>
      <c r="AEE40" s="1"/>
      <c r="AEF40" s="1"/>
      <c r="AEG40" s="1"/>
      <c r="AEH40" s="1"/>
      <c r="AEI40" s="1"/>
      <c r="AEJ40" s="1"/>
      <c r="AEK40" s="1"/>
      <c r="AEL40" s="1"/>
      <c r="AEM40" s="1"/>
      <c r="AEN40" s="1"/>
      <c r="AEO40" s="1"/>
      <c r="AEP40" s="1"/>
      <c r="AEQ40" s="1"/>
      <c r="AER40" s="1"/>
      <c r="AES40" s="1"/>
      <c r="AET40" s="1"/>
      <c r="AEU40" s="1"/>
      <c r="AEV40" s="1"/>
      <c r="AEW40" s="1"/>
      <c r="AEX40" s="1"/>
      <c r="AEY40" s="1"/>
      <c r="AEZ40" s="1"/>
      <c r="AFA40" s="1"/>
      <c r="AFB40" s="1"/>
      <c r="AFC40" s="1"/>
      <c r="AFD40" s="1"/>
      <c r="AFE40" s="1"/>
      <c r="AFF40" s="1"/>
      <c r="AFG40" s="1"/>
      <c r="AFH40" s="1"/>
      <c r="AFI40" s="1"/>
      <c r="AFJ40" s="1"/>
      <c r="AFK40" s="1"/>
      <c r="AFL40" s="1"/>
      <c r="AFM40" s="1"/>
      <c r="AFN40" s="1"/>
      <c r="AFO40" s="1"/>
      <c r="AFP40" s="1"/>
      <c r="AFQ40" s="1"/>
      <c r="AFR40" s="1"/>
      <c r="AFS40" s="1"/>
      <c r="AFT40" s="1"/>
      <c r="AFU40" s="1"/>
      <c r="AFV40" s="1"/>
      <c r="AFW40" s="1"/>
      <c r="AFX40" s="1"/>
      <c r="AFY40" s="1"/>
      <c r="AFZ40" s="1"/>
      <c r="AGA40" s="1"/>
      <c r="AGB40" s="1"/>
      <c r="AGC40" s="1"/>
      <c r="AGD40" s="1"/>
      <c r="AGE40" s="1"/>
      <c r="AGF40" s="1"/>
      <c r="AGG40" s="1"/>
      <c r="AGH40" s="1"/>
      <c r="AGI40" s="1"/>
      <c r="AGJ40" s="1"/>
      <c r="AGK40" s="1"/>
      <c r="AGL40" s="1"/>
      <c r="AGM40" s="1"/>
      <c r="AGN40" s="1"/>
      <c r="AGO40" s="1"/>
      <c r="AGP40" s="1"/>
      <c r="AGQ40" s="1"/>
      <c r="AGR40" s="1"/>
      <c r="AGS40" s="1"/>
      <c r="AGT40" s="1"/>
      <c r="AGU40" s="1"/>
      <c r="AGV40" s="1"/>
      <c r="AGW40" s="1"/>
      <c r="AGX40" s="1"/>
      <c r="AGY40" s="1"/>
      <c r="AGZ40" s="1"/>
      <c r="AHA40" s="1"/>
      <c r="AHB40" s="1"/>
      <c r="AHC40" s="1"/>
      <c r="AHD40" s="1"/>
      <c r="AHE40" s="1"/>
      <c r="AHF40" s="1"/>
      <c r="AHG40" s="1"/>
      <c r="AHH40" s="1"/>
      <c r="AHI40" s="1"/>
      <c r="AHJ40" s="1"/>
      <c r="AHK40" s="1"/>
      <c r="AHL40" s="1"/>
      <c r="AHM40" s="1"/>
      <c r="AHN40" s="1"/>
      <c r="AHO40" s="1"/>
      <c r="AHP40" s="1"/>
      <c r="AHQ40" s="1"/>
      <c r="AHR40" s="1"/>
      <c r="AHS40" s="1"/>
      <c r="AHT40" s="1"/>
      <c r="AHU40" s="1"/>
      <c r="AHV40" s="1"/>
      <c r="AHW40" s="1"/>
      <c r="AHX40" s="1"/>
      <c r="AHY40" s="1"/>
      <c r="AHZ40" s="1"/>
      <c r="AIA40" s="1"/>
      <c r="AIB40" s="1"/>
      <c r="AIC40" s="1"/>
      <c r="AID40" s="1"/>
      <c r="AIE40" s="1"/>
      <c r="AIF40" s="1"/>
      <c r="AIG40" s="1"/>
      <c r="AIH40" s="1"/>
      <c r="AII40" s="1"/>
      <c r="AIJ40" s="1"/>
      <c r="AIK40" s="1"/>
      <c r="AIL40" s="1"/>
      <c r="AIM40" s="1"/>
      <c r="AIN40" s="1"/>
      <c r="AIO40" s="1"/>
      <c r="AIP40" s="1"/>
      <c r="AIQ40" s="1"/>
      <c r="AIR40" s="1"/>
      <c r="AIS40" s="1"/>
      <c r="AIT40" s="1"/>
      <c r="AIU40" s="1"/>
      <c r="AIV40" s="1"/>
      <c r="AIW40" s="1"/>
      <c r="AIX40" s="1"/>
      <c r="AIY40" s="1"/>
      <c r="AIZ40" s="1"/>
      <c r="AJA40" s="1"/>
      <c r="AJB40" s="1"/>
      <c r="AJC40" s="1"/>
      <c r="AJD40" s="1"/>
      <c r="AJE40" s="1"/>
      <c r="AJF40" s="1"/>
      <c r="AJG40" s="1"/>
      <c r="AJH40" s="1"/>
      <c r="AJI40" s="1"/>
      <c r="AJJ40" s="1"/>
      <c r="AJK40" s="1"/>
      <c r="AJL40" s="1"/>
      <c r="AJM40" s="1"/>
      <c r="AJN40" s="1"/>
      <c r="AJO40" s="1"/>
      <c r="AJP40" s="1"/>
      <c r="AJQ40" s="1"/>
      <c r="AJR40" s="1"/>
      <c r="AJS40" s="1"/>
      <c r="AJT40" s="1"/>
      <c r="AJU40" s="1"/>
      <c r="AJV40" s="1"/>
      <c r="AJW40" s="1"/>
      <c r="AJX40" s="1"/>
      <c r="AJY40" s="1"/>
      <c r="AJZ40" s="1"/>
      <c r="AKA40" s="1"/>
      <c r="AKB40" s="1"/>
      <c r="AKC40" s="1"/>
      <c r="AKD40" s="1"/>
      <c r="AKE40" s="1"/>
      <c r="AKF40" s="1"/>
      <c r="AKG40" s="1"/>
      <c r="AKH40" s="1"/>
      <c r="AKI40" s="1"/>
      <c r="AKJ40" s="1"/>
      <c r="AKK40" s="1"/>
      <c r="AKL40" s="1"/>
      <c r="AKM40" s="1"/>
      <c r="AKN40" s="1"/>
      <c r="AKO40" s="1"/>
      <c r="AKP40" s="1"/>
      <c r="AKQ40" s="1"/>
      <c r="AKR40" s="1"/>
      <c r="AKS40" s="1"/>
      <c r="AKT40" s="1"/>
      <c r="AKU40" s="1"/>
      <c r="AKV40" s="1"/>
      <c r="AKW40" s="1"/>
      <c r="AKX40" s="1"/>
      <c r="AKY40" s="1"/>
      <c r="AKZ40" s="1"/>
      <c r="ALA40" s="1"/>
      <c r="ALB40" s="1"/>
      <c r="ALC40" s="1"/>
      <c r="ALD40" s="1"/>
      <c r="ALE40" s="1"/>
      <c r="ALF40" s="1"/>
      <c r="ALG40" s="1"/>
      <c r="ALH40" s="1"/>
      <c r="ALI40" s="1"/>
      <c r="ALJ40" s="1"/>
      <c r="ALK40" s="1"/>
      <c r="ALL40" s="1"/>
      <c r="ALM40" s="1"/>
      <c r="ALN40" s="1"/>
      <c r="ALO40" s="1"/>
      <c r="ALP40" s="1"/>
      <c r="ALQ40" s="1"/>
      <c r="ALR40" s="1"/>
      <c r="ALS40" s="1"/>
      <c r="ALT40" s="1"/>
      <c r="ALU40" s="1"/>
      <c r="ALV40" s="1"/>
      <c r="ALW40" s="1"/>
      <c r="ALX40" s="1"/>
      <c r="ALY40" s="1"/>
      <c r="ALZ40" s="1"/>
      <c r="AMA40" s="1"/>
      <c r="AMB40" s="1"/>
      <c r="AMC40" s="1"/>
      <c r="AMD40" s="1"/>
      <c r="AME40" s="1"/>
      <c r="AMF40" s="1"/>
      <c r="AMG40" s="1"/>
      <c r="AMH40" s="1"/>
      <c r="AMI40" s="1"/>
      <c r="AMJ40" s="1"/>
      <c r="AMK40" s="1"/>
      <c r="AML40" s="1"/>
      <c r="AMM40" s="1"/>
      <c r="AMN40" s="1"/>
    </row>
    <row r="41" spans="1:1028" x14ac:dyDescent="0.2">
      <c r="A41" s="3" t="str">
        <f t="shared" si="194"/>
        <v>acm2_human_4MQT</v>
      </c>
      <c r="B41" s="3" t="s">
        <v>147</v>
      </c>
      <c r="C41" s="3" t="s">
        <v>1047</v>
      </c>
      <c r="D41" s="3" t="str">
        <f>IFERROR(MID(VLOOKUP($B41,Seqs!$A:$B,2,0),E41,1),"")</f>
        <v>K</v>
      </c>
      <c r="E41" s="3">
        <v>19</v>
      </c>
      <c r="F41" s="3" t="str">
        <f>IFERROR(MID(VLOOKUP($B41,Seqs!$A:$B,2,0),G41,1),"")</f>
        <v>N</v>
      </c>
      <c r="G41" s="3">
        <v>51</v>
      </c>
      <c r="H41" s="3" t="str">
        <f>IFERROR(MID(VLOOKUP($B41,Seqs!$A:$B,2,0),I41,1),"")</f>
        <v>R</v>
      </c>
      <c r="I41" s="23">
        <v>52</v>
      </c>
      <c r="J41" s="3" t="str">
        <f>IFERROR(MID(VLOOKUP($B41,Seqs!$A:$B,2,0),K41,1),"")</f>
        <v>Q</v>
      </c>
      <c r="K41" s="23">
        <v>55</v>
      </c>
      <c r="L41" s="3" t="str">
        <f>IFERROR(MID(VLOOKUP($B41,Seqs!$A:$B,2,0),M41,1),"")</f>
        <v>T</v>
      </c>
      <c r="M41" s="3">
        <v>56</v>
      </c>
      <c r="N41" s="3" t="str">
        <f>IFERROR(MID(VLOOKUP($B41,Seqs!$A:$B,2,0),O41,1),"")</f>
        <v>I</v>
      </c>
      <c r="O41" s="3">
        <v>86</v>
      </c>
      <c r="P41" s="3" t="str">
        <f>IFERROR(MID(VLOOKUP($B41,Seqs!$A:$B,2,0),Q41,1),"")</f>
        <v>Y</v>
      </c>
      <c r="Q41" s="3">
        <v>88</v>
      </c>
      <c r="R41" s="3" t="str">
        <f>IFERROR(MID(VLOOKUP($B41,Seqs!$A:$B,2,0),S41,1),"")</f>
        <v>L</v>
      </c>
      <c r="S41" s="3">
        <v>91</v>
      </c>
      <c r="T41" s="3" t="str">
        <f>IFERROR(MID(VLOOKUP($B41,Seqs!$A:$B,2,0),U41,1),"")</f>
        <v>G</v>
      </c>
      <c r="U41" s="3">
        <v>92</v>
      </c>
      <c r="V41" s="3" t="str">
        <f>IFERROR(MID(VLOOKUP($B41,Seqs!$A:$B,2,0),W41,1),"")</f>
        <v>K</v>
      </c>
      <c r="W41" s="3">
        <v>127</v>
      </c>
      <c r="X41" s="3" t="str">
        <f>IFERROR(MID(VLOOKUP($B41,Seqs!$A:$B,2,0),Y41,1),"")</f>
        <v>P</v>
      </c>
      <c r="Y41" s="3">
        <v>128</v>
      </c>
      <c r="Z41" s="3" t="str">
        <f>IFERROR(MID(VLOOKUP($B41,Seqs!$A:$B,2,0),AA41,1),"")</f>
        <v>R</v>
      </c>
      <c r="AA41" s="3">
        <v>135</v>
      </c>
      <c r="AB41" s="3" t="str">
        <f>IFERROR(MID(VLOOKUP($B41,Seqs!$A:$B,2,0),AC41,1),"")</f>
        <v>T</v>
      </c>
      <c r="AC41" s="9">
        <v>136</v>
      </c>
      <c r="AD41" s="3" t="str">
        <f>IFERROR(MID(VLOOKUP($B41,Seqs!$A:$B,2,0),AE41,1),"")</f>
        <v>G</v>
      </c>
      <c r="AE41" s="3">
        <v>167</v>
      </c>
      <c r="AF41" s="3" t="str">
        <f>IFERROR(MID(VLOOKUP($B41,Seqs!$A:$B,2,0),AG41,1),"")</f>
        <v>C</v>
      </c>
      <c r="AG41" s="3">
        <v>176</v>
      </c>
      <c r="AH41" s="3" t="str">
        <f>IFERROR(MID(VLOOKUP($B41,Seqs!$A:$B,2,0),AI41,1),"")</f>
        <v>I</v>
      </c>
      <c r="AI41" s="3">
        <v>178</v>
      </c>
      <c r="AJ41" s="3" t="str">
        <f>IFERROR(MID(VLOOKUP($B41,Seqs!$A:$B,2,0),AK41,1),"")</f>
        <v>N</v>
      </c>
      <c r="AK41" s="3">
        <v>183</v>
      </c>
      <c r="AL41" s="3" t="str">
        <f>IFERROR(MID(VLOOKUP($B41,Seqs!$A:$B,2,0),AM41,1),"")</f>
        <v>S</v>
      </c>
      <c r="AM41" s="3">
        <v>215</v>
      </c>
      <c r="AN41" s="3" t="str">
        <f>IFERROR(MID(VLOOKUP($B41,Seqs!$A:$B,2,0),AO41,1),"")</f>
        <v>P</v>
      </c>
      <c r="AO41" s="3">
        <v>379</v>
      </c>
      <c r="AP41" s="3" t="str">
        <f>IFERROR(MID(VLOOKUP($B41,Seqs!$A:$B,2,0),AQ41,1),"")</f>
        <v>C</v>
      </c>
      <c r="AQ41" s="3">
        <v>413</v>
      </c>
      <c r="AR41" s="3" t="str">
        <f>IFERROR(MID(VLOOKUP($B41,Seqs!$A:$B,2,0),AS41,1),"")</f>
        <v>P</v>
      </c>
      <c r="AS41" s="3">
        <v>418</v>
      </c>
      <c r="AT41" s="3" t="str">
        <f>IFERROR(MID(VLOOKUP($B41,Seqs!$A:$B,2,0),AU41,1),"")</f>
        <v>C</v>
      </c>
      <c r="AU41" s="3">
        <v>443</v>
      </c>
      <c r="AV41" s="3" t="str">
        <f>IFERROR(MID(VLOOKUP($B41,Seqs!$A:$B,2,0),AW41,1),"")</f>
        <v>N</v>
      </c>
      <c r="AW41" s="3">
        <v>444</v>
      </c>
      <c r="AX41" s="3" t="str">
        <f>IFERROR(MID(VLOOKUP($B41,Seqs!$A:$B,2,0),AY41,1),"")</f>
        <v>C</v>
      </c>
      <c r="AY41" s="3">
        <v>457</v>
      </c>
      <c r="AZ41" s="79" t="str">
        <f>VLOOKUP(B41,Classification!A:D,2,0)</f>
        <v>A</v>
      </c>
      <c r="BA41" s="97" t="str">
        <f>VLOOKUP(B41,Classification!A:D,4,0)</f>
        <v>Acetylcholine(muscarinic)</v>
      </c>
      <c r="BB41" s="27" t="b">
        <f t="shared" si="195"/>
        <v>1</v>
      </c>
      <c r="BC41" s="23">
        <f t="shared" si="84"/>
        <v>259</v>
      </c>
      <c r="BD41" s="4" t="s">
        <v>1382</v>
      </c>
      <c r="BE41" s="3" t="s">
        <v>1297</v>
      </c>
      <c r="BF41" s="50" t="s">
        <v>1384</v>
      </c>
      <c r="BG41" s="50" t="s">
        <v>1384</v>
      </c>
      <c r="BH41" s="1"/>
      <c r="BI41" s="72" t="s">
        <v>1293</v>
      </c>
      <c r="BJ41" s="58" t="s">
        <v>1293</v>
      </c>
      <c r="BK41" s="58" t="s">
        <v>1293</v>
      </c>
      <c r="BL41" s="58" t="s">
        <v>1293</v>
      </c>
      <c r="BM41" s="58" t="s">
        <v>1293</v>
      </c>
      <c r="BN41" s="58" t="s">
        <v>1293</v>
      </c>
      <c r="BO41" s="58" t="s">
        <v>1293</v>
      </c>
      <c r="BP41" s="58" t="s">
        <v>1293</v>
      </c>
      <c r="BQ41" s="58" t="s">
        <v>1293</v>
      </c>
      <c r="BR41" s="58" t="s">
        <v>1293</v>
      </c>
      <c r="BS41" s="58" t="s">
        <v>1293</v>
      </c>
      <c r="BT41" s="58" t="s">
        <v>1293</v>
      </c>
      <c r="BU41" s="72">
        <f t="shared" si="85"/>
        <v>19</v>
      </c>
      <c r="BV41" s="73">
        <f t="shared" si="86"/>
        <v>52</v>
      </c>
      <c r="BW41" s="74">
        <f t="shared" si="87"/>
        <v>56</v>
      </c>
      <c r="BX41" s="73">
        <f t="shared" si="88"/>
        <v>88</v>
      </c>
      <c r="BY41" s="74">
        <f t="shared" si="89"/>
        <v>92</v>
      </c>
      <c r="BZ41" s="73">
        <f t="shared" si="90"/>
        <v>128</v>
      </c>
      <c r="CA41" s="74">
        <f t="shared" si="91"/>
        <v>136</v>
      </c>
      <c r="CB41" s="73">
        <f t="shared" si="92"/>
        <v>176</v>
      </c>
      <c r="CC41" s="74">
        <f t="shared" si="93"/>
        <v>183</v>
      </c>
      <c r="CD41" s="73">
        <f t="shared" si="94"/>
        <v>379</v>
      </c>
      <c r="CE41" s="74">
        <f t="shared" si="95"/>
        <v>418</v>
      </c>
      <c r="CF41" s="73">
        <f t="shared" si="96"/>
        <v>444</v>
      </c>
      <c r="CG41" s="72">
        <f t="shared" si="97"/>
        <v>51</v>
      </c>
      <c r="CH41" s="73">
        <f t="shared" si="98"/>
        <v>55</v>
      </c>
      <c r="CI41" s="74">
        <f t="shared" si="99"/>
        <v>86</v>
      </c>
      <c r="CJ41" s="74">
        <f t="shared" si="100"/>
        <v>91</v>
      </c>
      <c r="CK41" s="74">
        <f t="shared" si="101"/>
        <v>127</v>
      </c>
      <c r="CL41" s="74">
        <f t="shared" si="102"/>
        <v>135</v>
      </c>
      <c r="CM41" s="74">
        <f t="shared" si="103"/>
        <v>167</v>
      </c>
      <c r="CN41" s="74">
        <f t="shared" si="104"/>
        <v>178</v>
      </c>
      <c r="CO41" s="74">
        <f t="shared" si="105"/>
        <v>215</v>
      </c>
      <c r="CP41" s="74">
        <f t="shared" si="106"/>
        <v>413</v>
      </c>
      <c r="CQ41" s="74">
        <f t="shared" si="107"/>
        <v>443</v>
      </c>
      <c r="CR41" s="74">
        <f t="shared" si="108"/>
        <v>457</v>
      </c>
      <c r="CS41" s="23">
        <f t="shared" si="109"/>
        <v>1</v>
      </c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  <c r="OK41" s="1"/>
      <c r="OL41" s="1"/>
      <c r="OM41" s="1"/>
      <c r="ON41" s="1"/>
      <c r="OO41" s="1"/>
      <c r="OP41" s="1"/>
      <c r="OQ41" s="1"/>
      <c r="OR41" s="1"/>
      <c r="OS41" s="1"/>
      <c r="OT41" s="1"/>
      <c r="OU41" s="1"/>
      <c r="OV41" s="1"/>
      <c r="OW41" s="1"/>
      <c r="OX41" s="1"/>
      <c r="OY41" s="1"/>
      <c r="OZ41" s="1"/>
      <c r="PA41" s="1"/>
      <c r="PB41" s="1"/>
      <c r="PC41" s="1"/>
      <c r="PD41" s="1"/>
      <c r="PE41" s="1"/>
      <c r="PF41" s="1"/>
      <c r="PG41" s="1"/>
      <c r="PH41" s="1"/>
      <c r="PI41" s="1"/>
      <c r="PJ41" s="1"/>
      <c r="PK41" s="1"/>
      <c r="PL41" s="1"/>
      <c r="PM41" s="1"/>
      <c r="PN41" s="1"/>
      <c r="PO41" s="1"/>
      <c r="PP41" s="1"/>
      <c r="PQ41" s="1"/>
      <c r="PR41" s="1"/>
      <c r="PS41" s="1"/>
      <c r="PT41" s="1"/>
      <c r="PU41" s="1"/>
      <c r="PV41" s="1"/>
      <c r="PW41" s="1"/>
      <c r="PX41" s="1"/>
      <c r="PY41" s="1"/>
      <c r="PZ41" s="1"/>
      <c r="QA41" s="1"/>
      <c r="QB41" s="1"/>
      <c r="QC41" s="1"/>
      <c r="QD41" s="1"/>
      <c r="QE41" s="1"/>
      <c r="QF41" s="1"/>
      <c r="QG41" s="1"/>
      <c r="QH41" s="1"/>
      <c r="QI41" s="1"/>
      <c r="QJ41" s="1"/>
      <c r="QK41" s="1"/>
      <c r="QL41" s="1"/>
      <c r="QM41" s="1"/>
      <c r="QN41" s="1"/>
      <c r="QO41" s="1"/>
      <c r="QP41" s="1"/>
      <c r="QQ41" s="1"/>
      <c r="QR41" s="1"/>
      <c r="QS41" s="1"/>
      <c r="QT41" s="1"/>
      <c r="QU41" s="1"/>
      <c r="QV41" s="1"/>
      <c r="QW41" s="1"/>
      <c r="QX41" s="1"/>
      <c r="QY41" s="1"/>
      <c r="QZ41" s="1"/>
      <c r="RA41" s="1"/>
      <c r="RB41" s="1"/>
      <c r="RC41" s="1"/>
      <c r="RD41" s="1"/>
      <c r="RE41" s="1"/>
      <c r="RF41" s="1"/>
      <c r="RG41" s="1"/>
      <c r="RH41" s="1"/>
      <c r="RI41" s="1"/>
      <c r="RJ41" s="1"/>
      <c r="RK41" s="1"/>
      <c r="RL41" s="1"/>
      <c r="RM41" s="1"/>
      <c r="RN41" s="1"/>
      <c r="RO41" s="1"/>
      <c r="RP41" s="1"/>
      <c r="RQ41" s="1"/>
      <c r="RR41" s="1"/>
      <c r="RS41" s="1"/>
      <c r="RT41" s="1"/>
      <c r="RU41" s="1"/>
      <c r="RV41" s="1"/>
      <c r="RW41" s="1"/>
      <c r="RX41" s="1"/>
      <c r="RY41" s="1"/>
      <c r="RZ41" s="1"/>
      <c r="SA41" s="1"/>
      <c r="SB41" s="1"/>
      <c r="SC41" s="1"/>
      <c r="SD41" s="1"/>
      <c r="SE41" s="1"/>
      <c r="SF41" s="1"/>
      <c r="SG41" s="1"/>
      <c r="SH41" s="1"/>
      <c r="SI41" s="1"/>
      <c r="SJ41" s="1"/>
      <c r="SK41" s="1"/>
      <c r="SL41" s="1"/>
      <c r="SM41" s="1"/>
      <c r="SN41" s="1"/>
      <c r="SO41" s="1"/>
      <c r="SP41" s="1"/>
      <c r="SQ41" s="1"/>
      <c r="SR41" s="1"/>
      <c r="SS41" s="1"/>
      <c r="ST41" s="1"/>
      <c r="SU41" s="1"/>
      <c r="SV41" s="1"/>
      <c r="SW41" s="1"/>
      <c r="SX41" s="1"/>
      <c r="SY41" s="1"/>
      <c r="SZ41" s="1"/>
      <c r="TA41" s="1"/>
      <c r="TB41" s="1"/>
      <c r="TC41" s="1"/>
      <c r="TD41" s="1"/>
      <c r="TE41" s="1"/>
      <c r="TF41" s="1"/>
      <c r="TG41" s="1"/>
      <c r="TH41" s="1"/>
      <c r="TI41" s="1"/>
      <c r="TJ41" s="1"/>
      <c r="TK41" s="1"/>
      <c r="TL41" s="1"/>
      <c r="TM41" s="1"/>
      <c r="TN41" s="1"/>
      <c r="TO41" s="1"/>
      <c r="TP41" s="1"/>
      <c r="TQ41" s="1"/>
      <c r="TR41" s="1"/>
      <c r="TS41" s="1"/>
      <c r="TT41" s="1"/>
      <c r="TU41" s="1"/>
      <c r="TV41" s="1"/>
      <c r="TW41" s="1"/>
      <c r="TX41" s="1"/>
      <c r="TY41" s="1"/>
      <c r="TZ41" s="1"/>
      <c r="UA41" s="1"/>
      <c r="UB41" s="1"/>
      <c r="UC41" s="1"/>
      <c r="UD41" s="1"/>
      <c r="UE41" s="1"/>
      <c r="UF41" s="1"/>
      <c r="UG41" s="1"/>
      <c r="UH41" s="1"/>
      <c r="UI41" s="1"/>
      <c r="UJ41" s="1"/>
      <c r="UK41" s="1"/>
      <c r="UL41" s="1"/>
      <c r="UM41" s="1"/>
      <c r="UN41" s="1"/>
      <c r="UO41" s="1"/>
      <c r="UP41" s="1"/>
      <c r="UQ41" s="1"/>
      <c r="UR41" s="1"/>
      <c r="US41" s="1"/>
      <c r="UT41" s="1"/>
      <c r="UU41" s="1"/>
      <c r="UV41" s="1"/>
      <c r="UW41" s="1"/>
      <c r="UX41" s="1"/>
      <c r="UY41" s="1"/>
      <c r="UZ41" s="1"/>
      <c r="VA41" s="1"/>
      <c r="VB41" s="1"/>
      <c r="VC41" s="1"/>
      <c r="VD41" s="1"/>
      <c r="VE41" s="1"/>
      <c r="VF41" s="1"/>
      <c r="VG41" s="1"/>
      <c r="VH41" s="1"/>
      <c r="VI41" s="1"/>
      <c r="VJ41" s="1"/>
      <c r="VK41" s="1"/>
      <c r="VL41" s="1"/>
      <c r="VM41" s="1"/>
      <c r="VN41" s="1"/>
      <c r="VO41" s="1"/>
      <c r="VP41" s="1"/>
      <c r="VQ41" s="1"/>
      <c r="VR41" s="1"/>
      <c r="VS41" s="1"/>
      <c r="VT41" s="1"/>
      <c r="VU41" s="1"/>
      <c r="VV41" s="1"/>
      <c r="VW41" s="1"/>
      <c r="VX41" s="1"/>
      <c r="VY41" s="1"/>
      <c r="VZ41" s="1"/>
      <c r="WA41" s="1"/>
      <c r="WB41" s="1"/>
      <c r="WC41" s="1"/>
      <c r="WD41" s="1"/>
      <c r="WE41" s="1"/>
      <c r="WF41" s="1"/>
      <c r="WG41" s="1"/>
      <c r="WH41" s="1"/>
      <c r="WI41" s="1"/>
      <c r="WJ41" s="1"/>
      <c r="WK41" s="1"/>
      <c r="WL41" s="1"/>
      <c r="WM41" s="1"/>
      <c r="WN41" s="1"/>
      <c r="WO41" s="1"/>
      <c r="WP41" s="1"/>
      <c r="WQ41" s="1"/>
      <c r="WR41" s="1"/>
      <c r="WS41" s="1"/>
      <c r="WT41" s="1"/>
      <c r="WU41" s="1"/>
      <c r="WV41" s="1"/>
      <c r="WW41" s="1"/>
      <c r="WX41" s="1"/>
      <c r="WY41" s="1"/>
      <c r="WZ41" s="1"/>
      <c r="XA41" s="1"/>
      <c r="XB41" s="1"/>
      <c r="XC41" s="1"/>
      <c r="XD41" s="1"/>
      <c r="XE41" s="1"/>
      <c r="XF41" s="1"/>
      <c r="XG41" s="1"/>
      <c r="XH41" s="1"/>
      <c r="XI41" s="1"/>
      <c r="XJ41" s="1"/>
      <c r="XK41" s="1"/>
      <c r="XL41" s="1"/>
      <c r="XM41" s="1"/>
      <c r="XN41" s="1"/>
      <c r="XO41" s="1"/>
      <c r="XP41" s="1"/>
      <c r="XQ41" s="1"/>
      <c r="XR41" s="1"/>
      <c r="XS41" s="1"/>
      <c r="XT41" s="1"/>
      <c r="XU41" s="1"/>
      <c r="XV41" s="1"/>
      <c r="XW41" s="1"/>
      <c r="XX41" s="1"/>
      <c r="XY41" s="1"/>
      <c r="XZ41" s="1"/>
      <c r="YA41" s="1"/>
      <c r="YB41" s="1"/>
      <c r="YC41" s="1"/>
      <c r="YD41" s="1"/>
      <c r="YE41" s="1"/>
      <c r="YF41" s="1"/>
      <c r="YG41" s="1"/>
      <c r="YH41" s="1"/>
      <c r="YI41" s="1"/>
      <c r="YJ41" s="1"/>
      <c r="YK41" s="1"/>
      <c r="YL41" s="1"/>
      <c r="YM41" s="1"/>
      <c r="YN41" s="1"/>
      <c r="YO41" s="1"/>
      <c r="YP41" s="1"/>
      <c r="YQ41" s="1"/>
      <c r="YR41" s="1"/>
      <c r="YS41" s="1"/>
      <c r="YT41" s="1"/>
      <c r="YU41" s="1"/>
      <c r="YV41" s="1"/>
      <c r="YW41" s="1"/>
      <c r="YX41" s="1"/>
      <c r="YY41" s="1"/>
      <c r="YZ41" s="1"/>
      <c r="ZA41" s="1"/>
      <c r="ZB41" s="1"/>
      <c r="ZC41" s="1"/>
      <c r="ZD41" s="1"/>
      <c r="ZE41" s="1"/>
      <c r="ZF41" s="1"/>
      <c r="ZG41" s="1"/>
      <c r="ZH41" s="1"/>
      <c r="ZI41" s="1"/>
      <c r="ZJ41" s="1"/>
      <c r="ZK41" s="1"/>
      <c r="ZL41" s="1"/>
      <c r="ZM41" s="1"/>
      <c r="ZN41" s="1"/>
      <c r="ZO41" s="1"/>
      <c r="ZP41" s="1"/>
      <c r="ZQ41" s="1"/>
      <c r="ZR41" s="1"/>
      <c r="ZS41" s="1"/>
      <c r="ZT41" s="1"/>
      <c r="ZU41" s="1"/>
      <c r="ZV41" s="1"/>
      <c r="ZW41" s="1"/>
      <c r="ZX41" s="1"/>
      <c r="ZY41" s="1"/>
      <c r="ZZ41" s="1"/>
      <c r="AAA41" s="1"/>
      <c r="AAB41" s="1"/>
      <c r="AAC41" s="1"/>
      <c r="AAD41" s="1"/>
      <c r="AAE41" s="1"/>
      <c r="AAF41" s="1"/>
      <c r="AAG41" s="1"/>
      <c r="AAH41" s="1"/>
      <c r="AAI41" s="1"/>
      <c r="AAJ41" s="1"/>
      <c r="AAK41" s="1"/>
      <c r="AAL41" s="1"/>
      <c r="AAM41" s="1"/>
      <c r="AAN41" s="1"/>
      <c r="AAO41" s="1"/>
      <c r="AAP41" s="1"/>
      <c r="AAQ41" s="1"/>
      <c r="AAR41" s="1"/>
      <c r="AAS41" s="1"/>
      <c r="AAT41" s="1"/>
      <c r="AAU41" s="1"/>
      <c r="AAV41" s="1"/>
      <c r="AAW41" s="1"/>
      <c r="AAX41" s="1"/>
      <c r="AAY41" s="1"/>
      <c r="AAZ41" s="1"/>
      <c r="ABA41" s="1"/>
      <c r="ABB41" s="1"/>
      <c r="ABC41" s="1"/>
      <c r="ABD41" s="1"/>
      <c r="ABE41" s="1"/>
      <c r="ABF41" s="1"/>
      <c r="ABG41" s="1"/>
      <c r="ABH41" s="1"/>
      <c r="ABI41" s="1"/>
      <c r="ABJ41" s="1"/>
      <c r="ABK41" s="1"/>
      <c r="ABL41" s="1"/>
      <c r="ABM41" s="1"/>
      <c r="ABN41" s="1"/>
      <c r="ABO41" s="1"/>
      <c r="ABP41" s="1"/>
      <c r="ABQ41" s="1"/>
      <c r="ABR41" s="1"/>
      <c r="ABS41" s="1"/>
      <c r="ABT41" s="1"/>
      <c r="ABU41" s="1"/>
      <c r="ABV41" s="1"/>
      <c r="ABW41" s="1"/>
      <c r="ABX41" s="1"/>
      <c r="ABY41" s="1"/>
      <c r="ABZ41" s="1"/>
      <c r="ACA41" s="1"/>
      <c r="ACB41" s="1"/>
      <c r="ACC41" s="1"/>
      <c r="ACD41" s="1"/>
      <c r="ACE41" s="1"/>
      <c r="ACF41" s="1"/>
      <c r="ACG41" s="1"/>
      <c r="ACH41" s="1"/>
      <c r="ACI41" s="1"/>
      <c r="ACJ41" s="1"/>
      <c r="ACK41" s="1"/>
      <c r="ACL41" s="1"/>
      <c r="ACM41" s="1"/>
      <c r="ACN41" s="1"/>
      <c r="ACO41" s="1"/>
      <c r="ACP41" s="1"/>
      <c r="ACQ41" s="1"/>
      <c r="ACR41" s="1"/>
      <c r="ACS41" s="1"/>
      <c r="ACT41" s="1"/>
      <c r="ACU41" s="1"/>
      <c r="ACV41" s="1"/>
      <c r="ACW41" s="1"/>
      <c r="ACX41" s="1"/>
      <c r="ACY41" s="1"/>
      <c r="ACZ41" s="1"/>
      <c r="ADA41" s="1"/>
      <c r="ADB41" s="1"/>
      <c r="ADC41" s="1"/>
      <c r="ADD41" s="1"/>
      <c r="ADE41" s="1"/>
      <c r="ADF41" s="1"/>
      <c r="ADG41" s="1"/>
      <c r="ADH41" s="1"/>
      <c r="ADI41" s="1"/>
      <c r="ADJ41" s="1"/>
      <c r="ADK41" s="1"/>
      <c r="ADL41" s="1"/>
      <c r="ADM41" s="1"/>
      <c r="ADN41" s="1"/>
      <c r="ADO41" s="1"/>
      <c r="ADP41" s="1"/>
      <c r="ADQ41" s="1"/>
      <c r="ADR41" s="1"/>
      <c r="ADS41" s="1"/>
      <c r="ADT41" s="1"/>
      <c r="ADU41" s="1"/>
      <c r="ADV41" s="1"/>
      <c r="ADW41" s="1"/>
      <c r="ADX41" s="1"/>
      <c r="ADY41" s="1"/>
      <c r="ADZ41" s="1"/>
      <c r="AEA41" s="1"/>
      <c r="AEB41" s="1"/>
      <c r="AEC41" s="1"/>
      <c r="AED41" s="1"/>
      <c r="AEE41" s="1"/>
      <c r="AEF41" s="1"/>
      <c r="AEG41" s="1"/>
      <c r="AEH41" s="1"/>
      <c r="AEI41" s="1"/>
      <c r="AEJ41" s="1"/>
      <c r="AEK41" s="1"/>
      <c r="AEL41" s="1"/>
      <c r="AEM41" s="1"/>
      <c r="AEN41" s="1"/>
      <c r="AEO41" s="1"/>
      <c r="AEP41" s="1"/>
      <c r="AEQ41" s="1"/>
      <c r="AER41" s="1"/>
      <c r="AES41" s="1"/>
      <c r="AET41" s="1"/>
      <c r="AEU41" s="1"/>
      <c r="AEV41" s="1"/>
      <c r="AEW41" s="1"/>
      <c r="AEX41" s="1"/>
      <c r="AEY41" s="1"/>
      <c r="AEZ41" s="1"/>
      <c r="AFA41" s="1"/>
      <c r="AFB41" s="1"/>
      <c r="AFC41" s="1"/>
      <c r="AFD41" s="1"/>
      <c r="AFE41" s="1"/>
      <c r="AFF41" s="1"/>
      <c r="AFG41" s="1"/>
      <c r="AFH41" s="1"/>
      <c r="AFI41" s="1"/>
      <c r="AFJ41" s="1"/>
      <c r="AFK41" s="1"/>
      <c r="AFL41" s="1"/>
      <c r="AFM41" s="1"/>
      <c r="AFN41" s="1"/>
      <c r="AFO41" s="1"/>
      <c r="AFP41" s="1"/>
      <c r="AFQ41" s="1"/>
      <c r="AFR41" s="1"/>
      <c r="AFS41" s="1"/>
      <c r="AFT41" s="1"/>
      <c r="AFU41" s="1"/>
      <c r="AFV41" s="1"/>
      <c r="AFW41" s="1"/>
      <c r="AFX41" s="1"/>
      <c r="AFY41" s="1"/>
      <c r="AFZ41" s="1"/>
      <c r="AGA41" s="1"/>
      <c r="AGB41" s="1"/>
      <c r="AGC41" s="1"/>
      <c r="AGD41" s="1"/>
      <c r="AGE41" s="1"/>
      <c r="AGF41" s="1"/>
      <c r="AGG41" s="1"/>
      <c r="AGH41" s="1"/>
      <c r="AGI41" s="1"/>
      <c r="AGJ41" s="1"/>
      <c r="AGK41" s="1"/>
      <c r="AGL41" s="1"/>
      <c r="AGM41" s="1"/>
      <c r="AGN41" s="1"/>
      <c r="AGO41" s="1"/>
      <c r="AGP41" s="1"/>
      <c r="AGQ41" s="1"/>
      <c r="AGR41" s="1"/>
      <c r="AGS41" s="1"/>
      <c r="AGT41" s="1"/>
      <c r="AGU41" s="1"/>
      <c r="AGV41" s="1"/>
      <c r="AGW41" s="1"/>
      <c r="AGX41" s="1"/>
      <c r="AGY41" s="1"/>
      <c r="AGZ41" s="1"/>
      <c r="AHA41" s="1"/>
      <c r="AHB41" s="1"/>
      <c r="AHC41" s="1"/>
      <c r="AHD41" s="1"/>
      <c r="AHE41" s="1"/>
      <c r="AHF41" s="1"/>
      <c r="AHG41" s="1"/>
      <c r="AHH41" s="1"/>
      <c r="AHI41" s="1"/>
      <c r="AHJ41" s="1"/>
      <c r="AHK41" s="1"/>
      <c r="AHL41" s="1"/>
      <c r="AHM41" s="1"/>
      <c r="AHN41" s="1"/>
      <c r="AHO41" s="1"/>
      <c r="AHP41" s="1"/>
      <c r="AHQ41" s="1"/>
      <c r="AHR41" s="1"/>
      <c r="AHS41" s="1"/>
      <c r="AHT41" s="1"/>
      <c r="AHU41" s="1"/>
      <c r="AHV41" s="1"/>
      <c r="AHW41" s="1"/>
      <c r="AHX41" s="1"/>
      <c r="AHY41" s="1"/>
      <c r="AHZ41" s="1"/>
      <c r="AIA41" s="1"/>
      <c r="AIB41" s="1"/>
      <c r="AIC41" s="1"/>
      <c r="AID41" s="1"/>
      <c r="AIE41" s="1"/>
      <c r="AIF41" s="1"/>
      <c r="AIG41" s="1"/>
      <c r="AIH41" s="1"/>
      <c r="AII41" s="1"/>
      <c r="AIJ41" s="1"/>
      <c r="AIK41" s="1"/>
      <c r="AIL41" s="1"/>
      <c r="AIM41" s="1"/>
      <c r="AIN41" s="1"/>
      <c r="AIO41" s="1"/>
      <c r="AIP41" s="1"/>
      <c r="AIQ41" s="1"/>
      <c r="AIR41" s="1"/>
      <c r="AIS41" s="1"/>
      <c r="AIT41" s="1"/>
      <c r="AIU41" s="1"/>
      <c r="AIV41" s="1"/>
      <c r="AIW41" s="1"/>
      <c r="AIX41" s="1"/>
      <c r="AIY41" s="1"/>
      <c r="AIZ41" s="1"/>
      <c r="AJA41" s="1"/>
      <c r="AJB41" s="1"/>
      <c r="AJC41" s="1"/>
      <c r="AJD41" s="1"/>
      <c r="AJE41" s="1"/>
      <c r="AJF41" s="1"/>
      <c r="AJG41" s="1"/>
      <c r="AJH41" s="1"/>
      <c r="AJI41" s="1"/>
      <c r="AJJ41" s="1"/>
      <c r="AJK41" s="1"/>
      <c r="AJL41" s="1"/>
      <c r="AJM41" s="1"/>
      <c r="AJN41" s="1"/>
      <c r="AJO41" s="1"/>
      <c r="AJP41" s="1"/>
      <c r="AJQ41" s="1"/>
      <c r="AJR41" s="1"/>
      <c r="AJS41" s="1"/>
      <c r="AJT41" s="1"/>
      <c r="AJU41" s="1"/>
      <c r="AJV41" s="1"/>
      <c r="AJW41" s="1"/>
      <c r="AJX41" s="1"/>
      <c r="AJY41" s="1"/>
      <c r="AJZ41" s="1"/>
      <c r="AKA41" s="1"/>
      <c r="AKB41" s="1"/>
      <c r="AKC41" s="1"/>
      <c r="AKD41" s="1"/>
      <c r="AKE41" s="1"/>
      <c r="AKF41" s="1"/>
      <c r="AKG41" s="1"/>
      <c r="AKH41" s="1"/>
      <c r="AKI41" s="1"/>
      <c r="AKJ41" s="1"/>
      <c r="AKK41" s="1"/>
      <c r="AKL41" s="1"/>
      <c r="AKM41" s="1"/>
      <c r="AKN41" s="1"/>
      <c r="AKO41" s="1"/>
      <c r="AKP41" s="1"/>
      <c r="AKQ41" s="1"/>
      <c r="AKR41" s="1"/>
      <c r="AKS41" s="1"/>
      <c r="AKT41" s="1"/>
      <c r="AKU41" s="1"/>
      <c r="AKV41" s="1"/>
      <c r="AKW41" s="1"/>
      <c r="AKX41" s="1"/>
      <c r="AKY41" s="1"/>
      <c r="AKZ41" s="1"/>
      <c r="ALA41" s="1"/>
      <c r="ALB41" s="1"/>
      <c r="ALC41" s="1"/>
      <c r="ALD41" s="1"/>
      <c r="ALE41" s="1"/>
      <c r="ALF41" s="1"/>
      <c r="ALG41" s="1"/>
      <c r="ALH41" s="1"/>
      <c r="ALI41" s="1"/>
      <c r="ALJ41" s="1"/>
      <c r="ALK41" s="1"/>
      <c r="ALL41" s="1"/>
      <c r="ALM41" s="1"/>
      <c r="ALN41" s="1"/>
      <c r="ALO41" s="1"/>
      <c r="ALP41" s="1"/>
      <c r="ALQ41" s="1"/>
      <c r="ALR41" s="1"/>
      <c r="ALS41" s="1"/>
      <c r="ALT41" s="1"/>
      <c r="ALU41" s="1"/>
      <c r="ALV41" s="1"/>
      <c r="ALW41" s="1"/>
      <c r="ALX41" s="1"/>
      <c r="ALY41" s="1"/>
      <c r="ALZ41" s="1"/>
      <c r="AMA41" s="1"/>
      <c r="AMB41" s="1"/>
      <c r="AMC41" s="1"/>
      <c r="AMD41" s="1"/>
      <c r="AME41" s="1"/>
      <c r="AMF41" s="1"/>
      <c r="AMG41" s="1"/>
      <c r="AMH41" s="1"/>
      <c r="AMI41" s="1"/>
      <c r="AMJ41" s="1"/>
      <c r="AMK41" s="1"/>
      <c r="AML41" s="1"/>
      <c r="AMM41" s="1"/>
      <c r="AMN41" s="1"/>
    </row>
    <row r="42" spans="1:1028" x14ac:dyDescent="0.2">
      <c r="A42" s="3" t="str">
        <f t="shared" si="194"/>
        <v>acm3_rat__wt</v>
      </c>
      <c r="B42" s="3" t="s">
        <v>910</v>
      </c>
      <c r="C42" s="3" t="s">
        <v>100</v>
      </c>
      <c r="D42" s="3" t="str">
        <f>IFERROR(MID(VLOOKUP($B42,Seqs!$A:$B,2,0),E42,1),"")</f>
        <v>I</v>
      </c>
      <c r="E42" s="3">
        <v>64</v>
      </c>
      <c r="F42" s="3" t="str">
        <f>IFERROR(MID(VLOOKUP($B42,Seqs!$A:$B,2,0),G42,1),"")</f>
        <v>N</v>
      </c>
      <c r="G42" s="3">
        <v>95</v>
      </c>
      <c r="H42" s="3" t="str">
        <f>IFERROR(MID(VLOOKUP($B42,Seqs!$A:$B,2,0),I42,1),"")</f>
        <v>K</v>
      </c>
      <c r="I42" s="23">
        <v>96</v>
      </c>
      <c r="J42" s="3" t="str">
        <f>IFERROR(MID(VLOOKUP($B42,Seqs!$A:$B,2,0),K42,1),"")</f>
        <v>K</v>
      </c>
      <c r="K42" s="23">
        <v>99</v>
      </c>
      <c r="L42" s="3" t="str">
        <f>IFERROR(MID(VLOOKUP($B42,Seqs!$A:$B,2,0),M42,1),"")</f>
        <v>T</v>
      </c>
      <c r="M42" s="3">
        <v>100</v>
      </c>
      <c r="N42" s="3" t="str">
        <f>IFERROR(MID(VLOOKUP($B42,Seqs!$A:$B,2,0),O42,1),"")</f>
        <v>M</v>
      </c>
      <c r="O42" s="3">
        <v>130</v>
      </c>
      <c r="P42" s="3" t="str">
        <f>IFERROR(MID(VLOOKUP($B42,Seqs!$A:$B,2,0),Q42,1),"")</f>
        <v>R</v>
      </c>
      <c r="Q42" s="3">
        <v>132</v>
      </c>
      <c r="R42" s="3" t="str">
        <f>IFERROR(MID(VLOOKUP($B42,Seqs!$A:$B,2,0),S42,1),"")</f>
        <v>L</v>
      </c>
      <c r="S42" s="3">
        <v>135</v>
      </c>
      <c r="T42" s="3" t="str">
        <f>IFERROR(MID(VLOOKUP($B42,Seqs!$A:$B,2,0),U42,1),"")</f>
        <v>G</v>
      </c>
      <c r="U42" s="3">
        <v>136</v>
      </c>
      <c r="V42" s="3" t="str">
        <f>IFERROR(MID(VLOOKUP($B42,Seqs!$A:$B,2,0),W42,1),"")</f>
        <v>R</v>
      </c>
      <c r="W42" s="3">
        <v>171</v>
      </c>
      <c r="X42" s="3" t="str">
        <f>IFERROR(MID(VLOOKUP($B42,Seqs!$A:$B,2,0),Y42,1),"")</f>
        <v>P</v>
      </c>
      <c r="Y42" s="3">
        <v>172</v>
      </c>
      <c r="Z42" s="3" t="str">
        <f>IFERROR(MID(VLOOKUP($B42,Seqs!$A:$B,2,0),AA42,1),"")</f>
        <v>R</v>
      </c>
      <c r="AA42" s="3">
        <v>179</v>
      </c>
      <c r="AB42" s="3" t="str">
        <f>IFERROR(MID(VLOOKUP($B42,Seqs!$A:$B,2,0),AC42,1),"")</f>
        <v>T</v>
      </c>
      <c r="AC42" s="9">
        <v>180</v>
      </c>
      <c r="AD42" s="3" t="str">
        <f>IFERROR(MID(VLOOKUP($B42,Seqs!$A:$B,2,0),AE42,1),"")</f>
        <v>G</v>
      </c>
      <c r="AE42" s="3">
        <v>211</v>
      </c>
      <c r="AF42" s="3" t="str">
        <f>IFERROR(MID(VLOOKUP($B42,Seqs!$A:$B,2,0),AG42,1),"")</f>
        <v>C</v>
      </c>
      <c r="AG42" s="3">
        <v>220</v>
      </c>
      <c r="AH42" s="3" t="str">
        <f>IFERROR(MID(VLOOKUP($B42,Seqs!$A:$B,2,0),AI42,1),"")</f>
        <v>I</v>
      </c>
      <c r="AI42" s="3">
        <v>222</v>
      </c>
      <c r="AJ42" s="3" t="str">
        <f>IFERROR(MID(VLOOKUP($B42,Seqs!$A:$B,2,0),AK42,1),"")</f>
        <v>E</v>
      </c>
      <c r="AK42" s="3">
        <v>227</v>
      </c>
      <c r="AL42" s="3" t="str">
        <f>IFERROR(MID(VLOOKUP($B42,Seqs!$A:$B,2,0),AM42,1),"")</f>
        <v>L</v>
      </c>
      <c r="AM42" s="3">
        <v>267</v>
      </c>
      <c r="AN42" s="3" t="str">
        <f>IFERROR(MID(VLOOKUP($B42,Seqs!$A:$B,2,0),AO42,1),"")</f>
        <v>R</v>
      </c>
      <c r="AO42" s="3">
        <v>479</v>
      </c>
      <c r="AP42" s="3" t="str">
        <f>IFERROR(MID(VLOOKUP($B42,Seqs!$A:$B,2,0),AQ42,1),"")</f>
        <v>C</v>
      </c>
      <c r="AQ42" s="3">
        <v>516</v>
      </c>
      <c r="AR42" s="3" t="str">
        <f>IFERROR(MID(VLOOKUP($B42,Seqs!$A:$B,2,0),AS42,1),"")</f>
        <v>P</v>
      </c>
      <c r="AS42" s="3">
        <v>521</v>
      </c>
      <c r="AT42" s="3" t="str">
        <f>IFERROR(MID(VLOOKUP($B42,Seqs!$A:$B,2,0),AU42,1),"")</f>
        <v>C</v>
      </c>
      <c r="AU42" s="3">
        <v>546</v>
      </c>
      <c r="AV42" s="3" t="str">
        <f>IFERROR(MID(VLOOKUP($B42,Seqs!$A:$B,2,0),AW42,1),"")</f>
        <v>N</v>
      </c>
      <c r="AW42" s="3">
        <v>547</v>
      </c>
      <c r="AX42" s="3" t="str">
        <f>IFERROR(MID(VLOOKUP($B42,Seqs!$A:$B,2,0),AY42,1),"")</f>
        <v>L</v>
      </c>
      <c r="AY42" s="3">
        <v>558</v>
      </c>
      <c r="AZ42" s="79" t="str">
        <f>VLOOKUP(B42,Classification!A:D,2,0)</f>
        <v>A</v>
      </c>
      <c r="BA42" s="97" t="str">
        <f>VLOOKUP(B42,Classification!A:D,4,0)</f>
        <v>Acetylcholine(muscarinic)</v>
      </c>
      <c r="BB42" s="27" t="b">
        <f t="shared" si="195"/>
        <v>1</v>
      </c>
      <c r="BC42" s="23">
        <f t="shared" si="84"/>
        <v>267</v>
      </c>
      <c r="BD42" s="57" t="s">
        <v>1379</v>
      </c>
      <c r="BE42" s="3" t="s">
        <v>1381</v>
      </c>
      <c r="BF42" s="50" t="s">
        <v>1379</v>
      </c>
      <c r="BG42" s="50" t="s">
        <v>1384</v>
      </c>
      <c r="BH42" s="1"/>
      <c r="BI42" s="72" t="s">
        <v>1293</v>
      </c>
      <c r="BJ42" s="58" t="s">
        <v>1293</v>
      </c>
      <c r="BK42" s="58" t="s">
        <v>1293</v>
      </c>
      <c r="BL42" s="58" t="s">
        <v>1293</v>
      </c>
      <c r="BM42" s="58" t="s">
        <v>1293</v>
      </c>
      <c r="BN42" s="58" t="s">
        <v>1293</v>
      </c>
      <c r="BO42" s="58" t="s">
        <v>1293</v>
      </c>
      <c r="BP42" s="58" t="s">
        <v>1293</v>
      </c>
      <c r="BQ42" s="58" t="s">
        <v>1293</v>
      </c>
      <c r="BR42" s="58" t="s">
        <v>1293</v>
      </c>
      <c r="BS42" s="58" t="s">
        <v>1293</v>
      </c>
      <c r="BT42" s="58" t="s">
        <v>1293</v>
      </c>
      <c r="BU42" s="72">
        <f t="shared" si="85"/>
        <v>64</v>
      </c>
      <c r="BV42" s="73">
        <f t="shared" si="86"/>
        <v>96</v>
      </c>
      <c r="BW42" s="74">
        <f t="shared" si="87"/>
        <v>100</v>
      </c>
      <c r="BX42" s="73">
        <f t="shared" si="88"/>
        <v>132</v>
      </c>
      <c r="BY42" s="74">
        <f t="shared" si="89"/>
        <v>136</v>
      </c>
      <c r="BZ42" s="73">
        <f t="shared" si="90"/>
        <v>172</v>
      </c>
      <c r="CA42" s="74">
        <f t="shared" si="91"/>
        <v>180</v>
      </c>
      <c r="CB42" s="73">
        <f t="shared" si="92"/>
        <v>220</v>
      </c>
      <c r="CC42" s="74">
        <f t="shared" si="93"/>
        <v>227</v>
      </c>
      <c r="CD42" s="73">
        <f t="shared" si="94"/>
        <v>479</v>
      </c>
      <c r="CE42" s="74">
        <f t="shared" si="95"/>
        <v>521</v>
      </c>
      <c r="CF42" s="73">
        <f t="shared" si="96"/>
        <v>547</v>
      </c>
      <c r="CG42" s="72">
        <f t="shared" si="97"/>
        <v>95</v>
      </c>
      <c r="CH42" s="73">
        <f t="shared" si="98"/>
        <v>99</v>
      </c>
      <c r="CI42" s="74">
        <f t="shared" si="99"/>
        <v>130</v>
      </c>
      <c r="CJ42" s="74">
        <f t="shared" si="100"/>
        <v>135</v>
      </c>
      <c r="CK42" s="74">
        <f t="shared" si="101"/>
        <v>171</v>
      </c>
      <c r="CL42" s="74">
        <f t="shared" si="102"/>
        <v>179</v>
      </c>
      <c r="CM42" s="74">
        <f t="shared" si="103"/>
        <v>211</v>
      </c>
      <c r="CN42" s="74">
        <f t="shared" si="104"/>
        <v>222</v>
      </c>
      <c r="CO42" s="74">
        <f t="shared" si="105"/>
        <v>267</v>
      </c>
      <c r="CP42" s="74">
        <f t="shared" si="106"/>
        <v>516</v>
      </c>
      <c r="CQ42" s="74">
        <f t="shared" si="107"/>
        <v>546</v>
      </c>
      <c r="CR42" s="74">
        <f t="shared" si="108"/>
        <v>558</v>
      </c>
      <c r="CS42" s="23">
        <f t="shared" si="109"/>
        <v>1</v>
      </c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  <c r="OK42" s="1"/>
      <c r="OL42" s="1"/>
      <c r="OM42" s="1"/>
      <c r="ON42" s="1"/>
      <c r="OO42" s="1"/>
      <c r="OP42" s="1"/>
      <c r="OQ42" s="1"/>
      <c r="OR42" s="1"/>
      <c r="OS42" s="1"/>
      <c r="OT42" s="1"/>
      <c r="OU42" s="1"/>
      <c r="OV42" s="1"/>
      <c r="OW42" s="1"/>
      <c r="OX42" s="1"/>
      <c r="OY42" s="1"/>
      <c r="OZ42" s="1"/>
      <c r="PA42" s="1"/>
      <c r="PB42" s="1"/>
      <c r="PC42" s="1"/>
      <c r="PD42" s="1"/>
      <c r="PE42" s="1"/>
      <c r="PF42" s="1"/>
      <c r="PG42" s="1"/>
      <c r="PH42" s="1"/>
      <c r="PI42" s="1"/>
      <c r="PJ42" s="1"/>
      <c r="PK42" s="1"/>
      <c r="PL42" s="1"/>
      <c r="PM42" s="1"/>
      <c r="PN42" s="1"/>
      <c r="PO42" s="1"/>
      <c r="PP42" s="1"/>
      <c r="PQ42" s="1"/>
      <c r="PR42" s="1"/>
      <c r="PS42" s="1"/>
      <c r="PT42" s="1"/>
      <c r="PU42" s="1"/>
      <c r="PV42" s="1"/>
      <c r="PW42" s="1"/>
      <c r="PX42" s="1"/>
      <c r="PY42" s="1"/>
      <c r="PZ42" s="1"/>
      <c r="QA42" s="1"/>
      <c r="QB42" s="1"/>
      <c r="QC42" s="1"/>
      <c r="QD42" s="1"/>
      <c r="QE42" s="1"/>
      <c r="QF42" s="1"/>
      <c r="QG42" s="1"/>
      <c r="QH42" s="1"/>
      <c r="QI42" s="1"/>
      <c r="QJ42" s="1"/>
      <c r="QK42" s="1"/>
      <c r="QL42" s="1"/>
      <c r="QM42" s="1"/>
      <c r="QN42" s="1"/>
      <c r="QO42" s="1"/>
      <c r="QP42" s="1"/>
      <c r="QQ42" s="1"/>
      <c r="QR42" s="1"/>
      <c r="QS42" s="1"/>
      <c r="QT42" s="1"/>
      <c r="QU42" s="1"/>
      <c r="QV42" s="1"/>
      <c r="QW42" s="1"/>
      <c r="QX42" s="1"/>
      <c r="QY42" s="1"/>
      <c r="QZ42" s="1"/>
      <c r="RA42" s="1"/>
      <c r="RB42" s="1"/>
      <c r="RC42" s="1"/>
      <c r="RD42" s="1"/>
      <c r="RE42" s="1"/>
      <c r="RF42" s="1"/>
      <c r="RG42" s="1"/>
      <c r="RH42" s="1"/>
      <c r="RI42" s="1"/>
      <c r="RJ42" s="1"/>
      <c r="RK42" s="1"/>
      <c r="RL42" s="1"/>
      <c r="RM42" s="1"/>
      <c r="RN42" s="1"/>
      <c r="RO42" s="1"/>
      <c r="RP42" s="1"/>
      <c r="RQ42" s="1"/>
      <c r="RR42" s="1"/>
      <c r="RS42" s="1"/>
      <c r="RT42" s="1"/>
      <c r="RU42" s="1"/>
      <c r="RV42" s="1"/>
      <c r="RW42" s="1"/>
      <c r="RX42" s="1"/>
      <c r="RY42" s="1"/>
      <c r="RZ42" s="1"/>
      <c r="SA42" s="1"/>
      <c r="SB42" s="1"/>
      <c r="SC42" s="1"/>
      <c r="SD42" s="1"/>
      <c r="SE42" s="1"/>
      <c r="SF42" s="1"/>
      <c r="SG42" s="1"/>
      <c r="SH42" s="1"/>
      <c r="SI42" s="1"/>
      <c r="SJ42" s="1"/>
      <c r="SK42" s="1"/>
      <c r="SL42" s="1"/>
      <c r="SM42" s="1"/>
      <c r="SN42" s="1"/>
      <c r="SO42" s="1"/>
      <c r="SP42" s="1"/>
      <c r="SQ42" s="1"/>
      <c r="SR42" s="1"/>
      <c r="SS42" s="1"/>
      <c r="ST42" s="1"/>
      <c r="SU42" s="1"/>
      <c r="SV42" s="1"/>
      <c r="SW42" s="1"/>
      <c r="SX42" s="1"/>
      <c r="SY42" s="1"/>
      <c r="SZ42" s="1"/>
      <c r="TA42" s="1"/>
      <c r="TB42" s="1"/>
      <c r="TC42" s="1"/>
      <c r="TD42" s="1"/>
      <c r="TE42" s="1"/>
      <c r="TF42" s="1"/>
      <c r="TG42" s="1"/>
      <c r="TH42" s="1"/>
      <c r="TI42" s="1"/>
      <c r="TJ42" s="1"/>
      <c r="TK42" s="1"/>
      <c r="TL42" s="1"/>
      <c r="TM42" s="1"/>
      <c r="TN42" s="1"/>
      <c r="TO42" s="1"/>
      <c r="TP42" s="1"/>
      <c r="TQ42" s="1"/>
      <c r="TR42" s="1"/>
      <c r="TS42" s="1"/>
      <c r="TT42" s="1"/>
      <c r="TU42" s="1"/>
      <c r="TV42" s="1"/>
      <c r="TW42" s="1"/>
      <c r="TX42" s="1"/>
      <c r="TY42" s="1"/>
      <c r="TZ42" s="1"/>
      <c r="UA42" s="1"/>
      <c r="UB42" s="1"/>
      <c r="UC42" s="1"/>
      <c r="UD42" s="1"/>
      <c r="UE42" s="1"/>
      <c r="UF42" s="1"/>
      <c r="UG42" s="1"/>
      <c r="UH42" s="1"/>
      <c r="UI42" s="1"/>
      <c r="UJ42" s="1"/>
      <c r="UK42" s="1"/>
      <c r="UL42" s="1"/>
      <c r="UM42" s="1"/>
      <c r="UN42" s="1"/>
      <c r="UO42" s="1"/>
      <c r="UP42" s="1"/>
      <c r="UQ42" s="1"/>
      <c r="UR42" s="1"/>
      <c r="US42" s="1"/>
      <c r="UT42" s="1"/>
      <c r="UU42" s="1"/>
      <c r="UV42" s="1"/>
      <c r="UW42" s="1"/>
      <c r="UX42" s="1"/>
      <c r="UY42" s="1"/>
      <c r="UZ42" s="1"/>
      <c r="VA42" s="1"/>
      <c r="VB42" s="1"/>
      <c r="VC42" s="1"/>
      <c r="VD42" s="1"/>
      <c r="VE42" s="1"/>
      <c r="VF42" s="1"/>
      <c r="VG42" s="1"/>
      <c r="VH42" s="1"/>
      <c r="VI42" s="1"/>
      <c r="VJ42" s="1"/>
      <c r="VK42" s="1"/>
      <c r="VL42" s="1"/>
      <c r="VM42" s="1"/>
      <c r="VN42" s="1"/>
      <c r="VO42" s="1"/>
      <c r="VP42" s="1"/>
      <c r="VQ42" s="1"/>
      <c r="VR42" s="1"/>
      <c r="VS42" s="1"/>
      <c r="VT42" s="1"/>
      <c r="VU42" s="1"/>
      <c r="VV42" s="1"/>
      <c r="VW42" s="1"/>
      <c r="VX42" s="1"/>
      <c r="VY42" s="1"/>
      <c r="VZ42" s="1"/>
      <c r="WA42" s="1"/>
      <c r="WB42" s="1"/>
      <c r="WC42" s="1"/>
      <c r="WD42" s="1"/>
      <c r="WE42" s="1"/>
      <c r="WF42" s="1"/>
      <c r="WG42" s="1"/>
      <c r="WH42" s="1"/>
      <c r="WI42" s="1"/>
      <c r="WJ42" s="1"/>
      <c r="WK42" s="1"/>
      <c r="WL42" s="1"/>
      <c r="WM42" s="1"/>
      <c r="WN42" s="1"/>
      <c r="WO42" s="1"/>
      <c r="WP42" s="1"/>
      <c r="WQ42" s="1"/>
      <c r="WR42" s="1"/>
      <c r="WS42" s="1"/>
      <c r="WT42" s="1"/>
      <c r="WU42" s="1"/>
      <c r="WV42" s="1"/>
      <c r="WW42" s="1"/>
      <c r="WX42" s="1"/>
      <c r="WY42" s="1"/>
      <c r="WZ42" s="1"/>
      <c r="XA42" s="1"/>
      <c r="XB42" s="1"/>
      <c r="XC42" s="1"/>
      <c r="XD42" s="1"/>
      <c r="XE42" s="1"/>
      <c r="XF42" s="1"/>
      <c r="XG42" s="1"/>
      <c r="XH42" s="1"/>
      <c r="XI42" s="1"/>
      <c r="XJ42" s="1"/>
      <c r="XK42" s="1"/>
      <c r="XL42" s="1"/>
      <c r="XM42" s="1"/>
      <c r="XN42" s="1"/>
      <c r="XO42" s="1"/>
      <c r="XP42" s="1"/>
      <c r="XQ42" s="1"/>
      <c r="XR42" s="1"/>
      <c r="XS42" s="1"/>
      <c r="XT42" s="1"/>
      <c r="XU42" s="1"/>
      <c r="XV42" s="1"/>
      <c r="XW42" s="1"/>
      <c r="XX42" s="1"/>
      <c r="XY42" s="1"/>
      <c r="XZ42" s="1"/>
      <c r="YA42" s="1"/>
      <c r="YB42" s="1"/>
      <c r="YC42" s="1"/>
      <c r="YD42" s="1"/>
      <c r="YE42" s="1"/>
      <c r="YF42" s="1"/>
      <c r="YG42" s="1"/>
      <c r="YH42" s="1"/>
      <c r="YI42" s="1"/>
      <c r="YJ42" s="1"/>
      <c r="YK42" s="1"/>
      <c r="YL42" s="1"/>
      <c r="YM42" s="1"/>
      <c r="YN42" s="1"/>
      <c r="YO42" s="1"/>
      <c r="YP42" s="1"/>
      <c r="YQ42" s="1"/>
      <c r="YR42" s="1"/>
      <c r="YS42" s="1"/>
      <c r="YT42" s="1"/>
      <c r="YU42" s="1"/>
      <c r="YV42" s="1"/>
      <c r="YW42" s="1"/>
      <c r="YX42" s="1"/>
      <c r="YY42" s="1"/>
      <c r="YZ42" s="1"/>
      <c r="ZA42" s="1"/>
      <c r="ZB42" s="1"/>
      <c r="ZC42" s="1"/>
      <c r="ZD42" s="1"/>
      <c r="ZE42" s="1"/>
      <c r="ZF42" s="1"/>
      <c r="ZG42" s="1"/>
      <c r="ZH42" s="1"/>
      <c r="ZI42" s="1"/>
      <c r="ZJ42" s="1"/>
      <c r="ZK42" s="1"/>
      <c r="ZL42" s="1"/>
      <c r="ZM42" s="1"/>
      <c r="ZN42" s="1"/>
      <c r="ZO42" s="1"/>
      <c r="ZP42" s="1"/>
      <c r="ZQ42" s="1"/>
      <c r="ZR42" s="1"/>
      <c r="ZS42" s="1"/>
      <c r="ZT42" s="1"/>
      <c r="ZU42" s="1"/>
      <c r="ZV42" s="1"/>
      <c r="ZW42" s="1"/>
      <c r="ZX42" s="1"/>
      <c r="ZY42" s="1"/>
      <c r="ZZ42" s="1"/>
      <c r="AAA42" s="1"/>
      <c r="AAB42" s="1"/>
      <c r="AAC42" s="1"/>
      <c r="AAD42" s="1"/>
      <c r="AAE42" s="1"/>
      <c r="AAF42" s="1"/>
      <c r="AAG42" s="1"/>
      <c r="AAH42" s="1"/>
      <c r="AAI42" s="1"/>
      <c r="AAJ42" s="1"/>
      <c r="AAK42" s="1"/>
      <c r="AAL42" s="1"/>
      <c r="AAM42" s="1"/>
      <c r="AAN42" s="1"/>
      <c r="AAO42" s="1"/>
      <c r="AAP42" s="1"/>
      <c r="AAQ42" s="1"/>
      <c r="AAR42" s="1"/>
      <c r="AAS42" s="1"/>
      <c r="AAT42" s="1"/>
      <c r="AAU42" s="1"/>
      <c r="AAV42" s="1"/>
      <c r="AAW42" s="1"/>
      <c r="AAX42" s="1"/>
      <c r="AAY42" s="1"/>
      <c r="AAZ42" s="1"/>
      <c r="ABA42" s="1"/>
      <c r="ABB42" s="1"/>
      <c r="ABC42" s="1"/>
      <c r="ABD42" s="1"/>
      <c r="ABE42" s="1"/>
      <c r="ABF42" s="1"/>
      <c r="ABG42" s="1"/>
      <c r="ABH42" s="1"/>
      <c r="ABI42" s="1"/>
      <c r="ABJ42" s="1"/>
      <c r="ABK42" s="1"/>
      <c r="ABL42" s="1"/>
      <c r="ABM42" s="1"/>
      <c r="ABN42" s="1"/>
      <c r="ABO42" s="1"/>
      <c r="ABP42" s="1"/>
      <c r="ABQ42" s="1"/>
      <c r="ABR42" s="1"/>
      <c r="ABS42" s="1"/>
      <c r="ABT42" s="1"/>
      <c r="ABU42" s="1"/>
      <c r="ABV42" s="1"/>
      <c r="ABW42" s="1"/>
      <c r="ABX42" s="1"/>
      <c r="ABY42" s="1"/>
      <c r="ABZ42" s="1"/>
      <c r="ACA42" s="1"/>
      <c r="ACB42" s="1"/>
      <c r="ACC42" s="1"/>
      <c r="ACD42" s="1"/>
      <c r="ACE42" s="1"/>
      <c r="ACF42" s="1"/>
      <c r="ACG42" s="1"/>
      <c r="ACH42" s="1"/>
      <c r="ACI42" s="1"/>
      <c r="ACJ42" s="1"/>
      <c r="ACK42" s="1"/>
      <c r="ACL42" s="1"/>
      <c r="ACM42" s="1"/>
      <c r="ACN42" s="1"/>
      <c r="ACO42" s="1"/>
      <c r="ACP42" s="1"/>
      <c r="ACQ42" s="1"/>
      <c r="ACR42" s="1"/>
      <c r="ACS42" s="1"/>
      <c r="ACT42" s="1"/>
      <c r="ACU42" s="1"/>
      <c r="ACV42" s="1"/>
      <c r="ACW42" s="1"/>
      <c r="ACX42" s="1"/>
      <c r="ACY42" s="1"/>
      <c r="ACZ42" s="1"/>
      <c r="ADA42" s="1"/>
      <c r="ADB42" s="1"/>
      <c r="ADC42" s="1"/>
      <c r="ADD42" s="1"/>
      <c r="ADE42" s="1"/>
      <c r="ADF42" s="1"/>
      <c r="ADG42" s="1"/>
      <c r="ADH42" s="1"/>
      <c r="ADI42" s="1"/>
      <c r="ADJ42" s="1"/>
      <c r="ADK42" s="1"/>
      <c r="ADL42" s="1"/>
      <c r="ADM42" s="1"/>
      <c r="ADN42" s="1"/>
      <c r="ADO42" s="1"/>
      <c r="ADP42" s="1"/>
      <c r="ADQ42" s="1"/>
      <c r="ADR42" s="1"/>
      <c r="ADS42" s="1"/>
      <c r="ADT42" s="1"/>
      <c r="ADU42" s="1"/>
      <c r="ADV42" s="1"/>
      <c r="ADW42" s="1"/>
      <c r="ADX42" s="1"/>
      <c r="ADY42" s="1"/>
      <c r="ADZ42" s="1"/>
      <c r="AEA42" s="1"/>
      <c r="AEB42" s="1"/>
      <c r="AEC42" s="1"/>
      <c r="AED42" s="1"/>
      <c r="AEE42" s="1"/>
      <c r="AEF42" s="1"/>
      <c r="AEG42" s="1"/>
      <c r="AEH42" s="1"/>
      <c r="AEI42" s="1"/>
      <c r="AEJ42" s="1"/>
      <c r="AEK42" s="1"/>
      <c r="AEL42" s="1"/>
      <c r="AEM42" s="1"/>
      <c r="AEN42" s="1"/>
      <c r="AEO42" s="1"/>
      <c r="AEP42" s="1"/>
      <c r="AEQ42" s="1"/>
      <c r="AER42" s="1"/>
      <c r="AES42" s="1"/>
      <c r="AET42" s="1"/>
      <c r="AEU42" s="1"/>
      <c r="AEV42" s="1"/>
      <c r="AEW42" s="1"/>
      <c r="AEX42" s="1"/>
      <c r="AEY42" s="1"/>
      <c r="AEZ42" s="1"/>
      <c r="AFA42" s="1"/>
      <c r="AFB42" s="1"/>
      <c r="AFC42" s="1"/>
      <c r="AFD42" s="1"/>
      <c r="AFE42" s="1"/>
      <c r="AFF42" s="1"/>
      <c r="AFG42" s="1"/>
      <c r="AFH42" s="1"/>
      <c r="AFI42" s="1"/>
      <c r="AFJ42" s="1"/>
      <c r="AFK42" s="1"/>
      <c r="AFL42" s="1"/>
      <c r="AFM42" s="1"/>
      <c r="AFN42" s="1"/>
      <c r="AFO42" s="1"/>
      <c r="AFP42" s="1"/>
      <c r="AFQ42" s="1"/>
      <c r="AFR42" s="1"/>
      <c r="AFS42" s="1"/>
      <c r="AFT42" s="1"/>
      <c r="AFU42" s="1"/>
      <c r="AFV42" s="1"/>
      <c r="AFW42" s="1"/>
      <c r="AFX42" s="1"/>
      <c r="AFY42" s="1"/>
      <c r="AFZ42" s="1"/>
      <c r="AGA42" s="1"/>
      <c r="AGB42" s="1"/>
      <c r="AGC42" s="1"/>
      <c r="AGD42" s="1"/>
      <c r="AGE42" s="1"/>
      <c r="AGF42" s="1"/>
      <c r="AGG42" s="1"/>
      <c r="AGH42" s="1"/>
      <c r="AGI42" s="1"/>
      <c r="AGJ42" s="1"/>
      <c r="AGK42" s="1"/>
      <c r="AGL42" s="1"/>
      <c r="AGM42" s="1"/>
      <c r="AGN42" s="1"/>
      <c r="AGO42" s="1"/>
      <c r="AGP42" s="1"/>
      <c r="AGQ42" s="1"/>
      <c r="AGR42" s="1"/>
      <c r="AGS42" s="1"/>
      <c r="AGT42" s="1"/>
      <c r="AGU42" s="1"/>
      <c r="AGV42" s="1"/>
      <c r="AGW42" s="1"/>
      <c r="AGX42" s="1"/>
      <c r="AGY42" s="1"/>
      <c r="AGZ42" s="1"/>
      <c r="AHA42" s="1"/>
      <c r="AHB42" s="1"/>
      <c r="AHC42" s="1"/>
      <c r="AHD42" s="1"/>
      <c r="AHE42" s="1"/>
      <c r="AHF42" s="1"/>
      <c r="AHG42" s="1"/>
      <c r="AHH42" s="1"/>
      <c r="AHI42" s="1"/>
      <c r="AHJ42" s="1"/>
      <c r="AHK42" s="1"/>
      <c r="AHL42" s="1"/>
      <c r="AHM42" s="1"/>
      <c r="AHN42" s="1"/>
      <c r="AHO42" s="1"/>
      <c r="AHP42" s="1"/>
      <c r="AHQ42" s="1"/>
      <c r="AHR42" s="1"/>
      <c r="AHS42" s="1"/>
      <c r="AHT42" s="1"/>
      <c r="AHU42" s="1"/>
      <c r="AHV42" s="1"/>
      <c r="AHW42" s="1"/>
      <c r="AHX42" s="1"/>
      <c r="AHY42" s="1"/>
      <c r="AHZ42" s="1"/>
      <c r="AIA42" s="1"/>
      <c r="AIB42" s="1"/>
      <c r="AIC42" s="1"/>
      <c r="AID42" s="1"/>
      <c r="AIE42" s="1"/>
      <c r="AIF42" s="1"/>
      <c r="AIG42" s="1"/>
      <c r="AIH42" s="1"/>
      <c r="AII42" s="1"/>
      <c r="AIJ42" s="1"/>
      <c r="AIK42" s="1"/>
      <c r="AIL42" s="1"/>
      <c r="AIM42" s="1"/>
      <c r="AIN42" s="1"/>
      <c r="AIO42" s="1"/>
      <c r="AIP42" s="1"/>
      <c r="AIQ42" s="1"/>
      <c r="AIR42" s="1"/>
      <c r="AIS42" s="1"/>
      <c r="AIT42" s="1"/>
      <c r="AIU42" s="1"/>
      <c r="AIV42" s="1"/>
      <c r="AIW42" s="1"/>
      <c r="AIX42" s="1"/>
      <c r="AIY42" s="1"/>
      <c r="AIZ42" s="1"/>
      <c r="AJA42" s="1"/>
      <c r="AJB42" s="1"/>
      <c r="AJC42" s="1"/>
      <c r="AJD42" s="1"/>
      <c r="AJE42" s="1"/>
      <c r="AJF42" s="1"/>
      <c r="AJG42" s="1"/>
      <c r="AJH42" s="1"/>
      <c r="AJI42" s="1"/>
      <c r="AJJ42" s="1"/>
      <c r="AJK42" s="1"/>
      <c r="AJL42" s="1"/>
      <c r="AJM42" s="1"/>
      <c r="AJN42" s="1"/>
      <c r="AJO42" s="1"/>
      <c r="AJP42" s="1"/>
      <c r="AJQ42" s="1"/>
      <c r="AJR42" s="1"/>
      <c r="AJS42" s="1"/>
      <c r="AJT42" s="1"/>
      <c r="AJU42" s="1"/>
      <c r="AJV42" s="1"/>
      <c r="AJW42" s="1"/>
      <c r="AJX42" s="1"/>
      <c r="AJY42" s="1"/>
      <c r="AJZ42" s="1"/>
      <c r="AKA42" s="1"/>
      <c r="AKB42" s="1"/>
      <c r="AKC42" s="1"/>
      <c r="AKD42" s="1"/>
      <c r="AKE42" s="1"/>
      <c r="AKF42" s="1"/>
      <c r="AKG42" s="1"/>
      <c r="AKH42" s="1"/>
      <c r="AKI42" s="1"/>
      <c r="AKJ42" s="1"/>
      <c r="AKK42" s="1"/>
      <c r="AKL42" s="1"/>
      <c r="AKM42" s="1"/>
      <c r="AKN42" s="1"/>
      <c r="AKO42" s="1"/>
      <c r="AKP42" s="1"/>
      <c r="AKQ42" s="1"/>
      <c r="AKR42" s="1"/>
      <c r="AKS42" s="1"/>
      <c r="AKT42" s="1"/>
      <c r="AKU42" s="1"/>
      <c r="AKV42" s="1"/>
      <c r="AKW42" s="1"/>
      <c r="AKX42" s="1"/>
      <c r="AKY42" s="1"/>
      <c r="AKZ42" s="1"/>
      <c r="ALA42" s="1"/>
      <c r="ALB42" s="1"/>
      <c r="ALC42" s="1"/>
      <c r="ALD42" s="1"/>
      <c r="ALE42" s="1"/>
      <c r="ALF42" s="1"/>
      <c r="ALG42" s="1"/>
      <c r="ALH42" s="1"/>
      <c r="ALI42" s="1"/>
      <c r="ALJ42" s="1"/>
      <c r="ALK42" s="1"/>
      <c r="ALL42" s="1"/>
      <c r="ALM42" s="1"/>
      <c r="ALN42" s="1"/>
      <c r="ALO42" s="1"/>
      <c r="ALP42" s="1"/>
      <c r="ALQ42" s="1"/>
      <c r="ALR42" s="1"/>
      <c r="ALS42" s="1"/>
      <c r="ALT42" s="1"/>
      <c r="ALU42" s="1"/>
      <c r="ALV42" s="1"/>
      <c r="ALW42" s="1"/>
      <c r="ALX42" s="1"/>
      <c r="ALY42" s="1"/>
      <c r="ALZ42" s="1"/>
      <c r="AMA42" s="1"/>
      <c r="AMB42" s="1"/>
      <c r="AMC42" s="1"/>
      <c r="AMD42" s="1"/>
      <c r="AME42" s="1"/>
      <c r="AMF42" s="1"/>
      <c r="AMG42" s="1"/>
      <c r="AMH42" s="1"/>
      <c r="AMI42" s="1"/>
      <c r="AMJ42" s="1"/>
      <c r="AMK42" s="1"/>
      <c r="AML42" s="1"/>
      <c r="AMM42" s="1"/>
      <c r="AMN42" s="1"/>
    </row>
    <row r="43" spans="1:1028" x14ac:dyDescent="0.2">
      <c r="A43" s="3" t="str">
        <f t="shared" si="194"/>
        <v>acm3_rat_4U15</v>
      </c>
      <c r="B43" s="3" t="s">
        <v>910</v>
      </c>
      <c r="C43" s="3" t="s">
        <v>71</v>
      </c>
      <c r="D43" s="3" t="str">
        <f>IFERROR(MID(VLOOKUP($B43,Seqs!$A:$B,2,0),E43,1),"")</f>
        <v>I</v>
      </c>
      <c r="E43" s="3">
        <v>64</v>
      </c>
      <c r="F43" s="3" t="str">
        <f>IFERROR(MID(VLOOKUP($B43,Seqs!$A:$B,2,0),G43,1),"")</f>
        <v>N</v>
      </c>
      <c r="G43" s="3">
        <v>95</v>
      </c>
      <c r="H43" s="3" t="str">
        <f>IFERROR(MID(VLOOKUP($B43,Seqs!$A:$B,2,0),I43,1),"")</f>
        <v>K</v>
      </c>
      <c r="I43" s="23">
        <v>96</v>
      </c>
      <c r="J43" s="3" t="str">
        <f>IFERROR(MID(VLOOKUP($B43,Seqs!$A:$B,2,0),K43,1),"")</f>
        <v>K</v>
      </c>
      <c r="K43" s="23">
        <v>99</v>
      </c>
      <c r="L43" s="3" t="str">
        <f>IFERROR(MID(VLOOKUP($B43,Seqs!$A:$B,2,0),M43,1),"")</f>
        <v>T</v>
      </c>
      <c r="M43" s="3">
        <v>100</v>
      </c>
      <c r="N43" s="3" t="str">
        <f>IFERROR(MID(VLOOKUP($B43,Seqs!$A:$B,2,0),O43,1),"")</f>
        <v>M</v>
      </c>
      <c r="O43" s="3">
        <v>130</v>
      </c>
      <c r="P43" s="3" t="str">
        <f>IFERROR(MID(VLOOKUP($B43,Seqs!$A:$B,2,0),Q43,1),"")</f>
        <v>R</v>
      </c>
      <c r="Q43" s="3">
        <v>132</v>
      </c>
      <c r="R43" s="3" t="str">
        <f>IFERROR(MID(VLOOKUP($B43,Seqs!$A:$B,2,0),S43,1),"")</f>
        <v>L</v>
      </c>
      <c r="S43" s="3">
        <v>135</v>
      </c>
      <c r="T43" s="3" t="str">
        <f>IFERROR(MID(VLOOKUP($B43,Seqs!$A:$B,2,0),U43,1),"")</f>
        <v>G</v>
      </c>
      <c r="U43" s="3">
        <v>136</v>
      </c>
      <c r="V43" s="3" t="str">
        <f>IFERROR(MID(VLOOKUP($B43,Seqs!$A:$B,2,0),W43,1),"")</f>
        <v>R</v>
      </c>
      <c r="W43" s="3">
        <v>171</v>
      </c>
      <c r="X43" s="3" t="str">
        <f>IFERROR(MID(VLOOKUP($B43,Seqs!$A:$B,2,0),Y43,1),"")</f>
        <v>P</v>
      </c>
      <c r="Y43" s="3">
        <v>172</v>
      </c>
      <c r="Z43" s="3" t="str">
        <f>IFERROR(MID(VLOOKUP($B43,Seqs!$A:$B,2,0),AA43,1),"")</f>
        <v>R</v>
      </c>
      <c r="AA43" s="3">
        <v>179</v>
      </c>
      <c r="AB43" s="3" t="str">
        <f>IFERROR(MID(VLOOKUP($B43,Seqs!$A:$B,2,0),AC43,1),"")</f>
        <v>T</v>
      </c>
      <c r="AC43" s="9">
        <v>180</v>
      </c>
      <c r="AD43" s="3" t="str">
        <f>IFERROR(MID(VLOOKUP($B43,Seqs!$A:$B,2,0),AE43,1),"")</f>
        <v>G</v>
      </c>
      <c r="AE43" s="3">
        <v>211</v>
      </c>
      <c r="AF43" s="3" t="str">
        <f>IFERROR(MID(VLOOKUP($B43,Seqs!$A:$B,2,0),AG43,1),"")</f>
        <v>C</v>
      </c>
      <c r="AG43" s="3">
        <v>220</v>
      </c>
      <c r="AH43" s="3" t="str">
        <f>IFERROR(MID(VLOOKUP($B43,Seqs!$A:$B,2,0),AI43,1),"")</f>
        <v>I</v>
      </c>
      <c r="AI43" s="3">
        <v>222</v>
      </c>
      <c r="AJ43" s="3" t="str">
        <f>IFERROR(MID(VLOOKUP($B43,Seqs!$A:$B,2,0),AK43,1),"")</f>
        <v>E</v>
      </c>
      <c r="AK43" s="3">
        <v>227</v>
      </c>
      <c r="AL43" s="3" t="str">
        <f>IFERROR(MID(VLOOKUP($B43,Seqs!$A:$B,2,0),AM43,1),"")</f>
        <v>K</v>
      </c>
      <c r="AM43" s="3">
        <v>259</v>
      </c>
      <c r="AN43" s="3" t="str">
        <f>IFERROR(MID(VLOOKUP($B43,Seqs!$A:$B,2,0),AO43,1),"")</f>
        <v>I</v>
      </c>
      <c r="AO43" s="3">
        <v>483</v>
      </c>
      <c r="AP43" s="3" t="str">
        <f>IFERROR(MID(VLOOKUP($B43,Seqs!$A:$B,2,0),AQ43,1),"")</f>
        <v>C</v>
      </c>
      <c r="AQ43" s="3">
        <v>516</v>
      </c>
      <c r="AR43" s="3" t="str">
        <f>IFERROR(MID(VLOOKUP($B43,Seqs!$A:$B,2,0),AS43,1),"")</f>
        <v>P</v>
      </c>
      <c r="AS43" s="3">
        <v>521</v>
      </c>
      <c r="AT43" s="3" t="str">
        <f>IFERROR(MID(VLOOKUP($B43,Seqs!$A:$B,2,0),AU43,1),"")</f>
        <v>C</v>
      </c>
      <c r="AU43" s="3">
        <v>546</v>
      </c>
      <c r="AV43" s="3" t="str">
        <f>IFERROR(MID(VLOOKUP($B43,Seqs!$A:$B,2,0),AW43,1),"")</f>
        <v>N</v>
      </c>
      <c r="AW43" s="3">
        <v>547</v>
      </c>
      <c r="AX43" s="3" t="str">
        <f>IFERROR(MID(VLOOKUP($B43,Seqs!$A:$B,2,0),AY43,1),"")</f>
        <v>L</v>
      </c>
      <c r="AY43" s="3">
        <v>558</v>
      </c>
      <c r="AZ43" s="79" t="str">
        <f>VLOOKUP(B43,Classification!A:D,2,0)</f>
        <v>A</v>
      </c>
      <c r="BA43" s="97" t="str">
        <f>VLOOKUP(B43,Classification!A:D,4,0)</f>
        <v>Acetylcholine(muscarinic)</v>
      </c>
      <c r="BB43" s="27" t="b">
        <f t="shared" si="195"/>
        <v>1</v>
      </c>
      <c r="BC43" s="23">
        <f t="shared" si="84"/>
        <v>255</v>
      </c>
      <c r="BD43" s="16" t="s">
        <v>1383</v>
      </c>
      <c r="BE43" s="3" t="s">
        <v>1381</v>
      </c>
      <c r="BF43" s="50" t="s">
        <v>1384</v>
      </c>
      <c r="BG43" s="50" t="s">
        <v>1384</v>
      </c>
      <c r="BH43" s="1"/>
      <c r="BI43" s="72" t="s">
        <v>1293</v>
      </c>
      <c r="BJ43" s="58" t="s">
        <v>1293</v>
      </c>
      <c r="BK43" s="58" t="s">
        <v>1293</v>
      </c>
      <c r="BL43" s="58" t="s">
        <v>1293</v>
      </c>
      <c r="BM43" s="58" t="s">
        <v>1293</v>
      </c>
      <c r="BN43" s="58" t="s">
        <v>1293</v>
      </c>
      <c r="BO43" s="58" t="s">
        <v>1293</v>
      </c>
      <c r="BP43" s="58" t="s">
        <v>1293</v>
      </c>
      <c r="BQ43" s="58" t="s">
        <v>1293</v>
      </c>
      <c r="BR43" s="58" t="s">
        <v>1293</v>
      </c>
      <c r="BS43" s="58" t="s">
        <v>1293</v>
      </c>
      <c r="BT43" s="58" t="s">
        <v>1293</v>
      </c>
      <c r="BU43" s="72">
        <f t="shared" si="85"/>
        <v>64</v>
      </c>
      <c r="BV43" s="73">
        <f t="shared" si="86"/>
        <v>96</v>
      </c>
      <c r="BW43" s="74">
        <f t="shared" si="87"/>
        <v>100</v>
      </c>
      <c r="BX43" s="73">
        <f t="shared" si="88"/>
        <v>132</v>
      </c>
      <c r="BY43" s="74">
        <f t="shared" si="89"/>
        <v>136</v>
      </c>
      <c r="BZ43" s="73">
        <f t="shared" si="90"/>
        <v>172</v>
      </c>
      <c r="CA43" s="74">
        <f t="shared" si="91"/>
        <v>180</v>
      </c>
      <c r="CB43" s="73">
        <f t="shared" si="92"/>
        <v>220</v>
      </c>
      <c r="CC43" s="74">
        <f t="shared" si="93"/>
        <v>227</v>
      </c>
      <c r="CD43" s="73">
        <f t="shared" si="94"/>
        <v>483</v>
      </c>
      <c r="CE43" s="74">
        <f t="shared" si="95"/>
        <v>521</v>
      </c>
      <c r="CF43" s="73">
        <f t="shared" si="96"/>
        <v>547</v>
      </c>
      <c r="CG43" s="72">
        <f t="shared" si="97"/>
        <v>95</v>
      </c>
      <c r="CH43" s="73">
        <f t="shared" si="98"/>
        <v>99</v>
      </c>
      <c r="CI43" s="74">
        <f t="shared" si="99"/>
        <v>130</v>
      </c>
      <c r="CJ43" s="74">
        <f t="shared" si="100"/>
        <v>135</v>
      </c>
      <c r="CK43" s="74">
        <f t="shared" si="101"/>
        <v>171</v>
      </c>
      <c r="CL43" s="74">
        <f t="shared" si="102"/>
        <v>179</v>
      </c>
      <c r="CM43" s="74">
        <f t="shared" si="103"/>
        <v>211</v>
      </c>
      <c r="CN43" s="74">
        <f t="shared" si="104"/>
        <v>222</v>
      </c>
      <c r="CO43" s="74">
        <f t="shared" si="105"/>
        <v>259</v>
      </c>
      <c r="CP43" s="74">
        <f t="shared" si="106"/>
        <v>516</v>
      </c>
      <c r="CQ43" s="74">
        <f t="shared" si="107"/>
        <v>546</v>
      </c>
      <c r="CR43" s="74">
        <f t="shared" si="108"/>
        <v>558</v>
      </c>
      <c r="CS43" s="23">
        <f t="shared" si="109"/>
        <v>1</v>
      </c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  <c r="OK43" s="1"/>
      <c r="OL43" s="1"/>
      <c r="OM43" s="1"/>
      <c r="ON43" s="1"/>
      <c r="OO43" s="1"/>
      <c r="OP43" s="1"/>
      <c r="OQ43" s="1"/>
      <c r="OR43" s="1"/>
      <c r="OS43" s="1"/>
      <c r="OT43" s="1"/>
      <c r="OU43" s="1"/>
      <c r="OV43" s="1"/>
      <c r="OW43" s="1"/>
      <c r="OX43" s="1"/>
      <c r="OY43" s="1"/>
      <c r="OZ43" s="1"/>
      <c r="PA43" s="1"/>
      <c r="PB43" s="1"/>
      <c r="PC43" s="1"/>
      <c r="PD43" s="1"/>
      <c r="PE43" s="1"/>
      <c r="PF43" s="1"/>
      <c r="PG43" s="1"/>
      <c r="PH43" s="1"/>
      <c r="PI43" s="1"/>
      <c r="PJ43" s="1"/>
      <c r="PK43" s="1"/>
      <c r="PL43" s="1"/>
      <c r="PM43" s="1"/>
      <c r="PN43" s="1"/>
      <c r="PO43" s="1"/>
      <c r="PP43" s="1"/>
      <c r="PQ43" s="1"/>
      <c r="PR43" s="1"/>
      <c r="PS43" s="1"/>
      <c r="PT43" s="1"/>
      <c r="PU43" s="1"/>
      <c r="PV43" s="1"/>
      <c r="PW43" s="1"/>
      <c r="PX43" s="1"/>
      <c r="PY43" s="1"/>
      <c r="PZ43" s="1"/>
      <c r="QA43" s="1"/>
      <c r="QB43" s="1"/>
      <c r="QC43" s="1"/>
      <c r="QD43" s="1"/>
      <c r="QE43" s="1"/>
      <c r="QF43" s="1"/>
      <c r="QG43" s="1"/>
      <c r="QH43" s="1"/>
      <c r="QI43" s="1"/>
      <c r="QJ43" s="1"/>
      <c r="QK43" s="1"/>
      <c r="QL43" s="1"/>
      <c r="QM43" s="1"/>
      <c r="QN43" s="1"/>
      <c r="QO43" s="1"/>
      <c r="QP43" s="1"/>
      <c r="QQ43" s="1"/>
      <c r="QR43" s="1"/>
      <c r="QS43" s="1"/>
      <c r="QT43" s="1"/>
      <c r="QU43" s="1"/>
      <c r="QV43" s="1"/>
      <c r="QW43" s="1"/>
      <c r="QX43" s="1"/>
      <c r="QY43" s="1"/>
      <c r="QZ43" s="1"/>
      <c r="RA43" s="1"/>
      <c r="RB43" s="1"/>
      <c r="RC43" s="1"/>
      <c r="RD43" s="1"/>
      <c r="RE43" s="1"/>
      <c r="RF43" s="1"/>
      <c r="RG43" s="1"/>
      <c r="RH43" s="1"/>
      <c r="RI43" s="1"/>
      <c r="RJ43" s="1"/>
      <c r="RK43" s="1"/>
      <c r="RL43" s="1"/>
      <c r="RM43" s="1"/>
      <c r="RN43" s="1"/>
      <c r="RO43" s="1"/>
      <c r="RP43" s="1"/>
      <c r="RQ43" s="1"/>
      <c r="RR43" s="1"/>
      <c r="RS43" s="1"/>
      <c r="RT43" s="1"/>
      <c r="RU43" s="1"/>
      <c r="RV43" s="1"/>
      <c r="RW43" s="1"/>
      <c r="RX43" s="1"/>
      <c r="RY43" s="1"/>
      <c r="RZ43" s="1"/>
      <c r="SA43" s="1"/>
      <c r="SB43" s="1"/>
      <c r="SC43" s="1"/>
      <c r="SD43" s="1"/>
      <c r="SE43" s="1"/>
      <c r="SF43" s="1"/>
      <c r="SG43" s="1"/>
      <c r="SH43" s="1"/>
      <c r="SI43" s="1"/>
      <c r="SJ43" s="1"/>
      <c r="SK43" s="1"/>
      <c r="SL43" s="1"/>
      <c r="SM43" s="1"/>
      <c r="SN43" s="1"/>
      <c r="SO43" s="1"/>
      <c r="SP43" s="1"/>
      <c r="SQ43" s="1"/>
      <c r="SR43" s="1"/>
      <c r="SS43" s="1"/>
      <c r="ST43" s="1"/>
      <c r="SU43" s="1"/>
      <c r="SV43" s="1"/>
      <c r="SW43" s="1"/>
      <c r="SX43" s="1"/>
      <c r="SY43" s="1"/>
      <c r="SZ43" s="1"/>
      <c r="TA43" s="1"/>
      <c r="TB43" s="1"/>
      <c r="TC43" s="1"/>
      <c r="TD43" s="1"/>
      <c r="TE43" s="1"/>
      <c r="TF43" s="1"/>
      <c r="TG43" s="1"/>
      <c r="TH43" s="1"/>
      <c r="TI43" s="1"/>
      <c r="TJ43" s="1"/>
      <c r="TK43" s="1"/>
      <c r="TL43" s="1"/>
      <c r="TM43" s="1"/>
      <c r="TN43" s="1"/>
      <c r="TO43" s="1"/>
      <c r="TP43" s="1"/>
      <c r="TQ43" s="1"/>
      <c r="TR43" s="1"/>
      <c r="TS43" s="1"/>
      <c r="TT43" s="1"/>
      <c r="TU43" s="1"/>
      <c r="TV43" s="1"/>
      <c r="TW43" s="1"/>
      <c r="TX43" s="1"/>
      <c r="TY43" s="1"/>
      <c r="TZ43" s="1"/>
      <c r="UA43" s="1"/>
      <c r="UB43" s="1"/>
      <c r="UC43" s="1"/>
      <c r="UD43" s="1"/>
      <c r="UE43" s="1"/>
      <c r="UF43" s="1"/>
      <c r="UG43" s="1"/>
      <c r="UH43" s="1"/>
      <c r="UI43" s="1"/>
      <c r="UJ43" s="1"/>
      <c r="UK43" s="1"/>
      <c r="UL43" s="1"/>
      <c r="UM43" s="1"/>
      <c r="UN43" s="1"/>
      <c r="UO43" s="1"/>
      <c r="UP43" s="1"/>
      <c r="UQ43" s="1"/>
      <c r="UR43" s="1"/>
      <c r="US43" s="1"/>
      <c r="UT43" s="1"/>
      <c r="UU43" s="1"/>
      <c r="UV43" s="1"/>
      <c r="UW43" s="1"/>
      <c r="UX43" s="1"/>
      <c r="UY43" s="1"/>
      <c r="UZ43" s="1"/>
      <c r="VA43" s="1"/>
      <c r="VB43" s="1"/>
      <c r="VC43" s="1"/>
      <c r="VD43" s="1"/>
      <c r="VE43" s="1"/>
      <c r="VF43" s="1"/>
      <c r="VG43" s="1"/>
      <c r="VH43" s="1"/>
      <c r="VI43" s="1"/>
      <c r="VJ43" s="1"/>
      <c r="VK43" s="1"/>
      <c r="VL43" s="1"/>
      <c r="VM43" s="1"/>
      <c r="VN43" s="1"/>
      <c r="VO43" s="1"/>
      <c r="VP43" s="1"/>
      <c r="VQ43" s="1"/>
      <c r="VR43" s="1"/>
      <c r="VS43" s="1"/>
      <c r="VT43" s="1"/>
      <c r="VU43" s="1"/>
      <c r="VV43" s="1"/>
      <c r="VW43" s="1"/>
      <c r="VX43" s="1"/>
      <c r="VY43" s="1"/>
      <c r="VZ43" s="1"/>
      <c r="WA43" s="1"/>
      <c r="WB43" s="1"/>
      <c r="WC43" s="1"/>
      <c r="WD43" s="1"/>
      <c r="WE43" s="1"/>
      <c r="WF43" s="1"/>
      <c r="WG43" s="1"/>
      <c r="WH43" s="1"/>
      <c r="WI43" s="1"/>
      <c r="WJ43" s="1"/>
      <c r="WK43" s="1"/>
      <c r="WL43" s="1"/>
      <c r="WM43" s="1"/>
      <c r="WN43" s="1"/>
      <c r="WO43" s="1"/>
      <c r="WP43" s="1"/>
      <c r="WQ43" s="1"/>
      <c r="WR43" s="1"/>
      <c r="WS43" s="1"/>
      <c r="WT43" s="1"/>
      <c r="WU43" s="1"/>
      <c r="WV43" s="1"/>
      <c r="WW43" s="1"/>
      <c r="WX43" s="1"/>
      <c r="WY43" s="1"/>
      <c r="WZ43" s="1"/>
      <c r="XA43" s="1"/>
      <c r="XB43" s="1"/>
      <c r="XC43" s="1"/>
      <c r="XD43" s="1"/>
      <c r="XE43" s="1"/>
      <c r="XF43" s="1"/>
      <c r="XG43" s="1"/>
      <c r="XH43" s="1"/>
      <c r="XI43" s="1"/>
      <c r="XJ43" s="1"/>
      <c r="XK43" s="1"/>
      <c r="XL43" s="1"/>
      <c r="XM43" s="1"/>
      <c r="XN43" s="1"/>
      <c r="XO43" s="1"/>
      <c r="XP43" s="1"/>
      <c r="XQ43" s="1"/>
      <c r="XR43" s="1"/>
      <c r="XS43" s="1"/>
      <c r="XT43" s="1"/>
      <c r="XU43" s="1"/>
      <c r="XV43" s="1"/>
      <c r="XW43" s="1"/>
      <c r="XX43" s="1"/>
      <c r="XY43" s="1"/>
      <c r="XZ43" s="1"/>
      <c r="YA43" s="1"/>
      <c r="YB43" s="1"/>
      <c r="YC43" s="1"/>
      <c r="YD43" s="1"/>
      <c r="YE43" s="1"/>
      <c r="YF43" s="1"/>
      <c r="YG43" s="1"/>
      <c r="YH43" s="1"/>
      <c r="YI43" s="1"/>
      <c r="YJ43" s="1"/>
      <c r="YK43" s="1"/>
      <c r="YL43" s="1"/>
      <c r="YM43" s="1"/>
      <c r="YN43" s="1"/>
      <c r="YO43" s="1"/>
      <c r="YP43" s="1"/>
      <c r="YQ43" s="1"/>
      <c r="YR43" s="1"/>
      <c r="YS43" s="1"/>
      <c r="YT43" s="1"/>
      <c r="YU43" s="1"/>
      <c r="YV43" s="1"/>
      <c r="YW43" s="1"/>
      <c r="YX43" s="1"/>
      <c r="YY43" s="1"/>
      <c r="YZ43" s="1"/>
      <c r="ZA43" s="1"/>
      <c r="ZB43" s="1"/>
      <c r="ZC43" s="1"/>
      <c r="ZD43" s="1"/>
      <c r="ZE43" s="1"/>
      <c r="ZF43" s="1"/>
      <c r="ZG43" s="1"/>
      <c r="ZH43" s="1"/>
      <c r="ZI43" s="1"/>
      <c r="ZJ43" s="1"/>
      <c r="ZK43" s="1"/>
      <c r="ZL43" s="1"/>
      <c r="ZM43" s="1"/>
      <c r="ZN43" s="1"/>
      <c r="ZO43" s="1"/>
      <c r="ZP43" s="1"/>
      <c r="ZQ43" s="1"/>
      <c r="ZR43" s="1"/>
      <c r="ZS43" s="1"/>
      <c r="ZT43" s="1"/>
      <c r="ZU43" s="1"/>
      <c r="ZV43" s="1"/>
      <c r="ZW43" s="1"/>
      <c r="ZX43" s="1"/>
      <c r="ZY43" s="1"/>
      <c r="ZZ43" s="1"/>
      <c r="AAA43" s="1"/>
      <c r="AAB43" s="1"/>
      <c r="AAC43" s="1"/>
      <c r="AAD43" s="1"/>
      <c r="AAE43" s="1"/>
      <c r="AAF43" s="1"/>
      <c r="AAG43" s="1"/>
      <c r="AAH43" s="1"/>
      <c r="AAI43" s="1"/>
      <c r="AAJ43" s="1"/>
      <c r="AAK43" s="1"/>
      <c r="AAL43" s="1"/>
      <c r="AAM43" s="1"/>
      <c r="AAN43" s="1"/>
      <c r="AAO43" s="1"/>
      <c r="AAP43" s="1"/>
      <c r="AAQ43" s="1"/>
      <c r="AAR43" s="1"/>
      <c r="AAS43" s="1"/>
      <c r="AAT43" s="1"/>
      <c r="AAU43" s="1"/>
      <c r="AAV43" s="1"/>
      <c r="AAW43" s="1"/>
      <c r="AAX43" s="1"/>
      <c r="AAY43" s="1"/>
      <c r="AAZ43" s="1"/>
      <c r="ABA43" s="1"/>
      <c r="ABB43" s="1"/>
      <c r="ABC43" s="1"/>
      <c r="ABD43" s="1"/>
      <c r="ABE43" s="1"/>
      <c r="ABF43" s="1"/>
      <c r="ABG43" s="1"/>
      <c r="ABH43" s="1"/>
      <c r="ABI43" s="1"/>
      <c r="ABJ43" s="1"/>
      <c r="ABK43" s="1"/>
      <c r="ABL43" s="1"/>
      <c r="ABM43" s="1"/>
      <c r="ABN43" s="1"/>
      <c r="ABO43" s="1"/>
      <c r="ABP43" s="1"/>
      <c r="ABQ43" s="1"/>
      <c r="ABR43" s="1"/>
      <c r="ABS43" s="1"/>
      <c r="ABT43" s="1"/>
      <c r="ABU43" s="1"/>
      <c r="ABV43" s="1"/>
      <c r="ABW43" s="1"/>
      <c r="ABX43" s="1"/>
      <c r="ABY43" s="1"/>
      <c r="ABZ43" s="1"/>
      <c r="ACA43" s="1"/>
      <c r="ACB43" s="1"/>
      <c r="ACC43" s="1"/>
      <c r="ACD43" s="1"/>
      <c r="ACE43" s="1"/>
      <c r="ACF43" s="1"/>
      <c r="ACG43" s="1"/>
      <c r="ACH43" s="1"/>
      <c r="ACI43" s="1"/>
      <c r="ACJ43" s="1"/>
      <c r="ACK43" s="1"/>
      <c r="ACL43" s="1"/>
      <c r="ACM43" s="1"/>
      <c r="ACN43" s="1"/>
      <c r="ACO43" s="1"/>
      <c r="ACP43" s="1"/>
      <c r="ACQ43" s="1"/>
      <c r="ACR43" s="1"/>
      <c r="ACS43" s="1"/>
      <c r="ACT43" s="1"/>
      <c r="ACU43" s="1"/>
      <c r="ACV43" s="1"/>
      <c r="ACW43" s="1"/>
      <c r="ACX43" s="1"/>
      <c r="ACY43" s="1"/>
      <c r="ACZ43" s="1"/>
      <c r="ADA43" s="1"/>
      <c r="ADB43" s="1"/>
      <c r="ADC43" s="1"/>
      <c r="ADD43" s="1"/>
      <c r="ADE43" s="1"/>
      <c r="ADF43" s="1"/>
      <c r="ADG43" s="1"/>
      <c r="ADH43" s="1"/>
      <c r="ADI43" s="1"/>
      <c r="ADJ43" s="1"/>
      <c r="ADK43" s="1"/>
      <c r="ADL43" s="1"/>
      <c r="ADM43" s="1"/>
      <c r="ADN43" s="1"/>
      <c r="ADO43" s="1"/>
      <c r="ADP43" s="1"/>
      <c r="ADQ43" s="1"/>
      <c r="ADR43" s="1"/>
      <c r="ADS43" s="1"/>
      <c r="ADT43" s="1"/>
      <c r="ADU43" s="1"/>
      <c r="ADV43" s="1"/>
      <c r="ADW43" s="1"/>
      <c r="ADX43" s="1"/>
      <c r="ADY43" s="1"/>
      <c r="ADZ43" s="1"/>
      <c r="AEA43" s="1"/>
      <c r="AEB43" s="1"/>
      <c r="AEC43" s="1"/>
      <c r="AED43" s="1"/>
      <c r="AEE43" s="1"/>
      <c r="AEF43" s="1"/>
      <c r="AEG43" s="1"/>
      <c r="AEH43" s="1"/>
      <c r="AEI43" s="1"/>
      <c r="AEJ43" s="1"/>
      <c r="AEK43" s="1"/>
      <c r="AEL43" s="1"/>
      <c r="AEM43" s="1"/>
      <c r="AEN43" s="1"/>
      <c r="AEO43" s="1"/>
      <c r="AEP43" s="1"/>
      <c r="AEQ43" s="1"/>
      <c r="AER43" s="1"/>
      <c r="AES43" s="1"/>
      <c r="AET43" s="1"/>
      <c r="AEU43" s="1"/>
      <c r="AEV43" s="1"/>
      <c r="AEW43" s="1"/>
      <c r="AEX43" s="1"/>
      <c r="AEY43" s="1"/>
      <c r="AEZ43" s="1"/>
      <c r="AFA43" s="1"/>
      <c r="AFB43" s="1"/>
      <c r="AFC43" s="1"/>
      <c r="AFD43" s="1"/>
      <c r="AFE43" s="1"/>
      <c r="AFF43" s="1"/>
      <c r="AFG43" s="1"/>
      <c r="AFH43" s="1"/>
      <c r="AFI43" s="1"/>
      <c r="AFJ43" s="1"/>
      <c r="AFK43" s="1"/>
      <c r="AFL43" s="1"/>
      <c r="AFM43" s="1"/>
      <c r="AFN43" s="1"/>
      <c r="AFO43" s="1"/>
      <c r="AFP43" s="1"/>
      <c r="AFQ43" s="1"/>
      <c r="AFR43" s="1"/>
      <c r="AFS43" s="1"/>
      <c r="AFT43" s="1"/>
      <c r="AFU43" s="1"/>
      <c r="AFV43" s="1"/>
      <c r="AFW43" s="1"/>
      <c r="AFX43" s="1"/>
      <c r="AFY43" s="1"/>
      <c r="AFZ43" s="1"/>
      <c r="AGA43" s="1"/>
      <c r="AGB43" s="1"/>
      <c r="AGC43" s="1"/>
      <c r="AGD43" s="1"/>
      <c r="AGE43" s="1"/>
      <c r="AGF43" s="1"/>
      <c r="AGG43" s="1"/>
      <c r="AGH43" s="1"/>
      <c r="AGI43" s="1"/>
      <c r="AGJ43" s="1"/>
      <c r="AGK43" s="1"/>
      <c r="AGL43" s="1"/>
      <c r="AGM43" s="1"/>
      <c r="AGN43" s="1"/>
      <c r="AGO43" s="1"/>
      <c r="AGP43" s="1"/>
      <c r="AGQ43" s="1"/>
      <c r="AGR43" s="1"/>
      <c r="AGS43" s="1"/>
      <c r="AGT43" s="1"/>
      <c r="AGU43" s="1"/>
      <c r="AGV43" s="1"/>
      <c r="AGW43" s="1"/>
      <c r="AGX43" s="1"/>
      <c r="AGY43" s="1"/>
      <c r="AGZ43" s="1"/>
      <c r="AHA43" s="1"/>
      <c r="AHB43" s="1"/>
      <c r="AHC43" s="1"/>
      <c r="AHD43" s="1"/>
      <c r="AHE43" s="1"/>
      <c r="AHF43" s="1"/>
      <c r="AHG43" s="1"/>
      <c r="AHH43" s="1"/>
      <c r="AHI43" s="1"/>
      <c r="AHJ43" s="1"/>
      <c r="AHK43" s="1"/>
      <c r="AHL43" s="1"/>
      <c r="AHM43" s="1"/>
      <c r="AHN43" s="1"/>
      <c r="AHO43" s="1"/>
      <c r="AHP43" s="1"/>
      <c r="AHQ43" s="1"/>
      <c r="AHR43" s="1"/>
      <c r="AHS43" s="1"/>
      <c r="AHT43" s="1"/>
      <c r="AHU43" s="1"/>
      <c r="AHV43" s="1"/>
      <c r="AHW43" s="1"/>
      <c r="AHX43" s="1"/>
      <c r="AHY43" s="1"/>
      <c r="AHZ43" s="1"/>
      <c r="AIA43" s="1"/>
      <c r="AIB43" s="1"/>
      <c r="AIC43" s="1"/>
      <c r="AID43" s="1"/>
      <c r="AIE43" s="1"/>
      <c r="AIF43" s="1"/>
      <c r="AIG43" s="1"/>
      <c r="AIH43" s="1"/>
      <c r="AII43" s="1"/>
      <c r="AIJ43" s="1"/>
      <c r="AIK43" s="1"/>
      <c r="AIL43" s="1"/>
      <c r="AIM43" s="1"/>
      <c r="AIN43" s="1"/>
      <c r="AIO43" s="1"/>
      <c r="AIP43" s="1"/>
      <c r="AIQ43" s="1"/>
      <c r="AIR43" s="1"/>
      <c r="AIS43" s="1"/>
      <c r="AIT43" s="1"/>
      <c r="AIU43" s="1"/>
      <c r="AIV43" s="1"/>
      <c r="AIW43" s="1"/>
      <c r="AIX43" s="1"/>
      <c r="AIY43" s="1"/>
      <c r="AIZ43" s="1"/>
      <c r="AJA43" s="1"/>
      <c r="AJB43" s="1"/>
      <c r="AJC43" s="1"/>
      <c r="AJD43" s="1"/>
      <c r="AJE43" s="1"/>
      <c r="AJF43" s="1"/>
      <c r="AJG43" s="1"/>
      <c r="AJH43" s="1"/>
      <c r="AJI43" s="1"/>
      <c r="AJJ43" s="1"/>
      <c r="AJK43" s="1"/>
      <c r="AJL43" s="1"/>
      <c r="AJM43" s="1"/>
      <c r="AJN43" s="1"/>
      <c r="AJO43" s="1"/>
      <c r="AJP43" s="1"/>
      <c r="AJQ43" s="1"/>
      <c r="AJR43" s="1"/>
      <c r="AJS43" s="1"/>
      <c r="AJT43" s="1"/>
      <c r="AJU43" s="1"/>
      <c r="AJV43" s="1"/>
      <c r="AJW43" s="1"/>
      <c r="AJX43" s="1"/>
      <c r="AJY43" s="1"/>
      <c r="AJZ43" s="1"/>
      <c r="AKA43" s="1"/>
      <c r="AKB43" s="1"/>
      <c r="AKC43" s="1"/>
      <c r="AKD43" s="1"/>
      <c r="AKE43" s="1"/>
      <c r="AKF43" s="1"/>
      <c r="AKG43" s="1"/>
      <c r="AKH43" s="1"/>
      <c r="AKI43" s="1"/>
      <c r="AKJ43" s="1"/>
      <c r="AKK43" s="1"/>
      <c r="AKL43" s="1"/>
      <c r="AKM43" s="1"/>
      <c r="AKN43" s="1"/>
      <c r="AKO43" s="1"/>
      <c r="AKP43" s="1"/>
      <c r="AKQ43" s="1"/>
      <c r="AKR43" s="1"/>
      <c r="AKS43" s="1"/>
      <c r="AKT43" s="1"/>
      <c r="AKU43" s="1"/>
      <c r="AKV43" s="1"/>
      <c r="AKW43" s="1"/>
      <c r="AKX43" s="1"/>
      <c r="AKY43" s="1"/>
      <c r="AKZ43" s="1"/>
      <c r="ALA43" s="1"/>
      <c r="ALB43" s="1"/>
      <c r="ALC43" s="1"/>
      <c r="ALD43" s="1"/>
      <c r="ALE43" s="1"/>
      <c r="ALF43" s="1"/>
      <c r="ALG43" s="1"/>
      <c r="ALH43" s="1"/>
      <c r="ALI43" s="1"/>
      <c r="ALJ43" s="1"/>
      <c r="ALK43" s="1"/>
      <c r="ALL43" s="1"/>
      <c r="ALM43" s="1"/>
      <c r="ALN43" s="1"/>
      <c r="ALO43" s="1"/>
      <c r="ALP43" s="1"/>
      <c r="ALQ43" s="1"/>
      <c r="ALR43" s="1"/>
      <c r="ALS43" s="1"/>
      <c r="ALT43" s="1"/>
      <c r="ALU43" s="1"/>
      <c r="ALV43" s="1"/>
      <c r="ALW43" s="1"/>
      <c r="ALX43" s="1"/>
      <c r="ALY43" s="1"/>
      <c r="ALZ43" s="1"/>
      <c r="AMA43" s="1"/>
      <c r="AMB43" s="1"/>
      <c r="AMC43" s="1"/>
      <c r="AMD43" s="1"/>
      <c r="AME43" s="1"/>
      <c r="AMF43" s="1"/>
      <c r="AMG43" s="1"/>
      <c r="AMH43" s="1"/>
      <c r="AMI43" s="1"/>
      <c r="AMJ43" s="1"/>
      <c r="AMK43" s="1"/>
      <c r="AML43" s="1"/>
      <c r="AMM43" s="1"/>
      <c r="AMN43" s="1"/>
    </row>
    <row r="44" spans="1:1028" x14ac:dyDescent="0.2">
      <c r="A44" s="3" t="str">
        <f t="shared" si="194"/>
        <v>acm3_rat_4U16</v>
      </c>
      <c r="B44" s="3" t="s">
        <v>910</v>
      </c>
      <c r="C44" s="3" t="s">
        <v>1054</v>
      </c>
      <c r="D44" s="3" t="str">
        <f>IFERROR(MID(VLOOKUP($B44,Seqs!$A:$B,2,0),E44,1),"")</f>
        <v>I</v>
      </c>
      <c r="E44" s="3">
        <v>64</v>
      </c>
      <c r="F44" s="3" t="str">
        <f>IFERROR(MID(VLOOKUP($B44,Seqs!$A:$B,2,0),G44,1),"")</f>
        <v>N</v>
      </c>
      <c r="G44" s="3">
        <v>95</v>
      </c>
      <c r="H44" s="3" t="str">
        <f>IFERROR(MID(VLOOKUP($B44,Seqs!$A:$B,2,0),I44,1),"")</f>
        <v>K</v>
      </c>
      <c r="I44" s="23">
        <v>96</v>
      </c>
      <c r="J44" s="3" t="str">
        <f>IFERROR(MID(VLOOKUP($B44,Seqs!$A:$B,2,0),K44,1),"")</f>
        <v>K</v>
      </c>
      <c r="K44" s="23">
        <v>99</v>
      </c>
      <c r="L44" s="3" t="str">
        <f>IFERROR(MID(VLOOKUP($B44,Seqs!$A:$B,2,0),M44,1),"")</f>
        <v>T</v>
      </c>
      <c r="M44" s="3">
        <v>100</v>
      </c>
      <c r="N44" s="3" t="str">
        <f>IFERROR(MID(VLOOKUP($B44,Seqs!$A:$B,2,0),O44,1),"")</f>
        <v>M</v>
      </c>
      <c r="O44" s="3">
        <v>130</v>
      </c>
      <c r="P44" s="3" t="str">
        <f>IFERROR(MID(VLOOKUP($B44,Seqs!$A:$B,2,0),Q44,1),"")</f>
        <v>R</v>
      </c>
      <c r="Q44" s="3">
        <v>132</v>
      </c>
      <c r="R44" s="3" t="str">
        <f>IFERROR(MID(VLOOKUP($B44,Seqs!$A:$B,2,0),S44,1),"")</f>
        <v>L</v>
      </c>
      <c r="S44" s="3">
        <v>135</v>
      </c>
      <c r="T44" s="3" t="str">
        <f>IFERROR(MID(VLOOKUP($B44,Seqs!$A:$B,2,0),U44,1),"")</f>
        <v>G</v>
      </c>
      <c r="U44" s="3">
        <v>136</v>
      </c>
      <c r="V44" s="3" t="str">
        <f>IFERROR(MID(VLOOKUP($B44,Seqs!$A:$B,2,0),W44,1),"")</f>
        <v>R</v>
      </c>
      <c r="W44" s="3">
        <v>171</v>
      </c>
      <c r="X44" s="3" t="str">
        <f>IFERROR(MID(VLOOKUP($B44,Seqs!$A:$B,2,0),Y44,1),"")</f>
        <v>P</v>
      </c>
      <c r="Y44" s="3">
        <v>172</v>
      </c>
      <c r="Z44" s="3" t="str">
        <f>IFERROR(MID(VLOOKUP($B44,Seqs!$A:$B,2,0),AA44,1),"")</f>
        <v>R</v>
      </c>
      <c r="AA44" s="3">
        <v>179</v>
      </c>
      <c r="AB44" s="3" t="str">
        <f>IFERROR(MID(VLOOKUP($B44,Seqs!$A:$B,2,0),AC44,1),"")</f>
        <v>T</v>
      </c>
      <c r="AC44" s="9">
        <v>180</v>
      </c>
      <c r="AD44" s="3" t="str">
        <f>IFERROR(MID(VLOOKUP($B44,Seqs!$A:$B,2,0),AE44,1),"")</f>
        <v>G</v>
      </c>
      <c r="AE44" s="3">
        <v>211</v>
      </c>
      <c r="AF44" s="3" t="str">
        <f>IFERROR(MID(VLOOKUP($B44,Seqs!$A:$B,2,0),AG44,1),"")</f>
        <v>C</v>
      </c>
      <c r="AG44" s="3">
        <v>220</v>
      </c>
      <c r="AH44" s="3" t="str">
        <f>IFERROR(MID(VLOOKUP($B44,Seqs!$A:$B,2,0),AI44,1),"")</f>
        <v>I</v>
      </c>
      <c r="AI44" s="3">
        <v>222</v>
      </c>
      <c r="AJ44" s="3" t="str">
        <f>IFERROR(MID(VLOOKUP($B44,Seqs!$A:$B,2,0),AK44,1),"")</f>
        <v>E</v>
      </c>
      <c r="AK44" s="3">
        <v>227</v>
      </c>
      <c r="AL44" s="3" t="str">
        <f>IFERROR(MID(VLOOKUP($B44,Seqs!$A:$B,2,0),AM44,1),"")</f>
        <v>K</v>
      </c>
      <c r="AM44" s="3">
        <v>259</v>
      </c>
      <c r="AN44" s="3" t="str">
        <f>IFERROR(MID(VLOOKUP($B44,Seqs!$A:$B,2,0),AO44,1),"")</f>
        <v>I</v>
      </c>
      <c r="AO44" s="3">
        <v>483</v>
      </c>
      <c r="AP44" s="3" t="str">
        <f>IFERROR(MID(VLOOKUP($B44,Seqs!$A:$B,2,0),AQ44,1),"")</f>
        <v>C</v>
      </c>
      <c r="AQ44" s="3">
        <v>516</v>
      </c>
      <c r="AR44" s="3" t="str">
        <f>IFERROR(MID(VLOOKUP($B44,Seqs!$A:$B,2,0),AS44,1),"")</f>
        <v>P</v>
      </c>
      <c r="AS44" s="3">
        <v>521</v>
      </c>
      <c r="AT44" s="3" t="str">
        <f>IFERROR(MID(VLOOKUP($B44,Seqs!$A:$B,2,0),AU44,1),"")</f>
        <v>C</v>
      </c>
      <c r="AU44" s="3">
        <v>546</v>
      </c>
      <c r="AV44" s="3" t="str">
        <f>IFERROR(MID(VLOOKUP($B44,Seqs!$A:$B,2,0),AW44,1),"")</f>
        <v/>
      </c>
      <c r="AW44" s="3" t="s">
        <v>23</v>
      </c>
      <c r="AX44" s="3" t="str">
        <f>IFERROR(MID(VLOOKUP($B44,Seqs!$A:$B,2,0),AY44,1),"")</f>
        <v/>
      </c>
      <c r="AY44" s="3" t="s">
        <v>23</v>
      </c>
      <c r="AZ44" s="79" t="str">
        <f>VLOOKUP(B44,Classification!A:D,2,0)</f>
        <v>A</v>
      </c>
      <c r="BA44" s="97" t="str">
        <f>VLOOKUP(B44,Classification!A:D,4,0)</f>
        <v>Acetylcholine(muscarinic)</v>
      </c>
      <c r="BB44" s="27" t="b">
        <f t="shared" si="195"/>
        <v>1</v>
      </c>
      <c r="BC44" s="23">
        <f t="shared" si="84"/>
        <v>244</v>
      </c>
      <c r="BD44" s="4" t="s">
        <v>23</v>
      </c>
      <c r="BE44" s="3" t="s">
        <v>1381</v>
      </c>
      <c r="BF44" s="50" t="s">
        <v>1384</v>
      </c>
      <c r="BG44" s="50" t="s">
        <v>1384</v>
      </c>
      <c r="BH44" s="1"/>
      <c r="BI44" s="72" t="s">
        <v>1293</v>
      </c>
      <c r="BJ44" s="58" t="s">
        <v>1293</v>
      </c>
      <c r="BK44" s="58" t="s">
        <v>1293</v>
      </c>
      <c r="BL44" s="58" t="s">
        <v>1293</v>
      </c>
      <c r="BM44" s="58" t="s">
        <v>1293</v>
      </c>
      <c r="BN44" s="58" t="s">
        <v>1293</v>
      </c>
      <c r="BO44" s="58" t="s">
        <v>1293</v>
      </c>
      <c r="BP44" s="58" t="s">
        <v>1293</v>
      </c>
      <c r="BQ44" s="58" t="s">
        <v>1293</v>
      </c>
      <c r="BR44" s="58" t="s">
        <v>1293</v>
      </c>
      <c r="BS44" s="58" t="s">
        <v>1293</v>
      </c>
      <c r="BT44" s="58" t="s">
        <v>1293</v>
      </c>
      <c r="BU44" s="72">
        <f t="shared" si="85"/>
        <v>64</v>
      </c>
      <c r="BV44" s="73">
        <f t="shared" si="86"/>
        <v>96</v>
      </c>
      <c r="BW44" s="74">
        <f t="shared" si="87"/>
        <v>100</v>
      </c>
      <c r="BX44" s="73">
        <f t="shared" si="88"/>
        <v>132</v>
      </c>
      <c r="BY44" s="74">
        <f t="shared" si="89"/>
        <v>136</v>
      </c>
      <c r="BZ44" s="73">
        <f t="shared" si="90"/>
        <v>172</v>
      </c>
      <c r="CA44" s="74">
        <f t="shared" si="91"/>
        <v>180</v>
      </c>
      <c r="CB44" s="73">
        <f t="shared" si="92"/>
        <v>220</v>
      </c>
      <c r="CC44" s="74">
        <f t="shared" si="93"/>
        <v>227</v>
      </c>
      <c r="CD44" s="73">
        <f t="shared" si="94"/>
        <v>483</v>
      </c>
      <c r="CE44" s="74">
        <f t="shared" si="95"/>
        <v>521</v>
      </c>
      <c r="CF44" s="73" t="str">
        <f t="shared" si="96"/>
        <v>-</v>
      </c>
      <c r="CG44" s="72">
        <f t="shared" si="97"/>
        <v>95</v>
      </c>
      <c r="CH44" s="73">
        <f t="shared" si="98"/>
        <v>99</v>
      </c>
      <c r="CI44" s="74">
        <f t="shared" si="99"/>
        <v>130</v>
      </c>
      <c r="CJ44" s="74">
        <f t="shared" si="100"/>
        <v>135</v>
      </c>
      <c r="CK44" s="74">
        <f t="shared" si="101"/>
        <v>171</v>
      </c>
      <c r="CL44" s="74">
        <f t="shared" si="102"/>
        <v>179</v>
      </c>
      <c r="CM44" s="74">
        <f t="shared" si="103"/>
        <v>211</v>
      </c>
      <c r="CN44" s="74">
        <f t="shared" si="104"/>
        <v>222</v>
      </c>
      <c r="CO44" s="74">
        <f t="shared" si="105"/>
        <v>259</v>
      </c>
      <c r="CP44" s="74">
        <f t="shared" si="106"/>
        <v>516</v>
      </c>
      <c r="CQ44" s="74">
        <f t="shared" si="107"/>
        <v>546</v>
      </c>
      <c r="CR44" s="74" t="str">
        <f t="shared" si="108"/>
        <v>-</v>
      </c>
      <c r="CS44" s="23">
        <f t="shared" si="109"/>
        <v>1</v>
      </c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  <c r="OK44" s="1"/>
      <c r="OL44" s="1"/>
      <c r="OM44" s="1"/>
      <c r="ON44" s="1"/>
      <c r="OO44" s="1"/>
      <c r="OP44" s="1"/>
      <c r="OQ44" s="1"/>
      <c r="OR44" s="1"/>
      <c r="OS44" s="1"/>
      <c r="OT44" s="1"/>
      <c r="OU44" s="1"/>
      <c r="OV44" s="1"/>
      <c r="OW44" s="1"/>
      <c r="OX44" s="1"/>
      <c r="OY44" s="1"/>
      <c r="OZ44" s="1"/>
      <c r="PA44" s="1"/>
      <c r="PB44" s="1"/>
      <c r="PC44" s="1"/>
      <c r="PD44" s="1"/>
      <c r="PE44" s="1"/>
      <c r="PF44" s="1"/>
      <c r="PG44" s="1"/>
      <c r="PH44" s="1"/>
      <c r="PI44" s="1"/>
      <c r="PJ44" s="1"/>
      <c r="PK44" s="1"/>
      <c r="PL44" s="1"/>
      <c r="PM44" s="1"/>
      <c r="PN44" s="1"/>
      <c r="PO44" s="1"/>
      <c r="PP44" s="1"/>
      <c r="PQ44" s="1"/>
      <c r="PR44" s="1"/>
      <c r="PS44" s="1"/>
      <c r="PT44" s="1"/>
      <c r="PU44" s="1"/>
      <c r="PV44" s="1"/>
      <c r="PW44" s="1"/>
      <c r="PX44" s="1"/>
      <c r="PY44" s="1"/>
      <c r="PZ44" s="1"/>
      <c r="QA44" s="1"/>
      <c r="QB44" s="1"/>
      <c r="QC44" s="1"/>
      <c r="QD44" s="1"/>
      <c r="QE44" s="1"/>
      <c r="QF44" s="1"/>
      <c r="QG44" s="1"/>
      <c r="QH44" s="1"/>
      <c r="QI44" s="1"/>
      <c r="QJ44" s="1"/>
      <c r="QK44" s="1"/>
      <c r="QL44" s="1"/>
      <c r="QM44" s="1"/>
      <c r="QN44" s="1"/>
      <c r="QO44" s="1"/>
      <c r="QP44" s="1"/>
      <c r="QQ44" s="1"/>
      <c r="QR44" s="1"/>
      <c r="QS44" s="1"/>
      <c r="QT44" s="1"/>
      <c r="QU44" s="1"/>
      <c r="QV44" s="1"/>
      <c r="QW44" s="1"/>
      <c r="QX44" s="1"/>
      <c r="QY44" s="1"/>
      <c r="QZ44" s="1"/>
      <c r="RA44" s="1"/>
      <c r="RB44" s="1"/>
      <c r="RC44" s="1"/>
      <c r="RD44" s="1"/>
      <c r="RE44" s="1"/>
      <c r="RF44" s="1"/>
      <c r="RG44" s="1"/>
      <c r="RH44" s="1"/>
      <c r="RI44" s="1"/>
      <c r="RJ44" s="1"/>
      <c r="RK44" s="1"/>
      <c r="RL44" s="1"/>
      <c r="RM44" s="1"/>
      <c r="RN44" s="1"/>
      <c r="RO44" s="1"/>
      <c r="RP44" s="1"/>
      <c r="RQ44" s="1"/>
      <c r="RR44" s="1"/>
      <c r="RS44" s="1"/>
      <c r="RT44" s="1"/>
      <c r="RU44" s="1"/>
      <c r="RV44" s="1"/>
      <c r="RW44" s="1"/>
      <c r="RX44" s="1"/>
      <c r="RY44" s="1"/>
      <c r="RZ44" s="1"/>
      <c r="SA44" s="1"/>
      <c r="SB44" s="1"/>
      <c r="SC44" s="1"/>
      <c r="SD44" s="1"/>
      <c r="SE44" s="1"/>
      <c r="SF44" s="1"/>
      <c r="SG44" s="1"/>
      <c r="SH44" s="1"/>
      <c r="SI44" s="1"/>
      <c r="SJ44" s="1"/>
      <c r="SK44" s="1"/>
      <c r="SL44" s="1"/>
      <c r="SM44" s="1"/>
      <c r="SN44" s="1"/>
      <c r="SO44" s="1"/>
      <c r="SP44" s="1"/>
      <c r="SQ44" s="1"/>
      <c r="SR44" s="1"/>
      <c r="SS44" s="1"/>
      <c r="ST44" s="1"/>
      <c r="SU44" s="1"/>
      <c r="SV44" s="1"/>
      <c r="SW44" s="1"/>
      <c r="SX44" s="1"/>
      <c r="SY44" s="1"/>
      <c r="SZ44" s="1"/>
      <c r="TA44" s="1"/>
      <c r="TB44" s="1"/>
      <c r="TC44" s="1"/>
      <c r="TD44" s="1"/>
      <c r="TE44" s="1"/>
      <c r="TF44" s="1"/>
      <c r="TG44" s="1"/>
      <c r="TH44" s="1"/>
      <c r="TI44" s="1"/>
      <c r="TJ44" s="1"/>
      <c r="TK44" s="1"/>
      <c r="TL44" s="1"/>
      <c r="TM44" s="1"/>
      <c r="TN44" s="1"/>
      <c r="TO44" s="1"/>
      <c r="TP44" s="1"/>
      <c r="TQ44" s="1"/>
      <c r="TR44" s="1"/>
      <c r="TS44" s="1"/>
      <c r="TT44" s="1"/>
      <c r="TU44" s="1"/>
      <c r="TV44" s="1"/>
      <c r="TW44" s="1"/>
      <c r="TX44" s="1"/>
      <c r="TY44" s="1"/>
      <c r="TZ44" s="1"/>
      <c r="UA44" s="1"/>
      <c r="UB44" s="1"/>
      <c r="UC44" s="1"/>
      <c r="UD44" s="1"/>
      <c r="UE44" s="1"/>
      <c r="UF44" s="1"/>
      <c r="UG44" s="1"/>
      <c r="UH44" s="1"/>
      <c r="UI44" s="1"/>
      <c r="UJ44" s="1"/>
      <c r="UK44" s="1"/>
      <c r="UL44" s="1"/>
      <c r="UM44" s="1"/>
      <c r="UN44" s="1"/>
      <c r="UO44" s="1"/>
      <c r="UP44" s="1"/>
      <c r="UQ44" s="1"/>
      <c r="UR44" s="1"/>
      <c r="US44" s="1"/>
      <c r="UT44" s="1"/>
      <c r="UU44" s="1"/>
      <c r="UV44" s="1"/>
      <c r="UW44" s="1"/>
      <c r="UX44" s="1"/>
      <c r="UY44" s="1"/>
      <c r="UZ44" s="1"/>
      <c r="VA44" s="1"/>
      <c r="VB44" s="1"/>
      <c r="VC44" s="1"/>
      <c r="VD44" s="1"/>
      <c r="VE44" s="1"/>
      <c r="VF44" s="1"/>
      <c r="VG44" s="1"/>
      <c r="VH44" s="1"/>
      <c r="VI44" s="1"/>
      <c r="VJ44" s="1"/>
      <c r="VK44" s="1"/>
      <c r="VL44" s="1"/>
      <c r="VM44" s="1"/>
      <c r="VN44" s="1"/>
      <c r="VO44" s="1"/>
      <c r="VP44" s="1"/>
      <c r="VQ44" s="1"/>
      <c r="VR44" s="1"/>
      <c r="VS44" s="1"/>
      <c r="VT44" s="1"/>
      <c r="VU44" s="1"/>
      <c r="VV44" s="1"/>
      <c r="VW44" s="1"/>
      <c r="VX44" s="1"/>
      <c r="VY44" s="1"/>
      <c r="VZ44" s="1"/>
      <c r="WA44" s="1"/>
      <c r="WB44" s="1"/>
      <c r="WC44" s="1"/>
      <c r="WD44" s="1"/>
      <c r="WE44" s="1"/>
      <c r="WF44" s="1"/>
      <c r="WG44" s="1"/>
      <c r="WH44" s="1"/>
      <c r="WI44" s="1"/>
      <c r="WJ44" s="1"/>
      <c r="WK44" s="1"/>
      <c r="WL44" s="1"/>
      <c r="WM44" s="1"/>
      <c r="WN44" s="1"/>
      <c r="WO44" s="1"/>
      <c r="WP44" s="1"/>
      <c r="WQ44" s="1"/>
      <c r="WR44" s="1"/>
      <c r="WS44" s="1"/>
      <c r="WT44" s="1"/>
      <c r="WU44" s="1"/>
      <c r="WV44" s="1"/>
      <c r="WW44" s="1"/>
      <c r="WX44" s="1"/>
      <c r="WY44" s="1"/>
      <c r="WZ44" s="1"/>
      <c r="XA44" s="1"/>
      <c r="XB44" s="1"/>
      <c r="XC44" s="1"/>
      <c r="XD44" s="1"/>
      <c r="XE44" s="1"/>
      <c r="XF44" s="1"/>
      <c r="XG44" s="1"/>
      <c r="XH44" s="1"/>
      <c r="XI44" s="1"/>
      <c r="XJ44" s="1"/>
      <c r="XK44" s="1"/>
      <c r="XL44" s="1"/>
      <c r="XM44" s="1"/>
      <c r="XN44" s="1"/>
      <c r="XO44" s="1"/>
      <c r="XP44" s="1"/>
      <c r="XQ44" s="1"/>
      <c r="XR44" s="1"/>
      <c r="XS44" s="1"/>
      <c r="XT44" s="1"/>
      <c r="XU44" s="1"/>
      <c r="XV44" s="1"/>
      <c r="XW44" s="1"/>
      <c r="XX44" s="1"/>
      <c r="XY44" s="1"/>
      <c r="XZ44" s="1"/>
      <c r="YA44" s="1"/>
      <c r="YB44" s="1"/>
      <c r="YC44" s="1"/>
      <c r="YD44" s="1"/>
      <c r="YE44" s="1"/>
      <c r="YF44" s="1"/>
      <c r="YG44" s="1"/>
      <c r="YH44" s="1"/>
      <c r="YI44" s="1"/>
      <c r="YJ44" s="1"/>
      <c r="YK44" s="1"/>
      <c r="YL44" s="1"/>
      <c r="YM44" s="1"/>
      <c r="YN44" s="1"/>
      <c r="YO44" s="1"/>
      <c r="YP44" s="1"/>
      <c r="YQ44" s="1"/>
      <c r="YR44" s="1"/>
      <c r="YS44" s="1"/>
      <c r="YT44" s="1"/>
      <c r="YU44" s="1"/>
      <c r="YV44" s="1"/>
      <c r="YW44" s="1"/>
      <c r="YX44" s="1"/>
      <c r="YY44" s="1"/>
      <c r="YZ44" s="1"/>
      <c r="ZA44" s="1"/>
      <c r="ZB44" s="1"/>
      <c r="ZC44" s="1"/>
      <c r="ZD44" s="1"/>
      <c r="ZE44" s="1"/>
      <c r="ZF44" s="1"/>
      <c r="ZG44" s="1"/>
      <c r="ZH44" s="1"/>
      <c r="ZI44" s="1"/>
      <c r="ZJ44" s="1"/>
      <c r="ZK44" s="1"/>
      <c r="ZL44" s="1"/>
      <c r="ZM44" s="1"/>
      <c r="ZN44" s="1"/>
      <c r="ZO44" s="1"/>
      <c r="ZP44" s="1"/>
      <c r="ZQ44" s="1"/>
      <c r="ZR44" s="1"/>
      <c r="ZS44" s="1"/>
      <c r="ZT44" s="1"/>
      <c r="ZU44" s="1"/>
      <c r="ZV44" s="1"/>
      <c r="ZW44" s="1"/>
      <c r="ZX44" s="1"/>
      <c r="ZY44" s="1"/>
      <c r="ZZ44" s="1"/>
      <c r="AAA44" s="1"/>
      <c r="AAB44" s="1"/>
      <c r="AAC44" s="1"/>
      <c r="AAD44" s="1"/>
      <c r="AAE44" s="1"/>
      <c r="AAF44" s="1"/>
      <c r="AAG44" s="1"/>
      <c r="AAH44" s="1"/>
      <c r="AAI44" s="1"/>
      <c r="AAJ44" s="1"/>
      <c r="AAK44" s="1"/>
      <c r="AAL44" s="1"/>
      <c r="AAM44" s="1"/>
      <c r="AAN44" s="1"/>
      <c r="AAO44" s="1"/>
      <c r="AAP44" s="1"/>
      <c r="AAQ44" s="1"/>
      <c r="AAR44" s="1"/>
      <c r="AAS44" s="1"/>
      <c r="AAT44" s="1"/>
      <c r="AAU44" s="1"/>
      <c r="AAV44" s="1"/>
      <c r="AAW44" s="1"/>
      <c r="AAX44" s="1"/>
      <c r="AAY44" s="1"/>
      <c r="AAZ44" s="1"/>
      <c r="ABA44" s="1"/>
      <c r="ABB44" s="1"/>
      <c r="ABC44" s="1"/>
      <c r="ABD44" s="1"/>
      <c r="ABE44" s="1"/>
      <c r="ABF44" s="1"/>
      <c r="ABG44" s="1"/>
      <c r="ABH44" s="1"/>
      <c r="ABI44" s="1"/>
      <c r="ABJ44" s="1"/>
      <c r="ABK44" s="1"/>
      <c r="ABL44" s="1"/>
      <c r="ABM44" s="1"/>
      <c r="ABN44" s="1"/>
      <c r="ABO44" s="1"/>
      <c r="ABP44" s="1"/>
      <c r="ABQ44" s="1"/>
      <c r="ABR44" s="1"/>
      <c r="ABS44" s="1"/>
      <c r="ABT44" s="1"/>
      <c r="ABU44" s="1"/>
      <c r="ABV44" s="1"/>
      <c r="ABW44" s="1"/>
      <c r="ABX44" s="1"/>
      <c r="ABY44" s="1"/>
      <c r="ABZ44" s="1"/>
      <c r="ACA44" s="1"/>
      <c r="ACB44" s="1"/>
      <c r="ACC44" s="1"/>
      <c r="ACD44" s="1"/>
      <c r="ACE44" s="1"/>
      <c r="ACF44" s="1"/>
      <c r="ACG44" s="1"/>
      <c r="ACH44" s="1"/>
      <c r="ACI44" s="1"/>
      <c r="ACJ44" s="1"/>
      <c r="ACK44" s="1"/>
      <c r="ACL44" s="1"/>
      <c r="ACM44" s="1"/>
      <c r="ACN44" s="1"/>
      <c r="ACO44" s="1"/>
      <c r="ACP44" s="1"/>
      <c r="ACQ44" s="1"/>
      <c r="ACR44" s="1"/>
      <c r="ACS44" s="1"/>
      <c r="ACT44" s="1"/>
      <c r="ACU44" s="1"/>
      <c r="ACV44" s="1"/>
      <c r="ACW44" s="1"/>
      <c r="ACX44" s="1"/>
      <c r="ACY44" s="1"/>
      <c r="ACZ44" s="1"/>
      <c r="ADA44" s="1"/>
      <c r="ADB44" s="1"/>
      <c r="ADC44" s="1"/>
      <c r="ADD44" s="1"/>
      <c r="ADE44" s="1"/>
      <c r="ADF44" s="1"/>
      <c r="ADG44" s="1"/>
      <c r="ADH44" s="1"/>
      <c r="ADI44" s="1"/>
      <c r="ADJ44" s="1"/>
      <c r="ADK44" s="1"/>
      <c r="ADL44" s="1"/>
      <c r="ADM44" s="1"/>
      <c r="ADN44" s="1"/>
      <c r="ADO44" s="1"/>
      <c r="ADP44" s="1"/>
      <c r="ADQ44" s="1"/>
      <c r="ADR44" s="1"/>
      <c r="ADS44" s="1"/>
      <c r="ADT44" s="1"/>
      <c r="ADU44" s="1"/>
      <c r="ADV44" s="1"/>
      <c r="ADW44" s="1"/>
      <c r="ADX44" s="1"/>
      <c r="ADY44" s="1"/>
      <c r="ADZ44" s="1"/>
      <c r="AEA44" s="1"/>
      <c r="AEB44" s="1"/>
      <c r="AEC44" s="1"/>
      <c r="AED44" s="1"/>
      <c r="AEE44" s="1"/>
      <c r="AEF44" s="1"/>
      <c r="AEG44" s="1"/>
      <c r="AEH44" s="1"/>
      <c r="AEI44" s="1"/>
      <c r="AEJ44" s="1"/>
      <c r="AEK44" s="1"/>
      <c r="AEL44" s="1"/>
      <c r="AEM44" s="1"/>
      <c r="AEN44" s="1"/>
      <c r="AEO44" s="1"/>
      <c r="AEP44" s="1"/>
      <c r="AEQ44" s="1"/>
      <c r="AER44" s="1"/>
      <c r="AES44" s="1"/>
      <c r="AET44" s="1"/>
      <c r="AEU44" s="1"/>
      <c r="AEV44" s="1"/>
      <c r="AEW44" s="1"/>
      <c r="AEX44" s="1"/>
      <c r="AEY44" s="1"/>
      <c r="AEZ44" s="1"/>
      <c r="AFA44" s="1"/>
      <c r="AFB44" s="1"/>
      <c r="AFC44" s="1"/>
      <c r="AFD44" s="1"/>
      <c r="AFE44" s="1"/>
      <c r="AFF44" s="1"/>
      <c r="AFG44" s="1"/>
      <c r="AFH44" s="1"/>
      <c r="AFI44" s="1"/>
      <c r="AFJ44" s="1"/>
      <c r="AFK44" s="1"/>
      <c r="AFL44" s="1"/>
      <c r="AFM44" s="1"/>
      <c r="AFN44" s="1"/>
      <c r="AFO44" s="1"/>
      <c r="AFP44" s="1"/>
      <c r="AFQ44" s="1"/>
      <c r="AFR44" s="1"/>
      <c r="AFS44" s="1"/>
      <c r="AFT44" s="1"/>
      <c r="AFU44" s="1"/>
      <c r="AFV44" s="1"/>
      <c r="AFW44" s="1"/>
      <c r="AFX44" s="1"/>
      <c r="AFY44" s="1"/>
      <c r="AFZ44" s="1"/>
      <c r="AGA44" s="1"/>
      <c r="AGB44" s="1"/>
      <c r="AGC44" s="1"/>
      <c r="AGD44" s="1"/>
      <c r="AGE44" s="1"/>
      <c r="AGF44" s="1"/>
      <c r="AGG44" s="1"/>
      <c r="AGH44" s="1"/>
      <c r="AGI44" s="1"/>
      <c r="AGJ44" s="1"/>
      <c r="AGK44" s="1"/>
      <c r="AGL44" s="1"/>
      <c r="AGM44" s="1"/>
      <c r="AGN44" s="1"/>
      <c r="AGO44" s="1"/>
      <c r="AGP44" s="1"/>
      <c r="AGQ44" s="1"/>
      <c r="AGR44" s="1"/>
      <c r="AGS44" s="1"/>
      <c r="AGT44" s="1"/>
      <c r="AGU44" s="1"/>
      <c r="AGV44" s="1"/>
      <c r="AGW44" s="1"/>
      <c r="AGX44" s="1"/>
      <c r="AGY44" s="1"/>
      <c r="AGZ44" s="1"/>
      <c r="AHA44" s="1"/>
      <c r="AHB44" s="1"/>
      <c r="AHC44" s="1"/>
      <c r="AHD44" s="1"/>
      <c r="AHE44" s="1"/>
      <c r="AHF44" s="1"/>
      <c r="AHG44" s="1"/>
      <c r="AHH44" s="1"/>
      <c r="AHI44" s="1"/>
      <c r="AHJ44" s="1"/>
      <c r="AHK44" s="1"/>
      <c r="AHL44" s="1"/>
      <c r="AHM44" s="1"/>
      <c r="AHN44" s="1"/>
      <c r="AHO44" s="1"/>
      <c r="AHP44" s="1"/>
      <c r="AHQ44" s="1"/>
      <c r="AHR44" s="1"/>
      <c r="AHS44" s="1"/>
      <c r="AHT44" s="1"/>
      <c r="AHU44" s="1"/>
      <c r="AHV44" s="1"/>
      <c r="AHW44" s="1"/>
      <c r="AHX44" s="1"/>
      <c r="AHY44" s="1"/>
      <c r="AHZ44" s="1"/>
      <c r="AIA44" s="1"/>
      <c r="AIB44" s="1"/>
      <c r="AIC44" s="1"/>
      <c r="AID44" s="1"/>
      <c r="AIE44" s="1"/>
      <c r="AIF44" s="1"/>
      <c r="AIG44" s="1"/>
      <c r="AIH44" s="1"/>
      <c r="AII44" s="1"/>
      <c r="AIJ44" s="1"/>
      <c r="AIK44" s="1"/>
      <c r="AIL44" s="1"/>
      <c r="AIM44" s="1"/>
      <c r="AIN44" s="1"/>
      <c r="AIO44" s="1"/>
      <c r="AIP44" s="1"/>
      <c r="AIQ44" s="1"/>
      <c r="AIR44" s="1"/>
      <c r="AIS44" s="1"/>
      <c r="AIT44" s="1"/>
      <c r="AIU44" s="1"/>
      <c r="AIV44" s="1"/>
      <c r="AIW44" s="1"/>
      <c r="AIX44" s="1"/>
      <c r="AIY44" s="1"/>
      <c r="AIZ44" s="1"/>
      <c r="AJA44" s="1"/>
      <c r="AJB44" s="1"/>
      <c r="AJC44" s="1"/>
      <c r="AJD44" s="1"/>
      <c r="AJE44" s="1"/>
      <c r="AJF44" s="1"/>
      <c r="AJG44" s="1"/>
      <c r="AJH44" s="1"/>
      <c r="AJI44" s="1"/>
      <c r="AJJ44" s="1"/>
      <c r="AJK44" s="1"/>
      <c r="AJL44" s="1"/>
      <c r="AJM44" s="1"/>
      <c r="AJN44" s="1"/>
      <c r="AJO44" s="1"/>
      <c r="AJP44" s="1"/>
      <c r="AJQ44" s="1"/>
      <c r="AJR44" s="1"/>
      <c r="AJS44" s="1"/>
      <c r="AJT44" s="1"/>
      <c r="AJU44" s="1"/>
      <c r="AJV44" s="1"/>
      <c r="AJW44" s="1"/>
      <c r="AJX44" s="1"/>
      <c r="AJY44" s="1"/>
      <c r="AJZ44" s="1"/>
      <c r="AKA44" s="1"/>
      <c r="AKB44" s="1"/>
      <c r="AKC44" s="1"/>
      <c r="AKD44" s="1"/>
      <c r="AKE44" s="1"/>
      <c r="AKF44" s="1"/>
      <c r="AKG44" s="1"/>
      <c r="AKH44" s="1"/>
      <c r="AKI44" s="1"/>
      <c r="AKJ44" s="1"/>
      <c r="AKK44" s="1"/>
      <c r="AKL44" s="1"/>
      <c r="AKM44" s="1"/>
      <c r="AKN44" s="1"/>
      <c r="AKO44" s="1"/>
      <c r="AKP44" s="1"/>
      <c r="AKQ44" s="1"/>
      <c r="AKR44" s="1"/>
      <c r="AKS44" s="1"/>
      <c r="AKT44" s="1"/>
      <c r="AKU44" s="1"/>
      <c r="AKV44" s="1"/>
      <c r="AKW44" s="1"/>
      <c r="AKX44" s="1"/>
      <c r="AKY44" s="1"/>
      <c r="AKZ44" s="1"/>
      <c r="ALA44" s="1"/>
      <c r="ALB44" s="1"/>
      <c r="ALC44" s="1"/>
      <c r="ALD44" s="1"/>
      <c r="ALE44" s="1"/>
      <c r="ALF44" s="1"/>
      <c r="ALG44" s="1"/>
      <c r="ALH44" s="1"/>
      <c r="ALI44" s="1"/>
      <c r="ALJ44" s="1"/>
      <c r="ALK44" s="1"/>
      <c r="ALL44" s="1"/>
      <c r="ALM44" s="1"/>
      <c r="ALN44" s="1"/>
      <c r="ALO44" s="1"/>
      <c r="ALP44" s="1"/>
      <c r="ALQ44" s="1"/>
      <c r="ALR44" s="1"/>
      <c r="ALS44" s="1"/>
      <c r="ALT44" s="1"/>
      <c r="ALU44" s="1"/>
      <c r="ALV44" s="1"/>
      <c r="ALW44" s="1"/>
      <c r="ALX44" s="1"/>
      <c r="ALY44" s="1"/>
      <c r="ALZ44" s="1"/>
      <c r="AMA44" s="1"/>
      <c r="AMB44" s="1"/>
      <c r="AMC44" s="1"/>
      <c r="AMD44" s="1"/>
      <c r="AME44" s="1"/>
      <c r="AMF44" s="1"/>
      <c r="AMG44" s="1"/>
      <c r="AMH44" s="1"/>
      <c r="AMI44" s="1"/>
      <c r="AMJ44" s="1"/>
      <c r="AMK44" s="1"/>
      <c r="AML44" s="1"/>
      <c r="AMM44" s="1"/>
      <c r="AMN44" s="1"/>
    </row>
    <row r="45" spans="1:1028" x14ac:dyDescent="0.2">
      <c r="A45" s="3" t="str">
        <f t="shared" si="194"/>
        <v>acm4_human__wt</v>
      </c>
      <c r="B45" s="3" t="s">
        <v>149</v>
      </c>
      <c r="C45" s="3" t="s">
        <v>100</v>
      </c>
      <c r="D45" s="3" t="str">
        <f>IFERROR(MID(VLOOKUP($B45,Seqs!$A:$B,2,0),E45,1),"")</f>
        <v>R</v>
      </c>
      <c r="E45" s="3">
        <v>26</v>
      </c>
      <c r="F45" s="3" t="str">
        <f>IFERROR(MID(VLOOKUP($B45,Seqs!$A:$B,2,0),G45,1),"")</f>
        <v>N</v>
      </c>
      <c r="G45" s="3">
        <v>60</v>
      </c>
      <c r="H45" s="3" t="str">
        <f>IFERROR(MID(VLOOKUP($B45,Seqs!$A:$B,2,0),I45,1),"")</f>
        <v>R</v>
      </c>
      <c r="I45" s="23">
        <v>61</v>
      </c>
      <c r="J45" s="3" t="str">
        <f>IFERROR(MID(VLOOKUP($B45,Seqs!$A:$B,2,0),K45,1),"")</f>
        <v>Q</v>
      </c>
      <c r="K45" s="23">
        <v>64</v>
      </c>
      <c r="L45" s="3" t="str">
        <f>IFERROR(MID(VLOOKUP($B45,Seqs!$A:$B,2,0),M45,1),"")</f>
        <v>T</v>
      </c>
      <c r="M45" s="3">
        <v>65</v>
      </c>
      <c r="N45" s="3" t="str">
        <f>IFERROR(MID(VLOOKUP($B45,Seqs!$A:$B,2,0),O45,1),"")</f>
        <v>K</v>
      </c>
      <c r="O45" s="3">
        <v>95</v>
      </c>
      <c r="P45" s="3" t="str">
        <f>IFERROR(MID(VLOOKUP($B45,Seqs!$A:$B,2,0),Q45,1),"")</f>
        <v>Y</v>
      </c>
      <c r="Q45" s="3">
        <v>97</v>
      </c>
      <c r="R45" s="3" t="str">
        <f>IFERROR(MID(VLOOKUP($B45,Seqs!$A:$B,2,0),S45,1),"")</f>
        <v>L</v>
      </c>
      <c r="S45" s="3">
        <v>100</v>
      </c>
      <c r="T45" s="3" t="str">
        <f>IFERROR(MID(VLOOKUP($B45,Seqs!$A:$B,2,0),U45,1),"")</f>
        <v>G</v>
      </c>
      <c r="U45" s="3">
        <v>101</v>
      </c>
      <c r="V45" s="3" t="str">
        <f>IFERROR(MID(VLOOKUP($B45,Seqs!$A:$B,2,0),W45,1),"")</f>
        <v>K</v>
      </c>
      <c r="W45" s="3">
        <v>136</v>
      </c>
      <c r="X45" s="3" t="str">
        <f>IFERROR(MID(VLOOKUP($B45,Seqs!$A:$B,2,0),Y45,1),"")</f>
        <v>P</v>
      </c>
      <c r="Y45" s="3">
        <v>137</v>
      </c>
      <c r="Z45" s="3" t="str">
        <f>IFERROR(MID(VLOOKUP($B45,Seqs!$A:$B,2,0),AA45,1),"")</f>
        <v>R</v>
      </c>
      <c r="AA45" s="3">
        <v>144</v>
      </c>
      <c r="AB45" s="3" t="str">
        <f>IFERROR(MID(VLOOKUP($B45,Seqs!$A:$B,2,0),AC45,1),"")</f>
        <v>T</v>
      </c>
      <c r="AC45" s="9">
        <v>145</v>
      </c>
      <c r="AD45" s="3" t="str">
        <f>IFERROR(MID(VLOOKUP($B45,Seqs!$A:$B,2,0),AE45,1),"")</f>
        <v>G</v>
      </c>
      <c r="AE45" s="3">
        <v>176</v>
      </c>
      <c r="AF45" s="3" t="str">
        <f>IFERROR(MID(VLOOKUP($B45,Seqs!$A:$B,2,0),AG45,1),"")</f>
        <v>C</v>
      </c>
      <c r="AG45" s="3">
        <v>185</v>
      </c>
      <c r="AH45" s="3" t="str">
        <f>IFERROR(MID(VLOOKUP($B45,Seqs!$A:$B,2,0),AI45,1),"")</f>
        <v>I</v>
      </c>
      <c r="AI45" s="3">
        <v>187</v>
      </c>
      <c r="AJ45" s="3" t="str">
        <f>IFERROR(MID(VLOOKUP($B45,Seqs!$A:$B,2,0),AK45,1),"")</f>
        <v>N</v>
      </c>
      <c r="AK45" s="3">
        <v>192</v>
      </c>
      <c r="AL45" s="3" t="str">
        <f>IFERROR(MID(VLOOKUP($B45,Seqs!$A:$B,2,0),AM45,1),"")</f>
        <v>E</v>
      </c>
      <c r="AM45" s="3">
        <v>232</v>
      </c>
      <c r="AN45" s="3" t="str">
        <f>IFERROR(MID(VLOOKUP($B45,Seqs!$A:$B,2,0),AO45,1),"")</f>
        <v>R</v>
      </c>
      <c r="AO45" s="3">
        <v>389</v>
      </c>
      <c r="AP45" s="3" t="str">
        <f>IFERROR(MID(VLOOKUP($B45,Seqs!$A:$B,2,0),AQ45,1),"")</f>
        <v>C</v>
      </c>
      <c r="AQ45" s="3">
        <v>426</v>
      </c>
      <c r="AR45" s="3" t="str">
        <f>IFERROR(MID(VLOOKUP($B45,Seqs!$A:$B,2,0),AS45,1),"")</f>
        <v>P</v>
      </c>
      <c r="AS45" s="3">
        <v>431</v>
      </c>
      <c r="AT45" s="3" t="str">
        <f>IFERROR(MID(VLOOKUP($B45,Seqs!$A:$B,2,0),AU45,1),"")</f>
        <v>C</v>
      </c>
      <c r="AU45" s="3">
        <v>456</v>
      </c>
      <c r="AV45" s="3" t="str">
        <f>IFERROR(MID(VLOOKUP($B45,Seqs!$A:$B,2,0),AW45,1),"")</f>
        <v>N</v>
      </c>
      <c r="AW45" s="3">
        <v>457</v>
      </c>
      <c r="AX45" s="3" t="str">
        <f>IFERROR(MID(VLOOKUP($B45,Seqs!$A:$B,2,0),AY45,1),"")</f>
        <v>L</v>
      </c>
      <c r="AY45" s="3">
        <v>469</v>
      </c>
      <c r="AZ45" s="79" t="str">
        <f>VLOOKUP(B45,Classification!A:D,2,0)</f>
        <v>A</v>
      </c>
      <c r="BA45" s="97" t="str">
        <f>VLOOKUP(B45,Classification!A:D,4,0)</f>
        <v>Acetylcholine(muscarinic)</v>
      </c>
      <c r="BB45" s="27" t="b">
        <f t="shared" si="195"/>
        <v>1</v>
      </c>
      <c r="BC45" s="23">
        <f t="shared" si="84"/>
        <v>271</v>
      </c>
      <c r="BD45" s="35" t="s">
        <v>1379</v>
      </c>
      <c r="BE45" s="3" t="s">
        <v>1381</v>
      </c>
      <c r="BF45" s="50" t="s">
        <v>1379</v>
      </c>
      <c r="BG45" s="50" t="s">
        <v>1384</v>
      </c>
      <c r="BH45" s="1"/>
      <c r="BI45" s="72" t="s">
        <v>1293</v>
      </c>
      <c r="BJ45" s="58" t="s">
        <v>1293</v>
      </c>
      <c r="BK45" s="58" t="s">
        <v>1293</v>
      </c>
      <c r="BL45" s="58" t="s">
        <v>1293</v>
      </c>
      <c r="BM45" s="58" t="s">
        <v>1293</v>
      </c>
      <c r="BN45" s="58" t="s">
        <v>1293</v>
      </c>
      <c r="BO45" s="58" t="s">
        <v>1293</v>
      </c>
      <c r="BP45" s="58" t="s">
        <v>1293</v>
      </c>
      <c r="BQ45" s="58" t="s">
        <v>1293</v>
      </c>
      <c r="BR45" s="58" t="s">
        <v>1293</v>
      </c>
      <c r="BS45" s="58" t="s">
        <v>1293</v>
      </c>
      <c r="BT45" s="58" t="s">
        <v>1293</v>
      </c>
      <c r="BU45" s="72">
        <f t="shared" si="85"/>
        <v>26</v>
      </c>
      <c r="BV45" s="73">
        <f t="shared" si="86"/>
        <v>61</v>
      </c>
      <c r="BW45" s="74">
        <f t="shared" si="87"/>
        <v>65</v>
      </c>
      <c r="BX45" s="73">
        <f t="shared" si="88"/>
        <v>97</v>
      </c>
      <c r="BY45" s="74">
        <f t="shared" si="89"/>
        <v>101</v>
      </c>
      <c r="BZ45" s="73">
        <f t="shared" si="90"/>
        <v>137</v>
      </c>
      <c r="CA45" s="74">
        <f t="shared" si="91"/>
        <v>145</v>
      </c>
      <c r="CB45" s="73">
        <f t="shared" si="92"/>
        <v>185</v>
      </c>
      <c r="CC45" s="74">
        <f t="shared" si="93"/>
        <v>192</v>
      </c>
      <c r="CD45" s="73">
        <f t="shared" si="94"/>
        <v>389</v>
      </c>
      <c r="CE45" s="74">
        <f t="shared" si="95"/>
        <v>431</v>
      </c>
      <c r="CF45" s="73">
        <f t="shared" si="96"/>
        <v>457</v>
      </c>
      <c r="CG45" s="72">
        <f t="shared" si="97"/>
        <v>60</v>
      </c>
      <c r="CH45" s="73">
        <f t="shared" si="98"/>
        <v>64</v>
      </c>
      <c r="CI45" s="74">
        <f t="shared" si="99"/>
        <v>95</v>
      </c>
      <c r="CJ45" s="74">
        <f t="shared" si="100"/>
        <v>100</v>
      </c>
      <c r="CK45" s="74">
        <f t="shared" si="101"/>
        <v>136</v>
      </c>
      <c r="CL45" s="74">
        <f t="shared" si="102"/>
        <v>144</v>
      </c>
      <c r="CM45" s="74">
        <f t="shared" si="103"/>
        <v>176</v>
      </c>
      <c r="CN45" s="74">
        <f t="shared" si="104"/>
        <v>187</v>
      </c>
      <c r="CO45" s="74">
        <f t="shared" si="105"/>
        <v>232</v>
      </c>
      <c r="CP45" s="74">
        <f t="shared" si="106"/>
        <v>426</v>
      </c>
      <c r="CQ45" s="74">
        <f t="shared" si="107"/>
        <v>456</v>
      </c>
      <c r="CR45" s="74">
        <f t="shared" si="108"/>
        <v>469</v>
      </c>
      <c r="CS45" s="23">
        <f t="shared" si="109"/>
        <v>1</v>
      </c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  <c r="OK45" s="1"/>
      <c r="OL45" s="1"/>
      <c r="OM45" s="1"/>
      <c r="ON45" s="1"/>
      <c r="OO45" s="1"/>
      <c r="OP45" s="1"/>
      <c r="OQ45" s="1"/>
      <c r="OR45" s="1"/>
      <c r="OS45" s="1"/>
      <c r="OT45" s="1"/>
      <c r="OU45" s="1"/>
      <c r="OV45" s="1"/>
      <c r="OW45" s="1"/>
      <c r="OX45" s="1"/>
      <c r="OY45" s="1"/>
      <c r="OZ45" s="1"/>
      <c r="PA45" s="1"/>
      <c r="PB45" s="1"/>
      <c r="PC45" s="1"/>
      <c r="PD45" s="1"/>
      <c r="PE45" s="1"/>
      <c r="PF45" s="1"/>
      <c r="PG45" s="1"/>
      <c r="PH45" s="1"/>
      <c r="PI45" s="1"/>
      <c r="PJ45" s="1"/>
      <c r="PK45" s="1"/>
      <c r="PL45" s="1"/>
      <c r="PM45" s="1"/>
      <c r="PN45" s="1"/>
      <c r="PO45" s="1"/>
      <c r="PP45" s="1"/>
      <c r="PQ45" s="1"/>
      <c r="PR45" s="1"/>
      <c r="PS45" s="1"/>
      <c r="PT45" s="1"/>
      <c r="PU45" s="1"/>
      <c r="PV45" s="1"/>
      <c r="PW45" s="1"/>
      <c r="PX45" s="1"/>
      <c r="PY45" s="1"/>
      <c r="PZ45" s="1"/>
      <c r="QA45" s="1"/>
      <c r="QB45" s="1"/>
      <c r="QC45" s="1"/>
      <c r="QD45" s="1"/>
      <c r="QE45" s="1"/>
      <c r="QF45" s="1"/>
      <c r="QG45" s="1"/>
      <c r="QH45" s="1"/>
      <c r="QI45" s="1"/>
      <c r="QJ45" s="1"/>
      <c r="QK45" s="1"/>
      <c r="QL45" s="1"/>
      <c r="QM45" s="1"/>
      <c r="QN45" s="1"/>
      <c r="QO45" s="1"/>
      <c r="QP45" s="1"/>
      <c r="QQ45" s="1"/>
      <c r="QR45" s="1"/>
      <c r="QS45" s="1"/>
      <c r="QT45" s="1"/>
      <c r="QU45" s="1"/>
      <c r="QV45" s="1"/>
      <c r="QW45" s="1"/>
      <c r="QX45" s="1"/>
      <c r="QY45" s="1"/>
      <c r="QZ45" s="1"/>
      <c r="RA45" s="1"/>
      <c r="RB45" s="1"/>
      <c r="RC45" s="1"/>
      <c r="RD45" s="1"/>
      <c r="RE45" s="1"/>
      <c r="RF45" s="1"/>
      <c r="RG45" s="1"/>
      <c r="RH45" s="1"/>
      <c r="RI45" s="1"/>
      <c r="RJ45" s="1"/>
      <c r="RK45" s="1"/>
      <c r="RL45" s="1"/>
      <c r="RM45" s="1"/>
      <c r="RN45" s="1"/>
      <c r="RO45" s="1"/>
      <c r="RP45" s="1"/>
      <c r="RQ45" s="1"/>
      <c r="RR45" s="1"/>
      <c r="RS45" s="1"/>
      <c r="RT45" s="1"/>
      <c r="RU45" s="1"/>
      <c r="RV45" s="1"/>
      <c r="RW45" s="1"/>
      <c r="RX45" s="1"/>
      <c r="RY45" s="1"/>
      <c r="RZ45" s="1"/>
      <c r="SA45" s="1"/>
      <c r="SB45" s="1"/>
      <c r="SC45" s="1"/>
      <c r="SD45" s="1"/>
      <c r="SE45" s="1"/>
      <c r="SF45" s="1"/>
      <c r="SG45" s="1"/>
      <c r="SH45" s="1"/>
      <c r="SI45" s="1"/>
      <c r="SJ45" s="1"/>
      <c r="SK45" s="1"/>
      <c r="SL45" s="1"/>
      <c r="SM45" s="1"/>
      <c r="SN45" s="1"/>
      <c r="SO45" s="1"/>
      <c r="SP45" s="1"/>
      <c r="SQ45" s="1"/>
      <c r="SR45" s="1"/>
      <c r="SS45" s="1"/>
      <c r="ST45" s="1"/>
      <c r="SU45" s="1"/>
      <c r="SV45" s="1"/>
      <c r="SW45" s="1"/>
      <c r="SX45" s="1"/>
      <c r="SY45" s="1"/>
      <c r="SZ45" s="1"/>
      <c r="TA45" s="1"/>
      <c r="TB45" s="1"/>
      <c r="TC45" s="1"/>
      <c r="TD45" s="1"/>
      <c r="TE45" s="1"/>
      <c r="TF45" s="1"/>
      <c r="TG45" s="1"/>
      <c r="TH45" s="1"/>
      <c r="TI45" s="1"/>
      <c r="TJ45" s="1"/>
      <c r="TK45" s="1"/>
      <c r="TL45" s="1"/>
      <c r="TM45" s="1"/>
      <c r="TN45" s="1"/>
      <c r="TO45" s="1"/>
      <c r="TP45" s="1"/>
      <c r="TQ45" s="1"/>
      <c r="TR45" s="1"/>
      <c r="TS45" s="1"/>
      <c r="TT45" s="1"/>
      <c r="TU45" s="1"/>
      <c r="TV45" s="1"/>
      <c r="TW45" s="1"/>
      <c r="TX45" s="1"/>
      <c r="TY45" s="1"/>
      <c r="TZ45" s="1"/>
      <c r="UA45" s="1"/>
      <c r="UB45" s="1"/>
      <c r="UC45" s="1"/>
      <c r="UD45" s="1"/>
      <c r="UE45" s="1"/>
      <c r="UF45" s="1"/>
      <c r="UG45" s="1"/>
      <c r="UH45" s="1"/>
      <c r="UI45" s="1"/>
      <c r="UJ45" s="1"/>
      <c r="UK45" s="1"/>
      <c r="UL45" s="1"/>
      <c r="UM45" s="1"/>
      <c r="UN45" s="1"/>
      <c r="UO45" s="1"/>
      <c r="UP45" s="1"/>
      <c r="UQ45" s="1"/>
      <c r="UR45" s="1"/>
      <c r="US45" s="1"/>
      <c r="UT45" s="1"/>
      <c r="UU45" s="1"/>
      <c r="UV45" s="1"/>
      <c r="UW45" s="1"/>
      <c r="UX45" s="1"/>
      <c r="UY45" s="1"/>
      <c r="UZ45" s="1"/>
      <c r="VA45" s="1"/>
      <c r="VB45" s="1"/>
      <c r="VC45" s="1"/>
      <c r="VD45" s="1"/>
      <c r="VE45" s="1"/>
      <c r="VF45" s="1"/>
      <c r="VG45" s="1"/>
      <c r="VH45" s="1"/>
      <c r="VI45" s="1"/>
      <c r="VJ45" s="1"/>
      <c r="VK45" s="1"/>
      <c r="VL45" s="1"/>
      <c r="VM45" s="1"/>
      <c r="VN45" s="1"/>
      <c r="VO45" s="1"/>
      <c r="VP45" s="1"/>
      <c r="VQ45" s="1"/>
      <c r="VR45" s="1"/>
      <c r="VS45" s="1"/>
      <c r="VT45" s="1"/>
      <c r="VU45" s="1"/>
      <c r="VV45" s="1"/>
      <c r="VW45" s="1"/>
      <c r="VX45" s="1"/>
      <c r="VY45" s="1"/>
      <c r="VZ45" s="1"/>
      <c r="WA45" s="1"/>
      <c r="WB45" s="1"/>
      <c r="WC45" s="1"/>
      <c r="WD45" s="1"/>
      <c r="WE45" s="1"/>
      <c r="WF45" s="1"/>
      <c r="WG45" s="1"/>
      <c r="WH45" s="1"/>
      <c r="WI45" s="1"/>
      <c r="WJ45" s="1"/>
      <c r="WK45" s="1"/>
      <c r="WL45" s="1"/>
      <c r="WM45" s="1"/>
      <c r="WN45" s="1"/>
      <c r="WO45" s="1"/>
      <c r="WP45" s="1"/>
      <c r="WQ45" s="1"/>
      <c r="WR45" s="1"/>
      <c r="WS45" s="1"/>
      <c r="WT45" s="1"/>
      <c r="WU45" s="1"/>
      <c r="WV45" s="1"/>
      <c r="WW45" s="1"/>
      <c r="WX45" s="1"/>
      <c r="WY45" s="1"/>
      <c r="WZ45" s="1"/>
      <c r="XA45" s="1"/>
      <c r="XB45" s="1"/>
      <c r="XC45" s="1"/>
      <c r="XD45" s="1"/>
      <c r="XE45" s="1"/>
      <c r="XF45" s="1"/>
      <c r="XG45" s="1"/>
      <c r="XH45" s="1"/>
      <c r="XI45" s="1"/>
      <c r="XJ45" s="1"/>
      <c r="XK45" s="1"/>
      <c r="XL45" s="1"/>
      <c r="XM45" s="1"/>
      <c r="XN45" s="1"/>
      <c r="XO45" s="1"/>
      <c r="XP45" s="1"/>
      <c r="XQ45" s="1"/>
      <c r="XR45" s="1"/>
      <c r="XS45" s="1"/>
      <c r="XT45" s="1"/>
      <c r="XU45" s="1"/>
      <c r="XV45" s="1"/>
      <c r="XW45" s="1"/>
      <c r="XX45" s="1"/>
      <c r="XY45" s="1"/>
      <c r="XZ45" s="1"/>
      <c r="YA45" s="1"/>
      <c r="YB45" s="1"/>
      <c r="YC45" s="1"/>
      <c r="YD45" s="1"/>
      <c r="YE45" s="1"/>
      <c r="YF45" s="1"/>
      <c r="YG45" s="1"/>
      <c r="YH45" s="1"/>
      <c r="YI45" s="1"/>
      <c r="YJ45" s="1"/>
      <c r="YK45" s="1"/>
      <c r="YL45" s="1"/>
      <c r="YM45" s="1"/>
      <c r="YN45" s="1"/>
      <c r="YO45" s="1"/>
      <c r="YP45" s="1"/>
      <c r="YQ45" s="1"/>
      <c r="YR45" s="1"/>
      <c r="YS45" s="1"/>
      <c r="YT45" s="1"/>
      <c r="YU45" s="1"/>
      <c r="YV45" s="1"/>
      <c r="YW45" s="1"/>
      <c r="YX45" s="1"/>
      <c r="YY45" s="1"/>
      <c r="YZ45" s="1"/>
      <c r="ZA45" s="1"/>
      <c r="ZB45" s="1"/>
      <c r="ZC45" s="1"/>
      <c r="ZD45" s="1"/>
      <c r="ZE45" s="1"/>
      <c r="ZF45" s="1"/>
      <c r="ZG45" s="1"/>
      <c r="ZH45" s="1"/>
      <c r="ZI45" s="1"/>
      <c r="ZJ45" s="1"/>
      <c r="ZK45" s="1"/>
      <c r="ZL45" s="1"/>
      <c r="ZM45" s="1"/>
      <c r="ZN45" s="1"/>
      <c r="ZO45" s="1"/>
      <c r="ZP45" s="1"/>
      <c r="ZQ45" s="1"/>
      <c r="ZR45" s="1"/>
      <c r="ZS45" s="1"/>
      <c r="ZT45" s="1"/>
      <c r="ZU45" s="1"/>
      <c r="ZV45" s="1"/>
      <c r="ZW45" s="1"/>
      <c r="ZX45" s="1"/>
      <c r="ZY45" s="1"/>
      <c r="ZZ45" s="1"/>
      <c r="AAA45" s="1"/>
      <c r="AAB45" s="1"/>
      <c r="AAC45" s="1"/>
      <c r="AAD45" s="1"/>
      <c r="AAE45" s="1"/>
      <c r="AAF45" s="1"/>
      <c r="AAG45" s="1"/>
      <c r="AAH45" s="1"/>
      <c r="AAI45" s="1"/>
      <c r="AAJ45" s="1"/>
      <c r="AAK45" s="1"/>
      <c r="AAL45" s="1"/>
      <c r="AAM45" s="1"/>
      <c r="AAN45" s="1"/>
      <c r="AAO45" s="1"/>
      <c r="AAP45" s="1"/>
      <c r="AAQ45" s="1"/>
      <c r="AAR45" s="1"/>
      <c r="AAS45" s="1"/>
      <c r="AAT45" s="1"/>
      <c r="AAU45" s="1"/>
      <c r="AAV45" s="1"/>
      <c r="AAW45" s="1"/>
      <c r="AAX45" s="1"/>
      <c r="AAY45" s="1"/>
      <c r="AAZ45" s="1"/>
      <c r="ABA45" s="1"/>
      <c r="ABB45" s="1"/>
      <c r="ABC45" s="1"/>
      <c r="ABD45" s="1"/>
      <c r="ABE45" s="1"/>
      <c r="ABF45" s="1"/>
      <c r="ABG45" s="1"/>
      <c r="ABH45" s="1"/>
      <c r="ABI45" s="1"/>
      <c r="ABJ45" s="1"/>
      <c r="ABK45" s="1"/>
      <c r="ABL45" s="1"/>
      <c r="ABM45" s="1"/>
      <c r="ABN45" s="1"/>
      <c r="ABO45" s="1"/>
      <c r="ABP45" s="1"/>
      <c r="ABQ45" s="1"/>
      <c r="ABR45" s="1"/>
      <c r="ABS45" s="1"/>
      <c r="ABT45" s="1"/>
      <c r="ABU45" s="1"/>
      <c r="ABV45" s="1"/>
      <c r="ABW45" s="1"/>
      <c r="ABX45" s="1"/>
      <c r="ABY45" s="1"/>
      <c r="ABZ45" s="1"/>
      <c r="ACA45" s="1"/>
      <c r="ACB45" s="1"/>
      <c r="ACC45" s="1"/>
      <c r="ACD45" s="1"/>
      <c r="ACE45" s="1"/>
      <c r="ACF45" s="1"/>
      <c r="ACG45" s="1"/>
      <c r="ACH45" s="1"/>
      <c r="ACI45" s="1"/>
      <c r="ACJ45" s="1"/>
      <c r="ACK45" s="1"/>
      <c r="ACL45" s="1"/>
      <c r="ACM45" s="1"/>
      <c r="ACN45" s="1"/>
      <c r="ACO45" s="1"/>
      <c r="ACP45" s="1"/>
      <c r="ACQ45" s="1"/>
      <c r="ACR45" s="1"/>
      <c r="ACS45" s="1"/>
      <c r="ACT45" s="1"/>
      <c r="ACU45" s="1"/>
      <c r="ACV45" s="1"/>
      <c r="ACW45" s="1"/>
      <c r="ACX45" s="1"/>
      <c r="ACY45" s="1"/>
      <c r="ACZ45" s="1"/>
      <c r="ADA45" s="1"/>
      <c r="ADB45" s="1"/>
      <c r="ADC45" s="1"/>
      <c r="ADD45" s="1"/>
      <c r="ADE45" s="1"/>
      <c r="ADF45" s="1"/>
      <c r="ADG45" s="1"/>
      <c r="ADH45" s="1"/>
      <c r="ADI45" s="1"/>
      <c r="ADJ45" s="1"/>
      <c r="ADK45" s="1"/>
      <c r="ADL45" s="1"/>
      <c r="ADM45" s="1"/>
      <c r="ADN45" s="1"/>
      <c r="ADO45" s="1"/>
      <c r="ADP45" s="1"/>
      <c r="ADQ45" s="1"/>
      <c r="ADR45" s="1"/>
      <c r="ADS45" s="1"/>
      <c r="ADT45" s="1"/>
      <c r="ADU45" s="1"/>
      <c r="ADV45" s="1"/>
      <c r="ADW45" s="1"/>
      <c r="ADX45" s="1"/>
      <c r="ADY45" s="1"/>
      <c r="ADZ45" s="1"/>
      <c r="AEA45" s="1"/>
      <c r="AEB45" s="1"/>
      <c r="AEC45" s="1"/>
      <c r="AED45" s="1"/>
      <c r="AEE45" s="1"/>
      <c r="AEF45" s="1"/>
      <c r="AEG45" s="1"/>
      <c r="AEH45" s="1"/>
      <c r="AEI45" s="1"/>
      <c r="AEJ45" s="1"/>
      <c r="AEK45" s="1"/>
      <c r="AEL45" s="1"/>
      <c r="AEM45" s="1"/>
      <c r="AEN45" s="1"/>
      <c r="AEO45" s="1"/>
      <c r="AEP45" s="1"/>
      <c r="AEQ45" s="1"/>
      <c r="AER45" s="1"/>
      <c r="AES45" s="1"/>
      <c r="AET45" s="1"/>
      <c r="AEU45" s="1"/>
      <c r="AEV45" s="1"/>
      <c r="AEW45" s="1"/>
      <c r="AEX45" s="1"/>
      <c r="AEY45" s="1"/>
      <c r="AEZ45" s="1"/>
      <c r="AFA45" s="1"/>
      <c r="AFB45" s="1"/>
      <c r="AFC45" s="1"/>
      <c r="AFD45" s="1"/>
      <c r="AFE45" s="1"/>
      <c r="AFF45" s="1"/>
      <c r="AFG45" s="1"/>
      <c r="AFH45" s="1"/>
      <c r="AFI45" s="1"/>
      <c r="AFJ45" s="1"/>
      <c r="AFK45" s="1"/>
      <c r="AFL45" s="1"/>
      <c r="AFM45" s="1"/>
      <c r="AFN45" s="1"/>
      <c r="AFO45" s="1"/>
      <c r="AFP45" s="1"/>
      <c r="AFQ45" s="1"/>
      <c r="AFR45" s="1"/>
      <c r="AFS45" s="1"/>
      <c r="AFT45" s="1"/>
      <c r="AFU45" s="1"/>
      <c r="AFV45" s="1"/>
      <c r="AFW45" s="1"/>
      <c r="AFX45" s="1"/>
      <c r="AFY45" s="1"/>
      <c r="AFZ45" s="1"/>
      <c r="AGA45" s="1"/>
      <c r="AGB45" s="1"/>
      <c r="AGC45" s="1"/>
      <c r="AGD45" s="1"/>
      <c r="AGE45" s="1"/>
      <c r="AGF45" s="1"/>
      <c r="AGG45" s="1"/>
      <c r="AGH45" s="1"/>
      <c r="AGI45" s="1"/>
      <c r="AGJ45" s="1"/>
      <c r="AGK45" s="1"/>
      <c r="AGL45" s="1"/>
      <c r="AGM45" s="1"/>
      <c r="AGN45" s="1"/>
      <c r="AGO45" s="1"/>
      <c r="AGP45" s="1"/>
      <c r="AGQ45" s="1"/>
      <c r="AGR45" s="1"/>
      <c r="AGS45" s="1"/>
      <c r="AGT45" s="1"/>
      <c r="AGU45" s="1"/>
      <c r="AGV45" s="1"/>
      <c r="AGW45" s="1"/>
      <c r="AGX45" s="1"/>
      <c r="AGY45" s="1"/>
      <c r="AGZ45" s="1"/>
      <c r="AHA45" s="1"/>
      <c r="AHB45" s="1"/>
      <c r="AHC45" s="1"/>
      <c r="AHD45" s="1"/>
      <c r="AHE45" s="1"/>
      <c r="AHF45" s="1"/>
      <c r="AHG45" s="1"/>
      <c r="AHH45" s="1"/>
      <c r="AHI45" s="1"/>
      <c r="AHJ45" s="1"/>
      <c r="AHK45" s="1"/>
      <c r="AHL45" s="1"/>
      <c r="AHM45" s="1"/>
      <c r="AHN45" s="1"/>
      <c r="AHO45" s="1"/>
      <c r="AHP45" s="1"/>
      <c r="AHQ45" s="1"/>
      <c r="AHR45" s="1"/>
      <c r="AHS45" s="1"/>
      <c r="AHT45" s="1"/>
      <c r="AHU45" s="1"/>
      <c r="AHV45" s="1"/>
      <c r="AHW45" s="1"/>
      <c r="AHX45" s="1"/>
      <c r="AHY45" s="1"/>
      <c r="AHZ45" s="1"/>
      <c r="AIA45" s="1"/>
      <c r="AIB45" s="1"/>
      <c r="AIC45" s="1"/>
      <c r="AID45" s="1"/>
      <c r="AIE45" s="1"/>
      <c r="AIF45" s="1"/>
      <c r="AIG45" s="1"/>
      <c r="AIH45" s="1"/>
      <c r="AII45" s="1"/>
      <c r="AIJ45" s="1"/>
      <c r="AIK45" s="1"/>
      <c r="AIL45" s="1"/>
      <c r="AIM45" s="1"/>
      <c r="AIN45" s="1"/>
      <c r="AIO45" s="1"/>
      <c r="AIP45" s="1"/>
      <c r="AIQ45" s="1"/>
      <c r="AIR45" s="1"/>
      <c r="AIS45" s="1"/>
      <c r="AIT45" s="1"/>
      <c r="AIU45" s="1"/>
      <c r="AIV45" s="1"/>
      <c r="AIW45" s="1"/>
      <c r="AIX45" s="1"/>
      <c r="AIY45" s="1"/>
      <c r="AIZ45" s="1"/>
      <c r="AJA45" s="1"/>
      <c r="AJB45" s="1"/>
      <c r="AJC45" s="1"/>
      <c r="AJD45" s="1"/>
      <c r="AJE45" s="1"/>
      <c r="AJF45" s="1"/>
      <c r="AJG45" s="1"/>
      <c r="AJH45" s="1"/>
      <c r="AJI45" s="1"/>
      <c r="AJJ45" s="1"/>
      <c r="AJK45" s="1"/>
      <c r="AJL45" s="1"/>
      <c r="AJM45" s="1"/>
      <c r="AJN45" s="1"/>
      <c r="AJO45" s="1"/>
      <c r="AJP45" s="1"/>
      <c r="AJQ45" s="1"/>
      <c r="AJR45" s="1"/>
      <c r="AJS45" s="1"/>
      <c r="AJT45" s="1"/>
      <c r="AJU45" s="1"/>
      <c r="AJV45" s="1"/>
      <c r="AJW45" s="1"/>
      <c r="AJX45" s="1"/>
      <c r="AJY45" s="1"/>
      <c r="AJZ45" s="1"/>
      <c r="AKA45" s="1"/>
      <c r="AKB45" s="1"/>
      <c r="AKC45" s="1"/>
      <c r="AKD45" s="1"/>
      <c r="AKE45" s="1"/>
      <c r="AKF45" s="1"/>
      <c r="AKG45" s="1"/>
      <c r="AKH45" s="1"/>
      <c r="AKI45" s="1"/>
      <c r="AKJ45" s="1"/>
      <c r="AKK45" s="1"/>
      <c r="AKL45" s="1"/>
      <c r="AKM45" s="1"/>
      <c r="AKN45" s="1"/>
      <c r="AKO45" s="1"/>
      <c r="AKP45" s="1"/>
      <c r="AKQ45" s="1"/>
      <c r="AKR45" s="1"/>
      <c r="AKS45" s="1"/>
      <c r="AKT45" s="1"/>
      <c r="AKU45" s="1"/>
      <c r="AKV45" s="1"/>
      <c r="AKW45" s="1"/>
      <c r="AKX45" s="1"/>
      <c r="AKY45" s="1"/>
      <c r="AKZ45" s="1"/>
      <c r="ALA45" s="1"/>
      <c r="ALB45" s="1"/>
      <c r="ALC45" s="1"/>
      <c r="ALD45" s="1"/>
      <c r="ALE45" s="1"/>
      <c r="ALF45" s="1"/>
      <c r="ALG45" s="1"/>
      <c r="ALH45" s="1"/>
      <c r="ALI45" s="1"/>
      <c r="ALJ45" s="1"/>
      <c r="ALK45" s="1"/>
      <c r="ALL45" s="1"/>
      <c r="ALM45" s="1"/>
      <c r="ALN45" s="1"/>
      <c r="ALO45" s="1"/>
      <c r="ALP45" s="1"/>
      <c r="ALQ45" s="1"/>
      <c r="ALR45" s="1"/>
      <c r="ALS45" s="1"/>
      <c r="ALT45" s="1"/>
      <c r="ALU45" s="1"/>
      <c r="ALV45" s="1"/>
      <c r="ALW45" s="1"/>
      <c r="ALX45" s="1"/>
      <c r="ALY45" s="1"/>
      <c r="ALZ45" s="1"/>
      <c r="AMA45" s="1"/>
      <c r="AMB45" s="1"/>
      <c r="AMC45" s="1"/>
      <c r="AMD45" s="1"/>
      <c r="AME45" s="1"/>
      <c r="AMF45" s="1"/>
      <c r="AMG45" s="1"/>
      <c r="AMH45" s="1"/>
      <c r="AMI45" s="1"/>
      <c r="AMJ45" s="1"/>
      <c r="AMK45" s="1"/>
      <c r="AML45" s="1"/>
      <c r="AMM45" s="1"/>
      <c r="AMN45" s="1"/>
    </row>
    <row r="46" spans="1:1028" x14ac:dyDescent="0.2">
      <c r="A46" s="3" t="str">
        <f t="shared" si="194"/>
        <v>acm4_human_5DSG</v>
      </c>
      <c r="B46" s="3" t="s">
        <v>149</v>
      </c>
      <c r="C46" s="3" t="s">
        <v>61</v>
      </c>
      <c r="D46" s="3" t="str">
        <f>IFERROR(MID(VLOOKUP($B46,Seqs!$A:$B,2,0),E46,1),"")</f>
        <v>R</v>
      </c>
      <c r="E46" s="3">
        <v>26</v>
      </c>
      <c r="F46" s="3" t="str">
        <f>IFERROR(MID(VLOOKUP($B46,Seqs!$A:$B,2,0),G46,1),"")</f>
        <v>N</v>
      </c>
      <c r="G46" s="3">
        <v>60</v>
      </c>
      <c r="H46" s="3" t="str">
        <f>IFERROR(MID(VLOOKUP($B46,Seqs!$A:$B,2,0),I46,1),"")</f>
        <v>R</v>
      </c>
      <c r="I46" s="23">
        <v>61</v>
      </c>
      <c r="J46" s="3" t="str">
        <f>IFERROR(MID(VLOOKUP($B46,Seqs!$A:$B,2,0),K46,1),"")</f>
        <v>Q</v>
      </c>
      <c r="K46" s="23">
        <v>64</v>
      </c>
      <c r="L46" s="3" t="str">
        <f>IFERROR(MID(VLOOKUP($B46,Seqs!$A:$B,2,0),M46,1),"")</f>
        <v>T</v>
      </c>
      <c r="M46" s="3">
        <v>65</v>
      </c>
      <c r="N46" s="3" t="str">
        <f>IFERROR(MID(VLOOKUP($B46,Seqs!$A:$B,2,0),O46,1),"")</f>
        <v>K</v>
      </c>
      <c r="O46" s="3">
        <v>95</v>
      </c>
      <c r="P46" s="3" t="str">
        <f>IFERROR(MID(VLOOKUP($B46,Seqs!$A:$B,2,0),Q46,1),"")</f>
        <v>Y</v>
      </c>
      <c r="Q46" s="3">
        <v>97</v>
      </c>
      <c r="R46" s="3" t="str">
        <f>IFERROR(MID(VLOOKUP($B46,Seqs!$A:$B,2,0),S46,1),"")</f>
        <v>L</v>
      </c>
      <c r="S46" s="3">
        <v>100</v>
      </c>
      <c r="T46" s="3" t="str">
        <f>IFERROR(MID(VLOOKUP($B46,Seqs!$A:$B,2,0),U46,1),"")</f>
        <v>G</v>
      </c>
      <c r="U46" s="3">
        <v>101</v>
      </c>
      <c r="V46" s="3" t="str">
        <f>IFERROR(MID(VLOOKUP($B46,Seqs!$A:$B,2,0),W46,1),"")</f>
        <v>K</v>
      </c>
      <c r="W46" s="3">
        <v>136</v>
      </c>
      <c r="X46" s="3" t="str">
        <f>IFERROR(MID(VLOOKUP($B46,Seqs!$A:$B,2,0),Y46,1),"")</f>
        <v>P</v>
      </c>
      <c r="Y46" s="3">
        <v>137</v>
      </c>
      <c r="Z46" s="3" t="str">
        <f>IFERROR(MID(VLOOKUP($B46,Seqs!$A:$B,2,0),AA46,1),"")</f>
        <v>R</v>
      </c>
      <c r="AA46" s="3">
        <v>144</v>
      </c>
      <c r="AB46" s="3" t="str">
        <f>IFERROR(MID(VLOOKUP($B46,Seqs!$A:$B,2,0),AC46,1),"")</f>
        <v>T</v>
      </c>
      <c r="AC46" s="9">
        <v>145</v>
      </c>
      <c r="AD46" s="3" t="str">
        <f>IFERROR(MID(VLOOKUP($B46,Seqs!$A:$B,2,0),AE46,1),"")</f>
        <v>G</v>
      </c>
      <c r="AE46" s="3">
        <v>176</v>
      </c>
      <c r="AF46" s="3" t="str">
        <f>IFERROR(MID(VLOOKUP($B46,Seqs!$A:$B,2,0),AG46,1),"")</f>
        <v>C</v>
      </c>
      <c r="AG46" s="3">
        <v>185</v>
      </c>
      <c r="AH46" s="3" t="str">
        <f>IFERROR(MID(VLOOKUP($B46,Seqs!$A:$B,2,0),AI46,1),"")</f>
        <v>I</v>
      </c>
      <c r="AI46" s="3">
        <v>187</v>
      </c>
      <c r="AJ46" s="3" t="str">
        <f>IFERROR(MID(VLOOKUP($B46,Seqs!$A:$B,2,0),AK46,1),"")</f>
        <v>N</v>
      </c>
      <c r="AK46" s="3">
        <v>192</v>
      </c>
      <c r="AL46" s="3" t="str">
        <f>IFERROR(MID(VLOOKUP($B46,Seqs!$A:$B,2,0),AM46,1),"")</f>
        <v>L</v>
      </c>
      <c r="AM46" s="3">
        <v>220</v>
      </c>
      <c r="AN46" s="3" t="str">
        <f>IFERROR(MID(VLOOKUP($B46,Seqs!$A:$B,2,0),AO46,1),"")</f>
        <v>R</v>
      </c>
      <c r="AO46" s="3">
        <v>396</v>
      </c>
      <c r="AP46" s="3" t="str">
        <f>IFERROR(MID(VLOOKUP($B46,Seqs!$A:$B,2,0),AQ46,1),"")</f>
        <v>C</v>
      </c>
      <c r="AQ46" s="3">
        <v>426</v>
      </c>
      <c r="AR46" s="3" t="str">
        <f>IFERROR(MID(VLOOKUP($B46,Seqs!$A:$B,2,0),AS46,1),"")</f>
        <v>P</v>
      </c>
      <c r="AS46" s="3">
        <v>431</v>
      </c>
      <c r="AT46" s="3" t="str">
        <f>IFERROR(MID(VLOOKUP($B46,Seqs!$A:$B,2,0),AU46,1),"")</f>
        <v>C</v>
      </c>
      <c r="AU46" s="3">
        <v>456</v>
      </c>
      <c r="AV46" s="3" t="str">
        <f>IFERROR(MID(VLOOKUP($B46,Seqs!$A:$B,2,0),AW46,1),"")</f>
        <v>N</v>
      </c>
      <c r="AW46" s="3">
        <v>457</v>
      </c>
      <c r="AX46" s="3" t="str">
        <f>IFERROR(MID(VLOOKUP($B46,Seqs!$A:$B,2,0),AY46,1),"")</f>
        <v>L</v>
      </c>
      <c r="AY46" s="3">
        <v>469</v>
      </c>
      <c r="AZ46" s="79" t="str">
        <f>VLOOKUP(B46,Classification!A:D,2,0)</f>
        <v>A</v>
      </c>
      <c r="BA46" s="97" t="str">
        <f>VLOOKUP(B46,Classification!A:D,4,0)</f>
        <v>Acetylcholine(muscarinic)</v>
      </c>
      <c r="BB46" s="27" t="b">
        <f t="shared" si="195"/>
        <v>1</v>
      </c>
      <c r="BC46" s="23">
        <f t="shared" si="84"/>
        <v>252</v>
      </c>
      <c r="BD46" s="2" t="s">
        <v>1383</v>
      </c>
      <c r="BE46" s="3" t="s">
        <v>1381</v>
      </c>
      <c r="BF46" s="50" t="s">
        <v>1384</v>
      </c>
      <c r="BG46" s="50" t="s">
        <v>1384</v>
      </c>
      <c r="BH46" s="1"/>
      <c r="BI46" s="72" t="s">
        <v>1293</v>
      </c>
      <c r="BJ46" s="58" t="s">
        <v>1293</v>
      </c>
      <c r="BK46" s="58" t="s">
        <v>1293</v>
      </c>
      <c r="BL46" s="58" t="s">
        <v>1293</v>
      </c>
      <c r="BM46" s="58" t="s">
        <v>1293</v>
      </c>
      <c r="BN46" s="58" t="s">
        <v>1293</v>
      </c>
      <c r="BO46" s="58" t="s">
        <v>1293</v>
      </c>
      <c r="BP46" s="58" t="s">
        <v>1293</v>
      </c>
      <c r="BQ46" s="58" t="s">
        <v>1293</v>
      </c>
      <c r="BR46" s="58" t="s">
        <v>1293</v>
      </c>
      <c r="BS46" s="58" t="s">
        <v>1293</v>
      </c>
      <c r="BT46" s="58" t="s">
        <v>1293</v>
      </c>
      <c r="BU46" s="72">
        <f t="shared" si="85"/>
        <v>26</v>
      </c>
      <c r="BV46" s="73">
        <f t="shared" si="86"/>
        <v>61</v>
      </c>
      <c r="BW46" s="74">
        <f t="shared" si="87"/>
        <v>65</v>
      </c>
      <c r="BX46" s="73">
        <f t="shared" si="88"/>
        <v>97</v>
      </c>
      <c r="BY46" s="74">
        <f t="shared" si="89"/>
        <v>101</v>
      </c>
      <c r="BZ46" s="73">
        <f t="shared" si="90"/>
        <v>137</v>
      </c>
      <c r="CA46" s="74">
        <f t="shared" si="91"/>
        <v>145</v>
      </c>
      <c r="CB46" s="73">
        <f t="shared" si="92"/>
        <v>185</v>
      </c>
      <c r="CC46" s="74">
        <f t="shared" si="93"/>
        <v>192</v>
      </c>
      <c r="CD46" s="73">
        <f t="shared" si="94"/>
        <v>396</v>
      </c>
      <c r="CE46" s="74">
        <f t="shared" si="95"/>
        <v>431</v>
      </c>
      <c r="CF46" s="73">
        <f t="shared" si="96"/>
        <v>457</v>
      </c>
      <c r="CG46" s="72">
        <f t="shared" si="97"/>
        <v>60</v>
      </c>
      <c r="CH46" s="73">
        <f t="shared" si="98"/>
        <v>64</v>
      </c>
      <c r="CI46" s="74">
        <f t="shared" si="99"/>
        <v>95</v>
      </c>
      <c r="CJ46" s="74">
        <f t="shared" si="100"/>
        <v>100</v>
      </c>
      <c r="CK46" s="74">
        <f t="shared" si="101"/>
        <v>136</v>
      </c>
      <c r="CL46" s="74">
        <f t="shared" si="102"/>
        <v>144</v>
      </c>
      <c r="CM46" s="74">
        <f t="shared" si="103"/>
        <v>176</v>
      </c>
      <c r="CN46" s="74">
        <f t="shared" si="104"/>
        <v>187</v>
      </c>
      <c r="CO46" s="74">
        <f t="shared" si="105"/>
        <v>220</v>
      </c>
      <c r="CP46" s="74">
        <f t="shared" si="106"/>
        <v>426</v>
      </c>
      <c r="CQ46" s="74">
        <f t="shared" si="107"/>
        <v>456</v>
      </c>
      <c r="CR46" s="74">
        <f t="shared" si="108"/>
        <v>469</v>
      </c>
      <c r="CS46" s="23">
        <f t="shared" si="109"/>
        <v>1</v>
      </c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  <c r="OK46" s="1"/>
      <c r="OL46" s="1"/>
      <c r="OM46" s="1"/>
      <c r="ON46" s="1"/>
      <c r="OO46" s="1"/>
      <c r="OP46" s="1"/>
      <c r="OQ46" s="1"/>
      <c r="OR46" s="1"/>
      <c r="OS46" s="1"/>
      <c r="OT46" s="1"/>
      <c r="OU46" s="1"/>
      <c r="OV46" s="1"/>
      <c r="OW46" s="1"/>
      <c r="OX46" s="1"/>
      <c r="OY46" s="1"/>
      <c r="OZ46" s="1"/>
      <c r="PA46" s="1"/>
      <c r="PB46" s="1"/>
      <c r="PC46" s="1"/>
      <c r="PD46" s="1"/>
      <c r="PE46" s="1"/>
      <c r="PF46" s="1"/>
      <c r="PG46" s="1"/>
      <c r="PH46" s="1"/>
      <c r="PI46" s="1"/>
      <c r="PJ46" s="1"/>
      <c r="PK46" s="1"/>
      <c r="PL46" s="1"/>
      <c r="PM46" s="1"/>
      <c r="PN46" s="1"/>
      <c r="PO46" s="1"/>
      <c r="PP46" s="1"/>
      <c r="PQ46" s="1"/>
      <c r="PR46" s="1"/>
      <c r="PS46" s="1"/>
      <c r="PT46" s="1"/>
      <c r="PU46" s="1"/>
      <c r="PV46" s="1"/>
      <c r="PW46" s="1"/>
      <c r="PX46" s="1"/>
      <c r="PY46" s="1"/>
      <c r="PZ46" s="1"/>
      <c r="QA46" s="1"/>
      <c r="QB46" s="1"/>
      <c r="QC46" s="1"/>
      <c r="QD46" s="1"/>
      <c r="QE46" s="1"/>
      <c r="QF46" s="1"/>
      <c r="QG46" s="1"/>
      <c r="QH46" s="1"/>
      <c r="QI46" s="1"/>
      <c r="QJ46" s="1"/>
      <c r="QK46" s="1"/>
      <c r="QL46" s="1"/>
      <c r="QM46" s="1"/>
      <c r="QN46" s="1"/>
      <c r="QO46" s="1"/>
      <c r="QP46" s="1"/>
      <c r="QQ46" s="1"/>
      <c r="QR46" s="1"/>
      <c r="QS46" s="1"/>
      <c r="QT46" s="1"/>
      <c r="QU46" s="1"/>
      <c r="QV46" s="1"/>
      <c r="QW46" s="1"/>
      <c r="QX46" s="1"/>
      <c r="QY46" s="1"/>
      <c r="QZ46" s="1"/>
      <c r="RA46" s="1"/>
      <c r="RB46" s="1"/>
      <c r="RC46" s="1"/>
      <c r="RD46" s="1"/>
      <c r="RE46" s="1"/>
      <c r="RF46" s="1"/>
      <c r="RG46" s="1"/>
      <c r="RH46" s="1"/>
      <c r="RI46" s="1"/>
      <c r="RJ46" s="1"/>
      <c r="RK46" s="1"/>
      <c r="RL46" s="1"/>
      <c r="RM46" s="1"/>
      <c r="RN46" s="1"/>
      <c r="RO46" s="1"/>
      <c r="RP46" s="1"/>
      <c r="RQ46" s="1"/>
      <c r="RR46" s="1"/>
      <c r="RS46" s="1"/>
      <c r="RT46" s="1"/>
      <c r="RU46" s="1"/>
      <c r="RV46" s="1"/>
      <c r="RW46" s="1"/>
      <c r="RX46" s="1"/>
      <c r="RY46" s="1"/>
      <c r="RZ46" s="1"/>
      <c r="SA46" s="1"/>
      <c r="SB46" s="1"/>
      <c r="SC46" s="1"/>
      <c r="SD46" s="1"/>
      <c r="SE46" s="1"/>
      <c r="SF46" s="1"/>
      <c r="SG46" s="1"/>
      <c r="SH46" s="1"/>
      <c r="SI46" s="1"/>
      <c r="SJ46" s="1"/>
      <c r="SK46" s="1"/>
      <c r="SL46" s="1"/>
      <c r="SM46" s="1"/>
      <c r="SN46" s="1"/>
      <c r="SO46" s="1"/>
      <c r="SP46" s="1"/>
      <c r="SQ46" s="1"/>
      <c r="SR46" s="1"/>
      <c r="SS46" s="1"/>
      <c r="ST46" s="1"/>
      <c r="SU46" s="1"/>
      <c r="SV46" s="1"/>
      <c r="SW46" s="1"/>
      <c r="SX46" s="1"/>
      <c r="SY46" s="1"/>
      <c r="SZ46" s="1"/>
      <c r="TA46" s="1"/>
      <c r="TB46" s="1"/>
      <c r="TC46" s="1"/>
      <c r="TD46" s="1"/>
      <c r="TE46" s="1"/>
      <c r="TF46" s="1"/>
      <c r="TG46" s="1"/>
      <c r="TH46" s="1"/>
      <c r="TI46" s="1"/>
      <c r="TJ46" s="1"/>
      <c r="TK46" s="1"/>
      <c r="TL46" s="1"/>
      <c r="TM46" s="1"/>
      <c r="TN46" s="1"/>
      <c r="TO46" s="1"/>
      <c r="TP46" s="1"/>
      <c r="TQ46" s="1"/>
      <c r="TR46" s="1"/>
      <c r="TS46" s="1"/>
      <c r="TT46" s="1"/>
      <c r="TU46" s="1"/>
      <c r="TV46" s="1"/>
      <c r="TW46" s="1"/>
      <c r="TX46" s="1"/>
      <c r="TY46" s="1"/>
      <c r="TZ46" s="1"/>
      <c r="UA46" s="1"/>
      <c r="UB46" s="1"/>
      <c r="UC46" s="1"/>
      <c r="UD46" s="1"/>
      <c r="UE46" s="1"/>
      <c r="UF46" s="1"/>
      <c r="UG46" s="1"/>
      <c r="UH46" s="1"/>
      <c r="UI46" s="1"/>
      <c r="UJ46" s="1"/>
      <c r="UK46" s="1"/>
      <c r="UL46" s="1"/>
      <c r="UM46" s="1"/>
      <c r="UN46" s="1"/>
      <c r="UO46" s="1"/>
      <c r="UP46" s="1"/>
      <c r="UQ46" s="1"/>
      <c r="UR46" s="1"/>
      <c r="US46" s="1"/>
      <c r="UT46" s="1"/>
      <c r="UU46" s="1"/>
      <c r="UV46" s="1"/>
      <c r="UW46" s="1"/>
      <c r="UX46" s="1"/>
      <c r="UY46" s="1"/>
      <c r="UZ46" s="1"/>
      <c r="VA46" s="1"/>
      <c r="VB46" s="1"/>
      <c r="VC46" s="1"/>
      <c r="VD46" s="1"/>
      <c r="VE46" s="1"/>
      <c r="VF46" s="1"/>
      <c r="VG46" s="1"/>
      <c r="VH46" s="1"/>
      <c r="VI46" s="1"/>
      <c r="VJ46" s="1"/>
      <c r="VK46" s="1"/>
      <c r="VL46" s="1"/>
      <c r="VM46" s="1"/>
      <c r="VN46" s="1"/>
      <c r="VO46" s="1"/>
      <c r="VP46" s="1"/>
      <c r="VQ46" s="1"/>
      <c r="VR46" s="1"/>
      <c r="VS46" s="1"/>
      <c r="VT46" s="1"/>
      <c r="VU46" s="1"/>
      <c r="VV46" s="1"/>
      <c r="VW46" s="1"/>
      <c r="VX46" s="1"/>
      <c r="VY46" s="1"/>
      <c r="VZ46" s="1"/>
      <c r="WA46" s="1"/>
      <c r="WB46" s="1"/>
      <c r="WC46" s="1"/>
      <c r="WD46" s="1"/>
      <c r="WE46" s="1"/>
      <c r="WF46" s="1"/>
      <c r="WG46" s="1"/>
      <c r="WH46" s="1"/>
      <c r="WI46" s="1"/>
      <c r="WJ46" s="1"/>
      <c r="WK46" s="1"/>
      <c r="WL46" s="1"/>
      <c r="WM46" s="1"/>
      <c r="WN46" s="1"/>
      <c r="WO46" s="1"/>
      <c r="WP46" s="1"/>
      <c r="WQ46" s="1"/>
      <c r="WR46" s="1"/>
      <c r="WS46" s="1"/>
      <c r="WT46" s="1"/>
      <c r="WU46" s="1"/>
      <c r="WV46" s="1"/>
      <c r="WW46" s="1"/>
      <c r="WX46" s="1"/>
      <c r="WY46" s="1"/>
      <c r="WZ46" s="1"/>
      <c r="XA46" s="1"/>
      <c r="XB46" s="1"/>
      <c r="XC46" s="1"/>
      <c r="XD46" s="1"/>
      <c r="XE46" s="1"/>
      <c r="XF46" s="1"/>
      <c r="XG46" s="1"/>
      <c r="XH46" s="1"/>
      <c r="XI46" s="1"/>
      <c r="XJ46" s="1"/>
      <c r="XK46" s="1"/>
      <c r="XL46" s="1"/>
      <c r="XM46" s="1"/>
      <c r="XN46" s="1"/>
      <c r="XO46" s="1"/>
      <c r="XP46" s="1"/>
      <c r="XQ46" s="1"/>
      <c r="XR46" s="1"/>
      <c r="XS46" s="1"/>
      <c r="XT46" s="1"/>
      <c r="XU46" s="1"/>
      <c r="XV46" s="1"/>
      <c r="XW46" s="1"/>
      <c r="XX46" s="1"/>
      <c r="XY46" s="1"/>
      <c r="XZ46" s="1"/>
      <c r="YA46" s="1"/>
      <c r="YB46" s="1"/>
      <c r="YC46" s="1"/>
      <c r="YD46" s="1"/>
      <c r="YE46" s="1"/>
      <c r="YF46" s="1"/>
      <c r="YG46" s="1"/>
      <c r="YH46" s="1"/>
      <c r="YI46" s="1"/>
      <c r="YJ46" s="1"/>
      <c r="YK46" s="1"/>
      <c r="YL46" s="1"/>
      <c r="YM46" s="1"/>
      <c r="YN46" s="1"/>
      <c r="YO46" s="1"/>
      <c r="YP46" s="1"/>
      <c r="YQ46" s="1"/>
      <c r="YR46" s="1"/>
      <c r="YS46" s="1"/>
      <c r="YT46" s="1"/>
      <c r="YU46" s="1"/>
      <c r="YV46" s="1"/>
      <c r="YW46" s="1"/>
      <c r="YX46" s="1"/>
      <c r="YY46" s="1"/>
      <c r="YZ46" s="1"/>
      <c r="ZA46" s="1"/>
      <c r="ZB46" s="1"/>
      <c r="ZC46" s="1"/>
      <c r="ZD46" s="1"/>
      <c r="ZE46" s="1"/>
      <c r="ZF46" s="1"/>
      <c r="ZG46" s="1"/>
      <c r="ZH46" s="1"/>
      <c r="ZI46" s="1"/>
      <c r="ZJ46" s="1"/>
      <c r="ZK46" s="1"/>
      <c r="ZL46" s="1"/>
      <c r="ZM46" s="1"/>
      <c r="ZN46" s="1"/>
      <c r="ZO46" s="1"/>
      <c r="ZP46" s="1"/>
      <c r="ZQ46" s="1"/>
      <c r="ZR46" s="1"/>
      <c r="ZS46" s="1"/>
      <c r="ZT46" s="1"/>
      <c r="ZU46" s="1"/>
      <c r="ZV46" s="1"/>
      <c r="ZW46" s="1"/>
      <c r="ZX46" s="1"/>
      <c r="ZY46" s="1"/>
      <c r="ZZ46" s="1"/>
      <c r="AAA46" s="1"/>
      <c r="AAB46" s="1"/>
      <c r="AAC46" s="1"/>
      <c r="AAD46" s="1"/>
      <c r="AAE46" s="1"/>
      <c r="AAF46" s="1"/>
      <c r="AAG46" s="1"/>
      <c r="AAH46" s="1"/>
      <c r="AAI46" s="1"/>
      <c r="AAJ46" s="1"/>
      <c r="AAK46" s="1"/>
      <c r="AAL46" s="1"/>
      <c r="AAM46" s="1"/>
      <c r="AAN46" s="1"/>
      <c r="AAO46" s="1"/>
      <c r="AAP46" s="1"/>
      <c r="AAQ46" s="1"/>
      <c r="AAR46" s="1"/>
      <c r="AAS46" s="1"/>
      <c r="AAT46" s="1"/>
      <c r="AAU46" s="1"/>
      <c r="AAV46" s="1"/>
      <c r="AAW46" s="1"/>
      <c r="AAX46" s="1"/>
      <c r="AAY46" s="1"/>
      <c r="AAZ46" s="1"/>
      <c r="ABA46" s="1"/>
      <c r="ABB46" s="1"/>
      <c r="ABC46" s="1"/>
      <c r="ABD46" s="1"/>
      <c r="ABE46" s="1"/>
      <c r="ABF46" s="1"/>
      <c r="ABG46" s="1"/>
      <c r="ABH46" s="1"/>
      <c r="ABI46" s="1"/>
      <c r="ABJ46" s="1"/>
      <c r="ABK46" s="1"/>
      <c r="ABL46" s="1"/>
      <c r="ABM46" s="1"/>
      <c r="ABN46" s="1"/>
      <c r="ABO46" s="1"/>
      <c r="ABP46" s="1"/>
      <c r="ABQ46" s="1"/>
      <c r="ABR46" s="1"/>
      <c r="ABS46" s="1"/>
      <c r="ABT46" s="1"/>
      <c r="ABU46" s="1"/>
      <c r="ABV46" s="1"/>
      <c r="ABW46" s="1"/>
      <c r="ABX46" s="1"/>
      <c r="ABY46" s="1"/>
      <c r="ABZ46" s="1"/>
      <c r="ACA46" s="1"/>
      <c r="ACB46" s="1"/>
      <c r="ACC46" s="1"/>
      <c r="ACD46" s="1"/>
      <c r="ACE46" s="1"/>
      <c r="ACF46" s="1"/>
      <c r="ACG46" s="1"/>
      <c r="ACH46" s="1"/>
      <c r="ACI46" s="1"/>
      <c r="ACJ46" s="1"/>
      <c r="ACK46" s="1"/>
      <c r="ACL46" s="1"/>
      <c r="ACM46" s="1"/>
      <c r="ACN46" s="1"/>
      <c r="ACO46" s="1"/>
      <c r="ACP46" s="1"/>
      <c r="ACQ46" s="1"/>
      <c r="ACR46" s="1"/>
      <c r="ACS46" s="1"/>
      <c r="ACT46" s="1"/>
      <c r="ACU46" s="1"/>
      <c r="ACV46" s="1"/>
      <c r="ACW46" s="1"/>
      <c r="ACX46" s="1"/>
      <c r="ACY46" s="1"/>
      <c r="ACZ46" s="1"/>
      <c r="ADA46" s="1"/>
      <c r="ADB46" s="1"/>
      <c r="ADC46" s="1"/>
      <c r="ADD46" s="1"/>
      <c r="ADE46" s="1"/>
      <c r="ADF46" s="1"/>
      <c r="ADG46" s="1"/>
      <c r="ADH46" s="1"/>
      <c r="ADI46" s="1"/>
      <c r="ADJ46" s="1"/>
      <c r="ADK46" s="1"/>
      <c r="ADL46" s="1"/>
      <c r="ADM46" s="1"/>
      <c r="ADN46" s="1"/>
      <c r="ADO46" s="1"/>
      <c r="ADP46" s="1"/>
      <c r="ADQ46" s="1"/>
      <c r="ADR46" s="1"/>
      <c r="ADS46" s="1"/>
      <c r="ADT46" s="1"/>
      <c r="ADU46" s="1"/>
      <c r="ADV46" s="1"/>
      <c r="ADW46" s="1"/>
      <c r="ADX46" s="1"/>
      <c r="ADY46" s="1"/>
      <c r="ADZ46" s="1"/>
      <c r="AEA46" s="1"/>
      <c r="AEB46" s="1"/>
      <c r="AEC46" s="1"/>
      <c r="AED46" s="1"/>
      <c r="AEE46" s="1"/>
      <c r="AEF46" s="1"/>
      <c r="AEG46" s="1"/>
      <c r="AEH46" s="1"/>
      <c r="AEI46" s="1"/>
      <c r="AEJ46" s="1"/>
      <c r="AEK46" s="1"/>
      <c r="AEL46" s="1"/>
      <c r="AEM46" s="1"/>
      <c r="AEN46" s="1"/>
      <c r="AEO46" s="1"/>
      <c r="AEP46" s="1"/>
      <c r="AEQ46" s="1"/>
      <c r="AER46" s="1"/>
      <c r="AES46" s="1"/>
      <c r="AET46" s="1"/>
      <c r="AEU46" s="1"/>
      <c r="AEV46" s="1"/>
      <c r="AEW46" s="1"/>
      <c r="AEX46" s="1"/>
      <c r="AEY46" s="1"/>
      <c r="AEZ46" s="1"/>
      <c r="AFA46" s="1"/>
      <c r="AFB46" s="1"/>
      <c r="AFC46" s="1"/>
      <c r="AFD46" s="1"/>
      <c r="AFE46" s="1"/>
      <c r="AFF46" s="1"/>
      <c r="AFG46" s="1"/>
      <c r="AFH46" s="1"/>
      <c r="AFI46" s="1"/>
      <c r="AFJ46" s="1"/>
      <c r="AFK46" s="1"/>
      <c r="AFL46" s="1"/>
      <c r="AFM46" s="1"/>
      <c r="AFN46" s="1"/>
      <c r="AFO46" s="1"/>
      <c r="AFP46" s="1"/>
      <c r="AFQ46" s="1"/>
      <c r="AFR46" s="1"/>
      <c r="AFS46" s="1"/>
      <c r="AFT46" s="1"/>
      <c r="AFU46" s="1"/>
      <c r="AFV46" s="1"/>
      <c r="AFW46" s="1"/>
      <c r="AFX46" s="1"/>
      <c r="AFY46" s="1"/>
      <c r="AFZ46" s="1"/>
      <c r="AGA46" s="1"/>
      <c r="AGB46" s="1"/>
      <c r="AGC46" s="1"/>
      <c r="AGD46" s="1"/>
      <c r="AGE46" s="1"/>
      <c r="AGF46" s="1"/>
      <c r="AGG46" s="1"/>
      <c r="AGH46" s="1"/>
      <c r="AGI46" s="1"/>
      <c r="AGJ46" s="1"/>
      <c r="AGK46" s="1"/>
      <c r="AGL46" s="1"/>
      <c r="AGM46" s="1"/>
      <c r="AGN46" s="1"/>
      <c r="AGO46" s="1"/>
      <c r="AGP46" s="1"/>
      <c r="AGQ46" s="1"/>
      <c r="AGR46" s="1"/>
      <c r="AGS46" s="1"/>
      <c r="AGT46" s="1"/>
      <c r="AGU46" s="1"/>
      <c r="AGV46" s="1"/>
      <c r="AGW46" s="1"/>
      <c r="AGX46" s="1"/>
      <c r="AGY46" s="1"/>
      <c r="AGZ46" s="1"/>
      <c r="AHA46" s="1"/>
      <c r="AHB46" s="1"/>
      <c r="AHC46" s="1"/>
      <c r="AHD46" s="1"/>
      <c r="AHE46" s="1"/>
      <c r="AHF46" s="1"/>
      <c r="AHG46" s="1"/>
      <c r="AHH46" s="1"/>
      <c r="AHI46" s="1"/>
      <c r="AHJ46" s="1"/>
      <c r="AHK46" s="1"/>
      <c r="AHL46" s="1"/>
      <c r="AHM46" s="1"/>
      <c r="AHN46" s="1"/>
      <c r="AHO46" s="1"/>
      <c r="AHP46" s="1"/>
      <c r="AHQ46" s="1"/>
      <c r="AHR46" s="1"/>
      <c r="AHS46" s="1"/>
      <c r="AHT46" s="1"/>
      <c r="AHU46" s="1"/>
      <c r="AHV46" s="1"/>
      <c r="AHW46" s="1"/>
      <c r="AHX46" s="1"/>
      <c r="AHY46" s="1"/>
      <c r="AHZ46" s="1"/>
      <c r="AIA46" s="1"/>
      <c r="AIB46" s="1"/>
      <c r="AIC46" s="1"/>
      <c r="AID46" s="1"/>
      <c r="AIE46" s="1"/>
      <c r="AIF46" s="1"/>
      <c r="AIG46" s="1"/>
      <c r="AIH46" s="1"/>
      <c r="AII46" s="1"/>
      <c r="AIJ46" s="1"/>
      <c r="AIK46" s="1"/>
      <c r="AIL46" s="1"/>
      <c r="AIM46" s="1"/>
      <c r="AIN46" s="1"/>
      <c r="AIO46" s="1"/>
      <c r="AIP46" s="1"/>
      <c r="AIQ46" s="1"/>
      <c r="AIR46" s="1"/>
      <c r="AIS46" s="1"/>
      <c r="AIT46" s="1"/>
      <c r="AIU46" s="1"/>
      <c r="AIV46" s="1"/>
      <c r="AIW46" s="1"/>
      <c r="AIX46" s="1"/>
      <c r="AIY46" s="1"/>
      <c r="AIZ46" s="1"/>
      <c r="AJA46" s="1"/>
      <c r="AJB46" s="1"/>
      <c r="AJC46" s="1"/>
      <c r="AJD46" s="1"/>
      <c r="AJE46" s="1"/>
      <c r="AJF46" s="1"/>
      <c r="AJG46" s="1"/>
      <c r="AJH46" s="1"/>
      <c r="AJI46" s="1"/>
      <c r="AJJ46" s="1"/>
      <c r="AJK46" s="1"/>
      <c r="AJL46" s="1"/>
      <c r="AJM46" s="1"/>
      <c r="AJN46" s="1"/>
      <c r="AJO46" s="1"/>
      <c r="AJP46" s="1"/>
      <c r="AJQ46" s="1"/>
      <c r="AJR46" s="1"/>
      <c r="AJS46" s="1"/>
      <c r="AJT46" s="1"/>
      <c r="AJU46" s="1"/>
      <c r="AJV46" s="1"/>
      <c r="AJW46" s="1"/>
      <c r="AJX46" s="1"/>
      <c r="AJY46" s="1"/>
      <c r="AJZ46" s="1"/>
      <c r="AKA46" s="1"/>
      <c r="AKB46" s="1"/>
      <c r="AKC46" s="1"/>
      <c r="AKD46" s="1"/>
      <c r="AKE46" s="1"/>
      <c r="AKF46" s="1"/>
      <c r="AKG46" s="1"/>
      <c r="AKH46" s="1"/>
      <c r="AKI46" s="1"/>
      <c r="AKJ46" s="1"/>
      <c r="AKK46" s="1"/>
      <c r="AKL46" s="1"/>
      <c r="AKM46" s="1"/>
      <c r="AKN46" s="1"/>
      <c r="AKO46" s="1"/>
      <c r="AKP46" s="1"/>
      <c r="AKQ46" s="1"/>
      <c r="AKR46" s="1"/>
      <c r="AKS46" s="1"/>
      <c r="AKT46" s="1"/>
      <c r="AKU46" s="1"/>
      <c r="AKV46" s="1"/>
      <c r="AKW46" s="1"/>
      <c r="AKX46" s="1"/>
      <c r="AKY46" s="1"/>
      <c r="AKZ46" s="1"/>
      <c r="ALA46" s="1"/>
      <c r="ALB46" s="1"/>
      <c r="ALC46" s="1"/>
      <c r="ALD46" s="1"/>
      <c r="ALE46" s="1"/>
      <c r="ALF46" s="1"/>
      <c r="ALG46" s="1"/>
      <c r="ALH46" s="1"/>
      <c r="ALI46" s="1"/>
      <c r="ALJ46" s="1"/>
      <c r="ALK46" s="1"/>
      <c r="ALL46" s="1"/>
      <c r="ALM46" s="1"/>
      <c r="ALN46" s="1"/>
      <c r="ALO46" s="1"/>
      <c r="ALP46" s="1"/>
      <c r="ALQ46" s="1"/>
      <c r="ALR46" s="1"/>
      <c r="ALS46" s="1"/>
      <c r="ALT46" s="1"/>
      <c r="ALU46" s="1"/>
      <c r="ALV46" s="1"/>
      <c r="ALW46" s="1"/>
      <c r="ALX46" s="1"/>
      <c r="ALY46" s="1"/>
      <c r="ALZ46" s="1"/>
      <c r="AMA46" s="1"/>
      <c r="AMB46" s="1"/>
      <c r="AMC46" s="1"/>
      <c r="AMD46" s="1"/>
      <c r="AME46" s="1"/>
      <c r="AMF46" s="1"/>
      <c r="AMG46" s="1"/>
      <c r="AMH46" s="1"/>
      <c r="AMI46" s="1"/>
      <c r="AMJ46" s="1"/>
      <c r="AMK46" s="1"/>
      <c r="AML46" s="1"/>
      <c r="AMM46" s="1"/>
      <c r="AMN46" s="1"/>
    </row>
    <row r="47" spans="1:1028" x14ac:dyDescent="0.2">
      <c r="A47" s="3" t="str">
        <f t="shared" si="194"/>
        <v>adrb1_melga__wt</v>
      </c>
      <c r="B47" s="3" t="s">
        <v>912</v>
      </c>
      <c r="C47" s="3" t="s">
        <v>100</v>
      </c>
      <c r="D47" s="3" t="str">
        <f>IFERROR(MID(VLOOKUP($B47,Seqs!$A:$B,2,0),E47,1),"")</f>
        <v>A</v>
      </c>
      <c r="E47" s="3">
        <v>33</v>
      </c>
      <c r="F47" s="3" t="str">
        <f>IFERROR(MID(VLOOKUP($B47,Seqs!$A:$B,2,0),G47,1),"")</f>
        <v>T</v>
      </c>
      <c r="G47" s="3">
        <v>69</v>
      </c>
      <c r="H47" s="3" t="str">
        <f>IFERROR(MID(VLOOKUP($B47,Seqs!$A:$B,2,0),I47,1),"")</f>
        <v>Q</v>
      </c>
      <c r="I47" s="23">
        <v>70</v>
      </c>
      <c r="J47" s="3" t="str">
        <f>IFERROR(MID(VLOOKUP($B47,Seqs!$A:$B,2,0),K47,1),"")</f>
        <v>Q</v>
      </c>
      <c r="K47" s="23">
        <v>73</v>
      </c>
      <c r="L47" s="3" t="str">
        <f>IFERROR(MID(VLOOKUP($B47,Seqs!$A:$B,2,0),M47,1),"")</f>
        <v>T</v>
      </c>
      <c r="M47" s="3">
        <v>74</v>
      </c>
      <c r="N47" s="3" t="str">
        <f>IFERROR(MID(VLOOKUP($B47,Seqs!$A:$B,2,0),O47,1),"")</f>
        <v>R</v>
      </c>
      <c r="O47" s="3">
        <v>104</v>
      </c>
      <c r="P47" s="3" t="str">
        <f>IFERROR(MID(VLOOKUP($B47,Seqs!$A:$B,2,0),Q47,1),"")</f>
        <v>T</v>
      </c>
      <c r="Q47" s="3">
        <v>106</v>
      </c>
      <c r="R47" s="3" t="str">
        <f>IFERROR(MID(VLOOKUP($B47,Seqs!$A:$B,2,0),S47,1),"")</f>
        <v>W</v>
      </c>
      <c r="S47" s="3">
        <v>109</v>
      </c>
      <c r="T47" s="3" t="str">
        <f>IFERROR(MID(VLOOKUP($B47,Seqs!$A:$B,2,0),U47,1),"")</f>
        <v>G</v>
      </c>
      <c r="U47" s="3">
        <v>110</v>
      </c>
      <c r="V47" s="3" t="str">
        <f>IFERROR(MID(VLOOKUP($B47,Seqs!$A:$B,2,0),W47,1),"")</f>
        <v>S</v>
      </c>
      <c r="W47" s="3">
        <v>145</v>
      </c>
      <c r="X47" s="3" t="str">
        <f>IFERROR(MID(VLOOKUP($B47,Seqs!$A:$B,2,0),Y47,1),"")</f>
        <v>P</v>
      </c>
      <c r="Y47" s="3">
        <v>146</v>
      </c>
      <c r="Z47" s="3" t="str">
        <f>IFERROR(MID(VLOOKUP($B47,Seqs!$A:$B,2,0),AA47,1),"")</f>
        <v>M</v>
      </c>
      <c r="AA47" s="3">
        <v>153</v>
      </c>
      <c r="AB47" s="3" t="str">
        <f>IFERROR(MID(VLOOKUP($B47,Seqs!$A:$B,2,0),AC47,1),"")</f>
        <v>T</v>
      </c>
      <c r="AC47" s="9">
        <v>154</v>
      </c>
      <c r="AD47" s="3" t="str">
        <f>IFERROR(MID(VLOOKUP($B47,Seqs!$A:$B,2,0),AE47,1),"")</f>
        <v>H</v>
      </c>
      <c r="AE47" s="3">
        <v>180</v>
      </c>
      <c r="AF47" s="3" t="str">
        <f>IFERROR(MID(VLOOKUP($B47,Seqs!$A:$B,2,0),AG47,1),"")</f>
        <v>C</v>
      </c>
      <c r="AG47" s="3">
        <v>199</v>
      </c>
      <c r="AH47" s="3" t="str">
        <f>IFERROR(MID(VLOOKUP($B47,Seqs!$A:$B,2,0),AI47,1),"")</f>
        <v>F</v>
      </c>
      <c r="AI47" s="3">
        <v>201</v>
      </c>
      <c r="AJ47" s="3" t="str">
        <f>IFERROR(MID(VLOOKUP($B47,Seqs!$A:$B,2,0),AK47,1),"")</f>
        <v>N</v>
      </c>
      <c r="AK47" s="3">
        <v>204</v>
      </c>
      <c r="AL47" s="3" t="str">
        <f>IFERROR(MID(VLOOKUP($B47,Seqs!$A:$B,2,0),AM47,1),"")</f>
        <v>E</v>
      </c>
      <c r="AM47" s="3">
        <v>245</v>
      </c>
      <c r="AN47" s="3" t="str">
        <f>IFERROR(MID(VLOOKUP($B47,Seqs!$A:$B,2,0),AO47,1),"")</f>
        <v>R</v>
      </c>
      <c r="AO47" s="3">
        <v>275</v>
      </c>
      <c r="AP47" s="3" t="str">
        <f>IFERROR(MID(VLOOKUP($B47,Seqs!$A:$B,2,0),AQ47,1),"")</f>
        <v>N</v>
      </c>
      <c r="AQ47" s="3">
        <v>316</v>
      </c>
      <c r="AR47" s="3" t="str">
        <f>IFERROR(MID(VLOOKUP($B47,Seqs!$A:$B,2,0),AS47,1),"")</f>
        <v>P</v>
      </c>
      <c r="AS47" s="3">
        <v>321</v>
      </c>
      <c r="AT47" s="3" t="str">
        <f>IFERROR(MID(VLOOKUP($B47,Seqs!$A:$B,2,0),AU47,1),"")</f>
        <v>R</v>
      </c>
      <c r="AU47" s="3">
        <v>345</v>
      </c>
      <c r="AV47" s="3" t="str">
        <f>IFERROR(MID(VLOOKUP($B47,Seqs!$A:$B,2,0),AW47,1),"")</f>
        <v>S</v>
      </c>
      <c r="AW47" s="3">
        <v>346</v>
      </c>
      <c r="AX47" s="3" t="str">
        <f>IFERROR(MID(VLOOKUP($B47,Seqs!$A:$B,2,0),AY47,1),"")</f>
        <v>C</v>
      </c>
      <c r="AY47" s="3">
        <v>358</v>
      </c>
      <c r="AZ47" s="79" t="str">
        <f>VLOOKUP(B47,Classification!A:D,2,0)</f>
        <v>A</v>
      </c>
      <c r="BA47" s="97" t="str">
        <f>VLOOKUP(B47,Classification!A:D,4,0)</f>
        <v>Adrenoceptors</v>
      </c>
      <c r="BB47" s="27" t="b">
        <f t="shared" si="195"/>
        <v>1</v>
      </c>
      <c r="BC47" s="23">
        <f t="shared" si="84"/>
        <v>272</v>
      </c>
      <c r="BD47" s="35" t="s">
        <v>1379</v>
      </c>
      <c r="BE47" s="3" t="s">
        <v>1381</v>
      </c>
      <c r="BF47" s="50" t="s">
        <v>1379</v>
      </c>
      <c r="BG47" s="50" t="s">
        <v>1384</v>
      </c>
      <c r="BH47" s="3" t="s">
        <v>1166</v>
      </c>
      <c r="BI47" s="72" t="s">
        <v>1293</v>
      </c>
      <c r="BJ47" s="58" t="s">
        <v>1293</v>
      </c>
      <c r="BK47" s="58" t="s">
        <v>1293</v>
      </c>
      <c r="BL47" s="58" t="s">
        <v>1293</v>
      </c>
      <c r="BM47" s="58" t="s">
        <v>1293</v>
      </c>
      <c r="BN47" s="58" t="s">
        <v>1293</v>
      </c>
      <c r="BO47" s="58" t="s">
        <v>1293</v>
      </c>
      <c r="BP47" s="58" t="s">
        <v>1293</v>
      </c>
      <c r="BQ47" s="58" t="s">
        <v>1293</v>
      </c>
      <c r="BR47" s="58" t="s">
        <v>1293</v>
      </c>
      <c r="BS47" s="58" t="s">
        <v>1293</v>
      </c>
      <c r="BT47" s="58" t="s">
        <v>1293</v>
      </c>
      <c r="BU47" s="72">
        <f t="shared" si="85"/>
        <v>33</v>
      </c>
      <c r="BV47" s="73">
        <f t="shared" si="86"/>
        <v>70</v>
      </c>
      <c r="BW47" s="74">
        <f t="shared" si="87"/>
        <v>74</v>
      </c>
      <c r="BX47" s="73">
        <f t="shared" si="88"/>
        <v>106</v>
      </c>
      <c r="BY47" s="74">
        <f t="shared" si="89"/>
        <v>110</v>
      </c>
      <c r="BZ47" s="73">
        <f t="shared" si="90"/>
        <v>146</v>
      </c>
      <c r="CA47" s="74">
        <f t="shared" si="91"/>
        <v>154</v>
      </c>
      <c r="CB47" s="73">
        <f t="shared" si="92"/>
        <v>199</v>
      </c>
      <c r="CC47" s="74">
        <f t="shared" si="93"/>
        <v>204</v>
      </c>
      <c r="CD47" s="73">
        <f t="shared" si="94"/>
        <v>275</v>
      </c>
      <c r="CE47" s="74">
        <f t="shared" si="95"/>
        <v>321</v>
      </c>
      <c r="CF47" s="73">
        <f t="shared" si="96"/>
        <v>346</v>
      </c>
      <c r="CG47" s="72">
        <f t="shared" si="97"/>
        <v>69</v>
      </c>
      <c r="CH47" s="73">
        <f t="shared" si="98"/>
        <v>73</v>
      </c>
      <c r="CI47" s="74">
        <f t="shared" si="99"/>
        <v>104</v>
      </c>
      <c r="CJ47" s="74">
        <f t="shared" si="100"/>
        <v>109</v>
      </c>
      <c r="CK47" s="74">
        <f t="shared" si="101"/>
        <v>145</v>
      </c>
      <c r="CL47" s="74">
        <f t="shared" si="102"/>
        <v>153</v>
      </c>
      <c r="CM47" s="74">
        <f t="shared" si="103"/>
        <v>180</v>
      </c>
      <c r="CN47" s="74">
        <f t="shared" si="104"/>
        <v>201</v>
      </c>
      <c r="CO47" s="74">
        <f t="shared" si="105"/>
        <v>245</v>
      </c>
      <c r="CP47" s="74">
        <f t="shared" si="106"/>
        <v>316</v>
      </c>
      <c r="CQ47" s="74">
        <f t="shared" si="107"/>
        <v>345</v>
      </c>
      <c r="CR47" s="74">
        <f t="shared" si="108"/>
        <v>358</v>
      </c>
      <c r="CS47" s="23">
        <f t="shared" si="109"/>
        <v>1</v>
      </c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  <c r="OK47" s="1"/>
      <c r="OL47" s="1"/>
      <c r="OM47" s="1"/>
      <c r="ON47" s="1"/>
      <c r="OO47" s="1"/>
      <c r="OP47" s="1"/>
      <c r="OQ47" s="1"/>
      <c r="OR47" s="1"/>
      <c r="OS47" s="1"/>
      <c r="OT47" s="1"/>
      <c r="OU47" s="1"/>
      <c r="OV47" s="1"/>
      <c r="OW47" s="1"/>
      <c r="OX47" s="1"/>
      <c r="OY47" s="1"/>
      <c r="OZ47" s="1"/>
      <c r="PA47" s="1"/>
      <c r="PB47" s="1"/>
      <c r="PC47" s="1"/>
      <c r="PD47" s="1"/>
      <c r="PE47" s="1"/>
      <c r="PF47" s="1"/>
      <c r="PG47" s="1"/>
      <c r="PH47" s="1"/>
      <c r="PI47" s="1"/>
      <c r="PJ47" s="1"/>
      <c r="PK47" s="1"/>
      <c r="PL47" s="1"/>
      <c r="PM47" s="1"/>
      <c r="PN47" s="1"/>
      <c r="PO47" s="1"/>
      <c r="PP47" s="1"/>
      <c r="PQ47" s="1"/>
      <c r="PR47" s="1"/>
      <c r="PS47" s="1"/>
      <c r="PT47" s="1"/>
      <c r="PU47" s="1"/>
      <c r="PV47" s="1"/>
      <c r="PW47" s="1"/>
      <c r="PX47" s="1"/>
      <c r="PY47" s="1"/>
      <c r="PZ47" s="1"/>
      <c r="QA47" s="1"/>
      <c r="QB47" s="1"/>
      <c r="QC47" s="1"/>
      <c r="QD47" s="1"/>
      <c r="QE47" s="1"/>
      <c r="QF47" s="1"/>
      <c r="QG47" s="1"/>
      <c r="QH47" s="1"/>
      <c r="QI47" s="1"/>
      <c r="QJ47" s="1"/>
      <c r="QK47" s="1"/>
      <c r="QL47" s="1"/>
      <c r="QM47" s="1"/>
      <c r="QN47" s="1"/>
      <c r="QO47" s="1"/>
      <c r="QP47" s="1"/>
      <c r="QQ47" s="1"/>
      <c r="QR47" s="1"/>
      <c r="QS47" s="1"/>
      <c r="QT47" s="1"/>
      <c r="QU47" s="1"/>
      <c r="QV47" s="1"/>
      <c r="QW47" s="1"/>
      <c r="QX47" s="1"/>
      <c r="QY47" s="1"/>
      <c r="QZ47" s="1"/>
      <c r="RA47" s="1"/>
      <c r="RB47" s="1"/>
      <c r="RC47" s="1"/>
      <c r="RD47" s="1"/>
      <c r="RE47" s="1"/>
      <c r="RF47" s="1"/>
      <c r="RG47" s="1"/>
      <c r="RH47" s="1"/>
      <c r="RI47" s="1"/>
      <c r="RJ47" s="1"/>
      <c r="RK47" s="1"/>
      <c r="RL47" s="1"/>
      <c r="RM47" s="1"/>
      <c r="RN47" s="1"/>
      <c r="RO47" s="1"/>
      <c r="RP47" s="1"/>
      <c r="RQ47" s="1"/>
      <c r="RR47" s="1"/>
      <c r="RS47" s="1"/>
      <c r="RT47" s="1"/>
      <c r="RU47" s="1"/>
      <c r="RV47" s="1"/>
      <c r="RW47" s="1"/>
      <c r="RX47" s="1"/>
      <c r="RY47" s="1"/>
      <c r="RZ47" s="1"/>
      <c r="SA47" s="1"/>
      <c r="SB47" s="1"/>
      <c r="SC47" s="1"/>
      <c r="SD47" s="1"/>
      <c r="SE47" s="1"/>
      <c r="SF47" s="1"/>
      <c r="SG47" s="1"/>
      <c r="SH47" s="1"/>
      <c r="SI47" s="1"/>
      <c r="SJ47" s="1"/>
      <c r="SK47" s="1"/>
      <c r="SL47" s="1"/>
      <c r="SM47" s="1"/>
      <c r="SN47" s="1"/>
      <c r="SO47" s="1"/>
      <c r="SP47" s="1"/>
      <c r="SQ47" s="1"/>
      <c r="SR47" s="1"/>
      <c r="SS47" s="1"/>
      <c r="ST47" s="1"/>
      <c r="SU47" s="1"/>
      <c r="SV47" s="1"/>
      <c r="SW47" s="1"/>
      <c r="SX47" s="1"/>
      <c r="SY47" s="1"/>
      <c r="SZ47" s="1"/>
      <c r="TA47" s="1"/>
      <c r="TB47" s="1"/>
      <c r="TC47" s="1"/>
      <c r="TD47" s="1"/>
      <c r="TE47" s="1"/>
      <c r="TF47" s="1"/>
      <c r="TG47" s="1"/>
      <c r="TH47" s="1"/>
      <c r="TI47" s="1"/>
      <c r="TJ47" s="1"/>
      <c r="TK47" s="1"/>
      <c r="TL47" s="1"/>
      <c r="TM47" s="1"/>
      <c r="TN47" s="1"/>
      <c r="TO47" s="1"/>
      <c r="TP47" s="1"/>
      <c r="TQ47" s="1"/>
      <c r="TR47" s="1"/>
      <c r="TS47" s="1"/>
      <c r="TT47" s="1"/>
      <c r="TU47" s="1"/>
      <c r="TV47" s="1"/>
      <c r="TW47" s="1"/>
      <c r="TX47" s="1"/>
      <c r="TY47" s="1"/>
      <c r="TZ47" s="1"/>
      <c r="UA47" s="1"/>
      <c r="UB47" s="1"/>
      <c r="UC47" s="1"/>
      <c r="UD47" s="1"/>
      <c r="UE47" s="1"/>
      <c r="UF47" s="1"/>
      <c r="UG47" s="1"/>
      <c r="UH47" s="1"/>
      <c r="UI47" s="1"/>
      <c r="UJ47" s="1"/>
      <c r="UK47" s="1"/>
      <c r="UL47" s="1"/>
      <c r="UM47" s="1"/>
      <c r="UN47" s="1"/>
      <c r="UO47" s="1"/>
      <c r="UP47" s="1"/>
      <c r="UQ47" s="1"/>
      <c r="UR47" s="1"/>
      <c r="US47" s="1"/>
      <c r="UT47" s="1"/>
      <c r="UU47" s="1"/>
      <c r="UV47" s="1"/>
      <c r="UW47" s="1"/>
      <c r="UX47" s="1"/>
      <c r="UY47" s="1"/>
      <c r="UZ47" s="1"/>
      <c r="VA47" s="1"/>
      <c r="VB47" s="1"/>
      <c r="VC47" s="1"/>
      <c r="VD47" s="1"/>
      <c r="VE47" s="1"/>
      <c r="VF47" s="1"/>
      <c r="VG47" s="1"/>
      <c r="VH47" s="1"/>
      <c r="VI47" s="1"/>
      <c r="VJ47" s="1"/>
      <c r="VK47" s="1"/>
      <c r="VL47" s="1"/>
      <c r="VM47" s="1"/>
      <c r="VN47" s="1"/>
      <c r="VO47" s="1"/>
      <c r="VP47" s="1"/>
      <c r="VQ47" s="1"/>
      <c r="VR47" s="1"/>
      <c r="VS47" s="1"/>
      <c r="VT47" s="1"/>
      <c r="VU47" s="1"/>
      <c r="VV47" s="1"/>
      <c r="VW47" s="1"/>
      <c r="VX47" s="1"/>
      <c r="VY47" s="1"/>
      <c r="VZ47" s="1"/>
      <c r="WA47" s="1"/>
      <c r="WB47" s="1"/>
      <c r="WC47" s="1"/>
      <c r="WD47" s="1"/>
      <c r="WE47" s="1"/>
      <c r="WF47" s="1"/>
      <c r="WG47" s="1"/>
      <c r="WH47" s="1"/>
      <c r="WI47" s="1"/>
      <c r="WJ47" s="1"/>
      <c r="WK47" s="1"/>
      <c r="WL47" s="1"/>
      <c r="WM47" s="1"/>
      <c r="WN47" s="1"/>
      <c r="WO47" s="1"/>
      <c r="WP47" s="1"/>
      <c r="WQ47" s="1"/>
      <c r="WR47" s="1"/>
      <c r="WS47" s="1"/>
      <c r="WT47" s="1"/>
      <c r="WU47" s="1"/>
      <c r="WV47" s="1"/>
      <c r="WW47" s="1"/>
      <c r="WX47" s="1"/>
      <c r="WY47" s="1"/>
      <c r="WZ47" s="1"/>
      <c r="XA47" s="1"/>
      <c r="XB47" s="1"/>
      <c r="XC47" s="1"/>
      <c r="XD47" s="1"/>
      <c r="XE47" s="1"/>
      <c r="XF47" s="1"/>
      <c r="XG47" s="1"/>
      <c r="XH47" s="1"/>
      <c r="XI47" s="1"/>
      <c r="XJ47" s="1"/>
      <c r="XK47" s="1"/>
      <c r="XL47" s="1"/>
      <c r="XM47" s="1"/>
      <c r="XN47" s="1"/>
      <c r="XO47" s="1"/>
      <c r="XP47" s="1"/>
      <c r="XQ47" s="1"/>
      <c r="XR47" s="1"/>
      <c r="XS47" s="1"/>
      <c r="XT47" s="1"/>
      <c r="XU47" s="1"/>
      <c r="XV47" s="1"/>
      <c r="XW47" s="1"/>
      <c r="XX47" s="1"/>
      <c r="XY47" s="1"/>
      <c r="XZ47" s="1"/>
      <c r="YA47" s="1"/>
      <c r="YB47" s="1"/>
      <c r="YC47" s="1"/>
      <c r="YD47" s="1"/>
      <c r="YE47" s="1"/>
      <c r="YF47" s="1"/>
      <c r="YG47" s="1"/>
      <c r="YH47" s="1"/>
      <c r="YI47" s="1"/>
      <c r="YJ47" s="1"/>
      <c r="YK47" s="1"/>
      <c r="YL47" s="1"/>
      <c r="YM47" s="1"/>
      <c r="YN47" s="1"/>
      <c r="YO47" s="1"/>
      <c r="YP47" s="1"/>
      <c r="YQ47" s="1"/>
      <c r="YR47" s="1"/>
      <c r="YS47" s="1"/>
      <c r="YT47" s="1"/>
      <c r="YU47" s="1"/>
      <c r="YV47" s="1"/>
      <c r="YW47" s="1"/>
      <c r="YX47" s="1"/>
      <c r="YY47" s="1"/>
      <c r="YZ47" s="1"/>
      <c r="ZA47" s="1"/>
      <c r="ZB47" s="1"/>
      <c r="ZC47" s="1"/>
      <c r="ZD47" s="1"/>
      <c r="ZE47" s="1"/>
      <c r="ZF47" s="1"/>
      <c r="ZG47" s="1"/>
      <c r="ZH47" s="1"/>
      <c r="ZI47" s="1"/>
      <c r="ZJ47" s="1"/>
      <c r="ZK47" s="1"/>
      <c r="ZL47" s="1"/>
      <c r="ZM47" s="1"/>
      <c r="ZN47" s="1"/>
      <c r="ZO47" s="1"/>
      <c r="ZP47" s="1"/>
      <c r="ZQ47" s="1"/>
      <c r="ZR47" s="1"/>
      <c r="ZS47" s="1"/>
      <c r="ZT47" s="1"/>
      <c r="ZU47" s="1"/>
      <c r="ZV47" s="1"/>
      <c r="ZW47" s="1"/>
      <c r="ZX47" s="1"/>
      <c r="ZY47" s="1"/>
      <c r="ZZ47" s="1"/>
      <c r="AAA47" s="1"/>
      <c r="AAB47" s="1"/>
      <c r="AAC47" s="1"/>
      <c r="AAD47" s="1"/>
      <c r="AAE47" s="1"/>
      <c r="AAF47" s="1"/>
      <c r="AAG47" s="1"/>
      <c r="AAH47" s="1"/>
      <c r="AAI47" s="1"/>
      <c r="AAJ47" s="1"/>
      <c r="AAK47" s="1"/>
      <c r="AAL47" s="1"/>
      <c r="AAM47" s="1"/>
      <c r="AAN47" s="1"/>
      <c r="AAO47" s="1"/>
      <c r="AAP47" s="1"/>
      <c r="AAQ47" s="1"/>
      <c r="AAR47" s="1"/>
      <c r="AAS47" s="1"/>
      <c r="AAT47" s="1"/>
      <c r="AAU47" s="1"/>
      <c r="AAV47" s="1"/>
      <c r="AAW47" s="1"/>
      <c r="AAX47" s="1"/>
      <c r="AAY47" s="1"/>
      <c r="AAZ47" s="1"/>
      <c r="ABA47" s="1"/>
      <c r="ABB47" s="1"/>
      <c r="ABC47" s="1"/>
      <c r="ABD47" s="1"/>
      <c r="ABE47" s="1"/>
      <c r="ABF47" s="1"/>
      <c r="ABG47" s="1"/>
      <c r="ABH47" s="1"/>
      <c r="ABI47" s="1"/>
      <c r="ABJ47" s="1"/>
      <c r="ABK47" s="1"/>
      <c r="ABL47" s="1"/>
      <c r="ABM47" s="1"/>
      <c r="ABN47" s="1"/>
      <c r="ABO47" s="1"/>
      <c r="ABP47" s="1"/>
      <c r="ABQ47" s="1"/>
      <c r="ABR47" s="1"/>
      <c r="ABS47" s="1"/>
      <c r="ABT47" s="1"/>
      <c r="ABU47" s="1"/>
      <c r="ABV47" s="1"/>
      <c r="ABW47" s="1"/>
      <c r="ABX47" s="1"/>
      <c r="ABY47" s="1"/>
      <c r="ABZ47" s="1"/>
      <c r="ACA47" s="1"/>
      <c r="ACB47" s="1"/>
      <c r="ACC47" s="1"/>
      <c r="ACD47" s="1"/>
      <c r="ACE47" s="1"/>
      <c r="ACF47" s="1"/>
      <c r="ACG47" s="1"/>
      <c r="ACH47" s="1"/>
      <c r="ACI47" s="1"/>
      <c r="ACJ47" s="1"/>
      <c r="ACK47" s="1"/>
      <c r="ACL47" s="1"/>
      <c r="ACM47" s="1"/>
      <c r="ACN47" s="1"/>
      <c r="ACO47" s="1"/>
      <c r="ACP47" s="1"/>
      <c r="ACQ47" s="1"/>
      <c r="ACR47" s="1"/>
      <c r="ACS47" s="1"/>
      <c r="ACT47" s="1"/>
      <c r="ACU47" s="1"/>
      <c r="ACV47" s="1"/>
      <c r="ACW47" s="1"/>
      <c r="ACX47" s="1"/>
      <c r="ACY47" s="1"/>
      <c r="ACZ47" s="1"/>
      <c r="ADA47" s="1"/>
      <c r="ADB47" s="1"/>
      <c r="ADC47" s="1"/>
      <c r="ADD47" s="1"/>
      <c r="ADE47" s="1"/>
      <c r="ADF47" s="1"/>
      <c r="ADG47" s="1"/>
      <c r="ADH47" s="1"/>
      <c r="ADI47" s="1"/>
      <c r="ADJ47" s="1"/>
      <c r="ADK47" s="1"/>
      <c r="ADL47" s="1"/>
      <c r="ADM47" s="1"/>
      <c r="ADN47" s="1"/>
      <c r="ADO47" s="1"/>
      <c r="ADP47" s="1"/>
      <c r="ADQ47" s="1"/>
      <c r="ADR47" s="1"/>
      <c r="ADS47" s="1"/>
      <c r="ADT47" s="1"/>
      <c r="ADU47" s="1"/>
      <c r="ADV47" s="1"/>
      <c r="ADW47" s="1"/>
      <c r="ADX47" s="1"/>
      <c r="ADY47" s="1"/>
      <c r="ADZ47" s="1"/>
      <c r="AEA47" s="1"/>
      <c r="AEB47" s="1"/>
      <c r="AEC47" s="1"/>
      <c r="AED47" s="1"/>
      <c r="AEE47" s="1"/>
      <c r="AEF47" s="1"/>
      <c r="AEG47" s="1"/>
      <c r="AEH47" s="1"/>
      <c r="AEI47" s="1"/>
      <c r="AEJ47" s="1"/>
      <c r="AEK47" s="1"/>
      <c r="AEL47" s="1"/>
      <c r="AEM47" s="1"/>
      <c r="AEN47" s="1"/>
      <c r="AEO47" s="1"/>
      <c r="AEP47" s="1"/>
      <c r="AEQ47" s="1"/>
      <c r="AER47" s="1"/>
      <c r="AES47" s="1"/>
      <c r="AET47" s="1"/>
      <c r="AEU47" s="1"/>
      <c r="AEV47" s="1"/>
      <c r="AEW47" s="1"/>
      <c r="AEX47" s="1"/>
      <c r="AEY47" s="1"/>
      <c r="AEZ47" s="1"/>
      <c r="AFA47" s="1"/>
      <c r="AFB47" s="1"/>
      <c r="AFC47" s="1"/>
      <c r="AFD47" s="1"/>
      <c r="AFE47" s="1"/>
      <c r="AFF47" s="1"/>
      <c r="AFG47" s="1"/>
      <c r="AFH47" s="1"/>
      <c r="AFI47" s="1"/>
      <c r="AFJ47" s="1"/>
      <c r="AFK47" s="1"/>
      <c r="AFL47" s="1"/>
      <c r="AFM47" s="1"/>
      <c r="AFN47" s="1"/>
      <c r="AFO47" s="1"/>
      <c r="AFP47" s="1"/>
      <c r="AFQ47" s="1"/>
      <c r="AFR47" s="1"/>
      <c r="AFS47" s="1"/>
      <c r="AFT47" s="1"/>
      <c r="AFU47" s="1"/>
      <c r="AFV47" s="1"/>
      <c r="AFW47" s="1"/>
      <c r="AFX47" s="1"/>
      <c r="AFY47" s="1"/>
      <c r="AFZ47" s="1"/>
      <c r="AGA47" s="1"/>
      <c r="AGB47" s="1"/>
      <c r="AGC47" s="1"/>
      <c r="AGD47" s="1"/>
      <c r="AGE47" s="1"/>
      <c r="AGF47" s="1"/>
      <c r="AGG47" s="1"/>
      <c r="AGH47" s="1"/>
      <c r="AGI47" s="1"/>
      <c r="AGJ47" s="1"/>
      <c r="AGK47" s="1"/>
      <c r="AGL47" s="1"/>
      <c r="AGM47" s="1"/>
      <c r="AGN47" s="1"/>
      <c r="AGO47" s="1"/>
      <c r="AGP47" s="1"/>
      <c r="AGQ47" s="1"/>
      <c r="AGR47" s="1"/>
      <c r="AGS47" s="1"/>
      <c r="AGT47" s="1"/>
      <c r="AGU47" s="1"/>
      <c r="AGV47" s="1"/>
      <c r="AGW47" s="1"/>
      <c r="AGX47" s="1"/>
      <c r="AGY47" s="1"/>
      <c r="AGZ47" s="1"/>
      <c r="AHA47" s="1"/>
      <c r="AHB47" s="1"/>
      <c r="AHC47" s="1"/>
      <c r="AHD47" s="1"/>
      <c r="AHE47" s="1"/>
      <c r="AHF47" s="1"/>
      <c r="AHG47" s="1"/>
      <c r="AHH47" s="1"/>
      <c r="AHI47" s="1"/>
      <c r="AHJ47" s="1"/>
      <c r="AHK47" s="1"/>
      <c r="AHL47" s="1"/>
      <c r="AHM47" s="1"/>
      <c r="AHN47" s="1"/>
      <c r="AHO47" s="1"/>
      <c r="AHP47" s="1"/>
      <c r="AHQ47" s="1"/>
      <c r="AHR47" s="1"/>
      <c r="AHS47" s="1"/>
      <c r="AHT47" s="1"/>
      <c r="AHU47" s="1"/>
      <c r="AHV47" s="1"/>
      <c r="AHW47" s="1"/>
      <c r="AHX47" s="1"/>
      <c r="AHY47" s="1"/>
      <c r="AHZ47" s="1"/>
      <c r="AIA47" s="1"/>
      <c r="AIB47" s="1"/>
      <c r="AIC47" s="1"/>
      <c r="AID47" s="1"/>
      <c r="AIE47" s="1"/>
      <c r="AIF47" s="1"/>
      <c r="AIG47" s="1"/>
      <c r="AIH47" s="1"/>
      <c r="AII47" s="1"/>
      <c r="AIJ47" s="1"/>
      <c r="AIK47" s="1"/>
      <c r="AIL47" s="1"/>
      <c r="AIM47" s="1"/>
      <c r="AIN47" s="1"/>
      <c r="AIO47" s="1"/>
      <c r="AIP47" s="1"/>
      <c r="AIQ47" s="1"/>
      <c r="AIR47" s="1"/>
      <c r="AIS47" s="1"/>
      <c r="AIT47" s="1"/>
      <c r="AIU47" s="1"/>
      <c r="AIV47" s="1"/>
      <c r="AIW47" s="1"/>
      <c r="AIX47" s="1"/>
      <c r="AIY47" s="1"/>
      <c r="AIZ47" s="1"/>
      <c r="AJA47" s="1"/>
      <c r="AJB47" s="1"/>
      <c r="AJC47" s="1"/>
      <c r="AJD47" s="1"/>
      <c r="AJE47" s="1"/>
      <c r="AJF47" s="1"/>
      <c r="AJG47" s="1"/>
      <c r="AJH47" s="1"/>
      <c r="AJI47" s="1"/>
      <c r="AJJ47" s="1"/>
      <c r="AJK47" s="1"/>
      <c r="AJL47" s="1"/>
      <c r="AJM47" s="1"/>
      <c r="AJN47" s="1"/>
      <c r="AJO47" s="1"/>
      <c r="AJP47" s="1"/>
      <c r="AJQ47" s="1"/>
      <c r="AJR47" s="1"/>
      <c r="AJS47" s="1"/>
      <c r="AJT47" s="1"/>
      <c r="AJU47" s="1"/>
      <c r="AJV47" s="1"/>
      <c r="AJW47" s="1"/>
      <c r="AJX47" s="1"/>
      <c r="AJY47" s="1"/>
      <c r="AJZ47" s="1"/>
      <c r="AKA47" s="1"/>
      <c r="AKB47" s="1"/>
      <c r="AKC47" s="1"/>
      <c r="AKD47" s="1"/>
      <c r="AKE47" s="1"/>
      <c r="AKF47" s="1"/>
      <c r="AKG47" s="1"/>
      <c r="AKH47" s="1"/>
      <c r="AKI47" s="1"/>
      <c r="AKJ47" s="1"/>
      <c r="AKK47" s="1"/>
      <c r="AKL47" s="1"/>
      <c r="AKM47" s="1"/>
      <c r="AKN47" s="1"/>
      <c r="AKO47" s="1"/>
      <c r="AKP47" s="1"/>
      <c r="AKQ47" s="1"/>
      <c r="AKR47" s="1"/>
      <c r="AKS47" s="1"/>
      <c r="AKT47" s="1"/>
      <c r="AKU47" s="1"/>
      <c r="AKV47" s="1"/>
      <c r="AKW47" s="1"/>
      <c r="AKX47" s="1"/>
      <c r="AKY47" s="1"/>
      <c r="AKZ47" s="1"/>
      <c r="ALA47" s="1"/>
      <c r="ALB47" s="1"/>
      <c r="ALC47" s="1"/>
      <c r="ALD47" s="1"/>
      <c r="ALE47" s="1"/>
      <c r="ALF47" s="1"/>
      <c r="ALG47" s="1"/>
      <c r="ALH47" s="1"/>
      <c r="ALI47" s="1"/>
      <c r="ALJ47" s="1"/>
      <c r="ALK47" s="1"/>
      <c r="ALL47" s="1"/>
      <c r="ALM47" s="1"/>
      <c r="ALN47" s="1"/>
      <c r="ALO47" s="1"/>
      <c r="ALP47" s="1"/>
      <c r="ALQ47" s="1"/>
      <c r="ALR47" s="1"/>
      <c r="ALS47" s="1"/>
      <c r="ALT47" s="1"/>
      <c r="ALU47" s="1"/>
      <c r="ALV47" s="1"/>
      <c r="ALW47" s="1"/>
      <c r="ALX47" s="1"/>
      <c r="ALY47" s="1"/>
      <c r="ALZ47" s="1"/>
      <c r="AMA47" s="1"/>
      <c r="AMB47" s="1"/>
      <c r="AMC47" s="1"/>
      <c r="AMD47" s="1"/>
      <c r="AME47" s="1"/>
      <c r="AMF47" s="1"/>
      <c r="AMG47" s="1"/>
      <c r="AMH47" s="1"/>
      <c r="AMI47" s="1"/>
      <c r="AMJ47" s="1"/>
      <c r="AMK47" s="1"/>
      <c r="AML47" s="1"/>
      <c r="AMM47" s="1"/>
      <c r="AMN47" s="1"/>
    </row>
    <row r="48" spans="1:1028" x14ac:dyDescent="0.2">
      <c r="A48" s="3" t="str">
        <f t="shared" si="194"/>
        <v>adrb1_melga_2Y00</v>
      </c>
      <c r="B48" s="3" t="s">
        <v>912</v>
      </c>
      <c r="C48" s="3" t="s">
        <v>1023</v>
      </c>
      <c r="D48" s="3" t="str">
        <f>IFERROR(MID(VLOOKUP($B48,Seqs!$A:$B,2,0),E48,1),"")</f>
        <v>A</v>
      </c>
      <c r="E48" s="3">
        <v>33</v>
      </c>
      <c r="F48" s="3" t="str">
        <f>IFERROR(MID(VLOOKUP($B48,Seqs!$A:$B,2,0),G48,1),"")</f>
        <v>T</v>
      </c>
      <c r="G48" s="3">
        <v>69</v>
      </c>
      <c r="H48" s="3" t="str">
        <f>IFERROR(MID(VLOOKUP($B48,Seqs!$A:$B,2,0),I48,1),"")</f>
        <v>Q</v>
      </c>
      <c r="I48" s="23">
        <v>70</v>
      </c>
      <c r="J48" s="3" t="str">
        <f>IFERROR(MID(VLOOKUP($B48,Seqs!$A:$B,2,0),K48,1),"")</f>
        <v>Q</v>
      </c>
      <c r="K48" s="23">
        <v>73</v>
      </c>
      <c r="L48" s="3" t="str">
        <f>IFERROR(MID(VLOOKUP($B48,Seqs!$A:$B,2,0),M48,1),"")</f>
        <v>T</v>
      </c>
      <c r="M48" s="3">
        <v>74</v>
      </c>
      <c r="N48" s="3" t="str">
        <f>IFERROR(MID(VLOOKUP($B48,Seqs!$A:$B,2,0),O48,1),"")</f>
        <v>R</v>
      </c>
      <c r="O48" s="3">
        <v>104</v>
      </c>
      <c r="P48" s="3" t="str">
        <f>IFERROR(MID(VLOOKUP($B48,Seqs!$A:$B,2,0),Q48,1),"")</f>
        <v>T</v>
      </c>
      <c r="Q48" s="3">
        <v>106</v>
      </c>
      <c r="R48" s="3" t="str">
        <f>IFERROR(MID(VLOOKUP($B48,Seqs!$A:$B,2,0),S48,1),"")</f>
        <v>W</v>
      </c>
      <c r="S48" s="3">
        <v>109</v>
      </c>
      <c r="T48" s="3" t="str">
        <f>IFERROR(MID(VLOOKUP($B48,Seqs!$A:$B,2,0),U48,1),"")</f>
        <v>G</v>
      </c>
      <c r="U48" s="3">
        <v>110</v>
      </c>
      <c r="V48" s="3" t="str">
        <f>IFERROR(MID(VLOOKUP($B48,Seqs!$A:$B,2,0),W48,1),"")</f>
        <v>S</v>
      </c>
      <c r="W48" s="3">
        <v>145</v>
      </c>
      <c r="X48" s="3" t="str">
        <f>IFERROR(MID(VLOOKUP($B48,Seqs!$A:$B,2,0),Y48,1),"")</f>
        <v>P</v>
      </c>
      <c r="Y48" s="3">
        <v>146</v>
      </c>
      <c r="Z48" s="3" t="str">
        <f>IFERROR(MID(VLOOKUP($B48,Seqs!$A:$B,2,0),AA48,1),"")</f>
        <v>M</v>
      </c>
      <c r="AA48" s="3">
        <v>153</v>
      </c>
      <c r="AB48" s="3" t="str">
        <f>IFERROR(MID(VLOOKUP($B48,Seqs!$A:$B,2,0),AC48,1),"")</f>
        <v>T</v>
      </c>
      <c r="AC48" s="9">
        <v>154</v>
      </c>
      <c r="AD48" s="3" t="str">
        <f>IFERROR(MID(VLOOKUP($B48,Seqs!$A:$B,2,0),AE48,1),"")</f>
        <v>H</v>
      </c>
      <c r="AE48" s="3">
        <v>180</v>
      </c>
      <c r="AF48" s="3" t="str">
        <f>IFERROR(MID(VLOOKUP($B48,Seqs!$A:$B,2,0),AG48,1),"")</f>
        <v>C</v>
      </c>
      <c r="AG48" s="3">
        <v>199</v>
      </c>
      <c r="AH48" s="3" t="str">
        <f>IFERROR(MID(VLOOKUP($B48,Seqs!$A:$B,2,0),AI48,1),"")</f>
        <v>F</v>
      </c>
      <c r="AI48" s="3">
        <v>201</v>
      </c>
      <c r="AJ48" s="3" t="str">
        <f>IFERROR(MID(VLOOKUP($B48,Seqs!$A:$B,2,0),AK48,1),"")</f>
        <v>N</v>
      </c>
      <c r="AK48" s="3">
        <v>204</v>
      </c>
      <c r="AL48" s="3" t="str">
        <f>IFERROR(MID(VLOOKUP($B48,Seqs!$A:$B,2,0),AM48,1),"")</f>
        <v>I</v>
      </c>
      <c r="AM48" s="3">
        <v>238</v>
      </c>
      <c r="AN48" s="3" t="str">
        <f>IFERROR(MID(VLOOKUP($B48,Seqs!$A:$B,2,0),AO48,1),"")</f>
        <v>R</v>
      </c>
      <c r="AO48" s="3">
        <v>275</v>
      </c>
      <c r="AP48" s="3" t="str">
        <f>IFERROR(MID(VLOOKUP($B48,Seqs!$A:$B,2,0),AQ48,1),"")</f>
        <v>N</v>
      </c>
      <c r="AQ48" s="3">
        <v>316</v>
      </c>
      <c r="AR48" s="3" t="str">
        <f>IFERROR(MID(VLOOKUP($B48,Seqs!$A:$B,2,0),AS48,1),"")</f>
        <v>P</v>
      </c>
      <c r="AS48" s="3">
        <v>321</v>
      </c>
      <c r="AT48" s="3" t="str">
        <f>IFERROR(MID(VLOOKUP($B48,Seqs!$A:$B,2,0),AU48,1),"")</f>
        <v>R</v>
      </c>
      <c r="AU48" s="3">
        <v>345</v>
      </c>
      <c r="AV48" s="3" t="str">
        <f>IFERROR(MID(VLOOKUP($B48,Seqs!$A:$B,2,0),AW48,1),"")</f>
        <v>S</v>
      </c>
      <c r="AW48" s="3">
        <v>346</v>
      </c>
      <c r="AX48" s="3" t="str">
        <f>IFERROR(MID(VLOOKUP($B48,Seqs!$A:$B,2,0),AY48,1),"")</f>
        <v>C</v>
      </c>
      <c r="AY48" s="3">
        <v>358</v>
      </c>
      <c r="AZ48" s="79" t="str">
        <f>VLOOKUP(B48,Classification!A:D,2,0)</f>
        <v>A</v>
      </c>
      <c r="BA48" s="97" t="str">
        <f>VLOOKUP(B48,Classification!A:D,4,0)</f>
        <v>Adrenoceptors</v>
      </c>
      <c r="BB48" s="27" t="b">
        <f t="shared" si="195"/>
        <v>1</v>
      </c>
      <c r="BC48" s="23">
        <f t="shared" si="84"/>
        <v>265</v>
      </c>
      <c r="BD48" s="4" t="s">
        <v>23</v>
      </c>
      <c r="BE48" s="3" t="s">
        <v>1381</v>
      </c>
      <c r="BF48" s="50" t="s">
        <v>1384</v>
      </c>
      <c r="BG48" s="50" t="s">
        <v>1384</v>
      </c>
      <c r="BH48" s="1"/>
      <c r="BI48" s="72" t="s">
        <v>1293</v>
      </c>
      <c r="BJ48" s="58" t="s">
        <v>1293</v>
      </c>
      <c r="BK48" s="58" t="s">
        <v>1293</v>
      </c>
      <c r="BL48" s="58" t="s">
        <v>1293</v>
      </c>
      <c r="BM48" s="58" t="s">
        <v>1293</v>
      </c>
      <c r="BN48" s="58" t="s">
        <v>1293</v>
      </c>
      <c r="BO48" s="58" t="s">
        <v>1293</v>
      </c>
      <c r="BP48" s="58" t="s">
        <v>1293</v>
      </c>
      <c r="BQ48" s="58" t="s">
        <v>1293</v>
      </c>
      <c r="BR48" s="58" t="s">
        <v>1293</v>
      </c>
      <c r="BS48" s="58" t="s">
        <v>1293</v>
      </c>
      <c r="BT48" s="58" t="s">
        <v>1293</v>
      </c>
      <c r="BU48" s="72">
        <f t="shared" si="85"/>
        <v>33</v>
      </c>
      <c r="BV48" s="73">
        <f t="shared" si="86"/>
        <v>70</v>
      </c>
      <c r="BW48" s="74">
        <f t="shared" si="87"/>
        <v>74</v>
      </c>
      <c r="BX48" s="73">
        <f t="shared" si="88"/>
        <v>106</v>
      </c>
      <c r="BY48" s="74">
        <f t="shared" si="89"/>
        <v>110</v>
      </c>
      <c r="BZ48" s="73">
        <f t="shared" si="90"/>
        <v>146</v>
      </c>
      <c r="CA48" s="74">
        <f t="shared" si="91"/>
        <v>154</v>
      </c>
      <c r="CB48" s="73">
        <f t="shared" si="92"/>
        <v>199</v>
      </c>
      <c r="CC48" s="74">
        <f t="shared" si="93"/>
        <v>204</v>
      </c>
      <c r="CD48" s="73">
        <f t="shared" si="94"/>
        <v>275</v>
      </c>
      <c r="CE48" s="74">
        <f t="shared" si="95"/>
        <v>321</v>
      </c>
      <c r="CF48" s="73">
        <f t="shared" si="96"/>
        <v>346</v>
      </c>
      <c r="CG48" s="72">
        <f t="shared" si="97"/>
        <v>69</v>
      </c>
      <c r="CH48" s="73">
        <f t="shared" si="98"/>
        <v>73</v>
      </c>
      <c r="CI48" s="74">
        <f t="shared" si="99"/>
        <v>104</v>
      </c>
      <c r="CJ48" s="74">
        <f t="shared" si="100"/>
        <v>109</v>
      </c>
      <c r="CK48" s="74">
        <f t="shared" si="101"/>
        <v>145</v>
      </c>
      <c r="CL48" s="74">
        <f t="shared" si="102"/>
        <v>153</v>
      </c>
      <c r="CM48" s="74">
        <f t="shared" si="103"/>
        <v>180</v>
      </c>
      <c r="CN48" s="74">
        <f t="shared" si="104"/>
        <v>201</v>
      </c>
      <c r="CO48" s="74">
        <f t="shared" si="105"/>
        <v>238</v>
      </c>
      <c r="CP48" s="74">
        <f t="shared" si="106"/>
        <v>316</v>
      </c>
      <c r="CQ48" s="74">
        <f t="shared" si="107"/>
        <v>345</v>
      </c>
      <c r="CR48" s="74">
        <f t="shared" si="108"/>
        <v>358</v>
      </c>
      <c r="CS48" s="23">
        <f t="shared" si="109"/>
        <v>1</v>
      </c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  <c r="OK48" s="1"/>
      <c r="OL48" s="1"/>
      <c r="OM48" s="1"/>
      <c r="ON48" s="1"/>
      <c r="OO48" s="1"/>
      <c r="OP48" s="1"/>
      <c r="OQ48" s="1"/>
      <c r="OR48" s="1"/>
      <c r="OS48" s="1"/>
      <c r="OT48" s="1"/>
      <c r="OU48" s="1"/>
      <c r="OV48" s="1"/>
      <c r="OW48" s="1"/>
      <c r="OX48" s="1"/>
      <c r="OY48" s="1"/>
      <c r="OZ48" s="1"/>
      <c r="PA48" s="1"/>
      <c r="PB48" s="1"/>
      <c r="PC48" s="1"/>
      <c r="PD48" s="1"/>
      <c r="PE48" s="1"/>
      <c r="PF48" s="1"/>
      <c r="PG48" s="1"/>
      <c r="PH48" s="1"/>
      <c r="PI48" s="1"/>
      <c r="PJ48" s="1"/>
      <c r="PK48" s="1"/>
      <c r="PL48" s="1"/>
      <c r="PM48" s="1"/>
      <c r="PN48" s="1"/>
      <c r="PO48" s="1"/>
      <c r="PP48" s="1"/>
      <c r="PQ48" s="1"/>
      <c r="PR48" s="1"/>
      <c r="PS48" s="1"/>
      <c r="PT48" s="1"/>
      <c r="PU48" s="1"/>
      <c r="PV48" s="1"/>
      <c r="PW48" s="1"/>
      <c r="PX48" s="1"/>
      <c r="PY48" s="1"/>
      <c r="PZ48" s="1"/>
      <c r="QA48" s="1"/>
      <c r="QB48" s="1"/>
      <c r="QC48" s="1"/>
      <c r="QD48" s="1"/>
      <c r="QE48" s="1"/>
      <c r="QF48" s="1"/>
      <c r="QG48" s="1"/>
      <c r="QH48" s="1"/>
      <c r="QI48" s="1"/>
      <c r="QJ48" s="1"/>
      <c r="QK48" s="1"/>
      <c r="QL48" s="1"/>
      <c r="QM48" s="1"/>
      <c r="QN48" s="1"/>
      <c r="QO48" s="1"/>
      <c r="QP48" s="1"/>
      <c r="QQ48" s="1"/>
      <c r="QR48" s="1"/>
      <c r="QS48" s="1"/>
      <c r="QT48" s="1"/>
      <c r="QU48" s="1"/>
      <c r="QV48" s="1"/>
      <c r="QW48" s="1"/>
      <c r="QX48" s="1"/>
      <c r="QY48" s="1"/>
      <c r="QZ48" s="1"/>
      <c r="RA48" s="1"/>
      <c r="RB48" s="1"/>
      <c r="RC48" s="1"/>
      <c r="RD48" s="1"/>
      <c r="RE48" s="1"/>
      <c r="RF48" s="1"/>
      <c r="RG48" s="1"/>
      <c r="RH48" s="1"/>
      <c r="RI48" s="1"/>
      <c r="RJ48" s="1"/>
      <c r="RK48" s="1"/>
      <c r="RL48" s="1"/>
      <c r="RM48" s="1"/>
      <c r="RN48" s="1"/>
      <c r="RO48" s="1"/>
      <c r="RP48" s="1"/>
      <c r="RQ48" s="1"/>
      <c r="RR48" s="1"/>
      <c r="RS48" s="1"/>
      <c r="RT48" s="1"/>
      <c r="RU48" s="1"/>
      <c r="RV48" s="1"/>
      <c r="RW48" s="1"/>
      <c r="RX48" s="1"/>
      <c r="RY48" s="1"/>
      <c r="RZ48" s="1"/>
      <c r="SA48" s="1"/>
      <c r="SB48" s="1"/>
      <c r="SC48" s="1"/>
      <c r="SD48" s="1"/>
      <c r="SE48" s="1"/>
      <c r="SF48" s="1"/>
      <c r="SG48" s="1"/>
      <c r="SH48" s="1"/>
      <c r="SI48" s="1"/>
      <c r="SJ48" s="1"/>
      <c r="SK48" s="1"/>
      <c r="SL48" s="1"/>
      <c r="SM48" s="1"/>
      <c r="SN48" s="1"/>
      <c r="SO48" s="1"/>
      <c r="SP48" s="1"/>
      <c r="SQ48" s="1"/>
      <c r="SR48" s="1"/>
      <c r="SS48" s="1"/>
      <c r="ST48" s="1"/>
      <c r="SU48" s="1"/>
      <c r="SV48" s="1"/>
      <c r="SW48" s="1"/>
      <c r="SX48" s="1"/>
      <c r="SY48" s="1"/>
      <c r="SZ48" s="1"/>
      <c r="TA48" s="1"/>
      <c r="TB48" s="1"/>
      <c r="TC48" s="1"/>
      <c r="TD48" s="1"/>
      <c r="TE48" s="1"/>
      <c r="TF48" s="1"/>
      <c r="TG48" s="1"/>
      <c r="TH48" s="1"/>
      <c r="TI48" s="1"/>
      <c r="TJ48" s="1"/>
      <c r="TK48" s="1"/>
      <c r="TL48" s="1"/>
      <c r="TM48" s="1"/>
      <c r="TN48" s="1"/>
      <c r="TO48" s="1"/>
      <c r="TP48" s="1"/>
      <c r="TQ48" s="1"/>
      <c r="TR48" s="1"/>
      <c r="TS48" s="1"/>
      <c r="TT48" s="1"/>
      <c r="TU48" s="1"/>
      <c r="TV48" s="1"/>
      <c r="TW48" s="1"/>
      <c r="TX48" s="1"/>
      <c r="TY48" s="1"/>
      <c r="TZ48" s="1"/>
      <c r="UA48" s="1"/>
      <c r="UB48" s="1"/>
      <c r="UC48" s="1"/>
      <c r="UD48" s="1"/>
      <c r="UE48" s="1"/>
      <c r="UF48" s="1"/>
      <c r="UG48" s="1"/>
      <c r="UH48" s="1"/>
      <c r="UI48" s="1"/>
      <c r="UJ48" s="1"/>
      <c r="UK48" s="1"/>
      <c r="UL48" s="1"/>
      <c r="UM48" s="1"/>
      <c r="UN48" s="1"/>
      <c r="UO48" s="1"/>
      <c r="UP48" s="1"/>
      <c r="UQ48" s="1"/>
      <c r="UR48" s="1"/>
      <c r="US48" s="1"/>
      <c r="UT48" s="1"/>
      <c r="UU48" s="1"/>
      <c r="UV48" s="1"/>
      <c r="UW48" s="1"/>
      <c r="UX48" s="1"/>
      <c r="UY48" s="1"/>
      <c r="UZ48" s="1"/>
      <c r="VA48" s="1"/>
      <c r="VB48" s="1"/>
      <c r="VC48" s="1"/>
      <c r="VD48" s="1"/>
      <c r="VE48" s="1"/>
      <c r="VF48" s="1"/>
      <c r="VG48" s="1"/>
      <c r="VH48" s="1"/>
      <c r="VI48" s="1"/>
      <c r="VJ48" s="1"/>
      <c r="VK48" s="1"/>
      <c r="VL48" s="1"/>
      <c r="VM48" s="1"/>
      <c r="VN48" s="1"/>
      <c r="VO48" s="1"/>
      <c r="VP48" s="1"/>
      <c r="VQ48" s="1"/>
      <c r="VR48" s="1"/>
      <c r="VS48" s="1"/>
      <c r="VT48" s="1"/>
      <c r="VU48" s="1"/>
      <c r="VV48" s="1"/>
      <c r="VW48" s="1"/>
      <c r="VX48" s="1"/>
      <c r="VY48" s="1"/>
      <c r="VZ48" s="1"/>
      <c r="WA48" s="1"/>
      <c r="WB48" s="1"/>
      <c r="WC48" s="1"/>
      <c r="WD48" s="1"/>
      <c r="WE48" s="1"/>
      <c r="WF48" s="1"/>
      <c r="WG48" s="1"/>
      <c r="WH48" s="1"/>
      <c r="WI48" s="1"/>
      <c r="WJ48" s="1"/>
      <c r="WK48" s="1"/>
      <c r="WL48" s="1"/>
      <c r="WM48" s="1"/>
      <c r="WN48" s="1"/>
      <c r="WO48" s="1"/>
      <c r="WP48" s="1"/>
      <c r="WQ48" s="1"/>
      <c r="WR48" s="1"/>
      <c r="WS48" s="1"/>
      <c r="WT48" s="1"/>
      <c r="WU48" s="1"/>
      <c r="WV48" s="1"/>
      <c r="WW48" s="1"/>
      <c r="WX48" s="1"/>
      <c r="WY48" s="1"/>
      <c r="WZ48" s="1"/>
      <c r="XA48" s="1"/>
      <c r="XB48" s="1"/>
      <c r="XC48" s="1"/>
      <c r="XD48" s="1"/>
      <c r="XE48" s="1"/>
      <c r="XF48" s="1"/>
      <c r="XG48" s="1"/>
      <c r="XH48" s="1"/>
      <c r="XI48" s="1"/>
      <c r="XJ48" s="1"/>
      <c r="XK48" s="1"/>
      <c r="XL48" s="1"/>
      <c r="XM48" s="1"/>
      <c r="XN48" s="1"/>
      <c r="XO48" s="1"/>
      <c r="XP48" s="1"/>
      <c r="XQ48" s="1"/>
      <c r="XR48" s="1"/>
      <c r="XS48" s="1"/>
      <c r="XT48" s="1"/>
      <c r="XU48" s="1"/>
      <c r="XV48" s="1"/>
      <c r="XW48" s="1"/>
      <c r="XX48" s="1"/>
      <c r="XY48" s="1"/>
      <c r="XZ48" s="1"/>
      <c r="YA48" s="1"/>
      <c r="YB48" s="1"/>
      <c r="YC48" s="1"/>
      <c r="YD48" s="1"/>
      <c r="YE48" s="1"/>
      <c r="YF48" s="1"/>
      <c r="YG48" s="1"/>
      <c r="YH48" s="1"/>
      <c r="YI48" s="1"/>
      <c r="YJ48" s="1"/>
      <c r="YK48" s="1"/>
      <c r="YL48" s="1"/>
      <c r="YM48" s="1"/>
      <c r="YN48" s="1"/>
      <c r="YO48" s="1"/>
      <c r="YP48" s="1"/>
      <c r="YQ48" s="1"/>
      <c r="YR48" s="1"/>
      <c r="YS48" s="1"/>
      <c r="YT48" s="1"/>
      <c r="YU48" s="1"/>
      <c r="YV48" s="1"/>
      <c r="YW48" s="1"/>
      <c r="YX48" s="1"/>
      <c r="YY48" s="1"/>
      <c r="YZ48" s="1"/>
      <c r="ZA48" s="1"/>
      <c r="ZB48" s="1"/>
      <c r="ZC48" s="1"/>
      <c r="ZD48" s="1"/>
      <c r="ZE48" s="1"/>
      <c r="ZF48" s="1"/>
      <c r="ZG48" s="1"/>
      <c r="ZH48" s="1"/>
      <c r="ZI48" s="1"/>
      <c r="ZJ48" s="1"/>
      <c r="ZK48" s="1"/>
      <c r="ZL48" s="1"/>
      <c r="ZM48" s="1"/>
      <c r="ZN48" s="1"/>
      <c r="ZO48" s="1"/>
      <c r="ZP48" s="1"/>
      <c r="ZQ48" s="1"/>
      <c r="ZR48" s="1"/>
      <c r="ZS48" s="1"/>
      <c r="ZT48" s="1"/>
      <c r="ZU48" s="1"/>
      <c r="ZV48" s="1"/>
      <c r="ZW48" s="1"/>
      <c r="ZX48" s="1"/>
      <c r="ZY48" s="1"/>
      <c r="ZZ48" s="1"/>
      <c r="AAA48" s="1"/>
      <c r="AAB48" s="1"/>
      <c r="AAC48" s="1"/>
      <c r="AAD48" s="1"/>
      <c r="AAE48" s="1"/>
      <c r="AAF48" s="1"/>
      <c r="AAG48" s="1"/>
      <c r="AAH48" s="1"/>
      <c r="AAI48" s="1"/>
      <c r="AAJ48" s="1"/>
      <c r="AAK48" s="1"/>
      <c r="AAL48" s="1"/>
      <c r="AAM48" s="1"/>
      <c r="AAN48" s="1"/>
      <c r="AAO48" s="1"/>
      <c r="AAP48" s="1"/>
      <c r="AAQ48" s="1"/>
      <c r="AAR48" s="1"/>
      <c r="AAS48" s="1"/>
      <c r="AAT48" s="1"/>
      <c r="AAU48" s="1"/>
      <c r="AAV48" s="1"/>
      <c r="AAW48" s="1"/>
      <c r="AAX48" s="1"/>
      <c r="AAY48" s="1"/>
      <c r="AAZ48" s="1"/>
      <c r="ABA48" s="1"/>
      <c r="ABB48" s="1"/>
      <c r="ABC48" s="1"/>
      <c r="ABD48" s="1"/>
      <c r="ABE48" s="1"/>
      <c r="ABF48" s="1"/>
      <c r="ABG48" s="1"/>
      <c r="ABH48" s="1"/>
      <c r="ABI48" s="1"/>
      <c r="ABJ48" s="1"/>
      <c r="ABK48" s="1"/>
      <c r="ABL48" s="1"/>
      <c r="ABM48" s="1"/>
      <c r="ABN48" s="1"/>
      <c r="ABO48" s="1"/>
      <c r="ABP48" s="1"/>
      <c r="ABQ48" s="1"/>
      <c r="ABR48" s="1"/>
      <c r="ABS48" s="1"/>
      <c r="ABT48" s="1"/>
      <c r="ABU48" s="1"/>
      <c r="ABV48" s="1"/>
      <c r="ABW48" s="1"/>
      <c r="ABX48" s="1"/>
      <c r="ABY48" s="1"/>
      <c r="ABZ48" s="1"/>
      <c r="ACA48" s="1"/>
      <c r="ACB48" s="1"/>
      <c r="ACC48" s="1"/>
      <c r="ACD48" s="1"/>
      <c r="ACE48" s="1"/>
      <c r="ACF48" s="1"/>
      <c r="ACG48" s="1"/>
      <c r="ACH48" s="1"/>
      <c r="ACI48" s="1"/>
      <c r="ACJ48" s="1"/>
      <c r="ACK48" s="1"/>
      <c r="ACL48" s="1"/>
      <c r="ACM48" s="1"/>
      <c r="ACN48" s="1"/>
      <c r="ACO48" s="1"/>
      <c r="ACP48" s="1"/>
      <c r="ACQ48" s="1"/>
      <c r="ACR48" s="1"/>
      <c r="ACS48" s="1"/>
      <c r="ACT48" s="1"/>
      <c r="ACU48" s="1"/>
      <c r="ACV48" s="1"/>
      <c r="ACW48" s="1"/>
      <c r="ACX48" s="1"/>
      <c r="ACY48" s="1"/>
      <c r="ACZ48" s="1"/>
      <c r="ADA48" s="1"/>
      <c r="ADB48" s="1"/>
      <c r="ADC48" s="1"/>
      <c r="ADD48" s="1"/>
      <c r="ADE48" s="1"/>
      <c r="ADF48" s="1"/>
      <c r="ADG48" s="1"/>
      <c r="ADH48" s="1"/>
      <c r="ADI48" s="1"/>
      <c r="ADJ48" s="1"/>
      <c r="ADK48" s="1"/>
      <c r="ADL48" s="1"/>
      <c r="ADM48" s="1"/>
      <c r="ADN48" s="1"/>
      <c r="ADO48" s="1"/>
      <c r="ADP48" s="1"/>
      <c r="ADQ48" s="1"/>
      <c r="ADR48" s="1"/>
      <c r="ADS48" s="1"/>
      <c r="ADT48" s="1"/>
      <c r="ADU48" s="1"/>
      <c r="ADV48" s="1"/>
      <c r="ADW48" s="1"/>
      <c r="ADX48" s="1"/>
      <c r="ADY48" s="1"/>
      <c r="ADZ48" s="1"/>
      <c r="AEA48" s="1"/>
      <c r="AEB48" s="1"/>
      <c r="AEC48" s="1"/>
      <c r="AED48" s="1"/>
      <c r="AEE48" s="1"/>
      <c r="AEF48" s="1"/>
      <c r="AEG48" s="1"/>
      <c r="AEH48" s="1"/>
      <c r="AEI48" s="1"/>
      <c r="AEJ48" s="1"/>
      <c r="AEK48" s="1"/>
      <c r="AEL48" s="1"/>
      <c r="AEM48" s="1"/>
      <c r="AEN48" s="1"/>
      <c r="AEO48" s="1"/>
      <c r="AEP48" s="1"/>
      <c r="AEQ48" s="1"/>
      <c r="AER48" s="1"/>
      <c r="AES48" s="1"/>
      <c r="AET48" s="1"/>
      <c r="AEU48" s="1"/>
      <c r="AEV48" s="1"/>
      <c r="AEW48" s="1"/>
      <c r="AEX48" s="1"/>
      <c r="AEY48" s="1"/>
      <c r="AEZ48" s="1"/>
      <c r="AFA48" s="1"/>
      <c r="AFB48" s="1"/>
      <c r="AFC48" s="1"/>
      <c r="AFD48" s="1"/>
      <c r="AFE48" s="1"/>
      <c r="AFF48" s="1"/>
      <c r="AFG48" s="1"/>
      <c r="AFH48" s="1"/>
      <c r="AFI48" s="1"/>
      <c r="AFJ48" s="1"/>
      <c r="AFK48" s="1"/>
      <c r="AFL48" s="1"/>
      <c r="AFM48" s="1"/>
      <c r="AFN48" s="1"/>
      <c r="AFO48" s="1"/>
      <c r="AFP48" s="1"/>
      <c r="AFQ48" s="1"/>
      <c r="AFR48" s="1"/>
      <c r="AFS48" s="1"/>
      <c r="AFT48" s="1"/>
      <c r="AFU48" s="1"/>
      <c r="AFV48" s="1"/>
      <c r="AFW48" s="1"/>
      <c r="AFX48" s="1"/>
      <c r="AFY48" s="1"/>
      <c r="AFZ48" s="1"/>
      <c r="AGA48" s="1"/>
      <c r="AGB48" s="1"/>
      <c r="AGC48" s="1"/>
      <c r="AGD48" s="1"/>
      <c r="AGE48" s="1"/>
      <c r="AGF48" s="1"/>
      <c r="AGG48" s="1"/>
      <c r="AGH48" s="1"/>
      <c r="AGI48" s="1"/>
      <c r="AGJ48" s="1"/>
      <c r="AGK48" s="1"/>
      <c r="AGL48" s="1"/>
      <c r="AGM48" s="1"/>
      <c r="AGN48" s="1"/>
      <c r="AGO48" s="1"/>
      <c r="AGP48" s="1"/>
      <c r="AGQ48" s="1"/>
      <c r="AGR48" s="1"/>
      <c r="AGS48" s="1"/>
      <c r="AGT48" s="1"/>
      <c r="AGU48" s="1"/>
      <c r="AGV48" s="1"/>
      <c r="AGW48" s="1"/>
      <c r="AGX48" s="1"/>
      <c r="AGY48" s="1"/>
      <c r="AGZ48" s="1"/>
      <c r="AHA48" s="1"/>
      <c r="AHB48" s="1"/>
      <c r="AHC48" s="1"/>
      <c r="AHD48" s="1"/>
      <c r="AHE48" s="1"/>
      <c r="AHF48" s="1"/>
      <c r="AHG48" s="1"/>
      <c r="AHH48" s="1"/>
      <c r="AHI48" s="1"/>
      <c r="AHJ48" s="1"/>
      <c r="AHK48" s="1"/>
      <c r="AHL48" s="1"/>
      <c r="AHM48" s="1"/>
      <c r="AHN48" s="1"/>
      <c r="AHO48" s="1"/>
      <c r="AHP48" s="1"/>
      <c r="AHQ48" s="1"/>
      <c r="AHR48" s="1"/>
      <c r="AHS48" s="1"/>
      <c r="AHT48" s="1"/>
      <c r="AHU48" s="1"/>
      <c r="AHV48" s="1"/>
      <c r="AHW48" s="1"/>
      <c r="AHX48" s="1"/>
      <c r="AHY48" s="1"/>
      <c r="AHZ48" s="1"/>
      <c r="AIA48" s="1"/>
      <c r="AIB48" s="1"/>
      <c r="AIC48" s="1"/>
      <c r="AID48" s="1"/>
      <c r="AIE48" s="1"/>
      <c r="AIF48" s="1"/>
      <c r="AIG48" s="1"/>
      <c r="AIH48" s="1"/>
      <c r="AII48" s="1"/>
      <c r="AIJ48" s="1"/>
      <c r="AIK48" s="1"/>
      <c r="AIL48" s="1"/>
      <c r="AIM48" s="1"/>
      <c r="AIN48" s="1"/>
      <c r="AIO48" s="1"/>
      <c r="AIP48" s="1"/>
      <c r="AIQ48" s="1"/>
      <c r="AIR48" s="1"/>
      <c r="AIS48" s="1"/>
      <c r="AIT48" s="1"/>
      <c r="AIU48" s="1"/>
      <c r="AIV48" s="1"/>
      <c r="AIW48" s="1"/>
      <c r="AIX48" s="1"/>
      <c r="AIY48" s="1"/>
      <c r="AIZ48" s="1"/>
      <c r="AJA48" s="1"/>
      <c r="AJB48" s="1"/>
      <c r="AJC48" s="1"/>
      <c r="AJD48" s="1"/>
      <c r="AJE48" s="1"/>
      <c r="AJF48" s="1"/>
      <c r="AJG48" s="1"/>
      <c r="AJH48" s="1"/>
      <c r="AJI48" s="1"/>
      <c r="AJJ48" s="1"/>
      <c r="AJK48" s="1"/>
      <c r="AJL48" s="1"/>
      <c r="AJM48" s="1"/>
      <c r="AJN48" s="1"/>
      <c r="AJO48" s="1"/>
      <c r="AJP48" s="1"/>
      <c r="AJQ48" s="1"/>
      <c r="AJR48" s="1"/>
      <c r="AJS48" s="1"/>
      <c r="AJT48" s="1"/>
      <c r="AJU48" s="1"/>
      <c r="AJV48" s="1"/>
      <c r="AJW48" s="1"/>
      <c r="AJX48" s="1"/>
      <c r="AJY48" s="1"/>
      <c r="AJZ48" s="1"/>
      <c r="AKA48" s="1"/>
      <c r="AKB48" s="1"/>
      <c r="AKC48" s="1"/>
      <c r="AKD48" s="1"/>
      <c r="AKE48" s="1"/>
      <c r="AKF48" s="1"/>
      <c r="AKG48" s="1"/>
      <c r="AKH48" s="1"/>
      <c r="AKI48" s="1"/>
      <c r="AKJ48" s="1"/>
      <c r="AKK48" s="1"/>
      <c r="AKL48" s="1"/>
      <c r="AKM48" s="1"/>
      <c r="AKN48" s="1"/>
      <c r="AKO48" s="1"/>
      <c r="AKP48" s="1"/>
      <c r="AKQ48" s="1"/>
      <c r="AKR48" s="1"/>
      <c r="AKS48" s="1"/>
      <c r="AKT48" s="1"/>
      <c r="AKU48" s="1"/>
      <c r="AKV48" s="1"/>
      <c r="AKW48" s="1"/>
      <c r="AKX48" s="1"/>
      <c r="AKY48" s="1"/>
      <c r="AKZ48" s="1"/>
      <c r="ALA48" s="1"/>
      <c r="ALB48" s="1"/>
      <c r="ALC48" s="1"/>
      <c r="ALD48" s="1"/>
      <c r="ALE48" s="1"/>
      <c r="ALF48" s="1"/>
      <c r="ALG48" s="1"/>
      <c r="ALH48" s="1"/>
      <c r="ALI48" s="1"/>
      <c r="ALJ48" s="1"/>
      <c r="ALK48" s="1"/>
      <c r="ALL48" s="1"/>
      <c r="ALM48" s="1"/>
      <c r="ALN48" s="1"/>
      <c r="ALO48" s="1"/>
      <c r="ALP48" s="1"/>
      <c r="ALQ48" s="1"/>
      <c r="ALR48" s="1"/>
      <c r="ALS48" s="1"/>
      <c r="ALT48" s="1"/>
      <c r="ALU48" s="1"/>
      <c r="ALV48" s="1"/>
      <c r="ALW48" s="1"/>
      <c r="ALX48" s="1"/>
      <c r="ALY48" s="1"/>
      <c r="ALZ48" s="1"/>
      <c r="AMA48" s="1"/>
      <c r="AMB48" s="1"/>
      <c r="AMC48" s="1"/>
      <c r="AMD48" s="1"/>
      <c r="AME48" s="1"/>
      <c r="AMF48" s="1"/>
      <c r="AMG48" s="1"/>
      <c r="AMH48" s="1"/>
      <c r="AMI48" s="1"/>
      <c r="AMJ48" s="1"/>
      <c r="AMK48" s="1"/>
      <c r="AML48" s="1"/>
      <c r="AMM48" s="1"/>
      <c r="AMN48" s="1"/>
    </row>
    <row r="49" spans="1:1028" x14ac:dyDescent="0.2">
      <c r="A49" s="3" t="str">
        <f t="shared" si="194"/>
        <v>adrb1_melga_2Y02</v>
      </c>
      <c r="B49" s="3" t="s">
        <v>912</v>
      </c>
      <c r="C49" s="3" t="s">
        <v>1024</v>
      </c>
      <c r="D49" s="3" t="str">
        <f>IFERROR(MID(VLOOKUP($B49,Seqs!$A:$B,2,0),E49,1),"")</f>
        <v>A</v>
      </c>
      <c r="E49" s="3">
        <v>33</v>
      </c>
      <c r="F49" s="3" t="str">
        <f>IFERROR(MID(VLOOKUP($B49,Seqs!$A:$B,2,0),G49,1),"")</f>
        <v>T</v>
      </c>
      <c r="G49" s="3">
        <v>69</v>
      </c>
      <c r="H49" s="3" t="str">
        <f>IFERROR(MID(VLOOKUP($B49,Seqs!$A:$B,2,0),I49,1),"")</f>
        <v>Q</v>
      </c>
      <c r="I49" s="23">
        <v>70</v>
      </c>
      <c r="J49" s="3" t="str">
        <f>IFERROR(MID(VLOOKUP($B49,Seqs!$A:$B,2,0),K49,1),"")</f>
        <v>Q</v>
      </c>
      <c r="K49" s="23">
        <v>73</v>
      </c>
      <c r="L49" s="3" t="str">
        <f>IFERROR(MID(VLOOKUP($B49,Seqs!$A:$B,2,0),M49,1),"")</f>
        <v>T</v>
      </c>
      <c r="M49" s="3">
        <v>74</v>
      </c>
      <c r="N49" s="3" t="str">
        <f>IFERROR(MID(VLOOKUP($B49,Seqs!$A:$B,2,0),O49,1),"")</f>
        <v>R</v>
      </c>
      <c r="O49" s="3">
        <v>104</v>
      </c>
      <c r="P49" s="3" t="str">
        <f>IFERROR(MID(VLOOKUP($B49,Seqs!$A:$B,2,0),Q49,1),"")</f>
        <v>T</v>
      </c>
      <c r="Q49" s="3">
        <v>106</v>
      </c>
      <c r="R49" s="3" t="str">
        <f>IFERROR(MID(VLOOKUP($B49,Seqs!$A:$B,2,0),S49,1),"")</f>
        <v>W</v>
      </c>
      <c r="S49" s="3">
        <v>109</v>
      </c>
      <c r="T49" s="3" t="str">
        <f>IFERROR(MID(VLOOKUP($B49,Seqs!$A:$B,2,0),U49,1),"")</f>
        <v>G</v>
      </c>
      <c r="U49" s="3">
        <v>110</v>
      </c>
      <c r="V49" s="3" t="str">
        <f>IFERROR(MID(VLOOKUP($B49,Seqs!$A:$B,2,0),W49,1),"")</f>
        <v>S</v>
      </c>
      <c r="W49" s="3">
        <v>145</v>
      </c>
      <c r="X49" s="3" t="str">
        <f>IFERROR(MID(VLOOKUP($B49,Seqs!$A:$B,2,0),Y49,1),"")</f>
        <v>P</v>
      </c>
      <c r="Y49" s="3">
        <v>146</v>
      </c>
      <c r="Z49" s="3" t="str">
        <f>IFERROR(MID(VLOOKUP($B49,Seqs!$A:$B,2,0),AA49,1),"")</f>
        <v>M</v>
      </c>
      <c r="AA49" s="3">
        <v>153</v>
      </c>
      <c r="AB49" s="3" t="str">
        <f>IFERROR(MID(VLOOKUP($B49,Seqs!$A:$B,2,0),AC49,1),"")</f>
        <v>T</v>
      </c>
      <c r="AC49" s="9">
        <v>154</v>
      </c>
      <c r="AD49" s="3" t="str">
        <f>IFERROR(MID(VLOOKUP($B49,Seqs!$A:$B,2,0),AE49,1),"")</f>
        <v>H</v>
      </c>
      <c r="AE49" s="3">
        <v>180</v>
      </c>
      <c r="AF49" s="3" t="str">
        <f>IFERROR(MID(VLOOKUP($B49,Seqs!$A:$B,2,0),AG49,1),"")</f>
        <v>C</v>
      </c>
      <c r="AG49" s="3">
        <v>199</v>
      </c>
      <c r="AH49" s="3" t="str">
        <f>IFERROR(MID(VLOOKUP($B49,Seqs!$A:$B,2,0),AI49,1),"")</f>
        <v>F</v>
      </c>
      <c r="AI49" s="3">
        <v>201</v>
      </c>
      <c r="AJ49" s="3" t="str">
        <f>IFERROR(MID(VLOOKUP($B49,Seqs!$A:$B,2,0),AK49,1),"")</f>
        <v>N</v>
      </c>
      <c r="AK49" s="3">
        <v>204</v>
      </c>
      <c r="AL49" s="3" t="str">
        <f>IFERROR(MID(VLOOKUP($B49,Seqs!$A:$B,2,0),AM49,1),"")</f>
        <v>I</v>
      </c>
      <c r="AM49" s="3">
        <v>238</v>
      </c>
      <c r="AN49" s="3" t="str">
        <f>IFERROR(MID(VLOOKUP($B49,Seqs!$A:$B,2,0),AO49,1),"")</f>
        <v>R</v>
      </c>
      <c r="AO49" s="3">
        <v>275</v>
      </c>
      <c r="AP49" s="3" t="str">
        <f>IFERROR(MID(VLOOKUP($B49,Seqs!$A:$B,2,0),AQ49,1),"")</f>
        <v>N</v>
      </c>
      <c r="AQ49" s="3">
        <v>316</v>
      </c>
      <c r="AR49" s="3" t="str">
        <f>IFERROR(MID(VLOOKUP($B49,Seqs!$A:$B,2,0),AS49,1),"")</f>
        <v>P</v>
      </c>
      <c r="AS49" s="3">
        <v>321</v>
      </c>
      <c r="AT49" s="3" t="str">
        <f>IFERROR(MID(VLOOKUP($B49,Seqs!$A:$B,2,0),AU49,1),"")</f>
        <v>R</v>
      </c>
      <c r="AU49" s="3">
        <v>345</v>
      </c>
      <c r="AV49" s="3" t="str">
        <f>IFERROR(MID(VLOOKUP($B49,Seqs!$A:$B,2,0),AW49,1),"")</f>
        <v>S</v>
      </c>
      <c r="AW49" s="3">
        <v>346</v>
      </c>
      <c r="AX49" s="3" t="str">
        <f>IFERROR(MID(VLOOKUP($B49,Seqs!$A:$B,2,0),AY49,1),"")</f>
        <v>C</v>
      </c>
      <c r="AY49" s="3">
        <v>358</v>
      </c>
      <c r="AZ49" s="79" t="str">
        <f>VLOOKUP(B49,Classification!A:D,2,0)</f>
        <v>A</v>
      </c>
      <c r="BA49" s="97" t="str">
        <f>VLOOKUP(B49,Classification!A:D,4,0)</f>
        <v>Adrenoceptors</v>
      </c>
      <c r="BB49" s="27" t="b">
        <f t="shared" si="195"/>
        <v>1</v>
      </c>
      <c r="BC49" s="23">
        <f t="shared" si="84"/>
        <v>265</v>
      </c>
      <c r="BD49" s="4" t="s">
        <v>23</v>
      </c>
      <c r="BE49" s="3" t="s">
        <v>1381</v>
      </c>
      <c r="BF49" s="50" t="s">
        <v>1384</v>
      </c>
      <c r="BG49" s="50" t="s">
        <v>1384</v>
      </c>
      <c r="BH49" s="1"/>
      <c r="BI49" s="72" t="s">
        <v>1293</v>
      </c>
      <c r="BJ49" s="58" t="s">
        <v>1293</v>
      </c>
      <c r="BK49" s="58" t="s">
        <v>1293</v>
      </c>
      <c r="BL49" s="58" t="s">
        <v>1293</v>
      </c>
      <c r="BM49" s="58" t="s">
        <v>1293</v>
      </c>
      <c r="BN49" s="58" t="s">
        <v>1293</v>
      </c>
      <c r="BO49" s="58" t="s">
        <v>1293</v>
      </c>
      <c r="BP49" s="58" t="s">
        <v>1293</v>
      </c>
      <c r="BQ49" s="58" t="s">
        <v>1293</v>
      </c>
      <c r="BR49" s="58" t="s">
        <v>1293</v>
      </c>
      <c r="BS49" s="58" t="s">
        <v>1293</v>
      </c>
      <c r="BT49" s="58" t="s">
        <v>1293</v>
      </c>
      <c r="BU49" s="72">
        <f t="shared" si="85"/>
        <v>33</v>
      </c>
      <c r="BV49" s="73">
        <f t="shared" si="86"/>
        <v>70</v>
      </c>
      <c r="BW49" s="74">
        <f t="shared" si="87"/>
        <v>74</v>
      </c>
      <c r="BX49" s="73">
        <f t="shared" si="88"/>
        <v>106</v>
      </c>
      <c r="BY49" s="74">
        <f t="shared" si="89"/>
        <v>110</v>
      </c>
      <c r="BZ49" s="73">
        <f t="shared" si="90"/>
        <v>146</v>
      </c>
      <c r="CA49" s="74">
        <f t="shared" si="91"/>
        <v>154</v>
      </c>
      <c r="CB49" s="73">
        <f t="shared" si="92"/>
        <v>199</v>
      </c>
      <c r="CC49" s="74">
        <f t="shared" si="93"/>
        <v>204</v>
      </c>
      <c r="CD49" s="73">
        <f t="shared" si="94"/>
        <v>275</v>
      </c>
      <c r="CE49" s="74">
        <f t="shared" si="95"/>
        <v>321</v>
      </c>
      <c r="CF49" s="73">
        <f t="shared" si="96"/>
        <v>346</v>
      </c>
      <c r="CG49" s="72">
        <f t="shared" si="97"/>
        <v>69</v>
      </c>
      <c r="CH49" s="73">
        <f t="shared" si="98"/>
        <v>73</v>
      </c>
      <c r="CI49" s="74">
        <f t="shared" si="99"/>
        <v>104</v>
      </c>
      <c r="CJ49" s="74">
        <f t="shared" si="100"/>
        <v>109</v>
      </c>
      <c r="CK49" s="74">
        <f t="shared" si="101"/>
        <v>145</v>
      </c>
      <c r="CL49" s="74">
        <f t="shared" si="102"/>
        <v>153</v>
      </c>
      <c r="CM49" s="74">
        <f t="shared" si="103"/>
        <v>180</v>
      </c>
      <c r="CN49" s="74">
        <f t="shared" si="104"/>
        <v>201</v>
      </c>
      <c r="CO49" s="74">
        <f t="shared" si="105"/>
        <v>238</v>
      </c>
      <c r="CP49" s="74">
        <f t="shared" si="106"/>
        <v>316</v>
      </c>
      <c r="CQ49" s="74">
        <f t="shared" si="107"/>
        <v>345</v>
      </c>
      <c r="CR49" s="74">
        <f t="shared" si="108"/>
        <v>358</v>
      </c>
      <c r="CS49" s="23">
        <f t="shared" si="109"/>
        <v>1</v>
      </c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  <c r="OK49" s="1"/>
      <c r="OL49" s="1"/>
      <c r="OM49" s="1"/>
      <c r="ON49" s="1"/>
      <c r="OO49" s="1"/>
      <c r="OP49" s="1"/>
      <c r="OQ49" s="1"/>
      <c r="OR49" s="1"/>
      <c r="OS49" s="1"/>
      <c r="OT49" s="1"/>
      <c r="OU49" s="1"/>
      <c r="OV49" s="1"/>
      <c r="OW49" s="1"/>
      <c r="OX49" s="1"/>
      <c r="OY49" s="1"/>
      <c r="OZ49" s="1"/>
      <c r="PA49" s="1"/>
      <c r="PB49" s="1"/>
      <c r="PC49" s="1"/>
      <c r="PD49" s="1"/>
      <c r="PE49" s="1"/>
      <c r="PF49" s="1"/>
      <c r="PG49" s="1"/>
      <c r="PH49" s="1"/>
      <c r="PI49" s="1"/>
      <c r="PJ49" s="1"/>
      <c r="PK49" s="1"/>
      <c r="PL49" s="1"/>
      <c r="PM49" s="1"/>
      <c r="PN49" s="1"/>
      <c r="PO49" s="1"/>
      <c r="PP49" s="1"/>
      <c r="PQ49" s="1"/>
      <c r="PR49" s="1"/>
      <c r="PS49" s="1"/>
      <c r="PT49" s="1"/>
      <c r="PU49" s="1"/>
      <c r="PV49" s="1"/>
      <c r="PW49" s="1"/>
      <c r="PX49" s="1"/>
      <c r="PY49" s="1"/>
      <c r="PZ49" s="1"/>
      <c r="QA49" s="1"/>
      <c r="QB49" s="1"/>
      <c r="QC49" s="1"/>
      <c r="QD49" s="1"/>
      <c r="QE49" s="1"/>
      <c r="QF49" s="1"/>
      <c r="QG49" s="1"/>
      <c r="QH49" s="1"/>
      <c r="QI49" s="1"/>
      <c r="QJ49" s="1"/>
      <c r="QK49" s="1"/>
      <c r="QL49" s="1"/>
      <c r="QM49" s="1"/>
      <c r="QN49" s="1"/>
      <c r="QO49" s="1"/>
      <c r="QP49" s="1"/>
      <c r="QQ49" s="1"/>
      <c r="QR49" s="1"/>
      <c r="QS49" s="1"/>
      <c r="QT49" s="1"/>
      <c r="QU49" s="1"/>
      <c r="QV49" s="1"/>
      <c r="QW49" s="1"/>
      <c r="QX49" s="1"/>
      <c r="QY49" s="1"/>
      <c r="QZ49" s="1"/>
      <c r="RA49" s="1"/>
      <c r="RB49" s="1"/>
      <c r="RC49" s="1"/>
      <c r="RD49" s="1"/>
      <c r="RE49" s="1"/>
      <c r="RF49" s="1"/>
      <c r="RG49" s="1"/>
      <c r="RH49" s="1"/>
      <c r="RI49" s="1"/>
      <c r="RJ49" s="1"/>
      <c r="RK49" s="1"/>
      <c r="RL49" s="1"/>
      <c r="RM49" s="1"/>
      <c r="RN49" s="1"/>
      <c r="RO49" s="1"/>
      <c r="RP49" s="1"/>
      <c r="RQ49" s="1"/>
      <c r="RR49" s="1"/>
      <c r="RS49" s="1"/>
      <c r="RT49" s="1"/>
      <c r="RU49" s="1"/>
      <c r="RV49" s="1"/>
      <c r="RW49" s="1"/>
      <c r="RX49" s="1"/>
      <c r="RY49" s="1"/>
      <c r="RZ49" s="1"/>
      <c r="SA49" s="1"/>
      <c r="SB49" s="1"/>
      <c r="SC49" s="1"/>
      <c r="SD49" s="1"/>
      <c r="SE49" s="1"/>
      <c r="SF49" s="1"/>
      <c r="SG49" s="1"/>
      <c r="SH49" s="1"/>
      <c r="SI49" s="1"/>
      <c r="SJ49" s="1"/>
      <c r="SK49" s="1"/>
      <c r="SL49" s="1"/>
      <c r="SM49" s="1"/>
      <c r="SN49" s="1"/>
      <c r="SO49" s="1"/>
      <c r="SP49" s="1"/>
      <c r="SQ49" s="1"/>
      <c r="SR49" s="1"/>
      <c r="SS49" s="1"/>
      <c r="ST49" s="1"/>
      <c r="SU49" s="1"/>
      <c r="SV49" s="1"/>
      <c r="SW49" s="1"/>
      <c r="SX49" s="1"/>
      <c r="SY49" s="1"/>
      <c r="SZ49" s="1"/>
      <c r="TA49" s="1"/>
      <c r="TB49" s="1"/>
      <c r="TC49" s="1"/>
      <c r="TD49" s="1"/>
      <c r="TE49" s="1"/>
      <c r="TF49" s="1"/>
      <c r="TG49" s="1"/>
      <c r="TH49" s="1"/>
      <c r="TI49" s="1"/>
      <c r="TJ49" s="1"/>
      <c r="TK49" s="1"/>
      <c r="TL49" s="1"/>
      <c r="TM49" s="1"/>
      <c r="TN49" s="1"/>
      <c r="TO49" s="1"/>
      <c r="TP49" s="1"/>
      <c r="TQ49" s="1"/>
      <c r="TR49" s="1"/>
      <c r="TS49" s="1"/>
      <c r="TT49" s="1"/>
      <c r="TU49" s="1"/>
      <c r="TV49" s="1"/>
      <c r="TW49" s="1"/>
      <c r="TX49" s="1"/>
      <c r="TY49" s="1"/>
      <c r="TZ49" s="1"/>
      <c r="UA49" s="1"/>
      <c r="UB49" s="1"/>
      <c r="UC49" s="1"/>
      <c r="UD49" s="1"/>
      <c r="UE49" s="1"/>
      <c r="UF49" s="1"/>
      <c r="UG49" s="1"/>
      <c r="UH49" s="1"/>
      <c r="UI49" s="1"/>
      <c r="UJ49" s="1"/>
      <c r="UK49" s="1"/>
      <c r="UL49" s="1"/>
      <c r="UM49" s="1"/>
      <c r="UN49" s="1"/>
      <c r="UO49" s="1"/>
      <c r="UP49" s="1"/>
      <c r="UQ49" s="1"/>
      <c r="UR49" s="1"/>
      <c r="US49" s="1"/>
      <c r="UT49" s="1"/>
      <c r="UU49" s="1"/>
      <c r="UV49" s="1"/>
      <c r="UW49" s="1"/>
      <c r="UX49" s="1"/>
      <c r="UY49" s="1"/>
      <c r="UZ49" s="1"/>
      <c r="VA49" s="1"/>
      <c r="VB49" s="1"/>
      <c r="VC49" s="1"/>
      <c r="VD49" s="1"/>
      <c r="VE49" s="1"/>
      <c r="VF49" s="1"/>
      <c r="VG49" s="1"/>
      <c r="VH49" s="1"/>
      <c r="VI49" s="1"/>
      <c r="VJ49" s="1"/>
      <c r="VK49" s="1"/>
      <c r="VL49" s="1"/>
      <c r="VM49" s="1"/>
      <c r="VN49" s="1"/>
      <c r="VO49" s="1"/>
      <c r="VP49" s="1"/>
      <c r="VQ49" s="1"/>
      <c r="VR49" s="1"/>
      <c r="VS49" s="1"/>
      <c r="VT49" s="1"/>
      <c r="VU49" s="1"/>
      <c r="VV49" s="1"/>
      <c r="VW49" s="1"/>
      <c r="VX49" s="1"/>
      <c r="VY49" s="1"/>
      <c r="VZ49" s="1"/>
      <c r="WA49" s="1"/>
      <c r="WB49" s="1"/>
      <c r="WC49" s="1"/>
      <c r="WD49" s="1"/>
      <c r="WE49" s="1"/>
      <c r="WF49" s="1"/>
      <c r="WG49" s="1"/>
      <c r="WH49" s="1"/>
      <c r="WI49" s="1"/>
      <c r="WJ49" s="1"/>
      <c r="WK49" s="1"/>
      <c r="WL49" s="1"/>
      <c r="WM49" s="1"/>
      <c r="WN49" s="1"/>
      <c r="WO49" s="1"/>
      <c r="WP49" s="1"/>
      <c r="WQ49" s="1"/>
      <c r="WR49" s="1"/>
      <c r="WS49" s="1"/>
      <c r="WT49" s="1"/>
      <c r="WU49" s="1"/>
      <c r="WV49" s="1"/>
      <c r="WW49" s="1"/>
      <c r="WX49" s="1"/>
      <c r="WY49" s="1"/>
      <c r="WZ49" s="1"/>
      <c r="XA49" s="1"/>
      <c r="XB49" s="1"/>
      <c r="XC49" s="1"/>
      <c r="XD49" s="1"/>
      <c r="XE49" s="1"/>
      <c r="XF49" s="1"/>
      <c r="XG49" s="1"/>
      <c r="XH49" s="1"/>
      <c r="XI49" s="1"/>
      <c r="XJ49" s="1"/>
      <c r="XK49" s="1"/>
      <c r="XL49" s="1"/>
      <c r="XM49" s="1"/>
      <c r="XN49" s="1"/>
      <c r="XO49" s="1"/>
      <c r="XP49" s="1"/>
      <c r="XQ49" s="1"/>
      <c r="XR49" s="1"/>
      <c r="XS49" s="1"/>
      <c r="XT49" s="1"/>
      <c r="XU49" s="1"/>
      <c r="XV49" s="1"/>
      <c r="XW49" s="1"/>
      <c r="XX49" s="1"/>
      <c r="XY49" s="1"/>
      <c r="XZ49" s="1"/>
      <c r="YA49" s="1"/>
      <c r="YB49" s="1"/>
      <c r="YC49" s="1"/>
      <c r="YD49" s="1"/>
      <c r="YE49" s="1"/>
      <c r="YF49" s="1"/>
      <c r="YG49" s="1"/>
      <c r="YH49" s="1"/>
      <c r="YI49" s="1"/>
      <c r="YJ49" s="1"/>
      <c r="YK49" s="1"/>
      <c r="YL49" s="1"/>
      <c r="YM49" s="1"/>
      <c r="YN49" s="1"/>
      <c r="YO49" s="1"/>
      <c r="YP49" s="1"/>
      <c r="YQ49" s="1"/>
      <c r="YR49" s="1"/>
      <c r="YS49" s="1"/>
      <c r="YT49" s="1"/>
      <c r="YU49" s="1"/>
      <c r="YV49" s="1"/>
      <c r="YW49" s="1"/>
      <c r="YX49" s="1"/>
      <c r="YY49" s="1"/>
      <c r="YZ49" s="1"/>
      <c r="ZA49" s="1"/>
      <c r="ZB49" s="1"/>
      <c r="ZC49" s="1"/>
      <c r="ZD49" s="1"/>
      <c r="ZE49" s="1"/>
      <c r="ZF49" s="1"/>
      <c r="ZG49" s="1"/>
      <c r="ZH49" s="1"/>
      <c r="ZI49" s="1"/>
      <c r="ZJ49" s="1"/>
      <c r="ZK49" s="1"/>
      <c r="ZL49" s="1"/>
      <c r="ZM49" s="1"/>
      <c r="ZN49" s="1"/>
      <c r="ZO49" s="1"/>
      <c r="ZP49" s="1"/>
      <c r="ZQ49" s="1"/>
      <c r="ZR49" s="1"/>
      <c r="ZS49" s="1"/>
      <c r="ZT49" s="1"/>
      <c r="ZU49" s="1"/>
      <c r="ZV49" s="1"/>
      <c r="ZW49" s="1"/>
      <c r="ZX49" s="1"/>
      <c r="ZY49" s="1"/>
      <c r="ZZ49" s="1"/>
      <c r="AAA49" s="1"/>
      <c r="AAB49" s="1"/>
      <c r="AAC49" s="1"/>
      <c r="AAD49" s="1"/>
      <c r="AAE49" s="1"/>
      <c r="AAF49" s="1"/>
      <c r="AAG49" s="1"/>
      <c r="AAH49" s="1"/>
      <c r="AAI49" s="1"/>
      <c r="AAJ49" s="1"/>
      <c r="AAK49" s="1"/>
      <c r="AAL49" s="1"/>
      <c r="AAM49" s="1"/>
      <c r="AAN49" s="1"/>
      <c r="AAO49" s="1"/>
      <c r="AAP49" s="1"/>
      <c r="AAQ49" s="1"/>
      <c r="AAR49" s="1"/>
      <c r="AAS49" s="1"/>
      <c r="AAT49" s="1"/>
      <c r="AAU49" s="1"/>
      <c r="AAV49" s="1"/>
      <c r="AAW49" s="1"/>
      <c r="AAX49" s="1"/>
      <c r="AAY49" s="1"/>
      <c r="AAZ49" s="1"/>
      <c r="ABA49" s="1"/>
      <c r="ABB49" s="1"/>
      <c r="ABC49" s="1"/>
      <c r="ABD49" s="1"/>
      <c r="ABE49" s="1"/>
      <c r="ABF49" s="1"/>
      <c r="ABG49" s="1"/>
      <c r="ABH49" s="1"/>
      <c r="ABI49" s="1"/>
      <c r="ABJ49" s="1"/>
      <c r="ABK49" s="1"/>
      <c r="ABL49" s="1"/>
      <c r="ABM49" s="1"/>
      <c r="ABN49" s="1"/>
      <c r="ABO49" s="1"/>
      <c r="ABP49" s="1"/>
      <c r="ABQ49" s="1"/>
      <c r="ABR49" s="1"/>
      <c r="ABS49" s="1"/>
      <c r="ABT49" s="1"/>
      <c r="ABU49" s="1"/>
      <c r="ABV49" s="1"/>
      <c r="ABW49" s="1"/>
      <c r="ABX49" s="1"/>
      <c r="ABY49" s="1"/>
      <c r="ABZ49" s="1"/>
      <c r="ACA49" s="1"/>
      <c r="ACB49" s="1"/>
      <c r="ACC49" s="1"/>
      <c r="ACD49" s="1"/>
      <c r="ACE49" s="1"/>
      <c r="ACF49" s="1"/>
      <c r="ACG49" s="1"/>
      <c r="ACH49" s="1"/>
      <c r="ACI49" s="1"/>
      <c r="ACJ49" s="1"/>
      <c r="ACK49" s="1"/>
      <c r="ACL49" s="1"/>
      <c r="ACM49" s="1"/>
      <c r="ACN49" s="1"/>
      <c r="ACO49" s="1"/>
      <c r="ACP49" s="1"/>
      <c r="ACQ49" s="1"/>
      <c r="ACR49" s="1"/>
      <c r="ACS49" s="1"/>
      <c r="ACT49" s="1"/>
      <c r="ACU49" s="1"/>
      <c r="ACV49" s="1"/>
      <c r="ACW49" s="1"/>
      <c r="ACX49" s="1"/>
      <c r="ACY49" s="1"/>
      <c r="ACZ49" s="1"/>
      <c r="ADA49" s="1"/>
      <c r="ADB49" s="1"/>
      <c r="ADC49" s="1"/>
      <c r="ADD49" s="1"/>
      <c r="ADE49" s="1"/>
      <c r="ADF49" s="1"/>
      <c r="ADG49" s="1"/>
      <c r="ADH49" s="1"/>
      <c r="ADI49" s="1"/>
      <c r="ADJ49" s="1"/>
      <c r="ADK49" s="1"/>
      <c r="ADL49" s="1"/>
      <c r="ADM49" s="1"/>
      <c r="ADN49" s="1"/>
      <c r="ADO49" s="1"/>
      <c r="ADP49" s="1"/>
      <c r="ADQ49" s="1"/>
      <c r="ADR49" s="1"/>
      <c r="ADS49" s="1"/>
      <c r="ADT49" s="1"/>
      <c r="ADU49" s="1"/>
      <c r="ADV49" s="1"/>
      <c r="ADW49" s="1"/>
      <c r="ADX49" s="1"/>
      <c r="ADY49" s="1"/>
      <c r="ADZ49" s="1"/>
      <c r="AEA49" s="1"/>
      <c r="AEB49" s="1"/>
      <c r="AEC49" s="1"/>
      <c r="AED49" s="1"/>
      <c r="AEE49" s="1"/>
      <c r="AEF49" s="1"/>
      <c r="AEG49" s="1"/>
      <c r="AEH49" s="1"/>
      <c r="AEI49" s="1"/>
      <c r="AEJ49" s="1"/>
      <c r="AEK49" s="1"/>
      <c r="AEL49" s="1"/>
      <c r="AEM49" s="1"/>
      <c r="AEN49" s="1"/>
      <c r="AEO49" s="1"/>
      <c r="AEP49" s="1"/>
      <c r="AEQ49" s="1"/>
      <c r="AER49" s="1"/>
      <c r="AES49" s="1"/>
      <c r="AET49" s="1"/>
      <c r="AEU49" s="1"/>
      <c r="AEV49" s="1"/>
      <c r="AEW49" s="1"/>
      <c r="AEX49" s="1"/>
      <c r="AEY49" s="1"/>
      <c r="AEZ49" s="1"/>
      <c r="AFA49" s="1"/>
      <c r="AFB49" s="1"/>
      <c r="AFC49" s="1"/>
      <c r="AFD49" s="1"/>
      <c r="AFE49" s="1"/>
      <c r="AFF49" s="1"/>
      <c r="AFG49" s="1"/>
      <c r="AFH49" s="1"/>
      <c r="AFI49" s="1"/>
      <c r="AFJ49" s="1"/>
      <c r="AFK49" s="1"/>
      <c r="AFL49" s="1"/>
      <c r="AFM49" s="1"/>
      <c r="AFN49" s="1"/>
      <c r="AFO49" s="1"/>
      <c r="AFP49" s="1"/>
      <c r="AFQ49" s="1"/>
      <c r="AFR49" s="1"/>
      <c r="AFS49" s="1"/>
      <c r="AFT49" s="1"/>
      <c r="AFU49" s="1"/>
      <c r="AFV49" s="1"/>
      <c r="AFW49" s="1"/>
      <c r="AFX49" s="1"/>
      <c r="AFY49" s="1"/>
      <c r="AFZ49" s="1"/>
      <c r="AGA49" s="1"/>
      <c r="AGB49" s="1"/>
      <c r="AGC49" s="1"/>
      <c r="AGD49" s="1"/>
      <c r="AGE49" s="1"/>
      <c r="AGF49" s="1"/>
      <c r="AGG49" s="1"/>
      <c r="AGH49" s="1"/>
      <c r="AGI49" s="1"/>
      <c r="AGJ49" s="1"/>
      <c r="AGK49" s="1"/>
      <c r="AGL49" s="1"/>
      <c r="AGM49" s="1"/>
      <c r="AGN49" s="1"/>
      <c r="AGO49" s="1"/>
      <c r="AGP49" s="1"/>
      <c r="AGQ49" s="1"/>
      <c r="AGR49" s="1"/>
      <c r="AGS49" s="1"/>
      <c r="AGT49" s="1"/>
      <c r="AGU49" s="1"/>
      <c r="AGV49" s="1"/>
      <c r="AGW49" s="1"/>
      <c r="AGX49" s="1"/>
      <c r="AGY49" s="1"/>
      <c r="AGZ49" s="1"/>
      <c r="AHA49" s="1"/>
      <c r="AHB49" s="1"/>
      <c r="AHC49" s="1"/>
      <c r="AHD49" s="1"/>
      <c r="AHE49" s="1"/>
      <c r="AHF49" s="1"/>
      <c r="AHG49" s="1"/>
      <c r="AHH49" s="1"/>
      <c r="AHI49" s="1"/>
      <c r="AHJ49" s="1"/>
      <c r="AHK49" s="1"/>
      <c r="AHL49" s="1"/>
      <c r="AHM49" s="1"/>
      <c r="AHN49" s="1"/>
      <c r="AHO49" s="1"/>
      <c r="AHP49" s="1"/>
      <c r="AHQ49" s="1"/>
      <c r="AHR49" s="1"/>
      <c r="AHS49" s="1"/>
      <c r="AHT49" s="1"/>
      <c r="AHU49" s="1"/>
      <c r="AHV49" s="1"/>
      <c r="AHW49" s="1"/>
      <c r="AHX49" s="1"/>
      <c r="AHY49" s="1"/>
      <c r="AHZ49" s="1"/>
      <c r="AIA49" s="1"/>
      <c r="AIB49" s="1"/>
      <c r="AIC49" s="1"/>
      <c r="AID49" s="1"/>
      <c r="AIE49" s="1"/>
      <c r="AIF49" s="1"/>
      <c r="AIG49" s="1"/>
      <c r="AIH49" s="1"/>
      <c r="AII49" s="1"/>
      <c r="AIJ49" s="1"/>
      <c r="AIK49" s="1"/>
      <c r="AIL49" s="1"/>
      <c r="AIM49" s="1"/>
      <c r="AIN49" s="1"/>
      <c r="AIO49" s="1"/>
      <c r="AIP49" s="1"/>
      <c r="AIQ49" s="1"/>
      <c r="AIR49" s="1"/>
      <c r="AIS49" s="1"/>
      <c r="AIT49" s="1"/>
      <c r="AIU49" s="1"/>
      <c r="AIV49" s="1"/>
      <c r="AIW49" s="1"/>
      <c r="AIX49" s="1"/>
      <c r="AIY49" s="1"/>
      <c r="AIZ49" s="1"/>
      <c r="AJA49" s="1"/>
      <c r="AJB49" s="1"/>
      <c r="AJC49" s="1"/>
      <c r="AJD49" s="1"/>
      <c r="AJE49" s="1"/>
      <c r="AJF49" s="1"/>
      <c r="AJG49" s="1"/>
      <c r="AJH49" s="1"/>
      <c r="AJI49" s="1"/>
      <c r="AJJ49" s="1"/>
      <c r="AJK49" s="1"/>
      <c r="AJL49" s="1"/>
      <c r="AJM49" s="1"/>
      <c r="AJN49" s="1"/>
      <c r="AJO49" s="1"/>
      <c r="AJP49" s="1"/>
      <c r="AJQ49" s="1"/>
      <c r="AJR49" s="1"/>
      <c r="AJS49" s="1"/>
      <c r="AJT49" s="1"/>
      <c r="AJU49" s="1"/>
      <c r="AJV49" s="1"/>
      <c r="AJW49" s="1"/>
      <c r="AJX49" s="1"/>
      <c r="AJY49" s="1"/>
      <c r="AJZ49" s="1"/>
      <c r="AKA49" s="1"/>
      <c r="AKB49" s="1"/>
      <c r="AKC49" s="1"/>
      <c r="AKD49" s="1"/>
      <c r="AKE49" s="1"/>
      <c r="AKF49" s="1"/>
      <c r="AKG49" s="1"/>
      <c r="AKH49" s="1"/>
      <c r="AKI49" s="1"/>
      <c r="AKJ49" s="1"/>
      <c r="AKK49" s="1"/>
      <c r="AKL49" s="1"/>
      <c r="AKM49" s="1"/>
      <c r="AKN49" s="1"/>
      <c r="AKO49" s="1"/>
      <c r="AKP49" s="1"/>
      <c r="AKQ49" s="1"/>
      <c r="AKR49" s="1"/>
      <c r="AKS49" s="1"/>
      <c r="AKT49" s="1"/>
      <c r="AKU49" s="1"/>
      <c r="AKV49" s="1"/>
      <c r="AKW49" s="1"/>
      <c r="AKX49" s="1"/>
      <c r="AKY49" s="1"/>
      <c r="AKZ49" s="1"/>
      <c r="ALA49" s="1"/>
      <c r="ALB49" s="1"/>
      <c r="ALC49" s="1"/>
      <c r="ALD49" s="1"/>
      <c r="ALE49" s="1"/>
      <c r="ALF49" s="1"/>
      <c r="ALG49" s="1"/>
      <c r="ALH49" s="1"/>
      <c r="ALI49" s="1"/>
      <c r="ALJ49" s="1"/>
      <c r="ALK49" s="1"/>
      <c r="ALL49" s="1"/>
      <c r="ALM49" s="1"/>
      <c r="ALN49" s="1"/>
      <c r="ALO49" s="1"/>
      <c r="ALP49" s="1"/>
      <c r="ALQ49" s="1"/>
      <c r="ALR49" s="1"/>
      <c r="ALS49" s="1"/>
      <c r="ALT49" s="1"/>
      <c r="ALU49" s="1"/>
      <c r="ALV49" s="1"/>
      <c r="ALW49" s="1"/>
      <c r="ALX49" s="1"/>
      <c r="ALY49" s="1"/>
      <c r="ALZ49" s="1"/>
      <c r="AMA49" s="1"/>
      <c r="AMB49" s="1"/>
      <c r="AMC49" s="1"/>
      <c r="AMD49" s="1"/>
      <c r="AME49" s="1"/>
      <c r="AMF49" s="1"/>
      <c r="AMG49" s="1"/>
      <c r="AMH49" s="1"/>
      <c r="AMI49" s="1"/>
      <c r="AMJ49" s="1"/>
      <c r="AMK49" s="1"/>
      <c r="AML49" s="1"/>
      <c r="AMM49" s="1"/>
      <c r="AMN49" s="1"/>
    </row>
    <row r="50" spans="1:1028" x14ac:dyDescent="0.2">
      <c r="A50" s="3" t="str">
        <f t="shared" si="194"/>
        <v>adrb1_melga_2Y03</v>
      </c>
      <c r="B50" s="3" t="s">
        <v>912</v>
      </c>
      <c r="C50" s="3" t="s">
        <v>1025</v>
      </c>
      <c r="D50" s="3" t="str">
        <f>IFERROR(MID(VLOOKUP($B50,Seqs!$A:$B,2,0),E50,1),"")</f>
        <v>A</v>
      </c>
      <c r="E50" s="3">
        <v>33</v>
      </c>
      <c r="F50" s="3" t="str">
        <f>IFERROR(MID(VLOOKUP($B50,Seqs!$A:$B,2,0),G50,1),"")</f>
        <v>T</v>
      </c>
      <c r="G50" s="3">
        <v>69</v>
      </c>
      <c r="H50" s="3" t="str">
        <f>IFERROR(MID(VLOOKUP($B50,Seqs!$A:$B,2,0),I50,1),"")</f>
        <v>Q</v>
      </c>
      <c r="I50" s="23">
        <v>70</v>
      </c>
      <c r="J50" s="3" t="str">
        <f>IFERROR(MID(VLOOKUP($B50,Seqs!$A:$B,2,0),K50,1),"")</f>
        <v>Q</v>
      </c>
      <c r="K50" s="23">
        <v>73</v>
      </c>
      <c r="L50" s="3" t="str">
        <f>IFERROR(MID(VLOOKUP($B50,Seqs!$A:$B,2,0),M50,1),"")</f>
        <v>T</v>
      </c>
      <c r="M50" s="3">
        <v>74</v>
      </c>
      <c r="N50" s="3" t="str">
        <f>IFERROR(MID(VLOOKUP($B50,Seqs!$A:$B,2,0),O50,1),"")</f>
        <v>R</v>
      </c>
      <c r="O50" s="3">
        <v>104</v>
      </c>
      <c r="P50" s="3" t="str">
        <f>IFERROR(MID(VLOOKUP($B50,Seqs!$A:$B,2,0),Q50,1),"")</f>
        <v>T</v>
      </c>
      <c r="Q50" s="3">
        <v>106</v>
      </c>
      <c r="R50" s="3" t="str">
        <f>IFERROR(MID(VLOOKUP($B50,Seqs!$A:$B,2,0),S50,1),"")</f>
        <v>W</v>
      </c>
      <c r="S50" s="3">
        <v>109</v>
      </c>
      <c r="T50" s="3" t="str">
        <f>IFERROR(MID(VLOOKUP($B50,Seqs!$A:$B,2,0),U50,1),"")</f>
        <v>G</v>
      </c>
      <c r="U50" s="3">
        <v>110</v>
      </c>
      <c r="V50" s="3" t="str">
        <f>IFERROR(MID(VLOOKUP($B50,Seqs!$A:$B,2,0),W50,1),"")</f>
        <v>S</v>
      </c>
      <c r="W50" s="3">
        <v>145</v>
      </c>
      <c r="X50" s="3" t="str">
        <f>IFERROR(MID(VLOOKUP($B50,Seqs!$A:$B,2,0),Y50,1),"")</f>
        <v>P</v>
      </c>
      <c r="Y50" s="3">
        <v>146</v>
      </c>
      <c r="Z50" s="3" t="str">
        <f>IFERROR(MID(VLOOKUP($B50,Seqs!$A:$B,2,0),AA50,1),"")</f>
        <v>M</v>
      </c>
      <c r="AA50" s="3">
        <v>153</v>
      </c>
      <c r="AB50" s="3" t="str">
        <f>IFERROR(MID(VLOOKUP($B50,Seqs!$A:$B,2,0),AC50,1),"")</f>
        <v>T</v>
      </c>
      <c r="AC50" s="9">
        <v>154</v>
      </c>
      <c r="AD50" s="3" t="str">
        <f>IFERROR(MID(VLOOKUP($B50,Seqs!$A:$B,2,0),AE50,1),"")</f>
        <v>H</v>
      </c>
      <c r="AE50" s="3">
        <v>180</v>
      </c>
      <c r="AF50" s="3" t="str">
        <f>IFERROR(MID(VLOOKUP($B50,Seqs!$A:$B,2,0),AG50,1),"")</f>
        <v>C</v>
      </c>
      <c r="AG50" s="3">
        <v>199</v>
      </c>
      <c r="AH50" s="3" t="str">
        <f>IFERROR(MID(VLOOKUP($B50,Seqs!$A:$B,2,0),AI50,1),"")</f>
        <v>F</v>
      </c>
      <c r="AI50" s="3">
        <v>201</v>
      </c>
      <c r="AJ50" s="3" t="str">
        <f>IFERROR(MID(VLOOKUP($B50,Seqs!$A:$B,2,0),AK50,1),"")</f>
        <v>N</v>
      </c>
      <c r="AK50" s="3">
        <v>204</v>
      </c>
      <c r="AL50" s="3" t="str">
        <f>IFERROR(MID(VLOOKUP($B50,Seqs!$A:$B,2,0),AM50,1),"")</f>
        <v>I</v>
      </c>
      <c r="AM50" s="3">
        <v>238</v>
      </c>
      <c r="AN50" s="3" t="str">
        <f>IFERROR(MID(VLOOKUP($B50,Seqs!$A:$B,2,0),AO50,1),"")</f>
        <v>R</v>
      </c>
      <c r="AO50" s="3">
        <v>275</v>
      </c>
      <c r="AP50" s="3" t="str">
        <f>IFERROR(MID(VLOOKUP($B50,Seqs!$A:$B,2,0),AQ50,1),"")</f>
        <v>N</v>
      </c>
      <c r="AQ50" s="3">
        <v>316</v>
      </c>
      <c r="AR50" s="3" t="str">
        <f>IFERROR(MID(VLOOKUP($B50,Seqs!$A:$B,2,0),AS50,1),"")</f>
        <v>P</v>
      </c>
      <c r="AS50" s="3">
        <v>321</v>
      </c>
      <c r="AT50" s="3" t="str">
        <f>IFERROR(MID(VLOOKUP($B50,Seqs!$A:$B,2,0),AU50,1),"")</f>
        <v>R</v>
      </c>
      <c r="AU50" s="3">
        <v>345</v>
      </c>
      <c r="AV50" s="3" t="str">
        <f>IFERROR(MID(VLOOKUP($B50,Seqs!$A:$B,2,0),AW50,1),"")</f>
        <v>S</v>
      </c>
      <c r="AW50" s="3">
        <v>346</v>
      </c>
      <c r="AX50" s="3" t="str">
        <f>IFERROR(MID(VLOOKUP($B50,Seqs!$A:$B,2,0),AY50,1),"")</f>
        <v>C</v>
      </c>
      <c r="AY50" s="3">
        <v>358</v>
      </c>
      <c r="AZ50" s="79" t="str">
        <f>VLOOKUP(B50,Classification!A:D,2,0)</f>
        <v>A</v>
      </c>
      <c r="BA50" s="97" t="str">
        <f>VLOOKUP(B50,Classification!A:D,4,0)</f>
        <v>Adrenoceptors</v>
      </c>
      <c r="BB50" s="27" t="b">
        <f t="shared" si="195"/>
        <v>1</v>
      </c>
      <c r="BC50" s="23">
        <f t="shared" si="84"/>
        <v>265</v>
      </c>
      <c r="BD50" s="4" t="s">
        <v>23</v>
      </c>
      <c r="BE50" s="3" t="s">
        <v>1381</v>
      </c>
      <c r="BF50" s="50" t="s">
        <v>1384</v>
      </c>
      <c r="BG50" s="50" t="s">
        <v>1384</v>
      </c>
      <c r="BH50" s="1"/>
      <c r="BI50" s="72" t="s">
        <v>1293</v>
      </c>
      <c r="BJ50" s="58" t="s">
        <v>1293</v>
      </c>
      <c r="BK50" s="58" t="s">
        <v>1293</v>
      </c>
      <c r="BL50" s="58" t="s">
        <v>1293</v>
      </c>
      <c r="BM50" s="58" t="s">
        <v>1293</v>
      </c>
      <c r="BN50" s="58" t="s">
        <v>1293</v>
      </c>
      <c r="BO50" s="58" t="s">
        <v>1293</v>
      </c>
      <c r="BP50" s="58" t="s">
        <v>1293</v>
      </c>
      <c r="BQ50" s="58" t="s">
        <v>1293</v>
      </c>
      <c r="BR50" s="58" t="s">
        <v>1293</v>
      </c>
      <c r="BS50" s="58" t="s">
        <v>1293</v>
      </c>
      <c r="BT50" s="58" t="s">
        <v>1293</v>
      </c>
      <c r="BU50" s="72">
        <f t="shared" si="85"/>
        <v>33</v>
      </c>
      <c r="BV50" s="73">
        <f t="shared" si="86"/>
        <v>70</v>
      </c>
      <c r="BW50" s="74">
        <f t="shared" si="87"/>
        <v>74</v>
      </c>
      <c r="BX50" s="73">
        <f t="shared" si="88"/>
        <v>106</v>
      </c>
      <c r="BY50" s="74">
        <f t="shared" si="89"/>
        <v>110</v>
      </c>
      <c r="BZ50" s="73">
        <f t="shared" si="90"/>
        <v>146</v>
      </c>
      <c r="CA50" s="74">
        <f t="shared" si="91"/>
        <v>154</v>
      </c>
      <c r="CB50" s="73">
        <f t="shared" si="92"/>
        <v>199</v>
      </c>
      <c r="CC50" s="74">
        <f t="shared" si="93"/>
        <v>204</v>
      </c>
      <c r="CD50" s="73">
        <f t="shared" si="94"/>
        <v>275</v>
      </c>
      <c r="CE50" s="74">
        <f t="shared" si="95"/>
        <v>321</v>
      </c>
      <c r="CF50" s="73">
        <f t="shared" si="96"/>
        <v>346</v>
      </c>
      <c r="CG50" s="72">
        <f t="shared" si="97"/>
        <v>69</v>
      </c>
      <c r="CH50" s="73">
        <f t="shared" si="98"/>
        <v>73</v>
      </c>
      <c r="CI50" s="74">
        <f t="shared" si="99"/>
        <v>104</v>
      </c>
      <c r="CJ50" s="74">
        <f t="shared" si="100"/>
        <v>109</v>
      </c>
      <c r="CK50" s="74">
        <f t="shared" si="101"/>
        <v>145</v>
      </c>
      <c r="CL50" s="74">
        <f t="shared" si="102"/>
        <v>153</v>
      </c>
      <c r="CM50" s="74">
        <f t="shared" si="103"/>
        <v>180</v>
      </c>
      <c r="CN50" s="74">
        <f t="shared" si="104"/>
        <v>201</v>
      </c>
      <c r="CO50" s="74">
        <f t="shared" si="105"/>
        <v>238</v>
      </c>
      <c r="CP50" s="74">
        <f t="shared" si="106"/>
        <v>316</v>
      </c>
      <c r="CQ50" s="74">
        <f t="shared" si="107"/>
        <v>345</v>
      </c>
      <c r="CR50" s="74">
        <f t="shared" si="108"/>
        <v>358</v>
      </c>
      <c r="CS50" s="23">
        <f t="shared" si="109"/>
        <v>1</v>
      </c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  <c r="OK50" s="1"/>
      <c r="OL50" s="1"/>
      <c r="OM50" s="1"/>
      <c r="ON50" s="1"/>
      <c r="OO50" s="1"/>
      <c r="OP50" s="1"/>
      <c r="OQ50" s="1"/>
      <c r="OR50" s="1"/>
      <c r="OS50" s="1"/>
      <c r="OT50" s="1"/>
      <c r="OU50" s="1"/>
      <c r="OV50" s="1"/>
      <c r="OW50" s="1"/>
      <c r="OX50" s="1"/>
      <c r="OY50" s="1"/>
      <c r="OZ50" s="1"/>
      <c r="PA50" s="1"/>
      <c r="PB50" s="1"/>
      <c r="PC50" s="1"/>
      <c r="PD50" s="1"/>
      <c r="PE50" s="1"/>
      <c r="PF50" s="1"/>
      <c r="PG50" s="1"/>
      <c r="PH50" s="1"/>
      <c r="PI50" s="1"/>
      <c r="PJ50" s="1"/>
      <c r="PK50" s="1"/>
      <c r="PL50" s="1"/>
      <c r="PM50" s="1"/>
      <c r="PN50" s="1"/>
      <c r="PO50" s="1"/>
      <c r="PP50" s="1"/>
      <c r="PQ50" s="1"/>
      <c r="PR50" s="1"/>
      <c r="PS50" s="1"/>
      <c r="PT50" s="1"/>
      <c r="PU50" s="1"/>
      <c r="PV50" s="1"/>
      <c r="PW50" s="1"/>
      <c r="PX50" s="1"/>
      <c r="PY50" s="1"/>
      <c r="PZ50" s="1"/>
      <c r="QA50" s="1"/>
      <c r="QB50" s="1"/>
      <c r="QC50" s="1"/>
      <c r="QD50" s="1"/>
      <c r="QE50" s="1"/>
      <c r="QF50" s="1"/>
      <c r="QG50" s="1"/>
      <c r="QH50" s="1"/>
      <c r="QI50" s="1"/>
      <c r="QJ50" s="1"/>
      <c r="QK50" s="1"/>
      <c r="QL50" s="1"/>
      <c r="QM50" s="1"/>
      <c r="QN50" s="1"/>
      <c r="QO50" s="1"/>
      <c r="QP50" s="1"/>
      <c r="QQ50" s="1"/>
      <c r="QR50" s="1"/>
      <c r="QS50" s="1"/>
      <c r="QT50" s="1"/>
      <c r="QU50" s="1"/>
      <c r="QV50" s="1"/>
      <c r="QW50" s="1"/>
      <c r="QX50" s="1"/>
      <c r="QY50" s="1"/>
      <c r="QZ50" s="1"/>
      <c r="RA50" s="1"/>
      <c r="RB50" s="1"/>
      <c r="RC50" s="1"/>
      <c r="RD50" s="1"/>
      <c r="RE50" s="1"/>
      <c r="RF50" s="1"/>
      <c r="RG50" s="1"/>
      <c r="RH50" s="1"/>
      <c r="RI50" s="1"/>
      <c r="RJ50" s="1"/>
      <c r="RK50" s="1"/>
      <c r="RL50" s="1"/>
      <c r="RM50" s="1"/>
      <c r="RN50" s="1"/>
      <c r="RO50" s="1"/>
      <c r="RP50" s="1"/>
      <c r="RQ50" s="1"/>
      <c r="RR50" s="1"/>
      <c r="RS50" s="1"/>
      <c r="RT50" s="1"/>
      <c r="RU50" s="1"/>
      <c r="RV50" s="1"/>
      <c r="RW50" s="1"/>
      <c r="RX50" s="1"/>
      <c r="RY50" s="1"/>
      <c r="RZ50" s="1"/>
      <c r="SA50" s="1"/>
      <c r="SB50" s="1"/>
      <c r="SC50" s="1"/>
      <c r="SD50" s="1"/>
      <c r="SE50" s="1"/>
      <c r="SF50" s="1"/>
      <c r="SG50" s="1"/>
      <c r="SH50" s="1"/>
      <c r="SI50" s="1"/>
      <c r="SJ50" s="1"/>
      <c r="SK50" s="1"/>
      <c r="SL50" s="1"/>
      <c r="SM50" s="1"/>
      <c r="SN50" s="1"/>
      <c r="SO50" s="1"/>
      <c r="SP50" s="1"/>
      <c r="SQ50" s="1"/>
      <c r="SR50" s="1"/>
      <c r="SS50" s="1"/>
      <c r="ST50" s="1"/>
      <c r="SU50" s="1"/>
      <c r="SV50" s="1"/>
      <c r="SW50" s="1"/>
      <c r="SX50" s="1"/>
      <c r="SY50" s="1"/>
      <c r="SZ50" s="1"/>
      <c r="TA50" s="1"/>
      <c r="TB50" s="1"/>
      <c r="TC50" s="1"/>
      <c r="TD50" s="1"/>
      <c r="TE50" s="1"/>
      <c r="TF50" s="1"/>
      <c r="TG50" s="1"/>
      <c r="TH50" s="1"/>
      <c r="TI50" s="1"/>
      <c r="TJ50" s="1"/>
      <c r="TK50" s="1"/>
      <c r="TL50" s="1"/>
      <c r="TM50" s="1"/>
      <c r="TN50" s="1"/>
      <c r="TO50" s="1"/>
      <c r="TP50" s="1"/>
      <c r="TQ50" s="1"/>
      <c r="TR50" s="1"/>
      <c r="TS50" s="1"/>
      <c r="TT50" s="1"/>
      <c r="TU50" s="1"/>
      <c r="TV50" s="1"/>
      <c r="TW50" s="1"/>
      <c r="TX50" s="1"/>
      <c r="TY50" s="1"/>
      <c r="TZ50" s="1"/>
      <c r="UA50" s="1"/>
      <c r="UB50" s="1"/>
      <c r="UC50" s="1"/>
      <c r="UD50" s="1"/>
      <c r="UE50" s="1"/>
      <c r="UF50" s="1"/>
      <c r="UG50" s="1"/>
      <c r="UH50" s="1"/>
      <c r="UI50" s="1"/>
      <c r="UJ50" s="1"/>
      <c r="UK50" s="1"/>
      <c r="UL50" s="1"/>
      <c r="UM50" s="1"/>
      <c r="UN50" s="1"/>
      <c r="UO50" s="1"/>
      <c r="UP50" s="1"/>
      <c r="UQ50" s="1"/>
      <c r="UR50" s="1"/>
      <c r="US50" s="1"/>
      <c r="UT50" s="1"/>
      <c r="UU50" s="1"/>
      <c r="UV50" s="1"/>
      <c r="UW50" s="1"/>
      <c r="UX50" s="1"/>
      <c r="UY50" s="1"/>
      <c r="UZ50" s="1"/>
      <c r="VA50" s="1"/>
      <c r="VB50" s="1"/>
      <c r="VC50" s="1"/>
      <c r="VD50" s="1"/>
      <c r="VE50" s="1"/>
      <c r="VF50" s="1"/>
      <c r="VG50" s="1"/>
      <c r="VH50" s="1"/>
      <c r="VI50" s="1"/>
      <c r="VJ50" s="1"/>
      <c r="VK50" s="1"/>
      <c r="VL50" s="1"/>
      <c r="VM50" s="1"/>
      <c r="VN50" s="1"/>
      <c r="VO50" s="1"/>
      <c r="VP50" s="1"/>
      <c r="VQ50" s="1"/>
      <c r="VR50" s="1"/>
      <c r="VS50" s="1"/>
      <c r="VT50" s="1"/>
      <c r="VU50" s="1"/>
      <c r="VV50" s="1"/>
      <c r="VW50" s="1"/>
      <c r="VX50" s="1"/>
      <c r="VY50" s="1"/>
      <c r="VZ50" s="1"/>
      <c r="WA50" s="1"/>
      <c r="WB50" s="1"/>
      <c r="WC50" s="1"/>
      <c r="WD50" s="1"/>
      <c r="WE50" s="1"/>
      <c r="WF50" s="1"/>
      <c r="WG50" s="1"/>
      <c r="WH50" s="1"/>
      <c r="WI50" s="1"/>
      <c r="WJ50" s="1"/>
      <c r="WK50" s="1"/>
      <c r="WL50" s="1"/>
      <c r="WM50" s="1"/>
      <c r="WN50" s="1"/>
      <c r="WO50" s="1"/>
      <c r="WP50" s="1"/>
      <c r="WQ50" s="1"/>
      <c r="WR50" s="1"/>
      <c r="WS50" s="1"/>
      <c r="WT50" s="1"/>
      <c r="WU50" s="1"/>
      <c r="WV50" s="1"/>
      <c r="WW50" s="1"/>
      <c r="WX50" s="1"/>
      <c r="WY50" s="1"/>
      <c r="WZ50" s="1"/>
      <c r="XA50" s="1"/>
      <c r="XB50" s="1"/>
      <c r="XC50" s="1"/>
      <c r="XD50" s="1"/>
      <c r="XE50" s="1"/>
      <c r="XF50" s="1"/>
      <c r="XG50" s="1"/>
      <c r="XH50" s="1"/>
      <c r="XI50" s="1"/>
      <c r="XJ50" s="1"/>
      <c r="XK50" s="1"/>
      <c r="XL50" s="1"/>
      <c r="XM50" s="1"/>
      <c r="XN50" s="1"/>
      <c r="XO50" s="1"/>
      <c r="XP50" s="1"/>
      <c r="XQ50" s="1"/>
      <c r="XR50" s="1"/>
      <c r="XS50" s="1"/>
      <c r="XT50" s="1"/>
      <c r="XU50" s="1"/>
      <c r="XV50" s="1"/>
      <c r="XW50" s="1"/>
      <c r="XX50" s="1"/>
      <c r="XY50" s="1"/>
      <c r="XZ50" s="1"/>
      <c r="YA50" s="1"/>
      <c r="YB50" s="1"/>
      <c r="YC50" s="1"/>
      <c r="YD50" s="1"/>
      <c r="YE50" s="1"/>
      <c r="YF50" s="1"/>
      <c r="YG50" s="1"/>
      <c r="YH50" s="1"/>
      <c r="YI50" s="1"/>
      <c r="YJ50" s="1"/>
      <c r="YK50" s="1"/>
      <c r="YL50" s="1"/>
      <c r="YM50" s="1"/>
      <c r="YN50" s="1"/>
      <c r="YO50" s="1"/>
      <c r="YP50" s="1"/>
      <c r="YQ50" s="1"/>
      <c r="YR50" s="1"/>
      <c r="YS50" s="1"/>
      <c r="YT50" s="1"/>
      <c r="YU50" s="1"/>
      <c r="YV50" s="1"/>
      <c r="YW50" s="1"/>
      <c r="YX50" s="1"/>
      <c r="YY50" s="1"/>
      <c r="YZ50" s="1"/>
      <c r="ZA50" s="1"/>
      <c r="ZB50" s="1"/>
      <c r="ZC50" s="1"/>
      <c r="ZD50" s="1"/>
      <c r="ZE50" s="1"/>
      <c r="ZF50" s="1"/>
      <c r="ZG50" s="1"/>
      <c r="ZH50" s="1"/>
      <c r="ZI50" s="1"/>
      <c r="ZJ50" s="1"/>
      <c r="ZK50" s="1"/>
      <c r="ZL50" s="1"/>
      <c r="ZM50" s="1"/>
      <c r="ZN50" s="1"/>
      <c r="ZO50" s="1"/>
      <c r="ZP50" s="1"/>
      <c r="ZQ50" s="1"/>
      <c r="ZR50" s="1"/>
      <c r="ZS50" s="1"/>
      <c r="ZT50" s="1"/>
      <c r="ZU50" s="1"/>
      <c r="ZV50" s="1"/>
      <c r="ZW50" s="1"/>
      <c r="ZX50" s="1"/>
      <c r="ZY50" s="1"/>
      <c r="ZZ50" s="1"/>
      <c r="AAA50" s="1"/>
      <c r="AAB50" s="1"/>
      <c r="AAC50" s="1"/>
      <c r="AAD50" s="1"/>
      <c r="AAE50" s="1"/>
      <c r="AAF50" s="1"/>
      <c r="AAG50" s="1"/>
      <c r="AAH50" s="1"/>
      <c r="AAI50" s="1"/>
      <c r="AAJ50" s="1"/>
      <c r="AAK50" s="1"/>
      <c r="AAL50" s="1"/>
      <c r="AAM50" s="1"/>
      <c r="AAN50" s="1"/>
      <c r="AAO50" s="1"/>
      <c r="AAP50" s="1"/>
      <c r="AAQ50" s="1"/>
      <c r="AAR50" s="1"/>
      <c r="AAS50" s="1"/>
      <c r="AAT50" s="1"/>
      <c r="AAU50" s="1"/>
      <c r="AAV50" s="1"/>
      <c r="AAW50" s="1"/>
      <c r="AAX50" s="1"/>
      <c r="AAY50" s="1"/>
      <c r="AAZ50" s="1"/>
      <c r="ABA50" s="1"/>
      <c r="ABB50" s="1"/>
      <c r="ABC50" s="1"/>
      <c r="ABD50" s="1"/>
      <c r="ABE50" s="1"/>
      <c r="ABF50" s="1"/>
      <c r="ABG50" s="1"/>
      <c r="ABH50" s="1"/>
      <c r="ABI50" s="1"/>
      <c r="ABJ50" s="1"/>
      <c r="ABK50" s="1"/>
      <c r="ABL50" s="1"/>
      <c r="ABM50" s="1"/>
      <c r="ABN50" s="1"/>
      <c r="ABO50" s="1"/>
      <c r="ABP50" s="1"/>
      <c r="ABQ50" s="1"/>
      <c r="ABR50" s="1"/>
      <c r="ABS50" s="1"/>
      <c r="ABT50" s="1"/>
      <c r="ABU50" s="1"/>
      <c r="ABV50" s="1"/>
      <c r="ABW50" s="1"/>
      <c r="ABX50" s="1"/>
      <c r="ABY50" s="1"/>
      <c r="ABZ50" s="1"/>
      <c r="ACA50" s="1"/>
      <c r="ACB50" s="1"/>
      <c r="ACC50" s="1"/>
      <c r="ACD50" s="1"/>
      <c r="ACE50" s="1"/>
      <c r="ACF50" s="1"/>
      <c r="ACG50" s="1"/>
      <c r="ACH50" s="1"/>
      <c r="ACI50" s="1"/>
      <c r="ACJ50" s="1"/>
      <c r="ACK50" s="1"/>
      <c r="ACL50" s="1"/>
      <c r="ACM50" s="1"/>
      <c r="ACN50" s="1"/>
      <c r="ACO50" s="1"/>
      <c r="ACP50" s="1"/>
      <c r="ACQ50" s="1"/>
      <c r="ACR50" s="1"/>
      <c r="ACS50" s="1"/>
      <c r="ACT50" s="1"/>
      <c r="ACU50" s="1"/>
      <c r="ACV50" s="1"/>
      <c r="ACW50" s="1"/>
      <c r="ACX50" s="1"/>
      <c r="ACY50" s="1"/>
      <c r="ACZ50" s="1"/>
      <c r="ADA50" s="1"/>
      <c r="ADB50" s="1"/>
      <c r="ADC50" s="1"/>
      <c r="ADD50" s="1"/>
      <c r="ADE50" s="1"/>
      <c r="ADF50" s="1"/>
      <c r="ADG50" s="1"/>
      <c r="ADH50" s="1"/>
      <c r="ADI50" s="1"/>
      <c r="ADJ50" s="1"/>
      <c r="ADK50" s="1"/>
      <c r="ADL50" s="1"/>
      <c r="ADM50" s="1"/>
      <c r="ADN50" s="1"/>
      <c r="ADO50" s="1"/>
      <c r="ADP50" s="1"/>
      <c r="ADQ50" s="1"/>
      <c r="ADR50" s="1"/>
      <c r="ADS50" s="1"/>
      <c r="ADT50" s="1"/>
      <c r="ADU50" s="1"/>
      <c r="ADV50" s="1"/>
      <c r="ADW50" s="1"/>
      <c r="ADX50" s="1"/>
      <c r="ADY50" s="1"/>
      <c r="ADZ50" s="1"/>
      <c r="AEA50" s="1"/>
      <c r="AEB50" s="1"/>
      <c r="AEC50" s="1"/>
      <c r="AED50" s="1"/>
      <c r="AEE50" s="1"/>
      <c r="AEF50" s="1"/>
      <c r="AEG50" s="1"/>
      <c r="AEH50" s="1"/>
      <c r="AEI50" s="1"/>
      <c r="AEJ50" s="1"/>
      <c r="AEK50" s="1"/>
      <c r="AEL50" s="1"/>
      <c r="AEM50" s="1"/>
      <c r="AEN50" s="1"/>
      <c r="AEO50" s="1"/>
      <c r="AEP50" s="1"/>
      <c r="AEQ50" s="1"/>
      <c r="AER50" s="1"/>
      <c r="AES50" s="1"/>
      <c r="AET50" s="1"/>
      <c r="AEU50" s="1"/>
      <c r="AEV50" s="1"/>
      <c r="AEW50" s="1"/>
      <c r="AEX50" s="1"/>
      <c r="AEY50" s="1"/>
      <c r="AEZ50" s="1"/>
      <c r="AFA50" s="1"/>
      <c r="AFB50" s="1"/>
      <c r="AFC50" s="1"/>
      <c r="AFD50" s="1"/>
      <c r="AFE50" s="1"/>
      <c r="AFF50" s="1"/>
      <c r="AFG50" s="1"/>
      <c r="AFH50" s="1"/>
      <c r="AFI50" s="1"/>
      <c r="AFJ50" s="1"/>
      <c r="AFK50" s="1"/>
      <c r="AFL50" s="1"/>
      <c r="AFM50" s="1"/>
      <c r="AFN50" s="1"/>
      <c r="AFO50" s="1"/>
      <c r="AFP50" s="1"/>
      <c r="AFQ50" s="1"/>
      <c r="AFR50" s="1"/>
      <c r="AFS50" s="1"/>
      <c r="AFT50" s="1"/>
      <c r="AFU50" s="1"/>
      <c r="AFV50" s="1"/>
      <c r="AFW50" s="1"/>
      <c r="AFX50" s="1"/>
      <c r="AFY50" s="1"/>
      <c r="AFZ50" s="1"/>
      <c r="AGA50" s="1"/>
      <c r="AGB50" s="1"/>
      <c r="AGC50" s="1"/>
      <c r="AGD50" s="1"/>
      <c r="AGE50" s="1"/>
      <c r="AGF50" s="1"/>
      <c r="AGG50" s="1"/>
      <c r="AGH50" s="1"/>
      <c r="AGI50" s="1"/>
      <c r="AGJ50" s="1"/>
      <c r="AGK50" s="1"/>
      <c r="AGL50" s="1"/>
      <c r="AGM50" s="1"/>
      <c r="AGN50" s="1"/>
      <c r="AGO50" s="1"/>
      <c r="AGP50" s="1"/>
      <c r="AGQ50" s="1"/>
      <c r="AGR50" s="1"/>
      <c r="AGS50" s="1"/>
      <c r="AGT50" s="1"/>
      <c r="AGU50" s="1"/>
      <c r="AGV50" s="1"/>
      <c r="AGW50" s="1"/>
      <c r="AGX50" s="1"/>
      <c r="AGY50" s="1"/>
      <c r="AGZ50" s="1"/>
      <c r="AHA50" s="1"/>
      <c r="AHB50" s="1"/>
      <c r="AHC50" s="1"/>
      <c r="AHD50" s="1"/>
      <c r="AHE50" s="1"/>
      <c r="AHF50" s="1"/>
      <c r="AHG50" s="1"/>
      <c r="AHH50" s="1"/>
      <c r="AHI50" s="1"/>
      <c r="AHJ50" s="1"/>
      <c r="AHK50" s="1"/>
      <c r="AHL50" s="1"/>
      <c r="AHM50" s="1"/>
      <c r="AHN50" s="1"/>
      <c r="AHO50" s="1"/>
      <c r="AHP50" s="1"/>
      <c r="AHQ50" s="1"/>
      <c r="AHR50" s="1"/>
      <c r="AHS50" s="1"/>
      <c r="AHT50" s="1"/>
      <c r="AHU50" s="1"/>
      <c r="AHV50" s="1"/>
      <c r="AHW50" s="1"/>
      <c r="AHX50" s="1"/>
      <c r="AHY50" s="1"/>
      <c r="AHZ50" s="1"/>
      <c r="AIA50" s="1"/>
      <c r="AIB50" s="1"/>
      <c r="AIC50" s="1"/>
      <c r="AID50" s="1"/>
      <c r="AIE50" s="1"/>
      <c r="AIF50" s="1"/>
      <c r="AIG50" s="1"/>
      <c r="AIH50" s="1"/>
      <c r="AII50" s="1"/>
      <c r="AIJ50" s="1"/>
      <c r="AIK50" s="1"/>
      <c r="AIL50" s="1"/>
      <c r="AIM50" s="1"/>
      <c r="AIN50" s="1"/>
      <c r="AIO50" s="1"/>
      <c r="AIP50" s="1"/>
      <c r="AIQ50" s="1"/>
      <c r="AIR50" s="1"/>
      <c r="AIS50" s="1"/>
      <c r="AIT50" s="1"/>
      <c r="AIU50" s="1"/>
      <c r="AIV50" s="1"/>
      <c r="AIW50" s="1"/>
      <c r="AIX50" s="1"/>
      <c r="AIY50" s="1"/>
      <c r="AIZ50" s="1"/>
      <c r="AJA50" s="1"/>
      <c r="AJB50" s="1"/>
      <c r="AJC50" s="1"/>
      <c r="AJD50" s="1"/>
      <c r="AJE50" s="1"/>
      <c r="AJF50" s="1"/>
      <c r="AJG50" s="1"/>
      <c r="AJH50" s="1"/>
      <c r="AJI50" s="1"/>
      <c r="AJJ50" s="1"/>
      <c r="AJK50" s="1"/>
      <c r="AJL50" s="1"/>
      <c r="AJM50" s="1"/>
      <c r="AJN50" s="1"/>
      <c r="AJO50" s="1"/>
      <c r="AJP50" s="1"/>
      <c r="AJQ50" s="1"/>
      <c r="AJR50" s="1"/>
      <c r="AJS50" s="1"/>
      <c r="AJT50" s="1"/>
      <c r="AJU50" s="1"/>
      <c r="AJV50" s="1"/>
      <c r="AJW50" s="1"/>
      <c r="AJX50" s="1"/>
      <c r="AJY50" s="1"/>
      <c r="AJZ50" s="1"/>
      <c r="AKA50" s="1"/>
      <c r="AKB50" s="1"/>
      <c r="AKC50" s="1"/>
      <c r="AKD50" s="1"/>
      <c r="AKE50" s="1"/>
      <c r="AKF50" s="1"/>
      <c r="AKG50" s="1"/>
      <c r="AKH50" s="1"/>
      <c r="AKI50" s="1"/>
      <c r="AKJ50" s="1"/>
      <c r="AKK50" s="1"/>
      <c r="AKL50" s="1"/>
      <c r="AKM50" s="1"/>
      <c r="AKN50" s="1"/>
      <c r="AKO50" s="1"/>
      <c r="AKP50" s="1"/>
      <c r="AKQ50" s="1"/>
      <c r="AKR50" s="1"/>
      <c r="AKS50" s="1"/>
      <c r="AKT50" s="1"/>
      <c r="AKU50" s="1"/>
      <c r="AKV50" s="1"/>
      <c r="AKW50" s="1"/>
      <c r="AKX50" s="1"/>
      <c r="AKY50" s="1"/>
      <c r="AKZ50" s="1"/>
      <c r="ALA50" s="1"/>
      <c r="ALB50" s="1"/>
      <c r="ALC50" s="1"/>
      <c r="ALD50" s="1"/>
      <c r="ALE50" s="1"/>
      <c r="ALF50" s="1"/>
      <c r="ALG50" s="1"/>
      <c r="ALH50" s="1"/>
      <c r="ALI50" s="1"/>
      <c r="ALJ50" s="1"/>
      <c r="ALK50" s="1"/>
      <c r="ALL50" s="1"/>
      <c r="ALM50" s="1"/>
      <c r="ALN50" s="1"/>
      <c r="ALO50" s="1"/>
      <c r="ALP50" s="1"/>
      <c r="ALQ50" s="1"/>
      <c r="ALR50" s="1"/>
      <c r="ALS50" s="1"/>
      <c r="ALT50" s="1"/>
      <c r="ALU50" s="1"/>
      <c r="ALV50" s="1"/>
      <c r="ALW50" s="1"/>
      <c r="ALX50" s="1"/>
      <c r="ALY50" s="1"/>
      <c r="ALZ50" s="1"/>
      <c r="AMA50" s="1"/>
      <c r="AMB50" s="1"/>
      <c r="AMC50" s="1"/>
      <c r="AMD50" s="1"/>
      <c r="AME50" s="1"/>
      <c r="AMF50" s="1"/>
      <c r="AMG50" s="1"/>
      <c r="AMH50" s="1"/>
      <c r="AMI50" s="1"/>
      <c r="AMJ50" s="1"/>
      <c r="AMK50" s="1"/>
      <c r="AML50" s="1"/>
      <c r="AMM50" s="1"/>
      <c r="AMN50" s="1"/>
    </row>
    <row r="51" spans="1:1028" x14ac:dyDescent="0.2">
      <c r="A51" s="3" t="str">
        <f t="shared" si="194"/>
        <v>adrb1_melga_2Y04</v>
      </c>
      <c r="B51" s="3" t="s">
        <v>912</v>
      </c>
      <c r="C51" s="3" t="s">
        <v>1026</v>
      </c>
      <c r="D51" s="3" t="str">
        <f>IFERROR(MID(VLOOKUP($B51,Seqs!$A:$B,2,0),E51,1),"")</f>
        <v>A</v>
      </c>
      <c r="E51" s="3">
        <v>33</v>
      </c>
      <c r="F51" s="3" t="str">
        <f>IFERROR(MID(VLOOKUP($B51,Seqs!$A:$B,2,0),G51,1),"")</f>
        <v>T</v>
      </c>
      <c r="G51" s="3">
        <v>69</v>
      </c>
      <c r="H51" s="3" t="str">
        <f>IFERROR(MID(VLOOKUP($B51,Seqs!$A:$B,2,0),I51,1),"")</f>
        <v>Q</v>
      </c>
      <c r="I51" s="23">
        <v>70</v>
      </c>
      <c r="J51" s="3" t="str">
        <f>IFERROR(MID(VLOOKUP($B51,Seqs!$A:$B,2,0),K51,1),"")</f>
        <v>Q</v>
      </c>
      <c r="K51" s="23">
        <v>73</v>
      </c>
      <c r="L51" s="3" t="str">
        <f>IFERROR(MID(VLOOKUP($B51,Seqs!$A:$B,2,0),M51,1),"")</f>
        <v>T</v>
      </c>
      <c r="M51" s="3">
        <v>74</v>
      </c>
      <c r="N51" s="3" t="str">
        <f>IFERROR(MID(VLOOKUP($B51,Seqs!$A:$B,2,0),O51,1),"")</f>
        <v>R</v>
      </c>
      <c r="O51" s="3">
        <v>104</v>
      </c>
      <c r="P51" s="3" t="str">
        <f>IFERROR(MID(VLOOKUP($B51,Seqs!$A:$B,2,0),Q51,1),"")</f>
        <v>T</v>
      </c>
      <c r="Q51" s="3">
        <v>106</v>
      </c>
      <c r="R51" s="3" t="str">
        <f>IFERROR(MID(VLOOKUP($B51,Seqs!$A:$B,2,0),S51,1),"")</f>
        <v>W</v>
      </c>
      <c r="S51" s="3">
        <v>109</v>
      </c>
      <c r="T51" s="3" t="str">
        <f>IFERROR(MID(VLOOKUP($B51,Seqs!$A:$B,2,0),U51,1),"")</f>
        <v>G</v>
      </c>
      <c r="U51" s="3">
        <v>110</v>
      </c>
      <c r="V51" s="3" t="str">
        <f>IFERROR(MID(VLOOKUP($B51,Seqs!$A:$B,2,0),W51,1),"")</f>
        <v>S</v>
      </c>
      <c r="W51" s="3">
        <v>145</v>
      </c>
      <c r="X51" s="3" t="str">
        <f>IFERROR(MID(VLOOKUP($B51,Seqs!$A:$B,2,0),Y51,1),"")</f>
        <v>P</v>
      </c>
      <c r="Y51" s="3">
        <v>146</v>
      </c>
      <c r="Z51" s="3" t="str">
        <f>IFERROR(MID(VLOOKUP($B51,Seqs!$A:$B,2,0),AA51,1),"")</f>
        <v>M</v>
      </c>
      <c r="AA51" s="3">
        <v>153</v>
      </c>
      <c r="AB51" s="3" t="str">
        <f>IFERROR(MID(VLOOKUP($B51,Seqs!$A:$B,2,0),AC51,1),"")</f>
        <v>T</v>
      </c>
      <c r="AC51" s="9">
        <v>154</v>
      </c>
      <c r="AD51" s="3" t="str">
        <f>IFERROR(MID(VLOOKUP($B51,Seqs!$A:$B,2,0),AE51,1),"")</f>
        <v>H</v>
      </c>
      <c r="AE51" s="3">
        <v>180</v>
      </c>
      <c r="AF51" s="3" t="str">
        <f>IFERROR(MID(VLOOKUP($B51,Seqs!$A:$B,2,0),AG51,1),"")</f>
        <v>C</v>
      </c>
      <c r="AG51" s="3">
        <v>199</v>
      </c>
      <c r="AH51" s="3" t="str">
        <f>IFERROR(MID(VLOOKUP($B51,Seqs!$A:$B,2,0),AI51,1),"")</f>
        <v>F</v>
      </c>
      <c r="AI51" s="3">
        <v>201</v>
      </c>
      <c r="AJ51" s="3" t="str">
        <f>IFERROR(MID(VLOOKUP($B51,Seqs!$A:$B,2,0),AK51,1),"")</f>
        <v>N</v>
      </c>
      <c r="AK51" s="3">
        <v>204</v>
      </c>
      <c r="AL51" s="3" t="str">
        <f>IFERROR(MID(VLOOKUP($B51,Seqs!$A:$B,2,0),AM51,1),"")</f>
        <v>I</v>
      </c>
      <c r="AM51" s="3">
        <v>238</v>
      </c>
      <c r="AN51" s="3" t="str">
        <f>IFERROR(MID(VLOOKUP($B51,Seqs!$A:$B,2,0),AO51,1),"")</f>
        <v>R</v>
      </c>
      <c r="AO51" s="3">
        <v>275</v>
      </c>
      <c r="AP51" s="3" t="str">
        <f>IFERROR(MID(VLOOKUP($B51,Seqs!$A:$B,2,0),AQ51,1),"")</f>
        <v>N</v>
      </c>
      <c r="AQ51" s="3">
        <v>316</v>
      </c>
      <c r="AR51" s="3" t="str">
        <f>IFERROR(MID(VLOOKUP($B51,Seqs!$A:$B,2,0),AS51,1),"")</f>
        <v>P</v>
      </c>
      <c r="AS51" s="3">
        <v>321</v>
      </c>
      <c r="AT51" s="3" t="str">
        <f>IFERROR(MID(VLOOKUP($B51,Seqs!$A:$B,2,0),AU51,1),"")</f>
        <v>R</v>
      </c>
      <c r="AU51" s="3">
        <v>345</v>
      </c>
      <c r="AV51" s="3" t="str">
        <f>IFERROR(MID(VLOOKUP($B51,Seqs!$A:$B,2,0),AW51,1),"")</f>
        <v>S</v>
      </c>
      <c r="AW51" s="3">
        <v>346</v>
      </c>
      <c r="AX51" s="3" t="str">
        <f>IFERROR(MID(VLOOKUP($B51,Seqs!$A:$B,2,0),AY51,1),"")</f>
        <v>C</v>
      </c>
      <c r="AY51" s="3">
        <v>358</v>
      </c>
      <c r="AZ51" s="79" t="str">
        <f>VLOOKUP(B51,Classification!A:D,2,0)</f>
        <v>A</v>
      </c>
      <c r="BA51" s="97" t="str">
        <f>VLOOKUP(B51,Classification!A:D,4,0)</f>
        <v>Adrenoceptors</v>
      </c>
      <c r="BB51" s="27" t="b">
        <f t="shared" si="195"/>
        <v>1</v>
      </c>
      <c r="BC51" s="23">
        <f t="shared" si="84"/>
        <v>265</v>
      </c>
      <c r="BD51" s="4" t="s">
        <v>23</v>
      </c>
      <c r="BE51" s="3" t="s">
        <v>1381</v>
      </c>
      <c r="BF51" s="50" t="s">
        <v>1384</v>
      </c>
      <c r="BG51" s="50" t="s">
        <v>1384</v>
      </c>
      <c r="BH51" s="1"/>
      <c r="BI51" s="72" t="s">
        <v>1293</v>
      </c>
      <c r="BJ51" s="58" t="s">
        <v>1293</v>
      </c>
      <c r="BK51" s="58" t="s">
        <v>1293</v>
      </c>
      <c r="BL51" s="58" t="s">
        <v>1293</v>
      </c>
      <c r="BM51" s="58" t="s">
        <v>1293</v>
      </c>
      <c r="BN51" s="58" t="s">
        <v>1293</v>
      </c>
      <c r="BO51" s="58" t="s">
        <v>1293</v>
      </c>
      <c r="BP51" s="58" t="s">
        <v>1293</v>
      </c>
      <c r="BQ51" s="58" t="s">
        <v>1293</v>
      </c>
      <c r="BR51" s="58" t="s">
        <v>1293</v>
      </c>
      <c r="BS51" s="58" t="s">
        <v>1293</v>
      </c>
      <c r="BT51" s="58" t="s">
        <v>1293</v>
      </c>
      <c r="BU51" s="72">
        <f t="shared" si="85"/>
        <v>33</v>
      </c>
      <c r="BV51" s="73">
        <f t="shared" si="86"/>
        <v>70</v>
      </c>
      <c r="BW51" s="74">
        <f t="shared" si="87"/>
        <v>74</v>
      </c>
      <c r="BX51" s="73">
        <f t="shared" si="88"/>
        <v>106</v>
      </c>
      <c r="BY51" s="74">
        <f t="shared" si="89"/>
        <v>110</v>
      </c>
      <c r="BZ51" s="73">
        <f t="shared" si="90"/>
        <v>146</v>
      </c>
      <c r="CA51" s="74">
        <f t="shared" si="91"/>
        <v>154</v>
      </c>
      <c r="CB51" s="73">
        <f t="shared" si="92"/>
        <v>199</v>
      </c>
      <c r="CC51" s="74">
        <f t="shared" si="93"/>
        <v>204</v>
      </c>
      <c r="CD51" s="73">
        <f t="shared" si="94"/>
        <v>275</v>
      </c>
      <c r="CE51" s="74">
        <f t="shared" si="95"/>
        <v>321</v>
      </c>
      <c r="CF51" s="73">
        <f t="shared" si="96"/>
        <v>346</v>
      </c>
      <c r="CG51" s="72">
        <f t="shared" si="97"/>
        <v>69</v>
      </c>
      <c r="CH51" s="73">
        <f t="shared" si="98"/>
        <v>73</v>
      </c>
      <c r="CI51" s="74">
        <f t="shared" si="99"/>
        <v>104</v>
      </c>
      <c r="CJ51" s="74">
        <f t="shared" si="100"/>
        <v>109</v>
      </c>
      <c r="CK51" s="74">
        <f t="shared" si="101"/>
        <v>145</v>
      </c>
      <c r="CL51" s="74">
        <f t="shared" si="102"/>
        <v>153</v>
      </c>
      <c r="CM51" s="74">
        <f t="shared" si="103"/>
        <v>180</v>
      </c>
      <c r="CN51" s="74">
        <f t="shared" si="104"/>
        <v>201</v>
      </c>
      <c r="CO51" s="74">
        <f t="shared" si="105"/>
        <v>238</v>
      </c>
      <c r="CP51" s="74">
        <f t="shared" si="106"/>
        <v>316</v>
      </c>
      <c r="CQ51" s="74">
        <f t="shared" si="107"/>
        <v>345</v>
      </c>
      <c r="CR51" s="74">
        <f t="shared" si="108"/>
        <v>358</v>
      </c>
      <c r="CS51" s="23">
        <f t="shared" si="109"/>
        <v>1</v>
      </c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1"/>
      <c r="NC51" s="1"/>
      <c r="ND51" s="1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/>
      <c r="NR51" s="1"/>
      <c r="NS51" s="1"/>
      <c r="NT51" s="1"/>
      <c r="NU51" s="1"/>
      <c r="NV51" s="1"/>
      <c r="NW51" s="1"/>
      <c r="NX51" s="1"/>
      <c r="NY51" s="1"/>
      <c r="NZ51" s="1"/>
      <c r="OA51" s="1"/>
      <c r="OB51" s="1"/>
      <c r="OC51" s="1"/>
      <c r="OD51" s="1"/>
      <c r="OE51" s="1"/>
      <c r="OF51" s="1"/>
      <c r="OG51" s="1"/>
      <c r="OH51" s="1"/>
      <c r="OI51" s="1"/>
      <c r="OJ51" s="1"/>
      <c r="OK51" s="1"/>
      <c r="OL51" s="1"/>
      <c r="OM51" s="1"/>
      <c r="ON51" s="1"/>
      <c r="OO51" s="1"/>
      <c r="OP51" s="1"/>
      <c r="OQ51" s="1"/>
      <c r="OR51" s="1"/>
      <c r="OS51" s="1"/>
      <c r="OT51" s="1"/>
      <c r="OU51" s="1"/>
      <c r="OV51" s="1"/>
      <c r="OW51" s="1"/>
      <c r="OX51" s="1"/>
      <c r="OY51" s="1"/>
      <c r="OZ51" s="1"/>
      <c r="PA51" s="1"/>
      <c r="PB51" s="1"/>
      <c r="PC51" s="1"/>
      <c r="PD51" s="1"/>
      <c r="PE51" s="1"/>
      <c r="PF51" s="1"/>
      <c r="PG51" s="1"/>
      <c r="PH51" s="1"/>
      <c r="PI51" s="1"/>
      <c r="PJ51" s="1"/>
      <c r="PK51" s="1"/>
      <c r="PL51" s="1"/>
      <c r="PM51" s="1"/>
      <c r="PN51" s="1"/>
      <c r="PO51" s="1"/>
      <c r="PP51" s="1"/>
      <c r="PQ51" s="1"/>
      <c r="PR51" s="1"/>
      <c r="PS51" s="1"/>
      <c r="PT51" s="1"/>
      <c r="PU51" s="1"/>
      <c r="PV51" s="1"/>
      <c r="PW51" s="1"/>
      <c r="PX51" s="1"/>
      <c r="PY51" s="1"/>
      <c r="PZ51" s="1"/>
      <c r="QA51" s="1"/>
      <c r="QB51" s="1"/>
      <c r="QC51" s="1"/>
      <c r="QD51" s="1"/>
      <c r="QE51" s="1"/>
      <c r="QF51" s="1"/>
      <c r="QG51" s="1"/>
      <c r="QH51" s="1"/>
      <c r="QI51" s="1"/>
      <c r="QJ51" s="1"/>
      <c r="QK51" s="1"/>
      <c r="QL51" s="1"/>
      <c r="QM51" s="1"/>
      <c r="QN51" s="1"/>
      <c r="QO51" s="1"/>
      <c r="QP51" s="1"/>
      <c r="QQ51" s="1"/>
      <c r="QR51" s="1"/>
      <c r="QS51" s="1"/>
      <c r="QT51" s="1"/>
      <c r="QU51" s="1"/>
      <c r="QV51" s="1"/>
      <c r="QW51" s="1"/>
      <c r="QX51" s="1"/>
      <c r="QY51" s="1"/>
      <c r="QZ51" s="1"/>
      <c r="RA51" s="1"/>
      <c r="RB51" s="1"/>
      <c r="RC51" s="1"/>
      <c r="RD51" s="1"/>
      <c r="RE51" s="1"/>
      <c r="RF51" s="1"/>
      <c r="RG51" s="1"/>
      <c r="RH51" s="1"/>
      <c r="RI51" s="1"/>
      <c r="RJ51" s="1"/>
      <c r="RK51" s="1"/>
      <c r="RL51" s="1"/>
      <c r="RM51" s="1"/>
      <c r="RN51" s="1"/>
      <c r="RO51" s="1"/>
      <c r="RP51" s="1"/>
      <c r="RQ51" s="1"/>
      <c r="RR51" s="1"/>
      <c r="RS51" s="1"/>
      <c r="RT51" s="1"/>
      <c r="RU51" s="1"/>
      <c r="RV51" s="1"/>
      <c r="RW51" s="1"/>
      <c r="RX51" s="1"/>
      <c r="RY51" s="1"/>
      <c r="RZ51" s="1"/>
      <c r="SA51" s="1"/>
      <c r="SB51" s="1"/>
      <c r="SC51" s="1"/>
      <c r="SD51" s="1"/>
      <c r="SE51" s="1"/>
      <c r="SF51" s="1"/>
      <c r="SG51" s="1"/>
      <c r="SH51" s="1"/>
      <c r="SI51" s="1"/>
      <c r="SJ51" s="1"/>
      <c r="SK51" s="1"/>
      <c r="SL51" s="1"/>
      <c r="SM51" s="1"/>
      <c r="SN51" s="1"/>
      <c r="SO51" s="1"/>
      <c r="SP51" s="1"/>
      <c r="SQ51" s="1"/>
      <c r="SR51" s="1"/>
      <c r="SS51" s="1"/>
      <c r="ST51" s="1"/>
      <c r="SU51" s="1"/>
      <c r="SV51" s="1"/>
      <c r="SW51" s="1"/>
      <c r="SX51" s="1"/>
      <c r="SY51" s="1"/>
      <c r="SZ51" s="1"/>
      <c r="TA51" s="1"/>
      <c r="TB51" s="1"/>
      <c r="TC51" s="1"/>
      <c r="TD51" s="1"/>
      <c r="TE51" s="1"/>
      <c r="TF51" s="1"/>
      <c r="TG51" s="1"/>
      <c r="TH51" s="1"/>
      <c r="TI51" s="1"/>
      <c r="TJ51" s="1"/>
      <c r="TK51" s="1"/>
      <c r="TL51" s="1"/>
      <c r="TM51" s="1"/>
      <c r="TN51" s="1"/>
      <c r="TO51" s="1"/>
      <c r="TP51" s="1"/>
      <c r="TQ51" s="1"/>
      <c r="TR51" s="1"/>
      <c r="TS51" s="1"/>
      <c r="TT51" s="1"/>
      <c r="TU51" s="1"/>
      <c r="TV51" s="1"/>
      <c r="TW51" s="1"/>
      <c r="TX51" s="1"/>
      <c r="TY51" s="1"/>
      <c r="TZ51" s="1"/>
      <c r="UA51" s="1"/>
      <c r="UB51" s="1"/>
      <c r="UC51" s="1"/>
      <c r="UD51" s="1"/>
      <c r="UE51" s="1"/>
      <c r="UF51" s="1"/>
      <c r="UG51" s="1"/>
      <c r="UH51" s="1"/>
      <c r="UI51" s="1"/>
      <c r="UJ51" s="1"/>
      <c r="UK51" s="1"/>
      <c r="UL51" s="1"/>
      <c r="UM51" s="1"/>
      <c r="UN51" s="1"/>
      <c r="UO51" s="1"/>
      <c r="UP51" s="1"/>
      <c r="UQ51" s="1"/>
      <c r="UR51" s="1"/>
      <c r="US51" s="1"/>
      <c r="UT51" s="1"/>
      <c r="UU51" s="1"/>
      <c r="UV51" s="1"/>
      <c r="UW51" s="1"/>
      <c r="UX51" s="1"/>
      <c r="UY51" s="1"/>
      <c r="UZ51" s="1"/>
      <c r="VA51" s="1"/>
      <c r="VB51" s="1"/>
      <c r="VC51" s="1"/>
      <c r="VD51" s="1"/>
      <c r="VE51" s="1"/>
      <c r="VF51" s="1"/>
      <c r="VG51" s="1"/>
      <c r="VH51" s="1"/>
      <c r="VI51" s="1"/>
      <c r="VJ51" s="1"/>
      <c r="VK51" s="1"/>
      <c r="VL51" s="1"/>
      <c r="VM51" s="1"/>
      <c r="VN51" s="1"/>
      <c r="VO51" s="1"/>
      <c r="VP51" s="1"/>
      <c r="VQ51" s="1"/>
      <c r="VR51" s="1"/>
      <c r="VS51" s="1"/>
      <c r="VT51" s="1"/>
      <c r="VU51" s="1"/>
      <c r="VV51" s="1"/>
      <c r="VW51" s="1"/>
      <c r="VX51" s="1"/>
      <c r="VY51" s="1"/>
      <c r="VZ51" s="1"/>
      <c r="WA51" s="1"/>
      <c r="WB51" s="1"/>
      <c r="WC51" s="1"/>
      <c r="WD51" s="1"/>
      <c r="WE51" s="1"/>
      <c r="WF51" s="1"/>
      <c r="WG51" s="1"/>
      <c r="WH51" s="1"/>
      <c r="WI51" s="1"/>
      <c r="WJ51" s="1"/>
      <c r="WK51" s="1"/>
      <c r="WL51" s="1"/>
      <c r="WM51" s="1"/>
      <c r="WN51" s="1"/>
      <c r="WO51" s="1"/>
      <c r="WP51" s="1"/>
      <c r="WQ51" s="1"/>
      <c r="WR51" s="1"/>
      <c r="WS51" s="1"/>
      <c r="WT51" s="1"/>
      <c r="WU51" s="1"/>
      <c r="WV51" s="1"/>
      <c r="WW51" s="1"/>
      <c r="WX51" s="1"/>
      <c r="WY51" s="1"/>
      <c r="WZ51" s="1"/>
      <c r="XA51" s="1"/>
      <c r="XB51" s="1"/>
      <c r="XC51" s="1"/>
      <c r="XD51" s="1"/>
      <c r="XE51" s="1"/>
      <c r="XF51" s="1"/>
      <c r="XG51" s="1"/>
      <c r="XH51" s="1"/>
      <c r="XI51" s="1"/>
      <c r="XJ51" s="1"/>
      <c r="XK51" s="1"/>
      <c r="XL51" s="1"/>
      <c r="XM51" s="1"/>
      <c r="XN51" s="1"/>
      <c r="XO51" s="1"/>
      <c r="XP51" s="1"/>
      <c r="XQ51" s="1"/>
      <c r="XR51" s="1"/>
      <c r="XS51" s="1"/>
      <c r="XT51" s="1"/>
      <c r="XU51" s="1"/>
      <c r="XV51" s="1"/>
      <c r="XW51" s="1"/>
      <c r="XX51" s="1"/>
      <c r="XY51" s="1"/>
      <c r="XZ51" s="1"/>
      <c r="YA51" s="1"/>
      <c r="YB51" s="1"/>
      <c r="YC51" s="1"/>
      <c r="YD51" s="1"/>
      <c r="YE51" s="1"/>
      <c r="YF51" s="1"/>
      <c r="YG51" s="1"/>
      <c r="YH51" s="1"/>
      <c r="YI51" s="1"/>
      <c r="YJ51" s="1"/>
      <c r="YK51" s="1"/>
      <c r="YL51" s="1"/>
      <c r="YM51" s="1"/>
      <c r="YN51" s="1"/>
      <c r="YO51" s="1"/>
      <c r="YP51" s="1"/>
      <c r="YQ51" s="1"/>
      <c r="YR51" s="1"/>
      <c r="YS51" s="1"/>
      <c r="YT51" s="1"/>
      <c r="YU51" s="1"/>
      <c r="YV51" s="1"/>
      <c r="YW51" s="1"/>
      <c r="YX51" s="1"/>
      <c r="YY51" s="1"/>
      <c r="YZ51" s="1"/>
      <c r="ZA51" s="1"/>
      <c r="ZB51" s="1"/>
      <c r="ZC51" s="1"/>
      <c r="ZD51" s="1"/>
      <c r="ZE51" s="1"/>
      <c r="ZF51" s="1"/>
      <c r="ZG51" s="1"/>
      <c r="ZH51" s="1"/>
      <c r="ZI51" s="1"/>
      <c r="ZJ51" s="1"/>
      <c r="ZK51" s="1"/>
      <c r="ZL51" s="1"/>
      <c r="ZM51" s="1"/>
      <c r="ZN51" s="1"/>
      <c r="ZO51" s="1"/>
      <c r="ZP51" s="1"/>
      <c r="ZQ51" s="1"/>
      <c r="ZR51" s="1"/>
      <c r="ZS51" s="1"/>
      <c r="ZT51" s="1"/>
      <c r="ZU51" s="1"/>
      <c r="ZV51" s="1"/>
      <c r="ZW51" s="1"/>
      <c r="ZX51" s="1"/>
      <c r="ZY51" s="1"/>
      <c r="ZZ51" s="1"/>
      <c r="AAA51" s="1"/>
      <c r="AAB51" s="1"/>
      <c r="AAC51" s="1"/>
      <c r="AAD51" s="1"/>
      <c r="AAE51" s="1"/>
      <c r="AAF51" s="1"/>
      <c r="AAG51" s="1"/>
      <c r="AAH51" s="1"/>
      <c r="AAI51" s="1"/>
      <c r="AAJ51" s="1"/>
      <c r="AAK51" s="1"/>
      <c r="AAL51" s="1"/>
      <c r="AAM51" s="1"/>
      <c r="AAN51" s="1"/>
      <c r="AAO51" s="1"/>
      <c r="AAP51" s="1"/>
      <c r="AAQ51" s="1"/>
      <c r="AAR51" s="1"/>
      <c r="AAS51" s="1"/>
      <c r="AAT51" s="1"/>
      <c r="AAU51" s="1"/>
      <c r="AAV51" s="1"/>
      <c r="AAW51" s="1"/>
      <c r="AAX51" s="1"/>
      <c r="AAY51" s="1"/>
      <c r="AAZ51" s="1"/>
      <c r="ABA51" s="1"/>
      <c r="ABB51" s="1"/>
      <c r="ABC51" s="1"/>
      <c r="ABD51" s="1"/>
      <c r="ABE51" s="1"/>
      <c r="ABF51" s="1"/>
      <c r="ABG51" s="1"/>
      <c r="ABH51" s="1"/>
      <c r="ABI51" s="1"/>
      <c r="ABJ51" s="1"/>
      <c r="ABK51" s="1"/>
      <c r="ABL51" s="1"/>
      <c r="ABM51" s="1"/>
      <c r="ABN51" s="1"/>
      <c r="ABO51" s="1"/>
      <c r="ABP51" s="1"/>
      <c r="ABQ51" s="1"/>
      <c r="ABR51" s="1"/>
      <c r="ABS51" s="1"/>
      <c r="ABT51" s="1"/>
      <c r="ABU51" s="1"/>
      <c r="ABV51" s="1"/>
      <c r="ABW51" s="1"/>
      <c r="ABX51" s="1"/>
      <c r="ABY51" s="1"/>
      <c r="ABZ51" s="1"/>
      <c r="ACA51" s="1"/>
      <c r="ACB51" s="1"/>
      <c r="ACC51" s="1"/>
      <c r="ACD51" s="1"/>
      <c r="ACE51" s="1"/>
      <c r="ACF51" s="1"/>
      <c r="ACG51" s="1"/>
      <c r="ACH51" s="1"/>
      <c r="ACI51" s="1"/>
      <c r="ACJ51" s="1"/>
      <c r="ACK51" s="1"/>
      <c r="ACL51" s="1"/>
      <c r="ACM51" s="1"/>
      <c r="ACN51" s="1"/>
      <c r="ACO51" s="1"/>
      <c r="ACP51" s="1"/>
      <c r="ACQ51" s="1"/>
      <c r="ACR51" s="1"/>
      <c r="ACS51" s="1"/>
      <c r="ACT51" s="1"/>
      <c r="ACU51" s="1"/>
      <c r="ACV51" s="1"/>
      <c r="ACW51" s="1"/>
      <c r="ACX51" s="1"/>
      <c r="ACY51" s="1"/>
      <c r="ACZ51" s="1"/>
      <c r="ADA51" s="1"/>
      <c r="ADB51" s="1"/>
      <c r="ADC51" s="1"/>
      <c r="ADD51" s="1"/>
      <c r="ADE51" s="1"/>
      <c r="ADF51" s="1"/>
      <c r="ADG51" s="1"/>
      <c r="ADH51" s="1"/>
      <c r="ADI51" s="1"/>
      <c r="ADJ51" s="1"/>
      <c r="ADK51" s="1"/>
      <c r="ADL51" s="1"/>
      <c r="ADM51" s="1"/>
      <c r="ADN51" s="1"/>
      <c r="ADO51" s="1"/>
      <c r="ADP51" s="1"/>
      <c r="ADQ51" s="1"/>
      <c r="ADR51" s="1"/>
      <c r="ADS51" s="1"/>
      <c r="ADT51" s="1"/>
      <c r="ADU51" s="1"/>
      <c r="ADV51" s="1"/>
      <c r="ADW51" s="1"/>
      <c r="ADX51" s="1"/>
      <c r="ADY51" s="1"/>
      <c r="ADZ51" s="1"/>
      <c r="AEA51" s="1"/>
      <c r="AEB51" s="1"/>
      <c r="AEC51" s="1"/>
      <c r="AED51" s="1"/>
      <c r="AEE51" s="1"/>
      <c r="AEF51" s="1"/>
      <c r="AEG51" s="1"/>
      <c r="AEH51" s="1"/>
      <c r="AEI51" s="1"/>
      <c r="AEJ51" s="1"/>
      <c r="AEK51" s="1"/>
      <c r="AEL51" s="1"/>
      <c r="AEM51" s="1"/>
      <c r="AEN51" s="1"/>
      <c r="AEO51" s="1"/>
      <c r="AEP51" s="1"/>
      <c r="AEQ51" s="1"/>
      <c r="AER51" s="1"/>
      <c r="AES51" s="1"/>
      <c r="AET51" s="1"/>
      <c r="AEU51" s="1"/>
      <c r="AEV51" s="1"/>
      <c r="AEW51" s="1"/>
      <c r="AEX51" s="1"/>
      <c r="AEY51" s="1"/>
      <c r="AEZ51" s="1"/>
      <c r="AFA51" s="1"/>
      <c r="AFB51" s="1"/>
      <c r="AFC51" s="1"/>
      <c r="AFD51" s="1"/>
      <c r="AFE51" s="1"/>
      <c r="AFF51" s="1"/>
      <c r="AFG51" s="1"/>
      <c r="AFH51" s="1"/>
      <c r="AFI51" s="1"/>
      <c r="AFJ51" s="1"/>
      <c r="AFK51" s="1"/>
      <c r="AFL51" s="1"/>
      <c r="AFM51" s="1"/>
      <c r="AFN51" s="1"/>
      <c r="AFO51" s="1"/>
      <c r="AFP51" s="1"/>
      <c r="AFQ51" s="1"/>
      <c r="AFR51" s="1"/>
      <c r="AFS51" s="1"/>
      <c r="AFT51" s="1"/>
      <c r="AFU51" s="1"/>
      <c r="AFV51" s="1"/>
      <c r="AFW51" s="1"/>
      <c r="AFX51" s="1"/>
      <c r="AFY51" s="1"/>
      <c r="AFZ51" s="1"/>
      <c r="AGA51" s="1"/>
      <c r="AGB51" s="1"/>
      <c r="AGC51" s="1"/>
      <c r="AGD51" s="1"/>
      <c r="AGE51" s="1"/>
      <c r="AGF51" s="1"/>
      <c r="AGG51" s="1"/>
      <c r="AGH51" s="1"/>
      <c r="AGI51" s="1"/>
      <c r="AGJ51" s="1"/>
      <c r="AGK51" s="1"/>
      <c r="AGL51" s="1"/>
      <c r="AGM51" s="1"/>
      <c r="AGN51" s="1"/>
      <c r="AGO51" s="1"/>
      <c r="AGP51" s="1"/>
      <c r="AGQ51" s="1"/>
      <c r="AGR51" s="1"/>
      <c r="AGS51" s="1"/>
      <c r="AGT51" s="1"/>
      <c r="AGU51" s="1"/>
      <c r="AGV51" s="1"/>
      <c r="AGW51" s="1"/>
      <c r="AGX51" s="1"/>
      <c r="AGY51" s="1"/>
      <c r="AGZ51" s="1"/>
      <c r="AHA51" s="1"/>
      <c r="AHB51" s="1"/>
      <c r="AHC51" s="1"/>
      <c r="AHD51" s="1"/>
      <c r="AHE51" s="1"/>
      <c r="AHF51" s="1"/>
      <c r="AHG51" s="1"/>
      <c r="AHH51" s="1"/>
      <c r="AHI51" s="1"/>
      <c r="AHJ51" s="1"/>
      <c r="AHK51" s="1"/>
      <c r="AHL51" s="1"/>
      <c r="AHM51" s="1"/>
      <c r="AHN51" s="1"/>
      <c r="AHO51" s="1"/>
      <c r="AHP51" s="1"/>
      <c r="AHQ51" s="1"/>
      <c r="AHR51" s="1"/>
      <c r="AHS51" s="1"/>
      <c r="AHT51" s="1"/>
      <c r="AHU51" s="1"/>
      <c r="AHV51" s="1"/>
      <c r="AHW51" s="1"/>
      <c r="AHX51" s="1"/>
      <c r="AHY51" s="1"/>
      <c r="AHZ51" s="1"/>
      <c r="AIA51" s="1"/>
      <c r="AIB51" s="1"/>
      <c r="AIC51" s="1"/>
      <c r="AID51" s="1"/>
      <c r="AIE51" s="1"/>
      <c r="AIF51" s="1"/>
      <c r="AIG51" s="1"/>
      <c r="AIH51" s="1"/>
      <c r="AII51" s="1"/>
      <c r="AIJ51" s="1"/>
      <c r="AIK51" s="1"/>
      <c r="AIL51" s="1"/>
      <c r="AIM51" s="1"/>
      <c r="AIN51" s="1"/>
      <c r="AIO51" s="1"/>
      <c r="AIP51" s="1"/>
      <c r="AIQ51" s="1"/>
      <c r="AIR51" s="1"/>
      <c r="AIS51" s="1"/>
      <c r="AIT51" s="1"/>
      <c r="AIU51" s="1"/>
      <c r="AIV51" s="1"/>
      <c r="AIW51" s="1"/>
      <c r="AIX51" s="1"/>
      <c r="AIY51" s="1"/>
      <c r="AIZ51" s="1"/>
      <c r="AJA51" s="1"/>
      <c r="AJB51" s="1"/>
      <c r="AJC51" s="1"/>
      <c r="AJD51" s="1"/>
      <c r="AJE51" s="1"/>
      <c r="AJF51" s="1"/>
      <c r="AJG51" s="1"/>
      <c r="AJH51" s="1"/>
      <c r="AJI51" s="1"/>
      <c r="AJJ51" s="1"/>
      <c r="AJK51" s="1"/>
      <c r="AJL51" s="1"/>
      <c r="AJM51" s="1"/>
      <c r="AJN51" s="1"/>
      <c r="AJO51" s="1"/>
      <c r="AJP51" s="1"/>
      <c r="AJQ51" s="1"/>
      <c r="AJR51" s="1"/>
      <c r="AJS51" s="1"/>
      <c r="AJT51" s="1"/>
      <c r="AJU51" s="1"/>
      <c r="AJV51" s="1"/>
      <c r="AJW51" s="1"/>
      <c r="AJX51" s="1"/>
      <c r="AJY51" s="1"/>
      <c r="AJZ51" s="1"/>
      <c r="AKA51" s="1"/>
      <c r="AKB51" s="1"/>
      <c r="AKC51" s="1"/>
      <c r="AKD51" s="1"/>
      <c r="AKE51" s="1"/>
      <c r="AKF51" s="1"/>
      <c r="AKG51" s="1"/>
      <c r="AKH51" s="1"/>
      <c r="AKI51" s="1"/>
      <c r="AKJ51" s="1"/>
      <c r="AKK51" s="1"/>
      <c r="AKL51" s="1"/>
      <c r="AKM51" s="1"/>
      <c r="AKN51" s="1"/>
      <c r="AKO51" s="1"/>
      <c r="AKP51" s="1"/>
      <c r="AKQ51" s="1"/>
      <c r="AKR51" s="1"/>
      <c r="AKS51" s="1"/>
      <c r="AKT51" s="1"/>
      <c r="AKU51" s="1"/>
      <c r="AKV51" s="1"/>
      <c r="AKW51" s="1"/>
      <c r="AKX51" s="1"/>
      <c r="AKY51" s="1"/>
      <c r="AKZ51" s="1"/>
      <c r="ALA51" s="1"/>
      <c r="ALB51" s="1"/>
      <c r="ALC51" s="1"/>
      <c r="ALD51" s="1"/>
      <c r="ALE51" s="1"/>
      <c r="ALF51" s="1"/>
      <c r="ALG51" s="1"/>
      <c r="ALH51" s="1"/>
      <c r="ALI51" s="1"/>
      <c r="ALJ51" s="1"/>
      <c r="ALK51" s="1"/>
      <c r="ALL51" s="1"/>
      <c r="ALM51" s="1"/>
      <c r="ALN51" s="1"/>
      <c r="ALO51" s="1"/>
      <c r="ALP51" s="1"/>
      <c r="ALQ51" s="1"/>
      <c r="ALR51" s="1"/>
      <c r="ALS51" s="1"/>
      <c r="ALT51" s="1"/>
      <c r="ALU51" s="1"/>
      <c r="ALV51" s="1"/>
      <c r="ALW51" s="1"/>
      <c r="ALX51" s="1"/>
      <c r="ALY51" s="1"/>
      <c r="ALZ51" s="1"/>
      <c r="AMA51" s="1"/>
      <c r="AMB51" s="1"/>
      <c r="AMC51" s="1"/>
      <c r="AMD51" s="1"/>
      <c r="AME51" s="1"/>
      <c r="AMF51" s="1"/>
      <c r="AMG51" s="1"/>
      <c r="AMH51" s="1"/>
      <c r="AMI51" s="1"/>
      <c r="AMJ51" s="1"/>
      <c r="AMK51" s="1"/>
      <c r="AML51" s="1"/>
      <c r="AMM51" s="1"/>
      <c r="AMN51" s="1"/>
    </row>
    <row r="52" spans="1:1028" x14ac:dyDescent="0.2">
      <c r="A52" s="3" t="str">
        <f t="shared" si="194"/>
        <v>adrb1_melga_2YCW</v>
      </c>
      <c r="B52" s="3" t="s">
        <v>912</v>
      </c>
      <c r="C52" s="3" t="s">
        <v>1027</v>
      </c>
      <c r="D52" s="3" t="str">
        <f>IFERROR(MID(VLOOKUP($B52,Seqs!$A:$B,2,0),E52,1),"")</f>
        <v>S</v>
      </c>
      <c r="E52" s="3">
        <v>37</v>
      </c>
      <c r="F52" s="3" t="str">
        <f>IFERROR(MID(VLOOKUP($B52,Seqs!$A:$B,2,0),G52,1),"")</f>
        <v>T</v>
      </c>
      <c r="G52" s="3">
        <v>69</v>
      </c>
      <c r="H52" s="3" t="str">
        <f>IFERROR(MID(VLOOKUP($B52,Seqs!$A:$B,2,0),I52,1),"")</f>
        <v>Q</v>
      </c>
      <c r="I52" s="23">
        <v>70</v>
      </c>
      <c r="J52" s="3" t="str">
        <f>IFERROR(MID(VLOOKUP($B52,Seqs!$A:$B,2,0),K52,1),"")</f>
        <v>Q</v>
      </c>
      <c r="K52" s="23">
        <v>73</v>
      </c>
      <c r="L52" s="3" t="str">
        <f>IFERROR(MID(VLOOKUP($B52,Seqs!$A:$B,2,0),M52,1),"")</f>
        <v>T</v>
      </c>
      <c r="M52" s="3">
        <v>74</v>
      </c>
      <c r="N52" s="3" t="str">
        <f>IFERROR(MID(VLOOKUP($B52,Seqs!$A:$B,2,0),O52,1),"")</f>
        <v>R</v>
      </c>
      <c r="O52" s="3">
        <v>104</v>
      </c>
      <c r="P52" s="3" t="str">
        <f>IFERROR(MID(VLOOKUP($B52,Seqs!$A:$B,2,0),Q52,1),"")</f>
        <v>T</v>
      </c>
      <c r="Q52" s="3">
        <v>106</v>
      </c>
      <c r="R52" s="3" t="str">
        <f>IFERROR(MID(VLOOKUP($B52,Seqs!$A:$B,2,0),S52,1),"")</f>
        <v>W</v>
      </c>
      <c r="S52" s="3">
        <v>109</v>
      </c>
      <c r="T52" s="3" t="str">
        <f>IFERROR(MID(VLOOKUP($B52,Seqs!$A:$B,2,0),U52,1),"")</f>
        <v>G</v>
      </c>
      <c r="U52" s="3">
        <v>110</v>
      </c>
      <c r="V52" s="3" t="str">
        <f>IFERROR(MID(VLOOKUP($B52,Seqs!$A:$B,2,0),W52,1),"")</f>
        <v>S</v>
      </c>
      <c r="W52" s="3">
        <v>145</v>
      </c>
      <c r="X52" s="3" t="str">
        <f>IFERROR(MID(VLOOKUP($B52,Seqs!$A:$B,2,0),Y52,1),"")</f>
        <v>P</v>
      </c>
      <c r="Y52" s="3">
        <v>146</v>
      </c>
      <c r="Z52" s="3" t="str">
        <f>IFERROR(MID(VLOOKUP($B52,Seqs!$A:$B,2,0),AA52,1),"")</f>
        <v>M</v>
      </c>
      <c r="AA52" s="3">
        <v>153</v>
      </c>
      <c r="AB52" s="3" t="str">
        <f>IFERROR(MID(VLOOKUP($B52,Seqs!$A:$B,2,0),AC52,1),"")</f>
        <v>T</v>
      </c>
      <c r="AC52" s="9">
        <v>154</v>
      </c>
      <c r="AD52" s="3" t="str">
        <f>IFERROR(MID(VLOOKUP($B52,Seqs!$A:$B,2,0),AE52,1),"")</f>
        <v>H</v>
      </c>
      <c r="AE52" s="3">
        <v>180</v>
      </c>
      <c r="AF52" s="3" t="str">
        <f>IFERROR(MID(VLOOKUP($B52,Seqs!$A:$B,2,0),AG52,1),"")</f>
        <v>C</v>
      </c>
      <c r="AG52" s="3">
        <v>199</v>
      </c>
      <c r="AH52" s="3" t="str">
        <f>IFERROR(MID(VLOOKUP($B52,Seqs!$A:$B,2,0),AI52,1),"")</f>
        <v>F</v>
      </c>
      <c r="AI52" s="3">
        <v>201</v>
      </c>
      <c r="AJ52" s="3" t="str">
        <f>IFERROR(MID(VLOOKUP($B52,Seqs!$A:$B,2,0),AK52,1),"")</f>
        <v>N</v>
      </c>
      <c r="AK52" s="3">
        <v>204</v>
      </c>
      <c r="AL52" s="3" t="str">
        <f>IFERROR(MID(VLOOKUP($B52,Seqs!$A:$B,2,0),AM52,1),"")</f>
        <v>K</v>
      </c>
      <c r="AM52" s="3">
        <v>240</v>
      </c>
      <c r="AN52" s="3" t="str">
        <f>IFERROR(MID(VLOOKUP($B52,Seqs!$A:$B,2,0),AO52,1),"")</f>
        <v>L</v>
      </c>
      <c r="AO52" s="3">
        <v>289</v>
      </c>
      <c r="AP52" s="3" t="str">
        <f>IFERROR(MID(VLOOKUP($B52,Seqs!$A:$B,2,0),AQ52,1),"")</f>
        <v>N</v>
      </c>
      <c r="AQ52" s="3">
        <v>316</v>
      </c>
      <c r="AR52" s="3" t="str">
        <f>IFERROR(MID(VLOOKUP($B52,Seqs!$A:$B,2,0),AS52,1),"")</f>
        <v>P</v>
      </c>
      <c r="AS52" s="3">
        <v>321</v>
      </c>
      <c r="AT52" s="3" t="str">
        <f>IFERROR(MID(VLOOKUP($B52,Seqs!$A:$B,2,0),AU52,1),"")</f>
        <v>R</v>
      </c>
      <c r="AU52" s="3">
        <v>345</v>
      </c>
      <c r="AV52" s="3" t="str">
        <f>IFERROR(MID(VLOOKUP($B52,Seqs!$A:$B,2,0),AW52,1),"")</f>
        <v>S</v>
      </c>
      <c r="AW52" s="3">
        <v>346</v>
      </c>
      <c r="AX52" s="3" t="str">
        <f>IFERROR(MID(VLOOKUP($B52,Seqs!$A:$B,2,0),AY52,1),"")</f>
        <v>C</v>
      </c>
      <c r="AY52" s="3">
        <v>358</v>
      </c>
      <c r="AZ52" s="79" t="str">
        <f>VLOOKUP(B52,Classification!A:D,2,0)</f>
        <v>A</v>
      </c>
      <c r="BA52" s="97" t="str">
        <f>VLOOKUP(B52,Classification!A:D,4,0)</f>
        <v>Adrenoceptors</v>
      </c>
      <c r="BB52" s="27" t="b">
        <f t="shared" si="195"/>
        <v>1</v>
      </c>
      <c r="BC52" s="23">
        <f t="shared" si="84"/>
        <v>249</v>
      </c>
      <c r="BD52" s="4" t="s">
        <v>23</v>
      </c>
      <c r="BE52" s="3" t="s">
        <v>1381</v>
      </c>
      <c r="BF52" s="50" t="s">
        <v>1384</v>
      </c>
      <c r="BG52" s="50" t="s">
        <v>1384</v>
      </c>
      <c r="BH52" s="1"/>
      <c r="BI52" s="72" t="s">
        <v>1293</v>
      </c>
      <c r="BJ52" s="58" t="s">
        <v>1293</v>
      </c>
      <c r="BK52" s="58" t="s">
        <v>1293</v>
      </c>
      <c r="BL52" s="58" t="s">
        <v>1293</v>
      </c>
      <c r="BM52" s="58" t="s">
        <v>1293</v>
      </c>
      <c r="BN52" s="58" t="s">
        <v>1293</v>
      </c>
      <c r="BO52" s="58" t="s">
        <v>1293</v>
      </c>
      <c r="BP52" s="58" t="s">
        <v>1293</v>
      </c>
      <c r="BQ52" s="58" t="s">
        <v>1293</v>
      </c>
      <c r="BR52" s="58" t="s">
        <v>1293</v>
      </c>
      <c r="BS52" s="58" t="s">
        <v>1293</v>
      </c>
      <c r="BT52" s="58" t="s">
        <v>1293</v>
      </c>
      <c r="BU52" s="72">
        <f t="shared" si="85"/>
        <v>37</v>
      </c>
      <c r="BV52" s="73">
        <f t="shared" si="86"/>
        <v>70</v>
      </c>
      <c r="BW52" s="74">
        <f t="shared" si="87"/>
        <v>74</v>
      </c>
      <c r="BX52" s="73">
        <f t="shared" si="88"/>
        <v>106</v>
      </c>
      <c r="BY52" s="74">
        <f t="shared" si="89"/>
        <v>110</v>
      </c>
      <c r="BZ52" s="73">
        <f t="shared" si="90"/>
        <v>146</v>
      </c>
      <c r="CA52" s="74">
        <f t="shared" si="91"/>
        <v>154</v>
      </c>
      <c r="CB52" s="73">
        <f t="shared" si="92"/>
        <v>199</v>
      </c>
      <c r="CC52" s="74">
        <f t="shared" si="93"/>
        <v>204</v>
      </c>
      <c r="CD52" s="73">
        <f t="shared" si="94"/>
        <v>289</v>
      </c>
      <c r="CE52" s="74">
        <f t="shared" si="95"/>
        <v>321</v>
      </c>
      <c r="CF52" s="73">
        <f t="shared" si="96"/>
        <v>346</v>
      </c>
      <c r="CG52" s="72">
        <f t="shared" si="97"/>
        <v>69</v>
      </c>
      <c r="CH52" s="73">
        <f t="shared" si="98"/>
        <v>73</v>
      </c>
      <c r="CI52" s="74">
        <f t="shared" si="99"/>
        <v>104</v>
      </c>
      <c r="CJ52" s="74">
        <f t="shared" si="100"/>
        <v>109</v>
      </c>
      <c r="CK52" s="74">
        <f t="shared" si="101"/>
        <v>145</v>
      </c>
      <c r="CL52" s="74">
        <f t="shared" si="102"/>
        <v>153</v>
      </c>
      <c r="CM52" s="74">
        <f t="shared" si="103"/>
        <v>180</v>
      </c>
      <c r="CN52" s="74">
        <f t="shared" si="104"/>
        <v>201</v>
      </c>
      <c r="CO52" s="74">
        <f t="shared" si="105"/>
        <v>240</v>
      </c>
      <c r="CP52" s="74">
        <f t="shared" si="106"/>
        <v>316</v>
      </c>
      <c r="CQ52" s="74">
        <f t="shared" si="107"/>
        <v>345</v>
      </c>
      <c r="CR52" s="74">
        <f t="shared" si="108"/>
        <v>358</v>
      </c>
      <c r="CS52" s="23">
        <f t="shared" si="109"/>
        <v>1</v>
      </c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  <c r="OK52" s="1"/>
      <c r="OL52" s="1"/>
      <c r="OM52" s="1"/>
      <c r="ON52" s="1"/>
      <c r="OO52" s="1"/>
      <c r="OP52" s="1"/>
      <c r="OQ52" s="1"/>
      <c r="OR52" s="1"/>
      <c r="OS52" s="1"/>
      <c r="OT52" s="1"/>
      <c r="OU52" s="1"/>
      <c r="OV52" s="1"/>
      <c r="OW52" s="1"/>
      <c r="OX52" s="1"/>
      <c r="OY52" s="1"/>
      <c r="OZ52" s="1"/>
      <c r="PA52" s="1"/>
      <c r="PB52" s="1"/>
      <c r="PC52" s="1"/>
      <c r="PD52" s="1"/>
      <c r="PE52" s="1"/>
      <c r="PF52" s="1"/>
      <c r="PG52" s="1"/>
      <c r="PH52" s="1"/>
      <c r="PI52" s="1"/>
      <c r="PJ52" s="1"/>
      <c r="PK52" s="1"/>
      <c r="PL52" s="1"/>
      <c r="PM52" s="1"/>
      <c r="PN52" s="1"/>
      <c r="PO52" s="1"/>
      <c r="PP52" s="1"/>
      <c r="PQ52" s="1"/>
      <c r="PR52" s="1"/>
      <c r="PS52" s="1"/>
      <c r="PT52" s="1"/>
      <c r="PU52" s="1"/>
      <c r="PV52" s="1"/>
      <c r="PW52" s="1"/>
      <c r="PX52" s="1"/>
      <c r="PY52" s="1"/>
      <c r="PZ52" s="1"/>
      <c r="QA52" s="1"/>
      <c r="QB52" s="1"/>
      <c r="QC52" s="1"/>
      <c r="QD52" s="1"/>
      <c r="QE52" s="1"/>
      <c r="QF52" s="1"/>
      <c r="QG52" s="1"/>
      <c r="QH52" s="1"/>
      <c r="QI52" s="1"/>
      <c r="QJ52" s="1"/>
      <c r="QK52" s="1"/>
      <c r="QL52" s="1"/>
      <c r="QM52" s="1"/>
      <c r="QN52" s="1"/>
      <c r="QO52" s="1"/>
      <c r="QP52" s="1"/>
      <c r="QQ52" s="1"/>
      <c r="QR52" s="1"/>
      <c r="QS52" s="1"/>
      <c r="QT52" s="1"/>
      <c r="QU52" s="1"/>
      <c r="QV52" s="1"/>
      <c r="QW52" s="1"/>
      <c r="QX52" s="1"/>
      <c r="QY52" s="1"/>
      <c r="QZ52" s="1"/>
      <c r="RA52" s="1"/>
      <c r="RB52" s="1"/>
      <c r="RC52" s="1"/>
      <c r="RD52" s="1"/>
      <c r="RE52" s="1"/>
      <c r="RF52" s="1"/>
      <c r="RG52" s="1"/>
      <c r="RH52" s="1"/>
      <c r="RI52" s="1"/>
      <c r="RJ52" s="1"/>
      <c r="RK52" s="1"/>
      <c r="RL52" s="1"/>
      <c r="RM52" s="1"/>
      <c r="RN52" s="1"/>
      <c r="RO52" s="1"/>
      <c r="RP52" s="1"/>
      <c r="RQ52" s="1"/>
      <c r="RR52" s="1"/>
      <c r="RS52" s="1"/>
      <c r="RT52" s="1"/>
      <c r="RU52" s="1"/>
      <c r="RV52" s="1"/>
      <c r="RW52" s="1"/>
      <c r="RX52" s="1"/>
      <c r="RY52" s="1"/>
      <c r="RZ52" s="1"/>
      <c r="SA52" s="1"/>
      <c r="SB52" s="1"/>
      <c r="SC52" s="1"/>
      <c r="SD52" s="1"/>
      <c r="SE52" s="1"/>
      <c r="SF52" s="1"/>
      <c r="SG52" s="1"/>
      <c r="SH52" s="1"/>
      <c r="SI52" s="1"/>
      <c r="SJ52" s="1"/>
      <c r="SK52" s="1"/>
      <c r="SL52" s="1"/>
      <c r="SM52" s="1"/>
      <c r="SN52" s="1"/>
      <c r="SO52" s="1"/>
      <c r="SP52" s="1"/>
      <c r="SQ52" s="1"/>
      <c r="SR52" s="1"/>
      <c r="SS52" s="1"/>
      <c r="ST52" s="1"/>
      <c r="SU52" s="1"/>
      <c r="SV52" s="1"/>
      <c r="SW52" s="1"/>
      <c r="SX52" s="1"/>
      <c r="SY52" s="1"/>
      <c r="SZ52" s="1"/>
      <c r="TA52" s="1"/>
      <c r="TB52" s="1"/>
      <c r="TC52" s="1"/>
      <c r="TD52" s="1"/>
      <c r="TE52" s="1"/>
      <c r="TF52" s="1"/>
      <c r="TG52" s="1"/>
      <c r="TH52" s="1"/>
      <c r="TI52" s="1"/>
      <c r="TJ52" s="1"/>
      <c r="TK52" s="1"/>
      <c r="TL52" s="1"/>
      <c r="TM52" s="1"/>
      <c r="TN52" s="1"/>
      <c r="TO52" s="1"/>
      <c r="TP52" s="1"/>
      <c r="TQ52" s="1"/>
      <c r="TR52" s="1"/>
      <c r="TS52" s="1"/>
      <c r="TT52" s="1"/>
      <c r="TU52" s="1"/>
      <c r="TV52" s="1"/>
      <c r="TW52" s="1"/>
      <c r="TX52" s="1"/>
      <c r="TY52" s="1"/>
      <c r="TZ52" s="1"/>
      <c r="UA52" s="1"/>
      <c r="UB52" s="1"/>
      <c r="UC52" s="1"/>
      <c r="UD52" s="1"/>
      <c r="UE52" s="1"/>
      <c r="UF52" s="1"/>
      <c r="UG52" s="1"/>
      <c r="UH52" s="1"/>
      <c r="UI52" s="1"/>
      <c r="UJ52" s="1"/>
      <c r="UK52" s="1"/>
      <c r="UL52" s="1"/>
      <c r="UM52" s="1"/>
      <c r="UN52" s="1"/>
      <c r="UO52" s="1"/>
      <c r="UP52" s="1"/>
      <c r="UQ52" s="1"/>
      <c r="UR52" s="1"/>
      <c r="US52" s="1"/>
      <c r="UT52" s="1"/>
      <c r="UU52" s="1"/>
      <c r="UV52" s="1"/>
      <c r="UW52" s="1"/>
      <c r="UX52" s="1"/>
      <c r="UY52" s="1"/>
      <c r="UZ52" s="1"/>
      <c r="VA52" s="1"/>
      <c r="VB52" s="1"/>
      <c r="VC52" s="1"/>
      <c r="VD52" s="1"/>
      <c r="VE52" s="1"/>
      <c r="VF52" s="1"/>
      <c r="VG52" s="1"/>
      <c r="VH52" s="1"/>
      <c r="VI52" s="1"/>
      <c r="VJ52" s="1"/>
      <c r="VK52" s="1"/>
      <c r="VL52" s="1"/>
      <c r="VM52" s="1"/>
      <c r="VN52" s="1"/>
      <c r="VO52" s="1"/>
      <c r="VP52" s="1"/>
      <c r="VQ52" s="1"/>
      <c r="VR52" s="1"/>
      <c r="VS52" s="1"/>
      <c r="VT52" s="1"/>
      <c r="VU52" s="1"/>
      <c r="VV52" s="1"/>
      <c r="VW52" s="1"/>
      <c r="VX52" s="1"/>
      <c r="VY52" s="1"/>
      <c r="VZ52" s="1"/>
      <c r="WA52" s="1"/>
      <c r="WB52" s="1"/>
      <c r="WC52" s="1"/>
      <c r="WD52" s="1"/>
      <c r="WE52" s="1"/>
      <c r="WF52" s="1"/>
      <c r="WG52" s="1"/>
      <c r="WH52" s="1"/>
      <c r="WI52" s="1"/>
      <c r="WJ52" s="1"/>
      <c r="WK52" s="1"/>
      <c r="WL52" s="1"/>
      <c r="WM52" s="1"/>
      <c r="WN52" s="1"/>
      <c r="WO52" s="1"/>
      <c r="WP52" s="1"/>
      <c r="WQ52" s="1"/>
      <c r="WR52" s="1"/>
      <c r="WS52" s="1"/>
      <c r="WT52" s="1"/>
      <c r="WU52" s="1"/>
      <c r="WV52" s="1"/>
      <c r="WW52" s="1"/>
      <c r="WX52" s="1"/>
      <c r="WY52" s="1"/>
      <c r="WZ52" s="1"/>
      <c r="XA52" s="1"/>
      <c r="XB52" s="1"/>
      <c r="XC52" s="1"/>
      <c r="XD52" s="1"/>
      <c r="XE52" s="1"/>
      <c r="XF52" s="1"/>
      <c r="XG52" s="1"/>
      <c r="XH52" s="1"/>
      <c r="XI52" s="1"/>
      <c r="XJ52" s="1"/>
      <c r="XK52" s="1"/>
      <c r="XL52" s="1"/>
      <c r="XM52" s="1"/>
      <c r="XN52" s="1"/>
      <c r="XO52" s="1"/>
      <c r="XP52" s="1"/>
      <c r="XQ52" s="1"/>
      <c r="XR52" s="1"/>
      <c r="XS52" s="1"/>
      <c r="XT52" s="1"/>
      <c r="XU52" s="1"/>
      <c r="XV52" s="1"/>
      <c r="XW52" s="1"/>
      <c r="XX52" s="1"/>
      <c r="XY52" s="1"/>
      <c r="XZ52" s="1"/>
      <c r="YA52" s="1"/>
      <c r="YB52" s="1"/>
      <c r="YC52" s="1"/>
      <c r="YD52" s="1"/>
      <c r="YE52" s="1"/>
      <c r="YF52" s="1"/>
      <c r="YG52" s="1"/>
      <c r="YH52" s="1"/>
      <c r="YI52" s="1"/>
      <c r="YJ52" s="1"/>
      <c r="YK52" s="1"/>
      <c r="YL52" s="1"/>
      <c r="YM52" s="1"/>
      <c r="YN52" s="1"/>
      <c r="YO52" s="1"/>
      <c r="YP52" s="1"/>
      <c r="YQ52" s="1"/>
      <c r="YR52" s="1"/>
      <c r="YS52" s="1"/>
      <c r="YT52" s="1"/>
      <c r="YU52" s="1"/>
      <c r="YV52" s="1"/>
      <c r="YW52" s="1"/>
      <c r="YX52" s="1"/>
      <c r="YY52" s="1"/>
      <c r="YZ52" s="1"/>
      <c r="ZA52" s="1"/>
      <c r="ZB52" s="1"/>
      <c r="ZC52" s="1"/>
      <c r="ZD52" s="1"/>
      <c r="ZE52" s="1"/>
      <c r="ZF52" s="1"/>
      <c r="ZG52" s="1"/>
      <c r="ZH52" s="1"/>
      <c r="ZI52" s="1"/>
      <c r="ZJ52" s="1"/>
      <c r="ZK52" s="1"/>
      <c r="ZL52" s="1"/>
      <c r="ZM52" s="1"/>
      <c r="ZN52" s="1"/>
      <c r="ZO52" s="1"/>
      <c r="ZP52" s="1"/>
      <c r="ZQ52" s="1"/>
      <c r="ZR52" s="1"/>
      <c r="ZS52" s="1"/>
      <c r="ZT52" s="1"/>
      <c r="ZU52" s="1"/>
      <c r="ZV52" s="1"/>
      <c r="ZW52" s="1"/>
      <c r="ZX52" s="1"/>
      <c r="ZY52" s="1"/>
      <c r="ZZ52" s="1"/>
      <c r="AAA52" s="1"/>
      <c r="AAB52" s="1"/>
      <c r="AAC52" s="1"/>
      <c r="AAD52" s="1"/>
      <c r="AAE52" s="1"/>
      <c r="AAF52" s="1"/>
      <c r="AAG52" s="1"/>
      <c r="AAH52" s="1"/>
      <c r="AAI52" s="1"/>
      <c r="AAJ52" s="1"/>
      <c r="AAK52" s="1"/>
      <c r="AAL52" s="1"/>
      <c r="AAM52" s="1"/>
      <c r="AAN52" s="1"/>
      <c r="AAO52" s="1"/>
      <c r="AAP52" s="1"/>
      <c r="AAQ52" s="1"/>
      <c r="AAR52" s="1"/>
      <c r="AAS52" s="1"/>
      <c r="AAT52" s="1"/>
      <c r="AAU52" s="1"/>
      <c r="AAV52" s="1"/>
      <c r="AAW52" s="1"/>
      <c r="AAX52" s="1"/>
      <c r="AAY52" s="1"/>
      <c r="AAZ52" s="1"/>
      <c r="ABA52" s="1"/>
      <c r="ABB52" s="1"/>
      <c r="ABC52" s="1"/>
      <c r="ABD52" s="1"/>
      <c r="ABE52" s="1"/>
      <c r="ABF52" s="1"/>
      <c r="ABG52" s="1"/>
      <c r="ABH52" s="1"/>
      <c r="ABI52" s="1"/>
      <c r="ABJ52" s="1"/>
      <c r="ABK52" s="1"/>
      <c r="ABL52" s="1"/>
      <c r="ABM52" s="1"/>
      <c r="ABN52" s="1"/>
      <c r="ABO52" s="1"/>
      <c r="ABP52" s="1"/>
      <c r="ABQ52" s="1"/>
      <c r="ABR52" s="1"/>
      <c r="ABS52" s="1"/>
      <c r="ABT52" s="1"/>
      <c r="ABU52" s="1"/>
      <c r="ABV52" s="1"/>
      <c r="ABW52" s="1"/>
      <c r="ABX52" s="1"/>
      <c r="ABY52" s="1"/>
      <c r="ABZ52" s="1"/>
      <c r="ACA52" s="1"/>
      <c r="ACB52" s="1"/>
      <c r="ACC52" s="1"/>
      <c r="ACD52" s="1"/>
      <c r="ACE52" s="1"/>
      <c r="ACF52" s="1"/>
      <c r="ACG52" s="1"/>
      <c r="ACH52" s="1"/>
      <c r="ACI52" s="1"/>
      <c r="ACJ52" s="1"/>
      <c r="ACK52" s="1"/>
      <c r="ACL52" s="1"/>
      <c r="ACM52" s="1"/>
      <c r="ACN52" s="1"/>
      <c r="ACO52" s="1"/>
      <c r="ACP52" s="1"/>
      <c r="ACQ52" s="1"/>
      <c r="ACR52" s="1"/>
      <c r="ACS52" s="1"/>
      <c r="ACT52" s="1"/>
      <c r="ACU52" s="1"/>
      <c r="ACV52" s="1"/>
      <c r="ACW52" s="1"/>
      <c r="ACX52" s="1"/>
      <c r="ACY52" s="1"/>
      <c r="ACZ52" s="1"/>
      <c r="ADA52" s="1"/>
      <c r="ADB52" s="1"/>
      <c r="ADC52" s="1"/>
      <c r="ADD52" s="1"/>
      <c r="ADE52" s="1"/>
      <c r="ADF52" s="1"/>
      <c r="ADG52" s="1"/>
      <c r="ADH52" s="1"/>
      <c r="ADI52" s="1"/>
      <c r="ADJ52" s="1"/>
      <c r="ADK52" s="1"/>
      <c r="ADL52" s="1"/>
      <c r="ADM52" s="1"/>
      <c r="ADN52" s="1"/>
      <c r="ADO52" s="1"/>
      <c r="ADP52" s="1"/>
      <c r="ADQ52" s="1"/>
      <c r="ADR52" s="1"/>
      <c r="ADS52" s="1"/>
      <c r="ADT52" s="1"/>
      <c r="ADU52" s="1"/>
      <c r="ADV52" s="1"/>
      <c r="ADW52" s="1"/>
      <c r="ADX52" s="1"/>
      <c r="ADY52" s="1"/>
      <c r="ADZ52" s="1"/>
      <c r="AEA52" s="1"/>
      <c r="AEB52" s="1"/>
      <c r="AEC52" s="1"/>
      <c r="AED52" s="1"/>
      <c r="AEE52" s="1"/>
      <c r="AEF52" s="1"/>
      <c r="AEG52" s="1"/>
      <c r="AEH52" s="1"/>
      <c r="AEI52" s="1"/>
      <c r="AEJ52" s="1"/>
      <c r="AEK52" s="1"/>
      <c r="AEL52" s="1"/>
      <c r="AEM52" s="1"/>
      <c r="AEN52" s="1"/>
      <c r="AEO52" s="1"/>
      <c r="AEP52" s="1"/>
      <c r="AEQ52" s="1"/>
      <c r="AER52" s="1"/>
      <c r="AES52" s="1"/>
      <c r="AET52" s="1"/>
      <c r="AEU52" s="1"/>
      <c r="AEV52" s="1"/>
      <c r="AEW52" s="1"/>
      <c r="AEX52" s="1"/>
      <c r="AEY52" s="1"/>
      <c r="AEZ52" s="1"/>
      <c r="AFA52" s="1"/>
      <c r="AFB52" s="1"/>
      <c r="AFC52" s="1"/>
      <c r="AFD52" s="1"/>
      <c r="AFE52" s="1"/>
      <c r="AFF52" s="1"/>
      <c r="AFG52" s="1"/>
      <c r="AFH52" s="1"/>
      <c r="AFI52" s="1"/>
      <c r="AFJ52" s="1"/>
      <c r="AFK52" s="1"/>
      <c r="AFL52" s="1"/>
      <c r="AFM52" s="1"/>
      <c r="AFN52" s="1"/>
      <c r="AFO52" s="1"/>
      <c r="AFP52" s="1"/>
      <c r="AFQ52" s="1"/>
      <c r="AFR52" s="1"/>
      <c r="AFS52" s="1"/>
      <c r="AFT52" s="1"/>
      <c r="AFU52" s="1"/>
      <c r="AFV52" s="1"/>
      <c r="AFW52" s="1"/>
      <c r="AFX52" s="1"/>
      <c r="AFY52" s="1"/>
      <c r="AFZ52" s="1"/>
      <c r="AGA52" s="1"/>
      <c r="AGB52" s="1"/>
      <c r="AGC52" s="1"/>
      <c r="AGD52" s="1"/>
      <c r="AGE52" s="1"/>
      <c r="AGF52" s="1"/>
      <c r="AGG52" s="1"/>
      <c r="AGH52" s="1"/>
      <c r="AGI52" s="1"/>
      <c r="AGJ52" s="1"/>
      <c r="AGK52" s="1"/>
      <c r="AGL52" s="1"/>
      <c r="AGM52" s="1"/>
      <c r="AGN52" s="1"/>
      <c r="AGO52" s="1"/>
      <c r="AGP52" s="1"/>
      <c r="AGQ52" s="1"/>
      <c r="AGR52" s="1"/>
      <c r="AGS52" s="1"/>
      <c r="AGT52" s="1"/>
      <c r="AGU52" s="1"/>
      <c r="AGV52" s="1"/>
      <c r="AGW52" s="1"/>
      <c r="AGX52" s="1"/>
      <c r="AGY52" s="1"/>
      <c r="AGZ52" s="1"/>
      <c r="AHA52" s="1"/>
      <c r="AHB52" s="1"/>
      <c r="AHC52" s="1"/>
      <c r="AHD52" s="1"/>
      <c r="AHE52" s="1"/>
      <c r="AHF52" s="1"/>
      <c r="AHG52" s="1"/>
      <c r="AHH52" s="1"/>
      <c r="AHI52" s="1"/>
      <c r="AHJ52" s="1"/>
      <c r="AHK52" s="1"/>
      <c r="AHL52" s="1"/>
      <c r="AHM52" s="1"/>
      <c r="AHN52" s="1"/>
      <c r="AHO52" s="1"/>
      <c r="AHP52" s="1"/>
      <c r="AHQ52" s="1"/>
      <c r="AHR52" s="1"/>
      <c r="AHS52" s="1"/>
      <c r="AHT52" s="1"/>
      <c r="AHU52" s="1"/>
      <c r="AHV52" s="1"/>
      <c r="AHW52" s="1"/>
      <c r="AHX52" s="1"/>
      <c r="AHY52" s="1"/>
      <c r="AHZ52" s="1"/>
      <c r="AIA52" s="1"/>
      <c r="AIB52" s="1"/>
      <c r="AIC52" s="1"/>
      <c r="AID52" s="1"/>
      <c r="AIE52" s="1"/>
      <c r="AIF52" s="1"/>
      <c r="AIG52" s="1"/>
      <c r="AIH52" s="1"/>
      <c r="AII52" s="1"/>
      <c r="AIJ52" s="1"/>
      <c r="AIK52" s="1"/>
      <c r="AIL52" s="1"/>
      <c r="AIM52" s="1"/>
      <c r="AIN52" s="1"/>
      <c r="AIO52" s="1"/>
      <c r="AIP52" s="1"/>
      <c r="AIQ52" s="1"/>
      <c r="AIR52" s="1"/>
      <c r="AIS52" s="1"/>
      <c r="AIT52" s="1"/>
      <c r="AIU52" s="1"/>
      <c r="AIV52" s="1"/>
      <c r="AIW52" s="1"/>
      <c r="AIX52" s="1"/>
      <c r="AIY52" s="1"/>
      <c r="AIZ52" s="1"/>
      <c r="AJA52" s="1"/>
      <c r="AJB52" s="1"/>
      <c r="AJC52" s="1"/>
      <c r="AJD52" s="1"/>
      <c r="AJE52" s="1"/>
      <c r="AJF52" s="1"/>
      <c r="AJG52" s="1"/>
      <c r="AJH52" s="1"/>
      <c r="AJI52" s="1"/>
      <c r="AJJ52" s="1"/>
      <c r="AJK52" s="1"/>
      <c r="AJL52" s="1"/>
      <c r="AJM52" s="1"/>
      <c r="AJN52" s="1"/>
      <c r="AJO52" s="1"/>
      <c r="AJP52" s="1"/>
      <c r="AJQ52" s="1"/>
      <c r="AJR52" s="1"/>
      <c r="AJS52" s="1"/>
      <c r="AJT52" s="1"/>
      <c r="AJU52" s="1"/>
      <c r="AJV52" s="1"/>
      <c r="AJW52" s="1"/>
      <c r="AJX52" s="1"/>
      <c r="AJY52" s="1"/>
      <c r="AJZ52" s="1"/>
      <c r="AKA52" s="1"/>
      <c r="AKB52" s="1"/>
      <c r="AKC52" s="1"/>
      <c r="AKD52" s="1"/>
      <c r="AKE52" s="1"/>
      <c r="AKF52" s="1"/>
      <c r="AKG52" s="1"/>
      <c r="AKH52" s="1"/>
      <c r="AKI52" s="1"/>
      <c r="AKJ52" s="1"/>
      <c r="AKK52" s="1"/>
      <c r="AKL52" s="1"/>
      <c r="AKM52" s="1"/>
      <c r="AKN52" s="1"/>
      <c r="AKO52" s="1"/>
      <c r="AKP52" s="1"/>
      <c r="AKQ52" s="1"/>
      <c r="AKR52" s="1"/>
      <c r="AKS52" s="1"/>
      <c r="AKT52" s="1"/>
      <c r="AKU52" s="1"/>
      <c r="AKV52" s="1"/>
      <c r="AKW52" s="1"/>
      <c r="AKX52" s="1"/>
      <c r="AKY52" s="1"/>
      <c r="AKZ52" s="1"/>
      <c r="ALA52" s="1"/>
      <c r="ALB52" s="1"/>
      <c r="ALC52" s="1"/>
      <c r="ALD52" s="1"/>
      <c r="ALE52" s="1"/>
      <c r="ALF52" s="1"/>
      <c r="ALG52" s="1"/>
      <c r="ALH52" s="1"/>
      <c r="ALI52" s="1"/>
      <c r="ALJ52" s="1"/>
      <c r="ALK52" s="1"/>
      <c r="ALL52" s="1"/>
      <c r="ALM52" s="1"/>
      <c r="ALN52" s="1"/>
      <c r="ALO52" s="1"/>
      <c r="ALP52" s="1"/>
      <c r="ALQ52" s="1"/>
      <c r="ALR52" s="1"/>
      <c r="ALS52" s="1"/>
      <c r="ALT52" s="1"/>
      <c r="ALU52" s="1"/>
      <c r="ALV52" s="1"/>
      <c r="ALW52" s="1"/>
      <c r="ALX52" s="1"/>
      <c r="ALY52" s="1"/>
      <c r="ALZ52" s="1"/>
      <c r="AMA52" s="1"/>
      <c r="AMB52" s="1"/>
      <c r="AMC52" s="1"/>
      <c r="AMD52" s="1"/>
      <c r="AME52" s="1"/>
      <c r="AMF52" s="1"/>
      <c r="AMG52" s="1"/>
      <c r="AMH52" s="1"/>
      <c r="AMI52" s="1"/>
      <c r="AMJ52" s="1"/>
      <c r="AMK52" s="1"/>
      <c r="AML52" s="1"/>
      <c r="AMM52" s="1"/>
      <c r="AMN52" s="1"/>
    </row>
    <row r="53" spans="1:1028" x14ac:dyDescent="0.2">
      <c r="A53" s="3" t="str">
        <f t="shared" si="194"/>
        <v>adrb1_melga_2YCZ</v>
      </c>
      <c r="B53" s="3" t="s">
        <v>912</v>
      </c>
      <c r="C53" s="3" t="s">
        <v>1028</v>
      </c>
      <c r="D53" s="3" t="str">
        <f>IFERROR(MID(VLOOKUP($B53,Seqs!$A:$B,2,0),E53,1),"")</f>
        <v>A</v>
      </c>
      <c r="E53" s="3">
        <v>33</v>
      </c>
      <c r="F53" s="3" t="str">
        <f>IFERROR(MID(VLOOKUP($B53,Seqs!$A:$B,2,0),G53,1),"")</f>
        <v>T</v>
      </c>
      <c r="G53" s="3">
        <v>69</v>
      </c>
      <c r="H53" s="3" t="str">
        <f>IFERROR(MID(VLOOKUP($B53,Seqs!$A:$B,2,0),I53,1),"")</f>
        <v>Q</v>
      </c>
      <c r="I53" s="23">
        <v>70</v>
      </c>
      <c r="J53" s="3" t="str">
        <f>IFERROR(MID(VLOOKUP($B53,Seqs!$A:$B,2,0),K53,1),"")</f>
        <v>Q</v>
      </c>
      <c r="K53" s="23">
        <v>73</v>
      </c>
      <c r="L53" s="3" t="str">
        <f>IFERROR(MID(VLOOKUP($B53,Seqs!$A:$B,2,0),M53,1),"")</f>
        <v>T</v>
      </c>
      <c r="M53" s="3">
        <v>74</v>
      </c>
      <c r="N53" s="3" t="str">
        <f>IFERROR(MID(VLOOKUP($B53,Seqs!$A:$B,2,0),O53,1),"")</f>
        <v>R</v>
      </c>
      <c r="O53" s="3">
        <v>104</v>
      </c>
      <c r="P53" s="3" t="str">
        <f>IFERROR(MID(VLOOKUP($B53,Seqs!$A:$B,2,0),Q53,1),"")</f>
        <v>T</v>
      </c>
      <c r="Q53" s="3">
        <v>106</v>
      </c>
      <c r="R53" s="3" t="str">
        <f>IFERROR(MID(VLOOKUP($B53,Seqs!$A:$B,2,0),S53,1),"")</f>
        <v>W</v>
      </c>
      <c r="S53" s="3">
        <v>109</v>
      </c>
      <c r="T53" s="3" t="str">
        <f>IFERROR(MID(VLOOKUP($B53,Seqs!$A:$B,2,0),U53,1),"")</f>
        <v>G</v>
      </c>
      <c r="U53" s="3">
        <v>110</v>
      </c>
      <c r="V53" s="3" t="str">
        <f>IFERROR(MID(VLOOKUP($B53,Seqs!$A:$B,2,0),W53,1),"")</f>
        <v>S</v>
      </c>
      <c r="W53" s="3">
        <v>145</v>
      </c>
      <c r="X53" s="3" t="str">
        <f>IFERROR(MID(VLOOKUP($B53,Seqs!$A:$B,2,0),Y53,1),"")</f>
        <v>P</v>
      </c>
      <c r="Y53" s="3">
        <v>146</v>
      </c>
      <c r="Z53" s="3" t="str">
        <f>IFERROR(MID(VLOOKUP($B53,Seqs!$A:$B,2,0),AA53,1),"")</f>
        <v>M</v>
      </c>
      <c r="AA53" s="3">
        <v>153</v>
      </c>
      <c r="AB53" s="3" t="str">
        <f>IFERROR(MID(VLOOKUP($B53,Seqs!$A:$B,2,0),AC53,1),"")</f>
        <v>T</v>
      </c>
      <c r="AC53" s="9">
        <v>154</v>
      </c>
      <c r="AD53" s="3" t="str">
        <f>IFERROR(MID(VLOOKUP($B53,Seqs!$A:$B,2,0),AE53,1),"")</f>
        <v>H</v>
      </c>
      <c r="AE53" s="3">
        <v>180</v>
      </c>
      <c r="AF53" s="3" t="str">
        <f>IFERROR(MID(VLOOKUP($B53,Seqs!$A:$B,2,0),AG53,1),"")</f>
        <v>C</v>
      </c>
      <c r="AG53" s="3">
        <v>199</v>
      </c>
      <c r="AH53" s="3" t="str">
        <f>IFERROR(MID(VLOOKUP($B53,Seqs!$A:$B,2,0),AI53,1),"")</f>
        <v>F</v>
      </c>
      <c r="AI53" s="3">
        <v>201</v>
      </c>
      <c r="AJ53" s="3" t="str">
        <f>IFERROR(MID(VLOOKUP($B53,Seqs!$A:$B,2,0),AK53,1),"")</f>
        <v>N</v>
      </c>
      <c r="AK53" s="3">
        <v>204</v>
      </c>
      <c r="AL53" s="3" t="str">
        <f>IFERROR(MID(VLOOKUP($B53,Seqs!$A:$B,2,0),AM53,1),"")</f>
        <v>K</v>
      </c>
      <c r="AM53" s="3">
        <v>240</v>
      </c>
      <c r="AN53" s="3" t="str">
        <f>IFERROR(MID(VLOOKUP($B53,Seqs!$A:$B,2,0),AO53,1),"")</f>
        <v>A</v>
      </c>
      <c r="AO53" s="3">
        <v>288</v>
      </c>
      <c r="AP53" s="3" t="str">
        <f>IFERROR(MID(VLOOKUP($B53,Seqs!$A:$B,2,0),AQ53,1),"")</f>
        <v>N</v>
      </c>
      <c r="AQ53" s="3">
        <v>316</v>
      </c>
      <c r="AR53" s="3" t="str">
        <f>IFERROR(MID(VLOOKUP($B53,Seqs!$A:$B,2,0),AS53,1),"")</f>
        <v>P</v>
      </c>
      <c r="AS53" s="3">
        <v>321</v>
      </c>
      <c r="AT53" s="3" t="str">
        <f>IFERROR(MID(VLOOKUP($B53,Seqs!$A:$B,2,0),AU53,1),"")</f>
        <v>R</v>
      </c>
      <c r="AU53" s="3">
        <v>345</v>
      </c>
      <c r="AV53" s="3" t="str">
        <f>IFERROR(MID(VLOOKUP($B53,Seqs!$A:$B,2,0),AW53,1),"")</f>
        <v>S</v>
      </c>
      <c r="AW53" s="3">
        <v>346</v>
      </c>
      <c r="AX53" s="3" t="str">
        <f>IFERROR(MID(VLOOKUP($B53,Seqs!$A:$B,2,0),AY53,1),"")</f>
        <v>C</v>
      </c>
      <c r="AY53" s="3">
        <v>358</v>
      </c>
      <c r="AZ53" s="79" t="str">
        <f>VLOOKUP(B53,Classification!A:D,2,0)</f>
        <v>A</v>
      </c>
      <c r="BA53" s="97" t="str">
        <f>VLOOKUP(B53,Classification!A:D,4,0)</f>
        <v>Adrenoceptors</v>
      </c>
      <c r="BB53" s="27" t="b">
        <f t="shared" si="195"/>
        <v>1</v>
      </c>
      <c r="BC53" s="23">
        <f t="shared" si="84"/>
        <v>254</v>
      </c>
      <c r="BD53" s="16" t="s">
        <v>23</v>
      </c>
      <c r="BE53" s="3" t="s">
        <v>1381</v>
      </c>
      <c r="BF53" s="50" t="s">
        <v>1384</v>
      </c>
      <c r="BG53" s="50" t="s">
        <v>1384</v>
      </c>
      <c r="BH53" s="1"/>
      <c r="BI53" s="72" t="s">
        <v>1293</v>
      </c>
      <c r="BJ53" s="58" t="s">
        <v>1293</v>
      </c>
      <c r="BK53" s="58" t="s">
        <v>1293</v>
      </c>
      <c r="BL53" s="58" t="s">
        <v>1293</v>
      </c>
      <c r="BM53" s="58" t="s">
        <v>1293</v>
      </c>
      <c r="BN53" s="58" t="s">
        <v>1293</v>
      </c>
      <c r="BO53" s="58" t="s">
        <v>1293</v>
      </c>
      <c r="BP53" s="58" t="s">
        <v>1293</v>
      </c>
      <c r="BQ53" s="58" t="s">
        <v>1293</v>
      </c>
      <c r="BR53" s="58" t="s">
        <v>1293</v>
      </c>
      <c r="BS53" s="58" t="s">
        <v>1293</v>
      </c>
      <c r="BT53" s="58" t="s">
        <v>1293</v>
      </c>
      <c r="BU53" s="72">
        <f t="shared" si="85"/>
        <v>33</v>
      </c>
      <c r="BV53" s="73">
        <f t="shared" si="86"/>
        <v>70</v>
      </c>
      <c r="BW53" s="74">
        <f t="shared" si="87"/>
        <v>74</v>
      </c>
      <c r="BX53" s="73">
        <f t="shared" si="88"/>
        <v>106</v>
      </c>
      <c r="BY53" s="74">
        <f t="shared" si="89"/>
        <v>110</v>
      </c>
      <c r="BZ53" s="73">
        <f t="shared" si="90"/>
        <v>146</v>
      </c>
      <c r="CA53" s="74">
        <f t="shared" si="91"/>
        <v>154</v>
      </c>
      <c r="CB53" s="73">
        <f t="shared" si="92"/>
        <v>199</v>
      </c>
      <c r="CC53" s="74">
        <f t="shared" si="93"/>
        <v>204</v>
      </c>
      <c r="CD53" s="73">
        <f t="shared" si="94"/>
        <v>288</v>
      </c>
      <c r="CE53" s="74">
        <f t="shared" si="95"/>
        <v>321</v>
      </c>
      <c r="CF53" s="73">
        <f t="shared" si="96"/>
        <v>346</v>
      </c>
      <c r="CG53" s="72">
        <f t="shared" si="97"/>
        <v>69</v>
      </c>
      <c r="CH53" s="73">
        <f t="shared" si="98"/>
        <v>73</v>
      </c>
      <c r="CI53" s="74">
        <f t="shared" si="99"/>
        <v>104</v>
      </c>
      <c r="CJ53" s="74">
        <f t="shared" si="100"/>
        <v>109</v>
      </c>
      <c r="CK53" s="74">
        <f t="shared" si="101"/>
        <v>145</v>
      </c>
      <c r="CL53" s="74">
        <f t="shared" si="102"/>
        <v>153</v>
      </c>
      <c r="CM53" s="74">
        <f t="shared" si="103"/>
        <v>180</v>
      </c>
      <c r="CN53" s="74">
        <f t="shared" si="104"/>
        <v>201</v>
      </c>
      <c r="CO53" s="74">
        <f t="shared" si="105"/>
        <v>240</v>
      </c>
      <c r="CP53" s="74">
        <f t="shared" si="106"/>
        <v>316</v>
      </c>
      <c r="CQ53" s="74">
        <f t="shared" si="107"/>
        <v>345</v>
      </c>
      <c r="CR53" s="74">
        <f t="shared" si="108"/>
        <v>358</v>
      </c>
      <c r="CS53" s="23">
        <f t="shared" si="109"/>
        <v>1</v>
      </c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1"/>
      <c r="NK53" s="1"/>
      <c r="NL53" s="1"/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  <c r="OI53" s="1"/>
      <c r="OJ53" s="1"/>
      <c r="OK53" s="1"/>
      <c r="OL53" s="1"/>
      <c r="OM53" s="1"/>
      <c r="ON53" s="1"/>
      <c r="OO53" s="1"/>
      <c r="OP53" s="1"/>
      <c r="OQ53" s="1"/>
      <c r="OR53" s="1"/>
      <c r="OS53" s="1"/>
      <c r="OT53" s="1"/>
      <c r="OU53" s="1"/>
      <c r="OV53" s="1"/>
      <c r="OW53" s="1"/>
      <c r="OX53" s="1"/>
      <c r="OY53" s="1"/>
      <c r="OZ53" s="1"/>
      <c r="PA53" s="1"/>
      <c r="PB53" s="1"/>
      <c r="PC53" s="1"/>
      <c r="PD53" s="1"/>
      <c r="PE53" s="1"/>
      <c r="PF53" s="1"/>
      <c r="PG53" s="1"/>
      <c r="PH53" s="1"/>
      <c r="PI53" s="1"/>
      <c r="PJ53" s="1"/>
      <c r="PK53" s="1"/>
      <c r="PL53" s="1"/>
      <c r="PM53" s="1"/>
      <c r="PN53" s="1"/>
      <c r="PO53" s="1"/>
      <c r="PP53" s="1"/>
      <c r="PQ53" s="1"/>
      <c r="PR53" s="1"/>
      <c r="PS53" s="1"/>
      <c r="PT53" s="1"/>
      <c r="PU53" s="1"/>
      <c r="PV53" s="1"/>
      <c r="PW53" s="1"/>
      <c r="PX53" s="1"/>
      <c r="PY53" s="1"/>
      <c r="PZ53" s="1"/>
      <c r="QA53" s="1"/>
      <c r="QB53" s="1"/>
      <c r="QC53" s="1"/>
      <c r="QD53" s="1"/>
      <c r="QE53" s="1"/>
      <c r="QF53" s="1"/>
      <c r="QG53" s="1"/>
      <c r="QH53" s="1"/>
      <c r="QI53" s="1"/>
      <c r="QJ53" s="1"/>
      <c r="QK53" s="1"/>
      <c r="QL53" s="1"/>
      <c r="QM53" s="1"/>
      <c r="QN53" s="1"/>
      <c r="QO53" s="1"/>
      <c r="QP53" s="1"/>
      <c r="QQ53" s="1"/>
      <c r="QR53" s="1"/>
      <c r="QS53" s="1"/>
      <c r="QT53" s="1"/>
      <c r="QU53" s="1"/>
      <c r="QV53" s="1"/>
      <c r="QW53" s="1"/>
      <c r="QX53" s="1"/>
      <c r="QY53" s="1"/>
      <c r="QZ53" s="1"/>
      <c r="RA53" s="1"/>
      <c r="RB53" s="1"/>
      <c r="RC53" s="1"/>
      <c r="RD53" s="1"/>
      <c r="RE53" s="1"/>
      <c r="RF53" s="1"/>
      <c r="RG53" s="1"/>
      <c r="RH53" s="1"/>
      <c r="RI53" s="1"/>
      <c r="RJ53" s="1"/>
      <c r="RK53" s="1"/>
      <c r="RL53" s="1"/>
      <c r="RM53" s="1"/>
      <c r="RN53" s="1"/>
      <c r="RO53" s="1"/>
      <c r="RP53" s="1"/>
      <c r="RQ53" s="1"/>
      <c r="RR53" s="1"/>
      <c r="RS53" s="1"/>
      <c r="RT53" s="1"/>
      <c r="RU53" s="1"/>
      <c r="RV53" s="1"/>
      <c r="RW53" s="1"/>
      <c r="RX53" s="1"/>
      <c r="RY53" s="1"/>
      <c r="RZ53" s="1"/>
      <c r="SA53" s="1"/>
      <c r="SB53" s="1"/>
      <c r="SC53" s="1"/>
      <c r="SD53" s="1"/>
      <c r="SE53" s="1"/>
      <c r="SF53" s="1"/>
      <c r="SG53" s="1"/>
      <c r="SH53" s="1"/>
      <c r="SI53" s="1"/>
      <c r="SJ53" s="1"/>
      <c r="SK53" s="1"/>
      <c r="SL53" s="1"/>
      <c r="SM53" s="1"/>
      <c r="SN53" s="1"/>
      <c r="SO53" s="1"/>
      <c r="SP53" s="1"/>
      <c r="SQ53" s="1"/>
      <c r="SR53" s="1"/>
      <c r="SS53" s="1"/>
      <c r="ST53" s="1"/>
      <c r="SU53" s="1"/>
      <c r="SV53" s="1"/>
      <c r="SW53" s="1"/>
      <c r="SX53" s="1"/>
      <c r="SY53" s="1"/>
      <c r="SZ53" s="1"/>
      <c r="TA53" s="1"/>
      <c r="TB53" s="1"/>
      <c r="TC53" s="1"/>
      <c r="TD53" s="1"/>
      <c r="TE53" s="1"/>
      <c r="TF53" s="1"/>
      <c r="TG53" s="1"/>
      <c r="TH53" s="1"/>
      <c r="TI53" s="1"/>
      <c r="TJ53" s="1"/>
      <c r="TK53" s="1"/>
      <c r="TL53" s="1"/>
      <c r="TM53" s="1"/>
      <c r="TN53" s="1"/>
      <c r="TO53" s="1"/>
      <c r="TP53" s="1"/>
      <c r="TQ53" s="1"/>
      <c r="TR53" s="1"/>
      <c r="TS53" s="1"/>
      <c r="TT53" s="1"/>
      <c r="TU53" s="1"/>
      <c r="TV53" s="1"/>
      <c r="TW53" s="1"/>
      <c r="TX53" s="1"/>
      <c r="TY53" s="1"/>
      <c r="TZ53" s="1"/>
      <c r="UA53" s="1"/>
      <c r="UB53" s="1"/>
      <c r="UC53" s="1"/>
      <c r="UD53" s="1"/>
      <c r="UE53" s="1"/>
      <c r="UF53" s="1"/>
      <c r="UG53" s="1"/>
      <c r="UH53" s="1"/>
      <c r="UI53" s="1"/>
      <c r="UJ53" s="1"/>
      <c r="UK53" s="1"/>
      <c r="UL53" s="1"/>
      <c r="UM53" s="1"/>
      <c r="UN53" s="1"/>
      <c r="UO53" s="1"/>
      <c r="UP53" s="1"/>
      <c r="UQ53" s="1"/>
      <c r="UR53" s="1"/>
      <c r="US53" s="1"/>
      <c r="UT53" s="1"/>
      <c r="UU53" s="1"/>
      <c r="UV53" s="1"/>
      <c r="UW53" s="1"/>
      <c r="UX53" s="1"/>
      <c r="UY53" s="1"/>
      <c r="UZ53" s="1"/>
      <c r="VA53" s="1"/>
      <c r="VB53" s="1"/>
      <c r="VC53" s="1"/>
      <c r="VD53" s="1"/>
      <c r="VE53" s="1"/>
      <c r="VF53" s="1"/>
      <c r="VG53" s="1"/>
      <c r="VH53" s="1"/>
      <c r="VI53" s="1"/>
      <c r="VJ53" s="1"/>
      <c r="VK53" s="1"/>
      <c r="VL53" s="1"/>
      <c r="VM53" s="1"/>
      <c r="VN53" s="1"/>
      <c r="VO53" s="1"/>
      <c r="VP53" s="1"/>
      <c r="VQ53" s="1"/>
      <c r="VR53" s="1"/>
      <c r="VS53" s="1"/>
      <c r="VT53" s="1"/>
      <c r="VU53" s="1"/>
      <c r="VV53" s="1"/>
      <c r="VW53" s="1"/>
      <c r="VX53" s="1"/>
      <c r="VY53" s="1"/>
      <c r="VZ53" s="1"/>
      <c r="WA53" s="1"/>
      <c r="WB53" s="1"/>
      <c r="WC53" s="1"/>
      <c r="WD53" s="1"/>
      <c r="WE53" s="1"/>
      <c r="WF53" s="1"/>
      <c r="WG53" s="1"/>
      <c r="WH53" s="1"/>
      <c r="WI53" s="1"/>
      <c r="WJ53" s="1"/>
      <c r="WK53" s="1"/>
      <c r="WL53" s="1"/>
      <c r="WM53" s="1"/>
      <c r="WN53" s="1"/>
      <c r="WO53" s="1"/>
      <c r="WP53" s="1"/>
      <c r="WQ53" s="1"/>
      <c r="WR53" s="1"/>
      <c r="WS53" s="1"/>
      <c r="WT53" s="1"/>
      <c r="WU53" s="1"/>
      <c r="WV53" s="1"/>
      <c r="WW53" s="1"/>
      <c r="WX53" s="1"/>
      <c r="WY53" s="1"/>
      <c r="WZ53" s="1"/>
      <c r="XA53" s="1"/>
      <c r="XB53" s="1"/>
      <c r="XC53" s="1"/>
      <c r="XD53" s="1"/>
      <c r="XE53" s="1"/>
      <c r="XF53" s="1"/>
      <c r="XG53" s="1"/>
      <c r="XH53" s="1"/>
      <c r="XI53" s="1"/>
      <c r="XJ53" s="1"/>
      <c r="XK53" s="1"/>
      <c r="XL53" s="1"/>
      <c r="XM53" s="1"/>
      <c r="XN53" s="1"/>
      <c r="XO53" s="1"/>
      <c r="XP53" s="1"/>
      <c r="XQ53" s="1"/>
      <c r="XR53" s="1"/>
      <c r="XS53" s="1"/>
      <c r="XT53" s="1"/>
      <c r="XU53" s="1"/>
      <c r="XV53" s="1"/>
      <c r="XW53" s="1"/>
      <c r="XX53" s="1"/>
      <c r="XY53" s="1"/>
      <c r="XZ53" s="1"/>
      <c r="YA53" s="1"/>
      <c r="YB53" s="1"/>
      <c r="YC53" s="1"/>
      <c r="YD53" s="1"/>
      <c r="YE53" s="1"/>
      <c r="YF53" s="1"/>
      <c r="YG53" s="1"/>
      <c r="YH53" s="1"/>
      <c r="YI53" s="1"/>
      <c r="YJ53" s="1"/>
      <c r="YK53" s="1"/>
      <c r="YL53" s="1"/>
      <c r="YM53" s="1"/>
      <c r="YN53" s="1"/>
      <c r="YO53" s="1"/>
      <c r="YP53" s="1"/>
      <c r="YQ53" s="1"/>
      <c r="YR53" s="1"/>
      <c r="YS53" s="1"/>
      <c r="YT53" s="1"/>
      <c r="YU53" s="1"/>
      <c r="YV53" s="1"/>
      <c r="YW53" s="1"/>
      <c r="YX53" s="1"/>
      <c r="YY53" s="1"/>
      <c r="YZ53" s="1"/>
      <c r="ZA53" s="1"/>
      <c r="ZB53" s="1"/>
      <c r="ZC53" s="1"/>
      <c r="ZD53" s="1"/>
      <c r="ZE53" s="1"/>
      <c r="ZF53" s="1"/>
      <c r="ZG53" s="1"/>
      <c r="ZH53" s="1"/>
      <c r="ZI53" s="1"/>
      <c r="ZJ53" s="1"/>
      <c r="ZK53" s="1"/>
      <c r="ZL53" s="1"/>
      <c r="ZM53" s="1"/>
      <c r="ZN53" s="1"/>
      <c r="ZO53" s="1"/>
      <c r="ZP53" s="1"/>
      <c r="ZQ53" s="1"/>
      <c r="ZR53" s="1"/>
      <c r="ZS53" s="1"/>
      <c r="ZT53" s="1"/>
      <c r="ZU53" s="1"/>
      <c r="ZV53" s="1"/>
      <c r="ZW53" s="1"/>
      <c r="ZX53" s="1"/>
      <c r="ZY53" s="1"/>
      <c r="ZZ53" s="1"/>
      <c r="AAA53" s="1"/>
      <c r="AAB53" s="1"/>
      <c r="AAC53" s="1"/>
      <c r="AAD53" s="1"/>
      <c r="AAE53" s="1"/>
      <c r="AAF53" s="1"/>
      <c r="AAG53" s="1"/>
      <c r="AAH53" s="1"/>
      <c r="AAI53" s="1"/>
      <c r="AAJ53" s="1"/>
      <c r="AAK53" s="1"/>
      <c r="AAL53" s="1"/>
      <c r="AAM53" s="1"/>
      <c r="AAN53" s="1"/>
      <c r="AAO53" s="1"/>
      <c r="AAP53" s="1"/>
      <c r="AAQ53" s="1"/>
      <c r="AAR53" s="1"/>
      <c r="AAS53" s="1"/>
      <c r="AAT53" s="1"/>
      <c r="AAU53" s="1"/>
      <c r="AAV53" s="1"/>
      <c r="AAW53" s="1"/>
      <c r="AAX53" s="1"/>
      <c r="AAY53" s="1"/>
      <c r="AAZ53" s="1"/>
      <c r="ABA53" s="1"/>
      <c r="ABB53" s="1"/>
      <c r="ABC53" s="1"/>
      <c r="ABD53" s="1"/>
      <c r="ABE53" s="1"/>
      <c r="ABF53" s="1"/>
      <c r="ABG53" s="1"/>
      <c r="ABH53" s="1"/>
      <c r="ABI53" s="1"/>
      <c r="ABJ53" s="1"/>
      <c r="ABK53" s="1"/>
      <c r="ABL53" s="1"/>
      <c r="ABM53" s="1"/>
      <c r="ABN53" s="1"/>
      <c r="ABO53" s="1"/>
      <c r="ABP53" s="1"/>
      <c r="ABQ53" s="1"/>
      <c r="ABR53" s="1"/>
      <c r="ABS53" s="1"/>
      <c r="ABT53" s="1"/>
      <c r="ABU53" s="1"/>
      <c r="ABV53" s="1"/>
      <c r="ABW53" s="1"/>
      <c r="ABX53" s="1"/>
      <c r="ABY53" s="1"/>
      <c r="ABZ53" s="1"/>
      <c r="ACA53" s="1"/>
      <c r="ACB53" s="1"/>
      <c r="ACC53" s="1"/>
      <c r="ACD53" s="1"/>
      <c r="ACE53" s="1"/>
      <c r="ACF53" s="1"/>
      <c r="ACG53" s="1"/>
      <c r="ACH53" s="1"/>
      <c r="ACI53" s="1"/>
      <c r="ACJ53" s="1"/>
      <c r="ACK53" s="1"/>
      <c r="ACL53" s="1"/>
      <c r="ACM53" s="1"/>
      <c r="ACN53" s="1"/>
      <c r="ACO53" s="1"/>
      <c r="ACP53" s="1"/>
      <c r="ACQ53" s="1"/>
      <c r="ACR53" s="1"/>
      <c r="ACS53" s="1"/>
      <c r="ACT53" s="1"/>
      <c r="ACU53" s="1"/>
      <c r="ACV53" s="1"/>
      <c r="ACW53" s="1"/>
      <c r="ACX53" s="1"/>
      <c r="ACY53" s="1"/>
      <c r="ACZ53" s="1"/>
      <c r="ADA53" s="1"/>
      <c r="ADB53" s="1"/>
      <c r="ADC53" s="1"/>
      <c r="ADD53" s="1"/>
      <c r="ADE53" s="1"/>
      <c r="ADF53" s="1"/>
      <c r="ADG53" s="1"/>
      <c r="ADH53" s="1"/>
      <c r="ADI53" s="1"/>
      <c r="ADJ53" s="1"/>
      <c r="ADK53" s="1"/>
      <c r="ADL53" s="1"/>
      <c r="ADM53" s="1"/>
      <c r="ADN53" s="1"/>
      <c r="ADO53" s="1"/>
      <c r="ADP53" s="1"/>
      <c r="ADQ53" s="1"/>
      <c r="ADR53" s="1"/>
      <c r="ADS53" s="1"/>
      <c r="ADT53" s="1"/>
      <c r="ADU53" s="1"/>
      <c r="ADV53" s="1"/>
      <c r="ADW53" s="1"/>
      <c r="ADX53" s="1"/>
      <c r="ADY53" s="1"/>
      <c r="ADZ53" s="1"/>
      <c r="AEA53" s="1"/>
      <c r="AEB53" s="1"/>
      <c r="AEC53" s="1"/>
      <c r="AED53" s="1"/>
      <c r="AEE53" s="1"/>
      <c r="AEF53" s="1"/>
      <c r="AEG53" s="1"/>
      <c r="AEH53" s="1"/>
      <c r="AEI53" s="1"/>
      <c r="AEJ53" s="1"/>
      <c r="AEK53" s="1"/>
      <c r="AEL53" s="1"/>
      <c r="AEM53" s="1"/>
      <c r="AEN53" s="1"/>
      <c r="AEO53" s="1"/>
      <c r="AEP53" s="1"/>
      <c r="AEQ53" s="1"/>
      <c r="AER53" s="1"/>
      <c r="AES53" s="1"/>
      <c r="AET53" s="1"/>
      <c r="AEU53" s="1"/>
      <c r="AEV53" s="1"/>
      <c r="AEW53" s="1"/>
      <c r="AEX53" s="1"/>
      <c r="AEY53" s="1"/>
      <c r="AEZ53" s="1"/>
      <c r="AFA53" s="1"/>
      <c r="AFB53" s="1"/>
      <c r="AFC53" s="1"/>
      <c r="AFD53" s="1"/>
      <c r="AFE53" s="1"/>
      <c r="AFF53" s="1"/>
      <c r="AFG53" s="1"/>
      <c r="AFH53" s="1"/>
      <c r="AFI53" s="1"/>
      <c r="AFJ53" s="1"/>
      <c r="AFK53" s="1"/>
      <c r="AFL53" s="1"/>
      <c r="AFM53" s="1"/>
      <c r="AFN53" s="1"/>
      <c r="AFO53" s="1"/>
      <c r="AFP53" s="1"/>
      <c r="AFQ53" s="1"/>
      <c r="AFR53" s="1"/>
      <c r="AFS53" s="1"/>
      <c r="AFT53" s="1"/>
      <c r="AFU53" s="1"/>
      <c r="AFV53" s="1"/>
      <c r="AFW53" s="1"/>
      <c r="AFX53" s="1"/>
      <c r="AFY53" s="1"/>
      <c r="AFZ53" s="1"/>
      <c r="AGA53" s="1"/>
      <c r="AGB53" s="1"/>
      <c r="AGC53" s="1"/>
      <c r="AGD53" s="1"/>
      <c r="AGE53" s="1"/>
      <c r="AGF53" s="1"/>
      <c r="AGG53" s="1"/>
      <c r="AGH53" s="1"/>
      <c r="AGI53" s="1"/>
      <c r="AGJ53" s="1"/>
      <c r="AGK53" s="1"/>
      <c r="AGL53" s="1"/>
      <c r="AGM53" s="1"/>
      <c r="AGN53" s="1"/>
      <c r="AGO53" s="1"/>
      <c r="AGP53" s="1"/>
      <c r="AGQ53" s="1"/>
      <c r="AGR53" s="1"/>
      <c r="AGS53" s="1"/>
      <c r="AGT53" s="1"/>
      <c r="AGU53" s="1"/>
      <c r="AGV53" s="1"/>
      <c r="AGW53" s="1"/>
      <c r="AGX53" s="1"/>
      <c r="AGY53" s="1"/>
      <c r="AGZ53" s="1"/>
      <c r="AHA53" s="1"/>
      <c r="AHB53" s="1"/>
      <c r="AHC53" s="1"/>
      <c r="AHD53" s="1"/>
      <c r="AHE53" s="1"/>
      <c r="AHF53" s="1"/>
      <c r="AHG53" s="1"/>
      <c r="AHH53" s="1"/>
      <c r="AHI53" s="1"/>
      <c r="AHJ53" s="1"/>
      <c r="AHK53" s="1"/>
      <c r="AHL53" s="1"/>
      <c r="AHM53" s="1"/>
      <c r="AHN53" s="1"/>
      <c r="AHO53" s="1"/>
      <c r="AHP53" s="1"/>
      <c r="AHQ53" s="1"/>
      <c r="AHR53" s="1"/>
      <c r="AHS53" s="1"/>
      <c r="AHT53" s="1"/>
      <c r="AHU53" s="1"/>
      <c r="AHV53" s="1"/>
      <c r="AHW53" s="1"/>
      <c r="AHX53" s="1"/>
      <c r="AHY53" s="1"/>
      <c r="AHZ53" s="1"/>
      <c r="AIA53" s="1"/>
      <c r="AIB53" s="1"/>
      <c r="AIC53" s="1"/>
      <c r="AID53" s="1"/>
      <c r="AIE53" s="1"/>
      <c r="AIF53" s="1"/>
      <c r="AIG53" s="1"/>
      <c r="AIH53" s="1"/>
      <c r="AII53" s="1"/>
      <c r="AIJ53" s="1"/>
      <c r="AIK53" s="1"/>
      <c r="AIL53" s="1"/>
      <c r="AIM53" s="1"/>
      <c r="AIN53" s="1"/>
      <c r="AIO53" s="1"/>
      <c r="AIP53" s="1"/>
      <c r="AIQ53" s="1"/>
      <c r="AIR53" s="1"/>
      <c r="AIS53" s="1"/>
      <c r="AIT53" s="1"/>
      <c r="AIU53" s="1"/>
      <c r="AIV53" s="1"/>
      <c r="AIW53" s="1"/>
      <c r="AIX53" s="1"/>
      <c r="AIY53" s="1"/>
      <c r="AIZ53" s="1"/>
      <c r="AJA53" s="1"/>
      <c r="AJB53" s="1"/>
      <c r="AJC53" s="1"/>
      <c r="AJD53" s="1"/>
      <c r="AJE53" s="1"/>
      <c r="AJF53" s="1"/>
      <c r="AJG53" s="1"/>
      <c r="AJH53" s="1"/>
      <c r="AJI53" s="1"/>
      <c r="AJJ53" s="1"/>
      <c r="AJK53" s="1"/>
      <c r="AJL53" s="1"/>
      <c r="AJM53" s="1"/>
      <c r="AJN53" s="1"/>
      <c r="AJO53" s="1"/>
      <c r="AJP53" s="1"/>
      <c r="AJQ53" s="1"/>
      <c r="AJR53" s="1"/>
      <c r="AJS53" s="1"/>
      <c r="AJT53" s="1"/>
      <c r="AJU53" s="1"/>
      <c r="AJV53" s="1"/>
      <c r="AJW53" s="1"/>
      <c r="AJX53" s="1"/>
      <c r="AJY53" s="1"/>
      <c r="AJZ53" s="1"/>
      <c r="AKA53" s="1"/>
      <c r="AKB53" s="1"/>
      <c r="AKC53" s="1"/>
      <c r="AKD53" s="1"/>
      <c r="AKE53" s="1"/>
      <c r="AKF53" s="1"/>
      <c r="AKG53" s="1"/>
      <c r="AKH53" s="1"/>
      <c r="AKI53" s="1"/>
      <c r="AKJ53" s="1"/>
      <c r="AKK53" s="1"/>
      <c r="AKL53" s="1"/>
      <c r="AKM53" s="1"/>
      <c r="AKN53" s="1"/>
      <c r="AKO53" s="1"/>
      <c r="AKP53" s="1"/>
      <c r="AKQ53" s="1"/>
      <c r="AKR53" s="1"/>
      <c r="AKS53" s="1"/>
      <c r="AKT53" s="1"/>
      <c r="AKU53" s="1"/>
      <c r="AKV53" s="1"/>
      <c r="AKW53" s="1"/>
      <c r="AKX53" s="1"/>
      <c r="AKY53" s="1"/>
      <c r="AKZ53" s="1"/>
      <c r="ALA53" s="1"/>
      <c r="ALB53" s="1"/>
      <c r="ALC53" s="1"/>
      <c r="ALD53" s="1"/>
      <c r="ALE53" s="1"/>
      <c r="ALF53" s="1"/>
      <c r="ALG53" s="1"/>
      <c r="ALH53" s="1"/>
      <c r="ALI53" s="1"/>
      <c r="ALJ53" s="1"/>
      <c r="ALK53" s="1"/>
      <c r="ALL53" s="1"/>
      <c r="ALM53" s="1"/>
      <c r="ALN53" s="1"/>
      <c r="ALO53" s="1"/>
      <c r="ALP53" s="1"/>
      <c r="ALQ53" s="1"/>
      <c r="ALR53" s="1"/>
      <c r="ALS53" s="1"/>
      <c r="ALT53" s="1"/>
      <c r="ALU53" s="1"/>
      <c r="ALV53" s="1"/>
      <c r="ALW53" s="1"/>
      <c r="ALX53" s="1"/>
      <c r="ALY53" s="1"/>
      <c r="ALZ53" s="1"/>
      <c r="AMA53" s="1"/>
      <c r="AMB53" s="1"/>
      <c r="AMC53" s="1"/>
      <c r="AMD53" s="1"/>
      <c r="AME53" s="1"/>
      <c r="AMF53" s="1"/>
      <c r="AMG53" s="1"/>
      <c r="AMH53" s="1"/>
      <c r="AMI53" s="1"/>
      <c r="AMJ53" s="1"/>
      <c r="AMK53" s="1"/>
      <c r="AML53" s="1"/>
      <c r="AMM53" s="1"/>
      <c r="AMN53" s="1"/>
    </row>
    <row r="54" spans="1:1028" x14ac:dyDescent="0.2">
      <c r="A54" s="3" t="str">
        <f t="shared" si="194"/>
        <v>adrb1_melga_3ZPQ</v>
      </c>
      <c r="B54" s="3" t="s">
        <v>912</v>
      </c>
      <c r="C54" s="3" t="s">
        <v>1038</v>
      </c>
      <c r="D54" s="3" t="str">
        <f>IFERROR(MID(VLOOKUP($B54,Seqs!$A:$B,2,0),E54,1),"")</f>
        <v>A</v>
      </c>
      <c r="E54" s="3">
        <v>33</v>
      </c>
      <c r="F54" s="3" t="str">
        <f>IFERROR(MID(VLOOKUP($B54,Seqs!$A:$B,2,0),G54,1),"")</f>
        <v>T</v>
      </c>
      <c r="G54" s="3">
        <v>69</v>
      </c>
      <c r="H54" s="3" t="str">
        <f>IFERROR(MID(VLOOKUP($B54,Seqs!$A:$B,2,0),I54,1),"")</f>
        <v>Q</v>
      </c>
      <c r="I54" s="23">
        <v>70</v>
      </c>
      <c r="J54" s="3" t="str">
        <f>IFERROR(MID(VLOOKUP($B54,Seqs!$A:$B,2,0),K54,1),"")</f>
        <v>Q</v>
      </c>
      <c r="K54" s="23">
        <v>73</v>
      </c>
      <c r="L54" s="3" t="str">
        <f>IFERROR(MID(VLOOKUP($B54,Seqs!$A:$B,2,0),M54,1),"")</f>
        <v>T</v>
      </c>
      <c r="M54" s="3">
        <v>74</v>
      </c>
      <c r="N54" s="3" t="str">
        <f>IFERROR(MID(VLOOKUP($B54,Seqs!$A:$B,2,0),O54,1),"")</f>
        <v>R</v>
      </c>
      <c r="O54" s="3">
        <v>104</v>
      </c>
      <c r="P54" s="3" t="str">
        <f>IFERROR(MID(VLOOKUP($B54,Seqs!$A:$B,2,0),Q54,1),"")</f>
        <v>T</v>
      </c>
      <c r="Q54" s="3">
        <v>106</v>
      </c>
      <c r="R54" s="3" t="str">
        <f>IFERROR(MID(VLOOKUP($B54,Seqs!$A:$B,2,0),S54,1),"")</f>
        <v>W</v>
      </c>
      <c r="S54" s="3">
        <v>109</v>
      </c>
      <c r="T54" s="3" t="str">
        <f>IFERROR(MID(VLOOKUP($B54,Seqs!$A:$B,2,0),U54,1),"")</f>
        <v>G</v>
      </c>
      <c r="U54" s="3">
        <v>110</v>
      </c>
      <c r="V54" s="3" t="str">
        <f>IFERROR(MID(VLOOKUP($B54,Seqs!$A:$B,2,0),W54,1),"")</f>
        <v>S</v>
      </c>
      <c r="W54" s="3">
        <v>145</v>
      </c>
      <c r="X54" s="3" t="str">
        <f>IFERROR(MID(VLOOKUP($B54,Seqs!$A:$B,2,0),Y54,1),"")</f>
        <v>P</v>
      </c>
      <c r="Y54" s="3">
        <v>146</v>
      </c>
      <c r="Z54" s="3" t="str">
        <f>IFERROR(MID(VLOOKUP($B54,Seqs!$A:$B,2,0),AA54,1),"")</f>
        <v>M</v>
      </c>
      <c r="AA54" s="3">
        <v>153</v>
      </c>
      <c r="AB54" s="3" t="str">
        <f>IFERROR(MID(VLOOKUP($B54,Seqs!$A:$B,2,0),AC54,1),"")</f>
        <v>T</v>
      </c>
      <c r="AC54" s="9">
        <v>154</v>
      </c>
      <c r="AD54" s="3" t="str">
        <f>IFERROR(MID(VLOOKUP($B54,Seqs!$A:$B,2,0),AE54,1),"")</f>
        <v>H</v>
      </c>
      <c r="AE54" s="3">
        <v>180</v>
      </c>
      <c r="AF54" s="3" t="str">
        <f>IFERROR(MID(VLOOKUP($B54,Seqs!$A:$B,2,0),AG54,1),"")</f>
        <v>C</v>
      </c>
      <c r="AG54" s="3">
        <v>199</v>
      </c>
      <c r="AH54" s="3" t="str">
        <f>IFERROR(MID(VLOOKUP($B54,Seqs!$A:$B,2,0),AI54,1),"")</f>
        <v>F</v>
      </c>
      <c r="AI54" s="3">
        <v>201</v>
      </c>
      <c r="AJ54" s="3" t="str">
        <f>IFERROR(MID(VLOOKUP($B54,Seqs!$A:$B,2,0),AK54,1),"")</f>
        <v>N</v>
      </c>
      <c r="AK54" s="3">
        <v>204</v>
      </c>
      <c r="AL54" s="3" t="str">
        <f>IFERROR(MID(VLOOKUP($B54,Seqs!$A:$B,2,0),AM54,1),"")</f>
        <v>I</v>
      </c>
      <c r="AM54" s="3">
        <v>238</v>
      </c>
      <c r="AN54" s="3" t="str">
        <f>IFERROR(MID(VLOOKUP($B54,Seqs!$A:$B,2,0),AO54,1),"")</f>
        <v>R</v>
      </c>
      <c r="AO54" s="3">
        <v>275</v>
      </c>
      <c r="AP54" s="3" t="str">
        <f>IFERROR(MID(VLOOKUP($B54,Seqs!$A:$B,2,0),AQ54,1),"")</f>
        <v>N</v>
      </c>
      <c r="AQ54" s="3">
        <v>316</v>
      </c>
      <c r="AR54" s="3" t="str">
        <f>IFERROR(MID(VLOOKUP($B54,Seqs!$A:$B,2,0),AS54,1),"")</f>
        <v>P</v>
      </c>
      <c r="AS54" s="3">
        <v>321</v>
      </c>
      <c r="AT54" s="3" t="str">
        <f>IFERROR(MID(VLOOKUP($B54,Seqs!$A:$B,2,0),AU54,1),"")</f>
        <v>R</v>
      </c>
      <c r="AU54" s="3">
        <v>345</v>
      </c>
      <c r="AV54" s="3" t="str">
        <f>IFERROR(MID(VLOOKUP($B54,Seqs!$A:$B,2,0),AW54,1),"")</f>
        <v>S</v>
      </c>
      <c r="AW54" s="3">
        <v>346</v>
      </c>
      <c r="AX54" s="3" t="str">
        <f>IFERROR(MID(VLOOKUP($B54,Seqs!$A:$B,2,0),AY54,1),"")</f>
        <v>C</v>
      </c>
      <c r="AY54" s="3">
        <v>358</v>
      </c>
      <c r="AZ54" s="79" t="str">
        <f>VLOOKUP(B54,Classification!A:D,2,0)</f>
        <v>A</v>
      </c>
      <c r="BA54" s="97" t="str">
        <f>VLOOKUP(B54,Classification!A:D,4,0)</f>
        <v>Adrenoceptors</v>
      </c>
      <c r="BB54" s="27" t="b">
        <f t="shared" si="195"/>
        <v>1</v>
      </c>
      <c r="BC54" s="23">
        <f t="shared" si="84"/>
        <v>265</v>
      </c>
      <c r="BD54" s="4" t="s">
        <v>23</v>
      </c>
      <c r="BE54" s="3" t="s">
        <v>1381</v>
      </c>
      <c r="BF54" s="50" t="s">
        <v>1384</v>
      </c>
      <c r="BG54" s="50" t="s">
        <v>1384</v>
      </c>
      <c r="BH54" s="1"/>
      <c r="BI54" s="72" t="s">
        <v>1293</v>
      </c>
      <c r="BJ54" s="58" t="s">
        <v>1293</v>
      </c>
      <c r="BK54" s="58" t="s">
        <v>1293</v>
      </c>
      <c r="BL54" s="58" t="s">
        <v>1293</v>
      </c>
      <c r="BM54" s="58" t="s">
        <v>1293</v>
      </c>
      <c r="BN54" s="58" t="s">
        <v>1293</v>
      </c>
      <c r="BO54" s="58" t="s">
        <v>1293</v>
      </c>
      <c r="BP54" s="58" t="s">
        <v>1293</v>
      </c>
      <c r="BQ54" s="58" t="s">
        <v>1293</v>
      </c>
      <c r="BR54" s="58" t="s">
        <v>1293</v>
      </c>
      <c r="BS54" s="58" t="s">
        <v>1293</v>
      </c>
      <c r="BT54" s="58" t="s">
        <v>1293</v>
      </c>
      <c r="BU54" s="72">
        <f t="shared" si="85"/>
        <v>33</v>
      </c>
      <c r="BV54" s="73">
        <f t="shared" si="86"/>
        <v>70</v>
      </c>
      <c r="BW54" s="74">
        <f t="shared" si="87"/>
        <v>74</v>
      </c>
      <c r="BX54" s="73">
        <f t="shared" si="88"/>
        <v>106</v>
      </c>
      <c r="BY54" s="74">
        <f t="shared" si="89"/>
        <v>110</v>
      </c>
      <c r="BZ54" s="73">
        <f t="shared" si="90"/>
        <v>146</v>
      </c>
      <c r="CA54" s="74">
        <f t="shared" si="91"/>
        <v>154</v>
      </c>
      <c r="CB54" s="73">
        <f t="shared" si="92"/>
        <v>199</v>
      </c>
      <c r="CC54" s="74">
        <f t="shared" si="93"/>
        <v>204</v>
      </c>
      <c r="CD54" s="73">
        <f t="shared" si="94"/>
        <v>275</v>
      </c>
      <c r="CE54" s="74">
        <f t="shared" si="95"/>
        <v>321</v>
      </c>
      <c r="CF54" s="73">
        <f t="shared" si="96"/>
        <v>346</v>
      </c>
      <c r="CG54" s="72">
        <f t="shared" si="97"/>
        <v>69</v>
      </c>
      <c r="CH54" s="73">
        <f t="shared" si="98"/>
        <v>73</v>
      </c>
      <c r="CI54" s="74">
        <f t="shared" si="99"/>
        <v>104</v>
      </c>
      <c r="CJ54" s="74">
        <f t="shared" si="100"/>
        <v>109</v>
      </c>
      <c r="CK54" s="74">
        <f t="shared" si="101"/>
        <v>145</v>
      </c>
      <c r="CL54" s="74">
        <f t="shared" si="102"/>
        <v>153</v>
      </c>
      <c r="CM54" s="74">
        <f t="shared" si="103"/>
        <v>180</v>
      </c>
      <c r="CN54" s="74">
        <f t="shared" si="104"/>
        <v>201</v>
      </c>
      <c r="CO54" s="74">
        <f t="shared" si="105"/>
        <v>238</v>
      </c>
      <c r="CP54" s="74">
        <f t="shared" si="106"/>
        <v>316</v>
      </c>
      <c r="CQ54" s="74">
        <f t="shared" si="107"/>
        <v>345</v>
      </c>
      <c r="CR54" s="74">
        <f t="shared" si="108"/>
        <v>358</v>
      </c>
      <c r="CS54" s="23">
        <f t="shared" si="109"/>
        <v>1</v>
      </c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/>
      <c r="LV54" s="1"/>
      <c r="LW54" s="1"/>
      <c r="LX54" s="1"/>
      <c r="LY54" s="1"/>
      <c r="LZ54" s="1"/>
      <c r="MA54" s="1"/>
      <c r="MB54" s="1"/>
      <c r="MC54" s="1"/>
      <c r="MD54" s="1"/>
      <c r="ME54" s="1"/>
      <c r="MF54" s="1"/>
      <c r="MG54" s="1"/>
      <c r="MH54" s="1"/>
      <c r="MI54" s="1"/>
      <c r="MJ54" s="1"/>
      <c r="MK54" s="1"/>
      <c r="ML54" s="1"/>
      <c r="MM54" s="1"/>
      <c r="MN54" s="1"/>
      <c r="MO54" s="1"/>
      <c r="MP54" s="1"/>
      <c r="MQ54" s="1"/>
      <c r="MR54" s="1"/>
      <c r="MS54" s="1"/>
      <c r="MT54" s="1"/>
      <c r="MU54" s="1"/>
      <c r="MV54" s="1"/>
      <c r="MW54" s="1"/>
      <c r="MX54" s="1"/>
      <c r="MY54" s="1"/>
      <c r="MZ54" s="1"/>
      <c r="NA54" s="1"/>
      <c r="NB54" s="1"/>
      <c r="NC54" s="1"/>
      <c r="ND54" s="1"/>
      <c r="NE54" s="1"/>
      <c r="NF54" s="1"/>
      <c r="NG54" s="1"/>
      <c r="NH54" s="1"/>
      <c r="NI54" s="1"/>
      <c r="NJ54" s="1"/>
      <c r="NK54" s="1"/>
      <c r="NL54" s="1"/>
      <c r="NM54" s="1"/>
      <c r="NN54" s="1"/>
      <c r="NO54" s="1"/>
      <c r="NP54" s="1"/>
      <c r="NQ54" s="1"/>
      <c r="NR54" s="1"/>
      <c r="NS54" s="1"/>
      <c r="NT54" s="1"/>
      <c r="NU54" s="1"/>
      <c r="NV54" s="1"/>
      <c r="NW54" s="1"/>
      <c r="NX54" s="1"/>
      <c r="NY54" s="1"/>
      <c r="NZ54" s="1"/>
      <c r="OA54" s="1"/>
      <c r="OB54" s="1"/>
      <c r="OC54" s="1"/>
      <c r="OD54" s="1"/>
      <c r="OE54" s="1"/>
      <c r="OF54" s="1"/>
      <c r="OG54" s="1"/>
      <c r="OH54" s="1"/>
      <c r="OI54" s="1"/>
      <c r="OJ54" s="1"/>
      <c r="OK54" s="1"/>
      <c r="OL54" s="1"/>
      <c r="OM54" s="1"/>
      <c r="ON54" s="1"/>
      <c r="OO54" s="1"/>
      <c r="OP54" s="1"/>
      <c r="OQ54" s="1"/>
      <c r="OR54" s="1"/>
      <c r="OS54" s="1"/>
      <c r="OT54" s="1"/>
      <c r="OU54" s="1"/>
      <c r="OV54" s="1"/>
      <c r="OW54" s="1"/>
      <c r="OX54" s="1"/>
      <c r="OY54" s="1"/>
      <c r="OZ54" s="1"/>
      <c r="PA54" s="1"/>
      <c r="PB54" s="1"/>
      <c r="PC54" s="1"/>
      <c r="PD54" s="1"/>
      <c r="PE54" s="1"/>
      <c r="PF54" s="1"/>
      <c r="PG54" s="1"/>
      <c r="PH54" s="1"/>
      <c r="PI54" s="1"/>
      <c r="PJ54" s="1"/>
      <c r="PK54" s="1"/>
      <c r="PL54" s="1"/>
      <c r="PM54" s="1"/>
      <c r="PN54" s="1"/>
      <c r="PO54" s="1"/>
      <c r="PP54" s="1"/>
      <c r="PQ54" s="1"/>
      <c r="PR54" s="1"/>
      <c r="PS54" s="1"/>
      <c r="PT54" s="1"/>
      <c r="PU54" s="1"/>
      <c r="PV54" s="1"/>
      <c r="PW54" s="1"/>
      <c r="PX54" s="1"/>
      <c r="PY54" s="1"/>
      <c r="PZ54" s="1"/>
      <c r="QA54" s="1"/>
      <c r="QB54" s="1"/>
      <c r="QC54" s="1"/>
      <c r="QD54" s="1"/>
      <c r="QE54" s="1"/>
      <c r="QF54" s="1"/>
      <c r="QG54" s="1"/>
      <c r="QH54" s="1"/>
      <c r="QI54" s="1"/>
      <c r="QJ54" s="1"/>
      <c r="QK54" s="1"/>
      <c r="QL54" s="1"/>
      <c r="QM54" s="1"/>
      <c r="QN54" s="1"/>
      <c r="QO54" s="1"/>
      <c r="QP54" s="1"/>
      <c r="QQ54" s="1"/>
      <c r="QR54" s="1"/>
      <c r="QS54" s="1"/>
      <c r="QT54" s="1"/>
      <c r="QU54" s="1"/>
      <c r="QV54" s="1"/>
      <c r="QW54" s="1"/>
      <c r="QX54" s="1"/>
      <c r="QY54" s="1"/>
      <c r="QZ54" s="1"/>
      <c r="RA54" s="1"/>
      <c r="RB54" s="1"/>
      <c r="RC54" s="1"/>
      <c r="RD54" s="1"/>
      <c r="RE54" s="1"/>
      <c r="RF54" s="1"/>
      <c r="RG54" s="1"/>
      <c r="RH54" s="1"/>
      <c r="RI54" s="1"/>
      <c r="RJ54" s="1"/>
      <c r="RK54" s="1"/>
      <c r="RL54" s="1"/>
      <c r="RM54" s="1"/>
      <c r="RN54" s="1"/>
      <c r="RO54" s="1"/>
      <c r="RP54" s="1"/>
      <c r="RQ54" s="1"/>
      <c r="RR54" s="1"/>
      <c r="RS54" s="1"/>
      <c r="RT54" s="1"/>
      <c r="RU54" s="1"/>
      <c r="RV54" s="1"/>
      <c r="RW54" s="1"/>
      <c r="RX54" s="1"/>
      <c r="RY54" s="1"/>
      <c r="RZ54" s="1"/>
      <c r="SA54" s="1"/>
      <c r="SB54" s="1"/>
      <c r="SC54" s="1"/>
      <c r="SD54" s="1"/>
      <c r="SE54" s="1"/>
      <c r="SF54" s="1"/>
      <c r="SG54" s="1"/>
      <c r="SH54" s="1"/>
      <c r="SI54" s="1"/>
      <c r="SJ54" s="1"/>
      <c r="SK54" s="1"/>
      <c r="SL54" s="1"/>
      <c r="SM54" s="1"/>
      <c r="SN54" s="1"/>
      <c r="SO54" s="1"/>
      <c r="SP54" s="1"/>
      <c r="SQ54" s="1"/>
      <c r="SR54" s="1"/>
      <c r="SS54" s="1"/>
      <c r="ST54" s="1"/>
      <c r="SU54" s="1"/>
      <c r="SV54" s="1"/>
      <c r="SW54" s="1"/>
      <c r="SX54" s="1"/>
      <c r="SY54" s="1"/>
      <c r="SZ54" s="1"/>
      <c r="TA54" s="1"/>
      <c r="TB54" s="1"/>
      <c r="TC54" s="1"/>
      <c r="TD54" s="1"/>
      <c r="TE54" s="1"/>
      <c r="TF54" s="1"/>
      <c r="TG54" s="1"/>
      <c r="TH54" s="1"/>
      <c r="TI54" s="1"/>
      <c r="TJ54" s="1"/>
      <c r="TK54" s="1"/>
      <c r="TL54" s="1"/>
      <c r="TM54" s="1"/>
      <c r="TN54" s="1"/>
      <c r="TO54" s="1"/>
      <c r="TP54" s="1"/>
      <c r="TQ54" s="1"/>
      <c r="TR54" s="1"/>
      <c r="TS54" s="1"/>
      <c r="TT54" s="1"/>
      <c r="TU54" s="1"/>
      <c r="TV54" s="1"/>
      <c r="TW54" s="1"/>
      <c r="TX54" s="1"/>
      <c r="TY54" s="1"/>
      <c r="TZ54" s="1"/>
      <c r="UA54" s="1"/>
      <c r="UB54" s="1"/>
      <c r="UC54" s="1"/>
      <c r="UD54" s="1"/>
      <c r="UE54" s="1"/>
      <c r="UF54" s="1"/>
      <c r="UG54" s="1"/>
      <c r="UH54" s="1"/>
      <c r="UI54" s="1"/>
      <c r="UJ54" s="1"/>
      <c r="UK54" s="1"/>
      <c r="UL54" s="1"/>
      <c r="UM54" s="1"/>
      <c r="UN54" s="1"/>
      <c r="UO54" s="1"/>
      <c r="UP54" s="1"/>
      <c r="UQ54" s="1"/>
      <c r="UR54" s="1"/>
      <c r="US54" s="1"/>
      <c r="UT54" s="1"/>
      <c r="UU54" s="1"/>
      <c r="UV54" s="1"/>
      <c r="UW54" s="1"/>
      <c r="UX54" s="1"/>
      <c r="UY54" s="1"/>
      <c r="UZ54" s="1"/>
      <c r="VA54" s="1"/>
      <c r="VB54" s="1"/>
      <c r="VC54" s="1"/>
      <c r="VD54" s="1"/>
      <c r="VE54" s="1"/>
      <c r="VF54" s="1"/>
      <c r="VG54" s="1"/>
      <c r="VH54" s="1"/>
      <c r="VI54" s="1"/>
      <c r="VJ54" s="1"/>
      <c r="VK54" s="1"/>
      <c r="VL54" s="1"/>
      <c r="VM54" s="1"/>
      <c r="VN54" s="1"/>
      <c r="VO54" s="1"/>
      <c r="VP54" s="1"/>
      <c r="VQ54" s="1"/>
      <c r="VR54" s="1"/>
      <c r="VS54" s="1"/>
      <c r="VT54" s="1"/>
      <c r="VU54" s="1"/>
      <c r="VV54" s="1"/>
      <c r="VW54" s="1"/>
      <c r="VX54" s="1"/>
      <c r="VY54" s="1"/>
      <c r="VZ54" s="1"/>
      <c r="WA54" s="1"/>
      <c r="WB54" s="1"/>
      <c r="WC54" s="1"/>
      <c r="WD54" s="1"/>
      <c r="WE54" s="1"/>
      <c r="WF54" s="1"/>
      <c r="WG54" s="1"/>
      <c r="WH54" s="1"/>
      <c r="WI54" s="1"/>
      <c r="WJ54" s="1"/>
      <c r="WK54" s="1"/>
      <c r="WL54" s="1"/>
      <c r="WM54" s="1"/>
      <c r="WN54" s="1"/>
      <c r="WO54" s="1"/>
      <c r="WP54" s="1"/>
      <c r="WQ54" s="1"/>
      <c r="WR54" s="1"/>
      <c r="WS54" s="1"/>
      <c r="WT54" s="1"/>
      <c r="WU54" s="1"/>
      <c r="WV54" s="1"/>
      <c r="WW54" s="1"/>
      <c r="WX54" s="1"/>
      <c r="WY54" s="1"/>
      <c r="WZ54" s="1"/>
      <c r="XA54" s="1"/>
      <c r="XB54" s="1"/>
      <c r="XC54" s="1"/>
      <c r="XD54" s="1"/>
      <c r="XE54" s="1"/>
      <c r="XF54" s="1"/>
      <c r="XG54" s="1"/>
      <c r="XH54" s="1"/>
      <c r="XI54" s="1"/>
      <c r="XJ54" s="1"/>
      <c r="XK54" s="1"/>
      <c r="XL54" s="1"/>
      <c r="XM54" s="1"/>
      <c r="XN54" s="1"/>
      <c r="XO54" s="1"/>
      <c r="XP54" s="1"/>
      <c r="XQ54" s="1"/>
      <c r="XR54" s="1"/>
      <c r="XS54" s="1"/>
      <c r="XT54" s="1"/>
      <c r="XU54" s="1"/>
      <c r="XV54" s="1"/>
      <c r="XW54" s="1"/>
      <c r="XX54" s="1"/>
      <c r="XY54" s="1"/>
      <c r="XZ54" s="1"/>
      <c r="YA54" s="1"/>
      <c r="YB54" s="1"/>
      <c r="YC54" s="1"/>
      <c r="YD54" s="1"/>
      <c r="YE54" s="1"/>
      <c r="YF54" s="1"/>
      <c r="YG54" s="1"/>
      <c r="YH54" s="1"/>
      <c r="YI54" s="1"/>
      <c r="YJ54" s="1"/>
      <c r="YK54" s="1"/>
      <c r="YL54" s="1"/>
      <c r="YM54" s="1"/>
      <c r="YN54" s="1"/>
      <c r="YO54" s="1"/>
      <c r="YP54" s="1"/>
      <c r="YQ54" s="1"/>
      <c r="YR54" s="1"/>
      <c r="YS54" s="1"/>
      <c r="YT54" s="1"/>
      <c r="YU54" s="1"/>
      <c r="YV54" s="1"/>
      <c r="YW54" s="1"/>
      <c r="YX54" s="1"/>
      <c r="YY54" s="1"/>
      <c r="YZ54" s="1"/>
      <c r="ZA54" s="1"/>
      <c r="ZB54" s="1"/>
      <c r="ZC54" s="1"/>
      <c r="ZD54" s="1"/>
      <c r="ZE54" s="1"/>
      <c r="ZF54" s="1"/>
      <c r="ZG54" s="1"/>
      <c r="ZH54" s="1"/>
      <c r="ZI54" s="1"/>
      <c r="ZJ54" s="1"/>
      <c r="ZK54" s="1"/>
      <c r="ZL54" s="1"/>
      <c r="ZM54" s="1"/>
      <c r="ZN54" s="1"/>
      <c r="ZO54" s="1"/>
      <c r="ZP54" s="1"/>
      <c r="ZQ54" s="1"/>
      <c r="ZR54" s="1"/>
      <c r="ZS54" s="1"/>
      <c r="ZT54" s="1"/>
      <c r="ZU54" s="1"/>
      <c r="ZV54" s="1"/>
      <c r="ZW54" s="1"/>
      <c r="ZX54" s="1"/>
      <c r="ZY54" s="1"/>
      <c r="ZZ54" s="1"/>
      <c r="AAA54" s="1"/>
      <c r="AAB54" s="1"/>
      <c r="AAC54" s="1"/>
      <c r="AAD54" s="1"/>
      <c r="AAE54" s="1"/>
      <c r="AAF54" s="1"/>
      <c r="AAG54" s="1"/>
      <c r="AAH54" s="1"/>
      <c r="AAI54" s="1"/>
      <c r="AAJ54" s="1"/>
      <c r="AAK54" s="1"/>
      <c r="AAL54" s="1"/>
      <c r="AAM54" s="1"/>
      <c r="AAN54" s="1"/>
      <c r="AAO54" s="1"/>
      <c r="AAP54" s="1"/>
      <c r="AAQ54" s="1"/>
      <c r="AAR54" s="1"/>
      <c r="AAS54" s="1"/>
      <c r="AAT54" s="1"/>
      <c r="AAU54" s="1"/>
      <c r="AAV54" s="1"/>
      <c r="AAW54" s="1"/>
      <c r="AAX54" s="1"/>
      <c r="AAY54" s="1"/>
      <c r="AAZ54" s="1"/>
      <c r="ABA54" s="1"/>
      <c r="ABB54" s="1"/>
      <c r="ABC54" s="1"/>
      <c r="ABD54" s="1"/>
      <c r="ABE54" s="1"/>
      <c r="ABF54" s="1"/>
      <c r="ABG54" s="1"/>
      <c r="ABH54" s="1"/>
      <c r="ABI54" s="1"/>
      <c r="ABJ54" s="1"/>
      <c r="ABK54" s="1"/>
      <c r="ABL54" s="1"/>
      <c r="ABM54" s="1"/>
      <c r="ABN54" s="1"/>
      <c r="ABO54" s="1"/>
      <c r="ABP54" s="1"/>
      <c r="ABQ54" s="1"/>
      <c r="ABR54" s="1"/>
      <c r="ABS54" s="1"/>
      <c r="ABT54" s="1"/>
      <c r="ABU54" s="1"/>
      <c r="ABV54" s="1"/>
      <c r="ABW54" s="1"/>
      <c r="ABX54" s="1"/>
      <c r="ABY54" s="1"/>
      <c r="ABZ54" s="1"/>
      <c r="ACA54" s="1"/>
      <c r="ACB54" s="1"/>
      <c r="ACC54" s="1"/>
      <c r="ACD54" s="1"/>
      <c r="ACE54" s="1"/>
      <c r="ACF54" s="1"/>
      <c r="ACG54" s="1"/>
      <c r="ACH54" s="1"/>
      <c r="ACI54" s="1"/>
      <c r="ACJ54" s="1"/>
      <c r="ACK54" s="1"/>
      <c r="ACL54" s="1"/>
      <c r="ACM54" s="1"/>
      <c r="ACN54" s="1"/>
      <c r="ACO54" s="1"/>
      <c r="ACP54" s="1"/>
      <c r="ACQ54" s="1"/>
      <c r="ACR54" s="1"/>
      <c r="ACS54" s="1"/>
      <c r="ACT54" s="1"/>
      <c r="ACU54" s="1"/>
      <c r="ACV54" s="1"/>
      <c r="ACW54" s="1"/>
      <c r="ACX54" s="1"/>
      <c r="ACY54" s="1"/>
      <c r="ACZ54" s="1"/>
      <c r="ADA54" s="1"/>
      <c r="ADB54" s="1"/>
      <c r="ADC54" s="1"/>
      <c r="ADD54" s="1"/>
      <c r="ADE54" s="1"/>
      <c r="ADF54" s="1"/>
      <c r="ADG54" s="1"/>
      <c r="ADH54" s="1"/>
      <c r="ADI54" s="1"/>
      <c r="ADJ54" s="1"/>
      <c r="ADK54" s="1"/>
      <c r="ADL54" s="1"/>
      <c r="ADM54" s="1"/>
      <c r="ADN54" s="1"/>
      <c r="ADO54" s="1"/>
      <c r="ADP54" s="1"/>
      <c r="ADQ54" s="1"/>
      <c r="ADR54" s="1"/>
      <c r="ADS54" s="1"/>
      <c r="ADT54" s="1"/>
      <c r="ADU54" s="1"/>
      <c r="ADV54" s="1"/>
      <c r="ADW54" s="1"/>
      <c r="ADX54" s="1"/>
      <c r="ADY54" s="1"/>
      <c r="ADZ54" s="1"/>
      <c r="AEA54" s="1"/>
      <c r="AEB54" s="1"/>
      <c r="AEC54" s="1"/>
      <c r="AED54" s="1"/>
      <c r="AEE54" s="1"/>
      <c r="AEF54" s="1"/>
      <c r="AEG54" s="1"/>
      <c r="AEH54" s="1"/>
      <c r="AEI54" s="1"/>
      <c r="AEJ54" s="1"/>
      <c r="AEK54" s="1"/>
      <c r="AEL54" s="1"/>
      <c r="AEM54" s="1"/>
      <c r="AEN54" s="1"/>
      <c r="AEO54" s="1"/>
      <c r="AEP54" s="1"/>
      <c r="AEQ54" s="1"/>
      <c r="AER54" s="1"/>
      <c r="AES54" s="1"/>
      <c r="AET54" s="1"/>
      <c r="AEU54" s="1"/>
      <c r="AEV54" s="1"/>
      <c r="AEW54" s="1"/>
      <c r="AEX54" s="1"/>
      <c r="AEY54" s="1"/>
      <c r="AEZ54" s="1"/>
      <c r="AFA54" s="1"/>
      <c r="AFB54" s="1"/>
      <c r="AFC54" s="1"/>
      <c r="AFD54" s="1"/>
      <c r="AFE54" s="1"/>
      <c r="AFF54" s="1"/>
      <c r="AFG54" s="1"/>
      <c r="AFH54" s="1"/>
      <c r="AFI54" s="1"/>
      <c r="AFJ54" s="1"/>
      <c r="AFK54" s="1"/>
      <c r="AFL54" s="1"/>
      <c r="AFM54" s="1"/>
      <c r="AFN54" s="1"/>
      <c r="AFO54" s="1"/>
      <c r="AFP54" s="1"/>
      <c r="AFQ54" s="1"/>
      <c r="AFR54" s="1"/>
      <c r="AFS54" s="1"/>
      <c r="AFT54" s="1"/>
      <c r="AFU54" s="1"/>
      <c r="AFV54" s="1"/>
      <c r="AFW54" s="1"/>
      <c r="AFX54" s="1"/>
      <c r="AFY54" s="1"/>
      <c r="AFZ54" s="1"/>
      <c r="AGA54" s="1"/>
      <c r="AGB54" s="1"/>
      <c r="AGC54" s="1"/>
      <c r="AGD54" s="1"/>
      <c r="AGE54" s="1"/>
      <c r="AGF54" s="1"/>
      <c r="AGG54" s="1"/>
      <c r="AGH54" s="1"/>
      <c r="AGI54" s="1"/>
      <c r="AGJ54" s="1"/>
      <c r="AGK54" s="1"/>
      <c r="AGL54" s="1"/>
      <c r="AGM54" s="1"/>
      <c r="AGN54" s="1"/>
      <c r="AGO54" s="1"/>
      <c r="AGP54" s="1"/>
      <c r="AGQ54" s="1"/>
      <c r="AGR54" s="1"/>
      <c r="AGS54" s="1"/>
      <c r="AGT54" s="1"/>
      <c r="AGU54" s="1"/>
      <c r="AGV54" s="1"/>
      <c r="AGW54" s="1"/>
      <c r="AGX54" s="1"/>
      <c r="AGY54" s="1"/>
      <c r="AGZ54" s="1"/>
      <c r="AHA54" s="1"/>
      <c r="AHB54" s="1"/>
      <c r="AHC54" s="1"/>
      <c r="AHD54" s="1"/>
      <c r="AHE54" s="1"/>
      <c r="AHF54" s="1"/>
      <c r="AHG54" s="1"/>
      <c r="AHH54" s="1"/>
      <c r="AHI54" s="1"/>
      <c r="AHJ54" s="1"/>
      <c r="AHK54" s="1"/>
      <c r="AHL54" s="1"/>
      <c r="AHM54" s="1"/>
      <c r="AHN54" s="1"/>
      <c r="AHO54" s="1"/>
      <c r="AHP54" s="1"/>
      <c r="AHQ54" s="1"/>
      <c r="AHR54" s="1"/>
      <c r="AHS54" s="1"/>
      <c r="AHT54" s="1"/>
      <c r="AHU54" s="1"/>
      <c r="AHV54" s="1"/>
      <c r="AHW54" s="1"/>
      <c r="AHX54" s="1"/>
      <c r="AHY54" s="1"/>
      <c r="AHZ54" s="1"/>
      <c r="AIA54" s="1"/>
      <c r="AIB54" s="1"/>
      <c r="AIC54" s="1"/>
      <c r="AID54" s="1"/>
      <c r="AIE54" s="1"/>
      <c r="AIF54" s="1"/>
      <c r="AIG54" s="1"/>
      <c r="AIH54" s="1"/>
      <c r="AII54" s="1"/>
      <c r="AIJ54" s="1"/>
      <c r="AIK54" s="1"/>
      <c r="AIL54" s="1"/>
      <c r="AIM54" s="1"/>
      <c r="AIN54" s="1"/>
      <c r="AIO54" s="1"/>
      <c r="AIP54" s="1"/>
      <c r="AIQ54" s="1"/>
      <c r="AIR54" s="1"/>
      <c r="AIS54" s="1"/>
      <c r="AIT54" s="1"/>
      <c r="AIU54" s="1"/>
      <c r="AIV54" s="1"/>
      <c r="AIW54" s="1"/>
      <c r="AIX54" s="1"/>
      <c r="AIY54" s="1"/>
      <c r="AIZ54" s="1"/>
      <c r="AJA54" s="1"/>
      <c r="AJB54" s="1"/>
      <c r="AJC54" s="1"/>
      <c r="AJD54" s="1"/>
      <c r="AJE54" s="1"/>
      <c r="AJF54" s="1"/>
      <c r="AJG54" s="1"/>
      <c r="AJH54" s="1"/>
      <c r="AJI54" s="1"/>
      <c r="AJJ54" s="1"/>
      <c r="AJK54" s="1"/>
      <c r="AJL54" s="1"/>
      <c r="AJM54" s="1"/>
      <c r="AJN54" s="1"/>
      <c r="AJO54" s="1"/>
      <c r="AJP54" s="1"/>
      <c r="AJQ54" s="1"/>
      <c r="AJR54" s="1"/>
      <c r="AJS54" s="1"/>
      <c r="AJT54" s="1"/>
      <c r="AJU54" s="1"/>
      <c r="AJV54" s="1"/>
      <c r="AJW54" s="1"/>
      <c r="AJX54" s="1"/>
      <c r="AJY54" s="1"/>
      <c r="AJZ54" s="1"/>
      <c r="AKA54" s="1"/>
      <c r="AKB54" s="1"/>
      <c r="AKC54" s="1"/>
      <c r="AKD54" s="1"/>
      <c r="AKE54" s="1"/>
      <c r="AKF54" s="1"/>
      <c r="AKG54" s="1"/>
      <c r="AKH54" s="1"/>
      <c r="AKI54" s="1"/>
      <c r="AKJ54" s="1"/>
      <c r="AKK54" s="1"/>
      <c r="AKL54" s="1"/>
      <c r="AKM54" s="1"/>
      <c r="AKN54" s="1"/>
      <c r="AKO54" s="1"/>
      <c r="AKP54" s="1"/>
      <c r="AKQ54" s="1"/>
      <c r="AKR54" s="1"/>
      <c r="AKS54" s="1"/>
      <c r="AKT54" s="1"/>
      <c r="AKU54" s="1"/>
      <c r="AKV54" s="1"/>
      <c r="AKW54" s="1"/>
      <c r="AKX54" s="1"/>
      <c r="AKY54" s="1"/>
      <c r="AKZ54" s="1"/>
      <c r="ALA54" s="1"/>
      <c r="ALB54" s="1"/>
      <c r="ALC54" s="1"/>
      <c r="ALD54" s="1"/>
      <c r="ALE54" s="1"/>
      <c r="ALF54" s="1"/>
      <c r="ALG54" s="1"/>
      <c r="ALH54" s="1"/>
      <c r="ALI54" s="1"/>
      <c r="ALJ54" s="1"/>
      <c r="ALK54" s="1"/>
      <c r="ALL54" s="1"/>
      <c r="ALM54" s="1"/>
      <c r="ALN54" s="1"/>
      <c r="ALO54" s="1"/>
      <c r="ALP54" s="1"/>
      <c r="ALQ54" s="1"/>
      <c r="ALR54" s="1"/>
      <c r="ALS54" s="1"/>
      <c r="ALT54" s="1"/>
      <c r="ALU54" s="1"/>
      <c r="ALV54" s="1"/>
      <c r="ALW54" s="1"/>
      <c r="ALX54" s="1"/>
      <c r="ALY54" s="1"/>
      <c r="ALZ54" s="1"/>
      <c r="AMA54" s="1"/>
      <c r="AMB54" s="1"/>
      <c r="AMC54" s="1"/>
      <c r="AMD54" s="1"/>
      <c r="AME54" s="1"/>
      <c r="AMF54" s="1"/>
      <c r="AMG54" s="1"/>
      <c r="AMH54" s="1"/>
      <c r="AMI54" s="1"/>
      <c r="AMJ54" s="1"/>
      <c r="AMK54" s="1"/>
      <c r="AML54" s="1"/>
      <c r="AMM54" s="1"/>
      <c r="AMN54" s="1"/>
    </row>
    <row r="55" spans="1:1028" x14ac:dyDescent="0.2">
      <c r="A55" s="3" t="str">
        <f t="shared" si="194"/>
        <v>adrb1_melga_3ZPR</v>
      </c>
      <c r="B55" s="3" t="s">
        <v>912</v>
      </c>
      <c r="C55" s="3" t="s">
        <v>1039</v>
      </c>
      <c r="D55" s="3" t="str">
        <f>IFERROR(MID(VLOOKUP($B55,Seqs!$A:$B,2,0),E55,1),"")</f>
        <v>A</v>
      </c>
      <c r="E55" s="3">
        <v>33</v>
      </c>
      <c r="F55" s="3" t="str">
        <f>IFERROR(MID(VLOOKUP($B55,Seqs!$A:$B,2,0),G55,1),"")</f>
        <v>T</v>
      </c>
      <c r="G55" s="3">
        <v>69</v>
      </c>
      <c r="H55" s="3" t="str">
        <f>IFERROR(MID(VLOOKUP($B55,Seqs!$A:$B,2,0),I55,1),"")</f>
        <v>Q</v>
      </c>
      <c r="I55" s="23">
        <v>70</v>
      </c>
      <c r="J55" s="3" t="str">
        <f>IFERROR(MID(VLOOKUP($B55,Seqs!$A:$B,2,0),K55,1),"")</f>
        <v>Q</v>
      </c>
      <c r="K55" s="23">
        <v>73</v>
      </c>
      <c r="L55" s="3" t="str">
        <f>IFERROR(MID(VLOOKUP($B55,Seqs!$A:$B,2,0),M55,1),"")</f>
        <v>T</v>
      </c>
      <c r="M55" s="3">
        <v>74</v>
      </c>
      <c r="N55" s="3" t="str">
        <f>IFERROR(MID(VLOOKUP($B55,Seqs!$A:$B,2,0),O55,1),"")</f>
        <v>R</v>
      </c>
      <c r="O55" s="3">
        <v>104</v>
      </c>
      <c r="P55" s="3" t="str">
        <f>IFERROR(MID(VLOOKUP($B55,Seqs!$A:$B,2,0),Q55,1),"")</f>
        <v>T</v>
      </c>
      <c r="Q55" s="3">
        <v>106</v>
      </c>
      <c r="R55" s="3" t="str">
        <f>IFERROR(MID(VLOOKUP($B55,Seqs!$A:$B,2,0),S55,1),"")</f>
        <v>W</v>
      </c>
      <c r="S55" s="3">
        <v>109</v>
      </c>
      <c r="T55" s="3" t="str">
        <f>IFERROR(MID(VLOOKUP($B55,Seqs!$A:$B,2,0),U55,1),"")</f>
        <v>G</v>
      </c>
      <c r="U55" s="3">
        <v>110</v>
      </c>
      <c r="V55" s="3" t="str">
        <f>IFERROR(MID(VLOOKUP($B55,Seqs!$A:$B,2,0),W55,1),"")</f>
        <v>S</v>
      </c>
      <c r="W55" s="3">
        <v>145</v>
      </c>
      <c r="X55" s="3" t="str">
        <f>IFERROR(MID(VLOOKUP($B55,Seqs!$A:$B,2,0),Y55,1),"")</f>
        <v>P</v>
      </c>
      <c r="Y55" s="3">
        <v>146</v>
      </c>
      <c r="Z55" s="3" t="str">
        <f>IFERROR(MID(VLOOKUP($B55,Seqs!$A:$B,2,0),AA55,1),"")</f>
        <v>M</v>
      </c>
      <c r="AA55" s="3">
        <v>153</v>
      </c>
      <c r="AB55" s="3" t="str">
        <f>IFERROR(MID(VLOOKUP($B55,Seqs!$A:$B,2,0),AC55,1),"")</f>
        <v>T</v>
      </c>
      <c r="AC55" s="9">
        <v>154</v>
      </c>
      <c r="AD55" s="3" t="str">
        <f>IFERROR(MID(VLOOKUP($B55,Seqs!$A:$B,2,0),AE55,1),"")</f>
        <v>H</v>
      </c>
      <c r="AE55" s="3">
        <v>180</v>
      </c>
      <c r="AF55" s="3" t="str">
        <f>IFERROR(MID(VLOOKUP($B55,Seqs!$A:$B,2,0),AG55,1),"")</f>
        <v>C</v>
      </c>
      <c r="AG55" s="3">
        <v>199</v>
      </c>
      <c r="AH55" s="3" t="str">
        <f>IFERROR(MID(VLOOKUP($B55,Seqs!$A:$B,2,0),AI55,1),"")</f>
        <v>F</v>
      </c>
      <c r="AI55" s="3">
        <v>201</v>
      </c>
      <c r="AJ55" s="3" t="str">
        <f>IFERROR(MID(VLOOKUP($B55,Seqs!$A:$B,2,0),AK55,1),"")</f>
        <v>N</v>
      </c>
      <c r="AK55" s="3">
        <v>204</v>
      </c>
      <c r="AL55" s="3" t="str">
        <f>IFERROR(MID(VLOOKUP($B55,Seqs!$A:$B,2,0),AM55,1),"")</f>
        <v>I</v>
      </c>
      <c r="AM55" s="3">
        <v>238</v>
      </c>
      <c r="AN55" s="3" t="str">
        <f>IFERROR(MID(VLOOKUP($B55,Seqs!$A:$B,2,0),AO55,1),"")</f>
        <v>R</v>
      </c>
      <c r="AO55" s="3">
        <v>275</v>
      </c>
      <c r="AP55" s="3" t="str">
        <f>IFERROR(MID(VLOOKUP($B55,Seqs!$A:$B,2,0),AQ55,1),"")</f>
        <v>N</v>
      </c>
      <c r="AQ55" s="3">
        <v>316</v>
      </c>
      <c r="AR55" s="3" t="str">
        <f>IFERROR(MID(VLOOKUP($B55,Seqs!$A:$B,2,0),AS55,1),"")</f>
        <v>P</v>
      </c>
      <c r="AS55" s="3">
        <v>321</v>
      </c>
      <c r="AT55" s="3" t="str">
        <f>IFERROR(MID(VLOOKUP($B55,Seqs!$A:$B,2,0),AU55,1),"")</f>
        <v>R</v>
      </c>
      <c r="AU55" s="3">
        <v>345</v>
      </c>
      <c r="AV55" s="3" t="str">
        <f>IFERROR(MID(VLOOKUP($B55,Seqs!$A:$B,2,0),AW55,1),"")</f>
        <v>S</v>
      </c>
      <c r="AW55" s="3">
        <v>346</v>
      </c>
      <c r="AX55" s="3" t="str">
        <f>IFERROR(MID(VLOOKUP($B55,Seqs!$A:$B,2,0),AY55,1),"")</f>
        <v>C</v>
      </c>
      <c r="AY55" s="3">
        <v>358</v>
      </c>
      <c r="AZ55" s="79" t="str">
        <f>VLOOKUP(B55,Classification!A:D,2,0)</f>
        <v>A</v>
      </c>
      <c r="BA55" s="97" t="str">
        <f>VLOOKUP(B55,Classification!A:D,4,0)</f>
        <v>Adrenoceptors</v>
      </c>
      <c r="BB55" s="27" t="b">
        <f t="shared" si="195"/>
        <v>1</v>
      </c>
      <c r="BC55" s="23">
        <f t="shared" si="84"/>
        <v>265</v>
      </c>
      <c r="BD55" s="4" t="s">
        <v>23</v>
      </c>
      <c r="BE55" s="3" t="s">
        <v>1381</v>
      </c>
      <c r="BF55" s="50" t="s">
        <v>1384</v>
      </c>
      <c r="BG55" s="50" t="s">
        <v>1384</v>
      </c>
      <c r="BH55" s="1"/>
      <c r="BI55" s="72" t="s">
        <v>1293</v>
      </c>
      <c r="BJ55" s="58" t="s">
        <v>1293</v>
      </c>
      <c r="BK55" s="58" t="s">
        <v>1293</v>
      </c>
      <c r="BL55" s="58" t="s">
        <v>1293</v>
      </c>
      <c r="BM55" s="58" t="s">
        <v>1293</v>
      </c>
      <c r="BN55" s="58" t="s">
        <v>1293</v>
      </c>
      <c r="BO55" s="58" t="s">
        <v>1293</v>
      </c>
      <c r="BP55" s="58" t="s">
        <v>1293</v>
      </c>
      <c r="BQ55" s="58" t="s">
        <v>1293</v>
      </c>
      <c r="BR55" s="58" t="s">
        <v>1293</v>
      </c>
      <c r="BS55" s="58" t="s">
        <v>1293</v>
      </c>
      <c r="BT55" s="58" t="s">
        <v>1293</v>
      </c>
      <c r="BU55" s="72">
        <f t="shared" si="85"/>
        <v>33</v>
      </c>
      <c r="BV55" s="73">
        <f t="shared" si="86"/>
        <v>70</v>
      </c>
      <c r="BW55" s="74">
        <f t="shared" si="87"/>
        <v>74</v>
      </c>
      <c r="BX55" s="73">
        <f t="shared" si="88"/>
        <v>106</v>
      </c>
      <c r="BY55" s="74">
        <f t="shared" si="89"/>
        <v>110</v>
      </c>
      <c r="BZ55" s="73">
        <f t="shared" si="90"/>
        <v>146</v>
      </c>
      <c r="CA55" s="74">
        <f t="shared" si="91"/>
        <v>154</v>
      </c>
      <c r="CB55" s="73">
        <f t="shared" si="92"/>
        <v>199</v>
      </c>
      <c r="CC55" s="74">
        <f t="shared" si="93"/>
        <v>204</v>
      </c>
      <c r="CD55" s="73">
        <f t="shared" si="94"/>
        <v>275</v>
      </c>
      <c r="CE55" s="74">
        <f t="shared" si="95"/>
        <v>321</v>
      </c>
      <c r="CF55" s="73">
        <f t="shared" si="96"/>
        <v>346</v>
      </c>
      <c r="CG55" s="72">
        <f t="shared" si="97"/>
        <v>69</v>
      </c>
      <c r="CH55" s="73">
        <f t="shared" si="98"/>
        <v>73</v>
      </c>
      <c r="CI55" s="74">
        <f t="shared" si="99"/>
        <v>104</v>
      </c>
      <c r="CJ55" s="74">
        <f t="shared" si="100"/>
        <v>109</v>
      </c>
      <c r="CK55" s="74">
        <f t="shared" si="101"/>
        <v>145</v>
      </c>
      <c r="CL55" s="74">
        <f t="shared" si="102"/>
        <v>153</v>
      </c>
      <c r="CM55" s="74">
        <f t="shared" si="103"/>
        <v>180</v>
      </c>
      <c r="CN55" s="74">
        <f t="shared" si="104"/>
        <v>201</v>
      </c>
      <c r="CO55" s="74">
        <f t="shared" si="105"/>
        <v>238</v>
      </c>
      <c r="CP55" s="74">
        <f t="shared" si="106"/>
        <v>316</v>
      </c>
      <c r="CQ55" s="74">
        <f t="shared" si="107"/>
        <v>345</v>
      </c>
      <c r="CR55" s="74">
        <f t="shared" si="108"/>
        <v>358</v>
      </c>
      <c r="CS55" s="23">
        <f t="shared" si="109"/>
        <v>1</v>
      </c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/>
      <c r="KH55" s="1"/>
      <c r="KI55" s="1"/>
      <c r="KJ55" s="1"/>
      <c r="KK55" s="1"/>
      <c r="KL55" s="1"/>
      <c r="KM55" s="1"/>
      <c r="KN55" s="1"/>
      <c r="KO55" s="1"/>
      <c r="KP55" s="1"/>
      <c r="KQ55" s="1"/>
      <c r="KR55" s="1"/>
      <c r="KS55" s="1"/>
      <c r="KT55" s="1"/>
      <c r="KU55" s="1"/>
      <c r="KV55" s="1"/>
      <c r="KW55" s="1"/>
      <c r="KX55" s="1"/>
      <c r="KY55" s="1"/>
      <c r="KZ55" s="1"/>
      <c r="LA55" s="1"/>
      <c r="LB55" s="1"/>
      <c r="LC55" s="1"/>
      <c r="LD55" s="1"/>
      <c r="LE55" s="1"/>
      <c r="LF55" s="1"/>
      <c r="LG55" s="1"/>
      <c r="LH55" s="1"/>
      <c r="LI55" s="1"/>
      <c r="LJ55" s="1"/>
      <c r="LK55" s="1"/>
      <c r="LL55" s="1"/>
      <c r="LM55" s="1"/>
      <c r="LN55" s="1"/>
      <c r="LO55" s="1"/>
      <c r="LP55" s="1"/>
      <c r="LQ55" s="1"/>
      <c r="LR55" s="1"/>
      <c r="LS55" s="1"/>
      <c r="LT55" s="1"/>
      <c r="LU55" s="1"/>
      <c r="LV55" s="1"/>
      <c r="LW55" s="1"/>
      <c r="LX55" s="1"/>
      <c r="LY55" s="1"/>
      <c r="LZ55" s="1"/>
      <c r="MA55" s="1"/>
      <c r="MB55" s="1"/>
      <c r="MC55" s="1"/>
      <c r="MD55" s="1"/>
      <c r="ME55" s="1"/>
      <c r="MF55" s="1"/>
      <c r="MG55" s="1"/>
      <c r="MH55" s="1"/>
      <c r="MI55" s="1"/>
      <c r="MJ55" s="1"/>
      <c r="MK55" s="1"/>
      <c r="ML55" s="1"/>
      <c r="MM55" s="1"/>
      <c r="MN55" s="1"/>
      <c r="MO55" s="1"/>
      <c r="MP55" s="1"/>
      <c r="MQ55" s="1"/>
      <c r="MR55" s="1"/>
      <c r="MS55" s="1"/>
      <c r="MT55" s="1"/>
      <c r="MU55" s="1"/>
      <c r="MV55" s="1"/>
      <c r="MW55" s="1"/>
      <c r="MX55" s="1"/>
      <c r="MY55" s="1"/>
      <c r="MZ55" s="1"/>
      <c r="NA55" s="1"/>
      <c r="NB55" s="1"/>
      <c r="NC55" s="1"/>
      <c r="ND55" s="1"/>
      <c r="NE55" s="1"/>
      <c r="NF55" s="1"/>
      <c r="NG55" s="1"/>
      <c r="NH55" s="1"/>
      <c r="NI55" s="1"/>
      <c r="NJ55" s="1"/>
      <c r="NK55" s="1"/>
      <c r="NL55" s="1"/>
      <c r="NM55" s="1"/>
      <c r="NN55" s="1"/>
      <c r="NO55" s="1"/>
      <c r="NP55" s="1"/>
      <c r="NQ55" s="1"/>
      <c r="NR55" s="1"/>
      <c r="NS55" s="1"/>
      <c r="NT55" s="1"/>
      <c r="NU55" s="1"/>
      <c r="NV55" s="1"/>
      <c r="NW55" s="1"/>
      <c r="NX55" s="1"/>
      <c r="NY55" s="1"/>
      <c r="NZ55" s="1"/>
      <c r="OA55" s="1"/>
      <c r="OB55" s="1"/>
      <c r="OC55" s="1"/>
      <c r="OD55" s="1"/>
      <c r="OE55" s="1"/>
      <c r="OF55" s="1"/>
      <c r="OG55" s="1"/>
      <c r="OH55" s="1"/>
      <c r="OI55" s="1"/>
      <c r="OJ55" s="1"/>
      <c r="OK55" s="1"/>
      <c r="OL55" s="1"/>
      <c r="OM55" s="1"/>
      <c r="ON55" s="1"/>
      <c r="OO55" s="1"/>
      <c r="OP55" s="1"/>
      <c r="OQ55" s="1"/>
      <c r="OR55" s="1"/>
      <c r="OS55" s="1"/>
      <c r="OT55" s="1"/>
      <c r="OU55" s="1"/>
      <c r="OV55" s="1"/>
      <c r="OW55" s="1"/>
      <c r="OX55" s="1"/>
      <c r="OY55" s="1"/>
      <c r="OZ55" s="1"/>
      <c r="PA55" s="1"/>
      <c r="PB55" s="1"/>
      <c r="PC55" s="1"/>
      <c r="PD55" s="1"/>
      <c r="PE55" s="1"/>
      <c r="PF55" s="1"/>
      <c r="PG55" s="1"/>
      <c r="PH55" s="1"/>
      <c r="PI55" s="1"/>
      <c r="PJ55" s="1"/>
      <c r="PK55" s="1"/>
      <c r="PL55" s="1"/>
      <c r="PM55" s="1"/>
      <c r="PN55" s="1"/>
      <c r="PO55" s="1"/>
      <c r="PP55" s="1"/>
      <c r="PQ55" s="1"/>
      <c r="PR55" s="1"/>
      <c r="PS55" s="1"/>
      <c r="PT55" s="1"/>
      <c r="PU55" s="1"/>
      <c r="PV55" s="1"/>
      <c r="PW55" s="1"/>
      <c r="PX55" s="1"/>
      <c r="PY55" s="1"/>
      <c r="PZ55" s="1"/>
      <c r="QA55" s="1"/>
      <c r="QB55" s="1"/>
      <c r="QC55" s="1"/>
      <c r="QD55" s="1"/>
      <c r="QE55" s="1"/>
      <c r="QF55" s="1"/>
      <c r="QG55" s="1"/>
      <c r="QH55" s="1"/>
      <c r="QI55" s="1"/>
      <c r="QJ55" s="1"/>
      <c r="QK55" s="1"/>
      <c r="QL55" s="1"/>
      <c r="QM55" s="1"/>
      <c r="QN55" s="1"/>
      <c r="QO55" s="1"/>
      <c r="QP55" s="1"/>
      <c r="QQ55" s="1"/>
      <c r="QR55" s="1"/>
      <c r="QS55" s="1"/>
      <c r="QT55" s="1"/>
      <c r="QU55" s="1"/>
      <c r="QV55" s="1"/>
      <c r="QW55" s="1"/>
      <c r="QX55" s="1"/>
      <c r="QY55" s="1"/>
      <c r="QZ55" s="1"/>
      <c r="RA55" s="1"/>
      <c r="RB55" s="1"/>
      <c r="RC55" s="1"/>
      <c r="RD55" s="1"/>
      <c r="RE55" s="1"/>
      <c r="RF55" s="1"/>
      <c r="RG55" s="1"/>
      <c r="RH55" s="1"/>
      <c r="RI55" s="1"/>
      <c r="RJ55" s="1"/>
      <c r="RK55" s="1"/>
      <c r="RL55" s="1"/>
      <c r="RM55" s="1"/>
      <c r="RN55" s="1"/>
      <c r="RO55" s="1"/>
      <c r="RP55" s="1"/>
      <c r="RQ55" s="1"/>
      <c r="RR55" s="1"/>
      <c r="RS55" s="1"/>
      <c r="RT55" s="1"/>
      <c r="RU55" s="1"/>
      <c r="RV55" s="1"/>
      <c r="RW55" s="1"/>
      <c r="RX55" s="1"/>
      <c r="RY55" s="1"/>
      <c r="RZ55" s="1"/>
      <c r="SA55" s="1"/>
      <c r="SB55" s="1"/>
      <c r="SC55" s="1"/>
      <c r="SD55" s="1"/>
      <c r="SE55" s="1"/>
      <c r="SF55" s="1"/>
      <c r="SG55" s="1"/>
      <c r="SH55" s="1"/>
      <c r="SI55" s="1"/>
      <c r="SJ55" s="1"/>
      <c r="SK55" s="1"/>
      <c r="SL55" s="1"/>
      <c r="SM55" s="1"/>
      <c r="SN55" s="1"/>
      <c r="SO55" s="1"/>
      <c r="SP55" s="1"/>
      <c r="SQ55" s="1"/>
      <c r="SR55" s="1"/>
      <c r="SS55" s="1"/>
      <c r="ST55" s="1"/>
      <c r="SU55" s="1"/>
      <c r="SV55" s="1"/>
      <c r="SW55" s="1"/>
      <c r="SX55" s="1"/>
      <c r="SY55" s="1"/>
      <c r="SZ55" s="1"/>
      <c r="TA55" s="1"/>
      <c r="TB55" s="1"/>
      <c r="TC55" s="1"/>
      <c r="TD55" s="1"/>
      <c r="TE55" s="1"/>
      <c r="TF55" s="1"/>
      <c r="TG55" s="1"/>
      <c r="TH55" s="1"/>
      <c r="TI55" s="1"/>
      <c r="TJ55" s="1"/>
      <c r="TK55" s="1"/>
      <c r="TL55" s="1"/>
      <c r="TM55" s="1"/>
      <c r="TN55" s="1"/>
      <c r="TO55" s="1"/>
      <c r="TP55" s="1"/>
      <c r="TQ55" s="1"/>
      <c r="TR55" s="1"/>
      <c r="TS55" s="1"/>
      <c r="TT55" s="1"/>
      <c r="TU55" s="1"/>
      <c r="TV55" s="1"/>
      <c r="TW55" s="1"/>
      <c r="TX55" s="1"/>
      <c r="TY55" s="1"/>
      <c r="TZ55" s="1"/>
      <c r="UA55" s="1"/>
      <c r="UB55" s="1"/>
      <c r="UC55" s="1"/>
      <c r="UD55" s="1"/>
      <c r="UE55" s="1"/>
      <c r="UF55" s="1"/>
      <c r="UG55" s="1"/>
      <c r="UH55" s="1"/>
      <c r="UI55" s="1"/>
      <c r="UJ55" s="1"/>
      <c r="UK55" s="1"/>
      <c r="UL55" s="1"/>
      <c r="UM55" s="1"/>
      <c r="UN55" s="1"/>
      <c r="UO55" s="1"/>
      <c r="UP55" s="1"/>
      <c r="UQ55" s="1"/>
      <c r="UR55" s="1"/>
      <c r="US55" s="1"/>
      <c r="UT55" s="1"/>
      <c r="UU55" s="1"/>
      <c r="UV55" s="1"/>
      <c r="UW55" s="1"/>
      <c r="UX55" s="1"/>
      <c r="UY55" s="1"/>
      <c r="UZ55" s="1"/>
      <c r="VA55" s="1"/>
      <c r="VB55" s="1"/>
      <c r="VC55" s="1"/>
      <c r="VD55" s="1"/>
      <c r="VE55" s="1"/>
      <c r="VF55" s="1"/>
      <c r="VG55" s="1"/>
      <c r="VH55" s="1"/>
      <c r="VI55" s="1"/>
      <c r="VJ55" s="1"/>
      <c r="VK55" s="1"/>
      <c r="VL55" s="1"/>
      <c r="VM55" s="1"/>
      <c r="VN55" s="1"/>
      <c r="VO55" s="1"/>
      <c r="VP55" s="1"/>
      <c r="VQ55" s="1"/>
      <c r="VR55" s="1"/>
      <c r="VS55" s="1"/>
      <c r="VT55" s="1"/>
      <c r="VU55" s="1"/>
      <c r="VV55" s="1"/>
      <c r="VW55" s="1"/>
      <c r="VX55" s="1"/>
      <c r="VY55" s="1"/>
      <c r="VZ55" s="1"/>
      <c r="WA55" s="1"/>
      <c r="WB55" s="1"/>
      <c r="WC55" s="1"/>
      <c r="WD55" s="1"/>
      <c r="WE55" s="1"/>
      <c r="WF55" s="1"/>
      <c r="WG55" s="1"/>
      <c r="WH55" s="1"/>
      <c r="WI55" s="1"/>
      <c r="WJ55" s="1"/>
      <c r="WK55" s="1"/>
      <c r="WL55" s="1"/>
      <c r="WM55" s="1"/>
      <c r="WN55" s="1"/>
      <c r="WO55" s="1"/>
      <c r="WP55" s="1"/>
      <c r="WQ55" s="1"/>
      <c r="WR55" s="1"/>
      <c r="WS55" s="1"/>
      <c r="WT55" s="1"/>
      <c r="WU55" s="1"/>
      <c r="WV55" s="1"/>
      <c r="WW55" s="1"/>
      <c r="WX55" s="1"/>
      <c r="WY55" s="1"/>
      <c r="WZ55" s="1"/>
      <c r="XA55" s="1"/>
      <c r="XB55" s="1"/>
      <c r="XC55" s="1"/>
      <c r="XD55" s="1"/>
      <c r="XE55" s="1"/>
      <c r="XF55" s="1"/>
      <c r="XG55" s="1"/>
      <c r="XH55" s="1"/>
      <c r="XI55" s="1"/>
      <c r="XJ55" s="1"/>
      <c r="XK55" s="1"/>
      <c r="XL55" s="1"/>
      <c r="XM55" s="1"/>
      <c r="XN55" s="1"/>
      <c r="XO55" s="1"/>
      <c r="XP55" s="1"/>
      <c r="XQ55" s="1"/>
      <c r="XR55" s="1"/>
      <c r="XS55" s="1"/>
      <c r="XT55" s="1"/>
      <c r="XU55" s="1"/>
      <c r="XV55" s="1"/>
      <c r="XW55" s="1"/>
      <c r="XX55" s="1"/>
      <c r="XY55" s="1"/>
      <c r="XZ55" s="1"/>
      <c r="YA55" s="1"/>
      <c r="YB55" s="1"/>
      <c r="YC55" s="1"/>
      <c r="YD55" s="1"/>
      <c r="YE55" s="1"/>
      <c r="YF55" s="1"/>
      <c r="YG55" s="1"/>
      <c r="YH55" s="1"/>
      <c r="YI55" s="1"/>
      <c r="YJ55" s="1"/>
      <c r="YK55" s="1"/>
      <c r="YL55" s="1"/>
      <c r="YM55" s="1"/>
      <c r="YN55" s="1"/>
      <c r="YO55" s="1"/>
      <c r="YP55" s="1"/>
      <c r="YQ55" s="1"/>
      <c r="YR55" s="1"/>
      <c r="YS55" s="1"/>
      <c r="YT55" s="1"/>
      <c r="YU55" s="1"/>
      <c r="YV55" s="1"/>
      <c r="YW55" s="1"/>
      <c r="YX55" s="1"/>
      <c r="YY55" s="1"/>
      <c r="YZ55" s="1"/>
      <c r="ZA55" s="1"/>
      <c r="ZB55" s="1"/>
      <c r="ZC55" s="1"/>
      <c r="ZD55" s="1"/>
      <c r="ZE55" s="1"/>
      <c r="ZF55" s="1"/>
      <c r="ZG55" s="1"/>
      <c r="ZH55" s="1"/>
      <c r="ZI55" s="1"/>
      <c r="ZJ55" s="1"/>
      <c r="ZK55" s="1"/>
      <c r="ZL55" s="1"/>
      <c r="ZM55" s="1"/>
      <c r="ZN55" s="1"/>
      <c r="ZO55" s="1"/>
      <c r="ZP55" s="1"/>
      <c r="ZQ55" s="1"/>
      <c r="ZR55" s="1"/>
      <c r="ZS55" s="1"/>
      <c r="ZT55" s="1"/>
      <c r="ZU55" s="1"/>
      <c r="ZV55" s="1"/>
      <c r="ZW55" s="1"/>
      <c r="ZX55" s="1"/>
      <c r="ZY55" s="1"/>
      <c r="ZZ55" s="1"/>
      <c r="AAA55" s="1"/>
      <c r="AAB55" s="1"/>
      <c r="AAC55" s="1"/>
      <c r="AAD55" s="1"/>
      <c r="AAE55" s="1"/>
      <c r="AAF55" s="1"/>
      <c r="AAG55" s="1"/>
      <c r="AAH55" s="1"/>
      <c r="AAI55" s="1"/>
      <c r="AAJ55" s="1"/>
      <c r="AAK55" s="1"/>
      <c r="AAL55" s="1"/>
      <c r="AAM55" s="1"/>
      <c r="AAN55" s="1"/>
      <c r="AAO55" s="1"/>
      <c r="AAP55" s="1"/>
      <c r="AAQ55" s="1"/>
      <c r="AAR55" s="1"/>
      <c r="AAS55" s="1"/>
      <c r="AAT55" s="1"/>
      <c r="AAU55" s="1"/>
      <c r="AAV55" s="1"/>
      <c r="AAW55" s="1"/>
      <c r="AAX55" s="1"/>
      <c r="AAY55" s="1"/>
      <c r="AAZ55" s="1"/>
      <c r="ABA55" s="1"/>
      <c r="ABB55" s="1"/>
      <c r="ABC55" s="1"/>
      <c r="ABD55" s="1"/>
      <c r="ABE55" s="1"/>
      <c r="ABF55" s="1"/>
      <c r="ABG55" s="1"/>
      <c r="ABH55" s="1"/>
      <c r="ABI55" s="1"/>
      <c r="ABJ55" s="1"/>
      <c r="ABK55" s="1"/>
      <c r="ABL55" s="1"/>
      <c r="ABM55" s="1"/>
      <c r="ABN55" s="1"/>
      <c r="ABO55" s="1"/>
      <c r="ABP55" s="1"/>
      <c r="ABQ55" s="1"/>
      <c r="ABR55" s="1"/>
      <c r="ABS55" s="1"/>
      <c r="ABT55" s="1"/>
      <c r="ABU55" s="1"/>
      <c r="ABV55" s="1"/>
      <c r="ABW55" s="1"/>
      <c r="ABX55" s="1"/>
      <c r="ABY55" s="1"/>
      <c r="ABZ55" s="1"/>
      <c r="ACA55" s="1"/>
      <c r="ACB55" s="1"/>
      <c r="ACC55" s="1"/>
      <c r="ACD55" s="1"/>
      <c r="ACE55" s="1"/>
      <c r="ACF55" s="1"/>
      <c r="ACG55" s="1"/>
      <c r="ACH55" s="1"/>
      <c r="ACI55" s="1"/>
      <c r="ACJ55" s="1"/>
      <c r="ACK55" s="1"/>
      <c r="ACL55" s="1"/>
      <c r="ACM55" s="1"/>
      <c r="ACN55" s="1"/>
      <c r="ACO55" s="1"/>
      <c r="ACP55" s="1"/>
      <c r="ACQ55" s="1"/>
      <c r="ACR55" s="1"/>
      <c r="ACS55" s="1"/>
      <c r="ACT55" s="1"/>
      <c r="ACU55" s="1"/>
      <c r="ACV55" s="1"/>
      <c r="ACW55" s="1"/>
      <c r="ACX55" s="1"/>
      <c r="ACY55" s="1"/>
      <c r="ACZ55" s="1"/>
      <c r="ADA55" s="1"/>
      <c r="ADB55" s="1"/>
      <c r="ADC55" s="1"/>
      <c r="ADD55" s="1"/>
      <c r="ADE55" s="1"/>
      <c r="ADF55" s="1"/>
      <c r="ADG55" s="1"/>
      <c r="ADH55" s="1"/>
      <c r="ADI55" s="1"/>
      <c r="ADJ55" s="1"/>
      <c r="ADK55" s="1"/>
      <c r="ADL55" s="1"/>
      <c r="ADM55" s="1"/>
      <c r="ADN55" s="1"/>
      <c r="ADO55" s="1"/>
      <c r="ADP55" s="1"/>
      <c r="ADQ55" s="1"/>
      <c r="ADR55" s="1"/>
      <c r="ADS55" s="1"/>
      <c r="ADT55" s="1"/>
      <c r="ADU55" s="1"/>
      <c r="ADV55" s="1"/>
      <c r="ADW55" s="1"/>
      <c r="ADX55" s="1"/>
      <c r="ADY55" s="1"/>
      <c r="ADZ55" s="1"/>
      <c r="AEA55" s="1"/>
      <c r="AEB55" s="1"/>
      <c r="AEC55" s="1"/>
      <c r="AED55" s="1"/>
      <c r="AEE55" s="1"/>
      <c r="AEF55" s="1"/>
      <c r="AEG55" s="1"/>
      <c r="AEH55" s="1"/>
      <c r="AEI55" s="1"/>
      <c r="AEJ55" s="1"/>
      <c r="AEK55" s="1"/>
      <c r="AEL55" s="1"/>
      <c r="AEM55" s="1"/>
      <c r="AEN55" s="1"/>
      <c r="AEO55" s="1"/>
      <c r="AEP55" s="1"/>
      <c r="AEQ55" s="1"/>
      <c r="AER55" s="1"/>
      <c r="AES55" s="1"/>
      <c r="AET55" s="1"/>
      <c r="AEU55" s="1"/>
      <c r="AEV55" s="1"/>
      <c r="AEW55" s="1"/>
      <c r="AEX55" s="1"/>
      <c r="AEY55" s="1"/>
      <c r="AEZ55" s="1"/>
      <c r="AFA55" s="1"/>
      <c r="AFB55" s="1"/>
      <c r="AFC55" s="1"/>
      <c r="AFD55" s="1"/>
      <c r="AFE55" s="1"/>
      <c r="AFF55" s="1"/>
      <c r="AFG55" s="1"/>
      <c r="AFH55" s="1"/>
      <c r="AFI55" s="1"/>
      <c r="AFJ55" s="1"/>
      <c r="AFK55" s="1"/>
      <c r="AFL55" s="1"/>
      <c r="AFM55" s="1"/>
      <c r="AFN55" s="1"/>
      <c r="AFO55" s="1"/>
      <c r="AFP55" s="1"/>
      <c r="AFQ55" s="1"/>
      <c r="AFR55" s="1"/>
      <c r="AFS55" s="1"/>
      <c r="AFT55" s="1"/>
      <c r="AFU55" s="1"/>
      <c r="AFV55" s="1"/>
      <c r="AFW55" s="1"/>
      <c r="AFX55" s="1"/>
      <c r="AFY55" s="1"/>
      <c r="AFZ55" s="1"/>
      <c r="AGA55" s="1"/>
      <c r="AGB55" s="1"/>
      <c r="AGC55" s="1"/>
      <c r="AGD55" s="1"/>
      <c r="AGE55" s="1"/>
      <c r="AGF55" s="1"/>
      <c r="AGG55" s="1"/>
      <c r="AGH55" s="1"/>
      <c r="AGI55" s="1"/>
      <c r="AGJ55" s="1"/>
      <c r="AGK55" s="1"/>
      <c r="AGL55" s="1"/>
      <c r="AGM55" s="1"/>
      <c r="AGN55" s="1"/>
      <c r="AGO55" s="1"/>
      <c r="AGP55" s="1"/>
      <c r="AGQ55" s="1"/>
      <c r="AGR55" s="1"/>
      <c r="AGS55" s="1"/>
      <c r="AGT55" s="1"/>
      <c r="AGU55" s="1"/>
      <c r="AGV55" s="1"/>
      <c r="AGW55" s="1"/>
      <c r="AGX55" s="1"/>
      <c r="AGY55" s="1"/>
      <c r="AGZ55" s="1"/>
      <c r="AHA55" s="1"/>
      <c r="AHB55" s="1"/>
      <c r="AHC55" s="1"/>
      <c r="AHD55" s="1"/>
      <c r="AHE55" s="1"/>
      <c r="AHF55" s="1"/>
      <c r="AHG55" s="1"/>
      <c r="AHH55" s="1"/>
      <c r="AHI55" s="1"/>
      <c r="AHJ55" s="1"/>
      <c r="AHK55" s="1"/>
      <c r="AHL55" s="1"/>
      <c r="AHM55" s="1"/>
      <c r="AHN55" s="1"/>
      <c r="AHO55" s="1"/>
      <c r="AHP55" s="1"/>
      <c r="AHQ55" s="1"/>
      <c r="AHR55" s="1"/>
      <c r="AHS55" s="1"/>
      <c r="AHT55" s="1"/>
      <c r="AHU55" s="1"/>
      <c r="AHV55" s="1"/>
      <c r="AHW55" s="1"/>
      <c r="AHX55" s="1"/>
      <c r="AHY55" s="1"/>
      <c r="AHZ55" s="1"/>
      <c r="AIA55" s="1"/>
      <c r="AIB55" s="1"/>
      <c r="AIC55" s="1"/>
      <c r="AID55" s="1"/>
      <c r="AIE55" s="1"/>
      <c r="AIF55" s="1"/>
      <c r="AIG55" s="1"/>
      <c r="AIH55" s="1"/>
      <c r="AII55" s="1"/>
      <c r="AIJ55" s="1"/>
      <c r="AIK55" s="1"/>
      <c r="AIL55" s="1"/>
      <c r="AIM55" s="1"/>
      <c r="AIN55" s="1"/>
      <c r="AIO55" s="1"/>
      <c r="AIP55" s="1"/>
      <c r="AIQ55" s="1"/>
      <c r="AIR55" s="1"/>
      <c r="AIS55" s="1"/>
      <c r="AIT55" s="1"/>
      <c r="AIU55" s="1"/>
      <c r="AIV55" s="1"/>
      <c r="AIW55" s="1"/>
      <c r="AIX55" s="1"/>
      <c r="AIY55" s="1"/>
      <c r="AIZ55" s="1"/>
      <c r="AJA55" s="1"/>
      <c r="AJB55" s="1"/>
      <c r="AJC55" s="1"/>
      <c r="AJD55" s="1"/>
      <c r="AJE55" s="1"/>
      <c r="AJF55" s="1"/>
      <c r="AJG55" s="1"/>
      <c r="AJH55" s="1"/>
      <c r="AJI55" s="1"/>
      <c r="AJJ55" s="1"/>
      <c r="AJK55" s="1"/>
      <c r="AJL55" s="1"/>
      <c r="AJM55" s="1"/>
      <c r="AJN55" s="1"/>
      <c r="AJO55" s="1"/>
      <c r="AJP55" s="1"/>
      <c r="AJQ55" s="1"/>
      <c r="AJR55" s="1"/>
      <c r="AJS55" s="1"/>
      <c r="AJT55" s="1"/>
      <c r="AJU55" s="1"/>
      <c r="AJV55" s="1"/>
      <c r="AJW55" s="1"/>
      <c r="AJX55" s="1"/>
      <c r="AJY55" s="1"/>
      <c r="AJZ55" s="1"/>
      <c r="AKA55" s="1"/>
      <c r="AKB55" s="1"/>
      <c r="AKC55" s="1"/>
      <c r="AKD55" s="1"/>
      <c r="AKE55" s="1"/>
      <c r="AKF55" s="1"/>
      <c r="AKG55" s="1"/>
      <c r="AKH55" s="1"/>
      <c r="AKI55" s="1"/>
      <c r="AKJ55" s="1"/>
      <c r="AKK55" s="1"/>
      <c r="AKL55" s="1"/>
      <c r="AKM55" s="1"/>
      <c r="AKN55" s="1"/>
      <c r="AKO55" s="1"/>
      <c r="AKP55" s="1"/>
      <c r="AKQ55" s="1"/>
      <c r="AKR55" s="1"/>
      <c r="AKS55" s="1"/>
      <c r="AKT55" s="1"/>
      <c r="AKU55" s="1"/>
      <c r="AKV55" s="1"/>
      <c r="AKW55" s="1"/>
      <c r="AKX55" s="1"/>
      <c r="AKY55" s="1"/>
      <c r="AKZ55" s="1"/>
      <c r="ALA55" s="1"/>
      <c r="ALB55" s="1"/>
      <c r="ALC55" s="1"/>
      <c r="ALD55" s="1"/>
      <c r="ALE55" s="1"/>
      <c r="ALF55" s="1"/>
      <c r="ALG55" s="1"/>
      <c r="ALH55" s="1"/>
      <c r="ALI55" s="1"/>
      <c r="ALJ55" s="1"/>
      <c r="ALK55" s="1"/>
      <c r="ALL55" s="1"/>
      <c r="ALM55" s="1"/>
      <c r="ALN55" s="1"/>
      <c r="ALO55" s="1"/>
      <c r="ALP55" s="1"/>
      <c r="ALQ55" s="1"/>
      <c r="ALR55" s="1"/>
      <c r="ALS55" s="1"/>
      <c r="ALT55" s="1"/>
      <c r="ALU55" s="1"/>
      <c r="ALV55" s="1"/>
      <c r="ALW55" s="1"/>
      <c r="ALX55" s="1"/>
      <c r="ALY55" s="1"/>
      <c r="ALZ55" s="1"/>
      <c r="AMA55" s="1"/>
      <c r="AMB55" s="1"/>
      <c r="AMC55" s="1"/>
      <c r="AMD55" s="1"/>
      <c r="AME55" s="1"/>
      <c r="AMF55" s="1"/>
      <c r="AMG55" s="1"/>
      <c r="AMH55" s="1"/>
      <c r="AMI55" s="1"/>
      <c r="AMJ55" s="1"/>
      <c r="AMK55" s="1"/>
      <c r="AML55" s="1"/>
      <c r="AMM55" s="1"/>
      <c r="AMN55" s="1"/>
    </row>
    <row r="56" spans="1:1028" x14ac:dyDescent="0.2">
      <c r="A56" s="3" t="str">
        <f t="shared" si="194"/>
        <v>adrb1_melga_4AMI</v>
      </c>
      <c r="B56" s="3" t="s">
        <v>912</v>
      </c>
      <c r="C56" s="3" t="s">
        <v>1040</v>
      </c>
      <c r="D56" s="3" t="str">
        <f>IFERROR(MID(VLOOKUP($B56,Seqs!$A:$B,2,0),E56,1),"")</f>
        <v>A</v>
      </c>
      <c r="E56" s="3">
        <v>33</v>
      </c>
      <c r="F56" s="3" t="str">
        <f>IFERROR(MID(VLOOKUP($B56,Seqs!$A:$B,2,0),G56,1),"")</f>
        <v>T</v>
      </c>
      <c r="G56" s="3">
        <v>69</v>
      </c>
      <c r="H56" s="3" t="str">
        <f>IFERROR(MID(VLOOKUP($B56,Seqs!$A:$B,2,0),I56,1),"")</f>
        <v>Q</v>
      </c>
      <c r="I56" s="23">
        <v>70</v>
      </c>
      <c r="J56" s="3" t="str">
        <f>IFERROR(MID(VLOOKUP($B56,Seqs!$A:$B,2,0),K56,1),"")</f>
        <v>Q</v>
      </c>
      <c r="K56" s="23">
        <v>73</v>
      </c>
      <c r="L56" s="3" t="str">
        <f>IFERROR(MID(VLOOKUP($B56,Seqs!$A:$B,2,0),M56,1),"")</f>
        <v>T</v>
      </c>
      <c r="M56" s="3">
        <v>74</v>
      </c>
      <c r="N56" s="3" t="str">
        <f>IFERROR(MID(VLOOKUP($B56,Seqs!$A:$B,2,0),O56,1),"")</f>
        <v>R</v>
      </c>
      <c r="O56" s="3">
        <v>104</v>
      </c>
      <c r="P56" s="3" t="str">
        <f>IFERROR(MID(VLOOKUP($B56,Seqs!$A:$B,2,0),Q56,1),"")</f>
        <v>T</v>
      </c>
      <c r="Q56" s="3">
        <v>106</v>
      </c>
      <c r="R56" s="3" t="str">
        <f>IFERROR(MID(VLOOKUP($B56,Seqs!$A:$B,2,0),S56,1),"")</f>
        <v>W</v>
      </c>
      <c r="S56" s="3">
        <v>109</v>
      </c>
      <c r="T56" s="3" t="str">
        <f>IFERROR(MID(VLOOKUP($B56,Seqs!$A:$B,2,0),U56,1),"")</f>
        <v>G</v>
      </c>
      <c r="U56" s="3">
        <v>110</v>
      </c>
      <c r="V56" s="3" t="str">
        <f>IFERROR(MID(VLOOKUP($B56,Seqs!$A:$B,2,0),W56,1),"")</f>
        <v>S</v>
      </c>
      <c r="W56" s="3">
        <v>145</v>
      </c>
      <c r="X56" s="3" t="str">
        <f>IFERROR(MID(VLOOKUP($B56,Seqs!$A:$B,2,0),Y56,1),"")</f>
        <v>P</v>
      </c>
      <c r="Y56" s="3">
        <v>146</v>
      </c>
      <c r="Z56" s="3" t="str">
        <f>IFERROR(MID(VLOOKUP($B56,Seqs!$A:$B,2,0),AA56,1),"")</f>
        <v>M</v>
      </c>
      <c r="AA56" s="3">
        <v>153</v>
      </c>
      <c r="AB56" s="3" t="str">
        <f>IFERROR(MID(VLOOKUP($B56,Seqs!$A:$B,2,0),AC56,1),"")</f>
        <v>T</v>
      </c>
      <c r="AC56" s="9">
        <v>154</v>
      </c>
      <c r="AD56" s="3" t="str">
        <f>IFERROR(MID(VLOOKUP($B56,Seqs!$A:$B,2,0),AE56,1),"")</f>
        <v>H</v>
      </c>
      <c r="AE56" s="3">
        <v>180</v>
      </c>
      <c r="AF56" s="3" t="str">
        <f>IFERROR(MID(VLOOKUP($B56,Seqs!$A:$B,2,0),AG56,1),"")</f>
        <v>C</v>
      </c>
      <c r="AG56" s="3">
        <v>199</v>
      </c>
      <c r="AH56" s="3" t="str">
        <f>IFERROR(MID(VLOOKUP($B56,Seqs!$A:$B,2,0),AI56,1),"")</f>
        <v>F</v>
      </c>
      <c r="AI56" s="3">
        <v>201</v>
      </c>
      <c r="AJ56" s="3" t="str">
        <f>IFERROR(MID(VLOOKUP($B56,Seqs!$A:$B,2,0),AK56,1),"")</f>
        <v>N</v>
      </c>
      <c r="AK56" s="3">
        <v>204</v>
      </c>
      <c r="AL56" s="3" t="str">
        <f>IFERROR(MID(VLOOKUP($B56,Seqs!$A:$B,2,0),AM56,1),"")</f>
        <v>E</v>
      </c>
      <c r="AM56" s="3">
        <v>236</v>
      </c>
      <c r="AN56" s="3" t="str">
        <f>IFERROR(MID(VLOOKUP($B56,Seqs!$A:$B,2,0),AO56,1),"")</f>
        <v>A</v>
      </c>
      <c r="AO56" s="3">
        <v>288</v>
      </c>
      <c r="AP56" s="3" t="str">
        <f>IFERROR(MID(VLOOKUP($B56,Seqs!$A:$B,2,0),AQ56,1),"")</f>
        <v>N</v>
      </c>
      <c r="AQ56" s="3">
        <v>316</v>
      </c>
      <c r="AR56" s="3" t="str">
        <f>IFERROR(MID(VLOOKUP($B56,Seqs!$A:$B,2,0),AS56,1),"")</f>
        <v>P</v>
      </c>
      <c r="AS56" s="3">
        <v>321</v>
      </c>
      <c r="AT56" s="3" t="str">
        <f>IFERROR(MID(VLOOKUP($B56,Seqs!$A:$B,2,0),AU56,1),"")</f>
        <v>R</v>
      </c>
      <c r="AU56" s="3">
        <v>345</v>
      </c>
      <c r="AV56" s="3" t="str">
        <f>IFERROR(MID(VLOOKUP($B56,Seqs!$A:$B,2,0),AW56,1),"")</f>
        <v>S</v>
      </c>
      <c r="AW56" s="3">
        <v>346</v>
      </c>
      <c r="AX56" s="3" t="str">
        <f>IFERROR(MID(VLOOKUP($B56,Seqs!$A:$B,2,0),AY56,1),"")</f>
        <v>C</v>
      </c>
      <c r="AY56" s="3">
        <v>358</v>
      </c>
      <c r="AZ56" s="79" t="str">
        <f>VLOOKUP(B56,Classification!A:D,2,0)</f>
        <v>A</v>
      </c>
      <c r="BA56" s="97" t="str">
        <f>VLOOKUP(B56,Classification!A:D,4,0)</f>
        <v>Adrenoceptors</v>
      </c>
      <c r="BB56" s="27" t="b">
        <f t="shared" si="195"/>
        <v>1</v>
      </c>
      <c r="BC56" s="23">
        <f t="shared" si="84"/>
        <v>250</v>
      </c>
      <c r="BD56" s="4" t="s">
        <v>23</v>
      </c>
      <c r="BE56" s="3" t="s">
        <v>1381</v>
      </c>
      <c r="BF56" s="50" t="s">
        <v>1384</v>
      </c>
      <c r="BG56" s="50" t="s">
        <v>1384</v>
      </c>
      <c r="BH56" s="1"/>
      <c r="BI56" s="72" t="s">
        <v>1293</v>
      </c>
      <c r="BJ56" s="58" t="s">
        <v>1293</v>
      </c>
      <c r="BK56" s="58" t="s">
        <v>1293</v>
      </c>
      <c r="BL56" s="58" t="s">
        <v>1293</v>
      </c>
      <c r="BM56" s="58" t="s">
        <v>1293</v>
      </c>
      <c r="BN56" s="58" t="s">
        <v>1293</v>
      </c>
      <c r="BO56" s="58" t="s">
        <v>1293</v>
      </c>
      <c r="BP56" s="58" t="s">
        <v>1293</v>
      </c>
      <c r="BQ56" s="58" t="s">
        <v>1293</v>
      </c>
      <c r="BR56" s="58" t="s">
        <v>1293</v>
      </c>
      <c r="BS56" s="58" t="s">
        <v>1293</v>
      </c>
      <c r="BT56" s="58" t="s">
        <v>1293</v>
      </c>
      <c r="BU56" s="72">
        <f t="shared" si="85"/>
        <v>33</v>
      </c>
      <c r="BV56" s="73">
        <f t="shared" si="86"/>
        <v>70</v>
      </c>
      <c r="BW56" s="74">
        <f t="shared" si="87"/>
        <v>74</v>
      </c>
      <c r="BX56" s="73">
        <f t="shared" si="88"/>
        <v>106</v>
      </c>
      <c r="BY56" s="74">
        <f t="shared" si="89"/>
        <v>110</v>
      </c>
      <c r="BZ56" s="73">
        <f t="shared" si="90"/>
        <v>146</v>
      </c>
      <c r="CA56" s="74">
        <f t="shared" si="91"/>
        <v>154</v>
      </c>
      <c r="CB56" s="73">
        <f t="shared" si="92"/>
        <v>199</v>
      </c>
      <c r="CC56" s="74">
        <f t="shared" si="93"/>
        <v>204</v>
      </c>
      <c r="CD56" s="73">
        <f t="shared" si="94"/>
        <v>288</v>
      </c>
      <c r="CE56" s="74">
        <f t="shared" si="95"/>
        <v>321</v>
      </c>
      <c r="CF56" s="73">
        <f t="shared" si="96"/>
        <v>346</v>
      </c>
      <c r="CG56" s="72">
        <f t="shared" si="97"/>
        <v>69</v>
      </c>
      <c r="CH56" s="73">
        <f t="shared" si="98"/>
        <v>73</v>
      </c>
      <c r="CI56" s="74">
        <f t="shared" si="99"/>
        <v>104</v>
      </c>
      <c r="CJ56" s="74">
        <f t="shared" si="100"/>
        <v>109</v>
      </c>
      <c r="CK56" s="74">
        <f t="shared" si="101"/>
        <v>145</v>
      </c>
      <c r="CL56" s="74">
        <f t="shared" si="102"/>
        <v>153</v>
      </c>
      <c r="CM56" s="74">
        <f t="shared" si="103"/>
        <v>180</v>
      </c>
      <c r="CN56" s="74">
        <f t="shared" si="104"/>
        <v>201</v>
      </c>
      <c r="CO56" s="74">
        <f t="shared" si="105"/>
        <v>236</v>
      </c>
      <c r="CP56" s="74">
        <f t="shared" si="106"/>
        <v>316</v>
      </c>
      <c r="CQ56" s="74">
        <f t="shared" si="107"/>
        <v>345</v>
      </c>
      <c r="CR56" s="74">
        <f t="shared" si="108"/>
        <v>358</v>
      </c>
      <c r="CS56" s="23">
        <f t="shared" si="109"/>
        <v>1</v>
      </c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/>
      <c r="KJ56" s="1"/>
      <c r="KK56" s="1"/>
      <c r="KL56" s="1"/>
      <c r="KM56" s="1"/>
      <c r="KN56" s="1"/>
      <c r="KO56" s="1"/>
      <c r="KP56" s="1"/>
      <c r="KQ56" s="1"/>
      <c r="KR56" s="1"/>
      <c r="KS56" s="1"/>
      <c r="KT56" s="1"/>
      <c r="KU56" s="1"/>
      <c r="KV56" s="1"/>
      <c r="KW56" s="1"/>
      <c r="KX56" s="1"/>
      <c r="KY56" s="1"/>
      <c r="KZ56" s="1"/>
      <c r="LA56" s="1"/>
      <c r="LB56" s="1"/>
      <c r="LC56" s="1"/>
      <c r="LD56" s="1"/>
      <c r="LE56" s="1"/>
      <c r="LF56" s="1"/>
      <c r="LG56" s="1"/>
      <c r="LH56" s="1"/>
      <c r="LI56" s="1"/>
      <c r="LJ56" s="1"/>
      <c r="LK56" s="1"/>
      <c r="LL56" s="1"/>
      <c r="LM56" s="1"/>
      <c r="LN56" s="1"/>
      <c r="LO56" s="1"/>
      <c r="LP56" s="1"/>
      <c r="LQ56" s="1"/>
      <c r="LR56" s="1"/>
      <c r="LS56" s="1"/>
      <c r="LT56" s="1"/>
      <c r="LU56" s="1"/>
      <c r="LV56" s="1"/>
      <c r="LW56" s="1"/>
      <c r="LX56" s="1"/>
      <c r="LY56" s="1"/>
      <c r="LZ56" s="1"/>
      <c r="MA56" s="1"/>
      <c r="MB56" s="1"/>
      <c r="MC56" s="1"/>
      <c r="MD56" s="1"/>
      <c r="ME56" s="1"/>
      <c r="MF56" s="1"/>
      <c r="MG56" s="1"/>
      <c r="MH56" s="1"/>
      <c r="MI56" s="1"/>
      <c r="MJ56" s="1"/>
      <c r="MK56" s="1"/>
      <c r="ML56" s="1"/>
      <c r="MM56" s="1"/>
      <c r="MN56" s="1"/>
      <c r="MO56" s="1"/>
      <c r="MP56" s="1"/>
      <c r="MQ56" s="1"/>
      <c r="MR56" s="1"/>
      <c r="MS56" s="1"/>
      <c r="MT56" s="1"/>
      <c r="MU56" s="1"/>
      <c r="MV56" s="1"/>
      <c r="MW56" s="1"/>
      <c r="MX56" s="1"/>
      <c r="MY56" s="1"/>
      <c r="MZ56" s="1"/>
      <c r="NA56" s="1"/>
      <c r="NB56" s="1"/>
      <c r="NC56" s="1"/>
      <c r="ND56" s="1"/>
      <c r="NE56" s="1"/>
      <c r="NF56" s="1"/>
      <c r="NG56" s="1"/>
      <c r="NH56" s="1"/>
      <c r="NI56" s="1"/>
      <c r="NJ56" s="1"/>
      <c r="NK56" s="1"/>
      <c r="NL56" s="1"/>
      <c r="NM56" s="1"/>
      <c r="NN56" s="1"/>
      <c r="NO56" s="1"/>
      <c r="NP56" s="1"/>
      <c r="NQ56" s="1"/>
      <c r="NR56" s="1"/>
      <c r="NS56" s="1"/>
      <c r="NT56" s="1"/>
      <c r="NU56" s="1"/>
      <c r="NV56" s="1"/>
      <c r="NW56" s="1"/>
      <c r="NX56" s="1"/>
      <c r="NY56" s="1"/>
      <c r="NZ56" s="1"/>
      <c r="OA56" s="1"/>
      <c r="OB56" s="1"/>
      <c r="OC56" s="1"/>
      <c r="OD56" s="1"/>
      <c r="OE56" s="1"/>
      <c r="OF56" s="1"/>
      <c r="OG56" s="1"/>
      <c r="OH56" s="1"/>
      <c r="OI56" s="1"/>
      <c r="OJ56" s="1"/>
      <c r="OK56" s="1"/>
      <c r="OL56" s="1"/>
      <c r="OM56" s="1"/>
      <c r="ON56" s="1"/>
      <c r="OO56" s="1"/>
      <c r="OP56" s="1"/>
      <c r="OQ56" s="1"/>
      <c r="OR56" s="1"/>
      <c r="OS56" s="1"/>
      <c r="OT56" s="1"/>
      <c r="OU56" s="1"/>
      <c r="OV56" s="1"/>
      <c r="OW56" s="1"/>
      <c r="OX56" s="1"/>
      <c r="OY56" s="1"/>
      <c r="OZ56" s="1"/>
      <c r="PA56" s="1"/>
      <c r="PB56" s="1"/>
      <c r="PC56" s="1"/>
      <c r="PD56" s="1"/>
      <c r="PE56" s="1"/>
      <c r="PF56" s="1"/>
      <c r="PG56" s="1"/>
      <c r="PH56" s="1"/>
      <c r="PI56" s="1"/>
      <c r="PJ56" s="1"/>
      <c r="PK56" s="1"/>
      <c r="PL56" s="1"/>
      <c r="PM56" s="1"/>
      <c r="PN56" s="1"/>
      <c r="PO56" s="1"/>
      <c r="PP56" s="1"/>
      <c r="PQ56" s="1"/>
      <c r="PR56" s="1"/>
      <c r="PS56" s="1"/>
      <c r="PT56" s="1"/>
      <c r="PU56" s="1"/>
      <c r="PV56" s="1"/>
      <c r="PW56" s="1"/>
      <c r="PX56" s="1"/>
      <c r="PY56" s="1"/>
      <c r="PZ56" s="1"/>
      <c r="QA56" s="1"/>
      <c r="QB56" s="1"/>
      <c r="QC56" s="1"/>
      <c r="QD56" s="1"/>
      <c r="QE56" s="1"/>
      <c r="QF56" s="1"/>
      <c r="QG56" s="1"/>
      <c r="QH56" s="1"/>
      <c r="QI56" s="1"/>
      <c r="QJ56" s="1"/>
      <c r="QK56" s="1"/>
      <c r="QL56" s="1"/>
      <c r="QM56" s="1"/>
      <c r="QN56" s="1"/>
      <c r="QO56" s="1"/>
      <c r="QP56" s="1"/>
      <c r="QQ56" s="1"/>
      <c r="QR56" s="1"/>
      <c r="QS56" s="1"/>
      <c r="QT56" s="1"/>
      <c r="QU56" s="1"/>
      <c r="QV56" s="1"/>
      <c r="QW56" s="1"/>
      <c r="QX56" s="1"/>
      <c r="QY56" s="1"/>
      <c r="QZ56" s="1"/>
      <c r="RA56" s="1"/>
      <c r="RB56" s="1"/>
      <c r="RC56" s="1"/>
      <c r="RD56" s="1"/>
      <c r="RE56" s="1"/>
      <c r="RF56" s="1"/>
      <c r="RG56" s="1"/>
      <c r="RH56" s="1"/>
      <c r="RI56" s="1"/>
      <c r="RJ56" s="1"/>
      <c r="RK56" s="1"/>
      <c r="RL56" s="1"/>
      <c r="RM56" s="1"/>
      <c r="RN56" s="1"/>
      <c r="RO56" s="1"/>
      <c r="RP56" s="1"/>
      <c r="RQ56" s="1"/>
      <c r="RR56" s="1"/>
      <c r="RS56" s="1"/>
      <c r="RT56" s="1"/>
      <c r="RU56" s="1"/>
      <c r="RV56" s="1"/>
      <c r="RW56" s="1"/>
      <c r="RX56" s="1"/>
      <c r="RY56" s="1"/>
      <c r="RZ56" s="1"/>
      <c r="SA56" s="1"/>
      <c r="SB56" s="1"/>
      <c r="SC56" s="1"/>
      <c r="SD56" s="1"/>
      <c r="SE56" s="1"/>
      <c r="SF56" s="1"/>
      <c r="SG56" s="1"/>
      <c r="SH56" s="1"/>
      <c r="SI56" s="1"/>
      <c r="SJ56" s="1"/>
      <c r="SK56" s="1"/>
      <c r="SL56" s="1"/>
      <c r="SM56" s="1"/>
      <c r="SN56" s="1"/>
      <c r="SO56" s="1"/>
      <c r="SP56" s="1"/>
      <c r="SQ56" s="1"/>
      <c r="SR56" s="1"/>
      <c r="SS56" s="1"/>
      <c r="ST56" s="1"/>
      <c r="SU56" s="1"/>
      <c r="SV56" s="1"/>
      <c r="SW56" s="1"/>
      <c r="SX56" s="1"/>
      <c r="SY56" s="1"/>
      <c r="SZ56" s="1"/>
      <c r="TA56" s="1"/>
      <c r="TB56" s="1"/>
      <c r="TC56" s="1"/>
      <c r="TD56" s="1"/>
      <c r="TE56" s="1"/>
      <c r="TF56" s="1"/>
      <c r="TG56" s="1"/>
      <c r="TH56" s="1"/>
      <c r="TI56" s="1"/>
      <c r="TJ56" s="1"/>
      <c r="TK56" s="1"/>
      <c r="TL56" s="1"/>
      <c r="TM56" s="1"/>
      <c r="TN56" s="1"/>
      <c r="TO56" s="1"/>
      <c r="TP56" s="1"/>
      <c r="TQ56" s="1"/>
      <c r="TR56" s="1"/>
      <c r="TS56" s="1"/>
      <c r="TT56" s="1"/>
      <c r="TU56" s="1"/>
      <c r="TV56" s="1"/>
      <c r="TW56" s="1"/>
      <c r="TX56" s="1"/>
      <c r="TY56" s="1"/>
      <c r="TZ56" s="1"/>
      <c r="UA56" s="1"/>
      <c r="UB56" s="1"/>
      <c r="UC56" s="1"/>
      <c r="UD56" s="1"/>
      <c r="UE56" s="1"/>
      <c r="UF56" s="1"/>
      <c r="UG56" s="1"/>
      <c r="UH56" s="1"/>
      <c r="UI56" s="1"/>
      <c r="UJ56" s="1"/>
      <c r="UK56" s="1"/>
      <c r="UL56" s="1"/>
      <c r="UM56" s="1"/>
      <c r="UN56" s="1"/>
      <c r="UO56" s="1"/>
      <c r="UP56" s="1"/>
      <c r="UQ56" s="1"/>
      <c r="UR56" s="1"/>
      <c r="US56" s="1"/>
      <c r="UT56" s="1"/>
      <c r="UU56" s="1"/>
      <c r="UV56" s="1"/>
      <c r="UW56" s="1"/>
      <c r="UX56" s="1"/>
      <c r="UY56" s="1"/>
      <c r="UZ56" s="1"/>
      <c r="VA56" s="1"/>
      <c r="VB56" s="1"/>
      <c r="VC56" s="1"/>
      <c r="VD56" s="1"/>
      <c r="VE56" s="1"/>
      <c r="VF56" s="1"/>
      <c r="VG56" s="1"/>
      <c r="VH56" s="1"/>
      <c r="VI56" s="1"/>
      <c r="VJ56" s="1"/>
      <c r="VK56" s="1"/>
      <c r="VL56" s="1"/>
      <c r="VM56" s="1"/>
      <c r="VN56" s="1"/>
      <c r="VO56" s="1"/>
      <c r="VP56" s="1"/>
      <c r="VQ56" s="1"/>
      <c r="VR56" s="1"/>
      <c r="VS56" s="1"/>
      <c r="VT56" s="1"/>
      <c r="VU56" s="1"/>
      <c r="VV56" s="1"/>
      <c r="VW56" s="1"/>
      <c r="VX56" s="1"/>
      <c r="VY56" s="1"/>
      <c r="VZ56" s="1"/>
      <c r="WA56" s="1"/>
      <c r="WB56" s="1"/>
      <c r="WC56" s="1"/>
      <c r="WD56" s="1"/>
      <c r="WE56" s="1"/>
      <c r="WF56" s="1"/>
      <c r="WG56" s="1"/>
      <c r="WH56" s="1"/>
      <c r="WI56" s="1"/>
      <c r="WJ56" s="1"/>
      <c r="WK56" s="1"/>
      <c r="WL56" s="1"/>
      <c r="WM56" s="1"/>
      <c r="WN56" s="1"/>
      <c r="WO56" s="1"/>
      <c r="WP56" s="1"/>
      <c r="WQ56" s="1"/>
      <c r="WR56" s="1"/>
      <c r="WS56" s="1"/>
      <c r="WT56" s="1"/>
      <c r="WU56" s="1"/>
      <c r="WV56" s="1"/>
      <c r="WW56" s="1"/>
      <c r="WX56" s="1"/>
      <c r="WY56" s="1"/>
      <c r="WZ56" s="1"/>
      <c r="XA56" s="1"/>
      <c r="XB56" s="1"/>
      <c r="XC56" s="1"/>
      <c r="XD56" s="1"/>
      <c r="XE56" s="1"/>
      <c r="XF56" s="1"/>
      <c r="XG56" s="1"/>
      <c r="XH56" s="1"/>
      <c r="XI56" s="1"/>
      <c r="XJ56" s="1"/>
      <c r="XK56" s="1"/>
      <c r="XL56" s="1"/>
      <c r="XM56" s="1"/>
      <c r="XN56" s="1"/>
      <c r="XO56" s="1"/>
      <c r="XP56" s="1"/>
      <c r="XQ56" s="1"/>
      <c r="XR56" s="1"/>
      <c r="XS56" s="1"/>
      <c r="XT56" s="1"/>
      <c r="XU56" s="1"/>
      <c r="XV56" s="1"/>
      <c r="XW56" s="1"/>
      <c r="XX56" s="1"/>
      <c r="XY56" s="1"/>
      <c r="XZ56" s="1"/>
      <c r="YA56" s="1"/>
      <c r="YB56" s="1"/>
      <c r="YC56" s="1"/>
      <c r="YD56" s="1"/>
      <c r="YE56" s="1"/>
      <c r="YF56" s="1"/>
      <c r="YG56" s="1"/>
      <c r="YH56" s="1"/>
      <c r="YI56" s="1"/>
      <c r="YJ56" s="1"/>
      <c r="YK56" s="1"/>
      <c r="YL56" s="1"/>
      <c r="YM56" s="1"/>
      <c r="YN56" s="1"/>
      <c r="YO56" s="1"/>
      <c r="YP56" s="1"/>
      <c r="YQ56" s="1"/>
      <c r="YR56" s="1"/>
      <c r="YS56" s="1"/>
      <c r="YT56" s="1"/>
      <c r="YU56" s="1"/>
      <c r="YV56" s="1"/>
      <c r="YW56" s="1"/>
      <c r="YX56" s="1"/>
      <c r="YY56" s="1"/>
      <c r="YZ56" s="1"/>
      <c r="ZA56" s="1"/>
      <c r="ZB56" s="1"/>
      <c r="ZC56" s="1"/>
      <c r="ZD56" s="1"/>
      <c r="ZE56" s="1"/>
      <c r="ZF56" s="1"/>
      <c r="ZG56" s="1"/>
      <c r="ZH56" s="1"/>
      <c r="ZI56" s="1"/>
      <c r="ZJ56" s="1"/>
      <c r="ZK56" s="1"/>
      <c r="ZL56" s="1"/>
      <c r="ZM56" s="1"/>
      <c r="ZN56" s="1"/>
      <c r="ZO56" s="1"/>
      <c r="ZP56" s="1"/>
      <c r="ZQ56" s="1"/>
      <c r="ZR56" s="1"/>
      <c r="ZS56" s="1"/>
      <c r="ZT56" s="1"/>
      <c r="ZU56" s="1"/>
      <c r="ZV56" s="1"/>
      <c r="ZW56" s="1"/>
      <c r="ZX56" s="1"/>
      <c r="ZY56" s="1"/>
      <c r="ZZ56" s="1"/>
      <c r="AAA56" s="1"/>
      <c r="AAB56" s="1"/>
      <c r="AAC56" s="1"/>
      <c r="AAD56" s="1"/>
      <c r="AAE56" s="1"/>
      <c r="AAF56" s="1"/>
      <c r="AAG56" s="1"/>
      <c r="AAH56" s="1"/>
      <c r="AAI56" s="1"/>
      <c r="AAJ56" s="1"/>
      <c r="AAK56" s="1"/>
      <c r="AAL56" s="1"/>
      <c r="AAM56" s="1"/>
      <c r="AAN56" s="1"/>
      <c r="AAO56" s="1"/>
      <c r="AAP56" s="1"/>
      <c r="AAQ56" s="1"/>
      <c r="AAR56" s="1"/>
      <c r="AAS56" s="1"/>
      <c r="AAT56" s="1"/>
      <c r="AAU56" s="1"/>
      <c r="AAV56" s="1"/>
      <c r="AAW56" s="1"/>
      <c r="AAX56" s="1"/>
      <c r="AAY56" s="1"/>
      <c r="AAZ56" s="1"/>
      <c r="ABA56" s="1"/>
      <c r="ABB56" s="1"/>
      <c r="ABC56" s="1"/>
      <c r="ABD56" s="1"/>
      <c r="ABE56" s="1"/>
      <c r="ABF56" s="1"/>
      <c r="ABG56" s="1"/>
      <c r="ABH56" s="1"/>
      <c r="ABI56" s="1"/>
      <c r="ABJ56" s="1"/>
      <c r="ABK56" s="1"/>
      <c r="ABL56" s="1"/>
      <c r="ABM56" s="1"/>
      <c r="ABN56" s="1"/>
      <c r="ABO56" s="1"/>
      <c r="ABP56" s="1"/>
      <c r="ABQ56" s="1"/>
      <c r="ABR56" s="1"/>
      <c r="ABS56" s="1"/>
      <c r="ABT56" s="1"/>
      <c r="ABU56" s="1"/>
      <c r="ABV56" s="1"/>
      <c r="ABW56" s="1"/>
      <c r="ABX56" s="1"/>
      <c r="ABY56" s="1"/>
      <c r="ABZ56" s="1"/>
      <c r="ACA56" s="1"/>
      <c r="ACB56" s="1"/>
      <c r="ACC56" s="1"/>
      <c r="ACD56" s="1"/>
      <c r="ACE56" s="1"/>
      <c r="ACF56" s="1"/>
      <c r="ACG56" s="1"/>
      <c r="ACH56" s="1"/>
      <c r="ACI56" s="1"/>
      <c r="ACJ56" s="1"/>
      <c r="ACK56" s="1"/>
      <c r="ACL56" s="1"/>
      <c r="ACM56" s="1"/>
      <c r="ACN56" s="1"/>
      <c r="ACO56" s="1"/>
      <c r="ACP56" s="1"/>
      <c r="ACQ56" s="1"/>
      <c r="ACR56" s="1"/>
      <c r="ACS56" s="1"/>
      <c r="ACT56" s="1"/>
      <c r="ACU56" s="1"/>
      <c r="ACV56" s="1"/>
      <c r="ACW56" s="1"/>
      <c r="ACX56" s="1"/>
      <c r="ACY56" s="1"/>
      <c r="ACZ56" s="1"/>
      <c r="ADA56" s="1"/>
      <c r="ADB56" s="1"/>
      <c r="ADC56" s="1"/>
      <c r="ADD56" s="1"/>
      <c r="ADE56" s="1"/>
      <c r="ADF56" s="1"/>
      <c r="ADG56" s="1"/>
      <c r="ADH56" s="1"/>
      <c r="ADI56" s="1"/>
      <c r="ADJ56" s="1"/>
      <c r="ADK56" s="1"/>
      <c r="ADL56" s="1"/>
      <c r="ADM56" s="1"/>
      <c r="ADN56" s="1"/>
      <c r="ADO56" s="1"/>
      <c r="ADP56" s="1"/>
      <c r="ADQ56" s="1"/>
      <c r="ADR56" s="1"/>
      <c r="ADS56" s="1"/>
      <c r="ADT56" s="1"/>
      <c r="ADU56" s="1"/>
      <c r="ADV56" s="1"/>
      <c r="ADW56" s="1"/>
      <c r="ADX56" s="1"/>
      <c r="ADY56" s="1"/>
      <c r="ADZ56" s="1"/>
      <c r="AEA56" s="1"/>
      <c r="AEB56" s="1"/>
      <c r="AEC56" s="1"/>
      <c r="AED56" s="1"/>
      <c r="AEE56" s="1"/>
      <c r="AEF56" s="1"/>
      <c r="AEG56" s="1"/>
      <c r="AEH56" s="1"/>
      <c r="AEI56" s="1"/>
      <c r="AEJ56" s="1"/>
      <c r="AEK56" s="1"/>
      <c r="AEL56" s="1"/>
      <c r="AEM56" s="1"/>
      <c r="AEN56" s="1"/>
      <c r="AEO56" s="1"/>
      <c r="AEP56" s="1"/>
      <c r="AEQ56" s="1"/>
      <c r="AER56" s="1"/>
      <c r="AES56" s="1"/>
      <c r="AET56" s="1"/>
      <c r="AEU56" s="1"/>
      <c r="AEV56" s="1"/>
      <c r="AEW56" s="1"/>
      <c r="AEX56" s="1"/>
      <c r="AEY56" s="1"/>
      <c r="AEZ56" s="1"/>
      <c r="AFA56" s="1"/>
      <c r="AFB56" s="1"/>
      <c r="AFC56" s="1"/>
      <c r="AFD56" s="1"/>
      <c r="AFE56" s="1"/>
      <c r="AFF56" s="1"/>
      <c r="AFG56" s="1"/>
      <c r="AFH56" s="1"/>
      <c r="AFI56" s="1"/>
      <c r="AFJ56" s="1"/>
      <c r="AFK56" s="1"/>
      <c r="AFL56" s="1"/>
      <c r="AFM56" s="1"/>
      <c r="AFN56" s="1"/>
      <c r="AFO56" s="1"/>
      <c r="AFP56" s="1"/>
      <c r="AFQ56" s="1"/>
      <c r="AFR56" s="1"/>
      <c r="AFS56" s="1"/>
      <c r="AFT56" s="1"/>
      <c r="AFU56" s="1"/>
      <c r="AFV56" s="1"/>
      <c r="AFW56" s="1"/>
      <c r="AFX56" s="1"/>
      <c r="AFY56" s="1"/>
      <c r="AFZ56" s="1"/>
      <c r="AGA56" s="1"/>
      <c r="AGB56" s="1"/>
      <c r="AGC56" s="1"/>
      <c r="AGD56" s="1"/>
      <c r="AGE56" s="1"/>
      <c r="AGF56" s="1"/>
      <c r="AGG56" s="1"/>
      <c r="AGH56" s="1"/>
      <c r="AGI56" s="1"/>
      <c r="AGJ56" s="1"/>
      <c r="AGK56" s="1"/>
      <c r="AGL56" s="1"/>
      <c r="AGM56" s="1"/>
      <c r="AGN56" s="1"/>
      <c r="AGO56" s="1"/>
      <c r="AGP56" s="1"/>
      <c r="AGQ56" s="1"/>
      <c r="AGR56" s="1"/>
      <c r="AGS56" s="1"/>
      <c r="AGT56" s="1"/>
      <c r="AGU56" s="1"/>
      <c r="AGV56" s="1"/>
      <c r="AGW56" s="1"/>
      <c r="AGX56" s="1"/>
      <c r="AGY56" s="1"/>
      <c r="AGZ56" s="1"/>
      <c r="AHA56" s="1"/>
      <c r="AHB56" s="1"/>
      <c r="AHC56" s="1"/>
      <c r="AHD56" s="1"/>
      <c r="AHE56" s="1"/>
      <c r="AHF56" s="1"/>
      <c r="AHG56" s="1"/>
      <c r="AHH56" s="1"/>
      <c r="AHI56" s="1"/>
      <c r="AHJ56" s="1"/>
      <c r="AHK56" s="1"/>
      <c r="AHL56" s="1"/>
      <c r="AHM56" s="1"/>
      <c r="AHN56" s="1"/>
      <c r="AHO56" s="1"/>
      <c r="AHP56" s="1"/>
      <c r="AHQ56" s="1"/>
      <c r="AHR56" s="1"/>
      <c r="AHS56" s="1"/>
      <c r="AHT56" s="1"/>
      <c r="AHU56" s="1"/>
      <c r="AHV56" s="1"/>
      <c r="AHW56" s="1"/>
      <c r="AHX56" s="1"/>
      <c r="AHY56" s="1"/>
      <c r="AHZ56" s="1"/>
      <c r="AIA56" s="1"/>
      <c r="AIB56" s="1"/>
      <c r="AIC56" s="1"/>
      <c r="AID56" s="1"/>
      <c r="AIE56" s="1"/>
      <c r="AIF56" s="1"/>
      <c r="AIG56" s="1"/>
      <c r="AIH56" s="1"/>
      <c r="AII56" s="1"/>
      <c r="AIJ56" s="1"/>
      <c r="AIK56" s="1"/>
      <c r="AIL56" s="1"/>
      <c r="AIM56" s="1"/>
      <c r="AIN56" s="1"/>
      <c r="AIO56" s="1"/>
      <c r="AIP56" s="1"/>
      <c r="AIQ56" s="1"/>
      <c r="AIR56" s="1"/>
      <c r="AIS56" s="1"/>
      <c r="AIT56" s="1"/>
      <c r="AIU56" s="1"/>
      <c r="AIV56" s="1"/>
      <c r="AIW56" s="1"/>
      <c r="AIX56" s="1"/>
      <c r="AIY56" s="1"/>
      <c r="AIZ56" s="1"/>
      <c r="AJA56" s="1"/>
      <c r="AJB56" s="1"/>
      <c r="AJC56" s="1"/>
      <c r="AJD56" s="1"/>
      <c r="AJE56" s="1"/>
      <c r="AJF56" s="1"/>
      <c r="AJG56" s="1"/>
      <c r="AJH56" s="1"/>
      <c r="AJI56" s="1"/>
      <c r="AJJ56" s="1"/>
      <c r="AJK56" s="1"/>
      <c r="AJL56" s="1"/>
      <c r="AJM56" s="1"/>
      <c r="AJN56" s="1"/>
      <c r="AJO56" s="1"/>
      <c r="AJP56" s="1"/>
      <c r="AJQ56" s="1"/>
      <c r="AJR56" s="1"/>
      <c r="AJS56" s="1"/>
      <c r="AJT56" s="1"/>
      <c r="AJU56" s="1"/>
      <c r="AJV56" s="1"/>
      <c r="AJW56" s="1"/>
      <c r="AJX56" s="1"/>
      <c r="AJY56" s="1"/>
      <c r="AJZ56" s="1"/>
      <c r="AKA56" s="1"/>
      <c r="AKB56" s="1"/>
      <c r="AKC56" s="1"/>
      <c r="AKD56" s="1"/>
      <c r="AKE56" s="1"/>
      <c r="AKF56" s="1"/>
      <c r="AKG56" s="1"/>
      <c r="AKH56" s="1"/>
      <c r="AKI56" s="1"/>
      <c r="AKJ56" s="1"/>
      <c r="AKK56" s="1"/>
      <c r="AKL56" s="1"/>
      <c r="AKM56" s="1"/>
      <c r="AKN56" s="1"/>
      <c r="AKO56" s="1"/>
      <c r="AKP56" s="1"/>
      <c r="AKQ56" s="1"/>
      <c r="AKR56" s="1"/>
      <c r="AKS56" s="1"/>
      <c r="AKT56" s="1"/>
      <c r="AKU56" s="1"/>
      <c r="AKV56" s="1"/>
      <c r="AKW56" s="1"/>
      <c r="AKX56" s="1"/>
      <c r="AKY56" s="1"/>
      <c r="AKZ56" s="1"/>
      <c r="ALA56" s="1"/>
      <c r="ALB56" s="1"/>
      <c r="ALC56" s="1"/>
      <c r="ALD56" s="1"/>
      <c r="ALE56" s="1"/>
      <c r="ALF56" s="1"/>
      <c r="ALG56" s="1"/>
      <c r="ALH56" s="1"/>
      <c r="ALI56" s="1"/>
      <c r="ALJ56" s="1"/>
      <c r="ALK56" s="1"/>
      <c r="ALL56" s="1"/>
      <c r="ALM56" s="1"/>
      <c r="ALN56" s="1"/>
      <c r="ALO56" s="1"/>
      <c r="ALP56" s="1"/>
      <c r="ALQ56" s="1"/>
      <c r="ALR56" s="1"/>
      <c r="ALS56" s="1"/>
      <c r="ALT56" s="1"/>
      <c r="ALU56" s="1"/>
      <c r="ALV56" s="1"/>
      <c r="ALW56" s="1"/>
      <c r="ALX56" s="1"/>
      <c r="ALY56" s="1"/>
      <c r="ALZ56" s="1"/>
      <c r="AMA56" s="1"/>
      <c r="AMB56" s="1"/>
      <c r="AMC56" s="1"/>
      <c r="AMD56" s="1"/>
      <c r="AME56" s="1"/>
      <c r="AMF56" s="1"/>
      <c r="AMG56" s="1"/>
      <c r="AMH56" s="1"/>
      <c r="AMI56" s="1"/>
      <c r="AMJ56" s="1"/>
      <c r="AMK56" s="1"/>
      <c r="AML56" s="1"/>
      <c r="AMM56" s="1"/>
      <c r="AMN56" s="1"/>
    </row>
    <row r="57" spans="1:1028" x14ac:dyDescent="0.2">
      <c r="A57" s="3" t="str">
        <f t="shared" si="194"/>
        <v>adrb1_melga_4AMJ</v>
      </c>
      <c r="B57" s="3" t="s">
        <v>912</v>
      </c>
      <c r="C57" s="3" t="s">
        <v>1041</v>
      </c>
      <c r="D57" s="3" t="str">
        <f>IFERROR(MID(VLOOKUP($B57,Seqs!$A:$B,2,0),E57,1),"")</f>
        <v>A</v>
      </c>
      <c r="E57" s="3">
        <v>33</v>
      </c>
      <c r="F57" s="3" t="str">
        <f>IFERROR(MID(VLOOKUP($B57,Seqs!$A:$B,2,0),G57,1),"")</f>
        <v>T</v>
      </c>
      <c r="G57" s="3">
        <v>69</v>
      </c>
      <c r="H57" s="3" t="str">
        <f>IFERROR(MID(VLOOKUP($B57,Seqs!$A:$B,2,0),I57,1),"")</f>
        <v>Q</v>
      </c>
      <c r="I57" s="23">
        <v>70</v>
      </c>
      <c r="J57" s="3" t="str">
        <f>IFERROR(MID(VLOOKUP($B57,Seqs!$A:$B,2,0),K57,1),"")</f>
        <v>Q</v>
      </c>
      <c r="K57" s="23">
        <v>73</v>
      </c>
      <c r="L57" s="3" t="str">
        <f>IFERROR(MID(VLOOKUP($B57,Seqs!$A:$B,2,0),M57,1),"")</f>
        <v>T</v>
      </c>
      <c r="M57" s="3">
        <v>74</v>
      </c>
      <c r="N57" s="3" t="str">
        <f>IFERROR(MID(VLOOKUP($B57,Seqs!$A:$B,2,0),O57,1),"")</f>
        <v>R</v>
      </c>
      <c r="O57" s="3">
        <v>104</v>
      </c>
      <c r="P57" s="3" t="str">
        <f>IFERROR(MID(VLOOKUP($B57,Seqs!$A:$B,2,0),Q57,1),"")</f>
        <v>T</v>
      </c>
      <c r="Q57" s="3">
        <v>106</v>
      </c>
      <c r="R57" s="3" t="str">
        <f>IFERROR(MID(VLOOKUP($B57,Seqs!$A:$B,2,0),S57,1),"")</f>
        <v>W</v>
      </c>
      <c r="S57" s="3">
        <v>109</v>
      </c>
      <c r="T57" s="3" t="str">
        <f>IFERROR(MID(VLOOKUP($B57,Seqs!$A:$B,2,0),U57,1),"")</f>
        <v>G</v>
      </c>
      <c r="U57" s="3">
        <v>110</v>
      </c>
      <c r="V57" s="3" t="str">
        <f>IFERROR(MID(VLOOKUP($B57,Seqs!$A:$B,2,0),W57,1),"")</f>
        <v>S</v>
      </c>
      <c r="W57" s="3">
        <v>145</v>
      </c>
      <c r="X57" s="3" t="str">
        <f>IFERROR(MID(VLOOKUP($B57,Seqs!$A:$B,2,0),Y57,1),"")</f>
        <v>P</v>
      </c>
      <c r="Y57" s="3">
        <v>146</v>
      </c>
      <c r="Z57" s="3" t="str">
        <f>IFERROR(MID(VLOOKUP($B57,Seqs!$A:$B,2,0),AA57,1),"")</f>
        <v>M</v>
      </c>
      <c r="AA57" s="3">
        <v>153</v>
      </c>
      <c r="AB57" s="3" t="str">
        <f>IFERROR(MID(VLOOKUP($B57,Seqs!$A:$B,2,0),AC57,1),"")</f>
        <v>T</v>
      </c>
      <c r="AC57" s="9">
        <v>154</v>
      </c>
      <c r="AD57" s="3" t="str">
        <f>IFERROR(MID(VLOOKUP($B57,Seqs!$A:$B,2,0),AE57,1),"")</f>
        <v>H</v>
      </c>
      <c r="AE57" s="3">
        <v>180</v>
      </c>
      <c r="AF57" s="3" t="str">
        <f>IFERROR(MID(VLOOKUP($B57,Seqs!$A:$B,2,0),AG57,1),"")</f>
        <v>C</v>
      </c>
      <c r="AG57" s="3">
        <v>199</v>
      </c>
      <c r="AH57" s="3" t="str">
        <f>IFERROR(MID(VLOOKUP($B57,Seqs!$A:$B,2,0),AI57,1),"")</f>
        <v>F</v>
      </c>
      <c r="AI57" s="3">
        <v>201</v>
      </c>
      <c r="AJ57" s="3" t="str">
        <f>IFERROR(MID(VLOOKUP($B57,Seqs!$A:$B,2,0),AK57,1),"")</f>
        <v>N</v>
      </c>
      <c r="AK57" s="3">
        <v>204</v>
      </c>
      <c r="AL57" s="3" t="str">
        <f>IFERROR(MID(VLOOKUP($B57,Seqs!$A:$B,2,0),AM57,1),"")</f>
        <v>I</v>
      </c>
      <c r="AM57" s="3">
        <v>238</v>
      </c>
      <c r="AN57" s="3" t="str">
        <f>IFERROR(MID(VLOOKUP($B57,Seqs!$A:$B,2,0),AO57,1),"")</f>
        <v>R</v>
      </c>
      <c r="AO57" s="3">
        <v>275</v>
      </c>
      <c r="AP57" s="3" t="str">
        <f>IFERROR(MID(VLOOKUP($B57,Seqs!$A:$B,2,0),AQ57,1),"")</f>
        <v>N</v>
      </c>
      <c r="AQ57" s="3">
        <v>316</v>
      </c>
      <c r="AR57" s="3" t="str">
        <f>IFERROR(MID(VLOOKUP($B57,Seqs!$A:$B,2,0),AS57,1),"")</f>
        <v>P</v>
      </c>
      <c r="AS57" s="3">
        <v>321</v>
      </c>
      <c r="AT57" s="3" t="str">
        <f>IFERROR(MID(VLOOKUP($B57,Seqs!$A:$B,2,0),AU57,1),"")</f>
        <v>R</v>
      </c>
      <c r="AU57" s="3">
        <v>345</v>
      </c>
      <c r="AV57" s="3" t="str">
        <f>IFERROR(MID(VLOOKUP($B57,Seqs!$A:$B,2,0),AW57,1),"")</f>
        <v>S</v>
      </c>
      <c r="AW57" s="3">
        <v>346</v>
      </c>
      <c r="AX57" s="3" t="str">
        <f>IFERROR(MID(VLOOKUP($B57,Seqs!$A:$B,2,0),AY57,1),"")</f>
        <v>C</v>
      </c>
      <c r="AY57" s="3">
        <v>358</v>
      </c>
      <c r="AZ57" s="79" t="str">
        <f>VLOOKUP(B57,Classification!A:D,2,0)</f>
        <v>A</v>
      </c>
      <c r="BA57" s="97" t="str">
        <f>VLOOKUP(B57,Classification!A:D,4,0)</f>
        <v>Adrenoceptors</v>
      </c>
      <c r="BB57" s="27" t="b">
        <f t="shared" si="195"/>
        <v>1</v>
      </c>
      <c r="BC57" s="23">
        <f t="shared" si="84"/>
        <v>265</v>
      </c>
      <c r="BD57" s="2" t="s">
        <v>1383</v>
      </c>
      <c r="BE57" s="3" t="s">
        <v>1381</v>
      </c>
      <c r="BF57" s="50" t="s">
        <v>1384</v>
      </c>
      <c r="BG57" s="50" t="s">
        <v>1384</v>
      </c>
      <c r="BH57" s="1"/>
      <c r="BI57" s="72" t="s">
        <v>1293</v>
      </c>
      <c r="BJ57" s="58" t="s">
        <v>1293</v>
      </c>
      <c r="BK57" s="58" t="s">
        <v>1293</v>
      </c>
      <c r="BL57" s="58" t="s">
        <v>1293</v>
      </c>
      <c r="BM57" s="58" t="s">
        <v>1293</v>
      </c>
      <c r="BN57" s="58" t="s">
        <v>1293</v>
      </c>
      <c r="BO57" s="58" t="s">
        <v>1293</v>
      </c>
      <c r="BP57" s="58" t="s">
        <v>1293</v>
      </c>
      <c r="BQ57" s="58" t="s">
        <v>1293</v>
      </c>
      <c r="BR57" s="58" t="s">
        <v>1293</v>
      </c>
      <c r="BS57" s="58" t="s">
        <v>1293</v>
      </c>
      <c r="BT57" s="58" t="s">
        <v>1293</v>
      </c>
      <c r="BU57" s="72">
        <f t="shared" si="85"/>
        <v>33</v>
      </c>
      <c r="BV57" s="73">
        <f t="shared" si="86"/>
        <v>70</v>
      </c>
      <c r="BW57" s="74">
        <f t="shared" si="87"/>
        <v>74</v>
      </c>
      <c r="BX57" s="73">
        <f t="shared" si="88"/>
        <v>106</v>
      </c>
      <c r="BY57" s="74">
        <f t="shared" si="89"/>
        <v>110</v>
      </c>
      <c r="BZ57" s="73">
        <f t="shared" si="90"/>
        <v>146</v>
      </c>
      <c r="CA57" s="74">
        <f t="shared" si="91"/>
        <v>154</v>
      </c>
      <c r="CB57" s="73">
        <f t="shared" si="92"/>
        <v>199</v>
      </c>
      <c r="CC57" s="74">
        <f t="shared" si="93"/>
        <v>204</v>
      </c>
      <c r="CD57" s="73">
        <f t="shared" si="94"/>
        <v>275</v>
      </c>
      <c r="CE57" s="74">
        <f t="shared" si="95"/>
        <v>321</v>
      </c>
      <c r="CF57" s="73">
        <f t="shared" si="96"/>
        <v>346</v>
      </c>
      <c r="CG57" s="72">
        <f t="shared" si="97"/>
        <v>69</v>
      </c>
      <c r="CH57" s="73">
        <f t="shared" si="98"/>
        <v>73</v>
      </c>
      <c r="CI57" s="74">
        <f t="shared" si="99"/>
        <v>104</v>
      </c>
      <c r="CJ57" s="74">
        <f t="shared" si="100"/>
        <v>109</v>
      </c>
      <c r="CK57" s="74">
        <f t="shared" si="101"/>
        <v>145</v>
      </c>
      <c r="CL57" s="74">
        <f t="shared" si="102"/>
        <v>153</v>
      </c>
      <c r="CM57" s="74">
        <f t="shared" si="103"/>
        <v>180</v>
      </c>
      <c r="CN57" s="74">
        <f t="shared" si="104"/>
        <v>201</v>
      </c>
      <c r="CO57" s="74">
        <f t="shared" si="105"/>
        <v>238</v>
      </c>
      <c r="CP57" s="74">
        <f t="shared" si="106"/>
        <v>316</v>
      </c>
      <c r="CQ57" s="74">
        <f t="shared" si="107"/>
        <v>345</v>
      </c>
      <c r="CR57" s="74">
        <f t="shared" si="108"/>
        <v>358</v>
      </c>
      <c r="CS57" s="23">
        <f t="shared" si="109"/>
        <v>1</v>
      </c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  <c r="NC57" s="1"/>
      <c r="ND57" s="1"/>
      <c r="NE57" s="1"/>
      <c r="NF57" s="1"/>
      <c r="NG57" s="1"/>
      <c r="NH57" s="1"/>
      <c r="NI57" s="1"/>
      <c r="NJ57" s="1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/>
      <c r="OK57" s="1"/>
      <c r="OL57" s="1"/>
      <c r="OM57" s="1"/>
      <c r="ON57" s="1"/>
      <c r="OO57" s="1"/>
      <c r="OP57" s="1"/>
      <c r="OQ57" s="1"/>
      <c r="OR57" s="1"/>
      <c r="OS57" s="1"/>
      <c r="OT57" s="1"/>
      <c r="OU57" s="1"/>
      <c r="OV57" s="1"/>
      <c r="OW57" s="1"/>
      <c r="OX57" s="1"/>
      <c r="OY57" s="1"/>
      <c r="OZ57" s="1"/>
      <c r="PA57" s="1"/>
      <c r="PB57" s="1"/>
      <c r="PC57" s="1"/>
      <c r="PD57" s="1"/>
      <c r="PE57" s="1"/>
      <c r="PF57" s="1"/>
      <c r="PG57" s="1"/>
      <c r="PH57" s="1"/>
      <c r="PI57" s="1"/>
      <c r="PJ57" s="1"/>
      <c r="PK57" s="1"/>
      <c r="PL57" s="1"/>
      <c r="PM57" s="1"/>
      <c r="PN57" s="1"/>
      <c r="PO57" s="1"/>
      <c r="PP57" s="1"/>
      <c r="PQ57" s="1"/>
      <c r="PR57" s="1"/>
      <c r="PS57" s="1"/>
      <c r="PT57" s="1"/>
      <c r="PU57" s="1"/>
      <c r="PV57" s="1"/>
      <c r="PW57" s="1"/>
      <c r="PX57" s="1"/>
      <c r="PY57" s="1"/>
      <c r="PZ57" s="1"/>
      <c r="QA57" s="1"/>
      <c r="QB57" s="1"/>
      <c r="QC57" s="1"/>
      <c r="QD57" s="1"/>
      <c r="QE57" s="1"/>
      <c r="QF57" s="1"/>
      <c r="QG57" s="1"/>
      <c r="QH57" s="1"/>
      <c r="QI57" s="1"/>
      <c r="QJ57" s="1"/>
      <c r="QK57" s="1"/>
      <c r="QL57" s="1"/>
      <c r="QM57" s="1"/>
      <c r="QN57" s="1"/>
      <c r="QO57" s="1"/>
      <c r="QP57" s="1"/>
      <c r="QQ57" s="1"/>
      <c r="QR57" s="1"/>
      <c r="QS57" s="1"/>
      <c r="QT57" s="1"/>
      <c r="QU57" s="1"/>
      <c r="QV57" s="1"/>
      <c r="QW57" s="1"/>
      <c r="QX57" s="1"/>
      <c r="QY57" s="1"/>
      <c r="QZ57" s="1"/>
      <c r="RA57" s="1"/>
      <c r="RB57" s="1"/>
      <c r="RC57" s="1"/>
      <c r="RD57" s="1"/>
      <c r="RE57" s="1"/>
      <c r="RF57" s="1"/>
      <c r="RG57" s="1"/>
      <c r="RH57" s="1"/>
      <c r="RI57" s="1"/>
      <c r="RJ57" s="1"/>
      <c r="RK57" s="1"/>
      <c r="RL57" s="1"/>
      <c r="RM57" s="1"/>
      <c r="RN57" s="1"/>
      <c r="RO57" s="1"/>
      <c r="RP57" s="1"/>
      <c r="RQ57" s="1"/>
      <c r="RR57" s="1"/>
      <c r="RS57" s="1"/>
      <c r="RT57" s="1"/>
      <c r="RU57" s="1"/>
      <c r="RV57" s="1"/>
      <c r="RW57" s="1"/>
      <c r="RX57" s="1"/>
      <c r="RY57" s="1"/>
      <c r="RZ57" s="1"/>
      <c r="SA57" s="1"/>
      <c r="SB57" s="1"/>
      <c r="SC57" s="1"/>
      <c r="SD57" s="1"/>
      <c r="SE57" s="1"/>
      <c r="SF57" s="1"/>
      <c r="SG57" s="1"/>
      <c r="SH57" s="1"/>
      <c r="SI57" s="1"/>
      <c r="SJ57" s="1"/>
      <c r="SK57" s="1"/>
      <c r="SL57" s="1"/>
      <c r="SM57" s="1"/>
      <c r="SN57" s="1"/>
      <c r="SO57" s="1"/>
      <c r="SP57" s="1"/>
      <c r="SQ57" s="1"/>
      <c r="SR57" s="1"/>
      <c r="SS57" s="1"/>
      <c r="ST57" s="1"/>
      <c r="SU57" s="1"/>
      <c r="SV57" s="1"/>
      <c r="SW57" s="1"/>
      <c r="SX57" s="1"/>
      <c r="SY57" s="1"/>
      <c r="SZ57" s="1"/>
      <c r="TA57" s="1"/>
      <c r="TB57" s="1"/>
      <c r="TC57" s="1"/>
      <c r="TD57" s="1"/>
      <c r="TE57" s="1"/>
      <c r="TF57" s="1"/>
      <c r="TG57" s="1"/>
      <c r="TH57" s="1"/>
      <c r="TI57" s="1"/>
      <c r="TJ57" s="1"/>
      <c r="TK57" s="1"/>
      <c r="TL57" s="1"/>
      <c r="TM57" s="1"/>
      <c r="TN57" s="1"/>
      <c r="TO57" s="1"/>
      <c r="TP57" s="1"/>
      <c r="TQ57" s="1"/>
      <c r="TR57" s="1"/>
      <c r="TS57" s="1"/>
      <c r="TT57" s="1"/>
      <c r="TU57" s="1"/>
      <c r="TV57" s="1"/>
      <c r="TW57" s="1"/>
      <c r="TX57" s="1"/>
      <c r="TY57" s="1"/>
      <c r="TZ57" s="1"/>
      <c r="UA57" s="1"/>
      <c r="UB57" s="1"/>
      <c r="UC57" s="1"/>
      <c r="UD57" s="1"/>
      <c r="UE57" s="1"/>
      <c r="UF57" s="1"/>
      <c r="UG57" s="1"/>
      <c r="UH57" s="1"/>
      <c r="UI57" s="1"/>
      <c r="UJ57" s="1"/>
      <c r="UK57" s="1"/>
      <c r="UL57" s="1"/>
      <c r="UM57" s="1"/>
      <c r="UN57" s="1"/>
      <c r="UO57" s="1"/>
      <c r="UP57" s="1"/>
      <c r="UQ57" s="1"/>
      <c r="UR57" s="1"/>
      <c r="US57" s="1"/>
      <c r="UT57" s="1"/>
      <c r="UU57" s="1"/>
      <c r="UV57" s="1"/>
      <c r="UW57" s="1"/>
      <c r="UX57" s="1"/>
      <c r="UY57" s="1"/>
      <c r="UZ57" s="1"/>
      <c r="VA57" s="1"/>
      <c r="VB57" s="1"/>
      <c r="VC57" s="1"/>
      <c r="VD57" s="1"/>
      <c r="VE57" s="1"/>
      <c r="VF57" s="1"/>
      <c r="VG57" s="1"/>
      <c r="VH57" s="1"/>
      <c r="VI57" s="1"/>
      <c r="VJ57" s="1"/>
      <c r="VK57" s="1"/>
      <c r="VL57" s="1"/>
      <c r="VM57" s="1"/>
      <c r="VN57" s="1"/>
      <c r="VO57" s="1"/>
      <c r="VP57" s="1"/>
      <c r="VQ57" s="1"/>
      <c r="VR57" s="1"/>
      <c r="VS57" s="1"/>
      <c r="VT57" s="1"/>
      <c r="VU57" s="1"/>
      <c r="VV57" s="1"/>
      <c r="VW57" s="1"/>
      <c r="VX57" s="1"/>
      <c r="VY57" s="1"/>
      <c r="VZ57" s="1"/>
      <c r="WA57" s="1"/>
      <c r="WB57" s="1"/>
      <c r="WC57" s="1"/>
      <c r="WD57" s="1"/>
      <c r="WE57" s="1"/>
      <c r="WF57" s="1"/>
      <c r="WG57" s="1"/>
      <c r="WH57" s="1"/>
      <c r="WI57" s="1"/>
      <c r="WJ57" s="1"/>
      <c r="WK57" s="1"/>
      <c r="WL57" s="1"/>
      <c r="WM57" s="1"/>
      <c r="WN57" s="1"/>
      <c r="WO57" s="1"/>
      <c r="WP57" s="1"/>
      <c r="WQ57" s="1"/>
      <c r="WR57" s="1"/>
      <c r="WS57" s="1"/>
      <c r="WT57" s="1"/>
      <c r="WU57" s="1"/>
      <c r="WV57" s="1"/>
      <c r="WW57" s="1"/>
      <c r="WX57" s="1"/>
      <c r="WY57" s="1"/>
      <c r="WZ57" s="1"/>
      <c r="XA57" s="1"/>
      <c r="XB57" s="1"/>
      <c r="XC57" s="1"/>
      <c r="XD57" s="1"/>
      <c r="XE57" s="1"/>
      <c r="XF57" s="1"/>
      <c r="XG57" s="1"/>
      <c r="XH57" s="1"/>
      <c r="XI57" s="1"/>
      <c r="XJ57" s="1"/>
      <c r="XK57" s="1"/>
      <c r="XL57" s="1"/>
      <c r="XM57" s="1"/>
      <c r="XN57" s="1"/>
      <c r="XO57" s="1"/>
      <c r="XP57" s="1"/>
      <c r="XQ57" s="1"/>
      <c r="XR57" s="1"/>
      <c r="XS57" s="1"/>
      <c r="XT57" s="1"/>
      <c r="XU57" s="1"/>
      <c r="XV57" s="1"/>
      <c r="XW57" s="1"/>
      <c r="XX57" s="1"/>
      <c r="XY57" s="1"/>
      <c r="XZ57" s="1"/>
      <c r="YA57" s="1"/>
      <c r="YB57" s="1"/>
      <c r="YC57" s="1"/>
      <c r="YD57" s="1"/>
      <c r="YE57" s="1"/>
      <c r="YF57" s="1"/>
      <c r="YG57" s="1"/>
      <c r="YH57" s="1"/>
      <c r="YI57" s="1"/>
      <c r="YJ57" s="1"/>
      <c r="YK57" s="1"/>
      <c r="YL57" s="1"/>
      <c r="YM57" s="1"/>
      <c r="YN57" s="1"/>
      <c r="YO57" s="1"/>
      <c r="YP57" s="1"/>
      <c r="YQ57" s="1"/>
      <c r="YR57" s="1"/>
      <c r="YS57" s="1"/>
      <c r="YT57" s="1"/>
      <c r="YU57" s="1"/>
      <c r="YV57" s="1"/>
      <c r="YW57" s="1"/>
      <c r="YX57" s="1"/>
      <c r="YY57" s="1"/>
      <c r="YZ57" s="1"/>
      <c r="ZA57" s="1"/>
      <c r="ZB57" s="1"/>
      <c r="ZC57" s="1"/>
      <c r="ZD57" s="1"/>
      <c r="ZE57" s="1"/>
      <c r="ZF57" s="1"/>
      <c r="ZG57" s="1"/>
      <c r="ZH57" s="1"/>
      <c r="ZI57" s="1"/>
      <c r="ZJ57" s="1"/>
      <c r="ZK57" s="1"/>
      <c r="ZL57" s="1"/>
      <c r="ZM57" s="1"/>
      <c r="ZN57" s="1"/>
      <c r="ZO57" s="1"/>
      <c r="ZP57" s="1"/>
      <c r="ZQ57" s="1"/>
      <c r="ZR57" s="1"/>
      <c r="ZS57" s="1"/>
      <c r="ZT57" s="1"/>
      <c r="ZU57" s="1"/>
      <c r="ZV57" s="1"/>
      <c r="ZW57" s="1"/>
      <c r="ZX57" s="1"/>
      <c r="ZY57" s="1"/>
      <c r="ZZ57" s="1"/>
      <c r="AAA57" s="1"/>
      <c r="AAB57" s="1"/>
      <c r="AAC57" s="1"/>
      <c r="AAD57" s="1"/>
      <c r="AAE57" s="1"/>
      <c r="AAF57" s="1"/>
      <c r="AAG57" s="1"/>
      <c r="AAH57" s="1"/>
      <c r="AAI57" s="1"/>
      <c r="AAJ57" s="1"/>
      <c r="AAK57" s="1"/>
      <c r="AAL57" s="1"/>
      <c r="AAM57" s="1"/>
      <c r="AAN57" s="1"/>
      <c r="AAO57" s="1"/>
      <c r="AAP57" s="1"/>
      <c r="AAQ57" s="1"/>
      <c r="AAR57" s="1"/>
      <c r="AAS57" s="1"/>
      <c r="AAT57" s="1"/>
      <c r="AAU57" s="1"/>
      <c r="AAV57" s="1"/>
      <c r="AAW57" s="1"/>
      <c r="AAX57" s="1"/>
      <c r="AAY57" s="1"/>
      <c r="AAZ57" s="1"/>
      <c r="ABA57" s="1"/>
      <c r="ABB57" s="1"/>
      <c r="ABC57" s="1"/>
      <c r="ABD57" s="1"/>
      <c r="ABE57" s="1"/>
      <c r="ABF57" s="1"/>
      <c r="ABG57" s="1"/>
      <c r="ABH57" s="1"/>
      <c r="ABI57" s="1"/>
      <c r="ABJ57" s="1"/>
      <c r="ABK57" s="1"/>
      <c r="ABL57" s="1"/>
      <c r="ABM57" s="1"/>
      <c r="ABN57" s="1"/>
      <c r="ABO57" s="1"/>
      <c r="ABP57" s="1"/>
      <c r="ABQ57" s="1"/>
      <c r="ABR57" s="1"/>
      <c r="ABS57" s="1"/>
      <c r="ABT57" s="1"/>
      <c r="ABU57" s="1"/>
      <c r="ABV57" s="1"/>
      <c r="ABW57" s="1"/>
      <c r="ABX57" s="1"/>
      <c r="ABY57" s="1"/>
      <c r="ABZ57" s="1"/>
      <c r="ACA57" s="1"/>
      <c r="ACB57" s="1"/>
      <c r="ACC57" s="1"/>
      <c r="ACD57" s="1"/>
      <c r="ACE57" s="1"/>
      <c r="ACF57" s="1"/>
      <c r="ACG57" s="1"/>
      <c r="ACH57" s="1"/>
      <c r="ACI57" s="1"/>
      <c r="ACJ57" s="1"/>
      <c r="ACK57" s="1"/>
      <c r="ACL57" s="1"/>
      <c r="ACM57" s="1"/>
      <c r="ACN57" s="1"/>
      <c r="ACO57" s="1"/>
      <c r="ACP57" s="1"/>
      <c r="ACQ57" s="1"/>
      <c r="ACR57" s="1"/>
      <c r="ACS57" s="1"/>
      <c r="ACT57" s="1"/>
      <c r="ACU57" s="1"/>
      <c r="ACV57" s="1"/>
      <c r="ACW57" s="1"/>
      <c r="ACX57" s="1"/>
      <c r="ACY57" s="1"/>
      <c r="ACZ57" s="1"/>
      <c r="ADA57" s="1"/>
      <c r="ADB57" s="1"/>
      <c r="ADC57" s="1"/>
      <c r="ADD57" s="1"/>
      <c r="ADE57" s="1"/>
      <c r="ADF57" s="1"/>
      <c r="ADG57" s="1"/>
      <c r="ADH57" s="1"/>
      <c r="ADI57" s="1"/>
      <c r="ADJ57" s="1"/>
      <c r="ADK57" s="1"/>
      <c r="ADL57" s="1"/>
      <c r="ADM57" s="1"/>
      <c r="ADN57" s="1"/>
      <c r="ADO57" s="1"/>
      <c r="ADP57" s="1"/>
      <c r="ADQ57" s="1"/>
      <c r="ADR57" s="1"/>
      <c r="ADS57" s="1"/>
      <c r="ADT57" s="1"/>
      <c r="ADU57" s="1"/>
      <c r="ADV57" s="1"/>
      <c r="ADW57" s="1"/>
      <c r="ADX57" s="1"/>
      <c r="ADY57" s="1"/>
      <c r="ADZ57" s="1"/>
      <c r="AEA57" s="1"/>
      <c r="AEB57" s="1"/>
      <c r="AEC57" s="1"/>
      <c r="AED57" s="1"/>
      <c r="AEE57" s="1"/>
      <c r="AEF57" s="1"/>
      <c r="AEG57" s="1"/>
      <c r="AEH57" s="1"/>
      <c r="AEI57" s="1"/>
      <c r="AEJ57" s="1"/>
      <c r="AEK57" s="1"/>
      <c r="AEL57" s="1"/>
      <c r="AEM57" s="1"/>
      <c r="AEN57" s="1"/>
      <c r="AEO57" s="1"/>
      <c r="AEP57" s="1"/>
      <c r="AEQ57" s="1"/>
      <c r="AER57" s="1"/>
      <c r="AES57" s="1"/>
      <c r="AET57" s="1"/>
      <c r="AEU57" s="1"/>
      <c r="AEV57" s="1"/>
      <c r="AEW57" s="1"/>
      <c r="AEX57" s="1"/>
      <c r="AEY57" s="1"/>
      <c r="AEZ57" s="1"/>
      <c r="AFA57" s="1"/>
      <c r="AFB57" s="1"/>
      <c r="AFC57" s="1"/>
      <c r="AFD57" s="1"/>
      <c r="AFE57" s="1"/>
      <c r="AFF57" s="1"/>
      <c r="AFG57" s="1"/>
      <c r="AFH57" s="1"/>
      <c r="AFI57" s="1"/>
      <c r="AFJ57" s="1"/>
      <c r="AFK57" s="1"/>
      <c r="AFL57" s="1"/>
      <c r="AFM57" s="1"/>
      <c r="AFN57" s="1"/>
      <c r="AFO57" s="1"/>
      <c r="AFP57" s="1"/>
      <c r="AFQ57" s="1"/>
      <c r="AFR57" s="1"/>
      <c r="AFS57" s="1"/>
      <c r="AFT57" s="1"/>
      <c r="AFU57" s="1"/>
      <c r="AFV57" s="1"/>
      <c r="AFW57" s="1"/>
      <c r="AFX57" s="1"/>
      <c r="AFY57" s="1"/>
      <c r="AFZ57" s="1"/>
      <c r="AGA57" s="1"/>
      <c r="AGB57" s="1"/>
      <c r="AGC57" s="1"/>
      <c r="AGD57" s="1"/>
      <c r="AGE57" s="1"/>
      <c r="AGF57" s="1"/>
      <c r="AGG57" s="1"/>
      <c r="AGH57" s="1"/>
      <c r="AGI57" s="1"/>
      <c r="AGJ57" s="1"/>
      <c r="AGK57" s="1"/>
      <c r="AGL57" s="1"/>
      <c r="AGM57" s="1"/>
      <c r="AGN57" s="1"/>
      <c r="AGO57" s="1"/>
      <c r="AGP57" s="1"/>
      <c r="AGQ57" s="1"/>
      <c r="AGR57" s="1"/>
      <c r="AGS57" s="1"/>
      <c r="AGT57" s="1"/>
      <c r="AGU57" s="1"/>
      <c r="AGV57" s="1"/>
      <c r="AGW57" s="1"/>
      <c r="AGX57" s="1"/>
      <c r="AGY57" s="1"/>
      <c r="AGZ57" s="1"/>
      <c r="AHA57" s="1"/>
      <c r="AHB57" s="1"/>
      <c r="AHC57" s="1"/>
      <c r="AHD57" s="1"/>
      <c r="AHE57" s="1"/>
      <c r="AHF57" s="1"/>
      <c r="AHG57" s="1"/>
      <c r="AHH57" s="1"/>
      <c r="AHI57" s="1"/>
      <c r="AHJ57" s="1"/>
      <c r="AHK57" s="1"/>
      <c r="AHL57" s="1"/>
      <c r="AHM57" s="1"/>
      <c r="AHN57" s="1"/>
      <c r="AHO57" s="1"/>
      <c r="AHP57" s="1"/>
      <c r="AHQ57" s="1"/>
      <c r="AHR57" s="1"/>
      <c r="AHS57" s="1"/>
      <c r="AHT57" s="1"/>
      <c r="AHU57" s="1"/>
      <c r="AHV57" s="1"/>
      <c r="AHW57" s="1"/>
      <c r="AHX57" s="1"/>
      <c r="AHY57" s="1"/>
      <c r="AHZ57" s="1"/>
      <c r="AIA57" s="1"/>
      <c r="AIB57" s="1"/>
      <c r="AIC57" s="1"/>
      <c r="AID57" s="1"/>
      <c r="AIE57" s="1"/>
      <c r="AIF57" s="1"/>
      <c r="AIG57" s="1"/>
      <c r="AIH57" s="1"/>
      <c r="AII57" s="1"/>
      <c r="AIJ57" s="1"/>
      <c r="AIK57" s="1"/>
      <c r="AIL57" s="1"/>
      <c r="AIM57" s="1"/>
      <c r="AIN57" s="1"/>
      <c r="AIO57" s="1"/>
      <c r="AIP57" s="1"/>
      <c r="AIQ57" s="1"/>
      <c r="AIR57" s="1"/>
      <c r="AIS57" s="1"/>
      <c r="AIT57" s="1"/>
      <c r="AIU57" s="1"/>
      <c r="AIV57" s="1"/>
      <c r="AIW57" s="1"/>
      <c r="AIX57" s="1"/>
      <c r="AIY57" s="1"/>
      <c r="AIZ57" s="1"/>
      <c r="AJA57" s="1"/>
      <c r="AJB57" s="1"/>
      <c r="AJC57" s="1"/>
      <c r="AJD57" s="1"/>
      <c r="AJE57" s="1"/>
      <c r="AJF57" s="1"/>
      <c r="AJG57" s="1"/>
      <c r="AJH57" s="1"/>
      <c r="AJI57" s="1"/>
      <c r="AJJ57" s="1"/>
      <c r="AJK57" s="1"/>
      <c r="AJL57" s="1"/>
      <c r="AJM57" s="1"/>
      <c r="AJN57" s="1"/>
      <c r="AJO57" s="1"/>
      <c r="AJP57" s="1"/>
      <c r="AJQ57" s="1"/>
      <c r="AJR57" s="1"/>
      <c r="AJS57" s="1"/>
      <c r="AJT57" s="1"/>
      <c r="AJU57" s="1"/>
      <c r="AJV57" s="1"/>
      <c r="AJW57" s="1"/>
      <c r="AJX57" s="1"/>
      <c r="AJY57" s="1"/>
      <c r="AJZ57" s="1"/>
      <c r="AKA57" s="1"/>
      <c r="AKB57" s="1"/>
      <c r="AKC57" s="1"/>
      <c r="AKD57" s="1"/>
      <c r="AKE57" s="1"/>
      <c r="AKF57" s="1"/>
      <c r="AKG57" s="1"/>
      <c r="AKH57" s="1"/>
      <c r="AKI57" s="1"/>
      <c r="AKJ57" s="1"/>
      <c r="AKK57" s="1"/>
      <c r="AKL57" s="1"/>
      <c r="AKM57" s="1"/>
      <c r="AKN57" s="1"/>
      <c r="AKO57" s="1"/>
      <c r="AKP57" s="1"/>
      <c r="AKQ57" s="1"/>
      <c r="AKR57" s="1"/>
      <c r="AKS57" s="1"/>
      <c r="AKT57" s="1"/>
      <c r="AKU57" s="1"/>
      <c r="AKV57" s="1"/>
      <c r="AKW57" s="1"/>
      <c r="AKX57" s="1"/>
      <c r="AKY57" s="1"/>
      <c r="AKZ57" s="1"/>
      <c r="ALA57" s="1"/>
      <c r="ALB57" s="1"/>
      <c r="ALC57" s="1"/>
      <c r="ALD57" s="1"/>
      <c r="ALE57" s="1"/>
      <c r="ALF57" s="1"/>
      <c r="ALG57" s="1"/>
      <c r="ALH57" s="1"/>
      <c r="ALI57" s="1"/>
      <c r="ALJ57" s="1"/>
      <c r="ALK57" s="1"/>
      <c r="ALL57" s="1"/>
      <c r="ALM57" s="1"/>
      <c r="ALN57" s="1"/>
      <c r="ALO57" s="1"/>
      <c r="ALP57" s="1"/>
      <c r="ALQ57" s="1"/>
      <c r="ALR57" s="1"/>
      <c r="ALS57" s="1"/>
      <c r="ALT57" s="1"/>
      <c r="ALU57" s="1"/>
      <c r="ALV57" s="1"/>
      <c r="ALW57" s="1"/>
      <c r="ALX57" s="1"/>
      <c r="ALY57" s="1"/>
      <c r="ALZ57" s="1"/>
      <c r="AMA57" s="1"/>
      <c r="AMB57" s="1"/>
      <c r="AMC57" s="1"/>
      <c r="AMD57" s="1"/>
      <c r="AME57" s="1"/>
      <c r="AMF57" s="1"/>
      <c r="AMG57" s="1"/>
      <c r="AMH57" s="1"/>
      <c r="AMI57" s="1"/>
      <c r="AMJ57" s="1"/>
      <c r="AMK57" s="1"/>
      <c r="AML57" s="1"/>
      <c r="AMM57" s="1"/>
      <c r="AMN57" s="1"/>
    </row>
    <row r="58" spans="1:1028" x14ac:dyDescent="0.2">
      <c r="A58" s="3" t="str">
        <f t="shared" si="194"/>
        <v>adrb1_melga_4BVN</v>
      </c>
      <c r="B58" s="3" t="s">
        <v>912</v>
      </c>
      <c r="C58" s="3" t="s">
        <v>82</v>
      </c>
      <c r="D58" s="3" t="str">
        <f>IFERROR(MID(VLOOKUP($B58,Seqs!$A:$B,2,0),E58,1),"")</f>
        <v>S</v>
      </c>
      <c r="E58" s="3">
        <v>37</v>
      </c>
      <c r="F58" s="3" t="str">
        <f>IFERROR(MID(VLOOKUP($B58,Seqs!$A:$B,2,0),G58,1),"")</f>
        <v>T</v>
      </c>
      <c r="G58" s="3">
        <v>69</v>
      </c>
      <c r="H58" s="3" t="str">
        <f>IFERROR(MID(VLOOKUP($B58,Seqs!$A:$B,2,0),I58,1),"")</f>
        <v>Q</v>
      </c>
      <c r="I58" s="23">
        <v>70</v>
      </c>
      <c r="J58" s="3" t="str">
        <f>IFERROR(MID(VLOOKUP($B58,Seqs!$A:$B,2,0),K58,1),"")</f>
        <v>Q</v>
      </c>
      <c r="K58" s="23">
        <v>73</v>
      </c>
      <c r="L58" s="3" t="str">
        <f>IFERROR(MID(VLOOKUP($B58,Seqs!$A:$B,2,0),M58,1),"")</f>
        <v>T</v>
      </c>
      <c r="M58" s="3">
        <v>74</v>
      </c>
      <c r="N58" s="3" t="str">
        <f>IFERROR(MID(VLOOKUP($B58,Seqs!$A:$B,2,0),O58,1),"")</f>
        <v>R</v>
      </c>
      <c r="O58" s="3">
        <v>104</v>
      </c>
      <c r="P58" s="3" t="str">
        <f>IFERROR(MID(VLOOKUP($B58,Seqs!$A:$B,2,0),Q58,1),"")</f>
        <v>T</v>
      </c>
      <c r="Q58" s="3">
        <v>106</v>
      </c>
      <c r="R58" s="3" t="str">
        <f>IFERROR(MID(VLOOKUP($B58,Seqs!$A:$B,2,0),S58,1),"")</f>
        <v>W</v>
      </c>
      <c r="S58" s="3">
        <v>109</v>
      </c>
      <c r="T58" s="3" t="str">
        <f>IFERROR(MID(VLOOKUP($B58,Seqs!$A:$B,2,0),U58,1),"")</f>
        <v>G</v>
      </c>
      <c r="U58" s="3">
        <v>110</v>
      </c>
      <c r="V58" s="3" t="str">
        <f>IFERROR(MID(VLOOKUP($B58,Seqs!$A:$B,2,0),W58,1),"")</f>
        <v>S</v>
      </c>
      <c r="W58" s="3">
        <v>145</v>
      </c>
      <c r="X58" s="3" t="str">
        <f>IFERROR(MID(VLOOKUP($B58,Seqs!$A:$B,2,0),Y58,1),"")</f>
        <v>P</v>
      </c>
      <c r="Y58" s="3">
        <v>146</v>
      </c>
      <c r="Z58" s="3" t="str">
        <f>IFERROR(MID(VLOOKUP($B58,Seqs!$A:$B,2,0),AA58,1),"")</f>
        <v>M</v>
      </c>
      <c r="AA58" s="3">
        <v>153</v>
      </c>
      <c r="AB58" s="3" t="str">
        <f>IFERROR(MID(VLOOKUP($B58,Seqs!$A:$B,2,0),AC58,1),"")</f>
        <v>T</v>
      </c>
      <c r="AC58" s="9">
        <v>154</v>
      </c>
      <c r="AD58" s="3" t="str">
        <f>IFERROR(MID(VLOOKUP($B58,Seqs!$A:$B,2,0),AE58,1),"")</f>
        <v>H</v>
      </c>
      <c r="AE58" s="3">
        <v>180</v>
      </c>
      <c r="AF58" s="3" t="str">
        <f>IFERROR(MID(VLOOKUP($B58,Seqs!$A:$B,2,0),AG58,1),"")</f>
        <v>C</v>
      </c>
      <c r="AG58" s="3">
        <v>199</v>
      </c>
      <c r="AH58" s="3" t="str">
        <f>IFERROR(MID(VLOOKUP($B58,Seqs!$A:$B,2,0),AI58,1),"")</f>
        <v>F</v>
      </c>
      <c r="AI58" s="3">
        <v>201</v>
      </c>
      <c r="AJ58" s="3" t="str">
        <f>IFERROR(MID(VLOOKUP($B58,Seqs!$A:$B,2,0),AK58,1),"")</f>
        <v>N</v>
      </c>
      <c r="AK58" s="3">
        <v>204</v>
      </c>
      <c r="AL58" s="3" t="str">
        <f>IFERROR(MID(VLOOKUP($B58,Seqs!$A:$B,2,0),AM58,1),"")</f>
        <v>R</v>
      </c>
      <c r="AM58" s="3">
        <v>239</v>
      </c>
      <c r="AN58" s="3" t="str">
        <f>IFERROR(MID(VLOOKUP($B58,Seqs!$A:$B,2,0),AO58,1),"")</f>
        <v>R</v>
      </c>
      <c r="AO58" s="3">
        <v>279</v>
      </c>
      <c r="AP58" s="3" t="str">
        <f>IFERROR(MID(VLOOKUP($B58,Seqs!$A:$B,2,0),AQ58,1),"")</f>
        <v>N</v>
      </c>
      <c r="AQ58" s="3">
        <v>316</v>
      </c>
      <c r="AR58" s="3" t="str">
        <f>IFERROR(MID(VLOOKUP($B58,Seqs!$A:$B,2,0),AS58,1),"")</f>
        <v>P</v>
      </c>
      <c r="AS58" s="3">
        <v>321</v>
      </c>
      <c r="AT58" s="3" t="str">
        <f>IFERROR(MID(VLOOKUP($B58,Seqs!$A:$B,2,0),AU58,1),"")</f>
        <v>R</v>
      </c>
      <c r="AU58" s="3">
        <v>345</v>
      </c>
      <c r="AV58" s="3" t="str">
        <f>IFERROR(MID(VLOOKUP($B58,Seqs!$A:$B,2,0),AW58,1),"")</f>
        <v>S</v>
      </c>
      <c r="AW58" s="3">
        <v>346</v>
      </c>
      <c r="AX58" s="3" t="str">
        <f>IFERROR(MID(VLOOKUP($B58,Seqs!$A:$B,2,0),AY58,1),"")</f>
        <v>C</v>
      </c>
      <c r="AY58" s="3">
        <v>358</v>
      </c>
      <c r="AZ58" s="79" t="str">
        <f>VLOOKUP(B58,Classification!A:D,2,0)</f>
        <v>A</v>
      </c>
      <c r="BA58" s="97" t="str">
        <f>VLOOKUP(B58,Classification!A:D,4,0)</f>
        <v>Adrenoceptors</v>
      </c>
      <c r="BB58" s="27" t="b">
        <f t="shared" si="195"/>
        <v>1</v>
      </c>
      <c r="BC58" s="23">
        <f t="shared" ref="BC58:BC97" si="196">_xlfn.AGGREGATE(9,6,CG58:CR58)-_xlfn.AGGREGATE(9,6,BU58:CF58)+12</f>
        <v>258</v>
      </c>
      <c r="BD58" s="4" t="s">
        <v>23</v>
      </c>
      <c r="BE58" s="3" t="s">
        <v>1381</v>
      </c>
      <c r="BF58" s="50" t="s">
        <v>1384</v>
      </c>
      <c r="BG58" s="50" t="s">
        <v>1384</v>
      </c>
      <c r="BH58" s="1"/>
      <c r="BI58" s="72" t="s">
        <v>1293</v>
      </c>
      <c r="BJ58" s="58" t="s">
        <v>1293</v>
      </c>
      <c r="BK58" s="58" t="s">
        <v>1293</v>
      </c>
      <c r="BL58" s="58" t="s">
        <v>1293</v>
      </c>
      <c r="BM58" s="58" t="s">
        <v>1293</v>
      </c>
      <c r="BN58" s="58" t="s">
        <v>1293</v>
      </c>
      <c r="BO58" s="58" t="s">
        <v>1293</v>
      </c>
      <c r="BP58" s="58" t="s">
        <v>1293</v>
      </c>
      <c r="BQ58" s="58" t="s">
        <v>1293</v>
      </c>
      <c r="BR58" s="58" t="s">
        <v>1293</v>
      </c>
      <c r="BS58" s="58" t="s">
        <v>1293</v>
      </c>
      <c r="BT58" s="58" t="s">
        <v>1293</v>
      </c>
      <c r="BU58" s="72">
        <f t="shared" ref="BU58:BU97" si="197">E58</f>
        <v>37</v>
      </c>
      <c r="BV58" s="73">
        <f t="shared" ref="BV58:BV97" si="198">I58</f>
        <v>70</v>
      </c>
      <c r="BW58" s="74">
        <f t="shared" ref="BW58:BW97" si="199">M58</f>
        <v>74</v>
      </c>
      <c r="BX58" s="73">
        <f t="shared" ref="BX58:BX97" si="200">Q58</f>
        <v>106</v>
      </c>
      <c r="BY58" s="74">
        <f t="shared" ref="BY58:BY97" si="201">U58</f>
        <v>110</v>
      </c>
      <c r="BZ58" s="73">
        <f t="shared" ref="BZ58:BZ97" si="202">Y58</f>
        <v>146</v>
      </c>
      <c r="CA58" s="74">
        <f t="shared" ref="CA58:CA97" si="203">AC58</f>
        <v>154</v>
      </c>
      <c r="CB58" s="73">
        <f t="shared" ref="CB58:CB97" si="204">AG58</f>
        <v>199</v>
      </c>
      <c r="CC58" s="74">
        <f t="shared" ref="CC58:CC97" si="205">AK58</f>
        <v>204</v>
      </c>
      <c r="CD58" s="73">
        <f t="shared" ref="CD58:CD97" si="206">AO58</f>
        <v>279</v>
      </c>
      <c r="CE58" s="74">
        <f t="shared" ref="CE58:CE97" si="207">AS58</f>
        <v>321</v>
      </c>
      <c r="CF58" s="73">
        <f t="shared" ref="CF58:CF97" si="208">AW58</f>
        <v>346</v>
      </c>
      <c r="CG58" s="72">
        <f t="shared" ref="CG58:CG97" si="209">G58</f>
        <v>69</v>
      </c>
      <c r="CH58" s="73">
        <f t="shared" ref="CH58:CH97" si="210">K58</f>
        <v>73</v>
      </c>
      <c r="CI58" s="74">
        <f t="shared" ref="CI58:CI97" si="211">O58</f>
        <v>104</v>
      </c>
      <c r="CJ58" s="74">
        <f t="shared" ref="CJ58:CJ97" si="212">S58</f>
        <v>109</v>
      </c>
      <c r="CK58" s="74">
        <f t="shared" ref="CK58:CK97" si="213">W58</f>
        <v>145</v>
      </c>
      <c r="CL58" s="74">
        <f t="shared" ref="CL58:CL97" si="214">AA58</f>
        <v>153</v>
      </c>
      <c r="CM58" s="74">
        <f t="shared" ref="CM58:CM97" si="215">AE58</f>
        <v>180</v>
      </c>
      <c r="CN58" s="74">
        <f t="shared" ref="CN58:CN97" si="216">AI58</f>
        <v>201</v>
      </c>
      <c r="CO58" s="74">
        <f t="shared" ref="CO58:CO97" si="217">AM58</f>
        <v>239</v>
      </c>
      <c r="CP58" s="74">
        <f t="shared" ref="CP58:CP97" si="218">AQ58</f>
        <v>316</v>
      </c>
      <c r="CQ58" s="74">
        <f t="shared" ref="CQ58:CQ97" si="219">AU58</f>
        <v>345</v>
      </c>
      <c r="CR58" s="74">
        <f t="shared" ref="CR58:CR97" si="220">AY58</f>
        <v>358</v>
      </c>
      <c r="CS58" s="23">
        <f t="shared" ref="CS58:CS97" si="221">M58-K58</f>
        <v>1</v>
      </c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  <c r="OA58" s="1"/>
      <c r="OB58" s="1"/>
      <c r="OC58" s="1"/>
      <c r="OD58" s="1"/>
      <c r="OE58" s="1"/>
      <c r="OF58" s="1"/>
      <c r="OG58" s="1"/>
      <c r="OH58" s="1"/>
      <c r="OI58" s="1"/>
      <c r="OJ58" s="1"/>
      <c r="OK58" s="1"/>
      <c r="OL58" s="1"/>
      <c r="OM58" s="1"/>
      <c r="ON58" s="1"/>
      <c r="OO58" s="1"/>
      <c r="OP58" s="1"/>
      <c r="OQ58" s="1"/>
      <c r="OR58" s="1"/>
      <c r="OS58" s="1"/>
      <c r="OT58" s="1"/>
      <c r="OU58" s="1"/>
      <c r="OV58" s="1"/>
      <c r="OW58" s="1"/>
      <c r="OX58" s="1"/>
      <c r="OY58" s="1"/>
      <c r="OZ58" s="1"/>
      <c r="PA58" s="1"/>
      <c r="PB58" s="1"/>
      <c r="PC58" s="1"/>
      <c r="PD58" s="1"/>
      <c r="PE58" s="1"/>
      <c r="PF58" s="1"/>
      <c r="PG58" s="1"/>
      <c r="PH58" s="1"/>
      <c r="PI58" s="1"/>
      <c r="PJ58" s="1"/>
      <c r="PK58" s="1"/>
      <c r="PL58" s="1"/>
      <c r="PM58" s="1"/>
      <c r="PN58" s="1"/>
      <c r="PO58" s="1"/>
      <c r="PP58" s="1"/>
      <c r="PQ58" s="1"/>
      <c r="PR58" s="1"/>
      <c r="PS58" s="1"/>
      <c r="PT58" s="1"/>
      <c r="PU58" s="1"/>
      <c r="PV58" s="1"/>
      <c r="PW58" s="1"/>
      <c r="PX58" s="1"/>
      <c r="PY58" s="1"/>
      <c r="PZ58" s="1"/>
      <c r="QA58" s="1"/>
      <c r="QB58" s="1"/>
      <c r="QC58" s="1"/>
      <c r="QD58" s="1"/>
      <c r="QE58" s="1"/>
      <c r="QF58" s="1"/>
      <c r="QG58" s="1"/>
      <c r="QH58" s="1"/>
      <c r="QI58" s="1"/>
      <c r="QJ58" s="1"/>
      <c r="QK58" s="1"/>
      <c r="QL58" s="1"/>
      <c r="QM58" s="1"/>
      <c r="QN58" s="1"/>
      <c r="QO58" s="1"/>
      <c r="QP58" s="1"/>
      <c r="QQ58" s="1"/>
      <c r="QR58" s="1"/>
      <c r="QS58" s="1"/>
      <c r="QT58" s="1"/>
      <c r="QU58" s="1"/>
      <c r="QV58" s="1"/>
      <c r="QW58" s="1"/>
      <c r="QX58" s="1"/>
      <c r="QY58" s="1"/>
      <c r="QZ58" s="1"/>
      <c r="RA58" s="1"/>
      <c r="RB58" s="1"/>
      <c r="RC58" s="1"/>
      <c r="RD58" s="1"/>
      <c r="RE58" s="1"/>
      <c r="RF58" s="1"/>
      <c r="RG58" s="1"/>
      <c r="RH58" s="1"/>
      <c r="RI58" s="1"/>
      <c r="RJ58" s="1"/>
      <c r="RK58" s="1"/>
      <c r="RL58" s="1"/>
      <c r="RM58" s="1"/>
      <c r="RN58" s="1"/>
      <c r="RO58" s="1"/>
      <c r="RP58" s="1"/>
      <c r="RQ58" s="1"/>
      <c r="RR58" s="1"/>
      <c r="RS58" s="1"/>
      <c r="RT58" s="1"/>
      <c r="RU58" s="1"/>
      <c r="RV58" s="1"/>
      <c r="RW58" s="1"/>
      <c r="RX58" s="1"/>
      <c r="RY58" s="1"/>
      <c r="RZ58" s="1"/>
      <c r="SA58" s="1"/>
      <c r="SB58" s="1"/>
      <c r="SC58" s="1"/>
      <c r="SD58" s="1"/>
      <c r="SE58" s="1"/>
      <c r="SF58" s="1"/>
      <c r="SG58" s="1"/>
      <c r="SH58" s="1"/>
      <c r="SI58" s="1"/>
      <c r="SJ58" s="1"/>
      <c r="SK58" s="1"/>
      <c r="SL58" s="1"/>
      <c r="SM58" s="1"/>
      <c r="SN58" s="1"/>
      <c r="SO58" s="1"/>
      <c r="SP58" s="1"/>
      <c r="SQ58" s="1"/>
      <c r="SR58" s="1"/>
      <c r="SS58" s="1"/>
      <c r="ST58" s="1"/>
      <c r="SU58" s="1"/>
      <c r="SV58" s="1"/>
      <c r="SW58" s="1"/>
      <c r="SX58" s="1"/>
      <c r="SY58" s="1"/>
      <c r="SZ58" s="1"/>
      <c r="TA58" s="1"/>
      <c r="TB58" s="1"/>
      <c r="TC58" s="1"/>
      <c r="TD58" s="1"/>
      <c r="TE58" s="1"/>
      <c r="TF58" s="1"/>
      <c r="TG58" s="1"/>
      <c r="TH58" s="1"/>
      <c r="TI58" s="1"/>
      <c r="TJ58" s="1"/>
      <c r="TK58" s="1"/>
      <c r="TL58" s="1"/>
      <c r="TM58" s="1"/>
      <c r="TN58" s="1"/>
      <c r="TO58" s="1"/>
      <c r="TP58" s="1"/>
      <c r="TQ58" s="1"/>
      <c r="TR58" s="1"/>
      <c r="TS58" s="1"/>
      <c r="TT58" s="1"/>
      <c r="TU58" s="1"/>
      <c r="TV58" s="1"/>
      <c r="TW58" s="1"/>
      <c r="TX58" s="1"/>
      <c r="TY58" s="1"/>
      <c r="TZ58" s="1"/>
      <c r="UA58" s="1"/>
      <c r="UB58" s="1"/>
      <c r="UC58" s="1"/>
      <c r="UD58" s="1"/>
      <c r="UE58" s="1"/>
      <c r="UF58" s="1"/>
      <c r="UG58" s="1"/>
      <c r="UH58" s="1"/>
      <c r="UI58" s="1"/>
      <c r="UJ58" s="1"/>
      <c r="UK58" s="1"/>
      <c r="UL58" s="1"/>
      <c r="UM58" s="1"/>
      <c r="UN58" s="1"/>
      <c r="UO58" s="1"/>
      <c r="UP58" s="1"/>
      <c r="UQ58" s="1"/>
      <c r="UR58" s="1"/>
      <c r="US58" s="1"/>
      <c r="UT58" s="1"/>
      <c r="UU58" s="1"/>
      <c r="UV58" s="1"/>
      <c r="UW58" s="1"/>
      <c r="UX58" s="1"/>
      <c r="UY58" s="1"/>
      <c r="UZ58" s="1"/>
      <c r="VA58" s="1"/>
      <c r="VB58" s="1"/>
      <c r="VC58" s="1"/>
      <c r="VD58" s="1"/>
      <c r="VE58" s="1"/>
      <c r="VF58" s="1"/>
      <c r="VG58" s="1"/>
      <c r="VH58" s="1"/>
      <c r="VI58" s="1"/>
      <c r="VJ58" s="1"/>
      <c r="VK58" s="1"/>
      <c r="VL58" s="1"/>
      <c r="VM58" s="1"/>
      <c r="VN58" s="1"/>
      <c r="VO58" s="1"/>
      <c r="VP58" s="1"/>
      <c r="VQ58" s="1"/>
      <c r="VR58" s="1"/>
      <c r="VS58" s="1"/>
      <c r="VT58" s="1"/>
      <c r="VU58" s="1"/>
      <c r="VV58" s="1"/>
      <c r="VW58" s="1"/>
      <c r="VX58" s="1"/>
      <c r="VY58" s="1"/>
      <c r="VZ58" s="1"/>
      <c r="WA58" s="1"/>
      <c r="WB58" s="1"/>
      <c r="WC58" s="1"/>
      <c r="WD58" s="1"/>
      <c r="WE58" s="1"/>
      <c r="WF58" s="1"/>
      <c r="WG58" s="1"/>
      <c r="WH58" s="1"/>
      <c r="WI58" s="1"/>
      <c r="WJ58" s="1"/>
      <c r="WK58" s="1"/>
      <c r="WL58" s="1"/>
      <c r="WM58" s="1"/>
      <c r="WN58" s="1"/>
      <c r="WO58" s="1"/>
      <c r="WP58" s="1"/>
      <c r="WQ58" s="1"/>
      <c r="WR58" s="1"/>
      <c r="WS58" s="1"/>
      <c r="WT58" s="1"/>
      <c r="WU58" s="1"/>
      <c r="WV58" s="1"/>
      <c r="WW58" s="1"/>
      <c r="WX58" s="1"/>
      <c r="WY58" s="1"/>
      <c r="WZ58" s="1"/>
      <c r="XA58" s="1"/>
      <c r="XB58" s="1"/>
      <c r="XC58" s="1"/>
      <c r="XD58" s="1"/>
      <c r="XE58" s="1"/>
      <c r="XF58" s="1"/>
      <c r="XG58" s="1"/>
      <c r="XH58" s="1"/>
      <c r="XI58" s="1"/>
      <c r="XJ58" s="1"/>
      <c r="XK58" s="1"/>
      <c r="XL58" s="1"/>
      <c r="XM58" s="1"/>
      <c r="XN58" s="1"/>
      <c r="XO58" s="1"/>
      <c r="XP58" s="1"/>
      <c r="XQ58" s="1"/>
      <c r="XR58" s="1"/>
      <c r="XS58" s="1"/>
      <c r="XT58" s="1"/>
      <c r="XU58" s="1"/>
      <c r="XV58" s="1"/>
      <c r="XW58" s="1"/>
      <c r="XX58" s="1"/>
      <c r="XY58" s="1"/>
      <c r="XZ58" s="1"/>
      <c r="YA58" s="1"/>
      <c r="YB58" s="1"/>
      <c r="YC58" s="1"/>
      <c r="YD58" s="1"/>
      <c r="YE58" s="1"/>
      <c r="YF58" s="1"/>
      <c r="YG58" s="1"/>
      <c r="YH58" s="1"/>
      <c r="YI58" s="1"/>
      <c r="YJ58" s="1"/>
      <c r="YK58" s="1"/>
      <c r="YL58" s="1"/>
      <c r="YM58" s="1"/>
      <c r="YN58" s="1"/>
      <c r="YO58" s="1"/>
      <c r="YP58" s="1"/>
      <c r="YQ58" s="1"/>
      <c r="YR58" s="1"/>
      <c r="YS58" s="1"/>
      <c r="YT58" s="1"/>
      <c r="YU58" s="1"/>
      <c r="YV58" s="1"/>
      <c r="YW58" s="1"/>
      <c r="YX58" s="1"/>
      <c r="YY58" s="1"/>
      <c r="YZ58" s="1"/>
      <c r="ZA58" s="1"/>
      <c r="ZB58" s="1"/>
      <c r="ZC58" s="1"/>
      <c r="ZD58" s="1"/>
      <c r="ZE58" s="1"/>
      <c r="ZF58" s="1"/>
      <c r="ZG58" s="1"/>
      <c r="ZH58" s="1"/>
      <c r="ZI58" s="1"/>
      <c r="ZJ58" s="1"/>
      <c r="ZK58" s="1"/>
      <c r="ZL58" s="1"/>
      <c r="ZM58" s="1"/>
      <c r="ZN58" s="1"/>
      <c r="ZO58" s="1"/>
      <c r="ZP58" s="1"/>
      <c r="ZQ58" s="1"/>
      <c r="ZR58" s="1"/>
      <c r="ZS58" s="1"/>
      <c r="ZT58" s="1"/>
      <c r="ZU58" s="1"/>
      <c r="ZV58" s="1"/>
      <c r="ZW58" s="1"/>
      <c r="ZX58" s="1"/>
      <c r="ZY58" s="1"/>
      <c r="ZZ58" s="1"/>
      <c r="AAA58" s="1"/>
      <c r="AAB58" s="1"/>
      <c r="AAC58" s="1"/>
      <c r="AAD58" s="1"/>
      <c r="AAE58" s="1"/>
      <c r="AAF58" s="1"/>
      <c r="AAG58" s="1"/>
      <c r="AAH58" s="1"/>
      <c r="AAI58" s="1"/>
      <c r="AAJ58" s="1"/>
      <c r="AAK58" s="1"/>
      <c r="AAL58" s="1"/>
      <c r="AAM58" s="1"/>
      <c r="AAN58" s="1"/>
      <c r="AAO58" s="1"/>
      <c r="AAP58" s="1"/>
      <c r="AAQ58" s="1"/>
      <c r="AAR58" s="1"/>
      <c r="AAS58" s="1"/>
      <c r="AAT58" s="1"/>
      <c r="AAU58" s="1"/>
      <c r="AAV58" s="1"/>
      <c r="AAW58" s="1"/>
      <c r="AAX58" s="1"/>
      <c r="AAY58" s="1"/>
      <c r="AAZ58" s="1"/>
      <c r="ABA58" s="1"/>
      <c r="ABB58" s="1"/>
      <c r="ABC58" s="1"/>
      <c r="ABD58" s="1"/>
      <c r="ABE58" s="1"/>
      <c r="ABF58" s="1"/>
      <c r="ABG58" s="1"/>
      <c r="ABH58" s="1"/>
      <c r="ABI58" s="1"/>
      <c r="ABJ58" s="1"/>
      <c r="ABK58" s="1"/>
      <c r="ABL58" s="1"/>
      <c r="ABM58" s="1"/>
      <c r="ABN58" s="1"/>
      <c r="ABO58" s="1"/>
      <c r="ABP58" s="1"/>
      <c r="ABQ58" s="1"/>
      <c r="ABR58" s="1"/>
      <c r="ABS58" s="1"/>
      <c r="ABT58" s="1"/>
      <c r="ABU58" s="1"/>
      <c r="ABV58" s="1"/>
      <c r="ABW58" s="1"/>
      <c r="ABX58" s="1"/>
      <c r="ABY58" s="1"/>
      <c r="ABZ58" s="1"/>
      <c r="ACA58" s="1"/>
      <c r="ACB58" s="1"/>
      <c r="ACC58" s="1"/>
      <c r="ACD58" s="1"/>
      <c r="ACE58" s="1"/>
      <c r="ACF58" s="1"/>
      <c r="ACG58" s="1"/>
      <c r="ACH58" s="1"/>
      <c r="ACI58" s="1"/>
      <c r="ACJ58" s="1"/>
      <c r="ACK58" s="1"/>
      <c r="ACL58" s="1"/>
      <c r="ACM58" s="1"/>
      <c r="ACN58" s="1"/>
      <c r="ACO58" s="1"/>
      <c r="ACP58" s="1"/>
      <c r="ACQ58" s="1"/>
      <c r="ACR58" s="1"/>
      <c r="ACS58" s="1"/>
      <c r="ACT58" s="1"/>
      <c r="ACU58" s="1"/>
      <c r="ACV58" s="1"/>
      <c r="ACW58" s="1"/>
      <c r="ACX58" s="1"/>
      <c r="ACY58" s="1"/>
      <c r="ACZ58" s="1"/>
      <c r="ADA58" s="1"/>
      <c r="ADB58" s="1"/>
      <c r="ADC58" s="1"/>
      <c r="ADD58" s="1"/>
      <c r="ADE58" s="1"/>
      <c r="ADF58" s="1"/>
      <c r="ADG58" s="1"/>
      <c r="ADH58" s="1"/>
      <c r="ADI58" s="1"/>
      <c r="ADJ58" s="1"/>
      <c r="ADK58" s="1"/>
      <c r="ADL58" s="1"/>
      <c r="ADM58" s="1"/>
      <c r="ADN58" s="1"/>
      <c r="ADO58" s="1"/>
      <c r="ADP58" s="1"/>
      <c r="ADQ58" s="1"/>
      <c r="ADR58" s="1"/>
      <c r="ADS58" s="1"/>
      <c r="ADT58" s="1"/>
      <c r="ADU58" s="1"/>
      <c r="ADV58" s="1"/>
      <c r="ADW58" s="1"/>
      <c r="ADX58" s="1"/>
      <c r="ADY58" s="1"/>
      <c r="ADZ58" s="1"/>
      <c r="AEA58" s="1"/>
      <c r="AEB58" s="1"/>
      <c r="AEC58" s="1"/>
      <c r="AED58" s="1"/>
      <c r="AEE58" s="1"/>
      <c r="AEF58" s="1"/>
      <c r="AEG58" s="1"/>
      <c r="AEH58" s="1"/>
      <c r="AEI58" s="1"/>
      <c r="AEJ58" s="1"/>
      <c r="AEK58" s="1"/>
      <c r="AEL58" s="1"/>
      <c r="AEM58" s="1"/>
      <c r="AEN58" s="1"/>
      <c r="AEO58" s="1"/>
      <c r="AEP58" s="1"/>
      <c r="AEQ58" s="1"/>
      <c r="AER58" s="1"/>
      <c r="AES58" s="1"/>
      <c r="AET58" s="1"/>
      <c r="AEU58" s="1"/>
      <c r="AEV58" s="1"/>
      <c r="AEW58" s="1"/>
      <c r="AEX58" s="1"/>
      <c r="AEY58" s="1"/>
      <c r="AEZ58" s="1"/>
      <c r="AFA58" s="1"/>
      <c r="AFB58" s="1"/>
      <c r="AFC58" s="1"/>
      <c r="AFD58" s="1"/>
      <c r="AFE58" s="1"/>
      <c r="AFF58" s="1"/>
      <c r="AFG58" s="1"/>
      <c r="AFH58" s="1"/>
      <c r="AFI58" s="1"/>
      <c r="AFJ58" s="1"/>
      <c r="AFK58" s="1"/>
      <c r="AFL58" s="1"/>
      <c r="AFM58" s="1"/>
      <c r="AFN58" s="1"/>
      <c r="AFO58" s="1"/>
      <c r="AFP58" s="1"/>
      <c r="AFQ58" s="1"/>
      <c r="AFR58" s="1"/>
      <c r="AFS58" s="1"/>
      <c r="AFT58" s="1"/>
      <c r="AFU58" s="1"/>
      <c r="AFV58" s="1"/>
      <c r="AFW58" s="1"/>
      <c r="AFX58" s="1"/>
      <c r="AFY58" s="1"/>
      <c r="AFZ58" s="1"/>
      <c r="AGA58" s="1"/>
      <c r="AGB58" s="1"/>
      <c r="AGC58" s="1"/>
      <c r="AGD58" s="1"/>
      <c r="AGE58" s="1"/>
      <c r="AGF58" s="1"/>
      <c r="AGG58" s="1"/>
      <c r="AGH58" s="1"/>
      <c r="AGI58" s="1"/>
      <c r="AGJ58" s="1"/>
      <c r="AGK58" s="1"/>
      <c r="AGL58" s="1"/>
      <c r="AGM58" s="1"/>
      <c r="AGN58" s="1"/>
      <c r="AGO58" s="1"/>
      <c r="AGP58" s="1"/>
      <c r="AGQ58" s="1"/>
      <c r="AGR58" s="1"/>
      <c r="AGS58" s="1"/>
      <c r="AGT58" s="1"/>
      <c r="AGU58" s="1"/>
      <c r="AGV58" s="1"/>
      <c r="AGW58" s="1"/>
      <c r="AGX58" s="1"/>
      <c r="AGY58" s="1"/>
      <c r="AGZ58" s="1"/>
      <c r="AHA58" s="1"/>
      <c r="AHB58" s="1"/>
      <c r="AHC58" s="1"/>
      <c r="AHD58" s="1"/>
      <c r="AHE58" s="1"/>
      <c r="AHF58" s="1"/>
      <c r="AHG58" s="1"/>
      <c r="AHH58" s="1"/>
      <c r="AHI58" s="1"/>
      <c r="AHJ58" s="1"/>
      <c r="AHK58" s="1"/>
      <c r="AHL58" s="1"/>
      <c r="AHM58" s="1"/>
      <c r="AHN58" s="1"/>
      <c r="AHO58" s="1"/>
      <c r="AHP58" s="1"/>
      <c r="AHQ58" s="1"/>
      <c r="AHR58" s="1"/>
      <c r="AHS58" s="1"/>
      <c r="AHT58" s="1"/>
      <c r="AHU58" s="1"/>
      <c r="AHV58" s="1"/>
      <c r="AHW58" s="1"/>
      <c r="AHX58" s="1"/>
      <c r="AHY58" s="1"/>
      <c r="AHZ58" s="1"/>
      <c r="AIA58" s="1"/>
      <c r="AIB58" s="1"/>
      <c r="AIC58" s="1"/>
      <c r="AID58" s="1"/>
      <c r="AIE58" s="1"/>
      <c r="AIF58" s="1"/>
      <c r="AIG58" s="1"/>
      <c r="AIH58" s="1"/>
      <c r="AII58" s="1"/>
      <c r="AIJ58" s="1"/>
      <c r="AIK58" s="1"/>
      <c r="AIL58" s="1"/>
      <c r="AIM58" s="1"/>
      <c r="AIN58" s="1"/>
      <c r="AIO58" s="1"/>
      <c r="AIP58" s="1"/>
      <c r="AIQ58" s="1"/>
      <c r="AIR58" s="1"/>
      <c r="AIS58" s="1"/>
      <c r="AIT58" s="1"/>
      <c r="AIU58" s="1"/>
      <c r="AIV58" s="1"/>
      <c r="AIW58" s="1"/>
      <c r="AIX58" s="1"/>
      <c r="AIY58" s="1"/>
      <c r="AIZ58" s="1"/>
      <c r="AJA58" s="1"/>
      <c r="AJB58" s="1"/>
      <c r="AJC58" s="1"/>
      <c r="AJD58" s="1"/>
      <c r="AJE58" s="1"/>
      <c r="AJF58" s="1"/>
      <c r="AJG58" s="1"/>
      <c r="AJH58" s="1"/>
      <c r="AJI58" s="1"/>
      <c r="AJJ58" s="1"/>
      <c r="AJK58" s="1"/>
      <c r="AJL58" s="1"/>
      <c r="AJM58" s="1"/>
      <c r="AJN58" s="1"/>
      <c r="AJO58" s="1"/>
      <c r="AJP58" s="1"/>
      <c r="AJQ58" s="1"/>
      <c r="AJR58" s="1"/>
      <c r="AJS58" s="1"/>
      <c r="AJT58" s="1"/>
      <c r="AJU58" s="1"/>
      <c r="AJV58" s="1"/>
      <c r="AJW58" s="1"/>
      <c r="AJX58" s="1"/>
      <c r="AJY58" s="1"/>
      <c r="AJZ58" s="1"/>
      <c r="AKA58" s="1"/>
      <c r="AKB58" s="1"/>
      <c r="AKC58" s="1"/>
      <c r="AKD58" s="1"/>
      <c r="AKE58" s="1"/>
      <c r="AKF58" s="1"/>
      <c r="AKG58" s="1"/>
      <c r="AKH58" s="1"/>
      <c r="AKI58" s="1"/>
      <c r="AKJ58" s="1"/>
      <c r="AKK58" s="1"/>
      <c r="AKL58" s="1"/>
      <c r="AKM58" s="1"/>
      <c r="AKN58" s="1"/>
      <c r="AKO58" s="1"/>
      <c r="AKP58" s="1"/>
      <c r="AKQ58" s="1"/>
      <c r="AKR58" s="1"/>
      <c r="AKS58" s="1"/>
      <c r="AKT58" s="1"/>
      <c r="AKU58" s="1"/>
      <c r="AKV58" s="1"/>
      <c r="AKW58" s="1"/>
      <c r="AKX58" s="1"/>
      <c r="AKY58" s="1"/>
      <c r="AKZ58" s="1"/>
      <c r="ALA58" s="1"/>
      <c r="ALB58" s="1"/>
      <c r="ALC58" s="1"/>
      <c r="ALD58" s="1"/>
      <c r="ALE58" s="1"/>
      <c r="ALF58" s="1"/>
      <c r="ALG58" s="1"/>
      <c r="ALH58" s="1"/>
      <c r="ALI58" s="1"/>
      <c r="ALJ58" s="1"/>
      <c r="ALK58" s="1"/>
      <c r="ALL58" s="1"/>
      <c r="ALM58" s="1"/>
      <c r="ALN58" s="1"/>
      <c r="ALO58" s="1"/>
      <c r="ALP58" s="1"/>
      <c r="ALQ58" s="1"/>
      <c r="ALR58" s="1"/>
      <c r="ALS58" s="1"/>
      <c r="ALT58" s="1"/>
      <c r="ALU58" s="1"/>
      <c r="ALV58" s="1"/>
      <c r="ALW58" s="1"/>
      <c r="ALX58" s="1"/>
      <c r="ALY58" s="1"/>
      <c r="ALZ58" s="1"/>
      <c r="AMA58" s="1"/>
      <c r="AMB58" s="1"/>
      <c r="AMC58" s="1"/>
      <c r="AMD58" s="1"/>
      <c r="AME58" s="1"/>
      <c r="AMF58" s="1"/>
      <c r="AMG58" s="1"/>
      <c r="AMH58" s="1"/>
      <c r="AMI58" s="1"/>
      <c r="AMJ58" s="1"/>
      <c r="AMK58" s="1"/>
      <c r="AML58" s="1"/>
      <c r="AMM58" s="1"/>
      <c r="AMN58" s="1"/>
    </row>
    <row r="59" spans="1:1028" x14ac:dyDescent="0.2">
      <c r="A59" s="3" t="str">
        <f t="shared" si="194"/>
        <v>adrb1_melga_4GPO</v>
      </c>
      <c r="B59" s="3" t="s">
        <v>912</v>
      </c>
      <c r="C59" s="3" t="s">
        <v>1042</v>
      </c>
      <c r="D59" s="3" t="str">
        <f>IFERROR(MID(VLOOKUP($B59,Seqs!$A:$B,2,0),E59,1),"")</f>
        <v>S</v>
      </c>
      <c r="E59" s="3">
        <v>37</v>
      </c>
      <c r="F59" s="3" t="str">
        <f>IFERROR(MID(VLOOKUP($B59,Seqs!$A:$B,2,0),G59,1),"")</f>
        <v>T</v>
      </c>
      <c r="G59" s="3">
        <v>69</v>
      </c>
      <c r="H59" s="3" t="str">
        <f>IFERROR(MID(VLOOKUP($B59,Seqs!$A:$B,2,0),I59,1),"")</f>
        <v>Q</v>
      </c>
      <c r="I59" s="23">
        <v>70</v>
      </c>
      <c r="J59" s="3" t="str">
        <f>IFERROR(MID(VLOOKUP($B59,Seqs!$A:$B,2,0),K59,1),"")</f>
        <v>Q</v>
      </c>
      <c r="K59" s="23">
        <v>73</v>
      </c>
      <c r="L59" s="3" t="str">
        <f>IFERROR(MID(VLOOKUP($B59,Seqs!$A:$B,2,0),M59,1),"")</f>
        <v>T</v>
      </c>
      <c r="M59" s="3">
        <v>74</v>
      </c>
      <c r="N59" s="3" t="str">
        <f>IFERROR(MID(VLOOKUP($B59,Seqs!$A:$B,2,0),O59,1),"")</f>
        <v>R</v>
      </c>
      <c r="O59" s="3">
        <v>104</v>
      </c>
      <c r="P59" s="3" t="str">
        <f>IFERROR(MID(VLOOKUP($B59,Seqs!$A:$B,2,0),Q59,1),"")</f>
        <v>T</v>
      </c>
      <c r="Q59" s="3">
        <v>106</v>
      </c>
      <c r="R59" s="3" t="str">
        <f>IFERROR(MID(VLOOKUP($B59,Seqs!$A:$B,2,0),S59,1),"")</f>
        <v>W</v>
      </c>
      <c r="S59" s="3">
        <v>109</v>
      </c>
      <c r="T59" s="3" t="str">
        <f>IFERROR(MID(VLOOKUP($B59,Seqs!$A:$B,2,0),U59,1),"")</f>
        <v>G</v>
      </c>
      <c r="U59" s="3">
        <v>110</v>
      </c>
      <c r="V59" s="3" t="str">
        <f>IFERROR(MID(VLOOKUP($B59,Seqs!$A:$B,2,0),W59,1),"")</f>
        <v>S</v>
      </c>
      <c r="W59" s="3">
        <v>145</v>
      </c>
      <c r="X59" s="3" t="str">
        <f>IFERROR(MID(VLOOKUP($B59,Seqs!$A:$B,2,0),Y59,1),"")</f>
        <v>P</v>
      </c>
      <c r="Y59" s="3">
        <v>146</v>
      </c>
      <c r="Z59" s="3" t="str">
        <f>IFERROR(MID(VLOOKUP($B59,Seqs!$A:$B,2,0),AA59,1),"")</f>
        <v>M</v>
      </c>
      <c r="AA59" s="3">
        <v>153</v>
      </c>
      <c r="AB59" s="3" t="str">
        <f>IFERROR(MID(VLOOKUP($B59,Seqs!$A:$B,2,0),AC59,1),"")</f>
        <v>T</v>
      </c>
      <c r="AC59" s="9">
        <v>154</v>
      </c>
      <c r="AD59" s="3" t="str">
        <f>IFERROR(MID(VLOOKUP($B59,Seqs!$A:$B,2,0),AE59,1),"")</f>
        <v>H</v>
      </c>
      <c r="AE59" s="3">
        <v>180</v>
      </c>
      <c r="AF59" s="3" t="str">
        <f>IFERROR(MID(VLOOKUP($B59,Seqs!$A:$B,2,0),AG59,1),"")</f>
        <v>C</v>
      </c>
      <c r="AG59" s="3">
        <v>199</v>
      </c>
      <c r="AH59" s="3" t="str">
        <f>IFERROR(MID(VLOOKUP($B59,Seqs!$A:$B,2,0),AI59,1),"")</f>
        <v>F</v>
      </c>
      <c r="AI59" s="3">
        <v>201</v>
      </c>
      <c r="AJ59" s="3" t="str">
        <f>IFERROR(MID(VLOOKUP($B59,Seqs!$A:$B,2,0),AK59,1),"")</f>
        <v>N</v>
      </c>
      <c r="AK59" s="3">
        <v>204</v>
      </c>
      <c r="AL59" s="3" t="str">
        <f>IFERROR(MID(VLOOKUP($B59,Seqs!$A:$B,2,0),AM59,1),"")</f>
        <v>E</v>
      </c>
      <c r="AM59" s="3">
        <v>233</v>
      </c>
      <c r="AN59" s="3" t="str">
        <f>IFERROR(MID(VLOOKUP($B59,Seqs!$A:$B,2,0),AO59,1),"")</f>
        <v>M</v>
      </c>
      <c r="AO59" s="3">
        <v>283</v>
      </c>
      <c r="AP59" s="3" t="str">
        <f>IFERROR(MID(VLOOKUP($B59,Seqs!$A:$B,2,0),AQ59,1),"")</f>
        <v>N</v>
      </c>
      <c r="AQ59" s="3">
        <v>316</v>
      </c>
      <c r="AR59" s="3" t="str">
        <f>IFERROR(MID(VLOOKUP($B59,Seqs!$A:$B,2,0),AS59,1),"")</f>
        <v>P</v>
      </c>
      <c r="AS59" s="3">
        <v>321</v>
      </c>
      <c r="AT59" s="3" t="str">
        <f>IFERROR(MID(VLOOKUP($B59,Seqs!$A:$B,2,0),AU59,1),"")</f>
        <v>R</v>
      </c>
      <c r="AU59" s="3">
        <v>345</v>
      </c>
      <c r="AV59" s="3" t="str">
        <f>IFERROR(MID(VLOOKUP($B59,Seqs!$A:$B,2,0),AW59,1),"")</f>
        <v>S</v>
      </c>
      <c r="AW59" s="3">
        <v>346</v>
      </c>
      <c r="AX59" s="3" t="str">
        <f>IFERROR(MID(VLOOKUP($B59,Seqs!$A:$B,2,0),AY59,1),"")</f>
        <v>L</v>
      </c>
      <c r="AY59" s="3">
        <v>356</v>
      </c>
      <c r="AZ59" s="79" t="str">
        <f>VLOOKUP(B59,Classification!A:D,2,0)</f>
        <v>A</v>
      </c>
      <c r="BA59" s="97" t="str">
        <f>VLOOKUP(B59,Classification!A:D,4,0)</f>
        <v>Adrenoceptors</v>
      </c>
      <c r="BB59" s="27" t="b">
        <f t="shared" si="195"/>
        <v>1</v>
      </c>
      <c r="BC59" s="23">
        <f t="shared" si="196"/>
        <v>246</v>
      </c>
      <c r="BD59" s="4" t="s">
        <v>23</v>
      </c>
      <c r="BE59" s="3" t="s">
        <v>1381</v>
      </c>
      <c r="BF59" s="50" t="s">
        <v>1384</v>
      </c>
      <c r="BG59" s="50" t="s">
        <v>1384</v>
      </c>
      <c r="BH59" s="1"/>
      <c r="BI59" s="72" t="s">
        <v>1293</v>
      </c>
      <c r="BJ59" s="58" t="s">
        <v>1293</v>
      </c>
      <c r="BK59" s="58" t="s">
        <v>1293</v>
      </c>
      <c r="BL59" s="58" t="s">
        <v>1293</v>
      </c>
      <c r="BM59" s="58" t="s">
        <v>1293</v>
      </c>
      <c r="BN59" s="58" t="s">
        <v>1293</v>
      </c>
      <c r="BO59" s="58" t="s">
        <v>1293</v>
      </c>
      <c r="BP59" s="58" t="s">
        <v>1293</v>
      </c>
      <c r="BQ59" s="58" t="s">
        <v>1293</v>
      </c>
      <c r="BR59" s="58" t="s">
        <v>1293</v>
      </c>
      <c r="BS59" s="58" t="s">
        <v>1293</v>
      </c>
      <c r="BT59" s="58" t="s">
        <v>1293</v>
      </c>
      <c r="BU59" s="72">
        <f t="shared" si="197"/>
        <v>37</v>
      </c>
      <c r="BV59" s="73">
        <f t="shared" si="198"/>
        <v>70</v>
      </c>
      <c r="BW59" s="74">
        <f t="shared" si="199"/>
        <v>74</v>
      </c>
      <c r="BX59" s="73">
        <f t="shared" si="200"/>
        <v>106</v>
      </c>
      <c r="BY59" s="74">
        <f t="shared" si="201"/>
        <v>110</v>
      </c>
      <c r="BZ59" s="73">
        <f t="shared" si="202"/>
        <v>146</v>
      </c>
      <c r="CA59" s="74">
        <f t="shared" si="203"/>
        <v>154</v>
      </c>
      <c r="CB59" s="73">
        <f t="shared" si="204"/>
        <v>199</v>
      </c>
      <c r="CC59" s="74">
        <f t="shared" si="205"/>
        <v>204</v>
      </c>
      <c r="CD59" s="73">
        <f t="shared" si="206"/>
        <v>283</v>
      </c>
      <c r="CE59" s="74">
        <f t="shared" si="207"/>
        <v>321</v>
      </c>
      <c r="CF59" s="73">
        <f t="shared" si="208"/>
        <v>346</v>
      </c>
      <c r="CG59" s="72">
        <f t="shared" si="209"/>
        <v>69</v>
      </c>
      <c r="CH59" s="73">
        <f t="shared" si="210"/>
        <v>73</v>
      </c>
      <c r="CI59" s="74">
        <f t="shared" si="211"/>
        <v>104</v>
      </c>
      <c r="CJ59" s="74">
        <f t="shared" si="212"/>
        <v>109</v>
      </c>
      <c r="CK59" s="74">
        <f t="shared" si="213"/>
        <v>145</v>
      </c>
      <c r="CL59" s="74">
        <f t="shared" si="214"/>
        <v>153</v>
      </c>
      <c r="CM59" s="74">
        <f t="shared" si="215"/>
        <v>180</v>
      </c>
      <c r="CN59" s="74">
        <f t="shared" si="216"/>
        <v>201</v>
      </c>
      <c r="CO59" s="74">
        <f t="shared" si="217"/>
        <v>233</v>
      </c>
      <c r="CP59" s="74">
        <f t="shared" si="218"/>
        <v>316</v>
      </c>
      <c r="CQ59" s="74">
        <f t="shared" si="219"/>
        <v>345</v>
      </c>
      <c r="CR59" s="74">
        <f t="shared" si="220"/>
        <v>356</v>
      </c>
      <c r="CS59" s="23">
        <f t="shared" si="221"/>
        <v>1</v>
      </c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  <c r="NA59" s="1"/>
      <c r="NB59" s="1"/>
      <c r="NC59" s="1"/>
      <c r="ND59" s="1"/>
      <c r="NE59" s="1"/>
      <c r="NF59" s="1"/>
      <c r="NG59" s="1"/>
      <c r="NH59" s="1"/>
      <c r="NI59" s="1"/>
      <c r="NJ59" s="1"/>
      <c r="NK59" s="1"/>
      <c r="NL59" s="1"/>
      <c r="NM59" s="1"/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/>
      <c r="OG59" s="1"/>
      <c r="OH59" s="1"/>
      <c r="OI59" s="1"/>
      <c r="OJ59" s="1"/>
      <c r="OK59" s="1"/>
      <c r="OL59" s="1"/>
      <c r="OM59" s="1"/>
      <c r="ON59" s="1"/>
      <c r="OO59" s="1"/>
      <c r="OP59" s="1"/>
      <c r="OQ59" s="1"/>
      <c r="OR59" s="1"/>
      <c r="OS59" s="1"/>
      <c r="OT59" s="1"/>
      <c r="OU59" s="1"/>
      <c r="OV59" s="1"/>
      <c r="OW59" s="1"/>
      <c r="OX59" s="1"/>
      <c r="OY59" s="1"/>
      <c r="OZ59" s="1"/>
      <c r="PA59" s="1"/>
      <c r="PB59" s="1"/>
      <c r="PC59" s="1"/>
      <c r="PD59" s="1"/>
      <c r="PE59" s="1"/>
      <c r="PF59" s="1"/>
      <c r="PG59" s="1"/>
      <c r="PH59" s="1"/>
      <c r="PI59" s="1"/>
      <c r="PJ59" s="1"/>
      <c r="PK59" s="1"/>
      <c r="PL59" s="1"/>
      <c r="PM59" s="1"/>
      <c r="PN59" s="1"/>
      <c r="PO59" s="1"/>
      <c r="PP59" s="1"/>
      <c r="PQ59" s="1"/>
      <c r="PR59" s="1"/>
      <c r="PS59" s="1"/>
      <c r="PT59" s="1"/>
      <c r="PU59" s="1"/>
      <c r="PV59" s="1"/>
      <c r="PW59" s="1"/>
      <c r="PX59" s="1"/>
      <c r="PY59" s="1"/>
      <c r="PZ59" s="1"/>
      <c r="QA59" s="1"/>
      <c r="QB59" s="1"/>
      <c r="QC59" s="1"/>
      <c r="QD59" s="1"/>
      <c r="QE59" s="1"/>
      <c r="QF59" s="1"/>
      <c r="QG59" s="1"/>
      <c r="QH59" s="1"/>
      <c r="QI59" s="1"/>
      <c r="QJ59" s="1"/>
      <c r="QK59" s="1"/>
      <c r="QL59" s="1"/>
      <c r="QM59" s="1"/>
      <c r="QN59" s="1"/>
      <c r="QO59" s="1"/>
      <c r="QP59" s="1"/>
      <c r="QQ59" s="1"/>
      <c r="QR59" s="1"/>
      <c r="QS59" s="1"/>
      <c r="QT59" s="1"/>
      <c r="QU59" s="1"/>
      <c r="QV59" s="1"/>
      <c r="QW59" s="1"/>
      <c r="QX59" s="1"/>
      <c r="QY59" s="1"/>
      <c r="QZ59" s="1"/>
      <c r="RA59" s="1"/>
      <c r="RB59" s="1"/>
      <c r="RC59" s="1"/>
      <c r="RD59" s="1"/>
      <c r="RE59" s="1"/>
      <c r="RF59" s="1"/>
      <c r="RG59" s="1"/>
      <c r="RH59" s="1"/>
      <c r="RI59" s="1"/>
      <c r="RJ59" s="1"/>
      <c r="RK59" s="1"/>
      <c r="RL59" s="1"/>
      <c r="RM59" s="1"/>
      <c r="RN59" s="1"/>
      <c r="RO59" s="1"/>
      <c r="RP59" s="1"/>
      <c r="RQ59" s="1"/>
      <c r="RR59" s="1"/>
      <c r="RS59" s="1"/>
      <c r="RT59" s="1"/>
      <c r="RU59" s="1"/>
      <c r="RV59" s="1"/>
      <c r="RW59" s="1"/>
      <c r="RX59" s="1"/>
      <c r="RY59" s="1"/>
      <c r="RZ59" s="1"/>
      <c r="SA59" s="1"/>
      <c r="SB59" s="1"/>
      <c r="SC59" s="1"/>
      <c r="SD59" s="1"/>
      <c r="SE59" s="1"/>
      <c r="SF59" s="1"/>
      <c r="SG59" s="1"/>
      <c r="SH59" s="1"/>
      <c r="SI59" s="1"/>
      <c r="SJ59" s="1"/>
      <c r="SK59" s="1"/>
      <c r="SL59" s="1"/>
      <c r="SM59" s="1"/>
      <c r="SN59" s="1"/>
      <c r="SO59" s="1"/>
      <c r="SP59" s="1"/>
      <c r="SQ59" s="1"/>
      <c r="SR59" s="1"/>
      <c r="SS59" s="1"/>
      <c r="ST59" s="1"/>
      <c r="SU59" s="1"/>
      <c r="SV59" s="1"/>
      <c r="SW59" s="1"/>
      <c r="SX59" s="1"/>
      <c r="SY59" s="1"/>
      <c r="SZ59" s="1"/>
      <c r="TA59" s="1"/>
      <c r="TB59" s="1"/>
      <c r="TC59" s="1"/>
      <c r="TD59" s="1"/>
      <c r="TE59" s="1"/>
      <c r="TF59" s="1"/>
      <c r="TG59" s="1"/>
      <c r="TH59" s="1"/>
      <c r="TI59" s="1"/>
      <c r="TJ59" s="1"/>
      <c r="TK59" s="1"/>
      <c r="TL59" s="1"/>
      <c r="TM59" s="1"/>
      <c r="TN59" s="1"/>
      <c r="TO59" s="1"/>
      <c r="TP59" s="1"/>
      <c r="TQ59" s="1"/>
      <c r="TR59" s="1"/>
      <c r="TS59" s="1"/>
      <c r="TT59" s="1"/>
      <c r="TU59" s="1"/>
      <c r="TV59" s="1"/>
      <c r="TW59" s="1"/>
      <c r="TX59" s="1"/>
      <c r="TY59" s="1"/>
      <c r="TZ59" s="1"/>
      <c r="UA59" s="1"/>
      <c r="UB59" s="1"/>
      <c r="UC59" s="1"/>
      <c r="UD59" s="1"/>
      <c r="UE59" s="1"/>
      <c r="UF59" s="1"/>
      <c r="UG59" s="1"/>
      <c r="UH59" s="1"/>
      <c r="UI59" s="1"/>
      <c r="UJ59" s="1"/>
      <c r="UK59" s="1"/>
      <c r="UL59" s="1"/>
      <c r="UM59" s="1"/>
      <c r="UN59" s="1"/>
      <c r="UO59" s="1"/>
      <c r="UP59" s="1"/>
      <c r="UQ59" s="1"/>
      <c r="UR59" s="1"/>
      <c r="US59" s="1"/>
      <c r="UT59" s="1"/>
      <c r="UU59" s="1"/>
      <c r="UV59" s="1"/>
      <c r="UW59" s="1"/>
      <c r="UX59" s="1"/>
      <c r="UY59" s="1"/>
      <c r="UZ59" s="1"/>
      <c r="VA59" s="1"/>
      <c r="VB59" s="1"/>
      <c r="VC59" s="1"/>
      <c r="VD59" s="1"/>
      <c r="VE59" s="1"/>
      <c r="VF59" s="1"/>
      <c r="VG59" s="1"/>
      <c r="VH59" s="1"/>
      <c r="VI59" s="1"/>
      <c r="VJ59" s="1"/>
      <c r="VK59" s="1"/>
      <c r="VL59" s="1"/>
      <c r="VM59" s="1"/>
      <c r="VN59" s="1"/>
      <c r="VO59" s="1"/>
      <c r="VP59" s="1"/>
      <c r="VQ59" s="1"/>
      <c r="VR59" s="1"/>
      <c r="VS59" s="1"/>
      <c r="VT59" s="1"/>
      <c r="VU59" s="1"/>
      <c r="VV59" s="1"/>
      <c r="VW59" s="1"/>
      <c r="VX59" s="1"/>
      <c r="VY59" s="1"/>
      <c r="VZ59" s="1"/>
      <c r="WA59" s="1"/>
      <c r="WB59" s="1"/>
      <c r="WC59" s="1"/>
      <c r="WD59" s="1"/>
      <c r="WE59" s="1"/>
      <c r="WF59" s="1"/>
      <c r="WG59" s="1"/>
      <c r="WH59" s="1"/>
      <c r="WI59" s="1"/>
      <c r="WJ59" s="1"/>
      <c r="WK59" s="1"/>
      <c r="WL59" s="1"/>
      <c r="WM59" s="1"/>
      <c r="WN59" s="1"/>
      <c r="WO59" s="1"/>
      <c r="WP59" s="1"/>
      <c r="WQ59" s="1"/>
      <c r="WR59" s="1"/>
      <c r="WS59" s="1"/>
      <c r="WT59" s="1"/>
      <c r="WU59" s="1"/>
      <c r="WV59" s="1"/>
      <c r="WW59" s="1"/>
      <c r="WX59" s="1"/>
      <c r="WY59" s="1"/>
      <c r="WZ59" s="1"/>
      <c r="XA59" s="1"/>
      <c r="XB59" s="1"/>
      <c r="XC59" s="1"/>
      <c r="XD59" s="1"/>
      <c r="XE59" s="1"/>
      <c r="XF59" s="1"/>
      <c r="XG59" s="1"/>
      <c r="XH59" s="1"/>
      <c r="XI59" s="1"/>
      <c r="XJ59" s="1"/>
      <c r="XK59" s="1"/>
      <c r="XL59" s="1"/>
      <c r="XM59" s="1"/>
      <c r="XN59" s="1"/>
      <c r="XO59" s="1"/>
      <c r="XP59" s="1"/>
      <c r="XQ59" s="1"/>
      <c r="XR59" s="1"/>
      <c r="XS59" s="1"/>
      <c r="XT59" s="1"/>
      <c r="XU59" s="1"/>
      <c r="XV59" s="1"/>
      <c r="XW59" s="1"/>
      <c r="XX59" s="1"/>
      <c r="XY59" s="1"/>
      <c r="XZ59" s="1"/>
      <c r="YA59" s="1"/>
      <c r="YB59" s="1"/>
      <c r="YC59" s="1"/>
      <c r="YD59" s="1"/>
      <c r="YE59" s="1"/>
      <c r="YF59" s="1"/>
      <c r="YG59" s="1"/>
      <c r="YH59" s="1"/>
      <c r="YI59" s="1"/>
      <c r="YJ59" s="1"/>
      <c r="YK59" s="1"/>
      <c r="YL59" s="1"/>
      <c r="YM59" s="1"/>
      <c r="YN59" s="1"/>
      <c r="YO59" s="1"/>
      <c r="YP59" s="1"/>
      <c r="YQ59" s="1"/>
      <c r="YR59" s="1"/>
      <c r="YS59" s="1"/>
      <c r="YT59" s="1"/>
      <c r="YU59" s="1"/>
      <c r="YV59" s="1"/>
      <c r="YW59" s="1"/>
      <c r="YX59" s="1"/>
      <c r="YY59" s="1"/>
      <c r="YZ59" s="1"/>
      <c r="ZA59" s="1"/>
      <c r="ZB59" s="1"/>
      <c r="ZC59" s="1"/>
      <c r="ZD59" s="1"/>
      <c r="ZE59" s="1"/>
      <c r="ZF59" s="1"/>
      <c r="ZG59" s="1"/>
      <c r="ZH59" s="1"/>
      <c r="ZI59" s="1"/>
      <c r="ZJ59" s="1"/>
      <c r="ZK59" s="1"/>
      <c r="ZL59" s="1"/>
      <c r="ZM59" s="1"/>
      <c r="ZN59" s="1"/>
      <c r="ZO59" s="1"/>
      <c r="ZP59" s="1"/>
      <c r="ZQ59" s="1"/>
      <c r="ZR59" s="1"/>
      <c r="ZS59" s="1"/>
      <c r="ZT59" s="1"/>
      <c r="ZU59" s="1"/>
      <c r="ZV59" s="1"/>
      <c r="ZW59" s="1"/>
      <c r="ZX59" s="1"/>
      <c r="ZY59" s="1"/>
      <c r="ZZ59" s="1"/>
      <c r="AAA59" s="1"/>
      <c r="AAB59" s="1"/>
      <c r="AAC59" s="1"/>
      <c r="AAD59" s="1"/>
      <c r="AAE59" s="1"/>
      <c r="AAF59" s="1"/>
      <c r="AAG59" s="1"/>
      <c r="AAH59" s="1"/>
      <c r="AAI59" s="1"/>
      <c r="AAJ59" s="1"/>
      <c r="AAK59" s="1"/>
      <c r="AAL59" s="1"/>
      <c r="AAM59" s="1"/>
      <c r="AAN59" s="1"/>
      <c r="AAO59" s="1"/>
      <c r="AAP59" s="1"/>
      <c r="AAQ59" s="1"/>
      <c r="AAR59" s="1"/>
      <c r="AAS59" s="1"/>
      <c r="AAT59" s="1"/>
      <c r="AAU59" s="1"/>
      <c r="AAV59" s="1"/>
      <c r="AAW59" s="1"/>
      <c r="AAX59" s="1"/>
      <c r="AAY59" s="1"/>
      <c r="AAZ59" s="1"/>
      <c r="ABA59" s="1"/>
      <c r="ABB59" s="1"/>
      <c r="ABC59" s="1"/>
      <c r="ABD59" s="1"/>
      <c r="ABE59" s="1"/>
      <c r="ABF59" s="1"/>
      <c r="ABG59" s="1"/>
      <c r="ABH59" s="1"/>
      <c r="ABI59" s="1"/>
      <c r="ABJ59" s="1"/>
      <c r="ABK59" s="1"/>
      <c r="ABL59" s="1"/>
      <c r="ABM59" s="1"/>
      <c r="ABN59" s="1"/>
      <c r="ABO59" s="1"/>
      <c r="ABP59" s="1"/>
      <c r="ABQ59" s="1"/>
      <c r="ABR59" s="1"/>
      <c r="ABS59" s="1"/>
      <c r="ABT59" s="1"/>
      <c r="ABU59" s="1"/>
      <c r="ABV59" s="1"/>
      <c r="ABW59" s="1"/>
      <c r="ABX59" s="1"/>
      <c r="ABY59" s="1"/>
      <c r="ABZ59" s="1"/>
      <c r="ACA59" s="1"/>
      <c r="ACB59" s="1"/>
      <c r="ACC59" s="1"/>
      <c r="ACD59" s="1"/>
      <c r="ACE59" s="1"/>
      <c r="ACF59" s="1"/>
      <c r="ACG59" s="1"/>
      <c r="ACH59" s="1"/>
      <c r="ACI59" s="1"/>
      <c r="ACJ59" s="1"/>
      <c r="ACK59" s="1"/>
      <c r="ACL59" s="1"/>
      <c r="ACM59" s="1"/>
      <c r="ACN59" s="1"/>
      <c r="ACO59" s="1"/>
      <c r="ACP59" s="1"/>
      <c r="ACQ59" s="1"/>
      <c r="ACR59" s="1"/>
      <c r="ACS59" s="1"/>
      <c r="ACT59" s="1"/>
      <c r="ACU59" s="1"/>
      <c r="ACV59" s="1"/>
      <c r="ACW59" s="1"/>
      <c r="ACX59" s="1"/>
      <c r="ACY59" s="1"/>
      <c r="ACZ59" s="1"/>
      <c r="ADA59" s="1"/>
      <c r="ADB59" s="1"/>
      <c r="ADC59" s="1"/>
      <c r="ADD59" s="1"/>
      <c r="ADE59" s="1"/>
      <c r="ADF59" s="1"/>
      <c r="ADG59" s="1"/>
      <c r="ADH59" s="1"/>
      <c r="ADI59" s="1"/>
      <c r="ADJ59" s="1"/>
      <c r="ADK59" s="1"/>
      <c r="ADL59" s="1"/>
      <c r="ADM59" s="1"/>
      <c r="ADN59" s="1"/>
      <c r="ADO59" s="1"/>
      <c r="ADP59" s="1"/>
      <c r="ADQ59" s="1"/>
      <c r="ADR59" s="1"/>
      <c r="ADS59" s="1"/>
      <c r="ADT59" s="1"/>
      <c r="ADU59" s="1"/>
      <c r="ADV59" s="1"/>
      <c r="ADW59" s="1"/>
      <c r="ADX59" s="1"/>
      <c r="ADY59" s="1"/>
      <c r="ADZ59" s="1"/>
      <c r="AEA59" s="1"/>
      <c r="AEB59" s="1"/>
      <c r="AEC59" s="1"/>
      <c r="AED59" s="1"/>
      <c r="AEE59" s="1"/>
      <c r="AEF59" s="1"/>
      <c r="AEG59" s="1"/>
      <c r="AEH59" s="1"/>
      <c r="AEI59" s="1"/>
      <c r="AEJ59" s="1"/>
      <c r="AEK59" s="1"/>
      <c r="AEL59" s="1"/>
      <c r="AEM59" s="1"/>
      <c r="AEN59" s="1"/>
      <c r="AEO59" s="1"/>
      <c r="AEP59" s="1"/>
      <c r="AEQ59" s="1"/>
      <c r="AER59" s="1"/>
      <c r="AES59" s="1"/>
      <c r="AET59" s="1"/>
      <c r="AEU59" s="1"/>
      <c r="AEV59" s="1"/>
      <c r="AEW59" s="1"/>
      <c r="AEX59" s="1"/>
      <c r="AEY59" s="1"/>
      <c r="AEZ59" s="1"/>
      <c r="AFA59" s="1"/>
      <c r="AFB59" s="1"/>
      <c r="AFC59" s="1"/>
      <c r="AFD59" s="1"/>
      <c r="AFE59" s="1"/>
      <c r="AFF59" s="1"/>
      <c r="AFG59" s="1"/>
      <c r="AFH59" s="1"/>
      <c r="AFI59" s="1"/>
      <c r="AFJ59" s="1"/>
      <c r="AFK59" s="1"/>
      <c r="AFL59" s="1"/>
      <c r="AFM59" s="1"/>
      <c r="AFN59" s="1"/>
      <c r="AFO59" s="1"/>
      <c r="AFP59" s="1"/>
      <c r="AFQ59" s="1"/>
      <c r="AFR59" s="1"/>
      <c r="AFS59" s="1"/>
      <c r="AFT59" s="1"/>
      <c r="AFU59" s="1"/>
      <c r="AFV59" s="1"/>
      <c r="AFW59" s="1"/>
      <c r="AFX59" s="1"/>
      <c r="AFY59" s="1"/>
      <c r="AFZ59" s="1"/>
      <c r="AGA59" s="1"/>
      <c r="AGB59" s="1"/>
      <c r="AGC59" s="1"/>
      <c r="AGD59" s="1"/>
      <c r="AGE59" s="1"/>
      <c r="AGF59" s="1"/>
      <c r="AGG59" s="1"/>
      <c r="AGH59" s="1"/>
      <c r="AGI59" s="1"/>
      <c r="AGJ59" s="1"/>
      <c r="AGK59" s="1"/>
      <c r="AGL59" s="1"/>
      <c r="AGM59" s="1"/>
      <c r="AGN59" s="1"/>
      <c r="AGO59" s="1"/>
      <c r="AGP59" s="1"/>
      <c r="AGQ59" s="1"/>
      <c r="AGR59" s="1"/>
      <c r="AGS59" s="1"/>
      <c r="AGT59" s="1"/>
      <c r="AGU59" s="1"/>
      <c r="AGV59" s="1"/>
      <c r="AGW59" s="1"/>
      <c r="AGX59" s="1"/>
      <c r="AGY59" s="1"/>
      <c r="AGZ59" s="1"/>
      <c r="AHA59" s="1"/>
      <c r="AHB59" s="1"/>
      <c r="AHC59" s="1"/>
      <c r="AHD59" s="1"/>
      <c r="AHE59" s="1"/>
      <c r="AHF59" s="1"/>
      <c r="AHG59" s="1"/>
      <c r="AHH59" s="1"/>
      <c r="AHI59" s="1"/>
      <c r="AHJ59" s="1"/>
      <c r="AHK59" s="1"/>
      <c r="AHL59" s="1"/>
      <c r="AHM59" s="1"/>
      <c r="AHN59" s="1"/>
      <c r="AHO59" s="1"/>
      <c r="AHP59" s="1"/>
      <c r="AHQ59" s="1"/>
      <c r="AHR59" s="1"/>
      <c r="AHS59" s="1"/>
      <c r="AHT59" s="1"/>
      <c r="AHU59" s="1"/>
      <c r="AHV59" s="1"/>
      <c r="AHW59" s="1"/>
      <c r="AHX59" s="1"/>
      <c r="AHY59" s="1"/>
      <c r="AHZ59" s="1"/>
      <c r="AIA59" s="1"/>
      <c r="AIB59" s="1"/>
      <c r="AIC59" s="1"/>
      <c r="AID59" s="1"/>
      <c r="AIE59" s="1"/>
      <c r="AIF59" s="1"/>
      <c r="AIG59" s="1"/>
      <c r="AIH59" s="1"/>
      <c r="AII59" s="1"/>
      <c r="AIJ59" s="1"/>
      <c r="AIK59" s="1"/>
      <c r="AIL59" s="1"/>
      <c r="AIM59" s="1"/>
      <c r="AIN59" s="1"/>
      <c r="AIO59" s="1"/>
      <c r="AIP59" s="1"/>
      <c r="AIQ59" s="1"/>
      <c r="AIR59" s="1"/>
      <c r="AIS59" s="1"/>
      <c r="AIT59" s="1"/>
      <c r="AIU59" s="1"/>
      <c r="AIV59" s="1"/>
      <c r="AIW59" s="1"/>
      <c r="AIX59" s="1"/>
      <c r="AIY59" s="1"/>
      <c r="AIZ59" s="1"/>
      <c r="AJA59" s="1"/>
      <c r="AJB59" s="1"/>
      <c r="AJC59" s="1"/>
      <c r="AJD59" s="1"/>
      <c r="AJE59" s="1"/>
      <c r="AJF59" s="1"/>
      <c r="AJG59" s="1"/>
      <c r="AJH59" s="1"/>
      <c r="AJI59" s="1"/>
      <c r="AJJ59" s="1"/>
      <c r="AJK59" s="1"/>
      <c r="AJL59" s="1"/>
      <c r="AJM59" s="1"/>
      <c r="AJN59" s="1"/>
      <c r="AJO59" s="1"/>
      <c r="AJP59" s="1"/>
      <c r="AJQ59" s="1"/>
      <c r="AJR59" s="1"/>
      <c r="AJS59" s="1"/>
      <c r="AJT59" s="1"/>
      <c r="AJU59" s="1"/>
      <c r="AJV59" s="1"/>
      <c r="AJW59" s="1"/>
      <c r="AJX59" s="1"/>
      <c r="AJY59" s="1"/>
      <c r="AJZ59" s="1"/>
      <c r="AKA59" s="1"/>
      <c r="AKB59" s="1"/>
      <c r="AKC59" s="1"/>
      <c r="AKD59" s="1"/>
      <c r="AKE59" s="1"/>
      <c r="AKF59" s="1"/>
      <c r="AKG59" s="1"/>
      <c r="AKH59" s="1"/>
      <c r="AKI59" s="1"/>
      <c r="AKJ59" s="1"/>
      <c r="AKK59" s="1"/>
      <c r="AKL59" s="1"/>
      <c r="AKM59" s="1"/>
      <c r="AKN59" s="1"/>
      <c r="AKO59" s="1"/>
      <c r="AKP59" s="1"/>
      <c r="AKQ59" s="1"/>
      <c r="AKR59" s="1"/>
      <c r="AKS59" s="1"/>
      <c r="AKT59" s="1"/>
      <c r="AKU59" s="1"/>
      <c r="AKV59" s="1"/>
      <c r="AKW59" s="1"/>
      <c r="AKX59" s="1"/>
      <c r="AKY59" s="1"/>
      <c r="AKZ59" s="1"/>
      <c r="ALA59" s="1"/>
      <c r="ALB59" s="1"/>
      <c r="ALC59" s="1"/>
      <c r="ALD59" s="1"/>
      <c r="ALE59" s="1"/>
      <c r="ALF59" s="1"/>
      <c r="ALG59" s="1"/>
      <c r="ALH59" s="1"/>
      <c r="ALI59" s="1"/>
      <c r="ALJ59" s="1"/>
      <c r="ALK59" s="1"/>
      <c r="ALL59" s="1"/>
      <c r="ALM59" s="1"/>
      <c r="ALN59" s="1"/>
      <c r="ALO59" s="1"/>
      <c r="ALP59" s="1"/>
      <c r="ALQ59" s="1"/>
      <c r="ALR59" s="1"/>
      <c r="ALS59" s="1"/>
      <c r="ALT59" s="1"/>
      <c r="ALU59" s="1"/>
      <c r="ALV59" s="1"/>
      <c r="ALW59" s="1"/>
      <c r="ALX59" s="1"/>
      <c r="ALY59" s="1"/>
      <c r="ALZ59" s="1"/>
      <c r="AMA59" s="1"/>
      <c r="AMB59" s="1"/>
      <c r="AMC59" s="1"/>
      <c r="AMD59" s="1"/>
      <c r="AME59" s="1"/>
      <c r="AMF59" s="1"/>
      <c r="AMG59" s="1"/>
      <c r="AMH59" s="1"/>
      <c r="AMI59" s="1"/>
      <c r="AMJ59" s="1"/>
      <c r="AMK59" s="1"/>
      <c r="AML59" s="1"/>
      <c r="AMM59" s="1"/>
      <c r="AMN59" s="1"/>
    </row>
    <row r="60" spans="1:1028" x14ac:dyDescent="0.2">
      <c r="A60" s="3" t="str">
        <f t="shared" si="194"/>
        <v>adrb1_melga_5A8E</v>
      </c>
      <c r="B60" s="3" t="s">
        <v>912</v>
      </c>
      <c r="C60" s="3" t="s">
        <v>1059</v>
      </c>
      <c r="D60" s="3" t="str">
        <f>IFERROR(MID(VLOOKUP($B60,Seqs!$A:$B,2,0),E60,1),"")</f>
        <v>S</v>
      </c>
      <c r="E60" s="3">
        <v>37</v>
      </c>
      <c r="F60" s="3" t="str">
        <f>IFERROR(MID(VLOOKUP($B60,Seqs!$A:$B,2,0),G60,1),"")</f>
        <v>T</v>
      </c>
      <c r="G60" s="3">
        <v>69</v>
      </c>
      <c r="H60" s="3" t="str">
        <f>IFERROR(MID(VLOOKUP($B60,Seqs!$A:$B,2,0),I60,1),"")</f>
        <v>Q</v>
      </c>
      <c r="I60" s="23">
        <v>70</v>
      </c>
      <c r="J60" s="3" t="str">
        <f>IFERROR(MID(VLOOKUP($B60,Seqs!$A:$B,2,0),K60,1),"")</f>
        <v>Q</v>
      </c>
      <c r="K60" s="23">
        <v>73</v>
      </c>
      <c r="L60" s="3" t="str">
        <f>IFERROR(MID(VLOOKUP($B60,Seqs!$A:$B,2,0),M60,1),"")</f>
        <v>T</v>
      </c>
      <c r="M60" s="3">
        <v>74</v>
      </c>
      <c r="N60" s="3" t="str">
        <f>IFERROR(MID(VLOOKUP($B60,Seqs!$A:$B,2,0),O60,1),"")</f>
        <v>R</v>
      </c>
      <c r="O60" s="3">
        <v>104</v>
      </c>
      <c r="P60" s="3" t="str">
        <f>IFERROR(MID(VLOOKUP($B60,Seqs!$A:$B,2,0),Q60,1),"")</f>
        <v>T</v>
      </c>
      <c r="Q60" s="3">
        <v>106</v>
      </c>
      <c r="R60" s="3" t="str">
        <f>IFERROR(MID(VLOOKUP($B60,Seqs!$A:$B,2,0),S60,1),"")</f>
        <v>W</v>
      </c>
      <c r="S60" s="3">
        <v>109</v>
      </c>
      <c r="T60" s="3" t="str">
        <f>IFERROR(MID(VLOOKUP($B60,Seqs!$A:$B,2,0),U60,1),"")</f>
        <v>G</v>
      </c>
      <c r="U60" s="3">
        <v>110</v>
      </c>
      <c r="V60" s="3" t="str">
        <f>IFERROR(MID(VLOOKUP($B60,Seqs!$A:$B,2,0),W60,1),"")</f>
        <v>S</v>
      </c>
      <c r="W60" s="3">
        <v>145</v>
      </c>
      <c r="X60" s="3" t="str">
        <f>IFERROR(MID(VLOOKUP($B60,Seqs!$A:$B,2,0),Y60,1),"")</f>
        <v>P</v>
      </c>
      <c r="Y60" s="3">
        <v>146</v>
      </c>
      <c r="Z60" s="3" t="str">
        <f>IFERROR(MID(VLOOKUP($B60,Seqs!$A:$B,2,0),AA60,1),"")</f>
        <v>M</v>
      </c>
      <c r="AA60" s="3">
        <v>153</v>
      </c>
      <c r="AB60" s="3" t="str">
        <f>IFERROR(MID(VLOOKUP($B60,Seqs!$A:$B,2,0),AC60,1),"")</f>
        <v>T</v>
      </c>
      <c r="AC60" s="9">
        <v>154</v>
      </c>
      <c r="AD60" s="3" t="str">
        <f>IFERROR(MID(VLOOKUP($B60,Seqs!$A:$B,2,0),AE60,1),"")</f>
        <v>H</v>
      </c>
      <c r="AE60" s="3">
        <v>180</v>
      </c>
      <c r="AF60" s="3" t="str">
        <f>IFERROR(MID(VLOOKUP($B60,Seqs!$A:$B,2,0),AG60,1),"")</f>
        <v>C</v>
      </c>
      <c r="AG60" s="3">
        <v>199</v>
      </c>
      <c r="AH60" s="3" t="str">
        <f>IFERROR(MID(VLOOKUP($B60,Seqs!$A:$B,2,0),AI60,1),"")</f>
        <v>F</v>
      </c>
      <c r="AI60" s="3">
        <v>201</v>
      </c>
      <c r="AJ60" s="3" t="str">
        <f>IFERROR(MID(VLOOKUP($B60,Seqs!$A:$B,2,0),AK60,1),"")</f>
        <v>N</v>
      </c>
      <c r="AK60" s="3">
        <v>204</v>
      </c>
      <c r="AL60" s="3" t="str">
        <f>IFERROR(MID(VLOOKUP($B60,Seqs!$A:$B,2,0),AM60,1),"")</f>
        <v>R</v>
      </c>
      <c r="AM60" s="3">
        <v>239</v>
      </c>
      <c r="AN60" s="3" t="str">
        <f>IFERROR(MID(VLOOKUP($B60,Seqs!$A:$B,2,0),AO60,1),"")</f>
        <v>R</v>
      </c>
      <c r="AO60" s="3">
        <v>279</v>
      </c>
      <c r="AP60" s="3" t="str">
        <f>IFERROR(MID(VLOOKUP($B60,Seqs!$A:$B,2,0),AQ60,1),"")</f>
        <v>N</v>
      </c>
      <c r="AQ60" s="3">
        <v>316</v>
      </c>
      <c r="AR60" s="3" t="str">
        <f>IFERROR(MID(VLOOKUP($B60,Seqs!$A:$B,2,0),AS60,1),"")</f>
        <v>P</v>
      </c>
      <c r="AS60" s="3">
        <v>321</v>
      </c>
      <c r="AT60" s="3" t="str">
        <f>IFERROR(MID(VLOOKUP($B60,Seqs!$A:$B,2,0),AU60,1),"")</f>
        <v>R</v>
      </c>
      <c r="AU60" s="3">
        <v>345</v>
      </c>
      <c r="AV60" s="3" t="str">
        <f>IFERROR(MID(VLOOKUP($B60,Seqs!$A:$B,2,0),AW60,1),"")</f>
        <v>S</v>
      </c>
      <c r="AW60" s="3">
        <v>346</v>
      </c>
      <c r="AX60" s="3" t="str">
        <f>IFERROR(MID(VLOOKUP($B60,Seqs!$A:$B,2,0),AY60,1),"")</f>
        <v>K</v>
      </c>
      <c r="AY60" s="3">
        <v>354</v>
      </c>
      <c r="AZ60" s="79" t="str">
        <f>VLOOKUP(B60,Classification!A:D,2,0)</f>
        <v>A</v>
      </c>
      <c r="BA60" s="97" t="str">
        <f>VLOOKUP(B60,Classification!A:D,4,0)</f>
        <v>Adrenoceptors</v>
      </c>
      <c r="BB60" s="27" t="b">
        <f t="shared" si="195"/>
        <v>1</v>
      </c>
      <c r="BC60" s="23">
        <f t="shared" si="196"/>
        <v>254</v>
      </c>
      <c r="BD60" s="4" t="s">
        <v>23</v>
      </c>
      <c r="BE60" s="3" t="s">
        <v>1381</v>
      </c>
      <c r="BF60" s="50" t="s">
        <v>1384</v>
      </c>
      <c r="BG60" s="50" t="s">
        <v>1384</v>
      </c>
      <c r="BH60" s="1"/>
      <c r="BI60" s="72" t="s">
        <v>1293</v>
      </c>
      <c r="BJ60" s="58" t="s">
        <v>1293</v>
      </c>
      <c r="BK60" s="58" t="s">
        <v>1293</v>
      </c>
      <c r="BL60" s="58" t="s">
        <v>1293</v>
      </c>
      <c r="BM60" s="58" t="s">
        <v>1293</v>
      </c>
      <c r="BN60" s="58" t="s">
        <v>1293</v>
      </c>
      <c r="BO60" s="58" t="s">
        <v>1293</v>
      </c>
      <c r="BP60" s="58" t="s">
        <v>1293</v>
      </c>
      <c r="BQ60" s="58" t="s">
        <v>1293</v>
      </c>
      <c r="BR60" s="58" t="s">
        <v>1293</v>
      </c>
      <c r="BS60" s="58" t="s">
        <v>1293</v>
      </c>
      <c r="BT60" s="58" t="s">
        <v>1293</v>
      </c>
      <c r="BU60" s="72">
        <f t="shared" si="197"/>
        <v>37</v>
      </c>
      <c r="BV60" s="73">
        <f t="shared" si="198"/>
        <v>70</v>
      </c>
      <c r="BW60" s="74">
        <f t="shared" si="199"/>
        <v>74</v>
      </c>
      <c r="BX60" s="73">
        <f t="shared" si="200"/>
        <v>106</v>
      </c>
      <c r="BY60" s="74">
        <f t="shared" si="201"/>
        <v>110</v>
      </c>
      <c r="BZ60" s="73">
        <f t="shared" si="202"/>
        <v>146</v>
      </c>
      <c r="CA60" s="74">
        <f t="shared" si="203"/>
        <v>154</v>
      </c>
      <c r="CB60" s="73">
        <f t="shared" si="204"/>
        <v>199</v>
      </c>
      <c r="CC60" s="74">
        <f t="shared" si="205"/>
        <v>204</v>
      </c>
      <c r="CD60" s="73">
        <f t="shared" si="206"/>
        <v>279</v>
      </c>
      <c r="CE60" s="74">
        <f t="shared" si="207"/>
        <v>321</v>
      </c>
      <c r="CF60" s="73">
        <f t="shared" si="208"/>
        <v>346</v>
      </c>
      <c r="CG60" s="72">
        <f t="shared" si="209"/>
        <v>69</v>
      </c>
      <c r="CH60" s="73">
        <f t="shared" si="210"/>
        <v>73</v>
      </c>
      <c r="CI60" s="74">
        <f t="shared" si="211"/>
        <v>104</v>
      </c>
      <c r="CJ60" s="74">
        <f t="shared" si="212"/>
        <v>109</v>
      </c>
      <c r="CK60" s="74">
        <f t="shared" si="213"/>
        <v>145</v>
      </c>
      <c r="CL60" s="74">
        <f t="shared" si="214"/>
        <v>153</v>
      </c>
      <c r="CM60" s="74">
        <f t="shared" si="215"/>
        <v>180</v>
      </c>
      <c r="CN60" s="74">
        <f t="shared" si="216"/>
        <v>201</v>
      </c>
      <c r="CO60" s="74">
        <f t="shared" si="217"/>
        <v>239</v>
      </c>
      <c r="CP60" s="74">
        <f t="shared" si="218"/>
        <v>316</v>
      </c>
      <c r="CQ60" s="74">
        <f t="shared" si="219"/>
        <v>345</v>
      </c>
      <c r="CR60" s="74">
        <f t="shared" si="220"/>
        <v>354</v>
      </c>
      <c r="CS60" s="23">
        <f t="shared" si="221"/>
        <v>1</v>
      </c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  <c r="OK60" s="1"/>
      <c r="OL60" s="1"/>
      <c r="OM60" s="1"/>
      <c r="ON60" s="1"/>
      <c r="OO60" s="1"/>
      <c r="OP60" s="1"/>
      <c r="OQ60" s="1"/>
      <c r="OR60" s="1"/>
      <c r="OS60" s="1"/>
      <c r="OT60" s="1"/>
      <c r="OU60" s="1"/>
      <c r="OV60" s="1"/>
      <c r="OW60" s="1"/>
      <c r="OX60" s="1"/>
      <c r="OY60" s="1"/>
      <c r="OZ60" s="1"/>
      <c r="PA60" s="1"/>
      <c r="PB60" s="1"/>
      <c r="PC60" s="1"/>
      <c r="PD60" s="1"/>
      <c r="PE60" s="1"/>
      <c r="PF60" s="1"/>
      <c r="PG60" s="1"/>
      <c r="PH60" s="1"/>
      <c r="PI60" s="1"/>
      <c r="PJ60" s="1"/>
      <c r="PK60" s="1"/>
      <c r="PL60" s="1"/>
      <c r="PM60" s="1"/>
      <c r="PN60" s="1"/>
      <c r="PO60" s="1"/>
      <c r="PP60" s="1"/>
      <c r="PQ60" s="1"/>
      <c r="PR60" s="1"/>
      <c r="PS60" s="1"/>
      <c r="PT60" s="1"/>
      <c r="PU60" s="1"/>
      <c r="PV60" s="1"/>
      <c r="PW60" s="1"/>
      <c r="PX60" s="1"/>
      <c r="PY60" s="1"/>
      <c r="PZ60" s="1"/>
      <c r="QA60" s="1"/>
      <c r="QB60" s="1"/>
      <c r="QC60" s="1"/>
      <c r="QD60" s="1"/>
      <c r="QE60" s="1"/>
      <c r="QF60" s="1"/>
      <c r="QG60" s="1"/>
      <c r="QH60" s="1"/>
      <c r="QI60" s="1"/>
      <c r="QJ60" s="1"/>
      <c r="QK60" s="1"/>
      <c r="QL60" s="1"/>
      <c r="QM60" s="1"/>
      <c r="QN60" s="1"/>
      <c r="QO60" s="1"/>
      <c r="QP60" s="1"/>
      <c r="QQ60" s="1"/>
      <c r="QR60" s="1"/>
      <c r="QS60" s="1"/>
      <c r="QT60" s="1"/>
      <c r="QU60" s="1"/>
      <c r="QV60" s="1"/>
      <c r="QW60" s="1"/>
      <c r="QX60" s="1"/>
      <c r="QY60" s="1"/>
      <c r="QZ60" s="1"/>
      <c r="RA60" s="1"/>
      <c r="RB60" s="1"/>
      <c r="RC60" s="1"/>
      <c r="RD60" s="1"/>
      <c r="RE60" s="1"/>
      <c r="RF60" s="1"/>
      <c r="RG60" s="1"/>
      <c r="RH60" s="1"/>
      <c r="RI60" s="1"/>
      <c r="RJ60" s="1"/>
      <c r="RK60" s="1"/>
      <c r="RL60" s="1"/>
      <c r="RM60" s="1"/>
      <c r="RN60" s="1"/>
      <c r="RO60" s="1"/>
      <c r="RP60" s="1"/>
      <c r="RQ60" s="1"/>
      <c r="RR60" s="1"/>
      <c r="RS60" s="1"/>
      <c r="RT60" s="1"/>
      <c r="RU60" s="1"/>
      <c r="RV60" s="1"/>
      <c r="RW60" s="1"/>
      <c r="RX60" s="1"/>
      <c r="RY60" s="1"/>
      <c r="RZ60" s="1"/>
      <c r="SA60" s="1"/>
      <c r="SB60" s="1"/>
      <c r="SC60" s="1"/>
      <c r="SD60" s="1"/>
      <c r="SE60" s="1"/>
      <c r="SF60" s="1"/>
      <c r="SG60" s="1"/>
      <c r="SH60" s="1"/>
      <c r="SI60" s="1"/>
      <c r="SJ60" s="1"/>
      <c r="SK60" s="1"/>
      <c r="SL60" s="1"/>
      <c r="SM60" s="1"/>
      <c r="SN60" s="1"/>
      <c r="SO60" s="1"/>
      <c r="SP60" s="1"/>
      <c r="SQ60" s="1"/>
      <c r="SR60" s="1"/>
      <c r="SS60" s="1"/>
      <c r="ST60" s="1"/>
      <c r="SU60" s="1"/>
      <c r="SV60" s="1"/>
      <c r="SW60" s="1"/>
      <c r="SX60" s="1"/>
      <c r="SY60" s="1"/>
      <c r="SZ60" s="1"/>
      <c r="TA60" s="1"/>
      <c r="TB60" s="1"/>
      <c r="TC60" s="1"/>
      <c r="TD60" s="1"/>
      <c r="TE60" s="1"/>
      <c r="TF60" s="1"/>
      <c r="TG60" s="1"/>
      <c r="TH60" s="1"/>
      <c r="TI60" s="1"/>
      <c r="TJ60" s="1"/>
      <c r="TK60" s="1"/>
      <c r="TL60" s="1"/>
      <c r="TM60" s="1"/>
      <c r="TN60" s="1"/>
      <c r="TO60" s="1"/>
      <c r="TP60" s="1"/>
      <c r="TQ60" s="1"/>
      <c r="TR60" s="1"/>
      <c r="TS60" s="1"/>
      <c r="TT60" s="1"/>
      <c r="TU60" s="1"/>
      <c r="TV60" s="1"/>
      <c r="TW60" s="1"/>
      <c r="TX60" s="1"/>
      <c r="TY60" s="1"/>
      <c r="TZ60" s="1"/>
      <c r="UA60" s="1"/>
      <c r="UB60" s="1"/>
      <c r="UC60" s="1"/>
      <c r="UD60" s="1"/>
      <c r="UE60" s="1"/>
      <c r="UF60" s="1"/>
      <c r="UG60" s="1"/>
      <c r="UH60" s="1"/>
      <c r="UI60" s="1"/>
      <c r="UJ60" s="1"/>
      <c r="UK60" s="1"/>
      <c r="UL60" s="1"/>
      <c r="UM60" s="1"/>
      <c r="UN60" s="1"/>
      <c r="UO60" s="1"/>
      <c r="UP60" s="1"/>
      <c r="UQ60" s="1"/>
      <c r="UR60" s="1"/>
      <c r="US60" s="1"/>
      <c r="UT60" s="1"/>
      <c r="UU60" s="1"/>
      <c r="UV60" s="1"/>
      <c r="UW60" s="1"/>
      <c r="UX60" s="1"/>
      <c r="UY60" s="1"/>
      <c r="UZ60" s="1"/>
      <c r="VA60" s="1"/>
      <c r="VB60" s="1"/>
      <c r="VC60" s="1"/>
      <c r="VD60" s="1"/>
      <c r="VE60" s="1"/>
      <c r="VF60" s="1"/>
      <c r="VG60" s="1"/>
      <c r="VH60" s="1"/>
      <c r="VI60" s="1"/>
      <c r="VJ60" s="1"/>
      <c r="VK60" s="1"/>
      <c r="VL60" s="1"/>
      <c r="VM60" s="1"/>
      <c r="VN60" s="1"/>
      <c r="VO60" s="1"/>
      <c r="VP60" s="1"/>
      <c r="VQ60" s="1"/>
      <c r="VR60" s="1"/>
      <c r="VS60" s="1"/>
      <c r="VT60" s="1"/>
      <c r="VU60" s="1"/>
      <c r="VV60" s="1"/>
      <c r="VW60" s="1"/>
      <c r="VX60" s="1"/>
      <c r="VY60" s="1"/>
      <c r="VZ60" s="1"/>
      <c r="WA60" s="1"/>
      <c r="WB60" s="1"/>
      <c r="WC60" s="1"/>
      <c r="WD60" s="1"/>
      <c r="WE60" s="1"/>
      <c r="WF60" s="1"/>
      <c r="WG60" s="1"/>
      <c r="WH60" s="1"/>
      <c r="WI60" s="1"/>
      <c r="WJ60" s="1"/>
      <c r="WK60" s="1"/>
      <c r="WL60" s="1"/>
      <c r="WM60" s="1"/>
      <c r="WN60" s="1"/>
      <c r="WO60" s="1"/>
      <c r="WP60" s="1"/>
      <c r="WQ60" s="1"/>
      <c r="WR60" s="1"/>
      <c r="WS60" s="1"/>
      <c r="WT60" s="1"/>
      <c r="WU60" s="1"/>
      <c r="WV60" s="1"/>
      <c r="WW60" s="1"/>
      <c r="WX60" s="1"/>
      <c r="WY60" s="1"/>
      <c r="WZ60" s="1"/>
      <c r="XA60" s="1"/>
      <c r="XB60" s="1"/>
      <c r="XC60" s="1"/>
      <c r="XD60" s="1"/>
      <c r="XE60" s="1"/>
      <c r="XF60" s="1"/>
      <c r="XG60" s="1"/>
      <c r="XH60" s="1"/>
      <c r="XI60" s="1"/>
      <c r="XJ60" s="1"/>
      <c r="XK60" s="1"/>
      <c r="XL60" s="1"/>
      <c r="XM60" s="1"/>
      <c r="XN60" s="1"/>
      <c r="XO60" s="1"/>
      <c r="XP60" s="1"/>
      <c r="XQ60" s="1"/>
      <c r="XR60" s="1"/>
      <c r="XS60" s="1"/>
      <c r="XT60" s="1"/>
      <c r="XU60" s="1"/>
      <c r="XV60" s="1"/>
      <c r="XW60" s="1"/>
      <c r="XX60" s="1"/>
      <c r="XY60" s="1"/>
      <c r="XZ60" s="1"/>
      <c r="YA60" s="1"/>
      <c r="YB60" s="1"/>
      <c r="YC60" s="1"/>
      <c r="YD60" s="1"/>
      <c r="YE60" s="1"/>
      <c r="YF60" s="1"/>
      <c r="YG60" s="1"/>
      <c r="YH60" s="1"/>
      <c r="YI60" s="1"/>
      <c r="YJ60" s="1"/>
      <c r="YK60" s="1"/>
      <c r="YL60" s="1"/>
      <c r="YM60" s="1"/>
      <c r="YN60" s="1"/>
      <c r="YO60" s="1"/>
      <c r="YP60" s="1"/>
      <c r="YQ60" s="1"/>
      <c r="YR60" s="1"/>
      <c r="YS60" s="1"/>
      <c r="YT60" s="1"/>
      <c r="YU60" s="1"/>
      <c r="YV60" s="1"/>
      <c r="YW60" s="1"/>
      <c r="YX60" s="1"/>
      <c r="YY60" s="1"/>
      <c r="YZ60" s="1"/>
      <c r="ZA60" s="1"/>
      <c r="ZB60" s="1"/>
      <c r="ZC60" s="1"/>
      <c r="ZD60" s="1"/>
      <c r="ZE60" s="1"/>
      <c r="ZF60" s="1"/>
      <c r="ZG60" s="1"/>
      <c r="ZH60" s="1"/>
      <c r="ZI60" s="1"/>
      <c r="ZJ60" s="1"/>
      <c r="ZK60" s="1"/>
      <c r="ZL60" s="1"/>
      <c r="ZM60" s="1"/>
      <c r="ZN60" s="1"/>
      <c r="ZO60" s="1"/>
      <c r="ZP60" s="1"/>
      <c r="ZQ60" s="1"/>
      <c r="ZR60" s="1"/>
      <c r="ZS60" s="1"/>
      <c r="ZT60" s="1"/>
      <c r="ZU60" s="1"/>
      <c r="ZV60" s="1"/>
      <c r="ZW60" s="1"/>
      <c r="ZX60" s="1"/>
      <c r="ZY60" s="1"/>
      <c r="ZZ60" s="1"/>
      <c r="AAA60" s="1"/>
      <c r="AAB60" s="1"/>
      <c r="AAC60" s="1"/>
      <c r="AAD60" s="1"/>
      <c r="AAE60" s="1"/>
      <c r="AAF60" s="1"/>
      <c r="AAG60" s="1"/>
      <c r="AAH60" s="1"/>
      <c r="AAI60" s="1"/>
      <c r="AAJ60" s="1"/>
      <c r="AAK60" s="1"/>
      <c r="AAL60" s="1"/>
      <c r="AAM60" s="1"/>
      <c r="AAN60" s="1"/>
      <c r="AAO60" s="1"/>
      <c r="AAP60" s="1"/>
      <c r="AAQ60" s="1"/>
      <c r="AAR60" s="1"/>
      <c r="AAS60" s="1"/>
      <c r="AAT60" s="1"/>
      <c r="AAU60" s="1"/>
      <c r="AAV60" s="1"/>
      <c r="AAW60" s="1"/>
      <c r="AAX60" s="1"/>
      <c r="AAY60" s="1"/>
      <c r="AAZ60" s="1"/>
      <c r="ABA60" s="1"/>
      <c r="ABB60" s="1"/>
      <c r="ABC60" s="1"/>
      <c r="ABD60" s="1"/>
      <c r="ABE60" s="1"/>
      <c r="ABF60" s="1"/>
      <c r="ABG60" s="1"/>
      <c r="ABH60" s="1"/>
      <c r="ABI60" s="1"/>
      <c r="ABJ60" s="1"/>
      <c r="ABK60" s="1"/>
      <c r="ABL60" s="1"/>
      <c r="ABM60" s="1"/>
      <c r="ABN60" s="1"/>
      <c r="ABO60" s="1"/>
      <c r="ABP60" s="1"/>
      <c r="ABQ60" s="1"/>
      <c r="ABR60" s="1"/>
      <c r="ABS60" s="1"/>
      <c r="ABT60" s="1"/>
      <c r="ABU60" s="1"/>
      <c r="ABV60" s="1"/>
      <c r="ABW60" s="1"/>
      <c r="ABX60" s="1"/>
      <c r="ABY60" s="1"/>
      <c r="ABZ60" s="1"/>
      <c r="ACA60" s="1"/>
      <c r="ACB60" s="1"/>
      <c r="ACC60" s="1"/>
      <c r="ACD60" s="1"/>
      <c r="ACE60" s="1"/>
      <c r="ACF60" s="1"/>
      <c r="ACG60" s="1"/>
      <c r="ACH60" s="1"/>
      <c r="ACI60" s="1"/>
      <c r="ACJ60" s="1"/>
      <c r="ACK60" s="1"/>
      <c r="ACL60" s="1"/>
      <c r="ACM60" s="1"/>
      <c r="ACN60" s="1"/>
      <c r="ACO60" s="1"/>
      <c r="ACP60" s="1"/>
      <c r="ACQ60" s="1"/>
      <c r="ACR60" s="1"/>
      <c r="ACS60" s="1"/>
      <c r="ACT60" s="1"/>
      <c r="ACU60" s="1"/>
      <c r="ACV60" s="1"/>
      <c r="ACW60" s="1"/>
      <c r="ACX60" s="1"/>
      <c r="ACY60" s="1"/>
      <c r="ACZ60" s="1"/>
      <c r="ADA60" s="1"/>
      <c r="ADB60" s="1"/>
      <c r="ADC60" s="1"/>
      <c r="ADD60" s="1"/>
      <c r="ADE60" s="1"/>
      <c r="ADF60" s="1"/>
      <c r="ADG60" s="1"/>
      <c r="ADH60" s="1"/>
      <c r="ADI60" s="1"/>
      <c r="ADJ60" s="1"/>
      <c r="ADK60" s="1"/>
      <c r="ADL60" s="1"/>
      <c r="ADM60" s="1"/>
      <c r="ADN60" s="1"/>
      <c r="ADO60" s="1"/>
      <c r="ADP60" s="1"/>
      <c r="ADQ60" s="1"/>
      <c r="ADR60" s="1"/>
      <c r="ADS60" s="1"/>
      <c r="ADT60" s="1"/>
      <c r="ADU60" s="1"/>
      <c r="ADV60" s="1"/>
      <c r="ADW60" s="1"/>
      <c r="ADX60" s="1"/>
      <c r="ADY60" s="1"/>
      <c r="ADZ60" s="1"/>
      <c r="AEA60" s="1"/>
      <c r="AEB60" s="1"/>
      <c r="AEC60" s="1"/>
      <c r="AED60" s="1"/>
      <c r="AEE60" s="1"/>
      <c r="AEF60" s="1"/>
      <c r="AEG60" s="1"/>
      <c r="AEH60" s="1"/>
      <c r="AEI60" s="1"/>
      <c r="AEJ60" s="1"/>
      <c r="AEK60" s="1"/>
      <c r="AEL60" s="1"/>
      <c r="AEM60" s="1"/>
      <c r="AEN60" s="1"/>
      <c r="AEO60" s="1"/>
      <c r="AEP60" s="1"/>
      <c r="AEQ60" s="1"/>
      <c r="AER60" s="1"/>
      <c r="AES60" s="1"/>
      <c r="AET60" s="1"/>
      <c r="AEU60" s="1"/>
      <c r="AEV60" s="1"/>
      <c r="AEW60" s="1"/>
      <c r="AEX60" s="1"/>
      <c r="AEY60" s="1"/>
      <c r="AEZ60" s="1"/>
      <c r="AFA60" s="1"/>
      <c r="AFB60" s="1"/>
      <c r="AFC60" s="1"/>
      <c r="AFD60" s="1"/>
      <c r="AFE60" s="1"/>
      <c r="AFF60" s="1"/>
      <c r="AFG60" s="1"/>
      <c r="AFH60" s="1"/>
      <c r="AFI60" s="1"/>
      <c r="AFJ60" s="1"/>
      <c r="AFK60" s="1"/>
      <c r="AFL60" s="1"/>
      <c r="AFM60" s="1"/>
      <c r="AFN60" s="1"/>
      <c r="AFO60" s="1"/>
      <c r="AFP60" s="1"/>
      <c r="AFQ60" s="1"/>
      <c r="AFR60" s="1"/>
      <c r="AFS60" s="1"/>
      <c r="AFT60" s="1"/>
      <c r="AFU60" s="1"/>
      <c r="AFV60" s="1"/>
      <c r="AFW60" s="1"/>
      <c r="AFX60" s="1"/>
      <c r="AFY60" s="1"/>
      <c r="AFZ60" s="1"/>
      <c r="AGA60" s="1"/>
      <c r="AGB60" s="1"/>
      <c r="AGC60" s="1"/>
      <c r="AGD60" s="1"/>
      <c r="AGE60" s="1"/>
      <c r="AGF60" s="1"/>
      <c r="AGG60" s="1"/>
      <c r="AGH60" s="1"/>
      <c r="AGI60" s="1"/>
      <c r="AGJ60" s="1"/>
      <c r="AGK60" s="1"/>
      <c r="AGL60" s="1"/>
      <c r="AGM60" s="1"/>
      <c r="AGN60" s="1"/>
      <c r="AGO60" s="1"/>
      <c r="AGP60" s="1"/>
      <c r="AGQ60" s="1"/>
      <c r="AGR60" s="1"/>
      <c r="AGS60" s="1"/>
      <c r="AGT60" s="1"/>
      <c r="AGU60" s="1"/>
      <c r="AGV60" s="1"/>
      <c r="AGW60" s="1"/>
      <c r="AGX60" s="1"/>
      <c r="AGY60" s="1"/>
      <c r="AGZ60" s="1"/>
      <c r="AHA60" s="1"/>
      <c r="AHB60" s="1"/>
      <c r="AHC60" s="1"/>
      <c r="AHD60" s="1"/>
      <c r="AHE60" s="1"/>
      <c r="AHF60" s="1"/>
      <c r="AHG60" s="1"/>
      <c r="AHH60" s="1"/>
      <c r="AHI60" s="1"/>
      <c r="AHJ60" s="1"/>
      <c r="AHK60" s="1"/>
      <c r="AHL60" s="1"/>
      <c r="AHM60" s="1"/>
      <c r="AHN60" s="1"/>
      <c r="AHO60" s="1"/>
      <c r="AHP60" s="1"/>
      <c r="AHQ60" s="1"/>
      <c r="AHR60" s="1"/>
      <c r="AHS60" s="1"/>
      <c r="AHT60" s="1"/>
      <c r="AHU60" s="1"/>
      <c r="AHV60" s="1"/>
      <c r="AHW60" s="1"/>
      <c r="AHX60" s="1"/>
      <c r="AHY60" s="1"/>
      <c r="AHZ60" s="1"/>
      <c r="AIA60" s="1"/>
      <c r="AIB60" s="1"/>
      <c r="AIC60" s="1"/>
      <c r="AID60" s="1"/>
      <c r="AIE60" s="1"/>
      <c r="AIF60" s="1"/>
      <c r="AIG60" s="1"/>
      <c r="AIH60" s="1"/>
      <c r="AII60" s="1"/>
      <c r="AIJ60" s="1"/>
      <c r="AIK60" s="1"/>
      <c r="AIL60" s="1"/>
      <c r="AIM60" s="1"/>
      <c r="AIN60" s="1"/>
      <c r="AIO60" s="1"/>
      <c r="AIP60" s="1"/>
      <c r="AIQ60" s="1"/>
      <c r="AIR60" s="1"/>
      <c r="AIS60" s="1"/>
      <c r="AIT60" s="1"/>
      <c r="AIU60" s="1"/>
      <c r="AIV60" s="1"/>
      <c r="AIW60" s="1"/>
      <c r="AIX60" s="1"/>
      <c r="AIY60" s="1"/>
      <c r="AIZ60" s="1"/>
      <c r="AJA60" s="1"/>
      <c r="AJB60" s="1"/>
      <c r="AJC60" s="1"/>
      <c r="AJD60" s="1"/>
      <c r="AJE60" s="1"/>
      <c r="AJF60" s="1"/>
      <c r="AJG60" s="1"/>
      <c r="AJH60" s="1"/>
      <c r="AJI60" s="1"/>
      <c r="AJJ60" s="1"/>
      <c r="AJK60" s="1"/>
      <c r="AJL60" s="1"/>
      <c r="AJM60" s="1"/>
      <c r="AJN60" s="1"/>
      <c r="AJO60" s="1"/>
      <c r="AJP60" s="1"/>
      <c r="AJQ60" s="1"/>
      <c r="AJR60" s="1"/>
      <c r="AJS60" s="1"/>
      <c r="AJT60" s="1"/>
      <c r="AJU60" s="1"/>
      <c r="AJV60" s="1"/>
      <c r="AJW60" s="1"/>
      <c r="AJX60" s="1"/>
      <c r="AJY60" s="1"/>
      <c r="AJZ60" s="1"/>
      <c r="AKA60" s="1"/>
      <c r="AKB60" s="1"/>
      <c r="AKC60" s="1"/>
      <c r="AKD60" s="1"/>
      <c r="AKE60" s="1"/>
      <c r="AKF60" s="1"/>
      <c r="AKG60" s="1"/>
      <c r="AKH60" s="1"/>
      <c r="AKI60" s="1"/>
      <c r="AKJ60" s="1"/>
      <c r="AKK60" s="1"/>
      <c r="AKL60" s="1"/>
      <c r="AKM60" s="1"/>
      <c r="AKN60" s="1"/>
      <c r="AKO60" s="1"/>
      <c r="AKP60" s="1"/>
      <c r="AKQ60" s="1"/>
      <c r="AKR60" s="1"/>
      <c r="AKS60" s="1"/>
      <c r="AKT60" s="1"/>
      <c r="AKU60" s="1"/>
      <c r="AKV60" s="1"/>
      <c r="AKW60" s="1"/>
      <c r="AKX60" s="1"/>
      <c r="AKY60" s="1"/>
      <c r="AKZ60" s="1"/>
      <c r="ALA60" s="1"/>
      <c r="ALB60" s="1"/>
      <c r="ALC60" s="1"/>
      <c r="ALD60" s="1"/>
      <c r="ALE60" s="1"/>
      <c r="ALF60" s="1"/>
      <c r="ALG60" s="1"/>
      <c r="ALH60" s="1"/>
      <c r="ALI60" s="1"/>
      <c r="ALJ60" s="1"/>
      <c r="ALK60" s="1"/>
      <c r="ALL60" s="1"/>
      <c r="ALM60" s="1"/>
      <c r="ALN60" s="1"/>
      <c r="ALO60" s="1"/>
      <c r="ALP60" s="1"/>
      <c r="ALQ60" s="1"/>
      <c r="ALR60" s="1"/>
      <c r="ALS60" s="1"/>
      <c r="ALT60" s="1"/>
      <c r="ALU60" s="1"/>
      <c r="ALV60" s="1"/>
      <c r="ALW60" s="1"/>
      <c r="ALX60" s="1"/>
      <c r="ALY60" s="1"/>
      <c r="ALZ60" s="1"/>
      <c r="AMA60" s="1"/>
      <c r="AMB60" s="1"/>
      <c r="AMC60" s="1"/>
      <c r="AMD60" s="1"/>
      <c r="AME60" s="1"/>
      <c r="AMF60" s="1"/>
      <c r="AMG60" s="1"/>
      <c r="AMH60" s="1"/>
      <c r="AMI60" s="1"/>
      <c r="AMJ60" s="1"/>
      <c r="AMK60" s="1"/>
      <c r="AML60" s="1"/>
      <c r="AMM60" s="1"/>
      <c r="AMN60" s="1"/>
    </row>
    <row r="61" spans="1:1028" x14ac:dyDescent="0.2">
      <c r="A61" s="3" t="str">
        <f t="shared" si="194"/>
        <v>adrb1_melga_5F8U</v>
      </c>
      <c r="B61" s="3" t="s">
        <v>912</v>
      </c>
      <c r="C61" s="3" t="s">
        <v>1360</v>
      </c>
      <c r="D61" s="3" t="str">
        <f>IFERROR(MID(VLOOKUP($B61,Seqs!$A:$B,2,0),E61,1),"")</f>
        <v>W</v>
      </c>
      <c r="E61" s="3">
        <v>40</v>
      </c>
      <c r="F61" s="3" t="str">
        <f>IFERROR(MID(VLOOKUP($B61,Seqs!$A:$B,2,0),G61,1),"")</f>
        <v>T</v>
      </c>
      <c r="G61" s="3">
        <v>69</v>
      </c>
      <c r="H61" s="3" t="str">
        <f>IFERROR(MID(VLOOKUP($B61,Seqs!$A:$B,2,0),I61,1),"")</f>
        <v>Q</v>
      </c>
      <c r="I61" s="23">
        <v>70</v>
      </c>
      <c r="J61" s="3" t="str">
        <f>IFERROR(MID(VLOOKUP($B61,Seqs!$A:$B,2,0),K61,1),"")</f>
        <v>Q</v>
      </c>
      <c r="K61" s="23">
        <v>73</v>
      </c>
      <c r="L61" s="3" t="str">
        <f>IFERROR(MID(VLOOKUP($B61,Seqs!$A:$B,2,0),M61,1),"")</f>
        <v>T</v>
      </c>
      <c r="M61" s="3">
        <v>74</v>
      </c>
      <c r="N61" s="3" t="str">
        <f>IFERROR(MID(VLOOKUP($B61,Seqs!$A:$B,2,0),O61,1),"")</f>
        <v>R</v>
      </c>
      <c r="O61" s="3">
        <v>104</v>
      </c>
      <c r="P61" s="3" t="str">
        <f>IFERROR(MID(VLOOKUP($B61,Seqs!$A:$B,2,0),Q61,1),"")</f>
        <v>T</v>
      </c>
      <c r="Q61" s="3">
        <v>106</v>
      </c>
      <c r="R61" s="3" t="str">
        <f>IFERROR(MID(VLOOKUP($B61,Seqs!$A:$B,2,0),S61,1),"")</f>
        <v>W</v>
      </c>
      <c r="S61" s="3">
        <v>109</v>
      </c>
      <c r="T61" s="3" t="str">
        <f>IFERROR(MID(VLOOKUP($B61,Seqs!$A:$B,2,0),U61,1),"")</f>
        <v>G</v>
      </c>
      <c r="U61" s="3">
        <v>110</v>
      </c>
      <c r="V61" s="3" t="str">
        <f>IFERROR(MID(VLOOKUP($B61,Seqs!$A:$B,2,0),W61,1),"")</f>
        <v>S</v>
      </c>
      <c r="W61" s="3">
        <v>145</v>
      </c>
      <c r="X61" s="3" t="str">
        <f>IFERROR(MID(VLOOKUP($B61,Seqs!$A:$B,2,0),Y61,1),"")</f>
        <v>P</v>
      </c>
      <c r="Y61" s="3">
        <v>146</v>
      </c>
      <c r="Z61" s="3" t="str">
        <f>IFERROR(MID(VLOOKUP($B61,Seqs!$A:$B,2,0),AA61,1),"")</f>
        <v>M</v>
      </c>
      <c r="AA61" s="3">
        <v>153</v>
      </c>
      <c r="AB61" s="3" t="str">
        <f>IFERROR(MID(VLOOKUP($B61,Seqs!$A:$B,2,0),AC61,1),"")</f>
        <v>T</v>
      </c>
      <c r="AC61" s="9">
        <v>154</v>
      </c>
      <c r="AD61" s="3" t="str">
        <f>IFERROR(MID(VLOOKUP($B61,Seqs!$A:$B,2,0),AE61,1),"")</f>
        <v>H</v>
      </c>
      <c r="AE61" s="3">
        <v>180</v>
      </c>
      <c r="AF61" s="3" t="str">
        <f>IFERROR(MID(VLOOKUP($B61,Seqs!$A:$B,2,0),AG61,1),"")</f>
        <v>C</v>
      </c>
      <c r="AG61" s="3">
        <v>199</v>
      </c>
      <c r="AH61" s="3" t="str">
        <f>IFERROR(MID(VLOOKUP($B61,Seqs!$A:$B,2,0),AI61,1),"")</f>
        <v>F</v>
      </c>
      <c r="AI61" s="3">
        <v>201</v>
      </c>
      <c r="AJ61" s="3" t="str">
        <f>IFERROR(MID(VLOOKUP($B61,Seqs!$A:$B,2,0),AK61,1),"")</f>
        <v>N</v>
      </c>
      <c r="AK61" s="3">
        <v>204</v>
      </c>
      <c r="AL61" s="3" t="str">
        <f>IFERROR(MID(VLOOKUP($B61,Seqs!$A:$B,2,0),AM61,1),"")</f>
        <v>Q</v>
      </c>
      <c r="AM61" s="3">
        <v>237</v>
      </c>
      <c r="AN61" s="3" t="str">
        <f>IFERROR(MID(VLOOKUP($B61,Seqs!$A:$B,2,0),AO61,1),"")</f>
        <v>R</v>
      </c>
      <c r="AO61" s="3">
        <v>284</v>
      </c>
      <c r="AP61" s="3" t="str">
        <f>IFERROR(MID(VLOOKUP($B61,Seqs!$A:$B,2,0),AQ61,1),"")</f>
        <v>N</v>
      </c>
      <c r="AQ61" s="3">
        <v>316</v>
      </c>
      <c r="AR61" s="3" t="str">
        <f>IFERROR(MID(VLOOKUP($B61,Seqs!$A:$B,2,0),AS61,1),"")</f>
        <v>P</v>
      </c>
      <c r="AS61" s="3">
        <v>321</v>
      </c>
      <c r="AT61" s="3" t="str">
        <f>IFERROR(MID(VLOOKUP($B61,Seqs!$A:$B,2,0),AU61,1),"")</f>
        <v>R</v>
      </c>
      <c r="AU61" s="3">
        <v>345</v>
      </c>
      <c r="AV61" s="3" t="str">
        <f>IFERROR(MID(VLOOKUP($B61,Seqs!$A:$B,2,0),AW61,1),"")</f>
        <v>S</v>
      </c>
      <c r="AW61" s="3">
        <v>346</v>
      </c>
      <c r="AX61" s="3" t="str">
        <f>IFERROR(MID(VLOOKUP($B61,Seqs!$A:$B,2,0),AY61,1),"")</f>
        <v>C</v>
      </c>
      <c r="AY61" s="3">
        <v>358</v>
      </c>
      <c r="AZ61" s="79" t="str">
        <f>VLOOKUP(B61,Classification!A:D,2,0)</f>
        <v>A</v>
      </c>
      <c r="BA61" s="97" t="str">
        <f>VLOOKUP(B61,Classification!A:D,4,0)</f>
        <v>Adrenoceptors</v>
      </c>
      <c r="BB61" s="27" t="b">
        <f t="shared" si="195"/>
        <v>1</v>
      </c>
      <c r="BC61" s="23">
        <f t="shared" si="196"/>
        <v>248</v>
      </c>
      <c r="BD61" s="5" t="s">
        <v>23</v>
      </c>
      <c r="BE61" s="3" t="s">
        <v>1381</v>
      </c>
      <c r="BF61" s="50" t="s">
        <v>1384</v>
      </c>
      <c r="BG61" s="50" t="s">
        <v>1384</v>
      </c>
      <c r="BH61" s="1"/>
      <c r="BI61" s="72" t="s">
        <v>1293</v>
      </c>
      <c r="BJ61" s="58" t="s">
        <v>1293</v>
      </c>
      <c r="BK61" s="58" t="s">
        <v>1293</v>
      </c>
      <c r="BL61" s="58" t="s">
        <v>1293</v>
      </c>
      <c r="BM61" s="58" t="s">
        <v>1293</v>
      </c>
      <c r="BN61" s="58" t="s">
        <v>1293</v>
      </c>
      <c r="BO61" s="58" t="s">
        <v>1293</v>
      </c>
      <c r="BP61" s="58" t="s">
        <v>1293</v>
      </c>
      <c r="BQ61" s="58" t="s">
        <v>1293</v>
      </c>
      <c r="BR61" s="58" t="s">
        <v>1293</v>
      </c>
      <c r="BS61" s="58" t="s">
        <v>1293</v>
      </c>
      <c r="BT61" s="58" t="s">
        <v>1293</v>
      </c>
      <c r="BU61" s="72">
        <f t="shared" si="197"/>
        <v>40</v>
      </c>
      <c r="BV61" s="73">
        <f t="shared" si="198"/>
        <v>70</v>
      </c>
      <c r="BW61" s="74">
        <f t="shared" si="199"/>
        <v>74</v>
      </c>
      <c r="BX61" s="73">
        <f t="shared" si="200"/>
        <v>106</v>
      </c>
      <c r="BY61" s="74">
        <f t="shared" si="201"/>
        <v>110</v>
      </c>
      <c r="BZ61" s="73">
        <f t="shared" si="202"/>
        <v>146</v>
      </c>
      <c r="CA61" s="74">
        <f t="shared" si="203"/>
        <v>154</v>
      </c>
      <c r="CB61" s="73">
        <f t="shared" si="204"/>
        <v>199</v>
      </c>
      <c r="CC61" s="74">
        <f t="shared" si="205"/>
        <v>204</v>
      </c>
      <c r="CD61" s="73">
        <f t="shared" si="206"/>
        <v>284</v>
      </c>
      <c r="CE61" s="74">
        <f t="shared" si="207"/>
        <v>321</v>
      </c>
      <c r="CF61" s="73">
        <f t="shared" si="208"/>
        <v>346</v>
      </c>
      <c r="CG61" s="72">
        <f t="shared" si="209"/>
        <v>69</v>
      </c>
      <c r="CH61" s="73">
        <f t="shared" si="210"/>
        <v>73</v>
      </c>
      <c r="CI61" s="74">
        <f t="shared" si="211"/>
        <v>104</v>
      </c>
      <c r="CJ61" s="74">
        <f t="shared" si="212"/>
        <v>109</v>
      </c>
      <c r="CK61" s="74">
        <f t="shared" si="213"/>
        <v>145</v>
      </c>
      <c r="CL61" s="74">
        <f t="shared" si="214"/>
        <v>153</v>
      </c>
      <c r="CM61" s="74">
        <f t="shared" si="215"/>
        <v>180</v>
      </c>
      <c r="CN61" s="74">
        <f t="shared" si="216"/>
        <v>201</v>
      </c>
      <c r="CO61" s="74">
        <f t="shared" si="217"/>
        <v>237</v>
      </c>
      <c r="CP61" s="74">
        <f t="shared" si="218"/>
        <v>316</v>
      </c>
      <c r="CQ61" s="74">
        <f t="shared" si="219"/>
        <v>345</v>
      </c>
      <c r="CR61" s="74">
        <f t="shared" si="220"/>
        <v>358</v>
      </c>
      <c r="CS61" s="23">
        <f t="shared" si="221"/>
        <v>1</v>
      </c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  <c r="OK61" s="1"/>
      <c r="OL61" s="1"/>
      <c r="OM61" s="1"/>
      <c r="ON61" s="1"/>
      <c r="OO61" s="1"/>
      <c r="OP61" s="1"/>
      <c r="OQ61" s="1"/>
      <c r="OR61" s="1"/>
      <c r="OS61" s="1"/>
      <c r="OT61" s="1"/>
      <c r="OU61" s="1"/>
      <c r="OV61" s="1"/>
      <c r="OW61" s="1"/>
      <c r="OX61" s="1"/>
      <c r="OY61" s="1"/>
      <c r="OZ61" s="1"/>
      <c r="PA61" s="1"/>
      <c r="PB61" s="1"/>
      <c r="PC61" s="1"/>
      <c r="PD61" s="1"/>
      <c r="PE61" s="1"/>
      <c r="PF61" s="1"/>
      <c r="PG61" s="1"/>
      <c r="PH61" s="1"/>
      <c r="PI61" s="1"/>
      <c r="PJ61" s="1"/>
      <c r="PK61" s="1"/>
      <c r="PL61" s="1"/>
      <c r="PM61" s="1"/>
      <c r="PN61" s="1"/>
      <c r="PO61" s="1"/>
      <c r="PP61" s="1"/>
      <c r="PQ61" s="1"/>
      <c r="PR61" s="1"/>
      <c r="PS61" s="1"/>
      <c r="PT61" s="1"/>
      <c r="PU61" s="1"/>
      <c r="PV61" s="1"/>
      <c r="PW61" s="1"/>
      <c r="PX61" s="1"/>
      <c r="PY61" s="1"/>
      <c r="PZ61" s="1"/>
      <c r="QA61" s="1"/>
      <c r="QB61" s="1"/>
      <c r="QC61" s="1"/>
      <c r="QD61" s="1"/>
      <c r="QE61" s="1"/>
      <c r="QF61" s="1"/>
      <c r="QG61" s="1"/>
      <c r="QH61" s="1"/>
      <c r="QI61" s="1"/>
      <c r="QJ61" s="1"/>
      <c r="QK61" s="1"/>
      <c r="QL61" s="1"/>
      <c r="QM61" s="1"/>
      <c r="QN61" s="1"/>
      <c r="QO61" s="1"/>
      <c r="QP61" s="1"/>
      <c r="QQ61" s="1"/>
      <c r="QR61" s="1"/>
      <c r="QS61" s="1"/>
      <c r="QT61" s="1"/>
      <c r="QU61" s="1"/>
      <c r="QV61" s="1"/>
      <c r="QW61" s="1"/>
      <c r="QX61" s="1"/>
      <c r="QY61" s="1"/>
      <c r="QZ61" s="1"/>
      <c r="RA61" s="1"/>
      <c r="RB61" s="1"/>
      <c r="RC61" s="1"/>
      <c r="RD61" s="1"/>
      <c r="RE61" s="1"/>
      <c r="RF61" s="1"/>
      <c r="RG61" s="1"/>
      <c r="RH61" s="1"/>
      <c r="RI61" s="1"/>
      <c r="RJ61" s="1"/>
      <c r="RK61" s="1"/>
      <c r="RL61" s="1"/>
      <c r="RM61" s="1"/>
      <c r="RN61" s="1"/>
      <c r="RO61" s="1"/>
      <c r="RP61" s="1"/>
      <c r="RQ61" s="1"/>
      <c r="RR61" s="1"/>
      <c r="RS61" s="1"/>
      <c r="RT61" s="1"/>
      <c r="RU61" s="1"/>
      <c r="RV61" s="1"/>
      <c r="RW61" s="1"/>
      <c r="RX61" s="1"/>
      <c r="RY61" s="1"/>
      <c r="RZ61" s="1"/>
      <c r="SA61" s="1"/>
      <c r="SB61" s="1"/>
      <c r="SC61" s="1"/>
      <c r="SD61" s="1"/>
      <c r="SE61" s="1"/>
      <c r="SF61" s="1"/>
      <c r="SG61" s="1"/>
      <c r="SH61" s="1"/>
      <c r="SI61" s="1"/>
      <c r="SJ61" s="1"/>
      <c r="SK61" s="1"/>
      <c r="SL61" s="1"/>
      <c r="SM61" s="1"/>
      <c r="SN61" s="1"/>
      <c r="SO61" s="1"/>
      <c r="SP61" s="1"/>
      <c r="SQ61" s="1"/>
      <c r="SR61" s="1"/>
      <c r="SS61" s="1"/>
      <c r="ST61" s="1"/>
      <c r="SU61" s="1"/>
      <c r="SV61" s="1"/>
      <c r="SW61" s="1"/>
      <c r="SX61" s="1"/>
      <c r="SY61" s="1"/>
      <c r="SZ61" s="1"/>
      <c r="TA61" s="1"/>
      <c r="TB61" s="1"/>
      <c r="TC61" s="1"/>
      <c r="TD61" s="1"/>
      <c r="TE61" s="1"/>
      <c r="TF61" s="1"/>
      <c r="TG61" s="1"/>
      <c r="TH61" s="1"/>
      <c r="TI61" s="1"/>
      <c r="TJ61" s="1"/>
      <c r="TK61" s="1"/>
      <c r="TL61" s="1"/>
      <c r="TM61" s="1"/>
      <c r="TN61" s="1"/>
      <c r="TO61" s="1"/>
      <c r="TP61" s="1"/>
      <c r="TQ61" s="1"/>
      <c r="TR61" s="1"/>
      <c r="TS61" s="1"/>
      <c r="TT61" s="1"/>
      <c r="TU61" s="1"/>
      <c r="TV61" s="1"/>
      <c r="TW61" s="1"/>
      <c r="TX61" s="1"/>
      <c r="TY61" s="1"/>
      <c r="TZ61" s="1"/>
      <c r="UA61" s="1"/>
      <c r="UB61" s="1"/>
      <c r="UC61" s="1"/>
      <c r="UD61" s="1"/>
      <c r="UE61" s="1"/>
      <c r="UF61" s="1"/>
      <c r="UG61" s="1"/>
      <c r="UH61" s="1"/>
      <c r="UI61" s="1"/>
      <c r="UJ61" s="1"/>
      <c r="UK61" s="1"/>
      <c r="UL61" s="1"/>
      <c r="UM61" s="1"/>
      <c r="UN61" s="1"/>
      <c r="UO61" s="1"/>
      <c r="UP61" s="1"/>
      <c r="UQ61" s="1"/>
      <c r="UR61" s="1"/>
      <c r="US61" s="1"/>
      <c r="UT61" s="1"/>
      <c r="UU61" s="1"/>
      <c r="UV61" s="1"/>
      <c r="UW61" s="1"/>
      <c r="UX61" s="1"/>
      <c r="UY61" s="1"/>
      <c r="UZ61" s="1"/>
      <c r="VA61" s="1"/>
      <c r="VB61" s="1"/>
      <c r="VC61" s="1"/>
      <c r="VD61" s="1"/>
      <c r="VE61" s="1"/>
      <c r="VF61" s="1"/>
      <c r="VG61" s="1"/>
      <c r="VH61" s="1"/>
      <c r="VI61" s="1"/>
      <c r="VJ61" s="1"/>
      <c r="VK61" s="1"/>
      <c r="VL61" s="1"/>
      <c r="VM61" s="1"/>
      <c r="VN61" s="1"/>
      <c r="VO61" s="1"/>
      <c r="VP61" s="1"/>
      <c r="VQ61" s="1"/>
      <c r="VR61" s="1"/>
      <c r="VS61" s="1"/>
      <c r="VT61" s="1"/>
      <c r="VU61" s="1"/>
      <c r="VV61" s="1"/>
      <c r="VW61" s="1"/>
      <c r="VX61" s="1"/>
      <c r="VY61" s="1"/>
      <c r="VZ61" s="1"/>
      <c r="WA61" s="1"/>
      <c r="WB61" s="1"/>
      <c r="WC61" s="1"/>
      <c r="WD61" s="1"/>
      <c r="WE61" s="1"/>
      <c r="WF61" s="1"/>
      <c r="WG61" s="1"/>
      <c r="WH61" s="1"/>
      <c r="WI61" s="1"/>
      <c r="WJ61" s="1"/>
      <c r="WK61" s="1"/>
      <c r="WL61" s="1"/>
      <c r="WM61" s="1"/>
      <c r="WN61" s="1"/>
      <c r="WO61" s="1"/>
      <c r="WP61" s="1"/>
      <c r="WQ61" s="1"/>
      <c r="WR61" s="1"/>
      <c r="WS61" s="1"/>
      <c r="WT61" s="1"/>
      <c r="WU61" s="1"/>
      <c r="WV61" s="1"/>
      <c r="WW61" s="1"/>
      <c r="WX61" s="1"/>
      <c r="WY61" s="1"/>
      <c r="WZ61" s="1"/>
      <c r="XA61" s="1"/>
      <c r="XB61" s="1"/>
      <c r="XC61" s="1"/>
      <c r="XD61" s="1"/>
      <c r="XE61" s="1"/>
      <c r="XF61" s="1"/>
      <c r="XG61" s="1"/>
      <c r="XH61" s="1"/>
      <c r="XI61" s="1"/>
      <c r="XJ61" s="1"/>
      <c r="XK61" s="1"/>
      <c r="XL61" s="1"/>
      <c r="XM61" s="1"/>
      <c r="XN61" s="1"/>
      <c r="XO61" s="1"/>
      <c r="XP61" s="1"/>
      <c r="XQ61" s="1"/>
      <c r="XR61" s="1"/>
      <c r="XS61" s="1"/>
      <c r="XT61" s="1"/>
      <c r="XU61" s="1"/>
      <c r="XV61" s="1"/>
      <c r="XW61" s="1"/>
      <c r="XX61" s="1"/>
      <c r="XY61" s="1"/>
      <c r="XZ61" s="1"/>
      <c r="YA61" s="1"/>
      <c r="YB61" s="1"/>
      <c r="YC61" s="1"/>
      <c r="YD61" s="1"/>
      <c r="YE61" s="1"/>
      <c r="YF61" s="1"/>
      <c r="YG61" s="1"/>
      <c r="YH61" s="1"/>
      <c r="YI61" s="1"/>
      <c r="YJ61" s="1"/>
      <c r="YK61" s="1"/>
      <c r="YL61" s="1"/>
      <c r="YM61" s="1"/>
      <c r="YN61" s="1"/>
      <c r="YO61" s="1"/>
      <c r="YP61" s="1"/>
      <c r="YQ61" s="1"/>
      <c r="YR61" s="1"/>
      <c r="YS61" s="1"/>
      <c r="YT61" s="1"/>
      <c r="YU61" s="1"/>
      <c r="YV61" s="1"/>
      <c r="YW61" s="1"/>
      <c r="YX61" s="1"/>
      <c r="YY61" s="1"/>
      <c r="YZ61" s="1"/>
      <c r="ZA61" s="1"/>
      <c r="ZB61" s="1"/>
      <c r="ZC61" s="1"/>
      <c r="ZD61" s="1"/>
      <c r="ZE61" s="1"/>
      <c r="ZF61" s="1"/>
      <c r="ZG61" s="1"/>
      <c r="ZH61" s="1"/>
      <c r="ZI61" s="1"/>
      <c r="ZJ61" s="1"/>
      <c r="ZK61" s="1"/>
      <c r="ZL61" s="1"/>
      <c r="ZM61" s="1"/>
      <c r="ZN61" s="1"/>
      <c r="ZO61" s="1"/>
      <c r="ZP61" s="1"/>
      <c r="ZQ61" s="1"/>
      <c r="ZR61" s="1"/>
      <c r="ZS61" s="1"/>
      <c r="ZT61" s="1"/>
      <c r="ZU61" s="1"/>
      <c r="ZV61" s="1"/>
      <c r="ZW61" s="1"/>
      <c r="ZX61" s="1"/>
      <c r="ZY61" s="1"/>
      <c r="ZZ61" s="1"/>
      <c r="AAA61" s="1"/>
      <c r="AAB61" s="1"/>
      <c r="AAC61" s="1"/>
      <c r="AAD61" s="1"/>
      <c r="AAE61" s="1"/>
      <c r="AAF61" s="1"/>
      <c r="AAG61" s="1"/>
      <c r="AAH61" s="1"/>
      <c r="AAI61" s="1"/>
      <c r="AAJ61" s="1"/>
      <c r="AAK61" s="1"/>
      <c r="AAL61" s="1"/>
      <c r="AAM61" s="1"/>
      <c r="AAN61" s="1"/>
      <c r="AAO61" s="1"/>
      <c r="AAP61" s="1"/>
      <c r="AAQ61" s="1"/>
      <c r="AAR61" s="1"/>
      <c r="AAS61" s="1"/>
      <c r="AAT61" s="1"/>
      <c r="AAU61" s="1"/>
      <c r="AAV61" s="1"/>
      <c r="AAW61" s="1"/>
      <c r="AAX61" s="1"/>
      <c r="AAY61" s="1"/>
      <c r="AAZ61" s="1"/>
      <c r="ABA61" s="1"/>
      <c r="ABB61" s="1"/>
      <c r="ABC61" s="1"/>
      <c r="ABD61" s="1"/>
      <c r="ABE61" s="1"/>
      <c r="ABF61" s="1"/>
      <c r="ABG61" s="1"/>
      <c r="ABH61" s="1"/>
      <c r="ABI61" s="1"/>
      <c r="ABJ61" s="1"/>
      <c r="ABK61" s="1"/>
      <c r="ABL61" s="1"/>
      <c r="ABM61" s="1"/>
      <c r="ABN61" s="1"/>
      <c r="ABO61" s="1"/>
      <c r="ABP61" s="1"/>
      <c r="ABQ61" s="1"/>
      <c r="ABR61" s="1"/>
      <c r="ABS61" s="1"/>
      <c r="ABT61" s="1"/>
      <c r="ABU61" s="1"/>
      <c r="ABV61" s="1"/>
      <c r="ABW61" s="1"/>
      <c r="ABX61" s="1"/>
      <c r="ABY61" s="1"/>
      <c r="ABZ61" s="1"/>
      <c r="ACA61" s="1"/>
      <c r="ACB61" s="1"/>
      <c r="ACC61" s="1"/>
      <c r="ACD61" s="1"/>
      <c r="ACE61" s="1"/>
      <c r="ACF61" s="1"/>
      <c r="ACG61" s="1"/>
      <c r="ACH61" s="1"/>
      <c r="ACI61" s="1"/>
      <c r="ACJ61" s="1"/>
      <c r="ACK61" s="1"/>
      <c r="ACL61" s="1"/>
      <c r="ACM61" s="1"/>
      <c r="ACN61" s="1"/>
      <c r="ACO61" s="1"/>
      <c r="ACP61" s="1"/>
      <c r="ACQ61" s="1"/>
      <c r="ACR61" s="1"/>
      <c r="ACS61" s="1"/>
      <c r="ACT61" s="1"/>
      <c r="ACU61" s="1"/>
      <c r="ACV61" s="1"/>
      <c r="ACW61" s="1"/>
      <c r="ACX61" s="1"/>
      <c r="ACY61" s="1"/>
      <c r="ACZ61" s="1"/>
      <c r="ADA61" s="1"/>
      <c r="ADB61" s="1"/>
      <c r="ADC61" s="1"/>
      <c r="ADD61" s="1"/>
      <c r="ADE61" s="1"/>
      <c r="ADF61" s="1"/>
      <c r="ADG61" s="1"/>
      <c r="ADH61" s="1"/>
      <c r="ADI61" s="1"/>
      <c r="ADJ61" s="1"/>
      <c r="ADK61" s="1"/>
      <c r="ADL61" s="1"/>
      <c r="ADM61" s="1"/>
      <c r="ADN61" s="1"/>
      <c r="ADO61" s="1"/>
      <c r="ADP61" s="1"/>
      <c r="ADQ61" s="1"/>
      <c r="ADR61" s="1"/>
      <c r="ADS61" s="1"/>
      <c r="ADT61" s="1"/>
      <c r="ADU61" s="1"/>
      <c r="ADV61" s="1"/>
      <c r="ADW61" s="1"/>
      <c r="ADX61" s="1"/>
      <c r="ADY61" s="1"/>
      <c r="ADZ61" s="1"/>
      <c r="AEA61" s="1"/>
      <c r="AEB61" s="1"/>
      <c r="AEC61" s="1"/>
      <c r="AED61" s="1"/>
      <c r="AEE61" s="1"/>
      <c r="AEF61" s="1"/>
      <c r="AEG61" s="1"/>
      <c r="AEH61" s="1"/>
      <c r="AEI61" s="1"/>
      <c r="AEJ61" s="1"/>
      <c r="AEK61" s="1"/>
      <c r="AEL61" s="1"/>
      <c r="AEM61" s="1"/>
      <c r="AEN61" s="1"/>
      <c r="AEO61" s="1"/>
      <c r="AEP61" s="1"/>
      <c r="AEQ61" s="1"/>
      <c r="AER61" s="1"/>
      <c r="AES61" s="1"/>
      <c r="AET61" s="1"/>
      <c r="AEU61" s="1"/>
      <c r="AEV61" s="1"/>
      <c r="AEW61" s="1"/>
      <c r="AEX61" s="1"/>
      <c r="AEY61" s="1"/>
      <c r="AEZ61" s="1"/>
      <c r="AFA61" s="1"/>
      <c r="AFB61" s="1"/>
      <c r="AFC61" s="1"/>
      <c r="AFD61" s="1"/>
      <c r="AFE61" s="1"/>
      <c r="AFF61" s="1"/>
      <c r="AFG61" s="1"/>
      <c r="AFH61" s="1"/>
      <c r="AFI61" s="1"/>
      <c r="AFJ61" s="1"/>
      <c r="AFK61" s="1"/>
      <c r="AFL61" s="1"/>
      <c r="AFM61" s="1"/>
      <c r="AFN61" s="1"/>
      <c r="AFO61" s="1"/>
      <c r="AFP61" s="1"/>
      <c r="AFQ61" s="1"/>
      <c r="AFR61" s="1"/>
      <c r="AFS61" s="1"/>
      <c r="AFT61" s="1"/>
      <c r="AFU61" s="1"/>
      <c r="AFV61" s="1"/>
      <c r="AFW61" s="1"/>
      <c r="AFX61" s="1"/>
      <c r="AFY61" s="1"/>
      <c r="AFZ61" s="1"/>
      <c r="AGA61" s="1"/>
      <c r="AGB61" s="1"/>
      <c r="AGC61" s="1"/>
      <c r="AGD61" s="1"/>
      <c r="AGE61" s="1"/>
      <c r="AGF61" s="1"/>
      <c r="AGG61" s="1"/>
      <c r="AGH61" s="1"/>
      <c r="AGI61" s="1"/>
      <c r="AGJ61" s="1"/>
      <c r="AGK61" s="1"/>
      <c r="AGL61" s="1"/>
      <c r="AGM61" s="1"/>
      <c r="AGN61" s="1"/>
      <c r="AGO61" s="1"/>
      <c r="AGP61" s="1"/>
      <c r="AGQ61" s="1"/>
      <c r="AGR61" s="1"/>
      <c r="AGS61" s="1"/>
      <c r="AGT61" s="1"/>
      <c r="AGU61" s="1"/>
      <c r="AGV61" s="1"/>
      <c r="AGW61" s="1"/>
      <c r="AGX61" s="1"/>
      <c r="AGY61" s="1"/>
      <c r="AGZ61" s="1"/>
      <c r="AHA61" s="1"/>
      <c r="AHB61" s="1"/>
      <c r="AHC61" s="1"/>
      <c r="AHD61" s="1"/>
      <c r="AHE61" s="1"/>
      <c r="AHF61" s="1"/>
      <c r="AHG61" s="1"/>
      <c r="AHH61" s="1"/>
      <c r="AHI61" s="1"/>
      <c r="AHJ61" s="1"/>
      <c r="AHK61" s="1"/>
      <c r="AHL61" s="1"/>
      <c r="AHM61" s="1"/>
      <c r="AHN61" s="1"/>
      <c r="AHO61" s="1"/>
      <c r="AHP61" s="1"/>
      <c r="AHQ61" s="1"/>
      <c r="AHR61" s="1"/>
      <c r="AHS61" s="1"/>
      <c r="AHT61" s="1"/>
      <c r="AHU61" s="1"/>
      <c r="AHV61" s="1"/>
      <c r="AHW61" s="1"/>
      <c r="AHX61" s="1"/>
      <c r="AHY61" s="1"/>
      <c r="AHZ61" s="1"/>
      <c r="AIA61" s="1"/>
      <c r="AIB61" s="1"/>
      <c r="AIC61" s="1"/>
      <c r="AID61" s="1"/>
      <c r="AIE61" s="1"/>
      <c r="AIF61" s="1"/>
      <c r="AIG61" s="1"/>
      <c r="AIH61" s="1"/>
      <c r="AII61" s="1"/>
      <c r="AIJ61" s="1"/>
      <c r="AIK61" s="1"/>
      <c r="AIL61" s="1"/>
      <c r="AIM61" s="1"/>
      <c r="AIN61" s="1"/>
      <c r="AIO61" s="1"/>
      <c r="AIP61" s="1"/>
      <c r="AIQ61" s="1"/>
      <c r="AIR61" s="1"/>
      <c r="AIS61" s="1"/>
      <c r="AIT61" s="1"/>
      <c r="AIU61" s="1"/>
      <c r="AIV61" s="1"/>
      <c r="AIW61" s="1"/>
      <c r="AIX61" s="1"/>
      <c r="AIY61" s="1"/>
      <c r="AIZ61" s="1"/>
      <c r="AJA61" s="1"/>
      <c r="AJB61" s="1"/>
      <c r="AJC61" s="1"/>
      <c r="AJD61" s="1"/>
      <c r="AJE61" s="1"/>
      <c r="AJF61" s="1"/>
      <c r="AJG61" s="1"/>
      <c r="AJH61" s="1"/>
      <c r="AJI61" s="1"/>
      <c r="AJJ61" s="1"/>
      <c r="AJK61" s="1"/>
      <c r="AJL61" s="1"/>
      <c r="AJM61" s="1"/>
      <c r="AJN61" s="1"/>
      <c r="AJO61" s="1"/>
      <c r="AJP61" s="1"/>
      <c r="AJQ61" s="1"/>
      <c r="AJR61" s="1"/>
      <c r="AJS61" s="1"/>
      <c r="AJT61" s="1"/>
      <c r="AJU61" s="1"/>
      <c r="AJV61" s="1"/>
      <c r="AJW61" s="1"/>
      <c r="AJX61" s="1"/>
      <c r="AJY61" s="1"/>
      <c r="AJZ61" s="1"/>
      <c r="AKA61" s="1"/>
      <c r="AKB61" s="1"/>
      <c r="AKC61" s="1"/>
      <c r="AKD61" s="1"/>
      <c r="AKE61" s="1"/>
      <c r="AKF61" s="1"/>
      <c r="AKG61" s="1"/>
      <c r="AKH61" s="1"/>
      <c r="AKI61" s="1"/>
      <c r="AKJ61" s="1"/>
      <c r="AKK61" s="1"/>
      <c r="AKL61" s="1"/>
      <c r="AKM61" s="1"/>
      <c r="AKN61" s="1"/>
      <c r="AKO61" s="1"/>
      <c r="AKP61" s="1"/>
      <c r="AKQ61" s="1"/>
      <c r="AKR61" s="1"/>
      <c r="AKS61" s="1"/>
      <c r="AKT61" s="1"/>
      <c r="AKU61" s="1"/>
      <c r="AKV61" s="1"/>
      <c r="AKW61" s="1"/>
      <c r="AKX61" s="1"/>
      <c r="AKY61" s="1"/>
      <c r="AKZ61" s="1"/>
      <c r="ALA61" s="1"/>
      <c r="ALB61" s="1"/>
      <c r="ALC61" s="1"/>
      <c r="ALD61" s="1"/>
      <c r="ALE61" s="1"/>
      <c r="ALF61" s="1"/>
      <c r="ALG61" s="1"/>
      <c r="ALH61" s="1"/>
      <c r="ALI61" s="1"/>
      <c r="ALJ61" s="1"/>
      <c r="ALK61" s="1"/>
      <c r="ALL61" s="1"/>
      <c r="ALM61" s="1"/>
      <c r="ALN61" s="1"/>
      <c r="ALO61" s="1"/>
      <c r="ALP61" s="1"/>
      <c r="ALQ61" s="1"/>
      <c r="ALR61" s="1"/>
      <c r="ALS61" s="1"/>
      <c r="ALT61" s="1"/>
      <c r="ALU61" s="1"/>
      <c r="ALV61" s="1"/>
      <c r="ALW61" s="1"/>
      <c r="ALX61" s="1"/>
      <c r="ALY61" s="1"/>
      <c r="ALZ61" s="1"/>
      <c r="AMA61" s="1"/>
      <c r="AMB61" s="1"/>
      <c r="AMC61" s="1"/>
      <c r="AMD61" s="1"/>
      <c r="AME61" s="1"/>
      <c r="AMF61" s="1"/>
      <c r="AMG61" s="1"/>
      <c r="AMH61" s="1"/>
      <c r="AMI61" s="1"/>
      <c r="AMJ61" s="1"/>
      <c r="AMK61" s="1"/>
      <c r="AML61" s="1"/>
      <c r="AMM61" s="1"/>
      <c r="AMN61" s="1"/>
    </row>
    <row r="62" spans="1:1028" x14ac:dyDescent="0.2">
      <c r="A62" s="3" t="str">
        <f t="shared" si="194"/>
        <v>adrb2_human__wt</v>
      </c>
      <c r="B62" s="3" t="s">
        <v>126</v>
      </c>
      <c r="C62" s="3" t="s">
        <v>100</v>
      </c>
      <c r="D62" s="3" t="str">
        <f>IFERROR(MID(VLOOKUP($B62,Seqs!$A:$B,2,0),E62,1),"")</f>
        <v>Q</v>
      </c>
      <c r="E62" s="3">
        <v>26</v>
      </c>
      <c r="F62" s="3" t="str">
        <f>IFERROR(MID(VLOOKUP($B62,Seqs!$A:$B,2,0),G62,1),"")</f>
        <v>F</v>
      </c>
      <c r="G62" s="3">
        <v>61</v>
      </c>
      <c r="H62" s="3" t="str">
        <f>IFERROR(MID(VLOOKUP($B62,Seqs!$A:$B,2,0),I62,1),"")</f>
        <v>E</v>
      </c>
      <c r="I62" s="23">
        <v>62</v>
      </c>
      <c r="J62" s="3" t="str">
        <f>IFERROR(MID(VLOOKUP($B62,Seqs!$A:$B,2,0),K62,1),"")</f>
        <v>Q</v>
      </c>
      <c r="K62" s="23">
        <v>65</v>
      </c>
      <c r="L62" s="3" t="str">
        <f>IFERROR(MID(VLOOKUP($B62,Seqs!$A:$B,2,0),M62,1),"")</f>
        <v>T</v>
      </c>
      <c r="M62" s="3">
        <v>66</v>
      </c>
      <c r="N62" s="3" t="str">
        <f>IFERROR(MID(VLOOKUP($B62,Seqs!$A:$B,2,0),O62,1),"")</f>
        <v>M</v>
      </c>
      <c r="O62" s="3">
        <v>96</v>
      </c>
      <c r="P62" s="3" t="str">
        <f>IFERROR(MID(VLOOKUP($B62,Seqs!$A:$B,2,0),Q62,1),"")</f>
        <v>M</v>
      </c>
      <c r="Q62" s="3">
        <v>98</v>
      </c>
      <c r="R62" s="3" t="str">
        <f>IFERROR(MID(VLOOKUP($B62,Seqs!$A:$B,2,0),S62,1),"")</f>
        <v>F</v>
      </c>
      <c r="S62" s="3">
        <v>101</v>
      </c>
      <c r="T62" s="3" t="str">
        <f>IFERROR(MID(VLOOKUP($B62,Seqs!$A:$B,2,0),U62,1),"")</f>
        <v>G</v>
      </c>
      <c r="U62" s="3">
        <v>102</v>
      </c>
      <c r="V62" s="3" t="str">
        <f>IFERROR(MID(VLOOKUP($B62,Seqs!$A:$B,2,0),W62,1),"")</f>
        <v>S</v>
      </c>
      <c r="W62" s="3">
        <v>137</v>
      </c>
      <c r="X62" s="3" t="str">
        <f>IFERROR(MID(VLOOKUP($B62,Seqs!$A:$B,2,0),Y62,1),"")</f>
        <v>P</v>
      </c>
      <c r="Y62" s="3">
        <v>138</v>
      </c>
      <c r="Z62" s="3" t="str">
        <f>IFERROR(MID(VLOOKUP($B62,Seqs!$A:$B,2,0),AA62,1),"")</f>
        <v>L</v>
      </c>
      <c r="AA62" s="3">
        <v>145</v>
      </c>
      <c r="AB62" s="3" t="str">
        <f>IFERROR(MID(VLOOKUP($B62,Seqs!$A:$B,2,0),AC62,1),"")</f>
        <v>T</v>
      </c>
      <c r="AC62" s="9">
        <v>146</v>
      </c>
      <c r="AD62" s="3" t="str">
        <f>IFERROR(MID(VLOOKUP($B62,Seqs!$A:$B,2,0),AE62,1),"")</f>
        <v>H</v>
      </c>
      <c r="AE62" s="3">
        <v>172</v>
      </c>
      <c r="AF62" s="3" t="str">
        <f>IFERROR(MID(VLOOKUP($B62,Seqs!$A:$B,2,0),AG62,1),"")</f>
        <v>C</v>
      </c>
      <c r="AG62" s="3">
        <v>191</v>
      </c>
      <c r="AH62" s="3" t="str">
        <f>IFERROR(MID(VLOOKUP($B62,Seqs!$A:$B,2,0),AI62,1),"")</f>
        <v>F</v>
      </c>
      <c r="AI62" s="3">
        <v>193</v>
      </c>
      <c r="AJ62" s="3" t="str">
        <f>IFERROR(MID(VLOOKUP($B62,Seqs!$A:$B,2,0),AK62,1),"")</f>
        <v>N</v>
      </c>
      <c r="AK62" s="3">
        <v>196</v>
      </c>
      <c r="AL62" s="3" t="str">
        <f>IFERROR(MID(VLOOKUP($B62,Seqs!$A:$B,2,0),AM62,1),"")</f>
        <v>E</v>
      </c>
      <c r="AM62" s="3">
        <v>237</v>
      </c>
      <c r="AN62" s="3" t="str">
        <f>IFERROR(MID(VLOOKUP($B62,Seqs!$A:$B,2,0),AO62,1),"")</f>
        <v>S</v>
      </c>
      <c r="AO62" s="3">
        <v>262</v>
      </c>
      <c r="AP62" s="3" t="str">
        <f>IFERROR(MID(VLOOKUP($B62,Seqs!$A:$B,2,0),AQ62,1),"")</f>
        <v>Q</v>
      </c>
      <c r="AQ62" s="3">
        <v>299</v>
      </c>
      <c r="AR62" s="3" t="str">
        <f>IFERROR(MID(VLOOKUP($B62,Seqs!$A:$B,2,0),AS62,1),"")</f>
        <v>R</v>
      </c>
      <c r="AS62" s="3">
        <v>304</v>
      </c>
      <c r="AT62" s="3" t="str">
        <f>IFERROR(MID(VLOOKUP($B62,Seqs!$A:$B,2,0),AU62,1),"")</f>
        <v>R</v>
      </c>
      <c r="AU62" s="3">
        <v>328</v>
      </c>
      <c r="AV62" s="3" t="str">
        <f>IFERROR(MID(VLOOKUP($B62,Seqs!$A:$B,2,0),AW62,1),"")</f>
        <v>S</v>
      </c>
      <c r="AW62" s="3">
        <v>329</v>
      </c>
      <c r="AX62" s="3" t="str">
        <f>IFERROR(MID(VLOOKUP($B62,Seqs!$A:$B,2,0),AY62,1),"")</f>
        <v>C</v>
      </c>
      <c r="AY62" s="3">
        <v>341</v>
      </c>
      <c r="AZ62" s="79" t="str">
        <f>VLOOKUP(B62,Classification!A:D,2,0)</f>
        <v>A</v>
      </c>
      <c r="BA62" s="97" t="str">
        <f>VLOOKUP(B62,Classification!A:D,4,0)</f>
        <v>Adrenoceptors</v>
      </c>
      <c r="BB62" s="27" t="b">
        <f t="shared" si="195"/>
        <v>1</v>
      </c>
      <c r="BC62" s="23">
        <f t="shared" si="196"/>
        <v>267</v>
      </c>
      <c r="BD62" s="57" t="s">
        <v>1379</v>
      </c>
      <c r="BE62" s="3" t="s">
        <v>1381</v>
      </c>
      <c r="BF62" s="50" t="s">
        <v>1379</v>
      </c>
      <c r="BG62" s="50" t="s">
        <v>1384</v>
      </c>
      <c r="BH62" s="3" t="s">
        <v>1166</v>
      </c>
      <c r="BI62" s="72" t="s">
        <v>1293</v>
      </c>
      <c r="BJ62" s="58" t="s">
        <v>1293</v>
      </c>
      <c r="BK62" s="58" t="s">
        <v>1293</v>
      </c>
      <c r="BL62" s="58" t="s">
        <v>1293</v>
      </c>
      <c r="BM62" s="58" t="s">
        <v>1293</v>
      </c>
      <c r="BN62" s="58" t="s">
        <v>1293</v>
      </c>
      <c r="BO62" s="58" t="s">
        <v>1293</v>
      </c>
      <c r="BP62" s="58" t="s">
        <v>1293</v>
      </c>
      <c r="BQ62" s="58" t="s">
        <v>1293</v>
      </c>
      <c r="BR62" s="58" t="s">
        <v>1293</v>
      </c>
      <c r="BS62" s="58" t="s">
        <v>1293</v>
      </c>
      <c r="BT62" s="58" t="s">
        <v>1293</v>
      </c>
      <c r="BU62" s="72">
        <f t="shared" si="197"/>
        <v>26</v>
      </c>
      <c r="BV62" s="73">
        <f t="shared" si="198"/>
        <v>62</v>
      </c>
      <c r="BW62" s="74">
        <f t="shared" si="199"/>
        <v>66</v>
      </c>
      <c r="BX62" s="73">
        <f t="shared" si="200"/>
        <v>98</v>
      </c>
      <c r="BY62" s="74">
        <f t="shared" si="201"/>
        <v>102</v>
      </c>
      <c r="BZ62" s="73">
        <f t="shared" si="202"/>
        <v>138</v>
      </c>
      <c r="CA62" s="74">
        <f t="shared" si="203"/>
        <v>146</v>
      </c>
      <c r="CB62" s="73">
        <f t="shared" si="204"/>
        <v>191</v>
      </c>
      <c r="CC62" s="74">
        <f t="shared" si="205"/>
        <v>196</v>
      </c>
      <c r="CD62" s="73">
        <f t="shared" si="206"/>
        <v>262</v>
      </c>
      <c r="CE62" s="74">
        <f t="shared" si="207"/>
        <v>304</v>
      </c>
      <c r="CF62" s="73">
        <f t="shared" si="208"/>
        <v>329</v>
      </c>
      <c r="CG62" s="72">
        <f t="shared" si="209"/>
        <v>61</v>
      </c>
      <c r="CH62" s="73">
        <f t="shared" si="210"/>
        <v>65</v>
      </c>
      <c r="CI62" s="74">
        <f t="shared" si="211"/>
        <v>96</v>
      </c>
      <c r="CJ62" s="74">
        <f t="shared" si="212"/>
        <v>101</v>
      </c>
      <c r="CK62" s="74">
        <f t="shared" si="213"/>
        <v>137</v>
      </c>
      <c r="CL62" s="74">
        <f t="shared" si="214"/>
        <v>145</v>
      </c>
      <c r="CM62" s="74">
        <f t="shared" si="215"/>
        <v>172</v>
      </c>
      <c r="CN62" s="74">
        <f t="shared" si="216"/>
        <v>193</v>
      </c>
      <c r="CO62" s="74">
        <f t="shared" si="217"/>
        <v>237</v>
      </c>
      <c r="CP62" s="74">
        <f t="shared" si="218"/>
        <v>299</v>
      </c>
      <c r="CQ62" s="74">
        <f t="shared" si="219"/>
        <v>328</v>
      </c>
      <c r="CR62" s="74">
        <f t="shared" si="220"/>
        <v>341</v>
      </c>
      <c r="CS62" s="23">
        <f t="shared" si="221"/>
        <v>1</v>
      </c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  <c r="OK62" s="1"/>
      <c r="OL62" s="1"/>
      <c r="OM62" s="1"/>
      <c r="ON62" s="1"/>
      <c r="OO62" s="1"/>
      <c r="OP62" s="1"/>
      <c r="OQ62" s="1"/>
      <c r="OR62" s="1"/>
      <c r="OS62" s="1"/>
      <c r="OT62" s="1"/>
      <c r="OU62" s="1"/>
      <c r="OV62" s="1"/>
      <c r="OW62" s="1"/>
      <c r="OX62" s="1"/>
      <c r="OY62" s="1"/>
      <c r="OZ62" s="1"/>
      <c r="PA62" s="1"/>
      <c r="PB62" s="1"/>
      <c r="PC62" s="1"/>
      <c r="PD62" s="1"/>
      <c r="PE62" s="1"/>
      <c r="PF62" s="1"/>
      <c r="PG62" s="1"/>
      <c r="PH62" s="1"/>
      <c r="PI62" s="1"/>
      <c r="PJ62" s="1"/>
      <c r="PK62" s="1"/>
      <c r="PL62" s="1"/>
      <c r="PM62" s="1"/>
      <c r="PN62" s="1"/>
      <c r="PO62" s="1"/>
      <c r="PP62" s="1"/>
      <c r="PQ62" s="1"/>
      <c r="PR62" s="1"/>
      <c r="PS62" s="1"/>
      <c r="PT62" s="1"/>
      <c r="PU62" s="1"/>
      <c r="PV62" s="1"/>
      <c r="PW62" s="1"/>
      <c r="PX62" s="1"/>
      <c r="PY62" s="1"/>
      <c r="PZ62" s="1"/>
      <c r="QA62" s="1"/>
      <c r="QB62" s="1"/>
      <c r="QC62" s="1"/>
      <c r="QD62" s="1"/>
      <c r="QE62" s="1"/>
      <c r="QF62" s="1"/>
      <c r="QG62" s="1"/>
      <c r="QH62" s="1"/>
      <c r="QI62" s="1"/>
      <c r="QJ62" s="1"/>
      <c r="QK62" s="1"/>
      <c r="QL62" s="1"/>
      <c r="QM62" s="1"/>
      <c r="QN62" s="1"/>
      <c r="QO62" s="1"/>
      <c r="QP62" s="1"/>
      <c r="QQ62" s="1"/>
      <c r="QR62" s="1"/>
      <c r="QS62" s="1"/>
      <c r="QT62" s="1"/>
      <c r="QU62" s="1"/>
      <c r="QV62" s="1"/>
      <c r="QW62" s="1"/>
      <c r="QX62" s="1"/>
      <c r="QY62" s="1"/>
      <c r="QZ62" s="1"/>
      <c r="RA62" s="1"/>
      <c r="RB62" s="1"/>
      <c r="RC62" s="1"/>
      <c r="RD62" s="1"/>
      <c r="RE62" s="1"/>
      <c r="RF62" s="1"/>
      <c r="RG62" s="1"/>
      <c r="RH62" s="1"/>
      <c r="RI62" s="1"/>
      <c r="RJ62" s="1"/>
      <c r="RK62" s="1"/>
      <c r="RL62" s="1"/>
      <c r="RM62" s="1"/>
      <c r="RN62" s="1"/>
      <c r="RO62" s="1"/>
      <c r="RP62" s="1"/>
      <c r="RQ62" s="1"/>
      <c r="RR62" s="1"/>
      <c r="RS62" s="1"/>
      <c r="RT62" s="1"/>
      <c r="RU62" s="1"/>
      <c r="RV62" s="1"/>
      <c r="RW62" s="1"/>
      <c r="RX62" s="1"/>
      <c r="RY62" s="1"/>
      <c r="RZ62" s="1"/>
      <c r="SA62" s="1"/>
      <c r="SB62" s="1"/>
      <c r="SC62" s="1"/>
      <c r="SD62" s="1"/>
      <c r="SE62" s="1"/>
      <c r="SF62" s="1"/>
      <c r="SG62" s="1"/>
      <c r="SH62" s="1"/>
      <c r="SI62" s="1"/>
      <c r="SJ62" s="1"/>
      <c r="SK62" s="1"/>
      <c r="SL62" s="1"/>
      <c r="SM62" s="1"/>
      <c r="SN62" s="1"/>
      <c r="SO62" s="1"/>
      <c r="SP62" s="1"/>
      <c r="SQ62" s="1"/>
      <c r="SR62" s="1"/>
      <c r="SS62" s="1"/>
      <c r="ST62" s="1"/>
      <c r="SU62" s="1"/>
      <c r="SV62" s="1"/>
      <c r="SW62" s="1"/>
      <c r="SX62" s="1"/>
      <c r="SY62" s="1"/>
      <c r="SZ62" s="1"/>
      <c r="TA62" s="1"/>
      <c r="TB62" s="1"/>
      <c r="TC62" s="1"/>
      <c r="TD62" s="1"/>
      <c r="TE62" s="1"/>
      <c r="TF62" s="1"/>
      <c r="TG62" s="1"/>
      <c r="TH62" s="1"/>
      <c r="TI62" s="1"/>
      <c r="TJ62" s="1"/>
      <c r="TK62" s="1"/>
      <c r="TL62" s="1"/>
      <c r="TM62" s="1"/>
      <c r="TN62" s="1"/>
      <c r="TO62" s="1"/>
      <c r="TP62" s="1"/>
      <c r="TQ62" s="1"/>
      <c r="TR62" s="1"/>
      <c r="TS62" s="1"/>
      <c r="TT62" s="1"/>
      <c r="TU62" s="1"/>
      <c r="TV62" s="1"/>
      <c r="TW62" s="1"/>
      <c r="TX62" s="1"/>
      <c r="TY62" s="1"/>
      <c r="TZ62" s="1"/>
      <c r="UA62" s="1"/>
      <c r="UB62" s="1"/>
      <c r="UC62" s="1"/>
      <c r="UD62" s="1"/>
      <c r="UE62" s="1"/>
      <c r="UF62" s="1"/>
      <c r="UG62" s="1"/>
      <c r="UH62" s="1"/>
      <c r="UI62" s="1"/>
      <c r="UJ62" s="1"/>
      <c r="UK62" s="1"/>
      <c r="UL62" s="1"/>
      <c r="UM62" s="1"/>
      <c r="UN62" s="1"/>
      <c r="UO62" s="1"/>
      <c r="UP62" s="1"/>
      <c r="UQ62" s="1"/>
      <c r="UR62" s="1"/>
      <c r="US62" s="1"/>
      <c r="UT62" s="1"/>
      <c r="UU62" s="1"/>
      <c r="UV62" s="1"/>
      <c r="UW62" s="1"/>
      <c r="UX62" s="1"/>
      <c r="UY62" s="1"/>
      <c r="UZ62" s="1"/>
      <c r="VA62" s="1"/>
      <c r="VB62" s="1"/>
      <c r="VC62" s="1"/>
      <c r="VD62" s="1"/>
      <c r="VE62" s="1"/>
      <c r="VF62" s="1"/>
      <c r="VG62" s="1"/>
      <c r="VH62" s="1"/>
      <c r="VI62" s="1"/>
      <c r="VJ62" s="1"/>
      <c r="VK62" s="1"/>
      <c r="VL62" s="1"/>
      <c r="VM62" s="1"/>
      <c r="VN62" s="1"/>
      <c r="VO62" s="1"/>
      <c r="VP62" s="1"/>
      <c r="VQ62" s="1"/>
      <c r="VR62" s="1"/>
      <c r="VS62" s="1"/>
      <c r="VT62" s="1"/>
      <c r="VU62" s="1"/>
      <c r="VV62" s="1"/>
      <c r="VW62" s="1"/>
      <c r="VX62" s="1"/>
      <c r="VY62" s="1"/>
      <c r="VZ62" s="1"/>
      <c r="WA62" s="1"/>
      <c r="WB62" s="1"/>
      <c r="WC62" s="1"/>
      <c r="WD62" s="1"/>
      <c r="WE62" s="1"/>
      <c r="WF62" s="1"/>
      <c r="WG62" s="1"/>
      <c r="WH62" s="1"/>
      <c r="WI62" s="1"/>
      <c r="WJ62" s="1"/>
      <c r="WK62" s="1"/>
      <c r="WL62" s="1"/>
      <c r="WM62" s="1"/>
      <c r="WN62" s="1"/>
      <c r="WO62" s="1"/>
      <c r="WP62" s="1"/>
      <c r="WQ62" s="1"/>
      <c r="WR62" s="1"/>
      <c r="WS62" s="1"/>
      <c r="WT62" s="1"/>
      <c r="WU62" s="1"/>
      <c r="WV62" s="1"/>
      <c r="WW62" s="1"/>
      <c r="WX62" s="1"/>
      <c r="WY62" s="1"/>
      <c r="WZ62" s="1"/>
      <c r="XA62" s="1"/>
      <c r="XB62" s="1"/>
      <c r="XC62" s="1"/>
      <c r="XD62" s="1"/>
      <c r="XE62" s="1"/>
      <c r="XF62" s="1"/>
      <c r="XG62" s="1"/>
      <c r="XH62" s="1"/>
      <c r="XI62" s="1"/>
      <c r="XJ62" s="1"/>
      <c r="XK62" s="1"/>
      <c r="XL62" s="1"/>
      <c r="XM62" s="1"/>
      <c r="XN62" s="1"/>
      <c r="XO62" s="1"/>
      <c r="XP62" s="1"/>
      <c r="XQ62" s="1"/>
      <c r="XR62" s="1"/>
      <c r="XS62" s="1"/>
      <c r="XT62" s="1"/>
      <c r="XU62" s="1"/>
      <c r="XV62" s="1"/>
      <c r="XW62" s="1"/>
      <c r="XX62" s="1"/>
      <c r="XY62" s="1"/>
      <c r="XZ62" s="1"/>
      <c r="YA62" s="1"/>
      <c r="YB62" s="1"/>
      <c r="YC62" s="1"/>
      <c r="YD62" s="1"/>
      <c r="YE62" s="1"/>
      <c r="YF62" s="1"/>
      <c r="YG62" s="1"/>
      <c r="YH62" s="1"/>
      <c r="YI62" s="1"/>
      <c r="YJ62" s="1"/>
      <c r="YK62" s="1"/>
      <c r="YL62" s="1"/>
      <c r="YM62" s="1"/>
      <c r="YN62" s="1"/>
      <c r="YO62" s="1"/>
      <c r="YP62" s="1"/>
      <c r="YQ62" s="1"/>
      <c r="YR62" s="1"/>
      <c r="YS62" s="1"/>
      <c r="YT62" s="1"/>
      <c r="YU62" s="1"/>
      <c r="YV62" s="1"/>
      <c r="YW62" s="1"/>
      <c r="YX62" s="1"/>
      <c r="YY62" s="1"/>
      <c r="YZ62" s="1"/>
      <c r="ZA62" s="1"/>
      <c r="ZB62" s="1"/>
      <c r="ZC62" s="1"/>
      <c r="ZD62" s="1"/>
      <c r="ZE62" s="1"/>
      <c r="ZF62" s="1"/>
      <c r="ZG62" s="1"/>
      <c r="ZH62" s="1"/>
      <c r="ZI62" s="1"/>
      <c r="ZJ62" s="1"/>
      <c r="ZK62" s="1"/>
      <c r="ZL62" s="1"/>
      <c r="ZM62" s="1"/>
      <c r="ZN62" s="1"/>
      <c r="ZO62" s="1"/>
      <c r="ZP62" s="1"/>
      <c r="ZQ62" s="1"/>
      <c r="ZR62" s="1"/>
      <c r="ZS62" s="1"/>
      <c r="ZT62" s="1"/>
      <c r="ZU62" s="1"/>
      <c r="ZV62" s="1"/>
      <c r="ZW62" s="1"/>
      <c r="ZX62" s="1"/>
      <c r="ZY62" s="1"/>
      <c r="ZZ62" s="1"/>
      <c r="AAA62" s="1"/>
      <c r="AAB62" s="1"/>
      <c r="AAC62" s="1"/>
      <c r="AAD62" s="1"/>
      <c r="AAE62" s="1"/>
      <c r="AAF62" s="1"/>
      <c r="AAG62" s="1"/>
      <c r="AAH62" s="1"/>
      <c r="AAI62" s="1"/>
      <c r="AAJ62" s="1"/>
      <c r="AAK62" s="1"/>
      <c r="AAL62" s="1"/>
      <c r="AAM62" s="1"/>
      <c r="AAN62" s="1"/>
      <c r="AAO62" s="1"/>
      <c r="AAP62" s="1"/>
      <c r="AAQ62" s="1"/>
      <c r="AAR62" s="1"/>
      <c r="AAS62" s="1"/>
      <c r="AAT62" s="1"/>
      <c r="AAU62" s="1"/>
      <c r="AAV62" s="1"/>
      <c r="AAW62" s="1"/>
      <c r="AAX62" s="1"/>
      <c r="AAY62" s="1"/>
      <c r="AAZ62" s="1"/>
      <c r="ABA62" s="1"/>
      <c r="ABB62" s="1"/>
      <c r="ABC62" s="1"/>
      <c r="ABD62" s="1"/>
      <c r="ABE62" s="1"/>
      <c r="ABF62" s="1"/>
      <c r="ABG62" s="1"/>
      <c r="ABH62" s="1"/>
      <c r="ABI62" s="1"/>
      <c r="ABJ62" s="1"/>
      <c r="ABK62" s="1"/>
      <c r="ABL62" s="1"/>
      <c r="ABM62" s="1"/>
      <c r="ABN62" s="1"/>
      <c r="ABO62" s="1"/>
      <c r="ABP62" s="1"/>
      <c r="ABQ62" s="1"/>
      <c r="ABR62" s="1"/>
      <c r="ABS62" s="1"/>
      <c r="ABT62" s="1"/>
      <c r="ABU62" s="1"/>
      <c r="ABV62" s="1"/>
      <c r="ABW62" s="1"/>
      <c r="ABX62" s="1"/>
      <c r="ABY62" s="1"/>
      <c r="ABZ62" s="1"/>
      <c r="ACA62" s="1"/>
      <c r="ACB62" s="1"/>
      <c r="ACC62" s="1"/>
      <c r="ACD62" s="1"/>
      <c r="ACE62" s="1"/>
      <c r="ACF62" s="1"/>
      <c r="ACG62" s="1"/>
      <c r="ACH62" s="1"/>
      <c r="ACI62" s="1"/>
      <c r="ACJ62" s="1"/>
      <c r="ACK62" s="1"/>
      <c r="ACL62" s="1"/>
      <c r="ACM62" s="1"/>
      <c r="ACN62" s="1"/>
      <c r="ACO62" s="1"/>
      <c r="ACP62" s="1"/>
      <c r="ACQ62" s="1"/>
      <c r="ACR62" s="1"/>
      <c r="ACS62" s="1"/>
      <c r="ACT62" s="1"/>
      <c r="ACU62" s="1"/>
      <c r="ACV62" s="1"/>
      <c r="ACW62" s="1"/>
      <c r="ACX62" s="1"/>
      <c r="ACY62" s="1"/>
      <c r="ACZ62" s="1"/>
      <c r="ADA62" s="1"/>
      <c r="ADB62" s="1"/>
      <c r="ADC62" s="1"/>
      <c r="ADD62" s="1"/>
      <c r="ADE62" s="1"/>
      <c r="ADF62" s="1"/>
      <c r="ADG62" s="1"/>
      <c r="ADH62" s="1"/>
      <c r="ADI62" s="1"/>
      <c r="ADJ62" s="1"/>
      <c r="ADK62" s="1"/>
      <c r="ADL62" s="1"/>
      <c r="ADM62" s="1"/>
      <c r="ADN62" s="1"/>
      <c r="ADO62" s="1"/>
      <c r="ADP62" s="1"/>
      <c r="ADQ62" s="1"/>
      <c r="ADR62" s="1"/>
      <c r="ADS62" s="1"/>
      <c r="ADT62" s="1"/>
      <c r="ADU62" s="1"/>
      <c r="ADV62" s="1"/>
      <c r="ADW62" s="1"/>
      <c r="ADX62" s="1"/>
      <c r="ADY62" s="1"/>
      <c r="ADZ62" s="1"/>
      <c r="AEA62" s="1"/>
      <c r="AEB62" s="1"/>
      <c r="AEC62" s="1"/>
      <c r="AED62" s="1"/>
      <c r="AEE62" s="1"/>
      <c r="AEF62" s="1"/>
      <c r="AEG62" s="1"/>
      <c r="AEH62" s="1"/>
      <c r="AEI62" s="1"/>
      <c r="AEJ62" s="1"/>
      <c r="AEK62" s="1"/>
      <c r="AEL62" s="1"/>
      <c r="AEM62" s="1"/>
      <c r="AEN62" s="1"/>
      <c r="AEO62" s="1"/>
      <c r="AEP62" s="1"/>
      <c r="AEQ62" s="1"/>
      <c r="AER62" s="1"/>
      <c r="AES62" s="1"/>
      <c r="AET62" s="1"/>
      <c r="AEU62" s="1"/>
      <c r="AEV62" s="1"/>
      <c r="AEW62" s="1"/>
      <c r="AEX62" s="1"/>
      <c r="AEY62" s="1"/>
      <c r="AEZ62" s="1"/>
      <c r="AFA62" s="1"/>
      <c r="AFB62" s="1"/>
      <c r="AFC62" s="1"/>
      <c r="AFD62" s="1"/>
      <c r="AFE62" s="1"/>
      <c r="AFF62" s="1"/>
      <c r="AFG62" s="1"/>
      <c r="AFH62" s="1"/>
      <c r="AFI62" s="1"/>
      <c r="AFJ62" s="1"/>
      <c r="AFK62" s="1"/>
      <c r="AFL62" s="1"/>
      <c r="AFM62" s="1"/>
      <c r="AFN62" s="1"/>
      <c r="AFO62" s="1"/>
      <c r="AFP62" s="1"/>
      <c r="AFQ62" s="1"/>
      <c r="AFR62" s="1"/>
      <c r="AFS62" s="1"/>
      <c r="AFT62" s="1"/>
      <c r="AFU62" s="1"/>
      <c r="AFV62" s="1"/>
      <c r="AFW62" s="1"/>
      <c r="AFX62" s="1"/>
      <c r="AFY62" s="1"/>
      <c r="AFZ62" s="1"/>
      <c r="AGA62" s="1"/>
      <c r="AGB62" s="1"/>
      <c r="AGC62" s="1"/>
      <c r="AGD62" s="1"/>
      <c r="AGE62" s="1"/>
      <c r="AGF62" s="1"/>
      <c r="AGG62" s="1"/>
      <c r="AGH62" s="1"/>
      <c r="AGI62" s="1"/>
      <c r="AGJ62" s="1"/>
      <c r="AGK62" s="1"/>
      <c r="AGL62" s="1"/>
      <c r="AGM62" s="1"/>
      <c r="AGN62" s="1"/>
      <c r="AGO62" s="1"/>
      <c r="AGP62" s="1"/>
      <c r="AGQ62" s="1"/>
      <c r="AGR62" s="1"/>
      <c r="AGS62" s="1"/>
      <c r="AGT62" s="1"/>
      <c r="AGU62" s="1"/>
      <c r="AGV62" s="1"/>
      <c r="AGW62" s="1"/>
      <c r="AGX62" s="1"/>
      <c r="AGY62" s="1"/>
      <c r="AGZ62" s="1"/>
      <c r="AHA62" s="1"/>
      <c r="AHB62" s="1"/>
      <c r="AHC62" s="1"/>
      <c r="AHD62" s="1"/>
      <c r="AHE62" s="1"/>
      <c r="AHF62" s="1"/>
      <c r="AHG62" s="1"/>
      <c r="AHH62" s="1"/>
      <c r="AHI62" s="1"/>
      <c r="AHJ62" s="1"/>
      <c r="AHK62" s="1"/>
      <c r="AHL62" s="1"/>
      <c r="AHM62" s="1"/>
      <c r="AHN62" s="1"/>
      <c r="AHO62" s="1"/>
      <c r="AHP62" s="1"/>
      <c r="AHQ62" s="1"/>
      <c r="AHR62" s="1"/>
      <c r="AHS62" s="1"/>
      <c r="AHT62" s="1"/>
      <c r="AHU62" s="1"/>
      <c r="AHV62" s="1"/>
      <c r="AHW62" s="1"/>
      <c r="AHX62" s="1"/>
      <c r="AHY62" s="1"/>
      <c r="AHZ62" s="1"/>
      <c r="AIA62" s="1"/>
      <c r="AIB62" s="1"/>
      <c r="AIC62" s="1"/>
      <c r="AID62" s="1"/>
      <c r="AIE62" s="1"/>
      <c r="AIF62" s="1"/>
      <c r="AIG62" s="1"/>
      <c r="AIH62" s="1"/>
      <c r="AII62" s="1"/>
      <c r="AIJ62" s="1"/>
      <c r="AIK62" s="1"/>
      <c r="AIL62" s="1"/>
      <c r="AIM62" s="1"/>
      <c r="AIN62" s="1"/>
      <c r="AIO62" s="1"/>
      <c r="AIP62" s="1"/>
      <c r="AIQ62" s="1"/>
      <c r="AIR62" s="1"/>
      <c r="AIS62" s="1"/>
      <c r="AIT62" s="1"/>
      <c r="AIU62" s="1"/>
      <c r="AIV62" s="1"/>
      <c r="AIW62" s="1"/>
      <c r="AIX62" s="1"/>
      <c r="AIY62" s="1"/>
      <c r="AIZ62" s="1"/>
      <c r="AJA62" s="1"/>
      <c r="AJB62" s="1"/>
      <c r="AJC62" s="1"/>
      <c r="AJD62" s="1"/>
      <c r="AJE62" s="1"/>
      <c r="AJF62" s="1"/>
      <c r="AJG62" s="1"/>
      <c r="AJH62" s="1"/>
      <c r="AJI62" s="1"/>
      <c r="AJJ62" s="1"/>
      <c r="AJK62" s="1"/>
      <c r="AJL62" s="1"/>
      <c r="AJM62" s="1"/>
      <c r="AJN62" s="1"/>
      <c r="AJO62" s="1"/>
      <c r="AJP62" s="1"/>
      <c r="AJQ62" s="1"/>
      <c r="AJR62" s="1"/>
      <c r="AJS62" s="1"/>
      <c r="AJT62" s="1"/>
      <c r="AJU62" s="1"/>
      <c r="AJV62" s="1"/>
      <c r="AJW62" s="1"/>
      <c r="AJX62" s="1"/>
      <c r="AJY62" s="1"/>
      <c r="AJZ62" s="1"/>
      <c r="AKA62" s="1"/>
      <c r="AKB62" s="1"/>
      <c r="AKC62" s="1"/>
      <c r="AKD62" s="1"/>
      <c r="AKE62" s="1"/>
      <c r="AKF62" s="1"/>
      <c r="AKG62" s="1"/>
      <c r="AKH62" s="1"/>
      <c r="AKI62" s="1"/>
      <c r="AKJ62" s="1"/>
      <c r="AKK62" s="1"/>
      <c r="AKL62" s="1"/>
      <c r="AKM62" s="1"/>
      <c r="AKN62" s="1"/>
      <c r="AKO62" s="1"/>
      <c r="AKP62" s="1"/>
      <c r="AKQ62" s="1"/>
      <c r="AKR62" s="1"/>
      <c r="AKS62" s="1"/>
      <c r="AKT62" s="1"/>
      <c r="AKU62" s="1"/>
      <c r="AKV62" s="1"/>
      <c r="AKW62" s="1"/>
      <c r="AKX62" s="1"/>
      <c r="AKY62" s="1"/>
      <c r="AKZ62" s="1"/>
      <c r="ALA62" s="1"/>
      <c r="ALB62" s="1"/>
      <c r="ALC62" s="1"/>
      <c r="ALD62" s="1"/>
      <c r="ALE62" s="1"/>
      <c r="ALF62" s="1"/>
      <c r="ALG62" s="1"/>
      <c r="ALH62" s="1"/>
      <c r="ALI62" s="1"/>
      <c r="ALJ62" s="1"/>
      <c r="ALK62" s="1"/>
      <c r="ALL62" s="1"/>
      <c r="ALM62" s="1"/>
      <c r="ALN62" s="1"/>
      <c r="ALO62" s="1"/>
      <c r="ALP62" s="1"/>
      <c r="ALQ62" s="1"/>
      <c r="ALR62" s="1"/>
      <c r="ALS62" s="1"/>
      <c r="ALT62" s="1"/>
      <c r="ALU62" s="1"/>
      <c r="ALV62" s="1"/>
      <c r="ALW62" s="1"/>
      <c r="ALX62" s="1"/>
      <c r="ALY62" s="1"/>
      <c r="ALZ62" s="1"/>
      <c r="AMA62" s="1"/>
      <c r="AMB62" s="1"/>
      <c r="AMC62" s="1"/>
      <c r="AMD62" s="1"/>
      <c r="AME62" s="1"/>
      <c r="AMF62" s="1"/>
      <c r="AMG62" s="1"/>
      <c r="AMH62" s="1"/>
      <c r="AMI62" s="1"/>
      <c r="AMJ62" s="1"/>
      <c r="AMK62" s="1"/>
      <c r="AML62" s="1"/>
      <c r="AMM62" s="1"/>
      <c r="AMN62" s="1"/>
    </row>
    <row r="63" spans="1:1028" x14ac:dyDescent="0.2">
      <c r="A63" s="3" t="str">
        <f t="shared" si="194"/>
        <v>adrb2_human_2RH1</v>
      </c>
      <c r="B63" s="3" t="s">
        <v>126</v>
      </c>
      <c r="C63" s="3" t="s">
        <v>75</v>
      </c>
      <c r="D63" s="3" t="str">
        <f>IFERROR(MID(VLOOKUP($B63,Seqs!$A:$B,2,0),E63,1),"")</f>
        <v>D</v>
      </c>
      <c r="E63" s="3">
        <v>29</v>
      </c>
      <c r="F63" s="3" t="str">
        <f>IFERROR(MID(VLOOKUP($B63,Seqs!$A:$B,2,0),G63,1),"")</f>
        <v>F</v>
      </c>
      <c r="G63" s="3">
        <v>61</v>
      </c>
      <c r="H63" s="3" t="str">
        <f>IFERROR(MID(VLOOKUP($B63,Seqs!$A:$B,2,0),I63,1),"")</f>
        <v>E</v>
      </c>
      <c r="I63" s="23">
        <v>62</v>
      </c>
      <c r="J63" s="3" t="str">
        <f>IFERROR(MID(VLOOKUP($B63,Seqs!$A:$B,2,0),K63,1),"")</f>
        <v>Q</v>
      </c>
      <c r="K63" s="23">
        <v>65</v>
      </c>
      <c r="L63" s="3" t="str">
        <f>IFERROR(MID(VLOOKUP($B63,Seqs!$A:$B,2,0),M63,1),"")</f>
        <v>T</v>
      </c>
      <c r="M63" s="3">
        <v>66</v>
      </c>
      <c r="N63" s="3" t="str">
        <f>IFERROR(MID(VLOOKUP($B63,Seqs!$A:$B,2,0),O63,1),"")</f>
        <v>M</v>
      </c>
      <c r="O63" s="3">
        <v>96</v>
      </c>
      <c r="P63" s="3" t="str">
        <f>IFERROR(MID(VLOOKUP($B63,Seqs!$A:$B,2,0),Q63,1),"")</f>
        <v>M</v>
      </c>
      <c r="Q63" s="3">
        <v>98</v>
      </c>
      <c r="R63" s="3" t="str">
        <f>IFERROR(MID(VLOOKUP($B63,Seqs!$A:$B,2,0),S63,1),"")</f>
        <v>F</v>
      </c>
      <c r="S63" s="3">
        <v>101</v>
      </c>
      <c r="T63" s="3" t="str">
        <f>IFERROR(MID(VLOOKUP($B63,Seqs!$A:$B,2,0),U63,1),"")</f>
        <v>G</v>
      </c>
      <c r="U63" s="3">
        <v>102</v>
      </c>
      <c r="V63" s="3" t="str">
        <f>IFERROR(MID(VLOOKUP($B63,Seqs!$A:$B,2,0),W63,1),"")</f>
        <v>S</v>
      </c>
      <c r="W63" s="3">
        <v>137</v>
      </c>
      <c r="X63" s="3" t="str">
        <f>IFERROR(MID(VLOOKUP($B63,Seqs!$A:$B,2,0),Y63,1),"")</f>
        <v/>
      </c>
      <c r="Y63" s="3" t="s">
        <v>23</v>
      </c>
      <c r="Z63" s="3" t="str">
        <f>IFERROR(MID(VLOOKUP($B63,Seqs!$A:$B,2,0),AA63,1),"")</f>
        <v/>
      </c>
      <c r="AA63" s="3" t="s">
        <v>23</v>
      </c>
      <c r="AB63" s="3" t="str">
        <f>IFERROR(MID(VLOOKUP($B63,Seqs!$A:$B,2,0),AC63,1),"")</f>
        <v>T</v>
      </c>
      <c r="AC63" s="9">
        <v>146</v>
      </c>
      <c r="AD63" s="3" t="str">
        <f>IFERROR(MID(VLOOKUP($B63,Seqs!$A:$B,2,0),AE63,1),"")</f>
        <v>H</v>
      </c>
      <c r="AE63" s="3">
        <v>172</v>
      </c>
      <c r="AF63" s="3" t="str">
        <f>IFERROR(MID(VLOOKUP($B63,Seqs!$A:$B,2,0),AG63,1),"")</f>
        <v>C</v>
      </c>
      <c r="AG63" s="3">
        <v>191</v>
      </c>
      <c r="AH63" s="3" t="str">
        <f>IFERROR(MID(VLOOKUP($B63,Seqs!$A:$B,2,0),AI63,1),"")</f>
        <v>F</v>
      </c>
      <c r="AI63" s="3">
        <v>193</v>
      </c>
      <c r="AJ63" s="3" t="str">
        <f>IFERROR(MID(VLOOKUP($B63,Seqs!$A:$B,2,0),AK63,1),"")</f>
        <v>N</v>
      </c>
      <c r="AK63" s="3">
        <v>196</v>
      </c>
      <c r="AL63" s="3" t="str">
        <f>IFERROR(MID(VLOOKUP($B63,Seqs!$A:$B,2,0),AM63,1),"")</f>
        <v>Q</v>
      </c>
      <c r="AM63" s="3">
        <v>229</v>
      </c>
      <c r="AN63" s="3" t="str">
        <f>IFERROR(MID(VLOOKUP($B63,Seqs!$A:$B,2,0),AO63,1),"")</f>
        <v>K</v>
      </c>
      <c r="AO63" s="3">
        <v>267</v>
      </c>
      <c r="AP63" s="3" t="str">
        <f>IFERROR(MID(VLOOKUP($B63,Seqs!$A:$B,2,0),AQ63,1),"")</f>
        <v>Q</v>
      </c>
      <c r="AQ63" s="3">
        <v>299</v>
      </c>
      <c r="AR63" s="3" t="str">
        <f>IFERROR(MID(VLOOKUP($B63,Seqs!$A:$B,2,0),AS63,1),"")</f>
        <v>R</v>
      </c>
      <c r="AS63" s="3">
        <v>304</v>
      </c>
      <c r="AT63" s="3" t="str">
        <f>IFERROR(MID(VLOOKUP($B63,Seqs!$A:$B,2,0),AU63,1),"")</f>
        <v>R</v>
      </c>
      <c r="AU63" s="3">
        <v>328</v>
      </c>
      <c r="AV63" s="3" t="str">
        <f>IFERROR(MID(VLOOKUP($B63,Seqs!$A:$B,2,0),AW63,1),"")</f>
        <v>S</v>
      </c>
      <c r="AW63" s="3">
        <v>329</v>
      </c>
      <c r="AX63" s="3" t="str">
        <f>IFERROR(MID(VLOOKUP($B63,Seqs!$A:$B,2,0),AY63,1),"")</f>
        <v>C</v>
      </c>
      <c r="AY63" s="3">
        <v>341</v>
      </c>
      <c r="AZ63" s="79" t="str">
        <f>VLOOKUP(B63,Classification!A:D,2,0)</f>
        <v>A</v>
      </c>
      <c r="BA63" s="97" t="str">
        <f>VLOOKUP(B63,Classification!A:D,4,0)</f>
        <v>Adrenoceptors</v>
      </c>
      <c r="BB63" s="27" t="b">
        <f t="shared" si="195"/>
        <v>1</v>
      </c>
      <c r="BC63" s="23">
        <f t="shared" si="196"/>
        <v>244</v>
      </c>
      <c r="BD63" s="4" t="s">
        <v>23</v>
      </c>
      <c r="BE63" s="3" t="s">
        <v>1381</v>
      </c>
      <c r="BF63" s="50" t="s">
        <v>1384</v>
      </c>
      <c r="BG63" s="50" t="s">
        <v>1384</v>
      </c>
      <c r="BH63" s="1"/>
      <c r="BI63" s="72" t="s">
        <v>1293</v>
      </c>
      <c r="BJ63" s="58" t="s">
        <v>1293</v>
      </c>
      <c r="BK63" s="58" t="s">
        <v>1293</v>
      </c>
      <c r="BL63" s="58" t="s">
        <v>1293</v>
      </c>
      <c r="BM63" s="58" t="s">
        <v>1293</v>
      </c>
      <c r="BN63" s="58" t="s">
        <v>1293</v>
      </c>
      <c r="BO63" s="58" t="s">
        <v>1293</v>
      </c>
      <c r="BP63" s="58" t="s">
        <v>1293</v>
      </c>
      <c r="BQ63" s="58" t="s">
        <v>1293</v>
      </c>
      <c r="BR63" s="58" t="s">
        <v>1293</v>
      </c>
      <c r="BS63" s="58" t="s">
        <v>1293</v>
      </c>
      <c r="BT63" s="58" t="s">
        <v>1293</v>
      </c>
      <c r="BU63" s="72">
        <f t="shared" si="197"/>
        <v>29</v>
      </c>
      <c r="BV63" s="73">
        <f t="shared" si="198"/>
        <v>62</v>
      </c>
      <c r="BW63" s="74">
        <f t="shared" si="199"/>
        <v>66</v>
      </c>
      <c r="BX63" s="73">
        <f t="shared" si="200"/>
        <v>98</v>
      </c>
      <c r="BY63" s="74">
        <f t="shared" si="201"/>
        <v>102</v>
      </c>
      <c r="BZ63" s="73" t="str">
        <f t="shared" si="202"/>
        <v>-</v>
      </c>
      <c r="CA63" s="74">
        <f t="shared" si="203"/>
        <v>146</v>
      </c>
      <c r="CB63" s="73">
        <f t="shared" si="204"/>
        <v>191</v>
      </c>
      <c r="CC63" s="74">
        <f t="shared" si="205"/>
        <v>196</v>
      </c>
      <c r="CD63" s="73">
        <f t="shared" si="206"/>
        <v>267</v>
      </c>
      <c r="CE63" s="74">
        <f t="shared" si="207"/>
        <v>304</v>
      </c>
      <c r="CF63" s="73">
        <f t="shared" si="208"/>
        <v>329</v>
      </c>
      <c r="CG63" s="72">
        <f t="shared" si="209"/>
        <v>61</v>
      </c>
      <c r="CH63" s="73">
        <f t="shared" si="210"/>
        <v>65</v>
      </c>
      <c r="CI63" s="74">
        <f t="shared" si="211"/>
        <v>96</v>
      </c>
      <c r="CJ63" s="74">
        <f t="shared" si="212"/>
        <v>101</v>
      </c>
      <c r="CK63" s="74">
        <f t="shared" si="213"/>
        <v>137</v>
      </c>
      <c r="CL63" s="74" t="str">
        <f t="shared" si="214"/>
        <v>-</v>
      </c>
      <c r="CM63" s="74">
        <f t="shared" si="215"/>
        <v>172</v>
      </c>
      <c r="CN63" s="74">
        <f t="shared" si="216"/>
        <v>193</v>
      </c>
      <c r="CO63" s="74">
        <f t="shared" si="217"/>
        <v>229</v>
      </c>
      <c r="CP63" s="74">
        <f t="shared" si="218"/>
        <v>299</v>
      </c>
      <c r="CQ63" s="74">
        <f t="shared" si="219"/>
        <v>328</v>
      </c>
      <c r="CR63" s="74">
        <f t="shared" si="220"/>
        <v>341</v>
      </c>
      <c r="CS63" s="23">
        <f t="shared" si="221"/>
        <v>1</v>
      </c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  <c r="OK63" s="1"/>
      <c r="OL63" s="1"/>
      <c r="OM63" s="1"/>
      <c r="ON63" s="1"/>
      <c r="OO63" s="1"/>
      <c r="OP63" s="1"/>
      <c r="OQ63" s="1"/>
      <c r="OR63" s="1"/>
      <c r="OS63" s="1"/>
      <c r="OT63" s="1"/>
      <c r="OU63" s="1"/>
      <c r="OV63" s="1"/>
      <c r="OW63" s="1"/>
      <c r="OX63" s="1"/>
      <c r="OY63" s="1"/>
      <c r="OZ63" s="1"/>
      <c r="PA63" s="1"/>
      <c r="PB63" s="1"/>
      <c r="PC63" s="1"/>
      <c r="PD63" s="1"/>
      <c r="PE63" s="1"/>
      <c r="PF63" s="1"/>
      <c r="PG63" s="1"/>
      <c r="PH63" s="1"/>
      <c r="PI63" s="1"/>
      <c r="PJ63" s="1"/>
      <c r="PK63" s="1"/>
      <c r="PL63" s="1"/>
      <c r="PM63" s="1"/>
      <c r="PN63" s="1"/>
      <c r="PO63" s="1"/>
      <c r="PP63" s="1"/>
      <c r="PQ63" s="1"/>
      <c r="PR63" s="1"/>
      <c r="PS63" s="1"/>
      <c r="PT63" s="1"/>
      <c r="PU63" s="1"/>
      <c r="PV63" s="1"/>
      <c r="PW63" s="1"/>
      <c r="PX63" s="1"/>
      <c r="PY63" s="1"/>
      <c r="PZ63" s="1"/>
      <c r="QA63" s="1"/>
      <c r="QB63" s="1"/>
      <c r="QC63" s="1"/>
      <c r="QD63" s="1"/>
      <c r="QE63" s="1"/>
      <c r="QF63" s="1"/>
      <c r="QG63" s="1"/>
      <c r="QH63" s="1"/>
      <c r="QI63" s="1"/>
      <c r="QJ63" s="1"/>
      <c r="QK63" s="1"/>
      <c r="QL63" s="1"/>
      <c r="QM63" s="1"/>
      <c r="QN63" s="1"/>
      <c r="QO63" s="1"/>
      <c r="QP63" s="1"/>
      <c r="QQ63" s="1"/>
      <c r="QR63" s="1"/>
      <c r="QS63" s="1"/>
      <c r="QT63" s="1"/>
      <c r="QU63" s="1"/>
      <c r="QV63" s="1"/>
      <c r="QW63" s="1"/>
      <c r="QX63" s="1"/>
      <c r="QY63" s="1"/>
      <c r="QZ63" s="1"/>
      <c r="RA63" s="1"/>
      <c r="RB63" s="1"/>
      <c r="RC63" s="1"/>
      <c r="RD63" s="1"/>
      <c r="RE63" s="1"/>
      <c r="RF63" s="1"/>
      <c r="RG63" s="1"/>
      <c r="RH63" s="1"/>
      <c r="RI63" s="1"/>
      <c r="RJ63" s="1"/>
      <c r="RK63" s="1"/>
      <c r="RL63" s="1"/>
      <c r="RM63" s="1"/>
      <c r="RN63" s="1"/>
      <c r="RO63" s="1"/>
      <c r="RP63" s="1"/>
      <c r="RQ63" s="1"/>
      <c r="RR63" s="1"/>
      <c r="RS63" s="1"/>
      <c r="RT63" s="1"/>
      <c r="RU63" s="1"/>
      <c r="RV63" s="1"/>
      <c r="RW63" s="1"/>
      <c r="RX63" s="1"/>
      <c r="RY63" s="1"/>
      <c r="RZ63" s="1"/>
      <c r="SA63" s="1"/>
      <c r="SB63" s="1"/>
      <c r="SC63" s="1"/>
      <c r="SD63" s="1"/>
      <c r="SE63" s="1"/>
      <c r="SF63" s="1"/>
      <c r="SG63" s="1"/>
      <c r="SH63" s="1"/>
      <c r="SI63" s="1"/>
      <c r="SJ63" s="1"/>
      <c r="SK63" s="1"/>
      <c r="SL63" s="1"/>
      <c r="SM63" s="1"/>
      <c r="SN63" s="1"/>
      <c r="SO63" s="1"/>
      <c r="SP63" s="1"/>
      <c r="SQ63" s="1"/>
      <c r="SR63" s="1"/>
      <c r="SS63" s="1"/>
      <c r="ST63" s="1"/>
      <c r="SU63" s="1"/>
      <c r="SV63" s="1"/>
      <c r="SW63" s="1"/>
      <c r="SX63" s="1"/>
      <c r="SY63" s="1"/>
      <c r="SZ63" s="1"/>
      <c r="TA63" s="1"/>
      <c r="TB63" s="1"/>
      <c r="TC63" s="1"/>
      <c r="TD63" s="1"/>
      <c r="TE63" s="1"/>
      <c r="TF63" s="1"/>
      <c r="TG63" s="1"/>
      <c r="TH63" s="1"/>
      <c r="TI63" s="1"/>
      <c r="TJ63" s="1"/>
      <c r="TK63" s="1"/>
      <c r="TL63" s="1"/>
      <c r="TM63" s="1"/>
      <c r="TN63" s="1"/>
      <c r="TO63" s="1"/>
      <c r="TP63" s="1"/>
      <c r="TQ63" s="1"/>
      <c r="TR63" s="1"/>
      <c r="TS63" s="1"/>
      <c r="TT63" s="1"/>
      <c r="TU63" s="1"/>
      <c r="TV63" s="1"/>
      <c r="TW63" s="1"/>
      <c r="TX63" s="1"/>
      <c r="TY63" s="1"/>
      <c r="TZ63" s="1"/>
      <c r="UA63" s="1"/>
      <c r="UB63" s="1"/>
      <c r="UC63" s="1"/>
      <c r="UD63" s="1"/>
      <c r="UE63" s="1"/>
      <c r="UF63" s="1"/>
      <c r="UG63" s="1"/>
      <c r="UH63" s="1"/>
      <c r="UI63" s="1"/>
      <c r="UJ63" s="1"/>
      <c r="UK63" s="1"/>
      <c r="UL63" s="1"/>
      <c r="UM63" s="1"/>
      <c r="UN63" s="1"/>
      <c r="UO63" s="1"/>
      <c r="UP63" s="1"/>
      <c r="UQ63" s="1"/>
      <c r="UR63" s="1"/>
      <c r="US63" s="1"/>
      <c r="UT63" s="1"/>
      <c r="UU63" s="1"/>
      <c r="UV63" s="1"/>
      <c r="UW63" s="1"/>
      <c r="UX63" s="1"/>
      <c r="UY63" s="1"/>
      <c r="UZ63" s="1"/>
      <c r="VA63" s="1"/>
      <c r="VB63" s="1"/>
      <c r="VC63" s="1"/>
      <c r="VD63" s="1"/>
      <c r="VE63" s="1"/>
      <c r="VF63" s="1"/>
      <c r="VG63" s="1"/>
      <c r="VH63" s="1"/>
      <c r="VI63" s="1"/>
      <c r="VJ63" s="1"/>
      <c r="VK63" s="1"/>
      <c r="VL63" s="1"/>
      <c r="VM63" s="1"/>
      <c r="VN63" s="1"/>
      <c r="VO63" s="1"/>
      <c r="VP63" s="1"/>
      <c r="VQ63" s="1"/>
      <c r="VR63" s="1"/>
      <c r="VS63" s="1"/>
      <c r="VT63" s="1"/>
      <c r="VU63" s="1"/>
      <c r="VV63" s="1"/>
      <c r="VW63" s="1"/>
      <c r="VX63" s="1"/>
      <c r="VY63" s="1"/>
      <c r="VZ63" s="1"/>
      <c r="WA63" s="1"/>
      <c r="WB63" s="1"/>
      <c r="WC63" s="1"/>
      <c r="WD63" s="1"/>
      <c r="WE63" s="1"/>
      <c r="WF63" s="1"/>
      <c r="WG63" s="1"/>
      <c r="WH63" s="1"/>
      <c r="WI63" s="1"/>
      <c r="WJ63" s="1"/>
      <c r="WK63" s="1"/>
      <c r="WL63" s="1"/>
      <c r="WM63" s="1"/>
      <c r="WN63" s="1"/>
      <c r="WO63" s="1"/>
      <c r="WP63" s="1"/>
      <c r="WQ63" s="1"/>
      <c r="WR63" s="1"/>
      <c r="WS63" s="1"/>
      <c r="WT63" s="1"/>
      <c r="WU63" s="1"/>
      <c r="WV63" s="1"/>
      <c r="WW63" s="1"/>
      <c r="WX63" s="1"/>
      <c r="WY63" s="1"/>
      <c r="WZ63" s="1"/>
      <c r="XA63" s="1"/>
      <c r="XB63" s="1"/>
      <c r="XC63" s="1"/>
      <c r="XD63" s="1"/>
      <c r="XE63" s="1"/>
      <c r="XF63" s="1"/>
      <c r="XG63" s="1"/>
      <c r="XH63" s="1"/>
      <c r="XI63" s="1"/>
      <c r="XJ63" s="1"/>
      <c r="XK63" s="1"/>
      <c r="XL63" s="1"/>
      <c r="XM63" s="1"/>
      <c r="XN63" s="1"/>
      <c r="XO63" s="1"/>
      <c r="XP63" s="1"/>
      <c r="XQ63" s="1"/>
      <c r="XR63" s="1"/>
      <c r="XS63" s="1"/>
      <c r="XT63" s="1"/>
      <c r="XU63" s="1"/>
      <c r="XV63" s="1"/>
      <c r="XW63" s="1"/>
      <c r="XX63" s="1"/>
      <c r="XY63" s="1"/>
      <c r="XZ63" s="1"/>
      <c r="YA63" s="1"/>
      <c r="YB63" s="1"/>
      <c r="YC63" s="1"/>
      <c r="YD63" s="1"/>
      <c r="YE63" s="1"/>
      <c r="YF63" s="1"/>
      <c r="YG63" s="1"/>
      <c r="YH63" s="1"/>
      <c r="YI63" s="1"/>
      <c r="YJ63" s="1"/>
      <c r="YK63" s="1"/>
      <c r="YL63" s="1"/>
      <c r="YM63" s="1"/>
      <c r="YN63" s="1"/>
      <c r="YO63" s="1"/>
      <c r="YP63" s="1"/>
      <c r="YQ63" s="1"/>
      <c r="YR63" s="1"/>
      <c r="YS63" s="1"/>
      <c r="YT63" s="1"/>
      <c r="YU63" s="1"/>
      <c r="YV63" s="1"/>
      <c r="YW63" s="1"/>
      <c r="YX63" s="1"/>
      <c r="YY63" s="1"/>
      <c r="YZ63" s="1"/>
      <c r="ZA63" s="1"/>
      <c r="ZB63" s="1"/>
      <c r="ZC63" s="1"/>
      <c r="ZD63" s="1"/>
      <c r="ZE63" s="1"/>
      <c r="ZF63" s="1"/>
      <c r="ZG63" s="1"/>
      <c r="ZH63" s="1"/>
      <c r="ZI63" s="1"/>
      <c r="ZJ63" s="1"/>
      <c r="ZK63" s="1"/>
      <c r="ZL63" s="1"/>
      <c r="ZM63" s="1"/>
      <c r="ZN63" s="1"/>
      <c r="ZO63" s="1"/>
      <c r="ZP63" s="1"/>
      <c r="ZQ63" s="1"/>
      <c r="ZR63" s="1"/>
      <c r="ZS63" s="1"/>
      <c r="ZT63" s="1"/>
      <c r="ZU63" s="1"/>
      <c r="ZV63" s="1"/>
      <c r="ZW63" s="1"/>
      <c r="ZX63" s="1"/>
      <c r="ZY63" s="1"/>
      <c r="ZZ63" s="1"/>
      <c r="AAA63" s="1"/>
      <c r="AAB63" s="1"/>
      <c r="AAC63" s="1"/>
      <c r="AAD63" s="1"/>
      <c r="AAE63" s="1"/>
      <c r="AAF63" s="1"/>
      <c r="AAG63" s="1"/>
      <c r="AAH63" s="1"/>
      <c r="AAI63" s="1"/>
      <c r="AAJ63" s="1"/>
      <c r="AAK63" s="1"/>
      <c r="AAL63" s="1"/>
      <c r="AAM63" s="1"/>
      <c r="AAN63" s="1"/>
      <c r="AAO63" s="1"/>
      <c r="AAP63" s="1"/>
      <c r="AAQ63" s="1"/>
      <c r="AAR63" s="1"/>
      <c r="AAS63" s="1"/>
      <c r="AAT63" s="1"/>
      <c r="AAU63" s="1"/>
      <c r="AAV63" s="1"/>
      <c r="AAW63" s="1"/>
      <c r="AAX63" s="1"/>
      <c r="AAY63" s="1"/>
      <c r="AAZ63" s="1"/>
      <c r="ABA63" s="1"/>
      <c r="ABB63" s="1"/>
      <c r="ABC63" s="1"/>
      <c r="ABD63" s="1"/>
      <c r="ABE63" s="1"/>
      <c r="ABF63" s="1"/>
      <c r="ABG63" s="1"/>
      <c r="ABH63" s="1"/>
      <c r="ABI63" s="1"/>
      <c r="ABJ63" s="1"/>
      <c r="ABK63" s="1"/>
      <c r="ABL63" s="1"/>
      <c r="ABM63" s="1"/>
      <c r="ABN63" s="1"/>
      <c r="ABO63" s="1"/>
      <c r="ABP63" s="1"/>
      <c r="ABQ63" s="1"/>
      <c r="ABR63" s="1"/>
      <c r="ABS63" s="1"/>
      <c r="ABT63" s="1"/>
      <c r="ABU63" s="1"/>
      <c r="ABV63" s="1"/>
      <c r="ABW63" s="1"/>
      <c r="ABX63" s="1"/>
      <c r="ABY63" s="1"/>
      <c r="ABZ63" s="1"/>
      <c r="ACA63" s="1"/>
      <c r="ACB63" s="1"/>
      <c r="ACC63" s="1"/>
      <c r="ACD63" s="1"/>
      <c r="ACE63" s="1"/>
      <c r="ACF63" s="1"/>
      <c r="ACG63" s="1"/>
      <c r="ACH63" s="1"/>
      <c r="ACI63" s="1"/>
      <c r="ACJ63" s="1"/>
      <c r="ACK63" s="1"/>
      <c r="ACL63" s="1"/>
      <c r="ACM63" s="1"/>
      <c r="ACN63" s="1"/>
      <c r="ACO63" s="1"/>
      <c r="ACP63" s="1"/>
      <c r="ACQ63" s="1"/>
      <c r="ACR63" s="1"/>
      <c r="ACS63" s="1"/>
      <c r="ACT63" s="1"/>
      <c r="ACU63" s="1"/>
      <c r="ACV63" s="1"/>
      <c r="ACW63" s="1"/>
      <c r="ACX63" s="1"/>
      <c r="ACY63" s="1"/>
      <c r="ACZ63" s="1"/>
      <c r="ADA63" s="1"/>
      <c r="ADB63" s="1"/>
      <c r="ADC63" s="1"/>
      <c r="ADD63" s="1"/>
      <c r="ADE63" s="1"/>
      <c r="ADF63" s="1"/>
      <c r="ADG63" s="1"/>
      <c r="ADH63" s="1"/>
      <c r="ADI63" s="1"/>
      <c r="ADJ63" s="1"/>
      <c r="ADK63" s="1"/>
      <c r="ADL63" s="1"/>
      <c r="ADM63" s="1"/>
      <c r="ADN63" s="1"/>
      <c r="ADO63" s="1"/>
      <c r="ADP63" s="1"/>
      <c r="ADQ63" s="1"/>
      <c r="ADR63" s="1"/>
      <c r="ADS63" s="1"/>
      <c r="ADT63" s="1"/>
      <c r="ADU63" s="1"/>
      <c r="ADV63" s="1"/>
      <c r="ADW63" s="1"/>
      <c r="ADX63" s="1"/>
      <c r="ADY63" s="1"/>
      <c r="ADZ63" s="1"/>
      <c r="AEA63" s="1"/>
      <c r="AEB63" s="1"/>
      <c r="AEC63" s="1"/>
      <c r="AED63" s="1"/>
      <c r="AEE63" s="1"/>
      <c r="AEF63" s="1"/>
      <c r="AEG63" s="1"/>
      <c r="AEH63" s="1"/>
      <c r="AEI63" s="1"/>
      <c r="AEJ63" s="1"/>
      <c r="AEK63" s="1"/>
      <c r="AEL63" s="1"/>
      <c r="AEM63" s="1"/>
      <c r="AEN63" s="1"/>
      <c r="AEO63" s="1"/>
      <c r="AEP63" s="1"/>
      <c r="AEQ63" s="1"/>
      <c r="AER63" s="1"/>
      <c r="AES63" s="1"/>
      <c r="AET63" s="1"/>
      <c r="AEU63" s="1"/>
      <c r="AEV63" s="1"/>
      <c r="AEW63" s="1"/>
      <c r="AEX63" s="1"/>
      <c r="AEY63" s="1"/>
      <c r="AEZ63" s="1"/>
      <c r="AFA63" s="1"/>
      <c r="AFB63" s="1"/>
      <c r="AFC63" s="1"/>
      <c r="AFD63" s="1"/>
      <c r="AFE63" s="1"/>
      <c r="AFF63" s="1"/>
      <c r="AFG63" s="1"/>
      <c r="AFH63" s="1"/>
      <c r="AFI63" s="1"/>
      <c r="AFJ63" s="1"/>
      <c r="AFK63" s="1"/>
      <c r="AFL63" s="1"/>
      <c r="AFM63" s="1"/>
      <c r="AFN63" s="1"/>
      <c r="AFO63" s="1"/>
      <c r="AFP63" s="1"/>
      <c r="AFQ63" s="1"/>
      <c r="AFR63" s="1"/>
      <c r="AFS63" s="1"/>
      <c r="AFT63" s="1"/>
      <c r="AFU63" s="1"/>
      <c r="AFV63" s="1"/>
      <c r="AFW63" s="1"/>
      <c r="AFX63" s="1"/>
      <c r="AFY63" s="1"/>
      <c r="AFZ63" s="1"/>
      <c r="AGA63" s="1"/>
      <c r="AGB63" s="1"/>
      <c r="AGC63" s="1"/>
      <c r="AGD63" s="1"/>
      <c r="AGE63" s="1"/>
      <c r="AGF63" s="1"/>
      <c r="AGG63" s="1"/>
      <c r="AGH63" s="1"/>
      <c r="AGI63" s="1"/>
      <c r="AGJ63" s="1"/>
      <c r="AGK63" s="1"/>
      <c r="AGL63" s="1"/>
      <c r="AGM63" s="1"/>
      <c r="AGN63" s="1"/>
      <c r="AGO63" s="1"/>
      <c r="AGP63" s="1"/>
      <c r="AGQ63" s="1"/>
      <c r="AGR63" s="1"/>
      <c r="AGS63" s="1"/>
      <c r="AGT63" s="1"/>
      <c r="AGU63" s="1"/>
      <c r="AGV63" s="1"/>
      <c r="AGW63" s="1"/>
      <c r="AGX63" s="1"/>
      <c r="AGY63" s="1"/>
      <c r="AGZ63" s="1"/>
      <c r="AHA63" s="1"/>
      <c r="AHB63" s="1"/>
      <c r="AHC63" s="1"/>
      <c r="AHD63" s="1"/>
      <c r="AHE63" s="1"/>
      <c r="AHF63" s="1"/>
      <c r="AHG63" s="1"/>
      <c r="AHH63" s="1"/>
      <c r="AHI63" s="1"/>
      <c r="AHJ63" s="1"/>
      <c r="AHK63" s="1"/>
      <c r="AHL63" s="1"/>
      <c r="AHM63" s="1"/>
      <c r="AHN63" s="1"/>
      <c r="AHO63" s="1"/>
      <c r="AHP63" s="1"/>
      <c r="AHQ63" s="1"/>
      <c r="AHR63" s="1"/>
      <c r="AHS63" s="1"/>
      <c r="AHT63" s="1"/>
      <c r="AHU63" s="1"/>
      <c r="AHV63" s="1"/>
      <c r="AHW63" s="1"/>
      <c r="AHX63" s="1"/>
      <c r="AHY63" s="1"/>
      <c r="AHZ63" s="1"/>
      <c r="AIA63" s="1"/>
      <c r="AIB63" s="1"/>
      <c r="AIC63" s="1"/>
      <c r="AID63" s="1"/>
      <c r="AIE63" s="1"/>
      <c r="AIF63" s="1"/>
      <c r="AIG63" s="1"/>
      <c r="AIH63" s="1"/>
      <c r="AII63" s="1"/>
      <c r="AIJ63" s="1"/>
      <c r="AIK63" s="1"/>
      <c r="AIL63" s="1"/>
      <c r="AIM63" s="1"/>
      <c r="AIN63" s="1"/>
      <c r="AIO63" s="1"/>
      <c r="AIP63" s="1"/>
      <c r="AIQ63" s="1"/>
      <c r="AIR63" s="1"/>
      <c r="AIS63" s="1"/>
      <c r="AIT63" s="1"/>
      <c r="AIU63" s="1"/>
      <c r="AIV63" s="1"/>
      <c r="AIW63" s="1"/>
      <c r="AIX63" s="1"/>
      <c r="AIY63" s="1"/>
      <c r="AIZ63" s="1"/>
      <c r="AJA63" s="1"/>
      <c r="AJB63" s="1"/>
      <c r="AJC63" s="1"/>
      <c r="AJD63" s="1"/>
      <c r="AJE63" s="1"/>
      <c r="AJF63" s="1"/>
      <c r="AJG63" s="1"/>
      <c r="AJH63" s="1"/>
      <c r="AJI63" s="1"/>
      <c r="AJJ63" s="1"/>
      <c r="AJK63" s="1"/>
      <c r="AJL63" s="1"/>
      <c r="AJM63" s="1"/>
      <c r="AJN63" s="1"/>
      <c r="AJO63" s="1"/>
      <c r="AJP63" s="1"/>
      <c r="AJQ63" s="1"/>
      <c r="AJR63" s="1"/>
      <c r="AJS63" s="1"/>
      <c r="AJT63" s="1"/>
      <c r="AJU63" s="1"/>
      <c r="AJV63" s="1"/>
      <c r="AJW63" s="1"/>
      <c r="AJX63" s="1"/>
      <c r="AJY63" s="1"/>
      <c r="AJZ63" s="1"/>
      <c r="AKA63" s="1"/>
      <c r="AKB63" s="1"/>
      <c r="AKC63" s="1"/>
      <c r="AKD63" s="1"/>
      <c r="AKE63" s="1"/>
      <c r="AKF63" s="1"/>
      <c r="AKG63" s="1"/>
      <c r="AKH63" s="1"/>
      <c r="AKI63" s="1"/>
      <c r="AKJ63" s="1"/>
      <c r="AKK63" s="1"/>
      <c r="AKL63" s="1"/>
      <c r="AKM63" s="1"/>
      <c r="AKN63" s="1"/>
      <c r="AKO63" s="1"/>
      <c r="AKP63" s="1"/>
      <c r="AKQ63" s="1"/>
      <c r="AKR63" s="1"/>
      <c r="AKS63" s="1"/>
      <c r="AKT63" s="1"/>
      <c r="AKU63" s="1"/>
      <c r="AKV63" s="1"/>
      <c r="AKW63" s="1"/>
      <c r="AKX63" s="1"/>
      <c r="AKY63" s="1"/>
      <c r="AKZ63" s="1"/>
      <c r="ALA63" s="1"/>
      <c r="ALB63" s="1"/>
      <c r="ALC63" s="1"/>
      <c r="ALD63" s="1"/>
      <c r="ALE63" s="1"/>
      <c r="ALF63" s="1"/>
      <c r="ALG63" s="1"/>
      <c r="ALH63" s="1"/>
      <c r="ALI63" s="1"/>
      <c r="ALJ63" s="1"/>
      <c r="ALK63" s="1"/>
      <c r="ALL63" s="1"/>
      <c r="ALM63" s="1"/>
      <c r="ALN63" s="1"/>
      <c r="ALO63" s="1"/>
      <c r="ALP63" s="1"/>
      <c r="ALQ63" s="1"/>
      <c r="ALR63" s="1"/>
      <c r="ALS63" s="1"/>
      <c r="ALT63" s="1"/>
      <c r="ALU63" s="1"/>
      <c r="ALV63" s="1"/>
      <c r="ALW63" s="1"/>
      <c r="ALX63" s="1"/>
      <c r="ALY63" s="1"/>
      <c r="ALZ63" s="1"/>
      <c r="AMA63" s="1"/>
      <c r="AMB63" s="1"/>
      <c r="AMC63" s="1"/>
      <c r="AMD63" s="1"/>
      <c r="AME63" s="1"/>
      <c r="AMF63" s="1"/>
      <c r="AMG63" s="1"/>
      <c r="AMH63" s="1"/>
      <c r="AMI63" s="1"/>
      <c r="AMJ63" s="1"/>
      <c r="AMK63" s="1"/>
      <c r="AML63" s="1"/>
      <c r="AMM63" s="1"/>
      <c r="AMN63" s="1"/>
    </row>
    <row r="64" spans="1:1028" x14ac:dyDescent="0.2">
      <c r="A64" s="3" t="str">
        <f t="shared" si="194"/>
        <v>adrb2_human_3D4S</v>
      </c>
      <c r="B64" s="3" t="s">
        <v>126</v>
      </c>
      <c r="C64" s="3" t="s">
        <v>76</v>
      </c>
      <c r="D64" s="3" t="str">
        <f>IFERROR(MID(VLOOKUP($B64,Seqs!$A:$B,2,0),E64,1),"")</f>
        <v>W</v>
      </c>
      <c r="E64" s="3">
        <v>32</v>
      </c>
      <c r="F64" s="3" t="str">
        <f>IFERROR(MID(VLOOKUP($B64,Seqs!$A:$B,2,0),G64,1),"")</f>
        <v>F</v>
      </c>
      <c r="G64" s="3">
        <v>61</v>
      </c>
      <c r="H64" s="3" t="str">
        <f>IFERROR(MID(VLOOKUP($B64,Seqs!$A:$B,2,0),I64,1),"")</f>
        <v>E</v>
      </c>
      <c r="I64" s="23">
        <v>62</v>
      </c>
      <c r="J64" s="3" t="str">
        <f>IFERROR(MID(VLOOKUP($B64,Seqs!$A:$B,2,0),K64,1),"")</f>
        <v>Q</v>
      </c>
      <c r="K64" s="23">
        <v>65</v>
      </c>
      <c r="L64" s="3" t="str">
        <f>IFERROR(MID(VLOOKUP($B64,Seqs!$A:$B,2,0),M64,1),"")</f>
        <v>T</v>
      </c>
      <c r="M64" s="3">
        <v>66</v>
      </c>
      <c r="N64" s="3" t="str">
        <f>IFERROR(MID(VLOOKUP($B64,Seqs!$A:$B,2,0),O64,1),"")</f>
        <v>M</v>
      </c>
      <c r="O64" s="3">
        <v>96</v>
      </c>
      <c r="P64" s="3" t="str">
        <f>IFERROR(MID(VLOOKUP($B64,Seqs!$A:$B,2,0),Q64,1),"")</f>
        <v>M</v>
      </c>
      <c r="Q64" s="3">
        <v>98</v>
      </c>
      <c r="R64" s="3" t="str">
        <f>IFERROR(MID(VLOOKUP($B64,Seqs!$A:$B,2,0),S64,1),"")</f>
        <v>F</v>
      </c>
      <c r="S64" s="3">
        <v>101</v>
      </c>
      <c r="T64" s="3" t="str">
        <f>IFERROR(MID(VLOOKUP($B64,Seqs!$A:$B,2,0),U64,1),"")</f>
        <v>G</v>
      </c>
      <c r="U64" s="3">
        <v>102</v>
      </c>
      <c r="V64" s="3" t="str">
        <f>IFERROR(MID(VLOOKUP($B64,Seqs!$A:$B,2,0),W64,1),"")</f>
        <v>S</v>
      </c>
      <c r="W64" s="3">
        <v>137</v>
      </c>
      <c r="X64" s="3" t="str">
        <f>IFERROR(MID(VLOOKUP($B64,Seqs!$A:$B,2,0),Y64,1),"")</f>
        <v/>
      </c>
      <c r="Y64" s="3" t="s">
        <v>23</v>
      </c>
      <c r="Z64" s="3" t="str">
        <f>IFERROR(MID(VLOOKUP($B64,Seqs!$A:$B,2,0),AA64,1),"")</f>
        <v/>
      </c>
      <c r="AA64" s="3" t="s">
        <v>23</v>
      </c>
      <c r="AB64" s="3" t="str">
        <f>IFERROR(MID(VLOOKUP($B64,Seqs!$A:$B,2,0),AC64,1),"")</f>
        <v>T</v>
      </c>
      <c r="AC64" s="9">
        <v>146</v>
      </c>
      <c r="AD64" s="3" t="str">
        <f>IFERROR(MID(VLOOKUP($B64,Seqs!$A:$B,2,0),AE64,1),"")</f>
        <v>H</v>
      </c>
      <c r="AE64" s="3">
        <v>172</v>
      </c>
      <c r="AF64" s="3" t="str">
        <f>IFERROR(MID(VLOOKUP($B64,Seqs!$A:$B,2,0),AG64,1),"")</f>
        <v>C</v>
      </c>
      <c r="AG64" s="3">
        <v>191</v>
      </c>
      <c r="AH64" s="3" t="str">
        <f>IFERROR(MID(VLOOKUP($B64,Seqs!$A:$B,2,0),AI64,1),"")</f>
        <v>F</v>
      </c>
      <c r="AI64" s="3">
        <v>193</v>
      </c>
      <c r="AJ64" s="3" t="str">
        <f>IFERROR(MID(VLOOKUP($B64,Seqs!$A:$B,2,0),AK64,1),"")</f>
        <v>N</v>
      </c>
      <c r="AK64" s="3">
        <v>196</v>
      </c>
      <c r="AL64" s="3" t="str">
        <f>IFERROR(MID(VLOOKUP($B64,Seqs!$A:$B,2,0),AM64,1),"")</f>
        <v>Q</v>
      </c>
      <c r="AM64" s="3">
        <v>229</v>
      </c>
      <c r="AN64" s="3" t="str">
        <f>IFERROR(MID(VLOOKUP($B64,Seqs!$A:$B,2,0),AO64,1),"")</f>
        <v>K</v>
      </c>
      <c r="AO64" s="3">
        <v>267</v>
      </c>
      <c r="AP64" s="3" t="str">
        <f>IFERROR(MID(VLOOKUP($B64,Seqs!$A:$B,2,0),AQ64,1),"")</f>
        <v>Q</v>
      </c>
      <c r="AQ64" s="3">
        <v>299</v>
      </c>
      <c r="AR64" s="3" t="str">
        <f>IFERROR(MID(VLOOKUP($B64,Seqs!$A:$B,2,0),AS64,1),"")</f>
        <v>R</v>
      </c>
      <c r="AS64" s="3">
        <v>304</v>
      </c>
      <c r="AT64" s="3" t="str">
        <f>IFERROR(MID(VLOOKUP($B64,Seqs!$A:$B,2,0),AU64,1),"")</f>
        <v>R</v>
      </c>
      <c r="AU64" s="3">
        <v>328</v>
      </c>
      <c r="AV64" s="3" t="str">
        <f>IFERROR(MID(VLOOKUP($B64,Seqs!$A:$B,2,0),AW64,1),"")</f>
        <v>S</v>
      </c>
      <c r="AW64" s="3">
        <v>329</v>
      </c>
      <c r="AX64" s="3" t="str">
        <f>IFERROR(MID(VLOOKUP($B64,Seqs!$A:$B,2,0),AY64,1),"")</f>
        <v>C</v>
      </c>
      <c r="AY64" s="3">
        <v>341</v>
      </c>
      <c r="AZ64" s="79" t="str">
        <f>VLOOKUP(B64,Classification!A:D,2,0)</f>
        <v>A</v>
      </c>
      <c r="BA64" s="97" t="str">
        <f>VLOOKUP(B64,Classification!A:D,4,0)</f>
        <v>Adrenoceptors</v>
      </c>
      <c r="BB64" s="27" t="b">
        <f t="shared" si="195"/>
        <v>1</v>
      </c>
      <c r="BC64" s="23">
        <f t="shared" si="196"/>
        <v>241</v>
      </c>
      <c r="BD64" s="4" t="s">
        <v>23</v>
      </c>
      <c r="BE64" s="3" t="s">
        <v>1381</v>
      </c>
      <c r="BF64" s="50" t="s">
        <v>1384</v>
      </c>
      <c r="BG64" s="50" t="s">
        <v>1384</v>
      </c>
      <c r="BH64" s="1"/>
      <c r="BI64" s="72" t="s">
        <v>1293</v>
      </c>
      <c r="BJ64" s="58" t="s">
        <v>1293</v>
      </c>
      <c r="BK64" s="58" t="s">
        <v>1293</v>
      </c>
      <c r="BL64" s="58" t="s">
        <v>1293</v>
      </c>
      <c r="BM64" s="58" t="s">
        <v>1293</v>
      </c>
      <c r="BN64" s="58" t="s">
        <v>1293</v>
      </c>
      <c r="BO64" s="58" t="s">
        <v>1293</v>
      </c>
      <c r="BP64" s="58" t="s">
        <v>1293</v>
      </c>
      <c r="BQ64" s="58" t="s">
        <v>1293</v>
      </c>
      <c r="BR64" s="58" t="s">
        <v>1293</v>
      </c>
      <c r="BS64" s="58" t="s">
        <v>1293</v>
      </c>
      <c r="BT64" s="58" t="s">
        <v>1293</v>
      </c>
      <c r="BU64" s="72">
        <f t="shared" si="197"/>
        <v>32</v>
      </c>
      <c r="BV64" s="73">
        <f t="shared" si="198"/>
        <v>62</v>
      </c>
      <c r="BW64" s="74">
        <f t="shared" si="199"/>
        <v>66</v>
      </c>
      <c r="BX64" s="73">
        <f t="shared" si="200"/>
        <v>98</v>
      </c>
      <c r="BY64" s="74">
        <f t="shared" si="201"/>
        <v>102</v>
      </c>
      <c r="BZ64" s="73" t="str">
        <f t="shared" si="202"/>
        <v>-</v>
      </c>
      <c r="CA64" s="74">
        <f t="shared" si="203"/>
        <v>146</v>
      </c>
      <c r="CB64" s="73">
        <f t="shared" si="204"/>
        <v>191</v>
      </c>
      <c r="CC64" s="74">
        <f t="shared" si="205"/>
        <v>196</v>
      </c>
      <c r="CD64" s="73">
        <f t="shared" si="206"/>
        <v>267</v>
      </c>
      <c r="CE64" s="74">
        <f t="shared" si="207"/>
        <v>304</v>
      </c>
      <c r="CF64" s="73">
        <f t="shared" si="208"/>
        <v>329</v>
      </c>
      <c r="CG64" s="72">
        <f t="shared" si="209"/>
        <v>61</v>
      </c>
      <c r="CH64" s="73">
        <f t="shared" si="210"/>
        <v>65</v>
      </c>
      <c r="CI64" s="74">
        <f t="shared" si="211"/>
        <v>96</v>
      </c>
      <c r="CJ64" s="74">
        <f t="shared" si="212"/>
        <v>101</v>
      </c>
      <c r="CK64" s="74">
        <f t="shared" si="213"/>
        <v>137</v>
      </c>
      <c r="CL64" s="74" t="str">
        <f t="shared" si="214"/>
        <v>-</v>
      </c>
      <c r="CM64" s="74">
        <f t="shared" si="215"/>
        <v>172</v>
      </c>
      <c r="CN64" s="74">
        <f t="shared" si="216"/>
        <v>193</v>
      </c>
      <c r="CO64" s="74">
        <f t="shared" si="217"/>
        <v>229</v>
      </c>
      <c r="CP64" s="74">
        <f t="shared" si="218"/>
        <v>299</v>
      </c>
      <c r="CQ64" s="74">
        <f t="shared" si="219"/>
        <v>328</v>
      </c>
      <c r="CR64" s="74">
        <f t="shared" si="220"/>
        <v>341</v>
      </c>
      <c r="CS64" s="23">
        <f t="shared" si="221"/>
        <v>1</v>
      </c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  <c r="OK64" s="1"/>
      <c r="OL64" s="1"/>
      <c r="OM64" s="1"/>
      <c r="ON64" s="1"/>
      <c r="OO64" s="1"/>
      <c r="OP64" s="1"/>
      <c r="OQ64" s="1"/>
      <c r="OR64" s="1"/>
      <c r="OS64" s="1"/>
      <c r="OT64" s="1"/>
      <c r="OU64" s="1"/>
      <c r="OV64" s="1"/>
      <c r="OW64" s="1"/>
      <c r="OX64" s="1"/>
      <c r="OY64" s="1"/>
      <c r="OZ64" s="1"/>
      <c r="PA64" s="1"/>
      <c r="PB64" s="1"/>
      <c r="PC64" s="1"/>
      <c r="PD64" s="1"/>
      <c r="PE64" s="1"/>
      <c r="PF64" s="1"/>
      <c r="PG64" s="1"/>
      <c r="PH64" s="1"/>
      <c r="PI64" s="1"/>
      <c r="PJ64" s="1"/>
      <c r="PK64" s="1"/>
      <c r="PL64" s="1"/>
      <c r="PM64" s="1"/>
      <c r="PN64" s="1"/>
      <c r="PO64" s="1"/>
      <c r="PP64" s="1"/>
      <c r="PQ64" s="1"/>
      <c r="PR64" s="1"/>
      <c r="PS64" s="1"/>
      <c r="PT64" s="1"/>
      <c r="PU64" s="1"/>
      <c r="PV64" s="1"/>
      <c r="PW64" s="1"/>
      <c r="PX64" s="1"/>
      <c r="PY64" s="1"/>
      <c r="PZ64" s="1"/>
      <c r="QA64" s="1"/>
      <c r="QB64" s="1"/>
      <c r="QC64" s="1"/>
      <c r="QD64" s="1"/>
      <c r="QE64" s="1"/>
      <c r="QF64" s="1"/>
      <c r="QG64" s="1"/>
      <c r="QH64" s="1"/>
      <c r="QI64" s="1"/>
      <c r="QJ64" s="1"/>
      <c r="QK64" s="1"/>
      <c r="QL64" s="1"/>
      <c r="QM64" s="1"/>
      <c r="QN64" s="1"/>
      <c r="QO64" s="1"/>
      <c r="QP64" s="1"/>
      <c r="QQ64" s="1"/>
      <c r="QR64" s="1"/>
      <c r="QS64" s="1"/>
      <c r="QT64" s="1"/>
      <c r="QU64" s="1"/>
      <c r="QV64" s="1"/>
      <c r="QW64" s="1"/>
      <c r="QX64" s="1"/>
      <c r="QY64" s="1"/>
      <c r="QZ64" s="1"/>
      <c r="RA64" s="1"/>
      <c r="RB64" s="1"/>
      <c r="RC64" s="1"/>
      <c r="RD64" s="1"/>
      <c r="RE64" s="1"/>
      <c r="RF64" s="1"/>
      <c r="RG64" s="1"/>
      <c r="RH64" s="1"/>
      <c r="RI64" s="1"/>
      <c r="RJ64" s="1"/>
      <c r="RK64" s="1"/>
      <c r="RL64" s="1"/>
      <c r="RM64" s="1"/>
      <c r="RN64" s="1"/>
      <c r="RO64" s="1"/>
      <c r="RP64" s="1"/>
      <c r="RQ64" s="1"/>
      <c r="RR64" s="1"/>
      <c r="RS64" s="1"/>
      <c r="RT64" s="1"/>
      <c r="RU64" s="1"/>
      <c r="RV64" s="1"/>
      <c r="RW64" s="1"/>
      <c r="RX64" s="1"/>
      <c r="RY64" s="1"/>
      <c r="RZ64" s="1"/>
      <c r="SA64" s="1"/>
      <c r="SB64" s="1"/>
      <c r="SC64" s="1"/>
      <c r="SD64" s="1"/>
      <c r="SE64" s="1"/>
      <c r="SF64" s="1"/>
      <c r="SG64" s="1"/>
      <c r="SH64" s="1"/>
      <c r="SI64" s="1"/>
      <c r="SJ64" s="1"/>
      <c r="SK64" s="1"/>
      <c r="SL64" s="1"/>
      <c r="SM64" s="1"/>
      <c r="SN64" s="1"/>
      <c r="SO64" s="1"/>
      <c r="SP64" s="1"/>
      <c r="SQ64" s="1"/>
      <c r="SR64" s="1"/>
      <c r="SS64" s="1"/>
      <c r="ST64" s="1"/>
      <c r="SU64" s="1"/>
      <c r="SV64" s="1"/>
      <c r="SW64" s="1"/>
      <c r="SX64" s="1"/>
      <c r="SY64" s="1"/>
      <c r="SZ64" s="1"/>
      <c r="TA64" s="1"/>
      <c r="TB64" s="1"/>
      <c r="TC64" s="1"/>
      <c r="TD64" s="1"/>
      <c r="TE64" s="1"/>
      <c r="TF64" s="1"/>
      <c r="TG64" s="1"/>
      <c r="TH64" s="1"/>
      <c r="TI64" s="1"/>
      <c r="TJ64" s="1"/>
      <c r="TK64" s="1"/>
      <c r="TL64" s="1"/>
      <c r="TM64" s="1"/>
      <c r="TN64" s="1"/>
      <c r="TO64" s="1"/>
      <c r="TP64" s="1"/>
      <c r="TQ64" s="1"/>
      <c r="TR64" s="1"/>
      <c r="TS64" s="1"/>
      <c r="TT64" s="1"/>
      <c r="TU64" s="1"/>
      <c r="TV64" s="1"/>
      <c r="TW64" s="1"/>
      <c r="TX64" s="1"/>
      <c r="TY64" s="1"/>
      <c r="TZ64" s="1"/>
      <c r="UA64" s="1"/>
      <c r="UB64" s="1"/>
      <c r="UC64" s="1"/>
      <c r="UD64" s="1"/>
      <c r="UE64" s="1"/>
      <c r="UF64" s="1"/>
      <c r="UG64" s="1"/>
      <c r="UH64" s="1"/>
      <c r="UI64" s="1"/>
      <c r="UJ64" s="1"/>
      <c r="UK64" s="1"/>
      <c r="UL64" s="1"/>
      <c r="UM64" s="1"/>
      <c r="UN64" s="1"/>
      <c r="UO64" s="1"/>
      <c r="UP64" s="1"/>
      <c r="UQ64" s="1"/>
      <c r="UR64" s="1"/>
      <c r="US64" s="1"/>
      <c r="UT64" s="1"/>
      <c r="UU64" s="1"/>
      <c r="UV64" s="1"/>
      <c r="UW64" s="1"/>
      <c r="UX64" s="1"/>
      <c r="UY64" s="1"/>
      <c r="UZ64" s="1"/>
      <c r="VA64" s="1"/>
      <c r="VB64" s="1"/>
      <c r="VC64" s="1"/>
      <c r="VD64" s="1"/>
      <c r="VE64" s="1"/>
      <c r="VF64" s="1"/>
      <c r="VG64" s="1"/>
      <c r="VH64" s="1"/>
      <c r="VI64" s="1"/>
      <c r="VJ64" s="1"/>
      <c r="VK64" s="1"/>
      <c r="VL64" s="1"/>
      <c r="VM64" s="1"/>
      <c r="VN64" s="1"/>
      <c r="VO64" s="1"/>
      <c r="VP64" s="1"/>
      <c r="VQ64" s="1"/>
      <c r="VR64" s="1"/>
      <c r="VS64" s="1"/>
      <c r="VT64" s="1"/>
      <c r="VU64" s="1"/>
      <c r="VV64" s="1"/>
      <c r="VW64" s="1"/>
      <c r="VX64" s="1"/>
      <c r="VY64" s="1"/>
      <c r="VZ64" s="1"/>
      <c r="WA64" s="1"/>
      <c r="WB64" s="1"/>
      <c r="WC64" s="1"/>
      <c r="WD64" s="1"/>
      <c r="WE64" s="1"/>
      <c r="WF64" s="1"/>
      <c r="WG64" s="1"/>
      <c r="WH64" s="1"/>
      <c r="WI64" s="1"/>
      <c r="WJ64" s="1"/>
      <c r="WK64" s="1"/>
      <c r="WL64" s="1"/>
      <c r="WM64" s="1"/>
      <c r="WN64" s="1"/>
      <c r="WO64" s="1"/>
      <c r="WP64" s="1"/>
      <c r="WQ64" s="1"/>
      <c r="WR64" s="1"/>
      <c r="WS64" s="1"/>
      <c r="WT64" s="1"/>
      <c r="WU64" s="1"/>
      <c r="WV64" s="1"/>
      <c r="WW64" s="1"/>
      <c r="WX64" s="1"/>
      <c r="WY64" s="1"/>
      <c r="WZ64" s="1"/>
      <c r="XA64" s="1"/>
      <c r="XB64" s="1"/>
      <c r="XC64" s="1"/>
      <c r="XD64" s="1"/>
      <c r="XE64" s="1"/>
      <c r="XF64" s="1"/>
      <c r="XG64" s="1"/>
      <c r="XH64" s="1"/>
      <c r="XI64" s="1"/>
      <c r="XJ64" s="1"/>
      <c r="XK64" s="1"/>
      <c r="XL64" s="1"/>
      <c r="XM64" s="1"/>
      <c r="XN64" s="1"/>
      <c r="XO64" s="1"/>
      <c r="XP64" s="1"/>
      <c r="XQ64" s="1"/>
      <c r="XR64" s="1"/>
      <c r="XS64" s="1"/>
      <c r="XT64" s="1"/>
      <c r="XU64" s="1"/>
      <c r="XV64" s="1"/>
      <c r="XW64" s="1"/>
      <c r="XX64" s="1"/>
      <c r="XY64" s="1"/>
      <c r="XZ64" s="1"/>
      <c r="YA64" s="1"/>
      <c r="YB64" s="1"/>
      <c r="YC64" s="1"/>
      <c r="YD64" s="1"/>
      <c r="YE64" s="1"/>
      <c r="YF64" s="1"/>
      <c r="YG64" s="1"/>
      <c r="YH64" s="1"/>
      <c r="YI64" s="1"/>
      <c r="YJ64" s="1"/>
      <c r="YK64" s="1"/>
      <c r="YL64" s="1"/>
      <c r="YM64" s="1"/>
      <c r="YN64" s="1"/>
      <c r="YO64" s="1"/>
      <c r="YP64" s="1"/>
      <c r="YQ64" s="1"/>
      <c r="YR64" s="1"/>
      <c r="YS64" s="1"/>
      <c r="YT64" s="1"/>
      <c r="YU64" s="1"/>
      <c r="YV64" s="1"/>
      <c r="YW64" s="1"/>
      <c r="YX64" s="1"/>
      <c r="YY64" s="1"/>
      <c r="YZ64" s="1"/>
      <c r="ZA64" s="1"/>
      <c r="ZB64" s="1"/>
      <c r="ZC64" s="1"/>
      <c r="ZD64" s="1"/>
      <c r="ZE64" s="1"/>
      <c r="ZF64" s="1"/>
      <c r="ZG64" s="1"/>
      <c r="ZH64" s="1"/>
      <c r="ZI64" s="1"/>
      <c r="ZJ64" s="1"/>
      <c r="ZK64" s="1"/>
      <c r="ZL64" s="1"/>
      <c r="ZM64" s="1"/>
      <c r="ZN64" s="1"/>
      <c r="ZO64" s="1"/>
      <c r="ZP64" s="1"/>
      <c r="ZQ64" s="1"/>
      <c r="ZR64" s="1"/>
      <c r="ZS64" s="1"/>
      <c r="ZT64" s="1"/>
      <c r="ZU64" s="1"/>
      <c r="ZV64" s="1"/>
      <c r="ZW64" s="1"/>
      <c r="ZX64" s="1"/>
      <c r="ZY64" s="1"/>
      <c r="ZZ64" s="1"/>
      <c r="AAA64" s="1"/>
      <c r="AAB64" s="1"/>
      <c r="AAC64" s="1"/>
      <c r="AAD64" s="1"/>
      <c r="AAE64" s="1"/>
      <c r="AAF64" s="1"/>
      <c r="AAG64" s="1"/>
      <c r="AAH64" s="1"/>
      <c r="AAI64" s="1"/>
      <c r="AAJ64" s="1"/>
      <c r="AAK64" s="1"/>
      <c r="AAL64" s="1"/>
      <c r="AAM64" s="1"/>
      <c r="AAN64" s="1"/>
      <c r="AAO64" s="1"/>
      <c r="AAP64" s="1"/>
      <c r="AAQ64" s="1"/>
      <c r="AAR64" s="1"/>
      <c r="AAS64" s="1"/>
      <c r="AAT64" s="1"/>
      <c r="AAU64" s="1"/>
      <c r="AAV64" s="1"/>
      <c r="AAW64" s="1"/>
      <c r="AAX64" s="1"/>
      <c r="AAY64" s="1"/>
      <c r="AAZ64" s="1"/>
      <c r="ABA64" s="1"/>
      <c r="ABB64" s="1"/>
      <c r="ABC64" s="1"/>
      <c r="ABD64" s="1"/>
      <c r="ABE64" s="1"/>
      <c r="ABF64" s="1"/>
      <c r="ABG64" s="1"/>
      <c r="ABH64" s="1"/>
      <c r="ABI64" s="1"/>
      <c r="ABJ64" s="1"/>
      <c r="ABK64" s="1"/>
      <c r="ABL64" s="1"/>
      <c r="ABM64" s="1"/>
      <c r="ABN64" s="1"/>
      <c r="ABO64" s="1"/>
      <c r="ABP64" s="1"/>
      <c r="ABQ64" s="1"/>
      <c r="ABR64" s="1"/>
      <c r="ABS64" s="1"/>
      <c r="ABT64" s="1"/>
      <c r="ABU64" s="1"/>
      <c r="ABV64" s="1"/>
      <c r="ABW64" s="1"/>
      <c r="ABX64" s="1"/>
      <c r="ABY64" s="1"/>
      <c r="ABZ64" s="1"/>
      <c r="ACA64" s="1"/>
      <c r="ACB64" s="1"/>
      <c r="ACC64" s="1"/>
      <c r="ACD64" s="1"/>
      <c r="ACE64" s="1"/>
      <c r="ACF64" s="1"/>
      <c r="ACG64" s="1"/>
      <c r="ACH64" s="1"/>
      <c r="ACI64" s="1"/>
      <c r="ACJ64" s="1"/>
      <c r="ACK64" s="1"/>
      <c r="ACL64" s="1"/>
      <c r="ACM64" s="1"/>
      <c r="ACN64" s="1"/>
      <c r="ACO64" s="1"/>
      <c r="ACP64" s="1"/>
      <c r="ACQ64" s="1"/>
      <c r="ACR64" s="1"/>
      <c r="ACS64" s="1"/>
      <c r="ACT64" s="1"/>
      <c r="ACU64" s="1"/>
      <c r="ACV64" s="1"/>
      <c r="ACW64" s="1"/>
      <c r="ACX64" s="1"/>
      <c r="ACY64" s="1"/>
      <c r="ACZ64" s="1"/>
      <c r="ADA64" s="1"/>
      <c r="ADB64" s="1"/>
      <c r="ADC64" s="1"/>
      <c r="ADD64" s="1"/>
      <c r="ADE64" s="1"/>
      <c r="ADF64" s="1"/>
      <c r="ADG64" s="1"/>
      <c r="ADH64" s="1"/>
      <c r="ADI64" s="1"/>
      <c r="ADJ64" s="1"/>
      <c r="ADK64" s="1"/>
      <c r="ADL64" s="1"/>
      <c r="ADM64" s="1"/>
      <c r="ADN64" s="1"/>
      <c r="ADO64" s="1"/>
      <c r="ADP64" s="1"/>
      <c r="ADQ64" s="1"/>
      <c r="ADR64" s="1"/>
      <c r="ADS64" s="1"/>
      <c r="ADT64" s="1"/>
      <c r="ADU64" s="1"/>
      <c r="ADV64" s="1"/>
      <c r="ADW64" s="1"/>
      <c r="ADX64" s="1"/>
      <c r="ADY64" s="1"/>
      <c r="ADZ64" s="1"/>
      <c r="AEA64" s="1"/>
      <c r="AEB64" s="1"/>
      <c r="AEC64" s="1"/>
      <c r="AED64" s="1"/>
      <c r="AEE64" s="1"/>
      <c r="AEF64" s="1"/>
      <c r="AEG64" s="1"/>
      <c r="AEH64" s="1"/>
      <c r="AEI64" s="1"/>
      <c r="AEJ64" s="1"/>
      <c r="AEK64" s="1"/>
      <c r="AEL64" s="1"/>
      <c r="AEM64" s="1"/>
      <c r="AEN64" s="1"/>
      <c r="AEO64" s="1"/>
      <c r="AEP64" s="1"/>
      <c r="AEQ64" s="1"/>
      <c r="AER64" s="1"/>
      <c r="AES64" s="1"/>
      <c r="AET64" s="1"/>
      <c r="AEU64" s="1"/>
      <c r="AEV64" s="1"/>
      <c r="AEW64" s="1"/>
      <c r="AEX64" s="1"/>
      <c r="AEY64" s="1"/>
      <c r="AEZ64" s="1"/>
      <c r="AFA64" s="1"/>
      <c r="AFB64" s="1"/>
      <c r="AFC64" s="1"/>
      <c r="AFD64" s="1"/>
      <c r="AFE64" s="1"/>
      <c r="AFF64" s="1"/>
      <c r="AFG64" s="1"/>
      <c r="AFH64" s="1"/>
      <c r="AFI64" s="1"/>
      <c r="AFJ64" s="1"/>
      <c r="AFK64" s="1"/>
      <c r="AFL64" s="1"/>
      <c r="AFM64" s="1"/>
      <c r="AFN64" s="1"/>
      <c r="AFO64" s="1"/>
      <c r="AFP64" s="1"/>
      <c r="AFQ64" s="1"/>
      <c r="AFR64" s="1"/>
      <c r="AFS64" s="1"/>
      <c r="AFT64" s="1"/>
      <c r="AFU64" s="1"/>
      <c r="AFV64" s="1"/>
      <c r="AFW64" s="1"/>
      <c r="AFX64" s="1"/>
      <c r="AFY64" s="1"/>
      <c r="AFZ64" s="1"/>
      <c r="AGA64" s="1"/>
      <c r="AGB64" s="1"/>
      <c r="AGC64" s="1"/>
      <c r="AGD64" s="1"/>
      <c r="AGE64" s="1"/>
      <c r="AGF64" s="1"/>
      <c r="AGG64" s="1"/>
      <c r="AGH64" s="1"/>
      <c r="AGI64" s="1"/>
      <c r="AGJ64" s="1"/>
      <c r="AGK64" s="1"/>
      <c r="AGL64" s="1"/>
      <c r="AGM64" s="1"/>
      <c r="AGN64" s="1"/>
      <c r="AGO64" s="1"/>
      <c r="AGP64" s="1"/>
      <c r="AGQ64" s="1"/>
      <c r="AGR64" s="1"/>
      <c r="AGS64" s="1"/>
      <c r="AGT64" s="1"/>
      <c r="AGU64" s="1"/>
      <c r="AGV64" s="1"/>
      <c r="AGW64" s="1"/>
      <c r="AGX64" s="1"/>
      <c r="AGY64" s="1"/>
      <c r="AGZ64" s="1"/>
      <c r="AHA64" s="1"/>
      <c r="AHB64" s="1"/>
      <c r="AHC64" s="1"/>
      <c r="AHD64" s="1"/>
      <c r="AHE64" s="1"/>
      <c r="AHF64" s="1"/>
      <c r="AHG64" s="1"/>
      <c r="AHH64" s="1"/>
      <c r="AHI64" s="1"/>
      <c r="AHJ64" s="1"/>
      <c r="AHK64" s="1"/>
      <c r="AHL64" s="1"/>
      <c r="AHM64" s="1"/>
      <c r="AHN64" s="1"/>
      <c r="AHO64" s="1"/>
      <c r="AHP64" s="1"/>
      <c r="AHQ64" s="1"/>
      <c r="AHR64" s="1"/>
      <c r="AHS64" s="1"/>
      <c r="AHT64" s="1"/>
      <c r="AHU64" s="1"/>
      <c r="AHV64" s="1"/>
      <c r="AHW64" s="1"/>
      <c r="AHX64" s="1"/>
      <c r="AHY64" s="1"/>
      <c r="AHZ64" s="1"/>
      <c r="AIA64" s="1"/>
      <c r="AIB64" s="1"/>
      <c r="AIC64" s="1"/>
      <c r="AID64" s="1"/>
      <c r="AIE64" s="1"/>
      <c r="AIF64" s="1"/>
      <c r="AIG64" s="1"/>
      <c r="AIH64" s="1"/>
      <c r="AII64" s="1"/>
      <c r="AIJ64" s="1"/>
      <c r="AIK64" s="1"/>
      <c r="AIL64" s="1"/>
      <c r="AIM64" s="1"/>
      <c r="AIN64" s="1"/>
      <c r="AIO64" s="1"/>
      <c r="AIP64" s="1"/>
      <c r="AIQ64" s="1"/>
      <c r="AIR64" s="1"/>
      <c r="AIS64" s="1"/>
      <c r="AIT64" s="1"/>
      <c r="AIU64" s="1"/>
      <c r="AIV64" s="1"/>
      <c r="AIW64" s="1"/>
      <c r="AIX64" s="1"/>
      <c r="AIY64" s="1"/>
      <c r="AIZ64" s="1"/>
      <c r="AJA64" s="1"/>
      <c r="AJB64" s="1"/>
      <c r="AJC64" s="1"/>
      <c r="AJD64" s="1"/>
      <c r="AJE64" s="1"/>
      <c r="AJF64" s="1"/>
      <c r="AJG64" s="1"/>
      <c r="AJH64" s="1"/>
      <c r="AJI64" s="1"/>
      <c r="AJJ64" s="1"/>
      <c r="AJK64" s="1"/>
      <c r="AJL64" s="1"/>
      <c r="AJM64" s="1"/>
      <c r="AJN64" s="1"/>
      <c r="AJO64" s="1"/>
      <c r="AJP64" s="1"/>
      <c r="AJQ64" s="1"/>
      <c r="AJR64" s="1"/>
      <c r="AJS64" s="1"/>
      <c r="AJT64" s="1"/>
      <c r="AJU64" s="1"/>
      <c r="AJV64" s="1"/>
      <c r="AJW64" s="1"/>
      <c r="AJX64" s="1"/>
      <c r="AJY64" s="1"/>
      <c r="AJZ64" s="1"/>
      <c r="AKA64" s="1"/>
      <c r="AKB64" s="1"/>
      <c r="AKC64" s="1"/>
      <c r="AKD64" s="1"/>
      <c r="AKE64" s="1"/>
      <c r="AKF64" s="1"/>
      <c r="AKG64" s="1"/>
      <c r="AKH64" s="1"/>
      <c r="AKI64" s="1"/>
      <c r="AKJ64" s="1"/>
      <c r="AKK64" s="1"/>
      <c r="AKL64" s="1"/>
      <c r="AKM64" s="1"/>
      <c r="AKN64" s="1"/>
      <c r="AKO64" s="1"/>
      <c r="AKP64" s="1"/>
      <c r="AKQ64" s="1"/>
      <c r="AKR64" s="1"/>
      <c r="AKS64" s="1"/>
      <c r="AKT64" s="1"/>
      <c r="AKU64" s="1"/>
      <c r="AKV64" s="1"/>
      <c r="AKW64" s="1"/>
      <c r="AKX64" s="1"/>
      <c r="AKY64" s="1"/>
      <c r="AKZ64" s="1"/>
      <c r="ALA64" s="1"/>
      <c r="ALB64" s="1"/>
      <c r="ALC64" s="1"/>
      <c r="ALD64" s="1"/>
      <c r="ALE64" s="1"/>
      <c r="ALF64" s="1"/>
      <c r="ALG64" s="1"/>
      <c r="ALH64" s="1"/>
      <c r="ALI64" s="1"/>
      <c r="ALJ64" s="1"/>
      <c r="ALK64" s="1"/>
      <c r="ALL64" s="1"/>
      <c r="ALM64" s="1"/>
      <c r="ALN64" s="1"/>
      <c r="ALO64" s="1"/>
      <c r="ALP64" s="1"/>
      <c r="ALQ64" s="1"/>
      <c r="ALR64" s="1"/>
      <c r="ALS64" s="1"/>
      <c r="ALT64" s="1"/>
      <c r="ALU64" s="1"/>
      <c r="ALV64" s="1"/>
      <c r="ALW64" s="1"/>
      <c r="ALX64" s="1"/>
      <c r="ALY64" s="1"/>
      <c r="ALZ64" s="1"/>
      <c r="AMA64" s="1"/>
      <c r="AMB64" s="1"/>
      <c r="AMC64" s="1"/>
      <c r="AMD64" s="1"/>
      <c r="AME64" s="1"/>
      <c r="AMF64" s="1"/>
      <c r="AMG64" s="1"/>
      <c r="AMH64" s="1"/>
      <c r="AMI64" s="1"/>
      <c r="AMJ64" s="1"/>
      <c r="AMK64" s="1"/>
      <c r="AML64" s="1"/>
      <c r="AMM64" s="1"/>
      <c r="AMN64" s="1"/>
    </row>
    <row r="65" spans="1:1028" x14ac:dyDescent="0.2">
      <c r="A65" s="3" t="str">
        <f t="shared" si="194"/>
        <v>adrb2_human_3NY8</v>
      </c>
      <c r="B65" s="3" t="s">
        <v>126</v>
      </c>
      <c r="C65" s="3" t="s">
        <v>1339</v>
      </c>
      <c r="D65" s="3" t="str">
        <f>IFERROR(MID(VLOOKUP($B65,Seqs!$A:$B,2,0),E65,1),"")</f>
        <v>W</v>
      </c>
      <c r="E65" s="3">
        <v>32</v>
      </c>
      <c r="F65" s="3" t="str">
        <f>IFERROR(MID(VLOOKUP($B65,Seqs!$A:$B,2,0),G65,1),"")</f>
        <v>F</v>
      </c>
      <c r="G65" s="3">
        <v>61</v>
      </c>
      <c r="H65" s="3" t="str">
        <f>IFERROR(MID(VLOOKUP($B65,Seqs!$A:$B,2,0),I65,1),"")</f>
        <v>E</v>
      </c>
      <c r="I65" s="23">
        <v>62</v>
      </c>
      <c r="J65" s="3" t="str">
        <f>IFERROR(MID(VLOOKUP($B65,Seqs!$A:$B,2,0),K65,1),"")</f>
        <v>Q</v>
      </c>
      <c r="K65" s="23">
        <v>65</v>
      </c>
      <c r="L65" s="3" t="str">
        <f>IFERROR(MID(VLOOKUP($B65,Seqs!$A:$B,2,0),M65,1),"")</f>
        <v>T</v>
      </c>
      <c r="M65" s="3">
        <v>66</v>
      </c>
      <c r="N65" s="3" t="str">
        <f>IFERROR(MID(VLOOKUP($B65,Seqs!$A:$B,2,0),O65,1),"")</f>
        <v>M</v>
      </c>
      <c r="O65" s="3">
        <v>96</v>
      </c>
      <c r="P65" s="3" t="str">
        <f>IFERROR(MID(VLOOKUP($B65,Seqs!$A:$B,2,0),Q65,1),"")</f>
        <v>M</v>
      </c>
      <c r="Q65" s="3">
        <v>98</v>
      </c>
      <c r="R65" s="3" t="str">
        <f>IFERROR(MID(VLOOKUP($B65,Seqs!$A:$B,2,0),S65,1),"")</f>
        <v>F</v>
      </c>
      <c r="S65" s="3">
        <v>101</v>
      </c>
      <c r="T65" s="3" t="str">
        <f>IFERROR(MID(VLOOKUP($B65,Seqs!$A:$B,2,0),U65,1),"")</f>
        <v>G</v>
      </c>
      <c r="U65" s="3">
        <v>102</v>
      </c>
      <c r="V65" s="3" t="str">
        <f>IFERROR(MID(VLOOKUP($B65,Seqs!$A:$B,2,0),W65,1),"")</f>
        <v>S</v>
      </c>
      <c r="W65" s="3">
        <v>137</v>
      </c>
      <c r="X65" s="3" t="str">
        <f>IFERROR(MID(VLOOKUP($B65,Seqs!$A:$B,2,0),Y65,1),"")</f>
        <v/>
      </c>
      <c r="Y65" s="3" t="s">
        <v>23</v>
      </c>
      <c r="Z65" s="3" t="str">
        <f>IFERROR(MID(VLOOKUP($B65,Seqs!$A:$B,2,0),AA65,1),"")</f>
        <v/>
      </c>
      <c r="AA65" s="3" t="s">
        <v>23</v>
      </c>
      <c r="AB65" s="3" t="str">
        <f>IFERROR(MID(VLOOKUP($B65,Seqs!$A:$B,2,0),AC65,1),"")</f>
        <v>T</v>
      </c>
      <c r="AC65" s="9">
        <v>146</v>
      </c>
      <c r="AD65" s="3" t="str">
        <f>IFERROR(MID(VLOOKUP($B65,Seqs!$A:$B,2,0),AE65,1),"")</f>
        <v>H</v>
      </c>
      <c r="AE65" s="3">
        <v>172</v>
      </c>
      <c r="AF65" s="3" t="str">
        <f>IFERROR(MID(VLOOKUP($B65,Seqs!$A:$B,2,0),AG65,1),"")</f>
        <v>C</v>
      </c>
      <c r="AG65" s="3">
        <v>191</v>
      </c>
      <c r="AH65" s="3" t="str">
        <f>IFERROR(MID(VLOOKUP($B65,Seqs!$A:$B,2,0),AI65,1),"")</f>
        <v>F</v>
      </c>
      <c r="AI65" s="3">
        <v>193</v>
      </c>
      <c r="AJ65" s="3" t="str">
        <f>IFERROR(MID(VLOOKUP($B65,Seqs!$A:$B,2,0),AK65,1),"")</f>
        <v>N</v>
      </c>
      <c r="AK65" s="3">
        <v>196</v>
      </c>
      <c r="AL65" s="3" t="str">
        <f>IFERROR(MID(VLOOKUP($B65,Seqs!$A:$B,2,0),AM65,1),"")</f>
        <v>Q</v>
      </c>
      <c r="AM65" s="3">
        <v>229</v>
      </c>
      <c r="AN65" s="3" t="str">
        <f>IFERROR(MID(VLOOKUP($B65,Seqs!$A:$B,2,0),AO65,1),"")</f>
        <v>K</v>
      </c>
      <c r="AO65" s="3">
        <v>267</v>
      </c>
      <c r="AP65" s="3" t="str">
        <f>IFERROR(MID(VLOOKUP($B65,Seqs!$A:$B,2,0),AQ65,1),"")</f>
        <v>Q</v>
      </c>
      <c r="AQ65" s="3">
        <v>299</v>
      </c>
      <c r="AR65" s="3" t="str">
        <f>IFERROR(MID(VLOOKUP($B65,Seqs!$A:$B,2,0),AS65,1),"")</f>
        <v>R</v>
      </c>
      <c r="AS65" s="3">
        <v>304</v>
      </c>
      <c r="AT65" s="3" t="str">
        <f>IFERROR(MID(VLOOKUP($B65,Seqs!$A:$B,2,0),AU65,1),"")</f>
        <v>R</v>
      </c>
      <c r="AU65" s="3">
        <v>328</v>
      </c>
      <c r="AV65" s="3" t="str">
        <f>IFERROR(MID(VLOOKUP($B65,Seqs!$A:$B,2,0),AW65,1),"")</f>
        <v>S</v>
      </c>
      <c r="AW65" s="3">
        <v>329</v>
      </c>
      <c r="AX65" s="3" t="str">
        <f>IFERROR(MID(VLOOKUP($B65,Seqs!$A:$B,2,0),AY65,1),"")</f>
        <v>C</v>
      </c>
      <c r="AY65" s="3">
        <v>341</v>
      </c>
      <c r="AZ65" s="79" t="str">
        <f>VLOOKUP(B65,Classification!A:D,2,0)</f>
        <v>A</v>
      </c>
      <c r="BA65" s="97" t="str">
        <f>VLOOKUP(B65,Classification!A:D,4,0)</f>
        <v>Adrenoceptors</v>
      </c>
      <c r="BB65" s="27" t="b">
        <f t="shared" si="195"/>
        <v>1</v>
      </c>
      <c r="BC65" s="23">
        <f t="shared" si="196"/>
        <v>241</v>
      </c>
      <c r="BD65" s="4" t="s">
        <v>23</v>
      </c>
      <c r="BE65" s="3" t="s">
        <v>1381</v>
      </c>
      <c r="BF65" s="50" t="s">
        <v>1384</v>
      </c>
      <c r="BG65" s="50" t="s">
        <v>1384</v>
      </c>
      <c r="BH65" s="1"/>
      <c r="BI65" s="72" t="s">
        <v>1293</v>
      </c>
      <c r="BJ65" s="58" t="s">
        <v>1293</v>
      </c>
      <c r="BK65" s="58" t="s">
        <v>1293</v>
      </c>
      <c r="BL65" s="58" t="s">
        <v>1293</v>
      </c>
      <c r="BM65" s="58" t="s">
        <v>1293</v>
      </c>
      <c r="BN65" s="58" t="s">
        <v>1293</v>
      </c>
      <c r="BO65" s="58" t="s">
        <v>1293</v>
      </c>
      <c r="BP65" s="58" t="s">
        <v>1293</v>
      </c>
      <c r="BQ65" s="58" t="s">
        <v>1293</v>
      </c>
      <c r="BR65" s="58" t="s">
        <v>1293</v>
      </c>
      <c r="BS65" s="58" t="s">
        <v>1293</v>
      </c>
      <c r="BT65" s="58" t="s">
        <v>1293</v>
      </c>
      <c r="BU65" s="72">
        <f t="shared" si="197"/>
        <v>32</v>
      </c>
      <c r="BV65" s="73">
        <f t="shared" si="198"/>
        <v>62</v>
      </c>
      <c r="BW65" s="74">
        <f t="shared" si="199"/>
        <v>66</v>
      </c>
      <c r="BX65" s="73">
        <f t="shared" si="200"/>
        <v>98</v>
      </c>
      <c r="BY65" s="74">
        <f t="shared" si="201"/>
        <v>102</v>
      </c>
      <c r="BZ65" s="73" t="str">
        <f t="shared" si="202"/>
        <v>-</v>
      </c>
      <c r="CA65" s="74">
        <f t="shared" si="203"/>
        <v>146</v>
      </c>
      <c r="CB65" s="73">
        <f t="shared" si="204"/>
        <v>191</v>
      </c>
      <c r="CC65" s="74">
        <f t="shared" si="205"/>
        <v>196</v>
      </c>
      <c r="CD65" s="73">
        <f t="shared" si="206"/>
        <v>267</v>
      </c>
      <c r="CE65" s="74">
        <f t="shared" si="207"/>
        <v>304</v>
      </c>
      <c r="CF65" s="73">
        <f t="shared" si="208"/>
        <v>329</v>
      </c>
      <c r="CG65" s="72">
        <f t="shared" si="209"/>
        <v>61</v>
      </c>
      <c r="CH65" s="73">
        <f t="shared" si="210"/>
        <v>65</v>
      </c>
      <c r="CI65" s="74">
        <f t="shared" si="211"/>
        <v>96</v>
      </c>
      <c r="CJ65" s="74">
        <f t="shared" si="212"/>
        <v>101</v>
      </c>
      <c r="CK65" s="74">
        <f t="shared" si="213"/>
        <v>137</v>
      </c>
      <c r="CL65" s="74" t="str">
        <f t="shared" si="214"/>
        <v>-</v>
      </c>
      <c r="CM65" s="74">
        <f t="shared" si="215"/>
        <v>172</v>
      </c>
      <c r="CN65" s="74">
        <f t="shared" si="216"/>
        <v>193</v>
      </c>
      <c r="CO65" s="74">
        <f t="shared" si="217"/>
        <v>229</v>
      </c>
      <c r="CP65" s="74">
        <f t="shared" si="218"/>
        <v>299</v>
      </c>
      <c r="CQ65" s="74">
        <f t="shared" si="219"/>
        <v>328</v>
      </c>
      <c r="CR65" s="74">
        <f t="shared" si="220"/>
        <v>341</v>
      </c>
      <c r="CS65" s="23">
        <f t="shared" si="221"/>
        <v>1</v>
      </c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  <c r="OK65" s="1"/>
      <c r="OL65" s="1"/>
      <c r="OM65" s="1"/>
      <c r="ON65" s="1"/>
      <c r="OO65" s="1"/>
      <c r="OP65" s="1"/>
      <c r="OQ65" s="1"/>
      <c r="OR65" s="1"/>
      <c r="OS65" s="1"/>
      <c r="OT65" s="1"/>
      <c r="OU65" s="1"/>
      <c r="OV65" s="1"/>
      <c r="OW65" s="1"/>
      <c r="OX65" s="1"/>
      <c r="OY65" s="1"/>
      <c r="OZ65" s="1"/>
      <c r="PA65" s="1"/>
      <c r="PB65" s="1"/>
      <c r="PC65" s="1"/>
      <c r="PD65" s="1"/>
      <c r="PE65" s="1"/>
      <c r="PF65" s="1"/>
      <c r="PG65" s="1"/>
      <c r="PH65" s="1"/>
      <c r="PI65" s="1"/>
      <c r="PJ65" s="1"/>
      <c r="PK65" s="1"/>
      <c r="PL65" s="1"/>
      <c r="PM65" s="1"/>
      <c r="PN65" s="1"/>
      <c r="PO65" s="1"/>
      <c r="PP65" s="1"/>
      <c r="PQ65" s="1"/>
      <c r="PR65" s="1"/>
      <c r="PS65" s="1"/>
      <c r="PT65" s="1"/>
      <c r="PU65" s="1"/>
      <c r="PV65" s="1"/>
      <c r="PW65" s="1"/>
      <c r="PX65" s="1"/>
      <c r="PY65" s="1"/>
      <c r="PZ65" s="1"/>
      <c r="QA65" s="1"/>
      <c r="QB65" s="1"/>
      <c r="QC65" s="1"/>
      <c r="QD65" s="1"/>
      <c r="QE65" s="1"/>
      <c r="QF65" s="1"/>
      <c r="QG65" s="1"/>
      <c r="QH65" s="1"/>
      <c r="QI65" s="1"/>
      <c r="QJ65" s="1"/>
      <c r="QK65" s="1"/>
      <c r="QL65" s="1"/>
      <c r="QM65" s="1"/>
      <c r="QN65" s="1"/>
      <c r="QO65" s="1"/>
      <c r="QP65" s="1"/>
      <c r="QQ65" s="1"/>
      <c r="QR65" s="1"/>
      <c r="QS65" s="1"/>
      <c r="QT65" s="1"/>
      <c r="QU65" s="1"/>
      <c r="QV65" s="1"/>
      <c r="QW65" s="1"/>
      <c r="QX65" s="1"/>
      <c r="QY65" s="1"/>
      <c r="QZ65" s="1"/>
      <c r="RA65" s="1"/>
      <c r="RB65" s="1"/>
      <c r="RC65" s="1"/>
      <c r="RD65" s="1"/>
      <c r="RE65" s="1"/>
      <c r="RF65" s="1"/>
      <c r="RG65" s="1"/>
      <c r="RH65" s="1"/>
      <c r="RI65" s="1"/>
      <c r="RJ65" s="1"/>
      <c r="RK65" s="1"/>
      <c r="RL65" s="1"/>
      <c r="RM65" s="1"/>
      <c r="RN65" s="1"/>
      <c r="RO65" s="1"/>
      <c r="RP65" s="1"/>
      <c r="RQ65" s="1"/>
      <c r="RR65" s="1"/>
      <c r="RS65" s="1"/>
      <c r="RT65" s="1"/>
      <c r="RU65" s="1"/>
      <c r="RV65" s="1"/>
      <c r="RW65" s="1"/>
      <c r="RX65" s="1"/>
      <c r="RY65" s="1"/>
      <c r="RZ65" s="1"/>
      <c r="SA65" s="1"/>
      <c r="SB65" s="1"/>
      <c r="SC65" s="1"/>
      <c r="SD65" s="1"/>
      <c r="SE65" s="1"/>
      <c r="SF65" s="1"/>
      <c r="SG65" s="1"/>
      <c r="SH65" s="1"/>
      <c r="SI65" s="1"/>
      <c r="SJ65" s="1"/>
      <c r="SK65" s="1"/>
      <c r="SL65" s="1"/>
      <c r="SM65" s="1"/>
      <c r="SN65" s="1"/>
      <c r="SO65" s="1"/>
      <c r="SP65" s="1"/>
      <c r="SQ65" s="1"/>
      <c r="SR65" s="1"/>
      <c r="SS65" s="1"/>
      <c r="ST65" s="1"/>
      <c r="SU65" s="1"/>
      <c r="SV65" s="1"/>
      <c r="SW65" s="1"/>
      <c r="SX65" s="1"/>
      <c r="SY65" s="1"/>
      <c r="SZ65" s="1"/>
      <c r="TA65" s="1"/>
      <c r="TB65" s="1"/>
      <c r="TC65" s="1"/>
      <c r="TD65" s="1"/>
      <c r="TE65" s="1"/>
      <c r="TF65" s="1"/>
      <c r="TG65" s="1"/>
      <c r="TH65" s="1"/>
      <c r="TI65" s="1"/>
      <c r="TJ65" s="1"/>
      <c r="TK65" s="1"/>
      <c r="TL65" s="1"/>
      <c r="TM65" s="1"/>
      <c r="TN65" s="1"/>
      <c r="TO65" s="1"/>
      <c r="TP65" s="1"/>
      <c r="TQ65" s="1"/>
      <c r="TR65" s="1"/>
      <c r="TS65" s="1"/>
      <c r="TT65" s="1"/>
      <c r="TU65" s="1"/>
      <c r="TV65" s="1"/>
      <c r="TW65" s="1"/>
      <c r="TX65" s="1"/>
      <c r="TY65" s="1"/>
      <c r="TZ65" s="1"/>
      <c r="UA65" s="1"/>
      <c r="UB65" s="1"/>
      <c r="UC65" s="1"/>
      <c r="UD65" s="1"/>
      <c r="UE65" s="1"/>
      <c r="UF65" s="1"/>
      <c r="UG65" s="1"/>
      <c r="UH65" s="1"/>
      <c r="UI65" s="1"/>
      <c r="UJ65" s="1"/>
      <c r="UK65" s="1"/>
      <c r="UL65" s="1"/>
      <c r="UM65" s="1"/>
      <c r="UN65" s="1"/>
      <c r="UO65" s="1"/>
      <c r="UP65" s="1"/>
      <c r="UQ65" s="1"/>
      <c r="UR65" s="1"/>
      <c r="US65" s="1"/>
      <c r="UT65" s="1"/>
      <c r="UU65" s="1"/>
      <c r="UV65" s="1"/>
      <c r="UW65" s="1"/>
      <c r="UX65" s="1"/>
      <c r="UY65" s="1"/>
      <c r="UZ65" s="1"/>
      <c r="VA65" s="1"/>
      <c r="VB65" s="1"/>
      <c r="VC65" s="1"/>
      <c r="VD65" s="1"/>
      <c r="VE65" s="1"/>
      <c r="VF65" s="1"/>
      <c r="VG65" s="1"/>
      <c r="VH65" s="1"/>
      <c r="VI65" s="1"/>
      <c r="VJ65" s="1"/>
      <c r="VK65" s="1"/>
      <c r="VL65" s="1"/>
      <c r="VM65" s="1"/>
      <c r="VN65" s="1"/>
      <c r="VO65" s="1"/>
      <c r="VP65" s="1"/>
      <c r="VQ65" s="1"/>
      <c r="VR65" s="1"/>
      <c r="VS65" s="1"/>
      <c r="VT65" s="1"/>
      <c r="VU65" s="1"/>
      <c r="VV65" s="1"/>
      <c r="VW65" s="1"/>
      <c r="VX65" s="1"/>
      <c r="VY65" s="1"/>
      <c r="VZ65" s="1"/>
      <c r="WA65" s="1"/>
      <c r="WB65" s="1"/>
      <c r="WC65" s="1"/>
      <c r="WD65" s="1"/>
      <c r="WE65" s="1"/>
      <c r="WF65" s="1"/>
      <c r="WG65" s="1"/>
      <c r="WH65" s="1"/>
      <c r="WI65" s="1"/>
      <c r="WJ65" s="1"/>
      <c r="WK65" s="1"/>
      <c r="WL65" s="1"/>
      <c r="WM65" s="1"/>
      <c r="WN65" s="1"/>
      <c r="WO65" s="1"/>
      <c r="WP65" s="1"/>
      <c r="WQ65" s="1"/>
      <c r="WR65" s="1"/>
      <c r="WS65" s="1"/>
      <c r="WT65" s="1"/>
      <c r="WU65" s="1"/>
      <c r="WV65" s="1"/>
      <c r="WW65" s="1"/>
      <c r="WX65" s="1"/>
      <c r="WY65" s="1"/>
      <c r="WZ65" s="1"/>
      <c r="XA65" s="1"/>
      <c r="XB65" s="1"/>
      <c r="XC65" s="1"/>
      <c r="XD65" s="1"/>
      <c r="XE65" s="1"/>
      <c r="XF65" s="1"/>
      <c r="XG65" s="1"/>
      <c r="XH65" s="1"/>
      <c r="XI65" s="1"/>
      <c r="XJ65" s="1"/>
      <c r="XK65" s="1"/>
      <c r="XL65" s="1"/>
      <c r="XM65" s="1"/>
      <c r="XN65" s="1"/>
      <c r="XO65" s="1"/>
      <c r="XP65" s="1"/>
      <c r="XQ65" s="1"/>
      <c r="XR65" s="1"/>
      <c r="XS65" s="1"/>
      <c r="XT65" s="1"/>
      <c r="XU65" s="1"/>
      <c r="XV65" s="1"/>
      <c r="XW65" s="1"/>
      <c r="XX65" s="1"/>
      <c r="XY65" s="1"/>
      <c r="XZ65" s="1"/>
      <c r="YA65" s="1"/>
      <c r="YB65" s="1"/>
      <c r="YC65" s="1"/>
      <c r="YD65" s="1"/>
      <c r="YE65" s="1"/>
      <c r="YF65" s="1"/>
      <c r="YG65" s="1"/>
      <c r="YH65" s="1"/>
      <c r="YI65" s="1"/>
      <c r="YJ65" s="1"/>
      <c r="YK65" s="1"/>
      <c r="YL65" s="1"/>
      <c r="YM65" s="1"/>
      <c r="YN65" s="1"/>
      <c r="YO65" s="1"/>
      <c r="YP65" s="1"/>
      <c r="YQ65" s="1"/>
      <c r="YR65" s="1"/>
      <c r="YS65" s="1"/>
      <c r="YT65" s="1"/>
      <c r="YU65" s="1"/>
      <c r="YV65" s="1"/>
      <c r="YW65" s="1"/>
      <c r="YX65" s="1"/>
      <c r="YY65" s="1"/>
      <c r="YZ65" s="1"/>
      <c r="ZA65" s="1"/>
      <c r="ZB65" s="1"/>
      <c r="ZC65" s="1"/>
      <c r="ZD65" s="1"/>
      <c r="ZE65" s="1"/>
      <c r="ZF65" s="1"/>
      <c r="ZG65" s="1"/>
      <c r="ZH65" s="1"/>
      <c r="ZI65" s="1"/>
      <c r="ZJ65" s="1"/>
      <c r="ZK65" s="1"/>
      <c r="ZL65" s="1"/>
      <c r="ZM65" s="1"/>
      <c r="ZN65" s="1"/>
      <c r="ZO65" s="1"/>
      <c r="ZP65" s="1"/>
      <c r="ZQ65" s="1"/>
      <c r="ZR65" s="1"/>
      <c r="ZS65" s="1"/>
      <c r="ZT65" s="1"/>
      <c r="ZU65" s="1"/>
      <c r="ZV65" s="1"/>
      <c r="ZW65" s="1"/>
      <c r="ZX65" s="1"/>
      <c r="ZY65" s="1"/>
      <c r="ZZ65" s="1"/>
      <c r="AAA65" s="1"/>
      <c r="AAB65" s="1"/>
      <c r="AAC65" s="1"/>
      <c r="AAD65" s="1"/>
      <c r="AAE65" s="1"/>
      <c r="AAF65" s="1"/>
      <c r="AAG65" s="1"/>
      <c r="AAH65" s="1"/>
      <c r="AAI65" s="1"/>
      <c r="AAJ65" s="1"/>
      <c r="AAK65" s="1"/>
      <c r="AAL65" s="1"/>
      <c r="AAM65" s="1"/>
      <c r="AAN65" s="1"/>
      <c r="AAO65" s="1"/>
      <c r="AAP65" s="1"/>
      <c r="AAQ65" s="1"/>
      <c r="AAR65" s="1"/>
      <c r="AAS65" s="1"/>
      <c r="AAT65" s="1"/>
      <c r="AAU65" s="1"/>
      <c r="AAV65" s="1"/>
      <c r="AAW65" s="1"/>
      <c r="AAX65" s="1"/>
      <c r="AAY65" s="1"/>
      <c r="AAZ65" s="1"/>
      <c r="ABA65" s="1"/>
      <c r="ABB65" s="1"/>
      <c r="ABC65" s="1"/>
      <c r="ABD65" s="1"/>
      <c r="ABE65" s="1"/>
      <c r="ABF65" s="1"/>
      <c r="ABG65" s="1"/>
      <c r="ABH65" s="1"/>
      <c r="ABI65" s="1"/>
      <c r="ABJ65" s="1"/>
      <c r="ABK65" s="1"/>
      <c r="ABL65" s="1"/>
      <c r="ABM65" s="1"/>
      <c r="ABN65" s="1"/>
      <c r="ABO65" s="1"/>
      <c r="ABP65" s="1"/>
      <c r="ABQ65" s="1"/>
      <c r="ABR65" s="1"/>
      <c r="ABS65" s="1"/>
      <c r="ABT65" s="1"/>
      <c r="ABU65" s="1"/>
      <c r="ABV65" s="1"/>
      <c r="ABW65" s="1"/>
      <c r="ABX65" s="1"/>
      <c r="ABY65" s="1"/>
      <c r="ABZ65" s="1"/>
      <c r="ACA65" s="1"/>
      <c r="ACB65" s="1"/>
      <c r="ACC65" s="1"/>
      <c r="ACD65" s="1"/>
      <c r="ACE65" s="1"/>
      <c r="ACF65" s="1"/>
      <c r="ACG65" s="1"/>
      <c r="ACH65" s="1"/>
      <c r="ACI65" s="1"/>
      <c r="ACJ65" s="1"/>
      <c r="ACK65" s="1"/>
      <c r="ACL65" s="1"/>
      <c r="ACM65" s="1"/>
      <c r="ACN65" s="1"/>
      <c r="ACO65" s="1"/>
      <c r="ACP65" s="1"/>
      <c r="ACQ65" s="1"/>
      <c r="ACR65" s="1"/>
      <c r="ACS65" s="1"/>
      <c r="ACT65" s="1"/>
      <c r="ACU65" s="1"/>
      <c r="ACV65" s="1"/>
      <c r="ACW65" s="1"/>
      <c r="ACX65" s="1"/>
      <c r="ACY65" s="1"/>
      <c r="ACZ65" s="1"/>
      <c r="ADA65" s="1"/>
      <c r="ADB65" s="1"/>
      <c r="ADC65" s="1"/>
      <c r="ADD65" s="1"/>
      <c r="ADE65" s="1"/>
      <c r="ADF65" s="1"/>
      <c r="ADG65" s="1"/>
      <c r="ADH65" s="1"/>
      <c r="ADI65" s="1"/>
      <c r="ADJ65" s="1"/>
      <c r="ADK65" s="1"/>
      <c r="ADL65" s="1"/>
      <c r="ADM65" s="1"/>
      <c r="ADN65" s="1"/>
      <c r="ADO65" s="1"/>
      <c r="ADP65" s="1"/>
      <c r="ADQ65" s="1"/>
      <c r="ADR65" s="1"/>
      <c r="ADS65" s="1"/>
      <c r="ADT65" s="1"/>
      <c r="ADU65" s="1"/>
      <c r="ADV65" s="1"/>
      <c r="ADW65" s="1"/>
      <c r="ADX65" s="1"/>
      <c r="ADY65" s="1"/>
      <c r="ADZ65" s="1"/>
      <c r="AEA65" s="1"/>
      <c r="AEB65" s="1"/>
      <c r="AEC65" s="1"/>
      <c r="AED65" s="1"/>
      <c r="AEE65" s="1"/>
      <c r="AEF65" s="1"/>
      <c r="AEG65" s="1"/>
      <c r="AEH65" s="1"/>
      <c r="AEI65" s="1"/>
      <c r="AEJ65" s="1"/>
      <c r="AEK65" s="1"/>
      <c r="AEL65" s="1"/>
      <c r="AEM65" s="1"/>
      <c r="AEN65" s="1"/>
      <c r="AEO65" s="1"/>
      <c r="AEP65" s="1"/>
      <c r="AEQ65" s="1"/>
      <c r="AER65" s="1"/>
      <c r="AES65" s="1"/>
      <c r="AET65" s="1"/>
      <c r="AEU65" s="1"/>
      <c r="AEV65" s="1"/>
      <c r="AEW65" s="1"/>
      <c r="AEX65" s="1"/>
      <c r="AEY65" s="1"/>
      <c r="AEZ65" s="1"/>
      <c r="AFA65" s="1"/>
      <c r="AFB65" s="1"/>
      <c r="AFC65" s="1"/>
      <c r="AFD65" s="1"/>
      <c r="AFE65" s="1"/>
      <c r="AFF65" s="1"/>
      <c r="AFG65" s="1"/>
      <c r="AFH65" s="1"/>
      <c r="AFI65" s="1"/>
      <c r="AFJ65" s="1"/>
      <c r="AFK65" s="1"/>
      <c r="AFL65" s="1"/>
      <c r="AFM65" s="1"/>
      <c r="AFN65" s="1"/>
      <c r="AFO65" s="1"/>
      <c r="AFP65" s="1"/>
      <c r="AFQ65" s="1"/>
      <c r="AFR65" s="1"/>
      <c r="AFS65" s="1"/>
      <c r="AFT65" s="1"/>
      <c r="AFU65" s="1"/>
      <c r="AFV65" s="1"/>
      <c r="AFW65" s="1"/>
      <c r="AFX65" s="1"/>
      <c r="AFY65" s="1"/>
      <c r="AFZ65" s="1"/>
      <c r="AGA65" s="1"/>
      <c r="AGB65" s="1"/>
      <c r="AGC65" s="1"/>
      <c r="AGD65" s="1"/>
      <c r="AGE65" s="1"/>
      <c r="AGF65" s="1"/>
      <c r="AGG65" s="1"/>
      <c r="AGH65" s="1"/>
      <c r="AGI65" s="1"/>
      <c r="AGJ65" s="1"/>
      <c r="AGK65" s="1"/>
      <c r="AGL65" s="1"/>
      <c r="AGM65" s="1"/>
      <c r="AGN65" s="1"/>
      <c r="AGO65" s="1"/>
      <c r="AGP65" s="1"/>
      <c r="AGQ65" s="1"/>
      <c r="AGR65" s="1"/>
      <c r="AGS65" s="1"/>
      <c r="AGT65" s="1"/>
      <c r="AGU65" s="1"/>
      <c r="AGV65" s="1"/>
      <c r="AGW65" s="1"/>
      <c r="AGX65" s="1"/>
      <c r="AGY65" s="1"/>
      <c r="AGZ65" s="1"/>
      <c r="AHA65" s="1"/>
      <c r="AHB65" s="1"/>
      <c r="AHC65" s="1"/>
      <c r="AHD65" s="1"/>
      <c r="AHE65" s="1"/>
      <c r="AHF65" s="1"/>
      <c r="AHG65" s="1"/>
      <c r="AHH65" s="1"/>
      <c r="AHI65" s="1"/>
      <c r="AHJ65" s="1"/>
      <c r="AHK65" s="1"/>
      <c r="AHL65" s="1"/>
      <c r="AHM65" s="1"/>
      <c r="AHN65" s="1"/>
      <c r="AHO65" s="1"/>
      <c r="AHP65" s="1"/>
      <c r="AHQ65" s="1"/>
      <c r="AHR65" s="1"/>
      <c r="AHS65" s="1"/>
      <c r="AHT65" s="1"/>
      <c r="AHU65" s="1"/>
      <c r="AHV65" s="1"/>
      <c r="AHW65" s="1"/>
      <c r="AHX65" s="1"/>
      <c r="AHY65" s="1"/>
      <c r="AHZ65" s="1"/>
      <c r="AIA65" s="1"/>
      <c r="AIB65" s="1"/>
      <c r="AIC65" s="1"/>
      <c r="AID65" s="1"/>
      <c r="AIE65" s="1"/>
      <c r="AIF65" s="1"/>
      <c r="AIG65" s="1"/>
      <c r="AIH65" s="1"/>
      <c r="AII65" s="1"/>
      <c r="AIJ65" s="1"/>
      <c r="AIK65" s="1"/>
      <c r="AIL65" s="1"/>
      <c r="AIM65" s="1"/>
      <c r="AIN65" s="1"/>
      <c r="AIO65" s="1"/>
      <c r="AIP65" s="1"/>
      <c r="AIQ65" s="1"/>
      <c r="AIR65" s="1"/>
      <c r="AIS65" s="1"/>
      <c r="AIT65" s="1"/>
      <c r="AIU65" s="1"/>
      <c r="AIV65" s="1"/>
      <c r="AIW65" s="1"/>
      <c r="AIX65" s="1"/>
      <c r="AIY65" s="1"/>
      <c r="AIZ65" s="1"/>
      <c r="AJA65" s="1"/>
      <c r="AJB65" s="1"/>
      <c r="AJC65" s="1"/>
      <c r="AJD65" s="1"/>
      <c r="AJE65" s="1"/>
      <c r="AJF65" s="1"/>
      <c r="AJG65" s="1"/>
      <c r="AJH65" s="1"/>
      <c r="AJI65" s="1"/>
      <c r="AJJ65" s="1"/>
      <c r="AJK65" s="1"/>
      <c r="AJL65" s="1"/>
      <c r="AJM65" s="1"/>
      <c r="AJN65" s="1"/>
      <c r="AJO65" s="1"/>
      <c r="AJP65" s="1"/>
      <c r="AJQ65" s="1"/>
      <c r="AJR65" s="1"/>
      <c r="AJS65" s="1"/>
      <c r="AJT65" s="1"/>
      <c r="AJU65" s="1"/>
      <c r="AJV65" s="1"/>
      <c r="AJW65" s="1"/>
      <c r="AJX65" s="1"/>
      <c r="AJY65" s="1"/>
      <c r="AJZ65" s="1"/>
      <c r="AKA65" s="1"/>
      <c r="AKB65" s="1"/>
      <c r="AKC65" s="1"/>
      <c r="AKD65" s="1"/>
      <c r="AKE65" s="1"/>
      <c r="AKF65" s="1"/>
      <c r="AKG65" s="1"/>
      <c r="AKH65" s="1"/>
      <c r="AKI65" s="1"/>
      <c r="AKJ65" s="1"/>
      <c r="AKK65" s="1"/>
      <c r="AKL65" s="1"/>
      <c r="AKM65" s="1"/>
      <c r="AKN65" s="1"/>
      <c r="AKO65" s="1"/>
      <c r="AKP65" s="1"/>
      <c r="AKQ65" s="1"/>
      <c r="AKR65" s="1"/>
      <c r="AKS65" s="1"/>
      <c r="AKT65" s="1"/>
      <c r="AKU65" s="1"/>
      <c r="AKV65" s="1"/>
      <c r="AKW65" s="1"/>
      <c r="AKX65" s="1"/>
      <c r="AKY65" s="1"/>
      <c r="AKZ65" s="1"/>
      <c r="ALA65" s="1"/>
      <c r="ALB65" s="1"/>
      <c r="ALC65" s="1"/>
      <c r="ALD65" s="1"/>
      <c r="ALE65" s="1"/>
      <c r="ALF65" s="1"/>
      <c r="ALG65" s="1"/>
      <c r="ALH65" s="1"/>
      <c r="ALI65" s="1"/>
      <c r="ALJ65" s="1"/>
      <c r="ALK65" s="1"/>
      <c r="ALL65" s="1"/>
      <c r="ALM65" s="1"/>
      <c r="ALN65" s="1"/>
      <c r="ALO65" s="1"/>
      <c r="ALP65" s="1"/>
      <c r="ALQ65" s="1"/>
      <c r="ALR65" s="1"/>
      <c r="ALS65" s="1"/>
      <c r="ALT65" s="1"/>
      <c r="ALU65" s="1"/>
      <c r="ALV65" s="1"/>
      <c r="ALW65" s="1"/>
      <c r="ALX65" s="1"/>
      <c r="ALY65" s="1"/>
      <c r="ALZ65" s="1"/>
      <c r="AMA65" s="1"/>
      <c r="AMB65" s="1"/>
      <c r="AMC65" s="1"/>
      <c r="AMD65" s="1"/>
      <c r="AME65" s="1"/>
      <c r="AMF65" s="1"/>
      <c r="AMG65" s="1"/>
      <c r="AMH65" s="1"/>
      <c r="AMI65" s="1"/>
      <c r="AMJ65" s="1"/>
      <c r="AMK65" s="1"/>
      <c r="AML65" s="1"/>
      <c r="AMM65" s="1"/>
      <c r="AMN65" s="1"/>
    </row>
    <row r="66" spans="1:1028" x14ac:dyDescent="0.2">
      <c r="A66" s="3" t="str">
        <f t="shared" si="194"/>
        <v>adrb2_human_3NY9</v>
      </c>
      <c r="B66" s="3" t="s">
        <v>126</v>
      </c>
      <c r="C66" s="3" t="s">
        <v>1030</v>
      </c>
      <c r="D66" s="3" t="str">
        <f>IFERROR(MID(VLOOKUP($B66,Seqs!$A:$B,2,0),E66,1),"")</f>
        <v>W</v>
      </c>
      <c r="E66" s="3">
        <v>32</v>
      </c>
      <c r="F66" s="3" t="str">
        <f>IFERROR(MID(VLOOKUP($B66,Seqs!$A:$B,2,0),G66,1),"")</f>
        <v>F</v>
      </c>
      <c r="G66" s="3">
        <v>61</v>
      </c>
      <c r="H66" s="3" t="str">
        <f>IFERROR(MID(VLOOKUP($B66,Seqs!$A:$B,2,0),I66,1),"")</f>
        <v>E</v>
      </c>
      <c r="I66" s="23">
        <v>62</v>
      </c>
      <c r="J66" s="3" t="str">
        <f>IFERROR(MID(VLOOKUP($B66,Seqs!$A:$B,2,0),K66,1),"")</f>
        <v>Q</v>
      </c>
      <c r="K66" s="23">
        <v>65</v>
      </c>
      <c r="L66" s="3" t="str">
        <f>IFERROR(MID(VLOOKUP($B66,Seqs!$A:$B,2,0),M66,1),"")</f>
        <v>T</v>
      </c>
      <c r="M66" s="3">
        <v>66</v>
      </c>
      <c r="N66" s="3" t="str">
        <f>IFERROR(MID(VLOOKUP($B66,Seqs!$A:$B,2,0),O66,1),"")</f>
        <v>M</v>
      </c>
      <c r="O66" s="3">
        <v>96</v>
      </c>
      <c r="P66" s="3" t="str">
        <f>IFERROR(MID(VLOOKUP($B66,Seqs!$A:$B,2,0),Q66,1),"")</f>
        <v>M</v>
      </c>
      <c r="Q66" s="3">
        <v>98</v>
      </c>
      <c r="R66" s="3" t="str">
        <f>IFERROR(MID(VLOOKUP($B66,Seqs!$A:$B,2,0),S66,1),"")</f>
        <v>F</v>
      </c>
      <c r="S66" s="3">
        <v>101</v>
      </c>
      <c r="T66" s="3" t="str">
        <f>IFERROR(MID(VLOOKUP($B66,Seqs!$A:$B,2,0),U66,1),"")</f>
        <v>G</v>
      </c>
      <c r="U66" s="3">
        <v>102</v>
      </c>
      <c r="V66" s="3" t="str">
        <f>IFERROR(MID(VLOOKUP($B66,Seqs!$A:$B,2,0),W66,1),"")</f>
        <v>S</v>
      </c>
      <c r="W66" s="3">
        <v>137</v>
      </c>
      <c r="X66" s="3" t="str">
        <f>IFERROR(MID(VLOOKUP($B66,Seqs!$A:$B,2,0),Y66,1),"")</f>
        <v/>
      </c>
      <c r="Y66" s="3" t="s">
        <v>23</v>
      </c>
      <c r="Z66" s="3" t="str">
        <f>IFERROR(MID(VLOOKUP($B66,Seqs!$A:$B,2,0),AA66,1),"")</f>
        <v/>
      </c>
      <c r="AA66" s="3" t="s">
        <v>23</v>
      </c>
      <c r="AB66" s="3" t="str">
        <f>IFERROR(MID(VLOOKUP($B66,Seqs!$A:$B,2,0),AC66,1),"")</f>
        <v>T</v>
      </c>
      <c r="AC66" s="9">
        <v>146</v>
      </c>
      <c r="AD66" s="3" t="str">
        <f>IFERROR(MID(VLOOKUP($B66,Seqs!$A:$B,2,0),AE66,1),"")</f>
        <v>H</v>
      </c>
      <c r="AE66" s="3">
        <v>172</v>
      </c>
      <c r="AF66" s="3" t="str">
        <f>IFERROR(MID(VLOOKUP($B66,Seqs!$A:$B,2,0),AG66,1),"")</f>
        <v>C</v>
      </c>
      <c r="AG66" s="3">
        <v>191</v>
      </c>
      <c r="AH66" s="3" t="str">
        <f>IFERROR(MID(VLOOKUP($B66,Seqs!$A:$B,2,0),AI66,1),"")</f>
        <v>F</v>
      </c>
      <c r="AI66" s="3">
        <v>193</v>
      </c>
      <c r="AJ66" s="3" t="str">
        <f>IFERROR(MID(VLOOKUP($B66,Seqs!$A:$B,2,0),AK66,1),"")</f>
        <v>N</v>
      </c>
      <c r="AK66" s="3">
        <v>196</v>
      </c>
      <c r="AL66" s="3" t="str">
        <f>IFERROR(MID(VLOOKUP($B66,Seqs!$A:$B,2,0),AM66,1),"")</f>
        <v>Q</v>
      </c>
      <c r="AM66" s="3">
        <v>229</v>
      </c>
      <c r="AN66" s="3" t="str">
        <f>IFERROR(MID(VLOOKUP($B66,Seqs!$A:$B,2,0),AO66,1),"")</f>
        <v>K</v>
      </c>
      <c r="AO66" s="3">
        <v>267</v>
      </c>
      <c r="AP66" s="3" t="str">
        <f>IFERROR(MID(VLOOKUP($B66,Seqs!$A:$B,2,0),AQ66,1),"")</f>
        <v>Q</v>
      </c>
      <c r="AQ66" s="3">
        <v>299</v>
      </c>
      <c r="AR66" s="3" t="str">
        <f>IFERROR(MID(VLOOKUP($B66,Seqs!$A:$B,2,0),AS66,1),"")</f>
        <v>R</v>
      </c>
      <c r="AS66" s="3">
        <v>304</v>
      </c>
      <c r="AT66" s="3" t="str">
        <f>IFERROR(MID(VLOOKUP($B66,Seqs!$A:$B,2,0),AU66,1),"")</f>
        <v>R</v>
      </c>
      <c r="AU66" s="3">
        <v>328</v>
      </c>
      <c r="AV66" s="3" t="str">
        <f>IFERROR(MID(VLOOKUP($B66,Seqs!$A:$B,2,0),AW66,1),"")</f>
        <v>S</v>
      </c>
      <c r="AW66" s="3">
        <v>329</v>
      </c>
      <c r="AX66" s="3" t="str">
        <f>IFERROR(MID(VLOOKUP($B66,Seqs!$A:$B,2,0),AY66,1),"")</f>
        <v>C</v>
      </c>
      <c r="AY66" s="3">
        <v>341</v>
      </c>
      <c r="AZ66" s="79" t="str">
        <f>VLOOKUP(B66,Classification!A:D,2,0)</f>
        <v>A</v>
      </c>
      <c r="BA66" s="97" t="str">
        <f>VLOOKUP(B66,Classification!A:D,4,0)</f>
        <v>Adrenoceptors</v>
      </c>
      <c r="BB66" s="27" t="b">
        <f t="shared" si="195"/>
        <v>1</v>
      </c>
      <c r="BC66" s="23">
        <f t="shared" si="196"/>
        <v>241</v>
      </c>
      <c r="BD66" s="4" t="s">
        <v>23</v>
      </c>
      <c r="BE66" s="3" t="s">
        <v>1381</v>
      </c>
      <c r="BF66" s="50" t="s">
        <v>1384</v>
      </c>
      <c r="BG66" s="50" t="s">
        <v>1384</v>
      </c>
      <c r="BH66" s="1"/>
      <c r="BI66" s="72" t="s">
        <v>1293</v>
      </c>
      <c r="BJ66" s="58" t="s">
        <v>1293</v>
      </c>
      <c r="BK66" s="58" t="s">
        <v>1293</v>
      </c>
      <c r="BL66" s="58" t="s">
        <v>1293</v>
      </c>
      <c r="BM66" s="58" t="s">
        <v>1293</v>
      </c>
      <c r="BN66" s="58" t="s">
        <v>1293</v>
      </c>
      <c r="BO66" s="58" t="s">
        <v>1293</v>
      </c>
      <c r="BP66" s="58" t="s">
        <v>1293</v>
      </c>
      <c r="BQ66" s="58" t="s">
        <v>1293</v>
      </c>
      <c r="BR66" s="58" t="s">
        <v>1293</v>
      </c>
      <c r="BS66" s="58" t="s">
        <v>1293</v>
      </c>
      <c r="BT66" s="58" t="s">
        <v>1293</v>
      </c>
      <c r="BU66" s="72">
        <f t="shared" si="197"/>
        <v>32</v>
      </c>
      <c r="BV66" s="73">
        <f t="shared" si="198"/>
        <v>62</v>
      </c>
      <c r="BW66" s="74">
        <f t="shared" si="199"/>
        <v>66</v>
      </c>
      <c r="BX66" s="73">
        <f t="shared" si="200"/>
        <v>98</v>
      </c>
      <c r="BY66" s="74">
        <f t="shared" si="201"/>
        <v>102</v>
      </c>
      <c r="BZ66" s="73" t="str">
        <f t="shared" si="202"/>
        <v>-</v>
      </c>
      <c r="CA66" s="74">
        <f t="shared" si="203"/>
        <v>146</v>
      </c>
      <c r="CB66" s="73">
        <f t="shared" si="204"/>
        <v>191</v>
      </c>
      <c r="CC66" s="74">
        <f t="shared" si="205"/>
        <v>196</v>
      </c>
      <c r="CD66" s="73">
        <f t="shared" si="206"/>
        <v>267</v>
      </c>
      <c r="CE66" s="74">
        <f t="shared" si="207"/>
        <v>304</v>
      </c>
      <c r="CF66" s="73">
        <f t="shared" si="208"/>
        <v>329</v>
      </c>
      <c r="CG66" s="72">
        <f t="shared" si="209"/>
        <v>61</v>
      </c>
      <c r="CH66" s="73">
        <f t="shared" si="210"/>
        <v>65</v>
      </c>
      <c r="CI66" s="74">
        <f t="shared" si="211"/>
        <v>96</v>
      </c>
      <c r="CJ66" s="74">
        <f t="shared" si="212"/>
        <v>101</v>
      </c>
      <c r="CK66" s="74">
        <f t="shared" si="213"/>
        <v>137</v>
      </c>
      <c r="CL66" s="74" t="str">
        <f t="shared" si="214"/>
        <v>-</v>
      </c>
      <c r="CM66" s="74">
        <f t="shared" si="215"/>
        <v>172</v>
      </c>
      <c r="CN66" s="74">
        <f t="shared" si="216"/>
        <v>193</v>
      </c>
      <c r="CO66" s="74">
        <f t="shared" si="217"/>
        <v>229</v>
      </c>
      <c r="CP66" s="74">
        <f t="shared" si="218"/>
        <v>299</v>
      </c>
      <c r="CQ66" s="74">
        <f t="shared" si="219"/>
        <v>328</v>
      </c>
      <c r="CR66" s="74">
        <f t="shared" si="220"/>
        <v>341</v>
      </c>
      <c r="CS66" s="23">
        <f t="shared" si="221"/>
        <v>1</v>
      </c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  <c r="OK66" s="1"/>
      <c r="OL66" s="1"/>
      <c r="OM66" s="1"/>
      <c r="ON66" s="1"/>
      <c r="OO66" s="1"/>
      <c r="OP66" s="1"/>
      <c r="OQ66" s="1"/>
      <c r="OR66" s="1"/>
      <c r="OS66" s="1"/>
      <c r="OT66" s="1"/>
      <c r="OU66" s="1"/>
      <c r="OV66" s="1"/>
      <c r="OW66" s="1"/>
      <c r="OX66" s="1"/>
      <c r="OY66" s="1"/>
      <c r="OZ66" s="1"/>
      <c r="PA66" s="1"/>
      <c r="PB66" s="1"/>
      <c r="PC66" s="1"/>
      <c r="PD66" s="1"/>
      <c r="PE66" s="1"/>
      <c r="PF66" s="1"/>
      <c r="PG66" s="1"/>
      <c r="PH66" s="1"/>
      <c r="PI66" s="1"/>
      <c r="PJ66" s="1"/>
      <c r="PK66" s="1"/>
      <c r="PL66" s="1"/>
      <c r="PM66" s="1"/>
      <c r="PN66" s="1"/>
      <c r="PO66" s="1"/>
      <c r="PP66" s="1"/>
      <c r="PQ66" s="1"/>
      <c r="PR66" s="1"/>
      <c r="PS66" s="1"/>
      <c r="PT66" s="1"/>
      <c r="PU66" s="1"/>
      <c r="PV66" s="1"/>
      <c r="PW66" s="1"/>
      <c r="PX66" s="1"/>
      <c r="PY66" s="1"/>
      <c r="PZ66" s="1"/>
      <c r="QA66" s="1"/>
      <c r="QB66" s="1"/>
      <c r="QC66" s="1"/>
      <c r="QD66" s="1"/>
      <c r="QE66" s="1"/>
      <c r="QF66" s="1"/>
      <c r="QG66" s="1"/>
      <c r="QH66" s="1"/>
      <c r="QI66" s="1"/>
      <c r="QJ66" s="1"/>
      <c r="QK66" s="1"/>
      <c r="QL66" s="1"/>
      <c r="QM66" s="1"/>
      <c r="QN66" s="1"/>
      <c r="QO66" s="1"/>
      <c r="QP66" s="1"/>
      <c r="QQ66" s="1"/>
      <c r="QR66" s="1"/>
      <c r="QS66" s="1"/>
      <c r="QT66" s="1"/>
      <c r="QU66" s="1"/>
      <c r="QV66" s="1"/>
      <c r="QW66" s="1"/>
      <c r="QX66" s="1"/>
      <c r="QY66" s="1"/>
      <c r="QZ66" s="1"/>
      <c r="RA66" s="1"/>
      <c r="RB66" s="1"/>
      <c r="RC66" s="1"/>
      <c r="RD66" s="1"/>
      <c r="RE66" s="1"/>
      <c r="RF66" s="1"/>
      <c r="RG66" s="1"/>
      <c r="RH66" s="1"/>
      <c r="RI66" s="1"/>
      <c r="RJ66" s="1"/>
      <c r="RK66" s="1"/>
      <c r="RL66" s="1"/>
      <c r="RM66" s="1"/>
      <c r="RN66" s="1"/>
      <c r="RO66" s="1"/>
      <c r="RP66" s="1"/>
      <c r="RQ66" s="1"/>
      <c r="RR66" s="1"/>
      <c r="RS66" s="1"/>
      <c r="RT66" s="1"/>
      <c r="RU66" s="1"/>
      <c r="RV66" s="1"/>
      <c r="RW66" s="1"/>
      <c r="RX66" s="1"/>
      <c r="RY66" s="1"/>
      <c r="RZ66" s="1"/>
      <c r="SA66" s="1"/>
      <c r="SB66" s="1"/>
      <c r="SC66" s="1"/>
      <c r="SD66" s="1"/>
      <c r="SE66" s="1"/>
      <c r="SF66" s="1"/>
      <c r="SG66" s="1"/>
      <c r="SH66" s="1"/>
      <c r="SI66" s="1"/>
      <c r="SJ66" s="1"/>
      <c r="SK66" s="1"/>
      <c r="SL66" s="1"/>
      <c r="SM66" s="1"/>
      <c r="SN66" s="1"/>
      <c r="SO66" s="1"/>
      <c r="SP66" s="1"/>
      <c r="SQ66" s="1"/>
      <c r="SR66" s="1"/>
      <c r="SS66" s="1"/>
      <c r="ST66" s="1"/>
      <c r="SU66" s="1"/>
      <c r="SV66" s="1"/>
      <c r="SW66" s="1"/>
      <c r="SX66" s="1"/>
      <c r="SY66" s="1"/>
      <c r="SZ66" s="1"/>
      <c r="TA66" s="1"/>
      <c r="TB66" s="1"/>
      <c r="TC66" s="1"/>
      <c r="TD66" s="1"/>
      <c r="TE66" s="1"/>
      <c r="TF66" s="1"/>
      <c r="TG66" s="1"/>
      <c r="TH66" s="1"/>
      <c r="TI66" s="1"/>
      <c r="TJ66" s="1"/>
      <c r="TK66" s="1"/>
      <c r="TL66" s="1"/>
      <c r="TM66" s="1"/>
      <c r="TN66" s="1"/>
      <c r="TO66" s="1"/>
      <c r="TP66" s="1"/>
      <c r="TQ66" s="1"/>
      <c r="TR66" s="1"/>
      <c r="TS66" s="1"/>
      <c r="TT66" s="1"/>
      <c r="TU66" s="1"/>
      <c r="TV66" s="1"/>
      <c r="TW66" s="1"/>
      <c r="TX66" s="1"/>
      <c r="TY66" s="1"/>
      <c r="TZ66" s="1"/>
      <c r="UA66" s="1"/>
      <c r="UB66" s="1"/>
      <c r="UC66" s="1"/>
      <c r="UD66" s="1"/>
      <c r="UE66" s="1"/>
      <c r="UF66" s="1"/>
      <c r="UG66" s="1"/>
      <c r="UH66" s="1"/>
      <c r="UI66" s="1"/>
      <c r="UJ66" s="1"/>
      <c r="UK66" s="1"/>
      <c r="UL66" s="1"/>
      <c r="UM66" s="1"/>
      <c r="UN66" s="1"/>
      <c r="UO66" s="1"/>
      <c r="UP66" s="1"/>
      <c r="UQ66" s="1"/>
      <c r="UR66" s="1"/>
      <c r="US66" s="1"/>
      <c r="UT66" s="1"/>
      <c r="UU66" s="1"/>
      <c r="UV66" s="1"/>
      <c r="UW66" s="1"/>
      <c r="UX66" s="1"/>
      <c r="UY66" s="1"/>
      <c r="UZ66" s="1"/>
      <c r="VA66" s="1"/>
      <c r="VB66" s="1"/>
      <c r="VC66" s="1"/>
      <c r="VD66" s="1"/>
      <c r="VE66" s="1"/>
      <c r="VF66" s="1"/>
      <c r="VG66" s="1"/>
      <c r="VH66" s="1"/>
      <c r="VI66" s="1"/>
      <c r="VJ66" s="1"/>
      <c r="VK66" s="1"/>
      <c r="VL66" s="1"/>
      <c r="VM66" s="1"/>
      <c r="VN66" s="1"/>
      <c r="VO66" s="1"/>
      <c r="VP66" s="1"/>
      <c r="VQ66" s="1"/>
      <c r="VR66" s="1"/>
      <c r="VS66" s="1"/>
      <c r="VT66" s="1"/>
      <c r="VU66" s="1"/>
      <c r="VV66" s="1"/>
      <c r="VW66" s="1"/>
      <c r="VX66" s="1"/>
      <c r="VY66" s="1"/>
      <c r="VZ66" s="1"/>
      <c r="WA66" s="1"/>
      <c r="WB66" s="1"/>
      <c r="WC66" s="1"/>
      <c r="WD66" s="1"/>
      <c r="WE66" s="1"/>
      <c r="WF66" s="1"/>
      <c r="WG66" s="1"/>
      <c r="WH66" s="1"/>
      <c r="WI66" s="1"/>
      <c r="WJ66" s="1"/>
      <c r="WK66" s="1"/>
      <c r="WL66" s="1"/>
      <c r="WM66" s="1"/>
      <c r="WN66" s="1"/>
      <c r="WO66" s="1"/>
      <c r="WP66" s="1"/>
      <c r="WQ66" s="1"/>
      <c r="WR66" s="1"/>
      <c r="WS66" s="1"/>
      <c r="WT66" s="1"/>
      <c r="WU66" s="1"/>
      <c r="WV66" s="1"/>
      <c r="WW66" s="1"/>
      <c r="WX66" s="1"/>
      <c r="WY66" s="1"/>
      <c r="WZ66" s="1"/>
      <c r="XA66" s="1"/>
      <c r="XB66" s="1"/>
      <c r="XC66" s="1"/>
      <c r="XD66" s="1"/>
      <c r="XE66" s="1"/>
      <c r="XF66" s="1"/>
      <c r="XG66" s="1"/>
      <c r="XH66" s="1"/>
      <c r="XI66" s="1"/>
      <c r="XJ66" s="1"/>
      <c r="XK66" s="1"/>
      <c r="XL66" s="1"/>
      <c r="XM66" s="1"/>
      <c r="XN66" s="1"/>
      <c r="XO66" s="1"/>
      <c r="XP66" s="1"/>
      <c r="XQ66" s="1"/>
      <c r="XR66" s="1"/>
      <c r="XS66" s="1"/>
      <c r="XT66" s="1"/>
      <c r="XU66" s="1"/>
      <c r="XV66" s="1"/>
      <c r="XW66" s="1"/>
      <c r="XX66" s="1"/>
      <c r="XY66" s="1"/>
      <c r="XZ66" s="1"/>
      <c r="YA66" s="1"/>
      <c r="YB66" s="1"/>
      <c r="YC66" s="1"/>
      <c r="YD66" s="1"/>
      <c r="YE66" s="1"/>
      <c r="YF66" s="1"/>
      <c r="YG66" s="1"/>
      <c r="YH66" s="1"/>
      <c r="YI66" s="1"/>
      <c r="YJ66" s="1"/>
      <c r="YK66" s="1"/>
      <c r="YL66" s="1"/>
      <c r="YM66" s="1"/>
      <c r="YN66" s="1"/>
      <c r="YO66" s="1"/>
      <c r="YP66" s="1"/>
      <c r="YQ66" s="1"/>
      <c r="YR66" s="1"/>
      <c r="YS66" s="1"/>
      <c r="YT66" s="1"/>
      <c r="YU66" s="1"/>
      <c r="YV66" s="1"/>
      <c r="YW66" s="1"/>
      <c r="YX66" s="1"/>
      <c r="YY66" s="1"/>
      <c r="YZ66" s="1"/>
      <c r="ZA66" s="1"/>
      <c r="ZB66" s="1"/>
      <c r="ZC66" s="1"/>
      <c r="ZD66" s="1"/>
      <c r="ZE66" s="1"/>
      <c r="ZF66" s="1"/>
      <c r="ZG66" s="1"/>
      <c r="ZH66" s="1"/>
      <c r="ZI66" s="1"/>
      <c r="ZJ66" s="1"/>
      <c r="ZK66" s="1"/>
      <c r="ZL66" s="1"/>
      <c r="ZM66" s="1"/>
      <c r="ZN66" s="1"/>
      <c r="ZO66" s="1"/>
      <c r="ZP66" s="1"/>
      <c r="ZQ66" s="1"/>
      <c r="ZR66" s="1"/>
      <c r="ZS66" s="1"/>
      <c r="ZT66" s="1"/>
      <c r="ZU66" s="1"/>
      <c r="ZV66" s="1"/>
      <c r="ZW66" s="1"/>
      <c r="ZX66" s="1"/>
      <c r="ZY66" s="1"/>
      <c r="ZZ66" s="1"/>
      <c r="AAA66" s="1"/>
      <c r="AAB66" s="1"/>
      <c r="AAC66" s="1"/>
      <c r="AAD66" s="1"/>
      <c r="AAE66" s="1"/>
      <c r="AAF66" s="1"/>
      <c r="AAG66" s="1"/>
      <c r="AAH66" s="1"/>
      <c r="AAI66" s="1"/>
      <c r="AAJ66" s="1"/>
      <c r="AAK66" s="1"/>
      <c r="AAL66" s="1"/>
      <c r="AAM66" s="1"/>
      <c r="AAN66" s="1"/>
      <c r="AAO66" s="1"/>
      <c r="AAP66" s="1"/>
      <c r="AAQ66" s="1"/>
      <c r="AAR66" s="1"/>
      <c r="AAS66" s="1"/>
      <c r="AAT66" s="1"/>
      <c r="AAU66" s="1"/>
      <c r="AAV66" s="1"/>
      <c r="AAW66" s="1"/>
      <c r="AAX66" s="1"/>
      <c r="AAY66" s="1"/>
      <c r="AAZ66" s="1"/>
      <c r="ABA66" s="1"/>
      <c r="ABB66" s="1"/>
      <c r="ABC66" s="1"/>
      <c r="ABD66" s="1"/>
      <c r="ABE66" s="1"/>
      <c r="ABF66" s="1"/>
      <c r="ABG66" s="1"/>
      <c r="ABH66" s="1"/>
      <c r="ABI66" s="1"/>
      <c r="ABJ66" s="1"/>
      <c r="ABK66" s="1"/>
      <c r="ABL66" s="1"/>
      <c r="ABM66" s="1"/>
      <c r="ABN66" s="1"/>
      <c r="ABO66" s="1"/>
      <c r="ABP66" s="1"/>
      <c r="ABQ66" s="1"/>
      <c r="ABR66" s="1"/>
      <c r="ABS66" s="1"/>
      <c r="ABT66" s="1"/>
      <c r="ABU66" s="1"/>
      <c r="ABV66" s="1"/>
      <c r="ABW66" s="1"/>
      <c r="ABX66" s="1"/>
      <c r="ABY66" s="1"/>
      <c r="ABZ66" s="1"/>
      <c r="ACA66" s="1"/>
      <c r="ACB66" s="1"/>
      <c r="ACC66" s="1"/>
      <c r="ACD66" s="1"/>
      <c r="ACE66" s="1"/>
      <c r="ACF66" s="1"/>
      <c r="ACG66" s="1"/>
      <c r="ACH66" s="1"/>
      <c r="ACI66" s="1"/>
      <c r="ACJ66" s="1"/>
      <c r="ACK66" s="1"/>
      <c r="ACL66" s="1"/>
      <c r="ACM66" s="1"/>
      <c r="ACN66" s="1"/>
      <c r="ACO66" s="1"/>
      <c r="ACP66" s="1"/>
      <c r="ACQ66" s="1"/>
      <c r="ACR66" s="1"/>
      <c r="ACS66" s="1"/>
      <c r="ACT66" s="1"/>
      <c r="ACU66" s="1"/>
      <c r="ACV66" s="1"/>
      <c r="ACW66" s="1"/>
      <c r="ACX66" s="1"/>
      <c r="ACY66" s="1"/>
      <c r="ACZ66" s="1"/>
      <c r="ADA66" s="1"/>
      <c r="ADB66" s="1"/>
      <c r="ADC66" s="1"/>
      <c r="ADD66" s="1"/>
      <c r="ADE66" s="1"/>
      <c r="ADF66" s="1"/>
      <c r="ADG66" s="1"/>
      <c r="ADH66" s="1"/>
      <c r="ADI66" s="1"/>
      <c r="ADJ66" s="1"/>
      <c r="ADK66" s="1"/>
      <c r="ADL66" s="1"/>
      <c r="ADM66" s="1"/>
      <c r="ADN66" s="1"/>
      <c r="ADO66" s="1"/>
      <c r="ADP66" s="1"/>
      <c r="ADQ66" s="1"/>
      <c r="ADR66" s="1"/>
      <c r="ADS66" s="1"/>
      <c r="ADT66" s="1"/>
      <c r="ADU66" s="1"/>
      <c r="ADV66" s="1"/>
      <c r="ADW66" s="1"/>
      <c r="ADX66" s="1"/>
      <c r="ADY66" s="1"/>
      <c r="ADZ66" s="1"/>
      <c r="AEA66" s="1"/>
      <c r="AEB66" s="1"/>
      <c r="AEC66" s="1"/>
      <c r="AED66" s="1"/>
      <c r="AEE66" s="1"/>
      <c r="AEF66" s="1"/>
      <c r="AEG66" s="1"/>
      <c r="AEH66" s="1"/>
      <c r="AEI66" s="1"/>
      <c r="AEJ66" s="1"/>
      <c r="AEK66" s="1"/>
      <c r="AEL66" s="1"/>
      <c r="AEM66" s="1"/>
      <c r="AEN66" s="1"/>
      <c r="AEO66" s="1"/>
      <c r="AEP66" s="1"/>
      <c r="AEQ66" s="1"/>
      <c r="AER66" s="1"/>
      <c r="AES66" s="1"/>
      <c r="AET66" s="1"/>
      <c r="AEU66" s="1"/>
      <c r="AEV66" s="1"/>
      <c r="AEW66" s="1"/>
      <c r="AEX66" s="1"/>
      <c r="AEY66" s="1"/>
      <c r="AEZ66" s="1"/>
      <c r="AFA66" s="1"/>
      <c r="AFB66" s="1"/>
      <c r="AFC66" s="1"/>
      <c r="AFD66" s="1"/>
      <c r="AFE66" s="1"/>
      <c r="AFF66" s="1"/>
      <c r="AFG66" s="1"/>
      <c r="AFH66" s="1"/>
      <c r="AFI66" s="1"/>
      <c r="AFJ66" s="1"/>
      <c r="AFK66" s="1"/>
      <c r="AFL66" s="1"/>
      <c r="AFM66" s="1"/>
      <c r="AFN66" s="1"/>
      <c r="AFO66" s="1"/>
      <c r="AFP66" s="1"/>
      <c r="AFQ66" s="1"/>
      <c r="AFR66" s="1"/>
      <c r="AFS66" s="1"/>
      <c r="AFT66" s="1"/>
      <c r="AFU66" s="1"/>
      <c r="AFV66" s="1"/>
      <c r="AFW66" s="1"/>
      <c r="AFX66" s="1"/>
      <c r="AFY66" s="1"/>
      <c r="AFZ66" s="1"/>
      <c r="AGA66" s="1"/>
      <c r="AGB66" s="1"/>
      <c r="AGC66" s="1"/>
      <c r="AGD66" s="1"/>
      <c r="AGE66" s="1"/>
      <c r="AGF66" s="1"/>
      <c r="AGG66" s="1"/>
      <c r="AGH66" s="1"/>
      <c r="AGI66" s="1"/>
      <c r="AGJ66" s="1"/>
      <c r="AGK66" s="1"/>
      <c r="AGL66" s="1"/>
      <c r="AGM66" s="1"/>
      <c r="AGN66" s="1"/>
      <c r="AGO66" s="1"/>
      <c r="AGP66" s="1"/>
      <c r="AGQ66" s="1"/>
      <c r="AGR66" s="1"/>
      <c r="AGS66" s="1"/>
      <c r="AGT66" s="1"/>
      <c r="AGU66" s="1"/>
      <c r="AGV66" s="1"/>
      <c r="AGW66" s="1"/>
      <c r="AGX66" s="1"/>
      <c r="AGY66" s="1"/>
      <c r="AGZ66" s="1"/>
      <c r="AHA66" s="1"/>
      <c r="AHB66" s="1"/>
      <c r="AHC66" s="1"/>
      <c r="AHD66" s="1"/>
      <c r="AHE66" s="1"/>
      <c r="AHF66" s="1"/>
      <c r="AHG66" s="1"/>
      <c r="AHH66" s="1"/>
      <c r="AHI66" s="1"/>
      <c r="AHJ66" s="1"/>
      <c r="AHK66" s="1"/>
      <c r="AHL66" s="1"/>
      <c r="AHM66" s="1"/>
      <c r="AHN66" s="1"/>
      <c r="AHO66" s="1"/>
      <c r="AHP66" s="1"/>
      <c r="AHQ66" s="1"/>
      <c r="AHR66" s="1"/>
      <c r="AHS66" s="1"/>
      <c r="AHT66" s="1"/>
      <c r="AHU66" s="1"/>
      <c r="AHV66" s="1"/>
      <c r="AHW66" s="1"/>
      <c r="AHX66" s="1"/>
      <c r="AHY66" s="1"/>
      <c r="AHZ66" s="1"/>
      <c r="AIA66" s="1"/>
      <c r="AIB66" s="1"/>
      <c r="AIC66" s="1"/>
      <c r="AID66" s="1"/>
      <c r="AIE66" s="1"/>
      <c r="AIF66" s="1"/>
      <c r="AIG66" s="1"/>
      <c r="AIH66" s="1"/>
      <c r="AII66" s="1"/>
      <c r="AIJ66" s="1"/>
      <c r="AIK66" s="1"/>
      <c r="AIL66" s="1"/>
      <c r="AIM66" s="1"/>
      <c r="AIN66" s="1"/>
      <c r="AIO66" s="1"/>
      <c r="AIP66" s="1"/>
      <c r="AIQ66" s="1"/>
      <c r="AIR66" s="1"/>
      <c r="AIS66" s="1"/>
      <c r="AIT66" s="1"/>
      <c r="AIU66" s="1"/>
      <c r="AIV66" s="1"/>
      <c r="AIW66" s="1"/>
      <c r="AIX66" s="1"/>
      <c r="AIY66" s="1"/>
      <c r="AIZ66" s="1"/>
      <c r="AJA66" s="1"/>
      <c r="AJB66" s="1"/>
      <c r="AJC66" s="1"/>
      <c r="AJD66" s="1"/>
      <c r="AJE66" s="1"/>
      <c r="AJF66" s="1"/>
      <c r="AJG66" s="1"/>
      <c r="AJH66" s="1"/>
      <c r="AJI66" s="1"/>
      <c r="AJJ66" s="1"/>
      <c r="AJK66" s="1"/>
      <c r="AJL66" s="1"/>
      <c r="AJM66" s="1"/>
      <c r="AJN66" s="1"/>
      <c r="AJO66" s="1"/>
      <c r="AJP66" s="1"/>
      <c r="AJQ66" s="1"/>
      <c r="AJR66" s="1"/>
      <c r="AJS66" s="1"/>
      <c r="AJT66" s="1"/>
      <c r="AJU66" s="1"/>
      <c r="AJV66" s="1"/>
      <c r="AJW66" s="1"/>
      <c r="AJX66" s="1"/>
      <c r="AJY66" s="1"/>
      <c r="AJZ66" s="1"/>
      <c r="AKA66" s="1"/>
      <c r="AKB66" s="1"/>
      <c r="AKC66" s="1"/>
      <c r="AKD66" s="1"/>
      <c r="AKE66" s="1"/>
      <c r="AKF66" s="1"/>
      <c r="AKG66" s="1"/>
      <c r="AKH66" s="1"/>
      <c r="AKI66" s="1"/>
      <c r="AKJ66" s="1"/>
      <c r="AKK66" s="1"/>
      <c r="AKL66" s="1"/>
      <c r="AKM66" s="1"/>
      <c r="AKN66" s="1"/>
      <c r="AKO66" s="1"/>
      <c r="AKP66" s="1"/>
      <c r="AKQ66" s="1"/>
      <c r="AKR66" s="1"/>
      <c r="AKS66" s="1"/>
      <c r="AKT66" s="1"/>
      <c r="AKU66" s="1"/>
      <c r="AKV66" s="1"/>
      <c r="AKW66" s="1"/>
      <c r="AKX66" s="1"/>
      <c r="AKY66" s="1"/>
      <c r="AKZ66" s="1"/>
      <c r="ALA66" s="1"/>
      <c r="ALB66" s="1"/>
      <c r="ALC66" s="1"/>
      <c r="ALD66" s="1"/>
      <c r="ALE66" s="1"/>
      <c r="ALF66" s="1"/>
      <c r="ALG66" s="1"/>
      <c r="ALH66" s="1"/>
      <c r="ALI66" s="1"/>
      <c r="ALJ66" s="1"/>
      <c r="ALK66" s="1"/>
      <c r="ALL66" s="1"/>
      <c r="ALM66" s="1"/>
      <c r="ALN66" s="1"/>
      <c r="ALO66" s="1"/>
      <c r="ALP66" s="1"/>
      <c r="ALQ66" s="1"/>
      <c r="ALR66" s="1"/>
      <c r="ALS66" s="1"/>
      <c r="ALT66" s="1"/>
      <c r="ALU66" s="1"/>
      <c r="ALV66" s="1"/>
      <c r="ALW66" s="1"/>
      <c r="ALX66" s="1"/>
      <c r="ALY66" s="1"/>
      <c r="ALZ66" s="1"/>
      <c r="AMA66" s="1"/>
      <c r="AMB66" s="1"/>
      <c r="AMC66" s="1"/>
      <c r="AMD66" s="1"/>
      <c r="AME66" s="1"/>
      <c r="AMF66" s="1"/>
      <c r="AMG66" s="1"/>
      <c r="AMH66" s="1"/>
      <c r="AMI66" s="1"/>
      <c r="AMJ66" s="1"/>
      <c r="AMK66" s="1"/>
      <c r="AML66" s="1"/>
      <c r="AMM66" s="1"/>
      <c r="AMN66" s="1"/>
    </row>
    <row r="67" spans="1:1028" x14ac:dyDescent="0.2">
      <c r="A67" s="3" t="str">
        <f t="shared" si="194"/>
        <v>adrb2_human_3NYA</v>
      </c>
      <c r="B67" s="3" t="s">
        <v>126</v>
      </c>
      <c r="C67" s="3" t="s">
        <v>1340</v>
      </c>
      <c r="D67" s="3" t="str">
        <f>IFERROR(MID(VLOOKUP($B67,Seqs!$A:$B,2,0),E67,1),"")</f>
        <v>W</v>
      </c>
      <c r="E67" s="3">
        <v>32</v>
      </c>
      <c r="F67" s="3" t="str">
        <f>IFERROR(MID(VLOOKUP($B67,Seqs!$A:$B,2,0),G67,1),"")</f>
        <v>F</v>
      </c>
      <c r="G67" s="3">
        <v>61</v>
      </c>
      <c r="H67" s="3" t="str">
        <f>IFERROR(MID(VLOOKUP($B67,Seqs!$A:$B,2,0),I67,1),"")</f>
        <v>E</v>
      </c>
      <c r="I67" s="23">
        <v>62</v>
      </c>
      <c r="J67" s="3" t="str">
        <f>IFERROR(MID(VLOOKUP($B67,Seqs!$A:$B,2,0),K67,1),"")</f>
        <v>Q</v>
      </c>
      <c r="K67" s="23">
        <v>65</v>
      </c>
      <c r="L67" s="3" t="str">
        <f>IFERROR(MID(VLOOKUP($B67,Seqs!$A:$B,2,0),M67,1),"")</f>
        <v>T</v>
      </c>
      <c r="M67" s="3">
        <v>66</v>
      </c>
      <c r="N67" s="3" t="str">
        <f>IFERROR(MID(VLOOKUP($B67,Seqs!$A:$B,2,0),O67,1),"")</f>
        <v>M</v>
      </c>
      <c r="O67" s="3">
        <v>96</v>
      </c>
      <c r="P67" s="3" t="str">
        <f>IFERROR(MID(VLOOKUP($B67,Seqs!$A:$B,2,0),Q67,1),"")</f>
        <v>M</v>
      </c>
      <c r="Q67" s="3">
        <v>98</v>
      </c>
      <c r="R67" s="3" t="str">
        <f>IFERROR(MID(VLOOKUP($B67,Seqs!$A:$B,2,0),S67,1),"")</f>
        <v>F</v>
      </c>
      <c r="S67" s="3">
        <v>101</v>
      </c>
      <c r="T67" s="3" t="str">
        <f>IFERROR(MID(VLOOKUP($B67,Seqs!$A:$B,2,0),U67,1),"")</f>
        <v>G</v>
      </c>
      <c r="U67" s="3">
        <v>102</v>
      </c>
      <c r="V67" s="3" t="str">
        <f>IFERROR(MID(VLOOKUP($B67,Seqs!$A:$B,2,0),W67,1),"")</f>
        <v>S</v>
      </c>
      <c r="W67" s="3">
        <v>137</v>
      </c>
      <c r="X67" s="3" t="str">
        <f>IFERROR(MID(VLOOKUP($B67,Seqs!$A:$B,2,0),Y67,1),"")</f>
        <v/>
      </c>
      <c r="Y67" s="3" t="s">
        <v>23</v>
      </c>
      <c r="Z67" s="3" t="str">
        <f>IFERROR(MID(VLOOKUP($B67,Seqs!$A:$B,2,0),AA67,1),"")</f>
        <v/>
      </c>
      <c r="AA67" s="3" t="s">
        <v>23</v>
      </c>
      <c r="AB67" s="3" t="str">
        <f>IFERROR(MID(VLOOKUP($B67,Seqs!$A:$B,2,0),AC67,1),"")</f>
        <v>T</v>
      </c>
      <c r="AC67" s="9">
        <v>146</v>
      </c>
      <c r="AD67" s="3" t="str">
        <f>IFERROR(MID(VLOOKUP($B67,Seqs!$A:$B,2,0),AE67,1),"")</f>
        <v>H</v>
      </c>
      <c r="AE67" s="3">
        <v>172</v>
      </c>
      <c r="AF67" s="3" t="str">
        <f>IFERROR(MID(VLOOKUP($B67,Seqs!$A:$B,2,0),AG67,1),"")</f>
        <v>C</v>
      </c>
      <c r="AG67" s="3">
        <v>191</v>
      </c>
      <c r="AH67" s="3" t="str">
        <f>IFERROR(MID(VLOOKUP($B67,Seqs!$A:$B,2,0),AI67,1),"")</f>
        <v>F</v>
      </c>
      <c r="AI67" s="3">
        <v>193</v>
      </c>
      <c r="AJ67" s="3" t="str">
        <f>IFERROR(MID(VLOOKUP($B67,Seqs!$A:$B,2,0),AK67,1),"")</f>
        <v>N</v>
      </c>
      <c r="AK67" s="3">
        <v>196</v>
      </c>
      <c r="AL67" s="3" t="str">
        <f>IFERROR(MID(VLOOKUP($B67,Seqs!$A:$B,2,0),AM67,1),"")</f>
        <v>Q</v>
      </c>
      <c r="AM67" s="3">
        <v>229</v>
      </c>
      <c r="AN67" s="3" t="str">
        <f>IFERROR(MID(VLOOKUP($B67,Seqs!$A:$B,2,0),AO67,1),"")</f>
        <v>K</v>
      </c>
      <c r="AO67" s="3">
        <v>267</v>
      </c>
      <c r="AP67" s="3" t="str">
        <f>IFERROR(MID(VLOOKUP($B67,Seqs!$A:$B,2,0),AQ67,1),"")</f>
        <v>Q</v>
      </c>
      <c r="AQ67" s="3">
        <v>299</v>
      </c>
      <c r="AR67" s="3" t="str">
        <f>IFERROR(MID(VLOOKUP($B67,Seqs!$A:$B,2,0),AS67,1),"")</f>
        <v>R</v>
      </c>
      <c r="AS67" s="3">
        <v>304</v>
      </c>
      <c r="AT67" s="3" t="str">
        <f>IFERROR(MID(VLOOKUP($B67,Seqs!$A:$B,2,0),AU67,1),"")</f>
        <v>R</v>
      </c>
      <c r="AU67" s="3">
        <v>328</v>
      </c>
      <c r="AV67" s="3" t="str">
        <f>IFERROR(MID(VLOOKUP($B67,Seqs!$A:$B,2,0),AW67,1),"")</f>
        <v>S</v>
      </c>
      <c r="AW67" s="3">
        <v>329</v>
      </c>
      <c r="AX67" s="3" t="str">
        <f>IFERROR(MID(VLOOKUP($B67,Seqs!$A:$B,2,0),AY67,1),"")</f>
        <v>C</v>
      </c>
      <c r="AY67" s="3">
        <v>341</v>
      </c>
      <c r="AZ67" s="79" t="str">
        <f>VLOOKUP(B67,Classification!A:D,2,0)</f>
        <v>A</v>
      </c>
      <c r="BA67" s="97" t="str">
        <f>VLOOKUP(B67,Classification!A:D,4,0)</f>
        <v>Adrenoceptors</v>
      </c>
      <c r="BB67" s="27" t="b">
        <f t="shared" si="195"/>
        <v>1</v>
      </c>
      <c r="BC67" s="23">
        <f t="shared" si="196"/>
        <v>241</v>
      </c>
      <c r="BD67" s="4" t="s">
        <v>23</v>
      </c>
      <c r="BE67" s="3" t="s">
        <v>1381</v>
      </c>
      <c r="BF67" s="50" t="s">
        <v>1384</v>
      </c>
      <c r="BG67" s="50" t="s">
        <v>1384</v>
      </c>
      <c r="BH67" s="1"/>
      <c r="BI67" s="72" t="s">
        <v>1293</v>
      </c>
      <c r="BJ67" s="58" t="s">
        <v>1293</v>
      </c>
      <c r="BK67" s="58" t="s">
        <v>1293</v>
      </c>
      <c r="BL67" s="58" t="s">
        <v>1293</v>
      </c>
      <c r="BM67" s="58" t="s">
        <v>1293</v>
      </c>
      <c r="BN67" s="58" t="s">
        <v>1293</v>
      </c>
      <c r="BO67" s="58" t="s">
        <v>1293</v>
      </c>
      <c r="BP67" s="58" t="s">
        <v>1293</v>
      </c>
      <c r="BQ67" s="58" t="s">
        <v>1293</v>
      </c>
      <c r="BR67" s="58" t="s">
        <v>1293</v>
      </c>
      <c r="BS67" s="58" t="s">
        <v>1293</v>
      </c>
      <c r="BT67" s="58" t="s">
        <v>1293</v>
      </c>
      <c r="BU67" s="72">
        <f t="shared" si="197"/>
        <v>32</v>
      </c>
      <c r="BV67" s="73">
        <f t="shared" si="198"/>
        <v>62</v>
      </c>
      <c r="BW67" s="74">
        <f t="shared" si="199"/>
        <v>66</v>
      </c>
      <c r="BX67" s="73">
        <f t="shared" si="200"/>
        <v>98</v>
      </c>
      <c r="BY67" s="74">
        <f t="shared" si="201"/>
        <v>102</v>
      </c>
      <c r="BZ67" s="73" t="str">
        <f t="shared" si="202"/>
        <v>-</v>
      </c>
      <c r="CA67" s="74">
        <f t="shared" si="203"/>
        <v>146</v>
      </c>
      <c r="CB67" s="73">
        <f t="shared" si="204"/>
        <v>191</v>
      </c>
      <c r="CC67" s="74">
        <f t="shared" si="205"/>
        <v>196</v>
      </c>
      <c r="CD67" s="73">
        <f t="shared" si="206"/>
        <v>267</v>
      </c>
      <c r="CE67" s="74">
        <f t="shared" si="207"/>
        <v>304</v>
      </c>
      <c r="CF67" s="73">
        <f t="shared" si="208"/>
        <v>329</v>
      </c>
      <c r="CG67" s="72">
        <f t="shared" si="209"/>
        <v>61</v>
      </c>
      <c r="CH67" s="73">
        <f t="shared" si="210"/>
        <v>65</v>
      </c>
      <c r="CI67" s="74">
        <f t="shared" si="211"/>
        <v>96</v>
      </c>
      <c r="CJ67" s="74">
        <f t="shared" si="212"/>
        <v>101</v>
      </c>
      <c r="CK67" s="74">
        <f t="shared" si="213"/>
        <v>137</v>
      </c>
      <c r="CL67" s="74" t="str">
        <f t="shared" si="214"/>
        <v>-</v>
      </c>
      <c r="CM67" s="74">
        <f t="shared" si="215"/>
        <v>172</v>
      </c>
      <c r="CN67" s="74">
        <f t="shared" si="216"/>
        <v>193</v>
      </c>
      <c r="CO67" s="74">
        <f t="shared" si="217"/>
        <v>229</v>
      </c>
      <c r="CP67" s="74">
        <f t="shared" si="218"/>
        <v>299</v>
      </c>
      <c r="CQ67" s="74">
        <f t="shared" si="219"/>
        <v>328</v>
      </c>
      <c r="CR67" s="74">
        <f t="shared" si="220"/>
        <v>341</v>
      </c>
      <c r="CS67" s="23">
        <f t="shared" si="221"/>
        <v>1</v>
      </c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  <c r="OK67" s="1"/>
      <c r="OL67" s="1"/>
      <c r="OM67" s="1"/>
      <c r="ON67" s="1"/>
      <c r="OO67" s="1"/>
      <c r="OP67" s="1"/>
      <c r="OQ67" s="1"/>
      <c r="OR67" s="1"/>
      <c r="OS67" s="1"/>
      <c r="OT67" s="1"/>
      <c r="OU67" s="1"/>
      <c r="OV67" s="1"/>
      <c r="OW67" s="1"/>
      <c r="OX67" s="1"/>
      <c r="OY67" s="1"/>
      <c r="OZ67" s="1"/>
      <c r="PA67" s="1"/>
      <c r="PB67" s="1"/>
      <c r="PC67" s="1"/>
      <c r="PD67" s="1"/>
      <c r="PE67" s="1"/>
      <c r="PF67" s="1"/>
      <c r="PG67" s="1"/>
      <c r="PH67" s="1"/>
      <c r="PI67" s="1"/>
      <c r="PJ67" s="1"/>
      <c r="PK67" s="1"/>
      <c r="PL67" s="1"/>
      <c r="PM67" s="1"/>
      <c r="PN67" s="1"/>
      <c r="PO67" s="1"/>
      <c r="PP67" s="1"/>
      <c r="PQ67" s="1"/>
      <c r="PR67" s="1"/>
      <c r="PS67" s="1"/>
      <c r="PT67" s="1"/>
      <c r="PU67" s="1"/>
      <c r="PV67" s="1"/>
      <c r="PW67" s="1"/>
      <c r="PX67" s="1"/>
      <c r="PY67" s="1"/>
      <c r="PZ67" s="1"/>
      <c r="QA67" s="1"/>
      <c r="QB67" s="1"/>
      <c r="QC67" s="1"/>
      <c r="QD67" s="1"/>
      <c r="QE67" s="1"/>
      <c r="QF67" s="1"/>
      <c r="QG67" s="1"/>
      <c r="QH67" s="1"/>
      <c r="QI67" s="1"/>
      <c r="QJ67" s="1"/>
      <c r="QK67" s="1"/>
      <c r="QL67" s="1"/>
      <c r="QM67" s="1"/>
      <c r="QN67" s="1"/>
      <c r="QO67" s="1"/>
      <c r="QP67" s="1"/>
      <c r="QQ67" s="1"/>
      <c r="QR67" s="1"/>
      <c r="QS67" s="1"/>
      <c r="QT67" s="1"/>
      <c r="QU67" s="1"/>
      <c r="QV67" s="1"/>
      <c r="QW67" s="1"/>
      <c r="QX67" s="1"/>
      <c r="QY67" s="1"/>
      <c r="QZ67" s="1"/>
      <c r="RA67" s="1"/>
      <c r="RB67" s="1"/>
      <c r="RC67" s="1"/>
      <c r="RD67" s="1"/>
      <c r="RE67" s="1"/>
      <c r="RF67" s="1"/>
      <c r="RG67" s="1"/>
      <c r="RH67" s="1"/>
      <c r="RI67" s="1"/>
      <c r="RJ67" s="1"/>
      <c r="RK67" s="1"/>
      <c r="RL67" s="1"/>
      <c r="RM67" s="1"/>
      <c r="RN67" s="1"/>
      <c r="RO67" s="1"/>
      <c r="RP67" s="1"/>
      <c r="RQ67" s="1"/>
      <c r="RR67" s="1"/>
      <c r="RS67" s="1"/>
      <c r="RT67" s="1"/>
      <c r="RU67" s="1"/>
      <c r="RV67" s="1"/>
      <c r="RW67" s="1"/>
      <c r="RX67" s="1"/>
      <c r="RY67" s="1"/>
      <c r="RZ67" s="1"/>
      <c r="SA67" s="1"/>
      <c r="SB67" s="1"/>
      <c r="SC67" s="1"/>
      <c r="SD67" s="1"/>
      <c r="SE67" s="1"/>
      <c r="SF67" s="1"/>
      <c r="SG67" s="1"/>
      <c r="SH67" s="1"/>
      <c r="SI67" s="1"/>
      <c r="SJ67" s="1"/>
      <c r="SK67" s="1"/>
      <c r="SL67" s="1"/>
      <c r="SM67" s="1"/>
      <c r="SN67" s="1"/>
      <c r="SO67" s="1"/>
      <c r="SP67" s="1"/>
      <c r="SQ67" s="1"/>
      <c r="SR67" s="1"/>
      <c r="SS67" s="1"/>
      <c r="ST67" s="1"/>
      <c r="SU67" s="1"/>
      <c r="SV67" s="1"/>
      <c r="SW67" s="1"/>
      <c r="SX67" s="1"/>
      <c r="SY67" s="1"/>
      <c r="SZ67" s="1"/>
      <c r="TA67" s="1"/>
      <c r="TB67" s="1"/>
      <c r="TC67" s="1"/>
      <c r="TD67" s="1"/>
      <c r="TE67" s="1"/>
      <c r="TF67" s="1"/>
      <c r="TG67" s="1"/>
      <c r="TH67" s="1"/>
      <c r="TI67" s="1"/>
      <c r="TJ67" s="1"/>
      <c r="TK67" s="1"/>
      <c r="TL67" s="1"/>
      <c r="TM67" s="1"/>
      <c r="TN67" s="1"/>
      <c r="TO67" s="1"/>
      <c r="TP67" s="1"/>
      <c r="TQ67" s="1"/>
      <c r="TR67" s="1"/>
      <c r="TS67" s="1"/>
      <c r="TT67" s="1"/>
      <c r="TU67" s="1"/>
      <c r="TV67" s="1"/>
      <c r="TW67" s="1"/>
      <c r="TX67" s="1"/>
      <c r="TY67" s="1"/>
      <c r="TZ67" s="1"/>
      <c r="UA67" s="1"/>
      <c r="UB67" s="1"/>
      <c r="UC67" s="1"/>
      <c r="UD67" s="1"/>
      <c r="UE67" s="1"/>
      <c r="UF67" s="1"/>
      <c r="UG67" s="1"/>
      <c r="UH67" s="1"/>
      <c r="UI67" s="1"/>
      <c r="UJ67" s="1"/>
      <c r="UK67" s="1"/>
      <c r="UL67" s="1"/>
      <c r="UM67" s="1"/>
      <c r="UN67" s="1"/>
      <c r="UO67" s="1"/>
      <c r="UP67" s="1"/>
      <c r="UQ67" s="1"/>
      <c r="UR67" s="1"/>
      <c r="US67" s="1"/>
      <c r="UT67" s="1"/>
      <c r="UU67" s="1"/>
      <c r="UV67" s="1"/>
      <c r="UW67" s="1"/>
      <c r="UX67" s="1"/>
      <c r="UY67" s="1"/>
      <c r="UZ67" s="1"/>
      <c r="VA67" s="1"/>
      <c r="VB67" s="1"/>
      <c r="VC67" s="1"/>
      <c r="VD67" s="1"/>
      <c r="VE67" s="1"/>
      <c r="VF67" s="1"/>
      <c r="VG67" s="1"/>
      <c r="VH67" s="1"/>
      <c r="VI67" s="1"/>
      <c r="VJ67" s="1"/>
      <c r="VK67" s="1"/>
      <c r="VL67" s="1"/>
      <c r="VM67" s="1"/>
      <c r="VN67" s="1"/>
      <c r="VO67" s="1"/>
      <c r="VP67" s="1"/>
      <c r="VQ67" s="1"/>
      <c r="VR67" s="1"/>
      <c r="VS67" s="1"/>
      <c r="VT67" s="1"/>
      <c r="VU67" s="1"/>
      <c r="VV67" s="1"/>
      <c r="VW67" s="1"/>
      <c r="VX67" s="1"/>
      <c r="VY67" s="1"/>
      <c r="VZ67" s="1"/>
      <c r="WA67" s="1"/>
      <c r="WB67" s="1"/>
      <c r="WC67" s="1"/>
      <c r="WD67" s="1"/>
      <c r="WE67" s="1"/>
      <c r="WF67" s="1"/>
      <c r="WG67" s="1"/>
      <c r="WH67" s="1"/>
      <c r="WI67" s="1"/>
      <c r="WJ67" s="1"/>
      <c r="WK67" s="1"/>
      <c r="WL67" s="1"/>
      <c r="WM67" s="1"/>
      <c r="WN67" s="1"/>
      <c r="WO67" s="1"/>
      <c r="WP67" s="1"/>
      <c r="WQ67" s="1"/>
      <c r="WR67" s="1"/>
      <c r="WS67" s="1"/>
      <c r="WT67" s="1"/>
      <c r="WU67" s="1"/>
      <c r="WV67" s="1"/>
      <c r="WW67" s="1"/>
      <c r="WX67" s="1"/>
      <c r="WY67" s="1"/>
      <c r="WZ67" s="1"/>
      <c r="XA67" s="1"/>
      <c r="XB67" s="1"/>
      <c r="XC67" s="1"/>
      <c r="XD67" s="1"/>
      <c r="XE67" s="1"/>
      <c r="XF67" s="1"/>
      <c r="XG67" s="1"/>
      <c r="XH67" s="1"/>
      <c r="XI67" s="1"/>
      <c r="XJ67" s="1"/>
      <c r="XK67" s="1"/>
      <c r="XL67" s="1"/>
      <c r="XM67" s="1"/>
      <c r="XN67" s="1"/>
      <c r="XO67" s="1"/>
      <c r="XP67" s="1"/>
      <c r="XQ67" s="1"/>
      <c r="XR67" s="1"/>
      <c r="XS67" s="1"/>
      <c r="XT67" s="1"/>
      <c r="XU67" s="1"/>
      <c r="XV67" s="1"/>
      <c r="XW67" s="1"/>
      <c r="XX67" s="1"/>
      <c r="XY67" s="1"/>
      <c r="XZ67" s="1"/>
      <c r="YA67" s="1"/>
      <c r="YB67" s="1"/>
      <c r="YC67" s="1"/>
      <c r="YD67" s="1"/>
      <c r="YE67" s="1"/>
      <c r="YF67" s="1"/>
      <c r="YG67" s="1"/>
      <c r="YH67" s="1"/>
      <c r="YI67" s="1"/>
      <c r="YJ67" s="1"/>
      <c r="YK67" s="1"/>
      <c r="YL67" s="1"/>
      <c r="YM67" s="1"/>
      <c r="YN67" s="1"/>
      <c r="YO67" s="1"/>
      <c r="YP67" s="1"/>
      <c r="YQ67" s="1"/>
      <c r="YR67" s="1"/>
      <c r="YS67" s="1"/>
      <c r="YT67" s="1"/>
      <c r="YU67" s="1"/>
      <c r="YV67" s="1"/>
      <c r="YW67" s="1"/>
      <c r="YX67" s="1"/>
      <c r="YY67" s="1"/>
      <c r="YZ67" s="1"/>
      <c r="ZA67" s="1"/>
      <c r="ZB67" s="1"/>
      <c r="ZC67" s="1"/>
      <c r="ZD67" s="1"/>
      <c r="ZE67" s="1"/>
      <c r="ZF67" s="1"/>
      <c r="ZG67" s="1"/>
      <c r="ZH67" s="1"/>
      <c r="ZI67" s="1"/>
      <c r="ZJ67" s="1"/>
      <c r="ZK67" s="1"/>
      <c r="ZL67" s="1"/>
      <c r="ZM67" s="1"/>
      <c r="ZN67" s="1"/>
      <c r="ZO67" s="1"/>
      <c r="ZP67" s="1"/>
      <c r="ZQ67" s="1"/>
      <c r="ZR67" s="1"/>
      <c r="ZS67" s="1"/>
      <c r="ZT67" s="1"/>
      <c r="ZU67" s="1"/>
      <c r="ZV67" s="1"/>
      <c r="ZW67" s="1"/>
      <c r="ZX67" s="1"/>
      <c r="ZY67" s="1"/>
      <c r="ZZ67" s="1"/>
      <c r="AAA67" s="1"/>
      <c r="AAB67" s="1"/>
      <c r="AAC67" s="1"/>
      <c r="AAD67" s="1"/>
      <c r="AAE67" s="1"/>
      <c r="AAF67" s="1"/>
      <c r="AAG67" s="1"/>
      <c r="AAH67" s="1"/>
      <c r="AAI67" s="1"/>
      <c r="AAJ67" s="1"/>
      <c r="AAK67" s="1"/>
      <c r="AAL67" s="1"/>
      <c r="AAM67" s="1"/>
      <c r="AAN67" s="1"/>
      <c r="AAO67" s="1"/>
      <c r="AAP67" s="1"/>
      <c r="AAQ67" s="1"/>
      <c r="AAR67" s="1"/>
      <c r="AAS67" s="1"/>
      <c r="AAT67" s="1"/>
      <c r="AAU67" s="1"/>
      <c r="AAV67" s="1"/>
      <c r="AAW67" s="1"/>
      <c r="AAX67" s="1"/>
      <c r="AAY67" s="1"/>
      <c r="AAZ67" s="1"/>
      <c r="ABA67" s="1"/>
      <c r="ABB67" s="1"/>
      <c r="ABC67" s="1"/>
      <c r="ABD67" s="1"/>
      <c r="ABE67" s="1"/>
      <c r="ABF67" s="1"/>
      <c r="ABG67" s="1"/>
      <c r="ABH67" s="1"/>
      <c r="ABI67" s="1"/>
      <c r="ABJ67" s="1"/>
      <c r="ABK67" s="1"/>
      <c r="ABL67" s="1"/>
      <c r="ABM67" s="1"/>
      <c r="ABN67" s="1"/>
      <c r="ABO67" s="1"/>
      <c r="ABP67" s="1"/>
      <c r="ABQ67" s="1"/>
      <c r="ABR67" s="1"/>
      <c r="ABS67" s="1"/>
      <c r="ABT67" s="1"/>
      <c r="ABU67" s="1"/>
      <c r="ABV67" s="1"/>
      <c r="ABW67" s="1"/>
      <c r="ABX67" s="1"/>
      <c r="ABY67" s="1"/>
      <c r="ABZ67" s="1"/>
      <c r="ACA67" s="1"/>
      <c r="ACB67" s="1"/>
      <c r="ACC67" s="1"/>
      <c r="ACD67" s="1"/>
      <c r="ACE67" s="1"/>
      <c r="ACF67" s="1"/>
      <c r="ACG67" s="1"/>
      <c r="ACH67" s="1"/>
      <c r="ACI67" s="1"/>
      <c r="ACJ67" s="1"/>
      <c r="ACK67" s="1"/>
      <c r="ACL67" s="1"/>
      <c r="ACM67" s="1"/>
      <c r="ACN67" s="1"/>
      <c r="ACO67" s="1"/>
      <c r="ACP67" s="1"/>
      <c r="ACQ67" s="1"/>
      <c r="ACR67" s="1"/>
      <c r="ACS67" s="1"/>
      <c r="ACT67" s="1"/>
      <c r="ACU67" s="1"/>
      <c r="ACV67" s="1"/>
      <c r="ACW67" s="1"/>
      <c r="ACX67" s="1"/>
      <c r="ACY67" s="1"/>
      <c r="ACZ67" s="1"/>
      <c r="ADA67" s="1"/>
      <c r="ADB67" s="1"/>
      <c r="ADC67" s="1"/>
      <c r="ADD67" s="1"/>
      <c r="ADE67" s="1"/>
      <c r="ADF67" s="1"/>
      <c r="ADG67" s="1"/>
      <c r="ADH67" s="1"/>
      <c r="ADI67" s="1"/>
      <c r="ADJ67" s="1"/>
      <c r="ADK67" s="1"/>
      <c r="ADL67" s="1"/>
      <c r="ADM67" s="1"/>
      <c r="ADN67" s="1"/>
      <c r="ADO67" s="1"/>
      <c r="ADP67" s="1"/>
      <c r="ADQ67" s="1"/>
      <c r="ADR67" s="1"/>
      <c r="ADS67" s="1"/>
      <c r="ADT67" s="1"/>
      <c r="ADU67" s="1"/>
      <c r="ADV67" s="1"/>
      <c r="ADW67" s="1"/>
      <c r="ADX67" s="1"/>
      <c r="ADY67" s="1"/>
      <c r="ADZ67" s="1"/>
      <c r="AEA67" s="1"/>
      <c r="AEB67" s="1"/>
      <c r="AEC67" s="1"/>
      <c r="AED67" s="1"/>
      <c r="AEE67" s="1"/>
      <c r="AEF67" s="1"/>
      <c r="AEG67" s="1"/>
      <c r="AEH67" s="1"/>
      <c r="AEI67" s="1"/>
      <c r="AEJ67" s="1"/>
      <c r="AEK67" s="1"/>
      <c r="AEL67" s="1"/>
      <c r="AEM67" s="1"/>
      <c r="AEN67" s="1"/>
      <c r="AEO67" s="1"/>
      <c r="AEP67" s="1"/>
      <c r="AEQ67" s="1"/>
      <c r="AER67" s="1"/>
      <c r="AES67" s="1"/>
      <c r="AET67" s="1"/>
      <c r="AEU67" s="1"/>
      <c r="AEV67" s="1"/>
      <c r="AEW67" s="1"/>
      <c r="AEX67" s="1"/>
      <c r="AEY67" s="1"/>
      <c r="AEZ67" s="1"/>
      <c r="AFA67" s="1"/>
      <c r="AFB67" s="1"/>
      <c r="AFC67" s="1"/>
      <c r="AFD67" s="1"/>
      <c r="AFE67" s="1"/>
      <c r="AFF67" s="1"/>
      <c r="AFG67" s="1"/>
      <c r="AFH67" s="1"/>
      <c r="AFI67" s="1"/>
      <c r="AFJ67" s="1"/>
      <c r="AFK67" s="1"/>
      <c r="AFL67" s="1"/>
      <c r="AFM67" s="1"/>
      <c r="AFN67" s="1"/>
      <c r="AFO67" s="1"/>
      <c r="AFP67" s="1"/>
      <c r="AFQ67" s="1"/>
      <c r="AFR67" s="1"/>
      <c r="AFS67" s="1"/>
      <c r="AFT67" s="1"/>
      <c r="AFU67" s="1"/>
      <c r="AFV67" s="1"/>
      <c r="AFW67" s="1"/>
      <c r="AFX67" s="1"/>
      <c r="AFY67" s="1"/>
      <c r="AFZ67" s="1"/>
      <c r="AGA67" s="1"/>
      <c r="AGB67" s="1"/>
      <c r="AGC67" s="1"/>
      <c r="AGD67" s="1"/>
      <c r="AGE67" s="1"/>
      <c r="AGF67" s="1"/>
      <c r="AGG67" s="1"/>
      <c r="AGH67" s="1"/>
      <c r="AGI67" s="1"/>
      <c r="AGJ67" s="1"/>
      <c r="AGK67" s="1"/>
      <c r="AGL67" s="1"/>
      <c r="AGM67" s="1"/>
      <c r="AGN67" s="1"/>
      <c r="AGO67" s="1"/>
      <c r="AGP67" s="1"/>
      <c r="AGQ67" s="1"/>
      <c r="AGR67" s="1"/>
      <c r="AGS67" s="1"/>
      <c r="AGT67" s="1"/>
      <c r="AGU67" s="1"/>
      <c r="AGV67" s="1"/>
      <c r="AGW67" s="1"/>
      <c r="AGX67" s="1"/>
      <c r="AGY67" s="1"/>
      <c r="AGZ67" s="1"/>
      <c r="AHA67" s="1"/>
      <c r="AHB67" s="1"/>
      <c r="AHC67" s="1"/>
      <c r="AHD67" s="1"/>
      <c r="AHE67" s="1"/>
      <c r="AHF67" s="1"/>
      <c r="AHG67" s="1"/>
      <c r="AHH67" s="1"/>
      <c r="AHI67" s="1"/>
      <c r="AHJ67" s="1"/>
      <c r="AHK67" s="1"/>
      <c r="AHL67" s="1"/>
      <c r="AHM67" s="1"/>
      <c r="AHN67" s="1"/>
      <c r="AHO67" s="1"/>
      <c r="AHP67" s="1"/>
      <c r="AHQ67" s="1"/>
      <c r="AHR67" s="1"/>
      <c r="AHS67" s="1"/>
      <c r="AHT67" s="1"/>
      <c r="AHU67" s="1"/>
      <c r="AHV67" s="1"/>
      <c r="AHW67" s="1"/>
      <c r="AHX67" s="1"/>
      <c r="AHY67" s="1"/>
      <c r="AHZ67" s="1"/>
      <c r="AIA67" s="1"/>
      <c r="AIB67" s="1"/>
      <c r="AIC67" s="1"/>
      <c r="AID67" s="1"/>
      <c r="AIE67" s="1"/>
      <c r="AIF67" s="1"/>
      <c r="AIG67" s="1"/>
      <c r="AIH67" s="1"/>
      <c r="AII67" s="1"/>
      <c r="AIJ67" s="1"/>
      <c r="AIK67" s="1"/>
      <c r="AIL67" s="1"/>
      <c r="AIM67" s="1"/>
      <c r="AIN67" s="1"/>
      <c r="AIO67" s="1"/>
      <c r="AIP67" s="1"/>
      <c r="AIQ67" s="1"/>
      <c r="AIR67" s="1"/>
      <c r="AIS67" s="1"/>
      <c r="AIT67" s="1"/>
      <c r="AIU67" s="1"/>
      <c r="AIV67" s="1"/>
      <c r="AIW67" s="1"/>
      <c r="AIX67" s="1"/>
      <c r="AIY67" s="1"/>
      <c r="AIZ67" s="1"/>
      <c r="AJA67" s="1"/>
      <c r="AJB67" s="1"/>
      <c r="AJC67" s="1"/>
      <c r="AJD67" s="1"/>
      <c r="AJE67" s="1"/>
      <c r="AJF67" s="1"/>
      <c r="AJG67" s="1"/>
      <c r="AJH67" s="1"/>
      <c r="AJI67" s="1"/>
      <c r="AJJ67" s="1"/>
      <c r="AJK67" s="1"/>
      <c r="AJL67" s="1"/>
      <c r="AJM67" s="1"/>
      <c r="AJN67" s="1"/>
      <c r="AJO67" s="1"/>
      <c r="AJP67" s="1"/>
      <c r="AJQ67" s="1"/>
      <c r="AJR67" s="1"/>
      <c r="AJS67" s="1"/>
      <c r="AJT67" s="1"/>
      <c r="AJU67" s="1"/>
      <c r="AJV67" s="1"/>
      <c r="AJW67" s="1"/>
      <c r="AJX67" s="1"/>
      <c r="AJY67" s="1"/>
      <c r="AJZ67" s="1"/>
      <c r="AKA67" s="1"/>
      <c r="AKB67" s="1"/>
      <c r="AKC67" s="1"/>
      <c r="AKD67" s="1"/>
      <c r="AKE67" s="1"/>
      <c r="AKF67" s="1"/>
      <c r="AKG67" s="1"/>
      <c r="AKH67" s="1"/>
      <c r="AKI67" s="1"/>
      <c r="AKJ67" s="1"/>
      <c r="AKK67" s="1"/>
      <c r="AKL67" s="1"/>
      <c r="AKM67" s="1"/>
      <c r="AKN67" s="1"/>
      <c r="AKO67" s="1"/>
      <c r="AKP67" s="1"/>
      <c r="AKQ67" s="1"/>
      <c r="AKR67" s="1"/>
      <c r="AKS67" s="1"/>
      <c r="AKT67" s="1"/>
      <c r="AKU67" s="1"/>
      <c r="AKV67" s="1"/>
      <c r="AKW67" s="1"/>
      <c r="AKX67" s="1"/>
      <c r="AKY67" s="1"/>
      <c r="AKZ67" s="1"/>
      <c r="ALA67" s="1"/>
      <c r="ALB67" s="1"/>
      <c r="ALC67" s="1"/>
      <c r="ALD67" s="1"/>
      <c r="ALE67" s="1"/>
      <c r="ALF67" s="1"/>
      <c r="ALG67" s="1"/>
      <c r="ALH67" s="1"/>
      <c r="ALI67" s="1"/>
      <c r="ALJ67" s="1"/>
      <c r="ALK67" s="1"/>
      <c r="ALL67" s="1"/>
      <c r="ALM67" s="1"/>
      <c r="ALN67" s="1"/>
      <c r="ALO67" s="1"/>
      <c r="ALP67" s="1"/>
      <c r="ALQ67" s="1"/>
      <c r="ALR67" s="1"/>
      <c r="ALS67" s="1"/>
      <c r="ALT67" s="1"/>
      <c r="ALU67" s="1"/>
      <c r="ALV67" s="1"/>
      <c r="ALW67" s="1"/>
      <c r="ALX67" s="1"/>
      <c r="ALY67" s="1"/>
      <c r="ALZ67" s="1"/>
      <c r="AMA67" s="1"/>
      <c r="AMB67" s="1"/>
      <c r="AMC67" s="1"/>
      <c r="AMD67" s="1"/>
      <c r="AME67" s="1"/>
      <c r="AMF67" s="1"/>
      <c r="AMG67" s="1"/>
      <c r="AMH67" s="1"/>
      <c r="AMI67" s="1"/>
      <c r="AMJ67" s="1"/>
      <c r="AMK67" s="1"/>
      <c r="AML67" s="1"/>
      <c r="AMM67" s="1"/>
      <c r="AMN67" s="1"/>
    </row>
    <row r="68" spans="1:1028" x14ac:dyDescent="0.2">
      <c r="A68" s="3" t="str">
        <f t="shared" si="194"/>
        <v>adrb2_human_3P0G</v>
      </c>
      <c r="B68" s="3" t="s">
        <v>126</v>
      </c>
      <c r="C68" s="3" t="s">
        <v>66</v>
      </c>
      <c r="D68" s="3" t="str">
        <f>IFERROR(MID(VLOOKUP($B68,Seqs!$A:$B,2,0),E68,1),"")</f>
        <v>Q</v>
      </c>
      <c r="E68" s="3">
        <v>26</v>
      </c>
      <c r="F68" s="3" t="str">
        <f>IFERROR(MID(VLOOKUP($B68,Seqs!$A:$B,2,0),G68,1),"")</f>
        <v>F</v>
      </c>
      <c r="G68" s="3">
        <v>61</v>
      </c>
      <c r="H68" s="3" t="str">
        <f>IFERROR(MID(VLOOKUP($B68,Seqs!$A:$B,2,0),I68,1),"")</f>
        <v>E</v>
      </c>
      <c r="I68" s="23">
        <v>62</v>
      </c>
      <c r="J68" s="3" t="str">
        <f>IFERROR(MID(VLOOKUP($B68,Seqs!$A:$B,2,0),K68,1),"")</f>
        <v>Q</v>
      </c>
      <c r="K68" s="23">
        <v>65</v>
      </c>
      <c r="L68" s="3" t="str">
        <f>IFERROR(MID(VLOOKUP($B68,Seqs!$A:$B,2,0),M68,1),"")</f>
        <v>T</v>
      </c>
      <c r="M68" s="3">
        <v>66</v>
      </c>
      <c r="N68" s="3" t="str">
        <f>IFERROR(MID(VLOOKUP($B68,Seqs!$A:$B,2,0),O68,1),"")</f>
        <v>M</v>
      </c>
      <c r="O68" s="3">
        <v>96</v>
      </c>
      <c r="P68" s="3" t="str">
        <f>IFERROR(MID(VLOOKUP($B68,Seqs!$A:$B,2,0),Q68,1),"")</f>
        <v>M</v>
      </c>
      <c r="Q68" s="3">
        <v>98</v>
      </c>
      <c r="R68" s="3" t="str">
        <f>IFERROR(MID(VLOOKUP($B68,Seqs!$A:$B,2,0),S68,1),"")</f>
        <v>F</v>
      </c>
      <c r="S68" s="3">
        <v>101</v>
      </c>
      <c r="T68" s="3" t="str">
        <f>IFERROR(MID(VLOOKUP($B68,Seqs!$A:$B,2,0),U68,1),"")</f>
        <v>G</v>
      </c>
      <c r="U68" s="3">
        <v>102</v>
      </c>
      <c r="V68" s="3" t="str">
        <f>IFERROR(MID(VLOOKUP($B68,Seqs!$A:$B,2,0),W68,1),"")</f>
        <v>S</v>
      </c>
      <c r="W68" s="3">
        <v>137</v>
      </c>
      <c r="X68" s="3" t="str">
        <f>IFERROR(MID(VLOOKUP($B68,Seqs!$A:$B,2,0),Y68,1),"")</f>
        <v>P</v>
      </c>
      <c r="Y68" s="3">
        <v>138</v>
      </c>
      <c r="Z68" s="3" t="str">
        <f>IFERROR(MID(VLOOKUP($B68,Seqs!$A:$B,2,0),AA68,1),"")</f>
        <v>L</v>
      </c>
      <c r="AA68" s="3">
        <v>145</v>
      </c>
      <c r="AB68" s="3" t="str">
        <f>IFERROR(MID(VLOOKUP($B68,Seqs!$A:$B,2,0),AC68,1),"")</f>
        <v>T</v>
      </c>
      <c r="AC68" s="9">
        <v>146</v>
      </c>
      <c r="AD68" s="3" t="str">
        <f>IFERROR(MID(VLOOKUP($B68,Seqs!$A:$B,2,0),AE68,1),"")</f>
        <v>H</v>
      </c>
      <c r="AE68" s="3">
        <v>172</v>
      </c>
      <c r="AF68" s="3" t="str">
        <f>IFERROR(MID(VLOOKUP($B68,Seqs!$A:$B,2,0),AG68,1),"")</f>
        <v>C</v>
      </c>
      <c r="AG68" s="3">
        <v>191</v>
      </c>
      <c r="AH68" s="3" t="str">
        <f>IFERROR(MID(VLOOKUP($B68,Seqs!$A:$B,2,0),AI68,1),"")</f>
        <v>F</v>
      </c>
      <c r="AI68" s="3">
        <v>193</v>
      </c>
      <c r="AJ68" s="3" t="str">
        <f>IFERROR(MID(VLOOKUP($B68,Seqs!$A:$B,2,0),AK68,1),"")</f>
        <v>N</v>
      </c>
      <c r="AK68" s="3">
        <v>196</v>
      </c>
      <c r="AL68" s="3" t="str">
        <f>IFERROR(MID(VLOOKUP($B68,Seqs!$A:$B,2,0),AM68,1),"")</f>
        <v>A</v>
      </c>
      <c r="AM68" s="3">
        <v>226</v>
      </c>
      <c r="AN68" s="3" t="str">
        <f>IFERROR(MID(VLOOKUP($B68,Seqs!$A:$B,2,0),AO68,1),"")</f>
        <v>H</v>
      </c>
      <c r="AO68" s="3">
        <v>269</v>
      </c>
      <c r="AP68" s="3" t="str">
        <f>IFERROR(MID(VLOOKUP($B68,Seqs!$A:$B,2,0),AQ68,1),"")</f>
        <v>Q</v>
      </c>
      <c r="AQ68" s="3">
        <v>299</v>
      </c>
      <c r="AR68" s="3" t="str">
        <f>IFERROR(MID(VLOOKUP($B68,Seqs!$A:$B,2,0),AS68,1),"")</f>
        <v>R</v>
      </c>
      <c r="AS68" s="3">
        <v>304</v>
      </c>
      <c r="AT68" s="3" t="str">
        <f>IFERROR(MID(VLOOKUP($B68,Seqs!$A:$B,2,0),AU68,1),"")</f>
        <v>R</v>
      </c>
      <c r="AU68" s="3">
        <v>328</v>
      </c>
      <c r="AV68" s="3" t="str">
        <f>IFERROR(MID(VLOOKUP($B68,Seqs!$A:$B,2,0),AW68,1),"")</f>
        <v>S</v>
      </c>
      <c r="AW68" s="3">
        <v>329</v>
      </c>
      <c r="AX68" s="3" t="str">
        <f>IFERROR(MID(VLOOKUP($B68,Seqs!$A:$B,2,0),AY68,1),"")</f>
        <v>C</v>
      </c>
      <c r="AY68" s="3">
        <v>341</v>
      </c>
      <c r="AZ68" s="79" t="str">
        <f>VLOOKUP(B68,Classification!A:D,2,0)</f>
        <v>A</v>
      </c>
      <c r="BA68" s="97" t="str">
        <f>VLOOKUP(B68,Classification!A:D,4,0)</f>
        <v>Adrenoceptors</v>
      </c>
      <c r="BB68" s="27" t="b">
        <f t="shared" si="195"/>
        <v>1</v>
      </c>
      <c r="BC68" s="23">
        <f t="shared" si="196"/>
        <v>249</v>
      </c>
      <c r="BD68" s="4" t="s">
        <v>23</v>
      </c>
      <c r="BE68" s="3" t="s">
        <v>1297</v>
      </c>
      <c r="BF68" s="50" t="s">
        <v>1384</v>
      </c>
      <c r="BG68" s="50" t="s">
        <v>1384</v>
      </c>
      <c r="BH68" s="1"/>
      <c r="BI68" s="72" t="s">
        <v>1293</v>
      </c>
      <c r="BJ68" s="58" t="s">
        <v>1293</v>
      </c>
      <c r="BK68" s="58" t="s">
        <v>1293</v>
      </c>
      <c r="BL68" s="58" t="s">
        <v>1293</v>
      </c>
      <c r="BM68" s="58" t="s">
        <v>1293</v>
      </c>
      <c r="BN68" s="58" t="s">
        <v>1293</v>
      </c>
      <c r="BO68" s="58" t="s">
        <v>1293</v>
      </c>
      <c r="BP68" s="58" t="s">
        <v>1293</v>
      </c>
      <c r="BQ68" s="58" t="s">
        <v>1293</v>
      </c>
      <c r="BR68" s="58" t="s">
        <v>1293</v>
      </c>
      <c r="BS68" s="58" t="s">
        <v>1293</v>
      </c>
      <c r="BT68" s="58" t="s">
        <v>1293</v>
      </c>
      <c r="BU68" s="72">
        <f t="shared" si="197"/>
        <v>26</v>
      </c>
      <c r="BV68" s="73">
        <f t="shared" si="198"/>
        <v>62</v>
      </c>
      <c r="BW68" s="74">
        <f t="shared" si="199"/>
        <v>66</v>
      </c>
      <c r="BX68" s="73">
        <f t="shared" si="200"/>
        <v>98</v>
      </c>
      <c r="BY68" s="74">
        <f t="shared" si="201"/>
        <v>102</v>
      </c>
      <c r="BZ68" s="73">
        <f t="shared" si="202"/>
        <v>138</v>
      </c>
      <c r="CA68" s="74">
        <f t="shared" si="203"/>
        <v>146</v>
      </c>
      <c r="CB68" s="73">
        <f t="shared" si="204"/>
        <v>191</v>
      </c>
      <c r="CC68" s="74">
        <f t="shared" si="205"/>
        <v>196</v>
      </c>
      <c r="CD68" s="73">
        <f t="shared" si="206"/>
        <v>269</v>
      </c>
      <c r="CE68" s="74">
        <f t="shared" si="207"/>
        <v>304</v>
      </c>
      <c r="CF68" s="73">
        <f t="shared" si="208"/>
        <v>329</v>
      </c>
      <c r="CG68" s="72">
        <f t="shared" si="209"/>
        <v>61</v>
      </c>
      <c r="CH68" s="73">
        <f t="shared" si="210"/>
        <v>65</v>
      </c>
      <c r="CI68" s="74">
        <f t="shared" si="211"/>
        <v>96</v>
      </c>
      <c r="CJ68" s="74">
        <f t="shared" si="212"/>
        <v>101</v>
      </c>
      <c r="CK68" s="74">
        <f t="shared" si="213"/>
        <v>137</v>
      </c>
      <c r="CL68" s="74">
        <f t="shared" si="214"/>
        <v>145</v>
      </c>
      <c r="CM68" s="74">
        <f t="shared" si="215"/>
        <v>172</v>
      </c>
      <c r="CN68" s="74">
        <f t="shared" si="216"/>
        <v>193</v>
      </c>
      <c r="CO68" s="74">
        <f t="shared" si="217"/>
        <v>226</v>
      </c>
      <c r="CP68" s="74">
        <f t="shared" si="218"/>
        <v>299</v>
      </c>
      <c r="CQ68" s="74">
        <f t="shared" si="219"/>
        <v>328</v>
      </c>
      <c r="CR68" s="74">
        <f t="shared" si="220"/>
        <v>341</v>
      </c>
      <c r="CS68" s="23">
        <f t="shared" si="221"/>
        <v>1</v>
      </c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  <c r="OK68" s="1"/>
      <c r="OL68" s="1"/>
      <c r="OM68" s="1"/>
      <c r="ON68" s="1"/>
      <c r="OO68" s="1"/>
      <c r="OP68" s="1"/>
      <c r="OQ68" s="1"/>
      <c r="OR68" s="1"/>
      <c r="OS68" s="1"/>
      <c r="OT68" s="1"/>
      <c r="OU68" s="1"/>
      <c r="OV68" s="1"/>
      <c r="OW68" s="1"/>
      <c r="OX68" s="1"/>
      <c r="OY68" s="1"/>
      <c r="OZ68" s="1"/>
      <c r="PA68" s="1"/>
      <c r="PB68" s="1"/>
      <c r="PC68" s="1"/>
      <c r="PD68" s="1"/>
      <c r="PE68" s="1"/>
      <c r="PF68" s="1"/>
      <c r="PG68" s="1"/>
      <c r="PH68" s="1"/>
      <c r="PI68" s="1"/>
      <c r="PJ68" s="1"/>
      <c r="PK68" s="1"/>
      <c r="PL68" s="1"/>
      <c r="PM68" s="1"/>
      <c r="PN68" s="1"/>
      <c r="PO68" s="1"/>
      <c r="PP68" s="1"/>
      <c r="PQ68" s="1"/>
      <c r="PR68" s="1"/>
      <c r="PS68" s="1"/>
      <c r="PT68" s="1"/>
      <c r="PU68" s="1"/>
      <c r="PV68" s="1"/>
      <c r="PW68" s="1"/>
      <c r="PX68" s="1"/>
      <c r="PY68" s="1"/>
      <c r="PZ68" s="1"/>
      <c r="QA68" s="1"/>
      <c r="QB68" s="1"/>
      <c r="QC68" s="1"/>
      <c r="QD68" s="1"/>
      <c r="QE68" s="1"/>
      <c r="QF68" s="1"/>
      <c r="QG68" s="1"/>
      <c r="QH68" s="1"/>
      <c r="QI68" s="1"/>
      <c r="QJ68" s="1"/>
      <c r="QK68" s="1"/>
      <c r="QL68" s="1"/>
      <c r="QM68" s="1"/>
      <c r="QN68" s="1"/>
      <c r="QO68" s="1"/>
      <c r="QP68" s="1"/>
      <c r="QQ68" s="1"/>
      <c r="QR68" s="1"/>
      <c r="QS68" s="1"/>
      <c r="QT68" s="1"/>
      <c r="QU68" s="1"/>
      <c r="QV68" s="1"/>
      <c r="QW68" s="1"/>
      <c r="QX68" s="1"/>
      <c r="QY68" s="1"/>
      <c r="QZ68" s="1"/>
      <c r="RA68" s="1"/>
      <c r="RB68" s="1"/>
      <c r="RC68" s="1"/>
      <c r="RD68" s="1"/>
      <c r="RE68" s="1"/>
      <c r="RF68" s="1"/>
      <c r="RG68" s="1"/>
      <c r="RH68" s="1"/>
      <c r="RI68" s="1"/>
      <c r="RJ68" s="1"/>
      <c r="RK68" s="1"/>
      <c r="RL68" s="1"/>
      <c r="RM68" s="1"/>
      <c r="RN68" s="1"/>
      <c r="RO68" s="1"/>
      <c r="RP68" s="1"/>
      <c r="RQ68" s="1"/>
      <c r="RR68" s="1"/>
      <c r="RS68" s="1"/>
      <c r="RT68" s="1"/>
      <c r="RU68" s="1"/>
      <c r="RV68" s="1"/>
      <c r="RW68" s="1"/>
      <c r="RX68" s="1"/>
      <c r="RY68" s="1"/>
      <c r="RZ68" s="1"/>
      <c r="SA68" s="1"/>
      <c r="SB68" s="1"/>
      <c r="SC68" s="1"/>
      <c r="SD68" s="1"/>
      <c r="SE68" s="1"/>
      <c r="SF68" s="1"/>
      <c r="SG68" s="1"/>
      <c r="SH68" s="1"/>
      <c r="SI68" s="1"/>
      <c r="SJ68" s="1"/>
      <c r="SK68" s="1"/>
      <c r="SL68" s="1"/>
      <c r="SM68" s="1"/>
      <c r="SN68" s="1"/>
      <c r="SO68" s="1"/>
      <c r="SP68" s="1"/>
      <c r="SQ68" s="1"/>
      <c r="SR68" s="1"/>
      <c r="SS68" s="1"/>
      <c r="ST68" s="1"/>
      <c r="SU68" s="1"/>
      <c r="SV68" s="1"/>
      <c r="SW68" s="1"/>
      <c r="SX68" s="1"/>
      <c r="SY68" s="1"/>
      <c r="SZ68" s="1"/>
      <c r="TA68" s="1"/>
      <c r="TB68" s="1"/>
      <c r="TC68" s="1"/>
      <c r="TD68" s="1"/>
      <c r="TE68" s="1"/>
      <c r="TF68" s="1"/>
      <c r="TG68" s="1"/>
      <c r="TH68" s="1"/>
      <c r="TI68" s="1"/>
      <c r="TJ68" s="1"/>
      <c r="TK68" s="1"/>
      <c r="TL68" s="1"/>
      <c r="TM68" s="1"/>
      <c r="TN68" s="1"/>
      <c r="TO68" s="1"/>
      <c r="TP68" s="1"/>
      <c r="TQ68" s="1"/>
      <c r="TR68" s="1"/>
      <c r="TS68" s="1"/>
      <c r="TT68" s="1"/>
      <c r="TU68" s="1"/>
      <c r="TV68" s="1"/>
      <c r="TW68" s="1"/>
      <c r="TX68" s="1"/>
      <c r="TY68" s="1"/>
      <c r="TZ68" s="1"/>
      <c r="UA68" s="1"/>
      <c r="UB68" s="1"/>
      <c r="UC68" s="1"/>
      <c r="UD68" s="1"/>
      <c r="UE68" s="1"/>
      <c r="UF68" s="1"/>
      <c r="UG68" s="1"/>
      <c r="UH68" s="1"/>
      <c r="UI68" s="1"/>
      <c r="UJ68" s="1"/>
      <c r="UK68" s="1"/>
      <c r="UL68" s="1"/>
      <c r="UM68" s="1"/>
      <c r="UN68" s="1"/>
      <c r="UO68" s="1"/>
      <c r="UP68" s="1"/>
      <c r="UQ68" s="1"/>
      <c r="UR68" s="1"/>
      <c r="US68" s="1"/>
      <c r="UT68" s="1"/>
      <c r="UU68" s="1"/>
      <c r="UV68" s="1"/>
      <c r="UW68" s="1"/>
      <c r="UX68" s="1"/>
      <c r="UY68" s="1"/>
      <c r="UZ68" s="1"/>
      <c r="VA68" s="1"/>
      <c r="VB68" s="1"/>
      <c r="VC68" s="1"/>
      <c r="VD68" s="1"/>
      <c r="VE68" s="1"/>
      <c r="VF68" s="1"/>
      <c r="VG68" s="1"/>
      <c r="VH68" s="1"/>
      <c r="VI68" s="1"/>
      <c r="VJ68" s="1"/>
      <c r="VK68" s="1"/>
      <c r="VL68" s="1"/>
      <c r="VM68" s="1"/>
      <c r="VN68" s="1"/>
      <c r="VO68" s="1"/>
      <c r="VP68" s="1"/>
      <c r="VQ68" s="1"/>
      <c r="VR68" s="1"/>
      <c r="VS68" s="1"/>
      <c r="VT68" s="1"/>
      <c r="VU68" s="1"/>
      <c r="VV68" s="1"/>
      <c r="VW68" s="1"/>
      <c r="VX68" s="1"/>
      <c r="VY68" s="1"/>
      <c r="VZ68" s="1"/>
      <c r="WA68" s="1"/>
      <c r="WB68" s="1"/>
      <c r="WC68" s="1"/>
      <c r="WD68" s="1"/>
      <c r="WE68" s="1"/>
      <c r="WF68" s="1"/>
      <c r="WG68" s="1"/>
      <c r="WH68" s="1"/>
      <c r="WI68" s="1"/>
      <c r="WJ68" s="1"/>
      <c r="WK68" s="1"/>
      <c r="WL68" s="1"/>
      <c r="WM68" s="1"/>
      <c r="WN68" s="1"/>
      <c r="WO68" s="1"/>
      <c r="WP68" s="1"/>
      <c r="WQ68" s="1"/>
      <c r="WR68" s="1"/>
      <c r="WS68" s="1"/>
      <c r="WT68" s="1"/>
      <c r="WU68" s="1"/>
      <c r="WV68" s="1"/>
      <c r="WW68" s="1"/>
      <c r="WX68" s="1"/>
      <c r="WY68" s="1"/>
      <c r="WZ68" s="1"/>
      <c r="XA68" s="1"/>
      <c r="XB68" s="1"/>
      <c r="XC68" s="1"/>
      <c r="XD68" s="1"/>
      <c r="XE68" s="1"/>
      <c r="XF68" s="1"/>
      <c r="XG68" s="1"/>
      <c r="XH68" s="1"/>
      <c r="XI68" s="1"/>
      <c r="XJ68" s="1"/>
      <c r="XK68" s="1"/>
      <c r="XL68" s="1"/>
      <c r="XM68" s="1"/>
      <c r="XN68" s="1"/>
      <c r="XO68" s="1"/>
      <c r="XP68" s="1"/>
      <c r="XQ68" s="1"/>
      <c r="XR68" s="1"/>
      <c r="XS68" s="1"/>
      <c r="XT68" s="1"/>
      <c r="XU68" s="1"/>
      <c r="XV68" s="1"/>
      <c r="XW68" s="1"/>
      <c r="XX68" s="1"/>
      <c r="XY68" s="1"/>
      <c r="XZ68" s="1"/>
      <c r="YA68" s="1"/>
      <c r="YB68" s="1"/>
      <c r="YC68" s="1"/>
      <c r="YD68" s="1"/>
      <c r="YE68" s="1"/>
      <c r="YF68" s="1"/>
      <c r="YG68" s="1"/>
      <c r="YH68" s="1"/>
      <c r="YI68" s="1"/>
      <c r="YJ68" s="1"/>
      <c r="YK68" s="1"/>
      <c r="YL68" s="1"/>
      <c r="YM68" s="1"/>
      <c r="YN68" s="1"/>
      <c r="YO68" s="1"/>
      <c r="YP68" s="1"/>
      <c r="YQ68" s="1"/>
      <c r="YR68" s="1"/>
      <c r="YS68" s="1"/>
      <c r="YT68" s="1"/>
      <c r="YU68" s="1"/>
      <c r="YV68" s="1"/>
      <c r="YW68" s="1"/>
      <c r="YX68" s="1"/>
      <c r="YY68" s="1"/>
      <c r="YZ68" s="1"/>
      <c r="ZA68" s="1"/>
      <c r="ZB68" s="1"/>
      <c r="ZC68" s="1"/>
      <c r="ZD68" s="1"/>
      <c r="ZE68" s="1"/>
      <c r="ZF68" s="1"/>
      <c r="ZG68" s="1"/>
      <c r="ZH68" s="1"/>
      <c r="ZI68" s="1"/>
      <c r="ZJ68" s="1"/>
      <c r="ZK68" s="1"/>
      <c r="ZL68" s="1"/>
      <c r="ZM68" s="1"/>
      <c r="ZN68" s="1"/>
      <c r="ZO68" s="1"/>
      <c r="ZP68" s="1"/>
      <c r="ZQ68" s="1"/>
      <c r="ZR68" s="1"/>
      <c r="ZS68" s="1"/>
      <c r="ZT68" s="1"/>
      <c r="ZU68" s="1"/>
      <c r="ZV68" s="1"/>
      <c r="ZW68" s="1"/>
      <c r="ZX68" s="1"/>
      <c r="ZY68" s="1"/>
      <c r="ZZ68" s="1"/>
      <c r="AAA68" s="1"/>
      <c r="AAB68" s="1"/>
      <c r="AAC68" s="1"/>
      <c r="AAD68" s="1"/>
      <c r="AAE68" s="1"/>
      <c r="AAF68" s="1"/>
      <c r="AAG68" s="1"/>
      <c r="AAH68" s="1"/>
      <c r="AAI68" s="1"/>
      <c r="AAJ68" s="1"/>
      <c r="AAK68" s="1"/>
      <c r="AAL68" s="1"/>
      <c r="AAM68" s="1"/>
      <c r="AAN68" s="1"/>
      <c r="AAO68" s="1"/>
      <c r="AAP68" s="1"/>
      <c r="AAQ68" s="1"/>
      <c r="AAR68" s="1"/>
      <c r="AAS68" s="1"/>
      <c r="AAT68" s="1"/>
      <c r="AAU68" s="1"/>
      <c r="AAV68" s="1"/>
      <c r="AAW68" s="1"/>
      <c r="AAX68" s="1"/>
      <c r="AAY68" s="1"/>
      <c r="AAZ68" s="1"/>
      <c r="ABA68" s="1"/>
      <c r="ABB68" s="1"/>
      <c r="ABC68" s="1"/>
      <c r="ABD68" s="1"/>
      <c r="ABE68" s="1"/>
      <c r="ABF68" s="1"/>
      <c r="ABG68" s="1"/>
      <c r="ABH68" s="1"/>
      <c r="ABI68" s="1"/>
      <c r="ABJ68" s="1"/>
      <c r="ABK68" s="1"/>
      <c r="ABL68" s="1"/>
      <c r="ABM68" s="1"/>
      <c r="ABN68" s="1"/>
      <c r="ABO68" s="1"/>
      <c r="ABP68" s="1"/>
      <c r="ABQ68" s="1"/>
      <c r="ABR68" s="1"/>
      <c r="ABS68" s="1"/>
      <c r="ABT68" s="1"/>
      <c r="ABU68" s="1"/>
      <c r="ABV68" s="1"/>
      <c r="ABW68" s="1"/>
      <c r="ABX68" s="1"/>
      <c r="ABY68" s="1"/>
      <c r="ABZ68" s="1"/>
      <c r="ACA68" s="1"/>
      <c r="ACB68" s="1"/>
      <c r="ACC68" s="1"/>
      <c r="ACD68" s="1"/>
      <c r="ACE68" s="1"/>
      <c r="ACF68" s="1"/>
      <c r="ACG68" s="1"/>
      <c r="ACH68" s="1"/>
      <c r="ACI68" s="1"/>
      <c r="ACJ68" s="1"/>
      <c r="ACK68" s="1"/>
      <c r="ACL68" s="1"/>
      <c r="ACM68" s="1"/>
      <c r="ACN68" s="1"/>
      <c r="ACO68" s="1"/>
      <c r="ACP68" s="1"/>
      <c r="ACQ68" s="1"/>
      <c r="ACR68" s="1"/>
      <c r="ACS68" s="1"/>
      <c r="ACT68" s="1"/>
      <c r="ACU68" s="1"/>
      <c r="ACV68" s="1"/>
      <c r="ACW68" s="1"/>
      <c r="ACX68" s="1"/>
      <c r="ACY68" s="1"/>
      <c r="ACZ68" s="1"/>
      <c r="ADA68" s="1"/>
      <c r="ADB68" s="1"/>
      <c r="ADC68" s="1"/>
      <c r="ADD68" s="1"/>
      <c r="ADE68" s="1"/>
      <c r="ADF68" s="1"/>
      <c r="ADG68" s="1"/>
      <c r="ADH68" s="1"/>
      <c r="ADI68" s="1"/>
      <c r="ADJ68" s="1"/>
      <c r="ADK68" s="1"/>
      <c r="ADL68" s="1"/>
      <c r="ADM68" s="1"/>
      <c r="ADN68" s="1"/>
      <c r="ADO68" s="1"/>
      <c r="ADP68" s="1"/>
      <c r="ADQ68" s="1"/>
      <c r="ADR68" s="1"/>
      <c r="ADS68" s="1"/>
      <c r="ADT68" s="1"/>
      <c r="ADU68" s="1"/>
      <c r="ADV68" s="1"/>
      <c r="ADW68" s="1"/>
      <c r="ADX68" s="1"/>
      <c r="ADY68" s="1"/>
      <c r="ADZ68" s="1"/>
      <c r="AEA68" s="1"/>
      <c r="AEB68" s="1"/>
      <c r="AEC68" s="1"/>
      <c r="AED68" s="1"/>
      <c r="AEE68" s="1"/>
      <c r="AEF68" s="1"/>
      <c r="AEG68" s="1"/>
      <c r="AEH68" s="1"/>
      <c r="AEI68" s="1"/>
      <c r="AEJ68" s="1"/>
      <c r="AEK68" s="1"/>
      <c r="AEL68" s="1"/>
      <c r="AEM68" s="1"/>
      <c r="AEN68" s="1"/>
      <c r="AEO68" s="1"/>
      <c r="AEP68" s="1"/>
      <c r="AEQ68" s="1"/>
      <c r="AER68" s="1"/>
      <c r="AES68" s="1"/>
      <c r="AET68" s="1"/>
      <c r="AEU68" s="1"/>
      <c r="AEV68" s="1"/>
      <c r="AEW68" s="1"/>
      <c r="AEX68" s="1"/>
      <c r="AEY68" s="1"/>
      <c r="AEZ68" s="1"/>
      <c r="AFA68" s="1"/>
      <c r="AFB68" s="1"/>
      <c r="AFC68" s="1"/>
      <c r="AFD68" s="1"/>
      <c r="AFE68" s="1"/>
      <c r="AFF68" s="1"/>
      <c r="AFG68" s="1"/>
      <c r="AFH68" s="1"/>
      <c r="AFI68" s="1"/>
      <c r="AFJ68" s="1"/>
      <c r="AFK68" s="1"/>
      <c r="AFL68" s="1"/>
      <c r="AFM68" s="1"/>
      <c r="AFN68" s="1"/>
      <c r="AFO68" s="1"/>
      <c r="AFP68" s="1"/>
      <c r="AFQ68" s="1"/>
      <c r="AFR68" s="1"/>
      <c r="AFS68" s="1"/>
      <c r="AFT68" s="1"/>
      <c r="AFU68" s="1"/>
      <c r="AFV68" s="1"/>
      <c r="AFW68" s="1"/>
      <c r="AFX68" s="1"/>
      <c r="AFY68" s="1"/>
      <c r="AFZ68" s="1"/>
      <c r="AGA68" s="1"/>
      <c r="AGB68" s="1"/>
      <c r="AGC68" s="1"/>
      <c r="AGD68" s="1"/>
      <c r="AGE68" s="1"/>
      <c r="AGF68" s="1"/>
      <c r="AGG68" s="1"/>
      <c r="AGH68" s="1"/>
      <c r="AGI68" s="1"/>
      <c r="AGJ68" s="1"/>
      <c r="AGK68" s="1"/>
      <c r="AGL68" s="1"/>
      <c r="AGM68" s="1"/>
      <c r="AGN68" s="1"/>
      <c r="AGO68" s="1"/>
      <c r="AGP68" s="1"/>
      <c r="AGQ68" s="1"/>
      <c r="AGR68" s="1"/>
      <c r="AGS68" s="1"/>
      <c r="AGT68" s="1"/>
      <c r="AGU68" s="1"/>
      <c r="AGV68" s="1"/>
      <c r="AGW68" s="1"/>
      <c r="AGX68" s="1"/>
      <c r="AGY68" s="1"/>
      <c r="AGZ68" s="1"/>
      <c r="AHA68" s="1"/>
      <c r="AHB68" s="1"/>
      <c r="AHC68" s="1"/>
      <c r="AHD68" s="1"/>
      <c r="AHE68" s="1"/>
      <c r="AHF68" s="1"/>
      <c r="AHG68" s="1"/>
      <c r="AHH68" s="1"/>
      <c r="AHI68" s="1"/>
      <c r="AHJ68" s="1"/>
      <c r="AHK68" s="1"/>
      <c r="AHL68" s="1"/>
      <c r="AHM68" s="1"/>
      <c r="AHN68" s="1"/>
      <c r="AHO68" s="1"/>
      <c r="AHP68" s="1"/>
      <c r="AHQ68" s="1"/>
      <c r="AHR68" s="1"/>
      <c r="AHS68" s="1"/>
      <c r="AHT68" s="1"/>
      <c r="AHU68" s="1"/>
      <c r="AHV68" s="1"/>
      <c r="AHW68" s="1"/>
      <c r="AHX68" s="1"/>
      <c r="AHY68" s="1"/>
      <c r="AHZ68" s="1"/>
      <c r="AIA68" s="1"/>
      <c r="AIB68" s="1"/>
      <c r="AIC68" s="1"/>
      <c r="AID68" s="1"/>
      <c r="AIE68" s="1"/>
      <c r="AIF68" s="1"/>
      <c r="AIG68" s="1"/>
      <c r="AIH68" s="1"/>
      <c r="AII68" s="1"/>
      <c r="AIJ68" s="1"/>
      <c r="AIK68" s="1"/>
      <c r="AIL68" s="1"/>
      <c r="AIM68" s="1"/>
      <c r="AIN68" s="1"/>
      <c r="AIO68" s="1"/>
      <c r="AIP68" s="1"/>
      <c r="AIQ68" s="1"/>
      <c r="AIR68" s="1"/>
      <c r="AIS68" s="1"/>
      <c r="AIT68" s="1"/>
      <c r="AIU68" s="1"/>
      <c r="AIV68" s="1"/>
      <c r="AIW68" s="1"/>
      <c r="AIX68" s="1"/>
      <c r="AIY68" s="1"/>
      <c r="AIZ68" s="1"/>
      <c r="AJA68" s="1"/>
      <c r="AJB68" s="1"/>
      <c r="AJC68" s="1"/>
      <c r="AJD68" s="1"/>
      <c r="AJE68" s="1"/>
      <c r="AJF68" s="1"/>
      <c r="AJG68" s="1"/>
      <c r="AJH68" s="1"/>
      <c r="AJI68" s="1"/>
      <c r="AJJ68" s="1"/>
      <c r="AJK68" s="1"/>
      <c r="AJL68" s="1"/>
      <c r="AJM68" s="1"/>
      <c r="AJN68" s="1"/>
      <c r="AJO68" s="1"/>
      <c r="AJP68" s="1"/>
      <c r="AJQ68" s="1"/>
      <c r="AJR68" s="1"/>
      <c r="AJS68" s="1"/>
      <c r="AJT68" s="1"/>
      <c r="AJU68" s="1"/>
      <c r="AJV68" s="1"/>
      <c r="AJW68" s="1"/>
      <c r="AJX68" s="1"/>
      <c r="AJY68" s="1"/>
      <c r="AJZ68" s="1"/>
      <c r="AKA68" s="1"/>
      <c r="AKB68" s="1"/>
      <c r="AKC68" s="1"/>
      <c r="AKD68" s="1"/>
      <c r="AKE68" s="1"/>
      <c r="AKF68" s="1"/>
      <c r="AKG68" s="1"/>
      <c r="AKH68" s="1"/>
      <c r="AKI68" s="1"/>
      <c r="AKJ68" s="1"/>
      <c r="AKK68" s="1"/>
      <c r="AKL68" s="1"/>
      <c r="AKM68" s="1"/>
      <c r="AKN68" s="1"/>
      <c r="AKO68" s="1"/>
      <c r="AKP68" s="1"/>
      <c r="AKQ68" s="1"/>
      <c r="AKR68" s="1"/>
      <c r="AKS68" s="1"/>
      <c r="AKT68" s="1"/>
      <c r="AKU68" s="1"/>
      <c r="AKV68" s="1"/>
      <c r="AKW68" s="1"/>
      <c r="AKX68" s="1"/>
      <c r="AKY68" s="1"/>
      <c r="AKZ68" s="1"/>
      <c r="ALA68" s="1"/>
      <c r="ALB68" s="1"/>
      <c r="ALC68" s="1"/>
      <c r="ALD68" s="1"/>
      <c r="ALE68" s="1"/>
      <c r="ALF68" s="1"/>
      <c r="ALG68" s="1"/>
      <c r="ALH68" s="1"/>
      <c r="ALI68" s="1"/>
      <c r="ALJ68" s="1"/>
      <c r="ALK68" s="1"/>
      <c r="ALL68" s="1"/>
      <c r="ALM68" s="1"/>
      <c r="ALN68" s="1"/>
      <c r="ALO68" s="1"/>
      <c r="ALP68" s="1"/>
      <c r="ALQ68" s="1"/>
      <c r="ALR68" s="1"/>
      <c r="ALS68" s="1"/>
      <c r="ALT68" s="1"/>
      <c r="ALU68" s="1"/>
      <c r="ALV68" s="1"/>
      <c r="ALW68" s="1"/>
      <c r="ALX68" s="1"/>
      <c r="ALY68" s="1"/>
      <c r="ALZ68" s="1"/>
      <c r="AMA68" s="1"/>
      <c r="AMB68" s="1"/>
      <c r="AMC68" s="1"/>
      <c r="AMD68" s="1"/>
      <c r="AME68" s="1"/>
      <c r="AMF68" s="1"/>
      <c r="AMG68" s="1"/>
      <c r="AMH68" s="1"/>
      <c r="AMI68" s="1"/>
      <c r="AMJ68" s="1"/>
      <c r="AMK68" s="1"/>
      <c r="AML68" s="1"/>
      <c r="AMM68" s="1"/>
      <c r="AMN68" s="1"/>
    </row>
    <row r="69" spans="1:1028" x14ac:dyDescent="0.2">
      <c r="A69" s="3" t="str">
        <f t="shared" si="194"/>
        <v>adrb2_human_3PDS</v>
      </c>
      <c r="B69" s="3" t="s">
        <v>126</v>
      </c>
      <c r="C69" s="3" t="s">
        <v>1341</v>
      </c>
      <c r="D69" s="3" t="str">
        <f>IFERROR(MID(VLOOKUP($B69,Seqs!$A:$B,2,0),E69,1),"")</f>
        <v>D</v>
      </c>
      <c r="E69" s="3">
        <v>29</v>
      </c>
      <c r="F69" s="3" t="str">
        <f>IFERROR(MID(VLOOKUP($B69,Seqs!$A:$B,2,0),G69,1),"")</f>
        <v>F</v>
      </c>
      <c r="G69" s="3">
        <v>61</v>
      </c>
      <c r="H69" s="3" t="str">
        <f>IFERROR(MID(VLOOKUP($B69,Seqs!$A:$B,2,0),I69,1),"")</f>
        <v>E</v>
      </c>
      <c r="I69" s="23">
        <v>62</v>
      </c>
      <c r="J69" s="3" t="str">
        <f>IFERROR(MID(VLOOKUP($B69,Seqs!$A:$B,2,0),K69,1),"")</f>
        <v>Q</v>
      </c>
      <c r="K69" s="23">
        <v>65</v>
      </c>
      <c r="L69" s="3" t="str">
        <f>IFERROR(MID(VLOOKUP($B69,Seqs!$A:$B,2,0),M69,1),"")</f>
        <v>T</v>
      </c>
      <c r="M69" s="3">
        <v>66</v>
      </c>
      <c r="N69" s="3" t="str">
        <f>IFERROR(MID(VLOOKUP($B69,Seqs!$A:$B,2,0),O69,1),"")</f>
        <v>M</v>
      </c>
      <c r="O69" s="3">
        <v>96</v>
      </c>
      <c r="P69" s="3" t="str">
        <f>IFERROR(MID(VLOOKUP($B69,Seqs!$A:$B,2,0),Q69,1),"")</f>
        <v>M</v>
      </c>
      <c r="Q69" s="3">
        <v>98</v>
      </c>
      <c r="R69" s="3" t="str">
        <f>IFERROR(MID(VLOOKUP($B69,Seqs!$A:$B,2,0),S69,1),"")</f>
        <v>F</v>
      </c>
      <c r="S69" s="3">
        <v>101</v>
      </c>
      <c r="T69" s="3" t="str">
        <f>IFERROR(MID(VLOOKUP($B69,Seqs!$A:$B,2,0),U69,1),"")</f>
        <v>G</v>
      </c>
      <c r="U69" s="3">
        <v>102</v>
      </c>
      <c r="V69" s="3" t="str">
        <f>IFERROR(MID(VLOOKUP($B69,Seqs!$A:$B,2,0),W69,1),"")</f>
        <v>S</v>
      </c>
      <c r="W69" s="3">
        <v>137</v>
      </c>
      <c r="X69" s="3" t="str">
        <f>IFERROR(MID(VLOOKUP($B69,Seqs!$A:$B,2,0),Y69,1),"")</f>
        <v/>
      </c>
      <c r="Y69" s="3" t="s">
        <v>23</v>
      </c>
      <c r="Z69" s="3" t="str">
        <f>IFERROR(MID(VLOOKUP($B69,Seqs!$A:$B,2,0),AA69,1),"")</f>
        <v/>
      </c>
      <c r="AA69" s="3" t="s">
        <v>23</v>
      </c>
      <c r="AB69" s="3" t="str">
        <f>IFERROR(MID(VLOOKUP($B69,Seqs!$A:$B,2,0),AC69,1),"")</f>
        <v>T</v>
      </c>
      <c r="AC69" s="9">
        <v>146</v>
      </c>
      <c r="AD69" s="3" t="str">
        <f>IFERROR(MID(VLOOKUP($B69,Seqs!$A:$B,2,0),AE69,1),"")</f>
        <v>H</v>
      </c>
      <c r="AE69" s="3">
        <v>172</v>
      </c>
      <c r="AF69" s="3" t="str">
        <f>IFERROR(MID(VLOOKUP($B69,Seqs!$A:$B,2,0),AG69,1),"")</f>
        <v>C</v>
      </c>
      <c r="AG69" s="3">
        <v>191</v>
      </c>
      <c r="AH69" s="3" t="str">
        <f>IFERROR(MID(VLOOKUP($B69,Seqs!$A:$B,2,0),AI69,1),"")</f>
        <v>F</v>
      </c>
      <c r="AI69" s="3">
        <v>193</v>
      </c>
      <c r="AJ69" s="3" t="str">
        <f>IFERROR(MID(VLOOKUP($B69,Seqs!$A:$B,2,0),AK69,1),"")</f>
        <v>N</v>
      </c>
      <c r="AK69" s="3">
        <v>196</v>
      </c>
      <c r="AL69" s="3" t="str">
        <f>IFERROR(MID(VLOOKUP($B69,Seqs!$A:$B,2,0),AM69,1),"")</f>
        <v>Q</v>
      </c>
      <c r="AM69" s="3">
        <v>229</v>
      </c>
      <c r="AN69" s="3" t="str">
        <f>IFERROR(MID(VLOOKUP($B69,Seqs!$A:$B,2,0),AO69,1),"")</f>
        <v>L</v>
      </c>
      <c r="AO69" s="3">
        <v>266</v>
      </c>
      <c r="AP69" s="3" t="str">
        <f>IFERROR(MID(VLOOKUP($B69,Seqs!$A:$B,2,0),AQ69,1),"")</f>
        <v>Q</v>
      </c>
      <c r="AQ69" s="3">
        <v>299</v>
      </c>
      <c r="AR69" s="3" t="str">
        <f>IFERROR(MID(VLOOKUP($B69,Seqs!$A:$B,2,0),AS69,1),"")</f>
        <v>R</v>
      </c>
      <c r="AS69" s="3">
        <v>304</v>
      </c>
      <c r="AT69" s="3" t="str">
        <f>IFERROR(MID(VLOOKUP($B69,Seqs!$A:$B,2,0),AU69,1),"")</f>
        <v>R</v>
      </c>
      <c r="AU69" s="3">
        <v>328</v>
      </c>
      <c r="AV69" s="3" t="str">
        <f>IFERROR(MID(VLOOKUP($B69,Seqs!$A:$B,2,0),AW69,1),"")</f>
        <v>S</v>
      </c>
      <c r="AW69" s="3">
        <v>329</v>
      </c>
      <c r="AX69" s="3" t="str">
        <f>IFERROR(MID(VLOOKUP($B69,Seqs!$A:$B,2,0),AY69,1),"")</f>
        <v>C</v>
      </c>
      <c r="AY69" s="3">
        <v>341</v>
      </c>
      <c r="AZ69" s="79" t="str">
        <f>VLOOKUP(B69,Classification!A:D,2,0)</f>
        <v>A</v>
      </c>
      <c r="BA69" s="97" t="str">
        <f>VLOOKUP(B69,Classification!A:D,4,0)</f>
        <v>Adrenoceptors</v>
      </c>
      <c r="BB69" s="27" t="b">
        <f t="shared" si="195"/>
        <v>1</v>
      </c>
      <c r="BC69" s="23">
        <f t="shared" si="196"/>
        <v>245</v>
      </c>
      <c r="BD69" s="5" t="s">
        <v>23</v>
      </c>
      <c r="BE69" s="3" t="s">
        <v>1381</v>
      </c>
      <c r="BF69" s="50" t="s">
        <v>1384</v>
      </c>
      <c r="BG69" s="50" t="s">
        <v>1384</v>
      </c>
      <c r="BH69" s="1"/>
      <c r="BI69" s="72" t="s">
        <v>1293</v>
      </c>
      <c r="BJ69" s="58" t="s">
        <v>1293</v>
      </c>
      <c r="BK69" s="58" t="s">
        <v>1293</v>
      </c>
      <c r="BL69" s="58" t="s">
        <v>1293</v>
      </c>
      <c r="BM69" s="58" t="s">
        <v>1293</v>
      </c>
      <c r="BN69" s="58" t="s">
        <v>1293</v>
      </c>
      <c r="BO69" s="58" t="s">
        <v>1293</v>
      </c>
      <c r="BP69" s="58" t="s">
        <v>1293</v>
      </c>
      <c r="BQ69" s="58" t="s">
        <v>1293</v>
      </c>
      <c r="BR69" s="58" t="s">
        <v>1293</v>
      </c>
      <c r="BS69" s="58" t="s">
        <v>1293</v>
      </c>
      <c r="BT69" s="58" t="s">
        <v>1293</v>
      </c>
      <c r="BU69" s="72">
        <f t="shared" si="197"/>
        <v>29</v>
      </c>
      <c r="BV69" s="73">
        <f t="shared" si="198"/>
        <v>62</v>
      </c>
      <c r="BW69" s="74">
        <f t="shared" si="199"/>
        <v>66</v>
      </c>
      <c r="BX69" s="73">
        <f t="shared" si="200"/>
        <v>98</v>
      </c>
      <c r="BY69" s="74">
        <f t="shared" si="201"/>
        <v>102</v>
      </c>
      <c r="BZ69" s="73" t="str">
        <f t="shared" si="202"/>
        <v>-</v>
      </c>
      <c r="CA69" s="74">
        <f t="shared" si="203"/>
        <v>146</v>
      </c>
      <c r="CB69" s="73">
        <f t="shared" si="204"/>
        <v>191</v>
      </c>
      <c r="CC69" s="74">
        <f t="shared" si="205"/>
        <v>196</v>
      </c>
      <c r="CD69" s="73">
        <f t="shared" si="206"/>
        <v>266</v>
      </c>
      <c r="CE69" s="74">
        <f t="shared" si="207"/>
        <v>304</v>
      </c>
      <c r="CF69" s="73">
        <f t="shared" si="208"/>
        <v>329</v>
      </c>
      <c r="CG69" s="72">
        <f t="shared" si="209"/>
        <v>61</v>
      </c>
      <c r="CH69" s="73">
        <f t="shared" si="210"/>
        <v>65</v>
      </c>
      <c r="CI69" s="74">
        <f t="shared" si="211"/>
        <v>96</v>
      </c>
      <c r="CJ69" s="74">
        <f t="shared" si="212"/>
        <v>101</v>
      </c>
      <c r="CK69" s="74">
        <f t="shared" si="213"/>
        <v>137</v>
      </c>
      <c r="CL69" s="74" t="str">
        <f t="shared" si="214"/>
        <v>-</v>
      </c>
      <c r="CM69" s="74">
        <f t="shared" si="215"/>
        <v>172</v>
      </c>
      <c r="CN69" s="74">
        <f t="shared" si="216"/>
        <v>193</v>
      </c>
      <c r="CO69" s="74">
        <f t="shared" si="217"/>
        <v>229</v>
      </c>
      <c r="CP69" s="74">
        <f t="shared" si="218"/>
        <v>299</v>
      </c>
      <c r="CQ69" s="74">
        <f t="shared" si="219"/>
        <v>328</v>
      </c>
      <c r="CR69" s="74">
        <f t="shared" si="220"/>
        <v>341</v>
      </c>
      <c r="CS69" s="23">
        <f t="shared" si="221"/>
        <v>1</v>
      </c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  <c r="LI69" s="1"/>
      <c r="LJ69" s="1"/>
      <c r="LK69" s="1"/>
      <c r="LL69" s="1"/>
      <c r="LM69" s="1"/>
      <c r="LN69" s="1"/>
      <c r="LO69" s="1"/>
      <c r="LP69" s="1"/>
      <c r="LQ69" s="1"/>
      <c r="LR69" s="1"/>
      <c r="LS69" s="1"/>
      <c r="LT69" s="1"/>
      <c r="LU69" s="1"/>
      <c r="LV69" s="1"/>
      <c r="LW69" s="1"/>
      <c r="LX69" s="1"/>
      <c r="LY69" s="1"/>
      <c r="LZ69" s="1"/>
      <c r="MA69" s="1"/>
      <c r="MB69" s="1"/>
      <c r="MC69" s="1"/>
      <c r="MD69" s="1"/>
      <c r="ME69" s="1"/>
      <c r="MF69" s="1"/>
      <c r="MG69" s="1"/>
      <c r="MH69" s="1"/>
      <c r="MI69" s="1"/>
      <c r="MJ69" s="1"/>
      <c r="MK69" s="1"/>
      <c r="ML69" s="1"/>
      <c r="MM69" s="1"/>
      <c r="MN69" s="1"/>
      <c r="MO69" s="1"/>
      <c r="MP69" s="1"/>
      <c r="MQ69" s="1"/>
      <c r="MR69" s="1"/>
      <c r="MS69" s="1"/>
      <c r="MT69" s="1"/>
      <c r="MU69" s="1"/>
      <c r="MV69" s="1"/>
      <c r="MW69" s="1"/>
      <c r="MX69" s="1"/>
      <c r="MY69" s="1"/>
      <c r="MZ69" s="1"/>
      <c r="NA69" s="1"/>
      <c r="NB69" s="1"/>
      <c r="NC69" s="1"/>
      <c r="ND69" s="1"/>
      <c r="NE69" s="1"/>
      <c r="NF69" s="1"/>
      <c r="NG69" s="1"/>
      <c r="NH69" s="1"/>
      <c r="NI69" s="1"/>
      <c r="NJ69" s="1"/>
      <c r="NK69" s="1"/>
      <c r="NL69" s="1"/>
      <c r="NM69" s="1"/>
      <c r="NN69" s="1"/>
      <c r="NO69" s="1"/>
      <c r="NP69" s="1"/>
      <c r="NQ69" s="1"/>
      <c r="NR69" s="1"/>
      <c r="NS69" s="1"/>
      <c r="NT69" s="1"/>
      <c r="NU69" s="1"/>
      <c r="NV69" s="1"/>
      <c r="NW69" s="1"/>
      <c r="NX69" s="1"/>
      <c r="NY69" s="1"/>
      <c r="NZ69" s="1"/>
      <c r="OA69" s="1"/>
      <c r="OB69" s="1"/>
      <c r="OC69" s="1"/>
      <c r="OD69" s="1"/>
      <c r="OE69" s="1"/>
      <c r="OF69" s="1"/>
      <c r="OG69" s="1"/>
      <c r="OH69" s="1"/>
      <c r="OI69" s="1"/>
      <c r="OJ69" s="1"/>
      <c r="OK69" s="1"/>
      <c r="OL69" s="1"/>
      <c r="OM69" s="1"/>
      <c r="ON69" s="1"/>
      <c r="OO69" s="1"/>
      <c r="OP69" s="1"/>
      <c r="OQ69" s="1"/>
      <c r="OR69" s="1"/>
      <c r="OS69" s="1"/>
      <c r="OT69" s="1"/>
      <c r="OU69" s="1"/>
      <c r="OV69" s="1"/>
      <c r="OW69" s="1"/>
      <c r="OX69" s="1"/>
      <c r="OY69" s="1"/>
      <c r="OZ69" s="1"/>
      <c r="PA69" s="1"/>
      <c r="PB69" s="1"/>
      <c r="PC69" s="1"/>
      <c r="PD69" s="1"/>
      <c r="PE69" s="1"/>
      <c r="PF69" s="1"/>
      <c r="PG69" s="1"/>
      <c r="PH69" s="1"/>
      <c r="PI69" s="1"/>
      <c r="PJ69" s="1"/>
      <c r="PK69" s="1"/>
      <c r="PL69" s="1"/>
      <c r="PM69" s="1"/>
      <c r="PN69" s="1"/>
      <c r="PO69" s="1"/>
      <c r="PP69" s="1"/>
      <c r="PQ69" s="1"/>
      <c r="PR69" s="1"/>
      <c r="PS69" s="1"/>
      <c r="PT69" s="1"/>
      <c r="PU69" s="1"/>
      <c r="PV69" s="1"/>
      <c r="PW69" s="1"/>
      <c r="PX69" s="1"/>
      <c r="PY69" s="1"/>
      <c r="PZ69" s="1"/>
      <c r="QA69" s="1"/>
      <c r="QB69" s="1"/>
      <c r="QC69" s="1"/>
      <c r="QD69" s="1"/>
      <c r="QE69" s="1"/>
      <c r="QF69" s="1"/>
      <c r="QG69" s="1"/>
      <c r="QH69" s="1"/>
      <c r="QI69" s="1"/>
      <c r="QJ69" s="1"/>
      <c r="QK69" s="1"/>
      <c r="QL69" s="1"/>
      <c r="QM69" s="1"/>
      <c r="QN69" s="1"/>
      <c r="QO69" s="1"/>
      <c r="QP69" s="1"/>
      <c r="QQ69" s="1"/>
      <c r="QR69" s="1"/>
      <c r="QS69" s="1"/>
      <c r="QT69" s="1"/>
      <c r="QU69" s="1"/>
      <c r="QV69" s="1"/>
      <c r="QW69" s="1"/>
      <c r="QX69" s="1"/>
      <c r="QY69" s="1"/>
      <c r="QZ69" s="1"/>
      <c r="RA69" s="1"/>
      <c r="RB69" s="1"/>
      <c r="RC69" s="1"/>
      <c r="RD69" s="1"/>
      <c r="RE69" s="1"/>
      <c r="RF69" s="1"/>
      <c r="RG69" s="1"/>
      <c r="RH69" s="1"/>
      <c r="RI69" s="1"/>
      <c r="RJ69" s="1"/>
      <c r="RK69" s="1"/>
      <c r="RL69" s="1"/>
      <c r="RM69" s="1"/>
      <c r="RN69" s="1"/>
      <c r="RO69" s="1"/>
      <c r="RP69" s="1"/>
      <c r="RQ69" s="1"/>
      <c r="RR69" s="1"/>
      <c r="RS69" s="1"/>
      <c r="RT69" s="1"/>
      <c r="RU69" s="1"/>
      <c r="RV69" s="1"/>
      <c r="RW69" s="1"/>
      <c r="RX69" s="1"/>
      <c r="RY69" s="1"/>
      <c r="RZ69" s="1"/>
      <c r="SA69" s="1"/>
      <c r="SB69" s="1"/>
      <c r="SC69" s="1"/>
      <c r="SD69" s="1"/>
      <c r="SE69" s="1"/>
      <c r="SF69" s="1"/>
      <c r="SG69" s="1"/>
      <c r="SH69" s="1"/>
      <c r="SI69" s="1"/>
      <c r="SJ69" s="1"/>
      <c r="SK69" s="1"/>
      <c r="SL69" s="1"/>
      <c r="SM69" s="1"/>
      <c r="SN69" s="1"/>
      <c r="SO69" s="1"/>
      <c r="SP69" s="1"/>
      <c r="SQ69" s="1"/>
      <c r="SR69" s="1"/>
      <c r="SS69" s="1"/>
      <c r="ST69" s="1"/>
      <c r="SU69" s="1"/>
      <c r="SV69" s="1"/>
      <c r="SW69" s="1"/>
      <c r="SX69" s="1"/>
      <c r="SY69" s="1"/>
      <c r="SZ69" s="1"/>
      <c r="TA69" s="1"/>
      <c r="TB69" s="1"/>
      <c r="TC69" s="1"/>
      <c r="TD69" s="1"/>
      <c r="TE69" s="1"/>
      <c r="TF69" s="1"/>
      <c r="TG69" s="1"/>
      <c r="TH69" s="1"/>
      <c r="TI69" s="1"/>
      <c r="TJ69" s="1"/>
      <c r="TK69" s="1"/>
      <c r="TL69" s="1"/>
      <c r="TM69" s="1"/>
      <c r="TN69" s="1"/>
      <c r="TO69" s="1"/>
      <c r="TP69" s="1"/>
      <c r="TQ69" s="1"/>
      <c r="TR69" s="1"/>
      <c r="TS69" s="1"/>
      <c r="TT69" s="1"/>
      <c r="TU69" s="1"/>
      <c r="TV69" s="1"/>
      <c r="TW69" s="1"/>
      <c r="TX69" s="1"/>
      <c r="TY69" s="1"/>
      <c r="TZ69" s="1"/>
      <c r="UA69" s="1"/>
      <c r="UB69" s="1"/>
      <c r="UC69" s="1"/>
      <c r="UD69" s="1"/>
      <c r="UE69" s="1"/>
      <c r="UF69" s="1"/>
      <c r="UG69" s="1"/>
      <c r="UH69" s="1"/>
      <c r="UI69" s="1"/>
      <c r="UJ69" s="1"/>
      <c r="UK69" s="1"/>
      <c r="UL69" s="1"/>
      <c r="UM69" s="1"/>
      <c r="UN69" s="1"/>
      <c r="UO69" s="1"/>
      <c r="UP69" s="1"/>
      <c r="UQ69" s="1"/>
      <c r="UR69" s="1"/>
      <c r="US69" s="1"/>
      <c r="UT69" s="1"/>
      <c r="UU69" s="1"/>
      <c r="UV69" s="1"/>
      <c r="UW69" s="1"/>
      <c r="UX69" s="1"/>
      <c r="UY69" s="1"/>
      <c r="UZ69" s="1"/>
      <c r="VA69" s="1"/>
      <c r="VB69" s="1"/>
      <c r="VC69" s="1"/>
      <c r="VD69" s="1"/>
      <c r="VE69" s="1"/>
      <c r="VF69" s="1"/>
      <c r="VG69" s="1"/>
      <c r="VH69" s="1"/>
      <c r="VI69" s="1"/>
      <c r="VJ69" s="1"/>
      <c r="VK69" s="1"/>
      <c r="VL69" s="1"/>
      <c r="VM69" s="1"/>
      <c r="VN69" s="1"/>
      <c r="VO69" s="1"/>
      <c r="VP69" s="1"/>
      <c r="VQ69" s="1"/>
      <c r="VR69" s="1"/>
      <c r="VS69" s="1"/>
      <c r="VT69" s="1"/>
      <c r="VU69" s="1"/>
      <c r="VV69" s="1"/>
      <c r="VW69" s="1"/>
      <c r="VX69" s="1"/>
      <c r="VY69" s="1"/>
      <c r="VZ69" s="1"/>
      <c r="WA69" s="1"/>
      <c r="WB69" s="1"/>
      <c r="WC69" s="1"/>
      <c r="WD69" s="1"/>
      <c r="WE69" s="1"/>
      <c r="WF69" s="1"/>
      <c r="WG69" s="1"/>
      <c r="WH69" s="1"/>
      <c r="WI69" s="1"/>
      <c r="WJ69" s="1"/>
      <c r="WK69" s="1"/>
      <c r="WL69" s="1"/>
      <c r="WM69" s="1"/>
      <c r="WN69" s="1"/>
      <c r="WO69" s="1"/>
      <c r="WP69" s="1"/>
      <c r="WQ69" s="1"/>
      <c r="WR69" s="1"/>
      <c r="WS69" s="1"/>
      <c r="WT69" s="1"/>
      <c r="WU69" s="1"/>
      <c r="WV69" s="1"/>
      <c r="WW69" s="1"/>
      <c r="WX69" s="1"/>
      <c r="WY69" s="1"/>
      <c r="WZ69" s="1"/>
      <c r="XA69" s="1"/>
      <c r="XB69" s="1"/>
      <c r="XC69" s="1"/>
      <c r="XD69" s="1"/>
      <c r="XE69" s="1"/>
      <c r="XF69" s="1"/>
      <c r="XG69" s="1"/>
      <c r="XH69" s="1"/>
      <c r="XI69" s="1"/>
      <c r="XJ69" s="1"/>
      <c r="XK69" s="1"/>
      <c r="XL69" s="1"/>
      <c r="XM69" s="1"/>
      <c r="XN69" s="1"/>
      <c r="XO69" s="1"/>
      <c r="XP69" s="1"/>
      <c r="XQ69" s="1"/>
      <c r="XR69" s="1"/>
      <c r="XS69" s="1"/>
      <c r="XT69" s="1"/>
      <c r="XU69" s="1"/>
      <c r="XV69" s="1"/>
      <c r="XW69" s="1"/>
      <c r="XX69" s="1"/>
      <c r="XY69" s="1"/>
      <c r="XZ69" s="1"/>
      <c r="YA69" s="1"/>
      <c r="YB69" s="1"/>
      <c r="YC69" s="1"/>
      <c r="YD69" s="1"/>
      <c r="YE69" s="1"/>
      <c r="YF69" s="1"/>
      <c r="YG69" s="1"/>
      <c r="YH69" s="1"/>
      <c r="YI69" s="1"/>
      <c r="YJ69" s="1"/>
      <c r="YK69" s="1"/>
      <c r="YL69" s="1"/>
      <c r="YM69" s="1"/>
      <c r="YN69" s="1"/>
      <c r="YO69" s="1"/>
      <c r="YP69" s="1"/>
      <c r="YQ69" s="1"/>
      <c r="YR69" s="1"/>
      <c r="YS69" s="1"/>
      <c r="YT69" s="1"/>
      <c r="YU69" s="1"/>
      <c r="YV69" s="1"/>
      <c r="YW69" s="1"/>
      <c r="YX69" s="1"/>
      <c r="YY69" s="1"/>
      <c r="YZ69" s="1"/>
      <c r="ZA69" s="1"/>
      <c r="ZB69" s="1"/>
      <c r="ZC69" s="1"/>
      <c r="ZD69" s="1"/>
      <c r="ZE69" s="1"/>
      <c r="ZF69" s="1"/>
      <c r="ZG69" s="1"/>
      <c r="ZH69" s="1"/>
      <c r="ZI69" s="1"/>
      <c r="ZJ69" s="1"/>
      <c r="ZK69" s="1"/>
      <c r="ZL69" s="1"/>
      <c r="ZM69" s="1"/>
      <c r="ZN69" s="1"/>
      <c r="ZO69" s="1"/>
      <c r="ZP69" s="1"/>
      <c r="ZQ69" s="1"/>
      <c r="ZR69" s="1"/>
      <c r="ZS69" s="1"/>
      <c r="ZT69" s="1"/>
      <c r="ZU69" s="1"/>
      <c r="ZV69" s="1"/>
      <c r="ZW69" s="1"/>
      <c r="ZX69" s="1"/>
      <c r="ZY69" s="1"/>
      <c r="ZZ69" s="1"/>
      <c r="AAA69" s="1"/>
      <c r="AAB69" s="1"/>
      <c r="AAC69" s="1"/>
      <c r="AAD69" s="1"/>
      <c r="AAE69" s="1"/>
      <c r="AAF69" s="1"/>
      <c r="AAG69" s="1"/>
      <c r="AAH69" s="1"/>
      <c r="AAI69" s="1"/>
      <c r="AAJ69" s="1"/>
      <c r="AAK69" s="1"/>
      <c r="AAL69" s="1"/>
      <c r="AAM69" s="1"/>
      <c r="AAN69" s="1"/>
      <c r="AAO69" s="1"/>
      <c r="AAP69" s="1"/>
      <c r="AAQ69" s="1"/>
      <c r="AAR69" s="1"/>
      <c r="AAS69" s="1"/>
      <c r="AAT69" s="1"/>
      <c r="AAU69" s="1"/>
      <c r="AAV69" s="1"/>
      <c r="AAW69" s="1"/>
      <c r="AAX69" s="1"/>
      <c r="AAY69" s="1"/>
      <c r="AAZ69" s="1"/>
      <c r="ABA69" s="1"/>
      <c r="ABB69" s="1"/>
      <c r="ABC69" s="1"/>
      <c r="ABD69" s="1"/>
      <c r="ABE69" s="1"/>
      <c r="ABF69" s="1"/>
      <c r="ABG69" s="1"/>
      <c r="ABH69" s="1"/>
      <c r="ABI69" s="1"/>
      <c r="ABJ69" s="1"/>
      <c r="ABK69" s="1"/>
      <c r="ABL69" s="1"/>
      <c r="ABM69" s="1"/>
      <c r="ABN69" s="1"/>
      <c r="ABO69" s="1"/>
      <c r="ABP69" s="1"/>
      <c r="ABQ69" s="1"/>
      <c r="ABR69" s="1"/>
      <c r="ABS69" s="1"/>
      <c r="ABT69" s="1"/>
      <c r="ABU69" s="1"/>
      <c r="ABV69" s="1"/>
      <c r="ABW69" s="1"/>
      <c r="ABX69" s="1"/>
      <c r="ABY69" s="1"/>
      <c r="ABZ69" s="1"/>
      <c r="ACA69" s="1"/>
      <c r="ACB69" s="1"/>
      <c r="ACC69" s="1"/>
      <c r="ACD69" s="1"/>
      <c r="ACE69" s="1"/>
      <c r="ACF69" s="1"/>
      <c r="ACG69" s="1"/>
      <c r="ACH69" s="1"/>
      <c r="ACI69" s="1"/>
      <c r="ACJ69" s="1"/>
      <c r="ACK69" s="1"/>
      <c r="ACL69" s="1"/>
      <c r="ACM69" s="1"/>
      <c r="ACN69" s="1"/>
      <c r="ACO69" s="1"/>
      <c r="ACP69" s="1"/>
      <c r="ACQ69" s="1"/>
      <c r="ACR69" s="1"/>
      <c r="ACS69" s="1"/>
      <c r="ACT69" s="1"/>
      <c r="ACU69" s="1"/>
      <c r="ACV69" s="1"/>
      <c r="ACW69" s="1"/>
      <c r="ACX69" s="1"/>
      <c r="ACY69" s="1"/>
      <c r="ACZ69" s="1"/>
      <c r="ADA69" s="1"/>
      <c r="ADB69" s="1"/>
      <c r="ADC69" s="1"/>
      <c r="ADD69" s="1"/>
      <c r="ADE69" s="1"/>
      <c r="ADF69" s="1"/>
      <c r="ADG69" s="1"/>
      <c r="ADH69" s="1"/>
      <c r="ADI69" s="1"/>
      <c r="ADJ69" s="1"/>
      <c r="ADK69" s="1"/>
      <c r="ADL69" s="1"/>
      <c r="ADM69" s="1"/>
      <c r="ADN69" s="1"/>
      <c r="ADO69" s="1"/>
      <c r="ADP69" s="1"/>
      <c r="ADQ69" s="1"/>
      <c r="ADR69" s="1"/>
      <c r="ADS69" s="1"/>
      <c r="ADT69" s="1"/>
      <c r="ADU69" s="1"/>
      <c r="ADV69" s="1"/>
      <c r="ADW69" s="1"/>
      <c r="ADX69" s="1"/>
      <c r="ADY69" s="1"/>
      <c r="ADZ69" s="1"/>
      <c r="AEA69" s="1"/>
      <c r="AEB69" s="1"/>
      <c r="AEC69" s="1"/>
      <c r="AED69" s="1"/>
      <c r="AEE69" s="1"/>
      <c r="AEF69" s="1"/>
      <c r="AEG69" s="1"/>
      <c r="AEH69" s="1"/>
      <c r="AEI69" s="1"/>
      <c r="AEJ69" s="1"/>
      <c r="AEK69" s="1"/>
      <c r="AEL69" s="1"/>
      <c r="AEM69" s="1"/>
      <c r="AEN69" s="1"/>
      <c r="AEO69" s="1"/>
      <c r="AEP69" s="1"/>
      <c r="AEQ69" s="1"/>
      <c r="AER69" s="1"/>
      <c r="AES69" s="1"/>
      <c r="AET69" s="1"/>
      <c r="AEU69" s="1"/>
      <c r="AEV69" s="1"/>
      <c r="AEW69" s="1"/>
      <c r="AEX69" s="1"/>
      <c r="AEY69" s="1"/>
      <c r="AEZ69" s="1"/>
      <c r="AFA69" s="1"/>
      <c r="AFB69" s="1"/>
      <c r="AFC69" s="1"/>
      <c r="AFD69" s="1"/>
      <c r="AFE69" s="1"/>
      <c r="AFF69" s="1"/>
      <c r="AFG69" s="1"/>
      <c r="AFH69" s="1"/>
      <c r="AFI69" s="1"/>
      <c r="AFJ69" s="1"/>
      <c r="AFK69" s="1"/>
      <c r="AFL69" s="1"/>
      <c r="AFM69" s="1"/>
      <c r="AFN69" s="1"/>
      <c r="AFO69" s="1"/>
      <c r="AFP69" s="1"/>
      <c r="AFQ69" s="1"/>
      <c r="AFR69" s="1"/>
      <c r="AFS69" s="1"/>
      <c r="AFT69" s="1"/>
      <c r="AFU69" s="1"/>
      <c r="AFV69" s="1"/>
      <c r="AFW69" s="1"/>
      <c r="AFX69" s="1"/>
      <c r="AFY69" s="1"/>
      <c r="AFZ69" s="1"/>
      <c r="AGA69" s="1"/>
      <c r="AGB69" s="1"/>
      <c r="AGC69" s="1"/>
      <c r="AGD69" s="1"/>
      <c r="AGE69" s="1"/>
      <c r="AGF69" s="1"/>
      <c r="AGG69" s="1"/>
      <c r="AGH69" s="1"/>
      <c r="AGI69" s="1"/>
      <c r="AGJ69" s="1"/>
      <c r="AGK69" s="1"/>
      <c r="AGL69" s="1"/>
      <c r="AGM69" s="1"/>
      <c r="AGN69" s="1"/>
      <c r="AGO69" s="1"/>
      <c r="AGP69" s="1"/>
      <c r="AGQ69" s="1"/>
      <c r="AGR69" s="1"/>
      <c r="AGS69" s="1"/>
      <c r="AGT69" s="1"/>
      <c r="AGU69" s="1"/>
      <c r="AGV69" s="1"/>
      <c r="AGW69" s="1"/>
      <c r="AGX69" s="1"/>
      <c r="AGY69" s="1"/>
      <c r="AGZ69" s="1"/>
      <c r="AHA69" s="1"/>
      <c r="AHB69" s="1"/>
      <c r="AHC69" s="1"/>
      <c r="AHD69" s="1"/>
      <c r="AHE69" s="1"/>
      <c r="AHF69" s="1"/>
      <c r="AHG69" s="1"/>
      <c r="AHH69" s="1"/>
      <c r="AHI69" s="1"/>
      <c r="AHJ69" s="1"/>
      <c r="AHK69" s="1"/>
      <c r="AHL69" s="1"/>
      <c r="AHM69" s="1"/>
      <c r="AHN69" s="1"/>
      <c r="AHO69" s="1"/>
      <c r="AHP69" s="1"/>
      <c r="AHQ69" s="1"/>
      <c r="AHR69" s="1"/>
      <c r="AHS69" s="1"/>
      <c r="AHT69" s="1"/>
      <c r="AHU69" s="1"/>
      <c r="AHV69" s="1"/>
      <c r="AHW69" s="1"/>
      <c r="AHX69" s="1"/>
      <c r="AHY69" s="1"/>
      <c r="AHZ69" s="1"/>
      <c r="AIA69" s="1"/>
      <c r="AIB69" s="1"/>
      <c r="AIC69" s="1"/>
      <c r="AID69" s="1"/>
      <c r="AIE69" s="1"/>
      <c r="AIF69" s="1"/>
      <c r="AIG69" s="1"/>
      <c r="AIH69" s="1"/>
      <c r="AII69" s="1"/>
      <c r="AIJ69" s="1"/>
      <c r="AIK69" s="1"/>
      <c r="AIL69" s="1"/>
      <c r="AIM69" s="1"/>
      <c r="AIN69" s="1"/>
      <c r="AIO69" s="1"/>
      <c r="AIP69" s="1"/>
      <c r="AIQ69" s="1"/>
      <c r="AIR69" s="1"/>
      <c r="AIS69" s="1"/>
      <c r="AIT69" s="1"/>
      <c r="AIU69" s="1"/>
      <c r="AIV69" s="1"/>
      <c r="AIW69" s="1"/>
      <c r="AIX69" s="1"/>
      <c r="AIY69" s="1"/>
      <c r="AIZ69" s="1"/>
      <c r="AJA69" s="1"/>
      <c r="AJB69" s="1"/>
      <c r="AJC69" s="1"/>
      <c r="AJD69" s="1"/>
      <c r="AJE69" s="1"/>
      <c r="AJF69" s="1"/>
      <c r="AJG69" s="1"/>
      <c r="AJH69" s="1"/>
      <c r="AJI69" s="1"/>
      <c r="AJJ69" s="1"/>
      <c r="AJK69" s="1"/>
      <c r="AJL69" s="1"/>
      <c r="AJM69" s="1"/>
      <c r="AJN69" s="1"/>
      <c r="AJO69" s="1"/>
      <c r="AJP69" s="1"/>
      <c r="AJQ69" s="1"/>
      <c r="AJR69" s="1"/>
      <c r="AJS69" s="1"/>
      <c r="AJT69" s="1"/>
      <c r="AJU69" s="1"/>
      <c r="AJV69" s="1"/>
      <c r="AJW69" s="1"/>
      <c r="AJX69" s="1"/>
      <c r="AJY69" s="1"/>
      <c r="AJZ69" s="1"/>
      <c r="AKA69" s="1"/>
      <c r="AKB69" s="1"/>
      <c r="AKC69" s="1"/>
      <c r="AKD69" s="1"/>
      <c r="AKE69" s="1"/>
      <c r="AKF69" s="1"/>
      <c r="AKG69" s="1"/>
      <c r="AKH69" s="1"/>
      <c r="AKI69" s="1"/>
      <c r="AKJ69" s="1"/>
      <c r="AKK69" s="1"/>
      <c r="AKL69" s="1"/>
      <c r="AKM69" s="1"/>
      <c r="AKN69" s="1"/>
      <c r="AKO69" s="1"/>
      <c r="AKP69" s="1"/>
      <c r="AKQ69" s="1"/>
      <c r="AKR69" s="1"/>
      <c r="AKS69" s="1"/>
      <c r="AKT69" s="1"/>
      <c r="AKU69" s="1"/>
      <c r="AKV69" s="1"/>
      <c r="AKW69" s="1"/>
      <c r="AKX69" s="1"/>
      <c r="AKY69" s="1"/>
      <c r="AKZ69" s="1"/>
      <c r="ALA69" s="1"/>
      <c r="ALB69" s="1"/>
      <c r="ALC69" s="1"/>
      <c r="ALD69" s="1"/>
      <c r="ALE69" s="1"/>
      <c r="ALF69" s="1"/>
      <c r="ALG69" s="1"/>
      <c r="ALH69" s="1"/>
      <c r="ALI69" s="1"/>
      <c r="ALJ69" s="1"/>
      <c r="ALK69" s="1"/>
      <c r="ALL69" s="1"/>
      <c r="ALM69" s="1"/>
      <c r="ALN69" s="1"/>
      <c r="ALO69" s="1"/>
      <c r="ALP69" s="1"/>
      <c r="ALQ69" s="1"/>
      <c r="ALR69" s="1"/>
      <c r="ALS69" s="1"/>
      <c r="ALT69" s="1"/>
      <c r="ALU69" s="1"/>
      <c r="ALV69" s="1"/>
      <c r="ALW69" s="1"/>
      <c r="ALX69" s="1"/>
      <c r="ALY69" s="1"/>
      <c r="ALZ69" s="1"/>
      <c r="AMA69" s="1"/>
      <c r="AMB69" s="1"/>
      <c r="AMC69" s="1"/>
      <c r="AMD69" s="1"/>
      <c r="AME69" s="1"/>
      <c r="AMF69" s="1"/>
      <c r="AMG69" s="1"/>
      <c r="AMH69" s="1"/>
      <c r="AMI69" s="1"/>
      <c r="AMJ69" s="1"/>
      <c r="AMK69" s="1"/>
      <c r="AML69" s="1"/>
      <c r="AMM69" s="1"/>
      <c r="AMN69" s="1"/>
    </row>
    <row r="70" spans="1:1028" ht="17" customHeight="1" x14ac:dyDescent="0.2">
      <c r="A70" s="3" t="str">
        <f t="shared" si="194"/>
        <v>adrb2_human_3SN6</v>
      </c>
      <c r="B70" s="3" t="s">
        <v>126</v>
      </c>
      <c r="C70" s="3" t="s">
        <v>85</v>
      </c>
      <c r="D70" s="3" t="str">
        <f>IFERROR(MID(VLOOKUP($B70,Seqs!$A:$B,2,0),E70,1),"")</f>
        <v>D</v>
      </c>
      <c r="E70" s="3">
        <v>29</v>
      </c>
      <c r="F70" s="3" t="str">
        <f>IFERROR(MID(VLOOKUP($B70,Seqs!$A:$B,2,0),G70,1),"")</f>
        <v>F</v>
      </c>
      <c r="G70" s="3">
        <v>61</v>
      </c>
      <c r="H70" s="3" t="str">
        <f>IFERROR(MID(VLOOKUP($B70,Seqs!$A:$B,2,0),I70,1),"")</f>
        <v>E</v>
      </c>
      <c r="I70" s="23">
        <v>62</v>
      </c>
      <c r="J70" s="3" t="str">
        <f>IFERROR(MID(VLOOKUP($B70,Seqs!$A:$B,2,0),K70,1),"")</f>
        <v>Q</v>
      </c>
      <c r="K70" s="23">
        <v>65</v>
      </c>
      <c r="L70" s="3" t="str">
        <f>IFERROR(MID(VLOOKUP($B70,Seqs!$A:$B,2,0),M70,1),"")</f>
        <v>T</v>
      </c>
      <c r="M70" s="3">
        <v>66</v>
      </c>
      <c r="N70" s="3" t="str">
        <f>IFERROR(MID(VLOOKUP($B70,Seqs!$A:$B,2,0),O70,1),"")</f>
        <v>M</v>
      </c>
      <c r="O70" s="3">
        <v>96</v>
      </c>
      <c r="P70" s="3" t="str">
        <f>IFERROR(MID(VLOOKUP($B70,Seqs!$A:$B,2,0),Q70,1),"")</f>
        <v>M</v>
      </c>
      <c r="Q70" s="3">
        <v>98</v>
      </c>
      <c r="R70" s="3" t="str">
        <f>IFERROR(MID(VLOOKUP($B70,Seqs!$A:$B,2,0),S70,1),"")</f>
        <v>F</v>
      </c>
      <c r="S70" s="3">
        <v>101</v>
      </c>
      <c r="T70" s="3" t="str">
        <f>IFERROR(MID(VLOOKUP($B70,Seqs!$A:$B,2,0),U70,1),"")</f>
        <v>G</v>
      </c>
      <c r="U70" s="3">
        <v>102</v>
      </c>
      <c r="V70" s="3" t="str">
        <f>IFERROR(MID(VLOOKUP($B70,Seqs!$A:$B,2,0),W70,1),"")</f>
        <v>S</v>
      </c>
      <c r="W70" s="3">
        <v>137</v>
      </c>
      <c r="X70" s="3" t="str">
        <f>IFERROR(MID(VLOOKUP($B70,Seqs!$A:$B,2,0),Y70,1),"")</f>
        <v>P</v>
      </c>
      <c r="Y70" s="3">
        <v>138</v>
      </c>
      <c r="Z70" s="3" t="str">
        <f>IFERROR(MID(VLOOKUP($B70,Seqs!$A:$B,2,0),AA70,1),"")</f>
        <v>L</v>
      </c>
      <c r="AA70" s="3">
        <v>145</v>
      </c>
      <c r="AB70" s="3" t="str">
        <f>IFERROR(MID(VLOOKUP($B70,Seqs!$A:$B,2,0),AC70,1),"")</f>
        <v>T</v>
      </c>
      <c r="AC70" s="9">
        <v>146</v>
      </c>
      <c r="AD70" s="3" t="str">
        <f>IFERROR(MID(VLOOKUP($B70,Seqs!$A:$B,2,0),AE70,1),"")</f>
        <v>H</v>
      </c>
      <c r="AE70" s="3">
        <v>172</v>
      </c>
      <c r="AF70" s="3" t="str">
        <f>IFERROR(MID(VLOOKUP($B70,Seqs!$A:$B,2,0),AG70,1),"")</f>
        <v>C</v>
      </c>
      <c r="AG70" s="3">
        <v>191</v>
      </c>
      <c r="AH70" s="3" t="str">
        <f>IFERROR(MID(VLOOKUP($B70,Seqs!$A:$B,2,0),AI70,1),"")</f>
        <v>F</v>
      </c>
      <c r="AI70" s="3">
        <v>193</v>
      </c>
      <c r="AJ70" s="3" t="str">
        <f>IFERROR(MID(VLOOKUP($B70,Seqs!$A:$B,2,0),AK70,1),"")</f>
        <v>N</v>
      </c>
      <c r="AK70" s="3">
        <v>196</v>
      </c>
      <c r="AL70" s="3" t="str">
        <f>IFERROR(MID(VLOOKUP($B70,Seqs!$A:$B,2,0),AM70,1),"")</f>
        <v>E</v>
      </c>
      <c r="AM70" s="3">
        <v>237</v>
      </c>
      <c r="AN70" s="3" t="str">
        <f>IFERROR(MID(VLOOKUP($B70,Seqs!$A:$B,2,0),AO70,1),"")</f>
        <v>C</v>
      </c>
      <c r="AO70" s="3">
        <v>265</v>
      </c>
      <c r="AP70" s="3" t="str">
        <f>IFERROR(MID(VLOOKUP($B70,Seqs!$A:$B,2,0),AQ70,1),"")</f>
        <v>Q</v>
      </c>
      <c r="AQ70" s="3">
        <v>299</v>
      </c>
      <c r="AR70" s="3" t="str">
        <f>IFERROR(MID(VLOOKUP($B70,Seqs!$A:$B,2,0),AS70,1),"")</f>
        <v>R</v>
      </c>
      <c r="AS70" s="3">
        <v>304</v>
      </c>
      <c r="AT70" s="3" t="str">
        <f>IFERROR(MID(VLOOKUP($B70,Seqs!$A:$B,2,0),AU70,1),"")</f>
        <v>R</v>
      </c>
      <c r="AU70" s="3">
        <v>328</v>
      </c>
      <c r="AV70" s="3" t="str">
        <f>IFERROR(MID(VLOOKUP($B70,Seqs!$A:$B,2,0),AW70,1),"")</f>
        <v>S</v>
      </c>
      <c r="AW70" s="3">
        <v>329</v>
      </c>
      <c r="AX70" s="3" t="str">
        <f>IFERROR(MID(VLOOKUP($B70,Seqs!$A:$B,2,0),AY70,1),"")</f>
        <v>C</v>
      </c>
      <c r="AY70" s="3">
        <v>341</v>
      </c>
      <c r="AZ70" s="79" t="str">
        <f>VLOOKUP(B70,Classification!A:D,2,0)</f>
        <v>A</v>
      </c>
      <c r="BA70" s="97" t="str">
        <f>VLOOKUP(B70,Classification!A:D,4,0)</f>
        <v>Adrenoceptors</v>
      </c>
      <c r="BB70" s="27" t="b">
        <f t="shared" si="195"/>
        <v>1</v>
      </c>
      <c r="BC70" s="23">
        <f t="shared" si="196"/>
        <v>261</v>
      </c>
      <c r="BD70" s="4" t="s">
        <v>1382</v>
      </c>
      <c r="BE70" s="3" t="s">
        <v>1297</v>
      </c>
      <c r="BF70" s="50" t="s">
        <v>1384</v>
      </c>
      <c r="BG70" s="50" t="s">
        <v>1384</v>
      </c>
      <c r="BH70" s="1"/>
      <c r="BI70" s="72" t="s">
        <v>1293</v>
      </c>
      <c r="BJ70" s="58" t="s">
        <v>1293</v>
      </c>
      <c r="BK70" s="58" t="s">
        <v>1293</v>
      </c>
      <c r="BL70" s="58" t="s">
        <v>1293</v>
      </c>
      <c r="BM70" s="58" t="s">
        <v>1293</v>
      </c>
      <c r="BN70" s="58" t="s">
        <v>1293</v>
      </c>
      <c r="BO70" s="58" t="s">
        <v>1293</v>
      </c>
      <c r="BP70" s="58" t="s">
        <v>1293</v>
      </c>
      <c r="BQ70" s="58" t="s">
        <v>1293</v>
      </c>
      <c r="BR70" s="58" t="s">
        <v>1293</v>
      </c>
      <c r="BS70" s="58" t="s">
        <v>1293</v>
      </c>
      <c r="BT70" s="58" t="s">
        <v>1293</v>
      </c>
      <c r="BU70" s="72">
        <f t="shared" si="197"/>
        <v>29</v>
      </c>
      <c r="BV70" s="73">
        <f t="shared" si="198"/>
        <v>62</v>
      </c>
      <c r="BW70" s="74">
        <f t="shared" si="199"/>
        <v>66</v>
      </c>
      <c r="BX70" s="73">
        <f t="shared" si="200"/>
        <v>98</v>
      </c>
      <c r="BY70" s="74">
        <f t="shared" si="201"/>
        <v>102</v>
      </c>
      <c r="BZ70" s="73">
        <f t="shared" si="202"/>
        <v>138</v>
      </c>
      <c r="CA70" s="74">
        <f t="shared" si="203"/>
        <v>146</v>
      </c>
      <c r="CB70" s="73">
        <f t="shared" si="204"/>
        <v>191</v>
      </c>
      <c r="CC70" s="74">
        <f t="shared" si="205"/>
        <v>196</v>
      </c>
      <c r="CD70" s="73">
        <f t="shared" si="206"/>
        <v>265</v>
      </c>
      <c r="CE70" s="74">
        <f t="shared" si="207"/>
        <v>304</v>
      </c>
      <c r="CF70" s="73">
        <f t="shared" si="208"/>
        <v>329</v>
      </c>
      <c r="CG70" s="72">
        <f t="shared" si="209"/>
        <v>61</v>
      </c>
      <c r="CH70" s="73">
        <f t="shared" si="210"/>
        <v>65</v>
      </c>
      <c r="CI70" s="74">
        <f t="shared" si="211"/>
        <v>96</v>
      </c>
      <c r="CJ70" s="74">
        <f t="shared" si="212"/>
        <v>101</v>
      </c>
      <c r="CK70" s="74">
        <f t="shared" si="213"/>
        <v>137</v>
      </c>
      <c r="CL70" s="74">
        <f t="shared" si="214"/>
        <v>145</v>
      </c>
      <c r="CM70" s="74">
        <f t="shared" si="215"/>
        <v>172</v>
      </c>
      <c r="CN70" s="74">
        <f t="shared" si="216"/>
        <v>193</v>
      </c>
      <c r="CO70" s="74">
        <f t="shared" si="217"/>
        <v>237</v>
      </c>
      <c r="CP70" s="74">
        <f t="shared" si="218"/>
        <v>299</v>
      </c>
      <c r="CQ70" s="74">
        <f t="shared" si="219"/>
        <v>328</v>
      </c>
      <c r="CR70" s="74">
        <f t="shared" si="220"/>
        <v>341</v>
      </c>
      <c r="CS70" s="23">
        <f t="shared" si="221"/>
        <v>1</v>
      </c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  <c r="KO70" s="1"/>
      <c r="KP70" s="1"/>
      <c r="KQ70" s="1"/>
      <c r="KR70" s="1"/>
      <c r="KS70" s="1"/>
      <c r="KT70" s="1"/>
      <c r="KU70" s="1"/>
      <c r="KV70" s="1"/>
      <c r="KW70" s="1"/>
      <c r="KX70" s="1"/>
      <c r="KY70" s="1"/>
      <c r="KZ70" s="1"/>
      <c r="LA70" s="1"/>
      <c r="LB70" s="1"/>
      <c r="LC70" s="1"/>
      <c r="LD70" s="1"/>
      <c r="LE70" s="1"/>
      <c r="LF70" s="1"/>
      <c r="LG70" s="1"/>
      <c r="LH70" s="1"/>
      <c r="LI70" s="1"/>
      <c r="LJ70" s="1"/>
      <c r="LK70" s="1"/>
      <c r="LL70" s="1"/>
      <c r="LM70" s="1"/>
      <c r="LN70" s="1"/>
      <c r="LO70" s="1"/>
      <c r="LP70" s="1"/>
      <c r="LQ70" s="1"/>
      <c r="LR70" s="1"/>
      <c r="LS70" s="1"/>
      <c r="LT70" s="1"/>
      <c r="LU70" s="1"/>
      <c r="LV70" s="1"/>
      <c r="LW70" s="1"/>
      <c r="LX70" s="1"/>
      <c r="LY70" s="1"/>
      <c r="LZ70" s="1"/>
      <c r="MA70" s="1"/>
      <c r="MB70" s="1"/>
      <c r="MC70" s="1"/>
      <c r="MD70" s="1"/>
      <c r="ME70" s="1"/>
      <c r="MF70" s="1"/>
      <c r="MG70" s="1"/>
      <c r="MH70" s="1"/>
      <c r="MI70" s="1"/>
      <c r="MJ70" s="1"/>
      <c r="MK70" s="1"/>
      <c r="ML70" s="1"/>
      <c r="MM70" s="1"/>
      <c r="MN70" s="1"/>
      <c r="MO70" s="1"/>
      <c r="MP70" s="1"/>
      <c r="MQ70" s="1"/>
      <c r="MR70" s="1"/>
      <c r="MS70" s="1"/>
      <c r="MT70" s="1"/>
      <c r="MU70" s="1"/>
      <c r="MV70" s="1"/>
      <c r="MW70" s="1"/>
      <c r="MX70" s="1"/>
      <c r="MY70" s="1"/>
      <c r="MZ70" s="1"/>
      <c r="NA70" s="1"/>
      <c r="NB70" s="1"/>
      <c r="NC70" s="1"/>
      <c r="ND70" s="1"/>
      <c r="NE70" s="1"/>
      <c r="NF70" s="1"/>
      <c r="NG70" s="1"/>
      <c r="NH70" s="1"/>
      <c r="NI70" s="1"/>
      <c r="NJ70" s="1"/>
      <c r="NK70" s="1"/>
      <c r="NL70" s="1"/>
      <c r="NM70" s="1"/>
      <c r="NN70" s="1"/>
      <c r="NO70" s="1"/>
      <c r="NP70" s="1"/>
      <c r="NQ70" s="1"/>
      <c r="NR70" s="1"/>
      <c r="NS70" s="1"/>
      <c r="NT70" s="1"/>
      <c r="NU70" s="1"/>
      <c r="NV70" s="1"/>
      <c r="NW70" s="1"/>
      <c r="NX70" s="1"/>
      <c r="NY70" s="1"/>
      <c r="NZ70" s="1"/>
      <c r="OA70" s="1"/>
      <c r="OB70" s="1"/>
      <c r="OC70" s="1"/>
      <c r="OD70" s="1"/>
      <c r="OE70" s="1"/>
      <c r="OF70" s="1"/>
      <c r="OG70" s="1"/>
      <c r="OH70" s="1"/>
      <c r="OI70" s="1"/>
      <c r="OJ70" s="1"/>
      <c r="OK70" s="1"/>
      <c r="OL70" s="1"/>
      <c r="OM70" s="1"/>
      <c r="ON70" s="1"/>
      <c r="OO70" s="1"/>
      <c r="OP70" s="1"/>
      <c r="OQ70" s="1"/>
      <c r="OR70" s="1"/>
      <c r="OS70" s="1"/>
      <c r="OT70" s="1"/>
      <c r="OU70" s="1"/>
      <c r="OV70" s="1"/>
      <c r="OW70" s="1"/>
      <c r="OX70" s="1"/>
      <c r="OY70" s="1"/>
      <c r="OZ70" s="1"/>
      <c r="PA70" s="1"/>
      <c r="PB70" s="1"/>
      <c r="PC70" s="1"/>
      <c r="PD70" s="1"/>
      <c r="PE70" s="1"/>
      <c r="PF70" s="1"/>
      <c r="PG70" s="1"/>
      <c r="PH70" s="1"/>
      <c r="PI70" s="1"/>
      <c r="PJ70" s="1"/>
      <c r="PK70" s="1"/>
      <c r="PL70" s="1"/>
      <c r="PM70" s="1"/>
      <c r="PN70" s="1"/>
      <c r="PO70" s="1"/>
      <c r="PP70" s="1"/>
      <c r="PQ70" s="1"/>
      <c r="PR70" s="1"/>
      <c r="PS70" s="1"/>
      <c r="PT70" s="1"/>
      <c r="PU70" s="1"/>
      <c r="PV70" s="1"/>
      <c r="PW70" s="1"/>
      <c r="PX70" s="1"/>
      <c r="PY70" s="1"/>
      <c r="PZ70" s="1"/>
      <c r="QA70" s="1"/>
      <c r="QB70" s="1"/>
      <c r="QC70" s="1"/>
      <c r="QD70" s="1"/>
      <c r="QE70" s="1"/>
      <c r="QF70" s="1"/>
      <c r="QG70" s="1"/>
      <c r="QH70" s="1"/>
      <c r="QI70" s="1"/>
      <c r="QJ70" s="1"/>
      <c r="QK70" s="1"/>
      <c r="QL70" s="1"/>
      <c r="QM70" s="1"/>
      <c r="QN70" s="1"/>
      <c r="QO70" s="1"/>
      <c r="QP70" s="1"/>
      <c r="QQ70" s="1"/>
      <c r="QR70" s="1"/>
      <c r="QS70" s="1"/>
      <c r="QT70" s="1"/>
      <c r="QU70" s="1"/>
      <c r="QV70" s="1"/>
      <c r="QW70" s="1"/>
      <c r="QX70" s="1"/>
      <c r="QY70" s="1"/>
      <c r="QZ70" s="1"/>
      <c r="RA70" s="1"/>
      <c r="RB70" s="1"/>
      <c r="RC70" s="1"/>
      <c r="RD70" s="1"/>
      <c r="RE70" s="1"/>
      <c r="RF70" s="1"/>
      <c r="RG70" s="1"/>
      <c r="RH70" s="1"/>
      <c r="RI70" s="1"/>
      <c r="RJ70" s="1"/>
      <c r="RK70" s="1"/>
      <c r="RL70" s="1"/>
      <c r="RM70" s="1"/>
      <c r="RN70" s="1"/>
      <c r="RO70" s="1"/>
      <c r="RP70" s="1"/>
      <c r="RQ70" s="1"/>
      <c r="RR70" s="1"/>
      <c r="RS70" s="1"/>
      <c r="RT70" s="1"/>
      <c r="RU70" s="1"/>
      <c r="RV70" s="1"/>
      <c r="RW70" s="1"/>
      <c r="RX70" s="1"/>
      <c r="RY70" s="1"/>
      <c r="RZ70" s="1"/>
      <c r="SA70" s="1"/>
      <c r="SB70" s="1"/>
      <c r="SC70" s="1"/>
      <c r="SD70" s="1"/>
      <c r="SE70" s="1"/>
      <c r="SF70" s="1"/>
      <c r="SG70" s="1"/>
      <c r="SH70" s="1"/>
      <c r="SI70" s="1"/>
      <c r="SJ70" s="1"/>
      <c r="SK70" s="1"/>
      <c r="SL70" s="1"/>
      <c r="SM70" s="1"/>
      <c r="SN70" s="1"/>
      <c r="SO70" s="1"/>
      <c r="SP70" s="1"/>
      <c r="SQ70" s="1"/>
      <c r="SR70" s="1"/>
      <c r="SS70" s="1"/>
      <c r="ST70" s="1"/>
      <c r="SU70" s="1"/>
      <c r="SV70" s="1"/>
      <c r="SW70" s="1"/>
      <c r="SX70" s="1"/>
      <c r="SY70" s="1"/>
      <c r="SZ70" s="1"/>
      <c r="TA70" s="1"/>
      <c r="TB70" s="1"/>
      <c r="TC70" s="1"/>
      <c r="TD70" s="1"/>
      <c r="TE70" s="1"/>
      <c r="TF70" s="1"/>
      <c r="TG70" s="1"/>
      <c r="TH70" s="1"/>
      <c r="TI70" s="1"/>
      <c r="TJ70" s="1"/>
      <c r="TK70" s="1"/>
      <c r="TL70" s="1"/>
      <c r="TM70" s="1"/>
      <c r="TN70" s="1"/>
      <c r="TO70" s="1"/>
      <c r="TP70" s="1"/>
      <c r="TQ70" s="1"/>
      <c r="TR70" s="1"/>
      <c r="TS70" s="1"/>
      <c r="TT70" s="1"/>
      <c r="TU70" s="1"/>
      <c r="TV70" s="1"/>
      <c r="TW70" s="1"/>
      <c r="TX70" s="1"/>
      <c r="TY70" s="1"/>
      <c r="TZ70" s="1"/>
      <c r="UA70" s="1"/>
      <c r="UB70" s="1"/>
      <c r="UC70" s="1"/>
      <c r="UD70" s="1"/>
      <c r="UE70" s="1"/>
      <c r="UF70" s="1"/>
      <c r="UG70" s="1"/>
      <c r="UH70" s="1"/>
      <c r="UI70" s="1"/>
      <c r="UJ70" s="1"/>
      <c r="UK70" s="1"/>
      <c r="UL70" s="1"/>
      <c r="UM70" s="1"/>
      <c r="UN70" s="1"/>
      <c r="UO70" s="1"/>
      <c r="UP70" s="1"/>
      <c r="UQ70" s="1"/>
      <c r="UR70" s="1"/>
      <c r="US70" s="1"/>
      <c r="UT70" s="1"/>
      <c r="UU70" s="1"/>
      <c r="UV70" s="1"/>
      <c r="UW70" s="1"/>
      <c r="UX70" s="1"/>
      <c r="UY70" s="1"/>
      <c r="UZ70" s="1"/>
      <c r="VA70" s="1"/>
      <c r="VB70" s="1"/>
      <c r="VC70" s="1"/>
      <c r="VD70" s="1"/>
      <c r="VE70" s="1"/>
      <c r="VF70" s="1"/>
      <c r="VG70" s="1"/>
      <c r="VH70" s="1"/>
      <c r="VI70" s="1"/>
      <c r="VJ70" s="1"/>
      <c r="VK70" s="1"/>
      <c r="VL70" s="1"/>
      <c r="VM70" s="1"/>
      <c r="VN70" s="1"/>
      <c r="VO70" s="1"/>
      <c r="VP70" s="1"/>
      <c r="VQ70" s="1"/>
      <c r="VR70" s="1"/>
      <c r="VS70" s="1"/>
      <c r="VT70" s="1"/>
      <c r="VU70" s="1"/>
      <c r="VV70" s="1"/>
      <c r="VW70" s="1"/>
      <c r="VX70" s="1"/>
      <c r="VY70" s="1"/>
      <c r="VZ70" s="1"/>
      <c r="WA70" s="1"/>
      <c r="WB70" s="1"/>
      <c r="WC70" s="1"/>
      <c r="WD70" s="1"/>
      <c r="WE70" s="1"/>
      <c r="WF70" s="1"/>
      <c r="WG70" s="1"/>
      <c r="WH70" s="1"/>
      <c r="WI70" s="1"/>
      <c r="WJ70" s="1"/>
      <c r="WK70" s="1"/>
      <c r="WL70" s="1"/>
      <c r="WM70" s="1"/>
      <c r="WN70" s="1"/>
      <c r="WO70" s="1"/>
      <c r="WP70" s="1"/>
      <c r="WQ70" s="1"/>
      <c r="WR70" s="1"/>
      <c r="WS70" s="1"/>
      <c r="WT70" s="1"/>
      <c r="WU70" s="1"/>
      <c r="WV70" s="1"/>
      <c r="WW70" s="1"/>
      <c r="WX70" s="1"/>
      <c r="WY70" s="1"/>
      <c r="WZ70" s="1"/>
      <c r="XA70" s="1"/>
      <c r="XB70" s="1"/>
      <c r="XC70" s="1"/>
      <c r="XD70" s="1"/>
      <c r="XE70" s="1"/>
      <c r="XF70" s="1"/>
      <c r="XG70" s="1"/>
      <c r="XH70" s="1"/>
      <c r="XI70" s="1"/>
      <c r="XJ70" s="1"/>
      <c r="XK70" s="1"/>
      <c r="XL70" s="1"/>
      <c r="XM70" s="1"/>
      <c r="XN70" s="1"/>
      <c r="XO70" s="1"/>
      <c r="XP70" s="1"/>
      <c r="XQ70" s="1"/>
      <c r="XR70" s="1"/>
      <c r="XS70" s="1"/>
      <c r="XT70" s="1"/>
      <c r="XU70" s="1"/>
      <c r="XV70" s="1"/>
      <c r="XW70" s="1"/>
      <c r="XX70" s="1"/>
      <c r="XY70" s="1"/>
      <c r="XZ70" s="1"/>
      <c r="YA70" s="1"/>
      <c r="YB70" s="1"/>
      <c r="YC70" s="1"/>
      <c r="YD70" s="1"/>
      <c r="YE70" s="1"/>
      <c r="YF70" s="1"/>
      <c r="YG70" s="1"/>
      <c r="YH70" s="1"/>
      <c r="YI70" s="1"/>
      <c r="YJ70" s="1"/>
      <c r="YK70" s="1"/>
      <c r="YL70" s="1"/>
      <c r="YM70" s="1"/>
      <c r="YN70" s="1"/>
      <c r="YO70" s="1"/>
      <c r="YP70" s="1"/>
      <c r="YQ70" s="1"/>
      <c r="YR70" s="1"/>
      <c r="YS70" s="1"/>
      <c r="YT70" s="1"/>
      <c r="YU70" s="1"/>
      <c r="YV70" s="1"/>
      <c r="YW70" s="1"/>
      <c r="YX70" s="1"/>
      <c r="YY70" s="1"/>
      <c r="YZ70" s="1"/>
      <c r="ZA70" s="1"/>
      <c r="ZB70" s="1"/>
      <c r="ZC70" s="1"/>
      <c r="ZD70" s="1"/>
      <c r="ZE70" s="1"/>
      <c r="ZF70" s="1"/>
      <c r="ZG70" s="1"/>
      <c r="ZH70" s="1"/>
      <c r="ZI70" s="1"/>
      <c r="ZJ70" s="1"/>
      <c r="ZK70" s="1"/>
      <c r="ZL70" s="1"/>
      <c r="ZM70" s="1"/>
      <c r="ZN70" s="1"/>
      <c r="ZO70" s="1"/>
      <c r="ZP70" s="1"/>
      <c r="ZQ70" s="1"/>
      <c r="ZR70" s="1"/>
      <c r="ZS70" s="1"/>
      <c r="ZT70" s="1"/>
      <c r="ZU70" s="1"/>
      <c r="ZV70" s="1"/>
      <c r="ZW70" s="1"/>
      <c r="ZX70" s="1"/>
      <c r="ZY70" s="1"/>
      <c r="ZZ70" s="1"/>
      <c r="AAA70" s="1"/>
      <c r="AAB70" s="1"/>
      <c r="AAC70" s="1"/>
      <c r="AAD70" s="1"/>
      <c r="AAE70" s="1"/>
      <c r="AAF70" s="1"/>
      <c r="AAG70" s="1"/>
      <c r="AAH70" s="1"/>
      <c r="AAI70" s="1"/>
      <c r="AAJ70" s="1"/>
      <c r="AAK70" s="1"/>
      <c r="AAL70" s="1"/>
      <c r="AAM70" s="1"/>
      <c r="AAN70" s="1"/>
      <c r="AAO70" s="1"/>
      <c r="AAP70" s="1"/>
      <c r="AAQ70" s="1"/>
      <c r="AAR70" s="1"/>
      <c r="AAS70" s="1"/>
      <c r="AAT70" s="1"/>
      <c r="AAU70" s="1"/>
      <c r="AAV70" s="1"/>
      <c r="AAW70" s="1"/>
      <c r="AAX70" s="1"/>
      <c r="AAY70" s="1"/>
      <c r="AAZ70" s="1"/>
      <c r="ABA70" s="1"/>
      <c r="ABB70" s="1"/>
      <c r="ABC70" s="1"/>
      <c r="ABD70" s="1"/>
      <c r="ABE70" s="1"/>
      <c r="ABF70" s="1"/>
      <c r="ABG70" s="1"/>
      <c r="ABH70" s="1"/>
      <c r="ABI70" s="1"/>
      <c r="ABJ70" s="1"/>
      <c r="ABK70" s="1"/>
      <c r="ABL70" s="1"/>
      <c r="ABM70" s="1"/>
      <c r="ABN70" s="1"/>
      <c r="ABO70" s="1"/>
      <c r="ABP70" s="1"/>
      <c r="ABQ70" s="1"/>
      <c r="ABR70" s="1"/>
      <c r="ABS70" s="1"/>
      <c r="ABT70" s="1"/>
      <c r="ABU70" s="1"/>
      <c r="ABV70" s="1"/>
      <c r="ABW70" s="1"/>
      <c r="ABX70" s="1"/>
      <c r="ABY70" s="1"/>
      <c r="ABZ70" s="1"/>
      <c r="ACA70" s="1"/>
      <c r="ACB70" s="1"/>
      <c r="ACC70" s="1"/>
      <c r="ACD70" s="1"/>
      <c r="ACE70" s="1"/>
      <c r="ACF70" s="1"/>
      <c r="ACG70" s="1"/>
      <c r="ACH70" s="1"/>
      <c r="ACI70" s="1"/>
      <c r="ACJ70" s="1"/>
      <c r="ACK70" s="1"/>
      <c r="ACL70" s="1"/>
      <c r="ACM70" s="1"/>
      <c r="ACN70" s="1"/>
      <c r="ACO70" s="1"/>
      <c r="ACP70" s="1"/>
      <c r="ACQ70" s="1"/>
      <c r="ACR70" s="1"/>
      <c r="ACS70" s="1"/>
      <c r="ACT70" s="1"/>
      <c r="ACU70" s="1"/>
      <c r="ACV70" s="1"/>
      <c r="ACW70" s="1"/>
      <c r="ACX70" s="1"/>
      <c r="ACY70" s="1"/>
      <c r="ACZ70" s="1"/>
      <c r="ADA70" s="1"/>
      <c r="ADB70" s="1"/>
      <c r="ADC70" s="1"/>
      <c r="ADD70" s="1"/>
      <c r="ADE70" s="1"/>
      <c r="ADF70" s="1"/>
      <c r="ADG70" s="1"/>
      <c r="ADH70" s="1"/>
      <c r="ADI70" s="1"/>
      <c r="ADJ70" s="1"/>
      <c r="ADK70" s="1"/>
      <c r="ADL70" s="1"/>
      <c r="ADM70" s="1"/>
      <c r="ADN70" s="1"/>
      <c r="ADO70" s="1"/>
      <c r="ADP70" s="1"/>
      <c r="ADQ70" s="1"/>
      <c r="ADR70" s="1"/>
      <c r="ADS70" s="1"/>
      <c r="ADT70" s="1"/>
      <c r="ADU70" s="1"/>
      <c r="ADV70" s="1"/>
      <c r="ADW70" s="1"/>
      <c r="ADX70" s="1"/>
      <c r="ADY70" s="1"/>
      <c r="ADZ70" s="1"/>
      <c r="AEA70" s="1"/>
      <c r="AEB70" s="1"/>
      <c r="AEC70" s="1"/>
      <c r="AED70" s="1"/>
      <c r="AEE70" s="1"/>
      <c r="AEF70" s="1"/>
      <c r="AEG70" s="1"/>
      <c r="AEH70" s="1"/>
      <c r="AEI70" s="1"/>
      <c r="AEJ70" s="1"/>
      <c r="AEK70" s="1"/>
      <c r="AEL70" s="1"/>
      <c r="AEM70" s="1"/>
      <c r="AEN70" s="1"/>
      <c r="AEO70" s="1"/>
      <c r="AEP70" s="1"/>
      <c r="AEQ70" s="1"/>
      <c r="AER70" s="1"/>
      <c r="AES70" s="1"/>
      <c r="AET70" s="1"/>
      <c r="AEU70" s="1"/>
      <c r="AEV70" s="1"/>
      <c r="AEW70" s="1"/>
      <c r="AEX70" s="1"/>
      <c r="AEY70" s="1"/>
      <c r="AEZ70" s="1"/>
      <c r="AFA70" s="1"/>
      <c r="AFB70" s="1"/>
      <c r="AFC70" s="1"/>
      <c r="AFD70" s="1"/>
      <c r="AFE70" s="1"/>
      <c r="AFF70" s="1"/>
      <c r="AFG70" s="1"/>
      <c r="AFH70" s="1"/>
      <c r="AFI70" s="1"/>
      <c r="AFJ70" s="1"/>
      <c r="AFK70" s="1"/>
      <c r="AFL70" s="1"/>
      <c r="AFM70" s="1"/>
      <c r="AFN70" s="1"/>
      <c r="AFO70" s="1"/>
      <c r="AFP70" s="1"/>
      <c r="AFQ70" s="1"/>
      <c r="AFR70" s="1"/>
      <c r="AFS70" s="1"/>
      <c r="AFT70" s="1"/>
      <c r="AFU70" s="1"/>
      <c r="AFV70" s="1"/>
      <c r="AFW70" s="1"/>
      <c r="AFX70" s="1"/>
      <c r="AFY70" s="1"/>
      <c r="AFZ70" s="1"/>
      <c r="AGA70" s="1"/>
      <c r="AGB70" s="1"/>
      <c r="AGC70" s="1"/>
      <c r="AGD70" s="1"/>
      <c r="AGE70" s="1"/>
      <c r="AGF70" s="1"/>
      <c r="AGG70" s="1"/>
      <c r="AGH70" s="1"/>
      <c r="AGI70" s="1"/>
      <c r="AGJ70" s="1"/>
      <c r="AGK70" s="1"/>
      <c r="AGL70" s="1"/>
      <c r="AGM70" s="1"/>
      <c r="AGN70" s="1"/>
      <c r="AGO70" s="1"/>
      <c r="AGP70" s="1"/>
      <c r="AGQ70" s="1"/>
      <c r="AGR70" s="1"/>
      <c r="AGS70" s="1"/>
      <c r="AGT70" s="1"/>
      <c r="AGU70" s="1"/>
      <c r="AGV70" s="1"/>
      <c r="AGW70" s="1"/>
      <c r="AGX70" s="1"/>
      <c r="AGY70" s="1"/>
      <c r="AGZ70" s="1"/>
      <c r="AHA70" s="1"/>
      <c r="AHB70" s="1"/>
      <c r="AHC70" s="1"/>
      <c r="AHD70" s="1"/>
      <c r="AHE70" s="1"/>
      <c r="AHF70" s="1"/>
      <c r="AHG70" s="1"/>
      <c r="AHH70" s="1"/>
      <c r="AHI70" s="1"/>
      <c r="AHJ70" s="1"/>
      <c r="AHK70" s="1"/>
      <c r="AHL70" s="1"/>
      <c r="AHM70" s="1"/>
      <c r="AHN70" s="1"/>
      <c r="AHO70" s="1"/>
      <c r="AHP70" s="1"/>
      <c r="AHQ70" s="1"/>
      <c r="AHR70" s="1"/>
      <c r="AHS70" s="1"/>
      <c r="AHT70" s="1"/>
      <c r="AHU70" s="1"/>
      <c r="AHV70" s="1"/>
      <c r="AHW70" s="1"/>
      <c r="AHX70" s="1"/>
      <c r="AHY70" s="1"/>
      <c r="AHZ70" s="1"/>
      <c r="AIA70" s="1"/>
      <c r="AIB70" s="1"/>
      <c r="AIC70" s="1"/>
      <c r="AID70" s="1"/>
      <c r="AIE70" s="1"/>
      <c r="AIF70" s="1"/>
      <c r="AIG70" s="1"/>
      <c r="AIH70" s="1"/>
      <c r="AII70" s="1"/>
      <c r="AIJ70" s="1"/>
      <c r="AIK70" s="1"/>
      <c r="AIL70" s="1"/>
      <c r="AIM70" s="1"/>
      <c r="AIN70" s="1"/>
      <c r="AIO70" s="1"/>
      <c r="AIP70" s="1"/>
      <c r="AIQ70" s="1"/>
      <c r="AIR70" s="1"/>
      <c r="AIS70" s="1"/>
      <c r="AIT70" s="1"/>
      <c r="AIU70" s="1"/>
      <c r="AIV70" s="1"/>
      <c r="AIW70" s="1"/>
      <c r="AIX70" s="1"/>
      <c r="AIY70" s="1"/>
      <c r="AIZ70" s="1"/>
      <c r="AJA70" s="1"/>
      <c r="AJB70" s="1"/>
      <c r="AJC70" s="1"/>
      <c r="AJD70" s="1"/>
      <c r="AJE70" s="1"/>
      <c r="AJF70" s="1"/>
      <c r="AJG70" s="1"/>
      <c r="AJH70" s="1"/>
      <c r="AJI70" s="1"/>
      <c r="AJJ70" s="1"/>
      <c r="AJK70" s="1"/>
      <c r="AJL70" s="1"/>
      <c r="AJM70" s="1"/>
      <c r="AJN70" s="1"/>
      <c r="AJO70" s="1"/>
      <c r="AJP70" s="1"/>
      <c r="AJQ70" s="1"/>
      <c r="AJR70" s="1"/>
      <c r="AJS70" s="1"/>
      <c r="AJT70" s="1"/>
      <c r="AJU70" s="1"/>
      <c r="AJV70" s="1"/>
      <c r="AJW70" s="1"/>
      <c r="AJX70" s="1"/>
      <c r="AJY70" s="1"/>
      <c r="AJZ70" s="1"/>
      <c r="AKA70" s="1"/>
      <c r="AKB70" s="1"/>
      <c r="AKC70" s="1"/>
      <c r="AKD70" s="1"/>
      <c r="AKE70" s="1"/>
      <c r="AKF70" s="1"/>
      <c r="AKG70" s="1"/>
      <c r="AKH70" s="1"/>
      <c r="AKI70" s="1"/>
      <c r="AKJ70" s="1"/>
      <c r="AKK70" s="1"/>
      <c r="AKL70" s="1"/>
      <c r="AKM70" s="1"/>
      <c r="AKN70" s="1"/>
      <c r="AKO70" s="1"/>
      <c r="AKP70" s="1"/>
      <c r="AKQ70" s="1"/>
      <c r="AKR70" s="1"/>
      <c r="AKS70" s="1"/>
      <c r="AKT70" s="1"/>
      <c r="AKU70" s="1"/>
      <c r="AKV70" s="1"/>
      <c r="AKW70" s="1"/>
      <c r="AKX70" s="1"/>
      <c r="AKY70" s="1"/>
      <c r="AKZ70" s="1"/>
      <c r="ALA70" s="1"/>
      <c r="ALB70" s="1"/>
      <c r="ALC70" s="1"/>
      <c r="ALD70" s="1"/>
      <c r="ALE70" s="1"/>
      <c r="ALF70" s="1"/>
      <c r="ALG70" s="1"/>
      <c r="ALH70" s="1"/>
      <c r="ALI70" s="1"/>
      <c r="ALJ70" s="1"/>
      <c r="ALK70" s="1"/>
      <c r="ALL70" s="1"/>
      <c r="ALM70" s="1"/>
      <c r="ALN70" s="1"/>
      <c r="ALO70" s="1"/>
      <c r="ALP70" s="1"/>
      <c r="ALQ70" s="1"/>
      <c r="ALR70" s="1"/>
      <c r="ALS70" s="1"/>
      <c r="ALT70" s="1"/>
      <c r="ALU70" s="1"/>
      <c r="ALV70" s="1"/>
      <c r="ALW70" s="1"/>
      <c r="ALX70" s="1"/>
      <c r="ALY70" s="1"/>
      <c r="ALZ70" s="1"/>
      <c r="AMA70" s="1"/>
      <c r="AMB70" s="1"/>
      <c r="AMC70" s="1"/>
      <c r="AMD70" s="1"/>
      <c r="AME70" s="1"/>
      <c r="AMF70" s="1"/>
      <c r="AMG70" s="1"/>
      <c r="AMH70" s="1"/>
      <c r="AMI70" s="1"/>
      <c r="AMJ70" s="1"/>
      <c r="AMK70" s="1"/>
      <c r="AML70" s="1"/>
      <c r="AMM70" s="1"/>
      <c r="AMN70" s="1"/>
    </row>
    <row r="71" spans="1:1028" x14ac:dyDescent="0.2">
      <c r="A71" s="3" t="str">
        <f t="shared" ref="A71:A114" si="222">CONCATENATE(B71,"_",C71)</f>
        <v>adrb2_human_4LDE</v>
      </c>
      <c r="B71" s="3" t="s">
        <v>126</v>
      </c>
      <c r="C71" s="3" t="s">
        <v>77</v>
      </c>
      <c r="D71" s="3" t="str">
        <f>IFERROR(MID(VLOOKUP($B71,Seqs!$A:$B,2,0),E71,1),"")</f>
        <v>D</v>
      </c>
      <c r="E71" s="3">
        <v>29</v>
      </c>
      <c r="F71" s="3" t="str">
        <f>IFERROR(MID(VLOOKUP($B71,Seqs!$A:$B,2,0),G71,1),"")</f>
        <v>F</v>
      </c>
      <c r="G71" s="3">
        <v>61</v>
      </c>
      <c r="H71" s="3" t="str">
        <f>IFERROR(MID(VLOOKUP($B71,Seqs!$A:$B,2,0),I71,1),"")</f>
        <v>E</v>
      </c>
      <c r="I71" s="23">
        <v>62</v>
      </c>
      <c r="J71" s="3" t="str">
        <f>IFERROR(MID(VLOOKUP($B71,Seqs!$A:$B,2,0),K71,1),"")</f>
        <v>Q</v>
      </c>
      <c r="K71" s="23">
        <v>65</v>
      </c>
      <c r="L71" s="3" t="str">
        <f>IFERROR(MID(VLOOKUP($B71,Seqs!$A:$B,2,0),M71,1),"")</f>
        <v>T</v>
      </c>
      <c r="M71" s="3">
        <v>66</v>
      </c>
      <c r="N71" s="3" t="str">
        <f>IFERROR(MID(VLOOKUP($B71,Seqs!$A:$B,2,0),O71,1),"")</f>
        <v>M</v>
      </c>
      <c r="O71" s="3">
        <v>96</v>
      </c>
      <c r="P71" s="3" t="str">
        <f>IFERROR(MID(VLOOKUP($B71,Seqs!$A:$B,2,0),Q71,1),"")</f>
        <v>M</v>
      </c>
      <c r="Q71" s="3">
        <v>98</v>
      </c>
      <c r="R71" s="3" t="str">
        <f>IFERROR(MID(VLOOKUP($B71,Seqs!$A:$B,2,0),S71,1),"")</f>
        <v>F</v>
      </c>
      <c r="S71" s="3">
        <v>101</v>
      </c>
      <c r="T71" s="3" t="str">
        <f>IFERROR(MID(VLOOKUP($B71,Seqs!$A:$B,2,0),U71,1),"")</f>
        <v>G</v>
      </c>
      <c r="U71" s="3">
        <v>102</v>
      </c>
      <c r="V71" s="3" t="str">
        <f>IFERROR(MID(VLOOKUP($B71,Seqs!$A:$B,2,0),W71,1),"")</f>
        <v>S</v>
      </c>
      <c r="W71" s="3">
        <v>137</v>
      </c>
      <c r="X71" s="3" t="str">
        <f>IFERROR(MID(VLOOKUP($B71,Seqs!$A:$B,2,0),Y71,1),"")</f>
        <v>P</v>
      </c>
      <c r="Y71" s="3">
        <v>138</v>
      </c>
      <c r="Z71" s="3" t="str">
        <f>IFERROR(MID(VLOOKUP($B71,Seqs!$A:$B,2,0),AA71,1),"")</f>
        <v>L</v>
      </c>
      <c r="AA71" s="3">
        <v>145</v>
      </c>
      <c r="AB71" s="3" t="str">
        <f>IFERROR(MID(VLOOKUP($B71,Seqs!$A:$B,2,0),AC71,1),"")</f>
        <v>T</v>
      </c>
      <c r="AC71" s="9">
        <v>146</v>
      </c>
      <c r="AD71" s="3" t="str">
        <f>IFERROR(MID(VLOOKUP($B71,Seqs!$A:$B,2,0),AE71,1),"")</f>
        <v>H</v>
      </c>
      <c r="AE71" s="3">
        <v>172</v>
      </c>
      <c r="AF71" s="3" t="str">
        <f>IFERROR(MID(VLOOKUP($B71,Seqs!$A:$B,2,0),AG71,1),"")</f>
        <v>C</v>
      </c>
      <c r="AG71" s="3">
        <v>191</v>
      </c>
      <c r="AH71" s="3" t="str">
        <f>IFERROR(MID(VLOOKUP($B71,Seqs!$A:$B,2,0),AI71,1),"")</f>
        <v>F</v>
      </c>
      <c r="AI71" s="3">
        <v>193</v>
      </c>
      <c r="AJ71" s="3" t="str">
        <f>IFERROR(MID(VLOOKUP($B71,Seqs!$A:$B,2,0),AK71,1),"")</f>
        <v>N</v>
      </c>
      <c r="AK71" s="3">
        <v>196</v>
      </c>
      <c r="AL71" s="3" t="str">
        <f>IFERROR(MID(VLOOKUP($B71,Seqs!$A:$B,2,0),AM71,1),"")</f>
        <v>E</v>
      </c>
      <c r="AM71" s="3">
        <v>225</v>
      </c>
      <c r="AN71" s="3" t="str">
        <f>IFERROR(MID(VLOOKUP($B71,Seqs!$A:$B,2,0),AO71,1),"")</f>
        <v>L</v>
      </c>
      <c r="AO71" s="3">
        <v>266</v>
      </c>
      <c r="AP71" s="3" t="str">
        <f>IFERROR(MID(VLOOKUP($B71,Seqs!$A:$B,2,0),AQ71,1),"")</f>
        <v>Q</v>
      </c>
      <c r="AQ71" s="3">
        <v>299</v>
      </c>
      <c r="AR71" s="3" t="str">
        <f>IFERROR(MID(VLOOKUP($B71,Seqs!$A:$B,2,0),AS71,1),"")</f>
        <v>R</v>
      </c>
      <c r="AS71" s="3">
        <v>304</v>
      </c>
      <c r="AT71" s="3" t="str">
        <f>IFERROR(MID(VLOOKUP($B71,Seqs!$A:$B,2,0),AU71,1),"")</f>
        <v>R</v>
      </c>
      <c r="AU71" s="3">
        <v>328</v>
      </c>
      <c r="AV71" s="3" t="str">
        <f>IFERROR(MID(VLOOKUP($B71,Seqs!$A:$B,2,0),AW71,1),"")</f>
        <v>S</v>
      </c>
      <c r="AW71" s="3">
        <v>329</v>
      </c>
      <c r="AX71" s="3" t="str">
        <f>IFERROR(MID(VLOOKUP($B71,Seqs!$A:$B,2,0),AY71,1),"")</f>
        <v>C</v>
      </c>
      <c r="AY71" s="3">
        <v>341</v>
      </c>
      <c r="AZ71" s="79" t="str">
        <f>VLOOKUP(B71,Classification!A:D,2,0)</f>
        <v>A</v>
      </c>
      <c r="BA71" s="97" t="str">
        <f>VLOOKUP(B71,Classification!A:D,4,0)</f>
        <v>Adrenoceptors</v>
      </c>
      <c r="BB71" s="27" t="b">
        <f t="shared" ref="BB71:BB114" si="223">AND(E71&lt;G71,OR(G71&lt;I71,I71="-"),OR(I71&lt;K71,I71="-"),OR(K71&lt;M71,K71="-"),M71&lt;O71,OR(O71&lt;Q71,Q71="-"),OR(Q71&lt;S71,Q71="-"),OR(S71&lt;U71,S71="-"),U71&lt;W71,OR(W71&lt;Y71,Y71="-"),OR(Y71&lt;AA71,Y71="-"),OR(AA71&lt;AC71,AA71="-"),AC71&lt;AE71,OR(AE71&lt;AG71,AG71="-"),OR(AG71&lt;AI71,AG71="-"),OR(AI71&lt;AK71,AI71="-"),AK71&lt;AM71,AM71&lt;AO71,AO71&lt;AQ71,AQ71&lt;AS71,AS71&lt;AU71,OR(AU71&lt;AW71,AW71="-"),OR(AW71&lt;AY71,AW71="-"))</f>
        <v>1</v>
      </c>
      <c r="BC71" s="23">
        <f t="shared" si="196"/>
        <v>248</v>
      </c>
      <c r="BD71" s="4" t="s">
        <v>23</v>
      </c>
      <c r="BE71" s="3" t="s">
        <v>1297</v>
      </c>
      <c r="BF71" s="50" t="s">
        <v>1384</v>
      </c>
      <c r="BG71" s="50" t="s">
        <v>1384</v>
      </c>
      <c r="BH71" s="1"/>
      <c r="BI71" s="72" t="s">
        <v>1293</v>
      </c>
      <c r="BJ71" s="58" t="s">
        <v>1293</v>
      </c>
      <c r="BK71" s="58" t="s">
        <v>1293</v>
      </c>
      <c r="BL71" s="58" t="s">
        <v>1293</v>
      </c>
      <c r="BM71" s="58" t="s">
        <v>1293</v>
      </c>
      <c r="BN71" s="58" t="s">
        <v>1293</v>
      </c>
      <c r="BO71" s="58" t="s">
        <v>1293</v>
      </c>
      <c r="BP71" s="58" t="s">
        <v>1293</v>
      </c>
      <c r="BQ71" s="58" t="s">
        <v>1293</v>
      </c>
      <c r="BR71" s="58" t="s">
        <v>1293</v>
      </c>
      <c r="BS71" s="58" t="s">
        <v>1293</v>
      </c>
      <c r="BT71" s="58" t="s">
        <v>1293</v>
      </c>
      <c r="BU71" s="72">
        <f t="shared" si="197"/>
        <v>29</v>
      </c>
      <c r="BV71" s="73">
        <f t="shared" si="198"/>
        <v>62</v>
      </c>
      <c r="BW71" s="74">
        <f t="shared" si="199"/>
        <v>66</v>
      </c>
      <c r="BX71" s="73">
        <f t="shared" si="200"/>
        <v>98</v>
      </c>
      <c r="BY71" s="74">
        <f t="shared" si="201"/>
        <v>102</v>
      </c>
      <c r="BZ71" s="73">
        <f t="shared" si="202"/>
        <v>138</v>
      </c>
      <c r="CA71" s="74">
        <f t="shared" si="203"/>
        <v>146</v>
      </c>
      <c r="CB71" s="73">
        <f t="shared" si="204"/>
        <v>191</v>
      </c>
      <c r="CC71" s="74">
        <f t="shared" si="205"/>
        <v>196</v>
      </c>
      <c r="CD71" s="73">
        <f t="shared" si="206"/>
        <v>266</v>
      </c>
      <c r="CE71" s="74">
        <f t="shared" si="207"/>
        <v>304</v>
      </c>
      <c r="CF71" s="73">
        <f t="shared" si="208"/>
        <v>329</v>
      </c>
      <c r="CG71" s="72">
        <f t="shared" si="209"/>
        <v>61</v>
      </c>
      <c r="CH71" s="73">
        <f t="shared" si="210"/>
        <v>65</v>
      </c>
      <c r="CI71" s="74">
        <f t="shared" si="211"/>
        <v>96</v>
      </c>
      <c r="CJ71" s="74">
        <f t="shared" si="212"/>
        <v>101</v>
      </c>
      <c r="CK71" s="74">
        <f t="shared" si="213"/>
        <v>137</v>
      </c>
      <c r="CL71" s="74">
        <f t="shared" si="214"/>
        <v>145</v>
      </c>
      <c r="CM71" s="74">
        <f t="shared" si="215"/>
        <v>172</v>
      </c>
      <c r="CN71" s="74">
        <f t="shared" si="216"/>
        <v>193</v>
      </c>
      <c r="CO71" s="74">
        <f t="shared" si="217"/>
        <v>225</v>
      </c>
      <c r="CP71" s="74">
        <f t="shared" si="218"/>
        <v>299</v>
      </c>
      <c r="CQ71" s="74">
        <f t="shared" si="219"/>
        <v>328</v>
      </c>
      <c r="CR71" s="74">
        <f t="shared" si="220"/>
        <v>341</v>
      </c>
      <c r="CS71" s="23">
        <f t="shared" si="221"/>
        <v>1</v>
      </c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s="1"/>
      <c r="KS71" s="1"/>
      <c r="KT71" s="1"/>
      <c r="KU71" s="1"/>
      <c r="KV71" s="1"/>
      <c r="KW71" s="1"/>
      <c r="KX71" s="1"/>
      <c r="KY71" s="1"/>
      <c r="KZ71" s="1"/>
      <c r="LA71" s="1"/>
      <c r="LB71" s="1"/>
      <c r="LC71" s="1"/>
      <c r="LD71" s="1"/>
      <c r="LE71" s="1"/>
      <c r="LF71" s="1"/>
      <c r="LG71" s="1"/>
      <c r="LH71" s="1"/>
      <c r="LI71" s="1"/>
      <c r="LJ71" s="1"/>
      <c r="LK71" s="1"/>
      <c r="LL71" s="1"/>
      <c r="LM71" s="1"/>
      <c r="LN71" s="1"/>
      <c r="LO71" s="1"/>
      <c r="LP71" s="1"/>
      <c r="LQ71" s="1"/>
      <c r="LR71" s="1"/>
      <c r="LS71" s="1"/>
      <c r="LT71" s="1"/>
      <c r="LU71" s="1"/>
      <c r="LV71" s="1"/>
      <c r="LW71" s="1"/>
      <c r="LX71" s="1"/>
      <c r="LY71" s="1"/>
      <c r="LZ71" s="1"/>
      <c r="MA71" s="1"/>
      <c r="MB71" s="1"/>
      <c r="MC71" s="1"/>
      <c r="MD71" s="1"/>
      <c r="ME71" s="1"/>
      <c r="MF71" s="1"/>
      <c r="MG71" s="1"/>
      <c r="MH71" s="1"/>
      <c r="MI71" s="1"/>
      <c r="MJ71" s="1"/>
      <c r="MK71" s="1"/>
      <c r="ML71" s="1"/>
      <c r="MM71" s="1"/>
      <c r="MN71" s="1"/>
      <c r="MO71" s="1"/>
      <c r="MP71" s="1"/>
      <c r="MQ71" s="1"/>
      <c r="MR71" s="1"/>
      <c r="MS71" s="1"/>
      <c r="MT71" s="1"/>
      <c r="MU71" s="1"/>
      <c r="MV71" s="1"/>
      <c r="MW71" s="1"/>
      <c r="MX71" s="1"/>
      <c r="MY71" s="1"/>
      <c r="MZ71" s="1"/>
      <c r="NA71" s="1"/>
      <c r="NB71" s="1"/>
      <c r="NC71" s="1"/>
      <c r="ND71" s="1"/>
      <c r="NE71" s="1"/>
      <c r="NF71" s="1"/>
      <c r="NG71" s="1"/>
      <c r="NH71" s="1"/>
      <c r="NI71" s="1"/>
      <c r="NJ71" s="1"/>
      <c r="NK71" s="1"/>
      <c r="NL71" s="1"/>
      <c r="NM71" s="1"/>
      <c r="NN71" s="1"/>
      <c r="NO71" s="1"/>
      <c r="NP71" s="1"/>
      <c r="NQ71" s="1"/>
      <c r="NR71" s="1"/>
      <c r="NS71" s="1"/>
      <c r="NT71" s="1"/>
      <c r="NU71" s="1"/>
      <c r="NV71" s="1"/>
      <c r="NW71" s="1"/>
      <c r="NX71" s="1"/>
      <c r="NY71" s="1"/>
      <c r="NZ71" s="1"/>
      <c r="OA71" s="1"/>
      <c r="OB71" s="1"/>
      <c r="OC71" s="1"/>
      <c r="OD71" s="1"/>
      <c r="OE71" s="1"/>
      <c r="OF71" s="1"/>
      <c r="OG71" s="1"/>
      <c r="OH71" s="1"/>
      <c r="OI71" s="1"/>
      <c r="OJ71" s="1"/>
      <c r="OK71" s="1"/>
      <c r="OL71" s="1"/>
      <c r="OM71" s="1"/>
      <c r="ON71" s="1"/>
      <c r="OO71" s="1"/>
      <c r="OP71" s="1"/>
      <c r="OQ71" s="1"/>
      <c r="OR71" s="1"/>
      <c r="OS71" s="1"/>
      <c r="OT71" s="1"/>
      <c r="OU71" s="1"/>
      <c r="OV71" s="1"/>
      <c r="OW71" s="1"/>
      <c r="OX71" s="1"/>
      <c r="OY71" s="1"/>
      <c r="OZ71" s="1"/>
      <c r="PA71" s="1"/>
      <c r="PB71" s="1"/>
      <c r="PC71" s="1"/>
      <c r="PD71" s="1"/>
      <c r="PE71" s="1"/>
      <c r="PF71" s="1"/>
      <c r="PG71" s="1"/>
      <c r="PH71" s="1"/>
      <c r="PI71" s="1"/>
      <c r="PJ71" s="1"/>
      <c r="PK71" s="1"/>
      <c r="PL71" s="1"/>
      <c r="PM71" s="1"/>
      <c r="PN71" s="1"/>
      <c r="PO71" s="1"/>
      <c r="PP71" s="1"/>
      <c r="PQ71" s="1"/>
      <c r="PR71" s="1"/>
      <c r="PS71" s="1"/>
      <c r="PT71" s="1"/>
      <c r="PU71" s="1"/>
      <c r="PV71" s="1"/>
      <c r="PW71" s="1"/>
      <c r="PX71" s="1"/>
      <c r="PY71" s="1"/>
      <c r="PZ71" s="1"/>
      <c r="QA71" s="1"/>
      <c r="QB71" s="1"/>
      <c r="QC71" s="1"/>
      <c r="QD71" s="1"/>
      <c r="QE71" s="1"/>
      <c r="QF71" s="1"/>
      <c r="QG71" s="1"/>
      <c r="QH71" s="1"/>
      <c r="QI71" s="1"/>
      <c r="QJ71" s="1"/>
      <c r="QK71" s="1"/>
      <c r="QL71" s="1"/>
      <c r="QM71" s="1"/>
      <c r="QN71" s="1"/>
      <c r="QO71" s="1"/>
      <c r="QP71" s="1"/>
      <c r="QQ71" s="1"/>
      <c r="QR71" s="1"/>
      <c r="QS71" s="1"/>
      <c r="QT71" s="1"/>
      <c r="QU71" s="1"/>
      <c r="QV71" s="1"/>
      <c r="QW71" s="1"/>
      <c r="QX71" s="1"/>
      <c r="QY71" s="1"/>
      <c r="QZ71" s="1"/>
      <c r="RA71" s="1"/>
      <c r="RB71" s="1"/>
      <c r="RC71" s="1"/>
      <c r="RD71" s="1"/>
      <c r="RE71" s="1"/>
      <c r="RF71" s="1"/>
      <c r="RG71" s="1"/>
      <c r="RH71" s="1"/>
      <c r="RI71" s="1"/>
      <c r="RJ71" s="1"/>
      <c r="RK71" s="1"/>
      <c r="RL71" s="1"/>
      <c r="RM71" s="1"/>
      <c r="RN71" s="1"/>
      <c r="RO71" s="1"/>
      <c r="RP71" s="1"/>
      <c r="RQ71" s="1"/>
      <c r="RR71" s="1"/>
      <c r="RS71" s="1"/>
      <c r="RT71" s="1"/>
      <c r="RU71" s="1"/>
      <c r="RV71" s="1"/>
      <c r="RW71" s="1"/>
      <c r="RX71" s="1"/>
      <c r="RY71" s="1"/>
      <c r="RZ71" s="1"/>
      <c r="SA71" s="1"/>
      <c r="SB71" s="1"/>
      <c r="SC71" s="1"/>
      <c r="SD71" s="1"/>
      <c r="SE71" s="1"/>
      <c r="SF71" s="1"/>
      <c r="SG71" s="1"/>
      <c r="SH71" s="1"/>
      <c r="SI71" s="1"/>
      <c r="SJ71" s="1"/>
      <c r="SK71" s="1"/>
      <c r="SL71" s="1"/>
      <c r="SM71" s="1"/>
      <c r="SN71" s="1"/>
      <c r="SO71" s="1"/>
      <c r="SP71" s="1"/>
      <c r="SQ71" s="1"/>
      <c r="SR71" s="1"/>
      <c r="SS71" s="1"/>
      <c r="ST71" s="1"/>
      <c r="SU71" s="1"/>
      <c r="SV71" s="1"/>
      <c r="SW71" s="1"/>
      <c r="SX71" s="1"/>
      <c r="SY71" s="1"/>
      <c r="SZ71" s="1"/>
      <c r="TA71" s="1"/>
      <c r="TB71" s="1"/>
      <c r="TC71" s="1"/>
      <c r="TD71" s="1"/>
      <c r="TE71" s="1"/>
      <c r="TF71" s="1"/>
      <c r="TG71" s="1"/>
      <c r="TH71" s="1"/>
      <c r="TI71" s="1"/>
      <c r="TJ71" s="1"/>
      <c r="TK71" s="1"/>
      <c r="TL71" s="1"/>
      <c r="TM71" s="1"/>
      <c r="TN71" s="1"/>
      <c r="TO71" s="1"/>
      <c r="TP71" s="1"/>
      <c r="TQ71" s="1"/>
      <c r="TR71" s="1"/>
      <c r="TS71" s="1"/>
      <c r="TT71" s="1"/>
      <c r="TU71" s="1"/>
      <c r="TV71" s="1"/>
      <c r="TW71" s="1"/>
      <c r="TX71" s="1"/>
      <c r="TY71" s="1"/>
      <c r="TZ71" s="1"/>
      <c r="UA71" s="1"/>
      <c r="UB71" s="1"/>
      <c r="UC71" s="1"/>
      <c r="UD71" s="1"/>
      <c r="UE71" s="1"/>
      <c r="UF71" s="1"/>
      <c r="UG71" s="1"/>
      <c r="UH71" s="1"/>
      <c r="UI71" s="1"/>
      <c r="UJ71" s="1"/>
      <c r="UK71" s="1"/>
      <c r="UL71" s="1"/>
      <c r="UM71" s="1"/>
      <c r="UN71" s="1"/>
      <c r="UO71" s="1"/>
      <c r="UP71" s="1"/>
      <c r="UQ71" s="1"/>
      <c r="UR71" s="1"/>
      <c r="US71" s="1"/>
      <c r="UT71" s="1"/>
      <c r="UU71" s="1"/>
      <c r="UV71" s="1"/>
      <c r="UW71" s="1"/>
      <c r="UX71" s="1"/>
      <c r="UY71" s="1"/>
      <c r="UZ71" s="1"/>
      <c r="VA71" s="1"/>
      <c r="VB71" s="1"/>
      <c r="VC71" s="1"/>
      <c r="VD71" s="1"/>
      <c r="VE71" s="1"/>
      <c r="VF71" s="1"/>
      <c r="VG71" s="1"/>
      <c r="VH71" s="1"/>
      <c r="VI71" s="1"/>
      <c r="VJ71" s="1"/>
      <c r="VK71" s="1"/>
      <c r="VL71" s="1"/>
      <c r="VM71" s="1"/>
      <c r="VN71" s="1"/>
      <c r="VO71" s="1"/>
      <c r="VP71" s="1"/>
      <c r="VQ71" s="1"/>
      <c r="VR71" s="1"/>
      <c r="VS71" s="1"/>
      <c r="VT71" s="1"/>
      <c r="VU71" s="1"/>
      <c r="VV71" s="1"/>
      <c r="VW71" s="1"/>
      <c r="VX71" s="1"/>
      <c r="VY71" s="1"/>
      <c r="VZ71" s="1"/>
      <c r="WA71" s="1"/>
      <c r="WB71" s="1"/>
      <c r="WC71" s="1"/>
      <c r="WD71" s="1"/>
      <c r="WE71" s="1"/>
      <c r="WF71" s="1"/>
      <c r="WG71" s="1"/>
      <c r="WH71" s="1"/>
      <c r="WI71" s="1"/>
      <c r="WJ71" s="1"/>
      <c r="WK71" s="1"/>
      <c r="WL71" s="1"/>
      <c r="WM71" s="1"/>
      <c r="WN71" s="1"/>
      <c r="WO71" s="1"/>
      <c r="WP71" s="1"/>
      <c r="WQ71" s="1"/>
      <c r="WR71" s="1"/>
      <c r="WS71" s="1"/>
      <c r="WT71" s="1"/>
      <c r="WU71" s="1"/>
      <c r="WV71" s="1"/>
      <c r="WW71" s="1"/>
      <c r="WX71" s="1"/>
      <c r="WY71" s="1"/>
      <c r="WZ71" s="1"/>
      <c r="XA71" s="1"/>
      <c r="XB71" s="1"/>
      <c r="XC71" s="1"/>
      <c r="XD71" s="1"/>
      <c r="XE71" s="1"/>
      <c r="XF71" s="1"/>
      <c r="XG71" s="1"/>
      <c r="XH71" s="1"/>
      <c r="XI71" s="1"/>
      <c r="XJ71" s="1"/>
      <c r="XK71" s="1"/>
      <c r="XL71" s="1"/>
      <c r="XM71" s="1"/>
      <c r="XN71" s="1"/>
      <c r="XO71" s="1"/>
      <c r="XP71" s="1"/>
      <c r="XQ71" s="1"/>
      <c r="XR71" s="1"/>
      <c r="XS71" s="1"/>
      <c r="XT71" s="1"/>
      <c r="XU71" s="1"/>
      <c r="XV71" s="1"/>
      <c r="XW71" s="1"/>
      <c r="XX71" s="1"/>
      <c r="XY71" s="1"/>
      <c r="XZ71" s="1"/>
      <c r="YA71" s="1"/>
      <c r="YB71" s="1"/>
      <c r="YC71" s="1"/>
      <c r="YD71" s="1"/>
      <c r="YE71" s="1"/>
      <c r="YF71" s="1"/>
      <c r="YG71" s="1"/>
      <c r="YH71" s="1"/>
      <c r="YI71" s="1"/>
      <c r="YJ71" s="1"/>
      <c r="YK71" s="1"/>
      <c r="YL71" s="1"/>
      <c r="YM71" s="1"/>
      <c r="YN71" s="1"/>
      <c r="YO71" s="1"/>
      <c r="YP71" s="1"/>
      <c r="YQ71" s="1"/>
      <c r="YR71" s="1"/>
      <c r="YS71" s="1"/>
      <c r="YT71" s="1"/>
      <c r="YU71" s="1"/>
      <c r="YV71" s="1"/>
      <c r="YW71" s="1"/>
      <c r="YX71" s="1"/>
      <c r="YY71" s="1"/>
      <c r="YZ71" s="1"/>
      <c r="ZA71" s="1"/>
      <c r="ZB71" s="1"/>
      <c r="ZC71" s="1"/>
      <c r="ZD71" s="1"/>
      <c r="ZE71" s="1"/>
      <c r="ZF71" s="1"/>
      <c r="ZG71" s="1"/>
      <c r="ZH71" s="1"/>
      <c r="ZI71" s="1"/>
      <c r="ZJ71" s="1"/>
      <c r="ZK71" s="1"/>
      <c r="ZL71" s="1"/>
      <c r="ZM71" s="1"/>
      <c r="ZN71" s="1"/>
      <c r="ZO71" s="1"/>
      <c r="ZP71" s="1"/>
      <c r="ZQ71" s="1"/>
      <c r="ZR71" s="1"/>
      <c r="ZS71" s="1"/>
      <c r="ZT71" s="1"/>
      <c r="ZU71" s="1"/>
      <c r="ZV71" s="1"/>
      <c r="ZW71" s="1"/>
      <c r="ZX71" s="1"/>
      <c r="ZY71" s="1"/>
      <c r="ZZ71" s="1"/>
      <c r="AAA71" s="1"/>
      <c r="AAB71" s="1"/>
      <c r="AAC71" s="1"/>
      <c r="AAD71" s="1"/>
      <c r="AAE71" s="1"/>
      <c r="AAF71" s="1"/>
      <c r="AAG71" s="1"/>
      <c r="AAH71" s="1"/>
      <c r="AAI71" s="1"/>
      <c r="AAJ71" s="1"/>
      <c r="AAK71" s="1"/>
      <c r="AAL71" s="1"/>
      <c r="AAM71" s="1"/>
      <c r="AAN71" s="1"/>
      <c r="AAO71" s="1"/>
      <c r="AAP71" s="1"/>
      <c r="AAQ71" s="1"/>
      <c r="AAR71" s="1"/>
      <c r="AAS71" s="1"/>
      <c r="AAT71" s="1"/>
      <c r="AAU71" s="1"/>
      <c r="AAV71" s="1"/>
      <c r="AAW71" s="1"/>
      <c r="AAX71" s="1"/>
      <c r="AAY71" s="1"/>
      <c r="AAZ71" s="1"/>
      <c r="ABA71" s="1"/>
      <c r="ABB71" s="1"/>
      <c r="ABC71" s="1"/>
      <c r="ABD71" s="1"/>
      <c r="ABE71" s="1"/>
      <c r="ABF71" s="1"/>
      <c r="ABG71" s="1"/>
      <c r="ABH71" s="1"/>
      <c r="ABI71" s="1"/>
      <c r="ABJ71" s="1"/>
      <c r="ABK71" s="1"/>
      <c r="ABL71" s="1"/>
      <c r="ABM71" s="1"/>
      <c r="ABN71" s="1"/>
      <c r="ABO71" s="1"/>
      <c r="ABP71" s="1"/>
      <c r="ABQ71" s="1"/>
      <c r="ABR71" s="1"/>
      <c r="ABS71" s="1"/>
      <c r="ABT71" s="1"/>
      <c r="ABU71" s="1"/>
      <c r="ABV71" s="1"/>
      <c r="ABW71" s="1"/>
      <c r="ABX71" s="1"/>
      <c r="ABY71" s="1"/>
      <c r="ABZ71" s="1"/>
      <c r="ACA71" s="1"/>
      <c r="ACB71" s="1"/>
      <c r="ACC71" s="1"/>
      <c r="ACD71" s="1"/>
      <c r="ACE71" s="1"/>
      <c r="ACF71" s="1"/>
      <c r="ACG71" s="1"/>
      <c r="ACH71" s="1"/>
      <c r="ACI71" s="1"/>
      <c r="ACJ71" s="1"/>
      <c r="ACK71" s="1"/>
      <c r="ACL71" s="1"/>
      <c r="ACM71" s="1"/>
      <c r="ACN71" s="1"/>
      <c r="ACO71" s="1"/>
      <c r="ACP71" s="1"/>
      <c r="ACQ71" s="1"/>
      <c r="ACR71" s="1"/>
      <c r="ACS71" s="1"/>
      <c r="ACT71" s="1"/>
      <c r="ACU71" s="1"/>
      <c r="ACV71" s="1"/>
      <c r="ACW71" s="1"/>
      <c r="ACX71" s="1"/>
      <c r="ACY71" s="1"/>
      <c r="ACZ71" s="1"/>
      <c r="ADA71" s="1"/>
      <c r="ADB71" s="1"/>
      <c r="ADC71" s="1"/>
      <c r="ADD71" s="1"/>
      <c r="ADE71" s="1"/>
      <c r="ADF71" s="1"/>
      <c r="ADG71" s="1"/>
      <c r="ADH71" s="1"/>
      <c r="ADI71" s="1"/>
      <c r="ADJ71" s="1"/>
      <c r="ADK71" s="1"/>
      <c r="ADL71" s="1"/>
      <c r="ADM71" s="1"/>
      <c r="ADN71" s="1"/>
      <c r="ADO71" s="1"/>
      <c r="ADP71" s="1"/>
      <c r="ADQ71" s="1"/>
      <c r="ADR71" s="1"/>
      <c r="ADS71" s="1"/>
      <c r="ADT71" s="1"/>
      <c r="ADU71" s="1"/>
      <c r="ADV71" s="1"/>
      <c r="ADW71" s="1"/>
      <c r="ADX71" s="1"/>
      <c r="ADY71" s="1"/>
      <c r="ADZ71" s="1"/>
      <c r="AEA71" s="1"/>
      <c r="AEB71" s="1"/>
      <c r="AEC71" s="1"/>
      <c r="AED71" s="1"/>
      <c r="AEE71" s="1"/>
      <c r="AEF71" s="1"/>
      <c r="AEG71" s="1"/>
      <c r="AEH71" s="1"/>
      <c r="AEI71" s="1"/>
      <c r="AEJ71" s="1"/>
      <c r="AEK71" s="1"/>
      <c r="AEL71" s="1"/>
      <c r="AEM71" s="1"/>
      <c r="AEN71" s="1"/>
      <c r="AEO71" s="1"/>
      <c r="AEP71" s="1"/>
      <c r="AEQ71" s="1"/>
      <c r="AER71" s="1"/>
      <c r="AES71" s="1"/>
      <c r="AET71" s="1"/>
      <c r="AEU71" s="1"/>
      <c r="AEV71" s="1"/>
      <c r="AEW71" s="1"/>
      <c r="AEX71" s="1"/>
      <c r="AEY71" s="1"/>
      <c r="AEZ71" s="1"/>
      <c r="AFA71" s="1"/>
      <c r="AFB71" s="1"/>
      <c r="AFC71" s="1"/>
      <c r="AFD71" s="1"/>
      <c r="AFE71" s="1"/>
      <c r="AFF71" s="1"/>
      <c r="AFG71" s="1"/>
      <c r="AFH71" s="1"/>
      <c r="AFI71" s="1"/>
      <c r="AFJ71" s="1"/>
      <c r="AFK71" s="1"/>
      <c r="AFL71" s="1"/>
      <c r="AFM71" s="1"/>
      <c r="AFN71" s="1"/>
      <c r="AFO71" s="1"/>
      <c r="AFP71" s="1"/>
      <c r="AFQ71" s="1"/>
      <c r="AFR71" s="1"/>
      <c r="AFS71" s="1"/>
      <c r="AFT71" s="1"/>
      <c r="AFU71" s="1"/>
      <c r="AFV71" s="1"/>
      <c r="AFW71" s="1"/>
      <c r="AFX71" s="1"/>
      <c r="AFY71" s="1"/>
      <c r="AFZ71" s="1"/>
      <c r="AGA71" s="1"/>
      <c r="AGB71" s="1"/>
      <c r="AGC71" s="1"/>
      <c r="AGD71" s="1"/>
      <c r="AGE71" s="1"/>
      <c r="AGF71" s="1"/>
      <c r="AGG71" s="1"/>
      <c r="AGH71" s="1"/>
      <c r="AGI71" s="1"/>
      <c r="AGJ71" s="1"/>
      <c r="AGK71" s="1"/>
      <c r="AGL71" s="1"/>
      <c r="AGM71" s="1"/>
      <c r="AGN71" s="1"/>
      <c r="AGO71" s="1"/>
      <c r="AGP71" s="1"/>
      <c r="AGQ71" s="1"/>
      <c r="AGR71" s="1"/>
      <c r="AGS71" s="1"/>
      <c r="AGT71" s="1"/>
      <c r="AGU71" s="1"/>
      <c r="AGV71" s="1"/>
      <c r="AGW71" s="1"/>
      <c r="AGX71" s="1"/>
      <c r="AGY71" s="1"/>
      <c r="AGZ71" s="1"/>
      <c r="AHA71" s="1"/>
      <c r="AHB71" s="1"/>
      <c r="AHC71" s="1"/>
      <c r="AHD71" s="1"/>
      <c r="AHE71" s="1"/>
      <c r="AHF71" s="1"/>
      <c r="AHG71" s="1"/>
      <c r="AHH71" s="1"/>
      <c r="AHI71" s="1"/>
      <c r="AHJ71" s="1"/>
      <c r="AHK71" s="1"/>
      <c r="AHL71" s="1"/>
      <c r="AHM71" s="1"/>
      <c r="AHN71" s="1"/>
      <c r="AHO71" s="1"/>
      <c r="AHP71" s="1"/>
      <c r="AHQ71" s="1"/>
      <c r="AHR71" s="1"/>
      <c r="AHS71" s="1"/>
      <c r="AHT71" s="1"/>
      <c r="AHU71" s="1"/>
      <c r="AHV71" s="1"/>
      <c r="AHW71" s="1"/>
      <c r="AHX71" s="1"/>
      <c r="AHY71" s="1"/>
      <c r="AHZ71" s="1"/>
      <c r="AIA71" s="1"/>
      <c r="AIB71" s="1"/>
      <c r="AIC71" s="1"/>
      <c r="AID71" s="1"/>
      <c r="AIE71" s="1"/>
      <c r="AIF71" s="1"/>
      <c r="AIG71" s="1"/>
      <c r="AIH71" s="1"/>
      <c r="AII71" s="1"/>
      <c r="AIJ71" s="1"/>
      <c r="AIK71" s="1"/>
      <c r="AIL71" s="1"/>
      <c r="AIM71" s="1"/>
      <c r="AIN71" s="1"/>
      <c r="AIO71" s="1"/>
      <c r="AIP71" s="1"/>
      <c r="AIQ71" s="1"/>
      <c r="AIR71" s="1"/>
      <c r="AIS71" s="1"/>
      <c r="AIT71" s="1"/>
      <c r="AIU71" s="1"/>
      <c r="AIV71" s="1"/>
      <c r="AIW71" s="1"/>
      <c r="AIX71" s="1"/>
      <c r="AIY71" s="1"/>
      <c r="AIZ71" s="1"/>
      <c r="AJA71" s="1"/>
      <c r="AJB71" s="1"/>
      <c r="AJC71" s="1"/>
      <c r="AJD71" s="1"/>
      <c r="AJE71" s="1"/>
      <c r="AJF71" s="1"/>
      <c r="AJG71" s="1"/>
      <c r="AJH71" s="1"/>
      <c r="AJI71" s="1"/>
      <c r="AJJ71" s="1"/>
      <c r="AJK71" s="1"/>
      <c r="AJL71" s="1"/>
      <c r="AJM71" s="1"/>
      <c r="AJN71" s="1"/>
      <c r="AJO71" s="1"/>
      <c r="AJP71" s="1"/>
      <c r="AJQ71" s="1"/>
      <c r="AJR71" s="1"/>
      <c r="AJS71" s="1"/>
      <c r="AJT71" s="1"/>
      <c r="AJU71" s="1"/>
      <c r="AJV71" s="1"/>
      <c r="AJW71" s="1"/>
      <c r="AJX71" s="1"/>
      <c r="AJY71" s="1"/>
      <c r="AJZ71" s="1"/>
      <c r="AKA71" s="1"/>
      <c r="AKB71" s="1"/>
      <c r="AKC71" s="1"/>
      <c r="AKD71" s="1"/>
      <c r="AKE71" s="1"/>
      <c r="AKF71" s="1"/>
      <c r="AKG71" s="1"/>
      <c r="AKH71" s="1"/>
      <c r="AKI71" s="1"/>
      <c r="AKJ71" s="1"/>
      <c r="AKK71" s="1"/>
      <c r="AKL71" s="1"/>
      <c r="AKM71" s="1"/>
      <c r="AKN71" s="1"/>
      <c r="AKO71" s="1"/>
      <c r="AKP71" s="1"/>
      <c r="AKQ71" s="1"/>
      <c r="AKR71" s="1"/>
      <c r="AKS71" s="1"/>
      <c r="AKT71" s="1"/>
      <c r="AKU71" s="1"/>
      <c r="AKV71" s="1"/>
      <c r="AKW71" s="1"/>
      <c r="AKX71" s="1"/>
      <c r="AKY71" s="1"/>
      <c r="AKZ71" s="1"/>
      <c r="ALA71" s="1"/>
      <c r="ALB71" s="1"/>
      <c r="ALC71" s="1"/>
      <c r="ALD71" s="1"/>
      <c r="ALE71" s="1"/>
      <c r="ALF71" s="1"/>
      <c r="ALG71" s="1"/>
      <c r="ALH71" s="1"/>
      <c r="ALI71" s="1"/>
      <c r="ALJ71" s="1"/>
      <c r="ALK71" s="1"/>
      <c r="ALL71" s="1"/>
      <c r="ALM71" s="1"/>
      <c r="ALN71" s="1"/>
      <c r="ALO71" s="1"/>
      <c r="ALP71" s="1"/>
      <c r="ALQ71" s="1"/>
      <c r="ALR71" s="1"/>
      <c r="ALS71" s="1"/>
      <c r="ALT71" s="1"/>
      <c r="ALU71" s="1"/>
      <c r="ALV71" s="1"/>
      <c r="ALW71" s="1"/>
      <c r="ALX71" s="1"/>
      <c r="ALY71" s="1"/>
      <c r="ALZ71" s="1"/>
      <c r="AMA71" s="1"/>
      <c r="AMB71" s="1"/>
      <c r="AMC71" s="1"/>
      <c r="AMD71" s="1"/>
      <c r="AME71" s="1"/>
      <c r="AMF71" s="1"/>
      <c r="AMG71" s="1"/>
      <c r="AMH71" s="1"/>
      <c r="AMI71" s="1"/>
      <c r="AMJ71" s="1"/>
      <c r="AMK71" s="1"/>
      <c r="AML71" s="1"/>
      <c r="AMM71" s="1"/>
      <c r="AMN71" s="1"/>
    </row>
    <row r="72" spans="1:1028" x14ac:dyDescent="0.2">
      <c r="A72" s="3" t="str">
        <f t="shared" si="222"/>
        <v>adrb2_human_4LDL</v>
      </c>
      <c r="B72" s="3" t="s">
        <v>126</v>
      </c>
      <c r="C72" s="3" t="s">
        <v>1045</v>
      </c>
      <c r="D72" s="3" t="str">
        <f>IFERROR(MID(VLOOKUP($B72,Seqs!$A:$B,2,0),E72,1),"")</f>
        <v>D</v>
      </c>
      <c r="E72" s="3">
        <v>29</v>
      </c>
      <c r="F72" s="3" t="str">
        <f>IFERROR(MID(VLOOKUP($B72,Seqs!$A:$B,2,0),G72,1),"")</f>
        <v>F</v>
      </c>
      <c r="G72" s="3">
        <v>61</v>
      </c>
      <c r="H72" s="3" t="str">
        <f>IFERROR(MID(VLOOKUP($B72,Seqs!$A:$B,2,0),I72,1),"")</f>
        <v>E</v>
      </c>
      <c r="I72" s="23">
        <v>62</v>
      </c>
      <c r="J72" s="3" t="str">
        <f>IFERROR(MID(VLOOKUP($B72,Seqs!$A:$B,2,0),K72,1),"")</f>
        <v>Q</v>
      </c>
      <c r="K72" s="23">
        <v>65</v>
      </c>
      <c r="L72" s="3" t="str">
        <f>IFERROR(MID(VLOOKUP($B72,Seqs!$A:$B,2,0),M72,1),"")</f>
        <v>T</v>
      </c>
      <c r="M72" s="3">
        <v>66</v>
      </c>
      <c r="N72" s="3" t="str">
        <f>IFERROR(MID(VLOOKUP($B72,Seqs!$A:$B,2,0),O72,1),"")</f>
        <v>M</v>
      </c>
      <c r="O72" s="3">
        <v>96</v>
      </c>
      <c r="P72" s="3" t="str">
        <f>IFERROR(MID(VLOOKUP($B72,Seqs!$A:$B,2,0),Q72,1),"")</f>
        <v>M</v>
      </c>
      <c r="Q72" s="3">
        <v>98</v>
      </c>
      <c r="R72" s="3" t="str">
        <f>IFERROR(MID(VLOOKUP($B72,Seqs!$A:$B,2,0),S72,1),"")</f>
        <v>F</v>
      </c>
      <c r="S72" s="3">
        <v>101</v>
      </c>
      <c r="T72" s="3" t="str">
        <f>IFERROR(MID(VLOOKUP($B72,Seqs!$A:$B,2,0),U72,1),"")</f>
        <v>G</v>
      </c>
      <c r="U72" s="3">
        <v>102</v>
      </c>
      <c r="V72" s="3" t="str">
        <f>IFERROR(MID(VLOOKUP($B72,Seqs!$A:$B,2,0),W72,1),"")</f>
        <v>S</v>
      </c>
      <c r="W72" s="3">
        <v>137</v>
      </c>
      <c r="X72" s="3" t="str">
        <f>IFERROR(MID(VLOOKUP($B72,Seqs!$A:$B,2,0),Y72,1),"")</f>
        <v>P</v>
      </c>
      <c r="Y72" s="3">
        <v>138</v>
      </c>
      <c r="Z72" s="3" t="str">
        <f>IFERROR(MID(VLOOKUP($B72,Seqs!$A:$B,2,0),AA72,1),"")</f>
        <v>L</v>
      </c>
      <c r="AA72" s="3">
        <v>145</v>
      </c>
      <c r="AB72" s="3" t="str">
        <f>IFERROR(MID(VLOOKUP($B72,Seqs!$A:$B,2,0),AC72,1),"")</f>
        <v>T</v>
      </c>
      <c r="AC72" s="9">
        <v>146</v>
      </c>
      <c r="AD72" s="3" t="str">
        <f>IFERROR(MID(VLOOKUP($B72,Seqs!$A:$B,2,0),AE72,1),"")</f>
        <v>H</v>
      </c>
      <c r="AE72" s="3">
        <v>172</v>
      </c>
      <c r="AF72" s="3" t="str">
        <f>IFERROR(MID(VLOOKUP($B72,Seqs!$A:$B,2,0),AG72,1),"")</f>
        <v>C</v>
      </c>
      <c r="AG72" s="3">
        <v>191</v>
      </c>
      <c r="AH72" s="3" t="str">
        <f>IFERROR(MID(VLOOKUP($B72,Seqs!$A:$B,2,0),AI72,1),"")</f>
        <v>F</v>
      </c>
      <c r="AI72" s="3">
        <v>193</v>
      </c>
      <c r="AJ72" s="3" t="str">
        <f>IFERROR(MID(VLOOKUP($B72,Seqs!$A:$B,2,0),AK72,1),"")</f>
        <v>N</v>
      </c>
      <c r="AK72" s="3">
        <v>196</v>
      </c>
      <c r="AL72" s="3" t="str">
        <f>IFERROR(MID(VLOOKUP($B72,Seqs!$A:$B,2,0),AM72,1),"")</f>
        <v>E</v>
      </c>
      <c r="AM72" s="3">
        <v>225</v>
      </c>
      <c r="AN72" s="3" t="str">
        <f>IFERROR(MID(VLOOKUP($B72,Seqs!$A:$B,2,0),AO72,1),"")</f>
        <v>L</v>
      </c>
      <c r="AO72" s="3">
        <v>266</v>
      </c>
      <c r="AP72" s="3" t="str">
        <f>IFERROR(MID(VLOOKUP($B72,Seqs!$A:$B,2,0),AQ72,1),"")</f>
        <v>Q</v>
      </c>
      <c r="AQ72" s="3">
        <v>299</v>
      </c>
      <c r="AR72" s="3" t="str">
        <f>IFERROR(MID(VLOOKUP($B72,Seqs!$A:$B,2,0),AS72,1),"")</f>
        <v>R</v>
      </c>
      <c r="AS72" s="3">
        <v>304</v>
      </c>
      <c r="AT72" s="3" t="str">
        <f>IFERROR(MID(VLOOKUP($B72,Seqs!$A:$B,2,0),AU72,1),"")</f>
        <v>R</v>
      </c>
      <c r="AU72" s="3">
        <v>328</v>
      </c>
      <c r="AV72" s="3" t="str">
        <f>IFERROR(MID(VLOOKUP($B72,Seqs!$A:$B,2,0),AW72,1),"")</f>
        <v>S</v>
      </c>
      <c r="AW72" s="3">
        <v>329</v>
      </c>
      <c r="AX72" s="3" t="str">
        <f>IFERROR(MID(VLOOKUP($B72,Seqs!$A:$B,2,0),AY72,1),"")</f>
        <v>C</v>
      </c>
      <c r="AY72" s="3">
        <v>341</v>
      </c>
      <c r="AZ72" s="79" t="str">
        <f>VLOOKUP(B72,Classification!A:D,2,0)</f>
        <v>A</v>
      </c>
      <c r="BA72" s="97" t="str">
        <f>VLOOKUP(B72,Classification!A:D,4,0)</f>
        <v>Adrenoceptors</v>
      </c>
      <c r="BB72" s="27" t="b">
        <f t="shared" si="223"/>
        <v>1</v>
      </c>
      <c r="BC72" s="23">
        <f t="shared" si="196"/>
        <v>248</v>
      </c>
      <c r="BD72" s="4" t="s">
        <v>23</v>
      </c>
      <c r="BE72" s="3" t="s">
        <v>1297</v>
      </c>
      <c r="BF72" s="50" t="s">
        <v>1384</v>
      </c>
      <c r="BG72" s="50" t="s">
        <v>1384</v>
      </c>
      <c r="BH72" s="1"/>
      <c r="BI72" s="72" t="s">
        <v>1293</v>
      </c>
      <c r="BJ72" s="58" t="s">
        <v>1293</v>
      </c>
      <c r="BK72" s="58" t="s">
        <v>1293</v>
      </c>
      <c r="BL72" s="58" t="s">
        <v>1293</v>
      </c>
      <c r="BM72" s="58" t="s">
        <v>1293</v>
      </c>
      <c r="BN72" s="58" t="s">
        <v>1293</v>
      </c>
      <c r="BO72" s="58" t="s">
        <v>1293</v>
      </c>
      <c r="BP72" s="58" t="s">
        <v>1293</v>
      </c>
      <c r="BQ72" s="58" t="s">
        <v>1293</v>
      </c>
      <c r="BR72" s="58" t="s">
        <v>1293</v>
      </c>
      <c r="BS72" s="58" t="s">
        <v>1293</v>
      </c>
      <c r="BT72" s="58" t="s">
        <v>1293</v>
      </c>
      <c r="BU72" s="72">
        <f t="shared" si="197"/>
        <v>29</v>
      </c>
      <c r="BV72" s="73">
        <f t="shared" si="198"/>
        <v>62</v>
      </c>
      <c r="BW72" s="74">
        <f t="shared" si="199"/>
        <v>66</v>
      </c>
      <c r="BX72" s="73">
        <f t="shared" si="200"/>
        <v>98</v>
      </c>
      <c r="BY72" s="74">
        <f t="shared" si="201"/>
        <v>102</v>
      </c>
      <c r="BZ72" s="73">
        <f t="shared" si="202"/>
        <v>138</v>
      </c>
      <c r="CA72" s="74">
        <f t="shared" si="203"/>
        <v>146</v>
      </c>
      <c r="CB72" s="73">
        <f t="shared" si="204"/>
        <v>191</v>
      </c>
      <c r="CC72" s="74">
        <f t="shared" si="205"/>
        <v>196</v>
      </c>
      <c r="CD72" s="73">
        <f t="shared" si="206"/>
        <v>266</v>
      </c>
      <c r="CE72" s="74">
        <f t="shared" si="207"/>
        <v>304</v>
      </c>
      <c r="CF72" s="73">
        <f t="shared" si="208"/>
        <v>329</v>
      </c>
      <c r="CG72" s="72">
        <f t="shared" si="209"/>
        <v>61</v>
      </c>
      <c r="CH72" s="73">
        <f t="shared" si="210"/>
        <v>65</v>
      </c>
      <c r="CI72" s="74">
        <f t="shared" si="211"/>
        <v>96</v>
      </c>
      <c r="CJ72" s="74">
        <f t="shared" si="212"/>
        <v>101</v>
      </c>
      <c r="CK72" s="74">
        <f t="shared" si="213"/>
        <v>137</v>
      </c>
      <c r="CL72" s="74">
        <f t="shared" si="214"/>
        <v>145</v>
      </c>
      <c r="CM72" s="74">
        <f t="shared" si="215"/>
        <v>172</v>
      </c>
      <c r="CN72" s="74">
        <f t="shared" si="216"/>
        <v>193</v>
      </c>
      <c r="CO72" s="74">
        <f t="shared" si="217"/>
        <v>225</v>
      </c>
      <c r="CP72" s="74">
        <f t="shared" si="218"/>
        <v>299</v>
      </c>
      <c r="CQ72" s="74">
        <f t="shared" si="219"/>
        <v>328</v>
      </c>
      <c r="CR72" s="74">
        <f t="shared" si="220"/>
        <v>341</v>
      </c>
      <c r="CS72" s="23">
        <f t="shared" si="221"/>
        <v>1</v>
      </c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  <c r="KT72" s="1"/>
      <c r="KU72" s="1"/>
      <c r="KV72" s="1"/>
      <c r="KW72" s="1"/>
      <c r="KX72" s="1"/>
      <c r="KY72" s="1"/>
      <c r="KZ72" s="1"/>
      <c r="LA72" s="1"/>
      <c r="LB72" s="1"/>
      <c r="LC72" s="1"/>
      <c r="LD72" s="1"/>
      <c r="LE72" s="1"/>
      <c r="LF72" s="1"/>
      <c r="LG72" s="1"/>
      <c r="LH72" s="1"/>
      <c r="LI72" s="1"/>
      <c r="LJ72" s="1"/>
      <c r="LK72" s="1"/>
      <c r="LL72" s="1"/>
      <c r="LM72" s="1"/>
      <c r="LN72" s="1"/>
      <c r="LO72" s="1"/>
      <c r="LP72" s="1"/>
      <c r="LQ72" s="1"/>
      <c r="LR72" s="1"/>
      <c r="LS72" s="1"/>
      <c r="LT72" s="1"/>
      <c r="LU72" s="1"/>
      <c r="LV72" s="1"/>
      <c r="LW72" s="1"/>
      <c r="LX72" s="1"/>
      <c r="LY72" s="1"/>
      <c r="LZ72" s="1"/>
      <c r="MA72" s="1"/>
      <c r="MB72" s="1"/>
      <c r="MC72" s="1"/>
      <c r="MD72" s="1"/>
      <c r="ME72" s="1"/>
      <c r="MF72" s="1"/>
      <c r="MG72" s="1"/>
      <c r="MH72" s="1"/>
      <c r="MI72" s="1"/>
      <c r="MJ72" s="1"/>
      <c r="MK72" s="1"/>
      <c r="ML72" s="1"/>
      <c r="MM72" s="1"/>
      <c r="MN72" s="1"/>
      <c r="MO72" s="1"/>
      <c r="MP72" s="1"/>
      <c r="MQ72" s="1"/>
      <c r="MR72" s="1"/>
      <c r="MS72" s="1"/>
      <c r="MT72" s="1"/>
      <c r="MU72" s="1"/>
      <c r="MV72" s="1"/>
      <c r="MW72" s="1"/>
      <c r="MX72" s="1"/>
      <c r="MY72" s="1"/>
      <c r="MZ72" s="1"/>
      <c r="NA72" s="1"/>
      <c r="NB72" s="1"/>
      <c r="NC72" s="1"/>
      <c r="ND72" s="1"/>
      <c r="NE72" s="1"/>
      <c r="NF72" s="1"/>
      <c r="NG72" s="1"/>
      <c r="NH72" s="1"/>
      <c r="NI72" s="1"/>
      <c r="NJ72" s="1"/>
      <c r="NK72" s="1"/>
      <c r="NL72" s="1"/>
      <c r="NM72" s="1"/>
      <c r="NN72" s="1"/>
      <c r="NO72" s="1"/>
      <c r="NP72" s="1"/>
      <c r="NQ72" s="1"/>
      <c r="NR72" s="1"/>
      <c r="NS72" s="1"/>
      <c r="NT72" s="1"/>
      <c r="NU72" s="1"/>
      <c r="NV72" s="1"/>
      <c r="NW72" s="1"/>
      <c r="NX72" s="1"/>
      <c r="NY72" s="1"/>
      <c r="NZ72" s="1"/>
      <c r="OA72" s="1"/>
      <c r="OB72" s="1"/>
      <c r="OC72" s="1"/>
      <c r="OD72" s="1"/>
      <c r="OE72" s="1"/>
      <c r="OF72" s="1"/>
      <c r="OG72" s="1"/>
      <c r="OH72" s="1"/>
      <c r="OI72" s="1"/>
      <c r="OJ72" s="1"/>
      <c r="OK72" s="1"/>
      <c r="OL72" s="1"/>
      <c r="OM72" s="1"/>
      <c r="ON72" s="1"/>
      <c r="OO72" s="1"/>
      <c r="OP72" s="1"/>
      <c r="OQ72" s="1"/>
      <c r="OR72" s="1"/>
      <c r="OS72" s="1"/>
      <c r="OT72" s="1"/>
      <c r="OU72" s="1"/>
      <c r="OV72" s="1"/>
      <c r="OW72" s="1"/>
      <c r="OX72" s="1"/>
      <c r="OY72" s="1"/>
      <c r="OZ72" s="1"/>
      <c r="PA72" s="1"/>
      <c r="PB72" s="1"/>
      <c r="PC72" s="1"/>
      <c r="PD72" s="1"/>
      <c r="PE72" s="1"/>
      <c r="PF72" s="1"/>
      <c r="PG72" s="1"/>
      <c r="PH72" s="1"/>
      <c r="PI72" s="1"/>
      <c r="PJ72" s="1"/>
      <c r="PK72" s="1"/>
      <c r="PL72" s="1"/>
      <c r="PM72" s="1"/>
      <c r="PN72" s="1"/>
      <c r="PO72" s="1"/>
      <c r="PP72" s="1"/>
      <c r="PQ72" s="1"/>
      <c r="PR72" s="1"/>
      <c r="PS72" s="1"/>
      <c r="PT72" s="1"/>
      <c r="PU72" s="1"/>
      <c r="PV72" s="1"/>
      <c r="PW72" s="1"/>
      <c r="PX72" s="1"/>
      <c r="PY72" s="1"/>
      <c r="PZ72" s="1"/>
      <c r="QA72" s="1"/>
      <c r="QB72" s="1"/>
      <c r="QC72" s="1"/>
      <c r="QD72" s="1"/>
      <c r="QE72" s="1"/>
      <c r="QF72" s="1"/>
      <c r="QG72" s="1"/>
      <c r="QH72" s="1"/>
      <c r="QI72" s="1"/>
      <c r="QJ72" s="1"/>
      <c r="QK72" s="1"/>
      <c r="QL72" s="1"/>
      <c r="QM72" s="1"/>
      <c r="QN72" s="1"/>
      <c r="QO72" s="1"/>
      <c r="QP72" s="1"/>
      <c r="QQ72" s="1"/>
      <c r="QR72" s="1"/>
      <c r="QS72" s="1"/>
      <c r="QT72" s="1"/>
      <c r="QU72" s="1"/>
      <c r="QV72" s="1"/>
      <c r="QW72" s="1"/>
      <c r="QX72" s="1"/>
      <c r="QY72" s="1"/>
      <c r="QZ72" s="1"/>
      <c r="RA72" s="1"/>
      <c r="RB72" s="1"/>
      <c r="RC72" s="1"/>
      <c r="RD72" s="1"/>
      <c r="RE72" s="1"/>
      <c r="RF72" s="1"/>
      <c r="RG72" s="1"/>
      <c r="RH72" s="1"/>
      <c r="RI72" s="1"/>
      <c r="RJ72" s="1"/>
      <c r="RK72" s="1"/>
      <c r="RL72" s="1"/>
      <c r="RM72" s="1"/>
      <c r="RN72" s="1"/>
      <c r="RO72" s="1"/>
      <c r="RP72" s="1"/>
      <c r="RQ72" s="1"/>
      <c r="RR72" s="1"/>
      <c r="RS72" s="1"/>
      <c r="RT72" s="1"/>
      <c r="RU72" s="1"/>
      <c r="RV72" s="1"/>
      <c r="RW72" s="1"/>
      <c r="RX72" s="1"/>
      <c r="RY72" s="1"/>
      <c r="RZ72" s="1"/>
      <c r="SA72" s="1"/>
      <c r="SB72" s="1"/>
      <c r="SC72" s="1"/>
      <c r="SD72" s="1"/>
      <c r="SE72" s="1"/>
      <c r="SF72" s="1"/>
      <c r="SG72" s="1"/>
      <c r="SH72" s="1"/>
      <c r="SI72" s="1"/>
      <c r="SJ72" s="1"/>
      <c r="SK72" s="1"/>
      <c r="SL72" s="1"/>
      <c r="SM72" s="1"/>
      <c r="SN72" s="1"/>
      <c r="SO72" s="1"/>
      <c r="SP72" s="1"/>
      <c r="SQ72" s="1"/>
      <c r="SR72" s="1"/>
      <c r="SS72" s="1"/>
      <c r="ST72" s="1"/>
      <c r="SU72" s="1"/>
      <c r="SV72" s="1"/>
      <c r="SW72" s="1"/>
      <c r="SX72" s="1"/>
      <c r="SY72" s="1"/>
      <c r="SZ72" s="1"/>
      <c r="TA72" s="1"/>
      <c r="TB72" s="1"/>
      <c r="TC72" s="1"/>
      <c r="TD72" s="1"/>
      <c r="TE72" s="1"/>
      <c r="TF72" s="1"/>
      <c r="TG72" s="1"/>
      <c r="TH72" s="1"/>
      <c r="TI72" s="1"/>
      <c r="TJ72" s="1"/>
      <c r="TK72" s="1"/>
      <c r="TL72" s="1"/>
      <c r="TM72" s="1"/>
      <c r="TN72" s="1"/>
      <c r="TO72" s="1"/>
      <c r="TP72" s="1"/>
      <c r="TQ72" s="1"/>
      <c r="TR72" s="1"/>
      <c r="TS72" s="1"/>
      <c r="TT72" s="1"/>
      <c r="TU72" s="1"/>
      <c r="TV72" s="1"/>
      <c r="TW72" s="1"/>
      <c r="TX72" s="1"/>
      <c r="TY72" s="1"/>
      <c r="TZ72" s="1"/>
      <c r="UA72" s="1"/>
      <c r="UB72" s="1"/>
      <c r="UC72" s="1"/>
      <c r="UD72" s="1"/>
      <c r="UE72" s="1"/>
      <c r="UF72" s="1"/>
      <c r="UG72" s="1"/>
      <c r="UH72" s="1"/>
      <c r="UI72" s="1"/>
      <c r="UJ72" s="1"/>
      <c r="UK72" s="1"/>
      <c r="UL72" s="1"/>
      <c r="UM72" s="1"/>
      <c r="UN72" s="1"/>
      <c r="UO72" s="1"/>
      <c r="UP72" s="1"/>
      <c r="UQ72" s="1"/>
      <c r="UR72" s="1"/>
      <c r="US72" s="1"/>
      <c r="UT72" s="1"/>
      <c r="UU72" s="1"/>
      <c r="UV72" s="1"/>
      <c r="UW72" s="1"/>
      <c r="UX72" s="1"/>
      <c r="UY72" s="1"/>
      <c r="UZ72" s="1"/>
      <c r="VA72" s="1"/>
      <c r="VB72" s="1"/>
      <c r="VC72" s="1"/>
      <c r="VD72" s="1"/>
      <c r="VE72" s="1"/>
      <c r="VF72" s="1"/>
      <c r="VG72" s="1"/>
      <c r="VH72" s="1"/>
      <c r="VI72" s="1"/>
      <c r="VJ72" s="1"/>
      <c r="VK72" s="1"/>
      <c r="VL72" s="1"/>
      <c r="VM72" s="1"/>
      <c r="VN72" s="1"/>
      <c r="VO72" s="1"/>
      <c r="VP72" s="1"/>
      <c r="VQ72" s="1"/>
      <c r="VR72" s="1"/>
      <c r="VS72" s="1"/>
      <c r="VT72" s="1"/>
      <c r="VU72" s="1"/>
      <c r="VV72" s="1"/>
      <c r="VW72" s="1"/>
      <c r="VX72" s="1"/>
      <c r="VY72" s="1"/>
      <c r="VZ72" s="1"/>
      <c r="WA72" s="1"/>
      <c r="WB72" s="1"/>
      <c r="WC72" s="1"/>
      <c r="WD72" s="1"/>
      <c r="WE72" s="1"/>
      <c r="WF72" s="1"/>
      <c r="WG72" s="1"/>
      <c r="WH72" s="1"/>
      <c r="WI72" s="1"/>
      <c r="WJ72" s="1"/>
      <c r="WK72" s="1"/>
      <c r="WL72" s="1"/>
      <c r="WM72" s="1"/>
      <c r="WN72" s="1"/>
      <c r="WO72" s="1"/>
      <c r="WP72" s="1"/>
      <c r="WQ72" s="1"/>
      <c r="WR72" s="1"/>
      <c r="WS72" s="1"/>
      <c r="WT72" s="1"/>
      <c r="WU72" s="1"/>
      <c r="WV72" s="1"/>
      <c r="WW72" s="1"/>
      <c r="WX72" s="1"/>
      <c r="WY72" s="1"/>
      <c r="WZ72" s="1"/>
      <c r="XA72" s="1"/>
      <c r="XB72" s="1"/>
      <c r="XC72" s="1"/>
      <c r="XD72" s="1"/>
      <c r="XE72" s="1"/>
      <c r="XF72" s="1"/>
      <c r="XG72" s="1"/>
      <c r="XH72" s="1"/>
      <c r="XI72" s="1"/>
      <c r="XJ72" s="1"/>
      <c r="XK72" s="1"/>
      <c r="XL72" s="1"/>
      <c r="XM72" s="1"/>
      <c r="XN72" s="1"/>
      <c r="XO72" s="1"/>
      <c r="XP72" s="1"/>
      <c r="XQ72" s="1"/>
      <c r="XR72" s="1"/>
      <c r="XS72" s="1"/>
      <c r="XT72" s="1"/>
      <c r="XU72" s="1"/>
      <c r="XV72" s="1"/>
      <c r="XW72" s="1"/>
      <c r="XX72" s="1"/>
      <c r="XY72" s="1"/>
      <c r="XZ72" s="1"/>
      <c r="YA72" s="1"/>
      <c r="YB72" s="1"/>
      <c r="YC72" s="1"/>
      <c r="YD72" s="1"/>
      <c r="YE72" s="1"/>
      <c r="YF72" s="1"/>
      <c r="YG72" s="1"/>
      <c r="YH72" s="1"/>
      <c r="YI72" s="1"/>
      <c r="YJ72" s="1"/>
      <c r="YK72" s="1"/>
      <c r="YL72" s="1"/>
      <c r="YM72" s="1"/>
      <c r="YN72" s="1"/>
      <c r="YO72" s="1"/>
      <c r="YP72" s="1"/>
      <c r="YQ72" s="1"/>
      <c r="YR72" s="1"/>
      <c r="YS72" s="1"/>
      <c r="YT72" s="1"/>
      <c r="YU72" s="1"/>
      <c r="YV72" s="1"/>
      <c r="YW72" s="1"/>
      <c r="YX72" s="1"/>
      <c r="YY72" s="1"/>
      <c r="YZ72" s="1"/>
      <c r="ZA72" s="1"/>
      <c r="ZB72" s="1"/>
      <c r="ZC72" s="1"/>
      <c r="ZD72" s="1"/>
      <c r="ZE72" s="1"/>
      <c r="ZF72" s="1"/>
      <c r="ZG72" s="1"/>
      <c r="ZH72" s="1"/>
      <c r="ZI72" s="1"/>
      <c r="ZJ72" s="1"/>
      <c r="ZK72" s="1"/>
      <c r="ZL72" s="1"/>
      <c r="ZM72" s="1"/>
      <c r="ZN72" s="1"/>
      <c r="ZO72" s="1"/>
      <c r="ZP72" s="1"/>
      <c r="ZQ72" s="1"/>
      <c r="ZR72" s="1"/>
      <c r="ZS72" s="1"/>
      <c r="ZT72" s="1"/>
      <c r="ZU72" s="1"/>
      <c r="ZV72" s="1"/>
      <c r="ZW72" s="1"/>
      <c r="ZX72" s="1"/>
      <c r="ZY72" s="1"/>
      <c r="ZZ72" s="1"/>
      <c r="AAA72" s="1"/>
      <c r="AAB72" s="1"/>
      <c r="AAC72" s="1"/>
      <c r="AAD72" s="1"/>
      <c r="AAE72" s="1"/>
      <c r="AAF72" s="1"/>
      <c r="AAG72" s="1"/>
      <c r="AAH72" s="1"/>
      <c r="AAI72" s="1"/>
      <c r="AAJ72" s="1"/>
      <c r="AAK72" s="1"/>
      <c r="AAL72" s="1"/>
      <c r="AAM72" s="1"/>
      <c r="AAN72" s="1"/>
      <c r="AAO72" s="1"/>
      <c r="AAP72" s="1"/>
      <c r="AAQ72" s="1"/>
      <c r="AAR72" s="1"/>
      <c r="AAS72" s="1"/>
      <c r="AAT72" s="1"/>
      <c r="AAU72" s="1"/>
      <c r="AAV72" s="1"/>
      <c r="AAW72" s="1"/>
      <c r="AAX72" s="1"/>
      <c r="AAY72" s="1"/>
      <c r="AAZ72" s="1"/>
      <c r="ABA72" s="1"/>
      <c r="ABB72" s="1"/>
      <c r="ABC72" s="1"/>
      <c r="ABD72" s="1"/>
      <c r="ABE72" s="1"/>
      <c r="ABF72" s="1"/>
      <c r="ABG72" s="1"/>
      <c r="ABH72" s="1"/>
      <c r="ABI72" s="1"/>
      <c r="ABJ72" s="1"/>
      <c r="ABK72" s="1"/>
      <c r="ABL72" s="1"/>
      <c r="ABM72" s="1"/>
      <c r="ABN72" s="1"/>
      <c r="ABO72" s="1"/>
      <c r="ABP72" s="1"/>
      <c r="ABQ72" s="1"/>
      <c r="ABR72" s="1"/>
      <c r="ABS72" s="1"/>
      <c r="ABT72" s="1"/>
      <c r="ABU72" s="1"/>
      <c r="ABV72" s="1"/>
      <c r="ABW72" s="1"/>
      <c r="ABX72" s="1"/>
      <c r="ABY72" s="1"/>
      <c r="ABZ72" s="1"/>
      <c r="ACA72" s="1"/>
      <c r="ACB72" s="1"/>
      <c r="ACC72" s="1"/>
      <c r="ACD72" s="1"/>
      <c r="ACE72" s="1"/>
      <c r="ACF72" s="1"/>
      <c r="ACG72" s="1"/>
      <c r="ACH72" s="1"/>
      <c r="ACI72" s="1"/>
      <c r="ACJ72" s="1"/>
      <c r="ACK72" s="1"/>
      <c r="ACL72" s="1"/>
      <c r="ACM72" s="1"/>
      <c r="ACN72" s="1"/>
      <c r="ACO72" s="1"/>
      <c r="ACP72" s="1"/>
      <c r="ACQ72" s="1"/>
      <c r="ACR72" s="1"/>
      <c r="ACS72" s="1"/>
      <c r="ACT72" s="1"/>
      <c r="ACU72" s="1"/>
      <c r="ACV72" s="1"/>
      <c r="ACW72" s="1"/>
      <c r="ACX72" s="1"/>
      <c r="ACY72" s="1"/>
      <c r="ACZ72" s="1"/>
      <c r="ADA72" s="1"/>
      <c r="ADB72" s="1"/>
      <c r="ADC72" s="1"/>
      <c r="ADD72" s="1"/>
      <c r="ADE72" s="1"/>
      <c r="ADF72" s="1"/>
      <c r="ADG72" s="1"/>
      <c r="ADH72" s="1"/>
      <c r="ADI72" s="1"/>
      <c r="ADJ72" s="1"/>
      <c r="ADK72" s="1"/>
      <c r="ADL72" s="1"/>
      <c r="ADM72" s="1"/>
      <c r="ADN72" s="1"/>
      <c r="ADO72" s="1"/>
      <c r="ADP72" s="1"/>
      <c r="ADQ72" s="1"/>
      <c r="ADR72" s="1"/>
      <c r="ADS72" s="1"/>
      <c r="ADT72" s="1"/>
      <c r="ADU72" s="1"/>
      <c r="ADV72" s="1"/>
      <c r="ADW72" s="1"/>
      <c r="ADX72" s="1"/>
      <c r="ADY72" s="1"/>
      <c r="ADZ72" s="1"/>
      <c r="AEA72" s="1"/>
      <c r="AEB72" s="1"/>
      <c r="AEC72" s="1"/>
      <c r="AED72" s="1"/>
      <c r="AEE72" s="1"/>
      <c r="AEF72" s="1"/>
      <c r="AEG72" s="1"/>
      <c r="AEH72" s="1"/>
      <c r="AEI72" s="1"/>
      <c r="AEJ72" s="1"/>
      <c r="AEK72" s="1"/>
      <c r="AEL72" s="1"/>
      <c r="AEM72" s="1"/>
      <c r="AEN72" s="1"/>
      <c r="AEO72" s="1"/>
      <c r="AEP72" s="1"/>
      <c r="AEQ72" s="1"/>
      <c r="AER72" s="1"/>
      <c r="AES72" s="1"/>
      <c r="AET72" s="1"/>
      <c r="AEU72" s="1"/>
      <c r="AEV72" s="1"/>
      <c r="AEW72" s="1"/>
      <c r="AEX72" s="1"/>
      <c r="AEY72" s="1"/>
      <c r="AEZ72" s="1"/>
      <c r="AFA72" s="1"/>
      <c r="AFB72" s="1"/>
      <c r="AFC72" s="1"/>
      <c r="AFD72" s="1"/>
      <c r="AFE72" s="1"/>
      <c r="AFF72" s="1"/>
      <c r="AFG72" s="1"/>
      <c r="AFH72" s="1"/>
      <c r="AFI72" s="1"/>
      <c r="AFJ72" s="1"/>
      <c r="AFK72" s="1"/>
      <c r="AFL72" s="1"/>
      <c r="AFM72" s="1"/>
      <c r="AFN72" s="1"/>
      <c r="AFO72" s="1"/>
      <c r="AFP72" s="1"/>
      <c r="AFQ72" s="1"/>
      <c r="AFR72" s="1"/>
      <c r="AFS72" s="1"/>
      <c r="AFT72" s="1"/>
      <c r="AFU72" s="1"/>
      <c r="AFV72" s="1"/>
      <c r="AFW72" s="1"/>
      <c r="AFX72" s="1"/>
      <c r="AFY72" s="1"/>
      <c r="AFZ72" s="1"/>
      <c r="AGA72" s="1"/>
      <c r="AGB72" s="1"/>
      <c r="AGC72" s="1"/>
      <c r="AGD72" s="1"/>
      <c r="AGE72" s="1"/>
      <c r="AGF72" s="1"/>
      <c r="AGG72" s="1"/>
      <c r="AGH72" s="1"/>
      <c r="AGI72" s="1"/>
      <c r="AGJ72" s="1"/>
      <c r="AGK72" s="1"/>
      <c r="AGL72" s="1"/>
      <c r="AGM72" s="1"/>
      <c r="AGN72" s="1"/>
      <c r="AGO72" s="1"/>
      <c r="AGP72" s="1"/>
      <c r="AGQ72" s="1"/>
      <c r="AGR72" s="1"/>
      <c r="AGS72" s="1"/>
      <c r="AGT72" s="1"/>
      <c r="AGU72" s="1"/>
      <c r="AGV72" s="1"/>
      <c r="AGW72" s="1"/>
      <c r="AGX72" s="1"/>
      <c r="AGY72" s="1"/>
      <c r="AGZ72" s="1"/>
      <c r="AHA72" s="1"/>
      <c r="AHB72" s="1"/>
      <c r="AHC72" s="1"/>
      <c r="AHD72" s="1"/>
      <c r="AHE72" s="1"/>
      <c r="AHF72" s="1"/>
      <c r="AHG72" s="1"/>
      <c r="AHH72" s="1"/>
      <c r="AHI72" s="1"/>
      <c r="AHJ72" s="1"/>
      <c r="AHK72" s="1"/>
      <c r="AHL72" s="1"/>
      <c r="AHM72" s="1"/>
      <c r="AHN72" s="1"/>
      <c r="AHO72" s="1"/>
      <c r="AHP72" s="1"/>
      <c r="AHQ72" s="1"/>
      <c r="AHR72" s="1"/>
      <c r="AHS72" s="1"/>
      <c r="AHT72" s="1"/>
      <c r="AHU72" s="1"/>
      <c r="AHV72" s="1"/>
      <c r="AHW72" s="1"/>
      <c r="AHX72" s="1"/>
      <c r="AHY72" s="1"/>
      <c r="AHZ72" s="1"/>
      <c r="AIA72" s="1"/>
      <c r="AIB72" s="1"/>
      <c r="AIC72" s="1"/>
      <c r="AID72" s="1"/>
      <c r="AIE72" s="1"/>
      <c r="AIF72" s="1"/>
      <c r="AIG72" s="1"/>
      <c r="AIH72" s="1"/>
      <c r="AII72" s="1"/>
      <c r="AIJ72" s="1"/>
      <c r="AIK72" s="1"/>
      <c r="AIL72" s="1"/>
      <c r="AIM72" s="1"/>
      <c r="AIN72" s="1"/>
      <c r="AIO72" s="1"/>
      <c r="AIP72" s="1"/>
      <c r="AIQ72" s="1"/>
      <c r="AIR72" s="1"/>
      <c r="AIS72" s="1"/>
      <c r="AIT72" s="1"/>
      <c r="AIU72" s="1"/>
      <c r="AIV72" s="1"/>
      <c r="AIW72" s="1"/>
      <c r="AIX72" s="1"/>
      <c r="AIY72" s="1"/>
      <c r="AIZ72" s="1"/>
      <c r="AJA72" s="1"/>
      <c r="AJB72" s="1"/>
      <c r="AJC72" s="1"/>
      <c r="AJD72" s="1"/>
      <c r="AJE72" s="1"/>
      <c r="AJF72" s="1"/>
      <c r="AJG72" s="1"/>
      <c r="AJH72" s="1"/>
      <c r="AJI72" s="1"/>
      <c r="AJJ72" s="1"/>
      <c r="AJK72" s="1"/>
      <c r="AJL72" s="1"/>
      <c r="AJM72" s="1"/>
      <c r="AJN72" s="1"/>
      <c r="AJO72" s="1"/>
      <c r="AJP72" s="1"/>
      <c r="AJQ72" s="1"/>
      <c r="AJR72" s="1"/>
      <c r="AJS72" s="1"/>
      <c r="AJT72" s="1"/>
      <c r="AJU72" s="1"/>
      <c r="AJV72" s="1"/>
      <c r="AJW72" s="1"/>
      <c r="AJX72" s="1"/>
      <c r="AJY72" s="1"/>
      <c r="AJZ72" s="1"/>
      <c r="AKA72" s="1"/>
      <c r="AKB72" s="1"/>
      <c r="AKC72" s="1"/>
      <c r="AKD72" s="1"/>
      <c r="AKE72" s="1"/>
      <c r="AKF72" s="1"/>
      <c r="AKG72" s="1"/>
      <c r="AKH72" s="1"/>
      <c r="AKI72" s="1"/>
      <c r="AKJ72" s="1"/>
      <c r="AKK72" s="1"/>
      <c r="AKL72" s="1"/>
      <c r="AKM72" s="1"/>
      <c r="AKN72" s="1"/>
      <c r="AKO72" s="1"/>
      <c r="AKP72" s="1"/>
      <c r="AKQ72" s="1"/>
      <c r="AKR72" s="1"/>
      <c r="AKS72" s="1"/>
      <c r="AKT72" s="1"/>
      <c r="AKU72" s="1"/>
      <c r="AKV72" s="1"/>
      <c r="AKW72" s="1"/>
      <c r="AKX72" s="1"/>
      <c r="AKY72" s="1"/>
      <c r="AKZ72" s="1"/>
      <c r="ALA72" s="1"/>
      <c r="ALB72" s="1"/>
      <c r="ALC72" s="1"/>
      <c r="ALD72" s="1"/>
      <c r="ALE72" s="1"/>
      <c r="ALF72" s="1"/>
      <c r="ALG72" s="1"/>
      <c r="ALH72" s="1"/>
      <c r="ALI72" s="1"/>
      <c r="ALJ72" s="1"/>
      <c r="ALK72" s="1"/>
      <c r="ALL72" s="1"/>
      <c r="ALM72" s="1"/>
      <c r="ALN72" s="1"/>
      <c r="ALO72" s="1"/>
      <c r="ALP72" s="1"/>
      <c r="ALQ72" s="1"/>
      <c r="ALR72" s="1"/>
      <c r="ALS72" s="1"/>
      <c r="ALT72" s="1"/>
      <c r="ALU72" s="1"/>
      <c r="ALV72" s="1"/>
      <c r="ALW72" s="1"/>
      <c r="ALX72" s="1"/>
      <c r="ALY72" s="1"/>
      <c r="ALZ72" s="1"/>
      <c r="AMA72" s="1"/>
      <c r="AMB72" s="1"/>
      <c r="AMC72" s="1"/>
      <c r="AMD72" s="1"/>
      <c r="AME72" s="1"/>
      <c r="AMF72" s="1"/>
      <c r="AMG72" s="1"/>
      <c r="AMH72" s="1"/>
      <c r="AMI72" s="1"/>
      <c r="AMJ72" s="1"/>
      <c r="AMK72" s="1"/>
      <c r="AML72" s="1"/>
      <c r="AMM72" s="1"/>
      <c r="AMN72" s="1"/>
    </row>
    <row r="73" spans="1:1028" ht="17" customHeight="1" x14ac:dyDescent="0.2">
      <c r="A73" s="3" t="str">
        <f t="shared" si="222"/>
        <v>adrb2_human_4LDO</v>
      </c>
      <c r="B73" s="3" t="s">
        <v>126</v>
      </c>
      <c r="C73" s="3" t="s">
        <v>1046</v>
      </c>
      <c r="D73" s="3" t="str">
        <f>IFERROR(MID(VLOOKUP($B73,Seqs!$A:$B,2,0),E73,1),"")</f>
        <v>D</v>
      </c>
      <c r="E73" s="3">
        <v>29</v>
      </c>
      <c r="F73" s="3" t="str">
        <f>IFERROR(MID(VLOOKUP($B73,Seqs!$A:$B,2,0),G73,1),"")</f>
        <v>F</v>
      </c>
      <c r="G73" s="3">
        <v>61</v>
      </c>
      <c r="H73" s="3" t="str">
        <f>IFERROR(MID(VLOOKUP($B73,Seqs!$A:$B,2,0),I73,1),"")</f>
        <v>E</v>
      </c>
      <c r="I73" s="23">
        <v>62</v>
      </c>
      <c r="J73" s="3" t="str">
        <f>IFERROR(MID(VLOOKUP($B73,Seqs!$A:$B,2,0),K73,1),"")</f>
        <v>Q</v>
      </c>
      <c r="K73" s="23">
        <v>65</v>
      </c>
      <c r="L73" s="3" t="str">
        <f>IFERROR(MID(VLOOKUP($B73,Seqs!$A:$B,2,0),M73,1),"")</f>
        <v>T</v>
      </c>
      <c r="M73" s="3">
        <v>66</v>
      </c>
      <c r="N73" s="3" t="str">
        <f>IFERROR(MID(VLOOKUP($B73,Seqs!$A:$B,2,0),O73,1),"")</f>
        <v>M</v>
      </c>
      <c r="O73" s="3">
        <v>96</v>
      </c>
      <c r="P73" s="3" t="str">
        <f>IFERROR(MID(VLOOKUP($B73,Seqs!$A:$B,2,0),Q73,1),"")</f>
        <v>M</v>
      </c>
      <c r="Q73" s="3">
        <v>98</v>
      </c>
      <c r="R73" s="3" t="str">
        <f>IFERROR(MID(VLOOKUP($B73,Seqs!$A:$B,2,0),S73,1),"")</f>
        <v>F</v>
      </c>
      <c r="S73" s="3">
        <v>101</v>
      </c>
      <c r="T73" s="3" t="str">
        <f>IFERROR(MID(VLOOKUP($B73,Seqs!$A:$B,2,0),U73,1),"")</f>
        <v>G</v>
      </c>
      <c r="U73" s="3">
        <v>102</v>
      </c>
      <c r="V73" s="3" t="str">
        <f>IFERROR(MID(VLOOKUP($B73,Seqs!$A:$B,2,0),W73,1),"")</f>
        <v>S</v>
      </c>
      <c r="W73" s="3">
        <v>137</v>
      </c>
      <c r="X73" s="3" t="str">
        <f>IFERROR(MID(VLOOKUP($B73,Seqs!$A:$B,2,0),Y73,1),"")</f>
        <v>P</v>
      </c>
      <c r="Y73" s="3">
        <v>138</v>
      </c>
      <c r="Z73" s="3" t="str">
        <f>IFERROR(MID(VLOOKUP($B73,Seqs!$A:$B,2,0),AA73,1),"")</f>
        <v>L</v>
      </c>
      <c r="AA73" s="3">
        <v>145</v>
      </c>
      <c r="AB73" s="3" t="str">
        <f>IFERROR(MID(VLOOKUP($B73,Seqs!$A:$B,2,0),AC73,1),"")</f>
        <v>T</v>
      </c>
      <c r="AC73" s="9">
        <v>146</v>
      </c>
      <c r="AD73" s="3" t="str">
        <f>IFERROR(MID(VLOOKUP($B73,Seqs!$A:$B,2,0),AE73,1),"")</f>
        <v>H</v>
      </c>
      <c r="AE73" s="3">
        <v>172</v>
      </c>
      <c r="AF73" s="3" t="str">
        <f>IFERROR(MID(VLOOKUP($B73,Seqs!$A:$B,2,0),AG73,1),"")</f>
        <v>C</v>
      </c>
      <c r="AG73" s="3">
        <v>191</v>
      </c>
      <c r="AH73" s="3" t="str">
        <f>IFERROR(MID(VLOOKUP($B73,Seqs!$A:$B,2,0),AI73,1),"")</f>
        <v>F</v>
      </c>
      <c r="AI73" s="3">
        <v>193</v>
      </c>
      <c r="AJ73" s="3" t="str">
        <f>IFERROR(MID(VLOOKUP($B73,Seqs!$A:$B,2,0),AK73,1),"")</f>
        <v>N</v>
      </c>
      <c r="AK73" s="3">
        <v>196</v>
      </c>
      <c r="AL73" s="3" t="str">
        <f>IFERROR(MID(VLOOKUP($B73,Seqs!$A:$B,2,0),AM73,1),"")</f>
        <v>E</v>
      </c>
      <c r="AM73" s="3">
        <v>225</v>
      </c>
      <c r="AN73" s="3" t="str">
        <f>IFERROR(MID(VLOOKUP($B73,Seqs!$A:$B,2,0),AO73,1),"")</f>
        <v>L</v>
      </c>
      <c r="AO73" s="3">
        <v>266</v>
      </c>
      <c r="AP73" s="3" t="str">
        <f>IFERROR(MID(VLOOKUP($B73,Seqs!$A:$B,2,0),AQ73,1),"")</f>
        <v>Q</v>
      </c>
      <c r="AQ73" s="3">
        <v>299</v>
      </c>
      <c r="AR73" s="3" t="str">
        <f>IFERROR(MID(VLOOKUP($B73,Seqs!$A:$B,2,0),AS73,1),"")</f>
        <v>R</v>
      </c>
      <c r="AS73" s="3">
        <v>304</v>
      </c>
      <c r="AT73" s="3" t="str">
        <f>IFERROR(MID(VLOOKUP($B73,Seqs!$A:$B,2,0),AU73,1),"")</f>
        <v>R</v>
      </c>
      <c r="AU73" s="3">
        <v>328</v>
      </c>
      <c r="AV73" s="3" t="str">
        <f>IFERROR(MID(VLOOKUP($B73,Seqs!$A:$B,2,0),AW73,1),"")</f>
        <v>S</v>
      </c>
      <c r="AW73" s="3">
        <v>329</v>
      </c>
      <c r="AX73" s="3" t="str">
        <f>IFERROR(MID(VLOOKUP($B73,Seqs!$A:$B,2,0),AY73,1),"")</f>
        <v>C</v>
      </c>
      <c r="AY73" s="3">
        <v>341</v>
      </c>
      <c r="AZ73" s="79" t="str">
        <f>VLOOKUP(B73,Classification!A:D,2,0)</f>
        <v>A</v>
      </c>
      <c r="BA73" s="97" t="str">
        <f>VLOOKUP(B73,Classification!A:D,4,0)</f>
        <v>Adrenoceptors</v>
      </c>
      <c r="BB73" s="27" t="b">
        <f t="shared" si="223"/>
        <v>1</v>
      </c>
      <c r="BC73" s="23">
        <f t="shared" si="196"/>
        <v>248</v>
      </c>
      <c r="BD73" s="4" t="s">
        <v>23</v>
      </c>
      <c r="BE73" s="3" t="s">
        <v>1297</v>
      </c>
      <c r="BF73" s="50" t="s">
        <v>1384</v>
      </c>
      <c r="BG73" s="50" t="s">
        <v>1384</v>
      </c>
      <c r="BH73" s="1"/>
      <c r="BI73" s="72" t="s">
        <v>1293</v>
      </c>
      <c r="BJ73" s="58" t="s">
        <v>1293</v>
      </c>
      <c r="BK73" s="58" t="s">
        <v>1293</v>
      </c>
      <c r="BL73" s="58" t="s">
        <v>1293</v>
      </c>
      <c r="BM73" s="58" t="s">
        <v>1293</v>
      </c>
      <c r="BN73" s="58" t="s">
        <v>1293</v>
      </c>
      <c r="BO73" s="58" t="s">
        <v>1293</v>
      </c>
      <c r="BP73" s="58" t="s">
        <v>1293</v>
      </c>
      <c r="BQ73" s="58" t="s">
        <v>1293</v>
      </c>
      <c r="BR73" s="58" t="s">
        <v>1293</v>
      </c>
      <c r="BS73" s="58" t="s">
        <v>1293</v>
      </c>
      <c r="BT73" s="58" t="s">
        <v>1293</v>
      </c>
      <c r="BU73" s="72">
        <f t="shared" si="197"/>
        <v>29</v>
      </c>
      <c r="BV73" s="73">
        <f t="shared" si="198"/>
        <v>62</v>
      </c>
      <c r="BW73" s="74">
        <f t="shared" si="199"/>
        <v>66</v>
      </c>
      <c r="BX73" s="73">
        <f t="shared" si="200"/>
        <v>98</v>
      </c>
      <c r="BY73" s="74">
        <f t="shared" si="201"/>
        <v>102</v>
      </c>
      <c r="BZ73" s="73">
        <f t="shared" si="202"/>
        <v>138</v>
      </c>
      <c r="CA73" s="74">
        <f t="shared" si="203"/>
        <v>146</v>
      </c>
      <c r="CB73" s="73">
        <f t="shared" si="204"/>
        <v>191</v>
      </c>
      <c r="CC73" s="74">
        <f t="shared" si="205"/>
        <v>196</v>
      </c>
      <c r="CD73" s="73">
        <f t="shared" si="206"/>
        <v>266</v>
      </c>
      <c r="CE73" s="74">
        <f t="shared" si="207"/>
        <v>304</v>
      </c>
      <c r="CF73" s="73">
        <f t="shared" si="208"/>
        <v>329</v>
      </c>
      <c r="CG73" s="72">
        <f t="shared" si="209"/>
        <v>61</v>
      </c>
      <c r="CH73" s="73">
        <f t="shared" si="210"/>
        <v>65</v>
      </c>
      <c r="CI73" s="74">
        <f t="shared" si="211"/>
        <v>96</v>
      </c>
      <c r="CJ73" s="74">
        <f t="shared" si="212"/>
        <v>101</v>
      </c>
      <c r="CK73" s="74">
        <f t="shared" si="213"/>
        <v>137</v>
      </c>
      <c r="CL73" s="74">
        <f t="shared" si="214"/>
        <v>145</v>
      </c>
      <c r="CM73" s="74">
        <f t="shared" si="215"/>
        <v>172</v>
      </c>
      <c r="CN73" s="74">
        <f t="shared" si="216"/>
        <v>193</v>
      </c>
      <c r="CO73" s="74">
        <f t="shared" si="217"/>
        <v>225</v>
      </c>
      <c r="CP73" s="74">
        <f t="shared" si="218"/>
        <v>299</v>
      </c>
      <c r="CQ73" s="74">
        <f t="shared" si="219"/>
        <v>328</v>
      </c>
      <c r="CR73" s="74">
        <f t="shared" si="220"/>
        <v>341</v>
      </c>
      <c r="CS73" s="23">
        <f t="shared" si="221"/>
        <v>1</v>
      </c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  <c r="KY73" s="1"/>
      <c r="KZ73" s="1"/>
      <c r="LA73" s="1"/>
      <c r="LB73" s="1"/>
      <c r="LC73" s="1"/>
      <c r="LD73" s="1"/>
      <c r="LE73" s="1"/>
      <c r="LF73" s="1"/>
      <c r="LG73" s="1"/>
      <c r="LH73" s="1"/>
      <c r="LI73" s="1"/>
      <c r="LJ73" s="1"/>
      <c r="LK73" s="1"/>
      <c r="LL73" s="1"/>
      <c r="LM73" s="1"/>
      <c r="LN73" s="1"/>
      <c r="LO73" s="1"/>
      <c r="LP73" s="1"/>
      <c r="LQ73" s="1"/>
      <c r="LR73" s="1"/>
      <c r="LS73" s="1"/>
      <c r="LT73" s="1"/>
      <c r="LU73" s="1"/>
      <c r="LV73" s="1"/>
      <c r="LW73" s="1"/>
      <c r="LX73" s="1"/>
      <c r="LY73" s="1"/>
      <c r="LZ73" s="1"/>
      <c r="MA73" s="1"/>
      <c r="MB73" s="1"/>
      <c r="MC73" s="1"/>
      <c r="MD73" s="1"/>
      <c r="ME73" s="1"/>
      <c r="MF73" s="1"/>
      <c r="MG73" s="1"/>
      <c r="MH73" s="1"/>
      <c r="MI73" s="1"/>
      <c r="MJ73" s="1"/>
      <c r="MK73" s="1"/>
      <c r="ML73" s="1"/>
      <c r="MM73" s="1"/>
      <c r="MN73" s="1"/>
      <c r="MO73" s="1"/>
      <c r="MP73" s="1"/>
      <c r="MQ73" s="1"/>
      <c r="MR73" s="1"/>
      <c r="MS73" s="1"/>
      <c r="MT73" s="1"/>
      <c r="MU73" s="1"/>
      <c r="MV73" s="1"/>
      <c r="MW73" s="1"/>
      <c r="MX73" s="1"/>
      <c r="MY73" s="1"/>
      <c r="MZ73" s="1"/>
      <c r="NA73" s="1"/>
      <c r="NB73" s="1"/>
      <c r="NC73" s="1"/>
      <c r="ND73" s="1"/>
      <c r="NE73" s="1"/>
      <c r="NF73" s="1"/>
      <c r="NG73" s="1"/>
      <c r="NH73" s="1"/>
      <c r="NI73" s="1"/>
      <c r="NJ73" s="1"/>
      <c r="NK73" s="1"/>
      <c r="NL73" s="1"/>
      <c r="NM73" s="1"/>
      <c r="NN73" s="1"/>
      <c r="NO73" s="1"/>
      <c r="NP73" s="1"/>
      <c r="NQ73" s="1"/>
      <c r="NR73" s="1"/>
      <c r="NS73" s="1"/>
      <c r="NT73" s="1"/>
      <c r="NU73" s="1"/>
      <c r="NV73" s="1"/>
      <c r="NW73" s="1"/>
      <c r="NX73" s="1"/>
      <c r="NY73" s="1"/>
      <c r="NZ73" s="1"/>
      <c r="OA73" s="1"/>
      <c r="OB73" s="1"/>
      <c r="OC73" s="1"/>
      <c r="OD73" s="1"/>
      <c r="OE73" s="1"/>
      <c r="OF73" s="1"/>
      <c r="OG73" s="1"/>
      <c r="OH73" s="1"/>
      <c r="OI73" s="1"/>
      <c r="OJ73" s="1"/>
      <c r="OK73" s="1"/>
      <c r="OL73" s="1"/>
      <c r="OM73" s="1"/>
      <c r="ON73" s="1"/>
      <c r="OO73" s="1"/>
      <c r="OP73" s="1"/>
      <c r="OQ73" s="1"/>
      <c r="OR73" s="1"/>
      <c r="OS73" s="1"/>
      <c r="OT73" s="1"/>
      <c r="OU73" s="1"/>
      <c r="OV73" s="1"/>
      <c r="OW73" s="1"/>
      <c r="OX73" s="1"/>
      <c r="OY73" s="1"/>
      <c r="OZ73" s="1"/>
      <c r="PA73" s="1"/>
      <c r="PB73" s="1"/>
      <c r="PC73" s="1"/>
      <c r="PD73" s="1"/>
      <c r="PE73" s="1"/>
      <c r="PF73" s="1"/>
      <c r="PG73" s="1"/>
      <c r="PH73" s="1"/>
      <c r="PI73" s="1"/>
      <c r="PJ73" s="1"/>
      <c r="PK73" s="1"/>
      <c r="PL73" s="1"/>
      <c r="PM73" s="1"/>
      <c r="PN73" s="1"/>
      <c r="PO73" s="1"/>
      <c r="PP73" s="1"/>
      <c r="PQ73" s="1"/>
      <c r="PR73" s="1"/>
      <c r="PS73" s="1"/>
      <c r="PT73" s="1"/>
      <c r="PU73" s="1"/>
      <c r="PV73" s="1"/>
      <c r="PW73" s="1"/>
      <c r="PX73" s="1"/>
      <c r="PY73" s="1"/>
      <c r="PZ73" s="1"/>
      <c r="QA73" s="1"/>
      <c r="QB73" s="1"/>
      <c r="QC73" s="1"/>
      <c r="QD73" s="1"/>
      <c r="QE73" s="1"/>
      <c r="QF73" s="1"/>
      <c r="QG73" s="1"/>
      <c r="QH73" s="1"/>
      <c r="QI73" s="1"/>
      <c r="QJ73" s="1"/>
      <c r="QK73" s="1"/>
      <c r="QL73" s="1"/>
      <c r="QM73" s="1"/>
      <c r="QN73" s="1"/>
      <c r="QO73" s="1"/>
      <c r="QP73" s="1"/>
      <c r="QQ73" s="1"/>
      <c r="QR73" s="1"/>
      <c r="QS73" s="1"/>
      <c r="QT73" s="1"/>
      <c r="QU73" s="1"/>
      <c r="QV73" s="1"/>
      <c r="QW73" s="1"/>
      <c r="QX73" s="1"/>
      <c r="QY73" s="1"/>
      <c r="QZ73" s="1"/>
      <c r="RA73" s="1"/>
      <c r="RB73" s="1"/>
      <c r="RC73" s="1"/>
      <c r="RD73" s="1"/>
      <c r="RE73" s="1"/>
      <c r="RF73" s="1"/>
      <c r="RG73" s="1"/>
      <c r="RH73" s="1"/>
      <c r="RI73" s="1"/>
      <c r="RJ73" s="1"/>
      <c r="RK73" s="1"/>
      <c r="RL73" s="1"/>
      <c r="RM73" s="1"/>
      <c r="RN73" s="1"/>
      <c r="RO73" s="1"/>
      <c r="RP73" s="1"/>
      <c r="RQ73" s="1"/>
      <c r="RR73" s="1"/>
      <c r="RS73" s="1"/>
      <c r="RT73" s="1"/>
      <c r="RU73" s="1"/>
      <c r="RV73" s="1"/>
      <c r="RW73" s="1"/>
      <c r="RX73" s="1"/>
      <c r="RY73" s="1"/>
      <c r="RZ73" s="1"/>
      <c r="SA73" s="1"/>
      <c r="SB73" s="1"/>
      <c r="SC73" s="1"/>
      <c r="SD73" s="1"/>
      <c r="SE73" s="1"/>
      <c r="SF73" s="1"/>
      <c r="SG73" s="1"/>
      <c r="SH73" s="1"/>
      <c r="SI73" s="1"/>
      <c r="SJ73" s="1"/>
      <c r="SK73" s="1"/>
      <c r="SL73" s="1"/>
      <c r="SM73" s="1"/>
      <c r="SN73" s="1"/>
      <c r="SO73" s="1"/>
      <c r="SP73" s="1"/>
      <c r="SQ73" s="1"/>
      <c r="SR73" s="1"/>
      <c r="SS73" s="1"/>
      <c r="ST73" s="1"/>
      <c r="SU73" s="1"/>
      <c r="SV73" s="1"/>
      <c r="SW73" s="1"/>
      <c r="SX73" s="1"/>
      <c r="SY73" s="1"/>
      <c r="SZ73" s="1"/>
      <c r="TA73" s="1"/>
      <c r="TB73" s="1"/>
      <c r="TC73" s="1"/>
      <c r="TD73" s="1"/>
      <c r="TE73" s="1"/>
      <c r="TF73" s="1"/>
      <c r="TG73" s="1"/>
      <c r="TH73" s="1"/>
      <c r="TI73" s="1"/>
      <c r="TJ73" s="1"/>
      <c r="TK73" s="1"/>
      <c r="TL73" s="1"/>
      <c r="TM73" s="1"/>
      <c r="TN73" s="1"/>
      <c r="TO73" s="1"/>
      <c r="TP73" s="1"/>
      <c r="TQ73" s="1"/>
      <c r="TR73" s="1"/>
      <c r="TS73" s="1"/>
      <c r="TT73" s="1"/>
      <c r="TU73" s="1"/>
      <c r="TV73" s="1"/>
      <c r="TW73" s="1"/>
      <c r="TX73" s="1"/>
      <c r="TY73" s="1"/>
      <c r="TZ73" s="1"/>
      <c r="UA73" s="1"/>
      <c r="UB73" s="1"/>
      <c r="UC73" s="1"/>
      <c r="UD73" s="1"/>
      <c r="UE73" s="1"/>
      <c r="UF73" s="1"/>
      <c r="UG73" s="1"/>
      <c r="UH73" s="1"/>
      <c r="UI73" s="1"/>
      <c r="UJ73" s="1"/>
      <c r="UK73" s="1"/>
      <c r="UL73" s="1"/>
      <c r="UM73" s="1"/>
      <c r="UN73" s="1"/>
      <c r="UO73" s="1"/>
      <c r="UP73" s="1"/>
      <c r="UQ73" s="1"/>
      <c r="UR73" s="1"/>
      <c r="US73" s="1"/>
      <c r="UT73" s="1"/>
      <c r="UU73" s="1"/>
      <c r="UV73" s="1"/>
      <c r="UW73" s="1"/>
      <c r="UX73" s="1"/>
      <c r="UY73" s="1"/>
      <c r="UZ73" s="1"/>
      <c r="VA73" s="1"/>
      <c r="VB73" s="1"/>
      <c r="VC73" s="1"/>
      <c r="VD73" s="1"/>
      <c r="VE73" s="1"/>
      <c r="VF73" s="1"/>
      <c r="VG73" s="1"/>
      <c r="VH73" s="1"/>
      <c r="VI73" s="1"/>
      <c r="VJ73" s="1"/>
      <c r="VK73" s="1"/>
      <c r="VL73" s="1"/>
      <c r="VM73" s="1"/>
      <c r="VN73" s="1"/>
      <c r="VO73" s="1"/>
      <c r="VP73" s="1"/>
      <c r="VQ73" s="1"/>
      <c r="VR73" s="1"/>
      <c r="VS73" s="1"/>
      <c r="VT73" s="1"/>
      <c r="VU73" s="1"/>
      <c r="VV73" s="1"/>
      <c r="VW73" s="1"/>
      <c r="VX73" s="1"/>
      <c r="VY73" s="1"/>
      <c r="VZ73" s="1"/>
      <c r="WA73" s="1"/>
      <c r="WB73" s="1"/>
      <c r="WC73" s="1"/>
      <c r="WD73" s="1"/>
      <c r="WE73" s="1"/>
      <c r="WF73" s="1"/>
      <c r="WG73" s="1"/>
      <c r="WH73" s="1"/>
      <c r="WI73" s="1"/>
      <c r="WJ73" s="1"/>
      <c r="WK73" s="1"/>
      <c r="WL73" s="1"/>
      <c r="WM73" s="1"/>
      <c r="WN73" s="1"/>
      <c r="WO73" s="1"/>
      <c r="WP73" s="1"/>
      <c r="WQ73" s="1"/>
      <c r="WR73" s="1"/>
      <c r="WS73" s="1"/>
      <c r="WT73" s="1"/>
      <c r="WU73" s="1"/>
      <c r="WV73" s="1"/>
      <c r="WW73" s="1"/>
      <c r="WX73" s="1"/>
      <c r="WY73" s="1"/>
      <c r="WZ73" s="1"/>
      <c r="XA73" s="1"/>
      <c r="XB73" s="1"/>
      <c r="XC73" s="1"/>
      <c r="XD73" s="1"/>
      <c r="XE73" s="1"/>
      <c r="XF73" s="1"/>
      <c r="XG73" s="1"/>
      <c r="XH73" s="1"/>
      <c r="XI73" s="1"/>
      <c r="XJ73" s="1"/>
      <c r="XK73" s="1"/>
      <c r="XL73" s="1"/>
      <c r="XM73" s="1"/>
      <c r="XN73" s="1"/>
      <c r="XO73" s="1"/>
      <c r="XP73" s="1"/>
      <c r="XQ73" s="1"/>
      <c r="XR73" s="1"/>
      <c r="XS73" s="1"/>
      <c r="XT73" s="1"/>
      <c r="XU73" s="1"/>
      <c r="XV73" s="1"/>
      <c r="XW73" s="1"/>
      <c r="XX73" s="1"/>
      <c r="XY73" s="1"/>
      <c r="XZ73" s="1"/>
      <c r="YA73" s="1"/>
      <c r="YB73" s="1"/>
      <c r="YC73" s="1"/>
      <c r="YD73" s="1"/>
      <c r="YE73" s="1"/>
      <c r="YF73" s="1"/>
      <c r="YG73" s="1"/>
      <c r="YH73" s="1"/>
      <c r="YI73" s="1"/>
      <c r="YJ73" s="1"/>
      <c r="YK73" s="1"/>
      <c r="YL73" s="1"/>
      <c r="YM73" s="1"/>
      <c r="YN73" s="1"/>
      <c r="YO73" s="1"/>
      <c r="YP73" s="1"/>
      <c r="YQ73" s="1"/>
      <c r="YR73" s="1"/>
      <c r="YS73" s="1"/>
      <c r="YT73" s="1"/>
      <c r="YU73" s="1"/>
      <c r="YV73" s="1"/>
      <c r="YW73" s="1"/>
      <c r="YX73" s="1"/>
      <c r="YY73" s="1"/>
      <c r="YZ73" s="1"/>
      <c r="ZA73" s="1"/>
      <c r="ZB73" s="1"/>
      <c r="ZC73" s="1"/>
      <c r="ZD73" s="1"/>
      <c r="ZE73" s="1"/>
      <c r="ZF73" s="1"/>
      <c r="ZG73" s="1"/>
      <c r="ZH73" s="1"/>
      <c r="ZI73" s="1"/>
      <c r="ZJ73" s="1"/>
      <c r="ZK73" s="1"/>
      <c r="ZL73" s="1"/>
      <c r="ZM73" s="1"/>
      <c r="ZN73" s="1"/>
      <c r="ZO73" s="1"/>
      <c r="ZP73" s="1"/>
      <c r="ZQ73" s="1"/>
      <c r="ZR73" s="1"/>
      <c r="ZS73" s="1"/>
      <c r="ZT73" s="1"/>
      <c r="ZU73" s="1"/>
      <c r="ZV73" s="1"/>
      <c r="ZW73" s="1"/>
      <c r="ZX73" s="1"/>
      <c r="ZY73" s="1"/>
      <c r="ZZ73" s="1"/>
      <c r="AAA73" s="1"/>
      <c r="AAB73" s="1"/>
      <c r="AAC73" s="1"/>
      <c r="AAD73" s="1"/>
      <c r="AAE73" s="1"/>
      <c r="AAF73" s="1"/>
      <c r="AAG73" s="1"/>
      <c r="AAH73" s="1"/>
      <c r="AAI73" s="1"/>
      <c r="AAJ73" s="1"/>
      <c r="AAK73" s="1"/>
      <c r="AAL73" s="1"/>
      <c r="AAM73" s="1"/>
      <c r="AAN73" s="1"/>
      <c r="AAO73" s="1"/>
      <c r="AAP73" s="1"/>
      <c r="AAQ73" s="1"/>
      <c r="AAR73" s="1"/>
      <c r="AAS73" s="1"/>
      <c r="AAT73" s="1"/>
      <c r="AAU73" s="1"/>
      <c r="AAV73" s="1"/>
      <c r="AAW73" s="1"/>
      <c r="AAX73" s="1"/>
      <c r="AAY73" s="1"/>
      <c r="AAZ73" s="1"/>
      <c r="ABA73" s="1"/>
      <c r="ABB73" s="1"/>
      <c r="ABC73" s="1"/>
      <c r="ABD73" s="1"/>
      <c r="ABE73" s="1"/>
      <c r="ABF73" s="1"/>
      <c r="ABG73" s="1"/>
      <c r="ABH73" s="1"/>
      <c r="ABI73" s="1"/>
      <c r="ABJ73" s="1"/>
      <c r="ABK73" s="1"/>
      <c r="ABL73" s="1"/>
      <c r="ABM73" s="1"/>
      <c r="ABN73" s="1"/>
      <c r="ABO73" s="1"/>
      <c r="ABP73" s="1"/>
      <c r="ABQ73" s="1"/>
      <c r="ABR73" s="1"/>
      <c r="ABS73" s="1"/>
      <c r="ABT73" s="1"/>
      <c r="ABU73" s="1"/>
      <c r="ABV73" s="1"/>
      <c r="ABW73" s="1"/>
      <c r="ABX73" s="1"/>
      <c r="ABY73" s="1"/>
      <c r="ABZ73" s="1"/>
      <c r="ACA73" s="1"/>
      <c r="ACB73" s="1"/>
      <c r="ACC73" s="1"/>
      <c r="ACD73" s="1"/>
      <c r="ACE73" s="1"/>
      <c r="ACF73" s="1"/>
      <c r="ACG73" s="1"/>
      <c r="ACH73" s="1"/>
      <c r="ACI73" s="1"/>
      <c r="ACJ73" s="1"/>
      <c r="ACK73" s="1"/>
      <c r="ACL73" s="1"/>
      <c r="ACM73" s="1"/>
      <c r="ACN73" s="1"/>
      <c r="ACO73" s="1"/>
      <c r="ACP73" s="1"/>
      <c r="ACQ73" s="1"/>
      <c r="ACR73" s="1"/>
      <c r="ACS73" s="1"/>
      <c r="ACT73" s="1"/>
      <c r="ACU73" s="1"/>
      <c r="ACV73" s="1"/>
      <c r="ACW73" s="1"/>
      <c r="ACX73" s="1"/>
      <c r="ACY73" s="1"/>
      <c r="ACZ73" s="1"/>
      <c r="ADA73" s="1"/>
      <c r="ADB73" s="1"/>
      <c r="ADC73" s="1"/>
      <c r="ADD73" s="1"/>
      <c r="ADE73" s="1"/>
      <c r="ADF73" s="1"/>
      <c r="ADG73" s="1"/>
      <c r="ADH73" s="1"/>
      <c r="ADI73" s="1"/>
      <c r="ADJ73" s="1"/>
      <c r="ADK73" s="1"/>
      <c r="ADL73" s="1"/>
      <c r="ADM73" s="1"/>
      <c r="ADN73" s="1"/>
      <c r="ADO73" s="1"/>
      <c r="ADP73" s="1"/>
      <c r="ADQ73" s="1"/>
      <c r="ADR73" s="1"/>
      <c r="ADS73" s="1"/>
      <c r="ADT73" s="1"/>
      <c r="ADU73" s="1"/>
      <c r="ADV73" s="1"/>
      <c r="ADW73" s="1"/>
      <c r="ADX73" s="1"/>
      <c r="ADY73" s="1"/>
      <c r="ADZ73" s="1"/>
      <c r="AEA73" s="1"/>
      <c r="AEB73" s="1"/>
      <c r="AEC73" s="1"/>
      <c r="AED73" s="1"/>
      <c r="AEE73" s="1"/>
      <c r="AEF73" s="1"/>
      <c r="AEG73" s="1"/>
      <c r="AEH73" s="1"/>
      <c r="AEI73" s="1"/>
      <c r="AEJ73" s="1"/>
      <c r="AEK73" s="1"/>
      <c r="AEL73" s="1"/>
      <c r="AEM73" s="1"/>
      <c r="AEN73" s="1"/>
      <c r="AEO73" s="1"/>
      <c r="AEP73" s="1"/>
      <c r="AEQ73" s="1"/>
      <c r="AER73" s="1"/>
      <c r="AES73" s="1"/>
      <c r="AET73" s="1"/>
      <c r="AEU73" s="1"/>
      <c r="AEV73" s="1"/>
      <c r="AEW73" s="1"/>
      <c r="AEX73" s="1"/>
      <c r="AEY73" s="1"/>
      <c r="AEZ73" s="1"/>
      <c r="AFA73" s="1"/>
      <c r="AFB73" s="1"/>
      <c r="AFC73" s="1"/>
      <c r="AFD73" s="1"/>
      <c r="AFE73" s="1"/>
      <c r="AFF73" s="1"/>
      <c r="AFG73" s="1"/>
      <c r="AFH73" s="1"/>
      <c r="AFI73" s="1"/>
      <c r="AFJ73" s="1"/>
      <c r="AFK73" s="1"/>
      <c r="AFL73" s="1"/>
      <c r="AFM73" s="1"/>
      <c r="AFN73" s="1"/>
      <c r="AFO73" s="1"/>
      <c r="AFP73" s="1"/>
      <c r="AFQ73" s="1"/>
      <c r="AFR73" s="1"/>
      <c r="AFS73" s="1"/>
      <c r="AFT73" s="1"/>
      <c r="AFU73" s="1"/>
      <c r="AFV73" s="1"/>
      <c r="AFW73" s="1"/>
      <c r="AFX73" s="1"/>
      <c r="AFY73" s="1"/>
      <c r="AFZ73" s="1"/>
      <c r="AGA73" s="1"/>
      <c r="AGB73" s="1"/>
      <c r="AGC73" s="1"/>
      <c r="AGD73" s="1"/>
      <c r="AGE73" s="1"/>
      <c r="AGF73" s="1"/>
      <c r="AGG73" s="1"/>
      <c r="AGH73" s="1"/>
      <c r="AGI73" s="1"/>
      <c r="AGJ73" s="1"/>
      <c r="AGK73" s="1"/>
      <c r="AGL73" s="1"/>
      <c r="AGM73" s="1"/>
      <c r="AGN73" s="1"/>
      <c r="AGO73" s="1"/>
      <c r="AGP73" s="1"/>
      <c r="AGQ73" s="1"/>
      <c r="AGR73" s="1"/>
      <c r="AGS73" s="1"/>
      <c r="AGT73" s="1"/>
      <c r="AGU73" s="1"/>
      <c r="AGV73" s="1"/>
      <c r="AGW73" s="1"/>
      <c r="AGX73" s="1"/>
      <c r="AGY73" s="1"/>
      <c r="AGZ73" s="1"/>
      <c r="AHA73" s="1"/>
      <c r="AHB73" s="1"/>
      <c r="AHC73" s="1"/>
      <c r="AHD73" s="1"/>
      <c r="AHE73" s="1"/>
      <c r="AHF73" s="1"/>
      <c r="AHG73" s="1"/>
      <c r="AHH73" s="1"/>
      <c r="AHI73" s="1"/>
      <c r="AHJ73" s="1"/>
      <c r="AHK73" s="1"/>
      <c r="AHL73" s="1"/>
      <c r="AHM73" s="1"/>
      <c r="AHN73" s="1"/>
      <c r="AHO73" s="1"/>
      <c r="AHP73" s="1"/>
      <c r="AHQ73" s="1"/>
      <c r="AHR73" s="1"/>
      <c r="AHS73" s="1"/>
      <c r="AHT73" s="1"/>
      <c r="AHU73" s="1"/>
      <c r="AHV73" s="1"/>
      <c r="AHW73" s="1"/>
      <c r="AHX73" s="1"/>
      <c r="AHY73" s="1"/>
      <c r="AHZ73" s="1"/>
      <c r="AIA73" s="1"/>
      <c r="AIB73" s="1"/>
      <c r="AIC73" s="1"/>
      <c r="AID73" s="1"/>
      <c r="AIE73" s="1"/>
      <c r="AIF73" s="1"/>
      <c r="AIG73" s="1"/>
      <c r="AIH73" s="1"/>
      <c r="AII73" s="1"/>
      <c r="AIJ73" s="1"/>
      <c r="AIK73" s="1"/>
      <c r="AIL73" s="1"/>
      <c r="AIM73" s="1"/>
      <c r="AIN73" s="1"/>
      <c r="AIO73" s="1"/>
      <c r="AIP73" s="1"/>
      <c r="AIQ73" s="1"/>
      <c r="AIR73" s="1"/>
      <c r="AIS73" s="1"/>
      <c r="AIT73" s="1"/>
      <c r="AIU73" s="1"/>
      <c r="AIV73" s="1"/>
      <c r="AIW73" s="1"/>
      <c r="AIX73" s="1"/>
      <c r="AIY73" s="1"/>
      <c r="AIZ73" s="1"/>
      <c r="AJA73" s="1"/>
      <c r="AJB73" s="1"/>
      <c r="AJC73" s="1"/>
      <c r="AJD73" s="1"/>
      <c r="AJE73" s="1"/>
      <c r="AJF73" s="1"/>
      <c r="AJG73" s="1"/>
      <c r="AJH73" s="1"/>
      <c r="AJI73" s="1"/>
      <c r="AJJ73" s="1"/>
      <c r="AJK73" s="1"/>
      <c r="AJL73" s="1"/>
      <c r="AJM73" s="1"/>
      <c r="AJN73" s="1"/>
      <c r="AJO73" s="1"/>
      <c r="AJP73" s="1"/>
      <c r="AJQ73" s="1"/>
      <c r="AJR73" s="1"/>
      <c r="AJS73" s="1"/>
      <c r="AJT73" s="1"/>
      <c r="AJU73" s="1"/>
      <c r="AJV73" s="1"/>
      <c r="AJW73" s="1"/>
      <c r="AJX73" s="1"/>
      <c r="AJY73" s="1"/>
      <c r="AJZ73" s="1"/>
      <c r="AKA73" s="1"/>
      <c r="AKB73" s="1"/>
      <c r="AKC73" s="1"/>
      <c r="AKD73" s="1"/>
      <c r="AKE73" s="1"/>
      <c r="AKF73" s="1"/>
      <c r="AKG73" s="1"/>
      <c r="AKH73" s="1"/>
      <c r="AKI73" s="1"/>
      <c r="AKJ73" s="1"/>
      <c r="AKK73" s="1"/>
      <c r="AKL73" s="1"/>
      <c r="AKM73" s="1"/>
      <c r="AKN73" s="1"/>
      <c r="AKO73" s="1"/>
      <c r="AKP73" s="1"/>
      <c r="AKQ73" s="1"/>
      <c r="AKR73" s="1"/>
      <c r="AKS73" s="1"/>
      <c r="AKT73" s="1"/>
      <c r="AKU73" s="1"/>
      <c r="AKV73" s="1"/>
      <c r="AKW73" s="1"/>
      <c r="AKX73" s="1"/>
      <c r="AKY73" s="1"/>
      <c r="AKZ73" s="1"/>
      <c r="ALA73" s="1"/>
      <c r="ALB73" s="1"/>
      <c r="ALC73" s="1"/>
      <c r="ALD73" s="1"/>
      <c r="ALE73" s="1"/>
      <c r="ALF73" s="1"/>
      <c r="ALG73" s="1"/>
      <c r="ALH73" s="1"/>
      <c r="ALI73" s="1"/>
      <c r="ALJ73" s="1"/>
      <c r="ALK73" s="1"/>
      <c r="ALL73" s="1"/>
      <c r="ALM73" s="1"/>
      <c r="ALN73" s="1"/>
      <c r="ALO73" s="1"/>
      <c r="ALP73" s="1"/>
      <c r="ALQ73" s="1"/>
      <c r="ALR73" s="1"/>
      <c r="ALS73" s="1"/>
      <c r="ALT73" s="1"/>
      <c r="ALU73" s="1"/>
      <c r="ALV73" s="1"/>
      <c r="ALW73" s="1"/>
      <c r="ALX73" s="1"/>
      <c r="ALY73" s="1"/>
      <c r="ALZ73" s="1"/>
      <c r="AMA73" s="1"/>
      <c r="AMB73" s="1"/>
      <c r="AMC73" s="1"/>
      <c r="AMD73" s="1"/>
      <c r="AME73" s="1"/>
      <c r="AMF73" s="1"/>
      <c r="AMG73" s="1"/>
      <c r="AMH73" s="1"/>
      <c r="AMI73" s="1"/>
      <c r="AMJ73" s="1"/>
      <c r="AMK73" s="1"/>
      <c r="AML73" s="1"/>
      <c r="AMM73" s="1"/>
      <c r="AMN73" s="1"/>
    </row>
    <row r="74" spans="1:1028" x14ac:dyDescent="0.2">
      <c r="A74" s="3" t="str">
        <f t="shared" si="222"/>
        <v>adrb2_human_4QKX</v>
      </c>
      <c r="B74" s="3" t="s">
        <v>126</v>
      </c>
      <c r="C74" s="3" t="s">
        <v>78</v>
      </c>
      <c r="D74" s="3" t="str">
        <f>IFERROR(MID(VLOOKUP($B74,Seqs!$A:$B,2,0),E74,1),"")</f>
        <v>D</v>
      </c>
      <c r="E74" s="3">
        <v>29</v>
      </c>
      <c r="F74" s="3" t="str">
        <f>IFERROR(MID(VLOOKUP($B74,Seqs!$A:$B,2,0),G74,1),"")</f>
        <v>F</v>
      </c>
      <c r="G74" s="3">
        <v>61</v>
      </c>
      <c r="H74" s="3" t="str">
        <f>IFERROR(MID(VLOOKUP($B74,Seqs!$A:$B,2,0),I74,1),"")</f>
        <v>E</v>
      </c>
      <c r="I74" s="23">
        <v>62</v>
      </c>
      <c r="J74" s="3" t="str">
        <f>IFERROR(MID(VLOOKUP($B74,Seqs!$A:$B,2,0),K74,1),"")</f>
        <v>Q</v>
      </c>
      <c r="K74" s="23">
        <v>65</v>
      </c>
      <c r="L74" s="3" t="str">
        <f>IFERROR(MID(VLOOKUP($B74,Seqs!$A:$B,2,0),M74,1),"")</f>
        <v>T</v>
      </c>
      <c r="M74" s="3">
        <v>66</v>
      </c>
      <c r="N74" s="3" t="str">
        <f>IFERROR(MID(VLOOKUP($B74,Seqs!$A:$B,2,0),O74,1),"")</f>
        <v>M</v>
      </c>
      <c r="O74" s="3">
        <v>96</v>
      </c>
      <c r="P74" s="3" t="str">
        <f>IFERROR(MID(VLOOKUP($B74,Seqs!$A:$B,2,0),Q74,1),"")</f>
        <v>M</v>
      </c>
      <c r="Q74" s="3">
        <v>98</v>
      </c>
      <c r="R74" s="3" t="str">
        <f>IFERROR(MID(VLOOKUP($B74,Seqs!$A:$B,2,0),S74,1),"")</f>
        <v>F</v>
      </c>
      <c r="S74" s="3">
        <v>101</v>
      </c>
      <c r="T74" s="3" t="str">
        <f>IFERROR(MID(VLOOKUP($B74,Seqs!$A:$B,2,0),U74,1),"")</f>
        <v>G</v>
      </c>
      <c r="U74" s="3">
        <v>102</v>
      </c>
      <c r="V74" s="3" t="str">
        <f>IFERROR(MID(VLOOKUP($B74,Seqs!$A:$B,2,0),W74,1),"")</f>
        <v>S</v>
      </c>
      <c r="W74" s="3">
        <v>137</v>
      </c>
      <c r="X74" s="3" t="str">
        <f>IFERROR(MID(VLOOKUP($B74,Seqs!$A:$B,2,0),Y74,1),"")</f>
        <v>P</v>
      </c>
      <c r="Y74" s="3">
        <v>138</v>
      </c>
      <c r="Z74" s="3" t="str">
        <f>IFERROR(MID(VLOOKUP($B74,Seqs!$A:$B,2,0),AA74,1),"")</f>
        <v>L</v>
      </c>
      <c r="AA74" s="3">
        <v>145</v>
      </c>
      <c r="AB74" s="3" t="str">
        <f>IFERROR(MID(VLOOKUP($B74,Seqs!$A:$B,2,0),AC74,1),"")</f>
        <v>T</v>
      </c>
      <c r="AC74" s="9">
        <v>146</v>
      </c>
      <c r="AD74" s="3" t="str">
        <f>IFERROR(MID(VLOOKUP($B74,Seqs!$A:$B,2,0),AE74,1),"")</f>
        <v>H</v>
      </c>
      <c r="AE74" s="3">
        <v>172</v>
      </c>
      <c r="AF74" s="3" t="str">
        <f>IFERROR(MID(VLOOKUP($B74,Seqs!$A:$B,2,0),AG74,1),"")</f>
        <v>C</v>
      </c>
      <c r="AG74" s="3">
        <v>191</v>
      </c>
      <c r="AH74" s="3" t="str">
        <f>IFERROR(MID(VLOOKUP($B74,Seqs!$A:$B,2,0),AI74,1),"")</f>
        <v>F</v>
      </c>
      <c r="AI74" s="3">
        <v>193</v>
      </c>
      <c r="AJ74" s="3" t="str">
        <f>IFERROR(MID(VLOOKUP($B74,Seqs!$A:$B,2,0),AK74,1),"")</f>
        <v>N</v>
      </c>
      <c r="AK74" s="3">
        <v>196</v>
      </c>
      <c r="AL74" s="3" t="str">
        <f>IFERROR(MID(VLOOKUP($B74,Seqs!$A:$B,2,0),AM74,1),"")</f>
        <v>E</v>
      </c>
      <c r="AM74" s="3">
        <v>225</v>
      </c>
      <c r="AN74" s="3" t="str">
        <f>IFERROR(MID(VLOOKUP($B74,Seqs!$A:$B,2,0),AO74,1),"")</f>
        <v>L</v>
      </c>
      <c r="AO74" s="3">
        <v>266</v>
      </c>
      <c r="AP74" s="3" t="str">
        <f>IFERROR(MID(VLOOKUP($B74,Seqs!$A:$B,2,0),AQ74,1),"")</f>
        <v>Q</v>
      </c>
      <c r="AQ74" s="3">
        <v>299</v>
      </c>
      <c r="AR74" s="3" t="str">
        <f>IFERROR(MID(VLOOKUP($B74,Seqs!$A:$B,2,0),AS74,1),"")</f>
        <v>R</v>
      </c>
      <c r="AS74" s="3">
        <v>304</v>
      </c>
      <c r="AT74" s="3" t="str">
        <f>IFERROR(MID(VLOOKUP($B74,Seqs!$A:$B,2,0),AU74,1),"")</f>
        <v>R</v>
      </c>
      <c r="AU74" s="3">
        <v>328</v>
      </c>
      <c r="AV74" s="3" t="str">
        <f>IFERROR(MID(VLOOKUP($B74,Seqs!$A:$B,2,0),AW74,1),"")</f>
        <v>S</v>
      </c>
      <c r="AW74" s="3">
        <v>329</v>
      </c>
      <c r="AX74" s="3" t="str">
        <f>IFERROR(MID(VLOOKUP($B74,Seqs!$A:$B,2,0),AY74,1),"")</f>
        <v>C</v>
      </c>
      <c r="AY74" s="3">
        <v>341</v>
      </c>
      <c r="AZ74" s="79" t="str">
        <f>VLOOKUP(B74,Classification!A:D,2,0)</f>
        <v>A</v>
      </c>
      <c r="BA74" s="97" t="str">
        <f>VLOOKUP(B74,Classification!A:D,4,0)</f>
        <v>Adrenoceptors</v>
      </c>
      <c r="BB74" s="27" t="b">
        <f t="shared" si="223"/>
        <v>1</v>
      </c>
      <c r="BC74" s="23">
        <f t="shared" si="196"/>
        <v>248</v>
      </c>
      <c r="BD74" s="4" t="s">
        <v>23</v>
      </c>
      <c r="BE74" s="3" t="s">
        <v>1297</v>
      </c>
      <c r="BF74" s="50" t="s">
        <v>1384</v>
      </c>
      <c r="BG74" s="50" t="s">
        <v>1384</v>
      </c>
      <c r="BH74" s="1"/>
      <c r="BI74" s="72" t="s">
        <v>1293</v>
      </c>
      <c r="BJ74" s="58" t="s">
        <v>1293</v>
      </c>
      <c r="BK74" s="58" t="s">
        <v>1293</v>
      </c>
      <c r="BL74" s="58" t="s">
        <v>1293</v>
      </c>
      <c r="BM74" s="58" t="s">
        <v>1293</v>
      </c>
      <c r="BN74" s="58" t="s">
        <v>1293</v>
      </c>
      <c r="BO74" s="58" t="s">
        <v>1293</v>
      </c>
      <c r="BP74" s="58" t="s">
        <v>1293</v>
      </c>
      <c r="BQ74" s="58" t="s">
        <v>1293</v>
      </c>
      <c r="BR74" s="58" t="s">
        <v>1293</v>
      </c>
      <c r="BS74" s="58" t="s">
        <v>1293</v>
      </c>
      <c r="BT74" s="58" t="s">
        <v>1293</v>
      </c>
      <c r="BU74" s="72">
        <f t="shared" si="197"/>
        <v>29</v>
      </c>
      <c r="BV74" s="73">
        <f t="shared" si="198"/>
        <v>62</v>
      </c>
      <c r="BW74" s="74">
        <f t="shared" si="199"/>
        <v>66</v>
      </c>
      <c r="BX74" s="73">
        <f t="shared" si="200"/>
        <v>98</v>
      </c>
      <c r="BY74" s="74">
        <f t="shared" si="201"/>
        <v>102</v>
      </c>
      <c r="BZ74" s="73">
        <f t="shared" si="202"/>
        <v>138</v>
      </c>
      <c r="CA74" s="74">
        <f t="shared" si="203"/>
        <v>146</v>
      </c>
      <c r="CB74" s="73">
        <f t="shared" si="204"/>
        <v>191</v>
      </c>
      <c r="CC74" s="74">
        <f t="shared" si="205"/>
        <v>196</v>
      </c>
      <c r="CD74" s="73">
        <f t="shared" si="206"/>
        <v>266</v>
      </c>
      <c r="CE74" s="74">
        <f t="shared" si="207"/>
        <v>304</v>
      </c>
      <c r="CF74" s="73">
        <f t="shared" si="208"/>
        <v>329</v>
      </c>
      <c r="CG74" s="72">
        <f t="shared" si="209"/>
        <v>61</v>
      </c>
      <c r="CH74" s="73">
        <f t="shared" si="210"/>
        <v>65</v>
      </c>
      <c r="CI74" s="74">
        <f t="shared" si="211"/>
        <v>96</v>
      </c>
      <c r="CJ74" s="74">
        <f t="shared" si="212"/>
        <v>101</v>
      </c>
      <c r="CK74" s="74">
        <f t="shared" si="213"/>
        <v>137</v>
      </c>
      <c r="CL74" s="74">
        <f t="shared" si="214"/>
        <v>145</v>
      </c>
      <c r="CM74" s="74">
        <f t="shared" si="215"/>
        <v>172</v>
      </c>
      <c r="CN74" s="74">
        <f t="shared" si="216"/>
        <v>193</v>
      </c>
      <c r="CO74" s="74">
        <f t="shared" si="217"/>
        <v>225</v>
      </c>
      <c r="CP74" s="74">
        <f t="shared" si="218"/>
        <v>299</v>
      </c>
      <c r="CQ74" s="74">
        <f t="shared" si="219"/>
        <v>328</v>
      </c>
      <c r="CR74" s="74">
        <f t="shared" si="220"/>
        <v>341</v>
      </c>
      <c r="CS74" s="23">
        <f t="shared" si="221"/>
        <v>1</v>
      </c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  <c r="LI74" s="1"/>
      <c r="LJ74" s="1"/>
      <c r="LK74" s="1"/>
      <c r="LL74" s="1"/>
      <c r="LM74" s="1"/>
      <c r="LN74" s="1"/>
      <c r="LO74" s="1"/>
      <c r="LP74" s="1"/>
      <c r="LQ74" s="1"/>
      <c r="LR74" s="1"/>
      <c r="LS74" s="1"/>
      <c r="LT74" s="1"/>
      <c r="LU74" s="1"/>
      <c r="LV74" s="1"/>
      <c r="LW74" s="1"/>
      <c r="LX74" s="1"/>
      <c r="LY74" s="1"/>
      <c r="LZ74" s="1"/>
      <c r="MA74" s="1"/>
      <c r="MB74" s="1"/>
      <c r="MC74" s="1"/>
      <c r="MD74" s="1"/>
      <c r="ME74" s="1"/>
      <c r="MF74" s="1"/>
      <c r="MG74" s="1"/>
      <c r="MH74" s="1"/>
      <c r="MI74" s="1"/>
      <c r="MJ74" s="1"/>
      <c r="MK74" s="1"/>
      <c r="ML74" s="1"/>
      <c r="MM74" s="1"/>
      <c r="MN74" s="1"/>
      <c r="MO74" s="1"/>
      <c r="MP74" s="1"/>
      <c r="MQ74" s="1"/>
      <c r="MR74" s="1"/>
      <c r="MS74" s="1"/>
      <c r="MT74" s="1"/>
      <c r="MU74" s="1"/>
      <c r="MV74" s="1"/>
      <c r="MW74" s="1"/>
      <c r="MX74" s="1"/>
      <c r="MY74" s="1"/>
      <c r="MZ74" s="1"/>
      <c r="NA74" s="1"/>
      <c r="NB74" s="1"/>
      <c r="NC74" s="1"/>
      <c r="ND74" s="1"/>
      <c r="NE74" s="1"/>
      <c r="NF74" s="1"/>
      <c r="NG74" s="1"/>
      <c r="NH74" s="1"/>
      <c r="NI74" s="1"/>
      <c r="NJ74" s="1"/>
      <c r="NK74" s="1"/>
      <c r="NL74" s="1"/>
      <c r="NM74" s="1"/>
      <c r="NN74" s="1"/>
      <c r="NO74" s="1"/>
      <c r="NP74" s="1"/>
      <c r="NQ74" s="1"/>
      <c r="NR74" s="1"/>
      <c r="NS74" s="1"/>
      <c r="NT74" s="1"/>
      <c r="NU74" s="1"/>
      <c r="NV74" s="1"/>
      <c r="NW74" s="1"/>
      <c r="NX74" s="1"/>
      <c r="NY74" s="1"/>
      <c r="NZ74" s="1"/>
      <c r="OA74" s="1"/>
      <c r="OB74" s="1"/>
      <c r="OC74" s="1"/>
      <c r="OD74" s="1"/>
      <c r="OE74" s="1"/>
      <c r="OF74" s="1"/>
      <c r="OG74" s="1"/>
      <c r="OH74" s="1"/>
      <c r="OI74" s="1"/>
      <c r="OJ74" s="1"/>
      <c r="OK74" s="1"/>
      <c r="OL74" s="1"/>
      <c r="OM74" s="1"/>
      <c r="ON74" s="1"/>
      <c r="OO74" s="1"/>
      <c r="OP74" s="1"/>
      <c r="OQ74" s="1"/>
      <c r="OR74" s="1"/>
      <c r="OS74" s="1"/>
      <c r="OT74" s="1"/>
      <c r="OU74" s="1"/>
      <c r="OV74" s="1"/>
      <c r="OW74" s="1"/>
      <c r="OX74" s="1"/>
      <c r="OY74" s="1"/>
      <c r="OZ74" s="1"/>
      <c r="PA74" s="1"/>
      <c r="PB74" s="1"/>
      <c r="PC74" s="1"/>
      <c r="PD74" s="1"/>
      <c r="PE74" s="1"/>
      <c r="PF74" s="1"/>
      <c r="PG74" s="1"/>
      <c r="PH74" s="1"/>
      <c r="PI74" s="1"/>
      <c r="PJ74" s="1"/>
      <c r="PK74" s="1"/>
      <c r="PL74" s="1"/>
      <c r="PM74" s="1"/>
      <c r="PN74" s="1"/>
      <c r="PO74" s="1"/>
      <c r="PP74" s="1"/>
      <c r="PQ74" s="1"/>
      <c r="PR74" s="1"/>
      <c r="PS74" s="1"/>
      <c r="PT74" s="1"/>
      <c r="PU74" s="1"/>
      <c r="PV74" s="1"/>
      <c r="PW74" s="1"/>
      <c r="PX74" s="1"/>
      <c r="PY74" s="1"/>
      <c r="PZ74" s="1"/>
      <c r="QA74" s="1"/>
      <c r="QB74" s="1"/>
      <c r="QC74" s="1"/>
      <c r="QD74" s="1"/>
      <c r="QE74" s="1"/>
      <c r="QF74" s="1"/>
      <c r="QG74" s="1"/>
      <c r="QH74" s="1"/>
      <c r="QI74" s="1"/>
      <c r="QJ74" s="1"/>
      <c r="QK74" s="1"/>
      <c r="QL74" s="1"/>
      <c r="QM74" s="1"/>
      <c r="QN74" s="1"/>
      <c r="QO74" s="1"/>
      <c r="QP74" s="1"/>
      <c r="QQ74" s="1"/>
      <c r="QR74" s="1"/>
      <c r="QS74" s="1"/>
      <c r="QT74" s="1"/>
      <c r="QU74" s="1"/>
      <c r="QV74" s="1"/>
      <c r="QW74" s="1"/>
      <c r="QX74" s="1"/>
      <c r="QY74" s="1"/>
      <c r="QZ74" s="1"/>
      <c r="RA74" s="1"/>
      <c r="RB74" s="1"/>
      <c r="RC74" s="1"/>
      <c r="RD74" s="1"/>
      <c r="RE74" s="1"/>
      <c r="RF74" s="1"/>
      <c r="RG74" s="1"/>
      <c r="RH74" s="1"/>
      <c r="RI74" s="1"/>
      <c r="RJ74" s="1"/>
      <c r="RK74" s="1"/>
      <c r="RL74" s="1"/>
      <c r="RM74" s="1"/>
      <c r="RN74" s="1"/>
      <c r="RO74" s="1"/>
      <c r="RP74" s="1"/>
      <c r="RQ74" s="1"/>
      <c r="RR74" s="1"/>
      <c r="RS74" s="1"/>
      <c r="RT74" s="1"/>
      <c r="RU74" s="1"/>
      <c r="RV74" s="1"/>
      <c r="RW74" s="1"/>
      <c r="RX74" s="1"/>
      <c r="RY74" s="1"/>
      <c r="RZ74" s="1"/>
      <c r="SA74" s="1"/>
      <c r="SB74" s="1"/>
      <c r="SC74" s="1"/>
      <c r="SD74" s="1"/>
      <c r="SE74" s="1"/>
      <c r="SF74" s="1"/>
      <c r="SG74" s="1"/>
      <c r="SH74" s="1"/>
      <c r="SI74" s="1"/>
      <c r="SJ74" s="1"/>
      <c r="SK74" s="1"/>
      <c r="SL74" s="1"/>
      <c r="SM74" s="1"/>
      <c r="SN74" s="1"/>
      <c r="SO74" s="1"/>
      <c r="SP74" s="1"/>
      <c r="SQ74" s="1"/>
      <c r="SR74" s="1"/>
      <c r="SS74" s="1"/>
      <c r="ST74" s="1"/>
      <c r="SU74" s="1"/>
      <c r="SV74" s="1"/>
      <c r="SW74" s="1"/>
      <c r="SX74" s="1"/>
      <c r="SY74" s="1"/>
      <c r="SZ74" s="1"/>
      <c r="TA74" s="1"/>
      <c r="TB74" s="1"/>
      <c r="TC74" s="1"/>
      <c r="TD74" s="1"/>
      <c r="TE74" s="1"/>
      <c r="TF74" s="1"/>
      <c r="TG74" s="1"/>
      <c r="TH74" s="1"/>
      <c r="TI74" s="1"/>
      <c r="TJ74" s="1"/>
      <c r="TK74" s="1"/>
      <c r="TL74" s="1"/>
      <c r="TM74" s="1"/>
      <c r="TN74" s="1"/>
      <c r="TO74" s="1"/>
      <c r="TP74" s="1"/>
      <c r="TQ74" s="1"/>
      <c r="TR74" s="1"/>
      <c r="TS74" s="1"/>
      <c r="TT74" s="1"/>
      <c r="TU74" s="1"/>
      <c r="TV74" s="1"/>
      <c r="TW74" s="1"/>
      <c r="TX74" s="1"/>
      <c r="TY74" s="1"/>
      <c r="TZ74" s="1"/>
      <c r="UA74" s="1"/>
      <c r="UB74" s="1"/>
      <c r="UC74" s="1"/>
      <c r="UD74" s="1"/>
      <c r="UE74" s="1"/>
      <c r="UF74" s="1"/>
      <c r="UG74" s="1"/>
      <c r="UH74" s="1"/>
      <c r="UI74" s="1"/>
      <c r="UJ74" s="1"/>
      <c r="UK74" s="1"/>
      <c r="UL74" s="1"/>
      <c r="UM74" s="1"/>
      <c r="UN74" s="1"/>
      <c r="UO74" s="1"/>
      <c r="UP74" s="1"/>
      <c r="UQ74" s="1"/>
      <c r="UR74" s="1"/>
      <c r="US74" s="1"/>
      <c r="UT74" s="1"/>
      <c r="UU74" s="1"/>
      <c r="UV74" s="1"/>
      <c r="UW74" s="1"/>
      <c r="UX74" s="1"/>
      <c r="UY74" s="1"/>
      <c r="UZ74" s="1"/>
      <c r="VA74" s="1"/>
      <c r="VB74" s="1"/>
      <c r="VC74" s="1"/>
      <c r="VD74" s="1"/>
      <c r="VE74" s="1"/>
      <c r="VF74" s="1"/>
      <c r="VG74" s="1"/>
      <c r="VH74" s="1"/>
      <c r="VI74" s="1"/>
      <c r="VJ74" s="1"/>
      <c r="VK74" s="1"/>
      <c r="VL74" s="1"/>
      <c r="VM74" s="1"/>
      <c r="VN74" s="1"/>
      <c r="VO74" s="1"/>
      <c r="VP74" s="1"/>
      <c r="VQ74" s="1"/>
      <c r="VR74" s="1"/>
      <c r="VS74" s="1"/>
      <c r="VT74" s="1"/>
      <c r="VU74" s="1"/>
      <c r="VV74" s="1"/>
      <c r="VW74" s="1"/>
      <c r="VX74" s="1"/>
      <c r="VY74" s="1"/>
      <c r="VZ74" s="1"/>
      <c r="WA74" s="1"/>
      <c r="WB74" s="1"/>
      <c r="WC74" s="1"/>
      <c r="WD74" s="1"/>
      <c r="WE74" s="1"/>
      <c r="WF74" s="1"/>
      <c r="WG74" s="1"/>
      <c r="WH74" s="1"/>
      <c r="WI74" s="1"/>
      <c r="WJ74" s="1"/>
      <c r="WK74" s="1"/>
      <c r="WL74" s="1"/>
      <c r="WM74" s="1"/>
      <c r="WN74" s="1"/>
      <c r="WO74" s="1"/>
      <c r="WP74" s="1"/>
      <c r="WQ74" s="1"/>
      <c r="WR74" s="1"/>
      <c r="WS74" s="1"/>
      <c r="WT74" s="1"/>
      <c r="WU74" s="1"/>
      <c r="WV74" s="1"/>
      <c r="WW74" s="1"/>
      <c r="WX74" s="1"/>
      <c r="WY74" s="1"/>
      <c r="WZ74" s="1"/>
      <c r="XA74" s="1"/>
      <c r="XB74" s="1"/>
      <c r="XC74" s="1"/>
      <c r="XD74" s="1"/>
      <c r="XE74" s="1"/>
      <c r="XF74" s="1"/>
      <c r="XG74" s="1"/>
      <c r="XH74" s="1"/>
      <c r="XI74" s="1"/>
      <c r="XJ74" s="1"/>
      <c r="XK74" s="1"/>
      <c r="XL74" s="1"/>
      <c r="XM74" s="1"/>
      <c r="XN74" s="1"/>
      <c r="XO74" s="1"/>
      <c r="XP74" s="1"/>
      <c r="XQ74" s="1"/>
      <c r="XR74" s="1"/>
      <c r="XS74" s="1"/>
      <c r="XT74" s="1"/>
      <c r="XU74" s="1"/>
      <c r="XV74" s="1"/>
      <c r="XW74" s="1"/>
      <c r="XX74" s="1"/>
      <c r="XY74" s="1"/>
      <c r="XZ74" s="1"/>
      <c r="YA74" s="1"/>
      <c r="YB74" s="1"/>
      <c r="YC74" s="1"/>
      <c r="YD74" s="1"/>
      <c r="YE74" s="1"/>
      <c r="YF74" s="1"/>
      <c r="YG74" s="1"/>
      <c r="YH74" s="1"/>
      <c r="YI74" s="1"/>
      <c r="YJ74" s="1"/>
      <c r="YK74" s="1"/>
      <c r="YL74" s="1"/>
      <c r="YM74" s="1"/>
      <c r="YN74" s="1"/>
      <c r="YO74" s="1"/>
      <c r="YP74" s="1"/>
      <c r="YQ74" s="1"/>
      <c r="YR74" s="1"/>
      <c r="YS74" s="1"/>
      <c r="YT74" s="1"/>
      <c r="YU74" s="1"/>
      <c r="YV74" s="1"/>
      <c r="YW74" s="1"/>
      <c r="YX74" s="1"/>
      <c r="YY74" s="1"/>
      <c r="YZ74" s="1"/>
      <c r="ZA74" s="1"/>
      <c r="ZB74" s="1"/>
      <c r="ZC74" s="1"/>
      <c r="ZD74" s="1"/>
      <c r="ZE74" s="1"/>
      <c r="ZF74" s="1"/>
      <c r="ZG74" s="1"/>
      <c r="ZH74" s="1"/>
      <c r="ZI74" s="1"/>
      <c r="ZJ74" s="1"/>
      <c r="ZK74" s="1"/>
      <c r="ZL74" s="1"/>
      <c r="ZM74" s="1"/>
      <c r="ZN74" s="1"/>
      <c r="ZO74" s="1"/>
      <c r="ZP74" s="1"/>
      <c r="ZQ74" s="1"/>
      <c r="ZR74" s="1"/>
      <c r="ZS74" s="1"/>
      <c r="ZT74" s="1"/>
      <c r="ZU74" s="1"/>
      <c r="ZV74" s="1"/>
      <c r="ZW74" s="1"/>
      <c r="ZX74" s="1"/>
      <c r="ZY74" s="1"/>
      <c r="ZZ74" s="1"/>
      <c r="AAA74" s="1"/>
      <c r="AAB74" s="1"/>
      <c r="AAC74" s="1"/>
      <c r="AAD74" s="1"/>
      <c r="AAE74" s="1"/>
      <c r="AAF74" s="1"/>
      <c r="AAG74" s="1"/>
      <c r="AAH74" s="1"/>
      <c r="AAI74" s="1"/>
      <c r="AAJ74" s="1"/>
      <c r="AAK74" s="1"/>
      <c r="AAL74" s="1"/>
      <c r="AAM74" s="1"/>
      <c r="AAN74" s="1"/>
      <c r="AAO74" s="1"/>
      <c r="AAP74" s="1"/>
      <c r="AAQ74" s="1"/>
      <c r="AAR74" s="1"/>
      <c r="AAS74" s="1"/>
      <c r="AAT74" s="1"/>
      <c r="AAU74" s="1"/>
      <c r="AAV74" s="1"/>
      <c r="AAW74" s="1"/>
      <c r="AAX74" s="1"/>
      <c r="AAY74" s="1"/>
      <c r="AAZ74" s="1"/>
      <c r="ABA74" s="1"/>
      <c r="ABB74" s="1"/>
      <c r="ABC74" s="1"/>
      <c r="ABD74" s="1"/>
      <c r="ABE74" s="1"/>
      <c r="ABF74" s="1"/>
      <c r="ABG74" s="1"/>
      <c r="ABH74" s="1"/>
      <c r="ABI74" s="1"/>
      <c r="ABJ74" s="1"/>
      <c r="ABK74" s="1"/>
      <c r="ABL74" s="1"/>
      <c r="ABM74" s="1"/>
      <c r="ABN74" s="1"/>
      <c r="ABO74" s="1"/>
      <c r="ABP74" s="1"/>
      <c r="ABQ74" s="1"/>
      <c r="ABR74" s="1"/>
      <c r="ABS74" s="1"/>
      <c r="ABT74" s="1"/>
      <c r="ABU74" s="1"/>
      <c r="ABV74" s="1"/>
      <c r="ABW74" s="1"/>
      <c r="ABX74" s="1"/>
      <c r="ABY74" s="1"/>
      <c r="ABZ74" s="1"/>
      <c r="ACA74" s="1"/>
      <c r="ACB74" s="1"/>
      <c r="ACC74" s="1"/>
      <c r="ACD74" s="1"/>
      <c r="ACE74" s="1"/>
      <c r="ACF74" s="1"/>
      <c r="ACG74" s="1"/>
      <c r="ACH74" s="1"/>
      <c r="ACI74" s="1"/>
      <c r="ACJ74" s="1"/>
      <c r="ACK74" s="1"/>
      <c r="ACL74" s="1"/>
      <c r="ACM74" s="1"/>
      <c r="ACN74" s="1"/>
      <c r="ACO74" s="1"/>
      <c r="ACP74" s="1"/>
      <c r="ACQ74" s="1"/>
      <c r="ACR74" s="1"/>
      <c r="ACS74" s="1"/>
      <c r="ACT74" s="1"/>
      <c r="ACU74" s="1"/>
      <c r="ACV74" s="1"/>
      <c r="ACW74" s="1"/>
      <c r="ACX74" s="1"/>
      <c r="ACY74" s="1"/>
      <c r="ACZ74" s="1"/>
      <c r="ADA74" s="1"/>
      <c r="ADB74" s="1"/>
      <c r="ADC74" s="1"/>
      <c r="ADD74" s="1"/>
      <c r="ADE74" s="1"/>
      <c r="ADF74" s="1"/>
      <c r="ADG74" s="1"/>
      <c r="ADH74" s="1"/>
      <c r="ADI74" s="1"/>
      <c r="ADJ74" s="1"/>
      <c r="ADK74" s="1"/>
      <c r="ADL74" s="1"/>
      <c r="ADM74" s="1"/>
      <c r="ADN74" s="1"/>
      <c r="ADO74" s="1"/>
      <c r="ADP74" s="1"/>
      <c r="ADQ74" s="1"/>
      <c r="ADR74" s="1"/>
      <c r="ADS74" s="1"/>
      <c r="ADT74" s="1"/>
      <c r="ADU74" s="1"/>
      <c r="ADV74" s="1"/>
      <c r="ADW74" s="1"/>
      <c r="ADX74" s="1"/>
      <c r="ADY74" s="1"/>
      <c r="ADZ74" s="1"/>
      <c r="AEA74" s="1"/>
      <c r="AEB74" s="1"/>
      <c r="AEC74" s="1"/>
      <c r="AED74" s="1"/>
      <c r="AEE74" s="1"/>
      <c r="AEF74" s="1"/>
      <c r="AEG74" s="1"/>
      <c r="AEH74" s="1"/>
      <c r="AEI74" s="1"/>
      <c r="AEJ74" s="1"/>
      <c r="AEK74" s="1"/>
      <c r="AEL74" s="1"/>
      <c r="AEM74" s="1"/>
      <c r="AEN74" s="1"/>
      <c r="AEO74" s="1"/>
      <c r="AEP74" s="1"/>
      <c r="AEQ74" s="1"/>
      <c r="AER74" s="1"/>
      <c r="AES74" s="1"/>
      <c r="AET74" s="1"/>
      <c r="AEU74" s="1"/>
      <c r="AEV74" s="1"/>
      <c r="AEW74" s="1"/>
      <c r="AEX74" s="1"/>
      <c r="AEY74" s="1"/>
      <c r="AEZ74" s="1"/>
      <c r="AFA74" s="1"/>
      <c r="AFB74" s="1"/>
      <c r="AFC74" s="1"/>
      <c r="AFD74" s="1"/>
      <c r="AFE74" s="1"/>
      <c r="AFF74" s="1"/>
      <c r="AFG74" s="1"/>
      <c r="AFH74" s="1"/>
      <c r="AFI74" s="1"/>
      <c r="AFJ74" s="1"/>
      <c r="AFK74" s="1"/>
      <c r="AFL74" s="1"/>
      <c r="AFM74" s="1"/>
      <c r="AFN74" s="1"/>
      <c r="AFO74" s="1"/>
      <c r="AFP74" s="1"/>
      <c r="AFQ74" s="1"/>
      <c r="AFR74" s="1"/>
      <c r="AFS74" s="1"/>
      <c r="AFT74" s="1"/>
      <c r="AFU74" s="1"/>
      <c r="AFV74" s="1"/>
      <c r="AFW74" s="1"/>
      <c r="AFX74" s="1"/>
      <c r="AFY74" s="1"/>
      <c r="AFZ74" s="1"/>
      <c r="AGA74" s="1"/>
      <c r="AGB74" s="1"/>
      <c r="AGC74" s="1"/>
      <c r="AGD74" s="1"/>
      <c r="AGE74" s="1"/>
      <c r="AGF74" s="1"/>
      <c r="AGG74" s="1"/>
      <c r="AGH74" s="1"/>
      <c r="AGI74" s="1"/>
      <c r="AGJ74" s="1"/>
      <c r="AGK74" s="1"/>
      <c r="AGL74" s="1"/>
      <c r="AGM74" s="1"/>
      <c r="AGN74" s="1"/>
      <c r="AGO74" s="1"/>
      <c r="AGP74" s="1"/>
      <c r="AGQ74" s="1"/>
      <c r="AGR74" s="1"/>
      <c r="AGS74" s="1"/>
      <c r="AGT74" s="1"/>
      <c r="AGU74" s="1"/>
      <c r="AGV74" s="1"/>
      <c r="AGW74" s="1"/>
      <c r="AGX74" s="1"/>
      <c r="AGY74" s="1"/>
      <c r="AGZ74" s="1"/>
      <c r="AHA74" s="1"/>
      <c r="AHB74" s="1"/>
      <c r="AHC74" s="1"/>
      <c r="AHD74" s="1"/>
      <c r="AHE74" s="1"/>
      <c r="AHF74" s="1"/>
      <c r="AHG74" s="1"/>
      <c r="AHH74" s="1"/>
      <c r="AHI74" s="1"/>
      <c r="AHJ74" s="1"/>
      <c r="AHK74" s="1"/>
      <c r="AHL74" s="1"/>
      <c r="AHM74" s="1"/>
      <c r="AHN74" s="1"/>
      <c r="AHO74" s="1"/>
      <c r="AHP74" s="1"/>
      <c r="AHQ74" s="1"/>
      <c r="AHR74" s="1"/>
      <c r="AHS74" s="1"/>
      <c r="AHT74" s="1"/>
      <c r="AHU74" s="1"/>
      <c r="AHV74" s="1"/>
      <c r="AHW74" s="1"/>
      <c r="AHX74" s="1"/>
      <c r="AHY74" s="1"/>
      <c r="AHZ74" s="1"/>
      <c r="AIA74" s="1"/>
      <c r="AIB74" s="1"/>
      <c r="AIC74" s="1"/>
      <c r="AID74" s="1"/>
      <c r="AIE74" s="1"/>
      <c r="AIF74" s="1"/>
      <c r="AIG74" s="1"/>
      <c r="AIH74" s="1"/>
      <c r="AII74" s="1"/>
      <c r="AIJ74" s="1"/>
      <c r="AIK74" s="1"/>
      <c r="AIL74" s="1"/>
      <c r="AIM74" s="1"/>
      <c r="AIN74" s="1"/>
      <c r="AIO74" s="1"/>
      <c r="AIP74" s="1"/>
      <c r="AIQ74" s="1"/>
      <c r="AIR74" s="1"/>
      <c r="AIS74" s="1"/>
      <c r="AIT74" s="1"/>
      <c r="AIU74" s="1"/>
      <c r="AIV74" s="1"/>
      <c r="AIW74" s="1"/>
      <c r="AIX74" s="1"/>
      <c r="AIY74" s="1"/>
      <c r="AIZ74" s="1"/>
      <c r="AJA74" s="1"/>
      <c r="AJB74" s="1"/>
      <c r="AJC74" s="1"/>
      <c r="AJD74" s="1"/>
      <c r="AJE74" s="1"/>
      <c r="AJF74" s="1"/>
      <c r="AJG74" s="1"/>
      <c r="AJH74" s="1"/>
      <c r="AJI74" s="1"/>
      <c r="AJJ74" s="1"/>
      <c r="AJK74" s="1"/>
      <c r="AJL74" s="1"/>
      <c r="AJM74" s="1"/>
      <c r="AJN74" s="1"/>
      <c r="AJO74" s="1"/>
      <c r="AJP74" s="1"/>
      <c r="AJQ74" s="1"/>
      <c r="AJR74" s="1"/>
      <c r="AJS74" s="1"/>
      <c r="AJT74" s="1"/>
      <c r="AJU74" s="1"/>
      <c r="AJV74" s="1"/>
      <c r="AJW74" s="1"/>
      <c r="AJX74" s="1"/>
      <c r="AJY74" s="1"/>
      <c r="AJZ74" s="1"/>
      <c r="AKA74" s="1"/>
      <c r="AKB74" s="1"/>
      <c r="AKC74" s="1"/>
      <c r="AKD74" s="1"/>
      <c r="AKE74" s="1"/>
      <c r="AKF74" s="1"/>
      <c r="AKG74" s="1"/>
      <c r="AKH74" s="1"/>
      <c r="AKI74" s="1"/>
      <c r="AKJ74" s="1"/>
      <c r="AKK74" s="1"/>
      <c r="AKL74" s="1"/>
      <c r="AKM74" s="1"/>
      <c r="AKN74" s="1"/>
      <c r="AKO74" s="1"/>
      <c r="AKP74" s="1"/>
      <c r="AKQ74" s="1"/>
      <c r="AKR74" s="1"/>
      <c r="AKS74" s="1"/>
      <c r="AKT74" s="1"/>
      <c r="AKU74" s="1"/>
      <c r="AKV74" s="1"/>
      <c r="AKW74" s="1"/>
      <c r="AKX74" s="1"/>
      <c r="AKY74" s="1"/>
      <c r="AKZ74" s="1"/>
      <c r="ALA74" s="1"/>
      <c r="ALB74" s="1"/>
      <c r="ALC74" s="1"/>
      <c r="ALD74" s="1"/>
      <c r="ALE74" s="1"/>
      <c r="ALF74" s="1"/>
      <c r="ALG74" s="1"/>
      <c r="ALH74" s="1"/>
      <c r="ALI74" s="1"/>
      <c r="ALJ74" s="1"/>
      <c r="ALK74" s="1"/>
      <c r="ALL74" s="1"/>
      <c r="ALM74" s="1"/>
      <c r="ALN74" s="1"/>
      <c r="ALO74" s="1"/>
      <c r="ALP74" s="1"/>
      <c r="ALQ74" s="1"/>
      <c r="ALR74" s="1"/>
      <c r="ALS74" s="1"/>
      <c r="ALT74" s="1"/>
      <c r="ALU74" s="1"/>
      <c r="ALV74" s="1"/>
      <c r="ALW74" s="1"/>
      <c r="ALX74" s="1"/>
      <c r="ALY74" s="1"/>
      <c r="ALZ74" s="1"/>
      <c r="AMA74" s="1"/>
      <c r="AMB74" s="1"/>
      <c r="AMC74" s="1"/>
      <c r="AMD74" s="1"/>
      <c r="AME74" s="1"/>
      <c r="AMF74" s="1"/>
      <c r="AMG74" s="1"/>
      <c r="AMH74" s="1"/>
      <c r="AMI74" s="1"/>
      <c r="AMJ74" s="1"/>
      <c r="AMK74" s="1"/>
      <c r="AML74" s="1"/>
      <c r="AMM74" s="1"/>
      <c r="AMN74" s="1"/>
    </row>
    <row r="75" spans="1:1028" x14ac:dyDescent="0.2">
      <c r="A75" s="3" t="str">
        <f t="shared" si="222"/>
        <v>adrb2_human_5D6L</v>
      </c>
      <c r="B75" s="3" t="s">
        <v>126</v>
      </c>
      <c r="C75" s="3" t="s">
        <v>1349</v>
      </c>
      <c r="D75" s="3" t="str">
        <f>IFERROR(MID(VLOOKUP($B75,Seqs!$A:$B,2,0),E75,1),"")</f>
        <v>D</v>
      </c>
      <c r="E75" s="3">
        <v>29</v>
      </c>
      <c r="F75" s="3" t="str">
        <f>IFERROR(MID(VLOOKUP($B75,Seqs!$A:$B,2,0),G75,1),"")</f>
        <v>F</v>
      </c>
      <c r="G75" s="3">
        <v>61</v>
      </c>
      <c r="H75" s="3" t="str">
        <f>IFERROR(MID(VLOOKUP($B75,Seqs!$A:$B,2,0),I75,1),"")</f>
        <v>E</v>
      </c>
      <c r="I75" s="23">
        <v>62</v>
      </c>
      <c r="J75" s="3" t="str">
        <f>IFERROR(MID(VLOOKUP($B75,Seqs!$A:$B,2,0),K75,1),"")</f>
        <v>Q</v>
      </c>
      <c r="K75" s="23">
        <v>65</v>
      </c>
      <c r="L75" s="3" t="str">
        <f>IFERROR(MID(VLOOKUP($B75,Seqs!$A:$B,2,0),M75,1),"")</f>
        <v>T</v>
      </c>
      <c r="M75" s="3">
        <v>66</v>
      </c>
      <c r="N75" s="3" t="str">
        <f>IFERROR(MID(VLOOKUP($B75,Seqs!$A:$B,2,0),O75,1),"")</f>
        <v>M</v>
      </c>
      <c r="O75" s="3">
        <v>96</v>
      </c>
      <c r="P75" s="3" t="str">
        <f>IFERROR(MID(VLOOKUP($B75,Seqs!$A:$B,2,0),Q75,1),"")</f>
        <v>M</v>
      </c>
      <c r="Q75" s="3">
        <v>98</v>
      </c>
      <c r="R75" s="3" t="str">
        <f>IFERROR(MID(VLOOKUP($B75,Seqs!$A:$B,2,0),S75,1),"")</f>
        <v>F</v>
      </c>
      <c r="S75" s="3">
        <v>101</v>
      </c>
      <c r="T75" s="3" t="str">
        <f>IFERROR(MID(VLOOKUP($B75,Seqs!$A:$B,2,0),U75,1),"")</f>
        <v>G</v>
      </c>
      <c r="U75" s="3">
        <v>102</v>
      </c>
      <c r="V75" s="3" t="str">
        <f>IFERROR(MID(VLOOKUP($B75,Seqs!$A:$B,2,0),W75,1),"")</f>
        <v>S</v>
      </c>
      <c r="W75" s="3">
        <v>137</v>
      </c>
      <c r="X75" s="3" t="str">
        <f>IFERROR(MID(VLOOKUP($B75,Seqs!$A:$B,2,0),Y75,1),"")</f>
        <v/>
      </c>
      <c r="Y75" s="3" t="s">
        <v>23</v>
      </c>
      <c r="Z75" s="3" t="str">
        <f>IFERROR(MID(VLOOKUP($B75,Seqs!$A:$B,2,0),AA75,1),"")</f>
        <v/>
      </c>
      <c r="AA75" s="3" t="s">
        <v>23</v>
      </c>
      <c r="AB75" s="3" t="str">
        <f>IFERROR(MID(VLOOKUP($B75,Seqs!$A:$B,2,0),AC75,1),"")</f>
        <v>T</v>
      </c>
      <c r="AC75" s="9">
        <v>146</v>
      </c>
      <c r="AD75" s="3" t="str">
        <f>IFERROR(MID(VLOOKUP($B75,Seqs!$A:$B,2,0),AE75,1),"")</f>
        <v>H</v>
      </c>
      <c r="AE75" s="3">
        <v>172</v>
      </c>
      <c r="AF75" s="3" t="str">
        <f>IFERROR(MID(VLOOKUP($B75,Seqs!$A:$B,2,0),AG75,1),"")</f>
        <v>C</v>
      </c>
      <c r="AG75" s="3">
        <v>191</v>
      </c>
      <c r="AH75" s="3" t="str">
        <f>IFERROR(MID(VLOOKUP($B75,Seqs!$A:$B,2,0),AI75,1),"")</f>
        <v>F</v>
      </c>
      <c r="AI75" s="3">
        <v>193</v>
      </c>
      <c r="AJ75" s="3" t="str">
        <f>IFERROR(MID(VLOOKUP($B75,Seqs!$A:$B,2,0),AK75,1),"")</f>
        <v>N</v>
      </c>
      <c r="AK75" s="3">
        <v>196</v>
      </c>
      <c r="AL75" s="3" t="str">
        <f>IFERROR(MID(VLOOKUP($B75,Seqs!$A:$B,2,0),AM75,1),"")</f>
        <v>Q</v>
      </c>
      <c r="AM75" s="3">
        <v>229</v>
      </c>
      <c r="AN75" s="3" t="str">
        <f>IFERROR(MID(VLOOKUP($B75,Seqs!$A:$B,2,0),AO75,1),"")</f>
        <v>K</v>
      </c>
      <c r="AO75" s="3">
        <v>267</v>
      </c>
      <c r="AP75" s="3" t="str">
        <f>IFERROR(MID(VLOOKUP($B75,Seqs!$A:$B,2,0),AQ75,1),"")</f>
        <v>Q</v>
      </c>
      <c r="AQ75" s="3">
        <v>299</v>
      </c>
      <c r="AR75" s="3" t="str">
        <f>IFERROR(MID(VLOOKUP($B75,Seqs!$A:$B,2,0),AS75,1),"")</f>
        <v>R</v>
      </c>
      <c r="AS75" s="3">
        <v>304</v>
      </c>
      <c r="AT75" s="3" t="str">
        <f>IFERROR(MID(VLOOKUP($B75,Seqs!$A:$B,2,0),AU75,1),"")</f>
        <v>R</v>
      </c>
      <c r="AU75" s="3">
        <v>328</v>
      </c>
      <c r="AV75" s="3" t="str">
        <f>IFERROR(MID(VLOOKUP($B75,Seqs!$A:$B,2,0),AW75,1),"")</f>
        <v>S</v>
      </c>
      <c r="AW75" s="3">
        <v>329</v>
      </c>
      <c r="AX75" s="3" t="str">
        <f>IFERROR(MID(VLOOKUP($B75,Seqs!$A:$B,2,0),AY75,1),"")</f>
        <v>C</v>
      </c>
      <c r="AY75" s="3">
        <v>341</v>
      </c>
      <c r="AZ75" s="79" t="str">
        <f>VLOOKUP(B75,Classification!A:D,2,0)</f>
        <v>A</v>
      </c>
      <c r="BA75" s="97" t="str">
        <f>VLOOKUP(B75,Classification!A:D,4,0)</f>
        <v>Adrenoceptors</v>
      </c>
      <c r="BB75" s="27" t="b">
        <f t="shared" si="223"/>
        <v>1</v>
      </c>
      <c r="BC75" s="23">
        <f t="shared" si="196"/>
        <v>244</v>
      </c>
      <c r="BD75" s="4" t="s">
        <v>23</v>
      </c>
      <c r="BE75" s="3" t="s">
        <v>1381</v>
      </c>
      <c r="BF75" s="50" t="s">
        <v>1</v>
      </c>
      <c r="BG75" s="50" t="s">
        <v>1384</v>
      </c>
      <c r="BH75" s="1"/>
      <c r="BI75" s="72" t="s">
        <v>1293</v>
      </c>
      <c r="BJ75" s="58" t="s">
        <v>1293</v>
      </c>
      <c r="BK75" s="58" t="s">
        <v>1293</v>
      </c>
      <c r="BL75" s="58" t="s">
        <v>1293</v>
      </c>
      <c r="BM75" s="58" t="s">
        <v>1293</v>
      </c>
      <c r="BN75" s="58" t="s">
        <v>1293</v>
      </c>
      <c r="BO75" s="58" t="s">
        <v>1293</v>
      </c>
      <c r="BP75" s="58" t="s">
        <v>1293</v>
      </c>
      <c r="BQ75" s="58" t="s">
        <v>1293</v>
      </c>
      <c r="BR75" s="58" t="s">
        <v>1293</v>
      </c>
      <c r="BS75" s="58" t="s">
        <v>1293</v>
      </c>
      <c r="BT75" s="58" t="s">
        <v>1293</v>
      </c>
      <c r="BU75" s="72">
        <f t="shared" si="197"/>
        <v>29</v>
      </c>
      <c r="BV75" s="73">
        <f t="shared" si="198"/>
        <v>62</v>
      </c>
      <c r="BW75" s="74">
        <f t="shared" si="199"/>
        <v>66</v>
      </c>
      <c r="BX75" s="73">
        <f t="shared" si="200"/>
        <v>98</v>
      </c>
      <c r="BY75" s="74">
        <f t="shared" si="201"/>
        <v>102</v>
      </c>
      <c r="BZ75" s="73" t="str">
        <f t="shared" si="202"/>
        <v>-</v>
      </c>
      <c r="CA75" s="74">
        <f t="shared" si="203"/>
        <v>146</v>
      </c>
      <c r="CB75" s="73">
        <f t="shared" si="204"/>
        <v>191</v>
      </c>
      <c r="CC75" s="74">
        <f t="shared" si="205"/>
        <v>196</v>
      </c>
      <c r="CD75" s="73">
        <f t="shared" si="206"/>
        <v>267</v>
      </c>
      <c r="CE75" s="74">
        <f t="shared" si="207"/>
        <v>304</v>
      </c>
      <c r="CF75" s="73">
        <f t="shared" si="208"/>
        <v>329</v>
      </c>
      <c r="CG75" s="72">
        <f t="shared" si="209"/>
        <v>61</v>
      </c>
      <c r="CH75" s="73">
        <f t="shared" si="210"/>
        <v>65</v>
      </c>
      <c r="CI75" s="74">
        <f t="shared" si="211"/>
        <v>96</v>
      </c>
      <c r="CJ75" s="74">
        <f t="shared" si="212"/>
        <v>101</v>
      </c>
      <c r="CK75" s="74">
        <f t="shared" si="213"/>
        <v>137</v>
      </c>
      <c r="CL75" s="74" t="str">
        <f t="shared" si="214"/>
        <v>-</v>
      </c>
      <c r="CM75" s="74">
        <f t="shared" si="215"/>
        <v>172</v>
      </c>
      <c r="CN75" s="74">
        <f t="shared" si="216"/>
        <v>193</v>
      </c>
      <c r="CO75" s="74">
        <f t="shared" si="217"/>
        <v>229</v>
      </c>
      <c r="CP75" s="74">
        <f t="shared" si="218"/>
        <v>299</v>
      </c>
      <c r="CQ75" s="74">
        <f t="shared" si="219"/>
        <v>328</v>
      </c>
      <c r="CR75" s="74">
        <f t="shared" si="220"/>
        <v>341</v>
      </c>
      <c r="CS75" s="23">
        <f t="shared" si="221"/>
        <v>1</v>
      </c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  <c r="LI75" s="1"/>
      <c r="LJ75" s="1"/>
      <c r="LK75" s="1"/>
      <c r="LL75" s="1"/>
      <c r="LM75" s="1"/>
      <c r="LN75" s="1"/>
      <c r="LO75" s="1"/>
      <c r="LP75" s="1"/>
      <c r="LQ75" s="1"/>
      <c r="LR75" s="1"/>
      <c r="LS75" s="1"/>
      <c r="LT75" s="1"/>
      <c r="LU75" s="1"/>
      <c r="LV75" s="1"/>
      <c r="LW75" s="1"/>
      <c r="LX75" s="1"/>
      <c r="LY75" s="1"/>
      <c r="LZ75" s="1"/>
      <c r="MA75" s="1"/>
      <c r="MB75" s="1"/>
      <c r="MC75" s="1"/>
      <c r="MD75" s="1"/>
      <c r="ME75" s="1"/>
      <c r="MF75" s="1"/>
      <c r="MG75" s="1"/>
      <c r="MH75" s="1"/>
      <c r="MI75" s="1"/>
      <c r="MJ75" s="1"/>
      <c r="MK75" s="1"/>
      <c r="ML75" s="1"/>
      <c r="MM75" s="1"/>
      <c r="MN75" s="1"/>
      <c r="MO75" s="1"/>
      <c r="MP75" s="1"/>
      <c r="MQ75" s="1"/>
      <c r="MR75" s="1"/>
      <c r="MS75" s="1"/>
      <c r="MT75" s="1"/>
      <c r="MU75" s="1"/>
      <c r="MV75" s="1"/>
      <c r="MW75" s="1"/>
      <c r="MX75" s="1"/>
      <c r="MY75" s="1"/>
      <c r="MZ75" s="1"/>
      <c r="NA75" s="1"/>
      <c r="NB75" s="1"/>
      <c r="NC75" s="1"/>
      <c r="ND75" s="1"/>
      <c r="NE75" s="1"/>
      <c r="NF75" s="1"/>
      <c r="NG75" s="1"/>
      <c r="NH75" s="1"/>
      <c r="NI75" s="1"/>
      <c r="NJ75" s="1"/>
      <c r="NK75" s="1"/>
      <c r="NL75" s="1"/>
      <c r="NM75" s="1"/>
      <c r="NN75" s="1"/>
      <c r="NO75" s="1"/>
      <c r="NP75" s="1"/>
      <c r="NQ75" s="1"/>
      <c r="NR75" s="1"/>
      <c r="NS75" s="1"/>
      <c r="NT75" s="1"/>
      <c r="NU75" s="1"/>
      <c r="NV75" s="1"/>
      <c r="NW75" s="1"/>
      <c r="NX75" s="1"/>
      <c r="NY75" s="1"/>
      <c r="NZ75" s="1"/>
      <c r="OA75" s="1"/>
      <c r="OB75" s="1"/>
      <c r="OC75" s="1"/>
      <c r="OD75" s="1"/>
      <c r="OE75" s="1"/>
      <c r="OF75" s="1"/>
      <c r="OG75" s="1"/>
      <c r="OH75" s="1"/>
      <c r="OI75" s="1"/>
      <c r="OJ75" s="1"/>
      <c r="OK75" s="1"/>
      <c r="OL75" s="1"/>
      <c r="OM75" s="1"/>
      <c r="ON75" s="1"/>
      <c r="OO75" s="1"/>
      <c r="OP75" s="1"/>
      <c r="OQ75" s="1"/>
      <c r="OR75" s="1"/>
      <c r="OS75" s="1"/>
      <c r="OT75" s="1"/>
      <c r="OU75" s="1"/>
      <c r="OV75" s="1"/>
      <c r="OW75" s="1"/>
      <c r="OX75" s="1"/>
      <c r="OY75" s="1"/>
      <c r="OZ75" s="1"/>
      <c r="PA75" s="1"/>
      <c r="PB75" s="1"/>
      <c r="PC75" s="1"/>
      <c r="PD75" s="1"/>
      <c r="PE75" s="1"/>
      <c r="PF75" s="1"/>
      <c r="PG75" s="1"/>
      <c r="PH75" s="1"/>
      <c r="PI75" s="1"/>
      <c r="PJ75" s="1"/>
      <c r="PK75" s="1"/>
      <c r="PL75" s="1"/>
      <c r="PM75" s="1"/>
      <c r="PN75" s="1"/>
      <c r="PO75" s="1"/>
      <c r="PP75" s="1"/>
      <c r="PQ75" s="1"/>
      <c r="PR75" s="1"/>
      <c r="PS75" s="1"/>
      <c r="PT75" s="1"/>
      <c r="PU75" s="1"/>
      <c r="PV75" s="1"/>
      <c r="PW75" s="1"/>
      <c r="PX75" s="1"/>
      <c r="PY75" s="1"/>
      <c r="PZ75" s="1"/>
      <c r="QA75" s="1"/>
      <c r="QB75" s="1"/>
      <c r="QC75" s="1"/>
      <c r="QD75" s="1"/>
      <c r="QE75" s="1"/>
      <c r="QF75" s="1"/>
      <c r="QG75" s="1"/>
      <c r="QH75" s="1"/>
      <c r="QI75" s="1"/>
      <c r="QJ75" s="1"/>
      <c r="QK75" s="1"/>
      <c r="QL75" s="1"/>
      <c r="QM75" s="1"/>
      <c r="QN75" s="1"/>
      <c r="QO75" s="1"/>
      <c r="QP75" s="1"/>
      <c r="QQ75" s="1"/>
      <c r="QR75" s="1"/>
      <c r="QS75" s="1"/>
      <c r="QT75" s="1"/>
      <c r="QU75" s="1"/>
      <c r="QV75" s="1"/>
      <c r="QW75" s="1"/>
      <c r="QX75" s="1"/>
      <c r="QY75" s="1"/>
      <c r="QZ75" s="1"/>
      <c r="RA75" s="1"/>
      <c r="RB75" s="1"/>
      <c r="RC75" s="1"/>
      <c r="RD75" s="1"/>
      <c r="RE75" s="1"/>
      <c r="RF75" s="1"/>
      <c r="RG75" s="1"/>
      <c r="RH75" s="1"/>
      <c r="RI75" s="1"/>
      <c r="RJ75" s="1"/>
      <c r="RK75" s="1"/>
      <c r="RL75" s="1"/>
      <c r="RM75" s="1"/>
      <c r="RN75" s="1"/>
      <c r="RO75" s="1"/>
      <c r="RP75" s="1"/>
      <c r="RQ75" s="1"/>
      <c r="RR75" s="1"/>
      <c r="RS75" s="1"/>
      <c r="RT75" s="1"/>
      <c r="RU75" s="1"/>
      <c r="RV75" s="1"/>
      <c r="RW75" s="1"/>
      <c r="RX75" s="1"/>
      <c r="RY75" s="1"/>
      <c r="RZ75" s="1"/>
      <c r="SA75" s="1"/>
      <c r="SB75" s="1"/>
      <c r="SC75" s="1"/>
      <c r="SD75" s="1"/>
      <c r="SE75" s="1"/>
      <c r="SF75" s="1"/>
      <c r="SG75" s="1"/>
      <c r="SH75" s="1"/>
      <c r="SI75" s="1"/>
      <c r="SJ75" s="1"/>
      <c r="SK75" s="1"/>
      <c r="SL75" s="1"/>
      <c r="SM75" s="1"/>
      <c r="SN75" s="1"/>
      <c r="SO75" s="1"/>
      <c r="SP75" s="1"/>
      <c r="SQ75" s="1"/>
      <c r="SR75" s="1"/>
      <c r="SS75" s="1"/>
      <c r="ST75" s="1"/>
      <c r="SU75" s="1"/>
      <c r="SV75" s="1"/>
      <c r="SW75" s="1"/>
      <c r="SX75" s="1"/>
      <c r="SY75" s="1"/>
      <c r="SZ75" s="1"/>
      <c r="TA75" s="1"/>
      <c r="TB75" s="1"/>
      <c r="TC75" s="1"/>
      <c r="TD75" s="1"/>
      <c r="TE75" s="1"/>
      <c r="TF75" s="1"/>
      <c r="TG75" s="1"/>
      <c r="TH75" s="1"/>
      <c r="TI75" s="1"/>
      <c r="TJ75" s="1"/>
      <c r="TK75" s="1"/>
      <c r="TL75" s="1"/>
      <c r="TM75" s="1"/>
      <c r="TN75" s="1"/>
      <c r="TO75" s="1"/>
      <c r="TP75" s="1"/>
      <c r="TQ75" s="1"/>
      <c r="TR75" s="1"/>
      <c r="TS75" s="1"/>
      <c r="TT75" s="1"/>
      <c r="TU75" s="1"/>
      <c r="TV75" s="1"/>
      <c r="TW75" s="1"/>
      <c r="TX75" s="1"/>
      <c r="TY75" s="1"/>
      <c r="TZ75" s="1"/>
      <c r="UA75" s="1"/>
      <c r="UB75" s="1"/>
      <c r="UC75" s="1"/>
      <c r="UD75" s="1"/>
      <c r="UE75" s="1"/>
      <c r="UF75" s="1"/>
      <c r="UG75" s="1"/>
      <c r="UH75" s="1"/>
      <c r="UI75" s="1"/>
      <c r="UJ75" s="1"/>
      <c r="UK75" s="1"/>
      <c r="UL75" s="1"/>
      <c r="UM75" s="1"/>
      <c r="UN75" s="1"/>
      <c r="UO75" s="1"/>
      <c r="UP75" s="1"/>
      <c r="UQ75" s="1"/>
      <c r="UR75" s="1"/>
      <c r="US75" s="1"/>
      <c r="UT75" s="1"/>
      <c r="UU75" s="1"/>
      <c r="UV75" s="1"/>
      <c r="UW75" s="1"/>
      <c r="UX75" s="1"/>
      <c r="UY75" s="1"/>
      <c r="UZ75" s="1"/>
      <c r="VA75" s="1"/>
      <c r="VB75" s="1"/>
      <c r="VC75" s="1"/>
      <c r="VD75" s="1"/>
      <c r="VE75" s="1"/>
      <c r="VF75" s="1"/>
      <c r="VG75" s="1"/>
      <c r="VH75" s="1"/>
      <c r="VI75" s="1"/>
      <c r="VJ75" s="1"/>
      <c r="VK75" s="1"/>
      <c r="VL75" s="1"/>
      <c r="VM75" s="1"/>
      <c r="VN75" s="1"/>
      <c r="VO75" s="1"/>
      <c r="VP75" s="1"/>
      <c r="VQ75" s="1"/>
      <c r="VR75" s="1"/>
      <c r="VS75" s="1"/>
      <c r="VT75" s="1"/>
      <c r="VU75" s="1"/>
      <c r="VV75" s="1"/>
      <c r="VW75" s="1"/>
      <c r="VX75" s="1"/>
      <c r="VY75" s="1"/>
      <c r="VZ75" s="1"/>
      <c r="WA75" s="1"/>
      <c r="WB75" s="1"/>
      <c r="WC75" s="1"/>
      <c r="WD75" s="1"/>
      <c r="WE75" s="1"/>
      <c r="WF75" s="1"/>
      <c r="WG75" s="1"/>
      <c r="WH75" s="1"/>
      <c r="WI75" s="1"/>
      <c r="WJ75" s="1"/>
      <c r="WK75" s="1"/>
      <c r="WL75" s="1"/>
      <c r="WM75" s="1"/>
      <c r="WN75" s="1"/>
      <c r="WO75" s="1"/>
      <c r="WP75" s="1"/>
      <c r="WQ75" s="1"/>
      <c r="WR75" s="1"/>
      <c r="WS75" s="1"/>
      <c r="WT75" s="1"/>
      <c r="WU75" s="1"/>
      <c r="WV75" s="1"/>
      <c r="WW75" s="1"/>
      <c r="WX75" s="1"/>
      <c r="WY75" s="1"/>
      <c r="WZ75" s="1"/>
      <c r="XA75" s="1"/>
      <c r="XB75" s="1"/>
      <c r="XC75" s="1"/>
      <c r="XD75" s="1"/>
      <c r="XE75" s="1"/>
      <c r="XF75" s="1"/>
      <c r="XG75" s="1"/>
      <c r="XH75" s="1"/>
      <c r="XI75" s="1"/>
      <c r="XJ75" s="1"/>
      <c r="XK75" s="1"/>
      <c r="XL75" s="1"/>
      <c r="XM75" s="1"/>
      <c r="XN75" s="1"/>
      <c r="XO75" s="1"/>
      <c r="XP75" s="1"/>
      <c r="XQ75" s="1"/>
      <c r="XR75" s="1"/>
      <c r="XS75" s="1"/>
      <c r="XT75" s="1"/>
      <c r="XU75" s="1"/>
      <c r="XV75" s="1"/>
      <c r="XW75" s="1"/>
      <c r="XX75" s="1"/>
      <c r="XY75" s="1"/>
      <c r="XZ75" s="1"/>
      <c r="YA75" s="1"/>
      <c r="YB75" s="1"/>
      <c r="YC75" s="1"/>
      <c r="YD75" s="1"/>
      <c r="YE75" s="1"/>
      <c r="YF75" s="1"/>
      <c r="YG75" s="1"/>
      <c r="YH75" s="1"/>
      <c r="YI75" s="1"/>
      <c r="YJ75" s="1"/>
      <c r="YK75" s="1"/>
      <c r="YL75" s="1"/>
      <c r="YM75" s="1"/>
      <c r="YN75" s="1"/>
      <c r="YO75" s="1"/>
      <c r="YP75" s="1"/>
      <c r="YQ75" s="1"/>
      <c r="YR75" s="1"/>
      <c r="YS75" s="1"/>
      <c r="YT75" s="1"/>
      <c r="YU75" s="1"/>
      <c r="YV75" s="1"/>
      <c r="YW75" s="1"/>
      <c r="YX75" s="1"/>
      <c r="YY75" s="1"/>
      <c r="YZ75" s="1"/>
      <c r="ZA75" s="1"/>
      <c r="ZB75" s="1"/>
      <c r="ZC75" s="1"/>
      <c r="ZD75" s="1"/>
      <c r="ZE75" s="1"/>
      <c r="ZF75" s="1"/>
      <c r="ZG75" s="1"/>
      <c r="ZH75" s="1"/>
      <c r="ZI75" s="1"/>
      <c r="ZJ75" s="1"/>
      <c r="ZK75" s="1"/>
      <c r="ZL75" s="1"/>
      <c r="ZM75" s="1"/>
      <c r="ZN75" s="1"/>
      <c r="ZO75" s="1"/>
      <c r="ZP75" s="1"/>
      <c r="ZQ75" s="1"/>
      <c r="ZR75" s="1"/>
      <c r="ZS75" s="1"/>
      <c r="ZT75" s="1"/>
      <c r="ZU75" s="1"/>
      <c r="ZV75" s="1"/>
      <c r="ZW75" s="1"/>
      <c r="ZX75" s="1"/>
      <c r="ZY75" s="1"/>
      <c r="ZZ75" s="1"/>
      <c r="AAA75" s="1"/>
      <c r="AAB75" s="1"/>
      <c r="AAC75" s="1"/>
      <c r="AAD75" s="1"/>
      <c r="AAE75" s="1"/>
      <c r="AAF75" s="1"/>
      <c r="AAG75" s="1"/>
      <c r="AAH75" s="1"/>
      <c r="AAI75" s="1"/>
      <c r="AAJ75" s="1"/>
      <c r="AAK75" s="1"/>
      <c r="AAL75" s="1"/>
      <c r="AAM75" s="1"/>
      <c r="AAN75" s="1"/>
      <c r="AAO75" s="1"/>
      <c r="AAP75" s="1"/>
      <c r="AAQ75" s="1"/>
      <c r="AAR75" s="1"/>
      <c r="AAS75" s="1"/>
      <c r="AAT75" s="1"/>
      <c r="AAU75" s="1"/>
      <c r="AAV75" s="1"/>
      <c r="AAW75" s="1"/>
      <c r="AAX75" s="1"/>
      <c r="AAY75" s="1"/>
      <c r="AAZ75" s="1"/>
      <c r="ABA75" s="1"/>
      <c r="ABB75" s="1"/>
      <c r="ABC75" s="1"/>
      <c r="ABD75" s="1"/>
      <c r="ABE75" s="1"/>
      <c r="ABF75" s="1"/>
      <c r="ABG75" s="1"/>
      <c r="ABH75" s="1"/>
      <c r="ABI75" s="1"/>
      <c r="ABJ75" s="1"/>
      <c r="ABK75" s="1"/>
      <c r="ABL75" s="1"/>
      <c r="ABM75" s="1"/>
      <c r="ABN75" s="1"/>
      <c r="ABO75" s="1"/>
      <c r="ABP75" s="1"/>
      <c r="ABQ75" s="1"/>
      <c r="ABR75" s="1"/>
      <c r="ABS75" s="1"/>
      <c r="ABT75" s="1"/>
      <c r="ABU75" s="1"/>
      <c r="ABV75" s="1"/>
      <c r="ABW75" s="1"/>
      <c r="ABX75" s="1"/>
      <c r="ABY75" s="1"/>
      <c r="ABZ75" s="1"/>
      <c r="ACA75" s="1"/>
      <c r="ACB75" s="1"/>
      <c r="ACC75" s="1"/>
      <c r="ACD75" s="1"/>
      <c r="ACE75" s="1"/>
      <c r="ACF75" s="1"/>
      <c r="ACG75" s="1"/>
      <c r="ACH75" s="1"/>
      <c r="ACI75" s="1"/>
      <c r="ACJ75" s="1"/>
      <c r="ACK75" s="1"/>
      <c r="ACL75" s="1"/>
      <c r="ACM75" s="1"/>
      <c r="ACN75" s="1"/>
      <c r="ACO75" s="1"/>
      <c r="ACP75" s="1"/>
      <c r="ACQ75" s="1"/>
      <c r="ACR75" s="1"/>
      <c r="ACS75" s="1"/>
      <c r="ACT75" s="1"/>
      <c r="ACU75" s="1"/>
      <c r="ACV75" s="1"/>
      <c r="ACW75" s="1"/>
      <c r="ACX75" s="1"/>
      <c r="ACY75" s="1"/>
      <c r="ACZ75" s="1"/>
      <c r="ADA75" s="1"/>
      <c r="ADB75" s="1"/>
      <c r="ADC75" s="1"/>
      <c r="ADD75" s="1"/>
      <c r="ADE75" s="1"/>
      <c r="ADF75" s="1"/>
      <c r="ADG75" s="1"/>
      <c r="ADH75" s="1"/>
      <c r="ADI75" s="1"/>
      <c r="ADJ75" s="1"/>
      <c r="ADK75" s="1"/>
      <c r="ADL75" s="1"/>
      <c r="ADM75" s="1"/>
      <c r="ADN75" s="1"/>
      <c r="ADO75" s="1"/>
      <c r="ADP75" s="1"/>
      <c r="ADQ75" s="1"/>
      <c r="ADR75" s="1"/>
      <c r="ADS75" s="1"/>
      <c r="ADT75" s="1"/>
      <c r="ADU75" s="1"/>
      <c r="ADV75" s="1"/>
      <c r="ADW75" s="1"/>
      <c r="ADX75" s="1"/>
      <c r="ADY75" s="1"/>
      <c r="ADZ75" s="1"/>
      <c r="AEA75" s="1"/>
      <c r="AEB75" s="1"/>
      <c r="AEC75" s="1"/>
      <c r="AED75" s="1"/>
      <c r="AEE75" s="1"/>
      <c r="AEF75" s="1"/>
      <c r="AEG75" s="1"/>
      <c r="AEH75" s="1"/>
      <c r="AEI75" s="1"/>
      <c r="AEJ75" s="1"/>
      <c r="AEK75" s="1"/>
      <c r="AEL75" s="1"/>
      <c r="AEM75" s="1"/>
      <c r="AEN75" s="1"/>
      <c r="AEO75" s="1"/>
      <c r="AEP75" s="1"/>
      <c r="AEQ75" s="1"/>
      <c r="AER75" s="1"/>
      <c r="AES75" s="1"/>
      <c r="AET75" s="1"/>
      <c r="AEU75" s="1"/>
      <c r="AEV75" s="1"/>
      <c r="AEW75" s="1"/>
      <c r="AEX75" s="1"/>
      <c r="AEY75" s="1"/>
      <c r="AEZ75" s="1"/>
      <c r="AFA75" s="1"/>
      <c r="AFB75" s="1"/>
      <c r="AFC75" s="1"/>
      <c r="AFD75" s="1"/>
      <c r="AFE75" s="1"/>
      <c r="AFF75" s="1"/>
      <c r="AFG75" s="1"/>
      <c r="AFH75" s="1"/>
      <c r="AFI75" s="1"/>
      <c r="AFJ75" s="1"/>
      <c r="AFK75" s="1"/>
      <c r="AFL75" s="1"/>
      <c r="AFM75" s="1"/>
      <c r="AFN75" s="1"/>
      <c r="AFO75" s="1"/>
      <c r="AFP75" s="1"/>
      <c r="AFQ75" s="1"/>
      <c r="AFR75" s="1"/>
      <c r="AFS75" s="1"/>
      <c r="AFT75" s="1"/>
      <c r="AFU75" s="1"/>
      <c r="AFV75" s="1"/>
      <c r="AFW75" s="1"/>
      <c r="AFX75" s="1"/>
      <c r="AFY75" s="1"/>
      <c r="AFZ75" s="1"/>
      <c r="AGA75" s="1"/>
      <c r="AGB75" s="1"/>
      <c r="AGC75" s="1"/>
      <c r="AGD75" s="1"/>
      <c r="AGE75" s="1"/>
      <c r="AGF75" s="1"/>
      <c r="AGG75" s="1"/>
      <c r="AGH75" s="1"/>
      <c r="AGI75" s="1"/>
      <c r="AGJ75" s="1"/>
      <c r="AGK75" s="1"/>
      <c r="AGL75" s="1"/>
      <c r="AGM75" s="1"/>
      <c r="AGN75" s="1"/>
      <c r="AGO75" s="1"/>
      <c r="AGP75" s="1"/>
      <c r="AGQ75" s="1"/>
      <c r="AGR75" s="1"/>
      <c r="AGS75" s="1"/>
      <c r="AGT75" s="1"/>
      <c r="AGU75" s="1"/>
      <c r="AGV75" s="1"/>
      <c r="AGW75" s="1"/>
      <c r="AGX75" s="1"/>
      <c r="AGY75" s="1"/>
      <c r="AGZ75" s="1"/>
      <c r="AHA75" s="1"/>
      <c r="AHB75" s="1"/>
      <c r="AHC75" s="1"/>
      <c r="AHD75" s="1"/>
      <c r="AHE75" s="1"/>
      <c r="AHF75" s="1"/>
      <c r="AHG75" s="1"/>
      <c r="AHH75" s="1"/>
      <c r="AHI75" s="1"/>
      <c r="AHJ75" s="1"/>
      <c r="AHK75" s="1"/>
      <c r="AHL75" s="1"/>
      <c r="AHM75" s="1"/>
      <c r="AHN75" s="1"/>
      <c r="AHO75" s="1"/>
      <c r="AHP75" s="1"/>
      <c r="AHQ75" s="1"/>
      <c r="AHR75" s="1"/>
      <c r="AHS75" s="1"/>
      <c r="AHT75" s="1"/>
      <c r="AHU75" s="1"/>
      <c r="AHV75" s="1"/>
      <c r="AHW75" s="1"/>
      <c r="AHX75" s="1"/>
      <c r="AHY75" s="1"/>
      <c r="AHZ75" s="1"/>
      <c r="AIA75" s="1"/>
      <c r="AIB75" s="1"/>
      <c r="AIC75" s="1"/>
      <c r="AID75" s="1"/>
      <c r="AIE75" s="1"/>
      <c r="AIF75" s="1"/>
      <c r="AIG75" s="1"/>
      <c r="AIH75" s="1"/>
      <c r="AII75" s="1"/>
      <c r="AIJ75" s="1"/>
      <c r="AIK75" s="1"/>
      <c r="AIL75" s="1"/>
      <c r="AIM75" s="1"/>
      <c r="AIN75" s="1"/>
      <c r="AIO75" s="1"/>
      <c r="AIP75" s="1"/>
      <c r="AIQ75" s="1"/>
      <c r="AIR75" s="1"/>
      <c r="AIS75" s="1"/>
      <c r="AIT75" s="1"/>
      <c r="AIU75" s="1"/>
      <c r="AIV75" s="1"/>
      <c r="AIW75" s="1"/>
      <c r="AIX75" s="1"/>
      <c r="AIY75" s="1"/>
      <c r="AIZ75" s="1"/>
      <c r="AJA75" s="1"/>
      <c r="AJB75" s="1"/>
      <c r="AJC75" s="1"/>
      <c r="AJD75" s="1"/>
      <c r="AJE75" s="1"/>
      <c r="AJF75" s="1"/>
      <c r="AJG75" s="1"/>
      <c r="AJH75" s="1"/>
      <c r="AJI75" s="1"/>
      <c r="AJJ75" s="1"/>
      <c r="AJK75" s="1"/>
      <c r="AJL75" s="1"/>
      <c r="AJM75" s="1"/>
      <c r="AJN75" s="1"/>
      <c r="AJO75" s="1"/>
      <c r="AJP75" s="1"/>
      <c r="AJQ75" s="1"/>
      <c r="AJR75" s="1"/>
      <c r="AJS75" s="1"/>
      <c r="AJT75" s="1"/>
      <c r="AJU75" s="1"/>
      <c r="AJV75" s="1"/>
      <c r="AJW75" s="1"/>
      <c r="AJX75" s="1"/>
      <c r="AJY75" s="1"/>
      <c r="AJZ75" s="1"/>
      <c r="AKA75" s="1"/>
      <c r="AKB75" s="1"/>
      <c r="AKC75" s="1"/>
      <c r="AKD75" s="1"/>
      <c r="AKE75" s="1"/>
      <c r="AKF75" s="1"/>
      <c r="AKG75" s="1"/>
      <c r="AKH75" s="1"/>
      <c r="AKI75" s="1"/>
      <c r="AKJ75" s="1"/>
      <c r="AKK75" s="1"/>
      <c r="AKL75" s="1"/>
      <c r="AKM75" s="1"/>
      <c r="AKN75" s="1"/>
      <c r="AKO75" s="1"/>
      <c r="AKP75" s="1"/>
      <c r="AKQ75" s="1"/>
      <c r="AKR75" s="1"/>
      <c r="AKS75" s="1"/>
      <c r="AKT75" s="1"/>
      <c r="AKU75" s="1"/>
      <c r="AKV75" s="1"/>
      <c r="AKW75" s="1"/>
      <c r="AKX75" s="1"/>
      <c r="AKY75" s="1"/>
      <c r="AKZ75" s="1"/>
      <c r="ALA75" s="1"/>
      <c r="ALB75" s="1"/>
      <c r="ALC75" s="1"/>
      <c r="ALD75" s="1"/>
      <c r="ALE75" s="1"/>
      <c r="ALF75" s="1"/>
      <c r="ALG75" s="1"/>
      <c r="ALH75" s="1"/>
      <c r="ALI75" s="1"/>
      <c r="ALJ75" s="1"/>
      <c r="ALK75" s="1"/>
      <c r="ALL75" s="1"/>
      <c r="ALM75" s="1"/>
      <c r="ALN75" s="1"/>
      <c r="ALO75" s="1"/>
      <c r="ALP75" s="1"/>
      <c r="ALQ75" s="1"/>
      <c r="ALR75" s="1"/>
      <c r="ALS75" s="1"/>
      <c r="ALT75" s="1"/>
      <c r="ALU75" s="1"/>
      <c r="ALV75" s="1"/>
      <c r="ALW75" s="1"/>
      <c r="ALX75" s="1"/>
      <c r="ALY75" s="1"/>
      <c r="ALZ75" s="1"/>
      <c r="AMA75" s="1"/>
      <c r="AMB75" s="1"/>
      <c r="AMC75" s="1"/>
      <c r="AMD75" s="1"/>
      <c r="AME75" s="1"/>
      <c r="AMF75" s="1"/>
      <c r="AMG75" s="1"/>
      <c r="AMH75" s="1"/>
      <c r="AMI75" s="1"/>
      <c r="AMJ75" s="1"/>
      <c r="AMK75" s="1"/>
      <c r="AML75" s="1"/>
      <c r="AMM75" s="1"/>
      <c r="AMN75" s="1"/>
    </row>
    <row r="76" spans="1:1028" x14ac:dyDescent="0.2">
      <c r="A76" s="3" t="str">
        <f t="shared" si="222"/>
        <v>adrb2_human_5JQH</v>
      </c>
      <c r="B76" s="3" t="s">
        <v>126</v>
      </c>
      <c r="C76" s="3" t="s">
        <v>1350</v>
      </c>
      <c r="D76" s="3" t="str">
        <f>IFERROR(MID(VLOOKUP($B76,Seqs!$A:$B,2,0),E76,1),"")</f>
        <v>D</v>
      </c>
      <c r="E76" s="3">
        <v>23</v>
      </c>
      <c r="F76" s="3" t="str">
        <f>IFERROR(MID(VLOOKUP($B76,Seqs!$A:$B,2,0),G76,1),"")</f>
        <v>F</v>
      </c>
      <c r="G76" s="3">
        <v>61</v>
      </c>
      <c r="H76" s="3" t="str">
        <f>IFERROR(MID(VLOOKUP($B76,Seqs!$A:$B,2,0),I76,1),"")</f>
        <v>E</v>
      </c>
      <c r="I76" s="23">
        <v>62</v>
      </c>
      <c r="J76" s="3" t="str">
        <f>IFERROR(MID(VLOOKUP($B76,Seqs!$A:$B,2,0),K76,1),"")</f>
        <v>Q</v>
      </c>
      <c r="K76" s="23">
        <v>65</v>
      </c>
      <c r="L76" s="3" t="str">
        <f>IFERROR(MID(VLOOKUP($B76,Seqs!$A:$B,2,0),M76,1),"")</f>
        <v>T</v>
      </c>
      <c r="M76" s="3">
        <v>66</v>
      </c>
      <c r="N76" s="3" t="str">
        <f>IFERROR(MID(VLOOKUP($B76,Seqs!$A:$B,2,0),O76,1),"")</f>
        <v>M</v>
      </c>
      <c r="O76" s="3">
        <v>96</v>
      </c>
      <c r="P76" s="3" t="str">
        <f>IFERROR(MID(VLOOKUP($B76,Seqs!$A:$B,2,0),Q76,1),"")</f>
        <v>M</v>
      </c>
      <c r="Q76" s="3">
        <v>98</v>
      </c>
      <c r="R76" s="3" t="str">
        <f>IFERROR(MID(VLOOKUP($B76,Seqs!$A:$B,2,0),S76,1),"")</f>
        <v>F</v>
      </c>
      <c r="S76" s="3">
        <v>101</v>
      </c>
      <c r="T76" s="3" t="str">
        <f>IFERROR(MID(VLOOKUP($B76,Seqs!$A:$B,2,0),U76,1),"")</f>
        <v>G</v>
      </c>
      <c r="U76" s="3">
        <v>102</v>
      </c>
      <c r="V76" s="3" t="str">
        <f>IFERROR(MID(VLOOKUP($B76,Seqs!$A:$B,2,0),W76,1),"")</f>
        <v>S</v>
      </c>
      <c r="W76" s="3">
        <v>137</v>
      </c>
      <c r="X76" s="3" t="str">
        <f>IFERROR(MID(VLOOKUP($B76,Seqs!$A:$B,2,0),Y76,1),"")</f>
        <v/>
      </c>
      <c r="Y76" s="3" t="s">
        <v>23</v>
      </c>
      <c r="Z76" s="3" t="str">
        <f>IFERROR(MID(VLOOKUP($B76,Seqs!$A:$B,2,0),AA76,1),"")</f>
        <v/>
      </c>
      <c r="AA76" s="3" t="s">
        <v>23</v>
      </c>
      <c r="AB76" s="3" t="str">
        <f>IFERROR(MID(VLOOKUP($B76,Seqs!$A:$B,2,0),AC76,1),"")</f>
        <v>T</v>
      </c>
      <c r="AC76" s="9">
        <v>146</v>
      </c>
      <c r="AD76" s="3" t="str">
        <f>IFERROR(MID(VLOOKUP($B76,Seqs!$A:$B,2,0),AE76,1),"")</f>
        <v>H</v>
      </c>
      <c r="AE76" s="3">
        <v>172</v>
      </c>
      <c r="AF76" s="3" t="str">
        <f>IFERROR(MID(VLOOKUP($B76,Seqs!$A:$B,2,0),AG76,1),"")</f>
        <v>C</v>
      </c>
      <c r="AG76" s="3">
        <v>191</v>
      </c>
      <c r="AH76" s="3" t="str">
        <f>IFERROR(MID(VLOOKUP($B76,Seqs!$A:$B,2,0),AI76,1),"")</f>
        <v>F</v>
      </c>
      <c r="AI76" s="3">
        <v>193</v>
      </c>
      <c r="AJ76" s="3" t="str">
        <f>IFERROR(MID(VLOOKUP($B76,Seqs!$A:$B,2,0),AK76,1),"")</f>
        <v>N</v>
      </c>
      <c r="AK76" s="3">
        <v>196</v>
      </c>
      <c r="AL76" s="3" t="str">
        <f>IFERROR(MID(VLOOKUP($B76,Seqs!$A:$B,2,0),AM76,1),"")</f>
        <v>L</v>
      </c>
      <c r="AM76" s="3">
        <v>230</v>
      </c>
      <c r="AN76" s="3" t="str">
        <f>IFERROR(MID(VLOOKUP($B76,Seqs!$A:$B,2,0),AO76,1),"")</f>
        <v>A</v>
      </c>
      <c r="AO76" s="3">
        <v>271</v>
      </c>
      <c r="AP76" s="3" t="str">
        <f>IFERROR(MID(VLOOKUP($B76,Seqs!$A:$B,2,0),AQ76,1),"")</f>
        <v>Q</v>
      </c>
      <c r="AQ76" s="3">
        <v>299</v>
      </c>
      <c r="AR76" s="3" t="str">
        <f>IFERROR(MID(VLOOKUP($B76,Seqs!$A:$B,2,0),AS76,1),"")</f>
        <v>R</v>
      </c>
      <c r="AS76" s="3">
        <v>304</v>
      </c>
      <c r="AT76" s="3" t="str">
        <f>IFERROR(MID(VLOOKUP($B76,Seqs!$A:$B,2,0),AU76,1),"")</f>
        <v>R</v>
      </c>
      <c r="AU76" s="3">
        <v>328</v>
      </c>
      <c r="AV76" s="3" t="str">
        <f>IFERROR(MID(VLOOKUP($B76,Seqs!$A:$B,2,0),AW76,1),"")</f>
        <v>S</v>
      </c>
      <c r="AW76" s="3">
        <v>329</v>
      </c>
      <c r="AX76" s="3" t="str">
        <f>IFERROR(MID(VLOOKUP($B76,Seqs!$A:$B,2,0),AY76,1),"")</f>
        <v>C</v>
      </c>
      <c r="AY76" s="3">
        <v>341</v>
      </c>
      <c r="AZ76" s="79" t="str">
        <f>VLOOKUP(B76,Classification!A:D,2,0)</f>
        <v>A</v>
      </c>
      <c r="BA76" s="97" t="str">
        <f>VLOOKUP(B76,Classification!A:D,4,0)</f>
        <v>Adrenoceptors</v>
      </c>
      <c r="BB76" s="27" t="b">
        <f t="shared" si="223"/>
        <v>1</v>
      </c>
      <c r="BC76" s="23">
        <f t="shared" si="196"/>
        <v>247</v>
      </c>
      <c r="BD76" s="16" t="s">
        <v>1383</v>
      </c>
      <c r="BE76" s="3" t="s">
        <v>1381</v>
      </c>
      <c r="BF76" s="50" t="s">
        <v>1287</v>
      </c>
      <c r="BG76" s="50" t="s">
        <v>1384</v>
      </c>
      <c r="BH76" s="1"/>
      <c r="BI76" s="72" t="s">
        <v>1293</v>
      </c>
      <c r="BJ76" s="58" t="s">
        <v>1293</v>
      </c>
      <c r="BK76" s="58" t="s">
        <v>1293</v>
      </c>
      <c r="BL76" s="58" t="s">
        <v>1293</v>
      </c>
      <c r="BM76" s="58" t="s">
        <v>1293</v>
      </c>
      <c r="BN76" s="58" t="s">
        <v>1293</v>
      </c>
      <c r="BO76" s="58" t="s">
        <v>1293</v>
      </c>
      <c r="BP76" s="58" t="s">
        <v>1293</v>
      </c>
      <c r="BQ76" s="58" t="s">
        <v>1293</v>
      </c>
      <c r="BR76" s="58" t="s">
        <v>1293</v>
      </c>
      <c r="BS76" s="58" t="s">
        <v>1293</v>
      </c>
      <c r="BT76" s="58" t="s">
        <v>1293</v>
      </c>
      <c r="BU76" s="72">
        <f t="shared" si="197"/>
        <v>23</v>
      </c>
      <c r="BV76" s="73">
        <f t="shared" si="198"/>
        <v>62</v>
      </c>
      <c r="BW76" s="74">
        <f t="shared" si="199"/>
        <v>66</v>
      </c>
      <c r="BX76" s="73">
        <f t="shared" si="200"/>
        <v>98</v>
      </c>
      <c r="BY76" s="74">
        <f t="shared" si="201"/>
        <v>102</v>
      </c>
      <c r="BZ76" s="73" t="str">
        <f t="shared" si="202"/>
        <v>-</v>
      </c>
      <c r="CA76" s="74">
        <f t="shared" si="203"/>
        <v>146</v>
      </c>
      <c r="CB76" s="73">
        <f t="shared" si="204"/>
        <v>191</v>
      </c>
      <c r="CC76" s="74">
        <f t="shared" si="205"/>
        <v>196</v>
      </c>
      <c r="CD76" s="73">
        <f t="shared" si="206"/>
        <v>271</v>
      </c>
      <c r="CE76" s="74">
        <f t="shared" si="207"/>
        <v>304</v>
      </c>
      <c r="CF76" s="73">
        <f t="shared" si="208"/>
        <v>329</v>
      </c>
      <c r="CG76" s="72">
        <f t="shared" si="209"/>
        <v>61</v>
      </c>
      <c r="CH76" s="73">
        <f t="shared" si="210"/>
        <v>65</v>
      </c>
      <c r="CI76" s="74">
        <f t="shared" si="211"/>
        <v>96</v>
      </c>
      <c r="CJ76" s="74">
        <f t="shared" si="212"/>
        <v>101</v>
      </c>
      <c r="CK76" s="74">
        <f t="shared" si="213"/>
        <v>137</v>
      </c>
      <c r="CL76" s="74" t="str">
        <f t="shared" si="214"/>
        <v>-</v>
      </c>
      <c r="CM76" s="74">
        <f t="shared" si="215"/>
        <v>172</v>
      </c>
      <c r="CN76" s="74">
        <f t="shared" si="216"/>
        <v>193</v>
      </c>
      <c r="CO76" s="74">
        <f t="shared" si="217"/>
        <v>230</v>
      </c>
      <c r="CP76" s="74">
        <f t="shared" si="218"/>
        <v>299</v>
      </c>
      <c r="CQ76" s="74">
        <f t="shared" si="219"/>
        <v>328</v>
      </c>
      <c r="CR76" s="74">
        <f t="shared" si="220"/>
        <v>341</v>
      </c>
      <c r="CS76" s="23">
        <f t="shared" si="221"/>
        <v>1</v>
      </c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  <c r="LI76" s="1"/>
      <c r="LJ76" s="1"/>
      <c r="LK76" s="1"/>
      <c r="LL76" s="1"/>
      <c r="LM76" s="1"/>
      <c r="LN76" s="1"/>
      <c r="LO76" s="1"/>
      <c r="LP76" s="1"/>
      <c r="LQ76" s="1"/>
      <c r="LR76" s="1"/>
      <c r="LS76" s="1"/>
      <c r="LT76" s="1"/>
      <c r="LU76" s="1"/>
      <c r="LV76" s="1"/>
      <c r="LW76" s="1"/>
      <c r="LX76" s="1"/>
      <c r="LY76" s="1"/>
      <c r="LZ76" s="1"/>
      <c r="MA76" s="1"/>
      <c r="MB76" s="1"/>
      <c r="MC76" s="1"/>
      <c r="MD76" s="1"/>
      <c r="ME76" s="1"/>
      <c r="MF76" s="1"/>
      <c r="MG76" s="1"/>
      <c r="MH76" s="1"/>
      <c r="MI76" s="1"/>
      <c r="MJ76" s="1"/>
      <c r="MK76" s="1"/>
      <c r="ML76" s="1"/>
      <c r="MM76" s="1"/>
      <c r="MN76" s="1"/>
      <c r="MO76" s="1"/>
      <c r="MP76" s="1"/>
      <c r="MQ76" s="1"/>
      <c r="MR76" s="1"/>
      <c r="MS76" s="1"/>
      <c r="MT76" s="1"/>
      <c r="MU76" s="1"/>
      <c r="MV76" s="1"/>
      <c r="MW76" s="1"/>
      <c r="MX76" s="1"/>
      <c r="MY76" s="1"/>
      <c r="MZ76" s="1"/>
      <c r="NA76" s="1"/>
      <c r="NB76" s="1"/>
      <c r="NC76" s="1"/>
      <c r="ND76" s="1"/>
      <c r="NE76" s="1"/>
      <c r="NF76" s="1"/>
      <c r="NG76" s="1"/>
      <c r="NH76" s="1"/>
      <c r="NI76" s="1"/>
      <c r="NJ76" s="1"/>
      <c r="NK76" s="1"/>
      <c r="NL76" s="1"/>
      <c r="NM76" s="1"/>
      <c r="NN76" s="1"/>
      <c r="NO76" s="1"/>
      <c r="NP76" s="1"/>
      <c r="NQ76" s="1"/>
      <c r="NR76" s="1"/>
      <c r="NS76" s="1"/>
      <c r="NT76" s="1"/>
      <c r="NU76" s="1"/>
      <c r="NV76" s="1"/>
      <c r="NW76" s="1"/>
      <c r="NX76" s="1"/>
      <c r="NY76" s="1"/>
      <c r="NZ76" s="1"/>
      <c r="OA76" s="1"/>
      <c r="OB76" s="1"/>
      <c r="OC76" s="1"/>
      <c r="OD76" s="1"/>
      <c r="OE76" s="1"/>
      <c r="OF76" s="1"/>
      <c r="OG76" s="1"/>
      <c r="OH76" s="1"/>
      <c r="OI76" s="1"/>
      <c r="OJ76" s="1"/>
      <c r="OK76" s="1"/>
      <c r="OL76" s="1"/>
      <c r="OM76" s="1"/>
      <c r="ON76" s="1"/>
      <c r="OO76" s="1"/>
      <c r="OP76" s="1"/>
      <c r="OQ76" s="1"/>
      <c r="OR76" s="1"/>
      <c r="OS76" s="1"/>
      <c r="OT76" s="1"/>
      <c r="OU76" s="1"/>
      <c r="OV76" s="1"/>
      <c r="OW76" s="1"/>
      <c r="OX76" s="1"/>
      <c r="OY76" s="1"/>
      <c r="OZ76" s="1"/>
      <c r="PA76" s="1"/>
      <c r="PB76" s="1"/>
      <c r="PC76" s="1"/>
      <c r="PD76" s="1"/>
      <c r="PE76" s="1"/>
      <c r="PF76" s="1"/>
      <c r="PG76" s="1"/>
      <c r="PH76" s="1"/>
      <c r="PI76" s="1"/>
      <c r="PJ76" s="1"/>
      <c r="PK76" s="1"/>
      <c r="PL76" s="1"/>
      <c r="PM76" s="1"/>
      <c r="PN76" s="1"/>
      <c r="PO76" s="1"/>
      <c r="PP76" s="1"/>
      <c r="PQ76" s="1"/>
      <c r="PR76" s="1"/>
      <c r="PS76" s="1"/>
      <c r="PT76" s="1"/>
      <c r="PU76" s="1"/>
      <c r="PV76" s="1"/>
      <c r="PW76" s="1"/>
      <c r="PX76" s="1"/>
      <c r="PY76" s="1"/>
      <c r="PZ76" s="1"/>
      <c r="QA76" s="1"/>
      <c r="QB76" s="1"/>
      <c r="QC76" s="1"/>
      <c r="QD76" s="1"/>
      <c r="QE76" s="1"/>
      <c r="QF76" s="1"/>
      <c r="QG76" s="1"/>
      <c r="QH76" s="1"/>
      <c r="QI76" s="1"/>
      <c r="QJ76" s="1"/>
      <c r="QK76" s="1"/>
      <c r="QL76" s="1"/>
      <c r="QM76" s="1"/>
      <c r="QN76" s="1"/>
      <c r="QO76" s="1"/>
      <c r="QP76" s="1"/>
      <c r="QQ76" s="1"/>
      <c r="QR76" s="1"/>
      <c r="QS76" s="1"/>
      <c r="QT76" s="1"/>
      <c r="QU76" s="1"/>
      <c r="QV76" s="1"/>
      <c r="QW76" s="1"/>
      <c r="QX76" s="1"/>
      <c r="QY76" s="1"/>
      <c r="QZ76" s="1"/>
      <c r="RA76" s="1"/>
      <c r="RB76" s="1"/>
      <c r="RC76" s="1"/>
      <c r="RD76" s="1"/>
      <c r="RE76" s="1"/>
      <c r="RF76" s="1"/>
      <c r="RG76" s="1"/>
      <c r="RH76" s="1"/>
      <c r="RI76" s="1"/>
      <c r="RJ76" s="1"/>
      <c r="RK76" s="1"/>
      <c r="RL76" s="1"/>
      <c r="RM76" s="1"/>
      <c r="RN76" s="1"/>
      <c r="RO76" s="1"/>
      <c r="RP76" s="1"/>
      <c r="RQ76" s="1"/>
      <c r="RR76" s="1"/>
      <c r="RS76" s="1"/>
      <c r="RT76" s="1"/>
      <c r="RU76" s="1"/>
      <c r="RV76" s="1"/>
      <c r="RW76" s="1"/>
      <c r="RX76" s="1"/>
      <c r="RY76" s="1"/>
      <c r="RZ76" s="1"/>
      <c r="SA76" s="1"/>
      <c r="SB76" s="1"/>
      <c r="SC76" s="1"/>
      <c r="SD76" s="1"/>
      <c r="SE76" s="1"/>
      <c r="SF76" s="1"/>
      <c r="SG76" s="1"/>
      <c r="SH76" s="1"/>
      <c r="SI76" s="1"/>
      <c r="SJ76" s="1"/>
      <c r="SK76" s="1"/>
      <c r="SL76" s="1"/>
      <c r="SM76" s="1"/>
      <c r="SN76" s="1"/>
      <c r="SO76" s="1"/>
      <c r="SP76" s="1"/>
      <c r="SQ76" s="1"/>
      <c r="SR76" s="1"/>
      <c r="SS76" s="1"/>
      <c r="ST76" s="1"/>
      <c r="SU76" s="1"/>
      <c r="SV76" s="1"/>
      <c r="SW76" s="1"/>
      <c r="SX76" s="1"/>
      <c r="SY76" s="1"/>
      <c r="SZ76" s="1"/>
      <c r="TA76" s="1"/>
      <c r="TB76" s="1"/>
      <c r="TC76" s="1"/>
      <c r="TD76" s="1"/>
      <c r="TE76" s="1"/>
      <c r="TF76" s="1"/>
      <c r="TG76" s="1"/>
      <c r="TH76" s="1"/>
      <c r="TI76" s="1"/>
      <c r="TJ76" s="1"/>
      <c r="TK76" s="1"/>
      <c r="TL76" s="1"/>
      <c r="TM76" s="1"/>
      <c r="TN76" s="1"/>
      <c r="TO76" s="1"/>
      <c r="TP76" s="1"/>
      <c r="TQ76" s="1"/>
      <c r="TR76" s="1"/>
      <c r="TS76" s="1"/>
      <c r="TT76" s="1"/>
      <c r="TU76" s="1"/>
      <c r="TV76" s="1"/>
      <c r="TW76" s="1"/>
      <c r="TX76" s="1"/>
      <c r="TY76" s="1"/>
      <c r="TZ76" s="1"/>
      <c r="UA76" s="1"/>
      <c r="UB76" s="1"/>
      <c r="UC76" s="1"/>
      <c r="UD76" s="1"/>
      <c r="UE76" s="1"/>
      <c r="UF76" s="1"/>
      <c r="UG76" s="1"/>
      <c r="UH76" s="1"/>
      <c r="UI76" s="1"/>
      <c r="UJ76" s="1"/>
      <c r="UK76" s="1"/>
      <c r="UL76" s="1"/>
      <c r="UM76" s="1"/>
      <c r="UN76" s="1"/>
      <c r="UO76" s="1"/>
      <c r="UP76" s="1"/>
      <c r="UQ76" s="1"/>
      <c r="UR76" s="1"/>
      <c r="US76" s="1"/>
      <c r="UT76" s="1"/>
      <c r="UU76" s="1"/>
      <c r="UV76" s="1"/>
      <c r="UW76" s="1"/>
      <c r="UX76" s="1"/>
      <c r="UY76" s="1"/>
      <c r="UZ76" s="1"/>
      <c r="VA76" s="1"/>
      <c r="VB76" s="1"/>
      <c r="VC76" s="1"/>
      <c r="VD76" s="1"/>
      <c r="VE76" s="1"/>
      <c r="VF76" s="1"/>
      <c r="VG76" s="1"/>
      <c r="VH76" s="1"/>
      <c r="VI76" s="1"/>
      <c r="VJ76" s="1"/>
      <c r="VK76" s="1"/>
      <c r="VL76" s="1"/>
      <c r="VM76" s="1"/>
      <c r="VN76" s="1"/>
      <c r="VO76" s="1"/>
      <c r="VP76" s="1"/>
      <c r="VQ76" s="1"/>
      <c r="VR76" s="1"/>
      <c r="VS76" s="1"/>
      <c r="VT76" s="1"/>
      <c r="VU76" s="1"/>
      <c r="VV76" s="1"/>
      <c r="VW76" s="1"/>
      <c r="VX76" s="1"/>
      <c r="VY76" s="1"/>
      <c r="VZ76" s="1"/>
      <c r="WA76" s="1"/>
      <c r="WB76" s="1"/>
      <c r="WC76" s="1"/>
      <c r="WD76" s="1"/>
      <c r="WE76" s="1"/>
      <c r="WF76" s="1"/>
      <c r="WG76" s="1"/>
      <c r="WH76" s="1"/>
      <c r="WI76" s="1"/>
      <c r="WJ76" s="1"/>
      <c r="WK76" s="1"/>
      <c r="WL76" s="1"/>
      <c r="WM76" s="1"/>
      <c r="WN76" s="1"/>
      <c r="WO76" s="1"/>
      <c r="WP76" s="1"/>
      <c r="WQ76" s="1"/>
      <c r="WR76" s="1"/>
      <c r="WS76" s="1"/>
      <c r="WT76" s="1"/>
      <c r="WU76" s="1"/>
      <c r="WV76" s="1"/>
      <c r="WW76" s="1"/>
      <c r="WX76" s="1"/>
      <c r="WY76" s="1"/>
      <c r="WZ76" s="1"/>
      <c r="XA76" s="1"/>
      <c r="XB76" s="1"/>
      <c r="XC76" s="1"/>
      <c r="XD76" s="1"/>
      <c r="XE76" s="1"/>
      <c r="XF76" s="1"/>
      <c r="XG76" s="1"/>
      <c r="XH76" s="1"/>
      <c r="XI76" s="1"/>
      <c r="XJ76" s="1"/>
      <c r="XK76" s="1"/>
      <c r="XL76" s="1"/>
      <c r="XM76" s="1"/>
      <c r="XN76" s="1"/>
      <c r="XO76" s="1"/>
      <c r="XP76" s="1"/>
      <c r="XQ76" s="1"/>
      <c r="XR76" s="1"/>
      <c r="XS76" s="1"/>
      <c r="XT76" s="1"/>
      <c r="XU76" s="1"/>
      <c r="XV76" s="1"/>
      <c r="XW76" s="1"/>
      <c r="XX76" s="1"/>
      <c r="XY76" s="1"/>
      <c r="XZ76" s="1"/>
      <c r="YA76" s="1"/>
      <c r="YB76" s="1"/>
      <c r="YC76" s="1"/>
      <c r="YD76" s="1"/>
      <c r="YE76" s="1"/>
      <c r="YF76" s="1"/>
      <c r="YG76" s="1"/>
      <c r="YH76" s="1"/>
      <c r="YI76" s="1"/>
      <c r="YJ76" s="1"/>
      <c r="YK76" s="1"/>
      <c r="YL76" s="1"/>
      <c r="YM76" s="1"/>
      <c r="YN76" s="1"/>
      <c r="YO76" s="1"/>
      <c r="YP76" s="1"/>
      <c r="YQ76" s="1"/>
      <c r="YR76" s="1"/>
      <c r="YS76" s="1"/>
      <c r="YT76" s="1"/>
      <c r="YU76" s="1"/>
      <c r="YV76" s="1"/>
      <c r="YW76" s="1"/>
      <c r="YX76" s="1"/>
      <c r="YY76" s="1"/>
      <c r="YZ76" s="1"/>
      <c r="ZA76" s="1"/>
      <c r="ZB76" s="1"/>
      <c r="ZC76" s="1"/>
      <c r="ZD76" s="1"/>
      <c r="ZE76" s="1"/>
      <c r="ZF76" s="1"/>
      <c r="ZG76" s="1"/>
      <c r="ZH76" s="1"/>
      <c r="ZI76" s="1"/>
      <c r="ZJ76" s="1"/>
      <c r="ZK76" s="1"/>
      <c r="ZL76" s="1"/>
      <c r="ZM76" s="1"/>
      <c r="ZN76" s="1"/>
      <c r="ZO76" s="1"/>
      <c r="ZP76" s="1"/>
      <c r="ZQ76" s="1"/>
      <c r="ZR76" s="1"/>
      <c r="ZS76" s="1"/>
      <c r="ZT76" s="1"/>
      <c r="ZU76" s="1"/>
      <c r="ZV76" s="1"/>
      <c r="ZW76" s="1"/>
      <c r="ZX76" s="1"/>
      <c r="ZY76" s="1"/>
      <c r="ZZ76" s="1"/>
      <c r="AAA76" s="1"/>
      <c r="AAB76" s="1"/>
      <c r="AAC76" s="1"/>
      <c r="AAD76" s="1"/>
      <c r="AAE76" s="1"/>
      <c r="AAF76" s="1"/>
      <c r="AAG76" s="1"/>
      <c r="AAH76" s="1"/>
      <c r="AAI76" s="1"/>
      <c r="AAJ76" s="1"/>
      <c r="AAK76" s="1"/>
      <c r="AAL76" s="1"/>
      <c r="AAM76" s="1"/>
      <c r="AAN76" s="1"/>
      <c r="AAO76" s="1"/>
      <c r="AAP76" s="1"/>
      <c r="AAQ76" s="1"/>
      <c r="AAR76" s="1"/>
      <c r="AAS76" s="1"/>
      <c r="AAT76" s="1"/>
      <c r="AAU76" s="1"/>
      <c r="AAV76" s="1"/>
      <c r="AAW76" s="1"/>
      <c r="AAX76" s="1"/>
      <c r="AAY76" s="1"/>
      <c r="AAZ76" s="1"/>
      <c r="ABA76" s="1"/>
      <c r="ABB76" s="1"/>
      <c r="ABC76" s="1"/>
      <c r="ABD76" s="1"/>
      <c r="ABE76" s="1"/>
      <c r="ABF76" s="1"/>
      <c r="ABG76" s="1"/>
      <c r="ABH76" s="1"/>
      <c r="ABI76" s="1"/>
      <c r="ABJ76" s="1"/>
      <c r="ABK76" s="1"/>
      <c r="ABL76" s="1"/>
      <c r="ABM76" s="1"/>
      <c r="ABN76" s="1"/>
      <c r="ABO76" s="1"/>
      <c r="ABP76" s="1"/>
      <c r="ABQ76" s="1"/>
      <c r="ABR76" s="1"/>
      <c r="ABS76" s="1"/>
      <c r="ABT76" s="1"/>
      <c r="ABU76" s="1"/>
      <c r="ABV76" s="1"/>
      <c r="ABW76" s="1"/>
      <c r="ABX76" s="1"/>
      <c r="ABY76" s="1"/>
      <c r="ABZ76" s="1"/>
      <c r="ACA76" s="1"/>
      <c r="ACB76" s="1"/>
      <c r="ACC76" s="1"/>
      <c r="ACD76" s="1"/>
      <c r="ACE76" s="1"/>
      <c r="ACF76" s="1"/>
      <c r="ACG76" s="1"/>
      <c r="ACH76" s="1"/>
      <c r="ACI76" s="1"/>
      <c r="ACJ76" s="1"/>
      <c r="ACK76" s="1"/>
      <c r="ACL76" s="1"/>
      <c r="ACM76" s="1"/>
      <c r="ACN76" s="1"/>
      <c r="ACO76" s="1"/>
      <c r="ACP76" s="1"/>
      <c r="ACQ76" s="1"/>
      <c r="ACR76" s="1"/>
      <c r="ACS76" s="1"/>
      <c r="ACT76" s="1"/>
      <c r="ACU76" s="1"/>
      <c r="ACV76" s="1"/>
      <c r="ACW76" s="1"/>
      <c r="ACX76" s="1"/>
      <c r="ACY76" s="1"/>
      <c r="ACZ76" s="1"/>
      <c r="ADA76" s="1"/>
      <c r="ADB76" s="1"/>
      <c r="ADC76" s="1"/>
      <c r="ADD76" s="1"/>
      <c r="ADE76" s="1"/>
      <c r="ADF76" s="1"/>
      <c r="ADG76" s="1"/>
      <c r="ADH76" s="1"/>
      <c r="ADI76" s="1"/>
      <c r="ADJ76" s="1"/>
      <c r="ADK76" s="1"/>
      <c r="ADL76" s="1"/>
      <c r="ADM76" s="1"/>
      <c r="ADN76" s="1"/>
      <c r="ADO76" s="1"/>
      <c r="ADP76" s="1"/>
      <c r="ADQ76" s="1"/>
      <c r="ADR76" s="1"/>
      <c r="ADS76" s="1"/>
      <c r="ADT76" s="1"/>
      <c r="ADU76" s="1"/>
      <c r="ADV76" s="1"/>
      <c r="ADW76" s="1"/>
      <c r="ADX76" s="1"/>
      <c r="ADY76" s="1"/>
      <c r="ADZ76" s="1"/>
      <c r="AEA76" s="1"/>
      <c r="AEB76" s="1"/>
      <c r="AEC76" s="1"/>
      <c r="AED76" s="1"/>
      <c r="AEE76" s="1"/>
      <c r="AEF76" s="1"/>
      <c r="AEG76" s="1"/>
      <c r="AEH76" s="1"/>
      <c r="AEI76" s="1"/>
      <c r="AEJ76" s="1"/>
      <c r="AEK76" s="1"/>
      <c r="AEL76" s="1"/>
      <c r="AEM76" s="1"/>
      <c r="AEN76" s="1"/>
      <c r="AEO76" s="1"/>
      <c r="AEP76" s="1"/>
      <c r="AEQ76" s="1"/>
      <c r="AER76" s="1"/>
      <c r="AES76" s="1"/>
      <c r="AET76" s="1"/>
      <c r="AEU76" s="1"/>
      <c r="AEV76" s="1"/>
      <c r="AEW76" s="1"/>
      <c r="AEX76" s="1"/>
      <c r="AEY76" s="1"/>
      <c r="AEZ76" s="1"/>
      <c r="AFA76" s="1"/>
      <c r="AFB76" s="1"/>
      <c r="AFC76" s="1"/>
      <c r="AFD76" s="1"/>
      <c r="AFE76" s="1"/>
      <c r="AFF76" s="1"/>
      <c r="AFG76" s="1"/>
      <c r="AFH76" s="1"/>
      <c r="AFI76" s="1"/>
      <c r="AFJ76" s="1"/>
      <c r="AFK76" s="1"/>
      <c r="AFL76" s="1"/>
      <c r="AFM76" s="1"/>
      <c r="AFN76" s="1"/>
      <c r="AFO76" s="1"/>
      <c r="AFP76" s="1"/>
      <c r="AFQ76" s="1"/>
      <c r="AFR76" s="1"/>
      <c r="AFS76" s="1"/>
      <c r="AFT76" s="1"/>
      <c r="AFU76" s="1"/>
      <c r="AFV76" s="1"/>
      <c r="AFW76" s="1"/>
      <c r="AFX76" s="1"/>
      <c r="AFY76" s="1"/>
      <c r="AFZ76" s="1"/>
      <c r="AGA76" s="1"/>
      <c r="AGB76" s="1"/>
      <c r="AGC76" s="1"/>
      <c r="AGD76" s="1"/>
      <c r="AGE76" s="1"/>
      <c r="AGF76" s="1"/>
      <c r="AGG76" s="1"/>
      <c r="AGH76" s="1"/>
      <c r="AGI76" s="1"/>
      <c r="AGJ76" s="1"/>
      <c r="AGK76" s="1"/>
      <c r="AGL76" s="1"/>
      <c r="AGM76" s="1"/>
      <c r="AGN76" s="1"/>
      <c r="AGO76" s="1"/>
      <c r="AGP76" s="1"/>
      <c r="AGQ76" s="1"/>
      <c r="AGR76" s="1"/>
      <c r="AGS76" s="1"/>
      <c r="AGT76" s="1"/>
      <c r="AGU76" s="1"/>
      <c r="AGV76" s="1"/>
      <c r="AGW76" s="1"/>
      <c r="AGX76" s="1"/>
      <c r="AGY76" s="1"/>
      <c r="AGZ76" s="1"/>
      <c r="AHA76" s="1"/>
      <c r="AHB76" s="1"/>
      <c r="AHC76" s="1"/>
      <c r="AHD76" s="1"/>
      <c r="AHE76" s="1"/>
      <c r="AHF76" s="1"/>
      <c r="AHG76" s="1"/>
      <c r="AHH76" s="1"/>
      <c r="AHI76" s="1"/>
      <c r="AHJ76" s="1"/>
      <c r="AHK76" s="1"/>
      <c r="AHL76" s="1"/>
      <c r="AHM76" s="1"/>
      <c r="AHN76" s="1"/>
      <c r="AHO76" s="1"/>
      <c r="AHP76" s="1"/>
      <c r="AHQ76" s="1"/>
      <c r="AHR76" s="1"/>
      <c r="AHS76" s="1"/>
      <c r="AHT76" s="1"/>
      <c r="AHU76" s="1"/>
      <c r="AHV76" s="1"/>
      <c r="AHW76" s="1"/>
      <c r="AHX76" s="1"/>
      <c r="AHY76" s="1"/>
      <c r="AHZ76" s="1"/>
      <c r="AIA76" s="1"/>
      <c r="AIB76" s="1"/>
      <c r="AIC76" s="1"/>
      <c r="AID76" s="1"/>
      <c r="AIE76" s="1"/>
      <c r="AIF76" s="1"/>
      <c r="AIG76" s="1"/>
      <c r="AIH76" s="1"/>
      <c r="AII76" s="1"/>
      <c r="AIJ76" s="1"/>
      <c r="AIK76" s="1"/>
      <c r="AIL76" s="1"/>
      <c r="AIM76" s="1"/>
      <c r="AIN76" s="1"/>
      <c r="AIO76" s="1"/>
      <c r="AIP76" s="1"/>
      <c r="AIQ76" s="1"/>
      <c r="AIR76" s="1"/>
      <c r="AIS76" s="1"/>
      <c r="AIT76" s="1"/>
      <c r="AIU76" s="1"/>
      <c r="AIV76" s="1"/>
      <c r="AIW76" s="1"/>
      <c r="AIX76" s="1"/>
      <c r="AIY76" s="1"/>
      <c r="AIZ76" s="1"/>
      <c r="AJA76" s="1"/>
      <c r="AJB76" s="1"/>
      <c r="AJC76" s="1"/>
      <c r="AJD76" s="1"/>
      <c r="AJE76" s="1"/>
      <c r="AJF76" s="1"/>
      <c r="AJG76" s="1"/>
      <c r="AJH76" s="1"/>
      <c r="AJI76" s="1"/>
      <c r="AJJ76" s="1"/>
      <c r="AJK76" s="1"/>
      <c r="AJL76" s="1"/>
      <c r="AJM76" s="1"/>
      <c r="AJN76" s="1"/>
      <c r="AJO76" s="1"/>
      <c r="AJP76" s="1"/>
      <c r="AJQ76" s="1"/>
      <c r="AJR76" s="1"/>
      <c r="AJS76" s="1"/>
      <c r="AJT76" s="1"/>
      <c r="AJU76" s="1"/>
      <c r="AJV76" s="1"/>
      <c r="AJW76" s="1"/>
      <c r="AJX76" s="1"/>
      <c r="AJY76" s="1"/>
      <c r="AJZ76" s="1"/>
      <c r="AKA76" s="1"/>
      <c r="AKB76" s="1"/>
      <c r="AKC76" s="1"/>
      <c r="AKD76" s="1"/>
      <c r="AKE76" s="1"/>
      <c r="AKF76" s="1"/>
      <c r="AKG76" s="1"/>
      <c r="AKH76" s="1"/>
      <c r="AKI76" s="1"/>
      <c r="AKJ76" s="1"/>
      <c r="AKK76" s="1"/>
      <c r="AKL76" s="1"/>
      <c r="AKM76" s="1"/>
      <c r="AKN76" s="1"/>
      <c r="AKO76" s="1"/>
      <c r="AKP76" s="1"/>
      <c r="AKQ76" s="1"/>
      <c r="AKR76" s="1"/>
      <c r="AKS76" s="1"/>
      <c r="AKT76" s="1"/>
      <c r="AKU76" s="1"/>
      <c r="AKV76" s="1"/>
      <c r="AKW76" s="1"/>
      <c r="AKX76" s="1"/>
      <c r="AKY76" s="1"/>
      <c r="AKZ76" s="1"/>
      <c r="ALA76" s="1"/>
      <c r="ALB76" s="1"/>
      <c r="ALC76" s="1"/>
      <c r="ALD76" s="1"/>
      <c r="ALE76" s="1"/>
      <c r="ALF76" s="1"/>
      <c r="ALG76" s="1"/>
      <c r="ALH76" s="1"/>
      <c r="ALI76" s="1"/>
      <c r="ALJ76" s="1"/>
      <c r="ALK76" s="1"/>
      <c r="ALL76" s="1"/>
      <c r="ALM76" s="1"/>
      <c r="ALN76" s="1"/>
      <c r="ALO76" s="1"/>
      <c r="ALP76" s="1"/>
      <c r="ALQ76" s="1"/>
      <c r="ALR76" s="1"/>
      <c r="ALS76" s="1"/>
      <c r="ALT76" s="1"/>
      <c r="ALU76" s="1"/>
      <c r="ALV76" s="1"/>
      <c r="ALW76" s="1"/>
      <c r="ALX76" s="1"/>
      <c r="ALY76" s="1"/>
      <c r="ALZ76" s="1"/>
      <c r="AMA76" s="1"/>
      <c r="AMB76" s="1"/>
      <c r="AMC76" s="1"/>
      <c r="AMD76" s="1"/>
      <c r="AME76" s="1"/>
      <c r="AMF76" s="1"/>
      <c r="AMG76" s="1"/>
      <c r="AMH76" s="1"/>
      <c r="AMI76" s="1"/>
      <c r="AMJ76" s="1"/>
      <c r="AMK76" s="1"/>
      <c r="AML76" s="1"/>
      <c r="AMM76" s="1"/>
      <c r="AMN76" s="1"/>
    </row>
    <row r="77" spans="1:1028" x14ac:dyDescent="0.2">
      <c r="A77" s="3" t="str">
        <f t="shared" si="222"/>
        <v>agtr1_human__wt</v>
      </c>
      <c r="B77" s="3" t="s">
        <v>158</v>
      </c>
      <c r="C77" s="3" t="s">
        <v>100</v>
      </c>
      <c r="D77" s="3" t="str">
        <f>IFERROR(MID(VLOOKUP($B77,Seqs!$A:$B,2,0),E77,1),"")</f>
        <v>Y</v>
      </c>
      <c r="E77" s="3">
        <v>26</v>
      </c>
      <c r="F77" s="3" t="str">
        <f>IFERROR(MID(VLOOKUP($B77,Seqs!$A:$B,2,0),G77,1),"")</f>
        <v>Y</v>
      </c>
      <c r="G77" s="3">
        <v>56</v>
      </c>
      <c r="H77" s="3" t="str">
        <f>IFERROR(MID(VLOOKUP($B77,Seqs!$A:$B,2,0),I77,1),"")</f>
        <v>M</v>
      </c>
      <c r="I77" s="23">
        <v>57</v>
      </c>
      <c r="J77" s="3" t="str">
        <f>IFERROR(MID(VLOOKUP($B77,Seqs!$A:$B,2,0),K77,1),"")</f>
        <v>K</v>
      </c>
      <c r="K77" s="23">
        <v>60</v>
      </c>
      <c r="L77" s="3" t="str">
        <f>IFERROR(MID(VLOOKUP($B77,Seqs!$A:$B,2,0),M77,1),"")</f>
        <v>T</v>
      </c>
      <c r="M77" s="3">
        <v>61</v>
      </c>
      <c r="N77" s="3" t="str">
        <f>IFERROR(MID(VLOOKUP($B77,Seqs!$A:$B,2,0),O77,1),"")</f>
        <v>M</v>
      </c>
      <c r="O77" s="3">
        <v>90</v>
      </c>
      <c r="P77" s="3" t="str">
        <f>IFERROR(MID(VLOOKUP($B77,Seqs!$A:$B,2,0),Q77,1),"")</f>
        <v>R</v>
      </c>
      <c r="Q77" s="3">
        <v>93</v>
      </c>
      <c r="R77" s="3" t="str">
        <f>IFERROR(MID(VLOOKUP($B77,Seqs!$A:$B,2,0),S77,1),"")</f>
        <v>F</v>
      </c>
      <c r="S77" s="3">
        <v>96</v>
      </c>
      <c r="T77" s="3" t="str">
        <f>IFERROR(MID(VLOOKUP($B77,Seqs!$A:$B,2,0),U77,1),"")</f>
        <v>G</v>
      </c>
      <c r="U77" s="3">
        <v>97</v>
      </c>
      <c r="V77" s="3" t="str">
        <f>IFERROR(MID(VLOOKUP($B77,Seqs!$A:$B,2,0),W77,1),"")</f>
        <v>H</v>
      </c>
      <c r="W77" s="3">
        <v>132</v>
      </c>
      <c r="X77" s="3" t="str">
        <f>IFERROR(MID(VLOOKUP($B77,Seqs!$A:$B,2,0),Y77,1),"")</f>
        <v>P</v>
      </c>
      <c r="Y77" s="3">
        <v>133</v>
      </c>
      <c r="Z77" s="3" t="str">
        <f>IFERROR(MID(VLOOKUP($B77,Seqs!$A:$B,2,0),AA77,1),"")</f>
        <v>R</v>
      </c>
      <c r="AA77" s="3">
        <v>140</v>
      </c>
      <c r="AB77" s="3" t="str">
        <f>IFERROR(MID(VLOOKUP($B77,Seqs!$A:$B,2,0),AC77,1),"")</f>
        <v>T</v>
      </c>
      <c r="AC77" s="9">
        <v>141</v>
      </c>
      <c r="AD77" s="3" t="str">
        <f>IFERROR(MID(VLOOKUP($B77,Seqs!$A:$B,2,0),AE77,1),"")</f>
        <v>R</v>
      </c>
      <c r="AE77" s="3">
        <v>167</v>
      </c>
      <c r="AF77" s="3" t="str">
        <f>IFERROR(MID(VLOOKUP($B77,Seqs!$A:$B,2,0),AG77,1),"")</f>
        <v>C</v>
      </c>
      <c r="AG77" s="3">
        <v>180</v>
      </c>
      <c r="AH77" s="3" t="str">
        <f>IFERROR(MID(VLOOKUP($B77,Seqs!$A:$B,2,0),AI77,1),"")</f>
        <v>F</v>
      </c>
      <c r="AI77" s="3">
        <v>182</v>
      </c>
      <c r="AJ77" s="3" t="str">
        <f>IFERROR(MID(VLOOKUP($B77,Seqs!$A:$B,2,0),AK77,1),"")</f>
        <v>L</v>
      </c>
      <c r="AK77" s="3">
        <v>191</v>
      </c>
      <c r="AL77" s="3" t="str">
        <f>IFERROR(MID(VLOOKUP($B77,Seqs!$A:$B,2,0),AM77,1),"")</f>
        <v>A</v>
      </c>
      <c r="AM77" s="3">
        <v>225</v>
      </c>
      <c r="AN77" s="3" t="str">
        <f>IFERROR(MID(VLOOKUP($B77,Seqs!$A:$B,2,0),AO77,1),"")</f>
        <v>P</v>
      </c>
      <c r="AO77" s="3">
        <v>233</v>
      </c>
      <c r="AP77" s="3" t="str">
        <f>IFERROR(MID(VLOOKUP($B77,Seqs!$A:$B,2,0),AQ77,1),"")</f>
        <v>G</v>
      </c>
      <c r="AQ77" s="3">
        <v>269</v>
      </c>
      <c r="AR77" s="3" t="str">
        <f>IFERROR(MID(VLOOKUP($B77,Seqs!$A:$B,2,0),AS77,1),"")</f>
        <v>D</v>
      </c>
      <c r="AS77" s="3">
        <v>273</v>
      </c>
      <c r="AT77" s="3" t="str">
        <f>IFERROR(MID(VLOOKUP($B77,Seqs!$A:$B,2,0),AU77,1),"")</f>
        <v>L</v>
      </c>
      <c r="AU77" s="3">
        <v>305</v>
      </c>
      <c r="AV77" s="3" t="str">
        <f>IFERROR(MID(VLOOKUP($B77,Seqs!$A:$B,2,0),AW77,1),"")</f>
        <v>G</v>
      </c>
      <c r="AW77" s="3">
        <v>306</v>
      </c>
      <c r="AX77" s="3" t="str">
        <f>IFERROR(MID(VLOOKUP($B77,Seqs!$A:$B,2,0),AY77,1),"")</f>
        <v>I</v>
      </c>
      <c r="AY77" s="3">
        <v>320</v>
      </c>
      <c r="AZ77" s="79" t="str">
        <f>VLOOKUP(B77,Classification!A:D,2,0)</f>
        <v>A</v>
      </c>
      <c r="BA77" s="97" t="str">
        <f>VLOOKUP(B77,Classification!A:D,4,0)</f>
        <v>Angiotensin</v>
      </c>
      <c r="BB77" s="27" t="b">
        <f t="shared" si="223"/>
        <v>1</v>
      </c>
      <c r="BC77" s="23">
        <f t="shared" si="196"/>
        <v>263</v>
      </c>
      <c r="BD77" s="57" t="s">
        <v>1379</v>
      </c>
      <c r="BE77" s="3" t="s">
        <v>1381</v>
      </c>
      <c r="BF77" s="50" t="s">
        <v>1379</v>
      </c>
      <c r="BG77" s="50" t="s">
        <v>1384</v>
      </c>
      <c r="BH77" s="1"/>
      <c r="BI77" s="72" t="s">
        <v>1293</v>
      </c>
      <c r="BJ77" s="58" t="s">
        <v>1293</v>
      </c>
      <c r="BK77" s="58" t="s">
        <v>1293</v>
      </c>
      <c r="BL77" s="58" t="s">
        <v>1293</v>
      </c>
      <c r="BM77" s="58" t="s">
        <v>1293</v>
      </c>
      <c r="BN77" s="58" t="s">
        <v>1293</v>
      </c>
      <c r="BO77" s="58" t="s">
        <v>1293</v>
      </c>
      <c r="BP77" s="58" t="s">
        <v>1293</v>
      </c>
      <c r="BQ77" s="58" t="s">
        <v>1293</v>
      </c>
      <c r="BR77" s="58" t="s">
        <v>1293</v>
      </c>
      <c r="BS77" s="58" t="s">
        <v>1293</v>
      </c>
      <c r="BT77" s="58" t="s">
        <v>1293</v>
      </c>
      <c r="BU77" s="72">
        <f t="shared" si="197"/>
        <v>26</v>
      </c>
      <c r="BV77" s="73">
        <f t="shared" si="198"/>
        <v>57</v>
      </c>
      <c r="BW77" s="74">
        <f t="shared" si="199"/>
        <v>61</v>
      </c>
      <c r="BX77" s="73">
        <f t="shared" si="200"/>
        <v>93</v>
      </c>
      <c r="BY77" s="74">
        <f t="shared" si="201"/>
        <v>97</v>
      </c>
      <c r="BZ77" s="73">
        <f t="shared" si="202"/>
        <v>133</v>
      </c>
      <c r="CA77" s="74">
        <f t="shared" si="203"/>
        <v>141</v>
      </c>
      <c r="CB77" s="73">
        <f t="shared" si="204"/>
        <v>180</v>
      </c>
      <c r="CC77" s="74">
        <f t="shared" si="205"/>
        <v>191</v>
      </c>
      <c r="CD77" s="73">
        <f t="shared" si="206"/>
        <v>233</v>
      </c>
      <c r="CE77" s="74">
        <f t="shared" si="207"/>
        <v>273</v>
      </c>
      <c r="CF77" s="73">
        <f t="shared" si="208"/>
        <v>306</v>
      </c>
      <c r="CG77" s="72">
        <f t="shared" si="209"/>
        <v>56</v>
      </c>
      <c r="CH77" s="73">
        <f t="shared" si="210"/>
        <v>60</v>
      </c>
      <c r="CI77" s="74">
        <f t="shared" si="211"/>
        <v>90</v>
      </c>
      <c r="CJ77" s="74">
        <f t="shared" si="212"/>
        <v>96</v>
      </c>
      <c r="CK77" s="74">
        <f t="shared" si="213"/>
        <v>132</v>
      </c>
      <c r="CL77" s="74">
        <f t="shared" si="214"/>
        <v>140</v>
      </c>
      <c r="CM77" s="74">
        <f t="shared" si="215"/>
        <v>167</v>
      </c>
      <c r="CN77" s="74">
        <f t="shared" si="216"/>
        <v>182</v>
      </c>
      <c r="CO77" s="74">
        <f t="shared" si="217"/>
        <v>225</v>
      </c>
      <c r="CP77" s="74">
        <f t="shared" si="218"/>
        <v>269</v>
      </c>
      <c r="CQ77" s="74">
        <f t="shared" si="219"/>
        <v>305</v>
      </c>
      <c r="CR77" s="74">
        <f t="shared" si="220"/>
        <v>320</v>
      </c>
      <c r="CS77" s="23">
        <f t="shared" si="221"/>
        <v>1</v>
      </c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  <c r="IX77" s="2"/>
      <c r="IY77" s="2"/>
      <c r="IZ77" s="2"/>
      <c r="JA77" s="2"/>
      <c r="JB77" s="2"/>
      <c r="JC77" s="2"/>
      <c r="JD77" s="2"/>
      <c r="JE77" s="2"/>
      <c r="JF77" s="2"/>
      <c r="JG77" s="2"/>
      <c r="JH77" s="2"/>
      <c r="JI77" s="2"/>
      <c r="JJ77" s="2"/>
      <c r="JK77" s="2"/>
      <c r="JL77" s="2"/>
      <c r="JM77" s="2"/>
      <c r="JN77" s="2"/>
      <c r="JO77" s="2"/>
      <c r="JP77" s="2"/>
      <c r="JQ77" s="2"/>
      <c r="JR77" s="2"/>
      <c r="JS77" s="2"/>
      <c r="JT77" s="2"/>
      <c r="JU77" s="2"/>
      <c r="JV77" s="2"/>
      <c r="JW77" s="2"/>
      <c r="JX77" s="2"/>
      <c r="JY77" s="2"/>
      <c r="JZ77" s="2"/>
      <c r="KA77" s="2"/>
      <c r="KB77" s="2"/>
      <c r="KC77" s="2"/>
      <c r="KD77" s="2"/>
      <c r="KE77" s="2"/>
      <c r="KF77" s="2"/>
      <c r="KG77" s="2"/>
      <c r="KH77" s="2"/>
      <c r="KI77" s="2"/>
      <c r="KJ77" s="2"/>
      <c r="KK77" s="2"/>
      <c r="KL77" s="2"/>
      <c r="KM77" s="2"/>
      <c r="KN77" s="2"/>
      <c r="KO77" s="2"/>
      <c r="KP77" s="2"/>
      <c r="KQ77" s="2"/>
      <c r="KR77" s="2"/>
      <c r="KS77" s="2"/>
      <c r="KT77" s="2"/>
      <c r="KU77" s="2"/>
      <c r="KV77" s="2"/>
      <c r="KW77" s="2"/>
      <c r="KX77" s="2"/>
      <c r="KY77" s="2"/>
      <c r="KZ77" s="2"/>
      <c r="LA77" s="2"/>
      <c r="LB77" s="2"/>
      <c r="LC77" s="2"/>
      <c r="LD77" s="2"/>
      <c r="LE77" s="2"/>
      <c r="LF77" s="2"/>
      <c r="LG77" s="2"/>
      <c r="LH77" s="2"/>
      <c r="LI77" s="2"/>
      <c r="LJ77" s="2"/>
      <c r="LK77" s="2"/>
      <c r="LL77" s="2"/>
      <c r="LM77" s="2"/>
      <c r="LN77" s="2"/>
      <c r="LO77" s="2"/>
      <c r="LP77" s="2"/>
      <c r="LQ77" s="2"/>
      <c r="LR77" s="2"/>
      <c r="LS77" s="2"/>
      <c r="LT77" s="2"/>
      <c r="LU77" s="2"/>
      <c r="LV77" s="2"/>
      <c r="LW77" s="2"/>
      <c r="LX77" s="2"/>
      <c r="LY77" s="2"/>
      <c r="LZ77" s="2"/>
      <c r="MA77" s="2"/>
      <c r="MB77" s="2"/>
      <c r="MC77" s="2"/>
      <c r="MD77" s="2"/>
      <c r="ME77" s="2"/>
      <c r="MF77" s="2"/>
      <c r="MG77" s="2"/>
      <c r="MH77" s="2"/>
      <c r="MI77" s="2"/>
      <c r="MJ77" s="2"/>
      <c r="MK77" s="2"/>
      <c r="ML77" s="2"/>
      <c r="MM77" s="2"/>
      <c r="MN77" s="2"/>
      <c r="MO77" s="2"/>
      <c r="MP77" s="2"/>
      <c r="MQ77" s="2"/>
      <c r="MR77" s="2"/>
      <c r="MS77" s="2"/>
      <c r="MT77" s="2"/>
      <c r="MU77" s="2"/>
      <c r="MV77" s="2"/>
      <c r="MW77" s="2"/>
      <c r="MX77" s="2"/>
      <c r="MY77" s="2"/>
      <c r="MZ77" s="2"/>
      <c r="NA77" s="2"/>
      <c r="NB77" s="2"/>
      <c r="NC77" s="2"/>
      <c r="ND77" s="2"/>
      <c r="NE77" s="2"/>
      <c r="NF77" s="2"/>
      <c r="NG77" s="2"/>
      <c r="NH77" s="2"/>
      <c r="NI77" s="2"/>
      <c r="NJ77" s="2"/>
      <c r="NK77" s="2"/>
      <c r="NL77" s="2"/>
      <c r="NM77" s="2"/>
      <c r="NN77" s="2"/>
      <c r="NO77" s="2"/>
      <c r="NP77" s="2"/>
      <c r="NQ77" s="2"/>
      <c r="NR77" s="2"/>
      <c r="NS77" s="2"/>
      <c r="NT77" s="2"/>
      <c r="NU77" s="2"/>
      <c r="NV77" s="2"/>
      <c r="NW77" s="2"/>
      <c r="NX77" s="2"/>
      <c r="NY77" s="2"/>
      <c r="NZ77" s="2"/>
      <c r="OA77" s="2"/>
      <c r="OB77" s="2"/>
      <c r="OC77" s="2"/>
      <c r="OD77" s="2"/>
      <c r="OE77" s="2"/>
      <c r="OF77" s="2"/>
      <c r="OG77" s="2"/>
      <c r="OH77" s="2"/>
      <c r="OI77" s="2"/>
      <c r="OJ77" s="2"/>
      <c r="OK77" s="2"/>
      <c r="OL77" s="2"/>
      <c r="OM77" s="2"/>
      <c r="ON77" s="2"/>
      <c r="OO77" s="2"/>
      <c r="OP77" s="2"/>
      <c r="OQ77" s="2"/>
      <c r="OR77" s="2"/>
      <c r="OS77" s="2"/>
      <c r="OT77" s="2"/>
      <c r="OU77" s="2"/>
      <c r="OV77" s="2"/>
      <c r="OW77" s="2"/>
      <c r="OX77" s="2"/>
      <c r="OY77" s="2"/>
      <c r="OZ77" s="2"/>
      <c r="PA77" s="2"/>
      <c r="PB77" s="2"/>
      <c r="PC77" s="2"/>
      <c r="PD77" s="2"/>
      <c r="PE77" s="2"/>
      <c r="PF77" s="2"/>
      <c r="PG77" s="2"/>
      <c r="PH77" s="2"/>
      <c r="PI77" s="2"/>
      <c r="PJ77" s="2"/>
      <c r="PK77" s="2"/>
      <c r="PL77" s="2"/>
      <c r="PM77" s="2"/>
      <c r="PN77" s="2"/>
      <c r="PO77" s="2"/>
      <c r="PP77" s="2"/>
      <c r="PQ77" s="2"/>
      <c r="PR77" s="2"/>
      <c r="PS77" s="2"/>
      <c r="PT77" s="2"/>
      <c r="PU77" s="2"/>
      <c r="PV77" s="2"/>
      <c r="PW77" s="2"/>
      <c r="PX77" s="2"/>
      <c r="PY77" s="2"/>
      <c r="PZ77" s="2"/>
      <c r="QA77" s="2"/>
      <c r="QB77" s="2"/>
      <c r="QC77" s="2"/>
      <c r="QD77" s="2"/>
      <c r="QE77" s="2"/>
      <c r="QF77" s="2"/>
      <c r="QG77" s="2"/>
      <c r="QH77" s="2"/>
      <c r="QI77" s="2"/>
      <c r="QJ77" s="2"/>
      <c r="QK77" s="2"/>
      <c r="QL77" s="2"/>
      <c r="QM77" s="2"/>
      <c r="QN77" s="2"/>
      <c r="QO77" s="2"/>
      <c r="QP77" s="2"/>
      <c r="QQ77" s="2"/>
      <c r="QR77" s="2"/>
      <c r="QS77" s="2"/>
      <c r="QT77" s="2"/>
      <c r="QU77" s="2"/>
      <c r="QV77" s="2"/>
      <c r="QW77" s="2"/>
      <c r="QX77" s="2"/>
      <c r="QY77" s="2"/>
      <c r="QZ77" s="2"/>
      <c r="RA77" s="2"/>
      <c r="RB77" s="2"/>
      <c r="RC77" s="2"/>
      <c r="RD77" s="2"/>
      <c r="RE77" s="2"/>
      <c r="RF77" s="2"/>
      <c r="RG77" s="2"/>
      <c r="RH77" s="2"/>
      <c r="RI77" s="2"/>
      <c r="RJ77" s="2"/>
      <c r="RK77" s="2"/>
      <c r="RL77" s="2"/>
      <c r="RM77" s="2"/>
      <c r="RN77" s="2"/>
      <c r="RO77" s="2"/>
      <c r="RP77" s="2"/>
      <c r="RQ77" s="2"/>
      <c r="RR77" s="2"/>
      <c r="RS77" s="2"/>
      <c r="RT77" s="2"/>
      <c r="RU77" s="2"/>
      <c r="RV77" s="2"/>
      <c r="RW77" s="2"/>
      <c r="RX77" s="2"/>
      <c r="RY77" s="2"/>
      <c r="RZ77" s="2"/>
      <c r="SA77" s="2"/>
      <c r="SB77" s="2"/>
      <c r="SC77" s="2"/>
      <c r="SD77" s="2"/>
      <c r="SE77" s="2"/>
      <c r="SF77" s="2"/>
      <c r="SG77" s="2"/>
      <c r="SH77" s="2"/>
      <c r="SI77" s="2"/>
      <c r="SJ77" s="2"/>
      <c r="SK77" s="2"/>
      <c r="SL77" s="2"/>
      <c r="SM77" s="2"/>
      <c r="SN77" s="2"/>
      <c r="SO77" s="2"/>
      <c r="SP77" s="2"/>
      <c r="SQ77" s="2"/>
      <c r="SR77" s="2"/>
      <c r="SS77" s="2"/>
      <c r="ST77" s="2"/>
      <c r="SU77" s="2"/>
      <c r="SV77" s="2"/>
      <c r="SW77" s="2"/>
      <c r="SX77" s="2"/>
      <c r="SY77" s="2"/>
      <c r="SZ77" s="2"/>
      <c r="TA77" s="2"/>
      <c r="TB77" s="2"/>
      <c r="TC77" s="2"/>
      <c r="TD77" s="2"/>
      <c r="TE77" s="2"/>
      <c r="TF77" s="2"/>
      <c r="TG77" s="2"/>
      <c r="TH77" s="2"/>
      <c r="TI77" s="2"/>
      <c r="TJ77" s="2"/>
      <c r="TK77" s="2"/>
      <c r="TL77" s="2"/>
      <c r="TM77" s="2"/>
      <c r="TN77" s="2"/>
      <c r="TO77" s="2"/>
      <c r="TP77" s="2"/>
      <c r="TQ77" s="2"/>
      <c r="TR77" s="2"/>
      <c r="TS77" s="2"/>
      <c r="TT77" s="2"/>
      <c r="TU77" s="2"/>
      <c r="TV77" s="2"/>
      <c r="TW77" s="2"/>
      <c r="TX77" s="2"/>
      <c r="TY77" s="2"/>
      <c r="TZ77" s="2"/>
      <c r="UA77" s="2"/>
      <c r="UB77" s="2"/>
      <c r="UC77" s="2"/>
      <c r="UD77" s="2"/>
      <c r="UE77" s="2"/>
      <c r="UF77" s="2"/>
      <c r="UG77" s="2"/>
      <c r="UH77" s="2"/>
      <c r="UI77" s="2"/>
      <c r="UJ77" s="2"/>
      <c r="UK77" s="2"/>
      <c r="UL77" s="2"/>
      <c r="UM77" s="2"/>
      <c r="UN77" s="2"/>
      <c r="UO77" s="2"/>
      <c r="UP77" s="2"/>
      <c r="UQ77" s="2"/>
      <c r="UR77" s="2"/>
      <c r="US77" s="2"/>
      <c r="UT77" s="2"/>
      <c r="UU77" s="2"/>
      <c r="UV77" s="2"/>
      <c r="UW77" s="2"/>
      <c r="UX77" s="2"/>
      <c r="UY77" s="2"/>
      <c r="UZ77" s="2"/>
      <c r="VA77" s="2"/>
      <c r="VB77" s="2"/>
      <c r="VC77" s="2"/>
      <c r="VD77" s="2"/>
      <c r="VE77" s="2"/>
      <c r="VF77" s="2"/>
      <c r="VG77" s="2"/>
      <c r="VH77" s="2"/>
      <c r="VI77" s="2"/>
      <c r="VJ77" s="2"/>
      <c r="VK77" s="2"/>
      <c r="VL77" s="2"/>
      <c r="VM77" s="2"/>
      <c r="VN77" s="2"/>
      <c r="VO77" s="2"/>
      <c r="VP77" s="2"/>
      <c r="VQ77" s="2"/>
      <c r="VR77" s="2"/>
      <c r="VS77" s="2"/>
      <c r="VT77" s="2"/>
      <c r="VU77" s="2"/>
      <c r="VV77" s="2"/>
      <c r="VW77" s="2"/>
      <c r="VX77" s="2"/>
      <c r="VY77" s="2"/>
      <c r="VZ77" s="2"/>
      <c r="WA77" s="2"/>
      <c r="WB77" s="2"/>
      <c r="WC77" s="2"/>
      <c r="WD77" s="2"/>
      <c r="WE77" s="2"/>
      <c r="WF77" s="2"/>
      <c r="WG77" s="2"/>
      <c r="WH77" s="2"/>
      <c r="WI77" s="2"/>
      <c r="WJ77" s="2"/>
      <c r="WK77" s="2"/>
      <c r="WL77" s="2"/>
      <c r="WM77" s="2"/>
      <c r="WN77" s="2"/>
      <c r="WO77" s="2"/>
      <c r="WP77" s="2"/>
      <c r="WQ77" s="2"/>
      <c r="WR77" s="2"/>
      <c r="WS77" s="2"/>
      <c r="WT77" s="2"/>
      <c r="WU77" s="2"/>
      <c r="WV77" s="2"/>
      <c r="WW77" s="2"/>
      <c r="WX77" s="2"/>
      <c r="WY77" s="2"/>
      <c r="WZ77" s="2"/>
      <c r="XA77" s="2"/>
      <c r="XB77" s="2"/>
      <c r="XC77" s="2"/>
      <c r="XD77" s="2"/>
      <c r="XE77" s="2"/>
      <c r="XF77" s="2"/>
      <c r="XG77" s="2"/>
      <c r="XH77" s="2"/>
      <c r="XI77" s="2"/>
      <c r="XJ77" s="2"/>
      <c r="XK77" s="2"/>
      <c r="XL77" s="2"/>
      <c r="XM77" s="2"/>
      <c r="XN77" s="2"/>
      <c r="XO77" s="2"/>
      <c r="XP77" s="2"/>
      <c r="XQ77" s="2"/>
      <c r="XR77" s="2"/>
      <c r="XS77" s="2"/>
      <c r="XT77" s="2"/>
      <c r="XU77" s="2"/>
      <c r="XV77" s="2"/>
      <c r="XW77" s="2"/>
      <c r="XX77" s="2"/>
      <c r="XY77" s="2"/>
      <c r="XZ77" s="2"/>
      <c r="YA77" s="2"/>
      <c r="YB77" s="2"/>
      <c r="YC77" s="2"/>
      <c r="YD77" s="2"/>
      <c r="YE77" s="2"/>
      <c r="YF77" s="2"/>
      <c r="YG77" s="2"/>
      <c r="YH77" s="2"/>
      <c r="YI77" s="2"/>
      <c r="YJ77" s="2"/>
      <c r="YK77" s="2"/>
      <c r="YL77" s="2"/>
      <c r="YM77" s="2"/>
      <c r="YN77" s="2"/>
      <c r="YO77" s="2"/>
      <c r="YP77" s="2"/>
      <c r="YQ77" s="2"/>
      <c r="YR77" s="2"/>
      <c r="YS77" s="2"/>
      <c r="YT77" s="2"/>
      <c r="YU77" s="2"/>
      <c r="YV77" s="2"/>
      <c r="YW77" s="2"/>
      <c r="YX77" s="2"/>
      <c r="YY77" s="2"/>
      <c r="YZ77" s="2"/>
      <c r="ZA77" s="2"/>
      <c r="ZB77" s="2"/>
      <c r="ZC77" s="2"/>
      <c r="ZD77" s="2"/>
      <c r="ZE77" s="2"/>
      <c r="ZF77" s="2"/>
      <c r="ZG77" s="2"/>
      <c r="ZH77" s="2"/>
      <c r="ZI77" s="2"/>
      <c r="ZJ77" s="2"/>
      <c r="ZK77" s="2"/>
      <c r="ZL77" s="2"/>
      <c r="ZM77" s="2"/>
      <c r="ZN77" s="2"/>
      <c r="ZO77" s="2"/>
      <c r="ZP77" s="2"/>
      <c r="ZQ77" s="2"/>
      <c r="ZR77" s="2"/>
      <c r="ZS77" s="2"/>
      <c r="ZT77" s="2"/>
      <c r="ZU77" s="2"/>
      <c r="ZV77" s="2"/>
      <c r="ZW77" s="2"/>
      <c r="ZX77" s="2"/>
      <c r="ZY77" s="2"/>
      <c r="ZZ77" s="2"/>
      <c r="AAA77" s="2"/>
      <c r="AAB77" s="2"/>
      <c r="AAC77" s="2"/>
      <c r="AAD77" s="2"/>
      <c r="AAE77" s="2"/>
      <c r="AAF77" s="2"/>
      <c r="AAG77" s="2"/>
      <c r="AAH77" s="2"/>
      <c r="AAI77" s="2"/>
      <c r="AAJ77" s="2"/>
      <c r="AAK77" s="2"/>
      <c r="AAL77" s="2"/>
      <c r="AAM77" s="2"/>
      <c r="AAN77" s="2"/>
      <c r="AAO77" s="2"/>
      <c r="AAP77" s="2"/>
      <c r="AAQ77" s="2"/>
      <c r="AAR77" s="2"/>
      <c r="AAS77" s="2"/>
      <c r="AAT77" s="2"/>
      <c r="AAU77" s="2"/>
      <c r="AAV77" s="2"/>
      <c r="AAW77" s="2"/>
      <c r="AAX77" s="2"/>
      <c r="AAY77" s="2"/>
      <c r="AAZ77" s="2"/>
      <c r="ABA77" s="2"/>
      <c r="ABB77" s="2"/>
      <c r="ABC77" s="2"/>
      <c r="ABD77" s="2"/>
      <c r="ABE77" s="2"/>
      <c r="ABF77" s="2"/>
      <c r="ABG77" s="2"/>
      <c r="ABH77" s="2"/>
      <c r="ABI77" s="2"/>
      <c r="ABJ77" s="2"/>
      <c r="ABK77" s="2"/>
      <c r="ABL77" s="2"/>
      <c r="ABM77" s="2"/>
      <c r="ABN77" s="2"/>
      <c r="ABO77" s="2"/>
      <c r="ABP77" s="2"/>
      <c r="ABQ77" s="2"/>
      <c r="ABR77" s="2"/>
      <c r="ABS77" s="2"/>
      <c r="ABT77" s="2"/>
      <c r="ABU77" s="2"/>
      <c r="ABV77" s="2"/>
      <c r="ABW77" s="2"/>
      <c r="ABX77" s="2"/>
      <c r="ABY77" s="2"/>
      <c r="ABZ77" s="2"/>
      <c r="ACA77" s="2"/>
      <c r="ACB77" s="2"/>
      <c r="ACC77" s="2"/>
      <c r="ACD77" s="2"/>
      <c r="ACE77" s="2"/>
      <c r="ACF77" s="2"/>
      <c r="ACG77" s="2"/>
      <c r="ACH77" s="2"/>
      <c r="ACI77" s="2"/>
      <c r="ACJ77" s="2"/>
      <c r="ACK77" s="2"/>
      <c r="ACL77" s="2"/>
      <c r="ACM77" s="2"/>
      <c r="ACN77" s="2"/>
      <c r="ACO77" s="2"/>
      <c r="ACP77" s="2"/>
      <c r="ACQ77" s="2"/>
      <c r="ACR77" s="2"/>
      <c r="ACS77" s="2"/>
      <c r="ACT77" s="2"/>
      <c r="ACU77" s="2"/>
      <c r="ACV77" s="2"/>
      <c r="ACW77" s="2"/>
      <c r="ACX77" s="2"/>
      <c r="ACY77" s="2"/>
      <c r="ACZ77" s="2"/>
      <c r="ADA77" s="2"/>
      <c r="ADB77" s="2"/>
      <c r="ADC77" s="2"/>
      <c r="ADD77" s="2"/>
      <c r="ADE77" s="2"/>
      <c r="ADF77" s="2"/>
      <c r="ADG77" s="2"/>
      <c r="ADH77" s="2"/>
      <c r="ADI77" s="2"/>
      <c r="ADJ77" s="2"/>
      <c r="ADK77" s="2"/>
      <c r="ADL77" s="2"/>
      <c r="ADM77" s="2"/>
      <c r="ADN77" s="2"/>
      <c r="ADO77" s="2"/>
      <c r="ADP77" s="2"/>
      <c r="ADQ77" s="2"/>
      <c r="ADR77" s="2"/>
      <c r="ADS77" s="2"/>
      <c r="ADT77" s="2"/>
      <c r="ADU77" s="2"/>
      <c r="ADV77" s="2"/>
      <c r="ADW77" s="2"/>
      <c r="ADX77" s="2"/>
      <c r="ADY77" s="2"/>
      <c r="ADZ77" s="2"/>
      <c r="AEA77" s="2"/>
      <c r="AEB77" s="2"/>
      <c r="AEC77" s="2"/>
      <c r="AED77" s="2"/>
      <c r="AEE77" s="2"/>
      <c r="AEF77" s="2"/>
      <c r="AEG77" s="2"/>
      <c r="AEH77" s="2"/>
      <c r="AEI77" s="2"/>
      <c r="AEJ77" s="2"/>
      <c r="AEK77" s="2"/>
      <c r="AEL77" s="2"/>
      <c r="AEM77" s="2"/>
      <c r="AEN77" s="2"/>
      <c r="AEO77" s="2"/>
      <c r="AEP77" s="2"/>
      <c r="AEQ77" s="2"/>
      <c r="AER77" s="2"/>
      <c r="AES77" s="2"/>
      <c r="AET77" s="2"/>
      <c r="AEU77" s="2"/>
      <c r="AEV77" s="2"/>
      <c r="AEW77" s="2"/>
      <c r="AEX77" s="2"/>
      <c r="AEY77" s="2"/>
      <c r="AEZ77" s="2"/>
      <c r="AFA77" s="2"/>
      <c r="AFB77" s="2"/>
      <c r="AFC77" s="2"/>
      <c r="AFD77" s="2"/>
      <c r="AFE77" s="2"/>
      <c r="AFF77" s="2"/>
      <c r="AFG77" s="2"/>
      <c r="AFH77" s="2"/>
      <c r="AFI77" s="2"/>
      <c r="AFJ77" s="2"/>
      <c r="AFK77" s="2"/>
      <c r="AFL77" s="2"/>
      <c r="AFM77" s="2"/>
      <c r="AFN77" s="2"/>
      <c r="AFO77" s="2"/>
      <c r="AFP77" s="2"/>
      <c r="AFQ77" s="2"/>
      <c r="AFR77" s="2"/>
      <c r="AFS77" s="2"/>
      <c r="AFT77" s="2"/>
      <c r="AFU77" s="2"/>
      <c r="AFV77" s="2"/>
      <c r="AFW77" s="2"/>
      <c r="AFX77" s="2"/>
      <c r="AFY77" s="2"/>
      <c r="AFZ77" s="2"/>
      <c r="AGA77" s="2"/>
      <c r="AGB77" s="2"/>
      <c r="AGC77" s="2"/>
      <c r="AGD77" s="2"/>
      <c r="AGE77" s="2"/>
      <c r="AGF77" s="2"/>
      <c r="AGG77" s="2"/>
      <c r="AGH77" s="2"/>
      <c r="AGI77" s="2"/>
      <c r="AGJ77" s="2"/>
      <c r="AGK77" s="2"/>
      <c r="AGL77" s="2"/>
      <c r="AGM77" s="2"/>
      <c r="AGN77" s="2"/>
      <c r="AGO77" s="2"/>
      <c r="AGP77" s="2"/>
      <c r="AGQ77" s="2"/>
      <c r="AGR77" s="2"/>
      <c r="AGS77" s="2"/>
      <c r="AGT77" s="2"/>
      <c r="AGU77" s="2"/>
      <c r="AGV77" s="2"/>
      <c r="AGW77" s="2"/>
      <c r="AGX77" s="2"/>
      <c r="AGY77" s="2"/>
      <c r="AGZ77" s="2"/>
      <c r="AHA77" s="2"/>
      <c r="AHB77" s="2"/>
      <c r="AHC77" s="2"/>
      <c r="AHD77" s="2"/>
      <c r="AHE77" s="2"/>
      <c r="AHF77" s="2"/>
      <c r="AHG77" s="2"/>
      <c r="AHH77" s="2"/>
      <c r="AHI77" s="2"/>
      <c r="AHJ77" s="2"/>
      <c r="AHK77" s="2"/>
      <c r="AHL77" s="2"/>
      <c r="AHM77" s="2"/>
      <c r="AHN77" s="2"/>
      <c r="AHO77" s="2"/>
      <c r="AHP77" s="2"/>
      <c r="AHQ77" s="2"/>
      <c r="AHR77" s="2"/>
      <c r="AHS77" s="2"/>
      <c r="AHT77" s="2"/>
      <c r="AHU77" s="2"/>
      <c r="AHV77" s="2"/>
      <c r="AHW77" s="2"/>
      <c r="AHX77" s="2"/>
      <c r="AHY77" s="2"/>
      <c r="AHZ77" s="2"/>
      <c r="AIA77" s="2"/>
      <c r="AIB77" s="2"/>
      <c r="AIC77" s="2"/>
      <c r="AID77" s="2"/>
      <c r="AIE77" s="2"/>
      <c r="AIF77" s="2"/>
      <c r="AIG77" s="2"/>
      <c r="AIH77" s="2"/>
      <c r="AII77" s="2"/>
      <c r="AIJ77" s="2"/>
      <c r="AIK77" s="2"/>
      <c r="AIL77" s="2"/>
      <c r="AIM77" s="2"/>
      <c r="AIN77" s="2"/>
      <c r="AIO77" s="2"/>
      <c r="AIP77" s="2"/>
      <c r="AIQ77" s="2"/>
      <c r="AIR77" s="2"/>
      <c r="AIS77" s="2"/>
      <c r="AIT77" s="2"/>
      <c r="AIU77" s="2"/>
      <c r="AIV77" s="2"/>
      <c r="AIW77" s="2"/>
      <c r="AIX77" s="2"/>
      <c r="AIY77" s="2"/>
      <c r="AIZ77" s="2"/>
      <c r="AJA77" s="2"/>
      <c r="AJB77" s="2"/>
      <c r="AJC77" s="2"/>
      <c r="AJD77" s="2"/>
      <c r="AJE77" s="2"/>
      <c r="AJF77" s="2"/>
      <c r="AJG77" s="2"/>
      <c r="AJH77" s="2"/>
      <c r="AJI77" s="2"/>
      <c r="AJJ77" s="2"/>
      <c r="AJK77" s="2"/>
      <c r="AJL77" s="2"/>
      <c r="AJM77" s="2"/>
      <c r="AJN77" s="2"/>
      <c r="AJO77" s="2"/>
      <c r="AJP77" s="2"/>
      <c r="AJQ77" s="2"/>
      <c r="AJR77" s="2"/>
      <c r="AJS77" s="2"/>
      <c r="AJT77" s="2"/>
      <c r="AJU77" s="2"/>
      <c r="AJV77" s="2"/>
      <c r="AJW77" s="2"/>
      <c r="AJX77" s="2"/>
      <c r="AJY77" s="2"/>
      <c r="AJZ77" s="2"/>
      <c r="AKA77" s="2"/>
      <c r="AKB77" s="2"/>
      <c r="AKC77" s="2"/>
      <c r="AKD77" s="2"/>
      <c r="AKE77" s="2"/>
      <c r="AKF77" s="2"/>
      <c r="AKG77" s="2"/>
      <c r="AKH77" s="2"/>
      <c r="AKI77" s="2"/>
      <c r="AKJ77" s="2"/>
      <c r="AKK77" s="2"/>
      <c r="AKL77" s="2"/>
      <c r="AKM77" s="2"/>
      <c r="AKN77" s="2"/>
      <c r="AKO77" s="2"/>
      <c r="AKP77" s="2"/>
      <c r="AKQ77" s="2"/>
      <c r="AKR77" s="2"/>
      <c r="AKS77" s="2"/>
      <c r="AKT77" s="2"/>
      <c r="AKU77" s="2"/>
      <c r="AKV77" s="2"/>
      <c r="AKW77" s="2"/>
      <c r="AKX77" s="2"/>
      <c r="AKY77" s="2"/>
      <c r="AKZ77" s="2"/>
      <c r="ALA77" s="2"/>
      <c r="ALB77" s="2"/>
      <c r="ALC77" s="2"/>
      <c r="ALD77" s="2"/>
      <c r="ALE77" s="2"/>
      <c r="ALF77" s="2"/>
      <c r="ALG77" s="2"/>
      <c r="ALH77" s="2"/>
      <c r="ALI77" s="2"/>
      <c r="ALJ77" s="2"/>
      <c r="ALK77" s="2"/>
      <c r="ALL77" s="2"/>
      <c r="ALM77" s="2"/>
      <c r="ALN77" s="2"/>
      <c r="ALO77" s="2"/>
      <c r="ALP77" s="2"/>
      <c r="ALQ77" s="2"/>
      <c r="ALR77" s="2"/>
      <c r="ALS77" s="2"/>
      <c r="ALT77" s="2"/>
      <c r="ALU77" s="2"/>
      <c r="ALV77" s="2"/>
      <c r="ALW77" s="2"/>
      <c r="ALX77" s="2"/>
      <c r="ALY77" s="2"/>
      <c r="ALZ77" s="2"/>
      <c r="AMA77" s="2"/>
      <c r="AMB77" s="2"/>
      <c r="AMC77" s="2"/>
      <c r="AMD77" s="2"/>
      <c r="AME77" s="2"/>
      <c r="AMF77" s="2"/>
      <c r="AMG77" s="2"/>
      <c r="AMH77" s="2"/>
      <c r="AMI77" s="2"/>
      <c r="AMJ77" s="2"/>
      <c r="AMK77" s="2"/>
      <c r="AML77" s="2"/>
      <c r="AMM77" s="2"/>
      <c r="AMN77" s="2"/>
    </row>
    <row r="78" spans="1:1028" x14ac:dyDescent="0.2">
      <c r="A78" s="3" t="str">
        <f t="shared" si="222"/>
        <v>agtr1_human_4YAY</v>
      </c>
      <c r="B78" s="3" t="s">
        <v>158</v>
      </c>
      <c r="C78" s="3" t="s">
        <v>69</v>
      </c>
      <c r="D78" s="3" t="str">
        <f>IFERROR(MID(VLOOKUP($B78,Seqs!$A:$B,2,0),E78,1),"")</f>
        <v>Y</v>
      </c>
      <c r="E78" s="3">
        <v>26</v>
      </c>
      <c r="F78" s="3" t="str">
        <f>IFERROR(MID(VLOOKUP($B78,Seqs!$A:$B,2,0),G78,1),"")</f>
        <v>Y</v>
      </c>
      <c r="G78" s="3">
        <v>56</v>
      </c>
      <c r="H78" s="3" t="str">
        <f>IFERROR(MID(VLOOKUP($B78,Seqs!$A:$B,2,0),I78,1),"")</f>
        <v>M</v>
      </c>
      <c r="I78" s="23">
        <v>57</v>
      </c>
      <c r="J78" s="3" t="str">
        <f>IFERROR(MID(VLOOKUP($B78,Seqs!$A:$B,2,0),K78,1),"")</f>
        <v>K</v>
      </c>
      <c r="K78" s="23">
        <v>60</v>
      </c>
      <c r="L78" s="3" t="str">
        <f>IFERROR(MID(VLOOKUP($B78,Seqs!$A:$B,2,0),M78,1),"")</f>
        <v>T</v>
      </c>
      <c r="M78" s="3">
        <v>61</v>
      </c>
      <c r="N78" s="3" t="str">
        <f>IFERROR(MID(VLOOKUP($B78,Seqs!$A:$B,2,0),O78,1),"")</f>
        <v>M</v>
      </c>
      <c r="O78" s="3">
        <v>90</v>
      </c>
      <c r="P78" s="3" t="str">
        <f>IFERROR(MID(VLOOKUP($B78,Seqs!$A:$B,2,0),Q78,1),"")</f>
        <v>R</v>
      </c>
      <c r="Q78" s="3">
        <v>93</v>
      </c>
      <c r="R78" s="3" t="str">
        <f>IFERROR(MID(VLOOKUP($B78,Seqs!$A:$B,2,0),S78,1),"")</f>
        <v>F</v>
      </c>
      <c r="S78" s="3">
        <v>96</v>
      </c>
      <c r="T78" s="3" t="str">
        <f>IFERROR(MID(VLOOKUP($B78,Seqs!$A:$B,2,0),U78,1),"")</f>
        <v>G</v>
      </c>
      <c r="U78" s="3">
        <v>97</v>
      </c>
      <c r="V78" s="3" t="str">
        <f>IFERROR(MID(VLOOKUP($B78,Seqs!$A:$B,2,0),W78,1),"")</f>
        <v>H</v>
      </c>
      <c r="W78" s="3">
        <v>132</v>
      </c>
      <c r="X78" s="3" t="str">
        <f>IFERROR(MID(VLOOKUP($B78,Seqs!$A:$B,2,0),Y78,1),"")</f>
        <v/>
      </c>
      <c r="Y78" s="3" t="s">
        <v>23</v>
      </c>
      <c r="Z78" s="3" t="str">
        <f>IFERROR(MID(VLOOKUP($B78,Seqs!$A:$B,2,0),AA78,1),"")</f>
        <v/>
      </c>
      <c r="AA78" s="3" t="s">
        <v>23</v>
      </c>
      <c r="AB78" s="3" t="str">
        <f>IFERROR(MID(VLOOKUP($B78,Seqs!$A:$B,2,0),AC78,1),"")</f>
        <v>R</v>
      </c>
      <c r="AC78" s="9">
        <v>137</v>
      </c>
      <c r="AD78" s="3" t="str">
        <f>IFERROR(MID(VLOOKUP($B78,Seqs!$A:$B,2,0),AE78,1),"")</f>
        <v>R</v>
      </c>
      <c r="AE78" s="3">
        <v>167</v>
      </c>
      <c r="AF78" s="3" t="str">
        <f>IFERROR(MID(VLOOKUP($B78,Seqs!$A:$B,2,0),AG78,1),"")</f>
        <v>C</v>
      </c>
      <c r="AG78" s="3">
        <v>180</v>
      </c>
      <c r="AH78" s="3" t="str">
        <f>IFERROR(MID(VLOOKUP($B78,Seqs!$A:$B,2,0),AI78,1),"")</f>
        <v>F</v>
      </c>
      <c r="AI78" s="3">
        <v>182</v>
      </c>
      <c r="AJ78" s="3" t="str">
        <f>IFERROR(MID(VLOOKUP($B78,Seqs!$A:$B,2,0),AK78,1),"")</f>
        <v>L</v>
      </c>
      <c r="AK78" s="3">
        <v>191</v>
      </c>
      <c r="AL78" s="3" t="str">
        <f>IFERROR(MID(VLOOKUP($B78,Seqs!$A:$B,2,0),AM78,1),"")</f>
        <v>L</v>
      </c>
      <c r="AM78" s="3">
        <v>222</v>
      </c>
      <c r="AN78" s="3" t="str">
        <f>IFERROR(MID(VLOOKUP($B78,Seqs!$A:$B,2,0),AO78,1),"")</f>
        <v>N</v>
      </c>
      <c r="AO78" s="3">
        <v>235</v>
      </c>
      <c r="AP78" s="3" t="str">
        <f>IFERROR(MID(VLOOKUP($B78,Seqs!$A:$B,2,0),AQ78,1),"")</f>
        <v>G</v>
      </c>
      <c r="AQ78" s="3">
        <v>269</v>
      </c>
      <c r="AR78" s="3" t="str">
        <f>IFERROR(MID(VLOOKUP($B78,Seqs!$A:$B,2,0),AS78,1),"")</f>
        <v>D</v>
      </c>
      <c r="AS78" s="3">
        <v>273</v>
      </c>
      <c r="AT78" s="3" t="str">
        <f>IFERROR(MID(VLOOKUP($B78,Seqs!$A:$B,2,0),AU78,1),"")</f>
        <v>N</v>
      </c>
      <c r="AU78" s="3">
        <v>298</v>
      </c>
      <c r="AV78" s="3" t="str">
        <f>IFERROR(MID(VLOOKUP($B78,Seqs!$A:$B,2,0),AW78,1),"")</f>
        <v/>
      </c>
      <c r="AW78" s="3" t="s">
        <v>23</v>
      </c>
      <c r="AX78" s="3" t="str">
        <f>IFERROR(MID(VLOOKUP($B78,Seqs!$A:$B,2,0),AY78,1),"")</f>
        <v/>
      </c>
      <c r="AY78" s="3" t="s">
        <v>23</v>
      </c>
      <c r="AZ78" s="79" t="str">
        <f>VLOOKUP(B78,Classification!A:D,2,0)</f>
        <v>A</v>
      </c>
      <c r="BA78" s="97" t="str">
        <f>VLOOKUP(B78,Classification!A:D,4,0)</f>
        <v>Angiotensin</v>
      </c>
      <c r="BB78" s="27" t="b">
        <f t="shared" si="223"/>
        <v>1</v>
      </c>
      <c r="BC78" s="23">
        <f t="shared" si="196"/>
        <v>234</v>
      </c>
      <c r="BD78" s="4" t="s">
        <v>23</v>
      </c>
      <c r="BE78" s="3" t="s">
        <v>1381</v>
      </c>
      <c r="BF78" s="50" t="s">
        <v>1384</v>
      </c>
      <c r="BG78" s="50" t="s">
        <v>1384</v>
      </c>
      <c r="BH78" s="1"/>
      <c r="BI78" s="72" t="s">
        <v>1293</v>
      </c>
      <c r="BJ78" s="58" t="s">
        <v>1293</v>
      </c>
      <c r="BK78" s="58" t="s">
        <v>1293</v>
      </c>
      <c r="BL78" s="58" t="s">
        <v>1293</v>
      </c>
      <c r="BM78" s="58" t="s">
        <v>1293</v>
      </c>
      <c r="BN78" s="58" t="s">
        <v>1293</v>
      </c>
      <c r="BO78" s="58" t="s">
        <v>1293</v>
      </c>
      <c r="BP78" s="58" t="s">
        <v>1293</v>
      </c>
      <c r="BQ78" s="58" t="s">
        <v>1293</v>
      </c>
      <c r="BR78" s="58" t="s">
        <v>1293</v>
      </c>
      <c r="BS78" s="58" t="s">
        <v>1293</v>
      </c>
      <c r="BT78" s="58" t="s">
        <v>1293</v>
      </c>
      <c r="BU78" s="72">
        <f t="shared" si="197"/>
        <v>26</v>
      </c>
      <c r="BV78" s="73">
        <f t="shared" si="198"/>
        <v>57</v>
      </c>
      <c r="BW78" s="74">
        <f t="shared" si="199"/>
        <v>61</v>
      </c>
      <c r="BX78" s="73">
        <f t="shared" si="200"/>
        <v>93</v>
      </c>
      <c r="BY78" s="74">
        <f t="shared" si="201"/>
        <v>97</v>
      </c>
      <c r="BZ78" s="73" t="str">
        <f t="shared" si="202"/>
        <v>-</v>
      </c>
      <c r="CA78" s="74">
        <f t="shared" si="203"/>
        <v>137</v>
      </c>
      <c r="CB78" s="73">
        <f t="shared" si="204"/>
        <v>180</v>
      </c>
      <c r="CC78" s="74">
        <f t="shared" si="205"/>
        <v>191</v>
      </c>
      <c r="CD78" s="73">
        <f t="shared" si="206"/>
        <v>235</v>
      </c>
      <c r="CE78" s="74">
        <f t="shared" si="207"/>
        <v>273</v>
      </c>
      <c r="CF78" s="73" t="str">
        <f t="shared" si="208"/>
        <v>-</v>
      </c>
      <c r="CG78" s="72">
        <f t="shared" si="209"/>
        <v>56</v>
      </c>
      <c r="CH78" s="73">
        <f t="shared" si="210"/>
        <v>60</v>
      </c>
      <c r="CI78" s="74">
        <f t="shared" si="211"/>
        <v>90</v>
      </c>
      <c r="CJ78" s="74">
        <f t="shared" si="212"/>
        <v>96</v>
      </c>
      <c r="CK78" s="74">
        <f t="shared" si="213"/>
        <v>132</v>
      </c>
      <c r="CL78" s="74" t="str">
        <f t="shared" si="214"/>
        <v>-</v>
      </c>
      <c r="CM78" s="74">
        <f t="shared" si="215"/>
        <v>167</v>
      </c>
      <c r="CN78" s="74">
        <f t="shared" si="216"/>
        <v>182</v>
      </c>
      <c r="CO78" s="74">
        <f t="shared" si="217"/>
        <v>222</v>
      </c>
      <c r="CP78" s="74">
        <f t="shared" si="218"/>
        <v>269</v>
      </c>
      <c r="CQ78" s="74">
        <f t="shared" si="219"/>
        <v>298</v>
      </c>
      <c r="CR78" s="74" t="str">
        <f t="shared" si="220"/>
        <v>-</v>
      </c>
      <c r="CS78" s="23">
        <f t="shared" si="221"/>
        <v>1</v>
      </c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  <c r="IW78" s="2"/>
      <c r="IX78" s="2"/>
      <c r="IY78" s="2"/>
      <c r="IZ78" s="2"/>
      <c r="JA78" s="2"/>
      <c r="JB78" s="2"/>
      <c r="JC78" s="2"/>
      <c r="JD78" s="2"/>
      <c r="JE78" s="2"/>
      <c r="JF78" s="2"/>
      <c r="JG78" s="2"/>
      <c r="JH78" s="2"/>
      <c r="JI78" s="2"/>
      <c r="JJ78" s="2"/>
      <c r="JK78" s="2"/>
      <c r="JL78" s="2"/>
      <c r="JM78" s="2"/>
      <c r="JN78" s="2"/>
      <c r="JO78" s="2"/>
      <c r="JP78" s="2"/>
      <c r="JQ78" s="2"/>
      <c r="JR78" s="2"/>
      <c r="JS78" s="2"/>
      <c r="JT78" s="2"/>
      <c r="JU78" s="2"/>
      <c r="JV78" s="2"/>
      <c r="JW78" s="2"/>
      <c r="JX78" s="2"/>
      <c r="JY78" s="2"/>
      <c r="JZ78" s="2"/>
      <c r="KA78" s="2"/>
      <c r="KB78" s="2"/>
      <c r="KC78" s="2"/>
      <c r="KD78" s="2"/>
      <c r="KE78" s="2"/>
      <c r="KF78" s="2"/>
      <c r="KG78" s="2"/>
      <c r="KH78" s="2"/>
      <c r="KI78" s="2"/>
      <c r="KJ78" s="2"/>
      <c r="KK78" s="2"/>
      <c r="KL78" s="2"/>
      <c r="KM78" s="2"/>
      <c r="KN78" s="2"/>
      <c r="KO78" s="2"/>
      <c r="KP78" s="2"/>
      <c r="KQ78" s="2"/>
      <c r="KR78" s="2"/>
      <c r="KS78" s="2"/>
      <c r="KT78" s="2"/>
      <c r="KU78" s="2"/>
      <c r="KV78" s="2"/>
      <c r="KW78" s="2"/>
      <c r="KX78" s="2"/>
      <c r="KY78" s="2"/>
      <c r="KZ78" s="2"/>
      <c r="LA78" s="2"/>
      <c r="LB78" s="2"/>
      <c r="LC78" s="2"/>
      <c r="LD78" s="2"/>
      <c r="LE78" s="2"/>
      <c r="LF78" s="2"/>
      <c r="LG78" s="2"/>
      <c r="LH78" s="2"/>
      <c r="LI78" s="2"/>
      <c r="LJ78" s="2"/>
      <c r="LK78" s="2"/>
      <c r="LL78" s="2"/>
      <c r="LM78" s="2"/>
      <c r="LN78" s="2"/>
      <c r="LO78" s="2"/>
      <c r="LP78" s="2"/>
      <c r="LQ78" s="2"/>
      <c r="LR78" s="2"/>
      <c r="LS78" s="2"/>
      <c r="LT78" s="2"/>
      <c r="LU78" s="2"/>
      <c r="LV78" s="2"/>
      <c r="LW78" s="2"/>
      <c r="LX78" s="2"/>
      <c r="LY78" s="2"/>
      <c r="LZ78" s="2"/>
      <c r="MA78" s="2"/>
      <c r="MB78" s="2"/>
      <c r="MC78" s="2"/>
      <c r="MD78" s="2"/>
      <c r="ME78" s="2"/>
      <c r="MF78" s="2"/>
      <c r="MG78" s="2"/>
      <c r="MH78" s="2"/>
      <c r="MI78" s="2"/>
      <c r="MJ78" s="2"/>
      <c r="MK78" s="2"/>
      <c r="ML78" s="2"/>
      <c r="MM78" s="2"/>
      <c r="MN78" s="2"/>
      <c r="MO78" s="2"/>
      <c r="MP78" s="2"/>
      <c r="MQ78" s="2"/>
      <c r="MR78" s="2"/>
      <c r="MS78" s="2"/>
      <c r="MT78" s="2"/>
      <c r="MU78" s="2"/>
      <c r="MV78" s="2"/>
      <c r="MW78" s="2"/>
      <c r="MX78" s="2"/>
      <c r="MY78" s="2"/>
      <c r="MZ78" s="2"/>
      <c r="NA78" s="2"/>
      <c r="NB78" s="2"/>
      <c r="NC78" s="2"/>
      <c r="ND78" s="2"/>
      <c r="NE78" s="2"/>
      <c r="NF78" s="2"/>
      <c r="NG78" s="2"/>
      <c r="NH78" s="2"/>
      <c r="NI78" s="2"/>
      <c r="NJ78" s="2"/>
      <c r="NK78" s="2"/>
      <c r="NL78" s="2"/>
      <c r="NM78" s="2"/>
      <c r="NN78" s="2"/>
      <c r="NO78" s="2"/>
      <c r="NP78" s="2"/>
      <c r="NQ78" s="2"/>
      <c r="NR78" s="2"/>
      <c r="NS78" s="2"/>
      <c r="NT78" s="2"/>
      <c r="NU78" s="2"/>
      <c r="NV78" s="2"/>
      <c r="NW78" s="2"/>
      <c r="NX78" s="2"/>
      <c r="NY78" s="2"/>
      <c r="NZ78" s="2"/>
      <c r="OA78" s="2"/>
      <c r="OB78" s="2"/>
      <c r="OC78" s="2"/>
      <c r="OD78" s="2"/>
      <c r="OE78" s="2"/>
      <c r="OF78" s="2"/>
      <c r="OG78" s="2"/>
      <c r="OH78" s="2"/>
      <c r="OI78" s="2"/>
      <c r="OJ78" s="2"/>
      <c r="OK78" s="2"/>
      <c r="OL78" s="2"/>
      <c r="OM78" s="2"/>
      <c r="ON78" s="2"/>
      <c r="OO78" s="2"/>
      <c r="OP78" s="2"/>
      <c r="OQ78" s="2"/>
      <c r="OR78" s="2"/>
      <c r="OS78" s="2"/>
      <c r="OT78" s="2"/>
      <c r="OU78" s="2"/>
      <c r="OV78" s="2"/>
      <c r="OW78" s="2"/>
      <c r="OX78" s="2"/>
      <c r="OY78" s="2"/>
      <c r="OZ78" s="2"/>
      <c r="PA78" s="2"/>
      <c r="PB78" s="2"/>
      <c r="PC78" s="2"/>
      <c r="PD78" s="2"/>
      <c r="PE78" s="2"/>
      <c r="PF78" s="2"/>
      <c r="PG78" s="2"/>
      <c r="PH78" s="2"/>
      <c r="PI78" s="2"/>
      <c r="PJ78" s="2"/>
      <c r="PK78" s="2"/>
      <c r="PL78" s="2"/>
      <c r="PM78" s="2"/>
      <c r="PN78" s="2"/>
      <c r="PO78" s="2"/>
      <c r="PP78" s="2"/>
      <c r="PQ78" s="2"/>
      <c r="PR78" s="2"/>
      <c r="PS78" s="2"/>
      <c r="PT78" s="2"/>
      <c r="PU78" s="2"/>
      <c r="PV78" s="2"/>
      <c r="PW78" s="2"/>
      <c r="PX78" s="2"/>
      <c r="PY78" s="2"/>
      <c r="PZ78" s="2"/>
      <c r="QA78" s="2"/>
      <c r="QB78" s="2"/>
      <c r="QC78" s="2"/>
      <c r="QD78" s="2"/>
      <c r="QE78" s="2"/>
      <c r="QF78" s="2"/>
      <c r="QG78" s="2"/>
      <c r="QH78" s="2"/>
      <c r="QI78" s="2"/>
      <c r="QJ78" s="2"/>
      <c r="QK78" s="2"/>
      <c r="QL78" s="2"/>
      <c r="QM78" s="2"/>
      <c r="QN78" s="2"/>
      <c r="QO78" s="2"/>
      <c r="QP78" s="2"/>
      <c r="QQ78" s="2"/>
      <c r="QR78" s="2"/>
      <c r="QS78" s="2"/>
      <c r="QT78" s="2"/>
      <c r="QU78" s="2"/>
      <c r="QV78" s="2"/>
      <c r="QW78" s="2"/>
      <c r="QX78" s="2"/>
      <c r="QY78" s="2"/>
      <c r="QZ78" s="2"/>
      <c r="RA78" s="2"/>
      <c r="RB78" s="2"/>
      <c r="RC78" s="2"/>
      <c r="RD78" s="2"/>
      <c r="RE78" s="2"/>
      <c r="RF78" s="2"/>
      <c r="RG78" s="2"/>
      <c r="RH78" s="2"/>
      <c r="RI78" s="2"/>
      <c r="RJ78" s="2"/>
      <c r="RK78" s="2"/>
      <c r="RL78" s="2"/>
      <c r="RM78" s="2"/>
      <c r="RN78" s="2"/>
      <c r="RO78" s="2"/>
      <c r="RP78" s="2"/>
      <c r="RQ78" s="2"/>
      <c r="RR78" s="2"/>
      <c r="RS78" s="2"/>
      <c r="RT78" s="2"/>
      <c r="RU78" s="2"/>
      <c r="RV78" s="2"/>
      <c r="RW78" s="2"/>
      <c r="RX78" s="2"/>
      <c r="RY78" s="2"/>
      <c r="RZ78" s="2"/>
      <c r="SA78" s="2"/>
      <c r="SB78" s="2"/>
      <c r="SC78" s="2"/>
      <c r="SD78" s="2"/>
      <c r="SE78" s="2"/>
      <c r="SF78" s="2"/>
      <c r="SG78" s="2"/>
      <c r="SH78" s="2"/>
      <c r="SI78" s="2"/>
      <c r="SJ78" s="2"/>
      <c r="SK78" s="2"/>
      <c r="SL78" s="2"/>
      <c r="SM78" s="2"/>
      <c r="SN78" s="2"/>
      <c r="SO78" s="2"/>
      <c r="SP78" s="2"/>
      <c r="SQ78" s="2"/>
      <c r="SR78" s="2"/>
      <c r="SS78" s="2"/>
      <c r="ST78" s="2"/>
      <c r="SU78" s="2"/>
      <c r="SV78" s="2"/>
      <c r="SW78" s="2"/>
      <c r="SX78" s="2"/>
      <c r="SY78" s="2"/>
      <c r="SZ78" s="2"/>
      <c r="TA78" s="2"/>
      <c r="TB78" s="2"/>
      <c r="TC78" s="2"/>
      <c r="TD78" s="2"/>
      <c r="TE78" s="2"/>
      <c r="TF78" s="2"/>
      <c r="TG78" s="2"/>
      <c r="TH78" s="2"/>
      <c r="TI78" s="2"/>
      <c r="TJ78" s="2"/>
      <c r="TK78" s="2"/>
      <c r="TL78" s="2"/>
      <c r="TM78" s="2"/>
      <c r="TN78" s="2"/>
      <c r="TO78" s="2"/>
      <c r="TP78" s="2"/>
      <c r="TQ78" s="2"/>
      <c r="TR78" s="2"/>
      <c r="TS78" s="2"/>
      <c r="TT78" s="2"/>
      <c r="TU78" s="2"/>
      <c r="TV78" s="2"/>
      <c r="TW78" s="2"/>
      <c r="TX78" s="2"/>
      <c r="TY78" s="2"/>
      <c r="TZ78" s="2"/>
      <c r="UA78" s="2"/>
      <c r="UB78" s="2"/>
      <c r="UC78" s="2"/>
      <c r="UD78" s="2"/>
      <c r="UE78" s="2"/>
      <c r="UF78" s="2"/>
      <c r="UG78" s="2"/>
      <c r="UH78" s="2"/>
      <c r="UI78" s="2"/>
      <c r="UJ78" s="2"/>
      <c r="UK78" s="2"/>
      <c r="UL78" s="2"/>
      <c r="UM78" s="2"/>
      <c r="UN78" s="2"/>
      <c r="UO78" s="2"/>
      <c r="UP78" s="2"/>
      <c r="UQ78" s="2"/>
      <c r="UR78" s="2"/>
      <c r="US78" s="2"/>
      <c r="UT78" s="2"/>
      <c r="UU78" s="2"/>
      <c r="UV78" s="2"/>
      <c r="UW78" s="2"/>
      <c r="UX78" s="2"/>
      <c r="UY78" s="2"/>
      <c r="UZ78" s="2"/>
      <c r="VA78" s="2"/>
      <c r="VB78" s="2"/>
      <c r="VC78" s="2"/>
      <c r="VD78" s="2"/>
      <c r="VE78" s="2"/>
      <c r="VF78" s="2"/>
      <c r="VG78" s="2"/>
      <c r="VH78" s="2"/>
      <c r="VI78" s="2"/>
      <c r="VJ78" s="2"/>
      <c r="VK78" s="2"/>
      <c r="VL78" s="2"/>
      <c r="VM78" s="2"/>
      <c r="VN78" s="2"/>
      <c r="VO78" s="2"/>
      <c r="VP78" s="2"/>
      <c r="VQ78" s="2"/>
      <c r="VR78" s="2"/>
      <c r="VS78" s="2"/>
      <c r="VT78" s="2"/>
      <c r="VU78" s="2"/>
      <c r="VV78" s="2"/>
      <c r="VW78" s="2"/>
      <c r="VX78" s="2"/>
      <c r="VY78" s="2"/>
      <c r="VZ78" s="2"/>
      <c r="WA78" s="2"/>
      <c r="WB78" s="2"/>
      <c r="WC78" s="2"/>
      <c r="WD78" s="2"/>
      <c r="WE78" s="2"/>
      <c r="WF78" s="2"/>
      <c r="WG78" s="2"/>
      <c r="WH78" s="2"/>
      <c r="WI78" s="2"/>
      <c r="WJ78" s="2"/>
      <c r="WK78" s="2"/>
      <c r="WL78" s="2"/>
      <c r="WM78" s="2"/>
      <c r="WN78" s="2"/>
      <c r="WO78" s="2"/>
      <c r="WP78" s="2"/>
      <c r="WQ78" s="2"/>
      <c r="WR78" s="2"/>
      <c r="WS78" s="2"/>
      <c r="WT78" s="2"/>
      <c r="WU78" s="2"/>
      <c r="WV78" s="2"/>
      <c r="WW78" s="2"/>
      <c r="WX78" s="2"/>
      <c r="WY78" s="2"/>
      <c r="WZ78" s="2"/>
      <c r="XA78" s="2"/>
      <c r="XB78" s="2"/>
      <c r="XC78" s="2"/>
      <c r="XD78" s="2"/>
      <c r="XE78" s="2"/>
      <c r="XF78" s="2"/>
      <c r="XG78" s="2"/>
      <c r="XH78" s="2"/>
      <c r="XI78" s="2"/>
      <c r="XJ78" s="2"/>
      <c r="XK78" s="2"/>
      <c r="XL78" s="2"/>
      <c r="XM78" s="2"/>
      <c r="XN78" s="2"/>
      <c r="XO78" s="2"/>
      <c r="XP78" s="2"/>
      <c r="XQ78" s="2"/>
      <c r="XR78" s="2"/>
      <c r="XS78" s="2"/>
      <c r="XT78" s="2"/>
      <c r="XU78" s="2"/>
      <c r="XV78" s="2"/>
      <c r="XW78" s="2"/>
      <c r="XX78" s="2"/>
      <c r="XY78" s="2"/>
      <c r="XZ78" s="2"/>
      <c r="YA78" s="2"/>
      <c r="YB78" s="2"/>
      <c r="YC78" s="2"/>
      <c r="YD78" s="2"/>
      <c r="YE78" s="2"/>
      <c r="YF78" s="2"/>
      <c r="YG78" s="2"/>
      <c r="YH78" s="2"/>
      <c r="YI78" s="2"/>
      <c r="YJ78" s="2"/>
      <c r="YK78" s="2"/>
      <c r="YL78" s="2"/>
      <c r="YM78" s="2"/>
      <c r="YN78" s="2"/>
      <c r="YO78" s="2"/>
      <c r="YP78" s="2"/>
      <c r="YQ78" s="2"/>
      <c r="YR78" s="2"/>
      <c r="YS78" s="2"/>
      <c r="YT78" s="2"/>
      <c r="YU78" s="2"/>
      <c r="YV78" s="2"/>
      <c r="YW78" s="2"/>
      <c r="YX78" s="2"/>
      <c r="YY78" s="2"/>
      <c r="YZ78" s="2"/>
      <c r="ZA78" s="2"/>
      <c r="ZB78" s="2"/>
      <c r="ZC78" s="2"/>
      <c r="ZD78" s="2"/>
      <c r="ZE78" s="2"/>
      <c r="ZF78" s="2"/>
      <c r="ZG78" s="2"/>
      <c r="ZH78" s="2"/>
      <c r="ZI78" s="2"/>
      <c r="ZJ78" s="2"/>
      <c r="ZK78" s="2"/>
      <c r="ZL78" s="2"/>
      <c r="ZM78" s="2"/>
      <c r="ZN78" s="2"/>
      <c r="ZO78" s="2"/>
      <c r="ZP78" s="2"/>
      <c r="ZQ78" s="2"/>
      <c r="ZR78" s="2"/>
      <c r="ZS78" s="2"/>
      <c r="ZT78" s="2"/>
      <c r="ZU78" s="2"/>
      <c r="ZV78" s="2"/>
      <c r="ZW78" s="2"/>
      <c r="ZX78" s="2"/>
      <c r="ZY78" s="2"/>
      <c r="ZZ78" s="2"/>
      <c r="AAA78" s="2"/>
      <c r="AAB78" s="2"/>
      <c r="AAC78" s="2"/>
      <c r="AAD78" s="2"/>
      <c r="AAE78" s="2"/>
      <c r="AAF78" s="2"/>
      <c r="AAG78" s="2"/>
      <c r="AAH78" s="2"/>
      <c r="AAI78" s="2"/>
      <c r="AAJ78" s="2"/>
      <c r="AAK78" s="2"/>
      <c r="AAL78" s="2"/>
      <c r="AAM78" s="2"/>
      <c r="AAN78" s="2"/>
      <c r="AAO78" s="2"/>
      <c r="AAP78" s="2"/>
      <c r="AAQ78" s="2"/>
      <c r="AAR78" s="2"/>
      <c r="AAS78" s="2"/>
      <c r="AAT78" s="2"/>
      <c r="AAU78" s="2"/>
      <c r="AAV78" s="2"/>
      <c r="AAW78" s="2"/>
      <c r="AAX78" s="2"/>
      <c r="AAY78" s="2"/>
      <c r="AAZ78" s="2"/>
      <c r="ABA78" s="2"/>
      <c r="ABB78" s="2"/>
      <c r="ABC78" s="2"/>
      <c r="ABD78" s="2"/>
      <c r="ABE78" s="2"/>
      <c r="ABF78" s="2"/>
      <c r="ABG78" s="2"/>
      <c r="ABH78" s="2"/>
      <c r="ABI78" s="2"/>
      <c r="ABJ78" s="2"/>
      <c r="ABK78" s="2"/>
      <c r="ABL78" s="2"/>
      <c r="ABM78" s="2"/>
      <c r="ABN78" s="2"/>
      <c r="ABO78" s="2"/>
      <c r="ABP78" s="2"/>
      <c r="ABQ78" s="2"/>
      <c r="ABR78" s="2"/>
      <c r="ABS78" s="2"/>
      <c r="ABT78" s="2"/>
      <c r="ABU78" s="2"/>
      <c r="ABV78" s="2"/>
      <c r="ABW78" s="2"/>
      <c r="ABX78" s="2"/>
      <c r="ABY78" s="2"/>
      <c r="ABZ78" s="2"/>
      <c r="ACA78" s="2"/>
      <c r="ACB78" s="2"/>
      <c r="ACC78" s="2"/>
      <c r="ACD78" s="2"/>
      <c r="ACE78" s="2"/>
      <c r="ACF78" s="2"/>
      <c r="ACG78" s="2"/>
      <c r="ACH78" s="2"/>
      <c r="ACI78" s="2"/>
      <c r="ACJ78" s="2"/>
      <c r="ACK78" s="2"/>
      <c r="ACL78" s="2"/>
      <c r="ACM78" s="2"/>
      <c r="ACN78" s="2"/>
      <c r="ACO78" s="2"/>
      <c r="ACP78" s="2"/>
      <c r="ACQ78" s="2"/>
      <c r="ACR78" s="2"/>
      <c r="ACS78" s="2"/>
      <c r="ACT78" s="2"/>
      <c r="ACU78" s="2"/>
      <c r="ACV78" s="2"/>
      <c r="ACW78" s="2"/>
      <c r="ACX78" s="2"/>
      <c r="ACY78" s="2"/>
      <c r="ACZ78" s="2"/>
      <c r="ADA78" s="2"/>
      <c r="ADB78" s="2"/>
      <c r="ADC78" s="2"/>
      <c r="ADD78" s="2"/>
      <c r="ADE78" s="2"/>
      <c r="ADF78" s="2"/>
      <c r="ADG78" s="2"/>
      <c r="ADH78" s="2"/>
      <c r="ADI78" s="2"/>
      <c r="ADJ78" s="2"/>
      <c r="ADK78" s="2"/>
      <c r="ADL78" s="2"/>
      <c r="ADM78" s="2"/>
      <c r="ADN78" s="2"/>
      <c r="ADO78" s="2"/>
      <c r="ADP78" s="2"/>
      <c r="ADQ78" s="2"/>
      <c r="ADR78" s="2"/>
      <c r="ADS78" s="2"/>
      <c r="ADT78" s="2"/>
      <c r="ADU78" s="2"/>
      <c r="ADV78" s="2"/>
      <c r="ADW78" s="2"/>
      <c r="ADX78" s="2"/>
      <c r="ADY78" s="2"/>
      <c r="ADZ78" s="2"/>
      <c r="AEA78" s="2"/>
      <c r="AEB78" s="2"/>
      <c r="AEC78" s="2"/>
      <c r="AED78" s="2"/>
      <c r="AEE78" s="2"/>
      <c r="AEF78" s="2"/>
      <c r="AEG78" s="2"/>
      <c r="AEH78" s="2"/>
      <c r="AEI78" s="2"/>
      <c r="AEJ78" s="2"/>
      <c r="AEK78" s="2"/>
      <c r="AEL78" s="2"/>
      <c r="AEM78" s="2"/>
      <c r="AEN78" s="2"/>
      <c r="AEO78" s="2"/>
      <c r="AEP78" s="2"/>
      <c r="AEQ78" s="2"/>
      <c r="AER78" s="2"/>
      <c r="AES78" s="2"/>
      <c r="AET78" s="2"/>
      <c r="AEU78" s="2"/>
      <c r="AEV78" s="2"/>
      <c r="AEW78" s="2"/>
      <c r="AEX78" s="2"/>
      <c r="AEY78" s="2"/>
      <c r="AEZ78" s="2"/>
      <c r="AFA78" s="2"/>
      <c r="AFB78" s="2"/>
      <c r="AFC78" s="2"/>
      <c r="AFD78" s="2"/>
      <c r="AFE78" s="2"/>
      <c r="AFF78" s="2"/>
      <c r="AFG78" s="2"/>
      <c r="AFH78" s="2"/>
      <c r="AFI78" s="2"/>
      <c r="AFJ78" s="2"/>
      <c r="AFK78" s="2"/>
      <c r="AFL78" s="2"/>
      <c r="AFM78" s="2"/>
      <c r="AFN78" s="2"/>
      <c r="AFO78" s="2"/>
      <c r="AFP78" s="2"/>
      <c r="AFQ78" s="2"/>
      <c r="AFR78" s="2"/>
      <c r="AFS78" s="2"/>
      <c r="AFT78" s="2"/>
      <c r="AFU78" s="2"/>
      <c r="AFV78" s="2"/>
      <c r="AFW78" s="2"/>
      <c r="AFX78" s="2"/>
      <c r="AFY78" s="2"/>
      <c r="AFZ78" s="2"/>
      <c r="AGA78" s="2"/>
      <c r="AGB78" s="2"/>
      <c r="AGC78" s="2"/>
      <c r="AGD78" s="2"/>
      <c r="AGE78" s="2"/>
      <c r="AGF78" s="2"/>
      <c r="AGG78" s="2"/>
      <c r="AGH78" s="2"/>
      <c r="AGI78" s="2"/>
      <c r="AGJ78" s="2"/>
      <c r="AGK78" s="2"/>
      <c r="AGL78" s="2"/>
      <c r="AGM78" s="2"/>
      <c r="AGN78" s="2"/>
      <c r="AGO78" s="2"/>
      <c r="AGP78" s="2"/>
      <c r="AGQ78" s="2"/>
      <c r="AGR78" s="2"/>
      <c r="AGS78" s="2"/>
      <c r="AGT78" s="2"/>
      <c r="AGU78" s="2"/>
      <c r="AGV78" s="2"/>
      <c r="AGW78" s="2"/>
      <c r="AGX78" s="2"/>
      <c r="AGY78" s="2"/>
      <c r="AGZ78" s="2"/>
      <c r="AHA78" s="2"/>
      <c r="AHB78" s="2"/>
      <c r="AHC78" s="2"/>
      <c r="AHD78" s="2"/>
      <c r="AHE78" s="2"/>
      <c r="AHF78" s="2"/>
      <c r="AHG78" s="2"/>
      <c r="AHH78" s="2"/>
      <c r="AHI78" s="2"/>
      <c r="AHJ78" s="2"/>
      <c r="AHK78" s="2"/>
      <c r="AHL78" s="2"/>
      <c r="AHM78" s="2"/>
      <c r="AHN78" s="2"/>
      <c r="AHO78" s="2"/>
      <c r="AHP78" s="2"/>
      <c r="AHQ78" s="2"/>
      <c r="AHR78" s="2"/>
      <c r="AHS78" s="2"/>
      <c r="AHT78" s="2"/>
      <c r="AHU78" s="2"/>
      <c r="AHV78" s="2"/>
      <c r="AHW78" s="2"/>
      <c r="AHX78" s="2"/>
      <c r="AHY78" s="2"/>
      <c r="AHZ78" s="2"/>
      <c r="AIA78" s="2"/>
      <c r="AIB78" s="2"/>
      <c r="AIC78" s="2"/>
      <c r="AID78" s="2"/>
      <c r="AIE78" s="2"/>
      <c r="AIF78" s="2"/>
      <c r="AIG78" s="2"/>
      <c r="AIH78" s="2"/>
      <c r="AII78" s="2"/>
      <c r="AIJ78" s="2"/>
      <c r="AIK78" s="2"/>
      <c r="AIL78" s="2"/>
      <c r="AIM78" s="2"/>
      <c r="AIN78" s="2"/>
      <c r="AIO78" s="2"/>
      <c r="AIP78" s="2"/>
      <c r="AIQ78" s="2"/>
      <c r="AIR78" s="2"/>
      <c r="AIS78" s="2"/>
      <c r="AIT78" s="2"/>
      <c r="AIU78" s="2"/>
      <c r="AIV78" s="2"/>
      <c r="AIW78" s="2"/>
      <c r="AIX78" s="2"/>
      <c r="AIY78" s="2"/>
      <c r="AIZ78" s="2"/>
      <c r="AJA78" s="2"/>
      <c r="AJB78" s="2"/>
      <c r="AJC78" s="2"/>
      <c r="AJD78" s="2"/>
      <c r="AJE78" s="2"/>
      <c r="AJF78" s="2"/>
      <c r="AJG78" s="2"/>
      <c r="AJH78" s="2"/>
      <c r="AJI78" s="2"/>
      <c r="AJJ78" s="2"/>
      <c r="AJK78" s="2"/>
      <c r="AJL78" s="2"/>
      <c r="AJM78" s="2"/>
      <c r="AJN78" s="2"/>
      <c r="AJO78" s="2"/>
      <c r="AJP78" s="2"/>
      <c r="AJQ78" s="2"/>
      <c r="AJR78" s="2"/>
      <c r="AJS78" s="2"/>
      <c r="AJT78" s="2"/>
      <c r="AJU78" s="2"/>
      <c r="AJV78" s="2"/>
      <c r="AJW78" s="2"/>
      <c r="AJX78" s="2"/>
      <c r="AJY78" s="2"/>
      <c r="AJZ78" s="2"/>
      <c r="AKA78" s="2"/>
      <c r="AKB78" s="2"/>
      <c r="AKC78" s="2"/>
      <c r="AKD78" s="2"/>
      <c r="AKE78" s="2"/>
      <c r="AKF78" s="2"/>
      <c r="AKG78" s="2"/>
      <c r="AKH78" s="2"/>
      <c r="AKI78" s="2"/>
      <c r="AKJ78" s="2"/>
      <c r="AKK78" s="2"/>
      <c r="AKL78" s="2"/>
      <c r="AKM78" s="2"/>
      <c r="AKN78" s="2"/>
      <c r="AKO78" s="2"/>
      <c r="AKP78" s="2"/>
      <c r="AKQ78" s="2"/>
      <c r="AKR78" s="2"/>
      <c r="AKS78" s="2"/>
      <c r="AKT78" s="2"/>
      <c r="AKU78" s="2"/>
      <c r="AKV78" s="2"/>
      <c r="AKW78" s="2"/>
      <c r="AKX78" s="2"/>
      <c r="AKY78" s="2"/>
      <c r="AKZ78" s="2"/>
      <c r="ALA78" s="2"/>
      <c r="ALB78" s="2"/>
      <c r="ALC78" s="2"/>
      <c r="ALD78" s="2"/>
      <c r="ALE78" s="2"/>
      <c r="ALF78" s="2"/>
      <c r="ALG78" s="2"/>
      <c r="ALH78" s="2"/>
      <c r="ALI78" s="2"/>
      <c r="ALJ78" s="2"/>
      <c r="ALK78" s="2"/>
      <c r="ALL78" s="2"/>
      <c r="ALM78" s="2"/>
      <c r="ALN78" s="2"/>
      <c r="ALO78" s="2"/>
      <c r="ALP78" s="2"/>
      <c r="ALQ78" s="2"/>
      <c r="ALR78" s="2"/>
      <c r="ALS78" s="2"/>
      <c r="ALT78" s="2"/>
      <c r="ALU78" s="2"/>
      <c r="ALV78" s="2"/>
      <c r="ALW78" s="2"/>
      <c r="ALX78" s="2"/>
      <c r="ALY78" s="2"/>
      <c r="ALZ78" s="2"/>
      <c r="AMA78" s="2"/>
      <c r="AMB78" s="2"/>
      <c r="AMC78" s="2"/>
      <c r="AMD78" s="2"/>
      <c r="AME78" s="2"/>
      <c r="AMF78" s="2"/>
      <c r="AMG78" s="2"/>
      <c r="AMH78" s="2"/>
      <c r="AMI78" s="2"/>
      <c r="AMJ78" s="2"/>
      <c r="AMK78" s="2"/>
      <c r="AML78" s="2"/>
      <c r="AMM78" s="2"/>
      <c r="AMN78" s="2"/>
    </row>
    <row r="79" spans="1:1028" x14ac:dyDescent="0.2">
      <c r="A79" s="3" t="str">
        <f t="shared" si="222"/>
        <v>agtr1_human_4YAY_dist</v>
      </c>
      <c r="B79" s="3" t="s">
        <v>158</v>
      </c>
      <c r="C79" s="3" t="s">
        <v>1160</v>
      </c>
      <c r="D79" s="3" t="str">
        <f>IFERROR(MID(VLOOKUP($B79,Seqs!$A:$B,2,0),E79,1),"")</f>
        <v>Y</v>
      </c>
      <c r="E79" s="3">
        <v>26</v>
      </c>
      <c r="F79" s="3" t="str">
        <f>IFERROR(MID(VLOOKUP($B79,Seqs!$A:$B,2,0),G79,1),"")</f>
        <v>Y</v>
      </c>
      <c r="G79" s="3">
        <v>56</v>
      </c>
      <c r="H79" s="3" t="str">
        <f>IFERROR(MID(VLOOKUP($B79,Seqs!$A:$B,2,0),I79,1),"")</f>
        <v>M</v>
      </c>
      <c r="I79" s="23">
        <v>57</v>
      </c>
      <c r="J79" s="3" t="str">
        <f>IFERROR(MID(VLOOKUP($B79,Seqs!$A:$B,2,0),K79,1),"")</f>
        <v>K</v>
      </c>
      <c r="K79" s="23">
        <v>60</v>
      </c>
      <c r="L79" s="3" t="str">
        <f>IFERROR(MID(VLOOKUP($B79,Seqs!$A:$B,2,0),M79,1),"")</f>
        <v>T</v>
      </c>
      <c r="M79" s="3">
        <v>61</v>
      </c>
      <c r="N79" s="3" t="str">
        <f>IFERROR(MID(VLOOKUP($B79,Seqs!$A:$B,2,0),O79,1),"")</f>
        <v>M</v>
      </c>
      <c r="O79" s="3">
        <v>90</v>
      </c>
      <c r="P79" s="3" t="str">
        <f>IFERROR(MID(VLOOKUP($B79,Seqs!$A:$B,2,0),Q79,1),"")</f>
        <v>R</v>
      </c>
      <c r="Q79" s="3">
        <v>93</v>
      </c>
      <c r="R79" s="3" t="str">
        <f>IFERROR(MID(VLOOKUP($B79,Seqs!$A:$B,2,0),S79,1),"")</f>
        <v>F</v>
      </c>
      <c r="S79" s="3">
        <v>96</v>
      </c>
      <c r="T79" s="3" t="str">
        <f>IFERROR(MID(VLOOKUP($B79,Seqs!$A:$B,2,0),U79,1),"")</f>
        <v>G</v>
      </c>
      <c r="U79" s="3">
        <v>97</v>
      </c>
      <c r="V79" s="3" t="str">
        <f>IFERROR(MID(VLOOKUP($B79,Seqs!$A:$B,2,0),W79,1),"")</f>
        <v>H</v>
      </c>
      <c r="W79" s="3">
        <v>132</v>
      </c>
      <c r="X79" s="3" t="str">
        <f>IFERROR(MID(VLOOKUP($B79,Seqs!$A:$B,2,0),Y79,1),"")</f>
        <v/>
      </c>
      <c r="Y79" s="3" t="s">
        <v>23</v>
      </c>
      <c r="Z79" s="3" t="str">
        <f>IFERROR(MID(VLOOKUP($B79,Seqs!$A:$B,2,0),AA79,1),"")</f>
        <v/>
      </c>
      <c r="AA79" s="3" t="s">
        <v>23</v>
      </c>
      <c r="AB79" s="3" t="str">
        <f>IFERROR(MID(VLOOKUP($B79,Seqs!$A:$B,2,0),AC79,1),"")</f>
        <v>R</v>
      </c>
      <c r="AC79" s="9">
        <v>137</v>
      </c>
      <c r="AD79" s="3" t="str">
        <f>IFERROR(MID(VLOOKUP($B79,Seqs!$A:$B,2,0),AE79,1),"")</f>
        <v>R</v>
      </c>
      <c r="AE79" s="3">
        <v>167</v>
      </c>
      <c r="AF79" s="3" t="str">
        <f>IFERROR(MID(VLOOKUP($B79,Seqs!$A:$B,2,0),AG79,1),"")</f>
        <v>C</v>
      </c>
      <c r="AG79" s="3">
        <v>180</v>
      </c>
      <c r="AH79" s="3" t="str">
        <f>IFERROR(MID(VLOOKUP($B79,Seqs!$A:$B,2,0),AI79,1),"")</f>
        <v>F</v>
      </c>
      <c r="AI79" s="3">
        <v>182</v>
      </c>
      <c r="AJ79" s="3" t="str">
        <f>IFERROR(MID(VLOOKUP($B79,Seqs!$A:$B,2,0),AK79,1),"")</f>
        <v>L</v>
      </c>
      <c r="AK79" s="3">
        <v>191</v>
      </c>
      <c r="AL79" s="3" t="str">
        <f>IFERROR(MID(VLOOKUP($B79,Seqs!$A:$B,2,0),AM79,1),"")</f>
        <v>L</v>
      </c>
      <c r="AM79" s="3">
        <v>222</v>
      </c>
      <c r="AN79" s="3" t="str">
        <f>IFERROR(MID(VLOOKUP($B79,Seqs!$A:$B,2,0),AO79,1),"")</f>
        <v>N</v>
      </c>
      <c r="AO79" s="3">
        <v>235</v>
      </c>
      <c r="AP79" s="3" t="str">
        <f>IFERROR(MID(VLOOKUP($B79,Seqs!$A:$B,2,0),AQ79,1),"")</f>
        <v>G</v>
      </c>
      <c r="AQ79" s="3">
        <v>269</v>
      </c>
      <c r="AR79" s="3" t="str">
        <f>IFERROR(MID(VLOOKUP($B79,Seqs!$A:$B,2,0),AS79,1),"")</f>
        <v>D</v>
      </c>
      <c r="AS79" s="3">
        <v>273</v>
      </c>
      <c r="AT79" s="3" t="str">
        <f>IFERROR(MID(VLOOKUP($B79,Seqs!$A:$B,2,0),AU79,1),"")</f>
        <v>F</v>
      </c>
      <c r="AU79" s="3">
        <v>304</v>
      </c>
      <c r="AV79" s="3" t="str">
        <f>IFERROR(MID(VLOOKUP($B79,Seqs!$A:$B,2,0),AW79,1),"")</f>
        <v>G</v>
      </c>
      <c r="AW79" s="3">
        <v>306</v>
      </c>
      <c r="AX79" s="3" t="str">
        <f>IFERROR(MID(VLOOKUP($B79,Seqs!$A:$B,2,0),AY79,1),"")</f>
        <v>L</v>
      </c>
      <c r="AY79" s="3">
        <v>317</v>
      </c>
      <c r="AZ79" s="79" t="str">
        <f>VLOOKUP(B79,Classification!A:D,2,0)</f>
        <v>A</v>
      </c>
      <c r="BA79" s="97" t="str">
        <f>VLOOKUP(B79,Classification!A:D,4,0)</f>
        <v>Angiotensin</v>
      </c>
      <c r="BB79" s="27" t="b">
        <f t="shared" si="223"/>
        <v>1</v>
      </c>
      <c r="BC79" s="23">
        <f t="shared" si="196"/>
        <v>251</v>
      </c>
      <c r="BD79" s="5"/>
      <c r="BE79" s="3" t="s">
        <v>1381</v>
      </c>
      <c r="BF79" s="50" t="s">
        <v>1384</v>
      </c>
      <c r="BG79" s="50" t="s">
        <v>1384</v>
      </c>
      <c r="BH79" s="1"/>
      <c r="BI79" s="72" t="s">
        <v>1293</v>
      </c>
      <c r="BJ79" s="58" t="s">
        <v>1293</v>
      </c>
      <c r="BK79" s="58" t="s">
        <v>1293</v>
      </c>
      <c r="BL79" s="58" t="s">
        <v>1293</v>
      </c>
      <c r="BM79" s="58" t="s">
        <v>1293</v>
      </c>
      <c r="BN79" s="58" t="s">
        <v>1293</v>
      </c>
      <c r="BO79" s="58" t="s">
        <v>1293</v>
      </c>
      <c r="BP79" s="58" t="s">
        <v>1293</v>
      </c>
      <c r="BQ79" s="58" t="s">
        <v>1293</v>
      </c>
      <c r="BR79" s="58" t="s">
        <v>1293</v>
      </c>
      <c r="BS79" s="58" t="s">
        <v>1293</v>
      </c>
      <c r="BT79" s="58" t="s">
        <v>1293</v>
      </c>
      <c r="BU79" s="72">
        <f t="shared" si="197"/>
        <v>26</v>
      </c>
      <c r="BV79" s="73">
        <f t="shared" si="198"/>
        <v>57</v>
      </c>
      <c r="BW79" s="74">
        <f t="shared" si="199"/>
        <v>61</v>
      </c>
      <c r="BX79" s="73">
        <f t="shared" si="200"/>
        <v>93</v>
      </c>
      <c r="BY79" s="74">
        <f t="shared" si="201"/>
        <v>97</v>
      </c>
      <c r="BZ79" s="73" t="str">
        <f t="shared" si="202"/>
        <v>-</v>
      </c>
      <c r="CA79" s="74">
        <f t="shared" si="203"/>
        <v>137</v>
      </c>
      <c r="CB79" s="73">
        <f t="shared" si="204"/>
        <v>180</v>
      </c>
      <c r="CC79" s="74">
        <f t="shared" si="205"/>
        <v>191</v>
      </c>
      <c r="CD79" s="73">
        <f t="shared" si="206"/>
        <v>235</v>
      </c>
      <c r="CE79" s="74">
        <f t="shared" si="207"/>
        <v>273</v>
      </c>
      <c r="CF79" s="73">
        <f t="shared" si="208"/>
        <v>306</v>
      </c>
      <c r="CG79" s="72">
        <f t="shared" si="209"/>
        <v>56</v>
      </c>
      <c r="CH79" s="73">
        <f t="shared" si="210"/>
        <v>60</v>
      </c>
      <c r="CI79" s="74">
        <f t="shared" si="211"/>
        <v>90</v>
      </c>
      <c r="CJ79" s="74">
        <f t="shared" si="212"/>
        <v>96</v>
      </c>
      <c r="CK79" s="74">
        <f t="shared" si="213"/>
        <v>132</v>
      </c>
      <c r="CL79" s="74" t="str">
        <f t="shared" si="214"/>
        <v>-</v>
      </c>
      <c r="CM79" s="74">
        <f t="shared" si="215"/>
        <v>167</v>
      </c>
      <c r="CN79" s="74">
        <f t="shared" si="216"/>
        <v>182</v>
      </c>
      <c r="CO79" s="74">
        <f t="shared" si="217"/>
        <v>222</v>
      </c>
      <c r="CP79" s="74">
        <f t="shared" si="218"/>
        <v>269</v>
      </c>
      <c r="CQ79" s="74">
        <f t="shared" si="219"/>
        <v>304</v>
      </c>
      <c r="CR79" s="74">
        <f t="shared" si="220"/>
        <v>317</v>
      </c>
      <c r="CS79" s="23">
        <f t="shared" si="221"/>
        <v>1</v>
      </c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  <c r="IW79" s="2"/>
      <c r="IX79" s="2"/>
      <c r="IY79" s="2"/>
      <c r="IZ79" s="2"/>
      <c r="JA79" s="2"/>
      <c r="JB79" s="2"/>
      <c r="JC79" s="2"/>
      <c r="JD79" s="2"/>
      <c r="JE79" s="2"/>
      <c r="JF79" s="2"/>
      <c r="JG79" s="2"/>
      <c r="JH79" s="2"/>
      <c r="JI79" s="2"/>
      <c r="JJ79" s="2"/>
      <c r="JK79" s="2"/>
      <c r="JL79" s="2"/>
      <c r="JM79" s="2"/>
      <c r="JN79" s="2"/>
      <c r="JO79" s="2"/>
      <c r="JP79" s="2"/>
      <c r="JQ79" s="2"/>
      <c r="JR79" s="2"/>
      <c r="JS79" s="2"/>
      <c r="JT79" s="2"/>
      <c r="JU79" s="2"/>
      <c r="JV79" s="2"/>
      <c r="JW79" s="2"/>
      <c r="JX79" s="2"/>
      <c r="JY79" s="2"/>
      <c r="JZ79" s="2"/>
      <c r="KA79" s="2"/>
      <c r="KB79" s="2"/>
      <c r="KC79" s="2"/>
      <c r="KD79" s="2"/>
      <c r="KE79" s="2"/>
      <c r="KF79" s="2"/>
      <c r="KG79" s="2"/>
      <c r="KH79" s="2"/>
      <c r="KI79" s="2"/>
      <c r="KJ79" s="2"/>
      <c r="KK79" s="2"/>
      <c r="KL79" s="2"/>
      <c r="KM79" s="2"/>
      <c r="KN79" s="2"/>
      <c r="KO79" s="2"/>
      <c r="KP79" s="2"/>
      <c r="KQ79" s="2"/>
      <c r="KR79" s="2"/>
      <c r="KS79" s="2"/>
      <c r="KT79" s="2"/>
      <c r="KU79" s="2"/>
      <c r="KV79" s="2"/>
      <c r="KW79" s="2"/>
      <c r="KX79" s="2"/>
      <c r="KY79" s="2"/>
      <c r="KZ79" s="2"/>
      <c r="LA79" s="2"/>
      <c r="LB79" s="2"/>
      <c r="LC79" s="2"/>
      <c r="LD79" s="2"/>
      <c r="LE79" s="2"/>
      <c r="LF79" s="2"/>
      <c r="LG79" s="2"/>
      <c r="LH79" s="2"/>
      <c r="LI79" s="2"/>
      <c r="LJ79" s="2"/>
      <c r="LK79" s="2"/>
      <c r="LL79" s="2"/>
      <c r="LM79" s="2"/>
      <c r="LN79" s="2"/>
      <c r="LO79" s="2"/>
      <c r="LP79" s="2"/>
      <c r="LQ79" s="2"/>
      <c r="LR79" s="2"/>
      <c r="LS79" s="2"/>
      <c r="LT79" s="2"/>
      <c r="LU79" s="2"/>
      <c r="LV79" s="2"/>
      <c r="LW79" s="2"/>
      <c r="LX79" s="2"/>
      <c r="LY79" s="2"/>
      <c r="LZ79" s="2"/>
      <c r="MA79" s="2"/>
      <c r="MB79" s="2"/>
      <c r="MC79" s="2"/>
      <c r="MD79" s="2"/>
      <c r="ME79" s="2"/>
      <c r="MF79" s="2"/>
      <c r="MG79" s="2"/>
      <c r="MH79" s="2"/>
      <c r="MI79" s="2"/>
      <c r="MJ79" s="2"/>
      <c r="MK79" s="2"/>
      <c r="ML79" s="2"/>
      <c r="MM79" s="2"/>
      <c r="MN79" s="2"/>
      <c r="MO79" s="2"/>
      <c r="MP79" s="2"/>
      <c r="MQ79" s="2"/>
      <c r="MR79" s="2"/>
      <c r="MS79" s="2"/>
      <c r="MT79" s="2"/>
      <c r="MU79" s="2"/>
      <c r="MV79" s="2"/>
      <c r="MW79" s="2"/>
      <c r="MX79" s="2"/>
      <c r="MY79" s="2"/>
      <c r="MZ79" s="2"/>
      <c r="NA79" s="2"/>
      <c r="NB79" s="2"/>
      <c r="NC79" s="2"/>
      <c r="ND79" s="2"/>
      <c r="NE79" s="2"/>
      <c r="NF79" s="2"/>
      <c r="NG79" s="2"/>
      <c r="NH79" s="2"/>
      <c r="NI79" s="2"/>
      <c r="NJ79" s="2"/>
      <c r="NK79" s="2"/>
      <c r="NL79" s="2"/>
      <c r="NM79" s="2"/>
      <c r="NN79" s="2"/>
      <c r="NO79" s="2"/>
      <c r="NP79" s="2"/>
      <c r="NQ79" s="2"/>
      <c r="NR79" s="2"/>
      <c r="NS79" s="2"/>
      <c r="NT79" s="2"/>
      <c r="NU79" s="2"/>
      <c r="NV79" s="2"/>
      <c r="NW79" s="2"/>
      <c r="NX79" s="2"/>
      <c r="NY79" s="2"/>
      <c r="NZ79" s="2"/>
      <c r="OA79" s="2"/>
      <c r="OB79" s="2"/>
      <c r="OC79" s="2"/>
      <c r="OD79" s="2"/>
      <c r="OE79" s="2"/>
      <c r="OF79" s="2"/>
      <c r="OG79" s="2"/>
      <c r="OH79" s="2"/>
      <c r="OI79" s="2"/>
      <c r="OJ79" s="2"/>
      <c r="OK79" s="2"/>
      <c r="OL79" s="2"/>
      <c r="OM79" s="2"/>
      <c r="ON79" s="2"/>
      <c r="OO79" s="2"/>
      <c r="OP79" s="2"/>
      <c r="OQ79" s="2"/>
      <c r="OR79" s="2"/>
      <c r="OS79" s="2"/>
      <c r="OT79" s="2"/>
      <c r="OU79" s="2"/>
      <c r="OV79" s="2"/>
      <c r="OW79" s="2"/>
      <c r="OX79" s="2"/>
      <c r="OY79" s="2"/>
      <c r="OZ79" s="2"/>
      <c r="PA79" s="2"/>
      <c r="PB79" s="2"/>
      <c r="PC79" s="2"/>
      <c r="PD79" s="2"/>
      <c r="PE79" s="2"/>
      <c r="PF79" s="2"/>
      <c r="PG79" s="2"/>
      <c r="PH79" s="2"/>
      <c r="PI79" s="2"/>
      <c r="PJ79" s="2"/>
      <c r="PK79" s="2"/>
      <c r="PL79" s="2"/>
      <c r="PM79" s="2"/>
      <c r="PN79" s="2"/>
      <c r="PO79" s="2"/>
      <c r="PP79" s="2"/>
      <c r="PQ79" s="2"/>
      <c r="PR79" s="2"/>
      <c r="PS79" s="2"/>
      <c r="PT79" s="2"/>
      <c r="PU79" s="2"/>
      <c r="PV79" s="2"/>
      <c r="PW79" s="2"/>
      <c r="PX79" s="2"/>
      <c r="PY79" s="2"/>
      <c r="PZ79" s="2"/>
      <c r="QA79" s="2"/>
      <c r="QB79" s="2"/>
      <c r="QC79" s="2"/>
      <c r="QD79" s="2"/>
      <c r="QE79" s="2"/>
      <c r="QF79" s="2"/>
      <c r="QG79" s="2"/>
      <c r="QH79" s="2"/>
      <c r="QI79" s="2"/>
      <c r="QJ79" s="2"/>
      <c r="QK79" s="2"/>
      <c r="QL79" s="2"/>
      <c r="QM79" s="2"/>
      <c r="QN79" s="2"/>
      <c r="QO79" s="2"/>
      <c r="QP79" s="2"/>
      <c r="QQ79" s="2"/>
      <c r="QR79" s="2"/>
      <c r="QS79" s="2"/>
      <c r="QT79" s="2"/>
      <c r="QU79" s="2"/>
      <c r="QV79" s="2"/>
      <c r="QW79" s="2"/>
      <c r="QX79" s="2"/>
      <c r="QY79" s="2"/>
      <c r="QZ79" s="2"/>
      <c r="RA79" s="2"/>
      <c r="RB79" s="2"/>
      <c r="RC79" s="2"/>
      <c r="RD79" s="2"/>
      <c r="RE79" s="2"/>
      <c r="RF79" s="2"/>
      <c r="RG79" s="2"/>
      <c r="RH79" s="2"/>
      <c r="RI79" s="2"/>
      <c r="RJ79" s="2"/>
      <c r="RK79" s="2"/>
      <c r="RL79" s="2"/>
      <c r="RM79" s="2"/>
      <c r="RN79" s="2"/>
      <c r="RO79" s="2"/>
      <c r="RP79" s="2"/>
      <c r="RQ79" s="2"/>
      <c r="RR79" s="2"/>
      <c r="RS79" s="2"/>
      <c r="RT79" s="2"/>
      <c r="RU79" s="2"/>
      <c r="RV79" s="2"/>
      <c r="RW79" s="2"/>
      <c r="RX79" s="2"/>
      <c r="RY79" s="2"/>
      <c r="RZ79" s="2"/>
      <c r="SA79" s="2"/>
      <c r="SB79" s="2"/>
      <c r="SC79" s="2"/>
      <c r="SD79" s="2"/>
      <c r="SE79" s="2"/>
      <c r="SF79" s="2"/>
      <c r="SG79" s="2"/>
      <c r="SH79" s="2"/>
      <c r="SI79" s="2"/>
      <c r="SJ79" s="2"/>
      <c r="SK79" s="2"/>
      <c r="SL79" s="2"/>
      <c r="SM79" s="2"/>
      <c r="SN79" s="2"/>
      <c r="SO79" s="2"/>
      <c r="SP79" s="2"/>
      <c r="SQ79" s="2"/>
      <c r="SR79" s="2"/>
      <c r="SS79" s="2"/>
      <c r="ST79" s="2"/>
      <c r="SU79" s="2"/>
      <c r="SV79" s="2"/>
      <c r="SW79" s="2"/>
      <c r="SX79" s="2"/>
      <c r="SY79" s="2"/>
      <c r="SZ79" s="2"/>
      <c r="TA79" s="2"/>
      <c r="TB79" s="2"/>
      <c r="TC79" s="2"/>
      <c r="TD79" s="2"/>
      <c r="TE79" s="2"/>
      <c r="TF79" s="2"/>
      <c r="TG79" s="2"/>
      <c r="TH79" s="2"/>
      <c r="TI79" s="2"/>
      <c r="TJ79" s="2"/>
      <c r="TK79" s="2"/>
      <c r="TL79" s="2"/>
      <c r="TM79" s="2"/>
      <c r="TN79" s="2"/>
      <c r="TO79" s="2"/>
      <c r="TP79" s="2"/>
      <c r="TQ79" s="2"/>
      <c r="TR79" s="2"/>
      <c r="TS79" s="2"/>
      <c r="TT79" s="2"/>
      <c r="TU79" s="2"/>
      <c r="TV79" s="2"/>
      <c r="TW79" s="2"/>
      <c r="TX79" s="2"/>
      <c r="TY79" s="2"/>
      <c r="TZ79" s="2"/>
      <c r="UA79" s="2"/>
      <c r="UB79" s="2"/>
      <c r="UC79" s="2"/>
      <c r="UD79" s="2"/>
      <c r="UE79" s="2"/>
      <c r="UF79" s="2"/>
      <c r="UG79" s="2"/>
      <c r="UH79" s="2"/>
      <c r="UI79" s="2"/>
      <c r="UJ79" s="2"/>
      <c r="UK79" s="2"/>
      <c r="UL79" s="2"/>
      <c r="UM79" s="2"/>
      <c r="UN79" s="2"/>
      <c r="UO79" s="2"/>
      <c r="UP79" s="2"/>
      <c r="UQ79" s="2"/>
      <c r="UR79" s="2"/>
      <c r="US79" s="2"/>
      <c r="UT79" s="2"/>
      <c r="UU79" s="2"/>
      <c r="UV79" s="2"/>
      <c r="UW79" s="2"/>
      <c r="UX79" s="2"/>
      <c r="UY79" s="2"/>
      <c r="UZ79" s="2"/>
      <c r="VA79" s="2"/>
      <c r="VB79" s="2"/>
      <c r="VC79" s="2"/>
      <c r="VD79" s="2"/>
      <c r="VE79" s="2"/>
      <c r="VF79" s="2"/>
      <c r="VG79" s="2"/>
      <c r="VH79" s="2"/>
      <c r="VI79" s="2"/>
      <c r="VJ79" s="2"/>
      <c r="VK79" s="2"/>
      <c r="VL79" s="2"/>
      <c r="VM79" s="2"/>
      <c r="VN79" s="2"/>
      <c r="VO79" s="2"/>
      <c r="VP79" s="2"/>
      <c r="VQ79" s="2"/>
      <c r="VR79" s="2"/>
      <c r="VS79" s="2"/>
      <c r="VT79" s="2"/>
      <c r="VU79" s="2"/>
      <c r="VV79" s="2"/>
      <c r="VW79" s="2"/>
      <c r="VX79" s="2"/>
      <c r="VY79" s="2"/>
      <c r="VZ79" s="2"/>
      <c r="WA79" s="2"/>
      <c r="WB79" s="2"/>
      <c r="WC79" s="2"/>
      <c r="WD79" s="2"/>
      <c r="WE79" s="2"/>
      <c r="WF79" s="2"/>
      <c r="WG79" s="2"/>
      <c r="WH79" s="2"/>
      <c r="WI79" s="2"/>
      <c r="WJ79" s="2"/>
      <c r="WK79" s="2"/>
      <c r="WL79" s="2"/>
      <c r="WM79" s="2"/>
      <c r="WN79" s="2"/>
      <c r="WO79" s="2"/>
      <c r="WP79" s="2"/>
      <c r="WQ79" s="2"/>
      <c r="WR79" s="2"/>
      <c r="WS79" s="2"/>
      <c r="WT79" s="2"/>
      <c r="WU79" s="2"/>
      <c r="WV79" s="2"/>
      <c r="WW79" s="2"/>
      <c r="WX79" s="2"/>
      <c r="WY79" s="2"/>
      <c r="WZ79" s="2"/>
      <c r="XA79" s="2"/>
      <c r="XB79" s="2"/>
      <c r="XC79" s="2"/>
      <c r="XD79" s="2"/>
      <c r="XE79" s="2"/>
      <c r="XF79" s="2"/>
      <c r="XG79" s="2"/>
      <c r="XH79" s="2"/>
      <c r="XI79" s="2"/>
      <c r="XJ79" s="2"/>
      <c r="XK79" s="2"/>
      <c r="XL79" s="2"/>
      <c r="XM79" s="2"/>
      <c r="XN79" s="2"/>
      <c r="XO79" s="2"/>
      <c r="XP79" s="2"/>
      <c r="XQ79" s="2"/>
      <c r="XR79" s="2"/>
      <c r="XS79" s="2"/>
      <c r="XT79" s="2"/>
      <c r="XU79" s="2"/>
      <c r="XV79" s="2"/>
      <c r="XW79" s="2"/>
      <c r="XX79" s="2"/>
      <c r="XY79" s="2"/>
      <c r="XZ79" s="2"/>
      <c r="YA79" s="2"/>
      <c r="YB79" s="2"/>
      <c r="YC79" s="2"/>
      <c r="YD79" s="2"/>
      <c r="YE79" s="2"/>
      <c r="YF79" s="2"/>
      <c r="YG79" s="2"/>
      <c r="YH79" s="2"/>
      <c r="YI79" s="2"/>
      <c r="YJ79" s="2"/>
      <c r="YK79" s="2"/>
      <c r="YL79" s="2"/>
      <c r="YM79" s="2"/>
      <c r="YN79" s="2"/>
      <c r="YO79" s="2"/>
      <c r="YP79" s="2"/>
      <c r="YQ79" s="2"/>
      <c r="YR79" s="2"/>
      <c r="YS79" s="2"/>
      <c r="YT79" s="2"/>
      <c r="YU79" s="2"/>
      <c r="YV79" s="2"/>
      <c r="YW79" s="2"/>
      <c r="YX79" s="2"/>
      <c r="YY79" s="2"/>
      <c r="YZ79" s="2"/>
      <c r="ZA79" s="2"/>
      <c r="ZB79" s="2"/>
      <c r="ZC79" s="2"/>
      <c r="ZD79" s="2"/>
      <c r="ZE79" s="2"/>
      <c r="ZF79" s="2"/>
      <c r="ZG79" s="2"/>
      <c r="ZH79" s="2"/>
      <c r="ZI79" s="2"/>
      <c r="ZJ79" s="2"/>
      <c r="ZK79" s="2"/>
      <c r="ZL79" s="2"/>
      <c r="ZM79" s="2"/>
      <c r="ZN79" s="2"/>
      <c r="ZO79" s="2"/>
      <c r="ZP79" s="2"/>
      <c r="ZQ79" s="2"/>
      <c r="ZR79" s="2"/>
      <c r="ZS79" s="2"/>
      <c r="ZT79" s="2"/>
      <c r="ZU79" s="2"/>
      <c r="ZV79" s="2"/>
      <c r="ZW79" s="2"/>
      <c r="ZX79" s="2"/>
      <c r="ZY79" s="2"/>
      <c r="ZZ79" s="2"/>
      <c r="AAA79" s="2"/>
      <c r="AAB79" s="2"/>
      <c r="AAC79" s="2"/>
      <c r="AAD79" s="2"/>
      <c r="AAE79" s="2"/>
      <c r="AAF79" s="2"/>
      <c r="AAG79" s="2"/>
      <c r="AAH79" s="2"/>
      <c r="AAI79" s="2"/>
      <c r="AAJ79" s="2"/>
      <c r="AAK79" s="2"/>
      <c r="AAL79" s="2"/>
      <c r="AAM79" s="2"/>
      <c r="AAN79" s="2"/>
      <c r="AAO79" s="2"/>
      <c r="AAP79" s="2"/>
      <c r="AAQ79" s="2"/>
      <c r="AAR79" s="2"/>
      <c r="AAS79" s="2"/>
      <c r="AAT79" s="2"/>
      <c r="AAU79" s="2"/>
      <c r="AAV79" s="2"/>
      <c r="AAW79" s="2"/>
      <c r="AAX79" s="2"/>
      <c r="AAY79" s="2"/>
      <c r="AAZ79" s="2"/>
      <c r="ABA79" s="2"/>
      <c r="ABB79" s="2"/>
      <c r="ABC79" s="2"/>
      <c r="ABD79" s="2"/>
      <c r="ABE79" s="2"/>
      <c r="ABF79" s="2"/>
      <c r="ABG79" s="2"/>
      <c r="ABH79" s="2"/>
      <c r="ABI79" s="2"/>
      <c r="ABJ79" s="2"/>
      <c r="ABK79" s="2"/>
      <c r="ABL79" s="2"/>
      <c r="ABM79" s="2"/>
      <c r="ABN79" s="2"/>
      <c r="ABO79" s="2"/>
      <c r="ABP79" s="2"/>
      <c r="ABQ79" s="2"/>
      <c r="ABR79" s="2"/>
      <c r="ABS79" s="2"/>
      <c r="ABT79" s="2"/>
      <c r="ABU79" s="2"/>
      <c r="ABV79" s="2"/>
      <c r="ABW79" s="2"/>
      <c r="ABX79" s="2"/>
      <c r="ABY79" s="2"/>
      <c r="ABZ79" s="2"/>
      <c r="ACA79" s="2"/>
      <c r="ACB79" s="2"/>
      <c r="ACC79" s="2"/>
      <c r="ACD79" s="2"/>
      <c r="ACE79" s="2"/>
      <c r="ACF79" s="2"/>
      <c r="ACG79" s="2"/>
      <c r="ACH79" s="2"/>
      <c r="ACI79" s="2"/>
      <c r="ACJ79" s="2"/>
      <c r="ACK79" s="2"/>
      <c r="ACL79" s="2"/>
      <c r="ACM79" s="2"/>
      <c r="ACN79" s="2"/>
      <c r="ACO79" s="2"/>
      <c r="ACP79" s="2"/>
      <c r="ACQ79" s="2"/>
      <c r="ACR79" s="2"/>
      <c r="ACS79" s="2"/>
      <c r="ACT79" s="2"/>
      <c r="ACU79" s="2"/>
      <c r="ACV79" s="2"/>
      <c r="ACW79" s="2"/>
      <c r="ACX79" s="2"/>
      <c r="ACY79" s="2"/>
      <c r="ACZ79" s="2"/>
      <c r="ADA79" s="2"/>
      <c r="ADB79" s="2"/>
      <c r="ADC79" s="2"/>
      <c r="ADD79" s="2"/>
      <c r="ADE79" s="2"/>
      <c r="ADF79" s="2"/>
      <c r="ADG79" s="2"/>
      <c r="ADH79" s="2"/>
      <c r="ADI79" s="2"/>
      <c r="ADJ79" s="2"/>
      <c r="ADK79" s="2"/>
      <c r="ADL79" s="2"/>
      <c r="ADM79" s="2"/>
      <c r="ADN79" s="2"/>
      <c r="ADO79" s="2"/>
      <c r="ADP79" s="2"/>
      <c r="ADQ79" s="2"/>
      <c r="ADR79" s="2"/>
      <c r="ADS79" s="2"/>
      <c r="ADT79" s="2"/>
      <c r="ADU79" s="2"/>
      <c r="ADV79" s="2"/>
      <c r="ADW79" s="2"/>
      <c r="ADX79" s="2"/>
      <c r="ADY79" s="2"/>
      <c r="ADZ79" s="2"/>
      <c r="AEA79" s="2"/>
      <c r="AEB79" s="2"/>
      <c r="AEC79" s="2"/>
      <c r="AED79" s="2"/>
      <c r="AEE79" s="2"/>
      <c r="AEF79" s="2"/>
      <c r="AEG79" s="2"/>
      <c r="AEH79" s="2"/>
      <c r="AEI79" s="2"/>
      <c r="AEJ79" s="2"/>
      <c r="AEK79" s="2"/>
      <c r="AEL79" s="2"/>
      <c r="AEM79" s="2"/>
      <c r="AEN79" s="2"/>
      <c r="AEO79" s="2"/>
      <c r="AEP79" s="2"/>
      <c r="AEQ79" s="2"/>
      <c r="AER79" s="2"/>
      <c r="AES79" s="2"/>
      <c r="AET79" s="2"/>
      <c r="AEU79" s="2"/>
      <c r="AEV79" s="2"/>
      <c r="AEW79" s="2"/>
      <c r="AEX79" s="2"/>
      <c r="AEY79" s="2"/>
      <c r="AEZ79" s="2"/>
      <c r="AFA79" s="2"/>
      <c r="AFB79" s="2"/>
      <c r="AFC79" s="2"/>
      <c r="AFD79" s="2"/>
      <c r="AFE79" s="2"/>
      <c r="AFF79" s="2"/>
      <c r="AFG79" s="2"/>
      <c r="AFH79" s="2"/>
      <c r="AFI79" s="2"/>
      <c r="AFJ79" s="2"/>
      <c r="AFK79" s="2"/>
      <c r="AFL79" s="2"/>
      <c r="AFM79" s="2"/>
      <c r="AFN79" s="2"/>
      <c r="AFO79" s="2"/>
      <c r="AFP79" s="2"/>
      <c r="AFQ79" s="2"/>
      <c r="AFR79" s="2"/>
      <c r="AFS79" s="2"/>
      <c r="AFT79" s="2"/>
      <c r="AFU79" s="2"/>
      <c r="AFV79" s="2"/>
      <c r="AFW79" s="2"/>
      <c r="AFX79" s="2"/>
      <c r="AFY79" s="2"/>
      <c r="AFZ79" s="2"/>
      <c r="AGA79" s="2"/>
      <c r="AGB79" s="2"/>
      <c r="AGC79" s="2"/>
      <c r="AGD79" s="2"/>
      <c r="AGE79" s="2"/>
      <c r="AGF79" s="2"/>
      <c r="AGG79" s="2"/>
      <c r="AGH79" s="2"/>
      <c r="AGI79" s="2"/>
      <c r="AGJ79" s="2"/>
      <c r="AGK79" s="2"/>
      <c r="AGL79" s="2"/>
      <c r="AGM79" s="2"/>
      <c r="AGN79" s="2"/>
      <c r="AGO79" s="2"/>
      <c r="AGP79" s="2"/>
      <c r="AGQ79" s="2"/>
      <c r="AGR79" s="2"/>
      <c r="AGS79" s="2"/>
      <c r="AGT79" s="2"/>
      <c r="AGU79" s="2"/>
      <c r="AGV79" s="2"/>
      <c r="AGW79" s="2"/>
      <c r="AGX79" s="2"/>
      <c r="AGY79" s="2"/>
      <c r="AGZ79" s="2"/>
      <c r="AHA79" s="2"/>
      <c r="AHB79" s="2"/>
      <c r="AHC79" s="2"/>
      <c r="AHD79" s="2"/>
      <c r="AHE79" s="2"/>
      <c r="AHF79" s="2"/>
      <c r="AHG79" s="2"/>
      <c r="AHH79" s="2"/>
      <c r="AHI79" s="2"/>
      <c r="AHJ79" s="2"/>
      <c r="AHK79" s="2"/>
      <c r="AHL79" s="2"/>
      <c r="AHM79" s="2"/>
      <c r="AHN79" s="2"/>
      <c r="AHO79" s="2"/>
      <c r="AHP79" s="2"/>
      <c r="AHQ79" s="2"/>
      <c r="AHR79" s="2"/>
      <c r="AHS79" s="2"/>
      <c r="AHT79" s="2"/>
      <c r="AHU79" s="2"/>
      <c r="AHV79" s="2"/>
      <c r="AHW79" s="2"/>
      <c r="AHX79" s="2"/>
      <c r="AHY79" s="2"/>
      <c r="AHZ79" s="2"/>
      <c r="AIA79" s="2"/>
      <c r="AIB79" s="2"/>
      <c r="AIC79" s="2"/>
      <c r="AID79" s="2"/>
      <c r="AIE79" s="2"/>
      <c r="AIF79" s="2"/>
      <c r="AIG79" s="2"/>
      <c r="AIH79" s="2"/>
      <c r="AII79" s="2"/>
      <c r="AIJ79" s="2"/>
      <c r="AIK79" s="2"/>
      <c r="AIL79" s="2"/>
      <c r="AIM79" s="2"/>
      <c r="AIN79" s="2"/>
      <c r="AIO79" s="2"/>
      <c r="AIP79" s="2"/>
      <c r="AIQ79" s="2"/>
      <c r="AIR79" s="2"/>
      <c r="AIS79" s="2"/>
      <c r="AIT79" s="2"/>
      <c r="AIU79" s="2"/>
      <c r="AIV79" s="2"/>
      <c r="AIW79" s="2"/>
      <c r="AIX79" s="2"/>
      <c r="AIY79" s="2"/>
      <c r="AIZ79" s="2"/>
      <c r="AJA79" s="2"/>
      <c r="AJB79" s="2"/>
      <c r="AJC79" s="2"/>
      <c r="AJD79" s="2"/>
      <c r="AJE79" s="2"/>
      <c r="AJF79" s="2"/>
      <c r="AJG79" s="2"/>
      <c r="AJH79" s="2"/>
      <c r="AJI79" s="2"/>
      <c r="AJJ79" s="2"/>
      <c r="AJK79" s="2"/>
      <c r="AJL79" s="2"/>
      <c r="AJM79" s="2"/>
      <c r="AJN79" s="2"/>
      <c r="AJO79" s="2"/>
      <c r="AJP79" s="2"/>
      <c r="AJQ79" s="2"/>
      <c r="AJR79" s="2"/>
      <c r="AJS79" s="2"/>
      <c r="AJT79" s="2"/>
      <c r="AJU79" s="2"/>
      <c r="AJV79" s="2"/>
      <c r="AJW79" s="2"/>
      <c r="AJX79" s="2"/>
      <c r="AJY79" s="2"/>
      <c r="AJZ79" s="2"/>
      <c r="AKA79" s="2"/>
      <c r="AKB79" s="2"/>
      <c r="AKC79" s="2"/>
      <c r="AKD79" s="2"/>
      <c r="AKE79" s="2"/>
      <c r="AKF79" s="2"/>
      <c r="AKG79" s="2"/>
      <c r="AKH79" s="2"/>
      <c r="AKI79" s="2"/>
      <c r="AKJ79" s="2"/>
      <c r="AKK79" s="2"/>
      <c r="AKL79" s="2"/>
      <c r="AKM79" s="2"/>
      <c r="AKN79" s="2"/>
      <c r="AKO79" s="2"/>
      <c r="AKP79" s="2"/>
      <c r="AKQ79" s="2"/>
      <c r="AKR79" s="2"/>
      <c r="AKS79" s="2"/>
      <c r="AKT79" s="2"/>
      <c r="AKU79" s="2"/>
      <c r="AKV79" s="2"/>
      <c r="AKW79" s="2"/>
      <c r="AKX79" s="2"/>
      <c r="AKY79" s="2"/>
      <c r="AKZ79" s="2"/>
      <c r="ALA79" s="2"/>
      <c r="ALB79" s="2"/>
      <c r="ALC79" s="2"/>
      <c r="ALD79" s="2"/>
      <c r="ALE79" s="2"/>
      <c r="ALF79" s="2"/>
      <c r="ALG79" s="2"/>
      <c r="ALH79" s="2"/>
      <c r="ALI79" s="2"/>
      <c r="ALJ79" s="2"/>
      <c r="ALK79" s="2"/>
      <c r="ALL79" s="2"/>
      <c r="ALM79" s="2"/>
      <c r="ALN79" s="2"/>
      <c r="ALO79" s="2"/>
      <c r="ALP79" s="2"/>
      <c r="ALQ79" s="2"/>
      <c r="ALR79" s="2"/>
      <c r="ALS79" s="2"/>
      <c r="ALT79" s="2"/>
      <c r="ALU79" s="2"/>
      <c r="ALV79" s="2"/>
      <c r="ALW79" s="2"/>
      <c r="ALX79" s="2"/>
      <c r="ALY79" s="2"/>
      <c r="ALZ79" s="2"/>
      <c r="AMA79" s="2"/>
      <c r="AMB79" s="2"/>
      <c r="AMC79" s="2"/>
      <c r="AMD79" s="2"/>
      <c r="AME79" s="2"/>
      <c r="AMF79" s="2"/>
      <c r="AMG79" s="2"/>
      <c r="AMH79" s="2"/>
      <c r="AMI79" s="2"/>
      <c r="AMJ79" s="2"/>
      <c r="AMK79" s="2"/>
      <c r="AML79" s="2"/>
      <c r="AMM79" s="2"/>
      <c r="AMN79" s="2"/>
    </row>
    <row r="80" spans="1:1028" x14ac:dyDescent="0.2">
      <c r="A80" s="3" t="str">
        <f t="shared" si="222"/>
        <v>agtr1_human_4ZUD</v>
      </c>
      <c r="B80" s="3" t="s">
        <v>158</v>
      </c>
      <c r="C80" s="3" t="s">
        <v>1342</v>
      </c>
      <c r="D80" s="3" t="str">
        <f>IFERROR(MID(VLOOKUP($B80,Seqs!$A:$B,2,0),E80,1),"")</f>
        <v>Y</v>
      </c>
      <c r="E80" s="3">
        <v>26</v>
      </c>
      <c r="F80" s="3" t="str">
        <f>IFERROR(MID(VLOOKUP($B80,Seqs!$A:$B,2,0),G80,1),"")</f>
        <v>Y</v>
      </c>
      <c r="G80" s="3">
        <v>56</v>
      </c>
      <c r="H80" s="3" t="str">
        <f>IFERROR(MID(VLOOKUP($B80,Seqs!$A:$B,2,0),I80,1),"")</f>
        <v>M</v>
      </c>
      <c r="I80" s="23">
        <v>57</v>
      </c>
      <c r="J80" s="3" t="str">
        <f>IFERROR(MID(VLOOKUP($B80,Seqs!$A:$B,2,0),K80,1),"")</f>
        <v>K</v>
      </c>
      <c r="K80" s="23">
        <v>60</v>
      </c>
      <c r="L80" s="3" t="str">
        <f>IFERROR(MID(VLOOKUP($B80,Seqs!$A:$B,2,0),M80,1),"")</f>
        <v>T</v>
      </c>
      <c r="M80" s="3">
        <v>61</v>
      </c>
      <c r="N80" s="3" t="str">
        <f>IFERROR(MID(VLOOKUP($B80,Seqs!$A:$B,2,0),O80,1),"")</f>
        <v>M</v>
      </c>
      <c r="O80" s="3">
        <v>90</v>
      </c>
      <c r="P80" s="3" t="str">
        <f>IFERROR(MID(VLOOKUP($B80,Seqs!$A:$B,2,0),Q80,1),"")</f>
        <v>R</v>
      </c>
      <c r="Q80" s="3">
        <v>93</v>
      </c>
      <c r="R80" s="3" t="str">
        <f>IFERROR(MID(VLOOKUP($B80,Seqs!$A:$B,2,0),S80,1),"")</f>
        <v>F</v>
      </c>
      <c r="S80" s="3">
        <v>96</v>
      </c>
      <c r="T80" s="3" t="str">
        <f>IFERROR(MID(VLOOKUP($B80,Seqs!$A:$B,2,0),U80,1),"")</f>
        <v>G</v>
      </c>
      <c r="U80" s="3">
        <v>97</v>
      </c>
      <c r="V80" s="3" t="str">
        <f>IFERROR(MID(VLOOKUP($B80,Seqs!$A:$B,2,0),W80,1),"")</f>
        <v>H</v>
      </c>
      <c r="W80" s="3">
        <v>132</v>
      </c>
      <c r="X80" s="3" t="str">
        <f>IFERROR(MID(VLOOKUP($B80,Seqs!$A:$B,2,0),Y80,1),"")</f>
        <v/>
      </c>
      <c r="Y80" s="3" t="s">
        <v>23</v>
      </c>
      <c r="Z80" s="3" t="str">
        <f>IFERROR(MID(VLOOKUP($B80,Seqs!$A:$B,2,0),AA80,1),"")</f>
        <v/>
      </c>
      <c r="AA80" s="3" t="s">
        <v>23</v>
      </c>
      <c r="AB80" s="3" t="str">
        <f>IFERROR(MID(VLOOKUP($B80,Seqs!$A:$B,2,0),AC80,1),"")</f>
        <v>M</v>
      </c>
      <c r="AC80" s="9">
        <v>142</v>
      </c>
      <c r="AD80" s="3" t="str">
        <f>IFERROR(MID(VLOOKUP($B80,Seqs!$A:$B,2,0),AE80,1),"")</f>
        <v>R</v>
      </c>
      <c r="AE80" s="3">
        <v>167</v>
      </c>
      <c r="AF80" s="3" t="str">
        <f>IFERROR(MID(VLOOKUP($B80,Seqs!$A:$B,2,0),AG80,1),"")</f>
        <v>C</v>
      </c>
      <c r="AG80" s="3">
        <v>180</v>
      </c>
      <c r="AH80" s="3" t="str">
        <f>IFERROR(MID(VLOOKUP($B80,Seqs!$A:$B,2,0),AI80,1),"")</f>
        <v>F</v>
      </c>
      <c r="AI80" s="3">
        <v>182</v>
      </c>
      <c r="AJ80" s="3" t="str">
        <f>IFERROR(MID(VLOOKUP($B80,Seqs!$A:$B,2,0),AK80,1),"")</f>
        <v>L</v>
      </c>
      <c r="AK80" s="3">
        <v>191</v>
      </c>
      <c r="AL80" s="3" t="str">
        <f>IFERROR(MID(VLOOKUP($B80,Seqs!$A:$B,2,0),AM80,1),"")</f>
        <v>L</v>
      </c>
      <c r="AM80" s="3">
        <v>222</v>
      </c>
      <c r="AN80" s="3" t="str">
        <f>IFERROR(MID(VLOOKUP($B80,Seqs!$A:$B,2,0),AO80,1),"")</f>
        <v>D</v>
      </c>
      <c r="AO80" s="3">
        <v>236</v>
      </c>
      <c r="AP80" s="3" t="str">
        <f>IFERROR(MID(VLOOKUP($B80,Seqs!$A:$B,2,0),AQ80,1),"")</f>
        <v>G</v>
      </c>
      <c r="AQ80" s="3">
        <v>269</v>
      </c>
      <c r="AR80" s="3" t="str">
        <f>IFERROR(MID(VLOOKUP($B80,Seqs!$A:$B,2,0),AS80,1),"")</f>
        <v>D</v>
      </c>
      <c r="AS80" s="3">
        <v>273</v>
      </c>
      <c r="AT80" s="3" t="str">
        <f>IFERROR(MID(VLOOKUP($B80,Seqs!$A:$B,2,0),AU80,1),"")</f>
        <v>F</v>
      </c>
      <c r="AU80" s="3">
        <v>304</v>
      </c>
      <c r="AV80" s="3" t="str">
        <f>IFERROR(MID(VLOOKUP($B80,Seqs!$A:$B,2,0),AW80,1),"")</f>
        <v/>
      </c>
      <c r="AW80" s="3" t="s">
        <v>23</v>
      </c>
      <c r="AX80" s="3" t="str">
        <f>IFERROR(MID(VLOOKUP($B80,Seqs!$A:$B,2,0),AY80,1),"")</f>
        <v/>
      </c>
      <c r="AY80" s="3" t="s">
        <v>23</v>
      </c>
      <c r="AZ80" s="79" t="str">
        <f>VLOOKUP(B80,Classification!A:D,2,0)</f>
        <v>A</v>
      </c>
      <c r="BA80" s="97" t="str">
        <f>VLOOKUP(B80,Classification!A:D,4,0)</f>
        <v>Angiotensin</v>
      </c>
      <c r="BB80" s="27" t="b">
        <f t="shared" si="223"/>
        <v>1</v>
      </c>
      <c r="BC80" s="23">
        <f t="shared" si="196"/>
        <v>234</v>
      </c>
      <c r="BD80" s="2" t="s">
        <v>1383</v>
      </c>
      <c r="BE80" s="3" t="s">
        <v>1381</v>
      </c>
      <c r="BF80" s="50" t="s">
        <v>1384</v>
      </c>
      <c r="BG80" s="50" t="s">
        <v>1384</v>
      </c>
      <c r="BH80" s="1"/>
      <c r="BI80" s="72" t="s">
        <v>1293</v>
      </c>
      <c r="BJ80" s="58" t="s">
        <v>1293</v>
      </c>
      <c r="BK80" s="58" t="s">
        <v>1293</v>
      </c>
      <c r="BL80" s="58" t="s">
        <v>1293</v>
      </c>
      <c r="BM80" s="58" t="s">
        <v>1293</v>
      </c>
      <c r="BN80" s="58" t="s">
        <v>1293</v>
      </c>
      <c r="BO80" s="58" t="s">
        <v>1293</v>
      </c>
      <c r="BP80" s="58" t="s">
        <v>1293</v>
      </c>
      <c r="BQ80" s="58" t="s">
        <v>1293</v>
      </c>
      <c r="BR80" s="58" t="s">
        <v>1293</v>
      </c>
      <c r="BS80" s="58" t="s">
        <v>1293</v>
      </c>
      <c r="BT80" s="58" t="s">
        <v>1293</v>
      </c>
      <c r="BU80" s="72">
        <f t="shared" si="197"/>
        <v>26</v>
      </c>
      <c r="BV80" s="73">
        <f t="shared" si="198"/>
        <v>57</v>
      </c>
      <c r="BW80" s="74">
        <f t="shared" si="199"/>
        <v>61</v>
      </c>
      <c r="BX80" s="73">
        <f t="shared" si="200"/>
        <v>93</v>
      </c>
      <c r="BY80" s="74">
        <f t="shared" si="201"/>
        <v>97</v>
      </c>
      <c r="BZ80" s="73" t="str">
        <f t="shared" si="202"/>
        <v>-</v>
      </c>
      <c r="CA80" s="74">
        <f t="shared" si="203"/>
        <v>142</v>
      </c>
      <c r="CB80" s="73">
        <f t="shared" si="204"/>
        <v>180</v>
      </c>
      <c r="CC80" s="74">
        <f t="shared" si="205"/>
        <v>191</v>
      </c>
      <c r="CD80" s="73">
        <f t="shared" si="206"/>
        <v>236</v>
      </c>
      <c r="CE80" s="74">
        <f t="shared" si="207"/>
        <v>273</v>
      </c>
      <c r="CF80" s="73" t="str">
        <f t="shared" si="208"/>
        <v>-</v>
      </c>
      <c r="CG80" s="72">
        <f t="shared" si="209"/>
        <v>56</v>
      </c>
      <c r="CH80" s="73">
        <f t="shared" si="210"/>
        <v>60</v>
      </c>
      <c r="CI80" s="74">
        <f t="shared" si="211"/>
        <v>90</v>
      </c>
      <c r="CJ80" s="74">
        <f t="shared" si="212"/>
        <v>96</v>
      </c>
      <c r="CK80" s="74">
        <f t="shared" si="213"/>
        <v>132</v>
      </c>
      <c r="CL80" s="74" t="str">
        <f t="shared" si="214"/>
        <v>-</v>
      </c>
      <c r="CM80" s="74">
        <f t="shared" si="215"/>
        <v>167</v>
      </c>
      <c r="CN80" s="74">
        <f t="shared" si="216"/>
        <v>182</v>
      </c>
      <c r="CO80" s="74">
        <f t="shared" si="217"/>
        <v>222</v>
      </c>
      <c r="CP80" s="74">
        <f t="shared" si="218"/>
        <v>269</v>
      </c>
      <c r="CQ80" s="74">
        <f t="shared" si="219"/>
        <v>304</v>
      </c>
      <c r="CR80" s="74" t="str">
        <f t="shared" si="220"/>
        <v>-</v>
      </c>
      <c r="CS80" s="23">
        <f t="shared" si="221"/>
        <v>1</v>
      </c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  <c r="OK80" s="1"/>
      <c r="OL80" s="1"/>
      <c r="OM80" s="1"/>
      <c r="ON80" s="1"/>
      <c r="OO80" s="1"/>
      <c r="OP80" s="1"/>
      <c r="OQ80" s="1"/>
      <c r="OR80" s="1"/>
      <c r="OS80" s="1"/>
      <c r="OT80" s="1"/>
      <c r="OU80" s="1"/>
      <c r="OV80" s="1"/>
      <c r="OW80" s="1"/>
      <c r="OX80" s="1"/>
      <c r="OY80" s="1"/>
      <c r="OZ80" s="1"/>
      <c r="PA80" s="1"/>
      <c r="PB80" s="1"/>
      <c r="PC80" s="1"/>
      <c r="PD80" s="1"/>
      <c r="PE80" s="1"/>
      <c r="PF80" s="1"/>
      <c r="PG80" s="1"/>
      <c r="PH80" s="1"/>
      <c r="PI80" s="1"/>
      <c r="PJ80" s="1"/>
      <c r="PK80" s="1"/>
      <c r="PL80" s="1"/>
      <c r="PM80" s="1"/>
      <c r="PN80" s="1"/>
      <c r="PO80" s="1"/>
      <c r="PP80" s="1"/>
      <c r="PQ80" s="1"/>
      <c r="PR80" s="1"/>
      <c r="PS80" s="1"/>
      <c r="PT80" s="1"/>
      <c r="PU80" s="1"/>
      <c r="PV80" s="1"/>
      <c r="PW80" s="1"/>
      <c r="PX80" s="1"/>
      <c r="PY80" s="1"/>
      <c r="PZ80" s="1"/>
      <c r="QA80" s="1"/>
      <c r="QB80" s="1"/>
      <c r="QC80" s="1"/>
      <c r="QD80" s="1"/>
      <c r="QE80" s="1"/>
      <c r="QF80" s="1"/>
      <c r="QG80" s="1"/>
      <c r="QH80" s="1"/>
      <c r="QI80" s="1"/>
      <c r="QJ80" s="1"/>
      <c r="QK80" s="1"/>
      <c r="QL80" s="1"/>
      <c r="QM80" s="1"/>
      <c r="QN80" s="1"/>
      <c r="QO80" s="1"/>
      <c r="QP80" s="1"/>
      <c r="QQ80" s="1"/>
      <c r="QR80" s="1"/>
      <c r="QS80" s="1"/>
      <c r="QT80" s="1"/>
      <c r="QU80" s="1"/>
      <c r="QV80" s="1"/>
      <c r="QW80" s="1"/>
      <c r="QX80" s="1"/>
      <c r="QY80" s="1"/>
      <c r="QZ80" s="1"/>
      <c r="RA80" s="1"/>
      <c r="RB80" s="1"/>
      <c r="RC80" s="1"/>
      <c r="RD80" s="1"/>
      <c r="RE80" s="1"/>
      <c r="RF80" s="1"/>
      <c r="RG80" s="1"/>
      <c r="RH80" s="1"/>
      <c r="RI80" s="1"/>
      <c r="RJ80" s="1"/>
      <c r="RK80" s="1"/>
      <c r="RL80" s="1"/>
      <c r="RM80" s="1"/>
      <c r="RN80" s="1"/>
      <c r="RO80" s="1"/>
      <c r="RP80" s="1"/>
      <c r="RQ80" s="1"/>
      <c r="RR80" s="1"/>
      <c r="RS80" s="1"/>
      <c r="RT80" s="1"/>
      <c r="RU80" s="1"/>
      <c r="RV80" s="1"/>
      <c r="RW80" s="1"/>
      <c r="RX80" s="1"/>
      <c r="RY80" s="1"/>
      <c r="RZ80" s="1"/>
      <c r="SA80" s="1"/>
      <c r="SB80" s="1"/>
      <c r="SC80" s="1"/>
      <c r="SD80" s="1"/>
      <c r="SE80" s="1"/>
      <c r="SF80" s="1"/>
      <c r="SG80" s="1"/>
      <c r="SH80" s="1"/>
      <c r="SI80" s="1"/>
      <c r="SJ80" s="1"/>
      <c r="SK80" s="1"/>
      <c r="SL80" s="1"/>
      <c r="SM80" s="1"/>
      <c r="SN80" s="1"/>
      <c r="SO80" s="1"/>
      <c r="SP80" s="1"/>
      <c r="SQ80" s="1"/>
      <c r="SR80" s="1"/>
      <c r="SS80" s="1"/>
      <c r="ST80" s="1"/>
      <c r="SU80" s="1"/>
      <c r="SV80" s="1"/>
      <c r="SW80" s="1"/>
      <c r="SX80" s="1"/>
      <c r="SY80" s="1"/>
      <c r="SZ80" s="1"/>
      <c r="TA80" s="1"/>
      <c r="TB80" s="1"/>
      <c r="TC80" s="1"/>
      <c r="TD80" s="1"/>
      <c r="TE80" s="1"/>
      <c r="TF80" s="1"/>
      <c r="TG80" s="1"/>
      <c r="TH80" s="1"/>
      <c r="TI80" s="1"/>
      <c r="TJ80" s="1"/>
      <c r="TK80" s="1"/>
      <c r="TL80" s="1"/>
      <c r="TM80" s="1"/>
      <c r="TN80" s="1"/>
      <c r="TO80" s="1"/>
      <c r="TP80" s="1"/>
      <c r="TQ80" s="1"/>
      <c r="TR80" s="1"/>
      <c r="TS80" s="1"/>
      <c r="TT80" s="1"/>
      <c r="TU80" s="1"/>
      <c r="TV80" s="1"/>
      <c r="TW80" s="1"/>
      <c r="TX80" s="1"/>
      <c r="TY80" s="1"/>
      <c r="TZ80" s="1"/>
      <c r="UA80" s="1"/>
      <c r="UB80" s="1"/>
      <c r="UC80" s="1"/>
      <c r="UD80" s="1"/>
      <c r="UE80" s="1"/>
      <c r="UF80" s="1"/>
      <c r="UG80" s="1"/>
      <c r="UH80" s="1"/>
      <c r="UI80" s="1"/>
      <c r="UJ80" s="1"/>
      <c r="UK80" s="1"/>
      <c r="UL80" s="1"/>
      <c r="UM80" s="1"/>
      <c r="UN80" s="1"/>
      <c r="UO80" s="1"/>
      <c r="UP80" s="1"/>
      <c r="UQ80" s="1"/>
      <c r="UR80" s="1"/>
      <c r="US80" s="1"/>
      <c r="UT80" s="1"/>
      <c r="UU80" s="1"/>
      <c r="UV80" s="1"/>
      <c r="UW80" s="1"/>
      <c r="UX80" s="1"/>
      <c r="UY80" s="1"/>
      <c r="UZ80" s="1"/>
      <c r="VA80" s="1"/>
      <c r="VB80" s="1"/>
      <c r="VC80" s="1"/>
      <c r="VD80" s="1"/>
      <c r="VE80" s="1"/>
      <c r="VF80" s="1"/>
      <c r="VG80" s="1"/>
      <c r="VH80" s="1"/>
      <c r="VI80" s="1"/>
      <c r="VJ80" s="1"/>
      <c r="VK80" s="1"/>
      <c r="VL80" s="1"/>
      <c r="VM80" s="1"/>
      <c r="VN80" s="1"/>
      <c r="VO80" s="1"/>
      <c r="VP80" s="1"/>
      <c r="VQ80" s="1"/>
      <c r="VR80" s="1"/>
      <c r="VS80" s="1"/>
      <c r="VT80" s="1"/>
      <c r="VU80" s="1"/>
      <c r="VV80" s="1"/>
      <c r="VW80" s="1"/>
      <c r="VX80" s="1"/>
      <c r="VY80" s="1"/>
      <c r="VZ80" s="1"/>
      <c r="WA80" s="1"/>
      <c r="WB80" s="1"/>
      <c r="WC80" s="1"/>
      <c r="WD80" s="1"/>
      <c r="WE80" s="1"/>
      <c r="WF80" s="1"/>
      <c r="WG80" s="1"/>
      <c r="WH80" s="1"/>
      <c r="WI80" s="1"/>
      <c r="WJ80" s="1"/>
      <c r="WK80" s="1"/>
      <c r="WL80" s="1"/>
      <c r="WM80" s="1"/>
      <c r="WN80" s="1"/>
      <c r="WO80" s="1"/>
      <c r="WP80" s="1"/>
      <c r="WQ80" s="1"/>
      <c r="WR80" s="1"/>
      <c r="WS80" s="1"/>
      <c r="WT80" s="1"/>
      <c r="WU80" s="1"/>
      <c r="WV80" s="1"/>
      <c r="WW80" s="1"/>
      <c r="WX80" s="1"/>
      <c r="WY80" s="1"/>
      <c r="WZ80" s="1"/>
      <c r="XA80" s="1"/>
      <c r="XB80" s="1"/>
      <c r="XC80" s="1"/>
      <c r="XD80" s="1"/>
      <c r="XE80" s="1"/>
      <c r="XF80" s="1"/>
      <c r="XG80" s="1"/>
      <c r="XH80" s="1"/>
      <c r="XI80" s="1"/>
      <c r="XJ80" s="1"/>
      <c r="XK80" s="1"/>
      <c r="XL80" s="1"/>
      <c r="XM80" s="1"/>
      <c r="XN80" s="1"/>
      <c r="XO80" s="1"/>
      <c r="XP80" s="1"/>
      <c r="XQ80" s="1"/>
      <c r="XR80" s="1"/>
      <c r="XS80" s="1"/>
      <c r="XT80" s="1"/>
      <c r="XU80" s="1"/>
      <c r="XV80" s="1"/>
      <c r="XW80" s="1"/>
      <c r="XX80" s="1"/>
      <c r="XY80" s="1"/>
      <c r="XZ80" s="1"/>
      <c r="YA80" s="1"/>
      <c r="YB80" s="1"/>
      <c r="YC80" s="1"/>
      <c r="YD80" s="1"/>
      <c r="YE80" s="1"/>
      <c r="YF80" s="1"/>
      <c r="YG80" s="1"/>
      <c r="YH80" s="1"/>
      <c r="YI80" s="1"/>
      <c r="YJ80" s="1"/>
      <c r="YK80" s="1"/>
      <c r="YL80" s="1"/>
      <c r="YM80" s="1"/>
      <c r="YN80" s="1"/>
      <c r="YO80" s="1"/>
      <c r="YP80" s="1"/>
      <c r="YQ80" s="1"/>
      <c r="YR80" s="1"/>
      <c r="YS80" s="1"/>
      <c r="YT80" s="1"/>
      <c r="YU80" s="1"/>
      <c r="YV80" s="1"/>
      <c r="YW80" s="1"/>
      <c r="YX80" s="1"/>
      <c r="YY80" s="1"/>
      <c r="YZ80" s="1"/>
      <c r="ZA80" s="1"/>
      <c r="ZB80" s="1"/>
      <c r="ZC80" s="1"/>
      <c r="ZD80" s="1"/>
      <c r="ZE80" s="1"/>
      <c r="ZF80" s="1"/>
      <c r="ZG80" s="1"/>
      <c r="ZH80" s="1"/>
      <c r="ZI80" s="1"/>
      <c r="ZJ80" s="1"/>
      <c r="ZK80" s="1"/>
      <c r="ZL80" s="1"/>
      <c r="ZM80" s="1"/>
      <c r="ZN80" s="1"/>
      <c r="ZO80" s="1"/>
      <c r="ZP80" s="1"/>
      <c r="ZQ80" s="1"/>
      <c r="ZR80" s="1"/>
      <c r="ZS80" s="1"/>
      <c r="ZT80" s="1"/>
      <c r="ZU80" s="1"/>
      <c r="ZV80" s="1"/>
      <c r="ZW80" s="1"/>
      <c r="ZX80" s="1"/>
      <c r="ZY80" s="1"/>
      <c r="ZZ80" s="1"/>
      <c r="AAA80" s="1"/>
      <c r="AAB80" s="1"/>
      <c r="AAC80" s="1"/>
      <c r="AAD80" s="1"/>
      <c r="AAE80" s="1"/>
      <c r="AAF80" s="1"/>
      <c r="AAG80" s="1"/>
      <c r="AAH80" s="1"/>
      <c r="AAI80" s="1"/>
      <c r="AAJ80" s="1"/>
      <c r="AAK80" s="1"/>
      <c r="AAL80" s="1"/>
      <c r="AAM80" s="1"/>
      <c r="AAN80" s="1"/>
      <c r="AAO80" s="1"/>
      <c r="AAP80" s="1"/>
      <c r="AAQ80" s="1"/>
      <c r="AAR80" s="1"/>
      <c r="AAS80" s="1"/>
      <c r="AAT80" s="1"/>
      <c r="AAU80" s="1"/>
      <c r="AAV80" s="1"/>
      <c r="AAW80" s="1"/>
      <c r="AAX80" s="1"/>
      <c r="AAY80" s="1"/>
      <c r="AAZ80" s="1"/>
      <c r="ABA80" s="1"/>
      <c r="ABB80" s="1"/>
      <c r="ABC80" s="1"/>
      <c r="ABD80" s="1"/>
      <c r="ABE80" s="1"/>
      <c r="ABF80" s="1"/>
      <c r="ABG80" s="1"/>
      <c r="ABH80" s="1"/>
      <c r="ABI80" s="1"/>
      <c r="ABJ80" s="1"/>
      <c r="ABK80" s="1"/>
      <c r="ABL80" s="1"/>
      <c r="ABM80" s="1"/>
      <c r="ABN80" s="1"/>
      <c r="ABO80" s="1"/>
      <c r="ABP80" s="1"/>
      <c r="ABQ80" s="1"/>
      <c r="ABR80" s="1"/>
      <c r="ABS80" s="1"/>
      <c r="ABT80" s="1"/>
      <c r="ABU80" s="1"/>
      <c r="ABV80" s="1"/>
      <c r="ABW80" s="1"/>
      <c r="ABX80" s="1"/>
      <c r="ABY80" s="1"/>
      <c r="ABZ80" s="1"/>
      <c r="ACA80" s="1"/>
      <c r="ACB80" s="1"/>
      <c r="ACC80" s="1"/>
      <c r="ACD80" s="1"/>
      <c r="ACE80" s="1"/>
      <c r="ACF80" s="1"/>
      <c r="ACG80" s="1"/>
      <c r="ACH80" s="1"/>
      <c r="ACI80" s="1"/>
      <c r="ACJ80" s="1"/>
      <c r="ACK80" s="1"/>
      <c r="ACL80" s="1"/>
      <c r="ACM80" s="1"/>
      <c r="ACN80" s="1"/>
      <c r="ACO80" s="1"/>
      <c r="ACP80" s="1"/>
      <c r="ACQ80" s="1"/>
      <c r="ACR80" s="1"/>
      <c r="ACS80" s="1"/>
      <c r="ACT80" s="1"/>
      <c r="ACU80" s="1"/>
      <c r="ACV80" s="1"/>
      <c r="ACW80" s="1"/>
      <c r="ACX80" s="1"/>
      <c r="ACY80" s="1"/>
      <c r="ACZ80" s="1"/>
      <c r="ADA80" s="1"/>
      <c r="ADB80" s="1"/>
      <c r="ADC80" s="1"/>
      <c r="ADD80" s="1"/>
      <c r="ADE80" s="1"/>
      <c r="ADF80" s="1"/>
      <c r="ADG80" s="1"/>
      <c r="ADH80" s="1"/>
      <c r="ADI80" s="1"/>
      <c r="ADJ80" s="1"/>
      <c r="ADK80" s="1"/>
      <c r="ADL80" s="1"/>
      <c r="ADM80" s="1"/>
      <c r="ADN80" s="1"/>
      <c r="ADO80" s="1"/>
      <c r="ADP80" s="1"/>
      <c r="ADQ80" s="1"/>
      <c r="ADR80" s="1"/>
      <c r="ADS80" s="1"/>
      <c r="ADT80" s="1"/>
      <c r="ADU80" s="1"/>
      <c r="ADV80" s="1"/>
      <c r="ADW80" s="1"/>
      <c r="ADX80" s="1"/>
      <c r="ADY80" s="1"/>
      <c r="ADZ80" s="1"/>
      <c r="AEA80" s="1"/>
      <c r="AEB80" s="1"/>
      <c r="AEC80" s="1"/>
      <c r="AED80" s="1"/>
      <c r="AEE80" s="1"/>
      <c r="AEF80" s="1"/>
      <c r="AEG80" s="1"/>
      <c r="AEH80" s="1"/>
      <c r="AEI80" s="1"/>
      <c r="AEJ80" s="1"/>
      <c r="AEK80" s="1"/>
      <c r="AEL80" s="1"/>
      <c r="AEM80" s="1"/>
      <c r="AEN80" s="1"/>
      <c r="AEO80" s="1"/>
      <c r="AEP80" s="1"/>
      <c r="AEQ80" s="1"/>
      <c r="AER80" s="1"/>
      <c r="AES80" s="1"/>
      <c r="AET80" s="1"/>
      <c r="AEU80" s="1"/>
      <c r="AEV80" s="1"/>
      <c r="AEW80" s="1"/>
      <c r="AEX80" s="1"/>
      <c r="AEY80" s="1"/>
      <c r="AEZ80" s="1"/>
      <c r="AFA80" s="1"/>
      <c r="AFB80" s="1"/>
      <c r="AFC80" s="1"/>
      <c r="AFD80" s="1"/>
      <c r="AFE80" s="1"/>
      <c r="AFF80" s="1"/>
      <c r="AFG80" s="1"/>
      <c r="AFH80" s="1"/>
      <c r="AFI80" s="1"/>
      <c r="AFJ80" s="1"/>
      <c r="AFK80" s="1"/>
      <c r="AFL80" s="1"/>
      <c r="AFM80" s="1"/>
      <c r="AFN80" s="1"/>
      <c r="AFO80" s="1"/>
      <c r="AFP80" s="1"/>
      <c r="AFQ80" s="1"/>
      <c r="AFR80" s="1"/>
      <c r="AFS80" s="1"/>
      <c r="AFT80" s="1"/>
      <c r="AFU80" s="1"/>
      <c r="AFV80" s="1"/>
      <c r="AFW80" s="1"/>
      <c r="AFX80" s="1"/>
      <c r="AFY80" s="1"/>
      <c r="AFZ80" s="1"/>
      <c r="AGA80" s="1"/>
      <c r="AGB80" s="1"/>
      <c r="AGC80" s="1"/>
      <c r="AGD80" s="1"/>
      <c r="AGE80" s="1"/>
      <c r="AGF80" s="1"/>
      <c r="AGG80" s="1"/>
      <c r="AGH80" s="1"/>
      <c r="AGI80" s="1"/>
      <c r="AGJ80" s="1"/>
      <c r="AGK80" s="1"/>
      <c r="AGL80" s="1"/>
      <c r="AGM80" s="1"/>
      <c r="AGN80" s="1"/>
      <c r="AGO80" s="1"/>
      <c r="AGP80" s="1"/>
      <c r="AGQ80" s="1"/>
      <c r="AGR80" s="1"/>
      <c r="AGS80" s="1"/>
      <c r="AGT80" s="1"/>
      <c r="AGU80" s="1"/>
      <c r="AGV80" s="1"/>
      <c r="AGW80" s="1"/>
      <c r="AGX80" s="1"/>
      <c r="AGY80" s="1"/>
      <c r="AGZ80" s="1"/>
      <c r="AHA80" s="1"/>
      <c r="AHB80" s="1"/>
      <c r="AHC80" s="1"/>
      <c r="AHD80" s="1"/>
      <c r="AHE80" s="1"/>
      <c r="AHF80" s="1"/>
      <c r="AHG80" s="1"/>
      <c r="AHH80" s="1"/>
      <c r="AHI80" s="1"/>
      <c r="AHJ80" s="1"/>
      <c r="AHK80" s="1"/>
      <c r="AHL80" s="1"/>
      <c r="AHM80" s="1"/>
      <c r="AHN80" s="1"/>
      <c r="AHO80" s="1"/>
      <c r="AHP80" s="1"/>
      <c r="AHQ80" s="1"/>
      <c r="AHR80" s="1"/>
      <c r="AHS80" s="1"/>
      <c r="AHT80" s="1"/>
      <c r="AHU80" s="1"/>
      <c r="AHV80" s="1"/>
      <c r="AHW80" s="1"/>
      <c r="AHX80" s="1"/>
      <c r="AHY80" s="1"/>
      <c r="AHZ80" s="1"/>
      <c r="AIA80" s="1"/>
      <c r="AIB80" s="1"/>
      <c r="AIC80" s="1"/>
      <c r="AID80" s="1"/>
      <c r="AIE80" s="1"/>
      <c r="AIF80" s="1"/>
      <c r="AIG80" s="1"/>
      <c r="AIH80" s="1"/>
      <c r="AII80" s="1"/>
      <c r="AIJ80" s="1"/>
      <c r="AIK80" s="1"/>
      <c r="AIL80" s="1"/>
      <c r="AIM80" s="1"/>
      <c r="AIN80" s="1"/>
      <c r="AIO80" s="1"/>
      <c r="AIP80" s="1"/>
      <c r="AIQ80" s="1"/>
      <c r="AIR80" s="1"/>
      <c r="AIS80" s="1"/>
      <c r="AIT80" s="1"/>
      <c r="AIU80" s="1"/>
      <c r="AIV80" s="1"/>
      <c r="AIW80" s="1"/>
      <c r="AIX80" s="1"/>
      <c r="AIY80" s="1"/>
      <c r="AIZ80" s="1"/>
      <c r="AJA80" s="1"/>
      <c r="AJB80" s="1"/>
      <c r="AJC80" s="1"/>
      <c r="AJD80" s="1"/>
      <c r="AJE80" s="1"/>
      <c r="AJF80" s="1"/>
      <c r="AJG80" s="1"/>
      <c r="AJH80" s="1"/>
      <c r="AJI80" s="1"/>
      <c r="AJJ80" s="1"/>
      <c r="AJK80" s="1"/>
      <c r="AJL80" s="1"/>
      <c r="AJM80" s="1"/>
      <c r="AJN80" s="1"/>
      <c r="AJO80" s="1"/>
      <c r="AJP80" s="1"/>
      <c r="AJQ80" s="1"/>
      <c r="AJR80" s="1"/>
      <c r="AJS80" s="1"/>
      <c r="AJT80" s="1"/>
      <c r="AJU80" s="1"/>
      <c r="AJV80" s="1"/>
      <c r="AJW80" s="1"/>
      <c r="AJX80" s="1"/>
      <c r="AJY80" s="1"/>
      <c r="AJZ80" s="1"/>
      <c r="AKA80" s="1"/>
      <c r="AKB80" s="1"/>
      <c r="AKC80" s="1"/>
      <c r="AKD80" s="1"/>
      <c r="AKE80" s="1"/>
      <c r="AKF80" s="1"/>
      <c r="AKG80" s="1"/>
      <c r="AKH80" s="1"/>
      <c r="AKI80" s="1"/>
      <c r="AKJ80" s="1"/>
      <c r="AKK80" s="1"/>
      <c r="AKL80" s="1"/>
      <c r="AKM80" s="1"/>
      <c r="AKN80" s="1"/>
      <c r="AKO80" s="1"/>
      <c r="AKP80" s="1"/>
      <c r="AKQ80" s="1"/>
      <c r="AKR80" s="1"/>
      <c r="AKS80" s="1"/>
      <c r="AKT80" s="1"/>
      <c r="AKU80" s="1"/>
      <c r="AKV80" s="1"/>
      <c r="AKW80" s="1"/>
      <c r="AKX80" s="1"/>
      <c r="AKY80" s="1"/>
      <c r="AKZ80" s="1"/>
      <c r="ALA80" s="1"/>
      <c r="ALB80" s="1"/>
      <c r="ALC80" s="1"/>
      <c r="ALD80" s="1"/>
      <c r="ALE80" s="1"/>
      <c r="ALF80" s="1"/>
      <c r="ALG80" s="1"/>
      <c r="ALH80" s="1"/>
      <c r="ALI80" s="1"/>
      <c r="ALJ80" s="1"/>
      <c r="ALK80" s="1"/>
      <c r="ALL80" s="1"/>
      <c r="ALM80" s="1"/>
      <c r="ALN80" s="1"/>
      <c r="ALO80" s="1"/>
      <c r="ALP80" s="1"/>
      <c r="ALQ80" s="1"/>
      <c r="ALR80" s="1"/>
      <c r="ALS80" s="1"/>
      <c r="ALT80" s="1"/>
      <c r="ALU80" s="1"/>
      <c r="ALV80" s="1"/>
      <c r="ALW80" s="1"/>
      <c r="ALX80" s="1"/>
      <c r="ALY80" s="1"/>
      <c r="ALZ80" s="1"/>
      <c r="AMA80" s="1"/>
      <c r="AMB80" s="1"/>
      <c r="AMC80" s="1"/>
      <c r="AMD80" s="1"/>
      <c r="AME80" s="1"/>
      <c r="AMF80" s="1"/>
      <c r="AMG80" s="1"/>
      <c r="AMH80" s="1"/>
      <c r="AMI80" s="1"/>
      <c r="AMJ80" s="1"/>
      <c r="AMK80" s="1"/>
      <c r="AML80" s="1"/>
      <c r="AMM80" s="1"/>
      <c r="AMN80" s="1"/>
    </row>
    <row r="81" spans="1:1029" x14ac:dyDescent="0.2">
      <c r="A81" s="3" t="str">
        <f t="shared" ref="A81:A82" si="224">CONCATENATE(B81,"_",C81)</f>
        <v>agtr2_human__wt</v>
      </c>
      <c r="B81" s="3" t="s">
        <v>159</v>
      </c>
      <c r="C81" s="3" t="s">
        <v>100</v>
      </c>
      <c r="D81" s="3" t="str">
        <f>IFERROR(MID(VLOOKUP($B81,Seqs!$A:$B,2,0),E81,1),"")</f>
        <v>D</v>
      </c>
      <c r="E81" s="3">
        <v>45</v>
      </c>
      <c r="F81" s="3" t="str">
        <f>IFERROR(MID(VLOOKUP($B81,Seqs!$A:$B,2,0),G81,1),"")</f>
        <v>Q</v>
      </c>
      <c r="G81" s="3">
        <v>72</v>
      </c>
      <c r="H81" s="3" t="str">
        <f>IFERROR(MID(VLOOKUP($B81,Seqs!$A:$B,2,0),I81,1),"")</f>
        <v/>
      </c>
      <c r="I81" s="23" t="s">
        <v>23</v>
      </c>
      <c r="J81" s="3" t="str">
        <f>IFERROR(MID(VLOOKUP($B81,Seqs!$A:$B,2,0),K81,1),"")</f>
        <v/>
      </c>
      <c r="K81" s="23" t="s">
        <v>23</v>
      </c>
      <c r="L81" s="3" t="str">
        <f>IFERROR(MID(VLOOKUP($B81,Seqs!$A:$B,2,0),M81,1),"")</f>
        <v>V</v>
      </c>
      <c r="M81" s="3">
        <v>78</v>
      </c>
      <c r="N81" s="3" t="str">
        <f>IFERROR(MID(VLOOKUP($B81,Seqs!$A:$B,2,0),O81,1),"")</f>
        <v>Y</v>
      </c>
      <c r="O81" s="3">
        <v>106</v>
      </c>
      <c r="P81" s="3" t="str">
        <f>IFERROR(MID(VLOOKUP($B81,Seqs!$A:$B,2,0),Q81,1),"")</f>
        <v>R</v>
      </c>
      <c r="Q81" s="3">
        <v>107</v>
      </c>
      <c r="R81" s="3" t="str">
        <f>IFERROR(MID(VLOOKUP($B81,Seqs!$A:$B,2,0),S81,1),"")</f>
        <v>F</v>
      </c>
      <c r="S81" s="3">
        <v>112</v>
      </c>
      <c r="T81" s="3" t="str">
        <f>IFERROR(MID(VLOOKUP($B81,Seqs!$A:$B,2,0),U81,1),"")</f>
        <v>G</v>
      </c>
      <c r="U81" s="3">
        <v>113</v>
      </c>
      <c r="V81" s="3" t="str">
        <f>IFERROR(MID(VLOOKUP($B81,Seqs!$A:$B,2,0),W81,1),"")</f>
        <v>Y</v>
      </c>
      <c r="W81" s="3">
        <v>148</v>
      </c>
      <c r="X81" s="3" t="str">
        <f>IFERROR(MID(VLOOKUP($B81,Seqs!$A:$B,2,0),Y81,1),"")</f>
        <v>P</v>
      </c>
      <c r="Y81" s="3">
        <v>149</v>
      </c>
      <c r="Z81" s="3" t="str">
        <f>IFERROR(MID(VLOOKUP($B81,Seqs!$A:$B,2,0),AA81,1),"")</f>
        <v>R</v>
      </c>
      <c r="AA81" s="3">
        <v>155</v>
      </c>
      <c r="AB81" s="3" t="str">
        <f>IFERROR(MID(VLOOKUP($B81,Seqs!$A:$B,2,0),AC81,1),"")</f>
        <v>N</v>
      </c>
      <c r="AC81" s="3">
        <v>156</v>
      </c>
      <c r="AD81" s="3" t="str">
        <f>IFERROR(MID(VLOOKUP($B81,Seqs!$A:$B,2,0),AE81,1),"")</f>
        <v>R</v>
      </c>
      <c r="AE81" s="3">
        <v>182</v>
      </c>
      <c r="AF81" s="3" t="str">
        <f>IFERROR(MID(VLOOKUP($B81,Seqs!$A:$B,2,0),AG81,1),"")</f>
        <v>C</v>
      </c>
      <c r="AG81" s="3">
        <v>195</v>
      </c>
      <c r="AH81" s="3" t="str">
        <f>IFERROR(MID(VLOOKUP($B81,Seqs!$A:$B,2,0),AI81,1),"")</f>
        <v>M</v>
      </c>
      <c r="AI81" s="3">
        <v>197</v>
      </c>
      <c r="AJ81" s="3" t="str">
        <f>IFERROR(MID(VLOOKUP($B81,Seqs!$A:$B,2,0),AK81,1),"")</f>
        <v>K</v>
      </c>
      <c r="AK81" s="3">
        <v>203</v>
      </c>
      <c r="AL81" s="3" t="str">
        <f>IFERROR(MID(VLOOKUP($B81,Seqs!$A:$B,2,0),AM81,1),"")</f>
        <v>T</v>
      </c>
      <c r="AM81" s="3">
        <v>241</v>
      </c>
      <c r="AN81" s="3" t="str">
        <f>IFERROR(MID(VLOOKUP($B81,Seqs!$A:$B,2,0),AO81,1),"")</f>
        <v>G</v>
      </c>
      <c r="AO81" s="3">
        <v>245</v>
      </c>
      <c r="AP81" s="3" t="str">
        <f>IFERROR(MID(VLOOKUP($B81,Seqs!$A:$B,2,0),AQ81,1),"")</f>
        <v>G</v>
      </c>
      <c r="AQ81" s="3">
        <v>285</v>
      </c>
      <c r="AR81" s="3" t="str">
        <f>IFERROR(MID(VLOOKUP($B81,Seqs!$A:$B,2,0),AS81,1),"")</f>
        <v>S</v>
      </c>
      <c r="AS81" s="3">
        <v>289</v>
      </c>
      <c r="AT81" s="3" t="str">
        <f>IFERROR(MID(VLOOKUP($B81,Seqs!$A:$B,2,0),AU81,1),"")</f>
        <v>V</v>
      </c>
      <c r="AU81" s="3">
        <v>321</v>
      </c>
      <c r="AV81" s="3" t="str">
        <f>IFERROR(MID(VLOOKUP($B81,Seqs!$A:$B,2,0),AW81,1),"")</f>
        <v>G</v>
      </c>
      <c r="AW81" s="3">
        <v>322</v>
      </c>
      <c r="AX81" s="3" t="str">
        <f>IFERROR(MID(VLOOKUP($B81,Seqs!$A:$B,2,0),AY81,1),"")</f>
        <v>P</v>
      </c>
      <c r="AY81" s="3">
        <v>336</v>
      </c>
      <c r="AZ81" s="79" t="str">
        <f>VLOOKUP(B81,Classification!A:D,2,0)</f>
        <v>A</v>
      </c>
      <c r="BA81" s="97" t="str">
        <f>VLOOKUP(B81,Classification!A:D,4,0)</f>
        <v>Angiotensin</v>
      </c>
      <c r="BB81" s="27" t="b">
        <f t="shared" ref="BB81:BB82" si="225">AND(E81&lt;G81,OR(G81&lt;I81,I81="-"),OR(I81&lt;K81,I81="-"),OR(K81&lt;M81,K81="-"),M81&lt;O81,OR(O81&lt;Q81,Q81="-"),OR(Q81&lt;S81,Q81="-"),OR(S81&lt;U81,S81="-"),U81&lt;W81,OR(W81&lt;Y81,Y81="-"),OR(Y81&lt;AA81,Y81="-"),OR(AA81&lt;AC81,AA81="-"),AC81&lt;AE81,OR(AE81&lt;AG81,AG81="-"),OR(AG81&lt;AI81,AG81="-"),OR(AI81&lt;AK81,AI81="-"),AK81&lt;AM81,AM81&lt;AO81,AO81&lt;AQ81,AQ81&lt;AS81,AS81&lt;AU81,OR(AU81&lt;AW81,AW81="-"),OR(AW81&lt;AY81,AW81="-"))</f>
        <v>1</v>
      </c>
      <c r="BC81" s="23">
        <f t="shared" ref="BC81:BC82" si="226">_xlfn.AGGREGATE(9,6,CG81:CR81)-_xlfn.AGGREGATE(9,6,BU81:CF81)+12</f>
        <v>265</v>
      </c>
      <c r="BD81" s="2"/>
      <c r="BE81" s="3" t="s">
        <v>1297</v>
      </c>
      <c r="BF81" s="50" t="s">
        <v>1384</v>
      </c>
      <c r="BG81" s="50" t="s">
        <v>1384</v>
      </c>
      <c r="BH81" s="1"/>
      <c r="BI81" s="72" t="s">
        <v>1293</v>
      </c>
      <c r="BJ81" s="58" t="s">
        <v>1293</v>
      </c>
      <c r="BK81" s="58" t="s">
        <v>1293</v>
      </c>
      <c r="BL81" s="58" t="s">
        <v>1293</v>
      </c>
      <c r="BM81" s="58" t="s">
        <v>1293</v>
      </c>
      <c r="BN81" s="58" t="s">
        <v>1293</v>
      </c>
      <c r="BO81" s="58" t="s">
        <v>1293</v>
      </c>
      <c r="BP81" s="58" t="s">
        <v>1293</v>
      </c>
      <c r="BQ81" s="58" t="s">
        <v>1293</v>
      </c>
      <c r="BR81" s="58" t="s">
        <v>1293</v>
      </c>
      <c r="BS81" s="58" t="s">
        <v>1293</v>
      </c>
      <c r="BT81" s="58" t="s">
        <v>1293</v>
      </c>
      <c r="BU81" s="72">
        <f t="shared" ref="BU81:BU82" si="227">E81</f>
        <v>45</v>
      </c>
      <c r="BV81" s="73" t="str">
        <f t="shared" ref="BV81:BV82" si="228">I81</f>
        <v>-</v>
      </c>
      <c r="BW81" s="74">
        <f t="shared" ref="BW81:BW82" si="229">M81</f>
        <v>78</v>
      </c>
      <c r="BX81" s="73">
        <f t="shared" ref="BX81:BX82" si="230">Q81</f>
        <v>107</v>
      </c>
      <c r="BY81" s="74">
        <f t="shared" ref="BY81:BY82" si="231">U81</f>
        <v>113</v>
      </c>
      <c r="BZ81" s="73">
        <f t="shared" ref="BZ81:BZ82" si="232">Y81</f>
        <v>149</v>
      </c>
      <c r="CA81" s="74">
        <f t="shared" ref="CA81:CA82" si="233">AC81</f>
        <v>156</v>
      </c>
      <c r="CB81" s="73">
        <f t="shared" ref="CB81:CB82" si="234">AG81</f>
        <v>195</v>
      </c>
      <c r="CC81" s="74">
        <f t="shared" ref="CC81:CC82" si="235">AK81</f>
        <v>203</v>
      </c>
      <c r="CD81" s="73">
        <f t="shared" ref="CD81:CD82" si="236">AO81</f>
        <v>245</v>
      </c>
      <c r="CE81" s="74">
        <f t="shared" ref="CE81:CE82" si="237">AS81</f>
        <v>289</v>
      </c>
      <c r="CF81" s="73">
        <f t="shared" ref="CF81:CF82" si="238">AW81</f>
        <v>322</v>
      </c>
      <c r="CG81" s="72">
        <f t="shared" ref="CG81:CG82" si="239">G81</f>
        <v>72</v>
      </c>
      <c r="CH81" s="73" t="str">
        <f t="shared" ref="CH81:CH82" si="240">K81</f>
        <v>-</v>
      </c>
      <c r="CI81" s="74">
        <f t="shared" ref="CI81:CI82" si="241">O81</f>
        <v>106</v>
      </c>
      <c r="CJ81" s="74">
        <f t="shared" ref="CJ81:CJ82" si="242">S81</f>
        <v>112</v>
      </c>
      <c r="CK81" s="74">
        <f t="shared" ref="CK81:CK82" si="243">W81</f>
        <v>148</v>
      </c>
      <c r="CL81" s="74">
        <f t="shared" ref="CL81:CL82" si="244">AA81</f>
        <v>155</v>
      </c>
      <c r="CM81" s="74">
        <f t="shared" ref="CM81:CM82" si="245">AE81</f>
        <v>182</v>
      </c>
      <c r="CN81" s="74">
        <f t="shared" ref="CN81:CN82" si="246">AI81</f>
        <v>197</v>
      </c>
      <c r="CO81" s="74">
        <f t="shared" ref="CO81:CO82" si="247">AM81</f>
        <v>241</v>
      </c>
      <c r="CP81" s="74">
        <f t="shared" ref="CP81:CP82" si="248">AQ81</f>
        <v>285</v>
      </c>
      <c r="CQ81" s="74">
        <f t="shared" ref="CQ81:CQ82" si="249">AU81</f>
        <v>321</v>
      </c>
      <c r="CR81" s="74">
        <f t="shared" ref="CR81:CR82" si="250">AY81</f>
        <v>336</v>
      </c>
      <c r="CS81" s="23" t="e">
        <f t="shared" ref="CS81:CS82" si="251">M81-K81</f>
        <v>#VALUE!</v>
      </c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  <c r="OK81" s="1"/>
      <c r="OL81" s="1"/>
      <c r="OM81" s="1"/>
      <c r="ON81" s="1"/>
      <c r="OO81" s="1"/>
      <c r="OP81" s="1"/>
      <c r="OQ81" s="1"/>
      <c r="OR81" s="1"/>
      <c r="OS81" s="1"/>
      <c r="OT81" s="1"/>
      <c r="OU81" s="1"/>
      <c r="OV81" s="1"/>
      <c r="OW81" s="1"/>
      <c r="OX81" s="1"/>
      <c r="OY81" s="1"/>
      <c r="OZ81" s="1"/>
      <c r="PA81" s="1"/>
      <c r="PB81" s="1"/>
      <c r="PC81" s="1"/>
      <c r="PD81" s="1"/>
      <c r="PE81" s="1"/>
      <c r="PF81" s="1"/>
      <c r="PG81" s="1"/>
      <c r="PH81" s="1"/>
      <c r="PI81" s="1"/>
      <c r="PJ81" s="1"/>
      <c r="PK81" s="1"/>
      <c r="PL81" s="1"/>
      <c r="PM81" s="1"/>
      <c r="PN81" s="1"/>
      <c r="PO81" s="1"/>
      <c r="PP81" s="1"/>
      <c r="PQ81" s="1"/>
      <c r="PR81" s="1"/>
      <c r="PS81" s="1"/>
      <c r="PT81" s="1"/>
      <c r="PU81" s="1"/>
      <c r="PV81" s="1"/>
      <c r="PW81" s="1"/>
      <c r="PX81" s="1"/>
      <c r="PY81" s="1"/>
      <c r="PZ81" s="1"/>
      <c r="QA81" s="1"/>
      <c r="QB81" s="1"/>
      <c r="QC81" s="1"/>
      <c r="QD81" s="1"/>
      <c r="QE81" s="1"/>
      <c r="QF81" s="1"/>
      <c r="QG81" s="1"/>
      <c r="QH81" s="1"/>
      <c r="QI81" s="1"/>
      <c r="QJ81" s="1"/>
      <c r="QK81" s="1"/>
      <c r="QL81" s="1"/>
      <c r="QM81" s="1"/>
      <c r="QN81" s="1"/>
      <c r="QO81" s="1"/>
      <c r="QP81" s="1"/>
      <c r="QQ81" s="1"/>
      <c r="QR81" s="1"/>
      <c r="QS81" s="1"/>
      <c r="QT81" s="1"/>
      <c r="QU81" s="1"/>
      <c r="QV81" s="1"/>
      <c r="QW81" s="1"/>
      <c r="QX81" s="1"/>
      <c r="QY81" s="1"/>
      <c r="QZ81" s="1"/>
      <c r="RA81" s="1"/>
      <c r="RB81" s="1"/>
      <c r="RC81" s="1"/>
      <c r="RD81" s="1"/>
      <c r="RE81" s="1"/>
      <c r="RF81" s="1"/>
      <c r="RG81" s="1"/>
      <c r="RH81" s="1"/>
      <c r="RI81" s="1"/>
      <c r="RJ81" s="1"/>
      <c r="RK81" s="1"/>
      <c r="RL81" s="1"/>
      <c r="RM81" s="1"/>
      <c r="RN81" s="1"/>
      <c r="RO81" s="1"/>
      <c r="RP81" s="1"/>
      <c r="RQ81" s="1"/>
      <c r="RR81" s="1"/>
      <c r="RS81" s="1"/>
      <c r="RT81" s="1"/>
      <c r="RU81" s="1"/>
      <c r="RV81" s="1"/>
      <c r="RW81" s="1"/>
      <c r="RX81" s="1"/>
      <c r="RY81" s="1"/>
      <c r="RZ81" s="1"/>
      <c r="SA81" s="1"/>
      <c r="SB81" s="1"/>
      <c r="SC81" s="1"/>
      <c r="SD81" s="1"/>
      <c r="SE81" s="1"/>
      <c r="SF81" s="1"/>
      <c r="SG81" s="1"/>
      <c r="SH81" s="1"/>
      <c r="SI81" s="1"/>
      <c r="SJ81" s="1"/>
      <c r="SK81" s="1"/>
      <c r="SL81" s="1"/>
      <c r="SM81" s="1"/>
      <c r="SN81" s="1"/>
      <c r="SO81" s="1"/>
      <c r="SP81" s="1"/>
      <c r="SQ81" s="1"/>
      <c r="SR81" s="1"/>
      <c r="SS81" s="1"/>
      <c r="ST81" s="1"/>
      <c r="SU81" s="1"/>
      <c r="SV81" s="1"/>
      <c r="SW81" s="1"/>
      <c r="SX81" s="1"/>
      <c r="SY81" s="1"/>
      <c r="SZ81" s="1"/>
      <c r="TA81" s="1"/>
      <c r="TB81" s="1"/>
      <c r="TC81" s="1"/>
      <c r="TD81" s="1"/>
      <c r="TE81" s="1"/>
      <c r="TF81" s="1"/>
      <c r="TG81" s="1"/>
      <c r="TH81" s="1"/>
      <c r="TI81" s="1"/>
      <c r="TJ81" s="1"/>
      <c r="TK81" s="1"/>
      <c r="TL81" s="1"/>
      <c r="TM81" s="1"/>
      <c r="TN81" s="1"/>
      <c r="TO81" s="1"/>
      <c r="TP81" s="1"/>
      <c r="TQ81" s="1"/>
      <c r="TR81" s="1"/>
      <c r="TS81" s="1"/>
      <c r="TT81" s="1"/>
      <c r="TU81" s="1"/>
      <c r="TV81" s="1"/>
      <c r="TW81" s="1"/>
      <c r="TX81" s="1"/>
      <c r="TY81" s="1"/>
      <c r="TZ81" s="1"/>
      <c r="UA81" s="1"/>
      <c r="UB81" s="1"/>
      <c r="UC81" s="1"/>
      <c r="UD81" s="1"/>
      <c r="UE81" s="1"/>
      <c r="UF81" s="1"/>
      <c r="UG81" s="1"/>
      <c r="UH81" s="1"/>
      <c r="UI81" s="1"/>
      <c r="UJ81" s="1"/>
      <c r="UK81" s="1"/>
      <c r="UL81" s="1"/>
      <c r="UM81" s="1"/>
      <c r="UN81" s="1"/>
      <c r="UO81" s="1"/>
      <c r="UP81" s="1"/>
      <c r="UQ81" s="1"/>
      <c r="UR81" s="1"/>
      <c r="US81" s="1"/>
      <c r="UT81" s="1"/>
      <c r="UU81" s="1"/>
      <c r="UV81" s="1"/>
      <c r="UW81" s="1"/>
      <c r="UX81" s="1"/>
      <c r="UY81" s="1"/>
      <c r="UZ81" s="1"/>
      <c r="VA81" s="1"/>
      <c r="VB81" s="1"/>
      <c r="VC81" s="1"/>
      <c r="VD81" s="1"/>
      <c r="VE81" s="1"/>
      <c r="VF81" s="1"/>
      <c r="VG81" s="1"/>
      <c r="VH81" s="1"/>
      <c r="VI81" s="1"/>
      <c r="VJ81" s="1"/>
      <c r="VK81" s="1"/>
      <c r="VL81" s="1"/>
      <c r="VM81" s="1"/>
      <c r="VN81" s="1"/>
      <c r="VO81" s="1"/>
      <c r="VP81" s="1"/>
      <c r="VQ81" s="1"/>
      <c r="VR81" s="1"/>
      <c r="VS81" s="1"/>
      <c r="VT81" s="1"/>
      <c r="VU81" s="1"/>
      <c r="VV81" s="1"/>
      <c r="VW81" s="1"/>
      <c r="VX81" s="1"/>
      <c r="VY81" s="1"/>
      <c r="VZ81" s="1"/>
      <c r="WA81" s="1"/>
      <c r="WB81" s="1"/>
      <c r="WC81" s="1"/>
      <c r="WD81" s="1"/>
      <c r="WE81" s="1"/>
      <c r="WF81" s="1"/>
      <c r="WG81" s="1"/>
      <c r="WH81" s="1"/>
      <c r="WI81" s="1"/>
      <c r="WJ81" s="1"/>
      <c r="WK81" s="1"/>
      <c r="WL81" s="1"/>
      <c r="WM81" s="1"/>
      <c r="WN81" s="1"/>
      <c r="WO81" s="1"/>
      <c r="WP81" s="1"/>
      <c r="WQ81" s="1"/>
      <c r="WR81" s="1"/>
      <c r="WS81" s="1"/>
      <c r="WT81" s="1"/>
      <c r="WU81" s="1"/>
      <c r="WV81" s="1"/>
      <c r="WW81" s="1"/>
      <c r="WX81" s="1"/>
      <c r="WY81" s="1"/>
      <c r="WZ81" s="1"/>
      <c r="XA81" s="1"/>
      <c r="XB81" s="1"/>
      <c r="XC81" s="1"/>
      <c r="XD81" s="1"/>
      <c r="XE81" s="1"/>
      <c r="XF81" s="1"/>
      <c r="XG81" s="1"/>
      <c r="XH81" s="1"/>
      <c r="XI81" s="1"/>
      <c r="XJ81" s="1"/>
      <c r="XK81" s="1"/>
      <c r="XL81" s="1"/>
      <c r="XM81" s="1"/>
      <c r="XN81" s="1"/>
      <c r="XO81" s="1"/>
      <c r="XP81" s="1"/>
      <c r="XQ81" s="1"/>
      <c r="XR81" s="1"/>
      <c r="XS81" s="1"/>
      <c r="XT81" s="1"/>
      <c r="XU81" s="1"/>
      <c r="XV81" s="1"/>
      <c r="XW81" s="1"/>
      <c r="XX81" s="1"/>
      <c r="XY81" s="1"/>
      <c r="XZ81" s="1"/>
      <c r="YA81" s="1"/>
      <c r="YB81" s="1"/>
      <c r="YC81" s="1"/>
      <c r="YD81" s="1"/>
      <c r="YE81" s="1"/>
      <c r="YF81" s="1"/>
      <c r="YG81" s="1"/>
      <c r="YH81" s="1"/>
      <c r="YI81" s="1"/>
      <c r="YJ81" s="1"/>
      <c r="YK81" s="1"/>
      <c r="YL81" s="1"/>
      <c r="YM81" s="1"/>
      <c r="YN81" s="1"/>
      <c r="YO81" s="1"/>
      <c r="YP81" s="1"/>
      <c r="YQ81" s="1"/>
      <c r="YR81" s="1"/>
      <c r="YS81" s="1"/>
      <c r="YT81" s="1"/>
      <c r="YU81" s="1"/>
      <c r="YV81" s="1"/>
      <c r="YW81" s="1"/>
      <c r="YX81" s="1"/>
      <c r="YY81" s="1"/>
      <c r="YZ81" s="1"/>
      <c r="ZA81" s="1"/>
      <c r="ZB81" s="1"/>
      <c r="ZC81" s="1"/>
      <c r="ZD81" s="1"/>
      <c r="ZE81" s="1"/>
      <c r="ZF81" s="1"/>
      <c r="ZG81" s="1"/>
      <c r="ZH81" s="1"/>
      <c r="ZI81" s="1"/>
      <c r="ZJ81" s="1"/>
      <c r="ZK81" s="1"/>
      <c r="ZL81" s="1"/>
      <c r="ZM81" s="1"/>
      <c r="ZN81" s="1"/>
      <c r="ZO81" s="1"/>
      <c r="ZP81" s="1"/>
      <c r="ZQ81" s="1"/>
      <c r="ZR81" s="1"/>
      <c r="ZS81" s="1"/>
      <c r="ZT81" s="1"/>
      <c r="ZU81" s="1"/>
      <c r="ZV81" s="1"/>
      <c r="ZW81" s="1"/>
      <c r="ZX81" s="1"/>
      <c r="ZY81" s="1"/>
      <c r="ZZ81" s="1"/>
      <c r="AAA81" s="1"/>
      <c r="AAB81" s="1"/>
      <c r="AAC81" s="1"/>
      <c r="AAD81" s="1"/>
      <c r="AAE81" s="1"/>
      <c r="AAF81" s="1"/>
      <c r="AAG81" s="1"/>
      <c r="AAH81" s="1"/>
      <c r="AAI81" s="1"/>
      <c r="AAJ81" s="1"/>
      <c r="AAK81" s="1"/>
      <c r="AAL81" s="1"/>
      <c r="AAM81" s="1"/>
      <c r="AAN81" s="1"/>
      <c r="AAO81" s="1"/>
      <c r="AAP81" s="1"/>
      <c r="AAQ81" s="1"/>
      <c r="AAR81" s="1"/>
      <c r="AAS81" s="1"/>
      <c r="AAT81" s="1"/>
      <c r="AAU81" s="1"/>
      <c r="AAV81" s="1"/>
      <c r="AAW81" s="1"/>
      <c r="AAX81" s="1"/>
      <c r="AAY81" s="1"/>
      <c r="AAZ81" s="1"/>
      <c r="ABA81" s="1"/>
      <c r="ABB81" s="1"/>
      <c r="ABC81" s="1"/>
      <c r="ABD81" s="1"/>
      <c r="ABE81" s="1"/>
      <c r="ABF81" s="1"/>
      <c r="ABG81" s="1"/>
      <c r="ABH81" s="1"/>
      <c r="ABI81" s="1"/>
      <c r="ABJ81" s="1"/>
      <c r="ABK81" s="1"/>
      <c r="ABL81" s="1"/>
      <c r="ABM81" s="1"/>
      <c r="ABN81" s="1"/>
      <c r="ABO81" s="1"/>
      <c r="ABP81" s="1"/>
      <c r="ABQ81" s="1"/>
      <c r="ABR81" s="1"/>
      <c r="ABS81" s="1"/>
      <c r="ABT81" s="1"/>
      <c r="ABU81" s="1"/>
      <c r="ABV81" s="1"/>
      <c r="ABW81" s="1"/>
      <c r="ABX81" s="1"/>
      <c r="ABY81" s="1"/>
      <c r="ABZ81" s="1"/>
      <c r="ACA81" s="1"/>
      <c r="ACB81" s="1"/>
      <c r="ACC81" s="1"/>
      <c r="ACD81" s="1"/>
      <c r="ACE81" s="1"/>
      <c r="ACF81" s="1"/>
      <c r="ACG81" s="1"/>
      <c r="ACH81" s="1"/>
      <c r="ACI81" s="1"/>
      <c r="ACJ81" s="1"/>
      <c r="ACK81" s="1"/>
      <c r="ACL81" s="1"/>
      <c r="ACM81" s="1"/>
      <c r="ACN81" s="1"/>
      <c r="ACO81" s="1"/>
      <c r="ACP81" s="1"/>
      <c r="ACQ81" s="1"/>
      <c r="ACR81" s="1"/>
      <c r="ACS81" s="1"/>
      <c r="ACT81" s="1"/>
      <c r="ACU81" s="1"/>
      <c r="ACV81" s="1"/>
      <c r="ACW81" s="1"/>
      <c r="ACX81" s="1"/>
      <c r="ACY81" s="1"/>
      <c r="ACZ81" s="1"/>
      <c r="ADA81" s="1"/>
      <c r="ADB81" s="1"/>
      <c r="ADC81" s="1"/>
      <c r="ADD81" s="1"/>
      <c r="ADE81" s="1"/>
      <c r="ADF81" s="1"/>
      <c r="ADG81" s="1"/>
      <c r="ADH81" s="1"/>
      <c r="ADI81" s="1"/>
      <c r="ADJ81" s="1"/>
      <c r="ADK81" s="1"/>
      <c r="ADL81" s="1"/>
      <c r="ADM81" s="1"/>
      <c r="ADN81" s="1"/>
      <c r="ADO81" s="1"/>
      <c r="ADP81" s="1"/>
      <c r="ADQ81" s="1"/>
      <c r="ADR81" s="1"/>
      <c r="ADS81" s="1"/>
      <c r="ADT81" s="1"/>
      <c r="ADU81" s="1"/>
      <c r="ADV81" s="1"/>
      <c r="ADW81" s="1"/>
      <c r="ADX81" s="1"/>
      <c r="ADY81" s="1"/>
      <c r="ADZ81" s="1"/>
      <c r="AEA81" s="1"/>
      <c r="AEB81" s="1"/>
      <c r="AEC81" s="1"/>
      <c r="AED81" s="1"/>
      <c r="AEE81" s="1"/>
      <c r="AEF81" s="1"/>
      <c r="AEG81" s="1"/>
      <c r="AEH81" s="1"/>
      <c r="AEI81" s="1"/>
      <c r="AEJ81" s="1"/>
      <c r="AEK81" s="1"/>
      <c r="AEL81" s="1"/>
      <c r="AEM81" s="1"/>
      <c r="AEN81" s="1"/>
      <c r="AEO81" s="1"/>
      <c r="AEP81" s="1"/>
      <c r="AEQ81" s="1"/>
      <c r="AER81" s="1"/>
      <c r="AES81" s="1"/>
      <c r="AET81" s="1"/>
      <c r="AEU81" s="1"/>
      <c r="AEV81" s="1"/>
      <c r="AEW81" s="1"/>
      <c r="AEX81" s="1"/>
      <c r="AEY81" s="1"/>
      <c r="AEZ81" s="1"/>
      <c r="AFA81" s="1"/>
      <c r="AFB81" s="1"/>
      <c r="AFC81" s="1"/>
      <c r="AFD81" s="1"/>
      <c r="AFE81" s="1"/>
      <c r="AFF81" s="1"/>
      <c r="AFG81" s="1"/>
      <c r="AFH81" s="1"/>
      <c r="AFI81" s="1"/>
      <c r="AFJ81" s="1"/>
      <c r="AFK81" s="1"/>
      <c r="AFL81" s="1"/>
      <c r="AFM81" s="1"/>
      <c r="AFN81" s="1"/>
      <c r="AFO81" s="1"/>
      <c r="AFP81" s="1"/>
      <c r="AFQ81" s="1"/>
      <c r="AFR81" s="1"/>
      <c r="AFS81" s="1"/>
      <c r="AFT81" s="1"/>
      <c r="AFU81" s="1"/>
      <c r="AFV81" s="1"/>
      <c r="AFW81" s="1"/>
      <c r="AFX81" s="1"/>
      <c r="AFY81" s="1"/>
      <c r="AFZ81" s="1"/>
      <c r="AGA81" s="1"/>
      <c r="AGB81" s="1"/>
      <c r="AGC81" s="1"/>
      <c r="AGD81" s="1"/>
      <c r="AGE81" s="1"/>
      <c r="AGF81" s="1"/>
      <c r="AGG81" s="1"/>
      <c r="AGH81" s="1"/>
      <c r="AGI81" s="1"/>
      <c r="AGJ81" s="1"/>
      <c r="AGK81" s="1"/>
      <c r="AGL81" s="1"/>
      <c r="AGM81" s="1"/>
      <c r="AGN81" s="1"/>
      <c r="AGO81" s="1"/>
      <c r="AGP81" s="1"/>
      <c r="AGQ81" s="1"/>
      <c r="AGR81" s="1"/>
      <c r="AGS81" s="1"/>
      <c r="AGT81" s="1"/>
      <c r="AGU81" s="1"/>
      <c r="AGV81" s="1"/>
      <c r="AGW81" s="1"/>
      <c r="AGX81" s="1"/>
      <c r="AGY81" s="1"/>
      <c r="AGZ81" s="1"/>
      <c r="AHA81" s="1"/>
      <c r="AHB81" s="1"/>
      <c r="AHC81" s="1"/>
      <c r="AHD81" s="1"/>
      <c r="AHE81" s="1"/>
      <c r="AHF81" s="1"/>
      <c r="AHG81" s="1"/>
      <c r="AHH81" s="1"/>
      <c r="AHI81" s="1"/>
      <c r="AHJ81" s="1"/>
      <c r="AHK81" s="1"/>
      <c r="AHL81" s="1"/>
      <c r="AHM81" s="1"/>
      <c r="AHN81" s="1"/>
      <c r="AHO81" s="1"/>
      <c r="AHP81" s="1"/>
      <c r="AHQ81" s="1"/>
      <c r="AHR81" s="1"/>
      <c r="AHS81" s="1"/>
      <c r="AHT81" s="1"/>
      <c r="AHU81" s="1"/>
      <c r="AHV81" s="1"/>
      <c r="AHW81" s="1"/>
      <c r="AHX81" s="1"/>
      <c r="AHY81" s="1"/>
      <c r="AHZ81" s="1"/>
      <c r="AIA81" s="1"/>
      <c r="AIB81" s="1"/>
      <c r="AIC81" s="1"/>
      <c r="AID81" s="1"/>
      <c r="AIE81" s="1"/>
      <c r="AIF81" s="1"/>
      <c r="AIG81" s="1"/>
      <c r="AIH81" s="1"/>
      <c r="AII81" s="1"/>
      <c r="AIJ81" s="1"/>
      <c r="AIK81" s="1"/>
      <c r="AIL81" s="1"/>
      <c r="AIM81" s="1"/>
      <c r="AIN81" s="1"/>
      <c r="AIO81" s="1"/>
      <c r="AIP81" s="1"/>
      <c r="AIQ81" s="1"/>
      <c r="AIR81" s="1"/>
      <c r="AIS81" s="1"/>
      <c r="AIT81" s="1"/>
      <c r="AIU81" s="1"/>
      <c r="AIV81" s="1"/>
      <c r="AIW81" s="1"/>
      <c r="AIX81" s="1"/>
      <c r="AIY81" s="1"/>
      <c r="AIZ81" s="1"/>
      <c r="AJA81" s="1"/>
      <c r="AJB81" s="1"/>
      <c r="AJC81" s="1"/>
      <c r="AJD81" s="1"/>
      <c r="AJE81" s="1"/>
      <c r="AJF81" s="1"/>
      <c r="AJG81" s="1"/>
      <c r="AJH81" s="1"/>
      <c r="AJI81" s="1"/>
      <c r="AJJ81" s="1"/>
      <c r="AJK81" s="1"/>
      <c r="AJL81" s="1"/>
      <c r="AJM81" s="1"/>
      <c r="AJN81" s="1"/>
      <c r="AJO81" s="1"/>
      <c r="AJP81" s="1"/>
      <c r="AJQ81" s="1"/>
      <c r="AJR81" s="1"/>
      <c r="AJS81" s="1"/>
      <c r="AJT81" s="1"/>
      <c r="AJU81" s="1"/>
      <c r="AJV81" s="1"/>
      <c r="AJW81" s="1"/>
      <c r="AJX81" s="1"/>
      <c r="AJY81" s="1"/>
      <c r="AJZ81" s="1"/>
      <c r="AKA81" s="1"/>
      <c r="AKB81" s="1"/>
      <c r="AKC81" s="1"/>
      <c r="AKD81" s="1"/>
      <c r="AKE81" s="1"/>
      <c r="AKF81" s="1"/>
      <c r="AKG81" s="1"/>
      <c r="AKH81" s="1"/>
      <c r="AKI81" s="1"/>
      <c r="AKJ81" s="1"/>
      <c r="AKK81" s="1"/>
      <c r="AKL81" s="1"/>
      <c r="AKM81" s="1"/>
      <c r="AKN81" s="1"/>
      <c r="AKO81" s="1"/>
      <c r="AKP81" s="1"/>
      <c r="AKQ81" s="1"/>
      <c r="AKR81" s="1"/>
      <c r="AKS81" s="1"/>
      <c r="AKT81" s="1"/>
      <c r="AKU81" s="1"/>
      <c r="AKV81" s="1"/>
      <c r="AKW81" s="1"/>
      <c r="AKX81" s="1"/>
      <c r="AKY81" s="1"/>
      <c r="AKZ81" s="1"/>
      <c r="ALA81" s="1"/>
      <c r="ALB81" s="1"/>
      <c r="ALC81" s="1"/>
      <c r="ALD81" s="1"/>
      <c r="ALE81" s="1"/>
      <c r="ALF81" s="1"/>
      <c r="ALG81" s="1"/>
      <c r="ALH81" s="1"/>
      <c r="ALI81" s="1"/>
      <c r="ALJ81" s="1"/>
      <c r="ALK81" s="1"/>
      <c r="ALL81" s="1"/>
      <c r="ALM81" s="1"/>
      <c r="ALN81" s="1"/>
      <c r="ALO81" s="1"/>
      <c r="ALP81" s="1"/>
      <c r="ALQ81" s="1"/>
      <c r="ALR81" s="1"/>
      <c r="ALS81" s="1"/>
      <c r="ALT81" s="1"/>
      <c r="ALU81" s="1"/>
      <c r="ALV81" s="1"/>
      <c r="ALW81" s="1"/>
      <c r="ALX81" s="1"/>
      <c r="ALY81" s="1"/>
      <c r="ALZ81" s="1"/>
      <c r="AMA81" s="1"/>
      <c r="AMB81" s="1"/>
      <c r="AMC81" s="1"/>
      <c r="AMD81" s="1"/>
      <c r="AME81" s="1"/>
      <c r="AMF81" s="1"/>
      <c r="AMG81" s="1"/>
      <c r="AMH81" s="1"/>
      <c r="AMI81" s="1"/>
      <c r="AMJ81" s="1"/>
      <c r="AMK81" s="1"/>
      <c r="AML81" s="1"/>
      <c r="AMM81" s="1"/>
      <c r="AMN81" s="1"/>
    </row>
    <row r="82" spans="1:1029" x14ac:dyDescent="0.2">
      <c r="A82" s="3" t="str">
        <f t="shared" si="224"/>
        <v>agtr2_human_5UNF</v>
      </c>
      <c r="B82" s="3" t="s">
        <v>159</v>
      </c>
      <c r="C82" s="3" t="s">
        <v>1399</v>
      </c>
      <c r="D82" s="3" t="str">
        <f>IFERROR(MID(VLOOKUP($B82,Seqs!$A:$B,2,0),E82,1),"")</f>
        <v>A</v>
      </c>
      <c r="E82" s="3">
        <v>46</v>
      </c>
      <c r="F82" s="3" t="str">
        <f>IFERROR(MID(VLOOKUP($B82,Seqs!$A:$B,2,0),G82,1),"")</f>
        <v>Q</v>
      </c>
      <c r="G82" s="3">
        <v>72</v>
      </c>
      <c r="H82" s="3" t="str">
        <f>IFERROR(MID(VLOOKUP($B82,Seqs!$A:$B,2,0),I82,1),"")</f>
        <v/>
      </c>
      <c r="I82" s="23" t="s">
        <v>23</v>
      </c>
      <c r="J82" s="3" t="str">
        <f>IFERROR(MID(VLOOKUP($B82,Seqs!$A:$B,2,0),K82,1),"")</f>
        <v/>
      </c>
      <c r="K82" s="23" t="s">
        <v>23</v>
      </c>
      <c r="L82" s="3" t="str">
        <f>IFERROR(MID(VLOOKUP($B82,Seqs!$A:$B,2,0),M82,1),"")</f>
        <v>V</v>
      </c>
      <c r="M82" s="3">
        <v>78</v>
      </c>
      <c r="N82" s="3" t="str">
        <f>IFERROR(MID(VLOOKUP($B82,Seqs!$A:$B,2,0),O82,1),"")</f>
        <v>Y</v>
      </c>
      <c r="O82" s="3">
        <v>106</v>
      </c>
      <c r="P82" s="3" t="str">
        <f>IFERROR(MID(VLOOKUP($B82,Seqs!$A:$B,2,0),Q82,1),"")</f>
        <v>R</v>
      </c>
      <c r="Q82" s="3">
        <v>107</v>
      </c>
      <c r="R82" s="3" t="str">
        <f>IFERROR(MID(VLOOKUP($B82,Seqs!$A:$B,2,0),S82,1),"")</f>
        <v>F</v>
      </c>
      <c r="S82" s="3">
        <v>112</v>
      </c>
      <c r="T82" s="3" t="str">
        <f>IFERROR(MID(VLOOKUP($B82,Seqs!$A:$B,2,0),U82,1),"")</f>
        <v>G</v>
      </c>
      <c r="U82" s="3">
        <v>113</v>
      </c>
      <c r="V82" s="3" t="str">
        <f>IFERROR(MID(VLOOKUP($B82,Seqs!$A:$B,2,0),W82,1),"")</f>
        <v>Y</v>
      </c>
      <c r="W82" s="3">
        <v>148</v>
      </c>
      <c r="X82" s="3" t="str">
        <f>IFERROR(MID(VLOOKUP($B82,Seqs!$A:$B,2,0),Y82,1),"")</f>
        <v/>
      </c>
      <c r="Y82" s="3" t="s">
        <v>23</v>
      </c>
      <c r="Z82" s="3" t="str">
        <f>IFERROR(MID(VLOOKUP($B82,Seqs!$A:$B,2,0),AA82,1),"")</f>
        <v/>
      </c>
      <c r="AA82" s="3" t="s">
        <v>23</v>
      </c>
      <c r="AB82" s="3" t="str">
        <f>IFERROR(MID(VLOOKUP($B82,Seqs!$A:$B,2,0),AC82,1),"")</f>
        <v>W</v>
      </c>
      <c r="AC82" s="3">
        <v>158</v>
      </c>
      <c r="AD82" s="3" t="str">
        <f>IFERROR(MID(VLOOKUP($B82,Seqs!$A:$B,2,0),AE82,1),"")</f>
        <v>R</v>
      </c>
      <c r="AE82" s="3">
        <v>182</v>
      </c>
      <c r="AF82" s="3" t="str">
        <f>IFERROR(MID(VLOOKUP($B82,Seqs!$A:$B,2,0),AG82,1),"")</f>
        <v>C</v>
      </c>
      <c r="AG82" s="3">
        <v>195</v>
      </c>
      <c r="AH82" s="3" t="str">
        <f>IFERROR(MID(VLOOKUP($B82,Seqs!$A:$B,2,0),AI82,1),"")</f>
        <v>M</v>
      </c>
      <c r="AI82" s="3">
        <v>197</v>
      </c>
      <c r="AJ82" s="3" t="str">
        <f>IFERROR(MID(VLOOKUP($B82,Seqs!$A:$B,2,0),AK82,1),"")</f>
        <v>Y</v>
      </c>
      <c r="AK82" s="3">
        <v>204</v>
      </c>
      <c r="AL82" s="3" t="str">
        <f>IFERROR(MID(VLOOKUP($B82,Seqs!$A:$B,2,0),AM82,1),"")</f>
        <v>T</v>
      </c>
      <c r="AM82" s="3">
        <v>241</v>
      </c>
      <c r="AN82" s="3" t="str">
        <f>IFERROR(MID(VLOOKUP($B82,Seqs!$A:$B,2,0),AO82,1),"")</f>
        <v>G</v>
      </c>
      <c r="AO82" s="3">
        <v>245</v>
      </c>
      <c r="AP82" s="3" t="str">
        <f>IFERROR(MID(VLOOKUP($B82,Seqs!$A:$B,2,0),AQ82,1),"")</f>
        <v>G</v>
      </c>
      <c r="AQ82" s="3">
        <v>285</v>
      </c>
      <c r="AR82" s="3" t="str">
        <f>IFERROR(MID(VLOOKUP($B82,Seqs!$A:$B,2,0),AS82,1),"")</f>
        <v>C</v>
      </c>
      <c r="AS82" s="3">
        <v>290</v>
      </c>
      <c r="AT82" s="3" t="str">
        <f>IFERROR(MID(VLOOKUP($B82,Seqs!$A:$B,2,0),AU82,1),"")</f>
        <v>V</v>
      </c>
      <c r="AU82" s="3">
        <v>321</v>
      </c>
      <c r="AV82" s="3" t="str">
        <f>IFERROR(MID(VLOOKUP($B82,Seqs!$A:$B,2,0),AW82,1),"")</f>
        <v>G</v>
      </c>
      <c r="AW82" s="3">
        <v>322</v>
      </c>
      <c r="AX82" s="3" t="str">
        <f>IFERROR(MID(VLOOKUP($B82,Seqs!$A:$B,2,0),AY82,1),"")</f>
        <v>R</v>
      </c>
      <c r="AY82" s="3">
        <v>334</v>
      </c>
      <c r="AZ82" s="79"/>
      <c r="BA82" s="97" t="str">
        <f>VLOOKUP(B82,Classification!A:D,4,0)</f>
        <v>Angiotensin</v>
      </c>
      <c r="BB82" s="27" t="b">
        <f t="shared" si="225"/>
        <v>1</v>
      </c>
      <c r="BC82" s="23">
        <f t="shared" si="226"/>
        <v>252</v>
      </c>
      <c r="BD82" s="2"/>
      <c r="BE82" s="3" t="s">
        <v>1297</v>
      </c>
      <c r="BF82" s="50" t="s">
        <v>1384</v>
      </c>
      <c r="BG82" s="50" t="s">
        <v>1</v>
      </c>
      <c r="BH82" s="1"/>
      <c r="BI82" s="72" t="s">
        <v>1293</v>
      </c>
      <c r="BJ82" s="58" t="s">
        <v>1293</v>
      </c>
      <c r="BK82" s="58" t="s">
        <v>1293</v>
      </c>
      <c r="BL82" s="58" t="s">
        <v>1293</v>
      </c>
      <c r="BM82" s="58" t="s">
        <v>1293</v>
      </c>
      <c r="BN82" s="58" t="s">
        <v>1293</v>
      </c>
      <c r="BO82" s="58" t="s">
        <v>1293</v>
      </c>
      <c r="BP82" s="58" t="s">
        <v>1293</v>
      </c>
      <c r="BQ82" s="58" t="s">
        <v>1293</v>
      </c>
      <c r="BR82" s="58" t="s">
        <v>1293</v>
      </c>
      <c r="BS82" s="58" t="s">
        <v>1293</v>
      </c>
      <c r="BT82" s="58" t="s">
        <v>1293</v>
      </c>
      <c r="BU82" s="72">
        <f t="shared" si="227"/>
        <v>46</v>
      </c>
      <c r="BV82" s="73" t="str">
        <f t="shared" si="228"/>
        <v>-</v>
      </c>
      <c r="BW82" s="74">
        <f t="shared" si="229"/>
        <v>78</v>
      </c>
      <c r="BX82" s="73">
        <f t="shared" si="230"/>
        <v>107</v>
      </c>
      <c r="BY82" s="74">
        <f t="shared" si="231"/>
        <v>113</v>
      </c>
      <c r="BZ82" s="73" t="str">
        <f t="shared" si="232"/>
        <v>-</v>
      </c>
      <c r="CA82" s="74">
        <f t="shared" si="233"/>
        <v>158</v>
      </c>
      <c r="CB82" s="73">
        <f t="shared" si="234"/>
        <v>195</v>
      </c>
      <c r="CC82" s="74">
        <f t="shared" si="235"/>
        <v>204</v>
      </c>
      <c r="CD82" s="73">
        <f t="shared" si="236"/>
        <v>245</v>
      </c>
      <c r="CE82" s="74">
        <f t="shared" si="237"/>
        <v>290</v>
      </c>
      <c r="CF82" s="73">
        <f t="shared" si="238"/>
        <v>322</v>
      </c>
      <c r="CG82" s="72">
        <f t="shared" si="239"/>
        <v>72</v>
      </c>
      <c r="CH82" s="73" t="str">
        <f t="shared" si="240"/>
        <v>-</v>
      </c>
      <c r="CI82" s="74">
        <f t="shared" si="241"/>
        <v>106</v>
      </c>
      <c r="CJ82" s="74">
        <f t="shared" si="242"/>
        <v>112</v>
      </c>
      <c r="CK82" s="74">
        <f t="shared" si="243"/>
        <v>148</v>
      </c>
      <c r="CL82" s="74" t="str">
        <f t="shared" si="244"/>
        <v>-</v>
      </c>
      <c r="CM82" s="74">
        <f t="shared" si="245"/>
        <v>182</v>
      </c>
      <c r="CN82" s="74">
        <f t="shared" si="246"/>
        <v>197</v>
      </c>
      <c r="CO82" s="74">
        <f t="shared" si="247"/>
        <v>241</v>
      </c>
      <c r="CP82" s="74">
        <f t="shared" si="248"/>
        <v>285</v>
      </c>
      <c r="CQ82" s="74">
        <f t="shared" si="249"/>
        <v>321</v>
      </c>
      <c r="CR82" s="74">
        <f t="shared" si="250"/>
        <v>334</v>
      </c>
      <c r="CS82" s="23" t="e">
        <f t="shared" si="251"/>
        <v>#VALUE!</v>
      </c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  <c r="OK82" s="1"/>
      <c r="OL82" s="1"/>
      <c r="OM82" s="1"/>
      <c r="ON82" s="1"/>
      <c r="OO82" s="1"/>
      <c r="OP82" s="1"/>
      <c r="OQ82" s="1"/>
      <c r="OR82" s="1"/>
      <c r="OS82" s="1"/>
      <c r="OT82" s="1"/>
      <c r="OU82" s="1"/>
      <c r="OV82" s="1"/>
      <c r="OW82" s="1"/>
      <c r="OX82" s="1"/>
      <c r="OY82" s="1"/>
      <c r="OZ82" s="1"/>
      <c r="PA82" s="1"/>
      <c r="PB82" s="1"/>
      <c r="PC82" s="1"/>
      <c r="PD82" s="1"/>
      <c r="PE82" s="1"/>
      <c r="PF82" s="1"/>
      <c r="PG82" s="1"/>
      <c r="PH82" s="1"/>
      <c r="PI82" s="1"/>
      <c r="PJ82" s="1"/>
      <c r="PK82" s="1"/>
      <c r="PL82" s="1"/>
      <c r="PM82" s="1"/>
      <c r="PN82" s="1"/>
      <c r="PO82" s="1"/>
      <c r="PP82" s="1"/>
      <c r="PQ82" s="1"/>
      <c r="PR82" s="1"/>
      <c r="PS82" s="1"/>
      <c r="PT82" s="1"/>
      <c r="PU82" s="1"/>
      <c r="PV82" s="1"/>
      <c r="PW82" s="1"/>
      <c r="PX82" s="1"/>
      <c r="PY82" s="1"/>
      <c r="PZ82" s="1"/>
      <c r="QA82" s="1"/>
      <c r="QB82" s="1"/>
      <c r="QC82" s="1"/>
      <c r="QD82" s="1"/>
      <c r="QE82" s="1"/>
      <c r="QF82" s="1"/>
      <c r="QG82" s="1"/>
      <c r="QH82" s="1"/>
      <c r="QI82" s="1"/>
      <c r="QJ82" s="1"/>
      <c r="QK82" s="1"/>
      <c r="QL82" s="1"/>
      <c r="QM82" s="1"/>
      <c r="QN82" s="1"/>
      <c r="QO82" s="1"/>
      <c r="QP82" s="1"/>
      <c r="QQ82" s="1"/>
      <c r="QR82" s="1"/>
      <c r="QS82" s="1"/>
      <c r="QT82" s="1"/>
      <c r="QU82" s="1"/>
      <c r="QV82" s="1"/>
      <c r="QW82" s="1"/>
      <c r="QX82" s="1"/>
      <c r="QY82" s="1"/>
      <c r="QZ82" s="1"/>
      <c r="RA82" s="1"/>
      <c r="RB82" s="1"/>
      <c r="RC82" s="1"/>
      <c r="RD82" s="1"/>
      <c r="RE82" s="1"/>
      <c r="RF82" s="1"/>
      <c r="RG82" s="1"/>
      <c r="RH82" s="1"/>
      <c r="RI82" s="1"/>
      <c r="RJ82" s="1"/>
      <c r="RK82" s="1"/>
      <c r="RL82" s="1"/>
      <c r="RM82" s="1"/>
      <c r="RN82" s="1"/>
      <c r="RO82" s="1"/>
      <c r="RP82" s="1"/>
      <c r="RQ82" s="1"/>
      <c r="RR82" s="1"/>
      <c r="RS82" s="1"/>
      <c r="RT82" s="1"/>
      <c r="RU82" s="1"/>
      <c r="RV82" s="1"/>
      <c r="RW82" s="1"/>
      <c r="RX82" s="1"/>
      <c r="RY82" s="1"/>
      <c r="RZ82" s="1"/>
      <c r="SA82" s="1"/>
      <c r="SB82" s="1"/>
      <c r="SC82" s="1"/>
      <c r="SD82" s="1"/>
      <c r="SE82" s="1"/>
      <c r="SF82" s="1"/>
      <c r="SG82" s="1"/>
      <c r="SH82" s="1"/>
      <c r="SI82" s="1"/>
      <c r="SJ82" s="1"/>
      <c r="SK82" s="1"/>
      <c r="SL82" s="1"/>
      <c r="SM82" s="1"/>
      <c r="SN82" s="1"/>
      <c r="SO82" s="1"/>
      <c r="SP82" s="1"/>
      <c r="SQ82" s="1"/>
      <c r="SR82" s="1"/>
      <c r="SS82" s="1"/>
      <c r="ST82" s="1"/>
      <c r="SU82" s="1"/>
      <c r="SV82" s="1"/>
      <c r="SW82" s="1"/>
      <c r="SX82" s="1"/>
      <c r="SY82" s="1"/>
      <c r="SZ82" s="1"/>
      <c r="TA82" s="1"/>
      <c r="TB82" s="1"/>
      <c r="TC82" s="1"/>
      <c r="TD82" s="1"/>
      <c r="TE82" s="1"/>
      <c r="TF82" s="1"/>
      <c r="TG82" s="1"/>
      <c r="TH82" s="1"/>
      <c r="TI82" s="1"/>
      <c r="TJ82" s="1"/>
      <c r="TK82" s="1"/>
      <c r="TL82" s="1"/>
      <c r="TM82" s="1"/>
      <c r="TN82" s="1"/>
      <c r="TO82" s="1"/>
      <c r="TP82" s="1"/>
      <c r="TQ82" s="1"/>
      <c r="TR82" s="1"/>
      <c r="TS82" s="1"/>
      <c r="TT82" s="1"/>
      <c r="TU82" s="1"/>
      <c r="TV82" s="1"/>
      <c r="TW82" s="1"/>
      <c r="TX82" s="1"/>
      <c r="TY82" s="1"/>
      <c r="TZ82" s="1"/>
      <c r="UA82" s="1"/>
      <c r="UB82" s="1"/>
      <c r="UC82" s="1"/>
      <c r="UD82" s="1"/>
      <c r="UE82" s="1"/>
      <c r="UF82" s="1"/>
      <c r="UG82" s="1"/>
      <c r="UH82" s="1"/>
      <c r="UI82" s="1"/>
      <c r="UJ82" s="1"/>
      <c r="UK82" s="1"/>
      <c r="UL82" s="1"/>
      <c r="UM82" s="1"/>
      <c r="UN82" s="1"/>
      <c r="UO82" s="1"/>
      <c r="UP82" s="1"/>
      <c r="UQ82" s="1"/>
      <c r="UR82" s="1"/>
      <c r="US82" s="1"/>
      <c r="UT82" s="1"/>
      <c r="UU82" s="1"/>
      <c r="UV82" s="1"/>
      <c r="UW82" s="1"/>
      <c r="UX82" s="1"/>
      <c r="UY82" s="1"/>
      <c r="UZ82" s="1"/>
      <c r="VA82" s="1"/>
      <c r="VB82" s="1"/>
      <c r="VC82" s="1"/>
      <c r="VD82" s="1"/>
      <c r="VE82" s="1"/>
      <c r="VF82" s="1"/>
      <c r="VG82" s="1"/>
      <c r="VH82" s="1"/>
      <c r="VI82" s="1"/>
      <c r="VJ82" s="1"/>
      <c r="VK82" s="1"/>
      <c r="VL82" s="1"/>
      <c r="VM82" s="1"/>
      <c r="VN82" s="1"/>
      <c r="VO82" s="1"/>
      <c r="VP82" s="1"/>
      <c r="VQ82" s="1"/>
      <c r="VR82" s="1"/>
      <c r="VS82" s="1"/>
      <c r="VT82" s="1"/>
      <c r="VU82" s="1"/>
      <c r="VV82" s="1"/>
      <c r="VW82" s="1"/>
      <c r="VX82" s="1"/>
      <c r="VY82" s="1"/>
      <c r="VZ82" s="1"/>
      <c r="WA82" s="1"/>
      <c r="WB82" s="1"/>
      <c r="WC82" s="1"/>
      <c r="WD82" s="1"/>
      <c r="WE82" s="1"/>
      <c r="WF82" s="1"/>
      <c r="WG82" s="1"/>
      <c r="WH82" s="1"/>
      <c r="WI82" s="1"/>
      <c r="WJ82" s="1"/>
      <c r="WK82" s="1"/>
      <c r="WL82" s="1"/>
      <c r="WM82" s="1"/>
      <c r="WN82" s="1"/>
      <c r="WO82" s="1"/>
      <c r="WP82" s="1"/>
      <c r="WQ82" s="1"/>
      <c r="WR82" s="1"/>
      <c r="WS82" s="1"/>
      <c r="WT82" s="1"/>
      <c r="WU82" s="1"/>
      <c r="WV82" s="1"/>
      <c r="WW82" s="1"/>
      <c r="WX82" s="1"/>
      <c r="WY82" s="1"/>
      <c r="WZ82" s="1"/>
      <c r="XA82" s="1"/>
      <c r="XB82" s="1"/>
      <c r="XC82" s="1"/>
      <c r="XD82" s="1"/>
      <c r="XE82" s="1"/>
      <c r="XF82" s="1"/>
      <c r="XG82" s="1"/>
      <c r="XH82" s="1"/>
      <c r="XI82" s="1"/>
      <c r="XJ82" s="1"/>
      <c r="XK82" s="1"/>
      <c r="XL82" s="1"/>
      <c r="XM82" s="1"/>
      <c r="XN82" s="1"/>
      <c r="XO82" s="1"/>
      <c r="XP82" s="1"/>
      <c r="XQ82" s="1"/>
      <c r="XR82" s="1"/>
      <c r="XS82" s="1"/>
      <c r="XT82" s="1"/>
      <c r="XU82" s="1"/>
      <c r="XV82" s="1"/>
      <c r="XW82" s="1"/>
      <c r="XX82" s="1"/>
      <c r="XY82" s="1"/>
      <c r="XZ82" s="1"/>
      <c r="YA82" s="1"/>
      <c r="YB82" s="1"/>
      <c r="YC82" s="1"/>
      <c r="YD82" s="1"/>
      <c r="YE82" s="1"/>
      <c r="YF82" s="1"/>
      <c r="YG82" s="1"/>
      <c r="YH82" s="1"/>
      <c r="YI82" s="1"/>
      <c r="YJ82" s="1"/>
      <c r="YK82" s="1"/>
      <c r="YL82" s="1"/>
      <c r="YM82" s="1"/>
      <c r="YN82" s="1"/>
      <c r="YO82" s="1"/>
      <c r="YP82" s="1"/>
      <c r="YQ82" s="1"/>
      <c r="YR82" s="1"/>
      <c r="YS82" s="1"/>
      <c r="YT82" s="1"/>
      <c r="YU82" s="1"/>
      <c r="YV82" s="1"/>
      <c r="YW82" s="1"/>
      <c r="YX82" s="1"/>
      <c r="YY82" s="1"/>
      <c r="YZ82" s="1"/>
      <c r="ZA82" s="1"/>
      <c r="ZB82" s="1"/>
      <c r="ZC82" s="1"/>
      <c r="ZD82" s="1"/>
      <c r="ZE82" s="1"/>
      <c r="ZF82" s="1"/>
      <c r="ZG82" s="1"/>
      <c r="ZH82" s="1"/>
      <c r="ZI82" s="1"/>
      <c r="ZJ82" s="1"/>
      <c r="ZK82" s="1"/>
      <c r="ZL82" s="1"/>
      <c r="ZM82" s="1"/>
      <c r="ZN82" s="1"/>
      <c r="ZO82" s="1"/>
      <c r="ZP82" s="1"/>
      <c r="ZQ82" s="1"/>
      <c r="ZR82" s="1"/>
      <c r="ZS82" s="1"/>
      <c r="ZT82" s="1"/>
      <c r="ZU82" s="1"/>
      <c r="ZV82" s="1"/>
      <c r="ZW82" s="1"/>
      <c r="ZX82" s="1"/>
      <c r="ZY82" s="1"/>
      <c r="ZZ82" s="1"/>
      <c r="AAA82" s="1"/>
      <c r="AAB82" s="1"/>
      <c r="AAC82" s="1"/>
      <c r="AAD82" s="1"/>
      <c r="AAE82" s="1"/>
      <c r="AAF82" s="1"/>
      <c r="AAG82" s="1"/>
      <c r="AAH82" s="1"/>
      <c r="AAI82" s="1"/>
      <c r="AAJ82" s="1"/>
      <c r="AAK82" s="1"/>
      <c r="AAL82" s="1"/>
      <c r="AAM82" s="1"/>
      <c r="AAN82" s="1"/>
      <c r="AAO82" s="1"/>
      <c r="AAP82" s="1"/>
      <c r="AAQ82" s="1"/>
      <c r="AAR82" s="1"/>
      <c r="AAS82" s="1"/>
      <c r="AAT82" s="1"/>
      <c r="AAU82" s="1"/>
      <c r="AAV82" s="1"/>
      <c r="AAW82" s="1"/>
      <c r="AAX82" s="1"/>
      <c r="AAY82" s="1"/>
      <c r="AAZ82" s="1"/>
      <c r="ABA82" s="1"/>
      <c r="ABB82" s="1"/>
      <c r="ABC82" s="1"/>
      <c r="ABD82" s="1"/>
      <c r="ABE82" s="1"/>
      <c r="ABF82" s="1"/>
      <c r="ABG82" s="1"/>
      <c r="ABH82" s="1"/>
      <c r="ABI82" s="1"/>
      <c r="ABJ82" s="1"/>
      <c r="ABK82" s="1"/>
      <c r="ABL82" s="1"/>
      <c r="ABM82" s="1"/>
      <c r="ABN82" s="1"/>
      <c r="ABO82" s="1"/>
      <c r="ABP82" s="1"/>
      <c r="ABQ82" s="1"/>
      <c r="ABR82" s="1"/>
      <c r="ABS82" s="1"/>
      <c r="ABT82" s="1"/>
      <c r="ABU82" s="1"/>
      <c r="ABV82" s="1"/>
      <c r="ABW82" s="1"/>
      <c r="ABX82" s="1"/>
      <c r="ABY82" s="1"/>
      <c r="ABZ82" s="1"/>
      <c r="ACA82" s="1"/>
      <c r="ACB82" s="1"/>
      <c r="ACC82" s="1"/>
      <c r="ACD82" s="1"/>
      <c r="ACE82" s="1"/>
      <c r="ACF82" s="1"/>
      <c r="ACG82" s="1"/>
      <c r="ACH82" s="1"/>
      <c r="ACI82" s="1"/>
      <c r="ACJ82" s="1"/>
      <c r="ACK82" s="1"/>
      <c r="ACL82" s="1"/>
      <c r="ACM82" s="1"/>
      <c r="ACN82" s="1"/>
      <c r="ACO82" s="1"/>
      <c r="ACP82" s="1"/>
      <c r="ACQ82" s="1"/>
      <c r="ACR82" s="1"/>
      <c r="ACS82" s="1"/>
      <c r="ACT82" s="1"/>
      <c r="ACU82" s="1"/>
      <c r="ACV82" s="1"/>
      <c r="ACW82" s="1"/>
      <c r="ACX82" s="1"/>
      <c r="ACY82" s="1"/>
      <c r="ACZ82" s="1"/>
      <c r="ADA82" s="1"/>
      <c r="ADB82" s="1"/>
      <c r="ADC82" s="1"/>
      <c r="ADD82" s="1"/>
      <c r="ADE82" s="1"/>
      <c r="ADF82" s="1"/>
      <c r="ADG82" s="1"/>
      <c r="ADH82" s="1"/>
      <c r="ADI82" s="1"/>
      <c r="ADJ82" s="1"/>
      <c r="ADK82" s="1"/>
      <c r="ADL82" s="1"/>
      <c r="ADM82" s="1"/>
      <c r="ADN82" s="1"/>
      <c r="ADO82" s="1"/>
      <c r="ADP82" s="1"/>
      <c r="ADQ82" s="1"/>
      <c r="ADR82" s="1"/>
      <c r="ADS82" s="1"/>
      <c r="ADT82" s="1"/>
      <c r="ADU82" s="1"/>
      <c r="ADV82" s="1"/>
      <c r="ADW82" s="1"/>
      <c r="ADX82" s="1"/>
      <c r="ADY82" s="1"/>
      <c r="ADZ82" s="1"/>
      <c r="AEA82" s="1"/>
      <c r="AEB82" s="1"/>
      <c r="AEC82" s="1"/>
      <c r="AED82" s="1"/>
      <c r="AEE82" s="1"/>
      <c r="AEF82" s="1"/>
      <c r="AEG82" s="1"/>
      <c r="AEH82" s="1"/>
      <c r="AEI82" s="1"/>
      <c r="AEJ82" s="1"/>
      <c r="AEK82" s="1"/>
      <c r="AEL82" s="1"/>
      <c r="AEM82" s="1"/>
      <c r="AEN82" s="1"/>
      <c r="AEO82" s="1"/>
      <c r="AEP82" s="1"/>
      <c r="AEQ82" s="1"/>
      <c r="AER82" s="1"/>
      <c r="AES82" s="1"/>
      <c r="AET82" s="1"/>
      <c r="AEU82" s="1"/>
      <c r="AEV82" s="1"/>
      <c r="AEW82" s="1"/>
      <c r="AEX82" s="1"/>
      <c r="AEY82" s="1"/>
      <c r="AEZ82" s="1"/>
      <c r="AFA82" s="1"/>
      <c r="AFB82" s="1"/>
      <c r="AFC82" s="1"/>
      <c r="AFD82" s="1"/>
      <c r="AFE82" s="1"/>
      <c r="AFF82" s="1"/>
      <c r="AFG82" s="1"/>
      <c r="AFH82" s="1"/>
      <c r="AFI82" s="1"/>
      <c r="AFJ82" s="1"/>
      <c r="AFK82" s="1"/>
      <c r="AFL82" s="1"/>
      <c r="AFM82" s="1"/>
      <c r="AFN82" s="1"/>
      <c r="AFO82" s="1"/>
      <c r="AFP82" s="1"/>
      <c r="AFQ82" s="1"/>
      <c r="AFR82" s="1"/>
      <c r="AFS82" s="1"/>
      <c r="AFT82" s="1"/>
      <c r="AFU82" s="1"/>
      <c r="AFV82" s="1"/>
      <c r="AFW82" s="1"/>
      <c r="AFX82" s="1"/>
      <c r="AFY82" s="1"/>
      <c r="AFZ82" s="1"/>
      <c r="AGA82" s="1"/>
      <c r="AGB82" s="1"/>
      <c r="AGC82" s="1"/>
      <c r="AGD82" s="1"/>
      <c r="AGE82" s="1"/>
      <c r="AGF82" s="1"/>
      <c r="AGG82" s="1"/>
      <c r="AGH82" s="1"/>
      <c r="AGI82" s="1"/>
      <c r="AGJ82" s="1"/>
      <c r="AGK82" s="1"/>
      <c r="AGL82" s="1"/>
      <c r="AGM82" s="1"/>
      <c r="AGN82" s="1"/>
      <c r="AGO82" s="1"/>
      <c r="AGP82" s="1"/>
      <c r="AGQ82" s="1"/>
      <c r="AGR82" s="1"/>
      <c r="AGS82" s="1"/>
      <c r="AGT82" s="1"/>
      <c r="AGU82" s="1"/>
      <c r="AGV82" s="1"/>
      <c r="AGW82" s="1"/>
      <c r="AGX82" s="1"/>
      <c r="AGY82" s="1"/>
      <c r="AGZ82" s="1"/>
      <c r="AHA82" s="1"/>
      <c r="AHB82" s="1"/>
      <c r="AHC82" s="1"/>
      <c r="AHD82" s="1"/>
      <c r="AHE82" s="1"/>
      <c r="AHF82" s="1"/>
      <c r="AHG82" s="1"/>
      <c r="AHH82" s="1"/>
      <c r="AHI82" s="1"/>
      <c r="AHJ82" s="1"/>
      <c r="AHK82" s="1"/>
      <c r="AHL82" s="1"/>
      <c r="AHM82" s="1"/>
      <c r="AHN82" s="1"/>
      <c r="AHO82" s="1"/>
      <c r="AHP82" s="1"/>
      <c r="AHQ82" s="1"/>
      <c r="AHR82" s="1"/>
      <c r="AHS82" s="1"/>
      <c r="AHT82" s="1"/>
      <c r="AHU82" s="1"/>
      <c r="AHV82" s="1"/>
      <c r="AHW82" s="1"/>
      <c r="AHX82" s="1"/>
      <c r="AHY82" s="1"/>
      <c r="AHZ82" s="1"/>
      <c r="AIA82" s="1"/>
      <c r="AIB82" s="1"/>
      <c r="AIC82" s="1"/>
      <c r="AID82" s="1"/>
      <c r="AIE82" s="1"/>
      <c r="AIF82" s="1"/>
      <c r="AIG82" s="1"/>
      <c r="AIH82" s="1"/>
      <c r="AII82" s="1"/>
      <c r="AIJ82" s="1"/>
      <c r="AIK82" s="1"/>
      <c r="AIL82" s="1"/>
      <c r="AIM82" s="1"/>
      <c r="AIN82" s="1"/>
      <c r="AIO82" s="1"/>
      <c r="AIP82" s="1"/>
      <c r="AIQ82" s="1"/>
      <c r="AIR82" s="1"/>
      <c r="AIS82" s="1"/>
      <c r="AIT82" s="1"/>
      <c r="AIU82" s="1"/>
      <c r="AIV82" s="1"/>
      <c r="AIW82" s="1"/>
      <c r="AIX82" s="1"/>
      <c r="AIY82" s="1"/>
      <c r="AIZ82" s="1"/>
      <c r="AJA82" s="1"/>
      <c r="AJB82" s="1"/>
      <c r="AJC82" s="1"/>
      <c r="AJD82" s="1"/>
      <c r="AJE82" s="1"/>
      <c r="AJF82" s="1"/>
      <c r="AJG82" s="1"/>
      <c r="AJH82" s="1"/>
      <c r="AJI82" s="1"/>
      <c r="AJJ82" s="1"/>
      <c r="AJK82" s="1"/>
      <c r="AJL82" s="1"/>
      <c r="AJM82" s="1"/>
      <c r="AJN82" s="1"/>
      <c r="AJO82" s="1"/>
      <c r="AJP82" s="1"/>
      <c r="AJQ82" s="1"/>
      <c r="AJR82" s="1"/>
      <c r="AJS82" s="1"/>
      <c r="AJT82" s="1"/>
      <c r="AJU82" s="1"/>
      <c r="AJV82" s="1"/>
      <c r="AJW82" s="1"/>
      <c r="AJX82" s="1"/>
      <c r="AJY82" s="1"/>
      <c r="AJZ82" s="1"/>
      <c r="AKA82" s="1"/>
      <c r="AKB82" s="1"/>
      <c r="AKC82" s="1"/>
      <c r="AKD82" s="1"/>
      <c r="AKE82" s="1"/>
      <c r="AKF82" s="1"/>
      <c r="AKG82" s="1"/>
      <c r="AKH82" s="1"/>
      <c r="AKI82" s="1"/>
      <c r="AKJ82" s="1"/>
      <c r="AKK82" s="1"/>
      <c r="AKL82" s="1"/>
      <c r="AKM82" s="1"/>
      <c r="AKN82" s="1"/>
      <c r="AKO82" s="1"/>
      <c r="AKP82" s="1"/>
      <c r="AKQ82" s="1"/>
      <c r="AKR82" s="1"/>
      <c r="AKS82" s="1"/>
      <c r="AKT82" s="1"/>
      <c r="AKU82" s="1"/>
      <c r="AKV82" s="1"/>
      <c r="AKW82" s="1"/>
      <c r="AKX82" s="1"/>
      <c r="AKY82" s="1"/>
      <c r="AKZ82" s="1"/>
      <c r="ALA82" s="1"/>
      <c r="ALB82" s="1"/>
      <c r="ALC82" s="1"/>
      <c r="ALD82" s="1"/>
      <c r="ALE82" s="1"/>
      <c r="ALF82" s="1"/>
      <c r="ALG82" s="1"/>
      <c r="ALH82" s="1"/>
      <c r="ALI82" s="1"/>
      <c r="ALJ82" s="1"/>
      <c r="ALK82" s="1"/>
      <c r="ALL82" s="1"/>
      <c r="ALM82" s="1"/>
      <c r="ALN82" s="1"/>
      <c r="ALO82" s="1"/>
      <c r="ALP82" s="1"/>
      <c r="ALQ82" s="1"/>
      <c r="ALR82" s="1"/>
      <c r="ALS82" s="1"/>
      <c r="ALT82" s="1"/>
      <c r="ALU82" s="1"/>
      <c r="ALV82" s="1"/>
      <c r="ALW82" s="1"/>
      <c r="ALX82" s="1"/>
      <c r="ALY82" s="1"/>
      <c r="ALZ82" s="1"/>
      <c r="AMA82" s="1"/>
      <c r="AMB82" s="1"/>
      <c r="AMC82" s="1"/>
      <c r="AMD82" s="1"/>
      <c r="AME82" s="1"/>
      <c r="AMF82" s="1"/>
      <c r="AMG82" s="1"/>
      <c r="AMH82" s="1"/>
      <c r="AMI82" s="1"/>
      <c r="AMJ82" s="1"/>
      <c r="AMK82" s="1"/>
      <c r="AML82" s="1"/>
      <c r="AMM82" s="1"/>
      <c r="AMN82" s="1"/>
    </row>
    <row r="83" spans="1:1029" x14ac:dyDescent="0.2">
      <c r="A83" s="3" t="str">
        <f t="shared" ref="A83" si="252">CONCATENATE(B83,"_",C83)</f>
        <v>agtr2_human_5UNG</v>
      </c>
      <c r="B83" s="3" t="s">
        <v>159</v>
      </c>
      <c r="C83" s="3" t="s">
        <v>1401</v>
      </c>
      <c r="D83" s="3" t="str">
        <f>IFERROR(MID(VLOOKUP($B83,Seqs!$A:$B,2,0),E83,1),"")</f>
        <v>D</v>
      </c>
      <c r="E83" s="3">
        <v>45</v>
      </c>
      <c r="F83" s="3" t="str">
        <f>IFERROR(MID(VLOOKUP($B83,Seqs!$A:$B,2,0),G83,1),"")</f>
        <v>C</v>
      </c>
      <c r="G83" s="3">
        <v>71</v>
      </c>
      <c r="H83" s="3" t="str">
        <f>IFERROR(MID(VLOOKUP($B83,Seqs!$A:$B,2,0),I83,1),"")</f>
        <v/>
      </c>
      <c r="I83" s="23" t="s">
        <v>23</v>
      </c>
      <c r="J83" s="3" t="str">
        <f>IFERROR(MID(VLOOKUP($B83,Seqs!$A:$B,2,0),K83,1),"")</f>
        <v/>
      </c>
      <c r="K83" s="23" t="s">
        <v>23</v>
      </c>
      <c r="L83" s="3" t="str">
        <f>IFERROR(MID(VLOOKUP($B83,Seqs!$A:$B,2,0),M83,1),"")</f>
        <v>V</v>
      </c>
      <c r="M83" s="3">
        <v>78</v>
      </c>
      <c r="N83" s="3" t="str">
        <f>IFERROR(MID(VLOOKUP($B83,Seqs!$A:$B,2,0),O83,1),"")</f>
        <v>Y</v>
      </c>
      <c r="O83" s="3">
        <v>106</v>
      </c>
      <c r="P83" s="3" t="str">
        <f>IFERROR(MID(VLOOKUP($B83,Seqs!$A:$B,2,0),Q83,1),"")</f>
        <v>R</v>
      </c>
      <c r="Q83" s="3">
        <v>107</v>
      </c>
      <c r="R83" s="3" t="str">
        <f>IFERROR(MID(VLOOKUP($B83,Seqs!$A:$B,2,0),S83,1),"")</f>
        <v>F</v>
      </c>
      <c r="S83" s="3">
        <v>112</v>
      </c>
      <c r="T83" s="3" t="str">
        <f>IFERROR(MID(VLOOKUP($B83,Seqs!$A:$B,2,0),U83,1),"")</f>
        <v>G</v>
      </c>
      <c r="U83" s="3">
        <v>113</v>
      </c>
      <c r="V83" s="3" t="str">
        <f>IFERROR(MID(VLOOKUP($B83,Seqs!$A:$B,2,0),W83,1),"")</f>
        <v>Y</v>
      </c>
      <c r="W83" s="3">
        <v>148</v>
      </c>
      <c r="X83" s="3" t="str">
        <f>IFERROR(MID(VLOOKUP($B83,Seqs!$A:$B,2,0),Y83,1),"")</f>
        <v/>
      </c>
      <c r="Y83" s="3" t="s">
        <v>23</v>
      </c>
      <c r="Z83" s="3" t="str">
        <f>IFERROR(MID(VLOOKUP($B83,Seqs!$A:$B,2,0),AA83,1),"")</f>
        <v/>
      </c>
      <c r="AA83" s="3" t="s">
        <v>23</v>
      </c>
      <c r="AB83" s="3" t="str">
        <f>IFERROR(MID(VLOOKUP($B83,Seqs!$A:$B,2,0),AC83,1),"")</f>
        <v>Q</v>
      </c>
      <c r="AC83" s="3">
        <v>159</v>
      </c>
      <c r="AD83" s="3" t="str">
        <f>IFERROR(MID(VLOOKUP($B83,Seqs!$A:$B,2,0),AE83,1),"")</f>
        <v>R</v>
      </c>
      <c r="AE83" s="3">
        <v>182</v>
      </c>
      <c r="AF83" s="3" t="str">
        <f>IFERROR(MID(VLOOKUP($B83,Seqs!$A:$B,2,0),AG83,1),"")</f>
        <v>C</v>
      </c>
      <c r="AG83" s="3">
        <v>195</v>
      </c>
      <c r="AH83" s="3" t="str">
        <f>IFERROR(MID(VLOOKUP($B83,Seqs!$A:$B,2,0),AI83,1),"")</f>
        <v>M</v>
      </c>
      <c r="AI83" s="3">
        <v>197</v>
      </c>
      <c r="AJ83" s="3" t="str">
        <f>IFERROR(MID(VLOOKUP($B83,Seqs!$A:$B,2,0),AK83,1),"")</f>
        <v>K</v>
      </c>
      <c r="AK83" s="3">
        <v>203</v>
      </c>
      <c r="AL83" s="3" t="str">
        <f>IFERROR(MID(VLOOKUP($B83,Seqs!$A:$B,2,0),AM83,1),"")</f>
        <v>T</v>
      </c>
      <c r="AM83" s="3">
        <v>241</v>
      </c>
      <c r="AN83" s="3" t="str">
        <f>IFERROR(MID(VLOOKUP($B83,Seqs!$A:$B,2,0),AO83,1),"")</f>
        <v>G</v>
      </c>
      <c r="AO83" s="3">
        <v>245</v>
      </c>
      <c r="AP83" s="3" t="str">
        <f>IFERROR(MID(VLOOKUP($B83,Seqs!$A:$B,2,0),AQ83,1),"")</f>
        <v>G</v>
      </c>
      <c r="AQ83" s="3">
        <v>285</v>
      </c>
      <c r="AR83" s="3" t="str">
        <f>IFERROR(MID(VLOOKUP($B83,Seqs!$A:$B,2,0),AS83,1),"")</f>
        <v>S</v>
      </c>
      <c r="AS83" s="3">
        <v>289</v>
      </c>
      <c r="AT83" s="3" t="str">
        <f>IFERROR(MID(VLOOKUP($B83,Seqs!$A:$B,2,0),AU83,1),"")</f>
        <v>V</v>
      </c>
      <c r="AU83" s="3">
        <v>321</v>
      </c>
      <c r="AV83" s="3" t="str">
        <f>IFERROR(MID(VLOOKUP($B83,Seqs!$A:$B,2,0),AW83,1),"")</f>
        <v>G</v>
      </c>
      <c r="AW83" s="3">
        <v>322</v>
      </c>
      <c r="AX83" s="3" t="str">
        <f>IFERROR(MID(VLOOKUP($B83,Seqs!$A:$B,2,0),AY83,1),"")</f>
        <v>R</v>
      </c>
      <c r="AY83" s="3">
        <v>334</v>
      </c>
      <c r="AZ83" s="79" t="str">
        <f>VLOOKUP(B83,Classification!A:D,2,0)</f>
        <v>A</v>
      </c>
      <c r="BA83" s="97" t="str">
        <f>VLOOKUP(B83,Classification!A:D,4,0)</f>
        <v>Angiotensin</v>
      </c>
      <c r="BB83" s="27" t="b">
        <f t="shared" ref="BB83" si="253">AND(E83&lt;G83,OR(G83&lt;I83,I83="-"),OR(I83&lt;K83,I83="-"),OR(K83&lt;M83,K83="-"),M83&lt;O83,OR(O83&lt;Q83,Q83="-"),OR(Q83&lt;S83,Q83="-"),OR(S83&lt;U83,S83="-"),U83&lt;W83,OR(W83&lt;Y83,Y83="-"),OR(Y83&lt;AA83,Y83="-"),OR(AA83&lt;AC83,AA83="-"),AC83&lt;AE83,OR(AE83&lt;AG83,AG83="-"),OR(AG83&lt;AI83,AG83="-"),OR(AI83&lt;AK83,AI83="-"),AK83&lt;AM83,AM83&lt;AO83,AO83&lt;AQ83,AQ83&lt;AS83,AS83&lt;AU83,OR(AU83&lt;AW83,AW83="-"),OR(AW83&lt;AY83,AW83="-"))</f>
        <v>1</v>
      </c>
      <c r="BC83" s="23">
        <f t="shared" ref="BC83" si="254">_xlfn.AGGREGATE(9,6,CG83:CR83)-_xlfn.AGGREGATE(9,6,BU83:CF83)+12</f>
        <v>253</v>
      </c>
      <c r="BD83" s="2" t="s">
        <v>1382</v>
      </c>
      <c r="BE83" s="3" t="s">
        <v>1297</v>
      </c>
      <c r="BF83" s="50" t="s">
        <v>1384</v>
      </c>
      <c r="BG83" s="50" t="s">
        <v>1287</v>
      </c>
      <c r="BH83" s="1"/>
      <c r="BI83" s="72" t="s">
        <v>1293</v>
      </c>
      <c r="BJ83" s="58" t="s">
        <v>1293</v>
      </c>
      <c r="BK83" s="58" t="s">
        <v>1293</v>
      </c>
      <c r="BL83" s="58" t="s">
        <v>1293</v>
      </c>
      <c r="BM83" s="58" t="s">
        <v>1293</v>
      </c>
      <c r="BN83" s="58" t="s">
        <v>1293</v>
      </c>
      <c r="BO83" s="58" t="s">
        <v>1293</v>
      </c>
      <c r="BP83" s="58" t="s">
        <v>1293</v>
      </c>
      <c r="BQ83" s="58" t="s">
        <v>1293</v>
      </c>
      <c r="BR83" s="58" t="s">
        <v>1293</v>
      </c>
      <c r="BS83" s="58" t="s">
        <v>1293</v>
      </c>
      <c r="BT83" s="58" t="s">
        <v>1293</v>
      </c>
      <c r="BU83" s="72">
        <f t="shared" ref="BU83" si="255">E83</f>
        <v>45</v>
      </c>
      <c r="BV83" s="73" t="str">
        <f t="shared" ref="BV83" si="256">I83</f>
        <v>-</v>
      </c>
      <c r="BW83" s="74">
        <f t="shared" ref="BW83" si="257">M83</f>
        <v>78</v>
      </c>
      <c r="BX83" s="73">
        <f t="shared" ref="BX83" si="258">Q83</f>
        <v>107</v>
      </c>
      <c r="BY83" s="74">
        <f t="shared" ref="BY83" si="259">U83</f>
        <v>113</v>
      </c>
      <c r="BZ83" s="73" t="str">
        <f t="shared" ref="BZ83" si="260">Y83</f>
        <v>-</v>
      </c>
      <c r="CA83" s="74">
        <f t="shared" ref="CA83" si="261">AC83</f>
        <v>159</v>
      </c>
      <c r="CB83" s="73">
        <f t="shared" ref="CB83" si="262">AG83</f>
        <v>195</v>
      </c>
      <c r="CC83" s="74">
        <f t="shared" ref="CC83" si="263">AK83</f>
        <v>203</v>
      </c>
      <c r="CD83" s="73">
        <f t="shared" ref="CD83" si="264">AO83</f>
        <v>245</v>
      </c>
      <c r="CE83" s="74">
        <f t="shared" ref="CE83" si="265">AS83</f>
        <v>289</v>
      </c>
      <c r="CF83" s="73">
        <f t="shared" ref="CF83" si="266">AW83</f>
        <v>322</v>
      </c>
      <c r="CG83" s="72">
        <f t="shared" ref="CG83" si="267">G83</f>
        <v>71</v>
      </c>
      <c r="CH83" s="73" t="str">
        <f t="shared" ref="CH83" si="268">K83</f>
        <v>-</v>
      </c>
      <c r="CI83" s="74">
        <f t="shared" ref="CI83" si="269">O83</f>
        <v>106</v>
      </c>
      <c r="CJ83" s="74">
        <f t="shared" ref="CJ83" si="270">S83</f>
        <v>112</v>
      </c>
      <c r="CK83" s="74">
        <f t="shared" ref="CK83" si="271">W83</f>
        <v>148</v>
      </c>
      <c r="CL83" s="74" t="str">
        <f t="shared" ref="CL83" si="272">AA83</f>
        <v>-</v>
      </c>
      <c r="CM83" s="74">
        <f t="shared" ref="CM83" si="273">AE83</f>
        <v>182</v>
      </c>
      <c r="CN83" s="74">
        <f t="shared" ref="CN83" si="274">AI83</f>
        <v>197</v>
      </c>
      <c r="CO83" s="74">
        <f t="shared" ref="CO83" si="275">AM83</f>
        <v>241</v>
      </c>
      <c r="CP83" s="74">
        <f t="shared" ref="CP83" si="276">AQ83</f>
        <v>285</v>
      </c>
      <c r="CQ83" s="74">
        <f t="shared" ref="CQ83" si="277">AU83</f>
        <v>321</v>
      </c>
      <c r="CR83" s="74">
        <f t="shared" ref="CR83" si="278">AY83</f>
        <v>334</v>
      </c>
      <c r="CS83" s="23" t="e">
        <f t="shared" ref="CS83" si="279">M83-K83</f>
        <v>#VALUE!</v>
      </c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/>
      <c r="MJ83" s="1"/>
      <c r="MK83" s="1"/>
      <c r="ML83" s="1"/>
      <c r="MM83" s="1"/>
      <c r="MN83" s="1"/>
      <c r="MO83" s="1"/>
      <c r="MP83" s="1"/>
      <c r="MQ83" s="1"/>
      <c r="MR83" s="1"/>
      <c r="MS83" s="1"/>
      <c r="MT83" s="1"/>
      <c r="MU83" s="1"/>
      <c r="MV83" s="1"/>
      <c r="MW83" s="1"/>
      <c r="MX83" s="1"/>
      <c r="MY83" s="1"/>
      <c r="MZ83" s="1"/>
      <c r="NA83" s="1"/>
      <c r="NB83" s="1"/>
      <c r="NC83" s="1"/>
      <c r="ND83" s="1"/>
      <c r="NE83" s="1"/>
      <c r="NF83" s="1"/>
      <c r="NG83" s="1"/>
      <c r="NH83" s="1"/>
      <c r="NI83" s="1"/>
      <c r="NJ83" s="1"/>
      <c r="NK83" s="1"/>
      <c r="NL83" s="1"/>
      <c r="NM83" s="1"/>
      <c r="NN83" s="1"/>
      <c r="NO83" s="1"/>
      <c r="NP83" s="1"/>
      <c r="NQ83" s="1"/>
      <c r="NR83" s="1"/>
      <c r="NS83" s="1"/>
      <c r="NT83" s="1"/>
      <c r="NU83" s="1"/>
      <c r="NV83" s="1"/>
      <c r="NW83" s="1"/>
      <c r="NX83" s="1"/>
      <c r="NY83" s="1"/>
      <c r="NZ83" s="1"/>
      <c r="OA83" s="1"/>
      <c r="OB83" s="1"/>
      <c r="OC83" s="1"/>
      <c r="OD83" s="1"/>
      <c r="OE83" s="1"/>
      <c r="OF83" s="1"/>
      <c r="OG83" s="1"/>
      <c r="OH83" s="1"/>
      <c r="OI83" s="1"/>
      <c r="OJ83" s="1"/>
      <c r="OK83" s="1"/>
      <c r="OL83" s="1"/>
      <c r="OM83" s="1"/>
      <c r="ON83" s="1"/>
      <c r="OO83" s="1"/>
      <c r="OP83" s="1"/>
      <c r="OQ83" s="1"/>
      <c r="OR83" s="1"/>
      <c r="OS83" s="1"/>
      <c r="OT83" s="1"/>
      <c r="OU83" s="1"/>
      <c r="OV83" s="1"/>
      <c r="OW83" s="1"/>
      <c r="OX83" s="1"/>
      <c r="OY83" s="1"/>
      <c r="OZ83" s="1"/>
      <c r="PA83" s="1"/>
      <c r="PB83" s="1"/>
      <c r="PC83" s="1"/>
      <c r="PD83" s="1"/>
      <c r="PE83" s="1"/>
      <c r="PF83" s="1"/>
      <c r="PG83" s="1"/>
      <c r="PH83" s="1"/>
      <c r="PI83" s="1"/>
      <c r="PJ83" s="1"/>
      <c r="PK83" s="1"/>
      <c r="PL83" s="1"/>
      <c r="PM83" s="1"/>
      <c r="PN83" s="1"/>
      <c r="PO83" s="1"/>
      <c r="PP83" s="1"/>
      <c r="PQ83" s="1"/>
      <c r="PR83" s="1"/>
      <c r="PS83" s="1"/>
      <c r="PT83" s="1"/>
      <c r="PU83" s="1"/>
      <c r="PV83" s="1"/>
      <c r="PW83" s="1"/>
      <c r="PX83" s="1"/>
      <c r="PY83" s="1"/>
      <c r="PZ83" s="1"/>
      <c r="QA83" s="1"/>
      <c r="QB83" s="1"/>
      <c r="QC83" s="1"/>
      <c r="QD83" s="1"/>
      <c r="QE83" s="1"/>
      <c r="QF83" s="1"/>
      <c r="QG83" s="1"/>
      <c r="QH83" s="1"/>
      <c r="QI83" s="1"/>
      <c r="QJ83" s="1"/>
      <c r="QK83" s="1"/>
      <c r="QL83" s="1"/>
      <c r="QM83" s="1"/>
      <c r="QN83" s="1"/>
      <c r="QO83" s="1"/>
      <c r="QP83" s="1"/>
      <c r="QQ83" s="1"/>
      <c r="QR83" s="1"/>
      <c r="QS83" s="1"/>
      <c r="QT83" s="1"/>
      <c r="QU83" s="1"/>
      <c r="QV83" s="1"/>
      <c r="QW83" s="1"/>
      <c r="QX83" s="1"/>
      <c r="QY83" s="1"/>
      <c r="QZ83" s="1"/>
      <c r="RA83" s="1"/>
      <c r="RB83" s="1"/>
      <c r="RC83" s="1"/>
      <c r="RD83" s="1"/>
      <c r="RE83" s="1"/>
      <c r="RF83" s="1"/>
      <c r="RG83" s="1"/>
      <c r="RH83" s="1"/>
      <c r="RI83" s="1"/>
      <c r="RJ83" s="1"/>
      <c r="RK83" s="1"/>
      <c r="RL83" s="1"/>
      <c r="RM83" s="1"/>
      <c r="RN83" s="1"/>
      <c r="RO83" s="1"/>
      <c r="RP83" s="1"/>
      <c r="RQ83" s="1"/>
      <c r="RR83" s="1"/>
      <c r="RS83" s="1"/>
      <c r="RT83" s="1"/>
      <c r="RU83" s="1"/>
      <c r="RV83" s="1"/>
      <c r="RW83" s="1"/>
      <c r="RX83" s="1"/>
      <c r="RY83" s="1"/>
      <c r="RZ83" s="1"/>
      <c r="SA83" s="1"/>
      <c r="SB83" s="1"/>
      <c r="SC83" s="1"/>
      <c r="SD83" s="1"/>
      <c r="SE83" s="1"/>
      <c r="SF83" s="1"/>
      <c r="SG83" s="1"/>
      <c r="SH83" s="1"/>
      <c r="SI83" s="1"/>
      <c r="SJ83" s="1"/>
      <c r="SK83" s="1"/>
      <c r="SL83" s="1"/>
      <c r="SM83" s="1"/>
      <c r="SN83" s="1"/>
      <c r="SO83" s="1"/>
      <c r="SP83" s="1"/>
      <c r="SQ83" s="1"/>
      <c r="SR83" s="1"/>
      <c r="SS83" s="1"/>
      <c r="ST83" s="1"/>
      <c r="SU83" s="1"/>
      <c r="SV83" s="1"/>
      <c r="SW83" s="1"/>
      <c r="SX83" s="1"/>
      <c r="SY83" s="1"/>
      <c r="SZ83" s="1"/>
      <c r="TA83" s="1"/>
      <c r="TB83" s="1"/>
      <c r="TC83" s="1"/>
      <c r="TD83" s="1"/>
      <c r="TE83" s="1"/>
      <c r="TF83" s="1"/>
      <c r="TG83" s="1"/>
      <c r="TH83" s="1"/>
      <c r="TI83" s="1"/>
      <c r="TJ83" s="1"/>
      <c r="TK83" s="1"/>
      <c r="TL83" s="1"/>
      <c r="TM83" s="1"/>
      <c r="TN83" s="1"/>
      <c r="TO83" s="1"/>
      <c r="TP83" s="1"/>
      <c r="TQ83" s="1"/>
      <c r="TR83" s="1"/>
      <c r="TS83" s="1"/>
      <c r="TT83" s="1"/>
      <c r="TU83" s="1"/>
      <c r="TV83" s="1"/>
      <c r="TW83" s="1"/>
      <c r="TX83" s="1"/>
      <c r="TY83" s="1"/>
      <c r="TZ83" s="1"/>
      <c r="UA83" s="1"/>
      <c r="UB83" s="1"/>
      <c r="UC83" s="1"/>
      <c r="UD83" s="1"/>
      <c r="UE83" s="1"/>
      <c r="UF83" s="1"/>
      <c r="UG83" s="1"/>
      <c r="UH83" s="1"/>
      <c r="UI83" s="1"/>
      <c r="UJ83" s="1"/>
      <c r="UK83" s="1"/>
      <c r="UL83" s="1"/>
      <c r="UM83" s="1"/>
      <c r="UN83" s="1"/>
      <c r="UO83" s="1"/>
      <c r="UP83" s="1"/>
      <c r="UQ83" s="1"/>
      <c r="UR83" s="1"/>
      <c r="US83" s="1"/>
      <c r="UT83" s="1"/>
      <c r="UU83" s="1"/>
      <c r="UV83" s="1"/>
      <c r="UW83" s="1"/>
      <c r="UX83" s="1"/>
      <c r="UY83" s="1"/>
      <c r="UZ83" s="1"/>
      <c r="VA83" s="1"/>
      <c r="VB83" s="1"/>
      <c r="VC83" s="1"/>
      <c r="VD83" s="1"/>
      <c r="VE83" s="1"/>
      <c r="VF83" s="1"/>
      <c r="VG83" s="1"/>
      <c r="VH83" s="1"/>
      <c r="VI83" s="1"/>
      <c r="VJ83" s="1"/>
      <c r="VK83" s="1"/>
      <c r="VL83" s="1"/>
      <c r="VM83" s="1"/>
      <c r="VN83" s="1"/>
      <c r="VO83" s="1"/>
      <c r="VP83" s="1"/>
      <c r="VQ83" s="1"/>
      <c r="VR83" s="1"/>
      <c r="VS83" s="1"/>
      <c r="VT83" s="1"/>
      <c r="VU83" s="1"/>
      <c r="VV83" s="1"/>
      <c r="VW83" s="1"/>
      <c r="VX83" s="1"/>
      <c r="VY83" s="1"/>
      <c r="VZ83" s="1"/>
      <c r="WA83" s="1"/>
      <c r="WB83" s="1"/>
      <c r="WC83" s="1"/>
      <c r="WD83" s="1"/>
      <c r="WE83" s="1"/>
      <c r="WF83" s="1"/>
      <c r="WG83" s="1"/>
      <c r="WH83" s="1"/>
      <c r="WI83" s="1"/>
      <c r="WJ83" s="1"/>
      <c r="WK83" s="1"/>
      <c r="WL83" s="1"/>
      <c r="WM83" s="1"/>
      <c r="WN83" s="1"/>
      <c r="WO83" s="1"/>
      <c r="WP83" s="1"/>
      <c r="WQ83" s="1"/>
      <c r="WR83" s="1"/>
      <c r="WS83" s="1"/>
      <c r="WT83" s="1"/>
      <c r="WU83" s="1"/>
      <c r="WV83" s="1"/>
      <c r="WW83" s="1"/>
      <c r="WX83" s="1"/>
      <c r="WY83" s="1"/>
      <c r="WZ83" s="1"/>
      <c r="XA83" s="1"/>
      <c r="XB83" s="1"/>
      <c r="XC83" s="1"/>
      <c r="XD83" s="1"/>
      <c r="XE83" s="1"/>
      <c r="XF83" s="1"/>
      <c r="XG83" s="1"/>
      <c r="XH83" s="1"/>
      <c r="XI83" s="1"/>
      <c r="XJ83" s="1"/>
      <c r="XK83" s="1"/>
      <c r="XL83" s="1"/>
      <c r="XM83" s="1"/>
      <c r="XN83" s="1"/>
      <c r="XO83" s="1"/>
      <c r="XP83" s="1"/>
      <c r="XQ83" s="1"/>
      <c r="XR83" s="1"/>
      <c r="XS83" s="1"/>
      <c r="XT83" s="1"/>
      <c r="XU83" s="1"/>
      <c r="XV83" s="1"/>
      <c r="XW83" s="1"/>
      <c r="XX83" s="1"/>
      <c r="XY83" s="1"/>
      <c r="XZ83" s="1"/>
      <c r="YA83" s="1"/>
      <c r="YB83" s="1"/>
      <c r="YC83" s="1"/>
      <c r="YD83" s="1"/>
      <c r="YE83" s="1"/>
      <c r="YF83" s="1"/>
      <c r="YG83" s="1"/>
      <c r="YH83" s="1"/>
      <c r="YI83" s="1"/>
      <c r="YJ83" s="1"/>
      <c r="YK83" s="1"/>
      <c r="YL83" s="1"/>
      <c r="YM83" s="1"/>
      <c r="YN83" s="1"/>
      <c r="YO83" s="1"/>
      <c r="YP83" s="1"/>
      <c r="YQ83" s="1"/>
      <c r="YR83" s="1"/>
      <c r="YS83" s="1"/>
      <c r="YT83" s="1"/>
      <c r="YU83" s="1"/>
      <c r="YV83" s="1"/>
      <c r="YW83" s="1"/>
      <c r="YX83" s="1"/>
      <c r="YY83" s="1"/>
      <c r="YZ83" s="1"/>
      <c r="ZA83" s="1"/>
      <c r="ZB83" s="1"/>
      <c r="ZC83" s="1"/>
      <c r="ZD83" s="1"/>
      <c r="ZE83" s="1"/>
      <c r="ZF83" s="1"/>
      <c r="ZG83" s="1"/>
      <c r="ZH83" s="1"/>
      <c r="ZI83" s="1"/>
      <c r="ZJ83" s="1"/>
      <c r="ZK83" s="1"/>
      <c r="ZL83" s="1"/>
      <c r="ZM83" s="1"/>
      <c r="ZN83" s="1"/>
      <c r="ZO83" s="1"/>
      <c r="ZP83" s="1"/>
      <c r="ZQ83" s="1"/>
      <c r="ZR83" s="1"/>
      <c r="ZS83" s="1"/>
      <c r="ZT83" s="1"/>
      <c r="ZU83" s="1"/>
      <c r="ZV83" s="1"/>
      <c r="ZW83" s="1"/>
      <c r="ZX83" s="1"/>
      <c r="ZY83" s="1"/>
      <c r="ZZ83" s="1"/>
      <c r="AAA83" s="1"/>
      <c r="AAB83" s="1"/>
      <c r="AAC83" s="1"/>
      <c r="AAD83" s="1"/>
      <c r="AAE83" s="1"/>
      <c r="AAF83" s="1"/>
      <c r="AAG83" s="1"/>
      <c r="AAH83" s="1"/>
      <c r="AAI83" s="1"/>
      <c r="AAJ83" s="1"/>
      <c r="AAK83" s="1"/>
      <c r="AAL83" s="1"/>
      <c r="AAM83" s="1"/>
      <c r="AAN83" s="1"/>
      <c r="AAO83" s="1"/>
      <c r="AAP83" s="1"/>
      <c r="AAQ83" s="1"/>
      <c r="AAR83" s="1"/>
      <c r="AAS83" s="1"/>
      <c r="AAT83" s="1"/>
      <c r="AAU83" s="1"/>
      <c r="AAV83" s="1"/>
      <c r="AAW83" s="1"/>
      <c r="AAX83" s="1"/>
      <c r="AAY83" s="1"/>
      <c r="AAZ83" s="1"/>
      <c r="ABA83" s="1"/>
      <c r="ABB83" s="1"/>
      <c r="ABC83" s="1"/>
      <c r="ABD83" s="1"/>
      <c r="ABE83" s="1"/>
      <c r="ABF83" s="1"/>
      <c r="ABG83" s="1"/>
      <c r="ABH83" s="1"/>
      <c r="ABI83" s="1"/>
      <c r="ABJ83" s="1"/>
      <c r="ABK83" s="1"/>
      <c r="ABL83" s="1"/>
      <c r="ABM83" s="1"/>
      <c r="ABN83" s="1"/>
      <c r="ABO83" s="1"/>
      <c r="ABP83" s="1"/>
      <c r="ABQ83" s="1"/>
      <c r="ABR83" s="1"/>
      <c r="ABS83" s="1"/>
      <c r="ABT83" s="1"/>
      <c r="ABU83" s="1"/>
      <c r="ABV83" s="1"/>
      <c r="ABW83" s="1"/>
      <c r="ABX83" s="1"/>
      <c r="ABY83" s="1"/>
      <c r="ABZ83" s="1"/>
      <c r="ACA83" s="1"/>
      <c r="ACB83" s="1"/>
      <c r="ACC83" s="1"/>
      <c r="ACD83" s="1"/>
      <c r="ACE83" s="1"/>
      <c r="ACF83" s="1"/>
      <c r="ACG83" s="1"/>
      <c r="ACH83" s="1"/>
      <c r="ACI83" s="1"/>
      <c r="ACJ83" s="1"/>
      <c r="ACK83" s="1"/>
      <c r="ACL83" s="1"/>
      <c r="ACM83" s="1"/>
      <c r="ACN83" s="1"/>
      <c r="ACO83" s="1"/>
      <c r="ACP83" s="1"/>
      <c r="ACQ83" s="1"/>
      <c r="ACR83" s="1"/>
      <c r="ACS83" s="1"/>
      <c r="ACT83" s="1"/>
      <c r="ACU83" s="1"/>
      <c r="ACV83" s="1"/>
      <c r="ACW83" s="1"/>
      <c r="ACX83" s="1"/>
      <c r="ACY83" s="1"/>
      <c r="ACZ83" s="1"/>
      <c r="ADA83" s="1"/>
      <c r="ADB83" s="1"/>
      <c r="ADC83" s="1"/>
      <c r="ADD83" s="1"/>
      <c r="ADE83" s="1"/>
      <c r="ADF83" s="1"/>
      <c r="ADG83" s="1"/>
      <c r="ADH83" s="1"/>
      <c r="ADI83" s="1"/>
      <c r="ADJ83" s="1"/>
      <c r="ADK83" s="1"/>
      <c r="ADL83" s="1"/>
      <c r="ADM83" s="1"/>
      <c r="ADN83" s="1"/>
      <c r="ADO83" s="1"/>
      <c r="ADP83" s="1"/>
      <c r="ADQ83" s="1"/>
      <c r="ADR83" s="1"/>
      <c r="ADS83" s="1"/>
      <c r="ADT83" s="1"/>
      <c r="ADU83" s="1"/>
      <c r="ADV83" s="1"/>
      <c r="ADW83" s="1"/>
      <c r="ADX83" s="1"/>
      <c r="ADY83" s="1"/>
      <c r="ADZ83" s="1"/>
      <c r="AEA83" s="1"/>
      <c r="AEB83" s="1"/>
      <c r="AEC83" s="1"/>
      <c r="AED83" s="1"/>
      <c r="AEE83" s="1"/>
      <c r="AEF83" s="1"/>
      <c r="AEG83" s="1"/>
      <c r="AEH83" s="1"/>
      <c r="AEI83" s="1"/>
      <c r="AEJ83" s="1"/>
      <c r="AEK83" s="1"/>
      <c r="AEL83" s="1"/>
      <c r="AEM83" s="1"/>
      <c r="AEN83" s="1"/>
      <c r="AEO83" s="1"/>
      <c r="AEP83" s="1"/>
      <c r="AEQ83" s="1"/>
      <c r="AER83" s="1"/>
      <c r="AES83" s="1"/>
      <c r="AET83" s="1"/>
      <c r="AEU83" s="1"/>
      <c r="AEV83" s="1"/>
      <c r="AEW83" s="1"/>
      <c r="AEX83" s="1"/>
      <c r="AEY83" s="1"/>
      <c r="AEZ83" s="1"/>
      <c r="AFA83" s="1"/>
      <c r="AFB83" s="1"/>
      <c r="AFC83" s="1"/>
      <c r="AFD83" s="1"/>
      <c r="AFE83" s="1"/>
      <c r="AFF83" s="1"/>
      <c r="AFG83" s="1"/>
      <c r="AFH83" s="1"/>
      <c r="AFI83" s="1"/>
      <c r="AFJ83" s="1"/>
      <c r="AFK83" s="1"/>
      <c r="AFL83" s="1"/>
      <c r="AFM83" s="1"/>
      <c r="AFN83" s="1"/>
      <c r="AFO83" s="1"/>
      <c r="AFP83" s="1"/>
      <c r="AFQ83" s="1"/>
      <c r="AFR83" s="1"/>
      <c r="AFS83" s="1"/>
      <c r="AFT83" s="1"/>
      <c r="AFU83" s="1"/>
      <c r="AFV83" s="1"/>
      <c r="AFW83" s="1"/>
      <c r="AFX83" s="1"/>
      <c r="AFY83" s="1"/>
      <c r="AFZ83" s="1"/>
      <c r="AGA83" s="1"/>
      <c r="AGB83" s="1"/>
      <c r="AGC83" s="1"/>
      <c r="AGD83" s="1"/>
      <c r="AGE83" s="1"/>
      <c r="AGF83" s="1"/>
      <c r="AGG83" s="1"/>
      <c r="AGH83" s="1"/>
      <c r="AGI83" s="1"/>
      <c r="AGJ83" s="1"/>
      <c r="AGK83" s="1"/>
      <c r="AGL83" s="1"/>
      <c r="AGM83" s="1"/>
      <c r="AGN83" s="1"/>
      <c r="AGO83" s="1"/>
      <c r="AGP83" s="1"/>
      <c r="AGQ83" s="1"/>
      <c r="AGR83" s="1"/>
      <c r="AGS83" s="1"/>
      <c r="AGT83" s="1"/>
      <c r="AGU83" s="1"/>
      <c r="AGV83" s="1"/>
      <c r="AGW83" s="1"/>
      <c r="AGX83" s="1"/>
      <c r="AGY83" s="1"/>
      <c r="AGZ83" s="1"/>
      <c r="AHA83" s="1"/>
      <c r="AHB83" s="1"/>
      <c r="AHC83" s="1"/>
      <c r="AHD83" s="1"/>
      <c r="AHE83" s="1"/>
      <c r="AHF83" s="1"/>
      <c r="AHG83" s="1"/>
      <c r="AHH83" s="1"/>
      <c r="AHI83" s="1"/>
      <c r="AHJ83" s="1"/>
      <c r="AHK83" s="1"/>
      <c r="AHL83" s="1"/>
      <c r="AHM83" s="1"/>
      <c r="AHN83" s="1"/>
      <c r="AHO83" s="1"/>
      <c r="AHP83" s="1"/>
      <c r="AHQ83" s="1"/>
      <c r="AHR83" s="1"/>
      <c r="AHS83" s="1"/>
      <c r="AHT83" s="1"/>
      <c r="AHU83" s="1"/>
      <c r="AHV83" s="1"/>
      <c r="AHW83" s="1"/>
      <c r="AHX83" s="1"/>
      <c r="AHY83" s="1"/>
      <c r="AHZ83" s="1"/>
      <c r="AIA83" s="1"/>
      <c r="AIB83" s="1"/>
      <c r="AIC83" s="1"/>
      <c r="AID83" s="1"/>
      <c r="AIE83" s="1"/>
      <c r="AIF83" s="1"/>
      <c r="AIG83" s="1"/>
      <c r="AIH83" s="1"/>
      <c r="AII83" s="1"/>
      <c r="AIJ83" s="1"/>
      <c r="AIK83" s="1"/>
      <c r="AIL83" s="1"/>
      <c r="AIM83" s="1"/>
      <c r="AIN83" s="1"/>
      <c r="AIO83" s="1"/>
      <c r="AIP83" s="1"/>
      <c r="AIQ83" s="1"/>
      <c r="AIR83" s="1"/>
      <c r="AIS83" s="1"/>
      <c r="AIT83" s="1"/>
      <c r="AIU83" s="1"/>
      <c r="AIV83" s="1"/>
      <c r="AIW83" s="1"/>
      <c r="AIX83" s="1"/>
      <c r="AIY83" s="1"/>
      <c r="AIZ83" s="1"/>
      <c r="AJA83" s="1"/>
      <c r="AJB83" s="1"/>
      <c r="AJC83" s="1"/>
      <c r="AJD83" s="1"/>
      <c r="AJE83" s="1"/>
      <c r="AJF83" s="1"/>
      <c r="AJG83" s="1"/>
      <c r="AJH83" s="1"/>
      <c r="AJI83" s="1"/>
      <c r="AJJ83" s="1"/>
      <c r="AJK83" s="1"/>
      <c r="AJL83" s="1"/>
      <c r="AJM83" s="1"/>
      <c r="AJN83" s="1"/>
      <c r="AJO83" s="1"/>
      <c r="AJP83" s="1"/>
      <c r="AJQ83" s="1"/>
      <c r="AJR83" s="1"/>
      <c r="AJS83" s="1"/>
      <c r="AJT83" s="1"/>
      <c r="AJU83" s="1"/>
      <c r="AJV83" s="1"/>
      <c r="AJW83" s="1"/>
      <c r="AJX83" s="1"/>
      <c r="AJY83" s="1"/>
      <c r="AJZ83" s="1"/>
      <c r="AKA83" s="1"/>
      <c r="AKB83" s="1"/>
      <c r="AKC83" s="1"/>
      <c r="AKD83" s="1"/>
      <c r="AKE83" s="1"/>
      <c r="AKF83" s="1"/>
      <c r="AKG83" s="1"/>
      <c r="AKH83" s="1"/>
      <c r="AKI83" s="1"/>
      <c r="AKJ83" s="1"/>
      <c r="AKK83" s="1"/>
      <c r="AKL83" s="1"/>
      <c r="AKM83" s="1"/>
      <c r="AKN83" s="1"/>
      <c r="AKO83" s="1"/>
      <c r="AKP83" s="1"/>
      <c r="AKQ83" s="1"/>
      <c r="AKR83" s="1"/>
      <c r="AKS83" s="1"/>
      <c r="AKT83" s="1"/>
      <c r="AKU83" s="1"/>
      <c r="AKV83" s="1"/>
      <c r="AKW83" s="1"/>
      <c r="AKX83" s="1"/>
      <c r="AKY83" s="1"/>
      <c r="AKZ83" s="1"/>
      <c r="ALA83" s="1"/>
      <c r="ALB83" s="1"/>
      <c r="ALC83" s="1"/>
      <c r="ALD83" s="1"/>
      <c r="ALE83" s="1"/>
      <c r="ALF83" s="1"/>
      <c r="ALG83" s="1"/>
      <c r="ALH83" s="1"/>
      <c r="ALI83" s="1"/>
      <c r="ALJ83" s="1"/>
      <c r="ALK83" s="1"/>
      <c r="ALL83" s="1"/>
      <c r="ALM83" s="1"/>
      <c r="ALN83" s="1"/>
      <c r="ALO83" s="1"/>
      <c r="ALP83" s="1"/>
      <c r="ALQ83" s="1"/>
      <c r="ALR83" s="1"/>
      <c r="ALS83" s="1"/>
      <c r="ALT83" s="1"/>
      <c r="ALU83" s="1"/>
      <c r="ALV83" s="1"/>
      <c r="ALW83" s="1"/>
      <c r="ALX83" s="1"/>
      <c r="ALY83" s="1"/>
      <c r="ALZ83" s="1"/>
      <c r="AMA83" s="1"/>
      <c r="AMB83" s="1"/>
      <c r="AMC83" s="1"/>
      <c r="AMD83" s="1"/>
      <c r="AME83" s="1"/>
      <c r="AMF83" s="1"/>
      <c r="AMG83" s="1"/>
      <c r="AMH83" s="1"/>
      <c r="AMI83" s="1"/>
      <c r="AMJ83" s="1"/>
      <c r="AMK83" s="1"/>
      <c r="AML83" s="1"/>
      <c r="AMM83" s="1"/>
      <c r="AMN83" s="1"/>
    </row>
    <row r="84" spans="1:1029" x14ac:dyDescent="0.2">
      <c r="A84" s="3" t="str">
        <f t="shared" ref="A84" si="280">CONCATENATE(B84,"_",C84)</f>
        <v>agtr2_human_5UNH</v>
      </c>
      <c r="B84" s="3" t="s">
        <v>159</v>
      </c>
      <c r="C84" s="3" t="s">
        <v>1402</v>
      </c>
      <c r="D84" s="3" t="str">
        <f>IFERROR(MID(VLOOKUP($B84,Seqs!$A:$B,2,0),E84,1),"")</f>
        <v>D</v>
      </c>
      <c r="E84" s="3">
        <v>45</v>
      </c>
      <c r="F84" s="3" t="str">
        <f>IFERROR(MID(VLOOKUP($B84,Seqs!$A:$B,2,0),G84,1),"")</f>
        <v>C</v>
      </c>
      <c r="G84" s="3">
        <v>70</v>
      </c>
      <c r="H84" s="3" t="str">
        <f>IFERROR(MID(VLOOKUP($B84,Seqs!$A:$B,2,0),I84,1),"")</f>
        <v/>
      </c>
      <c r="I84" s="23" t="s">
        <v>23</v>
      </c>
      <c r="J84" s="3" t="str">
        <f>IFERROR(MID(VLOOKUP($B84,Seqs!$A:$B,2,0),K84,1),"")</f>
        <v/>
      </c>
      <c r="K84" s="23" t="s">
        <v>23</v>
      </c>
      <c r="L84" s="3" t="str">
        <f>IFERROR(MID(VLOOKUP($B84,Seqs!$A:$B,2,0),M84,1),"")</f>
        <v>K</v>
      </c>
      <c r="M84" s="3">
        <v>77</v>
      </c>
      <c r="N84" s="3" t="str">
        <f>IFERROR(MID(VLOOKUP($B84,Seqs!$A:$B,2,0),O84,1),"")</f>
        <v>Y</v>
      </c>
      <c r="O84" s="3">
        <v>106</v>
      </c>
      <c r="P84" s="3" t="str">
        <f>IFERROR(MID(VLOOKUP($B84,Seqs!$A:$B,2,0),Q84,1),"")</f>
        <v>R</v>
      </c>
      <c r="Q84" s="3">
        <v>107</v>
      </c>
      <c r="R84" s="3" t="str">
        <f>IFERROR(MID(VLOOKUP($B84,Seqs!$A:$B,2,0),S84,1),"")</f>
        <v>F</v>
      </c>
      <c r="S84" s="3">
        <v>112</v>
      </c>
      <c r="T84" s="3" t="str">
        <f>IFERROR(MID(VLOOKUP($B84,Seqs!$A:$B,2,0),U84,1),"")</f>
        <v>G</v>
      </c>
      <c r="U84" s="3">
        <v>113</v>
      </c>
      <c r="V84" s="3" t="str">
        <f>IFERROR(MID(VLOOKUP($B84,Seqs!$A:$B,2,0),W84,1),"")</f>
        <v>Y</v>
      </c>
      <c r="W84" s="3">
        <v>148</v>
      </c>
      <c r="X84" s="3" t="str">
        <f>IFERROR(MID(VLOOKUP($B84,Seqs!$A:$B,2,0),Y84,1),"")</f>
        <v/>
      </c>
      <c r="Y84" s="3" t="s">
        <v>23</v>
      </c>
      <c r="Z84" s="3" t="str">
        <f>IFERROR(MID(VLOOKUP($B84,Seqs!$A:$B,2,0),AA84,1),"")</f>
        <v/>
      </c>
      <c r="AA84" s="3" t="s">
        <v>23</v>
      </c>
      <c r="AB84" s="3" t="str">
        <f>IFERROR(MID(VLOOKUP($B84,Seqs!$A:$B,2,0),AC84,1),"")</f>
        <v>Y</v>
      </c>
      <c r="AC84" s="3">
        <v>162</v>
      </c>
      <c r="AD84" s="3" t="str">
        <f>IFERROR(MID(VLOOKUP($B84,Seqs!$A:$B,2,0),AE84,1),"")</f>
        <v>R</v>
      </c>
      <c r="AE84" s="3">
        <v>182</v>
      </c>
      <c r="AF84" s="3" t="str">
        <f>IFERROR(MID(VLOOKUP($B84,Seqs!$A:$B,2,0),AG84,1),"")</f>
        <v>C</v>
      </c>
      <c r="AG84" s="3">
        <v>195</v>
      </c>
      <c r="AH84" s="3" t="str">
        <f>IFERROR(MID(VLOOKUP($B84,Seqs!$A:$B,2,0),AI84,1),"")</f>
        <v>M</v>
      </c>
      <c r="AI84" s="3">
        <v>197</v>
      </c>
      <c r="AJ84" s="3" t="str">
        <f>IFERROR(MID(VLOOKUP($B84,Seqs!$A:$B,2,0),AK84,1),"")</f>
        <v>Y</v>
      </c>
      <c r="AK84" s="3">
        <v>204</v>
      </c>
      <c r="AL84" s="3" t="str">
        <f>IFERROR(MID(VLOOKUP($B84,Seqs!$A:$B,2,0),AM84,1),"")</f>
        <v>T</v>
      </c>
      <c r="AM84" s="3">
        <v>241</v>
      </c>
      <c r="AN84" s="3" t="str">
        <f>IFERROR(MID(VLOOKUP($B84,Seqs!$A:$B,2,0),AO84,1),"")</f>
        <v>G</v>
      </c>
      <c r="AO84" s="3">
        <v>245</v>
      </c>
      <c r="AP84" s="3" t="str">
        <f>IFERROR(MID(VLOOKUP($B84,Seqs!$A:$B,2,0),AQ84,1),"")</f>
        <v>G</v>
      </c>
      <c r="AQ84" s="3">
        <v>285</v>
      </c>
      <c r="AR84" s="3" t="str">
        <f>IFERROR(MID(VLOOKUP($B84,Seqs!$A:$B,2,0),AS84,1),"")</f>
        <v>S</v>
      </c>
      <c r="AS84" s="3">
        <v>289</v>
      </c>
      <c r="AT84" s="3" t="str">
        <f>IFERROR(MID(VLOOKUP($B84,Seqs!$A:$B,2,0),AU84,1),"")</f>
        <v>V</v>
      </c>
      <c r="AU84" s="3">
        <v>321</v>
      </c>
      <c r="AV84" s="3" t="str">
        <f>IFERROR(MID(VLOOKUP($B84,Seqs!$A:$B,2,0),AW84,1),"")</f>
        <v>G</v>
      </c>
      <c r="AW84" s="3">
        <v>322</v>
      </c>
      <c r="AX84" s="3" t="str">
        <f>IFERROR(MID(VLOOKUP($B84,Seqs!$A:$B,2,0),AY84,1),"")</f>
        <v>V</v>
      </c>
      <c r="AY84" s="3">
        <v>332</v>
      </c>
      <c r="AZ84" s="79" t="str">
        <f>VLOOKUP(B84,Classification!A:D,2,0)</f>
        <v>A</v>
      </c>
      <c r="BA84" s="97" t="str">
        <f>VLOOKUP(B84,Classification!A:D,4,0)</f>
        <v>Angiotensin</v>
      </c>
      <c r="BB84" s="27" t="b">
        <f t="shared" ref="BB84" si="281">AND(E84&lt;G84,OR(G84&lt;I84,I84="-"),OR(I84&lt;K84,I84="-"),OR(K84&lt;M84,K84="-"),M84&lt;O84,OR(O84&lt;Q84,Q84="-"),OR(Q84&lt;S84,Q84="-"),OR(S84&lt;U84,S84="-"),U84&lt;W84,OR(W84&lt;Y84,Y84="-"),OR(Y84&lt;AA84,Y84="-"),OR(AA84&lt;AC84,AA84="-"),AC84&lt;AE84,OR(AE84&lt;AG84,AG84="-"),OR(AG84&lt;AI84,AG84="-"),OR(AI84&lt;AK84,AI84="-"),AK84&lt;AM84,AM84&lt;AO84,AO84&lt;AQ84,AQ84&lt;AS84,AS84&lt;AU84,OR(AU84&lt;AW84,AW84="-"),OR(AW84&lt;AY84,AW84="-"))</f>
        <v>1</v>
      </c>
      <c r="BC84" s="23">
        <f t="shared" ref="BC84" si="282">_xlfn.AGGREGATE(9,6,CG84:CR84)-_xlfn.AGGREGATE(9,6,BU84:CF84)+12</f>
        <v>247</v>
      </c>
      <c r="BD84" s="2"/>
      <c r="BE84" s="3" t="s">
        <v>1297</v>
      </c>
      <c r="BF84" s="50" t="s">
        <v>1384</v>
      </c>
      <c r="BG84" s="50" t="s">
        <v>1287</v>
      </c>
      <c r="BH84" s="1"/>
      <c r="BI84" s="72" t="s">
        <v>1293</v>
      </c>
      <c r="BJ84" s="58" t="s">
        <v>1293</v>
      </c>
      <c r="BK84" s="58" t="s">
        <v>1293</v>
      </c>
      <c r="BL84" s="58" t="s">
        <v>1293</v>
      </c>
      <c r="BM84" s="58" t="s">
        <v>1293</v>
      </c>
      <c r="BN84" s="58" t="s">
        <v>1293</v>
      </c>
      <c r="BO84" s="58" t="s">
        <v>1293</v>
      </c>
      <c r="BP84" s="58" t="s">
        <v>1293</v>
      </c>
      <c r="BQ84" s="58" t="s">
        <v>1293</v>
      </c>
      <c r="BR84" s="58" t="s">
        <v>1293</v>
      </c>
      <c r="BS84" s="58" t="s">
        <v>1293</v>
      </c>
      <c r="BT84" s="58" t="s">
        <v>1293</v>
      </c>
      <c r="BU84" s="72">
        <f t="shared" ref="BU84" si="283">E84</f>
        <v>45</v>
      </c>
      <c r="BV84" s="73" t="str">
        <f t="shared" ref="BV84" si="284">I84</f>
        <v>-</v>
      </c>
      <c r="BW84" s="74">
        <f t="shared" ref="BW84" si="285">M84</f>
        <v>77</v>
      </c>
      <c r="BX84" s="73">
        <f t="shared" ref="BX84" si="286">Q84</f>
        <v>107</v>
      </c>
      <c r="BY84" s="74">
        <f t="shared" ref="BY84" si="287">U84</f>
        <v>113</v>
      </c>
      <c r="BZ84" s="73" t="str">
        <f t="shared" ref="BZ84" si="288">Y84</f>
        <v>-</v>
      </c>
      <c r="CA84" s="74">
        <f t="shared" ref="CA84" si="289">AC84</f>
        <v>162</v>
      </c>
      <c r="CB84" s="73">
        <f t="shared" ref="CB84" si="290">AG84</f>
        <v>195</v>
      </c>
      <c r="CC84" s="74">
        <f t="shared" ref="CC84" si="291">AK84</f>
        <v>204</v>
      </c>
      <c r="CD84" s="73">
        <f t="shared" ref="CD84" si="292">AO84</f>
        <v>245</v>
      </c>
      <c r="CE84" s="74">
        <f t="shared" ref="CE84" si="293">AS84</f>
        <v>289</v>
      </c>
      <c r="CF84" s="73">
        <f t="shared" ref="CF84" si="294">AW84</f>
        <v>322</v>
      </c>
      <c r="CG84" s="72">
        <f t="shared" ref="CG84" si="295">G84</f>
        <v>70</v>
      </c>
      <c r="CH84" s="73" t="str">
        <f t="shared" ref="CH84" si="296">K84</f>
        <v>-</v>
      </c>
      <c r="CI84" s="74">
        <f t="shared" ref="CI84" si="297">O84</f>
        <v>106</v>
      </c>
      <c r="CJ84" s="74">
        <f t="shared" ref="CJ84" si="298">S84</f>
        <v>112</v>
      </c>
      <c r="CK84" s="74">
        <f t="shared" ref="CK84" si="299">W84</f>
        <v>148</v>
      </c>
      <c r="CL84" s="74" t="str">
        <f t="shared" ref="CL84" si="300">AA84</f>
        <v>-</v>
      </c>
      <c r="CM84" s="74">
        <f t="shared" ref="CM84" si="301">AE84</f>
        <v>182</v>
      </c>
      <c r="CN84" s="74">
        <f t="shared" ref="CN84" si="302">AI84</f>
        <v>197</v>
      </c>
      <c r="CO84" s="74">
        <f t="shared" ref="CO84" si="303">AM84</f>
        <v>241</v>
      </c>
      <c r="CP84" s="74">
        <f t="shared" ref="CP84" si="304">AQ84</f>
        <v>285</v>
      </c>
      <c r="CQ84" s="74">
        <f t="shared" ref="CQ84" si="305">AU84</f>
        <v>321</v>
      </c>
      <c r="CR84" s="74">
        <f t="shared" ref="CR84" si="306">AY84</f>
        <v>332</v>
      </c>
      <c r="CS84" s="23" t="e">
        <f t="shared" ref="CS84" si="307">M84-K84</f>
        <v>#VALUE!</v>
      </c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  <c r="LI84" s="1"/>
      <c r="LJ84" s="1"/>
      <c r="LK84" s="1"/>
      <c r="LL84" s="1"/>
      <c r="LM84" s="1"/>
      <c r="LN84" s="1"/>
      <c r="LO84" s="1"/>
      <c r="LP84" s="1"/>
      <c r="LQ84" s="1"/>
      <c r="LR84" s="1"/>
      <c r="LS84" s="1"/>
      <c r="LT84" s="1"/>
      <c r="LU84" s="1"/>
      <c r="LV84" s="1"/>
      <c r="LW84" s="1"/>
      <c r="LX84" s="1"/>
      <c r="LY84" s="1"/>
      <c r="LZ84" s="1"/>
      <c r="MA84" s="1"/>
      <c r="MB84" s="1"/>
      <c r="MC84" s="1"/>
      <c r="MD84" s="1"/>
      <c r="ME84" s="1"/>
      <c r="MF84" s="1"/>
      <c r="MG84" s="1"/>
      <c r="MH84" s="1"/>
      <c r="MI84" s="1"/>
      <c r="MJ84" s="1"/>
      <c r="MK84" s="1"/>
      <c r="ML84" s="1"/>
      <c r="MM84" s="1"/>
      <c r="MN84" s="1"/>
      <c r="MO84" s="1"/>
      <c r="MP84" s="1"/>
      <c r="MQ84" s="1"/>
      <c r="MR84" s="1"/>
      <c r="MS84" s="1"/>
      <c r="MT84" s="1"/>
      <c r="MU84" s="1"/>
      <c r="MV84" s="1"/>
      <c r="MW84" s="1"/>
      <c r="MX84" s="1"/>
      <c r="MY84" s="1"/>
      <c r="MZ84" s="1"/>
      <c r="NA84" s="1"/>
      <c r="NB84" s="1"/>
      <c r="NC84" s="1"/>
      <c r="ND84" s="1"/>
      <c r="NE84" s="1"/>
      <c r="NF84" s="1"/>
      <c r="NG84" s="1"/>
      <c r="NH84" s="1"/>
      <c r="NI84" s="1"/>
      <c r="NJ84" s="1"/>
      <c r="NK84" s="1"/>
      <c r="NL84" s="1"/>
      <c r="NM84" s="1"/>
      <c r="NN84" s="1"/>
      <c r="NO84" s="1"/>
      <c r="NP84" s="1"/>
      <c r="NQ84" s="1"/>
      <c r="NR84" s="1"/>
      <c r="NS84" s="1"/>
      <c r="NT84" s="1"/>
      <c r="NU84" s="1"/>
      <c r="NV84" s="1"/>
      <c r="NW84" s="1"/>
      <c r="NX84" s="1"/>
      <c r="NY84" s="1"/>
      <c r="NZ84" s="1"/>
      <c r="OA84" s="1"/>
      <c r="OB84" s="1"/>
      <c r="OC84" s="1"/>
      <c r="OD84" s="1"/>
      <c r="OE84" s="1"/>
      <c r="OF84" s="1"/>
      <c r="OG84" s="1"/>
      <c r="OH84" s="1"/>
      <c r="OI84" s="1"/>
      <c r="OJ84" s="1"/>
      <c r="OK84" s="1"/>
      <c r="OL84" s="1"/>
      <c r="OM84" s="1"/>
      <c r="ON84" s="1"/>
      <c r="OO84" s="1"/>
      <c r="OP84" s="1"/>
      <c r="OQ84" s="1"/>
      <c r="OR84" s="1"/>
      <c r="OS84" s="1"/>
      <c r="OT84" s="1"/>
      <c r="OU84" s="1"/>
      <c r="OV84" s="1"/>
      <c r="OW84" s="1"/>
      <c r="OX84" s="1"/>
      <c r="OY84" s="1"/>
      <c r="OZ84" s="1"/>
      <c r="PA84" s="1"/>
      <c r="PB84" s="1"/>
      <c r="PC84" s="1"/>
      <c r="PD84" s="1"/>
      <c r="PE84" s="1"/>
      <c r="PF84" s="1"/>
      <c r="PG84" s="1"/>
      <c r="PH84" s="1"/>
      <c r="PI84" s="1"/>
      <c r="PJ84" s="1"/>
      <c r="PK84" s="1"/>
      <c r="PL84" s="1"/>
      <c r="PM84" s="1"/>
      <c r="PN84" s="1"/>
      <c r="PO84" s="1"/>
      <c r="PP84" s="1"/>
      <c r="PQ84" s="1"/>
      <c r="PR84" s="1"/>
      <c r="PS84" s="1"/>
      <c r="PT84" s="1"/>
      <c r="PU84" s="1"/>
      <c r="PV84" s="1"/>
      <c r="PW84" s="1"/>
      <c r="PX84" s="1"/>
      <c r="PY84" s="1"/>
      <c r="PZ84" s="1"/>
      <c r="QA84" s="1"/>
      <c r="QB84" s="1"/>
      <c r="QC84" s="1"/>
      <c r="QD84" s="1"/>
      <c r="QE84" s="1"/>
      <c r="QF84" s="1"/>
      <c r="QG84" s="1"/>
      <c r="QH84" s="1"/>
      <c r="QI84" s="1"/>
      <c r="QJ84" s="1"/>
      <c r="QK84" s="1"/>
      <c r="QL84" s="1"/>
      <c r="QM84" s="1"/>
      <c r="QN84" s="1"/>
      <c r="QO84" s="1"/>
      <c r="QP84" s="1"/>
      <c r="QQ84" s="1"/>
      <c r="QR84" s="1"/>
      <c r="QS84" s="1"/>
      <c r="QT84" s="1"/>
      <c r="QU84" s="1"/>
      <c r="QV84" s="1"/>
      <c r="QW84" s="1"/>
      <c r="QX84" s="1"/>
      <c r="QY84" s="1"/>
      <c r="QZ84" s="1"/>
      <c r="RA84" s="1"/>
      <c r="RB84" s="1"/>
      <c r="RC84" s="1"/>
      <c r="RD84" s="1"/>
      <c r="RE84" s="1"/>
      <c r="RF84" s="1"/>
      <c r="RG84" s="1"/>
      <c r="RH84" s="1"/>
      <c r="RI84" s="1"/>
      <c r="RJ84" s="1"/>
      <c r="RK84" s="1"/>
      <c r="RL84" s="1"/>
      <c r="RM84" s="1"/>
      <c r="RN84" s="1"/>
      <c r="RO84" s="1"/>
      <c r="RP84" s="1"/>
      <c r="RQ84" s="1"/>
      <c r="RR84" s="1"/>
      <c r="RS84" s="1"/>
      <c r="RT84" s="1"/>
      <c r="RU84" s="1"/>
      <c r="RV84" s="1"/>
      <c r="RW84" s="1"/>
      <c r="RX84" s="1"/>
      <c r="RY84" s="1"/>
      <c r="RZ84" s="1"/>
      <c r="SA84" s="1"/>
      <c r="SB84" s="1"/>
      <c r="SC84" s="1"/>
      <c r="SD84" s="1"/>
      <c r="SE84" s="1"/>
      <c r="SF84" s="1"/>
      <c r="SG84" s="1"/>
      <c r="SH84" s="1"/>
      <c r="SI84" s="1"/>
      <c r="SJ84" s="1"/>
      <c r="SK84" s="1"/>
      <c r="SL84" s="1"/>
      <c r="SM84" s="1"/>
      <c r="SN84" s="1"/>
      <c r="SO84" s="1"/>
      <c r="SP84" s="1"/>
      <c r="SQ84" s="1"/>
      <c r="SR84" s="1"/>
      <c r="SS84" s="1"/>
      <c r="ST84" s="1"/>
      <c r="SU84" s="1"/>
      <c r="SV84" s="1"/>
      <c r="SW84" s="1"/>
      <c r="SX84" s="1"/>
      <c r="SY84" s="1"/>
      <c r="SZ84" s="1"/>
      <c r="TA84" s="1"/>
      <c r="TB84" s="1"/>
      <c r="TC84" s="1"/>
      <c r="TD84" s="1"/>
      <c r="TE84" s="1"/>
      <c r="TF84" s="1"/>
      <c r="TG84" s="1"/>
      <c r="TH84" s="1"/>
      <c r="TI84" s="1"/>
      <c r="TJ84" s="1"/>
      <c r="TK84" s="1"/>
      <c r="TL84" s="1"/>
      <c r="TM84" s="1"/>
      <c r="TN84" s="1"/>
      <c r="TO84" s="1"/>
      <c r="TP84" s="1"/>
      <c r="TQ84" s="1"/>
      <c r="TR84" s="1"/>
      <c r="TS84" s="1"/>
      <c r="TT84" s="1"/>
      <c r="TU84" s="1"/>
      <c r="TV84" s="1"/>
      <c r="TW84" s="1"/>
      <c r="TX84" s="1"/>
      <c r="TY84" s="1"/>
      <c r="TZ84" s="1"/>
      <c r="UA84" s="1"/>
      <c r="UB84" s="1"/>
      <c r="UC84" s="1"/>
      <c r="UD84" s="1"/>
      <c r="UE84" s="1"/>
      <c r="UF84" s="1"/>
      <c r="UG84" s="1"/>
      <c r="UH84" s="1"/>
      <c r="UI84" s="1"/>
      <c r="UJ84" s="1"/>
      <c r="UK84" s="1"/>
      <c r="UL84" s="1"/>
      <c r="UM84" s="1"/>
      <c r="UN84" s="1"/>
      <c r="UO84" s="1"/>
      <c r="UP84" s="1"/>
      <c r="UQ84" s="1"/>
      <c r="UR84" s="1"/>
      <c r="US84" s="1"/>
      <c r="UT84" s="1"/>
      <c r="UU84" s="1"/>
      <c r="UV84" s="1"/>
      <c r="UW84" s="1"/>
      <c r="UX84" s="1"/>
      <c r="UY84" s="1"/>
      <c r="UZ84" s="1"/>
      <c r="VA84" s="1"/>
      <c r="VB84" s="1"/>
      <c r="VC84" s="1"/>
      <c r="VD84" s="1"/>
      <c r="VE84" s="1"/>
      <c r="VF84" s="1"/>
      <c r="VG84" s="1"/>
      <c r="VH84" s="1"/>
      <c r="VI84" s="1"/>
      <c r="VJ84" s="1"/>
      <c r="VK84" s="1"/>
      <c r="VL84" s="1"/>
      <c r="VM84" s="1"/>
      <c r="VN84" s="1"/>
      <c r="VO84" s="1"/>
      <c r="VP84" s="1"/>
      <c r="VQ84" s="1"/>
      <c r="VR84" s="1"/>
      <c r="VS84" s="1"/>
      <c r="VT84" s="1"/>
      <c r="VU84" s="1"/>
      <c r="VV84" s="1"/>
      <c r="VW84" s="1"/>
      <c r="VX84" s="1"/>
      <c r="VY84" s="1"/>
      <c r="VZ84" s="1"/>
      <c r="WA84" s="1"/>
      <c r="WB84" s="1"/>
      <c r="WC84" s="1"/>
      <c r="WD84" s="1"/>
      <c r="WE84" s="1"/>
      <c r="WF84" s="1"/>
      <c r="WG84" s="1"/>
      <c r="WH84" s="1"/>
      <c r="WI84" s="1"/>
      <c r="WJ84" s="1"/>
      <c r="WK84" s="1"/>
      <c r="WL84" s="1"/>
      <c r="WM84" s="1"/>
      <c r="WN84" s="1"/>
      <c r="WO84" s="1"/>
      <c r="WP84" s="1"/>
      <c r="WQ84" s="1"/>
      <c r="WR84" s="1"/>
      <c r="WS84" s="1"/>
      <c r="WT84" s="1"/>
      <c r="WU84" s="1"/>
      <c r="WV84" s="1"/>
      <c r="WW84" s="1"/>
      <c r="WX84" s="1"/>
      <c r="WY84" s="1"/>
      <c r="WZ84" s="1"/>
      <c r="XA84" s="1"/>
      <c r="XB84" s="1"/>
      <c r="XC84" s="1"/>
      <c r="XD84" s="1"/>
      <c r="XE84" s="1"/>
      <c r="XF84" s="1"/>
      <c r="XG84" s="1"/>
      <c r="XH84" s="1"/>
      <c r="XI84" s="1"/>
      <c r="XJ84" s="1"/>
      <c r="XK84" s="1"/>
      <c r="XL84" s="1"/>
      <c r="XM84" s="1"/>
      <c r="XN84" s="1"/>
      <c r="XO84" s="1"/>
      <c r="XP84" s="1"/>
      <c r="XQ84" s="1"/>
      <c r="XR84" s="1"/>
      <c r="XS84" s="1"/>
      <c r="XT84" s="1"/>
      <c r="XU84" s="1"/>
      <c r="XV84" s="1"/>
      <c r="XW84" s="1"/>
      <c r="XX84" s="1"/>
      <c r="XY84" s="1"/>
      <c r="XZ84" s="1"/>
      <c r="YA84" s="1"/>
      <c r="YB84" s="1"/>
      <c r="YC84" s="1"/>
      <c r="YD84" s="1"/>
      <c r="YE84" s="1"/>
      <c r="YF84" s="1"/>
      <c r="YG84" s="1"/>
      <c r="YH84" s="1"/>
      <c r="YI84" s="1"/>
      <c r="YJ84" s="1"/>
      <c r="YK84" s="1"/>
      <c r="YL84" s="1"/>
      <c r="YM84" s="1"/>
      <c r="YN84" s="1"/>
      <c r="YO84" s="1"/>
      <c r="YP84" s="1"/>
      <c r="YQ84" s="1"/>
      <c r="YR84" s="1"/>
      <c r="YS84" s="1"/>
      <c r="YT84" s="1"/>
      <c r="YU84" s="1"/>
      <c r="YV84" s="1"/>
      <c r="YW84" s="1"/>
      <c r="YX84" s="1"/>
      <c r="YY84" s="1"/>
      <c r="YZ84" s="1"/>
      <c r="ZA84" s="1"/>
      <c r="ZB84" s="1"/>
      <c r="ZC84" s="1"/>
      <c r="ZD84" s="1"/>
      <c r="ZE84" s="1"/>
      <c r="ZF84" s="1"/>
      <c r="ZG84" s="1"/>
      <c r="ZH84" s="1"/>
      <c r="ZI84" s="1"/>
      <c r="ZJ84" s="1"/>
      <c r="ZK84" s="1"/>
      <c r="ZL84" s="1"/>
      <c r="ZM84" s="1"/>
      <c r="ZN84" s="1"/>
      <c r="ZO84" s="1"/>
      <c r="ZP84" s="1"/>
      <c r="ZQ84" s="1"/>
      <c r="ZR84" s="1"/>
      <c r="ZS84" s="1"/>
      <c r="ZT84" s="1"/>
      <c r="ZU84" s="1"/>
      <c r="ZV84" s="1"/>
      <c r="ZW84" s="1"/>
      <c r="ZX84" s="1"/>
      <c r="ZY84" s="1"/>
      <c r="ZZ84" s="1"/>
      <c r="AAA84" s="1"/>
      <c r="AAB84" s="1"/>
      <c r="AAC84" s="1"/>
      <c r="AAD84" s="1"/>
      <c r="AAE84" s="1"/>
      <c r="AAF84" s="1"/>
      <c r="AAG84" s="1"/>
      <c r="AAH84" s="1"/>
      <c r="AAI84" s="1"/>
      <c r="AAJ84" s="1"/>
      <c r="AAK84" s="1"/>
      <c r="AAL84" s="1"/>
      <c r="AAM84" s="1"/>
      <c r="AAN84" s="1"/>
      <c r="AAO84" s="1"/>
      <c r="AAP84" s="1"/>
      <c r="AAQ84" s="1"/>
      <c r="AAR84" s="1"/>
      <c r="AAS84" s="1"/>
      <c r="AAT84" s="1"/>
      <c r="AAU84" s="1"/>
      <c r="AAV84" s="1"/>
      <c r="AAW84" s="1"/>
      <c r="AAX84" s="1"/>
      <c r="AAY84" s="1"/>
      <c r="AAZ84" s="1"/>
      <c r="ABA84" s="1"/>
      <c r="ABB84" s="1"/>
      <c r="ABC84" s="1"/>
      <c r="ABD84" s="1"/>
      <c r="ABE84" s="1"/>
      <c r="ABF84" s="1"/>
      <c r="ABG84" s="1"/>
      <c r="ABH84" s="1"/>
      <c r="ABI84" s="1"/>
      <c r="ABJ84" s="1"/>
      <c r="ABK84" s="1"/>
      <c r="ABL84" s="1"/>
      <c r="ABM84" s="1"/>
      <c r="ABN84" s="1"/>
      <c r="ABO84" s="1"/>
      <c r="ABP84" s="1"/>
      <c r="ABQ84" s="1"/>
      <c r="ABR84" s="1"/>
      <c r="ABS84" s="1"/>
      <c r="ABT84" s="1"/>
      <c r="ABU84" s="1"/>
      <c r="ABV84" s="1"/>
      <c r="ABW84" s="1"/>
      <c r="ABX84" s="1"/>
      <c r="ABY84" s="1"/>
      <c r="ABZ84" s="1"/>
      <c r="ACA84" s="1"/>
      <c r="ACB84" s="1"/>
      <c r="ACC84" s="1"/>
      <c r="ACD84" s="1"/>
      <c r="ACE84" s="1"/>
      <c r="ACF84" s="1"/>
      <c r="ACG84" s="1"/>
      <c r="ACH84" s="1"/>
      <c r="ACI84" s="1"/>
      <c r="ACJ84" s="1"/>
      <c r="ACK84" s="1"/>
      <c r="ACL84" s="1"/>
      <c r="ACM84" s="1"/>
      <c r="ACN84" s="1"/>
      <c r="ACO84" s="1"/>
      <c r="ACP84" s="1"/>
      <c r="ACQ84" s="1"/>
      <c r="ACR84" s="1"/>
      <c r="ACS84" s="1"/>
      <c r="ACT84" s="1"/>
      <c r="ACU84" s="1"/>
      <c r="ACV84" s="1"/>
      <c r="ACW84" s="1"/>
      <c r="ACX84" s="1"/>
      <c r="ACY84" s="1"/>
      <c r="ACZ84" s="1"/>
      <c r="ADA84" s="1"/>
      <c r="ADB84" s="1"/>
      <c r="ADC84" s="1"/>
      <c r="ADD84" s="1"/>
      <c r="ADE84" s="1"/>
      <c r="ADF84" s="1"/>
      <c r="ADG84" s="1"/>
      <c r="ADH84" s="1"/>
      <c r="ADI84" s="1"/>
      <c r="ADJ84" s="1"/>
      <c r="ADK84" s="1"/>
      <c r="ADL84" s="1"/>
      <c r="ADM84" s="1"/>
      <c r="ADN84" s="1"/>
      <c r="ADO84" s="1"/>
      <c r="ADP84" s="1"/>
      <c r="ADQ84" s="1"/>
      <c r="ADR84" s="1"/>
      <c r="ADS84" s="1"/>
      <c r="ADT84" s="1"/>
      <c r="ADU84" s="1"/>
      <c r="ADV84" s="1"/>
      <c r="ADW84" s="1"/>
      <c r="ADX84" s="1"/>
      <c r="ADY84" s="1"/>
      <c r="ADZ84" s="1"/>
      <c r="AEA84" s="1"/>
      <c r="AEB84" s="1"/>
      <c r="AEC84" s="1"/>
      <c r="AED84" s="1"/>
      <c r="AEE84" s="1"/>
      <c r="AEF84" s="1"/>
      <c r="AEG84" s="1"/>
      <c r="AEH84" s="1"/>
      <c r="AEI84" s="1"/>
      <c r="AEJ84" s="1"/>
      <c r="AEK84" s="1"/>
      <c r="AEL84" s="1"/>
      <c r="AEM84" s="1"/>
      <c r="AEN84" s="1"/>
      <c r="AEO84" s="1"/>
      <c r="AEP84" s="1"/>
      <c r="AEQ84" s="1"/>
      <c r="AER84" s="1"/>
      <c r="AES84" s="1"/>
      <c r="AET84" s="1"/>
      <c r="AEU84" s="1"/>
      <c r="AEV84" s="1"/>
      <c r="AEW84" s="1"/>
      <c r="AEX84" s="1"/>
      <c r="AEY84" s="1"/>
      <c r="AEZ84" s="1"/>
      <c r="AFA84" s="1"/>
      <c r="AFB84" s="1"/>
      <c r="AFC84" s="1"/>
      <c r="AFD84" s="1"/>
      <c r="AFE84" s="1"/>
      <c r="AFF84" s="1"/>
      <c r="AFG84" s="1"/>
      <c r="AFH84" s="1"/>
      <c r="AFI84" s="1"/>
      <c r="AFJ84" s="1"/>
      <c r="AFK84" s="1"/>
      <c r="AFL84" s="1"/>
      <c r="AFM84" s="1"/>
      <c r="AFN84" s="1"/>
      <c r="AFO84" s="1"/>
      <c r="AFP84" s="1"/>
      <c r="AFQ84" s="1"/>
      <c r="AFR84" s="1"/>
      <c r="AFS84" s="1"/>
      <c r="AFT84" s="1"/>
      <c r="AFU84" s="1"/>
      <c r="AFV84" s="1"/>
      <c r="AFW84" s="1"/>
      <c r="AFX84" s="1"/>
      <c r="AFY84" s="1"/>
      <c r="AFZ84" s="1"/>
      <c r="AGA84" s="1"/>
      <c r="AGB84" s="1"/>
      <c r="AGC84" s="1"/>
      <c r="AGD84" s="1"/>
      <c r="AGE84" s="1"/>
      <c r="AGF84" s="1"/>
      <c r="AGG84" s="1"/>
      <c r="AGH84" s="1"/>
      <c r="AGI84" s="1"/>
      <c r="AGJ84" s="1"/>
      <c r="AGK84" s="1"/>
      <c r="AGL84" s="1"/>
      <c r="AGM84" s="1"/>
      <c r="AGN84" s="1"/>
      <c r="AGO84" s="1"/>
      <c r="AGP84" s="1"/>
      <c r="AGQ84" s="1"/>
      <c r="AGR84" s="1"/>
      <c r="AGS84" s="1"/>
      <c r="AGT84" s="1"/>
      <c r="AGU84" s="1"/>
      <c r="AGV84" s="1"/>
      <c r="AGW84" s="1"/>
      <c r="AGX84" s="1"/>
      <c r="AGY84" s="1"/>
      <c r="AGZ84" s="1"/>
      <c r="AHA84" s="1"/>
      <c r="AHB84" s="1"/>
      <c r="AHC84" s="1"/>
      <c r="AHD84" s="1"/>
      <c r="AHE84" s="1"/>
      <c r="AHF84" s="1"/>
      <c r="AHG84" s="1"/>
      <c r="AHH84" s="1"/>
      <c r="AHI84" s="1"/>
      <c r="AHJ84" s="1"/>
      <c r="AHK84" s="1"/>
      <c r="AHL84" s="1"/>
      <c r="AHM84" s="1"/>
      <c r="AHN84" s="1"/>
      <c r="AHO84" s="1"/>
      <c r="AHP84" s="1"/>
      <c r="AHQ84" s="1"/>
      <c r="AHR84" s="1"/>
      <c r="AHS84" s="1"/>
      <c r="AHT84" s="1"/>
      <c r="AHU84" s="1"/>
      <c r="AHV84" s="1"/>
      <c r="AHW84" s="1"/>
      <c r="AHX84" s="1"/>
      <c r="AHY84" s="1"/>
      <c r="AHZ84" s="1"/>
      <c r="AIA84" s="1"/>
      <c r="AIB84" s="1"/>
      <c r="AIC84" s="1"/>
      <c r="AID84" s="1"/>
      <c r="AIE84" s="1"/>
      <c r="AIF84" s="1"/>
      <c r="AIG84" s="1"/>
      <c r="AIH84" s="1"/>
      <c r="AII84" s="1"/>
      <c r="AIJ84" s="1"/>
      <c r="AIK84" s="1"/>
      <c r="AIL84" s="1"/>
      <c r="AIM84" s="1"/>
      <c r="AIN84" s="1"/>
      <c r="AIO84" s="1"/>
      <c r="AIP84" s="1"/>
      <c r="AIQ84" s="1"/>
      <c r="AIR84" s="1"/>
      <c r="AIS84" s="1"/>
      <c r="AIT84" s="1"/>
      <c r="AIU84" s="1"/>
      <c r="AIV84" s="1"/>
      <c r="AIW84" s="1"/>
      <c r="AIX84" s="1"/>
      <c r="AIY84" s="1"/>
      <c r="AIZ84" s="1"/>
      <c r="AJA84" s="1"/>
      <c r="AJB84" s="1"/>
      <c r="AJC84" s="1"/>
      <c r="AJD84" s="1"/>
      <c r="AJE84" s="1"/>
      <c r="AJF84" s="1"/>
      <c r="AJG84" s="1"/>
      <c r="AJH84" s="1"/>
      <c r="AJI84" s="1"/>
      <c r="AJJ84" s="1"/>
      <c r="AJK84" s="1"/>
      <c r="AJL84" s="1"/>
      <c r="AJM84" s="1"/>
      <c r="AJN84" s="1"/>
      <c r="AJO84" s="1"/>
      <c r="AJP84" s="1"/>
      <c r="AJQ84" s="1"/>
      <c r="AJR84" s="1"/>
      <c r="AJS84" s="1"/>
      <c r="AJT84" s="1"/>
      <c r="AJU84" s="1"/>
      <c r="AJV84" s="1"/>
      <c r="AJW84" s="1"/>
      <c r="AJX84" s="1"/>
      <c r="AJY84" s="1"/>
      <c r="AJZ84" s="1"/>
      <c r="AKA84" s="1"/>
      <c r="AKB84" s="1"/>
      <c r="AKC84" s="1"/>
      <c r="AKD84" s="1"/>
      <c r="AKE84" s="1"/>
      <c r="AKF84" s="1"/>
      <c r="AKG84" s="1"/>
      <c r="AKH84" s="1"/>
      <c r="AKI84" s="1"/>
      <c r="AKJ84" s="1"/>
      <c r="AKK84" s="1"/>
      <c r="AKL84" s="1"/>
      <c r="AKM84" s="1"/>
      <c r="AKN84" s="1"/>
      <c r="AKO84" s="1"/>
      <c r="AKP84" s="1"/>
      <c r="AKQ84" s="1"/>
      <c r="AKR84" s="1"/>
      <c r="AKS84" s="1"/>
      <c r="AKT84" s="1"/>
      <c r="AKU84" s="1"/>
      <c r="AKV84" s="1"/>
      <c r="AKW84" s="1"/>
      <c r="AKX84" s="1"/>
      <c r="AKY84" s="1"/>
      <c r="AKZ84" s="1"/>
      <c r="ALA84" s="1"/>
      <c r="ALB84" s="1"/>
      <c r="ALC84" s="1"/>
      <c r="ALD84" s="1"/>
      <c r="ALE84" s="1"/>
      <c r="ALF84" s="1"/>
      <c r="ALG84" s="1"/>
      <c r="ALH84" s="1"/>
      <c r="ALI84" s="1"/>
      <c r="ALJ84" s="1"/>
      <c r="ALK84" s="1"/>
      <c r="ALL84" s="1"/>
      <c r="ALM84" s="1"/>
      <c r="ALN84" s="1"/>
      <c r="ALO84" s="1"/>
      <c r="ALP84" s="1"/>
      <c r="ALQ84" s="1"/>
      <c r="ALR84" s="1"/>
      <c r="ALS84" s="1"/>
      <c r="ALT84" s="1"/>
      <c r="ALU84" s="1"/>
      <c r="ALV84" s="1"/>
      <c r="ALW84" s="1"/>
      <c r="ALX84" s="1"/>
      <c r="ALY84" s="1"/>
      <c r="ALZ84" s="1"/>
      <c r="AMA84" s="1"/>
      <c r="AMB84" s="1"/>
      <c r="AMC84" s="1"/>
      <c r="AMD84" s="1"/>
      <c r="AME84" s="1"/>
      <c r="AMF84" s="1"/>
      <c r="AMG84" s="1"/>
      <c r="AMH84" s="1"/>
      <c r="AMI84" s="1"/>
      <c r="AMJ84" s="1"/>
      <c r="AMK84" s="1"/>
      <c r="AML84" s="1"/>
      <c r="AMM84" s="1"/>
      <c r="AMN84" s="1"/>
    </row>
    <row r="85" spans="1:1029" s="12" customFormat="1" x14ac:dyDescent="0.2">
      <c r="A85" s="9" t="str">
        <f t="shared" ref="A85:A86" si="308">CONCATENATE(B85,"_",C85)</f>
        <v>apj_human__wt</v>
      </c>
      <c r="B85" s="9" t="s">
        <v>160</v>
      </c>
      <c r="C85" s="9" t="s">
        <v>100</v>
      </c>
      <c r="D85" s="9" t="str">
        <f>IFERROR(MID(VLOOKUP($B85,Seqs!$A:$B,2,0),E85,1),"")</f>
        <v>A</v>
      </c>
      <c r="E85" s="9">
        <v>29</v>
      </c>
      <c r="F85" s="9" t="str">
        <f>IFERROR(MID(VLOOKUP($B85,Seqs!$A:$B,2,0),G85,1),"")</f>
        <v>S</v>
      </c>
      <c r="G85" s="9">
        <v>56</v>
      </c>
      <c r="H85" s="9" t="str">
        <f>IFERROR(MID(VLOOKUP($B85,Seqs!$A:$B,2,0),I85,1),"")</f>
        <v>S</v>
      </c>
      <c r="I85" s="112">
        <v>57</v>
      </c>
      <c r="J85" s="9" t="str">
        <f>IFERROR(MID(VLOOKUP($B85,Seqs!$A:$B,2,0),K85,1),"")</f>
        <v>R</v>
      </c>
      <c r="K85" s="112">
        <v>61</v>
      </c>
      <c r="L85" s="9" t="str">
        <f>IFERROR(MID(VLOOKUP($B85,Seqs!$A:$B,2,0),M85,1),"")</f>
        <v>R</v>
      </c>
      <c r="M85" s="9">
        <v>62</v>
      </c>
      <c r="N85" s="9" t="str">
        <f>IFERROR(MID(VLOOKUP($B85,Seqs!$A:$B,2,0),O85,1),"")</f>
        <v>D</v>
      </c>
      <c r="O85" s="9">
        <v>92</v>
      </c>
      <c r="P85" s="9" t="str">
        <f>IFERROR(MID(VLOOKUP($B85,Seqs!$A:$B,2,0),Q85,1),"")</f>
        <v>D</v>
      </c>
      <c r="Q85" s="9">
        <v>94</v>
      </c>
      <c r="R85" s="9" t="str">
        <f>IFERROR(MID(VLOOKUP($B85,Seqs!$A:$B,2,0),S85,1),"")</f>
        <v>F</v>
      </c>
      <c r="S85" s="9">
        <v>97</v>
      </c>
      <c r="T85" s="9" t="str">
        <f>IFERROR(MID(VLOOKUP($B85,Seqs!$A:$B,2,0),U85,1),"")</f>
        <v>G</v>
      </c>
      <c r="U85" s="9">
        <v>98</v>
      </c>
      <c r="V85" s="9" t="str">
        <f>IFERROR(MID(VLOOKUP($B85,Seqs!$A:$B,2,0),W85,1),"")</f>
        <v>R</v>
      </c>
      <c r="W85" s="9">
        <v>133</v>
      </c>
      <c r="X85" s="9" t="str">
        <f>IFERROR(MID(VLOOKUP($B85,Seqs!$A:$B,2,0),Y85,1),"")</f>
        <v>P</v>
      </c>
      <c r="Y85" s="9">
        <v>134</v>
      </c>
      <c r="Z85" s="9" t="str">
        <f>IFERROR(MID(VLOOKUP($B85,Seqs!$A:$B,2,0),AA85,1),"")</f>
        <v>R</v>
      </c>
      <c r="AA85" s="9">
        <v>141</v>
      </c>
      <c r="AB85" s="9" t="str">
        <f>IFERROR(MID(VLOOKUP($B85,Seqs!$A:$B,2,0),AC85,1),"")</f>
        <v>L</v>
      </c>
      <c r="AC85" s="9">
        <v>142</v>
      </c>
      <c r="AD85" s="9" t="str">
        <f>IFERROR(MID(VLOOKUP($B85,Seqs!$A:$B,2,0),AE85,1),"")</f>
        <v>R</v>
      </c>
      <c r="AE85" s="9">
        <v>168</v>
      </c>
      <c r="AF85" s="9" t="str">
        <f>IFERROR(MID(VLOOKUP($B85,Seqs!$A:$B,2,0),AG85,1),"")</f>
        <v>C</v>
      </c>
      <c r="AG85" s="9">
        <v>181</v>
      </c>
      <c r="AH85" s="9" t="str">
        <f>IFERROR(MID(VLOOKUP($B85,Seqs!$A:$B,2,0),AI85,1),"")</f>
        <v>M</v>
      </c>
      <c r="AI85" s="9">
        <v>183</v>
      </c>
      <c r="AJ85" s="9" t="str">
        <f>IFERROR(MID(VLOOKUP($B85,Seqs!$A:$B,2,0),AK85,1),"")</f>
        <v>S</v>
      </c>
      <c r="AK85" s="9">
        <v>193</v>
      </c>
      <c r="AL85" s="9" t="str">
        <f>IFERROR(MID(VLOOKUP($B85,Seqs!$A:$B,2,0),AM85,1),"")</f>
        <v>E</v>
      </c>
      <c r="AM85" s="9">
        <v>235</v>
      </c>
      <c r="AN85" s="9" t="str">
        <f>IFERROR(MID(VLOOKUP($B85,Seqs!$A:$B,2,0),AO85,1),"")</f>
        <v>K</v>
      </c>
      <c r="AO85" s="9">
        <v>242</v>
      </c>
      <c r="AP85" s="9" t="str">
        <f>IFERROR(MID(VLOOKUP($B85,Seqs!$A:$B,2,0),AQ85,1),"")</f>
        <v>L</v>
      </c>
      <c r="AQ85" s="9">
        <v>276</v>
      </c>
      <c r="AR85" s="9" t="str">
        <f>IFERROR(MID(VLOOKUP($B85,Seqs!$A:$B,2,0),AS85,1),"")</f>
        <v>P</v>
      </c>
      <c r="AS85" s="9">
        <v>280</v>
      </c>
      <c r="AT85" s="9" t="str">
        <f>IFERROR(MID(VLOOKUP($B85,Seqs!$A:$B,2,0),AU85,1),"")</f>
        <v>F</v>
      </c>
      <c r="AU85" s="9">
        <v>312</v>
      </c>
      <c r="AV85" s="9" t="str">
        <f>IFERROR(MID(VLOOKUP($B85,Seqs!$A:$B,2,0),AW85,1),"")</f>
        <v>D</v>
      </c>
      <c r="AW85" s="9">
        <v>313</v>
      </c>
      <c r="AX85" s="9" t="str">
        <f>IFERROR(MID(VLOOKUP($B85,Seqs!$A:$B,2,0),AY85,1),"")</f>
        <v>G</v>
      </c>
      <c r="AY85" s="9">
        <v>327</v>
      </c>
      <c r="AZ85" s="113" t="str">
        <f>VLOOKUP(B85,Classification!A:D,2,0)</f>
        <v>A</v>
      </c>
      <c r="BA85" s="101" t="str">
        <f>VLOOKUP(B85,Classification!A:D,4,0)</f>
        <v>Apelin</v>
      </c>
      <c r="BB85" s="37" t="b">
        <f t="shared" ref="BB85:BB86" si="309">AND(E85&lt;G85,OR(G85&lt;I85,I85="-"),OR(I85&lt;K85,I85="-"),OR(K85&lt;M85,K85="-"),M85&lt;O85,OR(O85&lt;Q85,Q85="-"),OR(Q85&lt;S85,Q85="-"),OR(S85&lt;U85,S85="-"),U85&lt;W85,OR(W85&lt;Y85,Y85="-"),OR(Y85&lt;AA85,Y85="-"),OR(AA85&lt;AC85,AA85="-"),AC85&lt;AE85,OR(AE85&lt;AG85,AG85="-"),OR(AG85&lt;AI85,AG85="-"),OR(AI85&lt;AK85,AI85="-"),AK85&lt;AM85,AM85&lt;AO85,AO85&lt;AQ85,AQ85&lt;AS85,AS85&lt;AU85,OR(AU85&lt;AW85,AW85="-"),OR(AW85&lt;AY85,AW85="-"))</f>
        <v>1</v>
      </c>
      <c r="BC85" s="112">
        <f t="shared" ref="BC85:BC86" si="310">_xlfn.AGGREGATE(9,6,CG85:CR85)-_xlfn.AGGREGATE(9,6,BU85:CF85)+12</f>
        <v>268</v>
      </c>
      <c r="BD85" s="41"/>
      <c r="BE85" s="9" t="s">
        <v>1381</v>
      </c>
      <c r="BF85" s="52" t="s">
        <v>1287</v>
      </c>
      <c r="BG85" s="52" t="s">
        <v>1287</v>
      </c>
      <c r="BI85" s="114" t="s">
        <v>1293</v>
      </c>
      <c r="BJ85" s="115" t="s">
        <v>1293</v>
      </c>
      <c r="BK85" s="115" t="s">
        <v>1293</v>
      </c>
      <c r="BL85" s="115" t="s">
        <v>1293</v>
      </c>
      <c r="BM85" s="115" t="s">
        <v>1293</v>
      </c>
      <c r="BN85" s="115" t="s">
        <v>1293</v>
      </c>
      <c r="BO85" s="115" t="s">
        <v>1293</v>
      </c>
      <c r="BP85" s="115" t="s">
        <v>1293</v>
      </c>
      <c r="BQ85" s="115" t="s">
        <v>1293</v>
      </c>
      <c r="BR85" s="115" t="s">
        <v>1293</v>
      </c>
      <c r="BS85" s="115" t="s">
        <v>1293</v>
      </c>
      <c r="BT85" s="115" t="s">
        <v>1293</v>
      </c>
      <c r="BU85" s="114">
        <f t="shared" ref="BU85:BU86" si="311">E85</f>
        <v>29</v>
      </c>
      <c r="BV85" s="116">
        <f t="shared" ref="BV85:BV86" si="312">I85</f>
        <v>57</v>
      </c>
      <c r="BW85" s="117">
        <f t="shared" ref="BW85:BW86" si="313">M85</f>
        <v>62</v>
      </c>
      <c r="BX85" s="116">
        <f t="shared" ref="BX85:BX86" si="314">Q85</f>
        <v>94</v>
      </c>
      <c r="BY85" s="117">
        <f t="shared" ref="BY85:BY86" si="315">U85</f>
        <v>98</v>
      </c>
      <c r="BZ85" s="116">
        <f t="shared" ref="BZ85:BZ86" si="316">Y85</f>
        <v>134</v>
      </c>
      <c r="CA85" s="117">
        <f t="shared" ref="CA85:CA86" si="317">AC85</f>
        <v>142</v>
      </c>
      <c r="CB85" s="116">
        <f t="shared" ref="CB85:CB86" si="318">AG85</f>
        <v>181</v>
      </c>
      <c r="CC85" s="117">
        <f t="shared" ref="CC85:CC86" si="319">AK85</f>
        <v>193</v>
      </c>
      <c r="CD85" s="116">
        <f t="shared" ref="CD85:CD86" si="320">AO85</f>
        <v>242</v>
      </c>
      <c r="CE85" s="117">
        <f t="shared" ref="CE85:CE86" si="321">AS85</f>
        <v>280</v>
      </c>
      <c r="CF85" s="116">
        <f t="shared" ref="CF85:CF86" si="322">AW85</f>
        <v>313</v>
      </c>
      <c r="CG85" s="114">
        <f t="shared" ref="CG85:CG86" si="323">G85</f>
        <v>56</v>
      </c>
      <c r="CH85" s="116">
        <f t="shared" ref="CH85:CH86" si="324">K85</f>
        <v>61</v>
      </c>
      <c r="CI85" s="117">
        <f t="shared" ref="CI85:CI86" si="325">O85</f>
        <v>92</v>
      </c>
      <c r="CJ85" s="117">
        <f t="shared" ref="CJ85:CJ86" si="326">S85</f>
        <v>97</v>
      </c>
      <c r="CK85" s="117">
        <f t="shared" ref="CK85:CK86" si="327">W85</f>
        <v>133</v>
      </c>
      <c r="CL85" s="117">
        <f t="shared" ref="CL85:CL86" si="328">AA85</f>
        <v>141</v>
      </c>
      <c r="CM85" s="117">
        <f t="shared" ref="CM85:CM86" si="329">AE85</f>
        <v>168</v>
      </c>
      <c r="CN85" s="117">
        <f t="shared" ref="CN85:CN86" si="330">AI85</f>
        <v>183</v>
      </c>
      <c r="CO85" s="117">
        <f t="shared" ref="CO85:CO86" si="331">AM85</f>
        <v>235</v>
      </c>
      <c r="CP85" s="117">
        <f t="shared" ref="CP85:CP86" si="332">AQ85</f>
        <v>276</v>
      </c>
      <c r="CQ85" s="117">
        <f t="shared" ref="CQ85:CQ86" si="333">AU85</f>
        <v>312</v>
      </c>
      <c r="CR85" s="117">
        <f t="shared" ref="CR85:CR86" si="334">AY85</f>
        <v>327</v>
      </c>
      <c r="CS85" s="112">
        <f t="shared" ref="CS85:CS86" si="335">M85-K85</f>
        <v>1</v>
      </c>
    </row>
    <row r="86" spans="1:1029" s="12" customFormat="1" x14ac:dyDescent="0.2">
      <c r="A86" s="9" t="str">
        <f t="shared" si="308"/>
        <v>apj_human_5VBL</v>
      </c>
      <c r="B86" s="9" t="s">
        <v>160</v>
      </c>
      <c r="C86" s="9" t="s">
        <v>1424</v>
      </c>
      <c r="D86" s="9" t="str">
        <f>IFERROR(MID(VLOOKUP($B86,Seqs!$A:$B,2,0),E86,1),"")</f>
        <v>A</v>
      </c>
      <c r="E86" s="9">
        <v>29</v>
      </c>
      <c r="F86" s="9" t="str">
        <f>IFERROR(MID(VLOOKUP($B86,Seqs!$A:$B,2,0),G86,1),"")</f>
        <v>S</v>
      </c>
      <c r="G86" s="9">
        <v>56</v>
      </c>
      <c r="H86" s="9" t="str">
        <f>IFERROR(MID(VLOOKUP($B86,Seqs!$A:$B,2,0),I86,1),"")</f>
        <v>S</v>
      </c>
      <c r="I86" s="112">
        <v>57</v>
      </c>
      <c r="J86" s="9" t="str">
        <f>IFERROR(MID(VLOOKUP($B86,Seqs!$A:$B,2,0),K86,1),"")</f>
        <v>R</v>
      </c>
      <c r="K86" s="112">
        <v>61</v>
      </c>
      <c r="L86" s="9" t="str">
        <f>IFERROR(MID(VLOOKUP($B86,Seqs!$A:$B,2,0),M86,1),"")</f>
        <v>R</v>
      </c>
      <c r="M86" s="9">
        <v>62</v>
      </c>
      <c r="N86" s="9" t="str">
        <f>IFERROR(MID(VLOOKUP($B86,Seqs!$A:$B,2,0),O86,1),"")</f>
        <v>D</v>
      </c>
      <c r="O86" s="9">
        <v>92</v>
      </c>
      <c r="P86" s="9" t="str">
        <f>IFERROR(MID(VLOOKUP($B86,Seqs!$A:$B,2,0),Q86,1),"")</f>
        <v>D</v>
      </c>
      <c r="Q86" s="9">
        <v>94</v>
      </c>
      <c r="R86" s="9" t="str">
        <f>IFERROR(MID(VLOOKUP($B86,Seqs!$A:$B,2,0),S86,1),"")</f>
        <v>F</v>
      </c>
      <c r="S86" s="9">
        <v>97</v>
      </c>
      <c r="T86" s="9" t="str">
        <f>IFERROR(MID(VLOOKUP($B86,Seqs!$A:$B,2,0),U86,1),"")</f>
        <v>G</v>
      </c>
      <c r="U86" s="9">
        <v>98</v>
      </c>
      <c r="V86" s="9" t="str">
        <f>IFERROR(MID(VLOOKUP($B86,Seqs!$A:$B,2,0),W86,1),"")</f>
        <v>R</v>
      </c>
      <c r="W86" s="9">
        <v>133</v>
      </c>
      <c r="X86" s="9" t="str">
        <f>IFERROR(MID(VLOOKUP($B86,Seqs!$A:$B,2,0),Y86,1),"")</f>
        <v/>
      </c>
      <c r="Y86" s="9" t="s">
        <v>23</v>
      </c>
      <c r="Z86" s="9" t="str">
        <f>IFERROR(MID(VLOOKUP($B86,Seqs!$A:$B,2,0),AA86,1),"")</f>
        <v/>
      </c>
      <c r="AA86" s="9" t="s">
        <v>23</v>
      </c>
      <c r="AB86" s="9" t="str">
        <f>IFERROR(MID(VLOOKUP($B86,Seqs!$A:$B,2,0),AC86,1),"")</f>
        <v>R</v>
      </c>
      <c r="AC86" s="9">
        <v>141</v>
      </c>
      <c r="AD86" s="9" t="str">
        <f>IFERROR(MID(VLOOKUP($B86,Seqs!$A:$B,2,0),AE86,1),"")</f>
        <v>R</v>
      </c>
      <c r="AE86" s="9">
        <v>168</v>
      </c>
      <c r="AF86" s="9" t="str">
        <f>IFERROR(MID(VLOOKUP($B86,Seqs!$A:$B,2,0),AG86,1),"")</f>
        <v>C</v>
      </c>
      <c r="AG86" s="9">
        <v>181</v>
      </c>
      <c r="AH86" s="9" t="str">
        <f>IFERROR(MID(VLOOKUP($B86,Seqs!$A:$B,2,0),AI86,1),"")</f>
        <v>M</v>
      </c>
      <c r="AI86" s="9">
        <v>183</v>
      </c>
      <c r="AJ86" s="9" t="str">
        <f>IFERROR(MID(VLOOKUP($B86,Seqs!$A:$B,2,0),AK86,1),"")</f>
        <v>S</v>
      </c>
      <c r="AK86" s="9">
        <v>193</v>
      </c>
      <c r="AL86" s="9" t="str">
        <f>IFERROR(MID(VLOOKUP($B86,Seqs!$A:$B,2,0),AM86,1),"")</f>
        <v>A</v>
      </c>
      <c r="AM86" s="9">
        <v>229</v>
      </c>
      <c r="AN86" s="9" t="str">
        <f>IFERROR(MID(VLOOKUP($B86,Seqs!$A:$B,2,0),AO86,1),"")</f>
        <v>R</v>
      </c>
      <c r="AO86" s="9">
        <v>244</v>
      </c>
      <c r="AP86" s="9" t="str">
        <f>IFERROR(MID(VLOOKUP($B86,Seqs!$A:$B,2,0),AQ86,1),"")</f>
        <v>L</v>
      </c>
      <c r="AQ86" s="9">
        <v>276</v>
      </c>
      <c r="AR86" s="9" t="str">
        <f>IFERROR(MID(VLOOKUP($B86,Seqs!$A:$B,2,0),AS86,1),"")</f>
        <v>P</v>
      </c>
      <c r="AS86" s="9">
        <v>280</v>
      </c>
      <c r="AT86" s="9" t="str">
        <f>IFERROR(MID(VLOOKUP($B86,Seqs!$A:$B,2,0),AU86,1),"")</f>
        <v>F</v>
      </c>
      <c r="AU86" s="9">
        <v>312</v>
      </c>
      <c r="AV86" s="9" t="str">
        <f>IFERROR(MID(VLOOKUP($B86,Seqs!$A:$B,2,0),AW86,1),"")</f>
        <v>D</v>
      </c>
      <c r="AW86" s="9">
        <v>313</v>
      </c>
      <c r="AX86" s="9" t="str">
        <f>IFERROR(MID(VLOOKUP($B86,Seqs!$A:$B,2,0),AY86,1),"")</f>
        <v>G</v>
      </c>
      <c r="AY86" s="9">
        <v>327</v>
      </c>
      <c r="AZ86" s="113" t="str">
        <f>VLOOKUP(B86,Classification!A:D,2,0)</f>
        <v>A</v>
      </c>
      <c r="BA86" s="101" t="str">
        <f>VLOOKUP(B86,Classification!A:D,4,0)</f>
        <v>Apelin</v>
      </c>
      <c r="BB86" s="37" t="b">
        <f t="shared" si="309"/>
        <v>1</v>
      </c>
      <c r="BC86" s="112">
        <f t="shared" si="310"/>
        <v>254</v>
      </c>
      <c r="BD86" s="41"/>
      <c r="BE86" s="9" t="s">
        <v>1381</v>
      </c>
      <c r="BF86" s="52" t="s">
        <v>1287</v>
      </c>
      <c r="BG86" s="52" t="s">
        <v>1287</v>
      </c>
      <c r="BI86" s="114" t="s">
        <v>1293</v>
      </c>
      <c r="BJ86" s="115" t="s">
        <v>1293</v>
      </c>
      <c r="BK86" s="115" t="s">
        <v>1293</v>
      </c>
      <c r="BL86" s="115" t="s">
        <v>1293</v>
      </c>
      <c r="BM86" s="115" t="s">
        <v>1293</v>
      </c>
      <c r="BN86" s="115" t="s">
        <v>1293</v>
      </c>
      <c r="BO86" s="115" t="s">
        <v>1293</v>
      </c>
      <c r="BP86" s="115" t="s">
        <v>1293</v>
      </c>
      <c r="BQ86" s="115" t="s">
        <v>1293</v>
      </c>
      <c r="BR86" s="115" t="s">
        <v>1293</v>
      </c>
      <c r="BS86" s="115" t="s">
        <v>1293</v>
      </c>
      <c r="BT86" s="115" t="s">
        <v>1293</v>
      </c>
      <c r="BU86" s="114">
        <f t="shared" si="311"/>
        <v>29</v>
      </c>
      <c r="BV86" s="116">
        <f t="shared" si="312"/>
        <v>57</v>
      </c>
      <c r="BW86" s="117">
        <f t="shared" si="313"/>
        <v>62</v>
      </c>
      <c r="BX86" s="116">
        <f t="shared" si="314"/>
        <v>94</v>
      </c>
      <c r="BY86" s="117">
        <f t="shared" si="315"/>
        <v>98</v>
      </c>
      <c r="BZ86" s="116" t="str">
        <f t="shared" si="316"/>
        <v>-</v>
      </c>
      <c r="CA86" s="117">
        <f t="shared" si="317"/>
        <v>141</v>
      </c>
      <c r="CB86" s="116">
        <f t="shared" si="318"/>
        <v>181</v>
      </c>
      <c r="CC86" s="117">
        <f t="shared" si="319"/>
        <v>193</v>
      </c>
      <c r="CD86" s="116">
        <f t="shared" si="320"/>
        <v>244</v>
      </c>
      <c r="CE86" s="117">
        <f t="shared" si="321"/>
        <v>280</v>
      </c>
      <c r="CF86" s="116">
        <f t="shared" si="322"/>
        <v>313</v>
      </c>
      <c r="CG86" s="114">
        <f t="shared" si="323"/>
        <v>56</v>
      </c>
      <c r="CH86" s="116">
        <f t="shared" si="324"/>
        <v>61</v>
      </c>
      <c r="CI86" s="117">
        <f t="shared" si="325"/>
        <v>92</v>
      </c>
      <c r="CJ86" s="117">
        <f t="shared" si="326"/>
        <v>97</v>
      </c>
      <c r="CK86" s="117">
        <f t="shared" si="327"/>
        <v>133</v>
      </c>
      <c r="CL86" s="117" t="str">
        <f t="shared" si="328"/>
        <v>-</v>
      </c>
      <c r="CM86" s="117">
        <f t="shared" si="329"/>
        <v>168</v>
      </c>
      <c r="CN86" s="117">
        <f t="shared" si="330"/>
        <v>183</v>
      </c>
      <c r="CO86" s="117">
        <f t="shared" si="331"/>
        <v>229</v>
      </c>
      <c r="CP86" s="117">
        <f t="shared" si="332"/>
        <v>276</v>
      </c>
      <c r="CQ86" s="117">
        <f t="shared" si="333"/>
        <v>312</v>
      </c>
      <c r="CR86" s="117">
        <f t="shared" si="334"/>
        <v>327</v>
      </c>
      <c r="CS86" s="112">
        <f t="shared" si="335"/>
        <v>1</v>
      </c>
    </row>
    <row r="87" spans="1:1029" x14ac:dyDescent="0.2">
      <c r="A87" s="3" t="str">
        <f t="shared" si="222"/>
        <v>ccr2_human__wt</v>
      </c>
      <c r="B87" s="3" t="s">
        <v>170</v>
      </c>
      <c r="C87" s="3" t="s">
        <v>100</v>
      </c>
      <c r="D87" s="3" t="str">
        <f>IFERROR(MID(VLOOKUP($B87,Seqs!$A:$B,2,0),E87,1),"")</f>
        <v>V</v>
      </c>
      <c r="E87" s="3">
        <v>37</v>
      </c>
      <c r="F87" s="3" t="str">
        <f>IFERROR(MID(VLOOKUP($B87,Seqs!$A:$B,2,0),G87,1),"")</f>
        <v>C</v>
      </c>
      <c r="G87" s="3">
        <v>70</v>
      </c>
      <c r="H87" s="3" t="str">
        <f>IFERROR(MID(VLOOKUP($B87,Seqs!$A:$B,2,0),I87,1),"")</f>
        <v>K</v>
      </c>
      <c r="I87" s="23">
        <v>71</v>
      </c>
      <c r="J87" s="3" t="str">
        <f>IFERROR(MID(VLOOKUP($B87,Seqs!$A:$B,2,0),K87,1),"")</f>
        <v>K</v>
      </c>
      <c r="K87" s="23">
        <v>74</v>
      </c>
      <c r="L87" s="3" t="str">
        <f>IFERROR(MID(VLOOKUP($B87,Seqs!$A:$B,2,0),M87,1),"")</f>
        <v>C</v>
      </c>
      <c r="M87" s="3">
        <v>75</v>
      </c>
      <c r="N87" s="3" t="str">
        <f>IFERROR(MID(VLOOKUP($B87,Seqs!$A:$B,2,0),O87,1),"")</f>
        <v>N</v>
      </c>
      <c r="O87" s="3">
        <v>104</v>
      </c>
      <c r="P87" s="3" t="str">
        <f>IFERROR(MID(VLOOKUP($B87,Seqs!$A:$B,2,0),Q87,1),"")</f>
        <v>E</v>
      </c>
      <c r="Q87" s="3">
        <v>105</v>
      </c>
      <c r="R87" s="3" t="str">
        <f>IFERROR(MID(VLOOKUP($B87,Seqs!$A:$B,2,0),S87,1),"")</f>
        <v>F</v>
      </c>
      <c r="S87" s="3">
        <v>108</v>
      </c>
      <c r="T87" s="3" t="str">
        <f>IFERROR(MID(VLOOKUP($B87,Seqs!$A:$B,2,0),U87,1),"")</f>
        <v>G</v>
      </c>
      <c r="U87" s="3">
        <v>109</v>
      </c>
      <c r="V87" s="3" t="str">
        <f>IFERROR(MID(VLOOKUP($B87,Seqs!$A:$B,2,0),W87,1),"")</f>
        <v>H</v>
      </c>
      <c r="W87" s="3">
        <v>144</v>
      </c>
      <c r="X87" s="3" t="str">
        <f>IFERROR(MID(VLOOKUP($B87,Seqs!$A:$B,2,0),Y87,1),"")</f>
        <v>A</v>
      </c>
      <c r="Y87" s="3">
        <v>145</v>
      </c>
      <c r="Z87" s="3" t="str">
        <f>IFERROR(MID(VLOOKUP($B87,Seqs!$A:$B,2,0),AA87,1),"")</f>
        <v>R</v>
      </c>
      <c r="AA87" s="3">
        <v>152</v>
      </c>
      <c r="AB87" s="3" t="str">
        <f>IFERROR(MID(VLOOKUP($B87,Seqs!$A:$B,2,0),AC87,1),"")</f>
        <v>T</v>
      </c>
      <c r="AC87" s="9">
        <v>153</v>
      </c>
      <c r="AD87" s="3" t="str">
        <f>IFERROR(MID(VLOOKUP($B87,Seqs!$A:$B,2,0),AE87,1),"")</f>
        <v>T</v>
      </c>
      <c r="AE87" s="3">
        <v>179</v>
      </c>
      <c r="AF87" s="3" t="str">
        <f>IFERROR(MID(VLOOKUP($B87,Seqs!$A:$B,2,0),AG87,1),"")</f>
        <v>C</v>
      </c>
      <c r="AG87" s="3">
        <v>190</v>
      </c>
      <c r="AH87" s="3" t="str">
        <f>IFERROR(MID(VLOOKUP($B87,Seqs!$A:$B,2,0),AI87,1),"")</f>
        <v>P</v>
      </c>
      <c r="AI87" s="3">
        <v>192</v>
      </c>
      <c r="AJ87" s="3" t="str">
        <f>IFERROR(MID(VLOOKUP($B87,Seqs!$A:$B,2,0),AK87,1),"")</f>
        <v>P</v>
      </c>
      <c r="AK87" s="3">
        <v>195</v>
      </c>
      <c r="AL87" s="3" t="str">
        <f>IFERROR(MID(VLOOKUP($B87,Seqs!$A:$B,2,0),AM87,1),"")</f>
        <v>C</v>
      </c>
      <c r="AM87" s="3">
        <v>232</v>
      </c>
      <c r="AN87" s="3" t="str">
        <f>IFERROR(MID(VLOOKUP($B87,Seqs!$A:$B,2,0),AO87,1),"")</f>
        <v>K</v>
      </c>
      <c r="AO87" s="3">
        <v>236</v>
      </c>
      <c r="AP87" s="3" t="str">
        <f>IFERROR(MID(VLOOKUP($B87,Seqs!$A:$B,2,0),AQ87,1),"")</f>
        <v>G</v>
      </c>
      <c r="AQ87" s="3">
        <v>273</v>
      </c>
      <c r="AR87" s="3" t="str">
        <f>IFERROR(MID(VLOOKUP($B87,Seqs!$A:$B,2,0),AS87,1),"")</f>
        <v>E</v>
      </c>
      <c r="AS87" s="3">
        <v>278</v>
      </c>
      <c r="AT87" s="3" t="str">
        <f>IFERROR(MID(VLOOKUP($B87,Seqs!$A:$B,2,0),AU87,1),"")</f>
        <v>V</v>
      </c>
      <c r="AU87" s="3">
        <v>308</v>
      </c>
      <c r="AV87" s="3" t="str">
        <f>IFERROR(MID(VLOOKUP($B87,Seqs!$A:$B,2,0),AW87,1),"")</f>
        <v>G</v>
      </c>
      <c r="AW87" s="3">
        <v>309</v>
      </c>
      <c r="AX87" s="3" t="str">
        <f>IFERROR(MID(VLOOKUP($B87,Seqs!$A:$B,2,0),AY87,1),"")</f>
        <v>L</v>
      </c>
      <c r="AY87" s="3">
        <v>320</v>
      </c>
      <c r="AZ87" s="79" t="str">
        <f>VLOOKUP(B87,Classification!A:D,2,0)</f>
        <v>A</v>
      </c>
      <c r="BA87" s="97" t="str">
        <f>VLOOKUP(B87,Classification!A:D,4,0)</f>
        <v>Chemokine</v>
      </c>
      <c r="BB87" s="27" t="b">
        <f t="shared" si="223"/>
        <v>1</v>
      </c>
      <c r="BC87" s="23">
        <f t="shared" si="196"/>
        <v>265</v>
      </c>
      <c r="BD87" s="2" t="s">
        <v>1383</v>
      </c>
      <c r="BE87" s="3" t="s">
        <v>1381</v>
      </c>
      <c r="BF87" s="50" t="s">
        <v>1379</v>
      </c>
      <c r="BG87" s="50" t="s">
        <v>1384</v>
      </c>
      <c r="BH87" s="1"/>
      <c r="BI87" s="72" t="s">
        <v>1293</v>
      </c>
      <c r="BJ87" s="58" t="s">
        <v>1293</v>
      </c>
      <c r="BK87" s="58" t="s">
        <v>1293</v>
      </c>
      <c r="BL87" s="58" t="s">
        <v>1293</v>
      </c>
      <c r="BM87" s="58" t="s">
        <v>1293</v>
      </c>
      <c r="BN87" s="58" t="s">
        <v>1293</v>
      </c>
      <c r="BO87" s="58" t="s">
        <v>1293</v>
      </c>
      <c r="BP87" s="58" t="s">
        <v>1293</v>
      </c>
      <c r="BQ87" s="58" t="s">
        <v>1293</v>
      </c>
      <c r="BR87" s="58" t="s">
        <v>1293</v>
      </c>
      <c r="BS87" s="58" t="s">
        <v>1293</v>
      </c>
      <c r="BT87" s="58" t="s">
        <v>1293</v>
      </c>
      <c r="BU87" s="72">
        <f t="shared" si="197"/>
        <v>37</v>
      </c>
      <c r="BV87" s="73">
        <f t="shared" si="198"/>
        <v>71</v>
      </c>
      <c r="BW87" s="74">
        <f t="shared" si="199"/>
        <v>75</v>
      </c>
      <c r="BX87" s="73">
        <f t="shared" si="200"/>
        <v>105</v>
      </c>
      <c r="BY87" s="74">
        <f t="shared" si="201"/>
        <v>109</v>
      </c>
      <c r="BZ87" s="73">
        <f t="shared" si="202"/>
        <v>145</v>
      </c>
      <c r="CA87" s="74">
        <f t="shared" si="203"/>
        <v>153</v>
      </c>
      <c r="CB87" s="73">
        <f t="shared" si="204"/>
        <v>190</v>
      </c>
      <c r="CC87" s="74">
        <f t="shared" si="205"/>
        <v>195</v>
      </c>
      <c r="CD87" s="73">
        <f t="shared" si="206"/>
        <v>236</v>
      </c>
      <c r="CE87" s="74">
        <f t="shared" si="207"/>
        <v>278</v>
      </c>
      <c r="CF87" s="73">
        <f t="shared" si="208"/>
        <v>309</v>
      </c>
      <c r="CG87" s="72">
        <f t="shared" si="209"/>
        <v>70</v>
      </c>
      <c r="CH87" s="73">
        <f t="shared" si="210"/>
        <v>74</v>
      </c>
      <c r="CI87" s="74">
        <f t="shared" si="211"/>
        <v>104</v>
      </c>
      <c r="CJ87" s="74">
        <f t="shared" si="212"/>
        <v>108</v>
      </c>
      <c r="CK87" s="74">
        <f t="shared" si="213"/>
        <v>144</v>
      </c>
      <c r="CL87" s="74">
        <f t="shared" si="214"/>
        <v>152</v>
      </c>
      <c r="CM87" s="74">
        <f t="shared" si="215"/>
        <v>179</v>
      </c>
      <c r="CN87" s="74">
        <f t="shared" si="216"/>
        <v>192</v>
      </c>
      <c r="CO87" s="74">
        <f t="shared" si="217"/>
        <v>232</v>
      </c>
      <c r="CP87" s="74">
        <f t="shared" si="218"/>
        <v>273</v>
      </c>
      <c r="CQ87" s="74">
        <f t="shared" si="219"/>
        <v>308</v>
      </c>
      <c r="CR87" s="74">
        <f t="shared" si="220"/>
        <v>320</v>
      </c>
      <c r="CS87" s="23">
        <f t="shared" si="221"/>
        <v>1</v>
      </c>
      <c r="CT87" s="6"/>
      <c r="CU87" s="6"/>
      <c r="CV87" s="6"/>
      <c r="CW87" s="6"/>
      <c r="CX87" s="6"/>
      <c r="CY87" s="6"/>
      <c r="CZ87" s="6"/>
      <c r="DA87" s="6"/>
      <c r="DB87" s="6"/>
      <c r="DC87" s="6"/>
      <c r="DD87" s="6"/>
      <c r="DE87" s="6"/>
      <c r="DF87" s="6"/>
      <c r="DG87" s="6"/>
      <c r="DH87" s="6"/>
      <c r="DI87" s="6"/>
      <c r="DJ87" s="6"/>
      <c r="DK87" s="6"/>
      <c r="DL87" s="6"/>
      <c r="DM87" s="6"/>
      <c r="DN87" s="6"/>
      <c r="DO87" s="6"/>
      <c r="DP87" s="6"/>
      <c r="DQ87" s="6"/>
      <c r="DR87" s="6"/>
      <c r="DS87" s="6"/>
      <c r="DT87" s="6"/>
      <c r="DU87" s="6"/>
      <c r="DV87" s="6"/>
      <c r="DW87" s="6"/>
      <c r="DX87" s="6"/>
      <c r="DY87" s="6"/>
      <c r="DZ87" s="6"/>
      <c r="EA87" s="6"/>
      <c r="EB87" s="6"/>
      <c r="EC87" s="6"/>
      <c r="ED87" s="6"/>
      <c r="EE87" s="6"/>
      <c r="EF87" s="6"/>
      <c r="EG87" s="6"/>
      <c r="EH87" s="6"/>
      <c r="EI87" s="6"/>
      <c r="EJ87" s="6"/>
      <c r="EK87" s="6"/>
      <c r="EL87" s="6"/>
      <c r="EM87" s="6"/>
      <c r="EN87" s="6"/>
      <c r="EO87" s="6"/>
      <c r="EP87" s="6"/>
      <c r="EQ87" s="6"/>
      <c r="ER87" s="6"/>
      <c r="ES87" s="6"/>
      <c r="ET87" s="6"/>
      <c r="EU87" s="6"/>
      <c r="EV87" s="6"/>
      <c r="EW87" s="6"/>
      <c r="EX87" s="6"/>
      <c r="EY87" s="6"/>
      <c r="EZ87" s="6"/>
      <c r="FA87" s="6"/>
      <c r="FB87" s="6"/>
      <c r="FC87" s="6"/>
      <c r="FD87" s="6"/>
      <c r="FE87" s="6"/>
      <c r="FF87" s="6"/>
      <c r="FG87" s="6"/>
      <c r="FH87" s="6"/>
      <c r="FI87" s="6"/>
      <c r="FJ87" s="6"/>
      <c r="FK87" s="6"/>
      <c r="FL87" s="6"/>
      <c r="FM87" s="6"/>
      <c r="FN87" s="6"/>
      <c r="FO87" s="6"/>
      <c r="FP87" s="6"/>
      <c r="FQ87" s="6"/>
      <c r="FR87" s="6"/>
      <c r="FS87" s="6"/>
      <c r="FT87" s="6"/>
      <c r="FU87" s="6"/>
      <c r="FV87" s="6"/>
      <c r="FW87" s="6"/>
      <c r="FX87" s="6"/>
      <c r="FY87" s="6"/>
      <c r="FZ87" s="6"/>
      <c r="GA87" s="6"/>
      <c r="GB87" s="6"/>
      <c r="GC87" s="6"/>
      <c r="GD87" s="6"/>
      <c r="GE87" s="6"/>
      <c r="GF87" s="6"/>
      <c r="GG87" s="6"/>
      <c r="GH87" s="6"/>
      <c r="GI87" s="6"/>
      <c r="GJ87" s="6"/>
      <c r="GK87" s="6"/>
      <c r="GL87" s="6"/>
      <c r="GM87" s="6"/>
      <c r="GN87" s="6"/>
      <c r="GO87" s="6"/>
      <c r="GP87" s="6"/>
      <c r="GQ87" s="6"/>
      <c r="GR87" s="6"/>
      <c r="GS87" s="6"/>
      <c r="GT87" s="6"/>
      <c r="GU87" s="6"/>
      <c r="GV87" s="6"/>
      <c r="GW87" s="6"/>
      <c r="GX87" s="6"/>
      <c r="GY87" s="6"/>
      <c r="GZ87" s="6"/>
      <c r="HA87" s="6"/>
      <c r="HB87" s="6"/>
      <c r="HC87" s="6"/>
      <c r="HD87" s="6"/>
      <c r="HE87" s="6"/>
      <c r="HF87" s="6"/>
      <c r="HG87" s="6"/>
      <c r="HH87" s="6"/>
      <c r="HI87" s="6"/>
      <c r="HJ87" s="6"/>
      <c r="HK87" s="6"/>
      <c r="HL87" s="6"/>
      <c r="HM87" s="6"/>
      <c r="HN87" s="6"/>
      <c r="HO87" s="6"/>
      <c r="HP87" s="6"/>
      <c r="HQ87" s="6"/>
      <c r="HR87" s="6"/>
      <c r="HS87" s="6"/>
      <c r="HT87" s="6"/>
      <c r="HU87" s="6"/>
      <c r="HV87" s="6"/>
      <c r="HW87" s="6"/>
      <c r="HX87" s="6"/>
      <c r="HY87" s="6"/>
      <c r="HZ87" s="6"/>
      <c r="IA87" s="6"/>
      <c r="IB87" s="6"/>
      <c r="IC87" s="6"/>
      <c r="ID87" s="6"/>
      <c r="IE87" s="6"/>
      <c r="IF87" s="6"/>
      <c r="IG87" s="6"/>
      <c r="IH87" s="6"/>
      <c r="II87" s="6"/>
      <c r="IJ87" s="6"/>
      <c r="IK87" s="6"/>
      <c r="IL87" s="6"/>
      <c r="IM87" s="6"/>
      <c r="IN87" s="6"/>
      <c r="IO87" s="6"/>
      <c r="IP87" s="6"/>
      <c r="IQ87" s="6"/>
      <c r="IR87" s="6"/>
      <c r="IS87" s="6"/>
      <c r="IT87" s="6"/>
      <c r="IU87" s="6"/>
      <c r="IV87" s="6"/>
      <c r="IW87" s="6"/>
      <c r="IX87" s="6"/>
      <c r="IY87" s="6"/>
      <c r="IZ87" s="6"/>
      <c r="JA87" s="6"/>
      <c r="JB87" s="6"/>
      <c r="JC87" s="6"/>
      <c r="JD87" s="6"/>
      <c r="JE87" s="6"/>
      <c r="JF87" s="6"/>
      <c r="JG87" s="6"/>
      <c r="JH87" s="6"/>
      <c r="JI87" s="6"/>
      <c r="JJ87" s="6"/>
      <c r="JK87" s="6"/>
      <c r="JL87" s="6"/>
      <c r="JM87" s="6"/>
      <c r="JN87" s="6"/>
      <c r="JO87" s="6"/>
      <c r="JP87" s="6"/>
      <c r="JQ87" s="6"/>
      <c r="JR87" s="6"/>
      <c r="JS87" s="6"/>
      <c r="JT87" s="6"/>
      <c r="JU87" s="6"/>
      <c r="JV87" s="6"/>
      <c r="JW87" s="6"/>
      <c r="JX87" s="6"/>
      <c r="JY87" s="6"/>
      <c r="JZ87" s="6"/>
      <c r="KA87" s="6"/>
      <c r="KB87" s="6"/>
      <c r="KC87" s="6"/>
      <c r="KD87" s="6"/>
      <c r="KE87" s="6"/>
      <c r="KF87" s="6"/>
      <c r="KG87" s="6"/>
      <c r="KH87" s="6"/>
      <c r="KI87" s="6"/>
      <c r="KJ87" s="6"/>
      <c r="KK87" s="6"/>
      <c r="KL87" s="6"/>
      <c r="KM87" s="6"/>
      <c r="KN87" s="6"/>
      <c r="KO87" s="6"/>
      <c r="KP87" s="6"/>
      <c r="KQ87" s="6"/>
      <c r="KR87" s="6"/>
      <c r="KS87" s="6"/>
      <c r="KT87" s="6"/>
      <c r="KU87" s="6"/>
      <c r="KV87" s="6"/>
      <c r="KW87" s="6"/>
      <c r="KX87" s="6"/>
      <c r="KY87" s="6"/>
      <c r="KZ87" s="6"/>
      <c r="LA87" s="6"/>
      <c r="LB87" s="6"/>
      <c r="LC87" s="6"/>
      <c r="LD87" s="6"/>
      <c r="LE87" s="6"/>
      <c r="LF87" s="6"/>
      <c r="LG87" s="6"/>
      <c r="LH87" s="6"/>
      <c r="LI87" s="6"/>
      <c r="LJ87" s="6"/>
      <c r="LK87" s="6"/>
      <c r="LL87" s="6"/>
      <c r="LM87" s="6"/>
      <c r="LN87" s="6"/>
      <c r="LO87" s="6"/>
      <c r="LP87" s="6"/>
      <c r="LQ87" s="6"/>
      <c r="LR87" s="6"/>
      <c r="LS87" s="6"/>
      <c r="LT87" s="6"/>
      <c r="LU87" s="6"/>
      <c r="LV87" s="6"/>
      <c r="LW87" s="6"/>
      <c r="LX87" s="6"/>
      <c r="LY87" s="6"/>
      <c r="LZ87" s="6"/>
      <c r="MA87" s="6"/>
      <c r="MB87" s="6"/>
      <c r="MC87" s="6"/>
      <c r="MD87" s="6"/>
      <c r="ME87" s="6"/>
      <c r="MF87" s="6"/>
      <c r="MG87" s="6"/>
      <c r="MH87" s="6"/>
      <c r="MI87" s="6"/>
      <c r="MJ87" s="6"/>
      <c r="MK87" s="6"/>
      <c r="ML87" s="6"/>
      <c r="MM87" s="6"/>
      <c r="MN87" s="6"/>
      <c r="MO87" s="6"/>
      <c r="MP87" s="6"/>
      <c r="MQ87" s="6"/>
      <c r="MR87" s="6"/>
      <c r="MS87" s="6"/>
      <c r="MT87" s="6"/>
      <c r="MU87" s="6"/>
      <c r="MV87" s="6"/>
      <c r="MW87" s="6"/>
      <c r="MX87" s="6"/>
      <c r="MY87" s="6"/>
      <c r="MZ87" s="6"/>
      <c r="NA87" s="6"/>
      <c r="NB87" s="6"/>
      <c r="NC87" s="6"/>
      <c r="ND87" s="6"/>
      <c r="NE87" s="6"/>
      <c r="NF87" s="6"/>
      <c r="NG87" s="6"/>
      <c r="NH87" s="6"/>
      <c r="NI87" s="6"/>
      <c r="NJ87" s="6"/>
      <c r="NK87" s="6"/>
      <c r="NL87" s="6"/>
      <c r="NM87" s="6"/>
      <c r="NN87" s="6"/>
      <c r="NO87" s="6"/>
      <c r="NP87" s="6"/>
      <c r="NQ87" s="6"/>
      <c r="NR87" s="6"/>
      <c r="NS87" s="6"/>
      <c r="NT87" s="6"/>
      <c r="NU87" s="6"/>
      <c r="NV87" s="6"/>
      <c r="NW87" s="6"/>
      <c r="NX87" s="6"/>
      <c r="NY87" s="6"/>
      <c r="NZ87" s="6"/>
      <c r="OA87" s="6"/>
      <c r="OB87" s="6"/>
      <c r="OC87" s="6"/>
      <c r="OD87" s="6"/>
      <c r="OE87" s="6"/>
      <c r="OF87" s="6"/>
      <c r="OG87" s="6"/>
      <c r="OH87" s="6"/>
      <c r="OI87" s="6"/>
      <c r="OJ87" s="6"/>
      <c r="OK87" s="6"/>
      <c r="OL87" s="6"/>
      <c r="OM87" s="6"/>
      <c r="ON87" s="6"/>
      <c r="OO87" s="6"/>
      <c r="OP87" s="6"/>
      <c r="OQ87" s="6"/>
      <c r="OR87" s="6"/>
      <c r="OS87" s="6"/>
      <c r="OT87" s="6"/>
      <c r="OU87" s="6"/>
      <c r="OV87" s="6"/>
      <c r="OW87" s="6"/>
      <c r="OX87" s="6"/>
      <c r="OY87" s="6"/>
      <c r="OZ87" s="6"/>
      <c r="PA87" s="6"/>
      <c r="PB87" s="6"/>
      <c r="PC87" s="6"/>
      <c r="PD87" s="6"/>
      <c r="PE87" s="6"/>
      <c r="PF87" s="6"/>
      <c r="PG87" s="6"/>
      <c r="PH87" s="6"/>
      <c r="PI87" s="6"/>
      <c r="PJ87" s="6"/>
      <c r="PK87" s="6"/>
      <c r="PL87" s="6"/>
      <c r="PM87" s="6"/>
      <c r="PN87" s="6"/>
      <c r="PO87" s="6"/>
      <c r="PP87" s="6"/>
      <c r="PQ87" s="6"/>
      <c r="PR87" s="6"/>
      <c r="PS87" s="6"/>
      <c r="PT87" s="6"/>
      <c r="PU87" s="6"/>
      <c r="PV87" s="6"/>
      <c r="PW87" s="6"/>
      <c r="PX87" s="6"/>
      <c r="PY87" s="6"/>
      <c r="PZ87" s="6"/>
      <c r="QA87" s="6"/>
      <c r="QB87" s="6"/>
      <c r="QC87" s="6"/>
      <c r="QD87" s="6"/>
      <c r="QE87" s="6"/>
      <c r="QF87" s="6"/>
      <c r="QG87" s="6"/>
      <c r="QH87" s="6"/>
      <c r="QI87" s="6"/>
      <c r="QJ87" s="6"/>
      <c r="QK87" s="6"/>
      <c r="QL87" s="6"/>
      <c r="QM87" s="6"/>
      <c r="QN87" s="6"/>
      <c r="QO87" s="6"/>
      <c r="QP87" s="6"/>
      <c r="QQ87" s="6"/>
      <c r="QR87" s="6"/>
      <c r="QS87" s="6"/>
      <c r="QT87" s="6"/>
      <c r="QU87" s="6"/>
      <c r="QV87" s="6"/>
      <c r="QW87" s="6"/>
      <c r="QX87" s="6"/>
      <c r="QY87" s="6"/>
      <c r="QZ87" s="6"/>
      <c r="RA87" s="6"/>
      <c r="RB87" s="6"/>
      <c r="RC87" s="6"/>
      <c r="RD87" s="6"/>
      <c r="RE87" s="6"/>
      <c r="RF87" s="6"/>
      <c r="RG87" s="6"/>
      <c r="RH87" s="6"/>
      <c r="RI87" s="6"/>
      <c r="RJ87" s="6"/>
      <c r="RK87" s="6"/>
      <c r="RL87" s="6"/>
      <c r="RM87" s="6"/>
      <c r="RN87" s="6"/>
      <c r="RO87" s="6"/>
      <c r="RP87" s="6"/>
      <c r="RQ87" s="6"/>
      <c r="RR87" s="6"/>
      <c r="RS87" s="6"/>
      <c r="RT87" s="6"/>
      <c r="RU87" s="6"/>
      <c r="RV87" s="6"/>
      <c r="RW87" s="6"/>
      <c r="RX87" s="6"/>
      <c r="RY87" s="6"/>
      <c r="RZ87" s="6"/>
      <c r="SA87" s="6"/>
      <c r="SB87" s="6"/>
      <c r="SC87" s="6"/>
      <c r="SD87" s="6"/>
      <c r="SE87" s="6"/>
      <c r="SF87" s="6"/>
      <c r="SG87" s="6"/>
      <c r="SH87" s="6"/>
      <c r="SI87" s="6"/>
      <c r="SJ87" s="6"/>
      <c r="SK87" s="6"/>
      <c r="SL87" s="6"/>
      <c r="SM87" s="6"/>
      <c r="SN87" s="6"/>
      <c r="SO87" s="6"/>
      <c r="SP87" s="6"/>
      <c r="SQ87" s="6"/>
      <c r="SR87" s="6"/>
      <c r="SS87" s="6"/>
      <c r="ST87" s="6"/>
      <c r="SU87" s="6"/>
      <c r="SV87" s="6"/>
      <c r="SW87" s="6"/>
      <c r="SX87" s="6"/>
      <c r="SY87" s="6"/>
      <c r="SZ87" s="6"/>
      <c r="TA87" s="6"/>
      <c r="TB87" s="6"/>
      <c r="TC87" s="6"/>
      <c r="TD87" s="6"/>
      <c r="TE87" s="6"/>
      <c r="TF87" s="6"/>
      <c r="TG87" s="6"/>
      <c r="TH87" s="6"/>
      <c r="TI87" s="6"/>
      <c r="TJ87" s="6"/>
      <c r="TK87" s="6"/>
      <c r="TL87" s="6"/>
      <c r="TM87" s="6"/>
      <c r="TN87" s="6"/>
      <c r="TO87" s="6"/>
      <c r="TP87" s="6"/>
      <c r="TQ87" s="6"/>
      <c r="TR87" s="6"/>
      <c r="TS87" s="6"/>
      <c r="TT87" s="6"/>
      <c r="TU87" s="6"/>
      <c r="TV87" s="6"/>
      <c r="TW87" s="6"/>
      <c r="TX87" s="6"/>
      <c r="TY87" s="6"/>
      <c r="TZ87" s="6"/>
      <c r="UA87" s="6"/>
      <c r="UB87" s="6"/>
      <c r="UC87" s="6"/>
      <c r="UD87" s="6"/>
      <c r="UE87" s="6"/>
      <c r="UF87" s="6"/>
      <c r="UG87" s="6"/>
      <c r="UH87" s="6"/>
      <c r="UI87" s="6"/>
      <c r="UJ87" s="6"/>
      <c r="UK87" s="6"/>
      <c r="UL87" s="6"/>
      <c r="UM87" s="6"/>
      <c r="UN87" s="6"/>
      <c r="UO87" s="6"/>
      <c r="UP87" s="6"/>
      <c r="UQ87" s="6"/>
      <c r="UR87" s="6"/>
      <c r="US87" s="6"/>
      <c r="UT87" s="6"/>
      <c r="UU87" s="6"/>
      <c r="UV87" s="6"/>
      <c r="UW87" s="6"/>
      <c r="UX87" s="6"/>
      <c r="UY87" s="6"/>
      <c r="UZ87" s="6"/>
      <c r="VA87" s="6"/>
      <c r="VB87" s="6"/>
      <c r="VC87" s="6"/>
      <c r="VD87" s="6"/>
      <c r="VE87" s="6"/>
      <c r="VF87" s="6"/>
      <c r="VG87" s="6"/>
      <c r="VH87" s="6"/>
      <c r="VI87" s="6"/>
      <c r="VJ87" s="6"/>
      <c r="VK87" s="6"/>
      <c r="VL87" s="6"/>
      <c r="VM87" s="6"/>
      <c r="VN87" s="6"/>
      <c r="VO87" s="6"/>
      <c r="VP87" s="6"/>
      <c r="VQ87" s="6"/>
      <c r="VR87" s="6"/>
      <c r="VS87" s="6"/>
      <c r="VT87" s="6"/>
      <c r="VU87" s="6"/>
      <c r="VV87" s="6"/>
      <c r="VW87" s="6"/>
      <c r="VX87" s="6"/>
      <c r="VY87" s="6"/>
      <c r="VZ87" s="6"/>
      <c r="WA87" s="6"/>
      <c r="WB87" s="6"/>
      <c r="WC87" s="6"/>
      <c r="WD87" s="6"/>
      <c r="WE87" s="6"/>
      <c r="WF87" s="6"/>
      <c r="WG87" s="6"/>
      <c r="WH87" s="6"/>
      <c r="WI87" s="6"/>
      <c r="WJ87" s="6"/>
      <c r="WK87" s="6"/>
      <c r="WL87" s="6"/>
      <c r="WM87" s="6"/>
      <c r="WN87" s="6"/>
      <c r="WO87" s="6"/>
      <c r="WP87" s="6"/>
      <c r="WQ87" s="6"/>
      <c r="WR87" s="6"/>
      <c r="WS87" s="6"/>
      <c r="WT87" s="6"/>
      <c r="WU87" s="6"/>
      <c r="WV87" s="6"/>
      <c r="WW87" s="6"/>
      <c r="WX87" s="6"/>
      <c r="WY87" s="6"/>
      <c r="WZ87" s="6"/>
      <c r="XA87" s="6"/>
      <c r="XB87" s="6"/>
      <c r="XC87" s="6"/>
      <c r="XD87" s="6"/>
      <c r="XE87" s="6"/>
      <c r="XF87" s="6"/>
      <c r="XG87" s="6"/>
      <c r="XH87" s="6"/>
      <c r="XI87" s="6"/>
      <c r="XJ87" s="6"/>
      <c r="XK87" s="6"/>
      <c r="XL87" s="6"/>
      <c r="XM87" s="6"/>
      <c r="XN87" s="6"/>
      <c r="XO87" s="6"/>
      <c r="XP87" s="6"/>
      <c r="XQ87" s="6"/>
      <c r="XR87" s="6"/>
      <c r="XS87" s="6"/>
      <c r="XT87" s="6"/>
      <c r="XU87" s="6"/>
      <c r="XV87" s="6"/>
      <c r="XW87" s="6"/>
      <c r="XX87" s="6"/>
      <c r="XY87" s="6"/>
      <c r="XZ87" s="6"/>
      <c r="YA87" s="6"/>
      <c r="YB87" s="6"/>
      <c r="YC87" s="6"/>
      <c r="YD87" s="6"/>
      <c r="YE87" s="6"/>
      <c r="YF87" s="6"/>
      <c r="YG87" s="6"/>
      <c r="YH87" s="6"/>
      <c r="YI87" s="6"/>
      <c r="YJ87" s="6"/>
      <c r="YK87" s="6"/>
      <c r="YL87" s="6"/>
      <c r="YM87" s="6"/>
      <c r="YN87" s="6"/>
      <c r="YO87" s="6"/>
      <c r="YP87" s="6"/>
      <c r="YQ87" s="6"/>
      <c r="YR87" s="6"/>
      <c r="YS87" s="6"/>
      <c r="YT87" s="6"/>
      <c r="YU87" s="6"/>
      <c r="YV87" s="6"/>
      <c r="YW87" s="6"/>
      <c r="YX87" s="6"/>
      <c r="YY87" s="6"/>
      <c r="YZ87" s="6"/>
      <c r="ZA87" s="6"/>
      <c r="ZB87" s="6"/>
      <c r="ZC87" s="6"/>
      <c r="ZD87" s="6"/>
      <c r="ZE87" s="6"/>
      <c r="ZF87" s="6"/>
      <c r="ZG87" s="6"/>
      <c r="ZH87" s="6"/>
      <c r="ZI87" s="6"/>
      <c r="ZJ87" s="6"/>
      <c r="ZK87" s="6"/>
      <c r="ZL87" s="6"/>
      <c r="ZM87" s="6"/>
      <c r="ZN87" s="6"/>
      <c r="ZO87" s="6"/>
      <c r="ZP87" s="6"/>
      <c r="ZQ87" s="6"/>
      <c r="ZR87" s="6"/>
      <c r="ZS87" s="6"/>
      <c r="ZT87" s="6"/>
      <c r="ZU87" s="6"/>
      <c r="ZV87" s="6"/>
      <c r="ZW87" s="6"/>
      <c r="ZX87" s="6"/>
      <c r="ZY87" s="6"/>
      <c r="ZZ87" s="6"/>
      <c r="AAA87" s="6"/>
      <c r="AAB87" s="6"/>
      <c r="AAC87" s="6"/>
      <c r="AAD87" s="6"/>
      <c r="AAE87" s="6"/>
      <c r="AAF87" s="6"/>
      <c r="AAG87" s="6"/>
      <c r="AAH87" s="6"/>
      <c r="AAI87" s="6"/>
      <c r="AAJ87" s="6"/>
      <c r="AAK87" s="6"/>
      <c r="AAL87" s="6"/>
      <c r="AAM87" s="6"/>
      <c r="AAN87" s="6"/>
      <c r="AAO87" s="6"/>
      <c r="AAP87" s="6"/>
      <c r="AAQ87" s="6"/>
      <c r="AAR87" s="6"/>
      <c r="AAS87" s="6"/>
      <c r="AAT87" s="6"/>
      <c r="AAU87" s="6"/>
      <c r="AAV87" s="6"/>
      <c r="AAW87" s="6"/>
      <c r="AAX87" s="6"/>
      <c r="AAY87" s="6"/>
      <c r="AAZ87" s="6"/>
      <c r="ABA87" s="6"/>
      <c r="ABB87" s="6"/>
      <c r="ABC87" s="6"/>
      <c r="ABD87" s="6"/>
      <c r="ABE87" s="6"/>
      <c r="ABF87" s="6"/>
      <c r="ABG87" s="6"/>
      <c r="ABH87" s="6"/>
      <c r="ABI87" s="6"/>
      <c r="ABJ87" s="6"/>
      <c r="ABK87" s="6"/>
      <c r="ABL87" s="6"/>
      <c r="ABM87" s="6"/>
      <c r="ABN87" s="6"/>
      <c r="ABO87" s="6"/>
      <c r="ABP87" s="6"/>
      <c r="ABQ87" s="6"/>
      <c r="ABR87" s="6"/>
      <c r="ABS87" s="6"/>
      <c r="ABT87" s="6"/>
      <c r="ABU87" s="6"/>
      <c r="ABV87" s="6"/>
      <c r="ABW87" s="6"/>
      <c r="ABX87" s="6"/>
      <c r="ABY87" s="6"/>
      <c r="ABZ87" s="6"/>
      <c r="ACA87" s="6"/>
      <c r="ACB87" s="6"/>
      <c r="ACC87" s="6"/>
      <c r="ACD87" s="6"/>
      <c r="ACE87" s="6"/>
      <c r="ACF87" s="6"/>
      <c r="ACG87" s="6"/>
      <c r="ACH87" s="6"/>
      <c r="ACI87" s="6"/>
      <c r="ACJ87" s="6"/>
      <c r="ACK87" s="6"/>
      <c r="ACL87" s="6"/>
      <c r="ACM87" s="6"/>
      <c r="ACN87" s="6"/>
      <c r="ACO87" s="6"/>
      <c r="ACP87" s="6"/>
      <c r="ACQ87" s="6"/>
      <c r="ACR87" s="6"/>
      <c r="ACS87" s="6"/>
      <c r="ACT87" s="6"/>
      <c r="ACU87" s="6"/>
      <c r="ACV87" s="6"/>
      <c r="ACW87" s="6"/>
      <c r="ACX87" s="6"/>
      <c r="ACY87" s="6"/>
      <c r="ACZ87" s="6"/>
      <c r="ADA87" s="6"/>
      <c r="ADB87" s="6"/>
      <c r="ADC87" s="6"/>
      <c r="ADD87" s="6"/>
      <c r="ADE87" s="6"/>
      <c r="ADF87" s="6"/>
      <c r="ADG87" s="6"/>
      <c r="ADH87" s="6"/>
      <c r="ADI87" s="6"/>
      <c r="ADJ87" s="6"/>
      <c r="ADK87" s="6"/>
      <c r="ADL87" s="6"/>
      <c r="ADM87" s="6"/>
      <c r="ADN87" s="6"/>
      <c r="ADO87" s="6"/>
      <c r="ADP87" s="6"/>
      <c r="ADQ87" s="6"/>
      <c r="ADR87" s="6"/>
      <c r="ADS87" s="6"/>
      <c r="ADT87" s="6"/>
      <c r="ADU87" s="6"/>
      <c r="ADV87" s="6"/>
      <c r="ADW87" s="6"/>
      <c r="ADX87" s="6"/>
      <c r="ADY87" s="6"/>
      <c r="ADZ87" s="6"/>
      <c r="AEA87" s="6"/>
      <c r="AEB87" s="6"/>
      <c r="AEC87" s="6"/>
      <c r="AED87" s="6"/>
      <c r="AEE87" s="6"/>
      <c r="AEF87" s="6"/>
      <c r="AEG87" s="6"/>
      <c r="AEH87" s="6"/>
      <c r="AEI87" s="6"/>
      <c r="AEJ87" s="6"/>
      <c r="AEK87" s="6"/>
      <c r="AEL87" s="6"/>
      <c r="AEM87" s="6"/>
      <c r="AEN87" s="6"/>
      <c r="AEO87" s="6"/>
      <c r="AEP87" s="6"/>
      <c r="AEQ87" s="6"/>
      <c r="AER87" s="6"/>
      <c r="AES87" s="6"/>
      <c r="AET87" s="6"/>
      <c r="AEU87" s="6"/>
      <c r="AEV87" s="6"/>
      <c r="AEW87" s="6"/>
      <c r="AEX87" s="6"/>
      <c r="AEY87" s="6"/>
      <c r="AEZ87" s="6"/>
      <c r="AFA87" s="6"/>
      <c r="AFB87" s="6"/>
      <c r="AFC87" s="6"/>
      <c r="AFD87" s="6"/>
      <c r="AFE87" s="6"/>
      <c r="AFF87" s="6"/>
      <c r="AFG87" s="6"/>
      <c r="AFH87" s="6"/>
      <c r="AFI87" s="6"/>
      <c r="AFJ87" s="6"/>
      <c r="AFK87" s="6"/>
      <c r="AFL87" s="6"/>
      <c r="AFM87" s="6"/>
      <c r="AFN87" s="6"/>
      <c r="AFO87" s="6"/>
      <c r="AFP87" s="6"/>
      <c r="AFQ87" s="6"/>
      <c r="AFR87" s="6"/>
      <c r="AFS87" s="6"/>
      <c r="AFT87" s="6"/>
      <c r="AFU87" s="6"/>
      <c r="AFV87" s="6"/>
      <c r="AFW87" s="6"/>
      <c r="AFX87" s="6"/>
      <c r="AFY87" s="6"/>
      <c r="AFZ87" s="6"/>
      <c r="AGA87" s="6"/>
      <c r="AGB87" s="6"/>
      <c r="AGC87" s="6"/>
      <c r="AGD87" s="6"/>
      <c r="AGE87" s="6"/>
      <c r="AGF87" s="6"/>
      <c r="AGG87" s="6"/>
      <c r="AGH87" s="6"/>
      <c r="AGI87" s="6"/>
      <c r="AGJ87" s="6"/>
      <c r="AGK87" s="6"/>
      <c r="AGL87" s="6"/>
      <c r="AGM87" s="6"/>
      <c r="AGN87" s="6"/>
      <c r="AGO87" s="6"/>
      <c r="AGP87" s="6"/>
      <c r="AGQ87" s="6"/>
      <c r="AGR87" s="6"/>
      <c r="AGS87" s="6"/>
      <c r="AGT87" s="6"/>
      <c r="AGU87" s="6"/>
      <c r="AGV87" s="6"/>
      <c r="AGW87" s="6"/>
      <c r="AGX87" s="6"/>
      <c r="AGY87" s="6"/>
      <c r="AGZ87" s="6"/>
      <c r="AHA87" s="6"/>
      <c r="AHB87" s="6"/>
      <c r="AHC87" s="6"/>
      <c r="AHD87" s="6"/>
      <c r="AHE87" s="6"/>
      <c r="AHF87" s="6"/>
      <c r="AHG87" s="6"/>
      <c r="AHH87" s="6"/>
      <c r="AHI87" s="6"/>
      <c r="AHJ87" s="6"/>
      <c r="AHK87" s="6"/>
      <c r="AHL87" s="6"/>
      <c r="AHM87" s="6"/>
      <c r="AHN87" s="6"/>
      <c r="AHO87" s="6"/>
      <c r="AHP87" s="6"/>
      <c r="AHQ87" s="6"/>
      <c r="AHR87" s="6"/>
      <c r="AHS87" s="6"/>
      <c r="AHT87" s="6"/>
      <c r="AHU87" s="6"/>
      <c r="AHV87" s="6"/>
      <c r="AHW87" s="6"/>
      <c r="AHX87" s="6"/>
      <c r="AHY87" s="6"/>
      <c r="AHZ87" s="6"/>
      <c r="AIA87" s="6"/>
      <c r="AIB87" s="6"/>
      <c r="AIC87" s="6"/>
      <c r="AID87" s="6"/>
      <c r="AIE87" s="6"/>
      <c r="AIF87" s="6"/>
      <c r="AIG87" s="6"/>
      <c r="AIH87" s="6"/>
      <c r="AII87" s="6"/>
      <c r="AIJ87" s="6"/>
      <c r="AIK87" s="6"/>
      <c r="AIL87" s="6"/>
      <c r="AIM87" s="6"/>
      <c r="AIN87" s="6"/>
      <c r="AIO87" s="6"/>
      <c r="AIP87" s="6"/>
      <c r="AIQ87" s="6"/>
      <c r="AIR87" s="6"/>
      <c r="AIS87" s="6"/>
      <c r="AIT87" s="6"/>
      <c r="AIU87" s="6"/>
      <c r="AIV87" s="6"/>
      <c r="AIW87" s="6"/>
      <c r="AIX87" s="6"/>
      <c r="AIY87" s="6"/>
      <c r="AIZ87" s="6"/>
      <c r="AJA87" s="6"/>
      <c r="AJB87" s="6"/>
      <c r="AJC87" s="6"/>
      <c r="AJD87" s="6"/>
      <c r="AJE87" s="6"/>
      <c r="AJF87" s="6"/>
      <c r="AJG87" s="6"/>
      <c r="AJH87" s="6"/>
      <c r="AJI87" s="6"/>
      <c r="AJJ87" s="6"/>
      <c r="AJK87" s="6"/>
      <c r="AJL87" s="6"/>
      <c r="AJM87" s="6"/>
      <c r="AJN87" s="6"/>
      <c r="AJO87" s="6"/>
      <c r="AJP87" s="6"/>
      <c r="AJQ87" s="6"/>
      <c r="AJR87" s="6"/>
      <c r="AJS87" s="6"/>
      <c r="AJT87" s="6"/>
      <c r="AJU87" s="6"/>
      <c r="AJV87" s="6"/>
      <c r="AJW87" s="6"/>
      <c r="AJX87" s="6"/>
      <c r="AJY87" s="6"/>
      <c r="AJZ87" s="6"/>
      <c r="AKA87" s="6"/>
      <c r="AKB87" s="6"/>
      <c r="AKC87" s="6"/>
      <c r="AKD87" s="6"/>
      <c r="AKE87" s="6"/>
      <c r="AKF87" s="6"/>
      <c r="AKG87" s="6"/>
      <c r="AKH87" s="6"/>
      <c r="AKI87" s="6"/>
      <c r="AKJ87" s="6"/>
      <c r="AKK87" s="6"/>
      <c r="AKL87" s="6"/>
      <c r="AKM87" s="6"/>
      <c r="AKN87" s="6"/>
      <c r="AKO87" s="6"/>
      <c r="AKP87" s="6"/>
      <c r="AKQ87" s="6"/>
      <c r="AKR87" s="6"/>
      <c r="AKS87" s="6"/>
      <c r="AKT87" s="6"/>
      <c r="AKU87" s="6"/>
      <c r="AKV87" s="6"/>
      <c r="AKW87" s="6"/>
      <c r="AKX87" s="6"/>
      <c r="AKY87" s="6"/>
      <c r="AKZ87" s="6"/>
      <c r="ALA87" s="6"/>
      <c r="ALB87" s="6"/>
      <c r="ALC87" s="6"/>
      <c r="ALD87" s="6"/>
      <c r="ALE87" s="6"/>
      <c r="ALF87" s="6"/>
      <c r="ALG87" s="6"/>
      <c r="ALH87" s="6"/>
      <c r="ALI87" s="6"/>
      <c r="ALJ87" s="6"/>
      <c r="ALK87" s="6"/>
      <c r="ALL87" s="6"/>
      <c r="ALM87" s="6"/>
      <c r="ALN87" s="6"/>
      <c r="ALO87" s="6"/>
      <c r="ALP87" s="6"/>
      <c r="ALQ87" s="6"/>
      <c r="ALR87" s="6"/>
      <c r="ALS87" s="6"/>
      <c r="ALT87" s="6"/>
      <c r="ALU87" s="6"/>
      <c r="ALV87" s="6"/>
      <c r="ALW87" s="6"/>
      <c r="ALX87" s="6"/>
      <c r="ALY87" s="6"/>
      <c r="ALZ87" s="6"/>
      <c r="AMA87" s="6"/>
      <c r="AMB87" s="6"/>
      <c r="AMC87" s="6"/>
      <c r="AMD87" s="6"/>
      <c r="AME87" s="6"/>
      <c r="AMF87" s="6"/>
      <c r="AMG87" s="6"/>
      <c r="AMH87" s="6"/>
      <c r="AMI87" s="6"/>
      <c r="AMJ87" s="6"/>
      <c r="AMK87" s="6"/>
      <c r="AML87" s="6"/>
      <c r="AMM87" s="6"/>
      <c r="AMN87" s="6"/>
      <c r="AMO87" s="6"/>
    </row>
    <row r="88" spans="1:1029" x14ac:dyDescent="0.2">
      <c r="A88" s="3" t="str">
        <f t="shared" si="222"/>
        <v>ccr2_human_5T1A</v>
      </c>
      <c r="B88" s="3" t="s">
        <v>170</v>
      </c>
      <c r="C88" s="3" t="s">
        <v>1385</v>
      </c>
      <c r="D88" s="3" t="str">
        <f>IFERROR(MID(VLOOKUP($B88,Seqs!$A:$B,2,0),E88,1),"")</f>
        <v>V</v>
      </c>
      <c r="E88" s="3">
        <v>37</v>
      </c>
      <c r="F88" s="3" t="str">
        <f>IFERROR(MID(VLOOKUP($B88,Seqs!$A:$B,2,0),G88,1),"")</f>
        <v>C</v>
      </c>
      <c r="G88" s="3">
        <v>70</v>
      </c>
      <c r="H88" s="3" t="str">
        <f>IFERROR(MID(VLOOKUP($B88,Seqs!$A:$B,2,0),I88,1),"")</f>
        <v/>
      </c>
      <c r="I88" s="23" t="s">
        <v>23</v>
      </c>
      <c r="J88" s="3" t="str">
        <f>IFERROR(MID(VLOOKUP($B88,Seqs!$A:$B,2,0),K88,1),"")</f>
        <v/>
      </c>
      <c r="K88" s="23" t="s">
        <v>23</v>
      </c>
      <c r="L88" s="3" t="str">
        <f>IFERROR(MID(VLOOKUP($B88,Seqs!$A:$B,2,0),M88,1),"")</f>
        <v>C</v>
      </c>
      <c r="M88" s="3">
        <v>75</v>
      </c>
      <c r="N88" s="3" t="str">
        <f>IFERROR(MID(VLOOKUP($B88,Seqs!$A:$B,2,0),O88,1),"")</f>
        <v>N</v>
      </c>
      <c r="O88" s="3">
        <v>104</v>
      </c>
      <c r="P88" s="3" t="str">
        <f>IFERROR(MID(VLOOKUP($B88,Seqs!$A:$B,2,0),Q88,1),"")</f>
        <v>E</v>
      </c>
      <c r="Q88" s="3">
        <v>105</v>
      </c>
      <c r="R88" s="3" t="str">
        <f>IFERROR(MID(VLOOKUP($B88,Seqs!$A:$B,2,0),S88,1),"")</f>
        <v>F</v>
      </c>
      <c r="S88" s="3">
        <v>108</v>
      </c>
      <c r="T88" s="3" t="str">
        <f>IFERROR(MID(VLOOKUP($B88,Seqs!$A:$B,2,0),U88,1),"")</f>
        <v>G</v>
      </c>
      <c r="U88" s="3">
        <v>109</v>
      </c>
      <c r="V88" s="3" t="str">
        <f>IFERROR(MID(VLOOKUP($B88,Seqs!$A:$B,2,0),W88,1),"")</f>
        <v>H</v>
      </c>
      <c r="W88" s="3">
        <v>144</v>
      </c>
      <c r="X88" s="3" t="str">
        <f>IFERROR(MID(VLOOKUP($B88,Seqs!$A:$B,2,0),Y88,1),"")</f>
        <v>A</v>
      </c>
      <c r="Y88" s="3">
        <v>145</v>
      </c>
      <c r="Z88" s="3" t="str">
        <f>IFERROR(MID(VLOOKUP($B88,Seqs!$A:$B,2,0),AA88,1),"")</f>
        <v>R</v>
      </c>
      <c r="AA88" s="3">
        <v>152</v>
      </c>
      <c r="AB88" s="3" t="str">
        <f>IFERROR(MID(VLOOKUP($B88,Seqs!$A:$B,2,0),AC88,1),"")</f>
        <v>T</v>
      </c>
      <c r="AC88" s="9">
        <v>153</v>
      </c>
      <c r="AD88" s="3" t="str">
        <f>IFERROR(MID(VLOOKUP($B88,Seqs!$A:$B,2,0),AE88,1),"")</f>
        <v>T</v>
      </c>
      <c r="AE88" s="3">
        <v>179</v>
      </c>
      <c r="AF88" s="3" t="str">
        <f>IFERROR(MID(VLOOKUP($B88,Seqs!$A:$B,2,0),AG88,1),"")</f>
        <v>C</v>
      </c>
      <c r="AG88" s="3">
        <v>190</v>
      </c>
      <c r="AH88" s="3" t="str">
        <f>IFERROR(MID(VLOOKUP($B88,Seqs!$A:$B,2,0),AI88,1),"")</f>
        <v>P</v>
      </c>
      <c r="AI88" s="3">
        <v>192</v>
      </c>
      <c r="AJ88" s="3" t="str">
        <f>IFERROR(MID(VLOOKUP($B88,Seqs!$A:$B,2,0),AK88,1),"")</f>
        <v>P</v>
      </c>
      <c r="AK88" s="3">
        <v>195</v>
      </c>
      <c r="AL88" s="3" t="str">
        <f>IFERROR(MID(VLOOKUP($B88,Seqs!$A:$B,2,0),AM88,1),"")</f>
        <v>T</v>
      </c>
      <c r="AM88" s="3">
        <v>228</v>
      </c>
      <c r="AN88" s="3" t="str">
        <f>IFERROR(MID(VLOOKUP($B88,Seqs!$A:$B,2,0),AO88,1),"")</f>
        <v>K</v>
      </c>
      <c r="AO88" s="3">
        <v>236</v>
      </c>
      <c r="AP88" s="3" t="str">
        <f>IFERROR(MID(VLOOKUP($B88,Seqs!$A:$B,2,0),AQ88,1),"")</f>
        <v>G</v>
      </c>
      <c r="AQ88" s="3">
        <v>273</v>
      </c>
      <c r="AR88" s="3" t="str">
        <f>IFERROR(MID(VLOOKUP($B88,Seqs!$A:$B,2,0),AS88,1),"")</f>
        <v>E</v>
      </c>
      <c r="AS88" s="3">
        <v>278</v>
      </c>
      <c r="AT88" s="3" t="str">
        <f>IFERROR(MID(VLOOKUP($B88,Seqs!$A:$B,2,0),AU88,1),"")</f>
        <v>V</v>
      </c>
      <c r="AU88" s="3">
        <v>308</v>
      </c>
      <c r="AV88" s="3" t="str">
        <f>IFERROR(MID(VLOOKUP($B88,Seqs!$A:$B,2,0),AW88,1),"")</f>
        <v>G</v>
      </c>
      <c r="AW88" s="3">
        <v>309</v>
      </c>
      <c r="AX88" s="3" t="str">
        <f>IFERROR(MID(VLOOKUP($B88,Seqs!$A:$B,2,0),AY88,1),"")</f>
        <v>L</v>
      </c>
      <c r="AY88" s="3">
        <v>320</v>
      </c>
      <c r="AZ88" s="79" t="str">
        <f>VLOOKUP(B88,Classification!A:D,2,0)</f>
        <v>A</v>
      </c>
      <c r="BA88" s="97" t="str">
        <f>VLOOKUP(B88,Classification!A:D,4,0)</f>
        <v>Chemokine</v>
      </c>
      <c r="BB88" s="27" t="b">
        <f t="shared" si="223"/>
        <v>1</v>
      </c>
      <c r="BC88" s="23">
        <f t="shared" si="196"/>
        <v>258</v>
      </c>
      <c r="BD88" s="16" t="s">
        <v>1383</v>
      </c>
      <c r="BE88" s="3" t="s">
        <v>1381</v>
      </c>
      <c r="BF88" s="50" t="s">
        <v>1</v>
      </c>
      <c r="BG88" s="50" t="s">
        <v>1384</v>
      </c>
      <c r="BH88" s="1"/>
      <c r="BI88" s="72" t="s">
        <v>1293</v>
      </c>
      <c r="BJ88" s="58" t="s">
        <v>1293</v>
      </c>
      <c r="BK88" s="58" t="s">
        <v>1293</v>
      </c>
      <c r="BL88" s="58" t="s">
        <v>1293</v>
      </c>
      <c r="BM88" s="58" t="s">
        <v>1293</v>
      </c>
      <c r="BN88" s="58" t="s">
        <v>1293</v>
      </c>
      <c r="BO88" s="58" t="s">
        <v>1293</v>
      </c>
      <c r="BP88" s="58" t="s">
        <v>1293</v>
      </c>
      <c r="BQ88" s="58" t="s">
        <v>1293</v>
      </c>
      <c r="BR88" s="58" t="s">
        <v>1293</v>
      </c>
      <c r="BS88" s="58" t="s">
        <v>1293</v>
      </c>
      <c r="BT88" s="58" t="s">
        <v>1293</v>
      </c>
      <c r="BU88" s="72">
        <f t="shared" si="197"/>
        <v>37</v>
      </c>
      <c r="BV88" s="73" t="str">
        <f t="shared" si="198"/>
        <v>-</v>
      </c>
      <c r="BW88" s="74">
        <f t="shared" si="199"/>
        <v>75</v>
      </c>
      <c r="BX88" s="73">
        <f t="shared" si="200"/>
        <v>105</v>
      </c>
      <c r="BY88" s="74">
        <f t="shared" si="201"/>
        <v>109</v>
      </c>
      <c r="BZ88" s="73">
        <f t="shared" si="202"/>
        <v>145</v>
      </c>
      <c r="CA88" s="74">
        <f t="shared" si="203"/>
        <v>153</v>
      </c>
      <c r="CB88" s="73">
        <f t="shared" si="204"/>
        <v>190</v>
      </c>
      <c r="CC88" s="74">
        <f t="shared" si="205"/>
        <v>195</v>
      </c>
      <c r="CD88" s="73">
        <f t="shared" si="206"/>
        <v>236</v>
      </c>
      <c r="CE88" s="74">
        <f t="shared" si="207"/>
        <v>278</v>
      </c>
      <c r="CF88" s="73">
        <f t="shared" si="208"/>
        <v>309</v>
      </c>
      <c r="CG88" s="72">
        <f t="shared" si="209"/>
        <v>70</v>
      </c>
      <c r="CH88" s="73" t="str">
        <f t="shared" si="210"/>
        <v>-</v>
      </c>
      <c r="CI88" s="74">
        <f t="shared" si="211"/>
        <v>104</v>
      </c>
      <c r="CJ88" s="74">
        <f t="shared" si="212"/>
        <v>108</v>
      </c>
      <c r="CK88" s="74">
        <f t="shared" si="213"/>
        <v>144</v>
      </c>
      <c r="CL88" s="74">
        <f t="shared" si="214"/>
        <v>152</v>
      </c>
      <c r="CM88" s="74">
        <f t="shared" si="215"/>
        <v>179</v>
      </c>
      <c r="CN88" s="74">
        <f t="shared" si="216"/>
        <v>192</v>
      </c>
      <c r="CO88" s="74">
        <f t="shared" si="217"/>
        <v>228</v>
      </c>
      <c r="CP88" s="74">
        <f t="shared" si="218"/>
        <v>273</v>
      </c>
      <c r="CQ88" s="74">
        <f t="shared" si="219"/>
        <v>308</v>
      </c>
      <c r="CR88" s="74">
        <f t="shared" si="220"/>
        <v>320</v>
      </c>
      <c r="CS88" s="23" t="e">
        <f t="shared" si="221"/>
        <v>#VALUE!</v>
      </c>
      <c r="CT88" s="6"/>
      <c r="CU88" s="6"/>
      <c r="CV88" s="6"/>
      <c r="CW88" s="6"/>
      <c r="CX88" s="6"/>
      <c r="CY88" s="6"/>
      <c r="CZ88" s="6"/>
      <c r="DA88" s="6"/>
      <c r="DB88" s="6"/>
      <c r="DC88" s="6"/>
      <c r="DD88" s="6"/>
      <c r="DE88" s="6"/>
      <c r="DF88" s="6"/>
      <c r="DG88" s="6"/>
      <c r="DH88" s="6"/>
      <c r="DI88" s="6"/>
      <c r="DJ88" s="6"/>
      <c r="DK88" s="6"/>
      <c r="DL88" s="6"/>
      <c r="DM88" s="6"/>
      <c r="DN88" s="6"/>
      <c r="DO88" s="6"/>
      <c r="DP88" s="6"/>
      <c r="DQ88" s="6"/>
      <c r="DR88" s="6"/>
      <c r="DS88" s="6"/>
      <c r="DT88" s="6"/>
      <c r="DU88" s="6"/>
      <c r="DV88" s="6"/>
      <c r="DW88" s="6"/>
      <c r="DX88" s="6"/>
      <c r="DY88" s="6"/>
      <c r="DZ88" s="6"/>
      <c r="EA88" s="6"/>
      <c r="EB88" s="6"/>
      <c r="EC88" s="6"/>
      <c r="ED88" s="6"/>
      <c r="EE88" s="6"/>
      <c r="EF88" s="6"/>
      <c r="EG88" s="6"/>
      <c r="EH88" s="6"/>
      <c r="EI88" s="6"/>
      <c r="EJ88" s="6"/>
      <c r="EK88" s="6"/>
      <c r="EL88" s="6"/>
      <c r="EM88" s="6"/>
      <c r="EN88" s="6"/>
      <c r="EO88" s="6"/>
      <c r="EP88" s="6"/>
      <c r="EQ88" s="6"/>
      <c r="ER88" s="6"/>
      <c r="ES88" s="6"/>
      <c r="ET88" s="6"/>
      <c r="EU88" s="6"/>
      <c r="EV88" s="6"/>
      <c r="EW88" s="6"/>
      <c r="EX88" s="6"/>
      <c r="EY88" s="6"/>
      <c r="EZ88" s="6"/>
      <c r="FA88" s="6"/>
      <c r="FB88" s="6"/>
      <c r="FC88" s="6"/>
      <c r="FD88" s="6"/>
      <c r="FE88" s="6"/>
      <c r="FF88" s="6"/>
      <c r="FG88" s="6"/>
      <c r="FH88" s="6"/>
      <c r="FI88" s="6"/>
      <c r="FJ88" s="6"/>
      <c r="FK88" s="6"/>
      <c r="FL88" s="6"/>
      <c r="FM88" s="6"/>
      <c r="FN88" s="6"/>
      <c r="FO88" s="6"/>
      <c r="FP88" s="6"/>
      <c r="FQ88" s="6"/>
      <c r="FR88" s="6"/>
      <c r="FS88" s="6"/>
      <c r="FT88" s="6"/>
      <c r="FU88" s="6"/>
      <c r="FV88" s="6"/>
      <c r="FW88" s="6"/>
      <c r="FX88" s="6"/>
      <c r="FY88" s="6"/>
      <c r="FZ88" s="6"/>
      <c r="GA88" s="6"/>
      <c r="GB88" s="6"/>
      <c r="GC88" s="6"/>
      <c r="GD88" s="6"/>
      <c r="GE88" s="6"/>
      <c r="GF88" s="6"/>
      <c r="GG88" s="6"/>
      <c r="GH88" s="6"/>
      <c r="GI88" s="6"/>
      <c r="GJ88" s="6"/>
      <c r="GK88" s="6"/>
      <c r="GL88" s="6"/>
      <c r="GM88" s="6"/>
      <c r="GN88" s="6"/>
      <c r="GO88" s="6"/>
      <c r="GP88" s="6"/>
      <c r="GQ88" s="6"/>
      <c r="GR88" s="6"/>
      <c r="GS88" s="6"/>
      <c r="GT88" s="6"/>
      <c r="GU88" s="6"/>
      <c r="GV88" s="6"/>
      <c r="GW88" s="6"/>
      <c r="GX88" s="6"/>
      <c r="GY88" s="6"/>
      <c r="GZ88" s="6"/>
      <c r="HA88" s="6"/>
      <c r="HB88" s="6"/>
      <c r="HC88" s="6"/>
      <c r="HD88" s="6"/>
      <c r="HE88" s="6"/>
      <c r="HF88" s="6"/>
      <c r="HG88" s="6"/>
      <c r="HH88" s="6"/>
      <c r="HI88" s="6"/>
      <c r="HJ88" s="6"/>
      <c r="HK88" s="6"/>
      <c r="HL88" s="6"/>
      <c r="HM88" s="6"/>
      <c r="HN88" s="6"/>
      <c r="HO88" s="6"/>
      <c r="HP88" s="6"/>
      <c r="HQ88" s="6"/>
      <c r="HR88" s="6"/>
      <c r="HS88" s="6"/>
      <c r="HT88" s="6"/>
      <c r="HU88" s="6"/>
      <c r="HV88" s="6"/>
      <c r="HW88" s="6"/>
      <c r="HX88" s="6"/>
      <c r="HY88" s="6"/>
      <c r="HZ88" s="6"/>
      <c r="IA88" s="6"/>
      <c r="IB88" s="6"/>
      <c r="IC88" s="6"/>
      <c r="ID88" s="6"/>
      <c r="IE88" s="6"/>
      <c r="IF88" s="6"/>
      <c r="IG88" s="6"/>
      <c r="IH88" s="6"/>
      <c r="II88" s="6"/>
      <c r="IJ88" s="6"/>
      <c r="IK88" s="6"/>
      <c r="IL88" s="6"/>
      <c r="IM88" s="6"/>
      <c r="IN88" s="6"/>
      <c r="IO88" s="6"/>
      <c r="IP88" s="6"/>
      <c r="IQ88" s="6"/>
      <c r="IR88" s="6"/>
      <c r="IS88" s="6"/>
      <c r="IT88" s="6"/>
      <c r="IU88" s="6"/>
      <c r="IV88" s="6"/>
      <c r="IW88" s="6"/>
      <c r="IX88" s="6"/>
      <c r="IY88" s="6"/>
      <c r="IZ88" s="6"/>
      <c r="JA88" s="6"/>
      <c r="JB88" s="6"/>
      <c r="JC88" s="6"/>
      <c r="JD88" s="6"/>
      <c r="JE88" s="6"/>
      <c r="JF88" s="6"/>
      <c r="JG88" s="6"/>
      <c r="JH88" s="6"/>
      <c r="JI88" s="6"/>
      <c r="JJ88" s="6"/>
      <c r="JK88" s="6"/>
      <c r="JL88" s="6"/>
      <c r="JM88" s="6"/>
      <c r="JN88" s="6"/>
      <c r="JO88" s="6"/>
      <c r="JP88" s="6"/>
      <c r="JQ88" s="6"/>
      <c r="JR88" s="6"/>
      <c r="JS88" s="6"/>
      <c r="JT88" s="6"/>
      <c r="JU88" s="6"/>
      <c r="JV88" s="6"/>
      <c r="JW88" s="6"/>
      <c r="JX88" s="6"/>
      <c r="JY88" s="6"/>
      <c r="JZ88" s="6"/>
      <c r="KA88" s="6"/>
      <c r="KB88" s="6"/>
      <c r="KC88" s="6"/>
      <c r="KD88" s="6"/>
      <c r="KE88" s="6"/>
      <c r="KF88" s="6"/>
      <c r="KG88" s="6"/>
      <c r="KH88" s="6"/>
      <c r="KI88" s="6"/>
      <c r="KJ88" s="6"/>
      <c r="KK88" s="6"/>
      <c r="KL88" s="6"/>
      <c r="KM88" s="6"/>
      <c r="KN88" s="6"/>
      <c r="KO88" s="6"/>
      <c r="KP88" s="6"/>
      <c r="KQ88" s="6"/>
      <c r="KR88" s="6"/>
      <c r="KS88" s="6"/>
      <c r="KT88" s="6"/>
      <c r="KU88" s="6"/>
      <c r="KV88" s="6"/>
      <c r="KW88" s="6"/>
      <c r="KX88" s="6"/>
      <c r="KY88" s="6"/>
      <c r="KZ88" s="6"/>
      <c r="LA88" s="6"/>
      <c r="LB88" s="6"/>
      <c r="LC88" s="6"/>
      <c r="LD88" s="6"/>
      <c r="LE88" s="6"/>
      <c r="LF88" s="6"/>
      <c r="LG88" s="6"/>
      <c r="LH88" s="6"/>
      <c r="LI88" s="6"/>
      <c r="LJ88" s="6"/>
      <c r="LK88" s="6"/>
      <c r="LL88" s="6"/>
      <c r="LM88" s="6"/>
      <c r="LN88" s="6"/>
      <c r="LO88" s="6"/>
      <c r="LP88" s="6"/>
      <c r="LQ88" s="6"/>
      <c r="LR88" s="6"/>
      <c r="LS88" s="6"/>
      <c r="LT88" s="6"/>
      <c r="LU88" s="6"/>
      <c r="LV88" s="6"/>
      <c r="LW88" s="6"/>
      <c r="LX88" s="6"/>
      <c r="LY88" s="6"/>
      <c r="LZ88" s="6"/>
      <c r="MA88" s="6"/>
      <c r="MB88" s="6"/>
      <c r="MC88" s="6"/>
      <c r="MD88" s="6"/>
      <c r="ME88" s="6"/>
      <c r="MF88" s="6"/>
      <c r="MG88" s="6"/>
      <c r="MH88" s="6"/>
      <c r="MI88" s="6"/>
      <c r="MJ88" s="6"/>
      <c r="MK88" s="6"/>
      <c r="ML88" s="6"/>
      <c r="MM88" s="6"/>
      <c r="MN88" s="6"/>
      <c r="MO88" s="6"/>
      <c r="MP88" s="6"/>
      <c r="MQ88" s="6"/>
      <c r="MR88" s="6"/>
      <c r="MS88" s="6"/>
      <c r="MT88" s="6"/>
      <c r="MU88" s="6"/>
      <c r="MV88" s="6"/>
      <c r="MW88" s="6"/>
      <c r="MX88" s="6"/>
      <c r="MY88" s="6"/>
      <c r="MZ88" s="6"/>
      <c r="NA88" s="6"/>
      <c r="NB88" s="6"/>
      <c r="NC88" s="6"/>
      <c r="ND88" s="6"/>
      <c r="NE88" s="6"/>
      <c r="NF88" s="6"/>
      <c r="NG88" s="6"/>
      <c r="NH88" s="6"/>
      <c r="NI88" s="6"/>
      <c r="NJ88" s="6"/>
      <c r="NK88" s="6"/>
      <c r="NL88" s="6"/>
      <c r="NM88" s="6"/>
      <c r="NN88" s="6"/>
      <c r="NO88" s="6"/>
      <c r="NP88" s="6"/>
      <c r="NQ88" s="6"/>
      <c r="NR88" s="6"/>
      <c r="NS88" s="6"/>
      <c r="NT88" s="6"/>
      <c r="NU88" s="6"/>
      <c r="NV88" s="6"/>
      <c r="NW88" s="6"/>
      <c r="NX88" s="6"/>
      <c r="NY88" s="6"/>
      <c r="NZ88" s="6"/>
      <c r="OA88" s="6"/>
      <c r="OB88" s="6"/>
      <c r="OC88" s="6"/>
      <c r="OD88" s="6"/>
      <c r="OE88" s="6"/>
      <c r="OF88" s="6"/>
      <c r="OG88" s="6"/>
      <c r="OH88" s="6"/>
      <c r="OI88" s="6"/>
      <c r="OJ88" s="6"/>
      <c r="OK88" s="6"/>
      <c r="OL88" s="6"/>
      <c r="OM88" s="6"/>
      <c r="ON88" s="6"/>
      <c r="OO88" s="6"/>
      <c r="OP88" s="6"/>
      <c r="OQ88" s="6"/>
      <c r="OR88" s="6"/>
      <c r="OS88" s="6"/>
      <c r="OT88" s="6"/>
      <c r="OU88" s="6"/>
      <c r="OV88" s="6"/>
      <c r="OW88" s="6"/>
      <c r="OX88" s="6"/>
      <c r="OY88" s="6"/>
      <c r="OZ88" s="6"/>
      <c r="PA88" s="6"/>
      <c r="PB88" s="6"/>
      <c r="PC88" s="6"/>
      <c r="PD88" s="6"/>
      <c r="PE88" s="6"/>
      <c r="PF88" s="6"/>
      <c r="PG88" s="6"/>
      <c r="PH88" s="6"/>
      <c r="PI88" s="6"/>
      <c r="PJ88" s="6"/>
      <c r="PK88" s="6"/>
      <c r="PL88" s="6"/>
      <c r="PM88" s="6"/>
      <c r="PN88" s="6"/>
      <c r="PO88" s="6"/>
      <c r="PP88" s="6"/>
      <c r="PQ88" s="6"/>
      <c r="PR88" s="6"/>
      <c r="PS88" s="6"/>
      <c r="PT88" s="6"/>
      <c r="PU88" s="6"/>
      <c r="PV88" s="6"/>
      <c r="PW88" s="6"/>
      <c r="PX88" s="6"/>
      <c r="PY88" s="6"/>
      <c r="PZ88" s="6"/>
      <c r="QA88" s="6"/>
      <c r="QB88" s="6"/>
      <c r="QC88" s="6"/>
      <c r="QD88" s="6"/>
      <c r="QE88" s="6"/>
      <c r="QF88" s="6"/>
      <c r="QG88" s="6"/>
      <c r="QH88" s="6"/>
      <c r="QI88" s="6"/>
      <c r="QJ88" s="6"/>
      <c r="QK88" s="6"/>
      <c r="QL88" s="6"/>
      <c r="QM88" s="6"/>
      <c r="QN88" s="6"/>
      <c r="QO88" s="6"/>
      <c r="QP88" s="6"/>
      <c r="QQ88" s="6"/>
      <c r="QR88" s="6"/>
      <c r="QS88" s="6"/>
      <c r="QT88" s="6"/>
      <c r="QU88" s="6"/>
      <c r="QV88" s="6"/>
      <c r="QW88" s="6"/>
      <c r="QX88" s="6"/>
      <c r="QY88" s="6"/>
      <c r="QZ88" s="6"/>
      <c r="RA88" s="6"/>
      <c r="RB88" s="6"/>
      <c r="RC88" s="6"/>
      <c r="RD88" s="6"/>
      <c r="RE88" s="6"/>
      <c r="RF88" s="6"/>
      <c r="RG88" s="6"/>
      <c r="RH88" s="6"/>
      <c r="RI88" s="6"/>
      <c r="RJ88" s="6"/>
      <c r="RK88" s="6"/>
      <c r="RL88" s="6"/>
      <c r="RM88" s="6"/>
      <c r="RN88" s="6"/>
      <c r="RO88" s="6"/>
      <c r="RP88" s="6"/>
      <c r="RQ88" s="6"/>
      <c r="RR88" s="6"/>
      <c r="RS88" s="6"/>
      <c r="RT88" s="6"/>
      <c r="RU88" s="6"/>
      <c r="RV88" s="6"/>
      <c r="RW88" s="6"/>
      <c r="RX88" s="6"/>
      <c r="RY88" s="6"/>
      <c r="RZ88" s="6"/>
      <c r="SA88" s="6"/>
      <c r="SB88" s="6"/>
      <c r="SC88" s="6"/>
      <c r="SD88" s="6"/>
      <c r="SE88" s="6"/>
      <c r="SF88" s="6"/>
      <c r="SG88" s="6"/>
      <c r="SH88" s="6"/>
      <c r="SI88" s="6"/>
      <c r="SJ88" s="6"/>
      <c r="SK88" s="6"/>
      <c r="SL88" s="6"/>
      <c r="SM88" s="6"/>
      <c r="SN88" s="6"/>
      <c r="SO88" s="6"/>
      <c r="SP88" s="6"/>
      <c r="SQ88" s="6"/>
      <c r="SR88" s="6"/>
      <c r="SS88" s="6"/>
      <c r="ST88" s="6"/>
      <c r="SU88" s="6"/>
      <c r="SV88" s="6"/>
      <c r="SW88" s="6"/>
      <c r="SX88" s="6"/>
      <c r="SY88" s="6"/>
      <c r="SZ88" s="6"/>
      <c r="TA88" s="6"/>
      <c r="TB88" s="6"/>
      <c r="TC88" s="6"/>
      <c r="TD88" s="6"/>
      <c r="TE88" s="6"/>
      <c r="TF88" s="6"/>
      <c r="TG88" s="6"/>
      <c r="TH88" s="6"/>
      <c r="TI88" s="6"/>
      <c r="TJ88" s="6"/>
      <c r="TK88" s="6"/>
      <c r="TL88" s="6"/>
      <c r="TM88" s="6"/>
      <c r="TN88" s="6"/>
      <c r="TO88" s="6"/>
      <c r="TP88" s="6"/>
      <c r="TQ88" s="6"/>
      <c r="TR88" s="6"/>
      <c r="TS88" s="6"/>
      <c r="TT88" s="6"/>
      <c r="TU88" s="6"/>
      <c r="TV88" s="6"/>
      <c r="TW88" s="6"/>
      <c r="TX88" s="6"/>
      <c r="TY88" s="6"/>
      <c r="TZ88" s="6"/>
      <c r="UA88" s="6"/>
      <c r="UB88" s="6"/>
      <c r="UC88" s="6"/>
      <c r="UD88" s="6"/>
      <c r="UE88" s="6"/>
      <c r="UF88" s="6"/>
      <c r="UG88" s="6"/>
      <c r="UH88" s="6"/>
      <c r="UI88" s="6"/>
      <c r="UJ88" s="6"/>
      <c r="UK88" s="6"/>
      <c r="UL88" s="6"/>
      <c r="UM88" s="6"/>
      <c r="UN88" s="6"/>
      <c r="UO88" s="6"/>
      <c r="UP88" s="6"/>
      <c r="UQ88" s="6"/>
      <c r="UR88" s="6"/>
      <c r="US88" s="6"/>
      <c r="UT88" s="6"/>
      <c r="UU88" s="6"/>
      <c r="UV88" s="6"/>
      <c r="UW88" s="6"/>
      <c r="UX88" s="6"/>
      <c r="UY88" s="6"/>
      <c r="UZ88" s="6"/>
      <c r="VA88" s="6"/>
      <c r="VB88" s="6"/>
      <c r="VC88" s="6"/>
      <c r="VD88" s="6"/>
      <c r="VE88" s="6"/>
      <c r="VF88" s="6"/>
      <c r="VG88" s="6"/>
      <c r="VH88" s="6"/>
      <c r="VI88" s="6"/>
      <c r="VJ88" s="6"/>
      <c r="VK88" s="6"/>
      <c r="VL88" s="6"/>
      <c r="VM88" s="6"/>
      <c r="VN88" s="6"/>
      <c r="VO88" s="6"/>
      <c r="VP88" s="6"/>
      <c r="VQ88" s="6"/>
      <c r="VR88" s="6"/>
      <c r="VS88" s="6"/>
      <c r="VT88" s="6"/>
      <c r="VU88" s="6"/>
      <c r="VV88" s="6"/>
      <c r="VW88" s="6"/>
      <c r="VX88" s="6"/>
      <c r="VY88" s="6"/>
      <c r="VZ88" s="6"/>
      <c r="WA88" s="6"/>
      <c r="WB88" s="6"/>
      <c r="WC88" s="6"/>
      <c r="WD88" s="6"/>
      <c r="WE88" s="6"/>
      <c r="WF88" s="6"/>
      <c r="WG88" s="6"/>
      <c r="WH88" s="6"/>
      <c r="WI88" s="6"/>
      <c r="WJ88" s="6"/>
      <c r="WK88" s="6"/>
      <c r="WL88" s="6"/>
      <c r="WM88" s="6"/>
      <c r="WN88" s="6"/>
      <c r="WO88" s="6"/>
      <c r="WP88" s="6"/>
      <c r="WQ88" s="6"/>
      <c r="WR88" s="6"/>
      <c r="WS88" s="6"/>
      <c r="WT88" s="6"/>
      <c r="WU88" s="6"/>
      <c r="WV88" s="6"/>
      <c r="WW88" s="6"/>
      <c r="WX88" s="6"/>
      <c r="WY88" s="6"/>
      <c r="WZ88" s="6"/>
      <c r="XA88" s="6"/>
      <c r="XB88" s="6"/>
      <c r="XC88" s="6"/>
      <c r="XD88" s="6"/>
      <c r="XE88" s="6"/>
      <c r="XF88" s="6"/>
      <c r="XG88" s="6"/>
      <c r="XH88" s="6"/>
      <c r="XI88" s="6"/>
      <c r="XJ88" s="6"/>
      <c r="XK88" s="6"/>
      <c r="XL88" s="6"/>
      <c r="XM88" s="6"/>
      <c r="XN88" s="6"/>
      <c r="XO88" s="6"/>
      <c r="XP88" s="6"/>
      <c r="XQ88" s="6"/>
      <c r="XR88" s="6"/>
      <c r="XS88" s="6"/>
      <c r="XT88" s="6"/>
      <c r="XU88" s="6"/>
      <c r="XV88" s="6"/>
      <c r="XW88" s="6"/>
      <c r="XX88" s="6"/>
      <c r="XY88" s="6"/>
      <c r="XZ88" s="6"/>
      <c r="YA88" s="6"/>
      <c r="YB88" s="6"/>
      <c r="YC88" s="6"/>
      <c r="YD88" s="6"/>
      <c r="YE88" s="6"/>
      <c r="YF88" s="6"/>
      <c r="YG88" s="6"/>
      <c r="YH88" s="6"/>
      <c r="YI88" s="6"/>
      <c r="YJ88" s="6"/>
      <c r="YK88" s="6"/>
      <c r="YL88" s="6"/>
      <c r="YM88" s="6"/>
      <c r="YN88" s="6"/>
      <c r="YO88" s="6"/>
      <c r="YP88" s="6"/>
      <c r="YQ88" s="6"/>
      <c r="YR88" s="6"/>
      <c r="YS88" s="6"/>
      <c r="YT88" s="6"/>
      <c r="YU88" s="6"/>
      <c r="YV88" s="6"/>
      <c r="YW88" s="6"/>
      <c r="YX88" s="6"/>
      <c r="YY88" s="6"/>
      <c r="YZ88" s="6"/>
      <c r="ZA88" s="6"/>
      <c r="ZB88" s="6"/>
      <c r="ZC88" s="6"/>
      <c r="ZD88" s="6"/>
      <c r="ZE88" s="6"/>
      <c r="ZF88" s="6"/>
      <c r="ZG88" s="6"/>
      <c r="ZH88" s="6"/>
      <c r="ZI88" s="6"/>
      <c r="ZJ88" s="6"/>
      <c r="ZK88" s="6"/>
      <c r="ZL88" s="6"/>
      <c r="ZM88" s="6"/>
      <c r="ZN88" s="6"/>
      <c r="ZO88" s="6"/>
      <c r="ZP88" s="6"/>
      <c r="ZQ88" s="6"/>
      <c r="ZR88" s="6"/>
      <c r="ZS88" s="6"/>
      <c r="ZT88" s="6"/>
      <c r="ZU88" s="6"/>
      <c r="ZV88" s="6"/>
      <c r="ZW88" s="6"/>
      <c r="ZX88" s="6"/>
      <c r="ZY88" s="6"/>
      <c r="ZZ88" s="6"/>
      <c r="AAA88" s="6"/>
      <c r="AAB88" s="6"/>
      <c r="AAC88" s="6"/>
      <c r="AAD88" s="6"/>
      <c r="AAE88" s="6"/>
      <c r="AAF88" s="6"/>
      <c r="AAG88" s="6"/>
      <c r="AAH88" s="6"/>
      <c r="AAI88" s="6"/>
      <c r="AAJ88" s="6"/>
      <c r="AAK88" s="6"/>
      <c r="AAL88" s="6"/>
      <c r="AAM88" s="6"/>
      <c r="AAN88" s="6"/>
      <c r="AAO88" s="6"/>
      <c r="AAP88" s="6"/>
      <c r="AAQ88" s="6"/>
      <c r="AAR88" s="6"/>
      <c r="AAS88" s="6"/>
      <c r="AAT88" s="6"/>
      <c r="AAU88" s="6"/>
      <c r="AAV88" s="6"/>
      <c r="AAW88" s="6"/>
      <c r="AAX88" s="6"/>
      <c r="AAY88" s="6"/>
      <c r="AAZ88" s="6"/>
      <c r="ABA88" s="6"/>
      <c r="ABB88" s="6"/>
      <c r="ABC88" s="6"/>
      <c r="ABD88" s="6"/>
      <c r="ABE88" s="6"/>
      <c r="ABF88" s="6"/>
      <c r="ABG88" s="6"/>
      <c r="ABH88" s="6"/>
      <c r="ABI88" s="6"/>
      <c r="ABJ88" s="6"/>
      <c r="ABK88" s="6"/>
      <c r="ABL88" s="6"/>
      <c r="ABM88" s="6"/>
      <c r="ABN88" s="6"/>
      <c r="ABO88" s="6"/>
      <c r="ABP88" s="6"/>
      <c r="ABQ88" s="6"/>
      <c r="ABR88" s="6"/>
      <c r="ABS88" s="6"/>
      <c r="ABT88" s="6"/>
      <c r="ABU88" s="6"/>
      <c r="ABV88" s="6"/>
      <c r="ABW88" s="6"/>
      <c r="ABX88" s="6"/>
      <c r="ABY88" s="6"/>
      <c r="ABZ88" s="6"/>
      <c r="ACA88" s="6"/>
      <c r="ACB88" s="6"/>
      <c r="ACC88" s="6"/>
      <c r="ACD88" s="6"/>
      <c r="ACE88" s="6"/>
      <c r="ACF88" s="6"/>
      <c r="ACG88" s="6"/>
      <c r="ACH88" s="6"/>
      <c r="ACI88" s="6"/>
      <c r="ACJ88" s="6"/>
      <c r="ACK88" s="6"/>
      <c r="ACL88" s="6"/>
      <c r="ACM88" s="6"/>
      <c r="ACN88" s="6"/>
      <c r="ACO88" s="6"/>
      <c r="ACP88" s="6"/>
      <c r="ACQ88" s="6"/>
      <c r="ACR88" s="6"/>
      <c r="ACS88" s="6"/>
      <c r="ACT88" s="6"/>
      <c r="ACU88" s="6"/>
      <c r="ACV88" s="6"/>
      <c r="ACW88" s="6"/>
      <c r="ACX88" s="6"/>
      <c r="ACY88" s="6"/>
      <c r="ACZ88" s="6"/>
      <c r="ADA88" s="6"/>
      <c r="ADB88" s="6"/>
      <c r="ADC88" s="6"/>
      <c r="ADD88" s="6"/>
      <c r="ADE88" s="6"/>
      <c r="ADF88" s="6"/>
      <c r="ADG88" s="6"/>
      <c r="ADH88" s="6"/>
      <c r="ADI88" s="6"/>
      <c r="ADJ88" s="6"/>
      <c r="ADK88" s="6"/>
      <c r="ADL88" s="6"/>
      <c r="ADM88" s="6"/>
      <c r="ADN88" s="6"/>
      <c r="ADO88" s="6"/>
      <c r="ADP88" s="6"/>
      <c r="ADQ88" s="6"/>
      <c r="ADR88" s="6"/>
      <c r="ADS88" s="6"/>
      <c r="ADT88" s="6"/>
      <c r="ADU88" s="6"/>
      <c r="ADV88" s="6"/>
      <c r="ADW88" s="6"/>
      <c r="ADX88" s="6"/>
      <c r="ADY88" s="6"/>
      <c r="ADZ88" s="6"/>
      <c r="AEA88" s="6"/>
      <c r="AEB88" s="6"/>
      <c r="AEC88" s="6"/>
      <c r="AED88" s="6"/>
      <c r="AEE88" s="6"/>
      <c r="AEF88" s="6"/>
      <c r="AEG88" s="6"/>
      <c r="AEH88" s="6"/>
      <c r="AEI88" s="6"/>
      <c r="AEJ88" s="6"/>
      <c r="AEK88" s="6"/>
      <c r="AEL88" s="6"/>
      <c r="AEM88" s="6"/>
      <c r="AEN88" s="6"/>
      <c r="AEO88" s="6"/>
      <c r="AEP88" s="6"/>
      <c r="AEQ88" s="6"/>
      <c r="AER88" s="6"/>
      <c r="AES88" s="6"/>
      <c r="AET88" s="6"/>
      <c r="AEU88" s="6"/>
      <c r="AEV88" s="6"/>
      <c r="AEW88" s="6"/>
      <c r="AEX88" s="6"/>
      <c r="AEY88" s="6"/>
      <c r="AEZ88" s="6"/>
      <c r="AFA88" s="6"/>
      <c r="AFB88" s="6"/>
      <c r="AFC88" s="6"/>
      <c r="AFD88" s="6"/>
      <c r="AFE88" s="6"/>
      <c r="AFF88" s="6"/>
      <c r="AFG88" s="6"/>
      <c r="AFH88" s="6"/>
      <c r="AFI88" s="6"/>
      <c r="AFJ88" s="6"/>
      <c r="AFK88" s="6"/>
      <c r="AFL88" s="6"/>
      <c r="AFM88" s="6"/>
      <c r="AFN88" s="6"/>
      <c r="AFO88" s="6"/>
      <c r="AFP88" s="6"/>
      <c r="AFQ88" s="6"/>
      <c r="AFR88" s="6"/>
      <c r="AFS88" s="6"/>
      <c r="AFT88" s="6"/>
      <c r="AFU88" s="6"/>
      <c r="AFV88" s="6"/>
      <c r="AFW88" s="6"/>
      <c r="AFX88" s="6"/>
      <c r="AFY88" s="6"/>
      <c r="AFZ88" s="6"/>
      <c r="AGA88" s="6"/>
      <c r="AGB88" s="6"/>
      <c r="AGC88" s="6"/>
      <c r="AGD88" s="6"/>
      <c r="AGE88" s="6"/>
      <c r="AGF88" s="6"/>
      <c r="AGG88" s="6"/>
      <c r="AGH88" s="6"/>
      <c r="AGI88" s="6"/>
      <c r="AGJ88" s="6"/>
      <c r="AGK88" s="6"/>
      <c r="AGL88" s="6"/>
      <c r="AGM88" s="6"/>
      <c r="AGN88" s="6"/>
      <c r="AGO88" s="6"/>
      <c r="AGP88" s="6"/>
      <c r="AGQ88" s="6"/>
      <c r="AGR88" s="6"/>
      <c r="AGS88" s="6"/>
      <c r="AGT88" s="6"/>
      <c r="AGU88" s="6"/>
      <c r="AGV88" s="6"/>
      <c r="AGW88" s="6"/>
      <c r="AGX88" s="6"/>
      <c r="AGY88" s="6"/>
      <c r="AGZ88" s="6"/>
      <c r="AHA88" s="6"/>
      <c r="AHB88" s="6"/>
      <c r="AHC88" s="6"/>
      <c r="AHD88" s="6"/>
      <c r="AHE88" s="6"/>
      <c r="AHF88" s="6"/>
      <c r="AHG88" s="6"/>
      <c r="AHH88" s="6"/>
      <c r="AHI88" s="6"/>
      <c r="AHJ88" s="6"/>
      <c r="AHK88" s="6"/>
      <c r="AHL88" s="6"/>
      <c r="AHM88" s="6"/>
      <c r="AHN88" s="6"/>
      <c r="AHO88" s="6"/>
      <c r="AHP88" s="6"/>
      <c r="AHQ88" s="6"/>
      <c r="AHR88" s="6"/>
      <c r="AHS88" s="6"/>
      <c r="AHT88" s="6"/>
      <c r="AHU88" s="6"/>
      <c r="AHV88" s="6"/>
      <c r="AHW88" s="6"/>
      <c r="AHX88" s="6"/>
      <c r="AHY88" s="6"/>
      <c r="AHZ88" s="6"/>
      <c r="AIA88" s="6"/>
      <c r="AIB88" s="6"/>
      <c r="AIC88" s="6"/>
      <c r="AID88" s="6"/>
      <c r="AIE88" s="6"/>
      <c r="AIF88" s="6"/>
      <c r="AIG88" s="6"/>
      <c r="AIH88" s="6"/>
      <c r="AII88" s="6"/>
      <c r="AIJ88" s="6"/>
      <c r="AIK88" s="6"/>
      <c r="AIL88" s="6"/>
      <c r="AIM88" s="6"/>
      <c r="AIN88" s="6"/>
      <c r="AIO88" s="6"/>
      <c r="AIP88" s="6"/>
      <c r="AIQ88" s="6"/>
      <c r="AIR88" s="6"/>
      <c r="AIS88" s="6"/>
      <c r="AIT88" s="6"/>
      <c r="AIU88" s="6"/>
      <c r="AIV88" s="6"/>
      <c r="AIW88" s="6"/>
      <c r="AIX88" s="6"/>
      <c r="AIY88" s="6"/>
      <c r="AIZ88" s="6"/>
      <c r="AJA88" s="6"/>
      <c r="AJB88" s="6"/>
      <c r="AJC88" s="6"/>
      <c r="AJD88" s="6"/>
      <c r="AJE88" s="6"/>
      <c r="AJF88" s="6"/>
      <c r="AJG88" s="6"/>
      <c r="AJH88" s="6"/>
      <c r="AJI88" s="6"/>
      <c r="AJJ88" s="6"/>
      <c r="AJK88" s="6"/>
      <c r="AJL88" s="6"/>
      <c r="AJM88" s="6"/>
      <c r="AJN88" s="6"/>
      <c r="AJO88" s="6"/>
      <c r="AJP88" s="6"/>
      <c r="AJQ88" s="6"/>
      <c r="AJR88" s="6"/>
      <c r="AJS88" s="6"/>
      <c r="AJT88" s="6"/>
      <c r="AJU88" s="6"/>
      <c r="AJV88" s="6"/>
      <c r="AJW88" s="6"/>
      <c r="AJX88" s="6"/>
      <c r="AJY88" s="6"/>
      <c r="AJZ88" s="6"/>
      <c r="AKA88" s="6"/>
      <c r="AKB88" s="6"/>
      <c r="AKC88" s="6"/>
      <c r="AKD88" s="6"/>
      <c r="AKE88" s="6"/>
      <c r="AKF88" s="6"/>
      <c r="AKG88" s="6"/>
      <c r="AKH88" s="6"/>
      <c r="AKI88" s="6"/>
      <c r="AKJ88" s="6"/>
      <c r="AKK88" s="6"/>
      <c r="AKL88" s="6"/>
      <c r="AKM88" s="6"/>
      <c r="AKN88" s="6"/>
      <c r="AKO88" s="6"/>
      <c r="AKP88" s="6"/>
      <c r="AKQ88" s="6"/>
      <c r="AKR88" s="6"/>
      <c r="AKS88" s="6"/>
      <c r="AKT88" s="6"/>
      <c r="AKU88" s="6"/>
      <c r="AKV88" s="6"/>
      <c r="AKW88" s="6"/>
      <c r="AKX88" s="6"/>
      <c r="AKY88" s="6"/>
      <c r="AKZ88" s="6"/>
      <c r="ALA88" s="6"/>
      <c r="ALB88" s="6"/>
      <c r="ALC88" s="6"/>
      <c r="ALD88" s="6"/>
      <c r="ALE88" s="6"/>
      <c r="ALF88" s="6"/>
      <c r="ALG88" s="6"/>
      <c r="ALH88" s="6"/>
      <c r="ALI88" s="6"/>
      <c r="ALJ88" s="6"/>
      <c r="ALK88" s="6"/>
      <c r="ALL88" s="6"/>
      <c r="ALM88" s="6"/>
      <c r="ALN88" s="6"/>
      <c r="ALO88" s="6"/>
      <c r="ALP88" s="6"/>
      <c r="ALQ88" s="6"/>
      <c r="ALR88" s="6"/>
      <c r="ALS88" s="6"/>
      <c r="ALT88" s="6"/>
      <c r="ALU88" s="6"/>
      <c r="ALV88" s="6"/>
      <c r="ALW88" s="6"/>
      <c r="ALX88" s="6"/>
      <c r="ALY88" s="6"/>
      <c r="ALZ88" s="6"/>
      <c r="AMA88" s="6"/>
      <c r="AMB88" s="6"/>
      <c r="AMC88" s="6"/>
      <c r="AMD88" s="6"/>
      <c r="AME88" s="6"/>
      <c r="AMF88" s="6"/>
      <c r="AMG88" s="6"/>
      <c r="AMH88" s="6"/>
      <c r="AMI88" s="6"/>
      <c r="AMJ88" s="6"/>
      <c r="AMK88" s="6"/>
      <c r="AML88" s="6"/>
      <c r="AMM88" s="6"/>
      <c r="AMN88" s="6"/>
      <c r="AMO88" s="6"/>
    </row>
    <row r="89" spans="1:1029" x14ac:dyDescent="0.2">
      <c r="A89" s="3" t="str">
        <f t="shared" si="222"/>
        <v>ccr5_human__wt</v>
      </c>
      <c r="B89" s="3" t="s">
        <v>173</v>
      </c>
      <c r="C89" s="3" t="s">
        <v>100</v>
      </c>
      <c r="D89" s="3" t="str">
        <f>IFERROR(MID(VLOOKUP($B89,Seqs!$A:$B,2,0),E89,1),"")</f>
        <v>K</v>
      </c>
      <c r="E89" s="3">
        <v>22</v>
      </c>
      <c r="F89" s="3" t="str">
        <f>IFERROR(MID(VLOOKUP($B89,Seqs!$A:$B,2,0),G89,1),"")</f>
        <v>C</v>
      </c>
      <c r="G89" s="3">
        <v>58</v>
      </c>
      <c r="H89" s="3" t="str">
        <f>IFERROR(MID(VLOOKUP($B89,Seqs!$A:$B,2,0),I89,1),"")</f>
        <v>K</v>
      </c>
      <c r="I89" s="23">
        <v>59</v>
      </c>
      <c r="J89" s="3" t="str">
        <f>IFERROR(MID(VLOOKUP($B89,Seqs!$A:$B,2,0),K89,1),"")</f>
        <v>K</v>
      </c>
      <c r="K89" s="23">
        <v>62</v>
      </c>
      <c r="L89" s="3" t="str">
        <f>IFERROR(MID(VLOOKUP($B89,Seqs!$A:$B,2,0),M89,1),"")</f>
        <v>S</v>
      </c>
      <c r="M89" s="3">
        <v>63</v>
      </c>
      <c r="N89" s="3" t="str">
        <f>IFERROR(MID(VLOOKUP($B89,Seqs!$A:$B,2,0),O89,1),"")</f>
        <v>A</v>
      </c>
      <c r="O89" s="3">
        <v>92</v>
      </c>
      <c r="P89" s="3" t="str">
        <f>IFERROR(MID(VLOOKUP($B89,Seqs!$A:$B,2,0),Q89,1),"")</f>
        <v>Q</v>
      </c>
      <c r="Q89" s="3">
        <v>93</v>
      </c>
      <c r="R89" s="3" t="str">
        <f>IFERROR(MID(VLOOKUP($B89,Seqs!$A:$B,2,0),S89,1),"")</f>
        <v>F</v>
      </c>
      <c r="S89" s="3">
        <v>96</v>
      </c>
      <c r="T89" s="3" t="str">
        <f>IFERROR(MID(VLOOKUP($B89,Seqs!$A:$B,2,0),U89,1),"")</f>
        <v>G</v>
      </c>
      <c r="U89" s="3">
        <v>97</v>
      </c>
      <c r="V89" s="3" t="str">
        <f>IFERROR(MID(VLOOKUP($B89,Seqs!$A:$B,2,0),W89,1),"")</f>
        <v>H</v>
      </c>
      <c r="W89" s="3">
        <v>132</v>
      </c>
      <c r="X89" s="3" t="str">
        <f>IFERROR(MID(VLOOKUP($B89,Seqs!$A:$B,2,0),Y89,1),"")</f>
        <v>A</v>
      </c>
      <c r="Y89" s="3">
        <v>133</v>
      </c>
      <c r="Z89" s="3" t="str">
        <f>IFERROR(MID(VLOOKUP($B89,Seqs!$A:$B,2,0),AA89,1),"")</f>
        <v>R</v>
      </c>
      <c r="AA89" s="3">
        <v>140</v>
      </c>
      <c r="AB89" s="3" t="str">
        <f>IFERROR(MID(VLOOKUP($B89,Seqs!$A:$B,2,0),AC89,1),"")</f>
        <v>T</v>
      </c>
      <c r="AC89" s="9">
        <v>141</v>
      </c>
      <c r="AD89" s="3" t="str">
        <f>IFERROR(MID(VLOOKUP($B89,Seqs!$A:$B,2,0),AE89,1),"")</f>
        <v>T</v>
      </c>
      <c r="AE89" s="3">
        <v>167</v>
      </c>
      <c r="AF89" s="3" t="str">
        <f>IFERROR(MID(VLOOKUP($B89,Seqs!$A:$B,2,0),AG89,1),"")</f>
        <v>C</v>
      </c>
      <c r="AG89" s="3">
        <v>178</v>
      </c>
      <c r="AH89" s="3" t="str">
        <f>IFERROR(MID(VLOOKUP($B89,Seqs!$A:$B,2,0),AI89,1),"")</f>
        <v>S</v>
      </c>
      <c r="AI89" s="3">
        <v>180</v>
      </c>
      <c r="AJ89" s="3" t="str">
        <f>IFERROR(MID(VLOOKUP($B89,Seqs!$A:$B,2,0),AK89,1),"")</f>
        <v>Q</v>
      </c>
      <c r="AK89" s="3">
        <v>186</v>
      </c>
      <c r="AL89" s="3" t="str">
        <f>IFERROR(MID(VLOOKUP($B89,Seqs!$A:$B,2,0),AM89,1),"")</f>
        <v>C</v>
      </c>
      <c r="AM89" s="3">
        <v>224</v>
      </c>
      <c r="AN89" s="3" t="str">
        <f>IFERROR(MID(VLOOKUP($B89,Seqs!$A:$B,2,0),AO89,1),"")</f>
        <v>K</v>
      </c>
      <c r="AO89" s="3">
        <v>228</v>
      </c>
      <c r="AP89" s="3" t="str">
        <f>IFERROR(MID(VLOOKUP($B89,Seqs!$A:$B,2,0),AQ89,1),"")</f>
        <v>G</v>
      </c>
      <c r="AQ89" s="3">
        <v>265</v>
      </c>
      <c r="AR89" s="3" t="str">
        <f>IFERROR(MID(VLOOKUP($B89,Seqs!$A:$B,2,0),AS89,1),"")</f>
        <v>N</v>
      </c>
      <c r="AS89" s="3">
        <v>268</v>
      </c>
      <c r="AT89" s="3" t="str">
        <f>IFERROR(MID(VLOOKUP($B89,Seqs!$A:$B,2,0),AU89,1),"")</f>
        <v>V</v>
      </c>
      <c r="AU89" s="3">
        <v>300</v>
      </c>
      <c r="AV89" s="3" t="str">
        <f>IFERROR(MID(VLOOKUP($B89,Seqs!$A:$B,2,0),AW89,1),"")</f>
        <v>G</v>
      </c>
      <c r="AW89" s="3">
        <v>301</v>
      </c>
      <c r="AX89" s="3" t="str">
        <f>IFERROR(MID(VLOOKUP($B89,Seqs!$A:$B,2,0),AY89,1),"")</f>
        <v>Q</v>
      </c>
      <c r="AY89" s="3">
        <v>313</v>
      </c>
      <c r="AZ89" s="79" t="str">
        <f>VLOOKUP(B89,Classification!A:D,2,0)</f>
        <v>A</v>
      </c>
      <c r="BA89" s="97" t="str">
        <f>VLOOKUP(B89,Classification!A:D,4,0)</f>
        <v>Chemokine</v>
      </c>
      <c r="BB89" s="27" t="b">
        <f t="shared" si="223"/>
        <v>1</v>
      </c>
      <c r="BC89" s="23">
        <f t="shared" si="196"/>
        <v>272</v>
      </c>
      <c r="BD89" s="35" t="s">
        <v>1379</v>
      </c>
      <c r="BE89" s="3" t="s">
        <v>1381</v>
      </c>
      <c r="BF89" s="50" t="s">
        <v>1379</v>
      </c>
      <c r="BG89" s="50" t="s">
        <v>1384</v>
      </c>
      <c r="BH89" s="1"/>
      <c r="BI89" s="72" t="s">
        <v>1293</v>
      </c>
      <c r="BJ89" s="58" t="s">
        <v>1293</v>
      </c>
      <c r="BK89" s="58" t="s">
        <v>1293</v>
      </c>
      <c r="BL89" s="58" t="s">
        <v>1293</v>
      </c>
      <c r="BM89" s="58" t="s">
        <v>1293</v>
      </c>
      <c r="BN89" s="58" t="s">
        <v>1293</v>
      </c>
      <c r="BO89" s="58" t="s">
        <v>1293</v>
      </c>
      <c r="BP89" s="58" t="s">
        <v>1293</v>
      </c>
      <c r="BQ89" s="58" t="s">
        <v>1293</v>
      </c>
      <c r="BR89" s="58" t="s">
        <v>1293</v>
      </c>
      <c r="BS89" s="58" t="s">
        <v>1293</v>
      </c>
      <c r="BT89" s="58" t="s">
        <v>1293</v>
      </c>
      <c r="BU89" s="72">
        <f t="shared" si="197"/>
        <v>22</v>
      </c>
      <c r="BV89" s="73">
        <f t="shared" si="198"/>
        <v>59</v>
      </c>
      <c r="BW89" s="74">
        <f t="shared" si="199"/>
        <v>63</v>
      </c>
      <c r="BX89" s="73">
        <f t="shared" si="200"/>
        <v>93</v>
      </c>
      <c r="BY89" s="74">
        <f t="shared" si="201"/>
        <v>97</v>
      </c>
      <c r="BZ89" s="73">
        <f t="shared" si="202"/>
        <v>133</v>
      </c>
      <c r="CA89" s="74">
        <f t="shared" si="203"/>
        <v>141</v>
      </c>
      <c r="CB89" s="73">
        <f t="shared" si="204"/>
        <v>178</v>
      </c>
      <c r="CC89" s="74">
        <f t="shared" si="205"/>
        <v>186</v>
      </c>
      <c r="CD89" s="73">
        <f t="shared" si="206"/>
        <v>228</v>
      </c>
      <c r="CE89" s="74">
        <f t="shared" si="207"/>
        <v>268</v>
      </c>
      <c r="CF89" s="73">
        <f t="shared" si="208"/>
        <v>301</v>
      </c>
      <c r="CG89" s="72">
        <f t="shared" si="209"/>
        <v>58</v>
      </c>
      <c r="CH89" s="73">
        <f t="shared" si="210"/>
        <v>62</v>
      </c>
      <c r="CI89" s="74">
        <f t="shared" si="211"/>
        <v>92</v>
      </c>
      <c r="CJ89" s="74">
        <f t="shared" si="212"/>
        <v>96</v>
      </c>
      <c r="CK89" s="74">
        <f t="shared" si="213"/>
        <v>132</v>
      </c>
      <c r="CL89" s="74">
        <f t="shared" si="214"/>
        <v>140</v>
      </c>
      <c r="CM89" s="74">
        <f t="shared" si="215"/>
        <v>167</v>
      </c>
      <c r="CN89" s="74">
        <f t="shared" si="216"/>
        <v>180</v>
      </c>
      <c r="CO89" s="74">
        <f t="shared" si="217"/>
        <v>224</v>
      </c>
      <c r="CP89" s="74">
        <f t="shared" si="218"/>
        <v>265</v>
      </c>
      <c r="CQ89" s="74">
        <f t="shared" si="219"/>
        <v>300</v>
      </c>
      <c r="CR89" s="74">
        <f t="shared" si="220"/>
        <v>313</v>
      </c>
      <c r="CS89" s="23">
        <f t="shared" si="221"/>
        <v>1</v>
      </c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  <c r="NA89" s="1"/>
      <c r="NB89" s="1"/>
      <c r="NC89" s="1"/>
      <c r="ND89" s="1"/>
      <c r="NE89" s="1"/>
      <c r="NF89" s="1"/>
      <c r="NG89" s="1"/>
      <c r="NH89" s="1"/>
      <c r="NI89" s="1"/>
      <c r="NJ89" s="1"/>
      <c r="NK89" s="1"/>
      <c r="NL89" s="1"/>
      <c r="NM89" s="1"/>
      <c r="NN89" s="1"/>
      <c r="NO89" s="1"/>
      <c r="NP89" s="1"/>
      <c r="NQ89" s="1"/>
      <c r="NR89" s="1"/>
      <c r="NS89" s="1"/>
      <c r="NT89" s="1"/>
      <c r="NU89" s="1"/>
      <c r="NV89" s="1"/>
      <c r="NW89" s="1"/>
      <c r="NX89" s="1"/>
      <c r="NY89" s="1"/>
      <c r="NZ89" s="1"/>
      <c r="OA89" s="1"/>
      <c r="OB89" s="1"/>
      <c r="OC89" s="1"/>
      <c r="OD89" s="1"/>
      <c r="OE89" s="1"/>
      <c r="OF89" s="1"/>
      <c r="OG89" s="1"/>
      <c r="OH89" s="1"/>
      <c r="OI89" s="1"/>
      <c r="OJ89" s="1"/>
      <c r="OK89" s="1"/>
      <c r="OL89" s="1"/>
      <c r="OM89" s="1"/>
      <c r="ON89" s="1"/>
      <c r="OO89" s="1"/>
      <c r="OP89" s="1"/>
      <c r="OQ89" s="1"/>
      <c r="OR89" s="1"/>
      <c r="OS89" s="1"/>
      <c r="OT89" s="1"/>
      <c r="OU89" s="1"/>
      <c r="OV89" s="1"/>
      <c r="OW89" s="1"/>
      <c r="OX89" s="1"/>
      <c r="OY89" s="1"/>
      <c r="OZ89" s="1"/>
      <c r="PA89" s="1"/>
      <c r="PB89" s="1"/>
      <c r="PC89" s="1"/>
      <c r="PD89" s="1"/>
      <c r="PE89" s="1"/>
      <c r="PF89" s="1"/>
      <c r="PG89" s="1"/>
      <c r="PH89" s="1"/>
      <c r="PI89" s="1"/>
      <c r="PJ89" s="1"/>
      <c r="PK89" s="1"/>
      <c r="PL89" s="1"/>
      <c r="PM89" s="1"/>
      <c r="PN89" s="1"/>
      <c r="PO89" s="1"/>
      <c r="PP89" s="1"/>
      <c r="PQ89" s="1"/>
      <c r="PR89" s="1"/>
      <c r="PS89" s="1"/>
      <c r="PT89" s="1"/>
      <c r="PU89" s="1"/>
      <c r="PV89" s="1"/>
      <c r="PW89" s="1"/>
      <c r="PX89" s="1"/>
      <c r="PY89" s="1"/>
      <c r="PZ89" s="1"/>
      <c r="QA89" s="1"/>
      <c r="QB89" s="1"/>
      <c r="QC89" s="1"/>
      <c r="QD89" s="1"/>
      <c r="QE89" s="1"/>
      <c r="QF89" s="1"/>
      <c r="QG89" s="1"/>
      <c r="QH89" s="1"/>
      <c r="QI89" s="1"/>
      <c r="QJ89" s="1"/>
      <c r="QK89" s="1"/>
      <c r="QL89" s="1"/>
      <c r="QM89" s="1"/>
      <c r="QN89" s="1"/>
      <c r="QO89" s="1"/>
      <c r="QP89" s="1"/>
      <c r="QQ89" s="1"/>
      <c r="QR89" s="1"/>
      <c r="QS89" s="1"/>
      <c r="QT89" s="1"/>
      <c r="QU89" s="1"/>
      <c r="QV89" s="1"/>
      <c r="QW89" s="1"/>
      <c r="QX89" s="1"/>
      <c r="QY89" s="1"/>
      <c r="QZ89" s="1"/>
      <c r="RA89" s="1"/>
      <c r="RB89" s="1"/>
      <c r="RC89" s="1"/>
      <c r="RD89" s="1"/>
      <c r="RE89" s="1"/>
      <c r="RF89" s="1"/>
      <c r="RG89" s="1"/>
      <c r="RH89" s="1"/>
      <c r="RI89" s="1"/>
      <c r="RJ89" s="1"/>
      <c r="RK89" s="1"/>
      <c r="RL89" s="1"/>
      <c r="RM89" s="1"/>
      <c r="RN89" s="1"/>
      <c r="RO89" s="1"/>
      <c r="RP89" s="1"/>
      <c r="RQ89" s="1"/>
      <c r="RR89" s="1"/>
      <c r="RS89" s="1"/>
      <c r="RT89" s="1"/>
      <c r="RU89" s="1"/>
      <c r="RV89" s="1"/>
      <c r="RW89" s="1"/>
      <c r="RX89" s="1"/>
      <c r="RY89" s="1"/>
      <c r="RZ89" s="1"/>
      <c r="SA89" s="1"/>
      <c r="SB89" s="1"/>
      <c r="SC89" s="1"/>
      <c r="SD89" s="1"/>
      <c r="SE89" s="1"/>
      <c r="SF89" s="1"/>
      <c r="SG89" s="1"/>
      <c r="SH89" s="1"/>
      <c r="SI89" s="1"/>
      <c r="SJ89" s="1"/>
      <c r="SK89" s="1"/>
      <c r="SL89" s="1"/>
      <c r="SM89" s="1"/>
      <c r="SN89" s="1"/>
      <c r="SO89" s="1"/>
      <c r="SP89" s="1"/>
      <c r="SQ89" s="1"/>
      <c r="SR89" s="1"/>
      <c r="SS89" s="1"/>
      <c r="ST89" s="1"/>
      <c r="SU89" s="1"/>
      <c r="SV89" s="1"/>
      <c r="SW89" s="1"/>
      <c r="SX89" s="1"/>
      <c r="SY89" s="1"/>
      <c r="SZ89" s="1"/>
      <c r="TA89" s="1"/>
      <c r="TB89" s="1"/>
      <c r="TC89" s="1"/>
      <c r="TD89" s="1"/>
      <c r="TE89" s="1"/>
      <c r="TF89" s="1"/>
      <c r="TG89" s="1"/>
      <c r="TH89" s="1"/>
      <c r="TI89" s="1"/>
      <c r="TJ89" s="1"/>
      <c r="TK89" s="1"/>
      <c r="TL89" s="1"/>
      <c r="TM89" s="1"/>
      <c r="TN89" s="1"/>
      <c r="TO89" s="1"/>
      <c r="TP89" s="1"/>
      <c r="TQ89" s="1"/>
      <c r="TR89" s="1"/>
      <c r="TS89" s="1"/>
      <c r="TT89" s="1"/>
      <c r="TU89" s="1"/>
      <c r="TV89" s="1"/>
      <c r="TW89" s="1"/>
      <c r="TX89" s="1"/>
      <c r="TY89" s="1"/>
      <c r="TZ89" s="1"/>
      <c r="UA89" s="1"/>
      <c r="UB89" s="1"/>
      <c r="UC89" s="1"/>
      <c r="UD89" s="1"/>
      <c r="UE89" s="1"/>
      <c r="UF89" s="1"/>
      <c r="UG89" s="1"/>
      <c r="UH89" s="1"/>
      <c r="UI89" s="1"/>
      <c r="UJ89" s="1"/>
      <c r="UK89" s="1"/>
      <c r="UL89" s="1"/>
      <c r="UM89" s="1"/>
      <c r="UN89" s="1"/>
      <c r="UO89" s="1"/>
      <c r="UP89" s="1"/>
      <c r="UQ89" s="1"/>
      <c r="UR89" s="1"/>
      <c r="US89" s="1"/>
      <c r="UT89" s="1"/>
      <c r="UU89" s="1"/>
      <c r="UV89" s="1"/>
      <c r="UW89" s="1"/>
      <c r="UX89" s="1"/>
      <c r="UY89" s="1"/>
      <c r="UZ89" s="1"/>
      <c r="VA89" s="1"/>
      <c r="VB89" s="1"/>
      <c r="VC89" s="1"/>
      <c r="VD89" s="1"/>
      <c r="VE89" s="1"/>
      <c r="VF89" s="1"/>
      <c r="VG89" s="1"/>
      <c r="VH89" s="1"/>
      <c r="VI89" s="1"/>
      <c r="VJ89" s="1"/>
      <c r="VK89" s="1"/>
      <c r="VL89" s="1"/>
      <c r="VM89" s="1"/>
      <c r="VN89" s="1"/>
      <c r="VO89" s="1"/>
      <c r="VP89" s="1"/>
      <c r="VQ89" s="1"/>
      <c r="VR89" s="1"/>
      <c r="VS89" s="1"/>
      <c r="VT89" s="1"/>
      <c r="VU89" s="1"/>
      <c r="VV89" s="1"/>
      <c r="VW89" s="1"/>
      <c r="VX89" s="1"/>
      <c r="VY89" s="1"/>
      <c r="VZ89" s="1"/>
      <c r="WA89" s="1"/>
      <c r="WB89" s="1"/>
      <c r="WC89" s="1"/>
      <c r="WD89" s="1"/>
      <c r="WE89" s="1"/>
      <c r="WF89" s="1"/>
      <c r="WG89" s="1"/>
      <c r="WH89" s="1"/>
      <c r="WI89" s="1"/>
      <c r="WJ89" s="1"/>
      <c r="WK89" s="1"/>
      <c r="WL89" s="1"/>
      <c r="WM89" s="1"/>
      <c r="WN89" s="1"/>
      <c r="WO89" s="1"/>
      <c r="WP89" s="1"/>
      <c r="WQ89" s="1"/>
      <c r="WR89" s="1"/>
      <c r="WS89" s="1"/>
      <c r="WT89" s="1"/>
      <c r="WU89" s="1"/>
      <c r="WV89" s="1"/>
      <c r="WW89" s="1"/>
      <c r="WX89" s="1"/>
      <c r="WY89" s="1"/>
      <c r="WZ89" s="1"/>
      <c r="XA89" s="1"/>
      <c r="XB89" s="1"/>
      <c r="XC89" s="1"/>
      <c r="XD89" s="1"/>
      <c r="XE89" s="1"/>
      <c r="XF89" s="1"/>
      <c r="XG89" s="1"/>
      <c r="XH89" s="1"/>
      <c r="XI89" s="1"/>
      <c r="XJ89" s="1"/>
      <c r="XK89" s="1"/>
      <c r="XL89" s="1"/>
      <c r="XM89" s="1"/>
      <c r="XN89" s="1"/>
      <c r="XO89" s="1"/>
      <c r="XP89" s="1"/>
      <c r="XQ89" s="1"/>
      <c r="XR89" s="1"/>
      <c r="XS89" s="1"/>
      <c r="XT89" s="1"/>
      <c r="XU89" s="1"/>
      <c r="XV89" s="1"/>
      <c r="XW89" s="1"/>
      <c r="XX89" s="1"/>
      <c r="XY89" s="1"/>
      <c r="XZ89" s="1"/>
      <c r="YA89" s="1"/>
      <c r="YB89" s="1"/>
      <c r="YC89" s="1"/>
      <c r="YD89" s="1"/>
      <c r="YE89" s="1"/>
      <c r="YF89" s="1"/>
      <c r="YG89" s="1"/>
      <c r="YH89" s="1"/>
      <c r="YI89" s="1"/>
      <c r="YJ89" s="1"/>
      <c r="YK89" s="1"/>
      <c r="YL89" s="1"/>
      <c r="YM89" s="1"/>
      <c r="YN89" s="1"/>
      <c r="YO89" s="1"/>
      <c r="YP89" s="1"/>
      <c r="YQ89" s="1"/>
      <c r="YR89" s="1"/>
      <c r="YS89" s="1"/>
      <c r="YT89" s="1"/>
      <c r="YU89" s="1"/>
      <c r="YV89" s="1"/>
      <c r="YW89" s="1"/>
      <c r="YX89" s="1"/>
      <c r="YY89" s="1"/>
      <c r="YZ89" s="1"/>
      <c r="ZA89" s="1"/>
      <c r="ZB89" s="1"/>
      <c r="ZC89" s="1"/>
      <c r="ZD89" s="1"/>
      <c r="ZE89" s="1"/>
      <c r="ZF89" s="1"/>
      <c r="ZG89" s="1"/>
      <c r="ZH89" s="1"/>
      <c r="ZI89" s="1"/>
      <c r="ZJ89" s="1"/>
      <c r="ZK89" s="1"/>
      <c r="ZL89" s="1"/>
      <c r="ZM89" s="1"/>
      <c r="ZN89" s="1"/>
      <c r="ZO89" s="1"/>
      <c r="ZP89" s="1"/>
      <c r="ZQ89" s="1"/>
      <c r="ZR89" s="1"/>
      <c r="ZS89" s="1"/>
      <c r="ZT89" s="1"/>
      <c r="ZU89" s="1"/>
      <c r="ZV89" s="1"/>
      <c r="ZW89" s="1"/>
      <c r="ZX89" s="1"/>
      <c r="ZY89" s="1"/>
      <c r="ZZ89" s="1"/>
      <c r="AAA89" s="1"/>
      <c r="AAB89" s="1"/>
      <c r="AAC89" s="1"/>
      <c r="AAD89" s="1"/>
      <c r="AAE89" s="1"/>
      <c r="AAF89" s="1"/>
      <c r="AAG89" s="1"/>
      <c r="AAH89" s="1"/>
      <c r="AAI89" s="1"/>
      <c r="AAJ89" s="1"/>
      <c r="AAK89" s="1"/>
      <c r="AAL89" s="1"/>
      <c r="AAM89" s="1"/>
      <c r="AAN89" s="1"/>
      <c r="AAO89" s="1"/>
      <c r="AAP89" s="1"/>
      <c r="AAQ89" s="1"/>
      <c r="AAR89" s="1"/>
      <c r="AAS89" s="1"/>
      <c r="AAT89" s="1"/>
      <c r="AAU89" s="1"/>
      <c r="AAV89" s="1"/>
      <c r="AAW89" s="1"/>
      <c r="AAX89" s="1"/>
      <c r="AAY89" s="1"/>
      <c r="AAZ89" s="1"/>
      <c r="ABA89" s="1"/>
      <c r="ABB89" s="1"/>
      <c r="ABC89" s="1"/>
      <c r="ABD89" s="1"/>
      <c r="ABE89" s="1"/>
      <c r="ABF89" s="1"/>
      <c r="ABG89" s="1"/>
      <c r="ABH89" s="1"/>
      <c r="ABI89" s="1"/>
      <c r="ABJ89" s="1"/>
      <c r="ABK89" s="1"/>
      <c r="ABL89" s="1"/>
      <c r="ABM89" s="1"/>
      <c r="ABN89" s="1"/>
      <c r="ABO89" s="1"/>
      <c r="ABP89" s="1"/>
      <c r="ABQ89" s="1"/>
      <c r="ABR89" s="1"/>
      <c r="ABS89" s="1"/>
      <c r="ABT89" s="1"/>
      <c r="ABU89" s="1"/>
      <c r="ABV89" s="1"/>
      <c r="ABW89" s="1"/>
      <c r="ABX89" s="1"/>
      <c r="ABY89" s="1"/>
      <c r="ABZ89" s="1"/>
      <c r="ACA89" s="1"/>
      <c r="ACB89" s="1"/>
      <c r="ACC89" s="1"/>
      <c r="ACD89" s="1"/>
      <c r="ACE89" s="1"/>
      <c r="ACF89" s="1"/>
      <c r="ACG89" s="1"/>
      <c r="ACH89" s="1"/>
      <c r="ACI89" s="1"/>
      <c r="ACJ89" s="1"/>
      <c r="ACK89" s="1"/>
      <c r="ACL89" s="1"/>
      <c r="ACM89" s="1"/>
      <c r="ACN89" s="1"/>
      <c r="ACO89" s="1"/>
      <c r="ACP89" s="1"/>
      <c r="ACQ89" s="1"/>
      <c r="ACR89" s="1"/>
      <c r="ACS89" s="1"/>
      <c r="ACT89" s="1"/>
      <c r="ACU89" s="1"/>
      <c r="ACV89" s="1"/>
      <c r="ACW89" s="1"/>
      <c r="ACX89" s="1"/>
      <c r="ACY89" s="1"/>
      <c r="ACZ89" s="1"/>
      <c r="ADA89" s="1"/>
      <c r="ADB89" s="1"/>
      <c r="ADC89" s="1"/>
      <c r="ADD89" s="1"/>
      <c r="ADE89" s="1"/>
      <c r="ADF89" s="1"/>
      <c r="ADG89" s="1"/>
      <c r="ADH89" s="1"/>
      <c r="ADI89" s="1"/>
      <c r="ADJ89" s="1"/>
      <c r="ADK89" s="1"/>
      <c r="ADL89" s="1"/>
      <c r="ADM89" s="1"/>
      <c r="ADN89" s="1"/>
      <c r="ADO89" s="1"/>
      <c r="ADP89" s="1"/>
      <c r="ADQ89" s="1"/>
      <c r="ADR89" s="1"/>
      <c r="ADS89" s="1"/>
      <c r="ADT89" s="1"/>
      <c r="ADU89" s="1"/>
      <c r="ADV89" s="1"/>
      <c r="ADW89" s="1"/>
      <c r="ADX89" s="1"/>
      <c r="ADY89" s="1"/>
      <c r="ADZ89" s="1"/>
      <c r="AEA89" s="1"/>
      <c r="AEB89" s="1"/>
      <c r="AEC89" s="1"/>
      <c r="AED89" s="1"/>
      <c r="AEE89" s="1"/>
      <c r="AEF89" s="1"/>
      <c r="AEG89" s="1"/>
      <c r="AEH89" s="1"/>
      <c r="AEI89" s="1"/>
      <c r="AEJ89" s="1"/>
      <c r="AEK89" s="1"/>
      <c r="AEL89" s="1"/>
      <c r="AEM89" s="1"/>
      <c r="AEN89" s="1"/>
      <c r="AEO89" s="1"/>
      <c r="AEP89" s="1"/>
      <c r="AEQ89" s="1"/>
      <c r="AER89" s="1"/>
      <c r="AES89" s="1"/>
      <c r="AET89" s="1"/>
      <c r="AEU89" s="1"/>
      <c r="AEV89" s="1"/>
      <c r="AEW89" s="1"/>
      <c r="AEX89" s="1"/>
      <c r="AEY89" s="1"/>
      <c r="AEZ89" s="1"/>
      <c r="AFA89" s="1"/>
      <c r="AFB89" s="1"/>
      <c r="AFC89" s="1"/>
      <c r="AFD89" s="1"/>
      <c r="AFE89" s="1"/>
      <c r="AFF89" s="1"/>
      <c r="AFG89" s="1"/>
      <c r="AFH89" s="1"/>
      <c r="AFI89" s="1"/>
      <c r="AFJ89" s="1"/>
      <c r="AFK89" s="1"/>
      <c r="AFL89" s="1"/>
      <c r="AFM89" s="1"/>
      <c r="AFN89" s="1"/>
      <c r="AFO89" s="1"/>
      <c r="AFP89" s="1"/>
      <c r="AFQ89" s="1"/>
      <c r="AFR89" s="1"/>
      <c r="AFS89" s="1"/>
      <c r="AFT89" s="1"/>
      <c r="AFU89" s="1"/>
      <c r="AFV89" s="1"/>
      <c r="AFW89" s="1"/>
      <c r="AFX89" s="1"/>
      <c r="AFY89" s="1"/>
      <c r="AFZ89" s="1"/>
      <c r="AGA89" s="1"/>
      <c r="AGB89" s="1"/>
      <c r="AGC89" s="1"/>
      <c r="AGD89" s="1"/>
      <c r="AGE89" s="1"/>
      <c r="AGF89" s="1"/>
      <c r="AGG89" s="1"/>
      <c r="AGH89" s="1"/>
      <c r="AGI89" s="1"/>
      <c r="AGJ89" s="1"/>
      <c r="AGK89" s="1"/>
      <c r="AGL89" s="1"/>
      <c r="AGM89" s="1"/>
      <c r="AGN89" s="1"/>
      <c r="AGO89" s="1"/>
      <c r="AGP89" s="1"/>
      <c r="AGQ89" s="1"/>
      <c r="AGR89" s="1"/>
      <c r="AGS89" s="1"/>
      <c r="AGT89" s="1"/>
      <c r="AGU89" s="1"/>
      <c r="AGV89" s="1"/>
      <c r="AGW89" s="1"/>
      <c r="AGX89" s="1"/>
      <c r="AGY89" s="1"/>
      <c r="AGZ89" s="1"/>
      <c r="AHA89" s="1"/>
      <c r="AHB89" s="1"/>
      <c r="AHC89" s="1"/>
      <c r="AHD89" s="1"/>
      <c r="AHE89" s="1"/>
      <c r="AHF89" s="1"/>
      <c r="AHG89" s="1"/>
      <c r="AHH89" s="1"/>
      <c r="AHI89" s="1"/>
      <c r="AHJ89" s="1"/>
      <c r="AHK89" s="1"/>
      <c r="AHL89" s="1"/>
      <c r="AHM89" s="1"/>
      <c r="AHN89" s="1"/>
      <c r="AHO89" s="1"/>
      <c r="AHP89" s="1"/>
      <c r="AHQ89" s="1"/>
      <c r="AHR89" s="1"/>
      <c r="AHS89" s="1"/>
      <c r="AHT89" s="1"/>
      <c r="AHU89" s="1"/>
      <c r="AHV89" s="1"/>
      <c r="AHW89" s="1"/>
      <c r="AHX89" s="1"/>
      <c r="AHY89" s="1"/>
      <c r="AHZ89" s="1"/>
      <c r="AIA89" s="1"/>
      <c r="AIB89" s="1"/>
      <c r="AIC89" s="1"/>
      <c r="AID89" s="1"/>
      <c r="AIE89" s="1"/>
      <c r="AIF89" s="1"/>
      <c r="AIG89" s="1"/>
      <c r="AIH89" s="1"/>
      <c r="AII89" s="1"/>
      <c r="AIJ89" s="1"/>
      <c r="AIK89" s="1"/>
      <c r="AIL89" s="1"/>
      <c r="AIM89" s="1"/>
      <c r="AIN89" s="1"/>
      <c r="AIO89" s="1"/>
      <c r="AIP89" s="1"/>
      <c r="AIQ89" s="1"/>
      <c r="AIR89" s="1"/>
      <c r="AIS89" s="1"/>
      <c r="AIT89" s="1"/>
      <c r="AIU89" s="1"/>
      <c r="AIV89" s="1"/>
      <c r="AIW89" s="1"/>
      <c r="AIX89" s="1"/>
      <c r="AIY89" s="1"/>
      <c r="AIZ89" s="1"/>
      <c r="AJA89" s="1"/>
      <c r="AJB89" s="1"/>
      <c r="AJC89" s="1"/>
      <c r="AJD89" s="1"/>
      <c r="AJE89" s="1"/>
      <c r="AJF89" s="1"/>
      <c r="AJG89" s="1"/>
      <c r="AJH89" s="1"/>
      <c r="AJI89" s="1"/>
      <c r="AJJ89" s="1"/>
      <c r="AJK89" s="1"/>
      <c r="AJL89" s="1"/>
      <c r="AJM89" s="1"/>
      <c r="AJN89" s="1"/>
      <c r="AJO89" s="1"/>
      <c r="AJP89" s="1"/>
      <c r="AJQ89" s="1"/>
      <c r="AJR89" s="1"/>
      <c r="AJS89" s="1"/>
      <c r="AJT89" s="1"/>
      <c r="AJU89" s="1"/>
      <c r="AJV89" s="1"/>
      <c r="AJW89" s="1"/>
      <c r="AJX89" s="1"/>
      <c r="AJY89" s="1"/>
      <c r="AJZ89" s="1"/>
      <c r="AKA89" s="1"/>
      <c r="AKB89" s="1"/>
      <c r="AKC89" s="1"/>
      <c r="AKD89" s="1"/>
      <c r="AKE89" s="1"/>
      <c r="AKF89" s="1"/>
      <c r="AKG89" s="1"/>
      <c r="AKH89" s="1"/>
      <c r="AKI89" s="1"/>
      <c r="AKJ89" s="1"/>
      <c r="AKK89" s="1"/>
      <c r="AKL89" s="1"/>
      <c r="AKM89" s="1"/>
      <c r="AKN89" s="1"/>
      <c r="AKO89" s="1"/>
      <c r="AKP89" s="1"/>
      <c r="AKQ89" s="1"/>
      <c r="AKR89" s="1"/>
      <c r="AKS89" s="1"/>
      <c r="AKT89" s="1"/>
      <c r="AKU89" s="1"/>
      <c r="AKV89" s="1"/>
      <c r="AKW89" s="1"/>
      <c r="AKX89" s="1"/>
      <c r="AKY89" s="1"/>
      <c r="AKZ89" s="1"/>
      <c r="ALA89" s="1"/>
      <c r="ALB89" s="1"/>
      <c r="ALC89" s="1"/>
      <c r="ALD89" s="1"/>
      <c r="ALE89" s="1"/>
      <c r="ALF89" s="1"/>
      <c r="ALG89" s="1"/>
      <c r="ALH89" s="1"/>
      <c r="ALI89" s="1"/>
      <c r="ALJ89" s="1"/>
      <c r="ALK89" s="1"/>
      <c r="ALL89" s="1"/>
      <c r="ALM89" s="1"/>
      <c r="ALN89" s="1"/>
      <c r="ALO89" s="1"/>
      <c r="ALP89" s="1"/>
      <c r="ALQ89" s="1"/>
      <c r="ALR89" s="1"/>
      <c r="ALS89" s="1"/>
      <c r="ALT89" s="1"/>
      <c r="ALU89" s="1"/>
      <c r="ALV89" s="1"/>
      <c r="ALW89" s="1"/>
      <c r="ALX89" s="1"/>
      <c r="ALY89" s="1"/>
      <c r="ALZ89" s="1"/>
      <c r="AMA89" s="1"/>
      <c r="AMB89" s="1"/>
      <c r="AMC89" s="1"/>
      <c r="AMD89" s="1"/>
      <c r="AME89" s="1"/>
      <c r="AMF89" s="1"/>
      <c r="AMG89" s="1"/>
      <c r="AMH89" s="1"/>
      <c r="AMI89" s="1"/>
      <c r="AMJ89" s="1"/>
      <c r="AMK89" s="1"/>
      <c r="AML89" s="1"/>
      <c r="AMM89" s="1"/>
      <c r="AMN89" s="1"/>
    </row>
    <row r="90" spans="1:1029" x14ac:dyDescent="0.2">
      <c r="A90" s="3" t="str">
        <f t="shared" si="222"/>
        <v>ccr5_human_4MBS</v>
      </c>
      <c r="B90" s="3" t="s">
        <v>173</v>
      </c>
      <c r="C90" s="3" t="s">
        <v>74</v>
      </c>
      <c r="D90" s="3" t="str">
        <f>IFERROR(MID(VLOOKUP($B90,Seqs!$A:$B,2,0),E90,1),"")</f>
        <v>V</v>
      </c>
      <c r="E90" s="3">
        <v>25</v>
      </c>
      <c r="F90" s="3" t="str">
        <f>IFERROR(MID(VLOOKUP($B90,Seqs!$A:$B,2,0),G90,1),"")</f>
        <v>C</v>
      </c>
      <c r="G90" s="3">
        <v>58</v>
      </c>
      <c r="H90" s="3" t="str">
        <f>IFERROR(MID(VLOOKUP($B90,Seqs!$A:$B,2,0),I90,1),"")</f>
        <v/>
      </c>
      <c r="I90" s="23" t="s">
        <v>23</v>
      </c>
      <c r="J90" s="3" t="str">
        <f>IFERROR(MID(VLOOKUP($B90,Seqs!$A:$B,2,0),K90,1),"")</f>
        <v/>
      </c>
      <c r="K90" s="23" t="s">
        <v>23</v>
      </c>
      <c r="L90" s="3" t="str">
        <f>IFERROR(MID(VLOOKUP($B90,Seqs!$A:$B,2,0),M90,1),"")</f>
        <v>S</v>
      </c>
      <c r="M90" s="3">
        <v>63</v>
      </c>
      <c r="N90" s="3" t="str">
        <f>IFERROR(MID(VLOOKUP($B90,Seqs!$A:$B,2,0),O90,1),"")</f>
        <v>A</v>
      </c>
      <c r="O90" s="3">
        <v>92</v>
      </c>
      <c r="P90" s="3" t="str">
        <f>IFERROR(MID(VLOOKUP($B90,Seqs!$A:$B,2,0),Q90,1),"")</f>
        <v>Q</v>
      </c>
      <c r="Q90" s="3">
        <v>93</v>
      </c>
      <c r="R90" s="3" t="str">
        <f>IFERROR(MID(VLOOKUP($B90,Seqs!$A:$B,2,0),S90,1),"")</f>
        <v>F</v>
      </c>
      <c r="S90" s="3">
        <v>96</v>
      </c>
      <c r="T90" s="3" t="str">
        <f>IFERROR(MID(VLOOKUP($B90,Seqs!$A:$B,2,0),U90,1),"")</f>
        <v>G</v>
      </c>
      <c r="U90" s="3">
        <v>97</v>
      </c>
      <c r="V90" s="3" t="str">
        <f>IFERROR(MID(VLOOKUP($B90,Seqs!$A:$B,2,0),W90,1),"")</f>
        <v>H</v>
      </c>
      <c r="W90" s="3">
        <v>132</v>
      </c>
      <c r="X90" s="3" t="str">
        <f>IFERROR(MID(VLOOKUP($B90,Seqs!$A:$B,2,0),Y90,1),"")</f>
        <v>A</v>
      </c>
      <c r="Y90" s="3">
        <v>133</v>
      </c>
      <c r="Z90" s="3" t="str">
        <f>IFERROR(MID(VLOOKUP($B90,Seqs!$A:$B,2,0),AA90,1),"")</f>
        <v>R</v>
      </c>
      <c r="AA90" s="3">
        <v>140</v>
      </c>
      <c r="AB90" s="3" t="str">
        <f>IFERROR(MID(VLOOKUP($B90,Seqs!$A:$B,2,0),AC90,1),"")</f>
        <v>T</v>
      </c>
      <c r="AC90" s="9">
        <v>141</v>
      </c>
      <c r="AD90" s="3" t="str">
        <f>IFERROR(MID(VLOOKUP($B90,Seqs!$A:$B,2,0),AE90,1),"")</f>
        <v>T</v>
      </c>
      <c r="AE90" s="3">
        <v>167</v>
      </c>
      <c r="AF90" s="3" t="str">
        <f>IFERROR(MID(VLOOKUP($B90,Seqs!$A:$B,2,0),AG90,1),"")</f>
        <v>C</v>
      </c>
      <c r="AG90" s="3">
        <v>178</v>
      </c>
      <c r="AH90" s="3" t="str">
        <f>IFERROR(MID(VLOOKUP($B90,Seqs!$A:$B,2,0),AI90,1),"")</f>
        <v>S</v>
      </c>
      <c r="AI90" s="3">
        <v>180</v>
      </c>
      <c r="AJ90" s="3" t="str">
        <f>IFERROR(MID(VLOOKUP($B90,Seqs!$A:$B,2,0),AK90,1),"")</f>
        <v>Q</v>
      </c>
      <c r="AK90" s="3">
        <v>186</v>
      </c>
      <c r="AL90" s="3" t="str">
        <f>IFERROR(MID(VLOOKUP($B90,Seqs!$A:$B,2,0),AM90,1),"")</f>
        <v>R</v>
      </c>
      <c r="AM90" s="3">
        <v>223</v>
      </c>
      <c r="AN90" s="3" t="str">
        <f>IFERROR(MID(VLOOKUP($B90,Seqs!$A:$B,2,0),AO90,1),"")</f>
        <v>K</v>
      </c>
      <c r="AO90" s="3">
        <v>228</v>
      </c>
      <c r="AP90" s="3" t="str">
        <f>IFERROR(MID(VLOOKUP($B90,Seqs!$A:$B,2,0),AQ90,1),"")</f>
        <v>G</v>
      </c>
      <c r="AQ90" s="3">
        <v>265</v>
      </c>
      <c r="AR90" s="3" t="str">
        <f>IFERROR(MID(VLOOKUP($B90,Seqs!$A:$B,2,0),AS90,1),"")</f>
        <v>N</v>
      </c>
      <c r="AS90" s="3">
        <v>268</v>
      </c>
      <c r="AT90" s="3" t="str">
        <f>IFERROR(MID(VLOOKUP($B90,Seqs!$A:$B,2,0),AU90,1),"")</f>
        <v>V</v>
      </c>
      <c r="AU90" s="3">
        <v>300</v>
      </c>
      <c r="AV90" s="3" t="str">
        <f>IFERROR(MID(VLOOKUP($B90,Seqs!$A:$B,2,0),AW90,1),"")</f>
        <v>G</v>
      </c>
      <c r="AW90" s="3">
        <v>301</v>
      </c>
      <c r="AX90" s="3" t="str">
        <f>IFERROR(MID(VLOOKUP($B90,Seqs!$A:$B,2,0),AY90,1),"")</f>
        <v>Q</v>
      </c>
      <c r="AY90" s="3">
        <v>313</v>
      </c>
      <c r="AZ90" s="79" t="str">
        <f>VLOOKUP(B90,Classification!A:D,2,0)</f>
        <v>A</v>
      </c>
      <c r="BA90" s="97" t="str">
        <f>VLOOKUP(B90,Classification!A:D,4,0)</f>
        <v>Chemokine</v>
      </c>
      <c r="BB90" s="27" t="b">
        <f t="shared" si="223"/>
        <v>1</v>
      </c>
      <c r="BC90" s="23">
        <f t="shared" si="196"/>
        <v>265</v>
      </c>
      <c r="BD90" s="2" t="s">
        <v>1383</v>
      </c>
      <c r="BE90" s="3" t="s">
        <v>1381</v>
      </c>
      <c r="BF90" s="50" t="s">
        <v>1384</v>
      </c>
      <c r="BG90" s="50" t="s">
        <v>1384</v>
      </c>
      <c r="BH90" s="1"/>
      <c r="BI90" s="72" t="s">
        <v>1293</v>
      </c>
      <c r="BJ90" s="58" t="s">
        <v>1293</v>
      </c>
      <c r="BK90" s="58" t="s">
        <v>1293</v>
      </c>
      <c r="BL90" s="58" t="s">
        <v>1293</v>
      </c>
      <c r="BM90" s="58" t="s">
        <v>1293</v>
      </c>
      <c r="BN90" s="58" t="s">
        <v>1293</v>
      </c>
      <c r="BO90" s="58" t="s">
        <v>1293</v>
      </c>
      <c r="BP90" s="58" t="s">
        <v>1293</v>
      </c>
      <c r="BQ90" s="58" t="s">
        <v>1293</v>
      </c>
      <c r="BR90" s="58" t="s">
        <v>1293</v>
      </c>
      <c r="BS90" s="58" t="s">
        <v>1293</v>
      </c>
      <c r="BT90" s="58" t="s">
        <v>1293</v>
      </c>
      <c r="BU90" s="72">
        <f t="shared" si="197"/>
        <v>25</v>
      </c>
      <c r="BV90" s="73" t="str">
        <f t="shared" si="198"/>
        <v>-</v>
      </c>
      <c r="BW90" s="74">
        <f t="shared" si="199"/>
        <v>63</v>
      </c>
      <c r="BX90" s="73">
        <f t="shared" si="200"/>
        <v>93</v>
      </c>
      <c r="BY90" s="74">
        <f t="shared" si="201"/>
        <v>97</v>
      </c>
      <c r="BZ90" s="73">
        <f t="shared" si="202"/>
        <v>133</v>
      </c>
      <c r="CA90" s="74">
        <f t="shared" si="203"/>
        <v>141</v>
      </c>
      <c r="CB90" s="73">
        <f t="shared" si="204"/>
        <v>178</v>
      </c>
      <c r="CC90" s="74">
        <f t="shared" si="205"/>
        <v>186</v>
      </c>
      <c r="CD90" s="73">
        <f t="shared" si="206"/>
        <v>228</v>
      </c>
      <c r="CE90" s="74">
        <f t="shared" si="207"/>
        <v>268</v>
      </c>
      <c r="CF90" s="73">
        <f t="shared" si="208"/>
        <v>301</v>
      </c>
      <c r="CG90" s="72">
        <f t="shared" si="209"/>
        <v>58</v>
      </c>
      <c r="CH90" s="73" t="str">
        <f t="shared" si="210"/>
        <v>-</v>
      </c>
      <c r="CI90" s="74">
        <f t="shared" si="211"/>
        <v>92</v>
      </c>
      <c r="CJ90" s="74">
        <f t="shared" si="212"/>
        <v>96</v>
      </c>
      <c r="CK90" s="74">
        <f t="shared" si="213"/>
        <v>132</v>
      </c>
      <c r="CL90" s="74">
        <f t="shared" si="214"/>
        <v>140</v>
      </c>
      <c r="CM90" s="74">
        <f t="shared" si="215"/>
        <v>167</v>
      </c>
      <c r="CN90" s="74">
        <f t="shared" si="216"/>
        <v>180</v>
      </c>
      <c r="CO90" s="74">
        <f t="shared" si="217"/>
        <v>223</v>
      </c>
      <c r="CP90" s="74">
        <f t="shared" si="218"/>
        <v>265</v>
      </c>
      <c r="CQ90" s="74">
        <f t="shared" si="219"/>
        <v>300</v>
      </c>
      <c r="CR90" s="74">
        <f t="shared" si="220"/>
        <v>313</v>
      </c>
      <c r="CS90" s="23" t="e">
        <f t="shared" si="221"/>
        <v>#VALUE!</v>
      </c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1"/>
      <c r="LM90" s="1"/>
      <c r="LN90" s="1"/>
      <c r="LO90" s="1"/>
      <c r="LP90" s="1"/>
      <c r="LQ90" s="1"/>
      <c r="LR90" s="1"/>
      <c r="LS90" s="1"/>
      <c r="LT90" s="1"/>
      <c r="LU90" s="1"/>
      <c r="LV90" s="1"/>
      <c r="LW90" s="1"/>
      <c r="LX90" s="1"/>
      <c r="LY90" s="1"/>
      <c r="LZ90" s="1"/>
      <c r="MA90" s="1"/>
      <c r="MB90" s="1"/>
      <c r="MC90" s="1"/>
      <c r="MD90" s="1"/>
      <c r="ME90" s="1"/>
      <c r="MF90" s="1"/>
      <c r="MG90" s="1"/>
      <c r="MH90" s="1"/>
      <c r="MI90" s="1"/>
      <c r="MJ90" s="1"/>
      <c r="MK90" s="1"/>
      <c r="ML90" s="1"/>
      <c r="MM90" s="1"/>
      <c r="MN90" s="1"/>
      <c r="MO90" s="1"/>
      <c r="MP90" s="1"/>
      <c r="MQ90" s="1"/>
      <c r="MR90" s="1"/>
      <c r="MS90" s="1"/>
      <c r="MT90" s="1"/>
      <c r="MU90" s="1"/>
      <c r="MV90" s="1"/>
      <c r="MW90" s="1"/>
      <c r="MX90" s="1"/>
      <c r="MY90" s="1"/>
      <c r="MZ90" s="1"/>
      <c r="NA90" s="1"/>
      <c r="NB90" s="1"/>
      <c r="NC90" s="1"/>
      <c r="ND90" s="1"/>
      <c r="NE90" s="1"/>
      <c r="NF90" s="1"/>
      <c r="NG90" s="1"/>
      <c r="NH90" s="1"/>
      <c r="NI90" s="1"/>
      <c r="NJ90" s="1"/>
      <c r="NK90" s="1"/>
      <c r="NL90" s="1"/>
      <c r="NM90" s="1"/>
      <c r="NN90" s="1"/>
      <c r="NO90" s="1"/>
      <c r="NP90" s="1"/>
      <c r="NQ90" s="1"/>
      <c r="NR90" s="1"/>
      <c r="NS90" s="1"/>
      <c r="NT90" s="1"/>
      <c r="NU90" s="1"/>
      <c r="NV90" s="1"/>
      <c r="NW90" s="1"/>
      <c r="NX90" s="1"/>
      <c r="NY90" s="1"/>
      <c r="NZ90" s="1"/>
      <c r="OA90" s="1"/>
      <c r="OB90" s="1"/>
      <c r="OC90" s="1"/>
      <c r="OD90" s="1"/>
      <c r="OE90" s="1"/>
      <c r="OF90" s="1"/>
      <c r="OG90" s="1"/>
      <c r="OH90" s="1"/>
      <c r="OI90" s="1"/>
      <c r="OJ90" s="1"/>
      <c r="OK90" s="1"/>
      <c r="OL90" s="1"/>
      <c r="OM90" s="1"/>
      <c r="ON90" s="1"/>
      <c r="OO90" s="1"/>
      <c r="OP90" s="1"/>
      <c r="OQ90" s="1"/>
      <c r="OR90" s="1"/>
      <c r="OS90" s="1"/>
      <c r="OT90" s="1"/>
      <c r="OU90" s="1"/>
      <c r="OV90" s="1"/>
      <c r="OW90" s="1"/>
      <c r="OX90" s="1"/>
      <c r="OY90" s="1"/>
      <c r="OZ90" s="1"/>
      <c r="PA90" s="1"/>
      <c r="PB90" s="1"/>
      <c r="PC90" s="1"/>
      <c r="PD90" s="1"/>
      <c r="PE90" s="1"/>
      <c r="PF90" s="1"/>
      <c r="PG90" s="1"/>
      <c r="PH90" s="1"/>
      <c r="PI90" s="1"/>
      <c r="PJ90" s="1"/>
      <c r="PK90" s="1"/>
      <c r="PL90" s="1"/>
      <c r="PM90" s="1"/>
      <c r="PN90" s="1"/>
      <c r="PO90" s="1"/>
      <c r="PP90" s="1"/>
      <c r="PQ90" s="1"/>
      <c r="PR90" s="1"/>
      <c r="PS90" s="1"/>
      <c r="PT90" s="1"/>
      <c r="PU90" s="1"/>
      <c r="PV90" s="1"/>
      <c r="PW90" s="1"/>
      <c r="PX90" s="1"/>
      <c r="PY90" s="1"/>
      <c r="PZ90" s="1"/>
      <c r="QA90" s="1"/>
      <c r="QB90" s="1"/>
      <c r="QC90" s="1"/>
      <c r="QD90" s="1"/>
      <c r="QE90" s="1"/>
      <c r="QF90" s="1"/>
      <c r="QG90" s="1"/>
      <c r="QH90" s="1"/>
      <c r="QI90" s="1"/>
      <c r="QJ90" s="1"/>
      <c r="QK90" s="1"/>
      <c r="QL90" s="1"/>
      <c r="QM90" s="1"/>
      <c r="QN90" s="1"/>
      <c r="QO90" s="1"/>
      <c r="QP90" s="1"/>
      <c r="QQ90" s="1"/>
      <c r="QR90" s="1"/>
      <c r="QS90" s="1"/>
      <c r="QT90" s="1"/>
      <c r="QU90" s="1"/>
      <c r="QV90" s="1"/>
      <c r="QW90" s="1"/>
      <c r="QX90" s="1"/>
      <c r="QY90" s="1"/>
      <c r="QZ90" s="1"/>
      <c r="RA90" s="1"/>
      <c r="RB90" s="1"/>
      <c r="RC90" s="1"/>
      <c r="RD90" s="1"/>
      <c r="RE90" s="1"/>
      <c r="RF90" s="1"/>
      <c r="RG90" s="1"/>
      <c r="RH90" s="1"/>
      <c r="RI90" s="1"/>
      <c r="RJ90" s="1"/>
      <c r="RK90" s="1"/>
      <c r="RL90" s="1"/>
      <c r="RM90" s="1"/>
      <c r="RN90" s="1"/>
      <c r="RO90" s="1"/>
      <c r="RP90" s="1"/>
      <c r="RQ90" s="1"/>
      <c r="RR90" s="1"/>
      <c r="RS90" s="1"/>
      <c r="RT90" s="1"/>
      <c r="RU90" s="1"/>
      <c r="RV90" s="1"/>
      <c r="RW90" s="1"/>
      <c r="RX90" s="1"/>
      <c r="RY90" s="1"/>
      <c r="RZ90" s="1"/>
      <c r="SA90" s="1"/>
      <c r="SB90" s="1"/>
      <c r="SC90" s="1"/>
      <c r="SD90" s="1"/>
      <c r="SE90" s="1"/>
      <c r="SF90" s="1"/>
      <c r="SG90" s="1"/>
      <c r="SH90" s="1"/>
      <c r="SI90" s="1"/>
      <c r="SJ90" s="1"/>
      <c r="SK90" s="1"/>
      <c r="SL90" s="1"/>
      <c r="SM90" s="1"/>
      <c r="SN90" s="1"/>
      <c r="SO90" s="1"/>
      <c r="SP90" s="1"/>
      <c r="SQ90" s="1"/>
      <c r="SR90" s="1"/>
      <c r="SS90" s="1"/>
      <c r="ST90" s="1"/>
      <c r="SU90" s="1"/>
      <c r="SV90" s="1"/>
      <c r="SW90" s="1"/>
      <c r="SX90" s="1"/>
      <c r="SY90" s="1"/>
      <c r="SZ90" s="1"/>
      <c r="TA90" s="1"/>
      <c r="TB90" s="1"/>
      <c r="TC90" s="1"/>
      <c r="TD90" s="1"/>
      <c r="TE90" s="1"/>
      <c r="TF90" s="1"/>
      <c r="TG90" s="1"/>
      <c r="TH90" s="1"/>
      <c r="TI90" s="1"/>
      <c r="TJ90" s="1"/>
      <c r="TK90" s="1"/>
      <c r="TL90" s="1"/>
      <c r="TM90" s="1"/>
      <c r="TN90" s="1"/>
      <c r="TO90" s="1"/>
      <c r="TP90" s="1"/>
      <c r="TQ90" s="1"/>
      <c r="TR90" s="1"/>
      <c r="TS90" s="1"/>
      <c r="TT90" s="1"/>
      <c r="TU90" s="1"/>
      <c r="TV90" s="1"/>
      <c r="TW90" s="1"/>
      <c r="TX90" s="1"/>
      <c r="TY90" s="1"/>
      <c r="TZ90" s="1"/>
      <c r="UA90" s="1"/>
      <c r="UB90" s="1"/>
      <c r="UC90" s="1"/>
      <c r="UD90" s="1"/>
      <c r="UE90" s="1"/>
      <c r="UF90" s="1"/>
      <c r="UG90" s="1"/>
      <c r="UH90" s="1"/>
      <c r="UI90" s="1"/>
      <c r="UJ90" s="1"/>
      <c r="UK90" s="1"/>
      <c r="UL90" s="1"/>
      <c r="UM90" s="1"/>
      <c r="UN90" s="1"/>
      <c r="UO90" s="1"/>
      <c r="UP90" s="1"/>
      <c r="UQ90" s="1"/>
      <c r="UR90" s="1"/>
      <c r="US90" s="1"/>
      <c r="UT90" s="1"/>
      <c r="UU90" s="1"/>
      <c r="UV90" s="1"/>
      <c r="UW90" s="1"/>
      <c r="UX90" s="1"/>
      <c r="UY90" s="1"/>
      <c r="UZ90" s="1"/>
      <c r="VA90" s="1"/>
      <c r="VB90" s="1"/>
      <c r="VC90" s="1"/>
      <c r="VD90" s="1"/>
      <c r="VE90" s="1"/>
      <c r="VF90" s="1"/>
      <c r="VG90" s="1"/>
      <c r="VH90" s="1"/>
      <c r="VI90" s="1"/>
      <c r="VJ90" s="1"/>
      <c r="VK90" s="1"/>
      <c r="VL90" s="1"/>
      <c r="VM90" s="1"/>
      <c r="VN90" s="1"/>
      <c r="VO90" s="1"/>
      <c r="VP90" s="1"/>
      <c r="VQ90" s="1"/>
      <c r="VR90" s="1"/>
      <c r="VS90" s="1"/>
      <c r="VT90" s="1"/>
      <c r="VU90" s="1"/>
      <c r="VV90" s="1"/>
      <c r="VW90" s="1"/>
      <c r="VX90" s="1"/>
      <c r="VY90" s="1"/>
      <c r="VZ90" s="1"/>
      <c r="WA90" s="1"/>
      <c r="WB90" s="1"/>
      <c r="WC90" s="1"/>
      <c r="WD90" s="1"/>
      <c r="WE90" s="1"/>
      <c r="WF90" s="1"/>
      <c r="WG90" s="1"/>
      <c r="WH90" s="1"/>
      <c r="WI90" s="1"/>
      <c r="WJ90" s="1"/>
      <c r="WK90" s="1"/>
      <c r="WL90" s="1"/>
      <c r="WM90" s="1"/>
      <c r="WN90" s="1"/>
      <c r="WO90" s="1"/>
      <c r="WP90" s="1"/>
      <c r="WQ90" s="1"/>
      <c r="WR90" s="1"/>
      <c r="WS90" s="1"/>
      <c r="WT90" s="1"/>
      <c r="WU90" s="1"/>
      <c r="WV90" s="1"/>
      <c r="WW90" s="1"/>
      <c r="WX90" s="1"/>
      <c r="WY90" s="1"/>
      <c r="WZ90" s="1"/>
      <c r="XA90" s="1"/>
      <c r="XB90" s="1"/>
      <c r="XC90" s="1"/>
      <c r="XD90" s="1"/>
      <c r="XE90" s="1"/>
      <c r="XF90" s="1"/>
      <c r="XG90" s="1"/>
      <c r="XH90" s="1"/>
      <c r="XI90" s="1"/>
      <c r="XJ90" s="1"/>
      <c r="XK90" s="1"/>
      <c r="XL90" s="1"/>
      <c r="XM90" s="1"/>
      <c r="XN90" s="1"/>
      <c r="XO90" s="1"/>
      <c r="XP90" s="1"/>
      <c r="XQ90" s="1"/>
      <c r="XR90" s="1"/>
      <c r="XS90" s="1"/>
      <c r="XT90" s="1"/>
      <c r="XU90" s="1"/>
      <c r="XV90" s="1"/>
      <c r="XW90" s="1"/>
      <c r="XX90" s="1"/>
      <c r="XY90" s="1"/>
      <c r="XZ90" s="1"/>
      <c r="YA90" s="1"/>
      <c r="YB90" s="1"/>
      <c r="YC90" s="1"/>
      <c r="YD90" s="1"/>
      <c r="YE90" s="1"/>
      <c r="YF90" s="1"/>
      <c r="YG90" s="1"/>
      <c r="YH90" s="1"/>
      <c r="YI90" s="1"/>
      <c r="YJ90" s="1"/>
      <c r="YK90" s="1"/>
      <c r="YL90" s="1"/>
      <c r="YM90" s="1"/>
      <c r="YN90" s="1"/>
      <c r="YO90" s="1"/>
      <c r="YP90" s="1"/>
      <c r="YQ90" s="1"/>
      <c r="YR90" s="1"/>
      <c r="YS90" s="1"/>
      <c r="YT90" s="1"/>
      <c r="YU90" s="1"/>
      <c r="YV90" s="1"/>
      <c r="YW90" s="1"/>
      <c r="YX90" s="1"/>
      <c r="YY90" s="1"/>
      <c r="YZ90" s="1"/>
      <c r="ZA90" s="1"/>
      <c r="ZB90" s="1"/>
      <c r="ZC90" s="1"/>
      <c r="ZD90" s="1"/>
      <c r="ZE90" s="1"/>
      <c r="ZF90" s="1"/>
      <c r="ZG90" s="1"/>
      <c r="ZH90" s="1"/>
      <c r="ZI90" s="1"/>
      <c r="ZJ90" s="1"/>
      <c r="ZK90" s="1"/>
      <c r="ZL90" s="1"/>
      <c r="ZM90" s="1"/>
      <c r="ZN90" s="1"/>
      <c r="ZO90" s="1"/>
      <c r="ZP90" s="1"/>
      <c r="ZQ90" s="1"/>
      <c r="ZR90" s="1"/>
      <c r="ZS90" s="1"/>
      <c r="ZT90" s="1"/>
      <c r="ZU90" s="1"/>
      <c r="ZV90" s="1"/>
      <c r="ZW90" s="1"/>
      <c r="ZX90" s="1"/>
      <c r="ZY90" s="1"/>
      <c r="ZZ90" s="1"/>
      <c r="AAA90" s="1"/>
      <c r="AAB90" s="1"/>
      <c r="AAC90" s="1"/>
      <c r="AAD90" s="1"/>
      <c r="AAE90" s="1"/>
      <c r="AAF90" s="1"/>
      <c r="AAG90" s="1"/>
      <c r="AAH90" s="1"/>
      <c r="AAI90" s="1"/>
      <c r="AAJ90" s="1"/>
      <c r="AAK90" s="1"/>
      <c r="AAL90" s="1"/>
      <c r="AAM90" s="1"/>
      <c r="AAN90" s="1"/>
      <c r="AAO90" s="1"/>
      <c r="AAP90" s="1"/>
      <c r="AAQ90" s="1"/>
      <c r="AAR90" s="1"/>
      <c r="AAS90" s="1"/>
      <c r="AAT90" s="1"/>
      <c r="AAU90" s="1"/>
      <c r="AAV90" s="1"/>
      <c r="AAW90" s="1"/>
      <c r="AAX90" s="1"/>
      <c r="AAY90" s="1"/>
      <c r="AAZ90" s="1"/>
      <c r="ABA90" s="1"/>
      <c r="ABB90" s="1"/>
      <c r="ABC90" s="1"/>
      <c r="ABD90" s="1"/>
      <c r="ABE90" s="1"/>
      <c r="ABF90" s="1"/>
      <c r="ABG90" s="1"/>
      <c r="ABH90" s="1"/>
      <c r="ABI90" s="1"/>
      <c r="ABJ90" s="1"/>
      <c r="ABK90" s="1"/>
      <c r="ABL90" s="1"/>
      <c r="ABM90" s="1"/>
      <c r="ABN90" s="1"/>
      <c r="ABO90" s="1"/>
      <c r="ABP90" s="1"/>
      <c r="ABQ90" s="1"/>
      <c r="ABR90" s="1"/>
      <c r="ABS90" s="1"/>
      <c r="ABT90" s="1"/>
      <c r="ABU90" s="1"/>
      <c r="ABV90" s="1"/>
      <c r="ABW90" s="1"/>
      <c r="ABX90" s="1"/>
      <c r="ABY90" s="1"/>
      <c r="ABZ90" s="1"/>
      <c r="ACA90" s="1"/>
      <c r="ACB90" s="1"/>
      <c r="ACC90" s="1"/>
      <c r="ACD90" s="1"/>
      <c r="ACE90" s="1"/>
      <c r="ACF90" s="1"/>
      <c r="ACG90" s="1"/>
      <c r="ACH90" s="1"/>
      <c r="ACI90" s="1"/>
      <c r="ACJ90" s="1"/>
      <c r="ACK90" s="1"/>
      <c r="ACL90" s="1"/>
      <c r="ACM90" s="1"/>
      <c r="ACN90" s="1"/>
      <c r="ACO90" s="1"/>
      <c r="ACP90" s="1"/>
      <c r="ACQ90" s="1"/>
      <c r="ACR90" s="1"/>
      <c r="ACS90" s="1"/>
      <c r="ACT90" s="1"/>
      <c r="ACU90" s="1"/>
      <c r="ACV90" s="1"/>
      <c r="ACW90" s="1"/>
      <c r="ACX90" s="1"/>
      <c r="ACY90" s="1"/>
      <c r="ACZ90" s="1"/>
      <c r="ADA90" s="1"/>
      <c r="ADB90" s="1"/>
      <c r="ADC90" s="1"/>
      <c r="ADD90" s="1"/>
      <c r="ADE90" s="1"/>
      <c r="ADF90" s="1"/>
      <c r="ADG90" s="1"/>
      <c r="ADH90" s="1"/>
      <c r="ADI90" s="1"/>
      <c r="ADJ90" s="1"/>
      <c r="ADK90" s="1"/>
      <c r="ADL90" s="1"/>
      <c r="ADM90" s="1"/>
      <c r="ADN90" s="1"/>
      <c r="ADO90" s="1"/>
      <c r="ADP90" s="1"/>
      <c r="ADQ90" s="1"/>
      <c r="ADR90" s="1"/>
      <c r="ADS90" s="1"/>
      <c r="ADT90" s="1"/>
      <c r="ADU90" s="1"/>
      <c r="ADV90" s="1"/>
      <c r="ADW90" s="1"/>
      <c r="ADX90" s="1"/>
      <c r="ADY90" s="1"/>
      <c r="ADZ90" s="1"/>
      <c r="AEA90" s="1"/>
      <c r="AEB90" s="1"/>
      <c r="AEC90" s="1"/>
      <c r="AED90" s="1"/>
      <c r="AEE90" s="1"/>
      <c r="AEF90" s="1"/>
      <c r="AEG90" s="1"/>
      <c r="AEH90" s="1"/>
      <c r="AEI90" s="1"/>
      <c r="AEJ90" s="1"/>
      <c r="AEK90" s="1"/>
      <c r="AEL90" s="1"/>
      <c r="AEM90" s="1"/>
      <c r="AEN90" s="1"/>
      <c r="AEO90" s="1"/>
      <c r="AEP90" s="1"/>
      <c r="AEQ90" s="1"/>
      <c r="AER90" s="1"/>
      <c r="AES90" s="1"/>
      <c r="AET90" s="1"/>
      <c r="AEU90" s="1"/>
      <c r="AEV90" s="1"/>
      <c r="AEW90" s="1"/>
      <c r="AEX90" s="1"/>
      <c r="AEY90" s="1"/>
      <c r="AEZ90" s="1"/>
      <c r="AFA90" s="1"/>
      <c r="AFB90" s="1"/>
      <c r="AFC90" s="1"/>
      <c r="AFD90" s="1"/>
      <c r="AFE90" s="1"/>
      <c r="AFF90" s="1"/>
      <c r="AFG90" s="1"/>
      <c r="AFH90" s="1"/>
      <c r="AFI90" s="1"/>
      <c r="AFJ90" s="1"/>
      <c r="AFK90" s="1"/>
      <c r="AFL90" s="1"/>
      <c r="AFM90" s="1"/>
      <c r="AFN90" s="1"/>
      <c r="AFO90" s="1"/>
      <c r="AFP90" s="1"/>
      <c r="AFQ90" s="1"/>
      <c r="AFR90" s="1"/>
      <c r="AFS90" s="1"/>
      <c r="AFT90" s="1"/>
      <c r="AFU90" s="1"/>
      <c r="AFV90" s="1"/>
      <c r="AFW90" s="1"/>
      <c r="AFX90" s="1"/>
      <c r="AFY90" s="1"/>
      <c r="AFZ90" s="1"/>
      <c r="AGA90" s="1"/>
      <c r="AGB90" s="1"/>
      <c r="AGC90" s="1"/>
      <c r="AGD90" s="1"/>
      <c r="AGE90" s="1"/>
      <c r="AGF90" s="1"/>
      <c r="AGG90" s="1"/>
      <c r="AGH90" s="1"/>
      <c r="AGI90" s="1"/>
      <c r="AGJ90" s="1"/>
      <c r="AGK90" s="1"/>
      <c r="AGL90" s="1"/>
      <c r="AGM90" s="1"/>
      <c r="AGN90" s="1"/>
      <c r="AGO90" s="1"/>
      <c r="AGP90" s="1"/>
      <c r="AGQ90" s="1"/>
      <c r="AGR90" s="1"/>
      <c r="AGS90" s="1"/>
      <c r="AGT90" s="1"/>
      <c r="AGU90" s="1"/>
      <c r="AGV90" s="1"/>
      <c r="AGW90" s="1"/>
      <c r="AGX90" s="1"/>
      <c r="AGY90" s="1"/>
      <c r="AGZ90" s="1"/>
      <c r="AHA90" s="1"/>
      <c r="AHB90" s="1"/>
      <c r="AHC90" s="1"/>
      <c r="AHD90" s="1"/>
      <c r="AHE90" s="1"/>
      <c r="AHF90" s="1"/>
      <c r="AHG90" s="1"/>
      <c r="AHH90" s="1"/>
      <c r="AHI90" s="1"/>
      <c r="AHJ90" s="1"/>
      <c r="AHK90" s="1"/>
      <c r="AHL90" s="1"/>
      <c r="AHM90" s="1"/>
      <c r="AHN90" s="1"/>
      <c r="AHO90" s="1"/>
      <c r="AHP90" s="1"/>
      <c r="AHQ90" s="1"/>
      <c r="AHR90" s="1"/>
      <c r="AHS90" s="1"/>
      <c r="AHT90" s="1"/>
      <c r="AHU90" s="1"/>
      <c r="AHV90" s="1"/>
      <c r="AHW90" s="1"/>
      <c r="AHX90" s="1"/>
      <c r="AHY90" s="1"/>
      <c r="AHZ90" s="1"/>
      <c r="AIA90" s="1"/>
      <c r="AIB90" s="1"/>
      <c r="AIC90" s="1"/>
      <c r="AID90" s="1"/>
      <c r="AIE90" s="1"/>
      <c r="AIF90" s="1"/>
      <c r="AIG90" s="1"/>
      <c r="AIH90" s="1"/>
      <c r="AII90" s="1"/>
      <c r="AIJ90" s="1"/>
      <c r="AIK90" s="1"/>
      <c r="AIL90" s="1"/>
      <c r="AIM90" s="1"/>
      <c r="AIN90" s="1"/>
      <c r="AIO90" s="1"/>
      <c r="AIP90" s="1"/>
      <c r="AIQ90" s="1"/>
      <c r="AIR90" s="1"/>
      <c r="AIS90" s="1"/>
      <c r="AIT90" s="1"/>
      <c r="AIU90" s="1"/>
      <c r="AIV90" s="1"/>
      <c r="AIW90" s="1"/>
      <c r="AIX90" s="1"/>
      <c r="AIY90" s="1"/>
      <c r="AIZ90" s="1"/>
      <c r="AJA90" s="1"/>
      <c r="AJB90" s="1"/>
      <c r="AJC90" s="1"/>
      <c r="AJD90" s="1"/>
      <c r="AJE90" s="1"/>
      <c r="AJF90" s="1"/>
      <c r="AJG90" s="1"/>
      <c r="AJH90" s="1"/>
      <c r="AJI90" s="1"/>
      <c r="AJJ90" s="1"/>
      <c r="AJK90" s="1"/>
      <c r="AJL90" s="1"/>
      <c r="AJM90" s="1"/>
      <c r="AJN90" s="1"/>
      <c r="AJO90" s="1"/>
      <c r="AJP90" s="1"/>
      <c r="AJQ90" s="1"/>
      <c r="AJR90" s="1"/>
      <c r="AJS90" s="1"/>
      <c r="AJT90" s="1"/>
      <c r="AJU90" s="1"/>
      <c r="AJV90" s="1"/>
      <c r="AJW90" s="1"/>
      <c r="AJX90" s="1"/>
      <c r="AJY90" s="1"/>
      <c r="AJZ90" s="1"/>
      <c r="AKA90" s="1"/>
      <c r="AKB90" s="1"/>
      <c r="AKC90" s="1"/>
      <c r="AKD90" s="1"/>
      <c r="AKE90" s="1"/>
      <c r="AKF90" s="1"/>
      <c r="AKG90" s="1"/>
      <c r="AKH90" s="1"/>
      <c r="AKI90" s="1"/>
      <c r="AKJ90" s="1"/>
      <c r="AKK90" s="1"/>
      <c r="AKL90" s="1"/>
      <c r="AKM90" s="1"/>
      <c r="AKN90" s="1"/>
      <c r="AKO90" s="1"/>
      <c r="AKP90" s="1"/>
      <c r="AKQ90" s="1"/>
      <c r="AKR90" s="1"/>
      <c r="AKS90" s="1"/>
      <c r="AKT90" s="1"/>
      <c r="AKU90" s="1"/>
      <c r="AKV90" s="1"/>
      <c r="AKW90" s="1"/>
      <c r="AKX90" s="1"/>
      <c r="AKY90" s="1"/>
      <c r="AKZ90" s="1"/>
      <c r="ALA90" s="1"/>
      <c r="ALB90" s="1"/>
      <c r="ALC90" s="1"/>
      <c r="ALD90" s="1"/>
      <c r="ALE90" s="1"/>
      <c r="ALF90" s="1"/>
      <c r="ALG90" s="1"/>
      <c r="ALH90" s="1"/>
      <c r="ALI90" s="1"/>
      <c r="ALJ90" s="1"/>
      <c r="ALK90" s="1"/>
      <c r="ALL90" s="1"/>
      <c r="ALM90" s="1"/>
      <c r="ALN90" s="1"/>
      <c r="ALO90" s="1"/>
      <c r="ALP90" s="1"/>
      <c r="ALQ90" s="1"/>
      <c r="ALR90" s="1"/>
      <c r="ALS90" s="1"/>
      <c r="ALT90" s="1"/>
      <c r="ALU90" s="1"/>
      <c r="ALV90" s="1"/>
      <c r="ALW90" s="1"/>
      <c r="ALX90" s="1"/>
      <c r="ALY90" s="1"/>
      <c r="ALZ90" s="1"/>
      <c r="AMA90" s="1"/>
      <c r="AMB90" s="1"/>
      <c r="AMC90" s="1"/>
      <c r="AMD90" s="1"/>
      <c r="AME90" s="1"/>
      <c r="AMF90" s="1"/>
      <c r="AMG90" s="1"/>
      <c r="AMH90" s="1"/>
      <c r="AMI90" s="1"/>
      <c r="AMJ90" s="1"/>
      <c r="AMK90" s="1"/>
      <c r="AML90" s="1"/>
      <c r="AMM90" s="1"/>
      <c r="AMN90" s="1"/>
    </row>
    <row r="91" spans="1:1029" s="12" customFormat="1" x14ac:dyDescent="0.2">
      <c r="A91" s="9" t="str">
        <f t="shared" ref="A91" si="336">CONCATENATE(B91,"_",C91)</f>
        <v>ccr5_human_5UIW</v>
      </c>
      <c r="B91" s="9" t="s">
        <v>173</v>
      </c>
      <c r="C91" s="9" t="s">
        <v>1434</v>
      </c>
      <c r="D91" s="9" t="str">
        <f>IFERROR(MID(VLOOKUP($B91,Seqs!$A:$B,2,0),E91,1),"")</f>
        <v>K</v>
      </c>
      <c r="E91" s="9">
        <v>22</v>
      </c>
      <c r="F91" s="9" t="str">
        <f>IFERROR(MID(VLOOKUP($B91,Seqs!$A:$B,2,0),G91,1),"")</f>
        <v>C</v>
      </c>
      <c r="G91" s="9">
        <v>58</v>
      </c>
      <c r="H91" s="9" t="str">
        <f>IFERROR(MID(VLOOKUP($B91,Seqs!$A:$B,2,0),I91,1),"")</f>
        <v/>
      </c>
      <c r="I91" s="112" t="s">
        <v>23</v>
      </c>
      <c r="J91" s="9" t="str">
        <f>IFERROR(MID(VLOOKUP($B91,Seqs!$A:$B,2,0),K91,1),"")</f>
        <v/>
      </c>
      <c r="K91" s="112" t="s">
        <v>23</v>
      </c>
      <c r="L91" s="9" t="str">
        <f>IFERROR(MID(VLOOKUP($B91,Seqs!$A:$B,2,0),M91,1),"")</f>
        <v>S</v>
      </c>
      <c r="M91" s="9">
        <v>63</v>
      </c>
      <c r="N91" s="9" t="str">
        <f>IFERROR(MID(VLOOKUP($B91,Seqs!$A:$B,2,0),O91,1),"")</f>
        <v>A</v>
      </c>
      <c r="O91" s="9">
        <v>92</v>
      </c>
      <c r="P91" s="9" t="str">
        <f>IFERROR(MID(VLOOKUP($B91,Seqs!$A:$B,2,0),Q91,1),"")</f>
        <v>Q</v>
      </c>
      <c r="Q91" s="9">
        <v>93</v>
      </c>
      <c r="R91" s="9" t="str">
        <f>IFERROR(MID(VLOOKUP($B91,Seqs!$A:$B,2,0),S91,1),"")</f>
        <v>F</v>
      </c>
      <c r="S91" s="9">
        <v>96</v>
      </c>
      <c r="T91" s="9" t="str">
        <f>IFERROR(MID(VLOOKUP($B91,Seqs!$A:$B,2,0),U91,1),"")</f>
        <v>G</v>
      </c>
      <c r="U91" s="9">
        <v>97</v>
      </c>
      <c r="V91" s="9" t="str">
        <f>IFERROR(MID(VLOOKUP($B91,Seqs!$A:$B,2,0),W91,1),"")</f>
        <v>H</v>
      </c>
      <c r="W91" s="9">
        <v>132</v>
      </c>
      <c r="X91" s="9" t="str">
        <f>IFERROR(MID(VLOOKUP($B91,Seqs!$A:$B,2,0),Y91,1),"")</f>
        <v>A</v>
      </c>
      <c r="Y91" s="9">
        <v>133</v>
      </c>
      <c r="Z91" s="9" t="str">
        <f>IFERROR(MID(VLOOKUP($B91,Seqs!$A:$B,2,0),AA91,1),"")</f>
        <v>R</v>
      </c>
      <c r="AA91" s="9">
        <v>140</v>
      </c>
      <c r="AB91" s="9" t="str">
        <f>IFERROR(MID(VLOOKUP($B91,Seqs!$A:$B,2,0),AC91,1),"")</f>
        <v>T</v>
      </c>
      <c r="AC91" s="9">
        <v>141</v>
      </c>
      <c r="AD91" s="9" t="str">
        <f>IFERROR(MID(VLOOKUP($B91,Seqs!$A:$B,2,0),AE91,1),"")</f>
        <v>T</v>
      </c>
      <c r="AE91" s="9">
        <v>167</v>
      </c>
      <c r="AF91" s="9" t="str">
        <f>IFERROR(MID(VLOOKUP($B91,Seqs!$A:$B,2,0),AG91,1),"")</f>
        <v>C</v>
      </c>
      <c r="AG91" s="9">
        <v>178</v>
      </c>
      <c r="AH91" s="9" t="str">
        <f>IFERROR(MID(VLOOKUP($B91,Seqs!$A:$B,2,0),AI91,1),"")</f>
        <v>S</v>
      </c>
      <c r="AI91" s="9">
        <v>180</v>
      </c>
      <c r="AJ91" s="9" t="str">
        <f>IFERROR(MID(VLOOKUP($B91,Seqs!$A:$B,2,0),AK91,1),"")</f>
        <v>Q</v>
      </c>
      <c r="AK91" s="9">
        <v>186</v>
      </c>
      <c r="AL91" s="9" t="str">
        <f>IFERROR(MID(VLOOKUP($B91,Seqs!$A:$B,2,0),AM91,1),"")</f>
        <v>R</v>
      </c>
      <c r="AM91" s="9">
        <v>223</v>
      </c>
      <c r="AN91" s="9" t="str">
        <f>IFERROR(MID(VLOOKUP($B91,Seqs!$A:$B,2,0),AO91,1),"")</f>
        <v>E</v>
      </c>
      <c r="AO91" s="9">
        <v>227</v>
      </c>
      <c r="AP91" s="9" t="str">
        <f>IFERROR(MID(VLOOKUP($B91,Seqs!$A:$B,2,0),AQ91,1),"")</f>
        <v>Q</v>
      </c>
      <c r="AQ91" s="9">
        <v>261</v>
      </c>
      <c r="AR91" s="9" t="str">
        <f>IFERROR(MID(VLOOKUP($B91,Seqs!$A:$B,2,0),AS91,1),"")</f>
        <v>N</v>
      </c>
      <c r="AS91" s="9">
        <v>268</v>
      </c>
      <c r="AT91" s="9" t="str">
        <f>IFERROR(MID(VLOOKUP($B91,Seqs!$A:$B,2,0),AU91,1),"")</f>
        <v>V</v>
      </c>
      <c r="AU91" s="9">
        <v>300</v>
      </c>
      <c r="AV91" s="9" t="str">
        <f>IFERROR(MID(VLOOKUP($B91,Seqs!$A:$B,2,0),AW91,1),"")</f>
        <v>G</v>
      </c>
      <c r="AW91" s="9">
        <v>301</v>
      </c>
      <c r="AX91" s="9" t="str">
        <f>IFERROR(MID(VLOOKUP($B91,Seqs!$A:$B,2,0),AY91,1),"")</f>
        <v>I</v>
      </c>
      <c r="AY91" s="9">
        <v>316</v>
      </c>
      <c r="AZ91" s="113" t="str">
        <f>VLOOKUP(B91,Classification!A:D,2,0)</f>
        <v>A</v>
      </c>
      <c r="BA91" s="101" t="str">
        <f>VLOOKUP(B91,Classification!A:D,4,0)</f>
        <v>Chemokine</v>
      </c>
      <c r="BB91" s="37" t="b">
        <f t="shared" ref="BB91" si="337">AND(E91&lt;G91,OR(G91&lt;I91,I91="-"),OR(I91&lt;K91,I91="-"),OR(K91&lt;M91,K91="-"),M91&lt;O91,OR(O91&lt;Q91,Q91="-"),OR(Q91&lt;S91,Q91="-"),OR(S91&lt;U91,S91="-"),U91&lt;W91,OR(W91&lt;Y91,Y91="-"),OR(Y91&lt;AA91,Y91="-"),OR(AA91&lt;AC91,AA91="-"),AC91&lt;AE91,OR(AE91&lt;AG91,AG91="-"),OR(AG91&lt;AI91,AG91="-"),OR(AI91&lt;AK91,AI91="-"),AK91&lt;AM91,AM91&lt;AO91,AO91&lt;AQ91,AQ91&lt;AS91,AS91&lt;AU91,OR(AU91&lt;AW91,AW91="-"),OR(AW91&lt;AY91,AW91="-"))</f>
        <v>1</v>
      </c>
      <c r="BC91" s="112">
        <f>_xlfn.AGGREGATE(9,6,CG91:CR91)-_xlfn.AGGREGATE(9,6,BU91:CF91)+12</f>
        <v>268</v>
      </c>
      <c r="BD91" s="41" t="s">
        <v>1383</v>
      </c>
      <c r="BE91" s="9" t="s">
        <v>1381</v>
      </c>
      <c r="BF91" s="52" t="s">
        <v>1384</v>
      </c>
      <c r="BG91" s="52" t="s">
        <v>1384</v>
      </c>
      <c r="BI91" s="114" t="s">
        <v>1293</v>
      </c>
      <c r="BJ91" s="115" t="s">
        <v>1293</v>
      </c>
      <c r="BK91" s="115" t="s">
        <v>1293</v>
      </c>
      <c r="BL91" s="115" t="s">
        <v>1293</v>
      </c>
      <c r="BM91" s="115" t="s">
        <v>1293</v>
      </c>
      <c r="BN91" s="115" t="s">
        <v>1293</v>
      </c>
      <c r="BO91" s="115" t="s">
        <v>1293</v>
      </c>
      <c r="BP91" s="115" t="s">
        <v>1293</v>
      </c>
      <c r="BQ91" s="115" t="s">
        <v>1293</v>
      </c>
      <c r="BR91" s="115" t="s">
        <v>1293</v>
      </c>
      <c r="BS91" s="115" t="s">
        <v>1293</v>
      </c>
      <c r="BT91" s="115" t="s">
        <v>1293</v>
      </c>
      <c r="BU91" s="114">
        <f t="shared" ref="BU91" si="338">E91</f>
        <v>22</v>
      </c>
      <c r="BV91" s="116" t="str">
        <f t="shared" ref="BV91" si="339">I91</f>
        <v>-</v>
      </c>
      <c r="BW91" s="117">
        <f t="shared" ref="BW91" si="340">M91</f>
        <v>63</v>
      </c>
      <c r="BX91" s="116">
        <f t="shared" ref="BX91" si="341">Q91</f>
        <v>93</v>
      </c>
      <c r="BY91" s="117">
        <f t="shared" ref="BY91" si="342">U91</f>
        <v>97</v>
      </c>
      <c r="BZ91" s="116">
        <f t="shared" ref="BZ91" si="343">Y91</f>
        <v>133</v>
      </c>
      <c r="CA91" s="117">
        <f t="shared" ref="CA91" si="344">AC91</f>
        <v>141</v>
      </c>
      <c r="CB91" s="116">
        <f t="shared" ref="CB91" si="345">AG91</f>
        <v>178</v>
      </c>
      <c r="CC91" s="117">
        <f t="shared" ref="CC91" si="346">AK91</f>
        <v>186</v>
      </c>
      <c r="CD91" s="116">
        <f t="shared" ref="CD91" si="347">AO91</f>
        <v>227</v>
      </c>
      <c r="CE91" s="117">
        <f t="shared" ref="CE91" si="348">AS91</f>
        <v>268</v>
      </c>
      <c r="CF91" s="116">
        <f t="shared" ref="CF91" si="349">AW91</f>
        <v>301</v>
      </c>
      <c r="CG91" s="114">
        <f t="shared" ref="CG91" si="350">G91</f>
        <v>58</v>
      </c>
      <c r="CH91" s="116" t="str">
        <f t="shared" ref="CH91" si="351">K91</f>
        <v>-</v>
      </c>
      <c r="CI91" s="117">
        <f t="shared" ref="CI91" si="352">O91</f>
        <v>92</v>
      </c>
      <c r="CJ91" s="117">
        <f t="shared" ref="CJ91" si="353">S91</f>
        <v>96</v>
      </c>
      <c r="CK91" s="117">
        <f t="shared" ref="CK91" si="354">W91</f>
        <v>132</v>
      </c>
      <c r="CL91" s="117">
        <f t="shared" ref="CL91" si="355">AA91</f>
        <v>140</v>
      </c>
      <c r="CM91" s="117">
        <f t="shared" ref="CM91" si="356">AE91</f>
        <v>167</v>
      </c>
      <c r="CN91" s="117">
        <f t="shared" ref="CN91" si="357">AI91</f>
        <v>180</v>
      </c>
      <c r="CO91" s="117">
        <f t="shared" ref="CO91" si="358">AM91</f>
        <v>223</v>
      </c>
      <c r="CP91" s="117">
        <f t="shared" ref="CP91" si="359">AQ91</f>
        <v>261</v>
      </c>
      <c r="CQ91" s="117">
        <f t="shared" ref="CQ91" si="360">AU91</f>
        <v>300</v>
      </c>
      <c r="CR91" s="117">
        <f t="shared" ref="CR91" si="361">AY91</f>
        <v>316</v>
      </c>
      <c r="CS91" s="112" t="e">
        <f t="shared" ref="CS91" si="362">M91-K91</f>
        <v>#VALUE!</v>
      </c>
    </row>
    <row r="92" spans="1:1029" x14ac:dyDescent="0.2">
      <c r="A92" s="3" t="str">
        <f t="shared" si="222"/>
        <v>ccr9_human__wt</v>
      </c>
      <c r="B92" s="3" t="s">
        <v>177</v>
      </c>
      <c r="C92" s="3" t="s">
        <v>100</v>
      </c>
      <c r="D92" s="3" t="str">
        <f>IFERROR(MID(VLOOKUP($B92,Seqs!$A:$B,2,0),E92,1),"")</f>
        <v>V</v>
      </c>
      <c r="E92" s="3">
        <v>43</v>
      </c>
      <c r="F92" s="3" t="str">
        <f>IFERROR(MID(VLOOKUP($B92,Seqs!$A:$B,2,0),G92,1),"")</f>
        <v>C</v>
      </c>
      <c r="G92" s="3">
        <v>76</v>
      </c>
      <c r="H92" s="3" t="str">
        <f>IFERROR(MID(VLOOKUP($B92,Seqs!$A:$B,2,0),I92,1),"")</f>
        <v>T</v>
      </c>
      <c r="I92" s="23">
        <v>77</v>
      </c>
      <c r="J92" s="3" t="str">
        <f>IFERROR(MID(VLOOKUP($B92,Seqs!$A:$B,2,0),K92,1),"")</f>
        <v>K</v>
      </c>
      <c r="K92" s="23">
        <v>80</v>
      </c>
      <c r="L92" s="3" t="str">
        <f>IFERROR(MID(VLOOKUP($B92,Seqs!$A:$B,2,0),M92,1),"")</f>
        <v>T</v>
      </c>
      <c r="M92" s="3">
        <v>81</v>
      </c>
      <c r="N92" s="3" t="str">
        <f>IFERROR(MID(VLOOKUP($B92,Seqs!$A:$B,2,0),O92,1),"")</f>
        <v>D</v>
      </c>
      <c r="O92" s="3">
        <v>110</v>
      </c>
      <c r="P92" s="3" t="str">
        <f>IFERROR(MID(VLOOKUP($B92,Seqs!$A:$B,2,0),Q92,1),"")</f>
        <v>Q</v>
      </c>
      <c r="Q92" s="3">
        <v>111</v>
      </c>
      <c r="R92" s="3" t="str">
        <f>IFERROR(MID(VLOOKUP($B92,Seqs!$A:$B,2,0),S92,1),"")</f>
        <v>F</v>
      </c>
      <c r="S92" s="3">
        <v>114</v>
      </c>
      <c r="T92" s="3" t="str">
        <f>IFERROR(MID(VLOOKUP($B92,Seqs!$A:$B,2,0),U92,1),"")</f>
        <v>Q</v>
      </c>
      <c r="U92" s="3">
        <v>115</v>
      </c>
      <c r="V92" s="3" t="str">
        <f>IFERROR(MID(VLOOKUP($B92,Seqs!$A:$B,2,0),W92,1),"")</f>
        <v>Q</v>
      </c>
      <c r="W92" s="3">
        <v>150</v>
      </c>
      <c r="X92" s="3" t="str">
        <f>IFERROR(MID(VLOOKUP($B92,Seqs!$A:$B,2,0),Y92,1),"")</f>
        <v>A</v>
      </c>
      <c r="Y92" s="3">
        <v>151</v>
      </c>
      <c r="Z92" s="3" t="str">
        <f>IFERROR(MID(VLOOKUP($B92,Seqs!$A:$B,2,0),AA92,1),"")</f>
        <v>W</v>
      </c>
      <c r="AA92" s="3">
        <v>157</v>
      </c>
      <c r="AB92" s="3" t="str">
        <f>IFERROR(MID(VLOOKUP($B92,Seqs!$A:$B,2,0),AC92,1),"")</f>
        <v>R</v>
      </c>
      <c r="AC92" s="9">
        <v>158</v>
      </c>
      <c r="AD92" s="3" t="str">
        <f>IFERROR(MID(VLOOKUP($B92,Seqs!$A:$B,2,0),AE92,1),"")</f>
        <v>S</v>
      </c>
      <c r="AE92" s="3">
        <v>187</v>
      </c>
      <c r="AF92" s="3" t="str">
        <f>IFERROR(MID(VLOOKUP($B92,Seqs!$A:$B,2,0),AG92,1),"")</f>
        <v>C</v>
      </c>
      <c r="AG92" s="3">
        <v>198</v>
      </c>
      <c r="AH92" s="3" t="str">
        <f>IFERROR(MID(VLOOKUP($B92,Seqs!$A:$B,2,0),AI92,1),"")</f>
        <v>M</v>
      </c>
      <c r="AI92" s="3">
        <v>200</v>
      </c>
      <c r="AJ92" s="3" t="str">
        <f>IFERROR(MID(VLOOKUP($B92,Seqs!$A:$B,2,0),AK92,1),"")</f>
        <v>K</v>
      </c>
      <c r="AK92" s="3">
        <v>209</v>
      </c>
      <c r="AL92" s="3" t="str">
        <f>IFERROR(MID(VLOOKUP($B92,Seqs!$A:$B,2,0),AM92,1),"")</f>
        <v>A</v>
      </c>
      <c r="AM92" s="3">
        <v>244</v>
      </c>
      <c r="AN92" s="3" t="str">
        <f>IFERROR(MID(VLOOKUP($B92,Seqs!$A:$B,2,0),AO92,1),"")</f>
        <v>S</v>
      </c>
      <c r="AO92" s="3">
        <v>247</v>
      </c>
      <c r="AP92" s="3" t="str">
        <f>IFERROR(MID(VLOOKUP($B92,Seqs!$A:$B,2,0),AQ92,1),"")</f>
        <v>M</v>
      </c>
      <c r="AQ92" s="3">
        <v>284</v>
      </c>
      <c r="AR92" s="3" t="str">
        <f>IFERROR(MID(VLOOKUP($B92,Seqs!$A:$B,2,0),AS92,1),"")</f>
        <v>N</v>
      </c>
      <c r="AS92" s="3">
        <v>288</v>
      </c>
      <c r="AT92" s="3" t="str">
        <f>IFERROR(MID(VLOOKUP($B92,Seqs!$A:$B,2,0),AU92,1),"")</f>
        <v>V</v>
      </c>
      <c r="AU92" s="3">
        <v>320</v>
      </c>
      <c r="AV92" s="3" t="str">
        <f>IFERROR(MID(VLOOKUP($B92,Seqs!$A:$B,2,0),AW92,1),"")</f>
        <v>G</v>
      </c>
      <c r="AW92" s="3">
        <v>321</v>
      </c>
      <c r="AX92" s="3" t="str">
        <f>IFERROR(MID(VLOOKUP($B92,Seqs!$A:$B,2,0),AY92,1),"")</f>
        <v>A</v>
      </c>
      <c r="AY92" s="3">
        <v>341</v>
      </c>
      <c r="AZ92" s="79" t="str">
        <f>VLOOKUP(B92,Classification!A:D,2,0)</f>
        <v>A</v>
      </c>
      <c r="BA92" s="97" t="str">
        <f>VLOOKUP(B92,Classification!A:D,4,0)</f>
        <v>Chemokine</v>
      </c>
      <c r="BB92" s="27" t="b">
        <f t="shared" si="223"/>
        <v>1</v>
      </c>
      <c r="BC92" s="23">
        <f t="shared" si="196"/>
        <v>276</v>
      </c>
      <c r="BD92" s="57" t="s">
        <v>1379</v>
      </c>
      <c r="BE92" s="3" t="s">
        <v>1381</v>
      </c>
      <c r="BF92" s="50" t="s">
        <v>1379</v>
      </c>
      <c r="BG92" s="50" t="s">
        <v>1384</v>
      </c>
      <c r="BH92" s="1"/>
      <c r="BI92" s="72" t="s">
        <v>1293</v>
      </c>
      <c r="BJ92" s="58" t="s">
        <v>1293</v>
      </c>
      <c r="BK92" s="58" t="s">
        <v>1293</v>
      </c>
      <c r="BL92" s="58" t="s">
        <v>1293</v>
      </c>
      <c r="BM92" s="58" t="s">
        <v>1293</v>
      </c>
      <c r="BN92" s="58" t="s">
        <v>1293</v>
      </c>
      <c r="BO92" s="58" t="s">
        <v>1293</v>
      </c>
      <c r="BP92" s="58" t="s">
        <v>1293</v>
      </c>
      <c r="BQ92" s="58" t="s">
        <v>1293</v>
      </c>
      <c r="BR92" s="58" t="s">
        <v>1293</v>
      </c>
      <c r="BS92" s="58" t="s">
        <v>1293</v>
      </c>
      <c r="BT92" s="58" t="s">
        <v>1293</v>
      </c>
      <c r="BU92" s="72">
        <f t="shared" si="197"/>
        <v>43</v>
      </c>
      <c r="BV92" s="73">
        <f t="shared" si="198"/>
        <v>77</v>
      </c>
      <c r="BW92" s="74">
        <f t="shared" si="199"/>
        <v>81</v>
      </c>
      <c r="BX92" s="73">
        <f t="shared" si="200"/>
        <v>111</v>
      </c>
      <c r="BY92" s="74">
        <f t="shared" si="201"/>
        <v>115</v>
      </c>
      <c r="BZ92" s="73">
        <f t="shared" si="202"/>
        <v>151</v>
      </c>
      <c r="CA92" s="74">
        <f t="shared" si="203"/>
        <v>158</v>
      </c>
      <c r="CB92" s="73">
        <f t="shared" si="204"/>
        <v>198</v>
      </c>
      <c r="CC92" s="74">
        <f t="shared" si="205"/>
        <v>209</v>
      </c>
      <c r="CD92" s="73">
        <f t="shared" si="206"/>
        <v>247</v>
      </c>
      <c r="CE92" s="74">
        <f t="shared" si="207"/>
        <v>288</v>
      </c>
      <c r="CF92" s="73">
        <f t="shared" si="208"/>
        <v>321</v>
      </c>
      <c r="CG92" s="72">
        <f t="shared" si="209"/>
        <v>76</v>
      </c>
      <c r="CH92" s="73">
        <f t="shared" si="210"/>
        <v>80</v>
      </c>
      <c r="CI92" s="74">
        <f t="shared" si="211"/>
        <v>110</v>
      </c>
      <c r="CJ92" s="74">
        <f t="shared" si="212"/>
        <v>114</v>
      </c>
      <c r="CK92" s="74">
        <f t="shared" si="213"/>
        <v>150</v>
      </c>
      <c r="CL92" s="74">
        <f t="shared" si="214"/>
        <v>157</v>
      </c>
      <c r="CM92" s="74">
        <f t="shared" si="215"/>
        <v>187</v>
      </c>
      <c r="CN92" s="74">
        <f t="shared" si="216"/>
        <v>200</v>
      </c>
      <c r="CO92" s="74">
        <f t="shared" si="217"/>
        <v>244</v>
      </c>
      <c r="CP92" s="74">
        <f t="shared" si="218"/>
        <v>284</v>
      </c>
      <c r="CQ92" s="74">
        <f t="shared" si="219"/>
        <v>320</v>
      </c>
      <c r="CR92" s="74">
        <f t="shared" si="220"/>
        <v>341</v>
      </c>
      <c r="CS92" s="23">
        <f t="shared" si="221"/>
        <v>1</v>
      </c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/>
      <c r="LO92" s="1"/>
      <c r="LP92" s="1"/>
      <c r="LQ92" s="1"/>
      <c r="LR92" s="1"/>
      <c r="LS92" s="1"/>
      <c r="LT92" s="1"/>
      <c r="LU92" s="1"/>
      <c r="LV92" s="1"/>
      <c r="LW92" s="1"/>
      <c r="LX92" s="1"/>
      <c r="LY92" s="1"/>
      <c r="LZ92" s="1"/>
      <c r="MA92" s="1"/>
      <c r="MB92" s="1"/>
      <c r="MC92" s="1"/>
      <c r="MD92" s="1"/>
      <c r="ME92" s="1"/>
      <c r="MF92" s="1"/>
      <c r="MG92" s="1"/>
      <c r="MH92" s="1"/>
      <c r="MI92" s="1"/>
      <c r="MJ92" s="1"/>
      <c r="MK92" s="1"/>
      <c r="ML92" s="1"/>
      <c r="MM92" s="1"/>
      <c r="MN92" s="1"/>
      <c r="MO92" s="1"/>
      <c r="MP92" s="1"/>
      <c r="MQ92" s="1"/>
      <c r="MR92" s="1"/>
      <c r="MS92" s="1"/>
      <c r="MT92" s="1"/>
      <c r="MU92" s="1"/>
      <c r="MV92" s="1"/>
      <c r="MW92" s="1"/>
      <c r="MX92" s="1"/>
      <c r="MY92" s="1"/>
      <c r="MZ92" s="1"/>
      <c r="NA92" s="1"/>
      <c r="NB92" s="1"/>
      <c r="NC92" s="1"/>
      <c r="ND92" s="1"/>
      <c r="NE92" s="1"/>
      <c r="NF92" s="1"/>
      <c r="NG92" s="1"/>
      <c r="NH92" s="1"/>
      <c r="NI92" s="1"/>
      <c r="NJ92" s="1"/>
      <c r="NK92" s="1"/>
      <c r="NL92" s="1"/>
      <c r="NM92" s="1"/>
      <c r="NN92" s="1"/>
      <c r="NO92" s="1"/>
      <c r="NP92" s="1"/>
      <c r="NQ92" s="1"/>
      <c r="NR92" s="1"/>
      <c r="NS92" s="1"/>
      <c r="NT92" s="1"/>
      <c r="NU92" s="1"/>
      <c r="NV92" s="1"/>
      <c r="NW92" s="1"/>
      <c r="NX92" s="1"/>
      <c r="NY92" s="1"/>
      <c r="NZ92" s="1"/>
      <c r="OA92" s="1"/>
      <c r="OB92" s="1"/>
      <c r="OC92" s="1"/>
      <c r="OD92" s="1"/>
      <c r="OE92" s="1"/>
      <c r="OF92" s="1"/>
      <c r="OG92" s="1"/>
      <c r="OH92" s="1"/>
      <c r="OI92" s="1"/>
      <c r="OJ92" s="1"/>
      <c r="OK92" s="1"/>
      <c r="OL92" s="1"/>
      <c r="OM92" s="1"/>
      <c r="ON92" s="1"/>
      <c r="OO92" s="1"/>
      <c r="OP92" s="1"/>
      <c r="OQ92" s="1"/>
      <c r="OR92" s="1"/>
      <c r="OS92" s="1"/>
      <c r="OT92" s="1"/>
      <c r="OU92" s="1"/>
      <c r="OV92" s="1"/>
      <c r="OW92" s="1"/>
      <c r="OX92" s="1"/>
      <c r="OY92" s="1"/>
      <c r="OZ92" s="1"/>
      <c r="PA92" s="1"/>
      <c r="PB92" s="1"/>
      <c r="PC92" s="1"/>
      <c r="PD92" s="1"/>
      <c r="PE92" s="1"/>
      <c r="PF92" s="1"/>
      <c r="PG92" s="1"/>
      <c r="PH92" s="1"/>
      <c r="PI92" s="1"/>
      <c r="PJ92" s="1"/>
      <c r="PK92" s="1"/>
      <c r="PL92" s="1"/>
      <c r="PM92" s="1"/>
      <c r="PN92" s="1"/>
      <c r="PO92" s="1"/>
      <c r="PP92" s="1"/>
      <c r="PQ92" s="1"/>
      <c r="PR92" s="1"/>
      <c r="PS92" s="1"/>
      <c r="PT92" s="1"/>
      <c r="PU92" s="1"/>
      <c r="PV92" s="1"/>
      <c r="PW92" s="1"/>
      <c r="PX92" s="1"/>
      <c r="PY92" s="1"/>
      <c r="PZ92" s="1"/>
      <c r="QA92" s="1"/>
      <c r="QB92" s="1"/>
      <c r="QC92" s="1"/>
      <c r="QD92" s="1"/>
      <c r="QE92" s="1"/>
      <c r="QF92" s="1"/>
      <c r="QG92" s="1"/>
      <c r="QH92" s="1"/>
      <c r="QI92" s="1"/>
      <c r="QJ92" s="1"/>
      <c r="QK92" s="1"/>
      <c r="QL92" s="1"/>
      <c r="QM92" s="1"/>
      <c r="QN92" s="1"/>
      <c r="QO92" s="1"/>
      <c r="QP92" s="1"/>
      <c r="QQ92" s="1"/>
      <c r="QR92" s="1"/>
      <c r="QS92" s="1"/>
      <c r="QT92" s="1"/>
      <c r="QU92" s="1"/>
      <c r="QV92" s="1"/>
      <c r="QW92" s="1"/>
      <c r="QX92" s="1"/>
      <c r="QY92" s="1"/>
      <c r="QZ92" s="1"/>
      <c r="RA92" s="1"/>
      <c r="RB92" s="1"/>
      <c r="RC92" s="1"/>
      <c r="RD92" s="1"/>
      <c r="RE92" s="1"/>
      <c r="RF92" s="1"/>
      <c r="RG92" s="1"/>
      <c r="RH92" s="1"/>
      <c r="RI92" s="1"/>
      <c r="RJ92" s="1"/>
      <c r="RK92" s="1"/>
      <c r="RL92" s="1"/>
      <c r="RM92" s="1"/>
      <c r="RN92" s="1"/>
      <c r="RO92" s="1"/>
      <c r="RP92" s="1"/>
      <c r="RQ92" s="1"/>
      <c r="RR92" s="1"/>
      <c r="RS92" s="1"/>
      <c r="RT92" s="1"/>
      <c r="RU92" s="1"/>
      <c r="RV92" s="1"/>
      <c r="RW92" s="1"/>
      <c r="RX92" s="1"/>
      <c r="RY92" s="1"/>
      <c r="RZ92" s="1"/>
      <c r="SA92" s="1"/>
      <c r="SB92" s="1"/>
      <c r="SC92" s="1"/>
      <c r="SD92" s="1"/>
      <c r="SE92" s="1"/>
      <c r="SF92" s="1"/>
      <c r="SG92" s="1"/>
      <c r="SH92" s="1"/>
      <c r="SI92" s="1"/>
      <c r="SJ92" s="1"/>
      <c r="SK92" s="1"/>
      <c r="SL92" s="1"/>
      <c r="SM92" s="1"/>
      <c r="SN92" s="1"/>
      <c r="SO92" s="1"/>
      <c r="SP92" s="1"/>
      <c r="SQ92" s="1"/>
      <c r="SR92" s="1"/>
      <c r="SS92" s="1"/>
      <c r="ST92" s="1"/>
      <c r="SU92" s="1"/>
      <c r="SV92" s="1"/>
      <c r="SW92" s="1"/>
      <c r="SX92" s="1"/>
      <c r="SY92" s="1"/>
      <c r="SZ92" s="1"/>
      <c r="TA92" s="1"/>
      <c r="TB92" s="1"/>
      <c r="TC92" s="1"/>
      <c r="TD92" s="1"/>
      <c r="TE92" s="1"/>
      <c r="TF92" s="1"/>
      <c r="TG92" s="1"/>
      <c r="TH92" s="1"/>
      <c r="TI92" s="1"/>
      <c r="TJ92" s="1"/>
      <c r="TK92" s="1"/>
      <c r="TL92" s="1"/>
      <c r="TM92" s="1"/>
      <c r="TN92" s="1"/>
      <c r="TO92" s="1"/>
      <c r="TP92" s="1"/>
      <c r="TQ92" s="1"/>
      <c r="TR92" s="1"/>
      <c r="TS92" s="1"/>
      <c r="TT92" s="1"/>
      <c r="TU92" s="1"/>
      <c r="TV92" s="1"/>
      <c r="TW92" s="1"/>
      <c r="TX92" s="1"/>
      <c r="TY92" s="1"/>
      <c r="TZ92" s="1"/>
      <c r="UA92" s="1"/>
      <c r="UB92" s="1"/>
      <c r="UC92" s="1"/>
      <c r="UD92" s="1"/>
      <c r="UE92" s="1"/>
      <c r="UF92" s="1"/>
      <c r="UG92" s="1"/>
      <c r="UH92" s="1"/>
      <c r="UI92" s="1"/>
      <c r="UJ92" s="1"/>
      <c r="UK92" s="1"/>
      <c r="UL92" s="1"/>
      <c r="UM92" s="1"/>
      <c r="UN92" s="1"/>
      <c r="UO92" s="1"/>
      <c r="UP92" s="1"/>
      <c r="UQ92" s="1"/>
      <c r="UR92" s="1"/>
      <c r="US92" s="1"/>
      <c r="UT92" s="1"/>
      <c r="UU92" s="1"/>
      <c r="UV92" s="1"/>
      <c r="UW92" s="1"/>
      <c r="UX92" s="1"/>
      <c r="UY92" s="1"/>
      <c r="UZ92" s="1"/>
      <c r="VA92" s="1"/>
      <c r="VB92" s="1"/>
      <c r="VC92" s="1"/>
      <c r="VD92" s="1"/>
      <c r="VE92" s="1"/>
      <c r="VF92" s="1"/>
      <c r="VG92" s="1"/>
      <c r="VH92" s="1"/>
      <c r="VI92" s="1"/>
      <c r="VJ92" s="1"/>
      <c r="VK92" s="1"/>
      <c r="VL92" s="1"/>
      <c r="VM92" s="1"/>
      <c r="VN92" s="1"/>
      <c r="VO92" s="1"/>
      <c r="VP92" s="1"/>
      <c r="VQ92" s="1"/>
      <c r="VR92" s="1"/>
      <c r="VS92" s="1"/>
      <c r="VT92" s="1"/>
      <c r="VU92" s="1"/>
      <c r="VV92" s="1"/>
      <c r="VW92" s="1"/>
      <c r="VX92" s="1"/>
      <c r="VY92" s="1"/>
      <c r="VZ92" s="1"/>
      <c r="WA92" s="1"/>
      <c r="WB92" s="1"/>
      <c r="WC92" s="1"/>
      <c r="WD92" s="1"/>
      <c r="WE92" s="1"/>
      <c r="WF92" s="1"/>
      <c r="WG92" s="1"/>
      <c r="WH92" s="1"/>
      <c r="WI92" s="1"/>
      <c r="WJ92" s="1"/>
      <c r="WK92" s="1"/>
      <c r="WL92" s="1"/>
      <c r="WM92" s="1"/>
      <c r="WN92" s="1"/>
      <c r="WO92" s="1"/>
      <c r="WP92" s="1"/>
      <c r="WQ92" s="1"/>
      <c r="WR92" s="1"/>
      <c r="WS92" s="1"/>
      <c r="WT92" s="1"/>
      <c r="WU92" s="1"/>
      <c r="WV92" s="1"/>
      <c r="WW92" s="1"/>
      <c r="WX92" s="1"/>
      <c r="WY92" s="1"/>
      <c r="WZ92" s="1"/>
      <c r="XA92" s="1"/>
      <c r="XB92" s="1"/>
      <c r="XC92" s="1"/>
      <c r="XD92" s="1"/>
      <c r="XE92" s="1"/>
      <c r="XF92" s="1"/>
      <c r="XG92" s="1"/>
      <c r="XH92" s="1"/>
      <c r="XI92" s="1"/>
      <c r="XJ92" s="1"/>
      <c r="XK92" s="1"/>
      <c r="XL92" s="1"/>
      <c r="XM92" s="1"/>
      <c r="XN92" s="1"/>
      <c r="XO92" s="1"/>
      <c r="XP92" s="1"/>
      <c r="XQ92" s="1"/>
      <c r="XR92" s="1"/>
      <c r="XS92" s="1"/>
      <c r="XT92" s="1"/>
      <c r="XU92" s="1"/>
      <c r="XV92" s="1"/>
      <c r="XW92" s="1"/>
      <c r="XX92" s="1"/>
      <c r="XY92" s="1"/>
      <c r="XZ92" s="1"/>
      <c r="YA92" s="1"/>
      <c r="YB92" s="1"/>
      <c r="YC92" s="1"/>
      <c r="YD92" s="1"/>
      <c r="YE92" s="1"/>
      <c r="YF92" s="1"/>
      <c r="YG92" s="1"/>
      <c r="YH92" s="1"/>
      <c r="YI92" s="1"/>
      <c r="YJ92" s="1"/>
      <c r="YK92" s="1"/>
      <c r="YL92" s="1"/>
      <c r="YM92" s="1"/>
      <c r="YN92" s="1"/>
      <c r="YO92" s="1"/>
      <c r="YP92" s="1"/>
      <c r="YQ92" s="1"/>
      <c r="YR92" s="1"/>
      <c r="YS92" s="1"/>
      <c r="YT92" s="1"/>
      <c r="YU92" s="1"/>
      <c r="YV92" s="1"/>
      <c r="YW92" s="1"/>
      <c r="YX92" s="1"/>
      <c r="YY92" s="1"/>
      <c r="YZ92" s="1"/>
      <c r="ZA92" s="1"/>
      <c r="ZB92" s="1"/>
      <c r="ZC92" s="1"/>
      <c r="ZD92" s="1"/>
      <c r="ZE92" s="1"/>
      <c r="ZF92" s="1"/>
      <c r="ZG92" s="1"/>
      <c r="ZH92" s="1"/>
      <c r="ZI92" s="1"/>
      <c r="ZJ92" s="1"/>
      <c r="ZK92" s="1"/>
      <c r="ZL92" s="1"/>
      <c r="ZM92" s="1"/>
      <c r="ZN92" s="1"/>
      <c r="ZO92" s="1"/>
      <c r="ZP92" s="1"/>
      <c r="ZQ92" s="1"/>
      <c r="ZR92" s="1"/>
      <c r="ZS92" s="1"/>
      <c r="ZT92" s="1"/>
      <c r="ZU92" s="1"/>
      <c r="ZV92" s="1"/>
      <c r="ZW92" s="1"/>
      <c r="ZX92" s="1"/>
      <c r="ZY92" s="1"/>
      <c r="ZZ92" s="1"/>
      <c r="AAA92" s="1"/>
      <c r="AAB92" s="1"/>
      <c r="AAC92" s="1"/>
      <c r="AAD92" s="1"/>
      <c r="AAE92" s="1"/>
      <c r="AAF92" s="1"/>
      <c r="AAG92" s="1"/>
      <c r="AAH92" s="1"/>
      <c r="AAI92" s="1"/>
      <c r="AAJ92" s="1"/>
      <c r="AAK92" s="1"/>
      <c r="AAL92" s="1"/>
      <c r="AAM92" s="1"/>
      <c r="AAN92" s="1"/>
      <c r="AAO92" s="1"/>
      <c r="AAP92" s="1"/>
      <c r="AAQ92" s="1"/>
      <c r="AAR92" s="1"/>
      <c r="AAS92" s="1"/>
      <c r="AAT92" s="1"/>
      <c r="AAU92" s="1"/>
      <c r="AAV92" s="1"/>
      <c r="AAW92" s="1"/>
      <c r="AAX92" s="1"/>
      <c r="AAY92" s="1"/>
      <c r="AAZ92" s="1"/>
      <c r="ABA92" s="1"/>
      <c r="ABB92" s="1"/>
      <c r="ABC92" s="1"/>
      <c r="ABD92" s="1"/>
      <c r="ABE92" s="1"/>
      <c r="ABF92" s="1"/>
      <c r="ABG92" s="1"/>
      <c r="ABH92" s="1"/>
      <c r="ABI92" s="1"/>
      <c r="ABJ92" s="1"/>
      <c r="ABK92" s="1"/>
      <c r="ABL92" s="1"/>
      <c r="ABM92" s="1"/>
      <c r="ABN92" s="1"/>
      <c r="ABO92" s="1"/>
      <c r="ABP92" s="1"/>
      <c r="ABQ92" s="1"/>
      <c r="ABR92" s="1"/>
      <c r="ABS92" s="1"/>
      <c r="ABT92" s="1"/>
      <c r="ABU92" s="1"/>
      <c r="ABV92" s="1"/>
      <c r="ABW92" s="1"/>
      <c r="ABX92" s="1"/>
      <c r="ABY92" s="1"/>
      <c r="ABZ92" s="1"/>
      <c r="ACA92" s="1"/>
      <c r="ACB92" s="1"/>
      <c r="ACC92" s="1"/>
      <c r="ACD92" s="1"/>
      <c r="ACE92" s="1"/>
      <c r="ACF92" s="1"/>
      <c r="ACG92" s="1"/>
      <c r="ACH92" s="1"/>
      <c r="ACI92" s="1"/>
      <c r="ACJ92" s="1"/>
      <c r="ACK92" s="1"/>
      <c r="ACL92" s="1"/>
      <c r="ACM92" s="1"/>
      <c r="ACN92" s="1"/>
      <c r="ACO92" s="1"/>
      <c r="ACP92" s="1"/>
      <c r="ACQ92" s="1"/>
      <c r="ACR92" s="1"/>
      <c r="ACS92" s="1"/>
      <c r="ACT92" s="1"/>
      <c r="ACU92" s="1"/>
      <c r="ACV92" s="1"/>
      <c r="ACW92" s="1"/>
      <c r="ACX92" s="1"/>
      <c r="ACY92" s="1"/>
      <c r="ACZ92" s="1"/>
      <c r="ADA92" s="1"/>
      <c r="ADB92" s="1"/>
      <c r="ADC92" s="1"/>
      <c r="ADD92" s="1"/>
      <c r="ADE92" s="1"/>
      <c r="ADF92" s="1"/>
      <c r="ADG92" s="1"/>
      <c r="ADH92" s="1"/>
      <c r="ADI92" s="1"/>
      <c r="ADJ92" s="1"/>
      <c r="ADK92" s="1"/>
      <c r="ADL92" s="1"/>
      <c r="ADM92" s="1"/>
      <c r="ADN92" s="1"/>
      <c r="ADO92" s="1"/>
      <c r="ADP92" s="1"/>
      <c r="ADQ92" s="1"/>
      <c r="ADR92" s="1"/>
      <c r="ADS92" s="1"/>
      <c r="ADT92" s="1"/>
      <c r="ADU92" s="1"/>
      <c r="ADV92" s="1"/>
      <c r="ADW92" s="1"/>
      <c r="ADX92" s="1"/>
      <c r="ADY92" s="1"/>
      <c r="ADZ92" s="1"/>
      <c r="AEA92" s="1"/>
      <c r="AEB92" s="1"/>
      <c r="AEC92" s="1"/>
      <c r="AED92" s="1"/>
      <c r="AEE92" s="1"/>
      <c r="AEF92" s="1"/>
      <c r="AEG92" s="1"/>
      <c r="AEH92" s="1"/>
      <c r="AEI92" s="1"/>
      <c r="AEJ92" s="1"/>
      <c r="AEK92" s="1"/>
      <c r="AEL92" s="1"/>
      <c r="AEM92" s="1"/>
      <c r="AEN92" s="1"/>
      <c r="AEO92" s="1"/>
      <c r="AEP92" s="1"/>
      <c r="AEQ92" s="1"/>
      <c r="AER92" s="1"/>
      <c r="AES92" s="1"/>
      <c r="AET92" s="1"/>
      <c r="AEU92" s="1"/>
      <c r="AEV92" s="1"/>
      <c r="AEW92" s="1"/>
      <c r="AEX92" s="1"/>
      <c r="AEY92" s="1"/>
      <c r="AEZ92" s="1"/>
      <c r="AFA92" s="1"/>
      <c r="AFB92" s="1"/>
      <c r="AFC92" s="1"/>
      <c r="AFD92" s="1"/>
      <c r="AFE92" s="1"/>
      <c r="AFF92" s="1"/>
      <c r="AFG92" s="1"/>
      <c r="AFH92" s="1"/>
      <c r="AFI92" s="1"/>
      <c r="AFJ92" s="1"/>
      <c r="AFK92" s="1"/>
      <c r="AFL92" s="1"/>
      <c r="AFM92" s="1"/>
      <c r="AFN92" s="1"/>
      <c r="AFO92" s="1"/>
      <c r="AFP92" s="1"/>
      <c r="AFQ92" s="1"/>
      <c r="AFR92" s="1"/>
      <c r="AFS92" s="1"/>
      <c r="AFT92" s="1"/>
      <c r="AFU92" s="1"/>
      <c r="AFV92" s="1"/>
      <c r="AFW92" s="1"/>
      <c r="AFX92" s="1"/>
      <c r="AFY92" s="1"/>
      <c r="AFZ92" s="1"/>
      <c r="AGA92" s="1"/>
      <c r="AGB92" s="1"/>
      <c r="AGC92" s="1"/>
      <c r="AGD92" s="1"/>
      <c r="AGE92" s="1"/>
      <c r="AGF92" s="1"/>
      <c r="AGG92" s="1"/>
      <c r="AGH92" s="1"/>
      <c r="AGI92" s="1"/>
      <c r="AGJ92" s="1"/>
      <c r="AGK92" s="1"/>
      <c r="AGL92" s="1"/>
      <c r="AGM92" s="1"/>
      <c r="AGN92" s="1"/>
      <c r="AGO92" s="1"/>
      <c r="AGP92" s="1"/>
      <c r="AGQ92" s="1"/>
      <c r="AGR92" s="1"/>
      <c r="AGS92" s="1"/>
      <c r="AGT92" s="1"/>
      <c r="AGU92" s="1"/>
      <c r="AGV92" s="1"/>
      <c r="AGW92" s="1"/>
      <c r="AGX92" s="1"/>
      <c r="AGY92" s="1"/>
      <c r="AGZ92" s="1"/>
      <c r="AHA92" s="1"/>
      <c r="AHB92" s="1"/>
      <c r="AHC92" s="1"/>
      <c r="AHD92" s="1"/>
      <c r="AHE92" s="1"/>
      <c r="AHF92" s="1"/>
      <c r="AHG92" s="1"/>
      <c r="AHH92" s="1"/>
      <c r="AHI92" s="1"/>
      <c r="AHJ92" s="1"/>
      <c r="AHK92" s="1"/>
      <c r="AHL92" s="1"/>
      <c r="AHM92" s="1"/>
      <c r="AHN92" s="1"/>
      <c r="AHO92" s="1"/>
      <c r="AHP92" s="1"/>
      <c r="AHQ92" s="1"/>
      <c r="AHR92" s="1"/>
      <c r="AHS92" s="1"/>
      <c r="AHT92" s="1"/>
      <c r="AHU92" s="1"/>
      <c r="AHV92" s="1"/>
      <c r="AHW92" s="1"/>
      <c r="AHX92" s="1"/>
      <c r="AHY92" s="1"/>
      <c r="AHZ92" s="1"/>
      <c r="AIA92" s="1"/>
      <c r="AIB92" s="1"/>
      <c r="AIC92" s="1"/>
      <c r="AID92" s="1"/>
      <c r="AIE92" s="1"/>
      <c r="AIF92" s="1"/>
      <c r="AIG92" s="1"/>
      <c r="AIH92" s="1"/>
      <c r="AII92" s="1"/>
      <c r="AIJ92" s="1"/>
      <c r="AIK92" s="1"/>
      <c r="AIL92" s="1"/>
      <c r="AIM92" s="1"/>
      <c r="AIN92" s="1"/>
      <c r="AIO92" s="1"/>
      <c r="AIP92" s="1"/>
      <c r="AIQ92" s="1"/>
      <c r="AIR92" s="1"/>
      <c r="AIS92" s="1"/>
      <c r="AIT92" s="1"/>
      <c r="AIU92" s="1"/>
      <c r="AIV92" s="1"/>
      <c r="AIW92" s="1"/>
      <c r="AIX92" s="1"/>
      <c r="AIY92" s="1"/>
      <c r="AIZ92" s="1"/>
      <c r="AJA92" s="1"/>
      <c r="AJB92" s="1"/>
      <c r="AJC92" s="1"/>
      <c r="AJD92" s="1"/>
      <c r="AJE92" s="1"/>
      <c r="AJF92" s="1"/>
      <c r="AJG92" s="1"/>
      <c r="AJH92" s="1"/>
      <c r="AJI92" s="1"/>
      <c r="AJJ92" s="1"/>
      <c r="AJK92" s="1"/>
      <c r="AJL92" s="1"/>
      <c r="AJM92" s="1"/>
      <c r="AJN92" s="1"/>
      <c r="AJO92" s="1"/>
      <c r="AJP92" s="1"/>
      <c r="AJQ92" s="1"/>
      <c r="AJR92" s="1"/>
      <c r="AJS92" s="1"/>
      <c r="AJT92" s="1"/>
      <c r="AJU92" s="1"/>
      <c r="AJV92" s="1"/>
      <c r="AJW92" s="1"/>
      <c r="AJX92" s="1"/>
      <c r="AJY92" s="1"/>
      <c r="AJZ92" s="1"/>
      <c r="AKA92" s="1"/>
      <c r="AKB92" s="1"/>
      <c r="AKC92" s="1"/>
      <c r="AKD92" s="1"/>
      <c r="AKE92" s="1"/>
      <c r="AKF92" s="1"/>
      <c r="AKG92" s="1"/>
      <c r="AKH92" s="1"/>
      <c r="AKI92" s="1"/>
      <c r="AKJ92" s="1"/>
      <c r="AKK92" s="1"/>
      <c r="AKL92" s="1"/>
      <c r="AKM92" s="1"/>
      <c r="AKN92" s="1"/>
      <c r="AKO92" s="1"/>
      <c r="AKP92" s="1"/>
      <c r="AKQ92" s="1"/>
      <c r="AKR92" s="1"/>
      <c r="AKS92" s="1"/>
      <c r="AKT92" s="1"/>
      <c r="AKU92" s="1"/>
      <c r="AKV92" s="1"/>
      <c r="AKW92" s="1"/>
      <c r="AKX92" s="1"/>
      <c r="AKY92" s="1"/>
      <c r="AKZ92" s="1"/>
      <c r="ALA92" s="1"/>
      <c r="ALB92" s="1"/>
      <c r="ALC92" s="1"/>
      <c r="ALD92" s="1"/>
      <c r="ALE92" s="1"/>
      <c r="ALF92" s="1"/>
      <c r="ALG92" s="1"/>
      <c r="ALH92" s="1"/>
      <c r="ALI92" s="1"/>
      <c r="ALJ92" s="1"/>
      <c r="ALK92" s="1"/>
      <c r="ALL92" s="1"/>
      <c r="ALM92" s="1"/>
      <c r="ALN92" s="1"/>
      <c r="ALO92" s="1"/>
      <c r="ALP92" s="1"/>
      <c r="ALQ92" s="1"/>
      <c r="ALR92" s="1"/>
      <c r="ALS92" s="1"/>
      <c r="ALT92" s="1"/>
      <c r="ALU92" s="1"/>
      <c r="ALV92" s="1"/>
      <c r="ALW92" s="1"/>
      <c r="ALX92" s="1"/>
      <c r="ALY92" s="1"/>
      <c r="ALZ92" s="1"/>
      <c r="AMA92" s="1"/>
      <c r="AMB92" s="1"/>
      <c r="AMC92" s="1"/>
      <c r="AMD92" s="1"/>
      <c r="AME92" s="1"/>
      <c r="AMF92" s="1"/>
      <c r="AMG92" s="1"/>
      <c r="AMH92" s="1"/>
      <c r="AMI92" s="1"/>
      <c r="AMJ92" s="1"/>
      <c r="AMK92" s="1"/>
      <c r="AML92" s="1"/>
      <c r="AMM92" s="1"/>
      <c r="AMN92" s="1"/>
    </row>
    <row r="93" spans="1:1029" x14ac:dyDescent="0.2">
      <c r="A93" s="3" t="str">
        <f t="shared" si="222"/>
        <v>ccr9_human_5LWE</v>
      </c>
      <c r="B93" s="3" t="s">
        <v>177</v>
      </c>
      <c r="C93" s="3" t="s">
        <v>1372</v>
      </c>
      <c r="D93" s="3" t="str">
        <f>IFERROR(MID(VLOOKUP($B93,Seqs!$A:$B,2,0),E93,1),"")</f>
        <v>V</v>
      </c>
      <c r="E93" s="3">
        <v>43</v>
      </c>
      <c r="F93" s="3" t="str">
        <f>IFERROR(MID(VLOOKUP($B93,Seqs!$A:$B,2,0),G93,1),"")</f>
        <v>C</v>
      </c>
      <c r="G93" s="3">
        <v>76</v>
      </c>
      <c r="H93" s="3" t="str">
        <f>IFERROR(MID(VLOOKUP($B93,Seqs!$A:$B,2,0),I93,1),"")</f>
        <v/>
      </c>
      <c r="I93" s="23" t="s">
        <v>23</v>
      </c>
      <c r="J93" s="3" t="str">
        <f>IFERROR(MID(VLOOKUP($B93,Seqs!$A:$B,2,0),K93,1),"")</f>
        <v/>
      </c>
      <c r="K93" s="23" t="s">
        <v>23</v>
      </c>
      <c r="L93" s="3" t="str">
        <f>IFERROR(MID(VLOOKUP($B93,Seqs!$A:$B,2,0),M93,1),"")</f>
        <v>T</v>
      </c>
      <c r="M93" s="3">
        <v>81</v>
      </c>
      <c r="N93" s="3" t="str">
        <f>IFERROR(MID(VLOOKUP($B93,Seqs!$A:$B,2,0),O93,1),"")</f>
        <v>A</v>
      </c>
      <c r="O93" s="3">
        <v>108</v>
      </c>
      <c r="P93" s="3" t="str">
        <f>IFERROR(MID(VLOOKUP($B93,Seqs!$A:$B,2,0),Q93,1),"")</f>
        <v/>
      </c>
      <c r="Q93" s="3" t="s">
        <v>23</v>
      </c>
      <c r="R93" s="3" t="str">
        <f>IFERROR(MID(VLOOKUP($B93,Seqs!$A:$B,2,0),S93,1),"")</f>
        <v/>
      </c>
      <c r="S93" s="3" t="s">
        <v>23</v>
      </c>
      <c r="T93" s="3" t="str">
        <f>IFERROR(MID(VLOOKUP($B93,Seqs!$A:$B,2,0),U93,1),"")</f>
        <v>C</v>
      </c>
      <c r="U93" s="3">
        <v>119</v>
      </c>
      <c r="V93" s="3" t="str">
        <f>IFERROR(MID(VLOOKUP($B93,Seqs!$A:$B,2,0),W93,1),"")</f>
        <v>Q</v>
      </c>
      <c r="W93" s="3">
        <v>150</v>
      </c>
      <c r="X93" s="3" t="str">
        <f>IFERROR(MID(VLOOKUP($B93,Seqs!$A:$B,2,0),Y93,1),"")</f>
        <v>A</v>
      </c>
      <c r="Y93" s="3">
        <v>151</v>
      </c>
      <c r="Z93" s="3" t="str">
        <f>IFERROR(MID(VLOOKUP($B93,Seqs!$A:$B,2,0),AA93,1),"")</f>
        <v>W</v>
      </c>
      <c r="AA93" s="3">
        <v>157</v>
      </c>
      <c r="AB93" s="3" t="str">
        <f>IFERROR(MID(VLOOKUP($B93,Seqs!$A:$B,2,0),AC93,1),"")</f>
        <v>R</v>
      </c>
      <c r="AC93" s="9">
        <v>158</v>
      </c>
      <c r="AD93" s="3" t="str">
        <f>IFERROR(MID(VLOOKUP($B93,Seqs!$A:$B,2,0),AE93,1),"")</f>
        <v>I</v>
      </c>
      <c r="AE93" s="3">
        <v>184</v>
      </c>
      <c r="AF93" s="3" t="str">
        <f>IFERROR(MID(VLOOKUP($B93,Seqs!$A:$B,2,0),AG93,1),"")</f>
        <v/>
      </c>
      <c r="AG93" s="3" t="s">
        <v>23</v>
      </c>
      <c r="AH93" s="3" t="str">
        <f>IFERROR(MID(VLOOKUP($B93,Seqs!$A:$B,2,0),AI93,1),"")</f>
        <v/>
      </c>
      <c r="AI93" s="3" t="s">
        <v>23</v>
      </c>
      <c r="AJ93" s="3" t="str">
        <f>IFERROR(MID(VLOOKUP($B93,Seqs!$A:$B,2,0),AK93,1),"")</f>
        <v/>
      </c>
      <c r="AK93" s="3" t="s">
        <v>23</v>
      </c>
      <c r="AL93" s="3" t="str">
        <f>IFERROR(MID(VLOOKUP($B93,Seqs!$A:$B,2,0),AM93,1),"")</f>
        <v/>
      </c>
      <c r="AM93" s="3" t="s">
        <v>23</v>
      </c>
      <c r="AN93" s="3" t="str">
        <f>IFERROR(MID(VLOOKUP($B93,Seqs!$A:$B,2,0),AO93,1),"")</f>
        <v>S</v>
      </c>
      <c r="AO93" s="3">
        <v>247</v>
      </c>
      <c r="AP93" s="3" t="str">
        <f>IFERROR(MID(VLOOKUP($B93,Seqs!$A:$B,2,0),AQ93,1),"")</f>
        <v>M</v>
      </c>
      <c r="AQ93" s="3">
        <v>284</v>
      </c>
      <c r="AR93" s="3" t="str">
        <f>IFERROR(MID(VLOOKUP($B93,Seqs!$A:$B,2,0),AS93,1),"")</f>
        <v>N</v>
      </c>
      <c r="AS93" s="3">
        <v>288</v>
      </c>
      <c r="AT93" s="3" t="str">
        <f>IFERROR(MID(VLOOKUP($B93,Seqs!$A:$B,2,0),AU93,1),"")</f>
        <v>V</v>
      </c>
      <c r="AU93" s="3">
        <v>320</v>
      </c>
      <c r="AV93" s="3" t="str">
        <f>IFERROR(MID(VLOOKUP($B93,Seqs!$A:$B,2,0),AW93,1),"")</f>
        <v>G</v>
      </c>
      <c r="AW93" s="3">
        <v>321</v>
      </c>
      <c r="AX93" s="3" t="str">
        <f>IFERROR(MID(VLOOKUP($B93,Seqs!$A:$B,2,0),AY93,1),"")</f>
        <v>A</v>
      </c>
      <c r="AY93" s="3">
        <v>341</v>
      </c>
      <c r="AZ93" s="79" t="str">
        <f>VLOOKUP(B93,Classification!A:D,2,0)</f>
        <v>A</v>
      </c>
      <c r="BA93" s="97" t="str">
        <f>VLOOKUP(B93,Classification!A:D,4,0)</f>
        <v>Chemokine</v>
      </c>
      <c r="BB93" s="27" t="b">
        <f t="shared" si="223"/>
        <v>0</v>
      </c>
      <c r="BC93" s="23">
        <f t="shared" si="196"/>
        <v>224</v>
      </c>
      <c r="BD93" s="16" t="s">
        <v>1383</v>
      </c>
      <c r="BE93" s="3" t="s">
        <v>1381</v>
      </c>
      <c r="BF93" s="50" t="s">
        <v>1384</v>
      </c>
      <c r="BG93" s="50" t="s">
        <v>1384</v>
      </c>
      <c r="BH93" s="1"/>
      <c r="BI93" s="72" t="s">
        <v>1293</v>
      </c>
      <c r="BJ93" s="58" t="s">
        <v>1293</v>
      </c>
      <c r="BK93" s="58" t="s">
        <v>1293</v>
      </c>
      <c r="BL93" s="58" t="s">
        <v>1293</v>
      </c>
      <c r="BM93" s="58" t="s">
        <v>1293</v>
      </c>
      <c r="BN93" s="58" t="s">
        <v>1293</v>
      </c>
      <c r="BO93" s="58" t="s">
        <v>1293</v>
      </c>
      <c r="BP93" s="58" t="s">
        <v>1293</v>
      </c>
      <c r="BQ93" s="58" t="s">
        <v>1293</v>
      </c>
      <c r="BR93" s="58" t="s">
        <v>1293</v>
      </c>
      <c r="BS93" s="58" t="s">
        <v>1293</v>
      </c>
      <c r="BT93" s="58" t="s">
        <v>1293</v>
      </c>
      <c r="BU93" s="72">
        <f t="shared" si="197"/>
        <v>43</v>
      </c>
      <c r="BV93" s="73" t="str">
        <f t="shared" si="198"/>
        <v>-</v>
      </c>
      <c r="BW93" s="74">
        <f t="shared" si="199"/>
        <v>81</v>
      </c>
      <c r="BX93" s="73" t="str">
        <f t="shared" si="200"/>
        <v>-</v>
      </c>
      <c r="BY93" s="74">
        <f t="shared" si="201"/>
        <v>119</v>
      </c>
      <c r="BZ93" s="73">
        <f t="shared" si="202"/>
        <v>151</v>
      </c>
      <c r="CA93" s="74">
        <f t="shared" si="203"/>
        <v>158</v>
      </c>
      <c r="CB93" s="73" t="str">
        <f t="shared" si="204"/>
        <v>-</v>
      </c>
      <c r="CC93" s="74" t="str">
        <f t="shared" si="205"/>
        <v>-</v>
      </c>
      <c r="CD93" s="73">
        <f t="shared" si="206"/>
        <v>247</v>
      </c>
      <c r="CE93" s="74">
        <f t="shared" si="207"/>
        <v>288</v>
      </c>
      <c r="CF93" s="73">
        <f t="shared" si="208"/>
        <v>321</v>
      </c>
      <c r="CG93" s="72">
        <f t="shared" si="209"/>
        <v>76</v>
      </c>
      <c r="CH93" s="73" t="str">
        <f t="shared" si="210"/>
        <v>-</v>
      </c>
      <c r="CI93" s="74">
        <f t="shared" si="211"/>
        <v>108</v>
      </c>
      <c r="CJ93" s="74" t="str">
        <f t="shared" si="212"/>
        <v>-</v>
      </c>
      <c r="CK93" s="74">
        <f t="shared" si="213"/>
        <v>150</v>
      </c>
      <c r="CL93" s="74">
        <f t="shared" si="214"/>
        <v>157</v>
      </c>
      <c r="CM93" s="74">
        <f t="shared" si="215"/>
        <v>184</v>
      </c>
      <c r="CN93" s="74" t="str">
        <f t="shared" si="216"/>
        <v>-</v>
      </c>
      <c r="CO93" s="74" t="str">
        <f t="shared" si="217"/>
        <v>-</v>
      </c>
      <c r="CP93" s="74">
        <f t="shared" si="218"/>
        <v>284</v>
      </c>
      <c r="CQ93" s="74">
        <f t="shared" si="219"/>
        <v>320</v>
      </c>
      <c r="CR93" s="74">
        <f t="shared" si="220"/>
        <v>341</v>
      </c>
      <c r="CS93" s="23" t="e">
        <f t="shared" si="221"/>
        <v>#VALUE!</v>
      </c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  <c r="OK93" s="1"/>
      <c r="OL93" s="1"/>
      <c r="OM93" s="1"/>
      <c r="ON93" s="1"/>
      <c r="OO93" s="1"/>
      <c r="OP93" s="1"/>
      <c r="OQ93" s="1"/>
      <c r="OR93" s="1"/>
      <c r="OS93" s="1"/>
      <c r="OT93" s="1"/>
      <c r="OU93" s="1"/>
      <c r="OV93" s="1"/>
      <c r="OW93" s="1"/>
      <c r="OX93" s="1"/>
      <c r="OY93" s="1"/>
      <c r="OZ93" s="1"/>
      <c r="PA93" s="1"/>
      <c r="PB93" s="1"/>
      <c r="PC93" s="1"/>
      <c r="PD93" s="1"/>
      <c r="PE93" s="1"/>
      <c r="PF93" s="1"/>
      <c r="PG93" s="1"/>
      <c r="PH93" s="1"/>
      <c r="PI93" s="1"/>
      <c r="PJ93" s="1"/>
      <c r="PK93" s="1"/>
      <c r="PL93" s="1"/>
      <c r="PM93" s="1"/>
      <c r="PN93" s="1"/>
      <c r="PO93" s="1"/>
      <c r="PP93" s="1"/>
      <c r="PQ93" s="1"/>
      <c r="PR93" s="1"/>
      <c r="PS93" s="1"/>
      <c r="PT93" s="1"/>
      <c r="PU93" s="1"/>
      <c r="PV93" s="1"/>
      <c r="PW93" s="1"/>
      <c r="PX93" s="1"/>
      <c r="PY93" s="1"/>
      <c r="PZ93" s="1"/>
      <c r="QA93" s="1"/>
      <c r="QB93" s="1"/>
      <c r="QC93" s="1"/>
      <c r="QD93" s="1"/>
      <c r="QE93" s="1"/>
      <c r="QF93" s="1"/>
      <c r="QG93" s="1"/>
      <c r="QH93" s="1"/>
      <c r="QI93" s="1"/>
      <c r="QJ93" s="1"/>
      <c r="QK93" s="1"/>
      <c r="QL93" s="1"/>
      <c r="QM93" s="1"/>
      <c r="QN93" s="1"/>
      <c r="QO93" s="1"/>
      <c r="QP93" s="1"/>
      <c r="QQ93" s="1"/>
      <c r="QR93" s="1"/>
      <c r="QS93" s="1"/>
      <c r="QT93" s="1"/>
      <c r="QU93" s="1"/>
      <c r="QV93" s="1"/>
      <c r="QW93" s="1"/>
      <c r="QX93" s="1"/>
      <c r="QY93" s="1"/>
      <c r="QZ93" s="1"/>
      <c r="RA93" s="1"/>
      <c r="RB93" s="1"/>
      <c r="RC93" s="1"/>
      <c r="RD93" s="1"/>
      <c r="RE93" s="1"/>
      <c r="RF93" s="1"/>
      <c r="RG93" s="1"/>
      <c r="RH93" s="1"/>
      <c r="RI93" s="1"/>
      <c r="RJ93" s="1"/>
      <c r="RK93" s="1"/>
      <c r="RL93" s="1"/>
      <c r="RM93" s="1"/>
      <c r="RN93" s="1"/>
      <c r="RO93" s="1"/>
      <c r="RP93" s="1"/>
      <c r="RQ93" s="1"/>
      <c r="RR93" s="1"/>
      <c r="RS93" s="1"/>
      <c r="RT93" s="1"/>
      <c r="RU93" s="1"/>
      <c r="RV93" s="1"/>
      <c r="RW93" s="1"/>
      <c r="RX93" s="1"/>
      <c r="RY93" s="1"/>
      <c r="RZ93" s="1"/>
      <c r="SA93" s="1"/>
      <c r="SB93" s="1"/>
      <c r="SC93" s="1"/>
      <c r="SD93" s="1"/>
      <c r="SE93" s="1"/>
      <c r="SF93" s="1"/>
      <c r="SG93" s="1"/>
      <c r="SH93" s="1"/>
      <c r="SI93" s="1"/>
      <c r="SJ93" s="1"/>
      <c r="SK93" s="1"/>
      <c r="SL93" s="1"/>
      <c r="SM93" s="1"/>
      <c r="SN93" s="1"/>
      <c r="SO93" s="1"/>
      <c r="SP93" s="1"/>
      <c r="SQ93" s="1"/>
      <c r="SR93" s="1"/>
      <c r="SS93" s="1"/>
      <c r="ST93" s="1"/>
      <c r="SU93" s="1"/>
      <c r="SV93" s="1"/>
      <c r="SW93" s="1"/>
      <c r="SX93" s="1"/>
      <c r="SY93" s="1"/>
      <c r="SZ93" s="1"/>
      <c r="TA93" s="1"/>
      <c r="TB93" s="1"/>
      <c r="TC93" s="1"/>
      <c r="TD93" s="1"/>
      <c r="TE93" s="1"/>
      <c r="TF93" s="1"/>
      <c r="TG93" s="1"/>
      <c r="TH93" s="1"/>
      <c r="TI93" s="1"/>
      <c r="TJ93" s="1"/>
      <c r="TK93" s="1"/>
      <c r="TL93" s="1"/>
      <c r="TM93" s="1"/>
      <c r="TN93" s="1"/>
      <c r="TO93" s="1"/>
      <c r="TP93" s="1"/>
      <c r="TQ93" s="1"/>
      <c r="TR93" s="1"/>
      <c r="TS93" s="1"/>
      <c r="TT93" s="1"/>
      <c r="TU93" s="1"/>
      <c r="TV93" s="1"/>
      <c r="TW93" s="1"/>
      <c r="TX93" s="1"/>
      <c r="TY93" s="1"/>
      <c r="TZ93" s="1"/>
      <c r="UA93" s="1"/>
      <c r="UB93" s="1"/>
      <c r="UC93" s="1"/>
      <c r="UD93" s="1"/>
      <c r="UE93" s="1"/>
      <c r="UF93" s="1"/>
      <c r="UG93" s="1"/>
      <c r="UH93" s="1"/>
      <c r="UI93" s="1"/>
      <c r="UJ93" s="1"/>
      <c r="UK93" s="1"/>
      <c r="UL93" s="1"/>
      <c r="UM93" s="1"/>
      <c r="UN93" s="1"/>
      <c r="UO93" s="1"/>
      <c r="UP93" s="1"/>
      <c r="UQ93" s="1"/>
      <c r="UR93" s="1"/>
      <c r="US93" s="1"/>
      <c r="UT93" s="1"/>
      <c r="UU93" s="1"/>
      <c r="UV93" s="1"/>
      <c r="UW93" s="1"/>
      <c r="UX93" s="1"/>
      <c r="UY93" s="1"/>
      <c r="UZ93" s="1"/>
      <c r="VA93" s="1"/>
      <c r="VB93" s="1"/>
      <c r="VC93" s="1"/>
      <c r="VD93" s="1"/>
      <c r="VE93" s="1"/>
      <c r="VF93" s="1"/>
      <c r="VG93" s="1"/>
      <c r="VH93" s="1"/>
      <c r="VI93" s="1"/>
      <c r="VJ93" s="1"/>
      <c r="VK93" s="1"/>
      <c r="VL93" s="1"/>
      <c r="VM93" s="1"/>
      <c r="VN93" s="1"/>
      <c r="VO93" s="1"/>
      <c r="VP93" s="1"/>
      <c r="VQ93" s="1"/>
      <c r="VR93" s="1"/>
      <c r="VS93" s="1"/>
      <c r="VT93" s="1"/>
      <c r="VU93" s="1"/>
      <c r="VV93" s="1"/>
      <c r="VW93" s="1"/>
      <c r="VX93" s="1"/>
      <c r="VY93" s="1"/>
      <c r="VZ93" s="1"/>
      <c r="WA93" s="1"/>
      <c r="WB93" s="1"/>
      <c r="WC93" s="1"/>
      <c r="WD93" s="1"/>
      <c r="WE93" s="1"/>
      <c r="WF93" s="1"/>
      <c r="WG93" s="1"/>
      <c r="WH93" s="1"/>
      <c r="WI93" s="1"/>
      <c r="WJ93" s="1"/>
      <c r="WK93" s="1"/>
      <c r="WL93" s="1"/>
      <c r="WM93" s="1"/>
      <c r="WN93" s="1"/>
      <c r="WO93" s="1"/>
      <c r="WP93" s="1"/>
      <c r="WQ93" s="1"/>
      <c r="WR93" s="1"/>
      <c r="WS93" s="1"/>
      <c r="WT93" s="1"/>
      <c r="WU93" s="1"/>
      <c r="WV93" s="1"/>
      <c r="WW93" s="1"/>
      <c r="WX93" s="1"/>
      <c r="WY93" s="1"/>
      <c r="WZ93" s="1"/>
      <c r="XA93" s="1"/>
      <c r="XB93" s="1"/>
      <c r="XC93" s="1"/>
      <c r="XD93" s="1"/>
      <c r="XE93" s="1"/>
      <c r="XF93" s="1"/>
      <c r="XG93" s="1"/>
      <c r="XH93" s="1"/>
      <c r="XI93" s="1"/>
      <c r="XJ93" s="1"/>
      <c r="XK93" s="1"/>
      <c r="XL93" s="1"/>
      <c r="XM93" s="1"/>
      <c r="XN93" s="1"/>
      <c r="XO93" s="1"/>
      <c r="XP93" s="1"/>
      <c r="XQ93" s="1"/>
      <c r="XR93" s="1"/>
      <c r="XS93" s="1"/>
      <c r="XT93" s="1"/>
      <c r="XU93" s="1"/>
      <c r="XV93" s="1"/>
      <c r="XW93" s="1"/>
      <c r="XX93" s="1"/>
      <c r="XY93" s="1"/>
      <c r="XZ93" s="1"/>
      <c r="YA93" s="1"/>
      <c r="YB93" s="1"/>
      <c r="YC93" s="1"/>
      <c r="YD93" s="1"/>
      <c r="YE93" s="1"/>
      <c r="YF93" s="1"/>
      <c r="YG93" s="1"/>
      <c r="YH93" s="1"/>
      <c r="YI93" s="1"/>
      <c r="YJ93" s="1"/>
      <c r="YK93" s="1"/>
      <c r="YL93" s="1"/>
      <c r="YM93" s="1"/>
      <c r="YN93" s="1"/>
      <c r="YO93" s="1"/>
      <c r="YP93" s="1"/>
      <c r="YQ93" s="1"/>
      <c r="YR93" s="1"/>
      <c r="YS93" s="1"/>
      <c r="YT93" s="1"/>
      <c r="YU93" s="1"/>
      <c r="YV93" s="1"/>
      <c r="YW93" s="1"/>
      <c r="YX93" s="1"/>
      <c r="YY93" s="1"/>
      <c r="YZ93" s="1"/>
      <c r="ZA93" s="1"/>
      <c r="ZB93" s="1"/>
      <c r="ZC93" s="1"/>
      <c r="ZD93" s="1"/>
      <c r="ZE93" s="1"/>
      <c r="ZF93" s="1"/>
      <c r="ZG93" s="1"/>
      <c r="ZH93" s="1"/>
      <c r="ZI93" s="1"/>
      <c r="ZJ93" s="1"/>
      <c r="ZK93" s="1"/>
      <c r="ZL93" s="1"/>
      <c r="ZM93" s="1"/>
      <c r="ZN93" s="1"/>
      <c r="ZO93" s="1"/>
      <c r="ZP93" s="1"/>
      <c r="ZQ93" s="1"/>
      <c r="ZR93" s="1"/>
      <c r="ZS93" s="1"/>
      <c r="ZT93" s="1"/>
      <c r="ZU93" s="1"/>
      <c r="ZV93" s="1"/>
      <c r="ZW93" s="1"/>
      <c r="ZX93" s="1"/>
      <c r="ZY93" s="1"/>
      <c r="ZZ93" s="1"/>
      <c r="AAA93" s="1"/>
      <c r="AAB93" s="1"/>
      <c r="AAC93" s="1"/>
      <c r="AAD93" s="1"/>
      <c r="AAE93" s="1"/>
      <c r="AAF93" s="1"/>
      <c r="AAG93" s="1"/>
      <c r="AAH93" s="1"/>
      <c r="AAI93" s="1"/>
      <c r="AAJ93" s="1"/>
      <c r="AAK93" s="1"/>
      <c r="AAL93" s="1"/>
      <c r="AAM93" s="1"/>
      <c r="AAN93" s="1"/>
      <c r="AAO93" s="1"/>
      <c r="AAP93" s="1"/>
      <c r="AAQ93" s="1"/>
      <c r="AAR93" s="1"/>
      <c r="AAS93" s="1"/>
      <c r="AAT93" s="1"/>
      <c r="AAU93" s="1"/>
      <c r="AAV93" s="1"/>
      <c r="AAW93" s="1"/>
      <c r="AAX93" s="1"/>
      <c r="AAY93" s="1"/>
      <c r="AAZ93" s="1"/>
      <c r="ABA93" s="1"/>
      <c r="ABB93" s="1"/>
      <c r="ABC93" s="1"/>
      <c r="ABD93" s="1"/>
      <c r="ABE93" s="1"/>
      <c r="ABF93" s="1"/>
      <c r="ABG93" s="1"/>
      <c r="ABH93" s="1"/>
      <c r="ABI93" s="1"/>
      <c r="ABJ93" s="1"/>
      <c r="ABK93" s="1"/>
      <c r="ABL93" s="1"/>
      <c r="ABM93" s="1"/>
      <c r="ABN93" s="1"/>
      <c r="ABO93" s="1"/>
      <c r="ABP93" s="1"/>
      <c r="ABQ93" s="1"/>
      <c r="ABR93" s="1"/>
      <c r="ABS93" s="1"/>
      <c r="ABT93" s="1"/>
      <c r="ABU93" s="1"/>
      <c r="ABV93" s="1"/>
      <c r="ABW93" s="1"/>
      <c r="ABX93" s="1"/>
      <c r="ABY93" s="1"/>
      <c r="ABZ93" s="1"/>
      <c r="ACA93" s="1"/>
      <c r="ACB93" s="1"/>
      <c r="ACC93" s="1"/>
      <c r="ACD93" s="1"/>
      <c r="ACE93" s="1"/>
      <c r="ACF93" s="1"/>
      <c r="ACG93" s="1"/>
      <c r="ACH93" s="1"/>
      <c r="ACI93" s="1"/>
      <c r="ACJ93" s="1"/>
      <c r="ACK93" s="1"/>
      <c r="ACL93" s="1"/>
      <c r="ACM93" s="1"/>
      <c r="ACN93" s="1"/>
      <c r="ACO93" s="1"/>
      <c r="ACP93" s="1"/>
      <c r="ACQ93" s="1"/>
      <c r="ACR93" s="1"/>
      <c r="ACS93" s="1"/>
      <c r="ACT93" s="1"/>
      <c r="ACU93" s="1"/>
      <c r="ACV93" s="1"/>
      <c r="ACW93" s="1"/>
      <c r="ACX93" s="1"/>
      <c r="ACY93" s="1"/>
      <c r="ACZ93" s="1"/>
      <c r="ADA93" s="1"/>
      <c r="ADB93" s="1"/>
      <c r="ADC93" s="1"/>
      <c r="ADD93" s="1"/>
      <c r="ADE93" s="1"/>
      <c r="ADF93" s="1"/>
      <c r="ADG93" s="1"/>
      <c r="ADH93" s="1"/>
      <c r="ADI93" s="1"/>
      <c r="ADJ93" s="1"/>
      <c r="ADK93" s="1"/>
      <c r="ADL93" s="1"/>
      <c r="ADM93" s="1"/>
      <c r="ADN93" s="1"/>
      <c r="ADO93" s="1"/>
      <c r="ADP93" s="1"/>
      <c r="ADQ93" s="1"/>
      <c r="ADR93" s="1"/>
      <c r="ADS93" s="1"/>
      <c r="ADT93" s="1"/>
      <c r="ADU93" s="1"/>
      <c r="ADV93" s="1"/>
      <c r="ADW93" s="1"/>
      <c r="ADX93" s="1"/>
      <c r="ADY93" s="1"/>
      <c r="ADZ93" s="1"/>
      <c r="AEA93" s="1"/>
      <c r="AEB93" s="1"/>
      <c r="AEC93" s="1"/>
      <c r="AED93" s="1"/>
      <c r="AEE93" s="1"/>
      <c r="AEF93" s="1"/>
      <c r="AEG93" s="1"/>
      <c r="AEH93" s="1"/>
      <c r="AEI93" s="1"/>
      <c r="AEJ93" s="1"/>
      <c r="AEK93" s="1"/>
      <c r="AEL93" s="1"/>
      <c r="AEM93" s="1"/>
      <c r="AEN93" s="1"/>
      <c r="AEO93" s="1"/>
      <c r="AEP93" s="1"/>
      <c r="AEQ93" s="1"/>
      <c r="AER93" s="1"/>
      <c r="AES93" s="1"/>
      <c r="AET93" s="1"/>
      <c r="AEU93" s="1"/>
      <c r="AEV93" s="1"/>
      <c r="AEW93" s="1"/>
      <c r="AEX93" s="1"/>
      <c r="AEY93" s="1"/>
      <c r="AEZ93" s="1"/>
      <c r="AFA93" s="1"/>
      <c r="AFB93" s="1"/>
      <c r="AFC93" s="1"/>
      <c r="AFD93" s="1"/>
      <c r="AFE93" s="1"/>
      <c r="AFF93" s="1"/>
      <c r="AFG93" s="1"/>
      <c r="AFH93" s="1"/>
      <c r="AFI93" s="1"/>
      <c r="AFJ93" s="1"/>
      <c r="AFK93" s="1"/>
      <c r="AFL93" s="1"/>
      <c r="AFM93" s="1"/>
      <c r="AFN93" s="1"/>
      <c r="AFO93" s="1"/>
      <c r="AFP93" s="1"/>
      <c r="AFQ93" s="1"/>
      <c r="AFR93" s="1"/>
      <c r="AFS93" s="1"/>
      <c r="AFT93" s="1"/>
      <c r="AFU93" s="1"/>
      <c r="AFV93" s="1"/>
      <c r="AFW93" s="1"/>
      <c r="AFX93" s="1"/>
      <c r="AFY93" s="1"/>
      <c r="AFZ93" s="1"/>
      <c r="AGA93" s="1"/>
      <c r="AGB93" s="1"/>
      <c r="AGC93" s="1"/>
      <c r="AGD93" s="1"/>
      <c r="AGE93" s="1"/>
      <c r="AGF93" s="1"/>
      <c r="AGG93" s="1"/>
      <c r="AGH93" s="1"/>
      <c r="AGI93" s="1"/>
      <c r="AGJ93" s="1"/>
      <c r="AGK93" s="1"/>
      <c r="AGL93" s="1"/>
      <c r="AGM93" s="1"/>
      <c r="AGN93" s="1"/>
      <c r="AGO93" s="1"/>
      <c r="AGP93" s="1"/>
      <c r="AGQ93" s="1"/>
      <c r="AGR93" s="1"/>
      <c r="AGS93" s="1"/>
      <c r="AGT93" s="1"/>
      <c r="AGU93" s="1"/>
      <c r="AGV93" s="1"/>
      <c r="AGW93" s="1"/>
      <c r="AGX93" s="1"/>
      <c r="AGY93" s="1"/>
      <c r="AGZ93" s="1"/>
      <c r="AHA93" s="1"/>
      <c r="AHB93" s="1"/>
      <c r="AHC93" s="1"/>
      <c r="AHD93" s="1"/>
      <c r="AHE93" s="1"/>
      <c r="AHF93" s="1"/>
      <c r="AHG93" s="1"/>
      <c r="AHH93" s="1"/>
      <c r="AHI93" s="1"/>
      <c r="AHJ93" s="1"/>
      <c r="AHK93" s="1"/>
      <c r="AHL93" s="1"/>
      <c r="AHM93" s="1"/>
      <c r="AHN93" s="1"/>
      <c r="AHO93" s="1"/>
      <c r="AHP93" s="1"/>
      <c r="AHQ93" s="1"/>
      <c r="AHR93" s="1"/>
      <c r="AHS93" s="1"/>
      <c r="AHT93" s="1"/>
      <c r="AHU93" s="1"/>
      <c r="AHV93" s="1"/>
      <c r="AHW93" s="1"/>
      <c r="AHX93" s="1"/>
      <c r="AHY93" s="1"/>
      <c r="AHZ93" s="1"/>
      <c r="AIA93" s="1"/>
      <c r="AIB93" s="1"/>
      <c r="AIC93" s="1"/>
      <c r="AID93" s="1"/>
      <c r="AIE93" s="1"/>
      <c r="AIF93" s="1"/>
      <c r="AIG93" s="1"/>
      <c r="AIH93" s="1"/>
      <c r="AII93" s="1"/>
      <c r="AIJ93" s="1"/>
      <c r="AIK93" s="1"/>
      <c r="AIL93" s="1"/>
      <c r="AIM93" s="1"/>
      <c r="AIN93" s="1"/>
      <c r="AIO93" s="1"/>
      <c r="AIP93" s="1"/>
      <c r="AIQ93" s="1"/>
      <c r="AIR93" s="1"/>
      <c r="AIS93" s="1"/>
      <c r="AIT93" s="1"/>
      <c r="AIU93" s="1"/>
      <c r="AIV93" s="1"/>
      <c r="AIW93" s="1"/>
      <c r="AIX93" s="1"/>
      <c r="AIY93" s="1"/>
      <c r="AIZ93" s="1"/>
      <c r="AJA93" s="1"/>
      <c r="AJB93" s="1"/>
      <c r="AJC93" s="1"/>
      <c r="AJD93" s="1"/>
      <c r="AJE93" s="1"/>
      <c r="AJF93" s="1"/>
      <c r="AJG93" s="1"/>
      <c r="AJH93" s="1"/>
      <c r="AJI93" s="1"/>
      <c r="AJJ93" s="1"/>
      <c r="AJK93" s="1"/>
      <c r="AJL93" s="1"/>
      <c r="AJM93" s="1"/>
      <c r="AJN93" s="1"/>
      <c r="AJO93" s="1"/>
      <c r="AJP93" s="1"/>
      <c r="AJQ93" s="1"/>
      <c r="AJR93" s="1"/>
      <c r="AJS93" s="1"/>
      <c r="AJT93" s="1"/>
      <c r="AJU93" s="1"/>
      <c r="AJV93" s="1"/>
      <c r="AJW93" s="1"/>
      <c r="AJX93" s="1"/>
      <c r="AJY93" s="1"/>
      <c r="AJZ93" s="1"/>
      <c r="AKA93" s="1"/>
      <c r="AKB93" s="1"/>
      <c r="AKC93" s="1"/>
      <c r="AKD93" s="1"/>
      <c r="AKE93" s="1"/>
      <c r="AKF93" s="1"/>
      <c r="AKG93" s="1"/>
      <c r="AKH93" s="1"/>
      <c r="AKI93" s="1"/>
      <c r="AKJ93" s="1"/>
      <c r="AKK93" s="1"/>
      <c r="AKL93" s="1"/>
      <c r="AKM93" s="1"/>
      <c r="AKN93" s="1"/>
      <c r="AKO93" s="1"/>
      <c r="AKP93" s="1"/>
      <c r="AKQ93" s="1"/>
      <c r="AKR93" s="1"/>
      <c r="AKS93" s="1"/>
      <c r="AKT93" s="1"/>
      <c r="AKU93" s="1"/>
      <c r="AKV93" s="1"/>
      <c r="AKW93" s="1"/>
      <c r="AKX93" s="1"/>
      <c r="AKY93" s="1"/>
      <c r="AKZ93" s="1"/>
      <c r="ALA93" s="1"/>
      <c r="ALB93" s="1"/>
      <c r="ALC93" s="1"/>
      <c r="ALD93" s="1"/>
      <c r="ALE93" s="1"/>
      <c r="ALF93" s="1"/>
      <c r="ALG93" s="1"/>
      <c r="ALH93" s="1"/>
      <c r="ALI93" s="1"/>
      <c r="ALJ93" s="1"/>
      <c r="ALK93" s="1"/>
      <c r="ALL93" s="1"/>
      <c r="ALM93" s="1"/>
      <c r="ALN93" s="1"/>
      <c r="ALO93" s="1"/>
      <c r="ALP93" s="1"/>
      <c r="ALQ93" s="1"/>
      <c r="ALR93" s="1"/>
      <c r="ALS93" s="1"/>
      <c r="ALT93" s="1"/>
      <c r="ALU93" s="1"/>
      <c r="ALV93" s="1"/>
      <c r="ALW93" s="1"/>
      <c r="ALX93" s="1"/>
      <c r="ALY93" s="1"/>
      <c r="ALZ93" s="1"/>
      <c r="AMA93" s="1"/>
      <c r="AMB93" s="1"/>
      <c r="AMC93" s="1"/>
      <c r="AMD93" s="1"/>
      <c r="AME93" s="1"/>
      <c r="AMF93" s="1"/>
      <c r="AMG93" s="1"/>
      <c r="AMH93" s="1"/>
      <c r="AMI93" s="1"/>
      <c r="AMJ93" s="1"/>
      <c r="AMK93" s="1"/>
      <c r="AML93" s="1"/>
      <c r="AMM93" s="1"/>
      <c r="AMN93" s="1"/>
    </row>
    <row r="94" spans="1:1029" x14ac:dyDescent="0.2">
      <c r="A94" s="3" t="str">
        <f t="shared" ref="A94" si="363">CONCATENATE(B94,"_",C94)</f>
        <v>ccr9_human_5LWE_dist</v>
      </c>
      <c r="B94" s="3" t="s">
        <v>177</v>
      </c>
      <c r="C94" s="3" t="s">
        <v>1391</v>
      </c>
      <c r="D94" s="3" t="str">
        <f>IFERROR(MID(VLOOKUP($B94,Seqs!$A:$B,2,0),E94,1),"")</f>
        <v>V</v>
      </c>
      <c r="E94" s="3">
        <v>43</v>
      </c>
      <c r="F94" s="3" t="str">
        <f>IFERROR(MID(VLOOKUP($B94,Seqs!$A:$B,2,0),G94,1),"")</f>
        <v>C</v>
      </c>
      <c r="G94" s="3">
        <v>76</v>
      </c>
      <c r="H94" s="3" t="str">
        <f>IFERROR(MID(VLOOKUP($B94,Seqs!$A:$B,2,0),I94,1),"")</f>
        <v/>
      </c>
      <c r="I94" s="23" t="s">
        <v>23</v>
      </c>
      <c r="J94" s="3" t="str">
        <f>IFERROR(MID(VLOOKUP($B94,Seqs!$A:$B,2,0),K94,1),"")</f>
        <v/>
      </c>
      <c r="K94" s="23" t="s">
        <v>23</v>
      </c>
      <c r="L94" s="3" t="str">
        <f>IFERROR(MID(VLOOKUP($B94,Seqs!$A:$B,2,0),M94,1),"")</f>
        <v>T</v>
      </c>
      <c r="M94" s="3">
        <v>81</v>
      </c>
      <c r="N94" s="3" t="str">
        <f>IFERROR(MID(VLOOKUP($B94,Seqs!$A:$B,2,0),O94,1),"")</f>
        <v>A</v>
      </c>
      <c r="O94" s="3">
        <v>108</v>
      </c>
      <c r="P94" s="3" t="str">
        <f>IFERROR(MID(VLOOKUP($B94,Seqs!$A:$B,2,0),Q94,1),"")</f>
        <v/>
      </c>
      <c r="Q94" s="3" t="s">
        <v>23</v>
      </c>
      <c r="R94" s="3" t="str">
        <f>IFERROR(MID(VLOOKUP($B94,Seqs!$A:$B,2,0),S94,1),"")</f>
        <v/>
      </c>
      <c r="S94" s="3" t="s">
        <v>23</v>
      </c>
      <c r="T94" s="3" t="str">
        <f>IFERROR(MID(VLOOKUP($B94,Seqs!$A:$B,2,0),U94,1),"")</f>
        <v>C</v>
      </c>
      <c r="U94" s="3">
        <v>119</v>
      </c>
      <c r="V94" s="3" t="str">
        <f>IFERROR(MID(VLOOKUP($B94,Seqs!$A:$B,2,0),W94,1),"")</f>
        <v>Q</v>
      </c>
      <c r="W94" s="3">
        <v>150</v>
      </c>
      <c r="X94" s="3" t="str">
        <f>IFERROR(MID(VLOOKUP($B94,Seqs!$A:$B,2,0),Y94,1),"")</f>
        <v>A</v>
      </c>
      <c r="Y94" s="3">
        <v>151</v>
      </c>
      <c r="Z94" s="3" t="str">
        <f>IFERROR(MID(VLOOKUP($B94,Seqs!$A:$B,2,0),AA94,1),"")</f>
        <v>W</v>
      </c>
      <c r="AA94" s="3">
        <v>157</v>
      </c>
      <c r="AB94" s="3" t="str">
        <f>IFERROR(MID(VLOOKUP($B94,Seqs!$A:$B,2,0),AC94,1),"")</f>
        <v>R</v>
      </c>
      <c r="AC94" s="9">
        <v>158</v>
      </c>
      <c r="AD94" s="3" t="str">
        <f>IFERROR(MID(VLOOKUP($B94,Seqs!$A:$B,2,0),AE94,1),"")</f>
        <v>I</v>
      </c>
      <c r="AE94" s="3">
        <v>184</v>
      </c>
      <c r="AF94" s="3" t="str">
        <f>IFERROR(MID(VLOOKUP($B94,Seqs!$A:$B,2,0),AG94,1),"")</f>
        <v/>
      </c>
      <c r="AG94" s="3" t="s">
        <v>23</v>
      </c>
      <c r="AH94" s="3" t="str">
        <f>IFERROR(MID(VLOOKUP($B94,Seqs!$A:$B,2,0),AI94,1),"")</f>
        <v/>
      </c>
      <c r="AI94" s="3" t="s">
        <v>23</v>
      </c>
      <c r="AJ94" s="3" t="str">
        <f>IFERROR(MID(VLOOKUP($B94,Seqs!$A:$B,2,0),AK94,1),"")</f>
        <v>K</v>
      </c>
      <c r="AK94" s="3">
        <v>209</v>
      </c>
      <c r="AL94" s="3" t="str">
        <f>IFERROR(MID(VLOOKUP($B94,Seqs!$A:$B,2,0),AM94,1),"")</f>
        <v>A</v>
      </c>
      <c r="AM94" s="3">
        <v>244</v>
      </c>
      <c r="AN94" s="3" t="str">
        <f>IFERROR(MID(VLOOKUP($B94,Seqs!$A:$B,2,0),AO94,1),"")</f>
        <v>S</v>
      </c>
      <c r="AO94" s="3">
        <v>247</v>
      </c>
      <c r="AP94" s="3" t="str">
        <f>IFERROR(MID(VLOOKUP($B94,Seqs!$A:$B,2,0),AQ94,1),"")</f>
        <v>M</v>
      </c>
      <c r="AQ94" s="3">
        <v>284</v>
      </c>
      <c r="AR94" s="3" t="str">
        <f>IFERROR(MID(VLOOKUP($B94,Seqs!$A:$B,2,0),AS94,1),"")</f>
        <v>N</v>
      </c>
      <c r="AS94" s="3">
        <v>288</v>
      </c>
      <c r="AT94" s="3" t="str">
        <f>IFERROR(MID(VLOOKUP($B94,Seqs!$A:$B,2,0),AU94,1),"")</f>
        <v>V</v>
      </c>
      <c r="AU94" s="3">
        <v>320</v>
      </c>
      <c r="AV94" s="3" t="str">
        <f>IFERROR(MID(VLOOKUP($B94,Seqs!$A:$B,2,0),AW94,1),"")</f>
        <v>G</v>
      </c>
      <c r="AW94" s="3">
        <v>321</v>
      </c>
      <c r="AX94" s="3" t="str">
        <f>IFERROR(MID(VLOOKUP($B94,Seqs!$A:$B,2,0),AY94,1),"")</f>
        <v>A</v>
      </c>
      <c r="AY94" s="3">
        <v>341</v>
      </c>
      <c r="AZ94" s="79" t="str">
        <f>VLOOKUP(B94,Classification!A:D,2,0)</f>
        <v>A</v>
      </c>
      <c r="BA94" s="97" t="str">
        <f>VLOOKUP(B94,Classification!A:D,4,0)</f>
        <v>Chemokine</v>
      </c>
      <c r="BB94" s="27" t="b">
        <f t="shared" ref="BB94" si="364">AND(E94&lt;G94,OR(G94&lt;I94,I94="-"),OR(I94&lt;K94,I94="-"),OR(K94&lt;M94,K94="-"),M94&lt;O94,OR(O94&lt;Q94,Q94="-"),OR(Q94&lt;S94,Q94="-"),OR(S94&lt;U94,S94="-"),U94&lt;W94,OR(W94&lt;Y94,Y94="-"),OR(Y94&lt;AA94,Y94="-"),OR(AA94&lt;AC94,AA94="-"),AC94&lt;AE94,OR(AE94&lt;AG94,AG94="-"),OR(AG94&lt;AI94,AG94="-"),OR(AI94&lt;AK94,AI94="-"),AK94&lt;AM94,AM94&lt;AO94,AO94&lt;AQ94,AQ94&lt;AS94,AS94&lt;AU94,OR(AU94&lt;AW94,AW94="-"),OR(AW94&lt;AY94,AW94="-"))</f>
        <v>1</v>
      </c>
      <c r="BC94" s="23">
        <f t="shared" ref="BC94" si="365">_xlfn.AGGREGATE(9,6,CG94:CR94)-_xlfn.AGGREGATE(9,6,BU94:CF94)+12</f>
        <v>259</v>
      </c>
      <c r="BD94" s="16" t="s">
        <v>1383</v>
      </c>
      <c r="BE94" s="3" t="s">
        <v>1381</v>
      </c>
      <c r="BF94" s="50" t="s">
        <v>1384</v>
      </c>
      <c r="BG94" s="50" t="s">
        <v>1384</v>
      </c>
      <c r="BH94" s="1"/>
      <c r="BI94" s="72" t="s">
        <v>1293</v>
      </c>
      <c r="BJ94" s="58" t="s">
        <v>1293</v>
      </c>
      <c r="BK94" s="58" t="s">
        <v>1293</v>
      </c>
      <c r="BL94" s="58" t="s">
        <v>1293</v>
      </c>
      <c r="BM94" s="58" t="s">
        <v>1293</v>
      </c>
      <c r="BN94" s="58" t="s">
        <v>1293</v>
      </c>
      <c r="BO94" s="58" t="s">
        <v>1293</v>
      </c>
      <c r="BP94" s="58" t="s">
        <v>1293</v>
      </c>
      <c r="BQ94" s="58" t="s">
        <v>1293</v>
      </c>
      <c r="BR94" s="58" t="s">
        <v>1293</v>
      </c>
      <c r="BS94" s="58" t="s">
        <v>1293</v>
      </c>
      <c r="BT94" s="58" t="s">
        <v>1293</v>
      </c>
      <c r="BU94" s="72">
        <f t="shared" ref="BU94" si="366">E94</f>
        <v>43</v>
      </c>
      <c r="BV94" s="73" t="str">
        <f t="shared" ref="BV94" si="367">I94</f>
        <v>-</v>
      </c>
      <c r="BW94" s="74">
        <f t="shared" ref="BW94" si="368">M94</f>
        <v>81</v>
      </c>
      <c r="BX94" s="73" t="str">
        <f t="shared" ref="BX94" si="369">Q94</f>
        <v>-</v>
      </c>
      <c r="BY94" s="74">
        <f t="shared" ref="BY94" si="370">U94</f>
        <v>119</v>
      </c>
      <c r="BZ94" s="73">
        <f t="shared" ref="BZ94" si="371">Y94</f>
        <v>151</v>
      </c>
      <c r="CA94" s="74">
        <f t="shared" ref="CA94" si="372">AC94</f>
        <v>158</v>
      </c>
      <c r="CB94" s="73" t="str">
        <f t="shared" ref="CB94" si="373">AG94</f>
        <v>-</v>
      </c>
      <c r="CC94" s="74">
        <f t="shared" ref="CC94" si="374">AK94</f>
        <v>209</v>
      </c>
      <c r="CD94" s="73">
        <f t="shared" ref="CD94" si="375">AO94</f>
        <v>247</v>
      </c>
      <c r="CE94" s="74">
        <f t="shared" ref="CE94" si="376">AS94</f>
        <v>288</v>
      </c>
      <c r="CF94" s="73">
        <f t="shared" ref="CF94" si="377">AW94</f>
        <v>321</v>
      </c>
      <c r="CG94" s="72">
        <f t="shared" ref="CG94" si="378">G94</f>
        <v>76</v>
      </c>
      <c r="CH94" s="73" t="str">
        <f t="shared" ref="CH94" si="379">K94</f>
        <v>-</v>
      </c>
      <c r="CI94" s="74">
        <f t="shared" ref="CI94" si="380">O94</f>
        <v>108</v>
      </c>
      <c r="CJ94" s="74" t="str">
        <f t="shared" ref="CJ94" si="381">S94</f>
        <v>-</v>
      </c>
      <c r="CK94" s="74">
        <f t="shared" ref="CK94" si="382">W94</f>
        <v>150</v>
      </c>
      <c r="CL94" s="74">
        <f t="shared" ref="CL94" si="383">AA94</f>
        <v>157</v>
      </c>
      <c r="CM94" s="74">
        <f t="shared" ref="CM94" si="384">AE94</f>
        <v>184</v>
      </c>
      <c r="CN94" s="74" t="str">
        <f t="shared" ref="CN94" si="385">AI94</f>
        <v>-</v>
      </c>
      <c r="CO94" s="74">
        <f t="shared" ref="CO94" si="386">AM94</f>
        <v>244</v>
      </c>
      <c r="CP94" s="74">
        <f t="shared" ref="CP94" si="387">AQ94</f>
        <v>284</v>
      </c>
      <c r="CQ94" s="74">
        <f t="shared" ref="CQ94" si="388">AU94</f>
        <v>320</v>
      </c>
      <c r="CR94" s="74">
        <f t="shared" ref="CR94" si="389">AY94</f>
        <v>341</v>
      </c>
      <c r="CS94" s="23" t="e">
        <f t="shared" ref="CS94" si="390">M94-K94</f>
        <v>#VALUE!</v>
      </c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1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  <c r="OK94" s="1"/>
      <c r="OL94" s="1"/>
      <c r="OM94" s="1"/>
      <c r="ON94" s="1"/>
      <c r="OO94" s="1"/>
      <c r="OP94" s="1"/>
      <c r="OQ94" s="1"/>
      <c r="OR94" s="1"/>
      <c r="OS94" s="1"/>
      <c r="OT94" s="1"/>
      <c r="OU94" s="1"/>
      <c r="OV94" s="1"/>
      <c r="OW94" s="1"/>
      <c r="OX94" s="1"/>
      <c r="OY94" s="1"/>
      <c r="OZ94" s="1"/>
      <c r="PA94" s="1"/>
      <c r="PB94" s="1"/>
      <c r="PC94" s="1"/>
      <c r="PD94" s="1"/>
      <c r="PE94" s="1"/>
      <c r="PF94" s="1"/>
      <c r="PG94" s="1"/>
      <c r="PH94" s="1"/>
      <c r="PI94" s="1"/>
      <c r="PJ94" s="1"/>
      <c r="PK94" s="1"/>
      <c r="PL94" s="1"/>
      <c r="PM94" s="1"/>
      <c r="PN94" s="1"/>
      <c r="PO94" s="1"/>
      <c r="PP94" s="1"/>
      <c r="PQ94" s="1"/>
      <c r="PR94" s="1"/>
      <c r="PS94" s="1"/>
      <c r="PT94" s="1"/>
      <c r="PU94" s="1"/>
      <c r="PV94" s="1"/>
      <c r="PW94" s="1"/>
      <c r="PX94" s="1"/>
      <c r="PY94" s="1"/>
      <c r="PZ94" s="1"/>
      <c r="QA94" s="1"/>
      <c r="QB94" s="1"/>
      <c r="QC94" s="1"/>
      <c r="QD94" s="1"/>
      <c r="QE94" s="1"/>
      <c r="QF94" s="1"/>
      <c r="QG94" s="1"/>
      <c r="QH94" s="1"/>
      <c r="QI94" s="1"/>
      <c r="QJ94" s="1"/>
      <c r="QK94" s="1"/>
      <c r="QL94" s="1"/>
      <c r="QM94" s="1"/>
      <c r="QN94" s="1"/>
      <c r="QO94" s="1"/>
      <c r="QP94" s="1"/>
      <c r="QQ94" s="1"/>
      <c r="QR94" s="1"/>
      <c r="QS94" s="1"/>
      <c r="QT94" s="1"/>
      <c r="QU94" s="1"/>
      <c r="QV94" s="1"/>
      <c r="QW94" s="1"/>
      <c r="QX94" s="1"/>
      <c r="QY94" s="1"/>
      <c r="QZ94" s="1"/>
      <c r="RA94" s="1"/>
      <c r="RB94" s="1"/>
      <c r="RC94" s="1"/>
      <c r="RD94" s="1"/>
      <c r="RE94" s="1"/>
      <c r="RF94" s="1"/>
      <c r="RG94" s="1"/>
      <c r="RH94" s="1"/>
      <c r="RI94" s="1"/>
      <c r="RJ94" s="1"/>
      <c r="RK94" s="1"/>
      <c r="RL94" s="1"/>
      <c r="RM94" s="1"/>
      <c r="RN94" s="1"/>
      <c r="RO94" s="1"/>
      <c r="RP94" s="1"/>
      <c r="RQ94" s="1"/>
      <c r="RR94" s="1"/>
      <c r="RS94" s="1"/>
      <c r="RT94" s="1"/>
      <c r="RU94" s="1"/>
      <c r="RV94" s="1"/>
      <c r="RW94" s="1"/>
      <c r="RX94" s="1"/>
      <c r="RY94" s="1"/>
      <c r="RZ94" s="1"/>
      <c r="SA94" s="1"/>
      <c r="SB94" s="1"/>
      <c r="SC94" s="1"/>
      <c r="SD94" s="1"/>
      <c r="SE94" s="1"/>
      <c r="SF94" s="1"/>
      <c r="SG94" s="1"/>
      <c r="SH94" s="1"/>
      <c r="SI94" s="1"/>
      <c r="SJ94" s="1"/>
      <c r="SK94" s="1"/>
      <c r="SL94" s="1"/>
      <c r="SM94" s="1"/>
      <c r="SN94" s="1"/>
      <c r="SO94" s="1"/>
      <c r="SP94" s="1"/>
      <c r="SQ94" s="1"/>
      <c r="SR94" s="1"/>
      <c r="SS94" s="1"/>
      <c r="ST94" s="1"/>
      <c r="SU94" s="1"/>
      <c r="SV94" s="1"/>
      <c r="SW94" s="1"/>
      <c r="SX94" s="1"/>
      <c r="SY94" s="1"/>
      <c r="SZ94" s="1"/>
      <c r="TA94" s="1"/>
      <c r="TB94" s="1"/>
      <c r="TC94" s="1"/>
      <c r="TD94" s="1"/>
      <c r="TE94" s="1"/>
      <c r="TF94" s="1"/>
      <c r="TG94" s="1"/>
      <c r="TH94" s="1"/>
      <c r="TI94" s="1"/>
      <c r="TJ94" s="1"/>
      <c r="TK94" s="1"/>
      <c r="TL94" s="1"/>
      <c r="TM94" s="1"/>
      <c r="TN94" s="1"/>
      <c r="TO94" s="1"/>
      <c r="TP94" s="1"/>
      <c r="TQ94" s="1"/>
      <c r="TR94" s="1"/>
      <c r="TS94" s="1"/>
      <c r="TT94" s="1"/>
      <c r="TU94" s="1"/>
      <c r="TV94" s="1"/>
      <c r="TW94" s="1"/>
      <c r="TX94" s="1"/>
      <c r="TY94" s="1"/>
      <c r="TZ94" s="1"/>
      <c r="UA94" s="1"/>
      <c r="UB94" s="1"/>
      <c r="UC94" s="1"/>
      <c r="UD94" s="1"/>
      <c r="UE94" s="1"/>
      <c r="UF94" s="1"/>
      <c r="UG94" s="1"/>
      <c r="UH94" s="1"/>
      <c r="UI94" s="1"/>
      <c r="UJ94" s="1"/>
      <c r="UK94" s="1"/>
      <c r="UL94" s="1"/>
      <c r="UM94" s="1"/>
      <c r="UN94" s="1"/>
      <c r="UO94" s="1"/>
      <c r="UP94" s="1"/>
      <c r="UQ94" s="1"/>
      <c r="UR94" s="1"/>
      <c r="US94" s="1"/>
      <c r="UT94" s="1"/>
      <c r="UU94" s="1"/>
      <c r="UV94" s="1"/>
      <c r="UW94" s="1"/>
      <c r="UX94" s="1"/>
      <c r="UY94" s="1"/>
      <c r="UZ94" s="1"/>
      <c r="VA94" s="1"/>
      <c r="VB94" s="1"/>
      <c r="VC94" s="1"/>
      <c r="VD94" s="1"/>
      <c r="VE94" s="1"/>
      <c r="VF94" s="1"/>
      <c r="VG94" s="1"/>
      <c r="VH94" s="1"/>
      <c r="VI94" s="1"/>
      <c r="VJ94" s="1"/>
      <c r="VK94" s="1"/>
      <c r="VL94" s="1"/>
      <c r="VM94" s="1"/>
      <c r="VN94" s="1"/>
      <c r="VO94" s="1"/>
      <c r="VP94" s="1"/>
      <c r="VQ94" s="1"/>
      <c r="VR94" s="1"/>
      <c r="VS94" s="1"/>
      <c r="VT94" s="1"/>
      <c r="VU94" s="1"/>
      <c r="VV94" s="1"/>
      <c r="VW94" s="1"/>
      <c r="VX94" s="1"/>
      <c r="VY94" s="1"/>
      <c r="VZ94" s="1"/>
      <c r="WA94" s="1"/>
      <c r="WB94" s="1"/>
      <c r="WC94" s="1"/>
      <c r="WD94" s="1"/>
      <c r="WE94" s="1"/>
      <c r="WF94" s="1"/>
      <c r="WG94" s="1"/>
      <c r="WH94" s="1"/>
      <c r="WI94" s="1"/>
      <c r="WJ94" s="1"/>
      <c r="WK94" s="1"/>
      <c r="WL94" s="1"/>
      <c r="WM94" s="1"/>
      <c r="WN94" s="1"/>
      <c r="WO94" s="1"/>
      <c r="WP94" s="1"/>
      <c r="WQ94" s="1"/>
      <c r="WR94" s="1"/>
      <c r="WS94" s="1"/>
      <c r="WT94" s="1"/>
      <c r="WU94" s="1"/>
      <c r="WV94" s="1"/>
      <c r="WW94" s="1"/>
      <c r="WX94" s="1"/>
      <c r="WY94" s="1"/>
      <c r="WZ94" s="1"/>
      <c r="XA94" s="1"/>
      <c r="XB94" s="1"/>
      <c r="XC94" s="1"/>
      <c r="XD94" s="1"/>
      <c r="XE94" s="1"/>
      <c r="XF94" s="1"/>
      <c r="XG94" s="1"/>
      <c r="XH94" s="1"/>
      <c r="XI94" s="1"/>
      <c r="XJ94" s="1"/>
      <c r="XK94" s="1"/>
      <c r="XL94" s="1"/>
      <c r="XM94" s="1"/>
      <c r="XN94" s="1"/>
      <c r="XO94" s="1"/>
      <c r="XP94" s="1"/>
      <c r="XQ94" s="1"/>
      <c r="XR94" s="1"/>
      <c r="XS94" s="1"/>
      <c r="XT94" s="1"/>
      <c r="XU94" s="1"/>
      <c r="XV94" s="1"/>
      <c r="XW94" s="1"/>
      <c r="XX94" s="1"/>
      <c r="XY94" s="1"/>
      <c r="XZ94" s="1"/>
      <c r="YA94" s="1"/>
      <c r="YB94" s="1"/>
      <c r="YC94" s="1"/>
      <c r="YD94" s="1"/>
      <c r="YE94" s="1"/>
      <c r="YF94" s="1"/>
      <c r="YG94" s="1"/>
      <c r="YH94" s="1"/>
      <c r="YI94" s="1"/>
      <c r="YJ94" s="1"/>
      <c r="YK94" s="1"/>
      <c r="YL94" s="1"/>
      <c r="YM94" s="1"/>
      <c r="YN94" s="1"/>
      <c r="YO94" s="1"/>
      <c r="YP94" s="1"/>
      <c r="YQ94" s="1"/>
      <c r="YR94" s="1"/>
      <c r="YS94" s="1"/>
      <c r="YT94" s="1"/>
      <c r="YU94" s="1"/>
      <c r="YV94" s="1"/>
      <c r="YW94" s="1"/>
      <c r="YX94" s="1"/>
      <c r="YY94" s="1"/>
      <c r="YZ94" s="1"/>
      <c r="ZA94" s="1"/>
      <c r="ZB94" s="1"/>
      <c r="ZC94" s="1"/>
      <c r="ZD94" s="1"/>
      <c r="ZE94" s="1"/>
      <c r="ZF94" s="1"/>
      <c r="ZG94" s="1"/>
      <c r="ZH94" s="1"/>
      <c r="ZI94" s="1"/>
      <c r="ZJ94" s="1"/>
      <c r="ZK94" s="1"/>
      <c r="ZL94" s="1"/>
      <c r="ZM94" s="1"/>
      <c r="ZN94" s="1"/>
      <c r="ZO94" s="1"/>
      <c r="ZP94" s="1"/>
      <c r="ZQ94" s="1"/>
      <c r="ZR94" s="1"/>
      <c r="ZS94" s="1"/>
      <c r="ZT94" s="1"/>
      <c r="ZU94" s="1"/>
      <c r="ZV94" s="1"/>
      <c r="ZW94" s="1"/>
      <c r="ZX94" s="1"/>
      <c r="ZY94" s="1"/>
      <c r="ZZ94" s="1"/>
      <c r="AAA94" s="1"/>
      <c r="AAB94" s="1"/>
      <c r="AAC94" s="1"/>
      <c r="AAD94" s="1"/>
      <c r="AAE94" s="1"/>
      <c r="AAF94" s="1"/>
      <c r="AAG94" s="1"/>
      <c r="AAH94" s="1"/>
      <c r="AAI94" s="1"/>
      <c r="AAJ94" s="1"/>
      <c r="AAK94" s="1"/>
      <c r="AAL94" s="1"/>
      <c r="AAM94" s="1"/>
      <c r="AAN94" s="1"/>
      <c r="AAO94" s="1"/>
      <c r="AAP94" s="1"/>
      <c r="AAQ94" s="1"/>
      <c r="AAR94" s="1"/>
      <c r="AAS94" s="1"/>
      <c r="AAT94" s="1"/>
      <c r="AAU94" s="1"/>
      <c r="AAV94" s="1"/>
      <c r="AAW94" s="1"/>
      <c r="AAX94" s="1"/>
      <c r="AAY94" s="1"/>
      <c r="AAZ94" s="1"/>
      <c r="ABA94" s="1"/>
      <c r="ABB94" s="1"/>
      <c r="ABC94" s="1"/>
      <c r="ABD94" s="1"/>
      <c r="ABE94" s="1"/>
      <c r="ABF94" s="1"/>
      <c r="ABG94" s="1"/>
      <c r="ABH94" s="1"/>
      <c r="ABI94" s="1"/>
      <c r="ABJ94" s="1"/>
      <c r="ABK94" s="1"/>
      <c r="ABL94" s="1"/>
      <c r="ABM94" s="1"/>
      <c r="ABN94" s="1"/>
      <c r="ABO94" s="1"/>
      <c r="ABP94" s="1"/>
      <c r="ABQ94" s="1"/>
      <c r="ABR94" s="1"/>
      <c r="ABS94" s="1"/>
      <c r="ABT94" s="1"/>
      <c r="ABU94" s="1"/>
      <c r="ABV94" s="1"/>
      <c r="ABW94" s="1"/>
      <c r="ABX94" s="1"/>
      <c r="ABY94" s="1"/>
      <c r="ABZ94" s="1"/>
      <c r="ACA94" s="1"/>
      <c r="ACB94" s="1"/>
      <c r="ACC94" s="1"/>
      <c r="ACD94" s="1"/>
      <c r="ACE94" s="1"/>
      <c r="ACF94" s="1"/>
      <c r="ACG94" s="1"/>
      <c r="ACH94" s="1"/>
      <c r="ACI94" s="1"/>
      <c r="ACJ94" s="1"/>
      <c r="ACK94" s="1"/>
      <c r="ACL94" s="1"/>
      <c r="ACM94" s="1"/>
      <c r="ACN94" s="1"/>
      <c r="ACO94" s="1"/>
      <c r="ACP94" s="1"/>
      <c r="ACQ94" s="1"/>
      <c r="ACR94" s="1"/>
      <c r="ACS94" s="1"/>
      <c r="ACT94" s="1"/>
      <c r="ACU94" s="1"/>
      <c r="ACV94" s="1"/>
      <c r="ACW94" s="1"/>
      <c r="ACX94" s="1"/>
      <c r="ACY94" s="1"/>
      <c r="ACZ94" s="1"/>
      <c r="ADA94" s="1"/>
      <c r="ADB94" s="1"/>
      <c r="ADC94" s="1"/>
      <c r="ADD94" s="1"/>
      <c r="ADE94" s="1"/>
      <c r="ADF94" s="1"/>
      <c r="ADG94" s="1"/>
      <c r="ADH94" s="1"/>
      <c r="ADI94" s="1"/>
      <c r="ADJ94" s="1"/>
      <c r="ADK94" s="1"/>
      <c r="ADL94" s="1"/>
      <c r="ADM94" s="1"/>
      <c r="ADN94" s="1"/>
      <c r="ADO94" s="1"/>
      <c r="ADP94" s="1"/>
      <c r="ADQ94" s="1"/>
      <c r="ADR94" s="1"/>
      <c r="ADS94" s="1"/>
      <c r="ADT94" s="1"/>
      <c r="ADU94" s="1"/>
      <c r="ADV94" s="1"/>
      <c r="ADW94" s="1"/>
      <c r="ADX94" s="1"/>
      <c r="ADY94" s="1"/>
      <c r="ADZ94" s="1"/>
      <c r="AEA94" s="1"/>
      <c r="AEB94" s="1"/>
      <c r="AEC94" s="1"/>
      <c r="AED94" s="1"/>
      <c r="AEE94" s="1"/>
      <c r="AEF94" s="1"/>
      <c r="AEG94" s="1"/>
      <c r="AEH94" s="1"/>
      <c r="AEI94" s="1"/>
      <c r="AEJ94" s="1"/>
      <c r="AEK94" s="1"/>
      <c r="AEL94" s="1"/>
      <c r="AEM94" s="1"/>
      <c r="AEN94" s="1"/>
      <c r="AEO94" s="1"/>
      <c r="AEP94" s="1"/>
      <c r="AEQ94" s="1"/>
      <c r="AER94" s="1"/>
      <c r="AES94" s="1"/>
      <c r="AET94" s="1"/>
      <c r="AEU94" s="1"/>
      <c r="AEV94" s="1"/>
      <c r="AEW94" s="1"/>
      <c r="AEX94" s="1"/>
      <c r="AEY94" s="1"/>
      <c r="AEZ94" s="1"/>
      <c r="AFA94" s="1"/>
      <c r="AFB94" s="1"/>
      <c r="AFC94" s="1"/>
      <c r="AFD94" s="1"/>
      <c r="AFE94" s="1"/>
      <c r="AFF94" s="1"/>
      <c r="AFG94" s="1"/>
      <c r="AFH94" s="1"/>
      <c r="AFI94" s="1"/>
      <c r="AFJ94" s="1"/>
      <c r="AFK94" s="1"/>
      <c r="AFL94" s="1"/>
      <c r="AFM94" s="1"/>
      <c r="AFN94" s="1"/>
      <c r="AFO94" s="1"/>
      <c r="AFP94" s="1"/>
      <c r="AFQ94" s="1"/>
      <c r="AFR94" s="1"/>
      <c r="AFS94" s="1"/>
      <c r="AFT94" s="1"/>
      <c r="AFU94" s="1"/>
      <c r="AFV94" s="1"/>
      <c r="AFW94" s="1"/>
      <c r="AFX94" s="1"/>
      <c r="AFY94" s="1"/>
      <c r="AFZ94" s="1"/>
      <c r="AGA94" s="1"/>
      <c r="AGB94" s="1"/>
      <c r="AGC94" s="1"/>
      <c r="AGD94" s="1"/>
      <c r="AGE94" s="1"/>
      <c r="AGF94" s="1"/>
      <c r="AGG94" s="1"/>
      <c r="AGH94" s="1"/>
      <c r="AGI94" s="1"/>
      <c r="AGJ94" s="1"/>
      <c r="AGK94" s="1"/>
      <c r="AGL94" s="1"/>
      <c r="AGM94" s="1"/>
      <c r="AGN94" s="1"/>
      <c r="AGO94" s="1"/>
      <c r="AGP94" s="1"/>
      <c r="AGQ94" s="1"/>
      <c r="AGR94" s="1"/>
      <c r="AGS94" s="1"/>
      <c r="AGT94" s="1"/>
      <c r="AGU94" s="1"/>
      <c r="AGV94" s="1"/>
      <c r="AGW94" s="1"/>
      <c r="AGX94" s="1"/>
      <c r="AGY94" s="1"/>
      <c r="AGZ94" s="1"/>
      <c r="AHA94" s="1"/>
      <c r="AHB94" s="1"/>
      <c r="AHC94" s="1"/>
      <c r="AHD94" s="1"/>
      <c r="AHE94" s="1"/>
      <c r="AHF94" s="1"/>
      <c r="AHG94" s="1"/>
      <c r="AHH94" s="1"/>
      <c r="AHI94" s="1"/>
      <c r="AHJ94" s="1"/>
      <c r="AHK94" s="1"/>
      <c r="AHL94" s="1"/>
      <c r="AHM94" s="1"/>
      <c r="AHN94" s="1"/>
      <c r="AHO94" s="1"/>
      <c r="AHP94" s="1"/>
      <c r="AHQ94" s="1"/>
      <c r="AHR94" s="1"/>
      <c r="AHS94" s="1"/>
      <c r="AHT94" s="1"/>
      <c r="AHU94" s="1"/>
      <c r="AHV94" s="1"/>
      <c r="AHW94" s="1"/>
      <c r="AHX94" s="1"/>
      <c r="AHY94" s="1"/>
      <c r="AHZ94" s="1"/>
      <c r="AIA94" s="1"/>
      <c r="AIB94" s="1"/>
      <c r="AIC94" s="1"/>
      <c r="AID94" s="1"/>
      <c r="AIE94" s="1"/>
      <c r="AIF94" s="1"/>
      <c r="AIG94" s="1"/>
      <c r="AIH94" s="1"/>
      <c r="AII94" s="1"/>
      <c r="AIJ94" s="1"/>
      <c r="AIK94" s="1"/>
      <c r="AIL94" s="1"/>
      <c r="AIM94" s="1"/>
      <c r="AIN94" s="1"/>
      <c r="AIO94" s="1"/>
      <c r="AIP94" s="1"/>
      <c r="AIQ94" s="1"/>
      <c r="AIR94" s="1"/>
      <c r="AIS94" s="1"/>
      <c r="AIT94" s="1"/>
      <c r="AIU94" s="1"/>
      <c r="AIV94" s="1"/>
      <c r="AIW94" s="1"/>
      <c r="AIX94" s="1"/>
      <c r="AIY94" s="1"/>
      <c r="AIZ94" s="1"/>
      <c r="AJA94" s="1"/>
      <c r="AJB94" s="1"/>
      <c r="AJC94" s="1"/>
      <c r="AJD94" s="1"/>
      <c r="AJE94" s="1"/>
      <c r="AJF94" s="1"/>
      <c r="AJG94" s="1"/>
      <c r="AJH94" s="1"/>
      <c r="AJI94" s="1"/>
      <c r="AJJ94" s="1"/>
      <c r="AJK94" s="1"/>
      <c r="AJL94" s="1"/>
      <c r="AJM94" s="1"/>
      <c r="AJN94" s="1"/>
      <c r="AJO94" s="1"/>
      <c r="AJP94" s="1"/>
      <c r="AJQ94" s="1"/>
      <c r="AJR94" s="1"/>
      <c r="AJS94" s="1"/>
      <c r="AJT94" s="1"/>
      <c r="AJU94" s="1"/>
      <c r="AJV94" s="1"/>
      <c r="AJW94" s="1"/>
      <c r="AJX94" s="1"/>
      <c r="AJY94" s="1"/>
      <c r="AJZ94" s="1"/>
      <c r="AKA94" s="1"/>
      <c r="AKB94" s="1"/>
      <c r="AKC94" s="1"/>
      <c r="AKD94" s="1"/>
      <c r="AKE94" s="1"/>
      <c r="AKF94" s="1"/>
      <c r="AKG94" s="1"/>
      <c r="AKH94" s="1"/>
      <c r="AKI94" s="1"/>
      <c r="AKJ94" s="1"/>
      <c r="AKK94" s="1"/>
      <c r="AKL94" s="1"/>
      <c r="AKM94" s="1"/>
      <c r="AKN94" s="1"/>
      <c r="AKO94" s="1"/>
      <c r="AKP94" s="1"/>
      <c r="AKQ94" s="1"/>
      <c r="AKR94" s="1"/>
      <c r="AKS94" s="1"/>
      <c r="AKT94" s="1"/>
      <c r="AKU94" s="1"/>
      <c r="AKV94" s="1"/>
      <c r="AKW94" s="1"/>
      <c r="AKX94" s="1"/>
      <c r="AKY94" s="1"/>
      <c r="AKZ94" s="1"/>
      <c r="ALA94" s="1"/>
      <c r="ALB94" s="1"/>
      <c r="ALC94" s="1"/>
      <c r="ALD94" s="1"/>
      <c r="ALE94" s="1"/>
      <c r="ALF94" s="1"/>
      <c r="ALG94" s="1"/>
      <c r="ALH94" s="1"/>
      <c r="ALI94" s="1"/>
      <c r="ALJ94" s="1"/>
      <c r="ALK94" s="1"/>
      <c r="ALL94" s="1"/>
      <c r="ALM94" s="1"/>
      <c r="ALN94" s="1"/>
      <c r="ALO94" s="1"/>
      <c r="ALP94" s="1"/>
      <c r="ALQ94" s="1"/>
      <c r="ALR94" s="1"/>
      <c r="ALS94" s="1"/>
      <c r="ALT94" s="1"/>
      <c r="ALU94" s="1"/>
      <c r="ALV94" s="1"/>
      <c r="ALW94" s="1"/>
      <c r="ALX94" s="1"/>
      <c r="ALY94" s="1"/>
      <c r="ALZ94" s="1"/>
      <c r="AMA94" s="1"/>
      <c r="AMB94" s="1"/>
      <c r="AMC94" s="1"/>
      <c r="AMD94" s="1"/>
      <c r="AME94" s="1"/>
      <c r="AMF94" s="1"/>
      <c r="AMG94" s="1"/>
      <c r="AMH94" s="1"/>
      <c r="AMI94" s="1"/>
      <c r="AMJ94" s="1"/>
      <c r="AMK94" s="1"/>
      <c r="AML94" s="1"/>
      <c r="AMM94" s="1"/>
      <c r="AMN94" s="1"/>
    </row>
    <row r="95" spans="1:1029" x14ac:dyDescent="0.2">
      <c r="A95" s="3" t="str">
        <f t="shared" si="222"/>
        <v>cnr1_human__wt</v>
      </c>
      <c r="B95" s="3" t="s">
        <v>182</v>
      </c>
      <c r="C95" s="3" t="s">
        <v>100</v>
      </c>
      <c r="D95" s="3" t="str">
        <f>IFERROR(MID(VLOOKUP($B95,Seqs!$A:$B,2,0),E95,1),"")</f>
        <v>N</v>
      </c>
      <c r="E95" s="3">
        <v>112</v>
      </c>
      <c r="F95" s="3" t="str">
        <f>IFERROR(MID(VLOOKUP($B95,Seqs!$A:$B,2,0),G95,1),"")</f>
        <v>S</v>
      </c>
      <c r="G95" s="3">
        <v>144</v>
      </c>
      <c r="H95" s="3" t="str">
        <f>IFERROR(MID(VLOOKUP($B95,Seqs!$A:$B,2,0),I95,1),"")</f>
        <v>R</v>
      </c>
      <c r="I95" s="23">
        <v>145</v>
      </c>
      <c r="J95" s="3" t="str">
        <f>IFERROR(MID(VLOOKUP($B95,Seqs!$A:$B,2,0),K95,1),"")</f>
        <v>R</v>
      </c>
      <c r="K95" s="23">
        <v>148</v>
      </c>
      <c r="L95" s="3" t="str">
        <f>IFERROR(MID(VLOOKUP($B95,Seqs!$A:$B,2,0),M95,1),"")</f>
        <v>R</v>
      </c>
      <c r="M95" s="3">
        <v>150</v>
      </c>
      <c r="N95" s="3" t="str">
        <f>IFERROR(MID(VLOOKUP($B95,Seqs!$A:$B,2,0),O95,1),"")</f>
        <v>V</v>
      </c>
      <c r="O95" s="3">
        <v>179</v>
      </c>
      <c r="P95" s="3" t="str">
        <f>IFERROR(MID(VLOOKUP($B95,Seqs!$A:$B,2,0),Q95,1),"")</f>
        <v/>
      </c>
      <c r="Q95" s="3" t="s">
        <v>23</v>
      </c>
      <c r="R95" s="3" t="str">
        <f>IFERROR(MID(VLOOKUP($B95,Seqs!$A:$B,2,0),S95,1),"")</f>
        <v/>
      </c>
      <c r="S95" s="3" t="s">
        <v>23</v>
      </c>
      <c r="T95" s="3" t="str">
        <f>IFERROR(MID(VLOOKUP($B95,Seqs!$A:$B,2,0),U95,1),"")</f>
        <v>S</v>
      </c>
      <c r="U95" s="3">
        <v>185</v>
      </c>
      <c r="V95" s="3" t="str">
        <f>IFERROR(MID(VLOOKUP($B95,Seqs!$A:$B,2,0),W95,1),"")</f>
        <v>R</v>
      </c>
      <c r="W95" s="3">
        <v>220</v>
      </c>
      <c r="X95" s="3" t="str">
        <f>IFERROR(MID(VLOOKUP($B95,Seqs!$A:$B,2,0),Y95,1),"")</f>
        <v>P</v>
      </c>
      <c r="Y95" s="3">
        <v>221</v>
      </c>
      <c r="Z95" s="3" t="str">
        <f>IFERROR(MID(VLOOKUP($B95,Seqs!$A:$B,2,0),AA95,1),"")</f>
        <v>V</v>
      </c>
      <c r="AA95" s="3">
        <v>228</v>
      </c>
      <c r="AB95" s="3" t="str">
        <f>IFERROR(MID(VLOOKUP($B95,Seqs!$A:$B,2,0),AC95,1),"")</f>
        <v>T</v>
      </c>
      <c r="AC95" s="9">
        <v>229</v>
      </c>
      <c r="AD95" s="3" t="str">
        <f>IFERROR(MID(VLOOKUP($B95,Seqs!$A:$B,2,0),AE95,1),"")</f>
        <v>G</v>
      </c>
      <c r="AE95" s="3">
        <v>254</v>
      </c>
      <c r="AF95" s="3" t="str">
        <f>IFERROR(MID(VLOOKUP($B95,Seqs!$A:$B,2,0),AG95,1),"")</f>
        <v/>
      </c>
      <c r="AG95" s="3" t="s">
        <v>23</v>
      </c>
      <c r="AH95" s="3" t="str">
        <f>IFERROR(MID(VLOOKUP($B95,Seqs!$A:$B,2,0),AI95,1),"")</f>
        <v/>
      </c>
      <c r="AI95" s="3" t="s">
        <v>23</v>
      </c>
      <c r="AJ95" s="3" t="str">
        <f>IFERROR(MID(VLOOKUP($B95,Seqs!$A:$B,2,0),AK95,1),"")</f>
        <v>D</v>
      </c>
      <c r="AK95" s="3">
        <v>272</v>
      </c>
      <c r="AL95" s="3" t="str">
        <f>IFERROR(MID(VLOOKUP($B95,Seqs!$A:$B,2,0),AM95,1),"")</f>
        <v>G</v>
      </c>
      <c r="AM95" s="3">
        <v>312</v>
      </c>
      <c r="AN95" s="3" t="str">
        <f>IFERROR(MID(VLOOKUP($B95,Seqs!$A:$B,2,0),AO95,1),"")</f>
        <v>P</v>
      </c>
      <c r="AO95" s="3">
        <v>332</v>
      </c>
      <c r="AP95" s="3" t="str">
        <f>IFERROR(MID(VLOOKUP($B95,Seqs!$A:$B,2,0),AQ95,1),"")</f>
        <v>G</v>
      </c>
      <c r="AQ95" s="3">
        <v>369</v>
      </c>
      <c r="AR95" s="3" t="str">
        <f>IFERROR(MID(VLOOKUP($B95,Seqs!$A:$B,2,0),AS95,1),"")</f>
        <v>N</v>
      </c>
      <c r="AS95" s="3">
        <v>372</v>
      </c>
      <c r="AT95" s="3" t="str">
        <f>IFERROR(MID(VLOOKUP($B95,Seqs!$A:$B,2,0),AU95,1),"")</f>
        <v>R</v>
      </c>
      <c r="AU95" s="3">
        <v>400</v>
      </c>
      <c r="AV95" s="3" t="str">
        <f>IFERROR(MID(VLOOKUP($B95,Seqs!$A:$B,2,0),AW95,1),"")</f>
        <v>S</v>
      </c>
      <c r="AW95" s="3">
        <v>401</v>
      </c>
      <c r="AX95" s="3" t="str">
        <f>IFERROR(MID(VLOOKUP($B95,Seqs!$A:$B,2,0),AY95,1),"")</f>
        <v>P</v>
      </c>
      <c r="AY95" s="3">
        <v>413</v>
      </c>
      <c r="AZ95" s="79" t="str">
        <f>VLOOKUP(B95,Classification!A:D,2,0)</f>
        <v>A</v>
      </c>
      <c r="BA95" s="97" t="str">
        <f>VLOOKUP(B95,Classification!A:D,4,0)</f>
        <v>Cannabinoid</v>
      </c>
      <c r="BB95" s="27" t="b">
        <f t="shared" si="223"/>
        <v>1</v>
      </c>
      <c r="BC95" s="23">
        <f t="shared" si="196"/>
        <v>260</v>
      </c>
      <c r="BD95" s="57" t="s">
        <v>1379</v>
      </c>
      <c r="BE95" s="3" t="s">
        <v>1381</v>
      </c>
      <c r="BF95" s="50" t="s">
        <v>1379</v>
      </c>
      <c r="BG95" s="50" t="s">
        <v>1384</v>
      </c>
      <c r="BI95" s="72" t="s">
        <v>1293</v>
      </c>
      <c r="BJ95" s="58" t="s">
        <v>1293</v>
      </c>
      <c r="BK95" s="58" t="s">
        <v>1293</v>
      </c>
      <c r="BL95" s="58" t="s">
        <v>1293</v>
      </c>
      <c r="BM95" s="58" t="s">
        <v>1293</v>
      </c>
      <c r="BN95" s="58" t="s">
        <v>1293</v>
      </c>
      <c r="BO95" s="58" t="s">
        <v>1293</v>
      </c>
      <c r="BP95" s="58" t="s">
        <v>1293</v>
      </c>
      <c r="BQ95" s="58" t="s">
        <v>1293</v>
      </c>
      <c r="BR95" s="58" t="s">
        <v>1293</v>
      </c>
      <c r="BS95" s="58" t="s">
        <v>1293</v>
      </c>
      <c r="BT95" s="58" t="s">
        <v>1293</v>
      </c>
      <c r="BU95" s="72">
        <f t="shared" si="197"/>
        <v>112</v>
      </c>
      <c r="BV95" s="73">
        <f t="shared" si="198"/>
        <v>145</v>
      </c>
      <c r="BW95" s="74">
        <f t="shared" si="199"/>
        <v>150</v>
      </c>
      <c r="BX95" s="73" t="str">
        <f t="shared" si="200"/>
        <v>-</v>
      </c>
      <c r="BY95" s="74">
        <f t="shared" si="201"/>
        <v>185</v>
      </c>
      <c r="BZ95" s="73">
        <f t="shared" si="202"/>
        <v>221</v>
      </c>
      <c r="CA95" s="74">
        <f t="shared" si="203"/>
        <v>229</v>
      </c>
      <c r="CB95" s="73" t="str">
        <f t="shared" si="204"/>
        <v>-</v>
      </c>
      <c r="CC95" s="74">
        <f t="shared" si="205"/>
        <v>272</v>
      </c>
      <c r="CD95" s="73">
        <f t="shared" si="206"/>
        <v>332</v>
      </c>
      <c r="CE95" s="74">
        <f t="shared" si="207"/>
        <v>372</v>
      </c>
      <c r="CF95" s="73">
        <f t="shared" si="208"/>
        <v>401</v>
      </c>
      <c r="CG95" s="72">
        <f t="shared" si="209"/>
        <v>144</v>
      </c>
      <c r="CH95" s="73">
        <f t="shared" si="210"/>
        <v>148</v>
      </c>
      <c r="CI95" s="74">
        <f t="shared" si="211"/>
        <v>179</v>
      </c>
      <c r="CJ95" s="74" t="str">
        <f t="shared" si="212"/>
        <v>-</v>
      </c>
      <c r="CK95" s="74">
        <f t="shared" si="213"/>
        <v>220</v>
      </c>
      <c r="CL95" s="74">
        <f t="shared" si="214"/>
        <v>228</v>
      </c>
      <c r="CM95" s="74">
        <f t="shared" si="215"/>
        <v>254</v>
      </c>
      <c r="CN95" s="74" t="str">
        <f t="shared" si="216"/>
        <v>-</v>
      </c>
      <c r="CO95" s="74">
        <f t="shared" si="217"/>
        <v>312</v>
      </c>
      <c r="CP95" s="74">
        <f t="shared" si="218"/>
        <v>369</v>
      </c>
      <c r="CQ95" s="74">
        <f t="shared" si="219"/>
        <v>400</v>
      </c>
      <c r="CR95" s="74">
        <f t="shared" si="220"/>
        <v>413</v>
      </c>
      <c r="CS95" s="23">
        <f t="shared" si="221"/>
        <v>2</v>
      </c>
    </row>
    <row r="96" spans="1:1029" s="3" customFormat="1" x14ac:dyDescent="0.2">
      <c r="A96" s="3" t="str">
        <f t="shared" si="222"/>
        <v>cnr1_human_5TGZ</v>
      </c>
      <c r="B96" s="3" t="s">
        <v>182</v>
      </c>
      <c r="C96" s="3" t="s">
        <v>1365</v>
      </c>
      <c r="D96" s="3" t="str">
        <f>IFERROR(MID(VLOOKUP($B96,Seqs!$A:$B,2,0),E96,1),"")</f>
        <v>P</v>
      </c>
      <c r="E96" s="3">
        <v>113</v>
      </c>
      <c r="F96" s="3" t="str">
        <f>IFERROR(MID(VLOOKUP($B96,Seqs!$A:$B,2,0),G96,1),"")</f>
        <v>S</v>
      </c>
      <c r="G96" s="3">
        <v>144</v>
      </c>
      <c r="H96" s="3" t="str">
        <f>IFERROR(MID(VLOOKUP($B96,Seqs!$A:$B,2,0),I96,1),"")</f>
        <v>R</v>
      </c>
      <c r="I96" s="23">
        <v>145</v>
      </c>
      <c r="J96" s="3" t="str">
        <f>IFERROR(MID(VLOOKUP($B96,Seqs!$A:$B,2,0),K96,1),"")</f>
        <v>R</v>
      </c>
      <c r="K96" s="23">
        <v>148</v>
      </c>
      <c r="L96" s="3" t="str">
        <f>IFERROR(MID(VLOOKUP($B96,Seqs!$A:$B,2,0),M96,1),"")</f>
        <v>R</v>
      </c>
      <c r="M96" s="3">
        <v>150</v>
      </c>
      <c r="N96" s="3" t="str">
        <f>IFERROR(MID(VLOOKUP($B96,Seqs!$A:$B,2,0),O96,1),"")</f>
        <v>V</v>
      </c>
      <c r="O96" s="3">
        <v>179</v>
      </c>
      <c r="P96" s="3" t="str">
        <f>IFERROR(MID(VLOOKUP($B96,Seqs!$A:$B,2,0),Q96,1),"")</f>
        <v/>
      </c>
      <c r="Q96" s="3" t="s">
        <v>23</v>
      </c>
      <c r="R96" s="3" t="str">
        <f>IFERROR(MID(VLOOKUP($B96,Seqs!$A:$B,2,0),S96,1),"")</f>
        <v/>
      </c>
      <c r="S96" s="3" t="s">
        <v>23</v>
      </c>
      <c r="T96" s="3" t="str">
        <f>IFERROR(MID(VLOOKUP($B96,Seqs!$A:$B,2,0),U96,1),"")</f>
        <v>S</v>
      </c>
      <c r="U96" s="3">
        <v>185</v>
      </c>
      <c r="V96" s="3" t="str">
        <f>IFERROR(MID(VLOOKUP($B96,Seqs!$A:$B,2,0),W96,1),"")</f>
        <v>R</v>
      </c>
      <c r="W96" s="3">
        <v>220</v>
      </c>
      <c r="X96" s="3" t="str">
        <f>IFERROR(MID(VLOOKUP($B96,Seqs!$A:$B,2,0),Y96,1),"")</f>
        <v>P</v>
      </c>
      <c r="Y96" s="3">
        <v>221</v>
      </c>
      <c r="Z96" s="3" t="str">
        <f>IFERROR(MID(VLOOKUP($B96,Seqs!$A:$B,2,0),AA96,1),"")</f>
        <v>V</v>
      </c>
      <c r="AA96" s="3">
        <v>228</v>
      </c>
      <c r="AB96" s="3" t="str">
        <f>IFERROR(MID(VLOOKUP($B96,Seqs!$A:$B,2,0),AC96,1),"")</f>
        <v>T</v>
      </c>
      <c r="AC96" s="9">
        <v>229</v>
      </c>
      <c r="AD96" s="3" t="str">
        <f>IFERROR(MID(VLOOKUP($B96,Seqs!$A:$B,2,0),AE96,1),"")</f>
        <v>G</v>
      </c>
      <c r="AE96" s="3">
        <v>254</v>
      </c>
      <c r="AF96" s="3" t="str">
        <f>IFERROR(MID(VLOOKUP($B96,Seqs!$A:$B,2,0),AG96,1),"")</f>
        <v/>
      </c>
      <c r="AG96" s="3" t="s">
        <v>23</v>
      </c>
      <c r="AH96" s="3" t="str">
        <f>IFERROR(MID(VLOOKUP($B96,Seqs!$A:$B,2,0),AI96,1),"")</f>
        <v/>
      </c>
      <c r="AI96" s="3" t="s">
        <v>23</v>
      </c>
      <c r="AJ96" s="3" t="str">
        <f>IFERROR(MID(VLOOKUP($B96,Seqs!$A:$B,2,0),AK96,1),"")</f>
        <v>D</v>
      </c>
      <c r="AK96" s="3">
        <v>272</v>
      </c>
      <c r="AL96" s="3" t="str">
        <f>IFERROR(MID(VLOOKUP($B96,Seqs!$A:$B,2,0),AM96,1),"")</f>
        <v>H</v>
      </c>
      <c r="AM96" s="3">
        <v>304</v>
      </c>
      <c r="AN96" s="3" t="str">
        <f>IFERROR(MID(VLOOKUP($B96,Seqs!$A:$B,2,0),AO96,1),"")</f>
        <v>P</v>
      </c>
      <c r="AO96" s="3">
        <v>332</v>
      </c>
      <c r="AP96" s="3" t="str">
        <f>IFERROR(MID(VLOOKUP($B96,Seqs!$A:$B,2,0),AQ96,1),"")</f>
        <v>F</v>
      </c>
      <c r="AQ96" s="3">
        <v>368</v>
      </c>
      <c r="AR96" s="3" t="str">
        <f>IFERROR(MID(VLOOKUP($B96,Seqs!$A:$B,2,0),AS96,1),"")</f>
        <v>N</v>
      </c>
      <c r="AS96" s="3">
        <v>372</v>
      </c>
      <c r="AT96" s="3" t="str">
        <f>IFERROR(MID(VLOOKUP($B96,Seqs!$A:$B,2,0),AU96,1),"")</f>
        <v>R</v>
      </c>
      <c r="AU96" s="3">
        <v>400</v>
      </c>
      <c r="AV96" s="3" t="str">
        <f>IFERROR(MID(VLOOKUP($B96,Seqs!$A:$B,2,0),AW96,1),"")</f>
        <v>S</v>
      </c>
      <c r="AW96" s="3">
        <v>401</v>
      </c>
      <c r="AX96" s="3" t="str">
        <f>IFERROR(MID(VLOOKUP($B96,Seqs!$A:$B,2,0),AY96,1),"")</f>
        <v>M</v>
      </c>
      <c r="AY96" s="3">
        <v>411</v>
      </c>
      <c r="AZ96" s="79" t="str">
        <f>VLOOKUP(B96,Classification!A:D,2,0)</f>
        <v>A</v>
      </c>
      <c r="BA96" s="97" t="str">
        <f>VLOOKUP(B96,Classification!A:D,4,0)</f>
        <v>Cannabinoid</v>
      </c>
      <c r="BB96" s="27" t="b">
        <f t="shared" si="223"/>
        <v>1</v>
      </c>
      <c r="BC96" s="23">
        <f t="shared" si="196"/>
        <v>248</v>
      </c>
      <c r="BD96" s="16" t="s">
        <v>1383</v>
      </c>
      <c r="BE96" s="3" t="s">
        <v>1381</v>
      </c>
      <c r="BF96" s="50" t="s">
        <v>1384</v>
      </c>
      <c r="BG96" s="50" t="s">
        <v>1384</v>
      </c>
      <c r="BI96" s="72" t="s">
        <v>1293</v>
      </c>
      <c r="BJ96" s="58" t="s">
        <v>1293</v>
      </c>
      <c r="BK96" s="58" t="s">
        <v>1293</v>
      </c>
      <c r="BL96" s="58" t="s">
        <v>1293</v>
      </c>
      <c r="BM96" s="58" t="s">
        <v>1293</v>
      </c>
      <c r="BN96" s="58" t="s">
        <v>1293</v>
      </c>
      <c r="BO96" s="58" t="s">
        <v>1293</v>
      </c>
      <c r="BP96" s="58" t="s">
        <v>1293</v>
      </c>
      <c r="BQ96" s="58" t="s">
        <v>1293</v>
      </c>
      <c r="BR96" s="58" t="s">
        <v>1293</v>
      </c>
      <c r="BS96" s="58" t="s">
        <v>1293</v>
      </c>
      <c r="BT96" s="58" t="s">
        <v>1293</v>
      </c>
      <c r="BU96" s="72">
        <f t="shared" si="197"/>
        <v>113</v>
      </c>
      <c r="BV96" s="73">
        <f t="shared" si="198"/>
        <v>145</v>
      </c>
      <c r="BW96" s="74">
        <f t="shared" si="199"/>
        <v>150</v>
      </c>
      <c r="BX96" s="73" t="str">
        <f t="shared" si="200"/>
        <v>-</v>
      </c>
      <c r="BY96" s="74">
        <f t="shared" si="201"/>
        <v>185</v>
      </c>
      <c r="BZ96" s="73">
        <f t="shared" si="202"/>
        <v>221</v>
      </c>
      <c r="CA96" s="74">
        <f t="shared" si="203"/>
        <v>229</v>
      </c>
      <c r="CB96" s="73" t="str">
        <f t="shared" si="204"/>
        <v>-</v>
      </c>
      <c r="CC96" s="74">
        <f t="shared" si="205"/>
        <v>272</v>
      </c>
      <c r="CD96" s="73">
        <f t="shared" si="206"/>
        <v>332</v>
      </c>
      <c r="CE96" s="74">
        <f t="shared" si="207"/>
        <v>372</v>
      </c>
      <c r="CF96" s="73">
        <f t="shared" si="208"/>
        <v>401</v>
      </c>
      <c r="CG96" s="72">
        <f t="shared" si="209"/>
        <v>144</v>
      </c>
      <c r="CH96" s="73">
        <f t="shared" si="210"/>
        <v>148</v>
      </c>
      <c r="CI96" s="74">
        <f t="shared" si="211"/>
        <v>179</v>
      </c>
      <c r="CJ96" s="74" t="str">
        <f t="shared" si="212"/>
        <v>-</v>
      </c>
      <c r="CK96" s="74">
        <f t="shared" si="213"/>
        <v>220</v>
      </c>
      <c r="CL96" s="74">
        <f t="shared" si="214"/>
        <v>228</v>
      </c>
      <c r="CM96" s="74">
        <f t="shared" si="215"/>
        <v>254</v>
      </c>
      <c r="CN96" s="74" t="str">
        <f t="shared" si="216"/>
        <v>-</v>
      </c>
      <c r="CO96" s="74">
        <f t="shared" si="217"/>
        <v>304</v>
      </c>
      <c r="CP96" s="74">
        <f t="shared" si="218"/>
        <v>368</v>
      </c>
      <c r="CQ96" s="74">
        <f t="shared" si="219"/>
        <v>400</v>
      </c>
      <c r="CR96" s="74">
        <f t="shared" si="220"/>
        <v>411</v>
      </c>
      <c r="CS96" s="23">
        <f t="shared" si="221"/>
        <v>2</v>
      </c>
      <c r="AMO96" s="1"/>
    </row>
    <row r="97" spans="1:1028" x14ac:dyDescent="0.2">
      <c r="A97" s="3" t="str">
        <f t="shared" si="222"/>
        <v>cnr1_human_5U09</v>
      </c>
      <c r="B97" s="3" t="s">
        <v>182</v>
      </c>
      <c r="C97" s="3" t="s">
        <v>1371</v>
      </c>
      <c r="D97" s="3" t="str">
        <f>IFERROR(MID(VLOOKUP($B97,Seqs!$A:$B,2,0),E97,1),"")</f>
        <v>N</v>
      </c>
      <c r="E97" s="3">
        <v>112</v>
      </c>
      <c r="F97" s="3" t="str">
        <f>IFERROR(MID(VLOOKUP($B97,Seqs!$A:$B,2,0),G97,1),"")</f>
        <v>S</v>
      </c>
      <c r="G97" s="3">
        <v>144</v>
      </c>
      <c r="H97" s="3" t="str">
        <f>IFERROR(MID(VLOOKUP($B97,Seqs!$A:$B,2,0),I97,1),"")</f>
        <v>R</v>
      </c>
      <c r="I97" s="23">
        <v>145</v>
      </c>
      <c r="J97" s="3" t="str">
        <f>IFERROR(MID(VLOOKUP($B97,Seqs!$A:$B,2,0),K97,1),"")</f>
        <v>R</v>
      </c>
      <c r="K97" s="23">
        <v>148</v>
      </c>
      <c r="L97" s="3" t="str">
        <f>IFERROR(MID(VLOOKUP($B97,Seqs!$A:$B,2,0),M97,1),"")</f>
        <v>R</v>
      </c>
      <c r="M97" s="3">
        <v>150</v>
      </c>
      <c r="N97" s="3" t="str">
        <f>IFERROR(MID(VLOOKUP($B97,Seqs!$A:$B,2,0),O97,1),"")</f>
        <v>V</v>
      </c>
      <c r="O97" s="3">
        <v>179</v>
      </c>
      <c r="P97" s="3" t="str">
        <f>IFERROR(MID(VLOOKUP($B97,Seqs!$A:$B,2,0),Q97,1),"")</f>
        <v/>
      </c>
      <c r="Q97" s="3" t="s">
        <v>23</v>
      </c>
      <c r="R97" s="3" t="str">
        <f>IFERROR(MID(VLOOKUP($B97,Seqs!$A:$B,2,0),S97,1),"")</f>
        <v/>
      </c>
      <c r="S97" s="3" t="s">
        <v>23</v>
      </c>
      <c r="T97" s="3" t="str">
        <f>IFERROR(MID(VLOOKUP($B97,Seqs!$A:$B,2,0),U97,1),"")</f>
        <v>S</v>
      </c>
      <c r="U97" s="3">
        <v>185</v>
      </c>
      <c r="V97" s="3" t="str">
        <f>IFERROR(MID(VLOOKUP($B97,Seqs!$A:$B,2,0),W97,1),"")</f>
        <v>R</v>
      </c>
      <c r="W97" s="3">
        <v>220</v>
      </c>
      <c r="X97" s="3" t="str">
        <f>IFERROR(MID(VLOOKUP($B97,Seqs!$A:$B,2,0),Y97,1),"")</f>
        <v>P</v>
      </c>
      <c r="Y97" s="3">
        <v>221</v>
      </c>
      <c r="Z97" s="3" t="str">
        <f>IFERROR(MID(VLOOKUP($B97,Seqs!$A:$B,2,0),AA97,1),"")</f>
        <v>V</v>
      </c>
      <c r="AA97" s="3">
        <v>228</v>
      </c>
      <c r="AB97" s="3" t="str">
        <f>IFERROR(MID(VLOOKUP($B97,Seqs!$A:$B,2,0),AC97,1),"")</f>
        <v>T</v>
      </c>
      <c r="AC97" s="9">
        <v>229</v>
      </c>
      <c r="AD97" s="3" t="str">
        <f>IFERROR(MID(VLOOKUP($B97,Seqs!$A:$B,2,0),AE97,1),"")</f>
        <v>G</v>
      </c>
      <c r="AE97" s="3">
        <v>254</v>
      </c>
      <c r="AF97" s="3" t="str">
        <f>IFERROR(MID(VLOOKUP($B97,Seqs!$A:$B,2,0),AG97,1),"")</f>
        <v/>
      </c>
      <c r="AG97" s="3" t="s">
        <v>23</v>
      </c>
      <c r="AH97" s="3" t="str">
        <f>IFERROR(MID(VLOOKUP($B97,Seqs!$A:$B,2,0),AI97,1),"")</f>
        <v/>
      </c>
      <c r="AI97" s="3" t="s">
        <v>23</v>
      </c>
      <c r="AJ97" s="3" t="str">
        <f>IFERROR(MID(VLOOKUP($B97,Seqs!$A:$B,2,0),AK97,1),"")</f>
        <v>D</v>
      </c>
      <c r="AK97" s="3">
        <v>272</v>
      </c>
      <c r="AL97" s="3" t="str">
        <f>IFERROR(MID(VLOOKUP($B97,Seqs!$A:$B,2,0),AM97,1),"")</f>
        <v>A</v>
      </c>
      <c r="AM97" s="3">
        <v>301</v>
      </c>
      <c r="AN97" s="3" t="str">
        <f>IFERROR(MID(VLOOKUP($B97,Seqs!$A:$B,2,0),AO97,1),"")</f>
        <v>D</v>
      </c>
      <c r="AO97" s="3">
        <v>333</v>
      </c>
      <c r="AP97" s="3" t="str">
        <f>IFERROR(MID(VLOOKUP($B97,Seqs!$A:$B,2,0),AQ97,1),"")</f>
        <v>F</v>
      </c>
      <c r="AQ97" s="3">
        <v>368</v>
      </c>
      <c r="AR97" s="3" t="str">
        <f>IFERROR(MID(VLOOKUP($B97,Seqs!$A:$B,2,0),AS97,1),"")</f>
        <v>L</v>
      </c>
      <c r="AS97" s="3">
        <v>374</v>
      </c>
      <c r="AT97" s="3" t="str">
        <f>IFERROR(MID(VLOOKUP($B97,Seqs!$A:$B,2,0),AU97,1),"")</f>
        <v>R</v>
      </c>
      <c r="AU97" s="3">
        <v>400</v>
      </c>
      <c r="AV97" s="3" t="str">
        <f>IFERROR(MID(VLOOKUP($B97,Seqs!$A:$B,2,0),AW97,1),"")</f>
        <v>S</v>
      </c>
      <c r="AW97" s="3">
        <v>401</v>
      </c>
      <c r="AX97" s="3" t="str">
        <f>IFERROR(MID(VLOOKUP($B97,Seqs!$A:$B,2,0),AY97,1),"")</f>
        <v>M</v>
      </c>
      <c r="AY97" s="3">
        <v>411</v>
      </c>
      <c r="AZ97" s="79" t="str">
        <f>VLOOKUP(B97,Classification!A:D,2,0)</f>
        <v>A</v>
      </c>
      <c r="BA97" s="97" t="str">
        <f>VLOOKUP(B97,Classification!A:D,4,0)</f>
        <v>Cannabinoid</v>
      </c>
      <c r="BB97" s="27" t="b">
        <f t="shared" si="223"/>
        <v>1</v>
      </c>
      <c r="BC97" s="23">
        <f t="shared" si="196"/>
        <v>243</v>
      </c>
      <c r="BD97" s="2" t="s">
        <v>23</v>
      </c>
      <c r="BE97" s="3" t="s">
        <v>1381</v>
      </c>
      <c r="BF97" s="50" t="s">
        <v>1384</v>
      </c>
      <c r="BG97" s="50" t="s">
        <v>1384</v>
      </c>
      <c r="BI97" s="72" t="s">
        <v>1293</v>
      </c>
      <c r="BJ97" s="58" t="s">
        <v>1293</v>
      </c>
      <c r="BK97" s="58" t="s">
        <v>1293</v>
      </c>
      <c r="BL97" s="58" t="s">
        <v>1293</v>
      </c>
      <c r="BM97" s="58" t="s">
        <v>1293</v>
      </c>
      <c r="BN97" s="58" t="s">
        <v>1293</v>
      </c>
      <c r="BO97" s="58" t="s">
        <v>1293</v>
      </c>
      <c r="BP97" s="58" t="s">
        <v>1293</v>
      </c>
      <c r="BQ97" s="58" t="s">
        <v>1293</v>
      </c>
      <c r="BR97" s="58" t="s">
        <v>1293</v>
      </c>
      <c r="BS97" s="58" t="s">
        <v>1293</v>
      </c>
      <c r="BT97" s="58" t="s">
        <v>1293</v>
      </c>
      <c r="BU97" s="72">
        <f t="shared" si="197"/>
        <v>112</v>
      </c>
      <c r="BV97" s="73">
        <f t="shared" si="198"/>
        <v>145</v>
      </c>
      <c r="BW97" s="74">
        <f t="shared" si="199"/>
        <v>150</v>
      </c>
      <c r="BX97" s="73" t="str">
        <f t="shared" si="200"/>
        <v>-</v>
      </c>
      <c r="BY97" s="74">
        <f t="shared" si="201"/>
        <v>185</v>
      </c>
      <c r="BZ97" s="73">
        <f t="shared" si="202"/>
        <v>221</v>
      </c>
      <c r="CA97" s="74">
        <f t="shared" si="203"/>
        <v>229</v>
      </c>
      <c r="CB97" s="73" t="str">
        <f t="shared" si="204"/>
        <v>-</v>
      </c>
      <c r="CC97" s="74">
        <f t="shared" si="205"/>
        <v>272</v>
      </c>
      <c r="CD97" s="73">
        <f t="shared" si="206"/>
        <v>333</v>
      </c>
      <c r="CE97" s="74">
        <f t="shared" si="207"/>
        <v>374</v>
      </c>
      <c r="CF97" s="73">
        <f t="shared" si="208"/>
        <v>401</v>
      </c>
      <c r="CG97" s="72">
        <f t="shared" si="209"/>
        <v>144</v>
      </c>
      <c r="CH97" s="73">
        <f t="shared" si="210"/>
        <v>148</v>
      </c>
      <c r="CI97" s="74">
        <f t="shared" si="211"/>
        <v>179</v>
      </c>
      <c r="CJ97" s="74" t="str">
        <f t="shared" si="212"/>
        <v>-</v>
      </c>
      <c r="CK97" s="74">
        <f t="shared" si="213"/>
        <v>220</v>
      </c>
      <c r="CL97" s="74">
        <f t="shared" si="214"/>
        <v>228</v>
      </c>
      <c r="CM97" s="74">
        <f t="shared" si="215"/>
        <v>254</v>
      </c>
      <c r="CN97" s="74" t="str">
        <f t="shared" si="216"/>
        <v>-</v>
      </c>
      <c r="CO97" s="74">
        <f t="shared" si="217"/>
        <v>301</v>
      </c>
      <c r="CP97" s="74">
        <f t="shared" si="218"/>
        <v>368</v>
      </c>
      <c r="CQ97" s="74">
        <f t="shared" si="219"/>
        <v>400</v>
      </c>
      <c r="CR97" s="74">
        <f t="shared" si="220"/>
        <v>411</v>
      </c>
      <c r="CS97" s="23">
        <f t="shared" si="221"/>
        <v>2</v>
      </c>
    </row>
    <row r="98" spans="1:1028" s="12" customFormat="1" x14ac:dyDescent="0.2">
      <c r="A98" s="9" t="str">
        <f t="shared" ref="A98" si="391">CONCATENATE(B98,"_",C98)</f>
        <v>cnr1_human_5XR8</v>
      </c>
      <c r="B98" s="9" t="s">
        <v>182</v>
      </c>
      <c r="C98" s="9" t="s">
        <v>1435</v>
      </c>
      <c r="D98" s="9" t="str">
        <f>IFERROR(MID(VLOOKUP($B98,Seqs!$A:$B,2,0),E98,1),"")</f>
        <v>N</v>
      </c>
      <c r="E98" s="9">
        <v>112</v>
      </c>
      <c r="F98" s="9" t="str">
        <f>IFERROR(MID(VLOOKUP($B98,Seqs!$A:$B,2,0),G98,1),"")</f>
        <v>S</v>
      </c>
      <c r="G98" s="9">
        <v>146</v>
      </c>
      <c r="H98" s="9" t="str">
        <f>IFERROR(MID(VLOOKUP($B98,Seqs!$A:$B,2,0),I98,1),"")</f>
        <v/>
      </c>
      <c r="I98" s="112" t="s">
        <v>23</v>
      </c>
      <c r="J98" s="9" t="str">
        <f>IFERROR(MID(VLOOKUP($B98,Seqs!$A:$B,2,0),K98,1),"")</f>
        <v/>
      </c>
      <c r="K98" s="112" t="s">
        <v>23</v>
      </c>
      <c r="L98" s="9" t="str">
        <f>IFERROR(MID(VLOOKUP($B98,Seqs!$A:$B,2,0),M98,1),"")</f>
        <v>Y</v>
      </c>
      <c r="M98" s="9">
        <v>153</v>
      </c>
      <c r="N98" s="9" t="str">
        <f>IFERROR(MID(VLOOKUP($B98,Seqs!$A:$B,2,0),O98,1),"")</f>
        <v>F</v>
      </c>
      <c r="O98" s="9">
        <v>180</v>
      </c>
      <c r="P98" s="9" t="str">
        <f>IFERROR(MID(VLOOKUP($B98,Seqs!$A:$B,2,0),Q98,1),"")</f>
        <v/>
      </c>
      <c r="Q98" s="9" t="s">
        <v>23</v>
      </c>
      <c r="R98" s="9" t="str">
        <f>IFERROR(MID(VLOOKUP($B98,Seqs!$A:$B,2,0),S98,1),"")</f>
        <v/>
      </c>
      <c r="S98" s="9" t="s">
        <v>23</v>
      </c>
      <c r="T98" s="9" t="str">
        <f>IFERROR(MID(VLOOKUP($B98,Seqs!$A:$B,2,0),U98,1),"")</f>
        <v>S</v>
      </c>
      <c r="U98" s="9">
        <v>185</v>
      </c>
      <c r="V98" s="9" t="str">
        <f>IFERROR(MID(VLOOKUP($B98,Seqs!$A:$B,2,0),W98,1),"")</f>
        <v>R</v>
      </c>
      <c r="W98" s="9">
        <v>220</v>
      </c>
      <c r="X98" s="9" t="str">
        <f>IFERROR(MID(VLOOKUP($B98,Seqs!$A:$B,2,0),Y98,1),"")</f>
        <v>P</v>
      </c>
      <c r="Y98" s="9">
        <v>221</v>
      </c>
      <c r="Z98" s="9" t="str">
        <f>IFERROR(MID(VLOOKUP($B98,Seqs!$A:$B,2,0),AA98,1),"")</f>
        <v>V</v>
      </c>
      <c r="AA98" s="9">
        <v>228</v>
      </c>
      <c r="AB98" s="9" t="str">
        <f>IFERROR(MID(VLOOKUP($B98,Seqs!$A:$B,2,0),AC98,1),"")</f>
        <v>T</v>
      </c>
      <c r="AC98" s="9">
        <v>229</v>
      </c>
      <c r="AD98" s="9" t="str">
        <f>IFERROR(MID(VLOOKUP($B98,Seqs!$A:$B,2,0),AE98,1),"")</f>
        <v>G</v>
      </c>
      <c r="AE98" s="9">
        <v>254</v>
      </c>
      <c r="AF98" s="9" t="str">
        <f>IFERROR(MID(VLOOKUP($B98,Seqs!$A:$B,2,0),AG98,1),"")</f>
        <v/>
      </c>
      <c r="AG98" s="9" t="s">
        <v>23</v>
      </c>
      <c r="AH98" s="9" t="str">
        <f>IFERROR(MID(VLOOKUP($B98,Seqs!$A:$B,2,0),AI98,1),"")</f>
        <v/>
      </c>
      <c r="AI98" s="9" t="s">
        <v>23</v>
      </c>
      <c r="AJ98" s="9" t="str">
        <f>IFERROR(MID(VLOOKUP($B98,Seqs!$A:$B,2,0),AK98,1),"")</f>
        <v>D</v>
      </c>
      <c r="AK98" s="9">
        <v>272</v>
      </c>
      <c r="AL98" s="9" t="str">
        <f>IFERROR(MID(VLOOKUP($B98,Seqs!$A:$B,2,0),AM98,1),"")</f>
        <v>S</v>
      </c>
      <c r="AM98" s="9">
        <v>303</v>
      </c>
      <c r="AN98" s="9" t="str">
        <f>IFERROR(MID(VLOOKUP($B98,Seqs!$A:$B,2,0),AO98,1),"")</f>
        <v>D</v>
      </c>
      <c r="AO98" s="9">
        <v>338</v>
      </c>
      <c r="AP98" s="9" t="str">
        <f>IFERROR(MID(VLOOKUP($B98,Seqs!$A:$B,2,0),AQ98,1),"")</f>
        <v>F</v>
      </c>
      <c r="AQ98" s="9">
        <v>368</v>
      </c>
      <c r="AR98" s="9" t="str">
        <f>IFERROR(MID(VLOOKUP($B98,Seqs!$A:$B,2,0),AS98,1),"")</f>
        <v>N</v>
      </c>
      <c r="AS98" s="9">
        <v>372</v>
      </c>
      <c r="AT98" s="9" t="str">
        <f>IFERROR(MID(VLOOKUP($B98,Seqs!$A:$B,2,0),AU98,1),"")</f>
        <v>Y</v>
      </c>
      <c r="AU98" s="9">
        <v>397</v>
      </c>
      <c r="AV98" s="9" t="str">
        <f>IFERROR(MID(VLOOKUP($B98,Seqs!$A:$B,2,0),AW98,1),"")</f>
        <v>S</v>
      </c>
      <c r="AW98" s="9">
        <v>401</v>
      </c>
      <c r="AX98" s="9" t="str">
        <f>IFERROR(MID(VLOOKUP($B98,Seqs!$A:$B,2,0),AY98,1),"")</f>
        <v>F</v>
      </c>
      <c r="AY98" s="9">
        <v>412</v>
      </c>
      <c r="AZ98" s="113" t="str">
        <f>VLOOKUP(B98,Classification!A:D,2,0)</f>
        <v>A</v>
      </c>
      <c r="BA98" s="101" t="str">
        <f>VLOOKUP(B98,Classification!A:D,4,0)</f>
        <v>Cannabinoid</v>
      </c>
      <c r="BB98" s="37" t="b">
        <f t="shared" ref="BB98" si="392">AND(E98&lt;G98,OR(G98&lt;I98,I98="-"),OR(I98&lt;K98,I98="-"),OR(K98&lt;M98,K98="-"),M98&lt;O98,OR(O98&lt;Q98,Q98="-"),OR(Q98&lt;S98,Q98="-"),OR(S98&lt;U98,S98="-"),U98&lt;W98,OR(W98&lt;Y98,Y98="-"),OR(Y98&lt;AA98,Y98="-"),OR(AA98&lt;AC98,AA98="-"),AC98&lt;AE98,OR(AE98&lt;AG98,AG98="-"),OR(AG98&lt;AI98,AG98="-"),OR(AI98&lt;AK98,AI98="-"),AK98&lt;AM98,AM98&lt;AO98,AO98&lt;AQ98,AQ98&lt;AS98,AS98&lt;AU98,OR(AU98&lt;AW98,AW98="-"),OR(AW98&lt;AY98,AW98="-"))</f>
        <v>1</v>
      </c>
      <c r="BC98" s="112">
        <f t="shared" ref="BC98" si="393">_xlfn.AGGREGATE(9,6,CG98:CR98)-_xlfn.AGGREGATE(9,6,BU98:CF98)+12</f>
        <v>237</v>
      </c>
      <c r="BD98" s="41" t="s">
        <v>23</v>
      </c>
      <c r="BE98" s="9" t="s">
        <v>1297</v>
      </c>
      <c r="BF98" s="52" t="s">
        <v>1</v>
      </c>
      <c r="BG98" s="52" t="s">
        <v>1</v>
      </c>
      <c r="BH98" s="9"/>
      <c r="BI98" s="114" t="s">
        <v>1293</v>
      </c>
      <c r="BJ98" s="115" t="s">
        <v>1293</v>
      </c>
      <c r="BK98" s="115" t="s">
        <v>1293</v>
      </c>
      <c r="BL98" s="115" t="s">
        <v>1293</v>
      </c>
      <c r="BM98" s="115" t="s">
        <v>1293</v>
      </c>
      <c r="BN98" s="115" t="s">
        <v>1293</v>
      </c>
      <c r="BO98" s="115" t="s">
        <v>1293</v>
      </c>
      <c r="BP98" s="115" t="s">
        <v>1293</v>
      </c>
      <c r="BQ98" s="115" t="s">
        <v>1293</v>
      </c>
      <c r="BR98" s="115" t="s">
        <v>1293</v>
      </c>
      <c r="BS98" s="115" t="s">
        <v>1293</v>
      </c>
      <c r="BT98" s="115" t="s">
        <v>1293</v>
      </c>
      <c r="BU98" s="114">
        <f t="shared" ref="BU98" si="394">E98</f>
        <v>112</v>
      </c>
      <c r="BV98" s="116" t="str">
        <f t="shared" ref="BV98" si="395">I98</f>
        <v>-</v>
      </c>
      <c r="BW98" s="117">
        <f t="shared" ref="BW98" si="396">M98</f>
        <v>153</v>
      </c>
      <c r="BX98" s="116" t="str">
        <f t="shared" ref="BX98" si="397">Q98</f>
        <v>-</v>
      </c>
      <c r="BY98" s="117">
        <f t="shared" ref="BY98" si="398">U98</f>
        <v>185</v>
      </c>
      <c r="BZ98" s="116">
        <f t="shared" ref="BZ98" si="399">Y98</f>
        <v>221</v>
      </c>
      <c r="CA98" s="117">
        <f t="shared" ref="CA98" si="400">AC98</f>
        <v>229</v>
      </c>
      <c r="CB98" s="116" t="str">
        <f t="shared" ref="CB98" si="401">AG98</f>
        <v>-</v>
      </c>
      <c r="CC98" s="117">
        <f t="shared" ref="CC98" si="402">AK98</f>
        <v>272</v>
      </c>
      <c r="CD98" s="116">
        <f t="shared" ref="CD98" si="403">AO98</f>
        <v>338</v>
      </c>
      <c r="CE98" s="117">
        <f t="shared" ref="CE98" si="404">AS98</f>
        <v>372</v>
      </c>
      <c r="CF98" s="116">
        <f t="shared" ref="CF98" si="405">AW98</f>
        <v>401</v>
      </c>
      <c r="CG98" s="114">
        <f t="shared" ref="CG98" si="406">G98</f>
        <v>146</v>
      </c>
      <c r="CH98" s="116" t="str">
        <f t="shared" ref="CH98" si="407">K98</f>
        <v>-</v>
      </c>
      <c r="CI98" s="117">
        <f t="shared" ref="CI98" si="408">O98</f>
        <v>180</v>
      </c>
      <c r="CJ98" s="117" t="str">
        <f t="shared" ref="CJ98" si="409">S98</f>
        <v>-</v>
      </c>
      <c r="CK98" s="117">
        <f t="shared" ref="CK98" si="410">W98</f>
        <v>220</v>
      </c>
      <c r="CL98" s="117">
        <f t="shared" ref="CL98" si="411">AA98</f>
        <v>228</v>
      </c>
      <c r="CM98" s="117">
        <f t="shared" ref="CM98" si="412">AE98</f>
        <v>254</v>
      </c>
      <c r="CN98" s="117" t="str">
        <f t="shared" ref="CN98" si="413">AI98</f>
        <v>-</v>
      </c>
      <c r="CO98" s="117">
        <f t="shared" ref="CO98" si="414">AM98</f>
        <v>303</v>
      </c>
      <c r="CP98" s="117">
        <f t="shared" ref="CP98" si="415">AQ98</f>
        <v>368</v>
      </c>
      <c r="CQ98" s="117">
        <f t="shared" ref="CQ98" si="416">AU98</f>
        <v>397</v>
      </c>
      <c r="CR98" s="117">
        <f t="shared" ref="CR98" si="417">AY98</f>
        <v>412</v>
      </c>
      <c r="CS98" s="112" t="e">
        <f t="shared" ref="CS98" si="418">M98-K98</f>
        <v>#VALUE!</v>
      </c>
      <c r="CT98" s="9"/>
      <c r="CU98" s="9"/>
      <c r="CV98" s="9"/>
      <c r="CW98" s="9"/>
      <c r="CX98" s="9"/>
      <c r="CY98" s="9"/>
      <c r="CZ98" s="9"/>
      <c r="DA98" s="9"/>
      <c r="DB98" s="9"/>
      <c r="DC98" s="9"/>
      <c r="DD98" s="9"/>
      <c r="DE98" s="9"/>
      <c r="DF98" s="9"/>
      <c r="DG98" s="9"/>
      <c r="DH98" s="9"/>
      <c r="DI98" s="9"/>
      <c r="DJ98" s="9"/>
      <c r="DK98" s="9"/>
      <c r="DL98" s="9"/>
      <c r="DM98" s="9"/>
      <c r="DN98" s="9"/>
      <c r="DO98" s="9"/>
      <c r="DP98" s="9"/>
      <c r="DQ98" s="9"/>
      <c r="DR98" s="9"/>
      <c r="DS98" s="9"/>
      <c r="DT98" s="9"/>
      <c r="DU98" s="9"/>
      <c r="DV98" s="9"/>
      <c r="DW98" s="9"/>
      <c r="DX98" s="9"/>
      <c r="DY98" s="9"/>
      <c r="DZ98" s="9"/>
      <c r="EA98" s="9"/>
      <c r="EB98" s="9"/>
      <c r="EC98" s="9"/>
      <c r="ED98" s="9"/>
      <c r="EE98" s="9"/>
      <c r="EF98" s="9"/>
      <c r="EG98" s="9"/>
      <c r="EH98" s="9"/>
      <c r="EI98" s="9"/>
      <c r="EJ98" s="9"/>
      <c r="EK98" s="9"/>
      <c r="EL98" s="9"/>
      <c r="EM98" s="9"/>
      <c r="EN98" s="9"/>
      <c r="EO98" s="9"/>
      <c r="EP98" s="9"/>
      <c r="EQ98" s="9"/>
      <c r="ER98" s="9"/>
      <c r="ES98" s="9"/>
      <c r="ET98" s="9"/>
      <c r="EU98" s="9"/>
      <c r="EV98" s="9"/>
      <c r="EW98" s="9"/>
      <c r="EX98" s="9"/>
      <c r="EY98" s="9"/>
      <c r="EZ98" s="9"/>
      <c r="FA98" s="9"/>
      <c r="FB98" s="9"/>
      <c r="FC98" s="9"/>
      <c r="FD98" s="9"/>
      <c r="FE98" s="9"/>
      <c r="FF98" s="9"/>
      <c r="FG98" s="9"/>
      <c r="FH98" s="9"/>
      <c r="FI98" s="9"/>
      <c r="FJ98" s="9"/>
      <c r="FK98" s="9"/>
      <c r="FL98" s="9"/>
      <c r="FM98" s="9"/>
      <c r="FN98" s="9"/>
      <c r="FO98" s="9"/>
      <c r="FP98" s="9"/>
      <c r="FQ98" s="9"/>
      <c r="FR98" s="9"/>
      <c r="FS98" s="9"/>
      <c r="FT98" s="9"/>
      <c r="FU98" s="9"/>
      <c r="FV98" s="9"/>
      <c r="FW98" s="9"/>
      <c r="FX98" s="9"/>
      <c r="FY98" s="9"/>
      <c r="FZ98" s="9"/>
      <c r="GA98" s="9"/>
      <c r="GB98" s="9"/>
      <c r="GC98" s="9"/>
      <c r="GD98" s="9"/>
      <c r="GE98" s="9"/>
      <c r="GF98" s="9"/>
      <c r="GG98" s="9"/>
      <c r="GH98" s="9"/>
      <c r="GI98" s="9"/>
      <c r="GJ98" s="9"/>
      <c r="GK98" s="9"/>
      <c r="GL98" s="9"/>
      <c r="GM98" s="9"/>
      <c r="GN98" s="9"/>
      <c r="GO98" s="9"/>
      <c r="GP98" s="9"/>
      <c r="GQ98" s="9"/>
      <c r="GR98" s="9"/>
      <c r="GS98" s="9"/>
      <c r="GT98" s="9"/>
      <c r="GU98" s="9"/>
      <c r="GV98" s="9"/>
      <c r="GW98" s="9"/>
      <c r="GX98" s="9"/>
      <c r="GY98" s="9"/>
      <c r="GZ98" s="9"/>
      <c r="HA98" s="9"/>
      <c r="HB98" s="9"/>
      <c r="HC98" s="9"/>
      <c r="HD98" s="9"/>
      <c r="HE98" s="9"/>
      <c r="HF98" s="9"/>
      <c r="HG98" s="9"/>
      <c r="HH98" s="9"/>
      <c r="HI98" s="9"/>
      <c r="HJ98" s="9"/>
      <c r="HK98" s="9"/>
      <c r="HL98" s="9"/>
      <c r="HM98" s="9"/>
      <c r="HN98" s="9"/>
      <c r="HO98" s="9"/>
      <c r="HP98" s="9"/>
      <c r="HQ98" s="9"/>
      <c r="HR98" s="9"/>
      <c r="HS98" s="9"/>
      <c r="HT98" s="9"/>
      <c r="HU98" s="9"/>
      <c r="HV98" s="9"/>
      <c r="HW98" s="9"/>
      <c r="HX98" s="9"/>
      <c r="HY98" s="9"/>
      <c r="HZ98" s="9"/>
      <c r="IA98" s="9"/>
      <c r="IB98" s="9"/>
      <c r="IC98" s="9"/>
      <c r="ID98" s="9"/>
      <c r="IE98" s="9"/>
      <c r="IF98" s="9"/>
      <c r="IG98" s="9"/>
      <c r="IH98" s="9"/>
      <c r="II98" s="9"/>
      <c r="IJ98" s="9"/>
      <c r="IK98" s="9"/>
      <c r="IL98" s="9"/>
      <c r="IM98" s="9"/>
      <c r="IN98" s="9"/>
      <c r="IO98" s="9"/>
      <c r="IP98" s="9"/>
      <c r="IQ98" s="9"/>
      <c r="IR98" s="9"/>
      <c r="IS98" s="9"/>
      <c r="IT98" s="9"/>
      <c r="IU98" s="9"/>
      <c r="IV98" s="9"/>
      <c r="IW98" s="9"/>
      <c r="IX98" s="9"/>
      <c r="IY98" s="9"/>
      <c r="IZ98" s="9"/>
      <c r="JA98" s="9"/>
      <c r="JB98" s="9"/>
      <c r="JC98" s="9"/>
      <c r="JD98" s="9"/>
      <c r="JE98" s="9"/>
      <c r="JF98" s="9"/>
      <c r="JG98" s="9"/>
      <c r="JH98" s="9"/>
      <c r="JI98" s="9"/>
      <c r="JJ98" s="9"/>
      <c r="JK98" s="9"/>
      <c r="JL98" s="9"/>
      <c r="JM98" s="9"/>
      <c r="JN98" s="9"/>
      <c r="JO98" s="9"/>
      <c r="JP98" s="9"/>
      <c r="JQ98" s="9"/>
      <c r="JR98" s="9"/>
      <c r="JS98" s="9"/>
      <c r="JT98" s="9"/>
      <c r="JU98" s="9"/>
      <c r="JV98" s="9"/>
      <c r="JW98" s="9"/>
      <c r="JX98" s="9"/>
      <c r="JY98" s="9"/>
      <c r="JZ98" s="9"/>
      <c r="KA98" s="9"/>
      <c r="KB98" s="9"/>
      <c r="KC98" s="9"/>
      <c r="KD98" s="9"/>
      <c r="KE98" s="9"/>
      <c r="KF98" s="9"/>
      <c r="KG98" s="9"/>
      <c r="KH98" s="9"/>
      <c r="KI98" s="9"/>
      <c r="KJ98" s="9"/>
      <c r="KK98" s="9"/>
      <c r="KL98" s="9"/>
      <c r="KM98" s="9"/>
      <c r="KN98" s="9"/>
      <c r="KO98" s="9"/>
      <c r="KP98" s="9"/>
      <c r="KQ98" s="9"/>
      <c r="KR98" s="9"/>
      <c r="KS98" s="9"/>
      <c r="KT98" s="9"/>
      <c r="KU98" s="9"/>
      <c r="KV98" s="9"/>
      <c r="KW98" s="9"/>
      <c r="KX98" s="9"/>
      <c r="KY98" s="9"/>
      <c r="KZ98" s="9"/>
      <c r="LA98" s="9"/>
      <c r="LB98" s="9"/>
      <c r="LC98" s="9"/>
      <c r="LD98" s="9"/>
      <c r="LE98" s="9"/>
      <c r="LF98" s="9"/>
      <c r="LG98" s="9"/>
      <c r="LH98" s="9"/>
      <c r="LI98" s="9"/>
      <c r="LJ98" s="9"/>
      <c r="LK98" s="9"/>
      <c r="LL98" s="9"/>
      <c r="LM98" s="9"/>
      <c r="LN98" s="9"/>
      <c r="LO98" s="9"/>
      <c r="LP98" s="9"/>
      <c r="LQ98" s="9"/>
      <c r="LR98" s="9"/>
      <c r="LS98" s="9"/>
      <c r="LT98" s="9"/>
      <c r="LU98" s="9"/>
      <c r="LV98" s="9"/>
      <c r="LW98" s="9"/>
      <c r="LX98" s="9"/>
      <c r="LY98" s="9"/>
      <c r="LZ98" s="9"/>
      <c r="MA98" s="9"/>
      <c r="MB98" s="9"/>
      <c r="MC98" s="9"/>
      <c r="MD98" s="9"/>
      <c r="ME98" s="9"/>
      <c r="MF98" s="9"/>
      <c r="MG98" s="9"/>
      <c r="MH98" s="9"/>
      <c r="MI98" s="9"/>
      <c r="MJ98" s="9"/>
      <c r="MK98" s="9"/>
      <c r="ML98" s="9"/>
      <c r="MM98" s="9"/>
      <c r="MN98" s="9"/>
      <c r="MO98" s="9"/>
      <c r="MP98" s="9"/>
      <c r="MQ98" s="9"/>
      <c r="MR98" s="9"/>
      <c r="MS98" s="9"/>
      <c r="MT98" s="9"/>
      <c r="MU98" s="9"/>
      <c r="MV98" s="9"/>
      <c r="MW98" s="9"/>
      <c r="MX98" s="9"/>
      <c r="MY98" s="9"/>
      <c r="MZ98" s="9"/>
      <c r="NA98" s="9"/>
      <c r="NB98" s="9"/>
      <c r="NC98" s="9"/>
      <c r="ND98" s="9"/>
      <c r="NE98" s="9"/>
      <c r="NF98" s="9"/>
      <c r="NG98" s="9"/>
      <c r="NH98" s="9"/>
      <c r="NI98" s="9"/>
      <c r="NJ98" s="9"/>
      <c r="NK98" s="9"/>
      <c r="NL98" s="9"/>
      <c r="NM98" s="9"/>
      <c r="NN98" s="9"/>
      <c r="NO98" s="9"/>
      <c r="NP98" s="9"/>
      <c r="NQ98" s="9"/>
      <c r="NR98" s="9"/>
      <c r="NS98" s="9"/>
      <c r="NT98" s="9"/>
      <c r="NU98" s="9"/>
      <c r="NV98" s="9"/>
      <c r="NW98" s="9"/>
      <c r="NX98" s="9"/>
      <c r="NY98" s="9"/>
      <c r="NZ98" s="9"/>
      <c r="OA98" s="9"/>
      <c r="OB98" s="9"/>
      <c r="OC98" s="9"/>
      <c r="OD98" s="9"/>
      <c r="OE98" s="9"/>
      <c r="OF98" s="9"/>
      <c r="OG98" s="9"/>
      <c r="OH98" s="9"/>
      <c r="OI98" s="9"/>
      <c r="OJ98" s="9"/>
      <c r="OK98" s="9"/>
      <c r="OL98" s="9"/>
      <c r="OM98" s="9"/>
      <c r="ON98" s="9"/>
      <c r="OO98" s="9"/>
      <c r="OP98" s="9"/>
      <c r="OQ98" s="9"/>
      <c r="OR98" s="9"/>
      <c r="OS98" s="9"/>
      <c r="OT98" s="9"/>
      <c r="OU98" s="9"/>
      <c r="OV98" s="9"/>
      <c r="OW98" s="9"/>
      <c r="OX98" s="9"/>
      <c r="OY98" s="9"/>
      <c r="OZ98" s="9"/>
      <c r="PA98" s="9"/>
      <c r="PB98" s="9"/>
      <c r="PC98" s="9"/>
      <c r="PD98" s="9"/>
      <c r="PE98" s="9"/>
      <c r="PF98" s="9"/>
      <c r="PG98" s="9"/>
      <c r="PH98" s="9"/>
      <c r="PI98" s="9"/>
      <c r="PJ98" s="9"/>
      <c r="PK98" s="9"/>
      <c r="PL98" s="9"/>
      <c r="PM98" s="9"/>
      <c r="PN98" s="9"/>
      <c r="PO98" s="9"/>
      <c r="PP98" s="9"/>
      <c r="PQ98" s="9"/>
      <c r="PR98" s="9"/>
      <c r="PS98" s="9"/>
      <c r="PT98" s="9"/>
      <c r="PU98" s="9"/>
      <c r="PV98" s="9"/>
      <c r="PW98" s="9"/>
      <c r="PX98" s="9"/>
      <c r="PY98" s="9"/>
      <c r="PZ98" s="9"/>
      <c r="QA98" s="9"/>
      <c r="QB98" s="9"/>
      <c r="QC98" s="9"/>
      <c r="QD98" s="9"/>
      <c r="QE98" s="9"/>
      <c r="QF98" s="9"/>
      <c r="QG98" s="9"/>
      <c r="QH98" s="9"/>
      <c r="QI98" s="9"/>
      <c r="QJ98" s="9"/>
      <c r="QK98" s="9"/>
      <c r="QL98" s="9"/>
      <c r="QM98" s="9"/>
      <c r="QN98" s="9"/>
      <c r="QO98" s="9"/>
      <c r="QP98" s="9"/>
      <c r="QQ98" s="9"/>
      <c r="QR98" s="9"/>
      <c r="QS98" s="9"/>
      <c r="QT98" s="9"/>
      <c r="QU98" s="9"/>
      <c r="QV98" s="9"/>
      <c r="QW98" s="9"/>
      <c r="QX98" s="9"/>
      <c r="QY98" s="9"/>
      <c r="QZ98" s="9"/>
      <c r="RA98" s="9"/>
      <c r="RB98" s="9"/>
      <c r="RC98" s="9"/>
      <c r="RD98" s="9"/>
      <c r="RE98" s="9"/>
      <c r="RF98" s="9"/>
      <c r="RG98" s="9"/>
      <c r="RH98" s="9"/>
      <c r="RI98" s="9"/>
      <c r="RJ98" s="9"/>
      <c r="RK98" s="9"/>
      <c r="RL98" s="9"/>
      <c r="RM98" s="9"/>
      <c r="RN98" s="9"/>
      <c r="RO98" s="9"/>
      <c r="RP98" s="9"/>
      <c r="RQ98" s="9"/>
      <c r="RR98" s="9"/>
      <c r="RS98" s="9"/>
      <c r="RT98" s="9"/>
      <c r="RU98" s="9"/>
      <c r="RV98" s="9"/>
      <c r="RW98" s="9"/>
      <c r="RX98" s="9"/>
      <c r="RY98" s="9"/>
      <c r="RZ98" s="9"/>
      <c r="SA98" s="9"/>
      <c r="SB98" s="9"/>
      <c r="SC98" s="9"/>
      <c r="SD98" s="9"/>
      <c r="SE98" s="9"/>
      <c r="SF98" s="9"/>
      <c r="SG98" s="9"/>
      <c r="SH98" s="9"/>
      <c r="SI98" s="9"/>
      <c r="SJ98" s="9"/>
      <c r="SK98" s="9"/>
      <c r="SL98" s="9"/>
      <c r="SM98" s="9"/>
      <c r="SN98" s="9"/>
      <c r="SO98" s="9"/>
      <c r="SP98" s="9"/>
      <c r="SQ98" s="9"/>
      <c r="SR98" s="9"/>
      <c r="SS98" s="9"/>
      <c r="ST98" s="9"/>
      <c r="SU98" s="9"/>
      <c r="SV98" s="9"/>
      <c r="SW98" s="9"/>
      <c r="SX98" s="9"/>
      <c r="SY98" s="9"/>
      <c r="SZ98" s="9"/>
      <c r="TA98" s="9"/>
      <c r="TB98" s="9"/>
      <c r="TC98" s="9"/>
      <c r="TD98" s="9"/>
      <c r="TE98" s="9"/>
      <c r="TF98" s="9"/>
      <c r="TG98" s="9"/>
      <c r="TH98" s="9"/>
      <c r="TI98" s="9"/>
      <c r="TJ98" s="9"/>
      <c r="TK98" s="9"/>
      <c r="TL98" s="9"/>
      <c r="TM98" s="9"/>
      <c r="TN98" s="9"/>
      <c r="TO98" s="9"/>
      <c r="TP98" s="9"/>
      <c r="TQ98" s="9"/>
      <c r="TR98" s="9"/>
      <c r="TS98" s="9"/>
      <c r="TT98" s="9"/>
      <c r="TU98" s="9"/>
      <c r="TV98" s="9"/>
      <c r="TW98" s="9"/>
      <c r="TX98" s="9"/>
      <c r="TY98" s="9"/>
      <c r="TZ98" s="9"/>
      <c r="UA98" s="9"/>
      <c r="UB98" s="9"/>
      <c r="UC98" s="9"/>
      <c r="UD98" s="9"/>
      <c r="UE98" s="9"/>
      <c r="UF98" s="9"/>
      <c r="UG98" s="9"/>
      <c r="UH98" s="9"/>
      <c r="UI98" s="9"/>
      <c r="UJ98" s="9"/>
      <c r="UK98" s="9"/>
      <c r="UL98" s="9"/>
      <c r="UM98" s="9"/>
      <c r="UN98" s="9"/>
      <c r="UO98" s="9"/>
      <c r="UP98" s="9"/>
      <c r="UQ98" s="9"/>
      <c r="UR98" s="9"/>
      <c r="US98" s="9"/>
      <c r="UT98" s="9"/>
      <c r="UU98" s="9"/>
      <c r="UV98" s="9"/>
      <c r="UW98" s="9"/>
      <c r="UX98" s="9"/>
      <c r="UY98" s="9"/>
      <c r="UZ98" s="9"/>
      <c r="VA98" s="9"/>
      <c r="VB98" s="9"/>
      <c r="VC98" s="9"/>
      <c r="VD98" s="9"/>
      <c r="VE98" s="9"/>
      <c r="VF98" s="9"/>
      <c r="VG98" s="9"/>
      <c r="VH98" s="9"/>
      <c r="VI98" s="9"/>
      <c r="VJ98" s="9"/>
      <c r="VK98" s="9"/>
      <c r="VL98" s="9"/>
      <c r="VM98" s="9"/>
      <c r="VN98" s="9"/>
      <c r="VO98" s="9"/>
      <c r="VP98" s="9"/>
      <c r="VQ98" s="9"/>
      <c r="VR98" s="9"/>
      <c r="VS98" s="9"/>
      <c r="VT98" s="9"/>
      <c r="VU98" s="9"/>
      <c r="VV98" s="9"/>
      <c r="VW98" s="9"/>
      <c r="VX98" s="9"/>
      <c r="VY98" s="9"/>
      <c r="VZ98" s="9"/>
      <c r="WA98" s="9"/>
      <c r="WB98" s="9"/>
      <c r="WC98" s="9"/>
      <c r="WD98" s="9"/>
      <c r="WE98" s="9"/>
      <c r="WF98" s="9"/>
      <c r="WG98" s="9"/>
      <c r="WH98" s="9"/>
      <c r="WI98" s="9"/>
      <c r="WJ98" s="9"/>
      <c r="WK98" s="9"/>
      <c r="WL98" s="9"/>
      <c r="WM98" s="9"/>
      <c r="WN98" s="9"/>
      <c r="WO98" s="9"/>
      <c r="WP98" s="9"/>
      <c r="WQ98" s="9"/>
      <c r="WR98" s="9"/>
      <c r="WS98" s="9"/>
      <c r="WT98" s="9"/>
      <c r="WU98" s="9"/>
      <c r="WV98" s="9"/>
      <c r="WW98" s="9"/>
      <c r="WX98" s="9"/>
      <c r="WY98" s="9"/>
      <c r="WZ98" s="9"/>
      <c r="XA98" s="9"/>
      <c r="XB98" s="9"/>
      <c r="XC98" s="9"/>
      <c r="XD98" s="9"/>
      <c r="XE98" s="9"/>
      <c r="XF98" s="9"/>
      <c r="XG98" s="9"/>
      <c r="XH98" s="9"/>
      <c r="XI98" s="9"/>
      <c r="XJ98" s="9"/>
      <c r="XK98" s="9"/>
      <c r="XL98" s="9"/>
      <c r="XM98" s="9"/>
      <c r="XN98" s="9"/>
      <c r="XO98" s="9"/>
      <c r="XP98" s="9"/>
      <c r="XQ98" s="9"/>
      <c r="XR98" s="9"/>
      <c r="XS98" s="9"/>
      <c r="XT98" s="9"/>
      <c r="XU98" s="9"/>
      <c r="XV98" s="9"/>
      <c r="XW98" s="9"/>
      <c r="XX98" s="9"/>
      <c r="XY98" s="9"/>
      <c r="XZ98" s="9"/>
      <c r="YA98" s="9"/>
      <c r="YB98" s="9"/>
      <c r="YC98" s="9"/>
      <c r="YD98" s="9"/>
      <c r="YE98" s="9"/>
      <c r="YF98" s="9"/>
      <c r="YG98" s="9"/>
      <c r="YH98" s="9"/>
      <c r="YI98" s="9"/>
      <c r="YJ98" s="9"/>
      <c r="YK98" s="9"/>
      <c r="YL98" s="9"/>
      <c r="YM98" s="9"/>
      <c r="YN98" s="9"/>
      <c r="YO98" s="9"/>
      <c r="YP98" s="9"/>
      <c r="YQ98" s="9"/>
      <c r="YR98" s="9"/>
      <c r="YS98" s="9"/>
      <c r="YT98" s="9"/>
      <c r="YU98" s="9"/>
      <c r="YV98" s="9"/>
      <c r="YW98" s="9"/>
      <c r="YX98" s="9"/>
      <c r="YY98" s="9"/>
      <c r="YZ98" s="9"/>
      <c r="ZA98" s="9"/>
      <c r="ZB98" s="9"/>
      <c r="ZC98" s="9"/>
      <c r="ZD98" s="9"/>
      <c r="ZE98" s="9"/>
      <c r="ZF98" s="9"/>
      <c r="ZG98" s="9"/>
      <c r="ZH98" s="9"/>
      <c r="ZI98" s="9"/>
      <c r="ZJ98" s="9"/>
      <c r="ZK98" s="9"/>
      <c r="ZL98" s="9"/>
      <c r="ZM98" s="9"/>
      <c r="ZN98" s="9"/>
      <c r="ZO98" s="9"/>
      <c r="ZP98" s="9"/>
      <c r="ZQ98" s="9"/>
      <c r="ZR98" s="9"/>
      <c r="ZS98" s="9"/>
      <c r="ZT98" s="9"/>
      <c r="ZU98" s="9"/>
      <c r="ZV98" s="9"/>
      <c r="ZW98" s="9"/>
      <c r="ZX98" s="9"/>
      <c r="ZY98" s="9"/>
      <c r="ZZ98" s="9"/>
      <c r="AAA98" s="9"/>
      <c r="AAB98" s="9"/>
      <c r="AAC98" s="9"/>
      <c r="AAD98" s="9"/>
      <c r="AAE98" s="9"/>
      <c r="AAF98" s="9"/>
      <c r="AAG98" s="9"/>
      <c r="AAH98" s="9"/>
      <c r="AAI98" s="9"/>
      <c r="AAJ98" s="9"/>
      <c r="AAK98" s="9"/>
      <c r="AAL98" s="9"/>
      <c r="AAM98" s="9"/>
      <c r="AAN98" s="9"/>
      <c r="AAO98" s="9"/>
      <c r="AAP98" s="9"/>
      <c r="AAQ98" s="9"/>
      <c r="AAR98" s="9"/>
      <c r="AAS98" s="9"/>
      <c r="AAT98" s="9"/>
      <c r="AAU98" s="9"/>
      <c r="AAV98" s="9"/>
      <c r="AAW98" s="9"/>
      <c r="AAX98" s="9"/>
      <c r="AAY98" s="9"/>
      <c r="AAZ98" s="9"/>
      <c r="ABA98" s="9"/>
      <c r="ABB98" s="9"/>
      <c r="ABC98" s="9"/>
      <c r="ABD98" s="9"/>
      <c r="ABE98" s="9"/>
      <c r="ABF98" s="9"/>
      <c r="ABG98" s="9"/>
      <c r="ABH98" s="9"/>
      <c r="ABI98" s="9"/>
      <c r="ABJ98" s="9"/>
      <c r="ABK98" s="9"/>
      <c r="ABL98" s="9"/>
      <c r="ABM98" s="9"/>
      <c r="ABN98" s="9"/>
      <c r="ABO98" s="9"/>
      <c r="ABP98" s="9"/>
      <c r="ABQ98" s="9"/>
      <c r="ABR98" s="9"/>
      <c r="ABS98" s="9"/>
      <c r="ABT98" s="9"/>
      <c r="ABU98" s="9"/>
      <c r="ABV98" s="9"/>
      <c r="ABW98" s="9"/>
      <c r="ABX98" s="9"/>
      <c r="ABY98" s="9"/>
      <c r="ABZ98" s="9"/>
      <c r="ACA98" s="9"/>
      <c r="ACB98" s="9"/>
      <c r="ACC98" s="9"/>
      <c r="ACD98" s="9"/>
      <c r="ACE98" s="9"/>
      <c r="ACF98" s="9"/>
      <c r="ACG98" s="9"/>
      <c r="ACH98" s="9"/>
      <c r="ACI98" s="9"/>
      <c r="ACJ98" s="9"/>
      <c r="ACK98" s="9"/>
      <c r="ACL98" s="9"/>
      <c r="ACM98" s="9"/>
      <c r="ACN98" s="9"/>
      <c r="ACO98" s="9"/>
      <c r="ACP98" s="9"/>
      <c r="ACQ98" s="9"/>
      <c r="ACR98" s="9"/>
      <c r="ACS98" s="9"/>
      <c r="ACT98" s="9"/>
      <c r="ACU98" s="9"/>
      <c r="ACV98" s="9"/>
      <c r="ACW98" s="9"/>
      <c r="ACX98" s="9"/>
      <c r="ACY98" s="9"/>
      <c r="ACZ98" s="9"/>
      <c r="ADA98" s="9"/>
      <c r="ADB98" s="9"/>
      <c r="ADC98" s="9"/>
      <c r="ADD98" s="9"/>
      <c r="ADE98" s="9"/>
      <c r="ADF98" s="9"/>
      <c r="ADG98" s="9"/>
      <c r="ADH98" s="9"/>
      <c r="ADI98" s="9"/>
      <c r="ADJ98" s="9"/>
      <c r="ADK98" s="9"/>
      <c r="ADL98" s="9"/>
      <c r="ADM98" s="9"/>
      <c r="ADN98" s="9"/>
      <c r="ADO98" s="9"/>
      <c r="ADP98" s="9"/>
      <c r="ADQ98" s="9"/>
      <c r="ADR98" s="9"/>
      <c r="ADS98" s="9"/>
      <c r="ADT98" s="9"/>
      <c r="ADU98" s="9"/>
      <c r="ADV98" s="9"/>
      <c r="ADW98" s="9"/>
      <c r="ADX98" s="9"/>
      <c r="ADY98" s="9"/>
      <c r="ADZ98" s="9"/>
      <c r="AEA98" s="9"/>
      <c r="AEB98" s="9"/>
      <c r="AEC98" s="9"/>
      <c r="AED98" s="9"/>
      <c r="AEE98" s="9"/>
      <c r="AEF98" s="9"/>
      <c r="AEG98" s="9"/>
      <c r="AEH98" s="9"/>
      <c r="AEI98" s="9"/>
      <c r="AEJ98" s="9"/>
      <c r="AEK98" s="9"/>
      <c r="AEL98" s="9"/>
      <c r="AEM98" s="9"/>
      <c r="AEN98" s="9"/>
      <c r="AEO98" s="9"/>
      <c r="AEP98" s="9"/>
      <c r="AEQ98" s="9"/>
      <c r="AER98" s="9"/>
      <c r="AES98" s="9"/>
      <c r="AET98" s="9"/>
      <c r="AEU98" s="9"/>
      <c r="AEV98" s="9"/>
      <c r="AEW98" s="9"/>
      <c r="AEX98" s="9"/>
      <c r="AEY98" s="9"/>
      <c r="AEZ98" s="9"/>
      <c r="AFA98" s="9"/>
      <c r="AFB98" s="9"/>
      <c r="AFC98" s="9"/>
      <c r="AFD98" s="9"/>
      <c r="AFE98" s="9"/>
      <c r="AFF98" s="9"/>
      <c r="AFG98" s="9"/>
      <c r="AFH98" s="9"/>
      <c r="AFI98" s="9"/>
      <c r="AFJ98" s="9"/>
      <c r="AFK98" s="9"/>
      <c r="AFL98" s="9"/>
      <c r="AFM98" s="9"/>
      <c r="AFN98" s="9"/>
      <c r="AFO98" s="9"/>
      <c r="AFP98" s="9"/>
      <c r="AFQ98" s="9"/>
      <c r="AFR98" s="9"/>
      <c r="AFS98" s="9"/>
      <c r="AFT98" s="9"/>
      <c r="AFU98" s="9"/>
      <c r="AFV98" s="9"/>
      <c r="AFW98" s="9"/>
      <c r="AFX98" s="9"/>
      <c r="AFY98" s="9"/>
      <c r="AFZ98" s="9"/>
      <c r="AGA98" s="9"/>
      <c r="AGB98" s="9"/>
      <c r="AGC98" s="9"/>
      <c r="AGD98" s="9"/>
      <c r="AGE98" s="9"/>
      <c r="AGF98" s="9"/>
      <c r="AGG98" s="9"/>
      <c r="AGH98" s="9"/>
      <c r="AGI98" s="9"/>
      <c r="AGJ98" s="9"/>
      <c r="AGK98" s="9"/>
      <c r="AGL98" s="9"/>
      <c r="AGM98" s="9"/>
      <c r="AGN98" s="9"/>
      <c r="AGO98" s="9"/>
      <c r="AGP98" s="9"/>
      <c r="AGQ98" s="9"/>
      <c r="AGR98" s="9"/>
      <c r="AGS98" s="9"/>
      <c r="AGT98" s="9"/>
      <c r="AGU98" s="9"/>
      <c r="AGV98" s="9"/>
      <c r="AGW98" s="9"/>
      <c r="AGX98" s="9"/>
      <c r="AGY98" s="9"/>
      <c r="AGZ98" s="9"/>
      <c r="AHA98" s="9"/>
      <c r="AHB98" s="9"/>
      <c r="AHC98" s="9"/>
      <c r="AHD98" s="9"/>
      <c r="AHE98" s="9"/>
      <c r="AHF98" s="9"/>
      <c r="AHG98" s="9"/>
      <c r="AHH98" s="9"/>
      <c r="AHI98" s="9"/>
      <c r="AHJ98" s="9"/>
      <c r="AHK98" s="9"/>
      <c r="AHL98" s="9"/>
      <c r="AHM98" s="9"/>
      <c r="AHN98" s="9"/>
      <c r="AHO98" s="9"/>
      <c r="AHP98" s="9"/>
      <c r="AHQ98" s="9"/>
      <c r="AHR98" s="9"/>
      <c r="AHS98" s="9"/>
      <c r="AHT98" s="9"/>
      <c r="AHU98" s="9"/>
      <c r="AHV98" s="9"/>
      <c r="AHW98" s="9"/>
      <c r="AHX98" s="9"/>
      <c r="AHY98" s="9"/>
      <c r="AHZ98" s="9"/>
      <c r="AIA98" s="9"/>
      <c r="AIB98" s="9"/>
      <c r="AIC98" s="9"/>
      <c r="AID98" s="9"/>
      <c r="AIE98" s="9"/>
      <c r="AIF98" s="9"/>
      <c r="AIG98" s="9"/>
      <c r="AIH98" s="9"/>
      <c r="AII98" s="9"/>
      <c r="AIJ98" s="9"/>
      <c r="AIK98" s="9"/>
      <c r="AIL98" s="9"/>
      <c r="AIM98" s="9"/>
      <c r="AIN98" s="9"/>
      <c r="AIO98" s="9"/>
      <c r="AIP98" s="9"/>
      <c r="AIQ98" s="9"/>
      <c r="AIR98" s="9"/>
      <c r="AIS98" s="9"/>
      <c r="AIT98" s="9"/>
      <c r="AIU98" s="9"/>
      <c r="AIV98" s="9"/>
      <c r="AIW98" s="9"/>
      <c r="AIX98" s="9"/>
      <c r="AIY98" s="9"/>
      <c r="AIZ98" s="9"/>
      <c r="AJA98" s="9"/>
      <c r="AJB98" s="9"/>
      <c r="AJC98" s="9"/>
      <c r="AJD98" s="9"/>
      <c r="AJE98" s="9"/>
      <c r="AJF98" s="9"/>
      <c r="AJG98" s="9"/>
      <c r="AJH98" s="9"/>
      <c r="AJI98" s="9"/>
      <c r="AJJ98" s="9"/>
      <c r="AJK98" s="9"/>
      <c r="AJL98" s="9"/>
      <c r="AJM98" s="9"/>
      <c r="AJN98" s="9"/>
      <c r="AJO98" s="9"/>
      <c r="AJP98" s="9"/>
      <c r="AJQ98" s="9"/>
      <c r="AJR98" s="9"/>
      <c r="AJS98" s="9"/>
      <c r="AJT98" s="9"/>
      <c r="AJU98" s="9"/>
      <c r="AJV98" s="9"/>
      <c r="AJW98" s="9"/>
      <c r="AJX98" s="9"/>
      <c r="AJY98" s="9"/>
      <c r="AJZ98" s="9"/>
      <c r="AKA98" s="9"/>
      <c r="AKB98" s="9"/>
      <c r="AKC98" s="9"/>
      <c r="AKD98" s="9"/>
      <c r="AKE98" s="9"/>
      <c r="AKF98" s="9"/>
      <c r="AKG98" s="9"/>
      <c r="AKH98" s="9"/>
      <c r="AKI98" s="9"/>
      <c r="AKJ98" s="9"/>
      <c r="AKK98" s="9"/>
      <c r="AKL98" s="9"/>
      <c r="AKM98" s="9"/>
      <c r="AKN98" s="9"/>
      <c r="AKO98" s="9"/>
      <c r="AKP98" s="9"/>
      <c r="AKQ98" s="9"/>
      <c r="AKR98" s="9"/>
      <c r="AKS98" s="9"/>
      <c r="AKT98" s="9"/>
      <c r="AKU98" s="9"/>
      <c r="AKV98" s="9"/>
      <c r="AKW98" s="9"/>
      <c r="AKX98" s="9"/>
      <c r="AKY98" s="9"/>
      <c r="AKZ98" s="9"/>
      <c r="ALA98" s="9"/>
      <c r="ALB98" s="9"/>
      <c r="ALC98" s="9"/>
      <c r="ALD98" s="9"/>
      <c r="ALE98" s="9"/>
      <c r="ALF98" s="9"/>
      <c r="ALG98" s="9"/>
      <c r="ALH98" s="9"/>
      <c r="ALI98" s="9"/>
      <c r="ALJ98" s="9"/>
      <c r="ALK98" s="9"/>
      <c r="ALL98" s="9"/>
      <c r="ALM98" s="9"/>
      <c r="ALN98" s="9"/>
      <c r="ALO98" s="9"/>
      <c r="ALP98" s="9"/>
      <c r="ALQ98" s="9"/>
      <c r="ALR98" s="9"/>
      <c r="ALS98" s="9"/>
      <c r="ALT98" s="9"/>
      <c r="ALU98" s="9"/>
      <c r="ALV98" s="9"/>
      <c r="ALW98" s="9"/>
      <c r="ALX98" s="9"/>
      <c r="ALY98" s="9"/>
      <c r="ALZ98" s="9"/>
      <c r="AMA98" s="9"/>
      <c r="AMB98" s="9"/>
      <c r="AMC98" s="9"/>
      <c r="AMD98" s="9"/>
      <c r="AME98" s="9"/>
      <c r="AMF98" s="9"/>
      <c r="AMG98" s="9"/>
      <c r="AMH98" s="9"/>
      <c r="AMI98" s="9"/>
      <c r="AMJ98" s="9"/>
      <c r="AMK98" s="9"/>
      <c r="AML98" s="9"/>
      <c r="AMM98" s="9"/>
      <c r="AMN98" s="9"/>
    </row>
    <row r="99" spans="1:1028" s="12" customFormat="1" x14ac:dyDescent="0.2">
      <c r="A99" s="9" t="str">
        <f t="shared" ref="A99" si="419">CONCATENATE(B99,"_",C99)</f>
        <v>cnr1_human_5XRA</v>
      </c>
      <c r="B99" s="9" t="s">
        <v>182</v>
      </c>
      <c r="C99" s="9" t="s">
        <v>1436</v>
      </c>
      <c r="D99" s="9" t="str">
        <f>IFERROR(MID(VLOOKUP($B99,Seqs!$A:$B,2,0),E99,1),"")</f>
        <v>N</v>
      </c>
      <c r="E99" s="9">
        <v>112</v>
      </c>
      <c r="F99" s="9" t="str">
        <f>IFERROR(MID(VLOOKUP($B99,Seqs!$A:$B,2,0),G99,1),"")</f>
        <v>S</v>
      </c>
      <c r="G99" s="9">
        <v>146</v>
      </c>
      <c r="H99" s="9" t="str">
        <f>IFERROR(MID(VLOOKUP($B99,Seqs!$A:$B,2,0),I99,1),"")</f>
        <v/>
      </c>
      <c r="I99" s="112" t="s">
        <v>23</v>
      </c>
      <c r="J99" s="9" t="str">
        <f>IFERROR(MID(VLOOKUP($B99,Seqs!$A:$B,2,0),K99,1),"")</f>
        <v/>
      </c>
      <c r="K99" s="112" t="s">
        <v>23</v>
      </c>
      <c r="L99" s="9" t="str">
        <f>IFERROR(MID(VLOOKUP($B99,Seqs!$A:$B,2,0),M99,1),"")</f>
        <v>Y</v>
      </c>
      <c r="M99" s="9">
        <v>153</v>
      </c>
      <c r="N99" s="9" t="str">
        <f>IFERROR(MID(VLOOKUP($B99,Seqs!$A:$B,2,0),O99,1),"")</f>
        <v>F</v>
      </c>
      <c r="O99" s="9">
        <v>180</v>
      </c>
      <c r="P99" s="9" t="str">
        <f>IFERROR(MID(VLOOKUP($B99,Seqs!$A:$B,2,0),Q99,1),"")</f>
        <v/>
      </c>
      <c r="Q99" s="9" t="s">
        <v>23</v>
      </c>
      <c r="R99" s="9" t="str">
        <f>IFERROR(MID(VLOOKUP($B99,Seqs!$A:$B,2,0),S99,1),"")</f>
        <v/>
      </c>
      <c r="S99" s="9" t="s">
        <v>23</v>
      </c>
      <c r="T99" s="9" t="str">
        <f>IFERROR(MID(VLOOKUP($B99,Seqs!$A:$B,2,0),U99,1),"")</f>
        <v>S</v>
      </c>
      <c r="U99" s="9">
        <v>185</v>
      </c>
      <c r="V99" s="9" t="str">
        <f>IFERROR(MID(VLOOKUP($B99,Seqs!$A:$B,2,0),W99,1),"")</f>
        <v>R</v>
      </c>
      <c r="W99" s="9">
        <v>220</v>
      </c>
      <c r="X99" s="9" t="str">
        <f>IFERROR(MID(VLOOKUP($B99,Seqs!$A:$B,2,0),Y99,1),"")</f>
        <v>P</v>
      </c>
      <c r="Y99" s="9">
        <v>221</v>
      </c>
      <c r="Z99" s="9" t="str">
        <f>IFERROR(MID(VLOOKUP($B99,Seqs!$A:$B,2,0),AA99,1),"")</f>
        <v>V</v>
      </c>
      <c r="AA99" s="9">
        <v>228</v>
      </c>
      <c r="AB99" s="9" t="str">
        <f>IFERROR(MID(VLOOKUP($B99,Seqs!$A:$B,2,0),AC99,1),"")</f>
        <v>T</v>
      </c>
      <c r="AC99" s="9">
        <v>229</v>
      </c>
      <c r="AD99" s="9" t="str">
        <f>IFERROR(MID(VLOOKUP($B99,Seqs!$A:$B,2,0),AE99,1),"")</f>
        <v>G</v>
      </c>
      <c r="AE99" s="9">
        <v>254</v>
      </c>
      <c r="AF99" s="9" t="str">
        <f>IFERROR(MID(VLOOKUP($B99,Seqs!$A:$B,2,0),AG99,1),"")</f>
        <v/>
      </c>
      <c r="AG99" s="9" t="s">
        <v>23</v>
      </c>
      <c r="AH99" s="9" t="str">
        <f>IFERROR(MID(VLOOKUP($B99,Seqs!$A:$B,2,0),AI99,1),"")</f>
        <v/>
      </c>
      <c r="AI99" s="9" t="s">
        <v>23</v>
      </c>
      <c r="AJ99" s="9" t="str">
        <f>IFERROR(MID(VLOOKUP($B99,Seqs!$A:$B,2,0),AK99,1),"")</f>
        <v>D</v>
      </c>
      <c r="AK99" s="9">
        <v>272</v>
      </c>
      <c r="AL99" s="9" t="str">
        <f>IFERROR(MID(VLOOKUP($B99,Seqs!$A:$B,2,0),AM99,1),"")</f>
        <v>A</v>
      </c>
      <c r="AM99" s="9">
        <v>305</v>
      </c>
      <c r="AN99" s="9" t="str">
        <f>IFERROR(MID(VLOOKUP($B99,Seqs!$A:$B,2,0),AO99,1),"")</f>
        <v>D</v>
      </c>
      <c r="AO99" s="9">
        <v>338</v>
      </c>
      <c r="AP99" s="9" t="str">
        <f>IFERROR(MID(VLOOKUP($B99,Seqs!$A:$B,2,0),AQ99,1),"")</f>
        <v>G</v>
      </c>
      <c r="AQ99" s="9">
        <v>369</v>
      </c>
      <c r="AR99" s="9" t="str">
        <f>IFERROR(MID(VLOOKUP($B99,Seqs!$A:$B,2,0),AS99,1),"")</f>
        <v>N</v>
      </c>
      <c r="AS99" s="9">
        <v>372</v>
      </c>
      <c r="AT99" s="9" t="str">
        <f>IFERROR(MID(VLOOKUP($B99,Seqs!$A:$B,2,0),AU99,1),"")</f>
        <v>Y</v>
      </c>
      <c r="AU99" s="9">
        <v>397</v>
      </c>
      <c r="AV99" s="9" t="str">
        <f>IFERROR(MID(VLOOKUP($B99,Seqs!$A:$B,2,0),AW99,1),"")</f>
        <v>S</v>
      </c>
      <c r="AW99" s="9">
        <v>401</v>
      </c>
      <c r="AX99" s="9" t="str">
        <f>IFERROR(MID(VLOOKUP($B99,Seqs!$A:$B,2,0),AY99,1),"")</f>
        <v>F</v>
      </c>
      <c r="AY99" s="9">
        <v>412</v>
      </c>
      <c r="AZ99" s="113" t="str">
        <f>VLOOKUP(B99,Classification!A:D,2,0)</f>
        <v>A</v>
      </c>
      <c r="BA99" s="101" t="str">
        <f>VLOOKUP(B99,Classification!A:D,4,0)</f>
        <v>Cannabinoid</v>
      </c>
      <c r="BB99" s="37" t="b">
        <f t="shared" ref="BB99" si="420">AND(E99&lt;G99,OR(G99&lt;I99,I99="-"),OR(I99&lt;K99,I99="-"),OR(K99&lt;M99,K99="-"),M99&lt;O99,OR(O99&lt;Q99,Q99="-"),OR(Q99&lt;S99,Q99="-"),OR(S99&lt;U99,S99="-"),U99&lt;W99,OR(W99&lt;Y99,Y99="-"),OR(Y99&lt;AA99,Y99="-"),OR(AA99&lt;AC99,AA99="-"),AC99&lt;AE99,OR(AE99&lt;AG99,AG99="-"),OR(AG99&lt;AI99,AG99="-"),OR(AI99&lt;AK99,AI99="-"),AK99&lt;AM99,AM99&lt;AO99,AO99&lt;AQ99,AQ99&lt;AS99,AS99&lt;AU99,OR(AU99&lt;AW99,AW99="-"),OR(AW99&lt;AY99,AW99="-"))</f>
        <v>1</v>
      </c>
      <c r="BC99" s="112">
        <f t="shared" ref="BC99" si="421">_xlfn.AGGREGATE(9,6,CG99:CR99)-_xlfn.AGGREGATE(9,6,BU99:CF99)+12</f>
        <v>240</v>
      </c>
      <c r="BD99" s="41" t="s">
        <v>1382</v>
      </c>
      <c r="BE99" s="9" t="s">
        <v>1297</v>
      </c>
      <c r="BF99" s="52" t="s">
        <v>1</v>
      </c>
      <c r="BG99" s="52" t="s">
        <v>1</v>
      </c>
      <c r="BH99" s="9"/>
      <c r="BI99" s="114" t="s">
        <v>1293</v>
      </c>
      <c r="BJ99" s="115" t="s">
        <v>1293</v>
      </c>
      <c r="BK99" s="115" t="s">
        <v>1293</v>
      </c>
      <c r="BL99" s="115" t="s">
        <v>1293</v>
      </c>
      <c r="BM99" s="115" t="s">
        <v>1293</v>
      </c>
      <c r="BN99" s="115" t="s">
        <v>1293</v>
      </c>
      <c r="BO99" s="115" t="s">
        <v>1293</v>
      </c>
      <c r="BP99" s="115" t="s">
        <v>1293</v>
      </c>
      <c r="BQ99" s="115" t="s">
        <v>1293</v>
      </c>
      <c r="BR99" s="115" t="s">
        <v>1293</v>
      </c>
      <c r="BS99" s="115" t="s">
        <v>1293</v>
      </c>
      <c r="BT99" s="115" t="s">
        <v>1293</v>
      </c>
      <c r="BU99" s="114">
        <f t="shared" ref="BU99" si="422">E99</f>
        <v>112</v>
      </c>
      <c r="BV99" s="116" t="str">
        <f t="shared" ref="BV99" si="423">I99</f>
        <v>-</v>
      </c>
      <c r="BW99" s="117">
        <f t="shared" ref="BW99" si="424">M99</f>
        <v>153</v>
      </c>
      <c r="BX99" s="116" t="str">
        <f t="shared" ref="BX99" si="425">Q99</f>
        <v>-</v>
      </c>
      <c r="BY99" s="117">
        <f t="shared" ref="BY99" si="426">U99</f>
        <v>185</v>
      </c>
      <c r="BZ99" s="116">
        <f t="shared" ref="BZ99" si="427">Y99</f>
        <v>221</v>
      </c>
      <c r="CA99" s="117">
        <f t="shared" ref="CA99" si="428">AC99</f>
        <v>229</v>
      </c>
      <c r="CB99" s="116" t="str">
        <f t="shared" ref="CB99" si="429">AG99</f>
        <v>-</v>
      </c>
      <c r="CC99" s="117">
        <f t="shared" ref="CC99" si="430">AK99</f>
        <v>272</v>
      </c>
      <c r="CD99" s="116">
        <f t="shared" ref="CD99" si="431">AO99</f>
        <v>338</v>
      </c>
      <c r="CE99" s="117">
        <f t="shared" ref="CE99" si="432">AS99</f>
        <v>372</v>
      </c>
      <c r="CF99" s="116">
        <f t="shared" ref="CF99" si="433">AW99</f>
        <v>401</v>
      </c>
      <c r="CG99" s="114">
        <f t="shared" ref="CG99" si="434">G99</f>
        <v>146</v>
      </c>
      <c r="CH99" s="116" t="str">
        <f t="shared" ref="CH99" si="435">K99</f>
        <v>-</v>
      </c>
      <c r="CI99" s="117">
        <f t="shared" ref="CI99" si="436">O99</f>
        <v>180</v>
      </c>
      <c r="CJ99" s="117" t="str">
        <f t="shared" ref="CJ99" si="437">S99</f>
        <v>-</v>
      </c>
      <c r="CK99" s="117">
        <f t="shared" ref="CK99" si="438">W99</f>
        <v>220</v>
      </c>
      <c r="CL99" s="117">
        <f t="shared" ref="CL99" si="439">AA99</f>
        <v>228</v>
      </c>
      <c r="CM99" s="117">
        <f t="shared" ref="CM99" si="440">AE99</f>
        <v>254</v>
      </c>
      <c r="CN99" s="117" t="str">
        <f t="shared" ref="CN99" si="441">AI99</f>
        <v>-</v>
      </c>
      <c r="CO99" s="117">
        <f t="shared" ref="CO99" si="442">AM99</f>
        <v>305</v>
      </c>
      <c r="CP99" s="117">
        <f t="shared" ref="CP99" si="443">AQ99</f>
        <v>369</v>
      </c>
      <c r="CQ99" s="117">
        <f t="shared" ref="CQ99" si="444">AU99</f>
        <v>397</v>
      </c>
      <c r="CR99" s="117">
        <f t="shared" ref="CR99" si="445">AY99</f>
        <v>412</v>
      </c>
      <c r="CS99" s="112" t="e">
        <f t="shared" ref="CS99" si="446">M99-K99</f>
        <v>#VALUE!</v>
      </c>
      <c r="CT99" s="9"/>
      <c r="CU99" s="9"/>
      <c r="CV99" s="9"/>
      <c r="CW99" s="9"/>
      <c r="CX99" s="9"/>
      <c r="CY99" s="9"/>
      <c r="CZ99" s="9"/>
      <c r="DA99" s="9"/>
      <c r="DB99" s="9"/>
      <c r="DC99" s="9"/>
      <c r="DD99" s="9"/>
      <c r="DE99" s="9"/>
      <c r="DF99" s="9"/>
      <c r="DG99" s="9"/>
      <c r="DH99" s="9"/>
      <c r="DI99" s="9"/>
      <c r="DJ99" s="9"/>
      <c r="DK99" s="9"/>
      <c r="DL99" s="9"/>
      <c r="DM99" s="9"/>
      <c r="DN99" s="9"/>
      <c r="DO99" s="9"/>
      <c r="DP99" s="9"/>
      <c r="DQ99" s="9"/>
      <c r="DR99" s="9"/>
      <c r="DS99" s="9"/>
      <c r="DT99" s="9"/>
      <c r="DU99" s="9"/>
      <c r="DV99" s="9"/>
      <c r="DW99" s="9"/>
      <c r="DX99" s="9"/>
      <c r="DY99" s="9"/>
      <c r="DZ99" s="9"/>
      <c r="EA99" s="9"/>
      <c r="EB99" s="9"/>
      <c r="EC99" s="9"/>
      <c r="ED99" s="9"/>
      <c r="EE99" s="9"/>
      <c r="EF99" s="9"/>
      <c r="EG99" s="9"/>
      <c r="EH99" s="9"/>
      <c r="EI99" s="9"/>
      <c r="EJ99" s="9"/>
      <c r="EK99" s="9"/>
      <c r="EL99" s="9"/>
      <c r="EM99" s="9"/>
      <c r="EN99" s="9"/>
      <c r="EO99" s="9"/>
      <c r="EP99" s="9"/>
      <c r="EQ99" s="9"/>
      <c r="ER99" s="9"/>
      <c r="ES99" s="9"/>
      <c r="ET99" s="9"/>
      <c r="EU99" s="9"/>
      <c r="EV99" s="9"/>
      <c r="EW99" s="9"/>
      <c r="EX99" s="9"/>
      <c r="EY99" s="9"/>
      <c r="EZ99" s="9"/>
      <c r="FA99" s="9"/>
      <c r="FB99" s="9"/>
      <c r="FC99" s="9"/>
      <c r="FD99" s="9"/>
      <c r="FE99" s="9"/>
      <c r="FF99" s="9"/>
      <c r="FG99" s="9"/>
      <c r="FH99" s="9"/>
      <c r="FI99" s="9"/>
      <c r="FJ99" s="9"/>
      <c r="FK99" s="9"/>
      <c r="FL99" s="9"/>
      <c r="FM99" s="9"/>
      <c r="FN99" s="9"/>
      <c r="FO99" s="9"/>
      <c r="FP99" s="9"/>
      <c r="FQ99" s="9"/>
      <c r="FR99" s="9"/>
      <c r="FS99" s="9"/>
      <c r="FT99" s="9"/>
      <c r="FU99" s="9"/>
      <c r="FV99" s="9"/>
      <c r="FW99" s="9"/>
      <c r="FX99" s="9"/>
      <c r="FY99" s="9"/>
      <c r="FZ99" s="9"/>
      <c r="GA99" s="9"/>
      <c r="GB99" s="9"/>
      <c r="GC99" s="9"/>
      <c r="GD99" s="9"/>
      <c r="GE99" s="9"/>
      <c r="GF99" s="9"/>
      <c r="GG99" s="9"/>
      <c r="GH99" s="9"/>
      <c r="GI99" s="9"/>
      <c r="GJ99" s="9"/>
      <c r="GK99" s="9"/>
      <c r="GL99" s="9"/>
      <c r="GM99" s="9"/>
      <c r="GN99" s="9"/>
      <c r="GO99" s="9"/>
      <c r="GP99" s="9"/>
      <c r="GQ99" s="9"/>
      <c r="GR99" s="9"/>
      <c r="GS99" s="9"/>
      <c r="GT99" s="9"/>
      <c r="GU99" s="9"/>
      <c r="GV99" s="9"/>
      <c r="GW99" s="9"/>
      <c r="GX99" s="9"/>
      <c r="GY99" s="9"/>
      <c r="GZ99" s="9"/>
      <c r="HA99" s="9"/>
      <c r="HB99" s="9"/>
      <c r="HC99" s="9"/>
      <c r="HD99" s="9"/>
      <c r="HE99" s="9"/>
      <c r="HF99" s="9"/>
      <c r="HG99" s="9"/>
      <c r="HH99" s="9"/>
      <c r="HI99" s="9"/>
      <c r="HJ99" s="9"/>
      <c r="HK99" s="9"/>
      <c r="HL99" s="9"/>
      <c r="HM99" s="9"/>
      <c r="HN99" s="9"/>
      <c r="HO99" s="9"/>
      <c r="HP99" s="9"/>
      <c r="HQ99" s="9"/>
      <c r="HR99" s="9"/>
      <c r="HS99" s="9"/>
      <c r="HT99" s="9"/>
      <c r="HU99" s="9"/>
      <c r="HV99" s="9"/>
      <c r="HW99" s="9"/>
      <c r="HX99" s="9"/>
      <c r="HY99" s="9"/>
      <c r="HZ99" s="9"/>
      <c r="IA99" s="9"/>
      <c r="IB99" s="9"/>
      <c r="IC99" s="9"/>
      <c r="ID99" s="9"/>
      <c r="IE99" s="9"/>
      <c r="IF99" s="9"/>
      <c r="IG99" s="9"/>
      <c r="IH99" s="9"/>
      <c r="II99" s="9"/>
      <c r="IJ99" s="9"/>
      <c r="IK99" s="9"/>
      <c r="IL99" s="9"/>
      <c r="IM99" s="9"/>
      <c r="IN99" s="9"/>
      <c r="IO99" s="9"/>
      <c r="IP99" s="9"/>
      <c r="IQ99" s="9"/>
      <c r="IR99" s="9"/>
      <c r="IS99" s="9"/>
      <c r="IT99" s="9"/>
      <c r="IU99" s="9"/>
      <c r="IV99" s="9"/>
      <c r="IW99" s="9"/>
      <c r="IX99" s="9"/>
      <c r="IY99" s="9"/>
      <c r="IZ99" s="9"/>
      <c r="JA99" s="9"/>
      <c r="JB99" s="9"/>
      <c r="JC99" s="9"/>
      <c r="JD99" s="9"/>
      <c r="JE99" s="9"/>
      <c r="JF99" s="9"/>
      <c r="JG99" s="9"/>
      <c r="JH99" s="9"/>
      <c r="JI99" s="9"/>
      <c r="JJ99" s="9"/>
      <c r="JK99" s="9"/>
      <c r="JL99" s="9"/>
      <c r="JM99" s="9"/>
      <c r="JN99" s="9"/>
      <c r="JO99" s="9"/>
      <c r="JP99" s="9"/>
      <c r="JQ99" s="9"/>
      <c r="JR99" s="9"/>
      <c r="JS99" s="9"/>
      <c r="JT99" s="9"/>
      <c r="JU99" s="9"/>
      <c r="JV99" s="9"/>
      <c r="JW99" s="9"/>
      <c r="JX99" s="9"/>
      <c r="JY99" s="9"/>
      <c r="JZ99" s="9"/>
      <c r="KA99" s="9"/>
      <c r="KB99" s="9"/>
      <c r="KC99" s="9"/>
      <c r="KD99" s="9"/>
      <c r="KE99" s="9"/>
      <c r="KF99" s="9"/>
      <c r="KG99" s="9"/>
      <c r="KH99" s="9"/>
      <c r="KI99" s="9"/>
      <c r="KJ99" s="9"/>
      <c r="KK99" s="9"/>
      <c r="KL99" s="9"/>
      <c r="KM99" s="9"/>
      <c r="KN99" s="9"/>
      <c r="KO99" s="9"/>
      <c r="KP99" s="9"/>
      <c r="KQ99" s="9"/>
      <c r="KR99" s="9"/>
      <c r="KS99" s="9"/>
      <c r="KT99" s="9"/>
      <c r="KU99" s="9"/>
      <c r="KV99" s="9"/>
      <c r="KW99" s="9"/>
      <c r="KX99" s="9"/>
      <c r="KY99" s="9"/>
      <c r="KZ99" s="9"/>
      <c r="LA99" s="9"/>
      <c r="LB99" s="9"/>
      <c r="LC99" s="9"/>
      <c r="LD99" s="9"/>
      <c r="LE99" s="9"/>
      <c r="LF99" s="9"/>
      <c r="LG99" s="9"/>
      <c r="LH99" s="9"/>
      <c r="LI99" s="9"/>
      <c r="LJ99" s="9"/>
      <c r="LK99" s="9"/>
      <c r="LL99" s="9"/>
      <c r="LM99" s="9"/>
      <c r="LN99" s="9"/>
      <c r="LO99" s="9"/>
      <c r="LP99" s="9"/>
      <c r="LQ99" s="9"/>
      <c r="LR99" s="9"/>
      <c r="LS99" s="9"/>
      <c r="LT99" s="9"/>
      <c r="LU99" s="9"/>
      <c r="LV99" s="9"/>
      <c r="LW99" s="9"/>
      <c r="LX99" s="9"/>
      <c r="LY99" s="9"/>
      <c r="LZ99" s="9"/>
      <c r="MA99" s="9"/>
      <c r="MB99" s="9"/>
      <c r="MC99" s="9"/>
      <c r="MD99" s="9"/>
      <c r="ME99" s="9"/>
      <c r="MF99" s="9"/>
      <c r="MG99" s="9"/>
      <c r="MH99" s="9"/>
      <c r="MI99" s="9"/>
      <c r="MJ99" s="9"/>
      <c r="MK99" s="9"/>
      <c r="ML99" s="9"/>
      <c r="MM99" s="9"/>
      <c r="MN99" s="9"/>
      <c r="MO99" s="9"/>
      <c r="MP99" s="9"/>
      <c r="MQ99" s="9"/>
      <c r="MR99" s="9"/>
      <c r="MS99" s="9"/>
      <c r="MT99" s="9"/>
      <c r="MU99" s="9"/>
      <c r="MV99" s="9"/>
      <c r="MW99" s="9"/>
      <c r="MX99" s="9"/>
      <c r="MY99" s="9"/>
      <c r="MZ99" s="9"/>
      <c r="NA99" s="9"/>
      <c r="NB99" s="9"/>
      <c r="NC99" s="9"/>
      <c r="ND99" s="9"/>
      <c r="NE99" s="9"/>
      <c r="NF99" s="9"/>
      <c r="NG99" s="9"/>
      <c r="NH99" s="9"/>
      <c r="NI99" s="9"/>
      <c r="NJ99" s="9"/>
      <c r="NK99" s="9"/>
      <c r="NL99" s="9"/>
      <c r="NM99" s="9"/>
      <c r="NN99" s="9"/>
      <c r="NO99" s="9"/>
      <c r="NP99" s="9"/>
      <c r="NQ99" s="9"/>
      <c r="NR99" s="9"/>
      <c r="NS99" s="9"/>
      <c r="NT99" s="9"/>
      <c r="NU99" s="9"/>
      <c r="NV99" s="9"/>
      <c r="NW99" s="9"/>
      <c r="NX99" s="9"/>
      <c r="NY99" s="9"/>
      <c r="NZ99" s="9"/>
      <c r="OA99" s="9"/>
      <c r="OB99" s="9"/>
      <c r="OC99" s="9"/>
      <c r="OD99" s="9"/>
      <c r="OE99" s="9"/>
      <c r="OF99" s="9"/>
      <c r="OG99" s="9"/>
      <c r="OH99" s="9"/>
      <c r="OI99" s="9"/>
      <c r="OJ99" s="9"/>
      <c r="OK99" s="9"/>
      <c r="OL99" s="9"/>
      <c r="OM99" s="9"/>
      <c r="ON99" s="9"/>
      <c r="OO99" s="9"/>
      <c r="OP99" s="9"/>
      <c r="OQ99" s="9"/>
      <c r="OR99" s="9"/>
      <c r="OS99" s="9"/>
      <c r="OT99" s="9"/>
      <c r="OU99" s="9"/>
      <c r="OV99" s="9"/>
      <c r="OW99" s="9"/>
      <c r="OX99" s="9"/>
      <c r="OY99" s="9"/>
      <c r="OZ99" s="9"/>
      <c r="PA99" s="9"/>
      <c r="PB99" s="9"/>
      <c r="PC99" s="9"/>
      <c r="PD99" s="9"/>
      <c r="PE99" s="9"/>
      <c r="PF99" s="9"/>
      <c r="PG99" s="9"/>
      <c r="PH99" s="9"/>
      <c r="PI99" s="9"/>
      <c r="PJ99" s="9"/>
      <c r="PK99" s="9"/>
      <c r="PL99" s="9"/>
      <c r="PM99" s="9"/>
      <c r="PN99" s="9"/>
      <c r="PO99" s="9"/>
      <c r="PP99" s="9"/>
      <c r="PQ99" s="9"/>
      <c r="PR99" s="9"/>
      <c r="PS99" s="9"/>
      <c r="PT99" s="9"/>
      <c r="PU99" s="9"/>
      <c r="PV99" s="9"/>
      <c r="PW99" s="9"/>
      <c r="PX99" s="9"/>
      <c r="PY99" s="9"/>
      <c r="PZ99" s="9"/>
      <c r="QA99" s="9"/>
      <c r="QB99" s="9"/>
      <c r="QC99" s="9"/>
      <c r="QD99" s="9"/>
      <c r="QE99" s="9"/>
      <c r="QF99" s="9"/>
      <c r="QG99" s="9"/>
      <c r="QH99" s="9"/>
      <c r="QI99" s="9"/>
      <c r="QJ99" s="9"/>
      <c r="QK99" s="9"/>
      <c r="QL99" s="9"/>
      <c r="QM99" s="9"/>
      <c r="QN99" s="9"/>
      <c r="QO99" s="9"/>
      <c r="QP99" s="9"/>
      <c r="QQ99" s="9"/>
      <c r="QR99" s="9"/>
      <c r="QS99" s="9"/>
      <c r="QT99" s="9"/>
      <c r="QU99" s="9"/>
      <c r="QV99" s="9"/>
      <c r="QW99" s="9"/>
      <c r="QX99" s="9"/>
      <c r="QY99" s="9"/>
      <c r="QZ99" s="9"/>
      <c r="RA99" s="9"/>
      <c r="RB99" s="9"/>
      <c r="RC99" s="9"/>
      <c r="RD99" s="9"/>
      <c r="RE99" s="9"/>
      <c r="RF99" s="9"/>
      <c r="RG99" s="9"/>
      <c r="RH99" s="9"/>
      <c r="RI99" s="9"/>
      <c r="RJ99" s="9"/>
      <c r="RK99" s="9"/>
      <c r="RL99" s="9"/>
      <c r="RM99" s="9"/>
      <c r="RN99" s="9"/>
      <c r="RO99" s="9"/>
      <c r="RP99" s="9"/>
      <c r="RQ99" s="9"/>
      <c r="RR99" s="9"/>
      <c r="RS99" s="9"/>
      <c r="RT99" s="9"/>
      <c r="RU99" s="9"/>
      <c r="RV99" s="9"/>
      <c r="RW99" s="9"/>
      <c r="RX99" s="9"/>
      <c r="RY99" s="9"/>
      <c r="RZ99" s="9"/>
      <c r="SA99" s="9"/>
      <c r="SB99" s="9"/>
      <c r="SC99" s="9"/>
      <c r="SD99" s="9"/>
      <c r="SE99" s="9"/>
      <c r="SF99" s="9"/>
      <c r="SG99" s="9"/>
      <c r="SH99" s="9"/>
      <c r="SI99" s="9"/>
      <c r="SJ99" s="9"/>
      <c r="SK99" s="9"/>
      <c r="SL99" s="9"/>
      <c r="SM99" s="9"/>
      <c r="SN99" s="9"/>
      <c r="SO99" s="9"/>
      <c r="SP99" s="9"/>
      <c r="SQ99" s="9"/>
      <c r="SR99" s="9"/>
      <c r="SS99" s="9"/>
      <c r="ST99" s="9"/>
      <c r="SU99" s="9"/>
      <c r="SV99" s="9"/>
      <c r="SW99" s="9"/>
      <c r="SX99" s="9"/>
      <c r="SY99" s="9"/>
      <c r="SZ99" s="9"/>
      <c r="TA99" s="9"/>
      <c r="TB99" s="9"/>
      <c r="TC99" s="9"/>
      <c r="TD99" s="9"/>
      <c r="TE99" s="9"/>
      <c r="TF99" s="9"/>
      <c r="TG99" s="9"/>
      <c r="TH99" s="9"/>
      <c r="TI99" s="9"/>
      <c r="TJ99" s="9"/>
      <c r="TK99" s="9"/>
      <c r="TL99" s="9"/>
      <c r="TM99" s="9"/>
      <c r="TN99" s="9"/>
      <c r="TO99" s="9"/>
      <c r="TP99" s="9"/>
      <c r="TQ99" s="9"/>
      <c r="TR99" s="9"/>
      <c r="TS99" s="9"/>
      <c r="TT99" s="9"/>
      <c r="TU99" s="9"/>
      <c r="TV99" s="9"/>
      <c r="TW99" s="9"/>
      <c r="TX99" s="9"/>
      <c r="TY99" s="9"/>
      <c r="TZ99" s="9"/>
      <c r="UA99" s="9"/>
      <c r="UB99" s="9"/>
      <c r="UC99" s="9"/>
      <c r="UD99" s="9"/>
      <c r="UE99" s="9"/>
      <c r="UF99" s="9"/>
      <c r="UG99" s="9"/>
      <c r="UH99" s="9"/>
      <c r="UI99" s="9"/>
      <c r="UJ99" s="9"/>
      <c r="UK99" s="9"/>
      <c r="UL99" s="9"/>
      <c r="UM99" s="9"/>
      <c r="UN99" s="9"/>
      <c r="UO99" s="9"/>
      <c r="UP99" s="9"/>
      <c r="UQ99" s="9"/>
      <c r="UR99" s="9"/>
      <c r="US99" s="9"/>
      <c r="UT99" s="9"/>
      <c r="UU99" s="9"/>
      <c r="UV99" s="9"/>
      <c r="UW99" s="9"/>
      <c r="UX99" s="9"/>
      <c r="UY99" s="9"/>
      <c r="UZ99" s="9"/>
      <c r="VA99" s="9"/>
      <c r="VB99" s="9"/>
      <c r="VC99" s="9"/>
      <c r="VD99" s="9"/>
      <c r="VE99" s="9"/>
      <c r="VF99" s="9"/>
      <c r="VG99" s="9"/>
      <c r="VH99" s="9"/>
      <c r="VI99" s="9"/>
      <c r="VJ99" s="9"/>
      <c r="VK99" s="9"/>
      <c r="VL99" s="9"/>
      <c r="VM99" s="9"/>
      <c r="VN99" s="9"/>
      <c r="VO99" s="9"/>
      <c r="VP99" s="9"/>
      <c r="VQ99" s="9"/>
      <c r="VR99" s="9"/>
      <c r="VS99" s="9"/>
      <c r="VT99" s="9"/>
      <c r="VU99" s="9"/>
      <c r="VV99" s="9"/>
      <c r="VW99" s="9"/>
      <c r="VX99" s="9"/>
      <c r="VY99" s="9"/>
      <c r="VZ99" s="9"/>
      <c r="WA99" s="9"/>
      <c r="WB99" s="9"/>
      <c r="WC99" s="9"/>
      <c r="WD99" s="9"/>
      <c r="WE99" s="9"/>
      <c r="WF99" s="9"/>
      <c r="WG99" s="9"/>
      <c r="WH99" s="9"/>
      <c r="WI99" s="9"/>
      <c r="WJ99" s="9"/>
      <c r="WK99" s="9"/>
      <c r="WL99" s="9"/>
      <c r="WM99" s="9"/>
      <c r="WN99" s="9"/>
      <c r="WO99" s="9"/>
      <c r="WP99" s="9"/>
      <c r="WQ99" s="9"/>
      <c r="WR99" s="9"/>
      <c r="WS99" s="9"/>
      <c r="WT99" s="9"/>
      <c r="WU99" s="9"/>
      <c r="WV99" s="9"/>
      <c r="WW99" s="9"/>
      <c r="WX99" s="9"/>
      <c r="WY99" s="9"/>
      <c r="WZ99" s="9"/>
      <c r="XA99" s="9"/>
      <c r="XB99" s="9"/>
      <c r="XC99" s="9"/>
      <c r="XD99" s="9"/>
      <c r="XE99" s="9"/>
      <c r="XF99" s="9"/>
      <c r="XG99" s="9"/>
      <c r="XH99" s="9"/>
      <c r="XI99" s="9"/>
      <c r="XJ99" s="9"/>
      <c r="XK99" s="9"/>
      <c r="XL99" s="9"/>
      <c r="XM99" s="9"/>
      <c r="XN99" s="9"/>
      <c r="XO99" s="9"/>
      <c r="XP99" s="9"/>
      <c r="XQ99" s="9"/>
      <c r="XR99" s="9"/>
      <c r="XS99" s="9"/>
      <c r="XT99" s="9"/>
      <c r="XU99" s="9"/>
      <c r="XV99" s="9"/>
      <c r="XW99" s="9"/>
      <c r="XX99" s="9"/>
      <c r="XY99" s="9"/>
      <c r="XZ99" s="9"/>
      <c r="YA99" s="9"/>
      <c r="YB99" s="9"/>
      <c r="YC99" s="9"/>
      <c r="YD99" s="9"/>
      <c r="YE99" s="9"/>
      <c r="YF99" s="9"/>
      <c r="YG99" s="9"/>
      <c r="YH99" s="9"/>
      <c r="YI99" s="9"/>
      <c r="YJ99" s="9"/>
      <c r="YK99" s="9"/>
      <c r="YL99" s="9"/>
      <c r="YM99" s="9"/>
      <c r="YN99" s="9"/>
      <c r="YO99" s="9"/>
      <c r="YP99" s="9"/>
      <c r="YQ99" s="9"/>
      <c r="YR99" s="9"/>
      <c r="YS99" s="9"/>
      <c r="YT99" s="9"/>
      <c r="YU99" s="9"/>
      <c r="YV99" s="9"/>
      <c r="YW99" s="9"/>
      <c r="YX99" s="9"/>
      <c r="YY99" s="9"/>
      <c r="YZ99" s="9"/>
      <c r="ZA99" s="9"/>
      <c r="ZB99" s="9"/>
      <c r="ZC99" s="9"/>
      <c r="ZD99" s="9"/>
      <c r="ZE99" s="9"/>
      <c r="ZF99" s="9"/>
      <c r="ZG99" s="9"/>
      <c r="ZH99" s="9"/>
      <c r="ZI99" s="9"/>
      <c r="ZJ99" s="9"/>
      <c r="ZK99" s="9"/>
      <c r="ZL99" s="9"/>
      <c r="ZM99" s="9"/>
      <c r="ZN99" s="9"/>
      <c r="ZO99" s="9"/>
      <c r="ZP99" s="9"/>
      <c r="ZQ99" s="9"/>
      <c r="ZR99" s="9"/>
      <c r="ZS99" s="9"/>
      <c r="ZT99" s="9"/>
      <c r="ZU99" s="9"/>
      <c r="ZV99" s="9"/>
      <c r="ZW99" s="9"/>
      <c r="ZX99" s="9"/>
      <c r="ZY99" s="9"/>
      <c r="ZZ99" s="9"/>
      <c r="AAA99" s="9"/>
      <c r="AAB99" s="9"/>
      <c r="AAC99" s="9"/>
      <c r="AAD99" s="9"/>
      <c r="AAE99" s="9"/>
      <c r="AAF99" s="9"/>
      <c r="AAG99" s="9"/>
      <c r="AAH99" s="9"/>
      <c r="AAI99" s="9"/>
      <c r="AAJ99" s="9"/>
      <c r="AAK99" s="9"/>
      <c r="AAL99" s="9"/>
      <c r="AAM99" s="9"/>
      <c r="AAN99" s="9"/>
      <c r="AAO99" s="9"/>
      <c r="AAP99" s="9"/>
      <c r="AAQ99" s="9"/>
      <c r="AAR99" s="9"/>
      <c r="AAS99" s="9"/>
      <c r="AAT99" s="9"/>
      <c r="AAU99" s="9"/>
      <c r="AAV99" s="9"/>
      <c r="AAW99" s="9"/>
      <c r="AAX99" s="9"/>
      <c r="AAY99" s="9"/>
      <c r="AAZ99" s="9"/>
      <c r="ABA99" s="9"/>
      <c r="ABB99" s="9"/>
      <c r="ABC99" s="9"/>
      <c r="ABD99" s="9"/>
      <c r="ABE99" s="9"/>
      <c r="ABF99" s="9"/>
      <c r="ABG99" s="9"/>
      <c r="ABH99" s="9"/>
      <c r="ABI99" s="9"/>
      <c r="ABJ99" s="9"/>
      <c r="ABK99" s="9"/>
      <c r="ABL99" s="9"/>
      <c r="ABM99" s="9"/>
      <c r="ABN99" s="9"/>
      <c r="ABO99" s="9"/>
      <c r="ABP99" s="9"/>
      <c r="ABQ99" s="9"/>
      <c r="ABR99" s="9"/>
      <c r="ABS99" s="9"/>
      <c r="ABT99" s="9"/>
      <c r="ABU99" s="9"/>
      <c r="ABV99" s="9"/>
      <c r="ABW99" s="9"/>
      <c r="ABX99" s="9"/>
      <c r="ABY99" s="9"/>
      <c r="ABZ99" s="9"/>
      <c r="ACA99" s="9"/>
      <c r="ACB99" s="9"/>
      <c r="ACC99" s="9"/>
      <c r="ACD99" s="9"/>
      <c r="ACE99" s="9"/>
      <c r="ACF99" s="9"/>
      <c r="ACG99" s="9"/>
      <c r="ACH99" s="9"/>
      <c r="ACI99" s="9"/>
      <c r="ACJ99" s="9"/>
      <c r="ACK99" s="9"/>
      <c r="ACL99" s="9"/>
      <c r="ACM99" s="9"/>
      <c r="ACN99" s="9"/>
      <c r="ACO99" s="9"/>
      <c r="ACP99" s="9"/>
      <c r="ACQ99" s="9"/>
      <c r="ACR99" s="9"/>
      <c r="ACS99" s="9"/>
      <c r="ACT99" s="9"/>
      <c r="ACU99" s="9"/>
      <c r="ACV99" s="9"/>
      <c r="ACW99" s="9"/>
      <c r="ACX99" s="9"/>
      <c r="ACY99" s="9"/>
      <c r="ACZ99" s="9"/>
      <c r="ADA99" s="9"/>
      <c r="ADB99" s="9"/>
      <c r="ADC99" s="9"/>
      <c r="ADD99" s="9"/>
      <c r="ADE99" s="9"/>
      <c r="ADF99" s="9"/>
      <c r="ADG99" s="9"/>
      <c r="ADH99" s="9"/>
      <c r="ADI99" s="9"/>
      <c r="ADJ99" s="9"/>
      <c r="ADK99" s="9"/>
      <c r="ADL99" s="9"/>
      <c r="ADM99" s="9"/>
      <c r="ADN99" s="9"/>
      <c r="ADO99" s="9"/>
      <c r="ADP99" s="9"/>
      <c r="ADQ99" s="9"/>
      <c r="ADR99" s="9"/>
      <c r="ADS99" s="9"/>
      <c r="ADT99" s="9"/>
      <c r="ADU99" s="9"/>
      <c r="ADV99" s="9"/>
      <c r="ADW99" s="9"/>
      <c r="ADX99" s="9"/>
      <c r="ADY99" s="9"/>
      <c r="ADZ99" s="9"/>
      <c r="AEA99" s="9"/>
      <c r="AEB99" s="9"/>
      <c r="AEC99" s="9"/>
      <c r="AED99" s="9"/>
      <c r="AEE99" s="9"/>
      <c r="AEF99" s="9"/>
      <c r="AEG99" s="9"/>
      <c r="AEH99" s="9"/>
      <c r="AEI99" s="9"/>
      <c r="AEJ99" s="9"/>
      <c r="AEK99" s="9"/>
      <c r="AEL99" s="9"/>
      <c r="AEM99" s="9"/>
      <c r="AEN99" s="9"/>
      <c r="AEO99" s="9"/>
      <c r="AEP99" s="9"/>
      <c r="AEQ99" s="9"/>
      <c r="AER99" s="9"/>
      <c r="AES99" s="9"/>
      <c r="AET99" s="9"/>
      <c r="AEU99" s="9"/>
      <c r="AEV99" s="9"/>
      <c r="AEW99" s="9"/>
      <c r="AEX99" s="9"/>
      <c r="AEY99" s="9"/>
      <c r="AEZ99" s="9"/>
      <c r="AFA99" s="9"/>
      <c r="AFB99" s="9"/>
      <c r="AFC99" s="9"/>
      <c r="AFD99" s="9"/>
      <c r="AFE99" s="9"/>
      <c r="AFF99" s="9"/>
      <c r="AFG99" s="9"/>
      <c r="AFH99" s="9"/>
      <c r="AFI99" s="9"/>
      <c r="AFJ99" s="9"/>
      <c r="AFK99" s="9"/>
      <c r="AFL99" s="9"/>
      <c r="AFM99" s="9"/>
      <c r="AFN99" s="9"/>
      <c r="AFO99" s="9"/>
      <c r="AFP99" s="9"/>
      <c r="AFQ99" s="9"/>
      <c r="AFR99" s="9"/>
      <c r="AFS99" s="9"/>
      <c r="AFT99" s="9"/>
      <c r="AFU99" s="9"/>
      <c r="AFV99" s="9"/>
      <c r="AFW99" s="9"/>
      <c r="AFX99" s="9"/>
      <c r="AFY99" s="9"/>
      <c r="AFZ99" s="9"/>
      <c r="AGA99" s="9"/>
      <c r="AGB99" s="9"/>
      <c r="AGC99" s="9"/>
      <c r="AGD99" s="9"/>
      <c r="AGE99" s="9"/>
      <c r="AGF99" s="9"/>
      <c r="AGG99" s="9"/>
      <c r="AGH99" s="9"/>
      <c r="AGI99" s="9"/>
      <c r="AGJ99" s="9"/>
      <c r="AGK99" s="9"/>
      <c r="AGL99" s="9"/>
      <c r="AGM99" s="9"/>
      <c r="AGN99" s="9"/>
      <c r="AGO99" s="9"/>
      <c r="AGP99" s="9"/>
      <c r="AGQ99" s="9"/>
      <c r="AGR99" s="9"/>
      <c r="AGS99" s="9"/>
      <c r="AGT99" s="9"/>
      <c r="AGU99" s="9"/>
      <c r="AGV99" s="9"/>
      <c r="AGW99" s="9"/>
      <c r="AGX99" s="9"/>
      <c r="AGY99" s="9"/>
      <c r="AGZ99" s="9"/>
      <c r="AHA99" s="9"/>
      <c r="AHB99" s="9"/>
      <c r="AHC99" s="9"/>
      <c r="AHD99" s="9"/>
      <c r="AHE99" s="9"/>
      <c r="AHF99" s="9"/>
      <c r="AHG99" s="9"/>
      <c r="AHH99" s="9"/>
      <c r="AHI99" s="9"/>
      <c r="AHJ99" s="9"/>
      <c r="AHK99" s="9"/>
      <c r="AHL99" s="9"/>
      <c r="AHM99" s="9"/>
      <c r="AHN99" s="9"/>
      <c r="AHO99" s="9"/>
      <c r="AHP99" s="9"/>
      <c r="AHQ99" s="9"/>
      <c r="AHR99" s="9"/>
      <c r="AHS99" s="9"/>
      <c r="AHT99" s="9"/>
      <c r="AHU99" s="9"/>
      <c r="AHV99" s="9"/>
      <c r="AHW99" s="9"/>
      <c r="AHX99" s="9"/>
      <c r="AHY99" s="9"/>
      <c r="AHZ99" s="9"/>
      <c r="AIA99" s="9"/>
      <c r="AIB99" s="9"/>
      <c r="AIC99" s="9"/>
      <c r="AID99" s="9"/>
      <c r="AIE99" s="9"/>
      <c r="AIF99" s="9"/>
      <c r="AIG99" s="9"/>
      <c r="AIH99" s="9"/>
      <c r="AII99" s="9"/>
      <c r="AIJ99" s="9"/>
      <c r="AIK99" s="9"/>
      <c r="AIL99" s="9"/>
      <c r="AIM99" s="9"/>
      <c r="AIN99" s="9"/>
      <c r="AIO99" s="9"/>
      <c r="AIP99" s="9"/>
      <c r="AIQ99" s="9"/>
      <c r="AIR99" s="9"/>
      <c r="AIS99" s="9"/>
      <c r="AIT99" s="9"/>
      <c r="AIU99" s="9"/>
      <c r="AIV99" s="9"/>
      <c r="AIW99" s="9"/>
      <c r="AIX99" s="9"/>
      <c r="AIY99" s="9"/>
      <c r="AIZ99" s="9"/>
      <c r="AJA99" s="9"/>
      <c r="AJB99" s="9"/>
      <c r="AJC99" s="9"/>
      <c r="AJD99" s="9"/>
      <c r="AJE99" s="9"/>
      <c r="AJF99" s="9"/>
      <c r="AJG99" s="9"/>
      <c r="AJH99" s="9"/>
      <c r="AJI99" s="9"/>
      <c r="AJJ99" s="9"/>
      <c r="AJK99" s="9"/>
      <c r="AJL99" s="9"/>
      <c r="AJM99" s="9"/>
      <c r="AJN99" s="9"/>
      <c r="AJO99" s="9"/>
      <c r="AJP99" s="9"/>
      <c r="AJQ99" s="9"/>
      <c r="AJR99" s="9"/>
      <c r="AJS99" s="9"/>
      <c r="AJT99" s="9"/>
      <c r="AJU99" s="9"/>
      <c r="AJV99" s="9"/>
      <c r="AJW99" s="9"/>
      <c r="AJX99" s="9"/>
      <c r="AJY99" s="9"/>
      <c r="AJZ99" s="9"/>
      <c r="AKA99" s="9"/>
      <c r="AKB99" s="9"/>
      <c r="AKC99" s="9"/>
      <c r="AKD99" s="9"/>
      <c r="AKE99" s="9"/>
      <c r="AKF99" s="9"/>
      <c r="AKG99" s="9"/>
      <c r="AKH99" s="9"/>
      <c r="AKI99" s="9"/>
      <c r="AKJ99" s="9"/>
      <c r="AKK99" s="9"/>
      <c r="AKL99" s="9"/>
      <c r="AKM99" s="9"/>
      <c r="AKN99" s="9"/>
      <c r="AKO99" s="9"/>
      <c r="AKP99" s="9"/>
      <c r="AKQ99" s="9"/>
      <c r="AKR99" s="9"/>
      <c r="AKS99" s="9"/>
      <c r="AKT99" s="9"/>
      <c r="AKU99" s="9"/>
      <c r="AKV99" s="9"/>
      <c r="AKW99" s="9"/>
      <c r="AKX99" s="9"/>
      <c r="AKY99" s="9"/>
      <c r="AKZ99" s="9"/>
      <c r="ALA99" s="9"/>
      <c r="ALB99" s="9"/>
      <c r="ALC99" s="9"/>
      <c r="ALD99" s="9"/>
      <c r="ALE99" s="9"/>
      <c r="ALF99" s="9"/>
      <c r="ALG99" s="9"/>
      <c r="ALH99" s="9"/>
      <c r="ALI99" s="9"/>
      <c r="ALJ99" s="9"/>
      <c r="ALK99" s="9"/>
      <c r="ALL99" s="9"/>
      <c r="ALM99" s="9"/>
      <c r="ALN99" s="9"/>
      <c r="ALO99" s="9"/>
      <c r="ALP99" s="9"/>
      <c r="ALQ99" s="9"/>
      <c r="ALR99" s="9"/>
      <c r="ALS99" s="9"/>
      <c r="ALT99" s="9"/>
      <c r="ALU99" s="9"/>
      <c r="ALV99" s="9"/>
      <c r="ALW99" s="9"/>
      <c r="ALX99" s="9"/>
      <c r="ALY99" s="9"/>
      <c r="ALZ99" s="9"/>
      <c r="AMA99" s="9"/>
      <c r="AMB99" s="9"/>
      <c r="AMC99" s="9"/>
      <c r="AMD99" s="9"/>
      <c r="AME99" s="9"/>
      <c r="AMF99" s="9"/>
      <c r="AMG99" s="9"/>
      <c r="AMH99" s="9"/>
      <c r="AMI99" s="9"/>
      <c r="AMJ99" s="9"/>
      <c r="AMK99" s="9"/>
      <c r="AML99" s="9"/>
      <c r="AMM99" s="9"/>
      <c r="AMN99" s="9"/>
    </row>
    <row r="100" spans="1:1028" x14ac:dyDescent="0.2">
      <c r="A100" s="3" t="str">
        <f t="shared" si="222"/>
        <v>cxcr4_human__wt</v>
      </c>
      <c r="B100" s="3" t="s">
        <v>1172</v>
      </c>
      <c r="C100" s="3" t="s">
        <v>100</v>
      </c>
      <c r="D100" s="3" t="str">
        <f>IFERROR(MID(VLOOKUP($B100,Seqs!$A:$B,2,0),E100,1),"")</f>
        <v>R</v>
      </c>
      <c r="E100" s="3">
        <v>30</v>
      </c>
      <c r="F100" s="3" t="str">
        <f>IFERROR(MID(VLOOKUP($B100,Seqs!$A:$B,2,0),G100,1),"")</f>
        <v>Q</v>
      </c>
      <c r="G100" s="3">
        <v>66</v>
      </c>
      <c r="H100" s="3" t="str">
        <f>IFERROR(MID(VLOOKUP($B100,Seqs!$A:$B,2,0),I100,1),"")</f>
        <v>K</v>
      </c>
      <c r="I100" s="23">
        <v>67</v>
      </c>
      <c r="J100" s="3" t="str">
        <f>IFERROR(MID(VLOOKUP($B100,Seqs!$A:$B,2,0),K100,1),"")</f>
        <v>R</v>
      </c>
      <c r="K100" s="23">
        <v>70</v>
      </c>
      <c r="L100" s="3" t="str">
        <f>IFERROR(MID(VLOOKUP($B100,Seqs!$A:$B,2,0),M100,1),"")</f>
        <v>S</v>
      </c>
      <c r="M100" s="3">
        <v>71</v>
      </c>
      <c r="N100" s="3" t="str">
        <f>IFERROR(MID(VLOOKUP($B100,Seqs!$A:$B,2,0),O100,1),"")</f>
        <v>A</v>
      </c>
      <c r="O100" s="3">
        <v>100</v>
      </c>
      <c r="P100" s="3" t="str">
        <f>IFERROR(MID(VLOOKUP($B100,Seqs!$A:$B,2,0),Q100,1),"")</f>
        <v>N</v>
      </c>
      <c r="Q100" s="3">
        <v>101</v>
      </c>
      <c r="R100" s="3" t="str">
        <f>IFERROR(MID(VLOOKUP($B100,Seqs!$A:$B,2,0),S100,1),"")</f>
        <v>F</v>
      </c>
      <c r="S100" s="3">
        <v>104</v>
      </c>
      <c r="T100" s="3" t="str">
        <f>IFERROR(MID(VLOOKUP($B100,Seqs!$A:$B,2,0),U100,1),"")</f>
        <v>G</v>
      </c>
      <c r="U100" s="3">
        <v>105</v>
      </c>
      <c r="V100" s="3" t="str">
        <f>IFERROR(MID(VLOOKUP($B100,Seqs!$A:$B,2,0),W100,1),"")</f>
        <v>H</v>
      </c>
      <c r="W100" s="3">
        <v>140</v>
      </c>
      <c r="X100" s="3" t="str">
        <f>IFERROR(MID(VLOOKUP($B100,Seqs!$A:$B,2,0),Y100,1),"")</f>
        <v>A</v>
      </c>
      <c r="Y100" s="3">
        <v>141</v>
      </c>
      <c r="Z100" s="3" t="str">
        <f>IFERROR(MID(VLOOKUP($B100,Seqs!$A:$B,2,0),AA100,1),"")</f>
        <v>R</v>
      </c>
      <c r="AA100" s="3">
        <v>148</v>
      </c>
      <c r="AB100" s="3" t="str">
        <f>IFERROR(MID(VLOOKUP($B100,Seqs!$A:$B,2,0),AC100,1),"")</f>
        <v>K</v>
      </c>
      <c r="AC100" s="9">
        <v>149</v>
      </c>
      <c r="AD100" s="3" t="str">
        <f>IFERROR(MID(VLOOKUP($B100,Seqs!$A:$B,2,0),AE100,1),"")</f>
        <v>A</v>
      </c>
      <c r="AE100" s="3">
        <v>175</v>
      </c>
      <c r="AF100" s="3" t="str">
        <f>IFERROR(MID(VLOOKUP($B100,Seqs!$A:$B,2,0),AG100,1),"")</f>
        <v>C</v>
      </c>
      <c r="AG100" s="3">
        <v>186</v>
      </c>
      <c r="AH100" s="3" t="str">
        <f>IFERROR(MID(VLOOKUP($B100,Seqs!$A:$B,2,0),AI100,1),"")</f>
        <v>R</v>
      </c>
      <c r="AI100" s="3">
        <v>188</v>
      </c>
      <c r="AJ100" s="3" t="str">
        <f>IFERROR(MID(VLOOKUP($B100,Seqs!$A:$B,2,0),AK100,1),"")</f>
        <v>D</v>
      </c>
      <c r="AK100" s="3">
        <v>193</v>
      </c>
      <c r="AL100" s="3" t="str">
        <f>IFERROR(MID(VLOOKUP($B100,Seqs!$A:$B,2,0),AM100,1),"")</f>
        <v>S</v>
      </c>
      <c r="AM100" s="3">
        <v>229</v>
      </c>
      <c r="AN100" s="3" t="str">
        <f>IFERROR(MID(VLOOKUP($B100,Seqs!$A:$B,2,0),AO100,1),"")</f>
        <v>K</v>
      </c>
      <c r="AO100" s="3">
        <v>234</v>
      </c>
      <c r="AP100" s="3" t="str">
        <f>IFERROR(MID(VLOOKUP($B100,Seqs!$A:$B,2,0),AQ100,1),"")</f>
        <v>E</v>
      </c>
      <c r="AQ100" s="3">
        <v>268</v>
      </c>
      <c r="AR100" s="3" t="str">
        <f>IFERROR(MID(VLOOKUP($B100,Seqs!$A:$B,2,0),AS100,1),"")</f>
        <v>G</v>
      </c>
      <c r="AS100" s="3">
        <v>273</v>
      </c>
      <c r="AT100" s="3" t="str">
        <f>IFERROR(MID(VLOOKUP($B100,Seqs!$A:$B,2,0),AU100,1),"")</f>
        <v>L</v>
      </c>
      <c r="AU100" s="3">
        <v>305</v>
      </c>
      <c r="AV100" s="3" t="str">
        <f>IFERROR(MID(VLOOKUP($B100,Seqs!$A:$B,2,0),AW100,1),"")</f>
        <v>G</v>
      </c>
      <c r="AW100" s="3">
        <v>306</v>
      </c>
      <c r="AX100" s="3" t="str">
        <f>IFERROR(MID(VLOOKUP($B100,Seqs!$A:$B,2,0),AY100,1),"")</f>
        <v>T</v>
      </c>
      <c r="AY100" s="3">
        <v>318</v>
      </c>
      <c r="AZ100" s="79" t="str">
        <f>VLOOKUP(B100,Classification!A:D,2,0)</f>
        <v>A</v>
      </c>
      <c r="BA100" s="97" t="str">
        <f>VLOOKUP(B100,Classification!A:D,4,0)</f>
        <v>Chemokine</v>
      </c>
      <c r="BB100" s="27" t="b">
        <f t="shared" si="223"/>
        <v>1</v>
      </c>
      <c r="BC100" s="23">
        <f t="shared" ref="BC100:BC105" si="447">_xlfn.AGGREGATE(9,6,CG100:CR100)-_xlfn.AGGREGATE(9,6,BU100:CF100)+12</f>
        <v>267</v>
      </c>
      <c r="BD100" s="35" t="s">
        <v>1379</v>
      </c>
      <c r="BE100" s="3" t="s">
        <v>1381</v>
      </c>
      <c r="BF100" s="50" t="s">
        <v>1379</v>
      </c>
      <c r="BG100" s="50" t="s">
        <v>1384</v>
      </c>
      <c r="BH100" s="1"/>
      <c r="BI100" s="72" t="s">
        <v>1293</v>
      </c>
      <c r="BJ100" s="58" t="s">
        <v>1293</v>
      </c>
      <c r="BK100" s="58" t="s">
        <v>1293</v>
      </c>
      <c r="BL100" s="58" t="s">
        <v>1293</v>
      </c>
      <c r="BM100" s="58" t="s">
        <v>1293</v>
      </c>
      <c r="BN100" s="58" t="s">
        <v>1293</v>
      </c>
      <c r="BO100" s="58" t="s">
        <v>1293</v>
      </c>
      <c r="BP100" s="58" t="s">
        <v>1293</v>
      </c>
      <c r="BQ100" s="58" t="s">
        <v>1293</v>
      </c>
      <c r="BR100" s="58" t="s">
        <v>1293</v>
      </c>
      <c r="BS100" s="58" t="s">
        <v>1293</v>
      </c>
      <c r="BT100" s="58" t="s">
        <v>1293</v>
      </c>
      <c r="BU100" s="72">
        <f t="shared" ref="BU100:BU105" si="448">E100</f>
        <v>30</v>
      </c>
      <c r="BV100" s="73">
        <f t="shared" ref="BV100:BV105" si="449">I100</f>
        <v>67</v>
      </c>
      <c r="BW100" s="74">
        <f t="shared" ref="BW100:BW105" si="450">M100</f>
        <v>71</v>
      </c>
      <c r="BX100" s="73">
        <f t="shared" ref="BX100:BX105" si="451">Q100</f>
        <v>101</v>
      </c>
      <c r="BY100" s="74">
        <f t="shared" ref="BY100:BY105" si="452">U100</f>
        <v>105</v>
      </c>
      <c r="BZ100" s="73">
        <f t="shared" ref="BZ100:BZ105" si="453">Y100</f>
        <v>141</v>
      </c>
      <c r="CA100" s="74">
        <f t="shared" ref="CA100:CA105" si="454">AC100</f>
        <v>149</v>
      </c>
      <c r="CB100" s="73">
        <f t="shared" ref="CB100:CB105" si="455">AG100</f>
        <v>186</v>
      </c>
      <c r="CC100" s="74">
        <f t="shared" ref="CC100:CC105" si="456">AK100</f>
        <v>193</v>
      </c>
      <c r="CD100" s="73">
        <f t="shared" ref="CD100:CD105" si="457">AO100</f>
        <v>234</v>
      </c>
      <c r="CE100" s="74">
        <f t="shared" ref="CE100:CE105" si="458">AS100</f>
        <v>273</v>
      </c>
      <c r="CF100" s="73">
        <f t="shared" ref="CF100:CF105" si="459">AW100</f>
        <v>306</v>
      </c>
      <c r="CG100" s="72">
        <f t="shared" ref="CG100:CG105" si="460">G100</f>
        <v>66</v>
      </c>
      <c r="CH100" s="73">
        <f t="shared" ref="CH100:CH105" si="461">K100</f>
        <v>70</v>
      </c>
      <c r="CI100" s="74">
        <f t="shared" ref="CI100:CI105" si="462">O100</f>
        <v>100</v>
      </c>
      <c r="CJ100" s="74">
        <f t="shared" ref="CJ100:CJ105" si="463">S100</f>
        <v>104</v>
      </c>
      <c r="CK100" s="74">
        <f t="shared" ref="CK100:CK105" si="464">W100</f>
        <v>140</v>
      </c>
      <c r="CL100" s="74">
        <f t="shared" ref="CL100:CL105" si="465">AA100</f>
        <v>148</v>
      </c>
      <c r="CM100" s="74">
        <f t="shared" ref="CM100:CM105" si="466">AE100</f>
        <v>175</v>
      </c>
      <c r="CN100" s="74">
        <f t="shared" ref="CN100:CN105" si="467">AI100</f>
        <v>188</v>
      </c>
      <c r="CO100" s="74">
        <f t="shared" ref="CO100:CO105" si="468">AM100</f>
        <v>229</v>
      </c>
      <c r="CP100" s="74">
        <f t="shared" ref="CP100:CP105" si="469">AQ100</f>
        <v>268</v>
      </c>
      <c r="CQ100" s="74">
        <f t="shared" ref="CQ100:CQ105" si="470">AU100</f>
        <v>305</v>
      </c>
      <c r="CR100" s="74">
        <f t="shared" ref="CR100:CR105" si="471">AY100</f>
        <v>318</v>
      </c>
      <c r="CS100" s="23">
        <f t="shared" ref="CS100:CS105" si="472">M100-K100</f>
        <v>1</v>
      </c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1"/>
      <c r="KR100" s="1"/>
      <c r="KS100" s="1"/>
      <c r="KT100" s="1"/>
      <c r="KU100" s="1"/>
      <c r="KV100" s="1"/>
      <c r="KW100" s="1"/>
      <c r="KX100" s="1"/>
      <c r="KY100" s="1"/>
      <c r="KZ100" s="1"/>
      <c r="LA100" s="1"/>
      <c r="LB100" s="1"/>
      <c r="LC100" s="1"/>
      <c r="LD100" s="1"/>
      <c r="LE100" s="1"/>
      <c r="LF100" s="1"/>
      <c r="LG100" s="1"/>
      <c r="LH100" s="1"/>
      <c r="LI100" s="1"/>
      <c r="LJ100" s="1"/>
      <c r="LK100" s="1"/>
      <c r="LL100" s="1"/>
      <c r="LM100" s="1"/>
      <c r="LN100" s="1"/>
      <c r="LO100" s="1"/>
      <c r="LP100" s="1"/>
      <c r="LQ100" s="1"/>
      <c r="LR100" s="1"/>
      <c r="LS100" s="1"/>
      <c r="LT100" s="1"/>
      <c r="LU100" s="1"/>
      <c r="LV100" s="1"/>
      <c r="LW100" s="1"/>
      <c r="LX100" s="1"/>
      <c r="LY100" s="1"/>
      <c r="LZ100" s="1"/>
      <c r="MA100" s="1"/>
      <c r="MB100" s="1"/>
      <c r="MC100" s="1"/>
      <c r="MD100" s="1"/>
      <c r="ME100" s="1"/>
      <c r="MF100" s="1"/>
      <c r="MG100" s="1"/>
      <c r="MH100" s="1"/>
      <c r="MI100" s="1"/>
      <c r="MJ100" s="1"/>
      <c r="MK100" s="1"/>
      <c r="ML100" s="1"/>
      <c r="MM100" s="1"/>
      <c r="MN100" s="1"/>
      <c r="MO100" s="1"/>
      <c r="MP100" s="1"/>
      <c r="MQ100" s="1"/>
      <c r="MR100" s="1"/>
      <c r="MS100" s="1"/>
      <c r="MT100" s="1"/>
      <c r="MU100" s="1"/>
      <c r="MV100" s="1"/>
      <c r="MW100" s="1"/>
      <c r="MX100" s="1"/>
      <c r="MY100" s="1"/>
      <c r="MZ100" s="1"/>
      <c r="NA100" s="1"/>
      <c r="NB100" s="1"/>
      <c r="NC100" s="1"/>
      <c r="ND100" s="1"/>
      <c r="NE100" s="1"/>
      <c r="NF100" s="1"/>
      <c r="NG100" s="1"/>
      <c r="NH100" s="1"/>
      <c r="NI100" s="1"/>
      <c r="NJ100" s="1"/>
      <c r="NK100" s="1"/>
      <c r="NL100" s="1"/>
      <c r="NM100" s="1"/>
      <c r="NN100" s="1"/>
      <c r="NO100" s="1"/>
      <c r="NP100" s="1"/>
      <c r="NQ100" s="1"/>
      <c r="NR100" s="1"/>
      <c r="NS100" s="1"/>
      <c r="NT100" s="1"/>
      <c r="NU100" s="1"/>
      <c r="NV100" s="1"/>
      <c r="NW100" s="1"/>
      <c r="NX100" s="1"/>
      <c r="NY100" s="1"/>
      <c r="NZ100" s="1"/>
      <c r="OA100" s="1"/>
      <c r="OB100" s="1"/>
      <c r="OC100" s="1"/>
      <c r="OD100" s="1"/>
      <c r="OE100" s="1"/>
      <c r="OF100" s="1"/>
      <c r="OG100" s="1"/>
      <c r="OH100" s="1"/>
      <c r="OI100" s="1"/>
      <c r="OJ100" s="1"/>
      <c r="OK100" s="1"/>
      <c r="OL100" s="1"/>
      <c r="OM100" s="1"/>
      <c r="ON100" s="1"/>
      <c r="OO100" s="1"/>
      <c r="OP100" s="1"/>
      <c r="OQ100" s="1"/>
      <c r="OR100" s="1"/>
      <c r="OS100" s="1"/>
      <c r="OT100" s="1"/>
      <c r="OU100" s="1"/>
      <c r="OV100" s="1"/>
      <c r="OW100" s="1"/>
      <c r="OX100" s="1"/>
      <c r="OY100" s="1"/>
      <c r="OZ100" s="1"/>
      <c r="PA100" s="1"/>
      <c r="PB100" s="1"/>
      <c r="PC100" s="1"/>
      <c r="PD100" s="1"/>
      <c r="PE100" s="1"/>
      <c r="PF100" s="1"/>
      <c r="PG100" s="1"/>
      <c r="PH100" s="1"/>
      <c r="PI100" s="1"/>
      <c r="PJ100" s="1"/>
      <c r="PK100" s="1"/>
      <c r="PL100" s="1"/>
      <c r="PM100" s="1"/>
      <c r="PN100" s="1"/>
      <c r="PO100" s="1"/>
      <c r="PP100" s="1"/>
      <c r="PQ100" s="1"/>
      <c r="PR100" s="1"/>
      <c r="PS100" s="1"/>
      <c r="PT100" s="1"/>
      <c r="PU100" s="1"/>
      <c r="PV100" s="1"/>
      <c r="PW100" s="1"/>
      <c r="PX100" s="1"/>
      <c r="PY100" s="1"/>
      <c r="PZ100" s="1"/>
      <c r="QA100" s="1"/>
      <c r="QB100" s="1"/>
      <c r="QC100" s="1"/>
      <c r="QD100" s="1"/>
      <c r="QE100" s="1"/>
      <c r="QF100" s="1"/>
      <c r="QG100" s="1"/>
      <c r="QH100" s="1"/>
      <c r="QI100" s="1"/>
      <c r="QJ100" s="1"/>
      <c r="QK100" s="1"/>
      <c r="QL100" s="1"/>
      <c r="QM100" s="1"/>
      <c r="QN100" s="1"/>
      <c r="QO100" s="1"/>
      <c r="QP100" s="1"/>
      <c r="QQ100" s="1"/>
      <c r="QR100" s="1"/>
      <c r="QS100" s="1"/>
      <c r="QT100" s="1"/>
      <c r="QU100" s="1"/>
      <c r="QV100" s="1"/>
      <c r="QW100" s="1"/>
      <c r="QX100" s="1"/>
      <c r="QY100" s="1"/>
      <c r="QZ100" s="1"/>
      <c r="RA100" s="1"/>
      <c r="RB100" s="1"/>
      <c r="RC100" s="1"/>
      <c r="RD100" s="1"/>
      <c r="RE100" s="1"/>
      <c r="RF100" s="1"/>
      <c r="RG100" s="1"/>
      <c r="RH100" s="1"/>
      <c r="RI100" s="1"/>
      <c r="RJ100" s="1"/>
      <c r="RK100" s="1"/>
      <c r="RL100" s="1"/>
      <c r="RM100" s="1"/>
      <c r="RN100" s="1"/>
      <c r="RO100" s="1"/>
      <c r="RP100" s="1"/>
      <c r="RQ100" s="1"/>
      <c r="RR100" s="1"/>
      <c r="RS100" s="1"/>
      <c r="RT100" s="1"/>
      <c r="RU100" s="1"/>
      <c r="RV100" s="1"/>
      <c r="RW100" s="1"/>
      <c r="RX100" s="1"/>
      <c r="RY100" s="1"/>
      <c r="RZ100" s="1"/>
      <c r="SA100" s="1"/>
      <c r="SB100" s="1"/>
      <c r="SC100" s="1"/>
      <c r="SD100" s="1"/>
      <c r="SE100" s="1"/>
      <c r="SF100" s="1"/>
      <c r="SG100" s="1"/>
      <c r="SH100" s="1"/>
      <c r="SI100" s="1"/>
      <c r="SJ100" s="1"/>
      <c r="SK100" s="1"/>
      <c r="SL100" s="1"/>
      <c r="SM100" s="1"/>
      <c r="SN100" s="1"/>
      <c r="SO100" s="1"/>
      <c r="SP100" s="1"/>
      <c r="SQ100" s="1"/>
      <c r="SR100" s="1"/>
      <c r="SS100" s="1"/>
      <c r="ST100" s="1"/>
      <c r="SU100" s="1"/>
      <c r="SV100" s="1"/>
      <c r="SW100" s="1"/>
      <c r="SX100" s="1"/>
      <c r="SY100" s="1"/>
      <c r="SZ100" s="1"/>
      <c r="TA100" s="1"/>
      <c r="TB100" s="1"/>
      <c r="TC100" s="1"/>
      <c r="TD100" s="1"/>
      <c r="TE100" s="1"/>
      <c r="TF100" s="1"/>
      <c r="TG100" s="1"/>
      <c r="TH100" s="1"/>
      <c r="TI100" s="1"/>
      <c r="TJ100" s="1"/>
      <c r="TK100" s="1"/>
      <c r="TL100" s="1"/>
      <c r="TM100" s="1"/>
      <c r="TN100" s="1"/>
      <c r="TO100" s="1"/>
      <c r="TP100" s="1"/>
      <c r="TQ100" s="1"/>
      <c r="TR100" s="1"/>
      <c r="TS100" s="1"/>
      <c r="TT100" s="1"/>
      <c r="TU100" s="1"/>
      <c r="TV100" s="1"/>
      <c r="TW100" s="1"/>
      <c r="TX100" s="1"/>
      <c r="TY100" s="1"/>
      <c r="TZ100" s="1"/>
      <c r="UA100" s="1"/>
      <c r="UB100" s="1"/>
      <c r="UC100" s="1"/>
      <c r="UD100" s="1"/>
      <c r="UE100" s="1"/>
      <c r="UF100" s="1"/>
      <c r="UG100" s="1"/>
      <c r="UH100" s="1"/>
      <c r="UI100" s="1"/>
      <c r="UJ100" s="1"/>
      <c r="UK100" s="1"/>
      <c r="UL100" s="1"/>
      <c r="UM100" s="1"/>
      <c r="UN100" s="1"/>
      <c r="UO100" s="1"/>
      <c r="UP100" s="1"/>
      <c r="UQ100" s="1"/>
      <c r="UR100" s="1"/>
      <c r="US100" s="1"/>
      <c r="UT100" s="1"/>
      <c r="UU100" s="1"/>
      <c r="UV100" s="1"/>
      <c r="UW100" s="1"/>
      <c r="UX100" s="1"/>
      <c r="UY100" s="1"/>
      <c r="UZ100" s="1"/>
      <c r="VA100" s="1"/>
      <c r="VB100" s="1"/>
      <c r="VC100" s="1"/>
      <c r="VD100" s="1"/>
      <c r="VE100" s="1"/>
      <c r="VF100" s="1"/>
      <c r="VG100" s="1"/>
      <c r="VH100" s="1"/>
      <c r="VI100" s="1"/>
      <c r="VJ100" s="1"/>
      <c r="VK100" s="1"/>
      <c r="VL100" s="1"/>
      <c r="VM100" s="1"/>
      <c r="VN100" s="1"/>
      <c r="VO100" s="1"/>
      <c r="VP100" s="1"/>
      <c r="VQ100" s="1"/>
      <c r="VR100" s="1"/>
      <c r="VS100" s="1"/>
      <c r="VT100" s="1"/>
      <c r="VU100" s="1"/>
      <c r="VV100" s="1"/>
      <c r="VW100" s="1"/>
      <c r="VX100" s="1"/>
      <c r="VY100" s="1"/>
      <c r="VZ100" s="1"/>
      <c r="WA100" s="1"/>
      <c r="WB100" s="1"/>
      <c r="WC100" s="1"/>
      <c r="WD100" s="1"/>
      <c r="WE100" s="1"/>
      <c r="WF100" s="1"/>
      <c r="WG100" s="1"/>
      <c r="WH100" s="1"/>
      <c r="WI100" s="1"/>
      <c r="WJ100" s="1"/>
      <c r="WK100" s="1"/>
      <c r="WL100" s="1"/>
      <c r="WM100" s="1"/>
      <c r="WN100" s="1"/>
      <c r="WO100" s="1"/>
      <c r="WP100" s="1"/>
      <c r="WQ100" s="1"/>
      <c r="WR100" s="1"/>
      <c r="WS100" s="1"/>
      <c r="WT100" s="1"/>
      <c r="WU100" s="1"/>
      <c r="WV100" s="1"/>
      <c r="WW100" s="1"/>
      <c r="WX100" s="1"/>
      <c r="WY100" s="1"/>
      <c r="WZ100" s="1"/>
      <c r="XA100" s="1"/>
      <c r="XB100" s="1"/>
      <c r="XC100" s="1"/>
      <c r="XD100" s="1"/>
      <c r="XE100" s="1"/>
      <c r="XF100" s="1"/>
      <c r="XG100" s="1"/>
      <c r="XH100" s="1"/>
      <c r="XI100" s="1"/>
      <c r="XJ100" s="1"/>
      <c r="XK100" s="1"/>
      <c r="XL100" s="1"/>
      <c r="XM100" s="1"/>
      <c r="XN100" s="1"/>
      <c r="XO100" s="1"/>
      <c r="XP100" s="1"/>
      <c r="XQ100" s="1"/>
      <c r="XR100" s="1"/>
      <c r="XS100" s="1"/>
      <c r="XT100" s="1"/>
      <c r="XU100" s="1"/>
      <c r="XV100" s="1"/>
      <c r="XW100" s="1"/>
      <c r="XX100" s="1"/>
      <c r="XY100" s="1"/>
      <c r="XZ100" s="1"/>
      <c r="YA100" s="1"/>
      <c r="YB100" s="1"/>
      <c r="YC100" s="1"/>
      <c r="YD100" s="1"/>
      <c r="YE100" s="1"/>
      <c r="YF100" s="1"/>
      <c r="YG100" s="1"/>
      <c r="YH100" s="1"/>
      <c r="YI100" s="1"/>
      <c r="YJ100" s="1"/>
      <c r="YK100" s="1"/>
      <c r="YL100" s="1"/>
      <c r="YM100" s="1"/>
      <c r="YN100" s="1"/>
      <c r="YO100" s="1"/>
      <c r="YP100" s="1"/>
      <c r="YQ100" s="1"/>
      <c r="YR100" s="1"/>
      <c r="YS100" s="1"/>
      <c r="YT100" s="1"/>
      <c r="YU100" s="1"/>
      <c r="YV100" s="1"/>
      <c r="YW100" s="1"/>
      <c r="YX100" s="1"/>
      <c r="YY100" s="1"/>
      <c r="YZ100" s="1"/>
      <c r="ZA100" s="1"/>
      <c r="ZB100" s="1"/>
      <c r="ZC100" s="1"/>
      <c r="ZD100" s="1"/>
      <c r="ZE100" s="1"/>
      <c r="ZF100" s="1"/>
      <c r="ZG100" s="1"/>
      <c r="ZH100" s="1"/>
      <c r="ZI100" s="1"/>
      <c r="ZJ100" s="1"/>
      <c r="ZK100" s="1"/>
      <c r="ZL100" s="1"/>
      <c r="ZM100" s="1"/>
      <c r="ZN100" s="1"/>
      <c r="ZO100" s="1"/>
      <c r="ZP100" s="1"/>
      <c r="ZQ100" s="1"/>
      <c r="ZR100" s="1"/>
      <c r="ZS100" s="1"/>
      <c r="ZT100" s="1"/>
      <c r="ZU100" s="1"/>
      <c r="ZV100" s="1"/>
      <c r="ZW100" s="1"/>
      <c r="ZX100" s="1"/>
      <c r="ZY100" s="1"/>
      <c r="ZZ100" s="1"/>
      <c r="AAA100" s="1"/>
      <c r="AAB100" s="1"/>
      <c r="AAC100" s="1"/>
      <c r="AAD100" s="1"/>
      <c r="AAE100" s="1"/>
      <c r="AAF100" s="1"/>
      <c r="AAG100" s="1"/>
      <c r="AAH100" s="1"/>
      <c r="AAI100" s="1"/>
      <c r="AAJ100" s="1"/>
      <c r="AAK100" s="1"/>
      <c r="AAL100" s="1"/>
      <c r="AAM100" s="1"/>
      <c r="AAN100" s="1"/>
      <c r="AAO100" s="1"/>
      <c r="AAP100" s="1"/>
      <c r="AAQ100" s="1"/>
      <c r="AAR100" s="1"/>
      <c r="AAS100" s="1"/>
      <c r="AAT100" s="1"/>
      <c r="AAU100" s="1"/>
      <c r="AAV100" s="1"/>
      <c r="AAW100" s="1"/>
      <c r="AAX100" s="1"/>
      <c r="AAY100" s="1"/>
      <c r="AAZ100" s="1"/>
      <c r="ABA100" s="1"/>
      <c r="ABB100" s="1"/>
      <c r="ABC100" s="1"/>
      <c r="ABD100" s="1"/>
      <c r="ABE100" s="1"/>
      <c r="ABF100" s="1"/>
      <c r="ABG100" s="1"/>
      <c r="ABH100" s="1"/>
      <c r="ABI100" s="1"/>
      <c r="ABJ100" s="1"/>
      <c r="ABK100" s="1"/>
      <c r="ABL100" s="1"/>
      <c r="ABM100" s="1"/>
      <c r="ABN100" s="1"/>
      <c r="ABO100" s="1"/>
      <c r="ABP100" s="1"/>
      <c r="ABQ100" s="1"/>
      <c r="ABR100" s="1"/>
      <c r="ABS100" s="1"/>
      <c r="ABT100" s="1"/>
      <c r="ABU100" s="1"/>
      <c r="ABV100" s="1"/>
      <c r="ABW100" s="1"/>
      <c r="ABX100" s="1"/>
      <c r="ABY100" s="1"/>
      <c r="ABZ100" s="1"/>
      <c r="ACA100" s="1"/>
      <c r="ACB100" s="1"/>
      <c r="ACC100" s="1"/>
      <c r="ACD100" s="1"/>
      <c r="ACE100" s="1"/>
      <c r="ACF100" s="1"/>
      <c r="ACG100" s="1"/>
      <c r="ACH100" s="1"/>
      <c r="ACI100" s="1"/>
      <c r="ACJ100" s="1"/>
      <c r="ACK100" s="1"/>
      <c r="ACL100" s="1"/>
      <c r="ACM100" s="1"/>
      <c r="ACN100" s="1"/>
      <c r="ACO100" s="1"/>
      <c r="ACP100" s="1"/>
      <c r="ACQ100" s="1"/>
      <c r="ACR100" s="1"/>
      <c r="ACS100" s="1"/>
      <c r="ACT100" s="1"/>
      <c r="ACU100" s="1"/>
      <c r="ACV100" s="1"/>
      <c r="ACW100" s="1"/>
      <c r="ACX100" s="1"/>
      <c r="ACY100" s="1"/>
      <c r="ACZ100" s="1"/>
      <c r="ADA100" s="1"/>
      <c r="ADB100" s="1"/>
      <c r="ADC100" s="1"/>
      <c r="ADD100" s="1"/>
      <c r="ADE100" s="1"/>
      <c r="ADF100" s="1"/>
      <c r="ADG100" s="1"/>
      <c r="ADH100" s="1"/>
      <c r="ADI100" s="1"/>
      <c r="ADJ100" s="1"/>
      <c r="ADK100" s="1"/>
      <c r="ADL100" s="1"/>
      <c r="ADM100" s="1"/>
      <c r="ADN100" s="1"/>
      <c r="ADO100" s="1"/>
      <c r="ADP100" s="1"/>
      <c r="ADQ100" s="1"/>
      <c r="ADR100" s="1"/>
      <c r="ADS100" s="1"/>
      <c r="ADT100" s="1"/>
      <c r="ADU100" s="1"/>
      <c r="ADV100" s="1"/>
      <c r="ADW100" s="1"/>
      <c r="ADX100" s="1"/>
      <c r="ADY100" s="1"/>
      <c r="ADZ100" s="1"/>
      <c r="AEA100" s="1"/>
      <c r="AEB100" s="1"/>
      <c r="AEC100" s="1"/>
      <c r="AED100" s="1"/>
      <c r="AEE100" s="1"/>
      <c r="AEF100" s="1"/>
      <c r="AEG100" s="1"/>
      <c r="AEH100" s="1"/>
      <c r="AEI100" s="1"/>
      <c r="AEJ100" s="1"/>
      <c r="AEK100" s="1"/>
      <c r="AEL100" s="1"/>
      <c r="AEM100" s="1"/>
      <c r="AEN100" s="1"/>
      <c r="AEO100" s="1"/>
      <c r="AEP100" s="1"/>
      <c r="AEQ100" s="1"/>
      <c r="AER100" s="1"/>
      <c r="AES100" s="1"/>
      <c r="AET100" s="1"/>
      <c r="AEU100" s="1"/>
      <c r="AEV100" s="1"/>
      <c r="AEW100" s="1"/>
      <c r="AEX100" s="1"/>
      <c r="AEY100" s="1"/>
      <c r="AEZ100" s="1"/>
      <c r="AFA100" s="1"/>
      <c r="AFB100" s="1"/>
      <c r="AFC100" s="1"/>
      <c r="AFD100" s="1"/>
      <c r="AFE100" s="1"/>
      <c r="AFF100" s="1"/>
      <c r="AFG100" s="1"/>
      <c r="AFH100" s="1"/>
      <c r="AFI100" s="1"/>
      <c r="AFJ100" s="1"/>
      <c r="AFK100" s="1"/>
      <c r="AFL100" s="1"/>
      <c r="AFM100" s="1"/>
      <c r="AFN100" s="1"/>
      <c r="AFO100" s="1"/>
      <c r="AFP100" s="1"/>
      <c r="AFQ100" s="1"/>
      <c r="AFR100" s="1"/>
      <c r="AFS100" s="1"/>
      <c r="AFT100" s="1"/>
      <c r="AFU100" s="1"/>
      <c r="AFV100" s="1"/>
      <c r="AFW100" s="1"/>
      <c r="AFX100" s="1"/>
      <c r="AFY100" s="1"/>
      <c r="AFZ100" s="1"/>
      <c r="AGA100" s="1"/>
      <c r="AGB100" s="1"/>
      <c r="AGC100" s="1"/>
      <c r="AGD100" s="1"/>
      <c r="AGE100" s="1"/>
      <c r="AGF100" s="1"/>
      <c r="AGG100" s="1"/>
      <c r="AGH100" s="1"/>
      <c r="AGI100" s="1"/>
      <c r="AGJ100" s="1"/>
      <c r="AGK100" s="1"/>
      <c r="AGL100" s="1"/>
      <c r="AGM100" s="1"/>
      <c r="AGN100" s="1"/>
      <c r="AGO100" s="1"/>
      <c r="AGP100" s="1"/>
      <c r="AGQ100" s="1"/>
      <c r="AGR100" s="1"/>
      <c r="AGS100" s="1"/>
      <c r="AGT100" s="1"/>
      <c r="AGU100" s="1"/>
      <c r="AGV100" s="1"/>
      <c r="AGW100" s="1"/>
      <c r="AGX100" s="1"/>
      <c r="AGY100" s="1"/>
      <c r="AGZ100" s="1"/>
      <c r="AHA100" s="1"/>
      <c r="AHB100" s="1"/>
      <c r="AHC100" s="1"/>
      <c r="AHD100" s="1"/>
      <c r="AHE100" s="1"/>
      <c r="AHF100" s="1"/>
      <c r="AHG100" s="1"/>
      <c r="AHH100" s="1"/>
      <c r="AHI100" s="1"/>
      <c r="AHJ100" s="1"/>
      <c r="AHK100" s="1"/>
      <c r="AHL100" s="1"/>
      <c r="AHM100" s="1"/>
      <c r="AHN100" s="1"/>
      <c r="AHO100" s="1"/>
      <c r="AHP100" s="1"/>
      <c r="AHQ100" s="1"/>
      <c r="AHR100" s="1"/>
      <c r="AHS100" s="1"/>
      <c r="AHT100" s="1"/>
      <c r="AHU100" s="1"/>
      <c r="AHV100" s="1"/>
      <c r="AHW100" s="1"/>
      <c r="AHX100" s="1"/>
      <c r="AHY100" s="1"/>
      <c r="AHZ100" s="1"/>
      <c r="AIA100" s="1"/>
      <c r="AIB100" s="1"/>
      <c r="AIC100" s="1"/>
      <c r="AID100" s="1"/>
      <c r="AIE100" s="1"/>
      <c r="AIF100" s="1"/>
      <c r="AIG100" s="1"/>
      <c r="AIH100" s="1"/>
      <c r="AII100" s="1"/>
      <c r="AIJ100" s="1"/>
      <c r="AIK100" s="1"/>
      <c r="AIL100" s="1"/>
      <c r="AIM100" s="1"/>
      <c r="AIN100" s="1"/>
      <c r="AIO100" s="1"/>
      <c r="AIP100" s="1"/>
      <c r="AIQ100" s="1"/>
      <c r="AIR100" s="1"/>
      <c r="AIS100" s="1"/>
      <c r="AIT100" s="1"/>
      <c r="AIU100" s="1"/>
      <c r="AIV100" s="1"/>
      <c r="AIW100" s="1"/>
      <c r="AIX100" s="1"/>
      <c r="AIY100" s="1"/>
      <c r="AIZ100" s="1"/>
      <c r="AJA100" s="1"/>
      <c r="AJB100" s="1"/>
      <c r="AJC100" s="1"/>
      <c r="AJD100" s="1"/>
      <c r="AJE100" s="1"/>
      <c r="AJF100" s="1"/>
      <c r="AJG100" s="1"/>
      <c r="AJH100" s="1"/>
      <c r="AJI100" s="1"/>
      <c r="AJJ100" s="1"/>
      <c r="AJK100" s="1"/>
      <c r="AJL100" s="1"/>
      <c r="AJM100" s="1"/>
      <c r="AJN100" s="1"/>
      <c r="AJO100" s="1"/>
      <c r="AJP100" s="1"/>
      <c r="AJQ100" s="1"/>
      <c r="AJR100" s="1"/>
      <c r="AJS100" s="1"/>
      <c r="AJT100" s="1"/>
      <c r="AJU100" s="1"/>
      <c r="AJV100" s="1"/>
      <c r="AJW100" s="1"/>
      <c r="AJX100" s="1"/>
      <c r="AJY100" s="1"/>
      <c r="AJZ100" s="1"/>
      <c r="AKA100" s="1"/>
      <c r="AKB100" s="1"/>
      <c r="AKC100" s="1"/>
      <c r="AKD100" s="1"/>
      <c r="AKE100" s="1"/>
      <c r="AKF100" s="1"/>
      <c r="AKG100" s="1"/>
      <c r="AKH100" s="1"/>
      <c r="AKI100" s="1"/>
      <c r="AKJ100" s="1"/>
      <c r="AKK100" s="1"/>
      <c r="AKL100" s="1"/>
      <c r="AKM100" s="1"/>
      <c r="AKN100" s="1"/>
      <c r="AKO100" s="1"/>
      <c r="AKP100" s="1"/>
      <c r="AKQ100" s="1"/>
      <c r="AKR100" s="1"/>
      <c r="AKS100" s="1"/>
      <c r="AKT100" s="1"/>
      <c r="AKU100" s="1"/>
      <c r="AKV100" s="1"/>
      <c r="AKW100" s="1"/>
      <c r="AKX100" s="1"/>
      <c r="AKY100" s="1"/>
      <c r="AKZ100" s="1"/>
      <c r="ALA100" s="1"/>
      <c r="ALB100" s="1"/>
      <c r="ALC100" s="1"/>
      <c r="ALD100" s="1"/>
      <c r="ALE100" s="1"/>
      <c r="ALF100" s="1"/>
      <c r="ALG100" s="1"/>
      <c r="ALH100" s="1"/>
      <c r="ALI100" s="1"/>
      <c r="ALJ100" s="1"/>
      <c r="ALK100" s="1"/>
      <c r="ALL100" s="1"/>
      <c r="ALM100" s="1"/>
      <c r="ALN100" s="1"/>
      <c r="ALO100" s="1"/>
      <c r="ALP100" s="1"/>
      <c r="ALQ100" s="1"/>
      <c r="ALR100" s="1"/>
      <c r="ALS100" s="1"/>
      <c r="ALT100" s="1"/>
      <c r="ALU100" s="1"/>
      <c r="ALV100" s="1"/>
      <c r="ALW100" s="1"/>
      <c r="ALX100" s="1"/>
      <c r="ALY100" s="1"/>
      <c r="ALZ100" s="1"/>
      <c r="AMA100" s="1"/>
      <c r="AMB100" s="1"/>
      <c r="AMC100" s="1"/>
      <c r="AMD100" s="1"/>
      <c r="AME100" s="1"/>
      <c r="AMF100" s="1"/>
      <c r="AMG100" s="1"/>
      <c r="AMH100" s="1"/>
      <c r="AMI100" s="1"/>
      <c r="AMJ100" s="1"/>
      <c r="AMK100" s="1"/>
      <c r="AML100" s="1"/>
      <c r="AMM100" s="1"/>
      <c r="AMN100" s="1"/>
    </row>
    <row r="101" spans="1:1028" x14ac:dyDescent="0.2">
      <c r="A101" s="3" t="str">
        <f t="shared" si="222"/>
        <v>cxcr4_human_3ODU</v>
      </c>
      <c r="B101" s="3" t="s">
        <v>1172</v>
      </c>
      <c r="C101" s="3" t="s">
        <v>63</v>
      </c>
      <c r="D101" s="3" t="str">
        <f>IFERROR(MID(VLOOKUP($B101,Seqs!$A:$B,2,0),E101,1),"")</f>
        <v>A</v>
      </c>
      <c r="E101" s="3">
        <v>34</v>
      </c>
      <c r="F101" s="3" t="str">
        <f>IFERROR(MID(VLOOKUP($B101,Seqs!$A:$B,2,0),G101,1),"")</f>
        <v>Q</v>
      </c>
      <c r="G101" s="3">
        <v>66</v>
      </c>
      <c r="H101" s="3" t="str">
        <f>IFERROR(MID(VLOOKUP($B101,Seqs!$A:$B,2,0),I101,1),"")</f>
        <v/>
      </c>
      <c r="I101" s="23" t="s">
        <v>23</v>
      </c>
      <c r="J101" s="3" t="str">
        <f>IFERROR(MID(VLOOKUP($B101,Seqs!$A:$B,2,0),K101,1),"")</f>
        <v/>
      </c>
      <c r="K101" s="23" t="s">
        <v>23</v>
      </c>
      <c r="L101" s="3" t="str">
        <f>IFERROR(MID(VLOOKUP($B101,Seqs!$A:$B,2,0),M101,1),"")</f>
        <v>S</v>
      </c>
      <c r="M101" s="3">
        <v>71</v>
      </c>
      <c r="N101" s="3" t="str">
        <f>IFERROR(MID(VLOOKUP($B101,Seqs!$A:$B,2,0),O101,1),"")</f>
        <v>A</v>
      </c>
      <c r="O101" s="3">
        <v>100</v>
      </c>
      <c r="P101" s="3" t="str">
        <f>IFERROR(MID(VLOOKUP($B101,Seqs!$A:$B,2,0),Q101,1),"")</f>
        <v>N</v>
      </c>
      <c r="Q101" s="3">
        <v>101</v>
      </c>
      <c r="R101" s="3" t="str">
        <f>IFERROR(MID(VLOOKUP($B101,Seqs!$A:$B,2,0),S101,1),"")</f>
        <v>F</v>
      </c>
      <c r="S101" s="3">
        <v>104</v>
      </c>
      <c r="T101" s="3" t="str">
        <f>IFERROR(MID(VLOOKUP($B101,Seqs!$A:$B,2,0),U101,1),"")</f>
        <v>G</v>
      </c>
      <c r="U101" s="3">
        <v>105</v>
      </c>
      <c r="V101" s="3" t="str">
        <f>IFERROR(MID(VLOOKUP($B101,Seqs!$A:$B,2,0),W101,1),"")</f>
        <v>H</v>
      </c>
      <c r="W101" s="3">
        <v>140</v>
      </c>
      <c r="X101" s="3" t="str">
        <f>IFERROR(MID(VLOOKUP($B101,Seqs!$A:$B,2,0),Y101,1),"")</f>
        <v/>
      </c>
      <c r="Y101" s="3" t="s">
        <v>23</v>
      </c>
      <c r="Z101" s="3" t="str">
        <f>IFERROR(MID(VLOOKUP($B101,Seqs!$A:$B,2,0),AA101,1),"")</f>
        <v/>
      </c>
      <c r="AA101" s="3" t="s">
        <v>23</v>
      </c>
      <c r="AB101" s="3" t="str">
        <f>IFERROR(MID(VLOOKUP($B101,Seqs!$A:$B,2,0),AC101,1),"")</f>
        <v>S</v>
      </c>
      <c r="AC101" s="9">
        <v>144</v>
      </c>
      <c r="AD101" s="3" t="str">
        <f>IFERROR(MID(VLOOKUP($B101,Seqs!$A:$B,2,0),AE101,1),"")</f>
        <v>A</v>
      </c>
      <c r="AE101" s="3">
        <v>175</v>
      </c>
      <c r="AF101" s="3" t="str">
        <f>IFERROR(MID(VLOOKUP($B101,Seqs!$A:$B,2,0),AG101,1),"")</f>
        <v>C</v>
      </c>
      <c r="AG101" s="3">
        <v>186</v>
      </c>
      <c r="AH101" s="3" t="str">
        <f>IFERROR(MID(VLOOKUP($B101,Seqs!$A:$B,2,0),AI101,1),"")</f>
        <v>R</v>
      </c>
      <c r="AI101" s="3">
        <v>188</v>
      </c>
      <c r="AJ101" s="3" t="str">
        <f>IFERROR(MID(VLOOKUP($B101,Seqs!$A:$B,2,0),AK101,1),"")</f>
        <v>D</v>
      </c>
      <c r="AK101" s="3">
        <v>193</v>
      </c>
      <c r="AL101" s="3" t="str">
        <f>IFERROR(MID(VLOOKUP($B101,Seqs!$A:$B,2,0),AM101,1),"")</f>
        <v>K</v>
      </c>
      <c r="AM101" s="3">
        <v>225</v>
      </c>
      <c r="AN101" s="3" t="str">
        <f>IFERROR(MID(VLOOKUP($B101,Seqs!$A:$B,2,0),AO101,1),"")</f>
        <v>G</v>
      </c>
      <c r="AO101" s="3">
        <v>231</v>
      </c>
      <c r="AP101" s="3" t="str">
        <f>IFERROR(MID(VLOOKUP($B101,Seqs!$A:$B,2,0),AQ101,1),"")</f>
        <v>E</v>
      </c>
      <c r="AQ101" s="3">
        <v>268</v>
      </c>
      <c r="AR101" s="3" t="str">
        <f>IFERROR(MID(VLOOKUP($B101,Seqs!$A:$B,2,0),AS101,1),"")</f>
        <v>G</v>
      </c>
      <c r="AS101" s="3">
        <v>273</v>
      </c>
      <c r="AT101" s="3" t="str">
        <f>IFERROR(MID(VLOOKUP($B101,Seqs!$A:$B,2,0),AU101,1),"")</f>
        <v>I</v>
      </c>
      <c r="AU101" s="3">
        <v>300</v>
      </c>
      <c r="AV101" s="3" t="str">
        <f>IFERROR(MID(VLOOKUP($B101,Seqs!$A:$B,2,0),AW101,1),"")</f>
        <v/>
      </c>
      <c r="AW101" s="3" t="s">
        <v>23</v>
      </c>
      <c r="AX101" s="3" t="str">
        <f>IFERROR(MID(VLOOKUP($B101,Seqs!$A:$B,2,0),AY101,1),"")</f>
        <v/>
      </c>
      <c r="AY101" s="3" t="s">
        <v>23</v>
      </c>
      <c r="AZ101" s="79" t="str">
        <f>VLOOKUP(B101,Classification!A:D,2,0)</f>
        <v>A</v>
      </c>
      <c r="BA101" s="97" t="str">
        <f>VLOOKUP(B101,Classification!A:D,4,0)</f>
        <v>Chemokine</v>
      </c>
      <c r="BB101" s="27" t="b">
        <f t="shared" si="223"/>
        <v>1</v>
      </c>
      <c r="BC101" s="23">
        <f t="shared" si="447"/>
        <v>240</v>
      </c>
      <c r="BD101" s="2" t="s">
        <v>1383</v>
      </c>
      <c r="BE101" s="3" t="s">
        <v>1381</v>
      </c>
      <c r="BF101" s="50" t="s">
        <v>1384</v>
      </c>
      <c r="BG101" s="50" t="s">
        <v>1384</v>
      </c>
      <c r="BH101" s="1"/>
      <c r="BI101" s="72" t="s">
        <v>1293</v>
      </c>
      <c r="BJ101" s="58" t="s">
        <v>1293</v>
      </c>
      <c r="BK101" s="58" t="s">
        <v>1293</v>
      </c>
      <c r="BL101" s="58" t="s">
        <v>1293</v>
      </c>
      <c r="BM101" s="58" t="s">
        <v>1293</v>
      </c>
      <c r="BN101" s="58" t="s">
        <v>1293</v>
      </c>
      <c r="BO101" s="58" t="s">
        <v>1293</v>
      </c>
      <c r="BP101" s="58" t="s">
        <v>1293</v>
      </c>
      <c r="BQ101" s="58" t="s">
        <v>1293</v>
      </c>
      <c r="BR101" s="58" t="s">
        <v>1293</v>
      </c>
      <c r="BS101" s="58" t="s">
        <v>1293</v>
      </c>
      <c r="BT101" s="58" t="s">
        <v>1293</v>
      </c>
      <c r="BU101" s="72">
        <f t="shared" si="448"/>
        <v>34</v>
      </c>
      <c r="BV101" s="73" t="str">
        <f t="shared" si="449"/>
        <v>-</v>
      </c>
      <c r="BW101" s="74">
        <f t="shared" si="450"/>
        <v>71</v>
      </c>
      <c r="BX101" s="73">
        <f t="shared" si="451"/>
        <v>101</v>
      </c>
      <c r="BY101" s="74">
        <f t="shared" si="452"/>
        <v>105</v>
      </c>
      <c r="BZ101" s="73" t="str">
        <f t="shared" si="453"/>
        <v>-</v>
      </c>
      <c r="CA101" s="74">
        <f t="shared" si="454"/>
        <v>144</v>
      </c>
      <c r="CB101" s="73">
        <f t="shared" si="455"/>
        <v>186</v>
      </c>
      <c r="CC101" s="74">
        <f t="shared" si="456"/>
        <v>193</v>
      </c>
      <c r="CD101" s="73">
        <f t="shared" si="457"/>
        <v>231</v>
      </c>
      <c r="CE101" s="74">
        <f t="shared" si="458"/>
        <v>273</v>
      </c>
      <c r="CF101" s="73" t="str">
        <f t="shared" si="459"/>
        <v>-</v>
      </c>
      <c r="CG101" s="72">
        <f t="shared" si="460"/>
        <v>66</v>
      </c>
      <c r="CH101" s="73" t="str">
        <f t="shared" si="461"/>
        <v>-</v>
      </c>
      <c r="CI101" s="74">
        <f t="shared" si="462"/>
        <v>100</v>
      </c>
      <c r="CJ101" s="74">
        <f t="shared" si="463"/>
        <v>104</v>
      </c>
      <c r="CK101" s="74">
        <f t="shared" si="464"/>
        <v>140</v>
      </c>
      <c r="CL101" s="74" t="str">
        <f t="shared" si="465"/>
        <v>-</v>
      </c>
      <c r="CM101" s="74">
        <f t="shared" si="466"/>
        <v>175</v>
      </c>
      <c r="CN101" s="74">
        <f t="shared" si="467"/>
        <v>188</v>
      </c>
      <c r="CO101" s="74">
        <f t="shared" si="468"/>
        <v>225</v>
      </c>
      <c r="CP101" s="74">
        <f t="shared" si="469"/>
        <v>268</v>
      </c>
      <c r="CQ101" s="74">
        <f t="shared" si="470"/>
        <v>300</v>
      </c>
      <c r="CR101" s="74" t="str">
        <f t="shared" si="471"/>
        <v>-</v>
      </c>
      <c r="CS101" s="23" t="e">
        <f t="shared" si="472"/>
        <v>#VALUE!</v>
      </c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  <c r="LI101" s="1"/>
      <c r="LJ101" s="1"/>
      <c r="LK101" s="1"/>
      <c r="LL101" s="1"/>
      <c r="LM101" s="1"/>
      <c r="LN101" s="1"/>
      <c r="LO101" s="1"/>
      <c r="LP101" s="1"/>
      <c r="LQ101" s="1"/>
      <c r="LR101" s="1"/>
      <c r="LS101" s="1"/>
      <c r="LT101" s="1"/>
      <c r="LU101" s="1"/>
      <c r="LV101" s="1"/>
      <c r="LW101" s="1"/>
      <c r="LX101" s="1"/>
      <c r="LY101" s="1"/>
      <c r="LZ101" s="1"/>
      <c r="MA101" s="1"/>
      <c r="MB101" s="1"/>
      <c r="MC101" s="1"/>
      <c r="MD101" s="1"/>
      <c r="ME101" s="1"/>
      <c r="MF101" s="1"/>
      <c r="MG101" s="1"/>
      <c r="MH101" s="1"/>
      <c r="MI101" s="1"/>
      <c r="MJ101" s="1"/>
      <c r="MK101" s="1"/>
      <c r="ML101" s="1"/>
      <c r="MM101" s="1"/>
      <c r="MN101" s="1"/>
      <c r="MO101" s="1"/>
      <c r="MP101" s="1"/>
      <c r="MQ101" s="1"/>
      <c r="MR101" s="1"/>
      <c r="MS101" s="1"/>
      <c r="MT101" s="1"/>
      <c r="MU101" s="1"/>
      <c r="MV101" s="1"/>
      <c r="MW101" s="1"/>
      <c r="MX101" s="1"/>
      <c r="MY101" s="1"/>
      <c r="MZ101" s="1"/>
      <c r="NA101" s="1"/>
      <c r="NB101" s="1"/>
      <c r="NC101" s="1"/>
      <c r="ND101" s="1"/>
      <c r="NE101" s="1"/>
      <c r="NF101" s="1"/>
      <c r="NG101" s="1"/>
      <c r="NH101" s="1"/>
      <c r="NI101" s="1"/>
      <c r="NJ101" s="1"/>
      <c r="NK101" s="1"/>
      <c r="NL101" s="1"/>
      <c r="NM101" s="1"/>
      <c r="NN101" s="1"/>
      <c r="NO101" s="1"/>
      <c r="NP101" s="1"/>
      <c r="NQ101" s="1"/>
      <c r="NR101" s="1"/>
      <c r="NS101" s="1"/>
      <c r="NT101" s="1"/>
      <c r="NU101" s="1"/>
      <c r="NV101" s="1"/>
      <c r="NW101" s="1"/>
      <c r="NX101" s="1"/>
      <c r="NY101" s="1"/>
      <c r="NZ101" s="1"/>
      <c r="OA101" s="1"/>
      <c r="OB101" s="1"/>
      <c r="OC101" s="1"/>
      <c r="OD101" s="1"/>
      <c r="OE101" s="1"/>
      <c r="OF101" s="1"/>
      <c r="OG101" s="1"/>
      <c r="OH101" s="1"/>
      <c r="OI101" s="1"/>
      <c r="OJ101" s="1"/>
      <c r="OK101" s="1"/>
      <c r="OL101" s="1"/>
      <c r="OM101" s="1"/>
      <c r="ON101" s="1"/>
      <c r="OO101" s="1"/>
      <c r="OP101" s="1"/>
      <c r="OQ101" s="1"/>
      <c r="OR101" s="1"/>
      <c r="OS101" s="1"/>
      <c r="OT101" s="1"/>
      <c r="OU101" s="1"/>
      <c r="OV101" s="1"/>
      <c r="OW101" s="1"/>
      <c r="OX101" s="1"/>
      <c r="OY101" s="1"/>
      <c r="OZ101" s="1"/>
      <c r="PA101" s="1"/>
      <c r="PB101" s="1"/>
      <c r="PC101" s="1"/>
      <c r="PD101" s="1"/>
      <c r="PE101" s="1"/>
      <c r="PF101" s="1"/>
      <c r="PG101" s="1"/>
      <c r="PH101" s="1"/>
      <c r="PI101" s="1"/>
      <c r="PJ101" s="1"/>
      <c r="PK101" s="1"/>
      <c r="PL101" s="1"/>
      <c r="PM101" s="1"/>
      <c r="PN101" s="1"/>
      <c r="PO101" s="1"/>
      <c r="PP101" s="1"/>
      <c r="PQ101" s="1"/>
      <c r="PR101" s="1"/>
      <c r="PS101" s="1"/>
      <c r="PT101" s="1"/>
      <c r="PU101" s="1"/>
      <c r="PV101" s="1"/>
      <c r="PW101" s="1"/>
      <c r="PX101" s="1"/>
      <c r="PY101" s="1"/>
      <c r="PZ101" s="1"/>
      <c r="QA101" s="1"/>
      <c r="QB101" s="1"/>
      <c r="QC101" s="1"/>
      <c r="QD101" s="1"/>
      <c r="QE101" s="1"/>
      <c r="QF101" s="1"/>
      <c r="QG101" s="1"/>
      <c r="QH101" s="1"/>
      <c r="QI101" s="1"/>
      <c r="QJ101" s="1"/>
      <c r="QK101" s="1"/>
      <c r="QL101" s="1"/>
      <c r="QM101" s="1"/>
      <c r="QN101" s="1"/>
      <c r="QO101" s="1"/>
      <c r="QP101" s="1"/>
      <c r="QQ101" s="1"/>
      <c r="QR101" s="1"/>
      <c r="QS101" s="1"/>
      <c r="QT101" s="1"/>
      <c r="QU101" s="1"/>
      <c r="QV101" s="1"/>
      <c r="QW101" s="1"/>
      <c r="QX101" s="1"/>
      <c r="QY101" s="1"/>
      <c r="QZ101" s="1"/>
      <c r="RA101" s="1"/>
      <c r="RB101" s="1"/>
      <c r="RC101" s="1"/>
      <c r="RD101" s="1"/>
      <c r="RE101" s="1"/>
      <c r="RF101" s="1"/>
      <c r="RG101" s="1"/>
      <c r="RH101" s="1"/>
      <c r="RI101" s="1"/>
      <c r="RJ101" s="1"/>
      <c r="RK101" s="1"/>
      <c r="RL101" s="1"/>
      <c r="RM101" s="1"/>
      <c r="RN101" s="1"/>
      <c r="RO101" s="1"/>
      <c r="RP101" s="1"/>
      <c r="RQ101" s="1"/>
      <c r="RR101" s="1"/>
      <c r="RS101" s="1"/>
      <c r="RT101" s="1"/>
      <c r="RU101" s="1"/>
      <c r="RV101" s="1"/>
      <c r="RW101" s="1"/>
      <c r="RX101" s="1"/>
      <c r="RY101" s="1"/>
      <c r="RZ101" s="1"/>
      <c r="SA101" s="1"/>
      <c r="SB101" s="1"/>
      <c r="SC101" s="1"/>
      <c r="SD101" s="1"/>
      <c r="SE101" s="1"/>
      <c r="SF101" s="1"/>
      <c r="SG101" s="1"/>
      <c r="SH101" s="1"/>
      <c r="SI101" s="1"/>
      <c r="SJ101" s="1"/>
      <c r="SK101" s="1"/>
      <c r="SL101" s="1"/>
      <c r="SM101" s="1"/>
      <c r="SN101" s="1"/>
      <c r="SO101" s="1"/>
      <c r="SP101" s="1"/>
      <c r="SQ101" s="1"/>
      <c r="SR101" s="1"/>
      <c r="SS101" s="1"/>
      <c r="ST101" s="1"/>
      <c r="SU101" s="1"/>
      <c r="SV101" s="1"/>
      <c r="SW101" s="1"/>
      <c r="SX101" s="1"/>
      <c r="SY101" s="1"/>
      <c r="SZ101" s="1"/>
      <c r="TA101" s="1"/>
      <c r="TB101" s="1"/>
      <c r="TC101" s="1"/>
      <c r="TD101" s="1"/>
      <c r="TE101" s="1"/>
      <c r="TF101" s="1"/>
      <c r="TG101" s="1"/>
      <c r="TH101" s="1"/>
      <c r="TI101" s="1"/>
      <c r="TJ101" s="1"/>
      <c r="TK101" s="1"/>
      <c r="TL101" s="1"/>
      <c r="TM101" s="1"/>
      <c r="TN101" s="1"/>
      <c r="TO101" s="1"/>
      <c r="TP101" s="1"/>
      <c r="TQ101" s="1"/>
      <c r="TR101" s="1"/>
      <c r="TS101" s="1"/>
      <c r="TT101" s="1"/>
      <c r="TU101" s="1"/>
      <c r="TV101" s="1"/>
      <c r="TW101" s="1"/>
      <c r="TX101" s="1"/>
      <c r="TY101" s="1"/>
      <c r="TZ101" s="1"/>
      <c r="UA101" s="1"/>
      <c r="UB101" s="1"/>
      <c r="UC101" s="1"/>
      <c r="UD101" s="1"/>
      <c r="UE101" s="1"/>
      <c r="UF101" s="1"/>
      <c r="UG101" s="1"/>
      <c r="UH101" s="1"/>
      <c r="UI101" s="1"/>
      <c r="UJ101" s="1"/>
      <c r="UK101" s="1"/>
      <c r="UL101" s="1"/>
      <c r="UM101" s="1"/>
      <c r="UN101" s="1"/>
      <c r="UO101" s="1"/>
      <c r="UP101" s="1"/>
      <c r="UQ101" s="1"/>
      <c r="UR101" s="1"/>
      <c r="US101" s="1"/>
      <c r="UT101" s="1"/>
      <c r="UU101" s="1"/>
      <c r="UV101" s="1"/>
      <c r="UW101" s="1"/>
      <c r="UX101" s="1"/>
      <c r="UY101" s="1"/>
      <c r="UZ101" s="1"/>
      <c r="VA101" s="1"/>
      <c r="VB101" s="1"/>
      <c r="VC101" s="1"/>
      <c r="VD101" s="1"/>
      <c r="VE101" s="1"/>
      <c r="VF101" s="1"/>
      <c r="VG101" s="1"/>
      <c r="VH101" s="1"/>
      <c r="VI101" s="1"/>
      <c r="VJ101" s="1"/>
      <c r="VK101" s="1"/>
      <c r="VL101" s="1"/>
      <c r="VM101" s="1"/>
      <c r="VN101" s="1"/>
      <c r="VO101" s="1"/>
      <c r="VP101" s="1"/>
      <c r="VQ101" s="1"/>
      <c r="VR101" s="1"/>
      <c r="VS101" s="1"/>
      <c r="VT101" s="1"/>
      <c r="VU101" s="1"/>
      <c r="VV101" s="1"/>
      <c r="VW101" s="1"/>
      <c r="VX101" s="1"/>
      <c r="VY101" s="1"/>
      <c r="VZ101" s="1"/>
      <c r="WA101" s="1"/>
      <c r="WB101" s="1"/>
      <c r="WC101" s="1"/>
      <c r="WD101" s="1"/>
      <c r="WE101" s="1"/>
      <c r="WF101" s="1"/>
      <c r="WG101" s="1"/>
      <c r="WH101" s="1"/>
      <c r="WI101" s="1"/>
      <c r="WJ101" s="1"/>
      <c r="WK101" s="1"/>
      <c r="WL101" s="1"/>
      <c r="WM101" s="1"/>
      <c r="WN101" s="1"/>
      <c r="WO101" s="1"/>
      <c r="WP101" s="1"/>
      <c r="WQ101" s="1"/>
      <c r="WR101" s="1"/>
      <c r="WS101" s="1"/>
      <c r="WT101" s="1"/>
      <c r="WU101" s="1"/>
      <c r="WV101" s="1"/>
      <c r="WW101" s="1"/>
      <c r="WX101" s="1"/>
      <c r="WY101" s="1"/>
      <c r="WZ101" s="1"/>
      <c r="XA101" s="1"/>
      <c r="XB101" s="1"/>
      <c r="XC101" s="1"/>
      <c r="XD101" s="1"/>
      <c r="XE101" s="1"/>
      <c r="XF101" s="1"/>
      <c r="XG101" s="1"/>
      <c r="XH101" s="1"/>
      <c r="XI101" s="1"/>
      <c r="XJ101" s="1"/>
      <c r="XK101" s="1"/>
      <c r="XL101" s="1"/>
      <c r="XM101" s="1"/>
      <c r="XN101" s="1"/>
      <c r="XO101" s="1"/>
      <c r="XP101" s="1"/>
      <c r="XQ101" s="1"/>
      <c r="XR101" s="1"/>
      <c r="XS101" s="1"/>
      <c r="XT101" s="1"/>
      <c r="XU101" s="1"/>
      <c r="XV101" s="1"/>
      <c r="XW101" s="1"/>
      <c r="XX101" s="1"/>
      <c r="XY101" s="1"/>
      <c r="XZ101" s="1"/>
      <c r="YA101" s="1"/>
      <c r="YB101" s="1"/>
      <c r="YC101" s="1"/>
      <c r="YD101" s="1"/>
      <c r="YE101" s="1"/>
      <c r="YF101" s="1"/>
      <c r="YG101" s="1"/>
      <c r="YH101" s="1"/>
      <c r="YI101" s="1"/>
      <c r="YJ101" s="1"/>
      <c r="YK101" s="1"/>
      <c r="YL101" s="1"/>
      <c r="YM101" s="1"/>
      <c r="YN101" s="1"/>
      <c r="YO101" s="1"/>
      <c r="YP101" s="1"/>
      <c r="YQ101" s="1"/>
      <c r="YR101" s="1"/>
      <c r="YS101" s="1"/>
      <c r="YT101" s="1"/>
      <c r="YU101" s="1"/>
      <c r="YV101" s="1"/>
      <c r="YW101" s="1"/>
      <c r="YX101" s="1"/>
      <c r="YY101" s="1"/>
      <c r="YZ101" s="1"/>
      <c r="ZA101" s="1"/>
      <c r="ZB101" s="1"/>
      <c r="ZC101" s="1"/>
      <c r="ZD101" s="1"/>
      <c r="ZE101" s="1"/>
      <c r="ZF101" s="1"/>
      <c r="ZG101" s="1"/>
      <c r="ZH101" s="1"/>
      <c r="ZI101" s="1"/>
      <c r="ZJ101" s="1"/>
      <c r="ZK101" s="1"/>
      <c r="ZL101" s="1"/>
      <c r="ZM101" s="1"/>
      <c r="ZN101" s="1"/>
      <c r="ZO101" s="1"/>
      <c r="ZP101" s="1"/>
      <c r="ZQ101" s="1"/>
      <c r="ZR101" s="1"/>
      <c r="ZS101" s="1"/>
      <c r="ZT101" s="1"/>
      <c r="ZU101" s="1"/>
      <c r="ZV101" s="1"/>
      <c r="ZW101" s="1"/>
      <c r="ZX101" s="1"/>
      <c r="ZY101" s="1"/>
      <c r="ZZ101" s="1"/>
      <c r="AAA101" s="1"/>
      <c r="AAB101" s="1"/>
      <c r="AAC101" s="1"/>
      <c r="AAD101" s="1"/>
      <c r="AAE101" s="1"/>
      <c r="AAF101" s="1"/>
      <c r="AAG101" s="1"/>
      <c r="AAH101" s="1"/>
      <c r="AAI101" s="1"/>
      <c r="AAJ101" s="1"/>
      <c r="AAK101" s="1"/>
      <c r="AAL101" s="1"/>
      <c r="AAM101" s="1"/>
      <c r="AAN101" s="1"/>
      <c r="AAO101" s="1"/>
      <c r="AAP101" s="1"/>
      <c r="AAQ101" s="1"/>
      <c r="AAR101" s="1"/>
      <c r="AAS101" s="1"/>
      <c r="AAT101" s="1"/>
      <c r="AAU101" s="1"/>
      <c r="AAV101" s="1"/>
      <c r="AAW101" s="1"/>
      <c r="AAX101" s="1"/>
      <c r="AAY101" s="1"/>
      <c r="AAZ101" s="1"/>
      <c r="ABA101" s="1"/>
      <c r="ABB101" s="1"/>
      <c r="ABC101" s="1"/>
      <c r="ABD101" s="1"/>
      <c r="ABE101" s="1"/>
      <c r="ABF101" s="1"/>
      <c r="ABG101" s="1"/>
      <c r="ABH101" s="1"/>
      <c r="ABI101" s="1"/>
      <c r="ABJ101" s="1"/>
      <c r="ABK101" s="1"/>
      <c r="ABL101" s="1"/>
      <c r="ABM101" s="1"/>
      <c r="ABN101" s="1"/>
      <c r="ABO101" s="1"/>
      <c r="ABP101" s="1"/>
      <c r="ABQ101" s="1"/>
      <c r="ABR101" s="1"/>
      <c r="ABS101" s="1"/>
      <c r="ABT101" s="1"/>
      <c r="ABU101" s="1"/>
      <c r="ABV101" s="1"/>
      <c r="ABW101" s="1"/>
      <c r="ABX101" s="1"/>
      <c r="ABY101" s="1"/>
      <c r="ABZ101" s="1"/>
      <c r="ACA101" s="1"/>
      <c r="ACB101" s="1"/>
      <c r="ACC101" s="1"/>
      <c r="ACD101" s="1"/>
      <c r="ACE101" s="1"/>
      <c r="ACF101" s="1"/>
      <c r="ACG101" s="1"/>
      <c r="ACH101" s="1"/>
      <c r="ACI101" s="1"/>
      <c r="ACJ101" s="1"/>
      <c r="ACK101" s="1"/>
      <c r="ACL101" s="1"/>
      <c r="ACM101" s="1"/>
      <c r="ACN101" s="1"/>
      <c r="ACO101" s="1"/>
      <c r="ACP101" s="1"/>
      <c r="ACQ101" s="1"/>
      <c r="ACR101" s="1"/>
      <c r="ACS101" s="1"/>
      <c r="ACT101" s="1"/>
      <c r="ACU101" s="1"/>
      <c r="ACV101" s="1"/>
      <c r="ACW101" s="1"/>
      <c r="ACX101" s="1"/>
      <c r="ACY101" s="1"/>
      <c r="ACZ101" s="1"/>
      <c r="ADA101" s="1"/>
      <c r="ADB101" s="1"/>
      <c r="ADC101" s="1"/>
      <c r="ADD101" s="1"/>
      <c r="ADE101" s="1"/>
      <c r="ADF101" s="1"/>
      <c r="ADG101" s="1"/>
      <c r="ADH101" s="1"/>
      <c r="ADI101" s="1"/>
      <c r="ADJ101" s="1"/>
      <c r="ADK101" s="1"/>
      <c r="ADL101" s="1"/>
      <c r="ADM101" s="1"/>
      <c r="ADN101" s="1"/>
      <c r="ADO101" s="1"/>
      <c r="ADP101" s="1"/>
      <c r="ADQ101" s="1"/>
      <c r="ADR101" s="1"/>
      <c r="ADS101" s="1"/>
      <c r="ADT101" s="1"/>
      <c r="ADU101" s="1"/>
      <c r="ADV101" s="1"/>
      <c r="ADW101" s="1"/>
      <c r="ADX101" s="1"/>
      <c r="ADY101" s="1"/>
      <c r="ADZ101" s="1"/>
      <c r="AEA101" s="1"/>
      <c r="AEB101" s="1"/>
      <c r="AEC101" s="1"/>
      <c r="AED101" s="1"/>
      <c r="AEE101" s="1"/>
      <c r="AEF101" s="1"/>
      <c r="AEG101" s="1"/>
      <c r="AEH101" s="1"/>
      <c r="AEI101" s="1"/>
      <c r="AEJ101" s="1"/>
      <c r="AEK101" s="1"/>
      <c r="AEL101" s="1"/>
      <c r="AEM101" s="1"/>
      <c r="AEN101" s="1"/>
      <c r="AEO101" s="1"/>
      <c r="AEP101" s="1"/>
      <c r="AEQ101" s="1"/>
      <c r="AER101" s="1"/>
      <c r="AES101" s="1"/>
      <c r="AET101" s="1"/>
      <c r="AEU101" s="1"/>
      <c r="AEV101" s="1"/>
      <c r="AEW101" s="1"/>
      <c r="AEX101" s="1"/>
      <c r="AEY101" s="1"/>
      <c r="AEZ101" s="1"/>
      <c r="AFA101" s="1"/>
      <c r="AFB101" s="1"/>
      <c r="AFC101" s="1"/>
      <c r="AFD101" s="1"/>
      <c r="AFE101" s="1"/>
      <c r="AFF101" s="1"/>
      <c r="AFG101" s="1"/>
      <c r="AFH101" s="1"/>
      <c r="AFI101" s="1"/>
      <c r="AFJ101" s="1"/>
      <c r="AFK101" s="1"/>
      <c r="AFL101" s="1"/>
      <c r="AFM101" s="1"/>
      <c r="AFN101" s="1"/>
      <c r="AFO101" s="1"/>
      <c r="AFP101" s="1"/>
      <c r="AFQ101" s="1"/>
      <c r="AFR101" s="1"/>
      <c r="AFS101" s="1"/>
      <c r="AFT101" s="1"/>
      <c r="AFU101" s="1"/>
      <c r="AFV101" s="1"/>
      <c r="AFW101" s="1"/>
      <c r="AFX101" s="1"/>
      <c r="AFY101" s="1"/>
      <c r="AFZ101" s="1"/>
      <c r="AGA101" s="1"/>
      <c r="AGB101" s="1"/>
      <c r="AGC101" s="1"/>
      <c r="AGD101" s="1"/>
      <c r="AGE101" s="1"/>
      <c r="AGF101" s="1"/>
      <c r="AGG101" s="1"/>
      <c r="AGH101" s="1"/>
      <c r="AGI101" s="1"/>
      <c r="AGJ101" s="1"/>
      <c r="AGK101" s="1"/>
      <c r="AGL101" s="1"/>
      <c r="AGM101" s="1"/>
      <c r="AGN101" s="1"/>
      <c r="AGO101" s="1"/>
      <c r="AGP101" s="1"/>
      <c r="AGQ101" s="1"/>
      <c r="AGR101" s="1"/>
      <c r="AGS101" s="1"/>
      <c r="AGT101" s="1"/>
      <c r="AGU101" s="1"/>
      <c r="AGV101" s="1"/>
      <c r="AGW101" s="1"/>
      <c r="AGX101" s="1"/>
      <c r="AGY101" s="1"/>
      <c r="AGZ101" s="1"/>
      <c r="AHA101" s="1"/>
      <c r="AHB101" s="1"/>
      <c r="AHC101" s="1"/>
      <c r="AHD101" s="1"/>
      <c r="AHE101" s="1"/>
      <c r="AHF101" s="1"/>
      <c r="AHG101" s="1"/>
      <c r="AHH101" s="1"/>
      <c r="AHI101" s="1"/>
      <c r="AHJ101" s="1"/>
      <c r="AHK101" s="1"/>
      <c r="AHL101" s="1"/>
      <c r="AHM101" s="1"/>
      <c r="AHN101" s="1"/>
      <c r="AHO101" s="1"/>
      <c r="AHP101" s="1"/>
      <c r="AHQ101" s="1"/>
      <c r="AHR101" s="1"/>
      <c r="AHS101" s="1"/>
      <c r="AHT101" s="1"/>
      <c r="AHU101" s="1"/>
      <c r="AHV101" s="1"/>
      <c r="AHW101" s="1"/>
      <c r="AHX101" s="1"/>
      <c r="AHY101" s="1"/>
      <c r="AHZ101" s="1"/>
      <c r="AIA101" s="1"/>
      <c r="AIB101" s="1"/>
      <c r="AIC101" s="1"/>
      <c r="AID101" s="1"/>
      <c r="AIE101" s="1"/>
      <c r="AIF101" s="1"/>
      <c r="AIG101" s="1"/>
      <c r="AIH101" s="1"/>
      <c r="AII101" s="1"/>
      <c r="AIJ101" s="1"/>
      <c r="AIK101" s="1"/>
      <c r="AIL101" s="1"/>
      <c r="AIM101" s="1"/>
      <c r="AIN101" s="1"/>
      <c r="AIO101" s="1"/>
      <c r="AIP101" s="1"/>
      <c r="AIQ101" s="1"/>
      <c r="AIR101" s="1"/>
      <c r="AIS101" s="1"/>
      <c r="AIT101" s="1"/>
      <c r="AIU101" s="1"/>
      <c r="AIV101" s="1"/>
      <c r="AIW101" s="1"/>
      <c r="AIX101" s="1"/>
      <c r="AIY101" s="1"/>
      <c r="AIZ101" s="1"/>
      <c r="AJA101" s="1"/>
      <c r="AJB101" s="1"/>
      <c r="AJC101" s="1"/>
      <c r="AJD101" s="1"/>
      <c r="AJE101" s="1"/>
      <c r="AJF101" s="1"/>
      <c r="AJG101" s="1"/>
      <c r="AJH101" s="1"/>
      <c r="AJI101" s="1"/>
      <c r="AJJ101" s="1"/>
      <c r="AJK101" s="1"/>
      <c r="AJL101" s="1"/>
      <c r="AJM101" s="1"/>
      <c r="AJN101" s="1"/>
      <c r="AJO101" s="1"/>
      <c r="AJP101" s="1"/>
      <c r="AJQ101" s="1"/>
      <c r="AJR101" s="1"/>
      <c r="AJS101" s="1"/>
      <c r="AJT101" s="1"/>
      <c r="AJU101" s="1"/>
      <c r="AJV101" s="1"/>
      <c r="AJW101" s="1"/>
      <c r="AJX101" s="1"/>
      <c r="AJY101" s="1"/>
      <c r="AJZ101" s="1"/>
      <c r="AKA101" s="1"/>
      <c r="AKB101" s="1"/>
      <c r="AKC101" s="1"/>
      <c r="AKD101" s="1"/>
      <c r="AKE101" s="1"/>
      <c r="AKF101" s="1"/>
      <c r="AKG101" s="1"/>
      <c r="AKH101" s="1"/>
      <c r="AKI101" s="1"/>
      <c r="AKJ101" s="1"/>
      <c r="AKK101" s="1"/>
      <c r="AKL101" s="1"/>
      <c r="AKM101" s="1"/>
      <c r="AKN101" s="1"/>
      <c r="AKO101" s="1"/>
      <c r="AKP101" s="1"/>
      <c r="AKQ101" s="1"/>
      <c r="AKR101" s="1"/>
      <c r="AKS101" s="1"/>
      <c r="AKT101" s="1"/>
      <c r="AKU101" s="1"/>
      <c r="AKV101" s="1"/>
      <c r="AKW101" s="1"/>
      <c r="AKX101" s="1"/>
      <c r="AKY101" s="1"/>
      <c r="AKZ101" s="1"/>
      <c r="ALA101" s="1"/>
      <c r="ALB101" s="1"/>
      <c r="ALC101" s="1"/>
      <c r="ALD101" s="1"/>
      <c r="ALE101" s="1"/>
      <c r="ALF101" s="1"/>
      <c r="ALG101" s="1"/>
      <c r="ALH101" s="1"/>
      <c r="ALI101" s="1"/>
      <c r="ALJ101" s="1"/>
      <c r="ALK101" s="1"/>
      <c r="ALL101" s="1"/>
      <c r="ALM101" s="1"/>
      <c r="ALN101" s="1"/>
      <c r="ALO101" s="1"/>
      <c r="ALP101" s="1"/>
      <c r="ALQ101" s="1"/>
      <c r="ALR101" s="1"/>
      <c r="ALS101" s="1"/>
      <c r="ALT101" s="1"/>
      <c r="ALU101" s="1"/>
      <c r="ALV101" s="1"/>
      <c r="ALW101" s="1"/>
      <c r="ALX101" s="1"/>
      <c r="ALY101" s="1"/>
      <c r="ALZ101" s="1"/>
      <c r="AMA101" s="1"/>
      <c r="AMB101" s="1"/>
      <c r="AMC101" s="1"/>
      <c r="AMD101" s="1"/>
      <c r="AME101" s="1"/>
      <c r="AMF101" s="1"/>
      <c r="AMG101" s="1"/>
      <c r="AMH101" s="1"/>
      <c r="AMI101" s="1"/>
      <c r="AMJ101" s="1"/>
      <c r="AMK101" s="1"/>
      <c r="AML101" s="1"/>
      <c r="AMM101" s="1"/>
      <c r="AMN101" s="1"/>
    </row>
    <row r="102" spans="1:1028" x14ac:dyDescent="0.2">
      <c r="A102" s="3" t="str">
        <f t="shared" si="222"/>
        <v>cxcr4_human_3OE0</v>
      </c>
      <c r="B102" s="3" t="s">
        <v>1172</v>
      </c>
      <c r="C102" s="3" t="s">
        <v>1032</v>
      </c>
      <c r="D102" s="3" t="str">
        <f>IFERROR(MID(VLOOKUP($B102,Seqs!$A:$B,2,0),E102,1),"")</f>
        <v>A</v>
      </c>
      <c r="E102" s="3">
        <v>34</v>
      </c>
      <c r="F102" s="3" t="str">
        <f>IFERROR(MID(VLOOKUP($B102,Seqs!$A:$B,2,0),G102,1),"")</f>
        <v>Q</v>
      </c>
      <c r="G102" s="3">
        <v>66</v>
      </c>
      <c r="H102" s="3" t="str">
        <f>IFERROR(MID(VLOOKUP($B102,Seqs!$A:$B,2,0),I102,1),"")</f>
        <v/>
      </c>
      <c r="I102" s="23" t="s">
        <v>23</v>
      </c>
      <c r="J102" s="3" t="str">
        <f>IFERROR(MID(VLOOKUP($B102,Seqs!$A:$B,2,0),K102,1),"")</f>
        <v/>
      </c>
      <c r="K102" s="23" t="s">
        <v>23</v>
      </c>
      <c r="L102" s="3" t="str">
        <f>IFERROR(MID(VLOOKUP($B102,Seqs!$A:$B,2,0),M102,1),"")</f>
        <v>S</v>
      </c>
      <c r="M102" s="3">
        <v>71</v>
      </c>
      <c r="N102" s="3" t="str">
        <f>IFERROR(MID(VLOOKUP($B102,Seqs!$A:$B,2,0),O102,1),"")</f>
        <v>A</v>
      </c>
      <c r="O102" s="3">
        <v>100</v>
      </c>
      <c r="P102" s="3" t="str">
        <f>IFERROR(MID(VLOOKUP($B102,Seqs!$A:$B,2,0),Q102,1),"")</f>
        <v>N</v>
      </c>
      <c r="Q102" s="3">
        <v>101</v>
      </c>
      <c r="R102" s="3" t="str">
        <f>IFERROR(MID(VLOOKUP($B102,Seqs!$A:$B,2,0),S102,1),"")</f>
        <v>F</v>
      </c>
      <c r="S102" s="3">
        <v>104</v>
      </c>
      <c r="T102" s="3" t="str">
        <f>IFERROR(MID(VLOOKUP($B102,Seqs!$A:$B,2,0),U102,1),"")</f>
        <v>G</v>
      </c>
      <c r="U102" s="3">
        <v>105</v>
      </c>
      <c r="V102" s="3" t="str">
        <f>IFERROR(MID(VLOOKUP($B102,Seqs!$A:$B,2,0),W102,1),"")</f>
        <v>H</v>
      </c>
      <c r="W102" s="3">
        <v>140</v>
      </c>
      <c r="X102" s="3" t="str">
        <f>IFERROR(MID(VLOOKUP($B102,Seqs!$A:$B,2,0),Y102,1),"")</f>
        <v/>
      </c>
      <c r="Y102" s="3" t="s">
        <v>23</v>
      </c>
      <c r="Z102" s="3" t="str">
        <f>IFERROR(MID(VLOOKUP($B102,Seqs!$A:$B,2,0),AA102,1),"")</f>
        <v/>
      </c>
      <c r="AA102" s="3" t="s">
        <v>23</v>
      </c>
      <c r="AB102" s="3" t="str">
        <f>IFERROR(MID(VLOOKUP($B102,Seqs!$A:$B,2,0),AC102,1),"")</f>
        <v>S</v>
      </c>
      <c r="AC102" s="9">
        <v>144</v>
      </c>
      <c r="AD102" s="3" t="str">
        <f>IFERROR(MID(VLOOKUP($B102,Seqs!$A:$B,2,0),AE102,1),"")</f>
        <v>A</v>
      </c>
      <c r="AE102" s="3">
        <v>175</v>
      </c>
      <c r="AF102" s="3" t="str">
        <f>IFERROR(MID(VLOOKUP($B102,Seqs!$A:$B,2,0),AG102,1),"")</f>
        <v>C</v>
      </c>
      <c r="AG102" s="3">
        <v>186</v>
      </c>
      <c r="AH102" s="3" t="str">
        <f>IFERROR(MID(VLOOKUP($B102,Seqs!$A:$B,2,0),AI102,1),"")</f>
        <v>R</v>
      </c>
      <c r="AI102" s="3">
        <v>188</v>
      </c>
      <c r="AJ102" s="3" t="str">
        <f>IFERROR(MID(VLOOKUP($B102,Seqs!$A:$B,2,0),AK102,1),"")</f>
        <v>D</v>
      </c>
      <c r="AK102" s="3">
        <v>193</v>
      </c>
      <c r="AL102" s="3" t="str">
        <f>IFERROR(MID(VLOOKUP($B102,Seqs!$A:$B,2,0),AM102,1),"")</f>
        <v>H</v>
      </c>
      <c r="AM102" s="3">
        <v>228</v>
      </c>
      <c r="AN102" s="3" t="str">
        <f>IFERROR(MID(VLOOKUP($B102,Seqs!$A:$B,2,0),AO102,1),"")</f>
        <v>K</v>
      </c>
      <c r="AO102" s="3">
        <v>239</v>
      </c>
      <c r="AP102" s="3" t="str">
        <f>IFERROR(MID(VLOOKUP($B102,Seqs!$A:$B,2,0),AQ102,1),"")</f>
        <v>E</v>
      </c>
      <c r="AQ102" s="3">
        <v>268</v>
      </c>
      <c r="AR102" s="3" t="str">
        <f>IFERROR(MID(VLOOKUP($B102,Seqs!$A:$B,2,0),AS102,1),"")</f>
        <v>G</v>
      </c>
      <c r="AS102" s="3">
        <v>273</v>
      </c>
      <c r="AT102" s="3" t="str">
        <f>IFERROR(MID(VLOOKUP($B102,Seqs!$A:$B,2,0),AU102,1),"")</f>
        <v>I</v>
      </c>
      <c r="AU102" s="3">
        <v>300</v>
      </c>
      <c r="AV102" s="3" t="str">
        <f>IFERROR(MID(VLOOKUP($B102,Seqs!$A:$B,2,0),AW102,1),"")</f>
        <v/>
      </c>
      <c r="AW102" s="3" t="s">
        <v>23</v>
      </c>
      <c r="AX102" s="3" t="str">
        <f>IFERROR(MID(VLOOKUP($B102,Seqs!$A:$B,2,0),AY102,1),"")</f>
        <v/>
      </c>
      <c r="AY102" s="3" t="s">
        <v>23</v>
      </c>
      <c r="AZ102" s="79" t="str">
        <f>VLOOKUP(B102,Classification!A:D,2,0)</f>
        <v>A</v>
      </c>
      <c r="BA102" s="97" t="str">
        <f>VLOOKUP(B102,Classification!A:D,4,0)</f>
        <v>Chemokine</v>
      </c>
      <c r="BB102" s="27" t="b">
        <f t="shared" si="223"/>
        <v>1</v>
      </c>
      <c r="BC102" s="23">
        <f t="shared" si="447"/>
        <v>235</v>
      </c>
      <c r="BD102" s="4" t="s">
        <v>23</v>
      </c>
      <c r="BE102" s="3" t="s">
        <v>1381</v>
      </c>
      <c r="BF102" s="50" t="s">
        <v>1384</v>
      </c>
      <c r="BG102" s="50" t="s">
        <v>1384</v>
      </c>
      <c r="BH102" s="1"/>
      <c r="BI102" s="72" t="s">
        <v>1293</v>
      </c>
      <c r="BJ102" s="58" t="s">
        <v>1293</v>
      </c>
      <c r="BK102" s="58" t="s">
        <v>1293</v>
      </c>
      <c r="BL102" s="58" t="s">
        <v>1293</v>
      </c>
      <c r="BM102" s="58" t="s">
        <v>1293</v>
      </c>
      <c r="BN102" s="58" t="s">
        <v>1293</v>
      </c>
      <c r="BO102" s="58" t="s">
        <v>1293</v>
      </c>
      <c r="BP102" s="58" t="s">
        <v>1293</v>
      </c>
      <c r="BQ102" s="58" t="s">
        <v>1293</v>
      </c>
      <c r="BR102" s="58" t="s">
        <v>1293</v>
      </c>
      <c r="BS102" s="58" t="s">
        <v>1293</v>
      </c>
      <c r="BT102" s="58" t="s">
        <v>1293</v>
      </c>
      <c r="BU102" s="72">
        <f t="shared" si="448"/>
        <v>34</v>
      </c>
      <c r="BV102" s="73" t="str">
        <f t="shared" si="449"/>
        <v>-</v>
      </c>
      <c r="BW102" s="74">
        <f t="shared" si="450"/>
        <v>71</v>
      </c>
      <c r="BX102" s="73">
        <f t="shared" si="451"/>
        <v>101</v>
      </c>
      <c r="BY102" s="74">
        <f t="shared" si="452"/>
        <v>105</v>
      </c>
      <c r="BZ102" s="73" t="str">
        <f t="shared" si="453"/>
        <v>-</v>
      </c>
      <c r="CA102" s="74">
        <f t="shared" si="454"/>
        <v>144</v>
      </c>
      <c r="CB102" s="73">
        <f t="shared" si="455"/>
        <v>186</v>
      </c>
      <c r="CC102" s="74">
        <f t="shared" si="456"/>
        <v>193</v>
      </c>
      <c r="CD102" s="73">
        <f t="shared" si="457"/>
        <v>239</v>
      </c>
      <c r="CE102" s="74">
        <f t="shared" si="458"/>
        <v>273</v>
      </c>
      <c r="CF102" s="73" t="str">
        <f t="shared" si="459"/>
        <v>-</v>
      </c>
      <c r="CG102" s="72">
        <f t="shared" si="460"/>
        <v>66</v>
      </c>
      <c r="CH102" s="73" t="str">
        <f t="shared" si="461"/>
        <v>-</v>
      </c>
      <c r="CI102" s="74">
        <f t="shared" si="462"/>
        <v>100</v>
      </c>
      <c r="CJ102" s="74">
        <f t="shared" si="463"/>
        <v>104</v>
      </c>
      <c r="CK102" s="74">
        <f t="shared" si="464"/>
        <v>140</v>
      </c>
      <c r="CL102" s="74" t="str">
        <f t="shared" si="465"/>
        <v>-</v>
      </c>
      <c r="CM102" s="74">
        <f t="shared" si="466"/>
        <v>175</v>
      </c>
      <c r="CN102" s="74">
        <f t="shared" si="467"/>
        <v>188</v>
      </c>
      <c r="CO102" s="74">
        <f t="shared" si="468"/>
        <v>228</v>
      </c>
      <c r="CP102" s="74">
        <f t="shared" si="469"/>
        <v>268</v>
      </c>
      <c r="CQ102" s="74">
        <f t="shared" si="470"/>
        <v>300</v>
      </c>
      <c r="CR102" s="74" t="str">
        <f t="shared" si="471"/>
        <v>-</v>
      </c>
      <c r="CS102" s="23" t="e">
        <f t="shared" si="472"/>
        <v>#VALUE!</v>
      </c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  <c r="KT102" s="1"/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  <c r="LI102" s="1"/>
      <c r="LJ102" s="1"/>
      <c r="LK102" s="1"/>
      <c r="LL102" s="1"/>
      <c r="LM102" s="1"/>
      <c r="LN102" s="1"/>
      <c r="LO102" s="1"/>
      <c r="LP102" s="1"/>
      <c r="LQ102" s="1"/>
      <c r="LR102" s="1"/>
      <c r="LS102" s="1"/>
      <c r="LT102" s="1"/>
      <c r="LU102" s="1"/>
      <c r="LV102" s="1"/>
      <c r="LW102" s="1"/>
      <c r="LX102" s="1"/>
      <c r="LY102" s="1"/>
      <c r="LZ102" s="1"/>
      <c r="MA102" s="1"/>
      <c r="MB102" s="1"/>
      <c r="MC102" s="1"/>
      <c r="MD102" s="1"/>
      <c r="ME102" s="1"/>
      <c r="MF102" s="1"/>
      <c r="MG102" s="1"/>
      <c r="MH102" s="1"/>
      <c r="MI102" s="1"/>
      <c r="MJ102" s="1"/>
      <c r="MK102" s="1"/>
      <c r="ML102" s="1"/>
      <c r="MM102" s="1"/>
      <c r="MN102" s="1"/>
      <c r="MO102" s="1"/>
      <c r="MP102" s="1"/>
      <c r="MQ102" s="1"/>
      <c r="MR102" s="1"/>
      <c r="MS102" s="1"/>
      <c r="MT102" s="1"/>
      <c r="MU102" s="1"/>
      <c r="MV102" s="1"/>
      <c r="MW102" s="1"/>
      <c r="MX102" s="1"/>
      <c r="MY102" s="1"/>
      <c r="MZ102" s="1"/>
      <c r="NA102" s="1"/>
      <c r="NB102" s="1"/>
      <c r="NC102" s="1"/>
      <c r="ND102" s="1"/>
      <c r="NE102" s="1"/>
      <c r="NF102" s="1"/>
      <c r="NG102" s="1"/>
      <c r="NH102" s="1"/>
      <c r="NI102" s="1"/>
      <c r="NJ102" s="1"/>
      <c r="NK102" s="1"/>
      <c r="NL102" s="1"/>
      <c r="NM102" s="1"/>
      <c r="NN102" s="1"/>
      <c r="NO102" s="1"/>
      <c r="NP102" s="1"/>
      <c r="NQ102" s="1"/>
      <c r="NR102" s="1"/>
      <c r="NS102" s="1"/>
      <c r="NT102" s="1"/>
      <c r="NU102" s="1"/>
      <c r="NV102" s="1"/>
      <c r="NW102" s="1"/>
      <c r="NX102" s="1"/>
      <c r="NY102" s="1"/>
      <c r="NZ102" s="1"/>
      <c r="OA102" s="1"/>
      <c r="OB102" s="1"/>
      <c r="OC102" s="1"/>
      <c r="OD102" s="1"/>
      <c r="OE102" s="1"/>
      <c r="OF102" s="1"/>
      <c r="OG102" s="1"/>
      <c r="OH102" s="1"/>
      <c r="OI102" s="1"/>
      <c r="OJ102" s="1"/>
      <c r="OK102" s="1"/>
      <c r="OL102" s="1"/>
      <c r="OM102" s="1"/>
      <c r="ON102" s="1"/>
      <c r="OO102" s="1"/>
      <c r="OP102" s="1"/>
      <c r="OQ102" s="1"/>
      <c r="OR102" s="1"/>
      <c r="OS102" s="1"/>
      <c r="OT102" s="1"/>
      <c r="OU102" s="1"/>
      <c r="OV102" s="1"/>
      <c r="OW102" s="1"/>
      <c r="OX102" s="1"/>
      <c r="OY102" s="1"/>
      <c r="OZ102" s="1"/>
      <c r="PA102" s="1"/>
      <c r="PB102" s="1"/>
      <c r="PC102" s="1"/>
      <c r="PD102" s="1"/>
      <c r="PE102" s="1"/>
      <c r="PF102" s="1"/>
      <c r="PG102" s="1"/>
      <c r="PH102" s="1"/>
      <c r="PI102" s="1"/>
      <c r="PJ102" s="1"/>
      <c r="PK102" s="1"/>
      <c r="PL102" s="1"/>
      <c r="PM102" s="1"/>
      <c r="PN102" s="1"/>
      <c r="PO102" s="1"/>
      <c r="PP102" s="1"/>
      <c r="PQ102" s="1"/>
      <c r="PR102" s="1"/>
      <c r="PS102" s="1"/>
      <c r="PT102" s="1"/>
      <c r="PU102" s="1"/>
      <c r="PV102" s="1"/>
      <c r="PW102" s="1"/>
      <c r="PX102" s="1"/>
      <c r="PY102" s="1"/>
      <c r="PZ102" s="1"/>
      <c r="QA102" s="1"/>
      <c r="QB102" s="1"/>
      <c r="QC102" s="1"/>
      <c r="QD102" s="1"/>
      <c r="QE102" s="1"/>
      <c r="QF102" s="1"/>
      <c r="QG102" s="1"/>
      <c r="QH102" s="1"/>
      <c r="QI102" s="1"/>
      <c r="QJ102" s="1"/>
      <c r="QK102" s="1"/>
      <c r="QL102" s="1"/>
      <c r="QM102" s="1"/>
      <c r="QN102" s="1"/>
      <c r="QO102" s="1"/>
      <c r="QP102" s="1"/>
      <c r="QQ102" s="1"/>
      <c r="QR102" s="1"/>
      <c r="QS102" s="1"/>
      <c r="QT102" s="1"/>
      <c r="QU102" s="1"/>
      <c r="QV102" s="1"/>
      <c r="QW102" s="1"/>
      <c r="QX102" s="1"/>
      <c r="QY102" s="1"/>
      <c r="QZ102" s="1"/>
      <c r="RA102" s="1"/>
      <c r="RB102" s="1"/>
      <c r="RC102" s="1"/>
      <c r="RD102" s="1"/>
      <c r="RE102" s="1"/>
      <c r="RF102" s="1"/>
      <c r="RG102" s="1"/>
      <c r="RH102" s="1"/>
      <c r="RI102" s="1"/>
      <c r="RJ102" s="1"/>
      <c r="RK102" s="1"/>
      <c r="RL102" s="1"/>
      <c r="RM102" s="1"/>
      <c r="RN102" s="1"/>
      <c r="RO102" s="1"/>
      <c r="RP102" s="1"/>
      <c r="RQ102" s="1"/>
      <c r="RR102" s="1"/>
      <c r="RS102" s="1"/>
      <c r="RT102" s="1"/>
      <c r="RU102" s="1"/>
      <c r="RV102" s="1"/>
      <c r="RW102" s="1"/>
      <c r="RX102" s="1"/>
      <c r="RY102" s="1"/>
      <c r="RZ102" s="1"/>
      <c r="SA102" s="1"/>
      <c r="SB102" s="1"/>
      <c r="SC102" s="1"/>
      <c r="SD102" s="1"/>
      <c r="SE102" s="1"/>
      <c r="SF102" s="1"/>
      <c r="SG102" s="1"/>
      <c r="SH102" s="1"/>
      <c r="SI102" s="1"/>
      <c r="SJ102" s="1"/>
      <c r="SK102" s="1"/>
      <c r="SL102" s="1"/>
      <c r="SM102" s="1"/>
      <c r="SN102" s="1"/>
      <c r="SO102" s="1"/>
      <c r="SP102" s="1"/>
      <c r="SQ102" s="1"/>
      <c r="SR102" s="1"/>
      <c r="SS102" s="1"/>
      <c r="ST102" s="1"/>
      <c r="SU102" s="1"/>
      <c r="SV102" s="1"/>
      <c r="SW102" s="1"/>
      <c r="SX102" s="1"/>
      <c r="SY102" s="1"/>
      <c r="SZ102" s="1"/>
      <c r="TA102" s="1"/>
      <c r="TB102" s="1"/>
      <c r="TC102" s="1"/>
      <c r="TD102" s="1"/>
      <c r="TE102" s="1"/>
      <c r="TF102" s="1"/>
      <c r="TG102" s="1"/>
      <c r="TH102" s="1"/>
      <c r="TI102" s="1"/>
      <c r="TJ102" s="1"/>
      <c r="TK102" s="1"/>
      <c r="TL102" s="1"/>
      <c r="TM102" s="1"/>
      <c r="TN102" s="1"/>
      <c r="TO102" s="1"/>
      <c r="TP102" s="1"/>
      <c r="TQ102" s="1"/>
      <c r="TR102" s="1"/>
      <c r="TS102" s="1"/>
      <c r="TT102" s="1"/>
      <c r="TU102" s="1"/>
      <c r="TV102" s="1"/>
      <c r="TW102" s="1"/>
      <c r="TX102" s="1"/>
      <c r="TY102" s="1"/>
      <c r="TZ102" s="1"/>
      <c r="UA102" s="1"/>
      <c r="UB102" s="1"/>
      <c r="UC102" s="1"/>
      <c r="UD102" s="1"/>
      <c r="UE102" s="1"/>
      <c r="UF102" s="1"/>
      <c r="UG102" s="1"/>
      <c r="UH102" s="1"/>
      <c r="UI102" s="1"/>
      <c r="UJ102" s="1"/>
      <c r="UK102" s="1"/>
      <c r="UL102" s="1"/>
      <c r="UM102" s="1"/>
      <c r="UN102" s="1"/>
      <c r="UO102" s="1"/>
      <c r="UP102" s="1"/>
      <c r="UQ102" s="1"/>
      <c r="UR102" s="1"/>
      <c r="US102" s="1"/>
      <c r="UT102" s="1"/>
      <c r="UU102" s="1"/>
      <c r="UV102" s="1"/>
      <c r="UW102" s="1"/>
      <c r="UX102" s="1"/>
      <c r="UY102" s="1"/>
      <c r="UZ102" s="1"/>
      <c r="VA102" s="1"/>
      <c r="VB102" s="1"/>
      <c r="VC102" s="1"/>
      <c r="VD102" s="1"/>
      <c r="VE102" s="1"/>
      <c r="VF102" s="1"/>
      <c r="VG102" s="1"/>
      <c r="VH102" s="1"/>
      <c r="VI102" s="1"/>
      <c r="VJ102" s="1"/>
      <c r="VK102" s="1"/>
      <c r="VL102" s="1"/>
      <c r="VM102" s="1"/>
      <c r="VN102" s="1"/>
      <c r="VO102" s="1"/>
      <c r="VP102" s="1"/>
      <c r="VQ102" s="1"/>
      <c r="VR102" s="1"/>
      <c r="VS102" s="1"/>
      <c r="VT102" s="1"/>
      <c r="VU102" s="1"/>
      <c r="VV102" s="1"/>
      <c r="VW102" s="1"/>
      <c r="VX102" s="1"/>
      <c r="VY102" s="1"/>
      <c r="VZ102" s="1"/>
      <c r="WA102" s="1"/>
      <c r="WB102" s="1"/>
      <c r="WC102" s="1"/>
      <c r="WD102" s="1"/>
      <c r="WE102" s="1"/>
      <c r="WF102" s="1"/>
      <c r="WG102" s="1"/>
      <c r="WH102" s="1"/>
      <c r="WI102" s="1"/>
      <c r="WJ102" s="1"/>
      <c r="WK102" s="1"/>
      <c r="WL102" s="1"/>
      <c r="WM102" s="1"/>
      <c r="WN102" s="1"/>
      <c r="WO102" s="1"/>
      <c r="WP102" s="1"/>
      <c r="WQ102" s="1"/>
      <c r="WR102" s="1"/>
      <c r="WS102" s="1"/>
      <c r="WT102" s="1"/>
      <c r="WU102" s="1"/>
      <c r="WV102" s="1"/>
      <c r="WW102" s="1"/>
      <c r="WX102" s="1"/>
      <c r="WY102" s="1"/>
      <c r="WZ102" s="1"/>
      <c r="XA102" s="1"/>
      <c r="XB102" s="1"/>
      <c r="XC102" s="1"/>
      <c r="XD102" s="1"/>
      <c r="XE102" s="1"/>
      <c r="XF102" s="1"/>
      <c r="XG102" s="1"/>
      <c r="XH102" s="1"/>
      <c r="XI102" s="1"/>
      <c r="XJ102" s="1"/>
      <c r="XK102" s="1"/>
      <c r="XL102" s="1"/>
      <c r="XM102" s="1"/>
      <c r="XN102" s="1"/>
      <c r="XO102" s="1"/>
      <c r="XP102" s="1"/>
      <c r="XQ102" s="1"/>
      <c r="XR102" s="1"/>
      <c r="XS102" s="1"/>
      <c r="XT102" s="1"/>
      <c r="XU102" s="1"/>
      <c r="XV102" s="1"/>
      <c r="XW102" s="1"/>
      <c r="XX102" s="1"/>
      <c r="XY102" s="1"/>
      <c r="XZ102" s="1"/>
      <c r="YA102" s="1"/>
      <c r="YB102" s="1"/>
      <c r="YC102" s="1"/>
      <c r="YD102" s="1"/>
      <c r="YE102" s="1"/>
      <c r="YF102" s="1"/>
      <c r="YG102" s="1"/>
      <c r="YH102" s="1"/>
      <c r="YI102" s="1"/>
      <c r="YJ102" s="1"/>
      <c r="YK102" s="1"/>
      <c r="YL102" s="1"/>
      <c r="YM102" s="1"/>
      <c r="YN102" s="1"/>
      <c r="YO102" s="1"/>
      <c r="YP102" s="1"/>
      <c r="YQ102" s="1"/>
      <c r="YR102" s="1"/>
      <c r="YS102" s="1"/>
      <c r="YT102" s="1"/>
      <c r="YU102" s="1"/>
      <c r="YV102" s="1"/>
      <c r="YW102" s="1"/>
      <c r="YX102" s="1"/>
      <c r="YY102" s="1"/>
      <c r="YZ102" s="1"/>
      <c r="ZA102" s="1"/>
      <c r="ZB102" s="1"/>
      <c r="ZC102" s="1"/>
      <c r="ZD102" s="1"/>
      <c r="ZE102" s="1"/>
      <c r="ZF102" s="1"/>
      <c r="ZG102" s="1"/>
      <c r="ZH102" s="1"/>
      <c r="ZI102" s="1"/>
      <c r="ZJ102" s="1"/>
      <c r="ZK102" s="1"/>
      <c r="ZL102" s="1"/>
      <c r="ZM102" s="1"/>
      <c r="ZN102" s="1"/>
      <c r="ZO102" s="1"/>
      <c r="ZP102" s="1"/>
      <c r="ZQ102" s="1"/>
      <c r="ZR102" s="1"/>
      <c r="ZS102" s="1"/>
      <c r="ZT102" s="1"/>
      <c r="ZU102" s="1"/>
      <c r="ZV102" s="1"/>
      <c r="ZW102" s="1"/>
      <c r="ZX102" s="1"/>
      <c r="ZY102" s="1"/>
      <c r="ZZ102" s="1"/>
      <c r="AAA102" s="1"/>
      <c r="AAB102" s="1"/>
      <c r="AAC102" s="1"/>
      <c r="AAD102" s="1"/>
      <c r="AAE102" s="1"/>
      <c r="AAF102" s="1"/>
      <c r="AAG102" s="1"/>
      <c r="AAH102" s="1"/>
      <c r="AAI102" s="1"/>
      <c r="AAJ102" s="1"/>
      <c r="AAK102" s="1"/>
      <c r="AAL102" s="1"/>
      <c r="AAM102" s="1"/>
      <c r="AAN102" s="1"/>
      <c r="AAO102" s="1"/>
      <c r="AAP102" s="1"/>
      <c r="AAQ102" s="1"/>
      <c r="AAR102" s="1"/>
      <c r="AAS102" s="1"/>
      <c r="AAT102" s="1"/>
      <c r="AAU102" s="1"/>
      <c r="AAV102" s="1"/>
      <c r="AAW102" s="1"/>
      <c r="AAX102" s="1"/>
      <c r="AAY102" s="1"/>
      <c r="AAZ102" s="1"/>
      <c r="ABA102" s="1"/>
      <c r="ABB102" s="1"/>
      <c r="ABC102" s="1"/>
      <c r="ABD102" s="1"/>
      <c r="ABE102" s="1"/>
      <c r="ABF102" s="1"/>
      <c r="ABG102" s="1"/>
      <c r="ABH102" s="1"/>
      <c r="ABI102" s="1"/>
      <c r="ABJ102" s="1"/>
      <c r="ABK102" s="1"/>
      <c r="ABL102" s="1"/>
      <c r="ABM102" s="1"/>
      <c r="ABN102" s="1"/>
      <c r="ABO102" s="1"/>
      <c r="ABP102" s="1"/>
      <c r="ABQ102" s="1"/>
      <c r="ABR102" s="1"/>
      <c r="ABS102" s="1"/>
      <c r="ABT102" s="1"/>
      <c r="ABU102" s="1"/>
      <c r="ABV102" s="1"/>
      <c r="ABW102" s="1"/>
      <c r="ABX102" s="1"/>
      <c r="ABY102" s="1"/>
      <c r="ABZ102" s="1"/>
      <c r="ACA102" s="1"/>
      <c r="ACB102" s="1"/>
      <c r="ACC102" s="1"/>
      <c r="ACD102" s="1"/>
      <c r="ACE102" s="1"/>
      <c r="ACF102" s="1"/>
      <c r="ACG102" s="1"/>
      <c r="ACH102" s="1"/>
      <c r="ACI102" s="1"/>
      <c r="ACJ102" s="1"/>
      <c r="ACK102" s="1"/>
      <c r="ACL102" s="1"/>
      <c r="ACM102" s="1"/>
      <c r="ACN102" s="1"/>
      <c r="ACO102" s="1"/>
      <c r="ACP102" s="1"/>
      <c r="ACQ102" s="1"/>
      <c r="ACR102" s="1"/>
      <c r="ACS102" s="1"/>
      <c r="ACT102" s="1"/>
      <c r="ACU102" s="1"/>
      <c r="ACV102" s="1"/>
      <c r="ACW102" s="1"/>
      <c r="ACX102" s="1"/>
      <c r="ACY102" s="1"/>
      <c r="ACZ102" s="1"/>
      <c r="ADA102" s="1"/>
      <c r="ADB102" s="1"/>
      <c r="ADC102" s="1"/>
      <c r="ADD102" s="1"/>
      <c r="ADE102" s="1"/>
      <c r="ADF102" s="1"/>
      <c r="ADG102" s="1"/>
      <c r="ADH102" s="1"/>
      <c r="ADI102" s="1"/>
      <c r="ADJ102" s="1"/>
      <c r="ADK102" s="1"/>
      <c r="ADL102" s="1"/>
      <c r="ADM102" s="1"/>
      <c r="ADN102" s="1"/>
      <c r="ADO102" s="1"/>
      <c r="ADP102" s="1"/>
      <c r="ADQ102" s="1"/>
      <c r="ADR102" s="1"/>
      <c r="ADS102" s="1"/>
      <c r="ADT102" s="1"/>
      <c r="ADU102" s="1"/>
      <c r="ADV102" s="1"/>
      <c r="ADW102" s="1"/>
      <c r="ADX102" s="1"/>
      <c r="ADY102" s="1"/>
      <c r="ADZ102" s="1"/>
      <c r="AEA102" s="1"/>
      <c r="AEB102" s="1"/>
      <c r="AEC102" s="1"/>
      <c r="AED102" s="1"/>
      <c r="AEE102" s="1"/>
      <c r="AEF102" s="1"/>
      <c r="AEG102" s="1"/>
      <c r="AEH102" s="1"/>
      <c r="AEI102" s="1"/>
      <c r="AEJ102" s="1"/>
      <c r="AEK102" s="1"/>
      <c r="AEL102" s="1"/>
      <c r="AEM102" s="1"/>
      <c r="AEN102" s="1"/>
      <c r="AEO102" s="1"/>
      <c r="AEP102" s="1"/>
      <c r="AEQ102" s="1"/>
      <c r="AER102" s="1"/>
      <c r="AES102" s="1"/>
      <c r="AET102" s="1"/>
      <c r="AEU102" s="1"/>
      <c r="AEV102" s="1"/>
      <c r="AEW102" s="1"/>
      <c r="AEX102" s="1"/>
      <c r="AEY102" s="1"/>
      <c r="AEZ102" s="1"/>
      <c r="AFA102" s="1"/>
      <c r="AFB102" s="1"/>
      <c r="AFC102" s="1"/>
      <c r="AFD102" s="1"/>
      <c r="AFE102" s="1"/>
      <c r="AFF102" s="1"/>
      <c r="AFG102" s="1"/>
      <c r="AFH102" s="1"/>
      <c r="AFI102" s="1"/>
      <c r="AFJ102" s="1"/>
      <c r="AFK102" s="1"/>
      <c r="AFL102" s="1"/>
      <c r="AFM102" s="1"/>
      <c r="AFN102" s="1"/>
      <c r="AFO102" s="1"/>
      <c r="AFP102" s="1"/>
      <c r="AFQ102" s="1"/>
      <c r="AFR102" s="1"/>
      <c r="AFS102" s="1"/>
      <c r="AFT102" s="1"/>
      <c r="AFU102" s="1"/>
      <c r="AFV102" s="1"/>
      <c r="AFW102" s="1"/>
      <c r="AFX102" s="1"/>
      <c r="AFY102" s="1"/>
      <c r="AFZ102" s="1"/>
      <c r="AGA102" s="1"/>
      <c r="AGB102" s="1"/>
      <c r="AGC102" s="1"/>
      <c r="AGD102" s="1"/>
      <c r="AGE102" s="1"/>
      <c r="AGF102" s="1"/>
      <c r="AGG102" s="1"/>
      <c r="AGH102" s="1"/>
      <c r="AGI102" s="1"/>
      <c r="AGJ102" s="1"/>
      <c r="AGK102" s="1"/>
      <c r="AGL102" s="1"/>
      <c r="AGM102" s="1"/>
      <c r="AGN102" s="1"/>
      <c r="AGO102" s="1"/>
      <c r="AGP102" s="1"/>
      <c r="AGQ102" s="1"/>
      <c r="AGR102" s="1"/>
      <c r="AGS102" s="1"/>
      <c r="AGT102" s="1"/>
      <c r="AGU102" s="1"/>
      <c r="AGV102" s="1"/>
      <c r="AGW102" s="1"/>
      <c r="AGX102" s="1"/>
      <c r="AGY102" s="1"/>
      <c r="AGZ102" s="1"/>
      <c r="AHA102" s="1"/>
      <c r="AHB102" s="1"/>
      <c r="AHC102" s="1"/>
      <c r="AHD102" s="1"/>
      <c r="AHE102" s="1"/>
      <c r="AHF102" s="1"/>
      <c r="AHG102" s="1"/>
      <c r="AHH102" s="1"/>
      <c r="AHI102" s="1"/>
      <c r="AHJ102" s="1"/>
      <c r="AHK102" s="1"/>
      <c r="AHL102" s="1"/>
      <c r="AHM102" s="1"/>
      <c r="AHN102" s="1"/>
      <c r="AHO102" s="1"/>
      <c r="AHP102" s="1"/>
      <c r="AHQ102" s="1"/>
      <c r="AHR102" s="1"/>
      <c r="AHS102" s="1"/>
      <c r="AHT102" s="1"/>
      <c r="AHU102" s="1"/>
      <c r="AHV102" s="1"/>
      <c r="AHW102" s="1"/>
      <c r="AHX102" s="1"/>
      <c r="AHY102" s="1"/>
      <c r="AHZ102" s="1"/>
      <c r="AIA102" s="1"/>
      <c r="AIB102" s="1"/>
      <c r="AIC102" s="1"/>
      <c r="AID102" s="1"/>
      <c r="AIE102" s="1"/>
      <c r="AIF102" s="1"/>
      <c r="AIG102" s="1"/>
      <c r="AIH102" s="1"/>
      <c r="AII102" s="1"/>
      <c r="AIJ102" s="1"/>
      <c r="AIK102" s="1"/>
      <c r="AIL102" s="1"/>
      <c r="AIM102" s="1"/>
      <c r="AIN102" s="1"/>
      <c r="AIO102" s="1"/>
      <c r="AIP102" s="1"/>
      <c r="AIQ102" s="1"/>
      <c r="AIR102" s="1"/>
      <c r="AIS102" s="1"/>
      <c r="AIT102" s="1"/>
      <c r="AIU102" s="1"/>
      <c r="AIV102" s="1"/>
      <c r="AIW102" s="1"/>
      <c r="AIX102" s="1"/>
      <c r="AIY102" s="1"/>
      <c r="AIZ102" s="1"/>
      <c r="AJA102" s="1"/>
      <c r="AJB102" s="1"/>
      <c r="AJC102" s="1"/>
      <c r="AJD102" s="1"/>
      <c r="AJE102" s="1"/>
      <c r="AJF102" s="1"/>
      <c r="AJG102" s="1"/>
      <c r="AJH102" s="1"/>
      <c r="AJI102" s="1"/>
      <c r="AJJ102" s="1"/>
      <c r="AJK102" s="1"/>
      <c r="AJL102" s="1"/>
      <c r="AJM102" s="1"/>
      <c r="AJN102" s="1"/>
      <c r="AJO102" s="1"/>
      <c r="AJP102" s="1"/>
      <c r="AJQ102" s="1"/>
      <c r="AJR102" s="1"/>
      <c r="AJS102" s="1"/>
      <c r="AJT102" s="1"/>
      <c r="AJU102" s="1"/>
      <c r="AJV102" s="1"/>
      <c r="AJW102" s="1"/>
      <c r="AJX102" s="1"/>
      <c r="AJY102" s="1"/>
      <c r="AJZ102" s="1"/>
      <c r="AKA102" s="1"/>
      <c r="AKB102" s="1"/>
      <c r="AKC102" s="1"/>
      <c r="AKD102" s="1"/>
      <c r="AKE102" s="1"/>
      <c r="AKF102" s="1"/>
      <c r="AKG102" s="1"/>
      <c r="AKH102" s="1"/>
      <c r="AKI102" s="1"/>
      <c r="AKJ102" s="1"/>
      <c r="AKK102" s="1"/>
      <c r="AKL102" s="1"/>
      <c r="AKM102" s="1"/>
      <c r="AKN102" s="1"/>
      <c r="AKO102" s="1"/>
      <c r="AKP102" s="1"/>
      <c r="AKQ102" s="1"/>
      <c r="AKR102" s="1"/>
      <c r="AKS102" s="1"/>
      <c r="AKT102" s="1"/>
      <c r="AKU102" s="1"/>
      <c r="AKV102" s="1"/>
      <c r="AKW102" s="1"/>
      <c r="AKX102" s="1"/>
      <c r="AKY102" s="1"/>
      <c r="AKZ102" s="1"/>
      <c r="ALA102" s="1"/>
      <c r="ALB102" s="1"/>
      <c r="ALC102" s="1"/>
      <c r="ALD102" s="1"/>
      <c r="ALE102" s="1"/>
      <c r="ALF102" s="1"/>
      <c r="ALG102" s="1"/>
      <c r="ALH102" s="1"/>
      <c r="ALI102" s="1"/>
      <c r="ALJ102" s="1"/>
      <c r="ALK102" s="1"/>
      <c r="ALL102" s="1"/>
      <c r="ALM102" s="1"/>
      <c r="ALN102" s="1"/>
      <c r="ALO102" s="1"/>
      <c r="ALP102" s="1"/>
      <c r="ALQ102" s="1"/>
      <c r="ALR102" s="1"/>
      <c r="ALS102" s="1"/>
      <c r="ALT102" s="1"/>
      <c r="ALU102" s="1"/>
      <c r="ALV102" s="1"/>
      <c r="ALW102" s="1"/>
      <c r="ALX102" s="1"/>
      <c r="ALY102" s="1"/>
      <c r="ALZ102" s="1"/>
      <c r="AMA102" s="1"/>
      <c r="AMB102" s="1"/>
      <c r="AMC102" s="1"/>
      <c r="AMD102" s="1"/>
      <c r="AME102" s="1"/>
      <c r="AMF102" s="1"/>
      <c r="AMG102" s="1"/>
      <c r="AMH102" s="1"/>
      <c r="AMI102" s="1"/>
      <c r="AMJ102" s="1"/>
      <c r="AMK102" s="1"/>
      <c r="AML102" s="1"/>
      <c r="AMM102" s="1"/>
      <c r="AMN102" s="1"/>
    </row>
    <row r="103" spans="1:1028" x14ac:dyDescent="0.2">
      <c r="A103" s="3" t="str">
        <f t="shared" si="222"/>
        <v>cxcr4_human_4RWS</v>
      </c>
      <c r="B103" s="3" t="s">
        <v>1172</v>
      </c>
      <c r="C103" s="3" t="s">
        <v>1053</v>
      </c>
      <c r="D103" s="3" t="str">
        <f>IFERROR(MID(VLOOKUP($B103,Seqs!$A:$B,2,0),E103,1),"")</f>
        <v>R</v>
      </c>
      <c r="E103" s="3">
        <v>30</v>
      </c>
      <c r="F103" s="3" t="str">
        <f>IFERROR(MID(VLOOKUP($B103,Seqs!$A:$B,2,0),G103,1),"")</f>
        <v>Q</v>
      </c>
      <c r="G103" s="3">
        <v>66</v>
      </c>
      <c r="H103" s="3" t="str">
        <f>IFERROR(MID(VLOOKUP($B103,Seqs!$A:$B,2,0),I103,1),"")</f>
        <v/>
      </c>
      <c r="I103" s="23" t="s">
        <v>23</v>
      </c>
      <c r="J103" s="3" t="str">
        <f>IFERROR(MID(VLOOKUP($B103,Seqs!$A:$B,2,0),K103,1),"")</f>
        <v/>
      </c>
      <c r="K103" s="23" t="s">
        <v>23</v>
      </c>
      <c r="L103" s="3" t="str">
        <f>IFERROR(MID(VLOOKUP($B103,Seqs!$A:$B,2,0),M103,1),"")</f>
        <v>S</v>
      </c>
      <c r="M103" s="3">
        <v>71</v>
      </c>
      <c r="N103" s="3" t="str">
        <f>IFERROR(MID(VLOOKUP($B103,Seqs!$A:$B,2,0),O103,1),"")</f>
        <v>A</v>
      </c>
      <c r="O103" s="3">
        <v>100</v>
      </c>
      <c r="P103" s="3" t="str">
        <f>IFERROR(MID(VLOOKUP($B103,Seqs!$A:$B,2,0),Q103,1),"")</f>
        <v>N</v>
      </c>
      <c r="Q103" s="3">
        <v>101</v>
      </c>
      <c r="R103" s="3" t="str">
        <f>IFERROR(MID(VLOOKUP($B103,Seqs!$A:$B,2,0),S103,1),"")</f>
        <v>F</v>
      </c>
      <c r="S103" s="3">
        <v>104</v>
      </c>
      <c r="T103" s="3" t="str">
        <f>IFERROR(MID(VLOOKUP($B103,Seqs!$A:$B,2,0),U103,1),"")</f>
        <v>G</v>
      </c>
      <c r="U103" s="3">
        <v>105</v>
      </c>
      <c r="V103" s="3" t="str">
        <f>IFERROR(MID(VLOOKUP($B103,Seqs!$A:$B,2,0),W103,1),"")</f>
        <v>H</v>
      </c>
      <c r="W103" s="3">
        <v>140</v>
      </c>
      <c r="X103" s="3" t="str">
        <f>IFERROR(MID(VLOOKUP($B103,Seqs!$A:$B,2,0),Y103,1),"")</f>
        <v/>
      </c>
      <c r="Y103" s="3" t="s">
        <v>23</v>
      </c>
      <c r="Z103" s="3" t="str">
        <f>IFERROR(MID(VLOOKUP($B103,Seqs!$A:$B,2,0),AA103,1),"")</f>
        <v/>
      </c>
      <c r="AA103" s="3" t="s">
        <v>23</v>
      </c>
      <c r="AB103" s="3" t="str">
        <f>IFERROR(MID(VLOOKUP($B103,Seqs!$A:$B,2,0),AC103,1),"")</f>
        <v>S</v>
      </c>
      <c r="AC103" s="9">
        <v>144</v>
      </c>
      <c r="AD103" s="3" t="str">
        <f>IFERROR(MID(VLOOKUP($B103,Seqs!$A:$B,2,0),AE103,1),"")</f>
        <v>A</v>
      </c>
      <c r="AE103" s="3">
        <v>175</v>
      </c>
      <c r="AF103" s="3" t="str">
        <f>IFERROR(MID(VLOOKUP($B103,Seqs!$A:$B,2,0),AG103,1),"")</f>
        <v>C</v>
      </c>
      <c r="AG103" s="3">
        <v>186</v>
      </c>
      <c r="AH103" s="3" t="str">
        <f>IFERROR(MID(VLOOKUP($B103,Seqs!$A:$B,2,0),AI103,1),"")</f>
        <v>R</v>
      </c>
      <c r="AI103" s="3">
        <v>188</v>
      </c>
      <c r="AJ103" s="3" t="str">
        <f>IFERROR(MID(VLOOKUP($B103,Seqs!$A:$B,2,0),AK103,1),"")</f>
        <v>D</v>
      </c>
      <c r="AK103" s="3">
        <v>193</v>
      </c>
      <c r="AL103" s="3" t="str">
        <f>IFERROR(MID(VLOOKUP($B103,Seqs!$A:$B,2,0),AM103,1),"")</f>
        <v>S</v>
      </c>
      <c r="AM103" s="3">
        <v>227</v>
      </c>
      <c r="AN103" s="3" t="str">
        <f>IFERROR(MID(VLOOKUP($B103,Seqs!$A:$B,2,0),AO103,1),"")</f>
        <v>K</v>
      </c>
      <c r="AO103" s="3">
        <v>239</v>
      </c>
      <c r="AP103" s="3" t="str">
        <f>IFERROR(MID(VLOOKUP($B103,Seqs!$A:$B,2,0),AQ103,1),"")</f>
        <v>E</v>
      </c>
      <c r="AQ103" s="3">
        <v>268</v>
      </c>
      <c r="AR103" s="3" t="str">
        <f>IFERROR(MID(VLOOKUP($B103,Seqs!$A:$B,2,0),AS103,1),"")</f>
        <v>G</v>
      </c>
      <c r="AS103" s="3">
        <v>273</v>
      </c>
      <c r="AT103" s="3" t="str">
        <f>IFERROR(MID(VLOOKUP($B103,Seqs!$A:$B,2,0),AU103,1),"")</f>
        <v>I</v>
      </c>
      <c r="AU103" s="3">
        <v>300</v>
      </c>
      <c r="AV103" s="3" t="str">
        <f>IFERROR(MID(VLOOKUP($B103,Seqs!$A:$B,2,0),AW103,1),"")</f>
        <v/>
      </c>
      <c r="AW103" s="3" t="s">
        <v>23</v>
      </c>
      <c r="AX103" s="3" t="str">
        <f>IFERROR(MID(VLOOKUP($B103,Seqs!$A:$B,2,0),AY103,1),"")</f>
        <v/>
      </c>
      <c r="AY103" s="3" t="s">
        <v>23</v>
      </c>
      <c r="AZ103" s="79" t="str">
        <f>VLOOKUP(B103,Classification!A:D,2,0)</f>
        <v>A</v>
      </c>
      <c r="BA103" s="97" t="str">
        <f>VLOOKUP(B103,Classification!A:D,4,0)</f>
        <v>Chemokine</v>
      </c>
      <c r="BB103" s="27" t="b">
        <f t="shared" si="223"/>
        <v>1</v>
      </c>
      <c r="BC103" s="23">
        <f t="shared" si="447"/>
        <v>238</v>
      </c>
      <c r="BD103" s="5" t="s">
        <v>23</v>
      </c>
      <c r="BE103" s="3" t="s">
        <v>1381</v>
      </c>
      <c r="BF103" s="50" t="s">
        <v>1384</v>
      </c>
      <c r="BG103" s="50" t="s">
        <v>1384</v>
      </c>
      <c r="BH103" s="1"/>
      <c r="BI103" s="72" t="s">
        <v>1293</v>
      </c>
      <c r="BJ103" s="58" t="s">
        <v>1293</v>
      </c>
      <c r="BK103" s="58" t="s">
        <v>1293</v>
      </c>
      <c r="BL103" s="58" t="s">
        <v>1293</v>
      </c>
      <c r="BM103" s="58" t="s">
        <v>1293</v>
      </c>
      <c r="BN103" s="58" t="s">
        <v>1293</v>
      </c>
      <c r="BO103" s="58" t="s">
        <v>1293</v>
      </c>
      <c r="BP103" s="58" t="s">
        <v>1293</v>
      </c>
      <c r="BQ103" s="58" t="s">
        <v>1293</v>
      </c>
      <c r="BR103" s="58" t="s">
        <v>1293</v>
      </c>
      <c r="BS103" s="58" t="s">
        <v>1293</v>
      </c>
      <c r="BT103" s="58" t="s">
        <v>1293</v>
      </c>
      <c r="BU103" s="72">
        <f t="shared" si="448"/>
        <v>30</v>
      </c>
      <c r="BV103" s="73" t="str">
        <f t="shared" si="449"/>
        <v>-</v>
      </c>
      <c r="BW103" s="74">
        <f t="shared" si="450"/>
        <v>71</v>
      </c>
      <c r="BX103" s="73">
        <f t="shared" si="451"/>
        <v>101</v>
      </c>
      <c r="BY103" s="74">
        <f t="shared" si="452"/>
        <v>105</v>
      </c>
      <c r="BZ103" s="73" t="str">
        <f t="shared" si="453"/>
        <v>-</v>
      </c>
      <c r="CA103" s="74">
        <f t="shared" si="454"/>
        <v>144</v>
      </c>
      <c r="CB103" s="73">
        <f t="shared" si="455"/>
        <v>186</v>
      </c>
      <c r="CC103" s="74">
        <f t="shared" si="456"/>
        <v>193</v>
      </c>
      <c r="CD103" s="73">
        <f t="shared" si="457"/>
        <v>239</v>
      </c>
      <c r="CE103" s="74">
        <f t="shared" si="458"/>
        <v>273</v>
      </c>
      <c r="CF103" s="73" t="str">
        <f t="shared" si="459"/>
        <v>-</v>
      </c>
      <c r="CG103" s="72">
        <f t="shared" si="460"/>
        <v>66</v>
      </c>
      <c r="CH103" s="73" t="str">
        <f t="shared" si="461"/>
        <v>-</v>
      </c>
      <c r="CI103" s="74">
        <f t="shared" si="462"/>
        <v>100</v>
      </c>
      <c r="CJ103" s="74">
        <f t="shared" si="463"/>
        <v>104</v>
      </c>
      <c r="CK103" s="74">
        <f t="shared" si="464"/>
        <v>140</v>
      </c>
      <c r="CL103" s="74" t="str">
        <f t="shared" si="465"/>
        <v>-</v>
      </c>
      <c r="CM103" s="74">
        <f t="shared" si="466"/>
        <v>175</v>
      </c>
      <c r="CN103" s="74">
        <f t="shared" si="467"/>
        <v>188</v>
      </c>
      <c r="CO103" s="74">
        <f t="shared" si="468"/>
        <v>227</v>
      </c>
      <c r="CP103" s="74">
        <f t="shared" si="469"/>
        <v>268</v>
      </c>
      <c r="CQ103" s="74">
        <f t="shared" si="470"/>
        <v>300</v>
      </c>
      <c r="CR103" s="74" t="str">
        <f t="shared" si="471"/>
        <v>-</v>
      </c>
      <c r="CS103" s="23" t="e">
        <f t="shared" si="472"/>
        <v>#VALUE!</v>
      </c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  <c r="LI103" s="1"/>
      <c r="LJ103" s="1"/>
      <c r="LK103" s="1"/>
      <c r="LL103" s="1"/>
      <c r="LM103" s="1"/>
      <c r="LN103" s="1"/>
      <c r="LO103" s="1"/>
      <c r="LP103" s="1"/>
      <c r="LQ103" s="1"/>
      <c r="LR103" s="1"/>
      <c r="LS103" s="1"/>
      <c r="LT103" s="1"/>
      <c r="LU103" s="1"/>
      <c r="LV103" s="1"/>
      <c r="LW103" s="1"/>
      <c r="LX103" s="1"/>
      <c r="LY103" s="1"/>
      <c r="LZ103" s="1"/>
      <c r="MA103" s="1"/>
      <c r="MB103" s="1"/>
      <c r="MC103" s="1"/>
      <c r="MD103" s="1"/>
      <c r="ME103" s="1"/>
      <c r="MF103" s="1"/>
      <c r="MG103" s="1"/>
      <c r="MH103" s="1"/>
      <c r="MI103" s="1"/>
      <c r="MJ103" s="1"/>
      <c r="MK103" s="1"/>
      <c r="ML103" s="1"/>
      <c r="MM103" s="1"/>
      <c r="MN103" s="1"/>
      <c r="MO103" s="1"/>
      <c r="MP103" s="1"/>
      <c r="MQ103" s="1"/>
      <c r="MR103" s="1"/>
      <c r="MS103" s="1"/>
      <c r="MT103" s="1"/>
      <c r="MU103" s="1"/>
      <c r="MV103" s="1"/>
      <c r="MW103" s="1"/>
      <c r="MX103" s="1"/>
      <c r="MY103" s="1"/>
      <c r="MZ103" s="1"/>
      <c r="NA103" s="1"/>
      <c r="NB103" s="1"/>
      <c r="NC103" s="1"/>
      <c r="ND103" s="1"/>
      <c r="NE103" s="1"/>
      <c r="NF103" s="1"/>
      <c r="NG103" s="1"/>
      <c r="NH103" s="1"/>
      <c r="NI103" s="1"/>
      <c r="NJ103" s="1"/>
      <c r="NK103" s="1"/>
      <c r="NL103" s="1"/>
      <c r="NM103" s="1"/>
      <c r="NN103" s="1"/>
      <c r="NO103" s="1"/>
      <c r="NP103" s="1"/>
      <c r="NQ103" s="1"/>
      <c r="NR103" s="1"/>
      <c r="NS103" s="1"/>
      <c r="NT103" s="1"/>
      <c r="NU103" s="1"/>
      <c r="NV103" s="1"/>
      <c r="NW103" s="1"/>
      <c r="NX103" s="1"/>
      <c r="NY103" s="1"/>
      <c r="NZ103" s="1"/>
      <c r="OA103" s="1"/>
      <c r="OB103" s="1"/>
      <c r="OC103" s="1"/>
      <c r="OD103" s="1"/>
      <c r="OE103" s="1"/>
      <c r="OF103" s="1"/>
      <c r="OG103" s="1"/>
      <c r="OH103" s="1"/>
      <c r="OI103" s="1"/>
      <c r="OJ103" s="1"/>
      <c r="OK103" s="1"/>
      <c r="OL103" s="1"/>
      <c r="OM103" s="1"/>
      <c r="ON103" s="1"/>
      <c r="OO103" s="1"/>
      <c r="OP103" s="1"/>
      <c r="OQ103" s="1"/>
      <c r="OR103" s="1"/>
      <c r="OS103" s="1"/>
      <c r="OT103" s="1"/>
      <c r="OU103" s="1"/>
      <c r="OV103" s="1"/>
      <c r="OW103" s="1"/>
      <c r="OX103" s="1"/>
      <c r="OY103" s="1"/>
      <c r="OZ103" s="1"/>
      <c r="PA103" s="1"/>
      <c r="PB103" s="1"/>
      <c r="PC103" s="1"/>
      <c r="PD103" s="1"/>
      <c r="PE103" s="1"/>
      <c r="PF103" s="1"/>
      <c r="PG103" s="1"/>
      <c r="PH103" s="1"/>
      <c r="PI103" s="1"/>
      <c r="PJ103" s="1"/>
      <c r="PK103" s="1"/>
      <c r="PL103" s="1"/>
      <c r="PM103" s="1"/>
      <c r="PN103" s="1"/>
      <c r="PO103" s="1"/>
      <c r="PP103" s="1"/>
      <c r="PQ103" s="1"/>
      <c r="PR103" s="1"/>
      <c r="PS103" s="1"/>
      <c r="PT103" s="1"/>
      <c r="PU103" s="1"/>
      <c r="PV103" s="1"/>
      <c r="PW103" s="1"/>
      <c r="PX103" s="1"/>
      <c r="PY103" s="1"/>
      <c r="PZ103" s="1"/>
      <c r="QA103" s="1"/>
      <c r="QB103" s="1"/>
      <c r="QC103" s="1"/>
      <c r="QD103" s="1"/>
      <c r="QE103" s="1"/>
      <c r="QF103" s="1"/>
      <c r="QG103" s="1"/>
      <c r="QH103" s="1"/>
      <c r="QI103" s="1"/>
      <c r="QJ103" s="1"/>
      <c r="QK103" s="1"/>
      <c r="QL103" s="1"/>
      <c r="QM103" s="1"/>
      <c r="QN103" s="1"/>
      <c r="QO103" s="1"/>
      <c r="QP103" s="1"/>
      <c r="QQ103" s="1"/>
      <c r="QR103" s="1"/>
      <c r="QS103" s="1"/>
      <c r="QT103" s="1"/>
      <c r="QU103" s="1"/>
      <c r="QV103" s="1"/>
      <c r="QW103" s="1"/>
      <c r="QX103" s="1"/>
      <c r="QY103" s="1"/>
      <c r="QZ103" s="1"/>
      <c r="RA103" s="1"/>
      <c r="RB103" s="1"/>
      <c r="RC103" s="1"/>
      <c r="RD103" s="1"/>
      <c r="RE103" s="1"/>
      <c r="RF103" s="1"/>
      <c r="RG103" s="1"/>
      <c r="RH103" s="1"/>
      <c r="RI103" s="1"/>
      <c r="RJ103" s="1"/>
      <c r="RK103" s="1"/>
      <c r="RL103" s="1"/>
      <c r="RM103" s="1"/>
      <c r="RN103" s="1"/>
      <c r="RO103" s="1"/>
      <c r="RP103" s="1"/>
      <c r="RQ103" s="1"/>
      <c r="RR103" s="1"/>
      <c r="RS103" s="1"/>
      <c r="RT103" s="1"/>
      <c r="RU103" s="1"/>
      <c r="RV103" s="1"/>
      <c r="RW103" s="1"/>
      <c r="RX103" s="1"/>
      <c r="RY103" s="1"/>
      <c r="RZ103" s="1"/>
      <c r="SA103" s="1"/>
      <c r="SB103" s="1"/>
      <c r="SC103" s="1"/>
      <c r="SD103" s="1"/>
      <c r="SE103" s="1"/>
      <c r="SF103" s="1"/>
      <c r="SG103" s="1"/>
      <c r="SH103" s="1"/>
      <c r="SI103" s="1"/>
      <c r="SJ103" s="1"/>
      <c r="SK103" s="1"/>
      <c r="SL103" s="1"/>
      <c r="SM103" s="1"/>
      <c r="SN103" s="1"/>
      <c r="SO103" s="1"/>
      <c r="SP103" s="1"/>
      <c r="SQ103" s="1"/>
      <c r="SR103" s="1"/>
      <c r="SS103" s="1"/>
      <c r="ST103" s="1"/>
      <c r="SU103" s="1"/>
      <c r="SV103" s="1"/>
      <c r="SW103" s="1"/>
      <c r="SX103" s="1"/>
      <c r="SY103" s="1"/>
      <c r="SZ103" s="1"/>
      <c r="TA103" s="1"/>
      <c r="TB103" s="1"/>
      <c r="TC103" s="1"/>
      <c r="TD103" s="1"/>
      <c r="TE103" s="1"/>
      <c r="TF103" s="1"/>
      <c r="TG103" s="1"/>
      <c r="TH103" s="1"/>
      <c r="TI103" s="1"/>
      <c r="TJ103" s="1"/>
      <c r="TK103" s="1"/>
      <c r="TL103" s="1"/>
      <c r="TM103" s="1"/>
      <c r="TN103" s="1"/>
      <c r="TO103" s="1"/>
      <c r="TP103" s="1"/>
      <c r="TQ103" s="1"/>
      <c r="TR103" s="1"/>
      <c r="TS103" s="1"/>
      <c r="TT103" s="1"/>
      <c r="TU103" s="1"/>
      <c r="TV103" s="1"/>
      <c r="TW103" s="1"/>
      <c r="TX103" s="1"/>
      <c r="TY103" s="1"/>
      <c r="TZ103" s="1"/>
      <c r="UA103" s="1"/>
      <c r="UB103" s="1"/>
      <c r="UC103" s="1"/>
      <c r="UD103" s="1"/>
      <c r="UE103" s="1"/>
      <c r="UF103" s="1"/>
      <c r="UG103" s="1"/>
      <c r="UH103" s="1"/>
      <c r="UI103" s="1"/>
      <c r="UJ103" s="1"/>
      <c r="UK103" s="1"/>
      <c r="UL103" s="1"/>
      <c r="UM103" s="1"/>
      <c r="UN103" s="1"/>
      <c r="UO103" s="1"/>
      <c r="UP103" s="1"/>
      <c r="UQ103" s="1"/>
      <c r="UR103" s="1"/>
      <c r="US103" s="1"/>
      <c r="UT103" s="1"/>
      <c r="UU103" s="1"/>
      <c r="UV103" s="1"/>
      <c r="UW103" s="1"/>
      <c r="UX103" s="1"/>
      <c r="UY103" s="1"/>
      <c r="UZ103" s="1"/>
      <c r="VA103" s="1"/>
      <c r="VB103" s="1"/>
      <c r="VC103" s="1"/>
      <c r="VD103" s="1"/>
      <c r="VE103" s="1"/>
      <c r="VF103" s="1"/>
      <c r="VG103" s="1"/>
      <c r="VH103" s="1"/>
      <c r="VI103" s="1"/>
      <c r="VJ103" s="1"/>
      <c r="VK103" s="1"/>
      <c r="VL103" s="1"/>
      <c r="VM103" s="1"/>
      <c r="VN103" s="1"/>
      <c r="VO103" s="1"/>
      <c r="VP103" s="1"/>
      <c r="VQ103" s="1"/>
      <c r="VR103" s="1"/>
      <c r="VS103" s="1"/>
      <c r="VT103" s="1"/>
      <c r="VU103" s="1"/>
      <c r="VV103" s="1"/>
      <c r="VW103" s="1"/>
      <c r="VX103" s="1"/>
      <c r="VY103" s="1"/>
      <c r="VZ103" s="1"/>
      <c r="WA103" s="1"/>
      <c r="WB103" s="1"/>
      <c r="WC103" s="1"/>
      <c r="WD103" s="1"/>
      <c r="WE103" s="1"/>
      <c r="WF103" s="1"/>
      <c r="WG103" s="1"/>
      <c r="WH103" s="1"/>
      <c r="WI103" s="1"/>
      <c r="WJ103" s="1"/>
      <c r="WK103" s="1"/>
      <c r="WL103" s="1"/>
      <c r="WM103" s="1"/>
      <c r="WN103" s="1"/>
      <c r="WO103" s="1"/>
      <c r="WP103" s="1"/>
      <c r="WQ103" s="1"/>
      <c r="WR103" s="1"/>
      <c r="WS103" s="1"/>
      <c r="WT103" s="1"/>
      <c r="WU103" s="1"/>
      <c r="WV103" s="1"/>
      <c r="WW103" s="1"/>
      <c r="WX103" s="1"/>
      <c r="WY103" s="1"/>
      <c r="WZ103" s="1"/>
      <c r="XA103" s="1"/>
      <c r="XB103" s="1"/>
      <c r="XC103" s="1"/>
      <c r="XD103" s="1"/>
      <c r="XE103" s="1"/>
      <c r="XF103" s="1"/>
      <c r="XG103" s="1"/>
      <c r="XH103" s="1"/>
      <c r="XI103" s="1"/>
      <c r="XJ103" s="1"/>
      <c r="XK103" s="1"/>
      <c r="XL103" s="1"/>
      <c r="XM103" s="1"/>
      <c r="XN103" s="1"/>
      <c r="XO103" s="1"/>
      <c r="XP103" s="1"/>
      <c r="XQ103" s="1"/>
      <c r="XR103" s="1"/>
      <c r="XS103" s="1"/>
      <c r="XT103" s="1"/>
      <c r="XU103" s="1"/>
      <c r="XV103" s="1"/>
      <c r="XW103" s="1"/>
      <c r="XX103" s="1"/>
      <c r="XY103" s="1"/>
      <c r="XZ103" s="1"/>
      <c r="YA103" s="1"/>
      <c r="YB103" s="1"/>
      <c r="YC103" s="1"/>
      <c r="YD103" s="1"/>
      <c r="YE103" s="1"/>
      <c r="YF103" s="1"/>
      <c r="YG103" s="1"/>
      <c r="YH103" s="1"/>
      <c r="YI103" s="1"/>
      <c r="YJ103" s="1"/>
      <c r="YK103" s="1"/>
      <c r="YL103" s="1"/>
      <c r="YM103" s="1"/>
      <c r="YN103" s="1"/>
      <c r="YO103" s="1"/>
      <c r="YP103" s="1"/>
      <c r="YQ103" s="1"/>
      <c r="YR103" s="1"/>
      <c r="YS103" s="1"/>
      <c r="YT103" s="1"/>
      <c r="YU103" s="1"/>
      <c r="YV103" s="1"/>
      <c r="YW103" s="1"/>
      <c r="YX103" s="1"/>
      <c r="YY103" s="1"/>
      <c r="YZ103" s="1"/>
      <c r="ZA103" s="1"/>
      <c r="ZB103" s="1"/>
      <c r="ZC103" s="1"/>
      <c r="ZD103" s="1"/>
      <c r="ZE103" s="1"/>
      <c r="ZF103" s="1"/>
      <c r="ZG103" s="1"/>
      <c r="ZH103" s="1"/>
      <c r="ZI103" s="1"/>
      <c r="ZJ103" s="1"/>
      <c r="ZK103" s="1"/>
      <c r="ZL103" s="1"/>
      <c r="ZM103" s="1"/>
      <c r="ZN103" s="1"/>
      <c r="ZO103" s="1"/>
      <c r="ZP103" s="1"/>
      <c r="ZQ103" s="1"/>
      <c r="ZR103" s="1"/>
      <c r="ZS103" s="1"/>
      <c r="ZT103" s="1"/>
      <c r="ZU103" s="1"/>
      <c r="ZV103" s="1"/>
      <c r="ZW103" s="1"/>
      <c r="ZX103" s="1"/>
      <c r="ZY103" s="1"/>
      <c r="ZZ103" s="1"/>
      <c r="AAA103" s="1"/>
      <c r="AAB103" s="1"/>
      <c r="AAC103" s="1"/>
      <c r="AAD103" s="1"/>
      <c r="AAE103" s="1"/>
      <c r="AAF103" s="1"/>
      <c r="AAG103" s="1"/>
      <c r="AAH103" s="1"/>
      <c r="AAI103" s="1"/>
      <c r="AAJ103" s="1"/>
      <c r="AAK103" s="1"/>
      <c r="AAL103" s="1"/>
      <c r="AAM103" s="1"/>
      <c r="AAN103" s="1"/>
      <c r="AAO103" s="1"/>
      <c r="AAP103" s="1"/>
      <c r="AAQ103" s="1"/>
      <c r="AAR103" s="1"/>
      <c r="AAS103" s="1"/>
      <c r="AAT103" s="1"/>
      <c r="AAU103" s="1"/>
      <c r="AAV103" s="1"/>
      <c r="AAW103" s="1"/>
      <c r="AAX103" s="1"/>
      <c r="AAY103" s="1"/>
      <c r="AAZ103" s="1"/>
      <c r="ABA103" s="1"/>
      <c r="ABB103" s="1"/>
      <c r="ABC103" s="1"/>
      <c r="ABD103" s="1"/>
      <c r="ABE103" s="1"/>
      <c r="ABF103" s="1"/>
      <c r="ABG103" s="1"/>
      <c r="ABH103" s="1"/>
      <c r="ABI103" s="1"/>
      <c r="ABJ103" s="1"/>
      <c r="ABK103" s="1"/>
      <c r="ABL103" s="1"/>
      <c r="ABM103" s="1"/>
      <c r="ABN103" s="1"/>
      <c r="ABO103" s="1"/>
      <c r="ABP103" s="1"/>
      <c r="ABQ103" s="1"/>
      <c r="ABR103" s="1"/>
      <c r="ABS103" s="1"/>
      <c r="ABT103" s="1"/>
      <c r="ABU103" s="1"/>
      <c r="ABV103" s="1"/>
      <c r="ABW103" s="1"/>
      <c r="ABX103" s="1"/>
      <c r="ABY103" s="1"/>
      <c r="ABZ103" s="1"/>
      <c r="ACA103" s="1"/>
      <c r="ACB103" s="1"/>
      <c r="ACC103" s="1"/>
      <c r="ACD103" s="1"/>
      <c r="ACE103" s="1"/>
      <c r="ACF103" s="1"/>
      <c r="ACG103" s="1"/>
      <c r="ACH103" s="1"/>
      <c r="ACI103" s="1"/>
      <c r="ACJ103" s="1"/>
      <c r="ACK103" s="1"/>
      <c r="ACL103" s="1"/>
      <c r="ACM103" s="1"/>
      <c r="ACN103" s="1"/>
      <c r="ACO103" s="1"/>
      <c r="ACP103" s="1"/>
      <c r="ACQ103" s="1"/>
      <c r="ACR103" s="1"/>
      <c r="ACS103" s="1"/>
      <c r="ACT103" s="1"/>
      <c r="ACU103" s="1"/>
      <c r="ACV103" s="1"/>
      <c r="ACW103" s="1"/>
      <c r="ACX103" s="1"/>
      <c r="ACY103" s="1"/>
      <c r="ACZ103" s="1"/>
      <c r="ADA103" s="1"/>
      <c r="ADB103" s="1"/>
      <c r="ADC103" s="1"/>
      <c r="ADD103" s="1"/>
      <c r="ADE103" s="1"/>
      <c r="ADF103" s="1"/>
      <c r="ADG103" s="1"/>
      <c r="ADH103" s="1"/>
      <c r="ADI103" s="1"/>
      <c r="ADJ103" s="1"/>
      <c r="ADK103" s="1"/>
      <c r="ADL103" s="1"/>
      <c r="ADM103" s="1"/>
      <c r="ADN103" s="1"/>
      <c r="ADO103" s="1"/>
      <c r="ADP103" s="1"/>
      <c r="ADQ103" s="1"/>
      <c r="ADR103" s="1"/>
      <c r="ADS103" s="1"/>
      <c r="ADT103" s="1"/>
      <c r="ADU103" s="1"/>
      <c r="ADV103" s="1"/>
      <c r="ADW103" s="1"/>
      <c r="ADX103" s="1"/>
      <c r="ADY103" s="1"/>
      <c r="ADZ103" s="1"/>
      <c r="AEA103" s="1"/>
      <c r="AEB103" s="1"/>
      <c r="AEC103" s="1"/>
      <c r="AED103" s="1"/>
      <c r="AEE103" s="1"/>
      <c r="AEF103" s="1"/>
      <c r="AEG103" s="1"/>
      <c r="AEH103" s="1"/>
      <c r="AEI103" s="1"/>
      <c r="AEJ103" s="1"/>
      <c r="AEK103" s="1"/>
      <c r="AEL103" s="1"/>
      <c r="AEM103" s="1"/>
      <c r="AEN103" s="1"/>
      <c r="AEO103" s="1"/>
      <c r="AEP103" s="1"/>
      <c r="AEQ103" s="1"/>
      <c r="AER103" s="1"/>
      <c r="AES103" s="1"/>
      <c r="AET103" s="1"/>
      <c r="AEU103" s="1"/>
      <c r="AEV103" s="1"/>
      <c r="AEW103" s="1"/>
      <c r="AEX103" s="1"/>
      <c r="AEY103" s="1"/>
      <c r="AEZ103" s="1"/>
      <c r="AFA103" s="1"/>
      <c r="AFB103" s="1"/>
      <c r="AFC103" s="1"/>
      <c r="AFD103" s="1"/>
      <c r="AFE103" s="1"/>
      <c r="AFF103" s="1"/>
      <c r="AFG103" s="1"/>
      <c r="AFH103" s="1"/>
      <c r="AFI103" s="1"/>
      <c r="AFJ103" s="1"/>
      <c r="AFK103" s="1"/>
      <c r="AFL103" s="1"/>
      <c r="AFM103" s="1"/>
      <c r="AFN103" s="1"/>
      <c r="AFO103" s="1"/>
      <c r="AFP103" s="1"/>
      <c r="AFQ103" s="1"/>
      <c r="AFR103" s="1"/>
      <c r="AFS103" s="1"/>
      <c r="AFT103" s="1"/>
      <c r="AFU103" s="1"/>
      <c r="AFV103" s="1"/>
      <c r="AFW103" s="1"/>
      <c r="AFX103" s="1"/>
      <c r="AFY103" s="1"/>
      <c r="AFZ103" s="1"/>
      <c r="AGA103" s="1"/>
      <c r="AGB103" s="1"/>
      <c r="AGC103" s="1"/>
      <c r="AGD103" s="1"/>
      <c r="AGE103" s="1"/>
      <c r="AGF103" s="1"/>
      <c r="AGG103" s="1"/>
      <c r="AGH103" s="1"/>
      <c r="AGI103" s="1"/>
      <c r="AGJ103" s="1"/>
      <c r="AGK103" s="1"/>
      <c r="AGL103" s="1"/>
      <c r="AGM103" s="1"/>
      <c r="AGN103" s="1"/>
      <c r="AGO103" s="1"/>
      <c r="AGP103" s="1"/>
      <c r="AGQ103" s="1"/>
      <c r="AGR103" s="1"/>
      <c r="AGS103" s="1"/>
      <c r="AGT103" s="1"/>
      <c r="AGU103" s="1"/>
      <c r="AGV103" s="1"/>
      <c r="AGW103" s="1"/>
      <c r="AGX103" s="1"/>
      <c r="AGY103" s="1"/>
      <c r="AGZ103" s="1"/>
      <c r="AHA103" s="1"/>
      <c r="AHB103" s="1"/>
      <c r="AHC103" s="1"/>
      <c r="AHD103" s="1"/>
      <c r="AHE103" s="1"/>
      <c r="AHF103" s="1"/>
      <c r="AHG103" s="1"/>
      <c r="AHH103" s="1"/>
      <c r="AHI103" s="1"/>
      <c r="AHJ103" s="1"/>
      <c r="AHK103" s="1"/>
      <c r="AHL103" s="1"/>
      <c r="AHM103" s="1"/>
      <c r="AHN103" s="1"/>
      <c r="AHO103" s="1"/>
      <c r="AHP103" s="1"/>
      <c r="AHQ103" s="1"/>
      <c r="AHR103" s="1"/>
      <c r="AHS103" s="1"/>
      <c r="AHT103" s="1"/>
      <c r="AHU103" s="1"/>
      <c r="AHV103" s="1"/>
      <c r="AHW103" s="1"/>
      <c r="AHX103" s="1"/>
      <c r="AHY103" s="1"/>
      <c r="AHZ103" s="1"/>
      <c r="AIA103" s="1"/>
      <c r="AIB103" s="1"/>
      <c r="AIC103" s="1"/>
      <c r="AID103" s="1"/>
      <c r="AIE103" s="1"/>
      <c r="AIF103" s="1"/>
      <c r="AIG103" s="1"/>
      <c r="AIH103" s="1"/>
      <c r="AII103" s="1"/>
      <c r="AIJ103" s="1"/>
      <c r="AIK103" s="1"/>
      <c r="AIL103" s="1"/>
      <c r="AIM103" s="1"/>
      <c r="AIN103" s="1"/>
      <c r="AIO103" s="1"/>
      <c r="AIP103" s="1"/>
      <c r="AIQ103" s="1"/>
      <c r="AIR103" s="1"/>
      <c r="AIS103" s="1"/>
      <c r="AIT103" s="1"/>
      <c r="AIU103" s="1"/>
      <c r="AIV103" s="1"/>
      <c r="AIW103" s="1"/>
      <c r="AIX103" s="1"/>
      <c r="AIY103" s="1"/>
      <c r="AIZ103" s="1"/>
      <c r="AJA103" s="1"/>
      <c r="AJB103" s="1"/>
      <c r="AJC103" s="1"/>
      <c r="AJD103" s="1"/>
      <c r="AJE103" s="1"/>
      <c r="AJF103" s="1"/>
      <c r="AJG103" s="1"/>
      <c r="AJH103" s="1"/>
      <c r="AJI103" s="1"/>
      <c r="AJJ103" s="1"/>
      <c r="AJK103" s="1"/>
      <c r="AJL103" s="1"/>
      <c r="AJM103" s="1"/>
      <c r="AJN103" s="1"/>
      <c r="AJO103" s="1"/>
      <c r="AJP103" s="1"/>
      <c r="AJQ103" s="1"/>
      <c r="AJR103" s="1"/>
      <c r="AJS103" s="1"/>
      <c r="AJT103" s="1"/>
      <c r="AJU103" s="1"/>
      <c r="AJV103" s="1"/>
      <c r="AJW103" s="1"/>
      <c r="AJX103" s="1"/>
      <c r="AJY103" s="1"/>
      <c r="AJZ103" s="1"/>
      <c r="AKA103" s="1"/>
      <c r="AKB103" s="1"/>
      <c r="AKC103" s="1"/>
      <c r="AKD103" s="1"/>
      <c r="AKE103" s="1"/>
      <c r="AKF103" s="1"/>
      <c r="AKG103" s="1"/>
      <c r="AKH103" s="1"/>
      <c r="AKI103" s="1"/>
      <c r="AKJ103" s="1"/>
      <c r="AKK103" s="1"/>
      <c r="AKL103" s="1"/>
      <c r="AKM103" s="1"/>
      <c r="AKN103" s="1"/>
      <c r="AKO103" s="1"/>
      <c r="AKP103" s="1"/>
      <c r="AKQ103" s="1"/>
      <c r="AKR103" s="1"/>
      <c r="AKS103" s="1"/>
      <c r="AKT103" s="1"/>
      <c r="AKU103" s="1"/>
      <c r="AKV103" s="1"/>
      <c r="AKW103" s="1"/>
      <c r="AKX103" s="1"/>
      <c r="AKY103" s="1"/>
      <c r="AKZ103" s="1"/>
      <c r="ALA103" s="1"/>
      <c r="ALB103" s="1"/>
      <c r="ALC103" s="1"/>
      <c r="ALD103" s="1"/>
      <c r="ALE103" s="1"/>
      <c r="ALF103" s="1"/>
      <c r="ALG103" s="1"/>
      <c r="ALH103" s="1"/>
      <c r="ALI103" s="1"/>
      <c r="ALJ103" s="1"/>
      <c r="ALK103" s="1"/>
      <c r="ALL103" s="1"/>
      <c r="ALM103" s="1"/>
      <c r="ALN103" s="1"/>
      <c r="ALO103" s="1"/>
      <c r="ALP103" s="1"/>
      <c r="ALQ103" s="1"/>
      <c r="ALR103" s="1"/>
      <c r="ALS103" s="1"/>
      <c r="ALT103" s="1"/>
      <c r="ALU103" s="1"/>
      <c r="ALV103" s="1"/>
      <c r="ALW103" s="1"/>
      <c r="ALX103" s="1"/>
      <c r="ALY103" s="1"/>
      <c r="ALZ103" s="1"/>
      <c r="AMA103" s="1"/>
      <c r="AMB103" s="1"/>
      <c r="AMC103" s="1"/>
      <c r="AMD103" s="1"/>
      <c r="AME103" s="1"/>
      <c r="AMF103" s="1"/>
      <c r="AMG103" s="1"/>
      <c r="AMH103" s="1"/>
      <c r="AMI103" s="1"/>
      <c r="AMJ103" s="1"/>
      <c r="AMK103" s="1"/>
      <c r="AML103" s="1"/>
      <c r="AMM103" s="1"/>
      <c r="AMN103" s="1"/>
    </row>
    <row r="104" spans="1:1028" x14ac:dyDescent="0.2">
      <c r="A104" s="3" t="str">
        <f t="shared" si="222"/>
        <v>drd3_human__wt</v>
      </c>
      <c r="B104" s="3" t="s">
        <v>192</v>
      </c>
      <c r="C104" s="3" t="s">
        <v>100</v>
      </c>
      <c r="D104" s="3" t="str">
        <f>IFERROR(MID(VLOOKUP($B104,Seqs!$A:$B,2,0),E104,1),"")</f>
        <v>A</v>
      </c>
      <c r="E104" s="3">
        <v>26</v>
      </c>
      <c r="F104" s="3" t="str">
        <f>IFERROR(MID(VLOOKUP($B104,Seqs!$A:$B,2,0),G104,1),"")</f>
        <v>E</v>
      </c>
      <c r="G104" s="3">
        <v>57</v>
      </c>
      <c r="H104" s="3" t="str">
        <f>IFERROR(MID(VLOOKUP($B104,Seqs!$A:$B,2,0),I104,1),"")</f>
        <v>R</v>
      </c>
      <c r="I104" s="23">
        <v>58</v>
      </c>
      <c r="J104" s="3" t="str">
        <f>IFERROR(MID(VLOOKUP($B104,Seqs!$A:$B,2,0),K104,1),"")</f>
        <v>Q</v>
      </c>
      <c r="K104" s="23">
        <v>61</v>
      </c>
      <c r="L104" s="3" t="str">
        <f>IFERROR(MID(VLOOKUP($B104,Seqs!$A:$B,2,0),M104,1),"")</f>
        <v>T</v>
      </c>
      <c r="M104" s="3">
        <v>62</v>
      </c>
      <c r="N104" s="3" t="str">
        <f>IFERROR(MID(VLOOKUP($B104,Seqs!$A:$B,2,0),O104,1),"")</f>
        <v>T</v>
      </c>
      <c r="O104" s="3">
        <v>92</v>
      </c>
      <c r="P104" s="3" t="str">
        <f>IFERROR(MID(VLOOKUP($B104,Seqs!$A:$B,2,0),Q104,1),"")</f>
        <v>V</v>
      </c>
      <c r="Q104" s="3">
        <v>95</v>
      </c>
      <c r="R104" s="3" t="str">
        <f>IFERROR(MID(VLOOKUP($B104,Seqs!$A:$B,2,0),S104,1),"")</f>
        <v>F</v>
      </c>
      <c r="S104" s="3">
        <v>98</v>
      </c>
      <c r="T104" s="3" t="str">
        <f>IFERROR(MID(VLOOKUP($B104,Seqs!$A:$B,2,0),U104,1),"")</f>
        <v>S</v>
      </c>
      <c r="U104" s="3">
        <v>99</v>
      </c>
      <c r="V104" s="3" t="str">
        <f>IFERROR(MID(VLOOKUP($B104,Seqs!$A:$B,2,0),W104,1),"")</f>
        <v>M</v>
      </c>
      <c r="W104" s="3">
        <v>134</v>
      </c>
      <c r="X104" s="3" t="str">
        <f>IFERROR(MID(VLOOKUP($B104,Seqs!$A:$B,2,0),Y104,1),"")</f>
        <v>P</v>
      </c>
      <c r="Y104" s="3">
        <v>135</v>
      </c>
      <c r="Z104" s="3" t="str">
        <f>IFERROR(MID(VLOOKUP($B104,Seqs!$A:$B,2,0),AA104,1),"")</f>
        <v>G</v>
      </c>
      <c r="AA104" s="3">
        <v>143</v>
      </c>
      <c r="AB104" s="3" t="str">
        <f>IFERROR(MID(VLOOKUP($B104,Seqs!$A:$B,2,0),AC104,1),"")</f>
        <v>S</v>
      </c>
      <c r="AC104" s="9">
        <v>146</v>
      </c>
      <c r="AD104" s="3" t="str">
        <f>IFERROR(MID(VLOOKUP($B104,Seqs!$A:$B,2,0),AE104,1),"")</f>
        <v>G</v>
      </c>
      <c r="AE104" s="3">
        <v>171</v>
      </c>
      <c r="AF104" s="3" t="str">
        <f>IFERROR(MID(VLOOKUP($B104,Seqs!$A:$B,2,0),AG104,1),"")</f>
        <v>C</v>
      </c>
      <c r="AG104" s="3">
        <v>181</v>
      </c>
      <c r="AH104" s="3" t="str">
        <f>IFERROR(MID(VLOOKUP($B104,Seqs!$A:$B,2,0),AI104,1),"")</f>
        <v>I</v>
      </c>
      <c r="AI104" s="3">
        <v>183</v>
      </c>
      <c r="AJ104" s="3" t="str">
        <f>IFERROR(MID(VLOOKUP($B104,Seqs!$A:$B,2,0),AK104,1),"")</f>
        <v>N</v>
      </c>
      <c r="AK104" s="3">
        <v>185</v>
      </c>
      <c r="AL104" s="3" t="str">
        <f>IFERROR(MID(VLOOKUP($B104,Seqs!$A:$B,2,0),AM104,1),"")</f>
        <v>R</v>
      </c>
      <c r="AM104" s="3">
        <v>226</v>
      </c>
      <c r="AN104" s="3" t="str">
        <f>IFERROR(MID(VLOOKUP($B104,Seqs!$A:$B,2,0),AO104,1),"")</f>
        <v>R</v>
      </c>
      <c r="AO104" s="3">
        <v>318</v>
      </c>
      <c r="AP104" s="3" t="str">
        <f>IFERROR(MID(VLOOKUP($B104,Seqs!$A:$B,2,0),AQ104,1),"")</f>
        <v>H</v>
      </c>
      <c r="AQ104" s="3">
        <v>354</v>
      </c>
      <c r="AR104" s="3" t="str">
        <f>IFERROR(MID(VLOOKUP($B104,Seqs!$A:$B,2,0),AS104,1),"")</f>
        <v>S</v>
      </c>
      <c r="AS104" s="3">
        <v>361</v>
      </c>
      <c r="AT104" s="3" t="str">
        <f>IFERROR(MID(VLOOKUP($B104,Seqs!$A:$B,2,0),AU104,1),"")</f>
        <v>F</v>
      </c>
      <c r="AU104" s="3">
        <v>386</v>
      </c>
      <c r="AV104" s="3" t="str">
        <f>IFERROR(MID(VLOOKUP($B104,Seqs!$A:$B,2,0),AW104,1),"")</f>
        <v>N</v>
      </c>
      <c r="AW104" s="3">
        <v>387</v>
      </c>
      <c r="AX104" s="3" t="str">
        <f>IFERROR(MID(VLOOKUP($B104,Seqs!$A:$B,2,0),AY104,1),"")</f>
        <v>S</v>
      </c>
      <c r="AY104" s="3">
        <v>399</v>
      </c>
      <c r="AZ104" s="79" t="str">
        <f>VLOOKUP(B104,Classification!A:D,2,0)</f>
        <v>A</v>
      </c>
      <c r="BA104" s="97" t="str">
        <f>VLOOKUP(B104,Classification!A:D,4,0)</f>
        <v>Dopamine</v>
      </c>
      <c r="BB104" s="27" t="b">
        <f t="shared" si="223"/>
        <v>1</v>
      </c>
      <c r="BC104" s="23">
        <f t="shared" si="447"/>
        <v>263</v>
      </c>
      <c r="BD104" s="57" t="s">
        <v>1379</v>
      </c>
      <c r="BE104" s="3" t="s">
        <v>1381</v>
      </c>
      <c r="BF104" s="50" t="s">
        <v>1379</v>
      </c>
      <c r="BG104" s="50" t="s">
        <v>1384</v>
      </c>
      <c r="BH104" s="1"/>
      <c r="BI104" s="72" t="s">
        <v>1293</v>
      </c>
      <c r="BJ104" s="58" t="s">
        <v>1293</v>
      </c>
      <c r="BK104" s="58" t="s">
        <v>1293</v>
      </c>
      <c r="BL104" s="58" t="s">
        <v>1293</v>
      </c>
      <c r="BM104" s="58" t="s">
        <v>1293</v>
      </c>
      <c r="BN104" s="58" t="s">
        <v>1293</v>
      </c>
      <c r="BO104" s="58" t="s">
        <v>1293</v>
      </c>
      <c r="BP104" s="58" t="s">
        <v>1293</v>
      </c>
      <c r="BQ104" s="58" t="s">
        <v>1293</v>
      </c>
      <c r="BR104" s="58" t="s">
        <v>1293</v>
      </c>
      <c r="BS104" s="58" t="s">
        <v>1293</v>
      </c>
      <c r="BT104" s="58" t="s">
        <v>1293</v>
      </c>
      <c r="BU104" s="72">
        <f t="shared" si="448"/>
        <v>26</v>
      </c>
      <c r="BV104" s="73">
        <f t="shared" si="449"/>
        <v>58</v>
      </c>
      <c r="BW104" s="74">
        <f t="shared" si="450"/>
        <v>62</v>
      </c>
      <c r="BX104" s="73">
        <f t="shared" si="451"/>
        <v>95</v>
      </c>
      <c r="BY104" s="74">
        <f t="shared" si="452"/>
        <v>99</v>
      </c>
      <c r="BZ104" s="73">
        <f t="shared" si="453"/>
        <v>135</v>
      </c>
      <c r="CA104" s="74">
        <f t="shared" si="454"/>
        <v>146</v>
      </c>
      <c r="CB104" s="73">
        <f t="shared" si="455"/>
        <v>181</v>
      </c>
      <c r="CC104" s="74">
        <f t="shared" si="456"/>
        <v>185</v>
      </c>
      <c r="CD104" s="73">
        <f t="shared" si="457"/>
        <v>318</v>
      </c>
      <c r="CE104" s="74">
        <f t="shared" si="458"/>
        <v>361</v>
      </c>
      <c r="CF104" s="73">
        <f t="shared" si="459"/>
        <v>387</v>
      </c>
      <c r="CG104" s="72">
        <f t="shared" si="460"/>
        <v>57</v>
      </c>
      <c r="CH104" s="73">
        <f t="shared" si="461"/>
        <v>61</v>
      </c>
      <c r="CI104" s="74">
        <f t="shared" si="462"/>
        <v>92</v>
      </c>
      <c r="CJ104" s="74">
        <f t="shared" si="463"/>
        <v>98</v>
      </c>
      <c r="CK104" s="74">
        <f t="shared" si="464"/>
        <v>134</v>
      </c>
      <c r="CL104" s="74">
        <f t="shared" si="465"/>
        <v>143</v>
      </c>
      <c r="CM104" s="74">
        <f t="shared" si="466"/>
        <v>171</v>
      </c>
      <c r="CN104" s="74">
        <f t="shared" si="467"/>
        <v>183</v>
      </c>
      <c r="CO104" s="74">
        <f t="shared" si="468"/>
        <v>226</v>
      </c>
      <c r="CP104" s="74">
        <f t="shared" si="469"/>
        <v>354</v>
      </c>
      <c r="CQ104" s="74">
        <f t="shared" si="470"/>
        <v>386</v>
      </c>
      <c r="CR104" s="74">
        <f t="shared" si="471"/>
        <v>399</v>
      </c>
      <c r="CS104" s="23">
        <f t="shared" si="472"/>
        <v>1</v>
      </c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  <c r="LI104" s="1"/>
      <c r="LJ104" s="1"/>
      <c r="LK104" s="1"/>
      <c r="LL104" s="1"/>
      <c r="LM104" s="1"/>
      <c r="LN104" s="1"/>
      <c r="LO104" s="1"/>
      <c r="LP104" s="1"/>
      <c r="LQ104" s="1"/>
      <c r="LR104" s="1"/>
      <c r="LS104" s="1"/>
      <c r="LT104" s="1"/>
      <c r="LU104" s="1"/>
      <c r="LV104" s="1"/>
      <c r="LW104" s="1"/>
      <c r="LX104" s="1"/>
      <c r="LY104" s="1"/>
      <c r="LZ104" s="1"/>
      <c r="MA104" s="1"/>
      <c r="MB104" s="1"/>
      <c r="MC104" s="1"/>
      <c r="MD104" s="1"/>
      <c r="ME104" s="1"/>
      <c r="MF104" s="1"/>
      <c r="MG104" s="1"/>
      <c r="MH104" s="1"/>
      <c r="MI104" s="1"/>
      <c r="MJ104" s="1"/>
      <c r="MK104" s="1"/>
      <c r="ML104" s="1"/>
      <c r="MM104" s="1"/>
      <c r="MN104" s="1"/>
      <c r="MO104" s="1"/>
      <c r="MP104" s="1"/>
      <c r="MQ104" s="1"/>
      <c r="MR104" s="1"/>
      <c r="MS104" s="1"/>
      <c r="MT104" s="1"/>
      <c r="MU104" s="1"/>
      <c r="MV104" s="1"/>
      <c r="MW104" s="1"/>
      <c r="MX104" s="1"/>
      <c r="MY104" s="1"/>
      <c r="MZ104" s="1"/>
      <c r="NA104" s="1"/>
      <c r="NB104" s="1"/>
      <c r="NC104" s="1"/>
      <c r="ND104" s="1"/>
      <c r="NE104" s="1"/>
      <c r="NF104" s="1"/>
      <c r="NG104" s="1"/>
      <c r="NH104" s="1"/>
      <c r="NI104" s="1"/>
      <c r="NJ104" s="1"/>
      <c r="NK104" s="1"/>
      <c r="NL104" s="1"/>
      <c r="NM104" s="1"/>
      <c r="NN104" s="1"/>
      <c r="NO104" s="1"/>
      <c r="NP104" s="1"/>
      <c r="NQ104" s="1"/>
      <c r="NR104" s="1"/>
      <c r="NS104" s="1"/>
      <c r="NT104" s="1"/>
      <c r="NU104" s="1"/>
      <c r="NV104" s="1"/>
      <c r="NW104" s="1"/>
      <c r="NX104" s="1"/>
      <c r="NY104" s="1"/>
      <c r="NZ104" s="1"/>
      <c r="OA104" s="1"/>
      <c r="OB104" s="1"/>
      <c r="OC104" s="1"/>
      <c r="OD104" s="1"/>
      <c r="OE104" s="1"/>
      <c r="OF104" s="1"/>
      <c r="OG104" s="1"/>
      <c r="OH104" s="1"/>
      <c r="OI104" s="1"/>
      <c r="OJ104" s="1"/>
      <c r="OK104" s="1"/>
      <c r="OL104" s="1"/>
      <c r="OM104" s="1"/>
      <c r="ON104" s="1"/>
      <c r="OO104" s="1"/>
      <c r="OP104" s="1"/>
      <c r="OQ104" s="1"/>
      <c r="OR104" s="1"/>
      <c r="OS104" s="1"/>
      <c r="OT104" s="1"/>
      <c r="OU104" s="1"/>
      <c r="OV104" s="1"/>
      <c r="OW104" s="1"/>
      <c r="OX104" s="1"/>
      <c r="OY104" s="1"/>
      <c r="OZ104" s="1"/>
      <c r="PA104" s="1"/>
      <c r="PB104" s="1"/>
      <c r="PC104" s="1"/>
      <c r="PD104" s="1"/>
      <c r="PE104" s="1"/>
      <c r="PF104" s="1"/>
      <c r="PG104" s="1"/>
      <c r="PH104" s="1"/>
      <c r="PI104" s="1"/>
      <c r="PJ104" s="1"/>
      <c r="PK104" s="1"/>
      <c r="PL104" s="1"/>
      <c r="PM104" s="1"/>
      <c r="PN104" s="1"/>
      <c r="PO104" s="1"/>
      <c r="PP104" s="1"/>
      <c r="PQ104" s="1"/>
      <c r="PR104" s="1"/>
      <c r="PS104" s="1"/>
      <c r="PT104" s="1"/>
      <c r="PU104" s="1"/>
      <c r="PV104" s="1"/>
      <c r="PW104" s="1"/>
      <c r="PX104" s="1"/>
      <c r="PY104" s="1"/>
      <c r="PZ104" s="1"/>
      <c r="QA104" s="1"/>
      <c r="QB104" s="1"/>
      <c r="QC104" s="1"/>
      <c r="QD104" s="1"/>
      <c r="QE104" s="1"/>
      <c r="QF104" s="1"/>
      <c r="QG104" s="1"/>
      <c r="QH104" s="1"/>
      <c r="QI104" s="1"/>
      <c r="QJ104" s="1"/>
      <c r="QK104" s="1"/>
      <c r="QL104" s="1"/>
      <c r="QM104" s="1"/>
      <c r="QN104" s="1"/>
      <c r="QO104" s="1"/>
      <c r="QP104" s="1"/>
      <c r="QQ104" s="1"/>
      <c r="QR104" s="1"/>
      <c r="QS104" s="1"/>
      <c r="QT104" s="1"/>
      <c r="QU104" s="1"/>
      <c r="QV104" s="1"/>
      <c r="QW104" s="1"/>
      <c r="QX104" s="1"/>
      <c r="QY104" s="1"/>
      <c r="QZ104" s="1"/>
      <c r="RA104" s="1"/>
      <c r="RB104" s="1"/>
      <c r="RC104" s="1"/>
      <c r="RD104" s="1"/>
      <c r="RE104" s="1"/>
      <c r="RF104" s="1"/>
      <c r="RG104" s="1"/>
      <c r="RH104" s="1"/>
      <c r="RI104" s="1"/>
      <c r="RJ104" s="1"/>
      <c r="RK104" s="1"/>
      <c r="RL104" s="1"/>
      <c r="RM104" s="1"/>
      <c r="RN104" s="1"/>
      <c r="RO104" s="1"/>
      <c r="RP104" s="1"/>
      <c r="RQ104" s="1"/>
      <c r="RR104" s="1"/>
      <c r="RS104" s="1"/>
      <c r="RT104" s="1"/>
      <c r="RU104" s="1"/>
      <c r="RV104" s="1"/>
      <c r="RW104" s="1"/>
      <c r="RX104" s="1"/>
      <c r="RY104" s="1"/>
      <c r="RZ104" s="1"/>
      <c r="SA104" s="1"/>
      <c r="SB104" s="1"/>
      <c r="SC104" s="1"/>
      <c r="SD104" s="1"/>
      <c r="SE104" s="1"/>
      <c r="SF104" s="1"/>
      <c r="SG104" s="1"/>
      <c r="SH104" s="1"/>
      <c r="SI104" s="1"/>
      <c r="SJ104" s="1"/>
      <c r="SK104" s="1"/>
      <c r="SL104" s="1"/>
      <c r="SM104" s="1"/>
      <c r="SN104" s="1"/>
      <c r="SO104" s="1"/>
      <c r="SP104" s="1"/>
      <c r="SQ104" s="1"/>
      <c r="SR104" s="1"/>
      <c r="SS104" s="1"/>
      <c r="ST104" s="1"/>
      <c r="SU104" s="1"/>
      <c r="SV104" s="1"/>
      <c r="SW104" s="1"/>
      <c r="SX104" s="1"/>
      <c r="SY104" s="1"/>
      <c r="SZ104" s="1"/>
      <c r="TA104" s="1"/>
      <c r="TB104" s="1"/>
      <c r="TC104" s="1"/>
      <c r="TD104" s="1"/>
      <c r="TE104" s="1"/>
      <c r="TF104" s="1"/>
      <c r="TG104" s="1"/>
      <c r="TH104" s="1"/>
      <c r="TI104" s="1"/>
      <c r="TJ104" s="1"/>
      <c r="TK104" s="1"/>
      <c r="TL104" s="1"/>
      <c r="TM104" s="1"/>
      <c r="TN104" s="1"/>
      <c r="TO104" s="1"/>
      <c r="TP104" s="1"/>
      <c r="TQ104" s="1"/>
      <c r="TR104" s="1"/>
      <c r="TS104" s="1"/>
      <c r="TT104" s="1"/>
      <c r="TU104" s="1"/>
      <c r="TV104" s="1"/>
      <c r="TW104" s="1"/>
      <c r="TX104" s="1"/>
      <c r="TY104" s="1"/>
      <c r="TZ104" s="1"/>
      <c r="UA104" s="1"/>
      <c r="UB104" s="1"/>
      <c r="UC104" s="1"/>
      <c r="UD104" s="1"/>
      <c r="UE104" s="1"/>
      <c r="UF104" s="1"/>
      <c r="UG104" s="1"/>
      <c r="UH104" s="1"/>
      <c r="UI104" s="1"/>
      <c r="UJ104" s="1"/>
      <c r="UK104" s="1"/>
      <c r="UL104" s="1"/>
      <c r="UM104" s="1"/>
      <c r="UN104" s="1"/>
      <c r="UO104" s="1"/>
      <c r="UP104" s="1"/>
      <c r="UQ104" s="1"/>
      <c r="UR104" s="1"/>
      <c r="US104" s="1"/>
      <c r="UT104" s="1"/>
      <c r="UU104" s="1"/>
      <c r="UV104" s="1"/>
      <c r="UW104" s="1"/>
      <c r="UX104" s="1"/>
      <c r="UY104" s="1"/>
      <c r="UZ104" s="1"/>
      <c r="VA104" s="1"/>
      <c r="VB104" s="1"/>
      <c r="VC104" s="1"/>
      <c r="VD104" s="1"/>
      <c r="VE104" s="1"/>
      <c r="VF104" s="1"/>
      <c r="VG104" s="1"/>
      <c r="VH104" s="1"/>
      <c r="VI104" s="1"/>
      <c r="VJ104" s="1"/>
      <c r="VK104" s="1"/>
      <c r="VL104" s="1"/>
      <c r="VM104" s="1"/>
      <c r="VN104" s="1"/>
      <c r="VO104" s="1"/>
      <c r="VP104" s="1"/>
      <c r="VQ104" s="1"/>
      <c r="VR104" s="1"/>
      <c r="VS104" s="1"/>
      <c r="VT104" s="1"/>
      <c r="VU104" s="1"/>
      <c r="VV104" s="1"/>
      <c r="VW104" s="1"/>
      <c r="VX104" s="1"/>
      <c r="VY104" s="1"/>
      <c r="VZ104" s="1"/>
      <c r="WA104" s="1"/>
      <c r="WB104" s="1"/>
      <c r="WC104" s="1"/>
      <c r="WD104" s="1"/>
      <c r="WE104" s="1"/>
      <c r="WF104" s="1"/>
      <c r="WG104" s="1"/>
      <c r="WH104" s="1"/>
      <c r="WI104" s="1"/>
      <c r="WJ104" s="1"/>
      <c r="WK104" s="1"/>
      <c r="WL104" s="1"/>
      <c r="WM104" s="1"/>
      <c r="WN104" s="1"/>
      <c r="WO104" s="1"/>
      <c r="WP104" s="1"/>
      <c r="WQ104" s="1"/>
      <c r="WR104" s="1"/>
      <c r="WS104" s="1"/>
      <c r="WT104" s="1"/>
      <c r="WU104" s="1"/>
      <c r="WV104" s="1"/>
      <c r="WW104" s="1"/>
      <c r="WX104" s="1"/>
      <c r="WY104" s="1"/>
      <c r="WZ104" s="1"/>
      <c r="XA104" s="1"/>
      <c r="XB104" s="1"/>
      <c r="XC104" s="1"/>
      <c r="XD104" s="1"/>
      <c r="XE104" s="1"/>
      <c r="XF104" s="1"/>
      <c r="XG104" s="1"/>
      <c r="XH104" s="1"/>
      <c r="XI104" s="1"/>
      <c r="XJ104" s="1"/>
      <c r="XK104" s="1"/>
      <c r="XL104" s="1"/>
      <c r="XM104" s="1"/>
      <c r="XN104" s="1"/>
      <c r="XO104" s="1"/>
      <c r="XP104" s="1"/>
      <c r="XQ104" s="1"/>
      <c r="XR104" s="1"/>
      <c r="XS104" s="1"/>
      <c r="XT104" s="1"/>
      <c r="XU104" s="1"/>
      <c r="XV104" s="1"/>
      <c r="XW104" s="1"/>
      <c r="XX104" s="1"/>
      <c r="XY104" s="1"/>
      <c r="XZ104" s="1"/>
      <c r="YA104" s="1"/>
      <c r="YB104" s="1"/>
      <c r="YC104" s="1"/>
      <c r="YD104" s="1"/>
      <c r="YE104" s="1"/>
      <c r="YF104" s="1"/>
      <c r="YG104" s="1"/>
      <c r="YH104" s="1"/>
      <c r="YI104" s="1"/>
      <c r="YJ104" s="1"/>
      <c r="YK104" s="1"/>
      <c r="YL104" s="1"/>
      <c r="YM104" s="1"/>
      <c r="YN104" s="1"/>
      <c r="YO104" s="1"/>
      <c r="YP104" s="1"/>
      <c r="YQ104" s="1"/>
      <c r="YR104" s="1"/>
      <c r="YS104" s="1"/>
      <c r="YT104" s="1"/>
      <c r="YU104" s="1"/>
      <c r="YV104" s="1"/>
      <c r="YW104" s="1"/>
      <c r="YX104" s="1"/>
      <c r="YY104" s="1"/>
      <c r="YZ104" s="1"/>
      <c r="ZA104" s="1"/>
      <c r="ZB104" s="1"/>
      <c r="ZC104" s="1"/>
      <c r="ZD104" s="1"/>
      <c r="ZE104" s="1"/>
      <c r="ZF104" s="1"/>
      <c r="ZG104" s="1"/>
      <c r="ZH104" s="1"/>
      <c r="ZI104" s="1"/>
      <c r="ZJ104" s="1"/>
      <c r="ZK104" s="1"/>
      <c r="ZL104" s="1"/>
      <c r="ZM104" s="1"/>
      <c r="ZN104" s="1"/>
      <c r="ZO104" s="1"/>
      <c r="ZP104" s="1"/>
      <c r="ZQ104" s="1"/>
      <c r="ZR104" s="1"/>
      <c r="ZS104" s="1"/>
      <c r="ZT104" s="1"/>
      <c r="ZU104" s="1"/>
      <c r="ZV104" s="1"/>
      <c r="ZW104" s="1"/>
      <c r="ZX104" s="1"/>
      <c r="ZY104" s="1"/>
      <c r="ZZ104" s="1"/>
      <c r="AAA104" s="1"/>
      <c r="AAB104" s="1"/>
      <c r="AAC104" s="1"/>
      <c r="AAD104" s="1"/>
      <c r="AAE104" s="1"/>
      <c r="AAF104" s="1"/>
      <c r="AAG104" s="1"/>
      <c r="AAH104" s="1"/>
      <c r="AAI104" s="1"/>
      <c r="AAJ104" s="1"/>
      <c r="AAK104" s="1"/>
      <c r="AAL104" s="1"/>
      <c r="AAM104" s="1"/>
      <c r="AAN104" s="1"/>
      <c r="AAO104" s="1"/>
      <c r="AAP104" s="1"/>
      <c r="AAQ104" s="1"/>
      <c r="AAR104" s="1"/>
      <c r="AAS104" s="1"/>
      <c r="AAT104" s="1"/>
      <c r="AAU104" s="1"/>
      <c r="AAV104" s="1"/>
      <c r="AAW104" s="1"/>
      <c r="AAX104" s="1"/>
      <c r="AAY104" s="1"/>
      <c r="AAZ104" s="1"/>
      <c r="ABA104" s="1"/>
      <c r="ABB104" s="1"/>
      <c r="ABC104" s="1"/>
      <c r="ABD104" s="1"/>
      <c r="ABE104" s="1"/>
      <c r="ABF104" s="1"/>
      <c r="ABG104" s="1"/>
      <c r="ABH104" s="1"/>
      <c r="ABI104" s="1"/>
      <c r="ABJ104" s="1"/>
      <c r="ABK104" s="1"/>
      <c r="ABL104" s="1"/>
      <c r="ABM104" s="1"/>
      <c r="ABN104" s="1"/>
      <c r="ABO104" s="1"/>
      <c r="ABP104" s="1"/>
      <c r="ABQ104" s="1"/>
      <c r="ABR104" s="1"/>
      <c r="ABS104" s="1"/>
      <c r="ABT104" s="1"/>
      <c r="ABU104" s="1"/>
      <c r="ABV104" s="1"/>
      <c r="ABW104" s="1"/>
      <c r="ABX104" s="1"/>
      <c r="ABY104" s="1"/>
      <c r="ABZ104" s="1"/>
      <c r="ACA104" s="1"/>
      <c r="ACB104" s="1"/>
      <c r="ACC104" s="1"/>
      <c r="ACD104" s="1"/>
      <c r="ACE104" s="1"/>
      <c r="ACF104" s="1"/>
      <c r="ACG104" s="1"/>
      <c r="ACH104" s="1"/>
      <c r="ACI104" s="1"/>
      <c r="ACJ104" s="1"/>
      <c r="ACK104" s="1"/>
      <c r="ACL104" s="1"/>
      <c r="ACM104" s="1"/>
      <c r="ACN104" s="1"/>
      <c r="ACO104" s="1"/>
      <c r="ACP104" s="1"/>
      <c r="ACQ104" s="1"/>
      <c r="ACR104" s="1"/>
      <c r="ACS104" s="1"/>
      <c r="ACT104" s="1"/>
      <c r="ACU104" s="1"/>
      <c r="ACV104" s="1"/>
      <c r="ACW104" s="1"/>
      <c r="ACX104" s="1"/>
      <c r="ACY104" s="1"/>
      <c r="ACZ104" s="1"/>
      <c r="ADA104" s="1"/>
      <c r="ADB104" s="1"/>
      <c r="ADC104" s="1"/>
      <c r="ADD104" s="1"/>
      <c r="ADE104" s="1"/>
      <c r="ADF104" s="1"/>
      <c r="ADG104" s="1"/>
      <c r="ADH104" s="1"/>
      <c r="ADI104" s="1"/>
      <c r="ADJ104" s="1"/>
      <c r="ADK104" s="1"/>
      <c r="ADL104" s="1"/>
      <c r="ADM104" s="1"/>
      <c r="ADN104" s="1"/>
      <c r="ADO104" s="1"/>
      <c r="ADP104" s="1"/>
      <c r="ADQ104" s="1"/>
      <c r="ADR104" s="1"/>
      <c r="ADS104" s="1"/>
      <c r="ADT104" s="1"/>
      <c r="ADU104" s="1"/>
      <c r="ADV104" s="1"/>
      <c r="ADW104" s="1"/>
      <c r="ADX104" s="1"/>
      <c r="ADY104" s="1"/>
      <c r="ADZ104" s="1"/>
      <c r="AEA104" s="1"/>
      <c r="AEB104" s="1"/>
      <c r="AEC104" s="1"/>
      <c r="AED104" s="1"/>
      <c r="AEE104" s="1"/>
      <c r="AEF104" s="1"/>
      <c r="AEG104" s="1"/>
      <c r="AEH104" s="1"/>
      <c r="AEI104" s="1"/>
      <c r="AEJ104" s="1"/>
      <c r="AEK104" s="1"/>
      <c r="AEL104" s="1"/>
      <c r="AEM104" s="1"/>
      <c r="AEN104" s="1"/>
      <c r="AEO104" s="1"/>
      <c r="AEP104" s="1"/>
      <c r="AEQ104" s="1"/>
      <c r="AER104" s="1"/>
      <c r="AES104" s="1"/>
      <c r="AET104" s="1"/>
      <c r="AEU104" s="1"/>
      <c r="AEV104" s="1"/>
      <c r="AEW104" s="1"/>
      <c r="AEX104" s="1"/>
      <c r="AEY104" s="1"/>
      <c r="AEZ104" s="1"/>
      <c r="AFA104" s="1"/>
      <c r="AFB104" s="1"/>
      <c r="AFC104" s="1"/>
      <c r="AFD104" s="1"/>
      <c r="AFE104" s="1"/>
      <c r="AFF104" s="1"/>
      <c r="AFG104" s="1"/>
      <c r="AFH104" s="1"/>
      <c r="AFI104" s="1"/>
      <c r="AFJ104" s="1"/>
      <c r="AFK104" s="1"/>
      <c r="AFL104" s="1"/>
      <c r="AFM104" s="1"/>
      <c r="AFN104" s="1"/>
      <c r="AFO104" s="1"/>
      <c r="AFP104" s="1"/>
      <c r="AFQ104" s="1"/>
      <c r="AFR104" s="1"/>
      <c r="AFS104" s="1"/>
      <c r="AFT104" s="1"/>
      <c r="AFU104" s="1"/>
      <c r="AFV104" s="1"/>
      <c r="AFW104" s="1"/>
      <c r="AFX104" s="1"/>
      <c r="AFY104" s="1"/>
      <c r="AFZ104" s="1"/>
      <c r="AGA104" s="1"/>
      <c r="AGB104" s="1"/>
      <c r="AGC104" s="1"/>
      <c r="AGD104" s="1"/>
      <c r="AGE104" s="1"/>
      <c r="AGF104" s="1"/>
      <c r="AGG104" s="1"/>
      <c r="AGH104" s="1"/>
      <c r="AGI104" s="1"/>
      <c r="AGJ104" s="1"/>
      <c r="AGK104" s="1"/>
      <c r="AGL104" s="1"/>
      <c r="AGM104" s="1"/>
      <c r="AGN104" s="1"/>
      <c r="AGO104" s="1"/>
      <c r="AGP104" s="1"/>
      <c r="AGQ104" s="1"/>
      <c r="AGR104" s="1"/>
      <c r="AGS104" s="1"/>
      <c r="AGT104" s="1"/>
      <c r="AGU104" s="1"/>
      <c r="AGV104" s="1"/>
      <c r="AGW104" s="1"/>
      <c r="AGX104" s="1"/>
      <c r="AGY104" s="1"/>
      <c r="AGZ104" s="1"/>
      <c r="AHA104" s="1"/>
      <c r="AHB104" s="1"/>
      <c r="AHC104" s="1"/>
      <c r="AHD104" s="1"/>
      <c r="AHE104" s="1"/>
      <c r="AHF104" s="1"/>
      <c r="AHG104" s="1"/>
      <c r="AHH104" s="1"/>
      <c r="AHI104" s="1"/>
      <c r="AHJ104" s="1"/>
      <c r="AHK104" s="1"/>
      <c r="AHL104" s="1"/>
      <c r="AHM104" s="1"/>
      <c r="AHN104" s="1"/>
      <c r="AHO104" s="1"/>
      <c r="AHP104" s="1"/>
      <c r="AHQ104" s="1"/>
      <c r="AHR104" s="1"/>
      <c r="AHS104" s="1"/>
      <c r="AHT104" s="1"/>
      <c r="AHU104" s="1"/>
      <c r="AHV104" s="1"/>
      <c r="AHW104" s="1"/>
      <c r="AHX104" s="1"/>
      <c r="AHY104" s="1"/>
      <c r="AHZ104" s="1"/>
      <c r="AIA104" s="1"/>
      <c r="AIB104" s="1"/>
      <c r="AIC104" s="1"/>
      <c r="AID104" s="1"/>
      <c r="AIE104" s="1"/>
      <c r="AIF104" s="1"/>
      <c r="AIG104" s="1"/>
      <c r="AIH104" s="1"/>
      <c r="AII104" s="1"/>
      <c r="AIJ104" s="1"/>
      <c r="AIK104" s="1"/>
      <c r="AIL104" s="1"/>
      <c r="AIM104" s="1"/>
      <c r="AIN104" s="1"/>
      <c r="AIO104" s="1"/>
      <c r="AIP104" s="1"/>
      <c r="AIQ104" s="1"/>
      <c r="AIR104" s="1"/>
      <c r="AIS104" s="1"/>
      <c r="AIT104" s="1"/>
      <c r="AIU104" s="1"/>
      <c r="AIV104" s="1"/>
      <c r="AIW104" s="1"/>
      <c r="AIX104" s="1"/>
      <c r="AIY104" s="1"/>
      <c r="AIZ104" s="1"/>
      <c r="AJA104" s="1"/>
      <c r="AJB104" s="1"/>
      <c r="AJC104" s="1"/>
      <c r="AJD104" s="1"/>
      <c r="AJE104" s="1"/>
      <c r="AJF104" s="1"/>
      <c r="AJG104" s="1"/>
      <c r="AJH104" s="1"/>
      <c r="AJI104" s="1"/>
      <c r="AJJ104" s="1"/>
      <c r="AJK104" s="1"/>
      <c r="AJL104" s="1"/>
      <c r="AJM104" s="1"/>
      <c r="AJN104" s="1"/>
      <c r="AJO104" s="1"/>
      <c r="AJP104" s="1"/>
      <c r="AJQ104" s="1"/>
      <c r="AJR104" s="1"/>
      <c r="AJS104" s="1"/>
      <c r="AJT104" s="1"/>
      <c r="AJU104" s="1"/>
      <c r="AJV104" s="1"/>
      <c r="AJW104" s="1"/>
      <c r="AJX104" s="1"/>
      <c r="AJY104" s="1"/>
      <c r="AJZ104" s="1"/>
      <c r="AKA104" s="1"/>
      <c r="AKB104" s="1"/>
      <c r="AKC104" s="1"/>
      <c r="AKD104" s="1"/>
      <c r="AKE104" s="1"/>
      <c r="AKF104" s="1"/>
      <c r="AKG104" s="1"/>
      <c r="AKH104" s="1"/>
      <c r="AKI104" s="1"/>
      <c r="AKJ104" s="1"/>
      <c r="AKK104" s="1"/>
      <c r="AKL104" s="1"/>
      <c r="AKM104" s="1"/>
      <c r="AKN104" s="1"/>
      <c r="AKO104" s="1"/>
      <c r="AKP104" s="1"/>
      <c r="AKQ104" s="1"/>
      <c r="AKR104" s="1"/>
      <c r="AKS104" s="1"/>
      <c r="AKT104" s="1"/>
      <c r="AKU104" s="1"/>
      <c r="AKV104" s="1"/>
      <c r="AKW104" s="1"/>
      <c r="AKX104" s="1"/>
      <c r="AKY104" s="1"/>
      <c r="AKZ104" s="1"/>
      <c r="ALA104" s="1"/>
      <c r="ALB104" s="1"/>
      <c r="ALC104" s="1"/>
      <c r="ALD104" s="1"/>
      <c r="ALE104" s="1"/>
      <c r="ALF104" s="1"/>
      <c r="ALG104" s="1"/>
      <c r="ALH104" s="1"/>
      <c r="ALI104" s="1"/>
      <c r="ALJ104" s="1"/>
      <c r="ALK104" s="1"/>
      <c r="ALL104" s="1"/>
      <c r="ALM104" s="1"/>
      <c r="ALN104" s="1"/>
      <c r="ALO104" s="1"/>
      <c r="ALP104" s="1"/>
      <c r="ALQ104" s="1"/>
      <c r="ALR104" s="1"/>
      <c r="ALS104" s="1"/>
      <c r="ALT104" s="1"/>
      <c r="ALU104" s="1"/>
      <c r="ALV104" s="1"/>
      <c r="ALW104" s="1"/>
      <c r="ALX104" s="1"/>
      <c r="ALY104" s="1"/>
      <c r="ALZ104" s="1"/>
      <c r="AMA104" s="1"/>
      <c r="AMB104" s="1"/>
      <c r="AMC104" s="1"/>
      <c r="AMD104" s="1"/>
      <c r="AME104" s="1"/>
      <c r="AMF104" s="1"/>
      <c r="AMG104" s="1"/>
      <c r="AMH104" s="1"/>
      <c r="AMI104" s="1"/>
      <c r="AMJ104" s="1"/>
      <c r="AMK104" s="1"/>
      <c r="AML104" s="1"/>
      <c r="AMM104" s="1"/>
      <c r="AMN104" s="1"/>
    </row>
    <row r="105" spans="1:1028" x14ac:dyDescent="0.2">
      <c r="A105" s="3" t="str">
        <f t="shared" si="222"/>
        <v>drd3_human_3PBL</v>
      </c>
      <c r="B105" s="3" t="s">
        <v>192</v>
      </c>
      <c r="C105" s="3" t="s">
        <v>72</v>
      </c>
      <c r="D105" s="3" t="str">
        <f>IFERROR(MID(VLOOKUP($B105,Seqs!$A:$B,2,0),E105,1),"")</f>
        <v>Y</v>
      </c>
      <c r="E105" s="3">
        <v>32</v>
      </c>
      <c r="F105" s="3" t="str">
        <f>IFERROR(MID(VLOOKUP($B105,Seqs!$A:$B,2,0),G105,1),"")</f>
        <v>E</v>
      </c>
      <c r="G105" s="3">
        <v>57</v>
      </c>
      <c r="H105" s="3" t="str">
        <f>IFERROR(MID(VLOOKUP($B105,Seqs!$A:$B,2,0),I105,1),"")</f>
        <v>R</v>
      </c>
      <c r="I105" s="23">
        <v>58</v>
      </c>
      <c r="J105" s="3" t="str">
        <f>IFERROR(MID(VLOOKUP($B105,Seqs!$A:$B,2,0),K105,1),"")</f>
        <v>Q</v>
      </c>
      <c r="K105" s="23">
        <v>61</v>
      </c>
      <c r="L105" s="3" t="str">
        <f>IFERROR(MID(VLOOKUP($B105,Seqs!$A:$B,2,0),M105,1),"")</f>
        <v>T</v>
      </c>
      <c r="M105" s="3">
        <v>62</v>
      </c>
      <c r="N105" s="3" t="str">
        <f>IFERROR(MID(VLOOKUP($B105,Seqs!$A:$B,2,0),O105,1),"")</f>
        <v>T</v>
      </c>
      <c r="O105" s="3">
        <v>92</v>
      </c>
      <c r="P105" s="3" t="str">
        <f>IFERROR(MID(VLOOKUP($B105,Seqs!$A:$B,2,0),Q105,1),"")</f>
        <v>V</v>
      </c>
      <c r="Q105" s="3">
        <v>95</v>
      </c>
      <c r="R105" s="3" t="str">
        <f>IFERROR(MID(VLOOKUP($B105,Seqs!$A:$B,2,0),S105,1),"")</f>
        <v>F</v>
      </c>
      <c r="S105" s="3">
        <v>98</v>
      </c>
      <c r="T105" s="3" t="str">
        <f>IFERROR(MID(VLOOKUP($B105,Seqs!$A:$B,2,0),U105,1),"")</f>
        <v>S</v>
      </c>
      <c r="U105" s="3">
        <v>99</v>
      </c>
      <c r="V105" s="3" t="str">
        <f>IFERROR(MID(VLOOKUP($B105,Seqs!$A:$B,2,0),W105,1),"")</f>
        <v>M</v>
      </c>
      <c r="W105" s="3">
        <v>134</v>
      </c>
      <c r="X105" s="3" t="str">
        <f>IFERROR(MID(VLOOKUP($B105,Seqs!$A:$B,2,0),Y105,1),"")</f>
        <v>P</v>
      </c>
      <c r="Y105" s="3">
        <v>135</v>
      </c>
      <c r="Z105" s="3" t="str">
        <f>IFERROR(MID(VLOOKUP($B105,Seqs!$A:$B,2,0),AA105,1),"")</f>
        <v>G</v>
      </c>
      <c r="AA105" s="3">
        <v>143</v>
      </c>
      <c r="AB105" s="3" t="str">
        <f>IFERROR(MID(VLOOKUP($B105,Seqs!$A:$B,2,0),AC105,1),"")</f>
        <v>S</v>
      </c>
      <c r="AC105" s="9">
        <v>146</v>
      </c>
      <c r="AD105" s="3" t="str">
        <f>IFERROR(MID(VLOOKUP($B105,Seqs!$A:$B,2,0),AE105,1),"")</f>
        <v>G</v>
      </c>
      <c r="AE105" s="3">
        <v>171</v>
      </c>
      <c r="AF105" s="3" t="str">
        <f>IFERROR(MID(VLOOKUP($B105,Seqs!$A:$B,2,0),AG105,1),"")</f>
        <v>C</v>
      </c>
      <c r="AG105" s="3">
        <v>181</v>
      </c>
      <c r="AH105" s="3" t="str">
        <f>IFERROR(MID(VLOOKUP($B105,Seqs!$A:$B,2,0),AI105,1),"")</f>
        <v>I</v>
      </c>
      <c r="AI105" s="3">
        <v>183</v>
      </c>
      <c r="AJ105" s="3" t="str">
        <f>IFERROR(MID(VLOOKUP($B105,Seqs!$A:$B,2,0),AK105,1),"")</f>
        <v>N</v>
      </c>
      <c r="AK105" s="3">
        <v>185</v>
      </c>
      <c r="AL105" s="3" t="str">
        <f>IFERROR(MID(VLOOKUP($B105,Seqs!$A:$B,2,0),AM105,1),"")</f>
        <v>K</v>
      </c>
      <c r="AM105" s="3">
        <v>216</v>
      </c>
      <c r="AN105" s="3" t="str">
        <f>IFERROR(MID(VLOOKUP($B105,Seqs!$A:$B,2,0),AO105,1),"")</f>
        <v>R</v>
      </c>
      <c r="AO105" s="3">
        <v>323</v>
      </c>
      <c r="AP105" s="3" t="str">
        <f>IFERROR(MID(VLOOKUP($B105,Seqs!$A:$B,2,0),AQ105,1),"")</f>
        <v>H</v>
      </c>
      <c r="AQ105" s="3">
        <v>354</v>
      </c>
      <c r="AR105" s="3" t="str">
        <f>IFERROR(MID(VLOOKUP($B105,Seqs!$A:$B,2,0),AS105,1),"")</f>
        <v>S</v>
      </c>
      <c r="AS105" s="3">
        <v>361</v>
      </c>
      <c r="AT105" s="3" t="str">
        <f>IFERROR(MID(VLOOKUP($B105,Seqs!$A:$B,2,0),AU105,1),"")</f>
        <v>F</v>
      </c>
      <c r="AU105" s="3">
        <v>386</v>
      </c>
      <c r="AV105" s="3" t="str">
        <f>IFERROR(MID(VLOOKUP($B105,Seqs!$A:$B,2,0),AW105,1),"")</f>
        <v>N</v>
      </c>
      <c r="AW105" s="3">
        <v>387</v>
      </c>
      <c r="AX105" s="3" t="str">
        <f>IFERROR(MID(VLOOKUP($B105,Seqs!$A:$B,2,0),AY105,1),"")</f>
        <v>S</v>
      </c>
      <c r="AY105" s="3">
        <v>399</v>
      </c>
      <c r="AZ105" s="79" t="str">
        <f>VLOOKUP(B105,Classification!A:D,2,0)</f>
        <v>A</v>
      </c>
      <c r="BA105" s="97" t="str">
        <f>VLOOKUP(B105,Classification!A:D,4,0)</f>
        <v>Dopamine</v>
      </c>
      <c r="BB105" s="27" t="b">
        <f t="shared" si="223"/>
        <v>1</v>
      </c>
      <c r="BC105" s="23">
        <f t="shared" si="447"/>
        <v>242</v>
      </c>
      <c r="BD105" s="2" t="s">
        <v>1383</v>
      </c>
      <c r="BE105" s="3" t="s">
        <v>1381</v>
      </c>
      <c r="BF105" s="50" t="s">
        <v>1384</v>
      </c>
      <c r="BG105" s="50" t="s">
        <v>1384</v>
      </c>
      <c r="BH105" s="1"/>
      <c r="BI105" s="72" t="s">
        <v>1293</v>
      </c>
      <c r="BJ105" s="58" t="s">
        <v>1293</v>
      </c>
      <c r="BK105" s="58" t="s">
        <v>1293</v>
      </c>
      <c r="BL105" s="58" t="s">
        <v>1293</v>
      </c>
      <c r="BM105" s="58" t="s">
        <v>1293</v>
      </c>
      <c r="BN105" s="58" t="s">
        <v>1293</v>
      </c>
      <c r="BO105" s="58" t="s">
        <v>1293</v>
      </c>
      <c r="BP105" s="58" t="s">
        <v>1293</v>
      </c>
      <c r="BQ105" s="58" t="s">
        <v>1293</v>
      </c>
      <c r="BR105" s="58" t="s">
        <v>1293</v>
      </c>
      <c r="BS105" s="58" t="s">
        <v>1293</v>
      </c>
      <c r="BT105" s="58" t="s">
        <v>1293</v>
      </c>
      <c r="BU105" s="72">
        <f t="shared" si="448"/>
        <v>32</v>
      </c>
      <c r="BV105" s="73">
        <f t="shared" si="449"/>
        <v>58</v>
      </c>
      <c r="BW105" s="74">
        <f t="shared" si="450"/>
        <v>62</v>
      </c>
      <c r="BX105" s="73">
        <f t="shared" si="451"/>
        <v>95</v>
      </c>
      <c r="BY105" s="74">
        <f t="shared" si="452"/>
        <v>99</v>
      </c>
      <c r="BZ105" s="73">
        <f t="shared" si="453"/>
        <v>135</v>
      </c>
      <c r="CA105" s="74">
        <f t="shared" si="454"/>
        <v>146</v>
      </c>
      <c r="CB105" s="73">
        <f t="shared" si="455"/>
        <v>181</v>
      </c>
      <c r="CC105" s="74">
        <f t="shared" si="456"/>
        <v>185</v>
      </c>
      <c r="CD105" s="73">
        <f t="shared" si="457"/>
        <v>323</v>
      </c>
      <c r="CE105" s="74">
        <f t="shared" si="458"/>
        <v>361</v>
      </c>
      <c r="CF105" s="73">
        <f t="shared" si="459"/>
        <v>387</v>
      </c>
      <c r="CG105" s="72">
        <f t="shared" si="460"/>
        <v>57</v>
      </c>
      <c r="CH105" s="73">
        <f t="shared" si="461"/>
        <v>61</v>
      </c>
      <c r="CI105" s="74">
        <f t="shared" si="462"/>
        <v>92</v>
      </c>
      <c r="CJ105" s="74">
        <f t="shared" si="463"/>
        <v>98</v>
      </c>
      <c r="CK105" s="74">
        <f t="shared" si="464"/>
        <v>134</v>
      </c>
      <c r="CL105" s="74">
        <f t="shared" si="465"/>
        <v>143</v>
      </c>
      <c r="CM105" s="74">
        <f t="shared" si="466"/>
        <v>171</v>
      </c>
      <c r="CN105" s="74">
        <f t="shared" si="467"/>
        <v>183</v>
      </c>
      <c r="CO105" s="74">
        <f t="shared" si="468"/>
        <v>216</v>
      </c>
      <c r="CP105" s="74">
        <f t="shared" si="469"/>
        <v>354</v>
      </c>
      <c r="CQ105" s="74">
        <f t="shared" si="470"/>
        <v>386</v>
      </c>
      <c r="CR105" s="74">
        <f t="shared" si="471"/>
        <v>399</v>
      </c>
      <c r="CS105" s="23">
        <f t="shared" si="472"/>
        <v>1</v>
      </c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  <c r="KT105" s="1"/>
      <c r="KU105" s="1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  <c r="LI105" s="1"/>
      <c r="LJ105" s="1"/>
      <c r="LK105" s="1"/>
      <c r="LL105" s="1"/>
      <c r="LM105" s="1"/>
      <c r="LN105" s="1"/>
      <c r="LO105" s="1"/>
      <c r="LP105" s="1"/>
      <c r="LQ105" s="1"/>
      <c r="LR105" s="1"/>
      <c r="LS105" s="1"/>
      <c r="LT105" s="1"/>
      <c r="LU105" s="1"/>
      <c r="LV105" s="1"/>
      <c r="LW105" s="1"/>
      <c r="LX105" s="1"/>
      <c r="LY105" s="1"/>
      <c r="LZ105" s="1"/>
      <c r="MA105" s="1"/>
      <c r="MB105" s="1"/>
      <c r="MC105" s="1"/>
      <c r="MD105" s="1"/>
      <c r="ME105" s="1"/>
      <c r="MF105" s="1"/>
      <c r="MG105" s="1"/>
      <c r="MH105" s="1"/>
      <c r="MI105" s="1"/>
      <c r="MJ105" s="1"/>
      <c r="MK105" s="1"/>
      <c r="ML105" s="1"/>
      <c r="MM105" s="1"/>
      <c r="MN105" s="1"/>
      <c r="MO105" s="1"/>
      <c r="MP105" s="1"/>
      <c r="MQ105" s="1"/>
      <c r="MR105" s="1"/>
      <c r="MS105" s="1"/>
      <c r="MT105" s="1"/>
      <c r="MU105" s="1"/>
      <c r="MV105" s="1"/>
      <c r="MW105" s="1"/>
      <c r="MX105" s="1"/>
      <c r="MY105" s="1"/>
      <c r="MZ105" s="1"/>
      <c r="NA105" s="1"/>
      <c r="NB105" s="1"/>
      <c r="NC105" s="1"/>
      <c r="ND105" s="1"/>
      <c r="NE105" s="1"/>
      <c r="NF105" s="1"/>
      <c r="NG105" s="1"/>
      <c r="NH105" s="1"/>
      <c r="NI105" s="1"/>
      <c r="NJ105" s="1"/>
      <c r="NK105" s="1"/>
      <c r="NL105" s="1"/>
      <c r="NM105" s="1"/>
      <c r="NN105" s="1"/>
      <c r="NO105" s="1"/>
      <c r="NP105" s="1"/>
      <c r="NQ105" s="1"/>
      <c r="NR105" s="1"/>
      <c r="NS105" s="1"/>
      <c r="NT105" s="1"/>
      <c r="NU105" s="1"/>
      <c r="NV105" s="1"/>
      <c r="NW105" s="1"/>
      <c r="NX105" s="1"/>
      <c r="NY105" s="1"/>
      <c r="NZ105" s="1"/>
      <c r="OA105" s="1"/>
      <c r="OB105" s="1"/>
      <c r="OC105" s="1"/>
      <c r="OD105" s="1"/>
      <c r="OE105" s="1"/>
      <c r="OF105" s="1"/>
      <c r="OG105" s="1"/>
      <c r="OH105" s="1"/>
      <c r="OI105" s="1"/>
      <c r="OJ105" s="1"/>
      <c r="OK105" s="1"/>
      <c r="OL105" s="1"/>
      <c r="OM105" s="1"/>
      <c r="ON105" s="1"/>
      <c r="OO105" s="1"/>
      <c r="OP105" s="1"/>
      <c r="OQ105" s="1"/>
      <c r="OR105" s="1"/>
      <c r="OS105" s="1"/>
      <c r="OT105" s="1"/>
      <c r="OU105" s="1"/>
      <c r="OV105" s="1"/>
      <c r="OW105" s="1"/>
      <c r="OX105" s="1"/>
      <c r="OY105" s="1"/>
      <c r="OZ105" s="1"/>
      <c r="PA105" s="1"/>
      <c r="PB105" s="1"/>
      <c r="PC105" s="1"/>
      <c r="PD105" s="1"/>
      <c r="PE105" s="1"/>
      <c r="PF105" s="1"/>
      <c r="PG105" s="1"/>
      <c r="PH105" s="1"/>
      <c r="PI105" s="1"/>
      <c r="PJ105" s="1"/>
      <c r="PK105" s="1"/>
      <c r="PL105" s="1"/>
      <c r="PM105" s="1"/>
      <c r="PN105" s="1"/>
      <c r="PO105" s="1"/>
      <c r="PP105" s="1"/>
      <c r="PQ105" s="1"/>
      <c r="PR105" s="1"/>
      <c r="PS105" s="1"/>
      <c r="PT105" s="1"/>
      <c r="PU105" s="1"/>
      <c r="PV105" s="1"/>
      <c r="PW105" s="1"/>
      <c r="PX105" s="1"/>
      <c r="PY105" s="1"/>
      <c r="PZ105" s="1"/>
      <c r="QA105" s="1"/>
      <c r="QB105" s="1"/>
      <c r="QC105" s="1"/>
      <c r="QD105" s="1"/>
      <c r="QE105" s="1"/>
      <c r="QF105" s="1"/>
      <c r="QG105" s="1"/>
      <c r="QH105" s="1"/>
      <c r="QI105" s="1"/>
      <c r="QJ105" s="1"/>
      <c r="QK105" s="1"/>
      <c r="QL105" s="1"/>
      <c r="QM105" s="1"/>
      <c r="QN105" s="1"/>
      <c r="QO105" s="1"/>
      <c r="QP105" s="1"/>
      <c r="QQ105" s="1"/>
      <c r="QR105" s="1"/>
      <c r="QS105" s="1"/>
      <c r="QT105" s="1"/>
      <c r="QU105" s="1"/>
      <c r="QV105" s="1"/>
      <c r="QW105" s="1"/>
      <c r="QX105" s="1"/>
      <c r="QY105" s="1"/>
      <c r="QZ105" s="1"/>
      <c r="RA105" s="1"/>
      <c r="RB105" s="1"/>
      <c r="RC105" s="1"/>
      <c r="RD105" s="1"/>
      <c r="RE105" s="1"/>
      <c r="RF105" s="1"/>
      <c r="RG105" s="1"/>
      <c r="RH105" s="1"/>
      <c r="RI105" s="1"/>
      <c r="RJ105" s="1"/>
      <c r="RK105" s="1"/>
      <c r="RL105" s="1"/>
      <c r="RM105" s="1"/>
      <c r="RN105" s="1"/>
      <c r="RO105" s="1"/>
      <c r="RP105" s="1"/>
      <c r="RQ105" s="1"/>
      <c r="RR105" s="1"/>
      <c r="RS105" s="1"/>
      <c r="RT105" s="1"/>
      <c r="RU105" s="1"/>
      <c r="RV105" s="1"/>
      <c r="RW105" s="1"/>
      <c r="RX105" s="1"/>
      <c r="RY105" s="1"/>
      <c r="RZ105" s="1"/>
      <c r="SA105" s="1"/>
      <c r="SB105" s="1"/>
      <c r="SC105" s="1"/>
      <c r="SD105" s="1"/>
      <c r="SE105" s="1"/>
      <c r="SF105" s="1"/>
      <c r="SG105" s="1"/>
      <c r="SH105" s="1"/>
      <c r="SI105" s="1"/>
      <c r="SJ105" s="1"/>
      <c r="SK105" s="1"/>
      <c r="SL105" s="1"/>
      <c r="SM105" s="1"/>
      <c r="SN105" s="1"/>
      <c r="SO105" s="1"/>
      <c r="SP105" s="1"/>
      <c r="SQ105" s="1"/>
      <c r="SR105" s="1"/>
      <c r="SS105" s="1"/>
      <c r="ST105" s="1"/>
      <c r="SU105" s="1"/>
      <c r="SV105" s="1"/>
      <c r="SW105" s="1"/>
      <c r="SX105" s="1"/>
      <c r="SY105" s="1"/>
      <c r="SZ105" s="1"/>
      <c r="TA105" s="1"/>
      <c r="TB105" s="1"/>
      <c r="TC105" s="1"/>
      <c r="TD105" s="1"/>
      <c r="TE105" s="1"/>
      <c r="TF105" s="1"/>
      <c r="TG105" s="1"/>
      <c r="TH105" s="1"/>
      <c r="TI105" s="1"/>
      <c r="TJ105" s="1"/>
      <c r="TK105" s="1"/>
      <c r="TL105" s="1"/>
      <c r="TM105" s="1"/>
      <c r="TN105" s="1"/>
      <c r="TO105" s="1"/>
      <c r="TP105" s="1"/>
      <c r="TQ105" s="1"/>
      <c r="TR105" s="1"/>
      <c r="TS105" s="1"/>
      <c r="TT105" s="1"/>
      <c r="TU105" s="1"/>
      <c r="TV105" s="1"/>
      <c r="TW105" s="1"/>
      <c r="TX105" s="1"/>
      <c r="TY105" s="1"/>
      <c r="TZ105" s="1"/>
      <c r="UA105" s="1"/>
      <c r="UB105" s="1"/>
      <c r="UC105" s="1"/>
      <c r="UD105" s="1"/>
      <c r="UE105" s="1"/>
      <c r="UF105" s="1"/>
      <c r="UG105" s="1"/>
      <c r="UH105" s="1"/>
      <c r="UI105" s="1"/>
      <c r="UJ105" s="1"/>
      <c r="UK105" s="1"/>
      <c r="UL105" s="1"/>
      <c r="UM105" s="1"/>
      <c r="UN105" s="1"/>
      <c r="UO105" s="1"/>
      <c r="UP105" s="1"/>
      <c r="UQ105" s="1"/>
      <c r="UR105" s="1"/>
      <c r="US105" s="1"/>
      <c r="UT105" s="1"/>
      <c r="UU105" s="1"/>
      <c r="UV105" s="1"/>
      <c r="UW105" s="1"/>
      <c r="UX105" s="1"/>
      <c r="UY105" s="1"/>
      <c r="UZ105" s="1"/>
      <c r="VA105" s="1"/>
      <c r="VB105" s="1"/>
      <c r="VC105" s="1"/>
      <c r="VD105" s="1"/>
      <c r="VE105" s="1"/>
      <c r="VF105" s="1"/>
      <c r="VG105" s="1"/>
      <c r="VH105" s="1"/>
      <c r="VI105" s="1"/>
      <c r="VJ105" s="1"/>
      <c r="VK105" s="1"/>
      <c r="VL105" s="1"/>
      <c r="VM105" s="1"/>
      <c r="VN105" s="1"/>
      <c r="VO105" s="1"/>
      <c r="VP105" s="1"/>
      <c r="VQ105" s="1"/>
      <c r="VR105" s="1"/>
      <c r="VS105" s="1"/>
      <c r="VT105" s="1"/>
      <c r="VU105" s="1"/>
      <c r="VV105" s="1"/>
      <c r="VW105" s="1"/>
      <c r="VX105" s="1"/>
      <c r="VY105" s="1"/>
      <c r="VZ105" s="1"/>
      <c r="WA105" s="1"/>
      <c r="WB105" s="1"/>
      <c r="WC105" s="1"/>
      <c r="WD105" s="1"/>
      <c r="WE105" s="1"/>
      <c r="WF105" s="1"/>
      <c r="WG105" s="1"/>
      <c r="WH105" s="1"/>
      <c r="WI105" s="1"/>
      <c r="WJ105" s="1"/>
      <c r="WK105" s="1"/>
      <c r="WL105" s="1"/>
      <c r="WM105" s="1"/>
      <c r="WN105" s="1"/>
      <c r="WO105" s="1"/>
      <c r="WP105" s="1"/>
      <c r="WQ105" s="1"/>
      <c r="WR105" s="1"/>
      <c r="WS105" s="1"/>
      <c r="WT105" s="1"/>
      <c r="WU105" s="1"/>
      <c r="WV105" s="1"/>
      <c r="WW105" s="1"/>
      <c r="WX105" s="1"/>
      <c r="WY105" s="1"/>
      <c r="WZ105" s="1"/>
      <c r="XA105" s="1"/>
      <c r="XB105" s="1"/>
      <c r="XC105" s="1"/>
      <c r="XD105" s="1"/>
      <c r="XE105" s="1"/>
      <c r="XF105" s="1"/>
      <c r="XG105" s="1"/>
      <c r="XH105" s="1"/>
      <c r="XI105" s="1"/>
      <c r="XJ105" s="1"/>
      <c r="XK105" s="1"/>
      <c r="XL105" s="1"/>
      <c r="XM105" s="1"/>
      <c r="XN105" s="1"/>
      <c r="XO105" s="1"/>
      <c r="XP105" s="1"/>
      <c r="XQ105" s="1"/>
      <c r="XR105" s="1"/>
      <c r="XS105" s="1"/>
      <c r="XT105" s="1"/>
      <c r="XU105" s="1"/>
      <c r="XV105" s="1"/>
      <c r="XW105" s="1"/>
      <c r="XX105" s="1"/>
      <c r="XY105" s="1"/>
      <c r="XZ105" s="1"/>
      <c r="YA105" s="1"/>
      <c r="YB105" s="1"/>
      <c r="YC105" s="1"/>
      <c r="YD105" s="1"/>
      <c r="YE105" s="1"/>
      <c r="YF105" s="1"/>
      <c r="YG105" s="1"/>
      <c r="YH105" s="1"/>
      <c r="YI105" s="1"/>
      <c r="YJ105" s="1"/>
      <c r="YK105" s="1"/>
      <c r="YL105" s="1"/>
      <c r="YM105" s="1"/>
      <c r="YN105" s="1"/>
      <c r="YO105" s="1"/>
      <c r="YP105" s="1"/>
      <c r="YQ105" s="1"/>
      <c r="YR105" s="1"/>
      <c r="YS105" s="1"/>
      <c r="YT105" s="1"/>
      <c r="YU105" s="1"/>
      <c r="YV105" s="1"/>
      <c r="YW105" s="1"/>
      <c r="YX105" s="1"/>
      <c r="YY105" s="1"/>
      <c r="YZ105" s="1"/>
      <c r="ZA105" s="1"/>
      <c r="ZB105" s="1"/>
      <c r="ZC105" s="1"/>
      <c r="ZD105" s="1"/>
      <c r="ZE105" s="1"/>
      <c r="ZF105" s="1"/>
      <c r="ZG105" s="1"/>
      <c r="ZH105" s="1"/>
      <c r="ZI105" s="1"/>
      <c r="ZJ105" s="1"/>
      <c r="ZK105" s="1"/>
      <c r="ZL105" s="1"/>
      <c r="ZM105" s="1"/>
      <c r="ZN105" s="1"/>
      <c r="ZO105" s="1"/>
      <c r="ZP105" s="1"/>
      <c r="ZQ105" s="1"/>
      <c r="ZR105" s="1"/>
      <c r="ZS105" s="1"/>
      <c r="ZT105" s="1"/>
      <c r="ZU105" s="1"/>
      <c r="ZV105" s="1"/>
      <c r="ZW105" s="1"/>
      <c r="ZX105" s="1"/>
      <c r="ZY105" s="1"/>
      <c r="ZZ105" s="1"/>
      <c r="AAA105" s="1"/>
      <c r="AAB105" s="1"/>
      <c r="AAC105" s="1"/>
      <c r="AAD105" s="1"/>
      <c r="AAE105" s="1"/>
      <c r="AAF105" s="1"/>
      <c r="AAG105" s="1"/>
      <c r="AAH105" s="1"/>
      <c r="AAI105" s="1"/>
      <c r="AAJ105" s="1"/>
      <c r="AAK105" s="1"/>
      <c r="AAL105" s="1"/>
      <c r="AAM105" s="1"/>
      <c r="AAN105" s="1"/>
      <c r="AAO105" s="1"/>
      <c r="AAP105" s="1"/>
      <c r="AAQ105" s="1"/>
      <c r="AAR105" s="1"/>
      <c r="AAS105" s="1"/>
      <c r="AAT105" s="1"/>
      <c r="AAU105" s="1"/>
      <c r="AAV105" s="1"/>
      <c r="AAW105" s="1"/>
      <c r="AAX105" s="1"/>
      <c r="AAY105" s="1"/>
      <c r="AAZ105" s="1"/>
      <c r="ABA105" s="1"/>
      <c r="ABB105" s="1"/>
      <c r="ABC105" s="1"/>
      <c r="ABD105" s="1"/>
      <c r="ABE105" s="1"/>
      <c r="ABF105" s="1"/>
      <c r="ABG105" s="1"/>
      <c r="ABH105" s="1"/>
      <c r="ABI105" s="1"/>
      <c r="ABJ105" s="1"/>
      <c r="ABK105" s="1"/>
      <c r="ABL105" s="1"/>
      <c r="ABM105" s="1"/>
      <c r="ABN105" s="1"/>
      <c r="ABO105" s="1"/>
      <c r="ABP105" s="1"/>
      <c r="ABQ105" s="1"/>
      <c r="ABR105" s="1"/>
      <c r="ABS105" s="1"/>
      <c r="ABT105" s="1"/>
      <c r="ABU105" s="1"/>
      <c r="ABV105" s="1"/>
      <c r="ABW105" s="1"/>
      <c r="ABX105" s="1"/>
      <c r="ABY105" s="1"/>
      <c r="ABZ105" s="1"/>
      <c r="ACA105" s="1"/>
      <c r="ACB105" s="1"/>
      <c r="ACC105" s="1"/>
      <c r="ACD105" s="1"/>
      <c r="ACE105" s="1"/>
      <c r="ACF105" s="1"/>
      <c r="ACG105" s="1"/>
      <c r="ACH105" s="1"/>
      <c r="ACI105" s="1"/>
      <c r="ACJ105" s="1"/>
      <c r="ACK105" s="1"/>
      <c r="ACL105" s="1"/>
      <c r="ACM105" s="1"/>
      <c r="ACN105" s="1"/>
      <c r="ACO105" s="1"/>
      <c r="ACP105" s="1"/>
      <c r="ACQ105" s="1"/>
      <c r="ACR105" s="1"/>
      <c r="ACS105" s="1"/>
      <c r="ACT105" s="1"/>
      <c r="ACU105" s="1"/>
      <c r="ACV105" s="1"/>
      <c r="ACW105" s="1"/>
      <c r="ACX105" s="1"/>
      <c r="ACY105" s="1"/>
      <c r="ACZ105" s="1"/>
      <c r="ADA105" s="1"/>
      <c r="ADB105" s="1"/>
      <c r="ADC105" s="1"/>
      <c r="ADD105" s="1"/>
      <c r="ADE105" s="1"/>
      <c r="ADF105" s="1"/>
      <c r="ADG105" s="1"/>
      <c r="ADH105" s="1"/>
      <c r="ADI105" s="1"/>
      <c r="ADJ105" s="1"/>
      <c r="ADK105" s="1"/>
      <c r="ADL105" s="1"/>
      <c r="ADM105" s="1"/>
      <c r="ADN105" s="1"/>
      <c r="ADO105" s="1"/>
      <c r="ADP105" s="1"/>
      <c r="ADQ105" s="1"/>
      <c r="ADR105" s="1"/>
      <c r="ADS105" s="1"/>
      <c r="ADT105" s="1"/>
      <c r="ADU105" s="1"/>
      <c r="ADV105" s="1"/>
      <c r="ADW105" s="1"/>
      <c r="ADX105" s="1"/>
      <c r="ADY105" s="1"/>
      <c r="ADZ105" s="1"/>
      <c r="AEA105" s="1"/>
      <c r="AEB105" s="1"/>
      <c r="AEC105" s="1"/>
      <c r="AED105" s="1"/>
      <c r="AEE105" s="1"/>
      <c r="AEF105" s="1"/>
      <c r="AEG105" s="1"/>
      <c r="AEH105" s="1"/>
      <c r="AEI105" s="1"/>
      <c r="AEJ105" s="1"/>
      <c r="AEK105" s="1"/>
      <c r="AEL105" s="1"/>
      <c r="AEM105" s="1"/>
      <c r="AEN105" s="1"/>
      <c r="AEO105" s="1"/>
      <c r="AEP105" s="1"/>
      <c r="AEQ105" s="1"/>
      <c r="AER105" s="1"/>
      <c r="AES105" s="1"/>
      <c r="AET105" s="1"/>
      <c r="AEU105" s="1"/>
      <c r="AEV105" s="1"/>
      <c r="AEW105" s="1"/>
      <c r="AEX105" s="1"/>
      <c r="AEY105" s="1"/>
      <c r="AEZ105" s="1"/>
      <c r="AFA105" s="1"/>
      <c r="AFB105" s="1"/>
      <c r="AFC105" s="1"/>
      <c r="AFD105" s="1"/>
      <c r="AFE105" s="1"/>
      <c r="AFF105" s="1"/>
      <c r="AFG105" s="1"/>
      <c r="AFH105" s="1"/>
      <c r="AFI105" s="1"/>
      <c r="AFJ105" s="1"/>
      <c r="AFK105" s="1"/>
      <c r="AFL105" s="1"/>
      <c r="AFM105" s="1"/>
      <c r="AFN105" s="1"/>
      <c r="AFO105" s="1"/>
      <c r="AFP105" s="1"/>
      <c r="AFQ105" s="1"/>
      <c r="AFR105" s="1"/>
      <c r="AFS105" s="1"/>
      <c r="AFT105" s="1"/>
      <c r="AFU105" s="1"/>
      <c r="AFV105" s="1"/>
      <c r="AFW105" s="1"/>
      <c r="AFX105" s="1"/>
      <c r="AFY105" s="1"/>
      <c r="AFZ105" s="1"/>
      <c r="AGA105" s="1"/>
      <c r="AGB105" s="1"/>
      <c r="AGC105" s="1"/>
      <c r="AGD105" s="1"/>
      <c r="AGE105" s="1"/>
      <c r="AGF105" s="1"/>
      <c r="AGG105" s="1"/>
      <c r="AGH105" s="1"/>
      <c r="AGI105" s="1"/>
      <c r="AGJ105" s="1"/>
      <c r="AGK105" s="1"/>
      <c r="AGL105" s="1"/>
      <c r="AGM105" s="1"/>
      <c r="AGN105" s="1"/>
      <c r="AGO105" s="1"/>
      <c r="AGP105" s="1"/>
      <c r="AGQ105" s="1"/>
      <c r="AGR105" s="1"/>
      <c r="AGS105" s="1"/>
      <c r="AGT105" s="1"/>
      <c r="AGU105" s="1"/>
      <c r="AGV105" s="1"/>
      <c r="AGW105" s="1"/>
      <c r="AGX105" s="1"/>
      <c r="AGY105" s="1"/>
      <c r="AGZ105" s="1"/>
      <c r="AHA105" s="1"/>
      <c r="AHB105" s="1"/>
      <c r="AHC105" s="1"/>
      <c r="AHD105" s="1"/>
      <c r="AHE105" s="1"/>
      <c r="AHF105" s="1"/>
      <c r="AHG105" s="1"/>
      <c r="AHH105" s="1"/>
      <c r="AHI105" s="1"/>
      <c r="AHJ105" s="1"/>
      <c r="AHK105" s="1"/>
      <c r="AHL105" s="1"/>
      <c r="AHM105" s="1"/>
      <c r="AHN105" s="1"/>
      <c r="AHO105" s="1"/>
      <c r="AHP105" s="1"/>
      <c r="AHQ105" s="1"/>
      <c r="AHR105" s="1"/>
      <c r="AHS105" s="1"/>
      <c r="AHT105" s="1"/>
      <c r="AHU105" s="1"/>
      <c r="AHV105" s="1"/>
      <c r="AHW105" s="1"/>
      <c r="AHX105" s="1"/>
      <c r="AHY105" s="1"/>
      <c r="AHZ105" s="1"/>
      <c r="AIA105" s="1"/>
      <c r="AIB105" s="1"/>
      <c r="AIC105" s="1"/>
      <c r="AID105" s="1"/>
      <c r="AIE105" s="1"/>
      <c r="AIF105" s="1"/>
      <c r="AIG105" s="1"/>
      <c r="AIH105" s="1"/>
      <c r="AII105" s="1"/>
      <c r="AIJ105" s="1"/>
      <c r="AIK105" s="1"/>
      <c r="AIL105" s="1"/>
      <c r="AIM105" s="1"/>
      <c r="AIN105" s="1"/>
      <c r="AIO105" s="1"/>
      <c r="AIP105" s="1"/>
      <c r="AIQ105" s="1"/>
      <c r="AIR105" s="1"/>
      <c r="AIS105" s="1"/>
      <c r="AIT105" s="1"/>
      <c r="AIU105" s="1"/>
      <c r="AIV105" s="1"/>
      <c r="AIW105" s="1"/>
      <c r="AIX105" s="1"/>
      <c r="AIY105" s="1"/>
      <c r="AIZ105" s="1"/>
      <c r="AJA105" s="1"/>
      <c r="AJB105" s="1"/>
      <c r="AJC105" s="1"/>
      <c r="AJD105" s="1"/>
      <c r="AJE105" s="1"/>
      <c r="AJF105" s="1"/>
      <c r="AJG105" s="1"/>
      <c r="AJH105" s="1"/>
      <c r="AJI105" s="1"/>
      <c r="AJJ105" s="1"/>
      <c r="AJK105" s="1"/>
      <c r="AJL105" s="1"/>
      <c r="AJM105" s="1"/>
      <c r="AJN105" s="1"/>
      <c r="AJO105" s="1"/>
      <c r="AJP105" s="1"/>
      <c r="AJQ105" s="1"/>
      <c r="AJR105" s="1"/>
      <c r="AJS105" s="1"/>
      <c r="AJT105" s="1"/>
      <c r="AJU105" s="1"/>
      <c r="AJV105" s="1"/>
      <c r="AJW105" s="1"/>
      <c r="AJX105" s="1"/>
      <c r="AJY105" s="1"/>
      <c r="AJZ105" s="1"/>
      <c r="AKA105" s="1"/>
      <c r="AKB105" s="1"/>
      <c r="AKC105" s="1"/>
      <c r="AKD105" s="1"/>
      <c r="AKE105" s="1"/>
      <c r="AKF105" s="1"/>
      <c r="AKG105" s="1"/>
      <c r="AKH105" s="1"/>
      <c r="AKI105" s="1"/>
      <c r="AKJ105" s="1"/>
      <c r="AKK105" s="1"/>
      <c r="AKL105" s="1"/>
      <c r="AKM105" s="1"/>
      <c r="AKN105" s="1"/>
      <c r="AKO105" s="1"/>
      <c r="AKP105" s="1"/>
      <c r="AKQ105" s="1"/>
      <c r="AKR105" s="1"/>
      <c r="AKS105" s="1"/>
      <c r="AKT105" s="1"/>
      <c r="AKU105" s="1"/>
      <c r="AKV105" s="1"/>
      <c r="AKW105" s="1"/>
      <c r="AKX105" s="1"/>
      <c r="AKY105" s="1"/>
      <c r="AKZ105" s="1"/>
      <c r="ALA105" s="1"/>
      <c r="ALB105" s="1"/>
      <c r="ALC105" s="1"/>
      <c r="ALD105" s="1"/>
      <c r="ALE105" s="1"/>
      <c r="ALF105" s="1"/>
      <c r="ALG105" s="1"/>
      <c r="ALH105" s="1"/>
      <c r="ALI105" s="1"/>
      <c r="ALJ105" s="1"/>
      <c r="ALK105" s="1"/>
      <c r="ALL105" s="1"/>
      <c r="ALM105" s="1"/>
      <c r="ALN105" s="1"/>
      <c r="ALO105" s="1"/>
      <c r="ALP105" s="1"/>
      <c r="ALQ105" s="1"/>
      <c r="ALR105" s="1"/>
      <c r="ALS105" s="1"/>
      <c r="ALT105" s="1"/>
      <c r="ALU105" s="1"/>
      <c r="ALV105" s="1"/>
      <c r="ALW105" s="1"/>
      <c r="ALX105" s="1"/>
      <c r="ALY105" s="1"/>
      <c r="ALZ105" s="1"/>
      <c r="AMA105" s="1"/>
      <c r="AMB105" s="1"/>
      <c r="AMC105" s="1"/>
      <c r="AMD105" s="1"/>
      <c r="AME105" s="1"/>
      <c r="AMF105" s="1"/>
      <c r="AMG105" s="1"/>
      <c r="AMH105" s="1"/>
      <c r="AMI105" s="1"/>
      <c r="AMJ105" s="1"/>
      <c r="AMK105" s="1"/>
      <c r="AML105" s="1"/>
      <c r="AMM105" s="1"/>
      <c r="AMN105" s="1"/>
    </row>
    <row r="106" spans="1:1028" x14ac:dyDescent="0.2">
      <c r="A106" s="3" t="str">
        <f t="shared" si="222"/>
        <v>ednrb_human__wt</v>
      </c>
      <c r="B106" s="2" t="s">
        <v>196</v>
      </c>
      <c r="C106" s="2" t="s">
        <v>100</v>
      </c>
      <c r="D106" s="3" t="str">
        <f>IFERROR(MID(VLOOKUP($B106,Seqs!$A:$B,2,0),E106,1),"")</f>
        <v>Q</v>
      </c>
      <c r="E106" s="2">
        <v>91</v>
      </c>
      <c r="F106" s="3" t="str">
        <f>IFERROR(MID(VLOOKUP($B106,Seqs!$A:$B,2,0),G106,1),"")</f>
        <v>N</v>
      </c>
      <c r="G106" s="2">
        <v>129</v>
      </c>
      <c r="H106" s="3" t="str">
        <f>IFERROR(MID(VLOOKUP($B106,Seqs!$A:$B,2,0),I106,1),"")</f>
        <v>K</v>
      </c>
      <c r="I106" s="57">
        <v>130</v>
      </c>
      <c r="J106" s="3" t="str">
        <f>IFERROR(MID(VLOOKUP($B106,Seqs!$A:$B,2,0),K106,1),"")</f>
        <v>N</v>
      </c>
      <c r="K106" s="57">
        <v>134</v>
      </c>
      <c r="L106" s="3" t="str">
        <f>IFERROR(MID(VLOOKUP($B106,Seqs!$A:$B,2,0),M106,1),"")</f>
        <v>G</v>
      </c>
      <c r="M106" s="2">
        <v>135</v>
      </c>
      <c r="N106" s="3" t="str">
        <f>IFERROR(MID(VLOOKUP($B106,Seqs!$A:$B,2,0),O106,1),"")</f>
        <v>A</v>
      </c>
      <c r="O106" s="2">
        <v>164</v>
      </c>
      <c r="P106" s="3" t="str">
        <f>IFERROR(MID(VLOOKUP($B106,Seqs!$A:$B,2,0),Q106,1),"")</f>
        <v>D</v>
      </c>
      <c r="Q106" s="2">
        <v>166</v>
      </c>
      <c r="R106" s="3" t="str">
        <f>IFERROR(MID(VLOOKUP($B106,Seqs!$A:$B,2,0),S106,1),"")</f>
        <v>F</v>
      </c>
      <c r="S106" s="2">
        <v>169</v>
      </c>
      <c r="T106" s="3" t="str">
        <f>IFERROR(MID(VLOOKUP($B106,Seqs!$A:$B,2,0),U106,1),"")</f>
        <v>G</v>
      </c>
      <c r="U106" s="4">
        <v>170</v>
      </c>
      <c r="V106" s="3" t="str">
        <f>IFERROR(MID(VLOOKUP($B106,Seqs!$A:$B,2,0),W106,1),"")</f>
        <v>S</v>
      </c>
      <c r="W106" s="2">
        <v>205</v>
      </c>
      <c r="X106" s="3" t="str">
        <f>IFERROR(MID(VLOOKUP($B106,Seqs!$A:$B,2,0),Y106,1),"")</f>
        <v>W</v>
      </c>
      <c r="Y106" s="2">
        <v>206</v>
      </c>
      <c r="Z106" s="3" t="str">
        <f>IFERROR(MID(VLOOKUP($B106,Seqs!$A:$B,2,0),AA106,1),"")</f>
        <v>G</v>
      </c>
      <c r="AA106" s="2">
        <v>213</v>
      </c>
      <c r="AB106" s="3" t="str">
        <f>IFERROR(MID(VLOOKUP($B106,Seqs!$A:$B,2,0),AC106,1),"")</f>
        <v>V</v>
      </c>
      <c r="AC106" s="41">
        <v>214</v>
      </c>
      <c r="AD106" s="3" t="str">
        <f>IFERROR(MID(VLOOKUP($B106,Seqs!$A:$B,2,0),AE106,1),"")</f>
        <v>F</v>
      </c>
      <c r="AE106" s="2">
        <v>240</v>
      </c>
      <c r="AF106" s="3" t="str">
        <f>IFERROR(MID(VLOOKUP($B106,Seqs!$A:$B,2,0),AG106,1),"")</f>
        <v>C</v>
      </c>
      <c r="AG106" s="2">
        <v>255</v>
      </c>
      <c r="AH106" s="3" t="str">
        <f>IFERROR(MID(VLOOKUP($B106,Seqs!$A:$B,2,0),AI106,1),"")</f>
        <v>L</v>
      </c>
      <c r="AI106" s="2">
        <v>257</v>
      </c>
      <c r="AJ106" s="3" t="str">
        <f>IFERROR(MID(VLOOKUP($B106,Seqs!$A:$B,2,0),AK106,1),"")</f>
        <v>A</v>
      </c>
      <c r="AK106" s="2">
        <v>264</v>
      </c>
      <c r="AL106" s="3" t="str">
        <f>IFERROR(MID(VLOOKUP($B106,Seqs!$A:$B,2,0),AM106,1),"")</f>
        <v>M</v>
      </c>
      <c r="AM106" s="2">
        <v>307</v>
      </c>
      <c r="AN106" s="3" t="str">
        <f>IFERROR(MID(VLOOKUP($B106,Seqs!$A:$B,2,0),AO106,1),"")</f>
        <v>N</v>
      </c>
      <c r="AO106" s="2">
        <v>312</v>
      </c>
      <c r="AP106" s="3" t="str">
        <f>IFERROR(MID(VLOOKUP($B106,Seqs!$A:$B,2,0),AQ106,1),"")</f>
        <v>Y</v>
      </c>
      <c r="AQ106" s="2">
        <v>350</v>
      </c>
      <c r="AR106" s="3" t="str">
        <f>IFERROR(MID(VLOOKUP($B106,Seqs!$A:$B,2,0),AS106,1),"")</f>
        <v>R</v>
      </c>
      <c r="AS106" s="2">
        <v>357</v>
      </c>
      <c r="AT106" s="3" t="str">
        <f>IFERROR(MID(VLOOKUP($B106,Seqs!$A:$B,2,0),AU106,1),"")</f>
        <v>V</v>
      </c>
      <c r="AU106" s="2">
        <v>389</v>
      </c>
      <c r="AV106" s="3" t="str">
        <f>IFERROR(MID(VLOOKUP($B106,Seqs!$A:$B,2,0),AW106,1),"")</f>
        <v>S</v>
      </c>
      <c r="AW106" s="2">
        <v>390</v>
      </c>
      <c r="AX106" s="3" t="str">
        <f>IFERROR(MID(VLOOKUP($B106,Seqs!$A:$B,2,0),AY106,1),"")</f>
        <v>C</v>
      </c>
      <c r="AY106" s="2">
        <v>403</v>
      </c>
      <c r="AZ106" s="79" t="str">
        <f>VLOOKUP(B106,Classification!A:D,2,0)</f>
        <v>A</v>
      </c>
      <c r="BA106" s="97" t="str">
        <f>VLOOKUP(B106,Classification!A:D,4,0)</f>
        <v>Endothelin</v>
      </c>
      <c r="BB106" s="27" t="b">
        <f t="shared" si="223"/>
        <v>1</v>
      </c>
      <c r="BC106" s="2"/>
      <c r="BD106" s="35" t="s">
        <v>1379</v>
      </c>
      <c r="BE106" s="3" t="s">
        <v>1381</v>
      </c>
      <c r="BF106" s="50" t="s">
        <v>1379</v>
      </c>
      <c r="BG106" s="50" t="s">
        <v>1384</v>
      </c>
      <c r="BH106" s="2"/>
      <c r="BI106" s="72"/>
      <c r="BT106" s="58"/>
      <c r="BU106" s="72"/>
      <c r="BV106" s="58"/>
      <c r="BW106" s="58"/>
      <c r="BX106" s="58"/>
      <c r="BY106" s="58"/>
      <c r="BZ106" s="58"/>
      <c r="CA106" s="58"/>
      <c r="CB106" s="58"/>
      <c r="CC106" s="58"/>
      <c r="CD106" s="58"/>
      <c r="CE106" s="58"/>
      <c r="CF106" s="58"/>
      <c r="CG106" s="72"/>
      <c r="CH106" s="58"/>
      <c r="CI106" s="58"/>
      <c r="CJ106" s="58"/>
      <c r="CK106" s="58"/>
      <c r="CL106" s="58"/>
      <c r="CM106" s="58"/>
      <c r="CN106" s="58"/>
      <c r="CO106" s="58"/>
      <c r="CP106" s="58"/>
      <c r="CQ106" s="58"/>
      <c r="CR106" s="58"/>
      <c r="CS106" s="2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1"/>
      <c r="KR106" s="1"/>
      <c r="KS106" s="1"/>
      <c r="KT106" s="1"/>
      <c r="KU106" s="1"/>
      <c r="KV106" s="1"/>
      <c r="KW106" s="1"/>
      <c r="KX106" s="1"/>
      <c r="KY106" s="1"/>
      <c r="KZ106" s="1"/>
      <c r="LA106" s="1"/>
      <c r="LB106" s="1"/>
      <c r="LC106" s="1"/>
      <c r="LD106" s="1"/>
      <c r="LE106" s="1"/>
      <c r="LF106" s="1"/>
      <c r="LG106" s="1"/>
      <c r="LH106" s="1"/>
      <c r="LI106" s="1"/>
      <c r="LJ106" s="1"/>
      <c r="LK106" s="1"/>
      <c r="LL106" s="1"/>
      <c r="LM106" s="1"/>
      <c r="LN106" s="1"/>
      <c r="LO106" s="1"/>
      <c r="LP106" s="1"/>
      <c r="LQ106" s="1"/>
      <c r="LR106" s="1"/>
      <c r="LS106" s="1"/>
      <c r="LT106" s="1"/>
      <c r="LU106" s="1"/>
      <c r="LV106" s="1"/>
      <c r="LW106" s="1"/>
      <c r="LX106" s="1"/>
      <c r="LY106" s="1"/>
      <c r="LZ106" s="1"/>
      <c r="MA106" s="1"/>
      <c r="MB106" s="1"/>
      <c r="MC106" s="1"/>
      <c r="MD106" s="1"/>
      <c r="ME106" s="1"/>
      <c r="MF106" s="1"/>
      <c r="MG106" s="1"/>
      <c r="MH106" s="1"/>
      <c r="MI106" s="1"/>
      <c r="MJ106" s="1"/>
      <c r="MK106" s="1"/>
      <c r="ML106" s="1"/>
      <c r="MM106" s="1"/>
      <c r="MN106" s="1"/>
      <c r="MO106" s="1"/>
      <c r="MP106" s="1"/>
      <c r="MQ106" s="1"/>
      <c r="MR106" s="1"/>
      <c r="MS106" s="1"/>
      <c r="MT106" s="1"/>
      <c r="MU106" s="1"/>
      <c r="MV106" s="1"/>
      <c r="MW106" s="1"/>
      <c r="MX106" s="1"/>
      <c r="MY106" s="1"/>
      <c r="MZ106" s="1"/>
      <c r="NA106" s="1"/>
      <c r="NB106" s="1"/>
      <c r="NC106" s="1"/>
      <c r="ND106" s="1"/>
      <c r="NE106" s="1"/>
      <c r="NF106" s="1"/>
      <c r="NG106" s="1"/>
      <c r="NH106" s="1"/>
      <c r="NI106" s="1"/>
      <c r="NJ106" s="1"/>
      <c r="NK106" s="1"/>
      <c r="NL106" s="1"/>
      <c r="NM106" s="1"/>
      <c r="NN106" s="1"/>
      <c r="NO106" s="1"/>
      <c r="NP106" s="1"/>
      <c r="NQ106" s="1"/>
      <c r="NR106" s="1"/>
      <c r="NS106" s="1"/>
      <c r="NT106" s="1"/>
      <c r="NU106" s="1"/>
      <c r="NV106" s="1"/>
      <c r="NW106" s="1"/>
      <c r="NX106" s="1"/>
      <c r="NY106" s="1"/>
      <c r="NZ106" s="1"/>
      <c r="OA106" s="1"/>
      <c r="OB106" s="1"/>
      <c r="OC106" s="1"/>
      <c r="OD106" s="1"/>
      <c r="OE106" s="1"/>
      <c r="OF106" s="1"/>
      <c r="OG106" s="1"/>
      <c r="OH106" s="1"/>
      <c r="OI106" s="1"/>
      <c r="OJ106" s="1"/>
      <c r="OK106" s="1"/>
      <c r="OL106" s="1"/>
      <c r="OM106" s="1"/>
      <c r="ON106" s="1"/>
      <c r="OO106" s="1"/>
      <c r="OP106" s="1"/>
      <c r="OQ106" s="1"/>
      <c r="OR106" s="1"/>
      <c r="OS106" s="1"/>
      <c r="OT106" s="1"/>
      <c r="OU106" s="1"/>
      <c r="OV106" s="1"/>
      <c r="OW106" s="1"/>
      <c r="OX106" s="1"/>
      <c r="OY106" s="1"/>
      <c r="OZ106" s="1"/>
      <c r="PA106" s="1"/>
      <c r="PB106" s="1"/>
      <c r="PC106" s="1"/>
      <c r="PD106" s="1"/>
      <c r="PE106" s="1"/>
      <c r="PF106" s="1"/>
      <c r="PG106" s="1"/>
      <c r="PH106" s="1"/>
      <c r="PI106" s="1"/>
      <c r="PJ106" s="1"/>
      <c r="PK106" s="1"/>
      <c r="PL106" s="1"/>
      <c r="PM106" s="1"/>
      <c r="PN106" s="1"/>
      <c r="PO106" s="1"/>
      <c r="PP106" s="1"/>
      <c r="PQ106" s="1"/>
      <c r="PR106" s="1"/>
      <c r="PS106" s="1"/>
      <c r="PT106" s="1"/>
      <c r="PU106" s="1"/>
      <c r="PV106" s="1"/>
      <c r="PW106" s="1"/>
      <c r="PX106" s="1"/>
      <c r="PY106" s="1"/>
      <c r="PZ106" s="1"/>
      <c r="QA106" s="1"/>
      <c r="QB106" s="1"/>
      <c r="QC106" s="1"/>
      <c r="QD106" s="1"/>
      <c r="QE106" s="1"/>
      <c r="QF106" s="1"/>
      <c r="QG106" s="1"/>
      <c r="QH106" s="1"/>
      <c r="QI106" s="1"/>
      <c r="QJ106" s="1"/>
      <c r="QK106" s="1"/>
      <c r="QL106" s="1"/>
      <c r="QM106" s="1"/>
      <c r="QN106" s="1"/>
      <c r="QO106" s="1"/>
      <c r="QP106" s="1"/>
      <c r="QQ106" s="1"/>
      <c r="QR106" s="1"/>
      <c r="QS106" s="1"/>
      <c r="QT106" s="1"/>
      <c r="QU106" s="1"/>
      <c r="QV106" s="1"/>
      <c r="QW106" s="1"/>
      <c r="QX106" s="1"/>
      <c r="QY106" s="1"/>
      <c r="QZ106" s="1"/>
      <c r="RA106" s="1"/>
      <c r="RB106" s="1"/>
      <c r="RC106" s="1"/>
      <c r="RD106" s="1"/>
      <c r="RE106" s="1"/>
      <c r="RF106" s="1"/>
      <c r="RG106" s="1"/>
      <c r="RH106" s="1"/>
      <c r="RI106" s="1"/>
      <c r="RJ106" s="1"/>
      <c r="RK106" s="1"/>
      <c r="RL106" s="1"/>
      <c r="RM106" s="1"/>
      <c r="RN106" s="1"/>
      <c r="RO106" s="1"/>
      <c r="RP106" s="1"/>
      <c r="RQ106" s="1"/>
      <c r="RR106" s="1"/>
      <c r="RS106" s="1"/>
      <c r="RT106" s="1"/>
      <c r="RU106" s="1"/>
      <c r="RV106" s="1"/>
      <c r="RW106" s="1"/>
      <c r="RX106" s="1"/>
      <c r="RY106" s="1"/>
      <c r="RZ106" s="1"/>
      <c r="SA106" s="1"/>
      <c r="SB106" s="1"/>
      <c r="SC106" s="1"/>
      <c r="SD106" s="1"/>
      <c r="SE106" s="1"/>
      <c r="SF106" s="1"/>
      <c r="SG106" s="1"/>
      <c r="SH106" s="1"/>
      <c r="SI106" s="1"/>
      <c r="SJ106" s="1"/>
      <c r="SK106" s="1"/>
      <c r="SL106" s="1"/>
      <c r="SM106" s="1"/>
      <c r="SN106" s="1"/>
      <c r="SO106" s="1"/>
      <c r="SP106" s="1"/>
      <c r="SQ106" s="1"/>
      <c r="SR106" s="1"/>
      <c r="SS106" s="1"/>
      <c r="ST106" s="1"/>
      <c r="SU106" s="1"/>
      <c r="SV106" s="1"/>
      <c r="SW106" s="1"/>
      <c r="SX106" s="1"/>
      <c r="SY106" s="1"/>
      <c r="SZ106" s="1"/>
      <c r="TA106" s="1"/>
      <c r="TB106" s="1"/>
      <c r="TC106" s="1"/>
      <c r="TD106" s="1"/>
      <c r="TE106" s="1"/>
      <c r="TF106" s="1"/>
      <c r="TG106" s="1"/>
      <c r="TH106" s="1"/>
      <c r="TI106" s="1"/>
      <c r="TJ106" s="1"/>
      <c r="TK106" s="1"/>
      <c r="TL106" s="1"/>
      <c r="TM106" s="1"/>
      <c r="TN106" s="1"/>
      <c r="TO106" s="1"/>
      <c r="TP106" s="1"/>
      <c r="TQ106" s="1"/>
      <c r="TR106" s="1"/>
      <c r="TS106" s="1"/>
      <c r="TT106" s="1"/>
      <c r="TU106" s="1"/>
      <c r="TV106" s="1"/>
      <c r="TW106" s="1"/>
      <c r="TX106" s="1"/>
      <c r="TY106" s="1"/>
      <c r="TZ106" s="1"/>
      <c r="UA106" s="1"/>
      <c r="UB106" s="1"/>
      <c r="UC106" s="1"/>
      <c r="UD106" s="1"/>
      <c r="UE106" s="1"/>
      <c r="UF106" s="1"/>
      <c r="UG106" s="1"/>
      <c r="UH106" s="1"/>
      <c r="UI106" s="1"/>
      <c r="UJ106" s="1"/>
      <c r="UK106" s="1"/>
      <c r="UL106" s="1"/>
      <c r="UM106" s="1"/>
      <c r="UN106" s="1"/>
      <c r="UO106" s="1"/>
      <c r="UP106" s="1"/>
      <c r="UQ106" s="1"/>
      <c r="UR106" s="1"/>
      <c r="US106" s="1"/>
      <c r="UT106" s="1"/>
      <c r="UU106" s="1"/>
      <c r="UV106" s="1"/>
      <c r="UW106" s="1"/>
      <c r="UX106" s="1"/>
      <c r="UY106" s="1"/>
      <c r="UZ106" s="1"/>
      <c r="VA106" s="1"/>
      <c r="VB106" s="1"/>
      <c r="VC106" s="1"/>
      <c r="VD106" s="1"/>
      <c r="VE106" s="1"/>
      <c r="VF106" s="1"/>
      <c r="VG106" s="1"/>
      <c r="VH106" s="1"/>
      <c r="VI106" s="1"/>
      <c r="VJ106" s="1"/>
      <c r="VK106" s="1"/>
      <c r="VL106" s="1"/>
      <c r="VM106" s="1"/>
      <c r="VN106" s="1"/>
      <c r="VO106" s="1"/>
      <c r="VP106" s="1"/>
      <c r="VQ106" s="1"/>
      <c r="VR106" s="1"/>
      <c r="VS106" s="1"/>
      <c r="VT106" s="1"/>
      <c r="VU106" s="1"/>
      <c r="VV106" s="1"/>
      <c r="VW106" s="1"/>
      <c r="VX106" s="1"/>
      <c r="VY106" s="1"/>
      <c r="VZ106" s="1"/>
      <c r="WA106" s="1"/>
      <c r="WB106" s="1"/>
      <c r="WC106" s="1"/>
      <c r="WD106" s="1"/>
      <c r="WE106" s="1"/>
      <c r="WF106" s="1"/>
      <c r="WG106" s="1"/>
      <c r="WH106" s="1"/>
      <c r="WI106" s="1"/>
      <c r="WJ106" s="1"/>
      <c r="WK106" s="1"/>
      <c r="WL106" s="1"/>
      <c r="WM106" s="1"/>
      <c r="WN106" s="1"/>
      <c r="WO106" s="1"/>
      <c r="WP106" s="1"/>
      <c r="WQ106" s="1"/>
      <c r="WR106" s="1"/>
      <c r="WS106" s="1"/>
      <c r="WT106" s="1"/>
      <c r="WU106" s="1"/>
      <c r="WV106" s="1"/>
      <c r="WW106" s="1"/>
      <c r="WX106" s="1"/>
      <c r="WY106" s="1"/>
      <c r="WZ106" s="1"/>
      <c r="XA106" s="1"/>
      <c r="XB106" s="1"/>
      <c r="XC106" s="1"/>
      <c r="XD106" s="1"/>
      <c r="XE106" s="1"/>
      <c r="XF106" s="1"/>
      <c r="XG106" s="1"/>
      <c r="XH106" s="1"/>
      <c r="XI106" s="1"/>
      <c r="XJ106" s="1"/>
      <c r="XK106" s="1"/>
      <c r="XL106" s="1"/>
      <c r="XM106" s="1"/>
      <c r="XN106" s="1"/>
      <c r="XO106" s="1"/>
      <c r="XP106" s="1"/>
      <c r="XQ106" s="1"/>
      <c r="XR106" s="1"/>
      <c r="XS106" s="1"/>
      <c r="XT106" s="1"/>
      <c r="XU106" s="1"/>
      <c r="XV106" s="1"/>
      <c r="XW106" s="1"/>
      <c r="XX106" s="1"/>
      <c r="XY106" s="1"/>
      <c r="XZ106" s="1"/>
      <c r="YA106" s="1"/>
      <c r="YB106" s="1"/>
      <c r="YC106" s="1"/>
      <c r="YD106" s="1"/>
      <c r="YE106" s="1"/>
      <c r="YF106" s="1"/>
      <c r="YG106" s="1"/>
      <c r="YH106" s="1"/>
      <c r="YI106" s="1"/>
      <c r="YJ106" s="1"/>
      <c r="YK106" s="1"/>
      <c r="YL106" s="1"/>
      <c r="YM106" s="1"/>
      <c r="YN106" s="1"/>
      <c r="YO106" s="1"/>
      <c r="YP106" s="1"/>
      <c r="YQ106" s="1"/>
      <c r="YR106" s="1"/>
      <c r="YS106" s="1"/>
      <c r="YT106" s="1"/>
      <c r="YU106" s="1"/>
      <c r="YV106" s="1"/>
      <c r="YW106" s="1"/>
      <c r="YX106" s="1"/>
      <c r="YY106" s="1"/>
      <c r="YZ106" s="1"/>
      <c r="ZA106" s="1"/>
      <c r="ZB106" s="1"/>
      <c r="ZC106" s="1"/>
      <c r="ZD106" s="1"/>
      <c r="ZE106" s="1"/>
      <c r="ZF106" s="1"/>
      <c r="ZG106" s="1"/>
      <c r="ZH106" s="1"/>
      <c r="ZI106" s="1"/>
      <c r="ZJ106" s="1"/>
      <c r="ZK106" s="1"/>
      <c r="ZL106" s="1"/>
      <c r="ZM106" s="1"/>
      <c r="ZN106" s="1"/>
      <c r="ZO106" s="1"/>
      <c r="ZP106" s="1"/>
      <c r="ZQ106" s="1"/>
      <c r="ZR106" s="1"/>
      <c r="ZS106" s="1"/>
      <c r="ZT106" s="1"/>
      <c r="ZU106" s="1"/>
      <c r="ZV106" s="1"/>
      <c r="ZW106" s="1"/>
      <c r="ZX106" s="1"/>
      <c r="ZY106" s="1"/>
      <c r="ZZ106" s="1"/>
      <c r="AAA106" s="1"/>
      <c r="AAB106" s="1"/>
      <c r="AAC106" s="1"/>
      <c r="AAD106" s="1"/>
      <c r="AAE106" s="1"/>
      <c r="AAF106" s="1"/>
      <c r="AAG106" s="1"/>
      <c r="AAH106" s="1"/>
      <c r="AAI106" s="1"/>
      <c r="AAJ106" s="1"/>
      <c r="AAK106" s="1"/>
      <c r="AAL106" s="1"/>
      <c r="AAM106" s="1"/>
      <c r="AAN106" s="1"/>
      <c r="AAO106" s="1"/>
      <c r="AAP106" s="1"/>
      <c r="AAQ106" s="1"/>
      <c r="AAR106" s="1"/>
      <c r="AAS106" s="1"/>
      <c r="AAT106" s="1"/>
      <c r="AAU106" s="1"/>
      <c r="AAV106" s="1"/>
      <c r="AAW106" s="1"/>
      <c r="AAX106" s="1"/>
      <c r="AAY106" s="1"/>
      <c r="AAZ106" s="1"/>
      <c r="ABA106" s="1"/>
      <c r="ABB106" s="1"/>
      <c r="ABC106" s="1"/>
      <c r="ABD106" s="1"/>
      <c r="ABE106" s="1"/>
      <c r="ABF106" s="1"/>
      <c r="ABG106" s="1"/>
      <c r="ABH106" s="1"/>
      <c r="ABI106" s="1"/>
      <c r="ABJ106" s="1"/>
      <c r="ABK106" s="1"/>
      <c r="ABL106" s="1"/>
      <c r="ABM106" s="1"/>
      <c r="ABN106" s="1"/>
      <c r="ABO106" s="1"/>
      <c r="ABP106" s="1"/>
      <c r="ABQ106" s="1"/>
      <c r="ABR106" s="1"/>
      <c r="ABS106" s="1"/>
      <c r="ABT106" s="1"/>
      <c r="ABU106" s="1"/>
      <c r="ABV106" s="1"/>
      <c r="ABW106" s="1"/>
      <c r="ABX106" s="1"/>
      <c r="ABY106" s="1"/>
      <c r="ABZ106" s="1"/>
      <c r="ACA106" s="1"/>
      <c r="ACB106" s="1"/>
      <c r="ACC106" s="1"/>
      <c r="ACD106" s="1"/>
      <c r="ACE106" s="1"/>
      <c r="ACF106" s="1"/>
      <c r="ACG106" s="1"/>
      <c r="ACH106" s="1"/>
      <c r="ACI106" s="1"/>
      <c r="ACJ106" s="1"/>
      <c r="ACK106" s="1"/>
      <c r="ACL106" s="1"/>
      <c r="ACM106" s="1"/>
      <c r="ACN106" s="1"/>
      <c r="ACO106" s="1"/>
      <c r="ACP106" s="1"/>
      <c r="ACQ106" s="1"/>
      <c r="ACR106" s="1"/>
      <c r="ACS106" s="1"/>
      <c r="ACT106" s="1"/>
      <c r="ACU106" s="1"/>
      <c r="ACV106" s="1"/>
      <c r="ACW106" s="1"/>
      <c r="ACX106" s="1"/>
      <c r="ACY106" s="1"/>
      <c r="ACZ106" s="1"/>
      <c r="ADA106" s="1"/>
      <c r="ADB106" s="1"/>
      <c r="ADC106" s="1"/>
      <c r="ADD106" s="1"/>
      <c r="ADE106" s="1"/>
      <c r="ADF106" s="1"/>
      <c r="ADG106" s="1"/>
      <c r="ADH106" s="1"/>
      <c r="ADI106" s="1"/>
      <c r="ADJ106" s="1"/>
      <c r="ADK106" s="1"/>
      <c r="ADL106" s="1"/>
      <c r="ADM106" s="1"/>
      <c r="ADN106" s="1"/>
      <c r="ADO106" s="1"/>
      <c r="ADP106" s="1"/>
      <c r="ADQ106" s="1"/>
      <c r="ADR106" s="1"/>
      <c r="ADS106" s="1"/>
      <c r="ADT106" s="1"/>
      <c r="ADU106" s="1"/>
      <c r="ADV106" s="1"/>
      <c r="ADW106" s="1"/>
      <c r="ADX106" s="1"/>
      <c r="ADY106" s="1"/>
      <c r="ADZ106" s="1"/>
      <c r="AEA106" s="1"/>
      <c r="AEB106" s="1"/>
      <c r="AEC106" s="1"/>
      <c r="AED106" s="1"/>
      <c r="AEE106" s="1"/>
      <c r="AEF106" s="1"/>
      <c r="AEG106" s="1"/>
      <c r="AEH106" s="1"/>
      <c r="AEI106" s="1"/>
      <c r="AEJ106" s="1"/>
      <c r="AEK106" s="1"/>
      <c r="AEL106" s="1"/>
      <c r="AEM106" s="1"/>
      <c r="AEN106" s="1"/>
      <c r="AEO106" s="1"/>
      <c r="AEP106" s="1"/>
      <c r="AEQ106" s="1"/>
      <c r="AER106" s="1"/>
      <c r="AES106" s="1"/>
      <c r="AET106" s="1"/>
      <c r="AEU106" s="1"/>
      <c r="AEV106" s="1"/>
      <c r="AEW106" s="1"/>
      <c r="AEX106" s="1"/>
      <c r="AEY106" s="1"/>
      <c r="AEZ106" s="1"/>
      <c r="AFA106" s="1"/>
      <c r="AFB106" s="1"/>
      <c r="AFC106" s="1"/>
      <c r="AFD106" s="1"/>
      <c r="AFE106" s="1"/>
      <c r="AFF106" s="1"/>
      <c r="AFG106" s="1"/>
      <c r="AFH106" s="1"/>
      <c r="AFI106" s="1"/>
      <c r="AFJ106" s="1"/>
      <c r="AFK106" s="1"/>
      <c r="AFL106" s="1"/>
      <c r="AFM106" s="1"/>
      <c r="AFN106" s="1"/>
      <c r="AFO106" s="1"/>
      <c r="AFP106" s="1"/>
      <c r="AFQ106" s="1"/>
      <c r="AFR106" s="1"/>
      <c r="AFS106" s="1"/>
      <c r="AFT106" s="1"/>
      <c r="AFU106" s="1"/>
      <c r="AFV106" s="1"/>
      <c r="AFW106" s="1"/>
      <c r="AFX106" s="1"/>
      <c r="AFY106" s="1"/>
      <c r="AFZ106" s="1"/>
      <c r="AGA106" s="1"/>
      <c r="AGB106" s="1"/>
      <c r="AGC106" s="1"/>
      <c r="AGD106" s="1"/>
      <c r="AGE106" s="1"/>
      <c r="AGF106" s="1"/>
      <c r="AGG106" s="1"/>
      <c r="AGH106" s="1"/>
      <c r="AGI106" s="1"/>
      <c r="AGJ106" s="1"/>
      <c r="AGK106" s="1"/>
      <c r="AGL106" s="1"/>
      <c r="AGM106" s="1"/>
      <c r="AGN106" s="1"/>
      <c r="AGO106" s="1"/>
      <c r="AGP106" s="1"/>
      <c r="AGQ106" s="1"/>
      <c r="AGR106" s="1"/>
      <c r="AGS106" s="1"/>
      <c r="AGT106" s="1"/>
      <c r="AGU106" s="1"/>
      <c r="AGV106" s="1"/>
      <c r="AGW106" s="1"/>
      <c r="AGX106" s="1"/>
      <c r="AGY106" s="1"/>
      <c r="AGZ106" s="1"/>
      <c r="AHA106" s="1"/>
      <c r="AHB106" s="1"/>
      <c r="AHC106" s="1"/>
      <c r="AHD106" s="1"/>
      <c r="AHE106" s="1"/>
      <c r="AHF106" s="1"/>
      <c r="AHG106" s="1"/>
      <c r="AHH106" s="1"/>
      <c r="AHI106" s="1"/>
      <c r="AHJ106" s="1"/>
      <c r="AHK106" s="1"/>
      <c r="AHL106" s="1"/>
      <c r="AHM106" s="1"/>
      <c r="AHN106" s="1"/>
      <c r="AHO106" s="1"/>
      <c r="AHP106" s="1"/>
      <c r="AHQ106" s="1"/>
      <c r="AHR106" s="1"/>
      <c r="AHS106" s="1"/>
      <c r="AHT106" s="1"/>
      <c r="AHU106" s="1"/>
      <c r="AHV106" s="1"/>
      <c r="AHW106" s="1"/>
      <c r="AHX106" s="1"/>
      <c r="AHY106" s="1"/>
      <c r="AHZ106" s="1"/>
      <c r="AIA106" s="1"/>
      <c r="AIB106" s="1"/>
      <c r="AIC106" s="1"/>
      <c r="AID106" s="1"/>
      <c r="AIE106" s="1"/>
      <c r="AIF106" s="1"/>
      <c r="AIG106" s="1"/>
      <c r="AIH106" s="1"/>
      <c r="AII106" s="1"/>
      <c r="AIJ106" s="1"/>
      <c r="AIK106" s="1"/>
      <c r="AIL106" s="1"/>
      <c r="AIM106" s="1"/>
      <c r="AIN106" s="1"/>
      <c r="AIO106" s="1"/>
      <c r="AIP106" s="1"/>
      <c r="AIQ106" s="1"/>
      <c r="AIR106" s="1"/>
      <c r="AIS106" s="1"/>
      <c r="AIT106" s="1"/>
      <c r="AIU106" s="1"/>
      <c r="AIV106" s="1"/>
      <c r="AIW106" s="1"/>
      <c r="AIX106" s="1"/>
      <c r="AIY106" s="1"/>
      <c r="AIZ106" s="1"/>
      <c r="AJA106" s="1"/>
      <c r="AJB106" s="1"/>
      <c r="AJC106" s="1"/>
      <c r="AJD106" s="1"/>
      <c r="AJE106" s="1"/>
      <c r="AJF106" s="1"/>
      <c r="AJG106" s="1"/>
      <c r="AJH106" s="1"/>
      <c r="AJI106" s="1"/>
      <c r="AJJ106" s="1"/>
      <c r="AJK106" s="1"/>
      <c r="AJL106" s="1"/>
      <c r="AJM106" s="1"/>
      <c r="AJN106" s="1"/>
      <c r="AJO106" s="1"/>
      <c r="AJP106" s="1"/>
      <c r="AJQ106" s="1"/>
      <c r="AJR106" s="1"/>
      <c r="AJS106" s="1"/>
      <c r="AJT106" s="1"/>
      <c r="AJU106" s="1"/>
      <c r="AJV106" s="1"/>
      <c r="AJW106" s="1"/>
      <c r="AJX106" s="1"/>
      <c r="AJY106" s="1"/>
      <c r="AJZ106" s="1"/>
      <c r="AKA106" s="1"/>
      <c r="AKB106" s="1"/>
      <c r="AKC106" s="1"/>
      <c r="AKD106" s="1"/>
      <c r="AKE106" s="1"/>
      <c r="AKF106" s="1"/>
      <c r="AKG106" s="1"/>
      <c r="AKH106" s="1"/>
      <c r="AKI106" s="1"/>
      <c r="AKJ106" s="1"/>
      <c r="AKK106" s="1"/>
      <c r="AKL106" s="1"/>
      <c r="AKM106" s="1"/>
      <c r="AKN106" s="1"/>
      <c r="AKO106" s="1"/>
      <c r="AKP106" s="1"/>
      <c r="AKQ106" s="1"/>
      <c r="AKR106" s="1"/>
      <c r="AKS106" s="1"/>
      <c r="AKT106" s="1"/>
      <c r="AKU106" s="1"/>
      <c r="AKV106" s="1"/>
      <c r="AKW106" s="1"/>
      <c r="AKX106" s="1"/>
      <c r="AKY106" s="1"/>
      <c r="AKZ106" s="1"/>
      <c r="ALA106" s="1"/>
      <c r="ALB106" s="1"/>
      <c r="ALC106" s="1"/>
      <c r="ALD106" s="1"/>
      <c r="ALE106" s="1"/>
      <c r="ALF106" s="1"/>
      <c r="ALG106" s="1"/>
      <c r="ALH106" s="1"/>
      <c r="ALI106" s="1"/>
      <c r="ALJ106" s="1"/>
      <c r="ALK106" s="1"/>
      <c r="ALL106" s="1"/>
      <c r="ALM106" s="1"/>
      <c r="ALN106" s="1"/>
      <c r="ALO106" s="1"/>
      <c r="ALP106" s="1"/>
      <c r="ALQ106" s="1"/>
      <c r="ALR106" s="1"/>
      <c r="ALS106" s="1"/>
      <c r="ALT106" s="1"/>
      <c r="ALU106" s="1"/>
      <c r="ALV106" s="1"/>
      <c r="ALW106" s="1"/>
      <c r="ALX106" s="1"/>
      <c r="ALY106" s="1"/>
      <c r="ALZ106" s="1"/>
      <c r="AMA106" s="1"/>
      <c r="AMB106" s="1"/>
      <c r="AMC106" s="1"/>
      <c r="AMD106" s="1"/>
      <c r="AME106" s="1"/>
      <c r="AMF106" s="1"/>
      <c r="AMG106" s="1"/>
      <c r="AMH106" s="1"/>
      <c r="AMI106" s="1"/>
      <c r="AMJ106" s="1"/>
      <c r="AMK106" s="1"/>
      <c r="AML106" s="1"/>
      <c r="AMM106" s="1"/>
      <c r="AMN106" s="1"/>
    </row>
    <row r="107" spans="1:1028" x14ac:dyDescent="0.2">
      <c r="A107" s="3" t="str">
        <f t="shared" si="222"/>
        <v>ednrb_human_5GLH</v>
      </c>
      <c r="B107" s="2" t="s">
        <v>196</v>
      </c>
      <c r="C107" s="2" t="s">
        <v>1334</v>
      </c>
      <c r="D107" s="3" t="str">
        <f>IFERROR(MID(VLOOKUP($B107,Seqs!$A:$B,2,0),E107,1),"")</f>
        <v>K</v>
      </c>
      <c r="E107" s="2">
        <v>97</v>
      </c>
      <c r="F107" s="3" t="str">
        <f>IFERROR(MID(VLOOKUP($B107,Seqs!$A:$B,2,0),G107,1),"")</f>
        <v>N</v>
      </c>
      <c r="G107" s="2">
        <v>129</v>
      </c>
      <c r="H107" s="3" t="str">
        <f>IFERROR(MID(VLOOKUP($B107,Seqs!$A:$B,2,0),I107,1),"")</f>
        <v/>
      </c>
      <c r="I107" s="57" t="s">
        <v>23</v>
      </c>
      <c r="J107" s="3" t="str">
        <f>IFERROR(MID(VLOOKUP($B107,Seqs!$A:$B,2,0),K107,1),"")</f>
        <v/>
      </c>
      <c r="K107" s="57" t="s">
        <v>23</v>
      </c>
      <c r="L107" s="3" t="str">
        <f>IFERROR(MID(VLOOKUP($B107,Seqs!$A:$B,2,0),M107,1),"")</f>
        <v>P</v>
      </c>
      <c r="M107" s="2">
        <v>136</v>
      </c>
      <c r="N107" s="3" t="str">
        <f>IFERROR(MID(VLOOKUP($B107,Seqs!$A:$B,2,0),O107,1),"")</f>
        <v>A</v>
      </c>
      <c r="O107" s="2">
        <v>164</v>
      </c>
      <c r="P107" s="3" t="str">
        <f>IFERROR(MID(VLOOKUP($B107,Seqs!$A:$B,2,0),Q107,1),"")</f>
        <v>D</v>
      </c>
      <c r="Q107" s="2">
        <v>166</v>
      </c>
      <c r="R107" s="3" t="str">
        <f>IFERROR(MID(VLOOKUP($B107,Seqs!$A:$B,2,0),S107,1),"")</f>
        <v>F</v>
      </c>
      <c r="S107" s="2">
        <v>169</v>
      </c>
      <c r="T107" s="3" t="str">
        <f>IFERROR(MID(VLOOKUP($B107,Seqs!$A:$B,2,0),U107,1),"")</f>
        <v>G</v>
      </c>
      <c r="U107" s="4">
        <v>170</v>
      </c>
      <c r="V107" s="3" t="str">
        <f>IFERROR(MID(VLOOKUP($B107,Seqs!$A:$B,2,0),W107,1),"")</f>
        <v>S</v>
      </c>
      <c r="W107" s="2">
        <v>205</v>
      </c>
      <c r="X107" s="3" t="str">
        <f>IFERROR(MID(VLOOKUP($B107,Seqs!$A:$B,2,0),Y107,1),"")</f>
        <v/>
      </c>
      <c r="Y107" s="2" t="s">
        <v>23</v>
      </c>
      <c r="Z107" s="3" t="str">
        <f>IFERROR(MID(VLOOKUP($B107,Seqs!$A:$B,2,0),AA107,1),"")</f>
        <v/>
      </c>
      <c r="AA107" s="2" t="s">
        <v>23</v>
      </c>
      <c r="AB107" s="3" t="str">
        <f>IFERROR(MID(VLOOKUP($B107,Seqs!$A:$B,2,0),AC107,1),"")</f>
        <v>T</v>
      </c>
      <c r="AC107" s="41">
        <v>218</v>
      </c>
      <c r="AD107" s="3" t="str">
        <f>IFERROR(MID(VLOOKUP($B107,Seqs!$A:$B,2,0),AE107,1),"")</f>
        <v>F</v>
      </c>
      <c r="AE107" s="2">
        <v>240</v>
      </c>
      <c r="AF107" s="3" t="str">
        <f>IFERROR(MID(VLOOKUP($B107,Seqs!$A:$B,2,0),AG107,1),"")</f>
        <v>C</v>
      </c>
      <c r="AG107" s="2">
        <v>255</v>
      </c>
      <c r="AH107" s="3" t="str">
        <f>IFERROR(MID(VLOOKUP($B107,Seqs!$A:$B,2,0),AI107,1),"")</f>
        <v>L</v>
      </c>
      <c r="AI107" s="2">
        <v>257</v>
      </c>
      <c r="AJ107" s="3" t="str">
        <f>IFERROR(MID(VLOOKUP($B107,Seqs!$A:$B,2,0),AK107,1),"")</f>
        <v>A</v>
      </c>
      <c r="AK107" s="2">
        <v>264</v>
      </c>
      <c r="AL107" s="3" t="str">
        <f>IFERROR(MID(VLOOKUP($B107,Seqs!$A:$B,2,0),AM107,1),"")</f>
        <v>K</v>
      </c>
      <c r="AM107" s="2">
        <v>303</v>
      </c>
      <c r="AN107" s="3" t="str">
        <f>IFERROR(MID(VLOOKUP($B107,Seqs!$A:$B,2,0),AO107,1),"")</f>
        <v>N</v>
      </c>
      <c r="AO107" s="2">
        <v>312</v>
      </c>
      <c r="AP107" s="3" t="str">
        <f>IFERROR(MID(VLOOKUP($B107,Seqs!$A:$B,2,0),AQ107,1),"")</f>
        <v>Y</v>
      </c>
      <c r="AQ107" s="2">
        <v>350</v>
      </c>
      <c r="AR107" s="3" t="str">
        <f>IFERROR(MID(VLOOKUP($B107,Seqs!$A:$B,2,0),AS107,1),"")</f>
        <v>R</v>
      </c>
      <c r="AS107" s="2">
        <v>357</v>
      </c>
      <c r="AT107" s="3" t="str">
        <f>IFERROR(MID(VLOOKUP($B107,Seqs!$A:$B,2,0),AU107,1),"")</f>
        <v>V</v>
      </c>
      <c r="AU107" s="2">
        <v>389</v>
      </c>
      <c r="AV107" s="3" t="str">
        <f>IFERROR(MID(VLOOKUP($B107,Seqs!$A:$B,2,0),AW107,1),"")</f>
        <v>S</v>
      </c>
      <c r="AW107" s="2">
        <v>390</v>
      </c>
      <c r="AX107" s="3" t="str">
        <f>IFERROR(MID(VLOOKUP($B107,Seqs!$A:$B,2,0),AY107,1),"")</f>
        <v>L</v>
      </c>
      <c r="AY107" s="2">
        <v>401</v>
      </c>
      <c r="AZ107" s="79" t="str">
        <f>VLOOKUP(B107,Classification!A:D,2,0)</f>
        <v>A</v>
      </c>
      <c r="BA107" s="97" t="str">
        <f>VLOOKUP(B107,Classification!A:D,4,0)</f>
        <v>Endothelin</v>
      </c>
      <c r="BB107" s="27" t="b">
        <f t="shared" si="223"/>
        <v>1</v>
      </c>
      <c r="BC107" s="23">
        <f t="shared" ref="BC107:BC141" si="473">_xlfn.AGGREGATE(9,6,CG107:CR107)-_xlfn.AGGREGATE(9,6,BU107:CF107)+12</f>
        <v>254</v>
      </c>
      <c r="BD107" s="2" t="s">
        <v>23</v>
      </c>
      <c r="BE107" s="3" t="s">
        <v>1381</v>
      </c>
      <c r="BF107" s="50" t="s">
        <v>1384</v>
      </c>
      <c r="BG107" s="50" t="s">
        <v>1384</v>
      </c>
      <c r="BH107" s="2"/>
      <c r="BI107" s="72" t="s">
        <v>1293</v>
      </c>
      <c r="BJ107" s="58" t="s">
        <v>1293</v>
      </c>
      <c r="BK107" s="58" t="s">
        <v>1293</v>
      </c>
      <c r="BL107" s="58" t="s">
        <v>1293</v>
      </c>
      <c r="BM107" s="58" t="s">
        <v>1293</v>
      </c>
      <c r="BN107" s="58" t="s">
        <v>1293</v>
      </c>
      <c r="BO107" s="58" t="s">
        <v>1293</v>
      </c>
      <c r="BP107" s="58" t="s">
        <v>1293</v>
      </c>
      <c r="BQ107" s="58" t="s">
        <v>1293</v>
      </c>
      <c r="BR107" s="58" t="s">
        <v>1293</v>
      </c>
      <c r="BS107" s="58" t="s">
        <v>1293</v>
      </c>
      <c r="BT107" s="58" t="s">
        <v>1293</v>
      </c>
      <c r="BU107" s="72">
        <f t="shared" ref="BU107:BU141" si="474">E107</f>
        <v>97</v>
      </c>
      <c r="BV107" s="73" t="str">
        <f t="shared" ref="BV107:BV141" si="475">I107</f>
        <v>-</v>
      </c>
      <c r="BW107" s="74">
        <f t="shared" ref="BW107:BW141" si="476">M107</f>
        <v>136</v>
      </c>
      <c r="BX107" s="73">
        <f t="shared" ref="BX107:BX141" si="477">Q107</f>
        <v>166</v>
      </c>
      <c r="BY107" s="74">
        <f t="shared" ref="BY107:BY141" si="478">U107</f>
        <v>170</v>
      </c>
      <c r="BZ107" s="73" t="str">
        <f t="shared" ref="BZ107:BZ141" si="479">Y107</f>
        <v>-</v>
      </c>
      <c r="CA107" s="74">
        <f t="shared" ref="CA107:CA141" si="480">AC107</f>
        <v>218</v>
      </c>
      <c r="CB107" s="73">
        <f t="shared" ref="CB107:CB141" si="481">AG107</f>
        <v>255</v>
      </c>
      <c r="CC107" s="74">
        <f t="shared" ref="CC107:CC141" si="482">AK107</f>
        <v>264</v>
      </c>
      <c r="CD107" s="73">
        <f t="shared" ref="CD107:CD141" si="483">AO107</f>
        <v>312</v>
      </c>
      <c r="CE107" s="74">
        <f t="shared" ref="CE107:CE141" si="484">AS107</f>
        <v>357</v>
      </c>
      <c r="CF107" s="73">
        <f t="shared" ref="CF107:CF141" si="485">AW107</f>
        <v>390</v>
      </c>
      <c r="CG107" s="72">
        <f t="shared" ref="CG107:CG141" si="486">G107</f>
        <v>129</v>
      </c>
      <c r="CH107" s="73" t="str">
        <f t="shared" ref="CH107:CH141" si="487">K107</f>
        <v>-</v>
      </c>
      <c r="CI107" s="74">
        <f t="shared" ref="CI107:CI141" si="488">O107</f>
        <v>164</v>
      </c>
      <c r="CJ107" s="74">
        <f t="shared" ref="CJ107:CJ141" si="489">S107</f>
        <v>169</v>
      </c>
      <c r="CK107" s="74">
        <f t="shared" ref="CK107:CK141" si="490">W107</f>
        <v>205</v>
      </c>
      <c r="CL107" s="74" t="str">
        <f t="shared" ref="CL107:CL141" si="491">AA107</f>
        <v>-</v>
      </c>
      <c r="CM107" s="74">
        <f t="shared" ref="CM107:CM141" si="492">AE107</f>
        <v>240</v>
      </c>
      <c r="CN107" s="74">
        <f t="shared" ref="CN107:CN141" si="493">AI107</f>
        <v>257</v>
      </c>
      <c r="CO107" s="74">
        <f t="shared" ref="CO107:CO141" si="494">AM107</f>
        <v>303</v>
      </c>
      <c r="CP107" s="74">
        <f t="shared" ref="CP107:CP141" si="495">AQ107</f>
        <v>350</v>
      </c>
      <c r="CQ107" s="74">
        <f t="shared" ref="CQ107:CQ141" si="496">AU107</f>
        <v>389</v>
      </c>
      <c r="CR107" s="74">
        <f t="shared" ref="CR107:CR141" si="497">AY107</f>
        <v>401</v>
      </c>
      <c r="CS107" s="23" t="e">
        <f t="shared" ref="CS107:CS141" si="498">M107-K107</f>
        <v>#VALUE!</v>
      </c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  <c r="LI107" s="1"/>
      <c r="LJ107" s="1"/>
      <c r="LK107" s="1"/>
      <c r="LL107" s="1"/>
      <c r="LM107" s="1"/>
      <c r="LN107" s="1"/>
      <c r="LO107" s="1"/>
      <c r="LP107" s="1"/>
      <c r="LQ107" s="1"/>
      <c r="LR107" s="1"/>
      <c r="LS107" s="1"/>
      <c r="LT107" s="1"/>
      <c r="LU107" s="1"/>
      <c r="LV107" s="1"/>
      <c r="LW107" s="1"/>
      <c r="LX107" s="1"/>
      <c r="LY107" s="1"/>
      <c r="LZ107" s="1"/>
      <c r="MA107" s="1"/>
      <c r="MB107" s="1"/>
      <c r="MC107" s="1"/>
      <c r="MD107" s="1"/>
      <c r="ME107" s="1"/>
      <c r="MF107" s="1"/>
      <c r="MG107" s="1"/>
      <c r="MH107" s="1"/>
      <c r="MI107" s="1"/>
      <c r="MJ107" s="1"/>
      <c r="MK107" s="1"/>
      <c r="ML107" s="1"/>
      <c r="MM107" s="1"/>
      <c r="MN107" s="1"/>
      <c r="MO107" s="1"/>
      <c r="MP107" s="1"/>
      <c r="MQ107" s="1"/>
      <c r="MR107" s="1"/>
      <c r="MS107" s="1"/>
      <c r="MT107" s="1"/>
      <c r="MU107" s="1"/>
      <c r="MV107" s="1"/>
      <c r="MW107" s="1"/>
      <c r="MX107" s="1"/>
      <c r="MY107" s="1"/>
      <c r="MZ107" s="1"/>
      <c r="NA107" s="1"/>
      <c r="NB107" s="1"/>
      <c r="NC107" s="1"/>
      <c r="ND107" s="1"/>
      <c r="NE107" s="1"/>
      <c r="NF107" s="1"/>
      <c r="NG107" s="1"/>
      <c r="NH107" s="1"/>
      <c r="NI107" s="1"/>
      <c r="NJ107" s="1"/>
      <c r="NK107" s="1"/>
      <c r="NL107" s="1"/>
      <c r="NM107" s="1"/>
      <c r="NN107" s="1"/>
      <c r="NO107" s="1"/>
      <c r="NP107" s="1"/>
      <c r="NQ107" s="1"/>
      <c r="NR107" s="1"/>
      <c r="NS107" s="1"/>
      <c r="NT107" s="1"/>
      <c r="NU107" s="1"/>
      <c r="NV107" s="1"/>
      <c r="NW107" s="1"/>
      <c r="NX107" s="1"/>
      <c r="NY107" s="1"/>
      <c r="NZ107" s="1"/>
      <c r="OA107" s="1"/>
      <c r="OB107" s="1"/>
      <c r="OC107" s="1"/>
      <c r="OD107" s="1"/>
      <c r="OE107" s="1"/>
      <c r="OF107" s="1"/>
      <c r="OG107" s="1"/>
      <c r="OH107" s="1"/>
      <c r="OI107" s="1"/>
      <c r="OJ107" s="1"/>
      <c r="OK107" s="1"/>
      <c r="OL107" s="1"/>
      <c r="OM107" s="1"/>
      <c r="ON107" s="1"/>
      <c r="OO107" s="1"/>
      <c r="OP107" s="1"/>
      <c r="OQ107" s="1"/>
      <c r="OR107" s="1"/>
      <c r="OS107" s="1"/>
      <c r="OT107" s="1"/>
      <c r="OU107" s="1"/>
      <c r="OV107" s="1"/>
      <c r="OW107" s="1"/>
      <c r="OX107" s="1"/>
      <c r="OY107" s="1"/>
      <c r="OZ107" s="1"/>
      <c r="PA107" s="1"/>
      <c r="PB107" s="1"/>
      <c r="PC107" s="1"/>
      <c r="PD107" s="1"/>
      <c r="PE107" s="1"/>
      <c r="PF107" s="1"/>
      <c r="PG107" s="1"/>
      <c r="PH107" s="1"/>
      <c r="PI107" s="1"/>
      <c r="PJ107" s="1"/>
      <c r="PK107" s="1"/>
      <c r="PL107" s="1"/>
      <c r="PM107" s="1"/>
      <c r="PN107" s="1"/>
      <c r="PO107" s="1"/>
      <c r="PP107" s="1"/>
      <c r="PQ107" s="1"/>
      <c r="PR107" s="1"/>
      <c r="PS107" s="1"/>
      <c r="PT107" s="1"/>
      <c r="PU107" s="1"/>
      <c r="PV107" s="1"/>
      <c r="PW107" s="1"/>
      <c r="PX107" s="1"/>
      <c r="PY107" s="1"/>
      <c r="PZ107" s="1"/>
      <c r="QA107" s="1"/>
      <c r="QB107" s="1"/>
      <c r="QC107" s="1"/>
      <c r="QD107" s="1"/>
      <c r="QE107" s="1"/>
      <c r="QF107" s="1"/>
      <c r="QG107" s="1"/>
      <c r="QH107" s="1"/>
      <c r="QI107" s="1"/>
      <c r="QJ107" s="1"/>
      <c r="QK107" s="1"/>
      <c r="QL107" s="1"/>
      <c r="QM107" s="1"/>
      <c r="QN107" s="1"/>
      <c r="QO107" s="1"/>
      <c r="QP107" s="1"/>
      <c r="QQ107" s="1"/>
      <c r="QR107" s="1"/>
      <c r="QS107" s="1"/>
      <c r="QT107" s="1"/>
      <c r="QU107" s="1"/>
      <c r="QV107" s="1"/>
      <c r="QW107" s="1"/>
      <c r="QX107" s="1"/>
      <c r="QY107" s="1"/>
      <c r="QZ107" s="1"/>
      <c r="RA107" s="1"/>
      <c r="RB107" s="1"/>
      <c r="RC107" s="1"/>
      <c r="RD107" s="1"/>
      <c r="RE107" s="1"/>
      <c r="RF107" s="1"/>
      <c r="RG107" s="1"/>
      <c r="RH107" s="1"/>
      <c r="RI107" s="1"/>
      <c r="RJ107" s="1"/>
      <c r="RK107" s="1"/>
      <c r="RL107" s="1"/>
      <c r="RM107" s="1"/>
      <c r="RN107" s="1"/>
      <c r="RO107" s="1"/>
      <c r="RP107" s="1"/>
      <c r="RQ107" s="1"/>
      <c r="RR107" s="1"/>
      <c r="RS107" s="1"/>
      <c r="RT107" s="1"/>
      <c r="RU107" s="1"/>
      <c r="RV107" s="1"/>
      <c r="RW107" s="1"/>
      <c r="RX107" s="1"/>
      <c r="RY107" s="1"/>
      <c r="RZ107" s="1"/>
      <c r="SA107" s="1"/>
      <c r="SB107" s="1"/>
      <c r="SC107" s="1"/>
      <c r="SD107" s="1"/>
      <c r="SE107" s="1"/>
      <c r="SF107" s="1"/>
      <c r="SG107" s="1"/>
      <c r="SH107" s="1"/>
      <c r="SI107" s="1"/>
      <c r="SJ107" s="1"/>
      <c r="SK107" s="1"/>
      <c r="SL107" s="1"/>
      <c r="SM107" s="1"/>
      <c r="SN107" s="1"/>
      <c r="SO107" s="1"/>
      <c r="SP107" s="1"/>
      <c r="SQ107" s="1"/>
      <c r="SR107" s="1"/>
      <c r="SS107" s="1"/>
      <c r="ST107" s="1"/>
      <c r="SU107" s="1"/>
      <c r="SV107" s="1"/>
      <c r="SW107" s="1"/>
      <c r="SX107" s="1"/>
      <c r="SY107" s="1"/>
      <c r="SZ107" s="1"/>
      <c r="TA107" s="1"/>
      <c r="TB107" s="1"/>
      <c r="TC107" s="1"/>
      <c r="TD107" s="1"/>
      <c r="TE107" s="1"/>
      <c r="TF107" s="1"/>
      <c r="TG107" s="1"/>
      <c r="TH107" s="1"/>
      <c r="TI107" s="1"/>
      <c r="TJ107" s="1"/>
      <c r="TK107" s="1"/>
      <c r="TL107" s="1"/>
      <c r="TM107" s="1"/>
      <c r="TN107" s="1"/>
      <c r="TO107" s="1"/>
      <c r="TP107" s="1"/>
      <c r="TQ107" s="1"/>
      <c r="TR107" s="1"/>
      <c r="TS107" s="1"/>
      <c r="TT107" s="1"/>
      <c r="TU107" s="1"/>
      <c r="TV107" s="1"/>
      <c r="TW107" s="1"/>
      <c r="TX107" s="1"/>
      <c r="TY107" s="1"/>
      <c r="TZ107" s="1"/>
      <c r="UA107" s="1"/>
      <c r="UB107" s="1"/>
      <c r="UC107" s="1"/>
      <c r="UD107" s="1"/>
      <c r="UE107" s="1"/>
      <c r="UF107" s="1"/>
      <c r="UG107" s="1"/>
      <c r="UH107" s="1"/>
      <c r="UI107" s="1"/>
      <c r="UJ107" s="1"/>
      <c r="UK107" s="1"/>
      <c r="UL107" s="1"/>
      <c r="UM107" s="1"/>
      <c r="UN107" s="1"/>
      <c r="UO107" s="1"/>
      <c r="UP107" s="1"/>
      <c r="UQ107" s="1"/>
      <c r="UR107" s="1"/>
      <c r="US107" s="1"/>
      <c r="UT107" s="1"/>
      <c r="UU107" s="1"/>
      <c r="UV107" s="1"/>
      <c r="UW107" s="1"/>
      <c r="UX107" s="1"/>
      <c r="UY107" s="1"/>
      <c r="UZ107" s="1"/>
      <c r="VA107" s="1"/>
      <c r="VB107" s="1"/>
      <c r="VC107" s="1"/>
      <c r="VD107" s="1"/>
      <c r="VE107" s="1"/>
      <c r="VF107" s="1"/>
      <c r="VG107" s="1"/>
      <c r="VH107" s="1"/>
      <c r="VI107" s="1"/>
      <c r="VJ107" s="1"/>
      <c r="VK107" s="1"/>
      <c r="VL107" s="1"/>
      <c r="VM107" s="1"/>
      <c r="VN107" s="1"/>
      <c r="VO107" s="1"/>
      <c r="VP107" s="1"/>
      <c r="VQ107" s="1"/>
      <c r="VR107" s="1"/>
      <c r="VS107" s="1"/>
      <c r="VT107" s="1"/>
      <c r="VU107" s="1"/>
      <c r="VV107" s="1"/>
      <c r="VW107" s="1"/>
      <c r="VX107" s="1"/>
      <c r="VY107" s="1"/>
      <c r="VZ107" s="1"/>
      <c r="WA107" s="1"/>
      <c r="WB107" s="1"/>
      <c r="WC107" s="1"/>
      <c r="WD107" s="1"/>
      <c r="WE107" s="1"/>
      <c r="WF107" s="1"/>
      <c r="WG107" s="1"/>
      <c r="WH107" s="1"/>
      <c r="WI107" s="1"/>
      <c r="WJ107" s="1"/>
      <c r="WK107" s="1"/>
      <c r="WL107" s="1"/>
      <c r="WM107" s="1"/>
      <c r="WN107" s="1"/>
      <c r="WO107" s="1"/>
      <c r="WP107" s="1"/>
      <c r="WQ107" s="1"/>
      <c r="WR107" s="1"/>
      <c r="WS107" s="1"/>
      <c r="WT107" s="1"/>
      <c r="WU107" s="1"/>
      <c r="WV107" s="1"/>
      <c r="WW107" s="1"/>
      <c r="WX107" s="1"/>
      <c r="WY107" s="1"/>
      <c r="WZ107" s="1"/>
      <c r="XA107" s="1"/>
      <c r="XB107" s="1"/>
      <c r="XC107" s="1"/>
      <c r="XD107" s="1"/>
      <c r="XE107" s="1"/>
      <c r="XF107" s="1"/>
      <c r="XG107" s="1"/>
      <c r="XH107" s="1"/>
      <c r="XI107" s="1"/>
      <c r="XJ107" s="1"/>
      <c r="XK107" s="1"/>
      <c r="XL107" s="1"/>
      <c r="XM107" s="1"/>
      <c r="XN107" s="1"/>
      <c r="XO107" s="1"/>
      <c r="XP107" s="1"/>
      <c r="XQ107" s="1"/>
      <c r="XR107" s="1"/>
      <c r="XS107" s="1"/>
      <c r="XT107" s="1"/>
      <c r="XU107" s="1"/>
      <c r="XV107" s="1"/>
      <c r="XW107" s="1"/>
      <c r="XX107" s="1"/>
      <c r="XY107" s="1"/>
      <c r="XZ107" s="1"/>
      <c r="YA107" s="1"/>
      <c r="YB107" s="1"/>
      <c r="YC107" s="1"/>
      <c r="YD107" s="1"/>
      <c r="YE107" s="1"/>
      <c r="YF107" s="1"/>
      <c r="YG107" s="1"/>
      <c r="YH107" s="1"/>
      <c r="YI107" s="1"/>
      <c r="YJ107" s="1"/>
      <c r="YK107" s="1"/>
      <c r="YL107" s="1"/>
      <c r="YM107" s="1"/>
      <c r="YN107" s="1"/>
      <c r="YO107" s="1"/>
      <c r="YP107" s="1"/>
      <c r="YQ107" s="1"/>
      <c r="YR107" s="1"/>
      <c r="YS107" s="1"/>
      <c r="YT107" s="1"/>
      <c r="YU107" s="1"/>
      <c r="YV107" s="1"/>
      <c r="YW107" s="1"/>
      <c r="YX107" s="1"/>
      <c r="YY107" s="1"/>
      <c r="YZ107" s="1"/>
      <c r="ZA107" s="1"/>
      <c r="ZB107" s="1"/>
      <c r="ZC107" s="1"/>
      <c r="ZD107" s="1"/>
      <c r="ZE107" s="1"/>
      <c r="ZF107" s="1"/>
      <c r="ZG107" s="1"/>
      <c r="ZH107" s="1"/>
      <c r="ZI107" s="1"/>
      <c r="ZJ107" s="1"/>
      <c r="ZK107" s="1"/>
      <c r="ZL107" s="1"/>
      <c r="ZM107" s="1"/>
      <c r="ZN107" s="1"/>
      <c r="ZO107" s="1"/>
      <c r="ZP107" s="1"/>
      <c r="ZQ107" s="1"/>
      <c r="ZR107" s="1"/>
      <c r="ZS107" s="1"/>
      <c r="ZT107" s="1"/>
      <c r="ZU107" s="1"/>
      <c r="ZV107" s="1"/>
      <c r="ZW107" s="1"/>
      <c r="ZX107" s="1"/>
      <c r="ZY107" s="1"/>
      <c r="ZZ107" s="1"/>
      <c r="AAA107" s="1"/>
      <c r="AAB107" s="1"/>
      <c r="AAC107" s="1"/>
      <c r="AAD107" s="1"/>
      <c r="AAE107" s="1"/>
      <c r="AAF107" s="1"/>
      <c r="AAG107" s="1"/>
      <c r="AAH107" s="1"/>
      <c r="AAI107" s="1"/>
      <c r="AAJ107" s="1"/>
      <c r="AAK107" s="1"/>
      <c r="AAL107" s="1"/>
      <c r="AAM107" s="1"/>
      <c r="AAN107" s="1"/>
      <c r="AAO107" s="1"/>
      <c r="AAP107" s="1"/>
      <c r="AAQ107" s="1"/>
      <c r="AAR107" s="1"/>
      <c r="AAS107" s="1"/>
      <c r="AAT107" s="1"/>
      <c r="AAU107" s="1"/>
      <c r="AAV107" s="1"/>
      <c r="AAW107" s="1"/>
      <c r="AAX107" s="1"/>
      <c r="AAY107" s="1"/>
      <c r="AAZ107" s="1"/>
      <c r="ABA107" s="1"/>
      <c r="ABB107" s="1"/>
      <c r="ABC107" s="1"/>
      <c r="ABD107" s="1"/>
      <c r="ABE107" s="1"/>
      <c r="ABF107" s="1"/>
      <c r="ABG107" s="1"/>
      <c r="ABH107" s="1"/>
      <c r="ABI107" s="1"/>
      <c r="ABJ107" s="1"/>
      <c r="ABK107" s="1"/>
      <c r="ABL107" s="1"/>
      <c r="ABM107" s="1"/>
      <c r="ABN107" s="1"/>
      <c r="ABO107" s="1"/>
      <c r="ABP107" s="1"/>
      <c r="ABQ107" s="1"/>
      <c r="ABR107" s="1"/>
      <c r="ABS107" s="1"/>
      <c r="ABT107" s="1"/>
      <c r="ABU107" s="1"/>
      <c r="ABV107" s="1"/>
      <c r="ABW107" s="1"/>
      <c r="ABX107" s="1"/>
      <c r="ABY107" s="1"/>
      <c r="ABZ107" s="1"/>
      <c r="ACA107" s="1"/>
      <c r="ACB107" s="1"/>
      <c r="ACC107" s="1"/>
      <c r="ACD107" s="1"/>
      <c r="ACE107" s="1"/>
      <c r="ACF107" s="1"/>
      <c r="ACG107" s="1"/>
      <c r="ACH107" s="1"/>
      <c r="ACI107" s="1"/>
      <c r="ACJ107" s="1"/>
      <c r="ACK107" s="1"/>
      <c r="ACL107" s="1"/>
      <c r="ACM107" s="1"/>
      <c r="ACN107" s="1"/>
      <c r="ACO107" s="1"/>
      <c r="ACP107" s="1"/>
      <c r="ACQ107" s="1"/>
      <c r="ACR107" s="1"/>
      <c r="ACS107" s="1"/>
      <c r="ACT107" s="1"/>
      <c r="ACU107" s="1"/>
      <c r="ACV107" s="1"/>
      <c r="ACW107" s="1"/>
      <c r="ACX107" s="1"/>
      <c r="ACY107" s="1"/>
      <c r="ACZ107" s="1"/>
      <c r="ADA107" s="1"/>
      <c r="ADB107" s="1"/>
      <c r="ADC107" s="1"/>
      <c r="ADD107" s="1"/>
      <c r="ADE107" s="1"/>
      <c r="ADF107" s="1"/>
      <c r="ADG107" s="1"/>
      <c r="ADH107" s="1"/>
      <c r="ADI107" s="1"/>
      <c r="ADJ107" s="1"/>
      <c r="ADK107" s="1"/>
      <c r="ADL107" s="1"/>
      <c r="ADM107" s="1"/>
      <c r="ADN107" s="1"/>
      <c r="ADO107" s="1"/>
      <c r="ADP107" s="1"/>
      <c r="ADQ107" s="1"/>
      <c r="ADR107" s="1"/>
      <c r="ADS107" s="1"/>
      <c r="ADT107" s="1"/>
      <c r="ADU107" s="1"/>
      <c r="ADV107" s="1"/>
      <c r="ADW107" s="1"/>
      <c r="ADX107" s="1"/>
      <c r="ADY107" s="1"/>
      <c r="ADZ107" s="1"/>
      <c r="AEA107" s="1"/>
      <c r="AEB107" s="1"/>
      <c r="AEC107" s="1"/>
      <c r="AED107" s="1"/>
      <c r="AEE107" s="1"/>
      <c r="AEF107" s="1"/>
      <c r="AEG107" s="1"/>
      <c r="AEH107" s="1"/>
      <c r="AEI107" s="1"/>
      <c r="AEJ107" s="1"/>
      <c r="AEK107" s="1"/>
      <c r="AEL107" s="1"/>
      <c r="AEM107" s="1"/>
      <c r="AEN107" s="1"/>
      <c r="AEO107" s="1"/>
      <c r="AEP107" s="1"/>
      <c r="AEQ107" s="1"/>
      <c r="AER107" s="1"/>
      <c r="AES107" s="1"/>
      <c r="AET107" s="1"/>
      <c r="AEU107" s="1"/>
      <c r="AEV107" s="1"/>
      <c r="AEW107" s="1"/>
      <c r="AEX107" s="1"/>
      <c r="AEY107" s="1"/>
      <c r="AEZ107" s="1"/>
      <c r="AFA107" s="1"/>
      <c r="AFB107" s="1"/>
      <c r="AFC107" s="1"/>
      <c r="AFD107" s="1"/>
      <c r="AFE107" s="1"/>
      <c r="AFF107" s="1"/>
      <c r="AFG107" s="1"/>
      <c r="AFH107" s="1"/>
      <c r="AFI107" s="1"/>
      <c r="AFJ107" s="1"/>
      <c r="AFK107" s="1"/>
      <c r="AFL107" s="1"/>
      <c r="AFM107" s="1"/>
      <c r="AFN107" s="1"/>
      <c r="AFO107" s="1"/>
      <c r="AFP107" s="1"/>
      <c r="AFQ107" s="1"/>
      <c r="AFR107" s="1"/>
      <c r="AFS107" s="1"/>
      <c r="AFT107" s="1"/>
      <c r="AFU107" s="1"/>
      <c r="AFV107" s="1"/>
      <c r="AFW107" s="1"/>
      <c r="AFX107" s="1"/>
      <c r="AFY107" s="1"/>
      <c r="AFZ107" s="1"/>
      <c r="AGA107" s="1"/>
      <c r="AGB107" s="1"/>
      <c r="AGC107" s="1"/>
      <c r="AGD107" s="1"/>
      <c r="AGE107" s="1"/>
      <c r="AGF107" s="1"/>
      <c r="AGG107" s="1"/>
      <c r="AGH107" s="1"/>
      <c r="AGI107" s="1"/>
      <c r="AGJ107" s="1"/>
      <c r="AGK107" s="1"/>
      <c r="AGL107" s="1"/>
      <c r="AGM107" s="1"/>
      <c r="AGN107" s="1"/>
      <c r="AGO107" s="1"/>
      <c r="AGP107" s="1"/>
      <c r="AGQ107" s="1"/>
      <c r="AGR107" s="1"/>
      <c r="AGS107" s="1"/>
      <c r="AGT107" s="1"/>
      <c r="AGU107" s="1"/>
      <c r="AGV107" s="1"/>
      <c r="AGW107" s="1"/>
      <c r="AGX107" s="1"/>
      <c r="AGY107" s="1"/>
      <c r="AGZ107" s="1"/>
      <c r="AHA107" s="1"/>
      <c r="AHB107" s="1"/>
      <c r="AHC107" s="1"/>
      <c r="AHD107" s="1"/>
      <c r="AHE107" s="1"/>
      <c r="AHF107" s="1"/>
      <c r="AHG107" s="1"/>
      <c r="AHH107" s="1"/>
      <c r="AHI107" s="1"/>
      <c r="AHJ107" s="1"/>
      <c r="AHK107" s="1"/>
      <c r="AHL107" s="1"/>
      <c r="AHM107" s="1"/>
      <c r="AHN107" s="1"/>
      <c r="AHO107" s="1"/>
      <c r="AHP107" s="1"/>
      <c r="AHQ107" s="1"/>
      <c r="AHR107" s="1"/>
      <c r="AHS107" s="1"/>
      <c r="AHT107" s="1"/>
      <c r="AHU107" s="1"/>
      <c r="AHV107" s="1"/>
      <c r="AHW107" s="1"/>
      <c r="AHX107" s="1"/>
      <c r="AHY107" s="1"/>
      <c r="AHZ107" s="1"/>
      <c r="AIA107" s="1"/>
      <c r="AIB107" s="1"/>
      <c r="AIC107" s="1"/>
      <c r="AID107" s="1"/>
      <c r="AIE107" s="1"/>
      <c r="AIF107" s="1"/>
      <c r="AIG107" s="1"/>
      <c r="AIH107" s="1"/>
      <c r="AII107" s="1"/>
      <c r="AIJ107" s="1"/>
      <c r="AIK107" s="1"/>
      <c r="AIL107" s="1"/>
      <c r="AIM107" s="1"/>
      <c r="AIN107" s="1"/>
      <c r="AIO107" s="1"/>
      <c r="AIP107" s="1"/>
      <c r="AIQ107" s="1"/>
      <c r="AIR107" s="1"/>
      <c r="AIS107" s="1"/>
      <c r="AIT107" s="1"/>
      <c r="AIU107" s="1"/>
      <c r="AIV107" s="1"/>
      <c r="AIW107" s="1"/>
      <c r="AIX107" s="1"/>
      <c r="AIY107" s="1"/>
      <c r="AIZ107" s="1"/>
      <c r="AJA107" s="1"/>
      <c r="AJB107" s="1"/>
      <c r="AJC107" s="1"/>
      <c r="AJD107" s="1"/>
      <c r="AJE107" s="1"/>
      <c r="AJF107" s="1"/>
      <c r="AJG107" s="1"/>
      <c r="AJH107" s="1"/>
      <c r="AJI107" s="1"/>
      <c r="AJJ107" s="1"/>
      <c r="AJK107" s="1"/>
      <c r="AJL107" s="1"/>
      <c r="AJM107" s="1"/>
      <c r="AJN107" s="1"/>
      <c r="AJO107" s="1"/>
      <c r="AJP107" s="1"/>
      <c r="AJQ107" s="1"/>
      <c r="AJR107" s="1"/>
      <c r="AJS107" s="1"/>
      <c r="AJT107" s="1"/>
      <c r="AJU107" s="1"/>
      <c r="AJV107" s="1"/>
      <c r="AJW107" s="1"/>
      <c r="AJX107" s="1"/>
      <c r="AJY107" s="1"/>
      <c r="AJZ107" s="1"/>
      <c r="AKA107" s="1"/>
      <c r="AKB107" s="1"/>
      <c r="AKC107" s="1"/>
      <c r="AKD107" s="1"/>
      <c r="AKE107" s="1"/>
      <c r="AKF107" s="1"/>
      <c r="AKG107" s="1"/>
      <c r="AKH107" s="1"/>
      <c r="AKI107" s="1"/>
      <c r="AKJ107" s="1"/>
      <c r="AKK107" s="1"/>
      <c r="AKL107" s="1"/>
      <c r="AKM107" s="1"/>
      <c r="AKN107" s="1"/>
      <c r="AKO107" s="1"/>
      <c r="AKP107" s="1"/>
      <c r="AKQ107" s="1"/>
      <c r="AKR107" s="1"/>
      <c r="AKS107" s="1"/>
      <c r="AKT107" s="1"/>
      <c r="AKU107" s="1"/>
      <c r="AKV107" s="1"/>
      <c r="AKW107" s="1"/>
      <c r="AKX107" s="1"/>
      <c r="AKY107" s="1"/>
      <c r="AKZ107" s="1"/>
      <c r="ALA107" s="1"/>
      <c r="ALB107" s="1"/>
      <c r="ALC107" s="1"/>
      <c r="ALD107" s="1"/>
      <c r="ALE107" s="1"/>
      <c r="ALF107" s="1"/>
      <c r="ALG107" s="1"/>
      <c r="ALH107" s="1"/>
      <c r="ALI107" s="1"/>
      <c r="ALJ107" s="1"/>
      <c r="ALK107" s="1"/>
      <c r="ALL107" s="1"/>
      <c r="ALM107" s="1"/>
      <c r="ALN107" s="1"/>
      <c r="ALO107" s="1"/>
      <c r="ALP107" s="1"/>
      <c r="ALQ107" s="1"/>
      <c r="ALR107" s="1"/>
      <c r="ALS107" s="1"/>
      <c r="ALT107" s="1"/>
      <c r="ALU107" s="1"/>
      <c r="ALV107" s="1"/>
      <c r="ALW107" s="1"/>
      <c r="ALX107" s="1"/>
      <c r="ALY107" s="1"/>
      <c r="ALZ107" s="1"/>
      <c r="AMA107" s="1"/>
      <c r="AMB107" s="1"/>
      <c r="AMC107" s="1"/>
      <c r="AMD107" s="1"/>
      <c r="AME107" s="1"/>
      <c r="AMF107" s="1"/>
      <c r="AMG107" s="1"/>
      <c r="AMH107" s="1"/>
      <c r="AMI107" s="1"/>
      <c r="AMJ107" s="1"/>
      <c r="AMK107" s="1"/>
      <c r="AML107" s="1"/>
      <c r="AMM107" s="1"/>
      <c r="AMN107" s="1"/>
    </row>
    <row r="108" spans="1:1028" x14ac:dyDescent="0.2">
      <c r="A108" s="3" t="str">
        <f t="shared" si="222"/>
        <v>ednrb_human_5GLI</v>
      </c>
      <c r="B108" s="2" t="s">
        <v>196</v>
      </c>
      <c r="C108" s="2" t="s">
        <v>1333</v>
      </c>
      <c r="D108" s="3" t="str">
        <f>IFERROR(MID(VLOOKUP($B108,Seqs!$A:$B,2,0),E108,1),"")</f>
        <v>Q</v>
      </c>
      <c r="E108" s="2">
        <v>91</v>
      </c>
      <c r="F108" s="3" t="str">
        <f>IFERROR(MID(VLOOKUP($B108,Seqs!$A:$B,2,0),G108,1),"")</f>
        <v>N</v>
      </c>
      <c r="G108" s="2">
        <v>129</v>
      </c>
      <c r="H108" s="3" t="str">
        <f>IFERROR(MID(VLOOKUP($B108,Seqs!$A:$B,2,0),I108,1),"")</f>
        <v>K</v>
      </c>
      <c r="I108" s="57">
        <v>130</v>
      </c>
      <c r="J108" s="3" t="str">
        <f>IFERROR(MID(VLOOKUP($B108,Seqs!$A:$B,2,0),K108,1),"")</f>
        <v>N</v>
      </c>
      <c r="K108" s="57">
        <v>134</v>
      </c>
      <c r="L108" s="3" t="str">
        <f>IFERROR(MID(VLOOKUP($B108,Seqs!$A:$B,2,0),M108,1),"")</f>
        <v>G</v>
      </c>
      <c r="M108" s="2">
        <v>135</v>
      </c>
      <c r="N108" s="3" t="str">
        <f>IFERROR(MID(VLOOKUP($B108,Seqs!$A:$B,2,0),O108,1),"")</f>
        <v>A</v>
      </c>
      <c r="O108" s="2">
        <v>164</v>
      </c>
      <c r="P108" s="3" t="str">
        <f>IFERROR(MID(VLOOKUP($B108,Seqs!$A:$B,2,0),Q108,1),"")</f>
        <v>D</v>
      </c>
      <c r="Q108" s="2">
        <v>166</v>
      </c>
      <c r="R108" s="3" t="str">
        <f>IFERROR(MID(VLOOKUP($B108,Seqs!$A:$B,2,0),S108,1),"")</f>
        <v>F</v>
      </c>
      <c r="S108" s="2">
        <v>169</v>
      </c>
      <c r="T108" s="3" t="str">
        <f>IFERROR(MID(VLOOKUP($B108,Seqs!$A:$B,2,0),U108,1),"")</f>
        <v>G</v>
      </c>
      <c r="U108" s="4">
        <v>170</v>
      </c>
      <c r="V108" s="3" t="str">
        <f>IFERROR(MID(VLOOKUP($B108,Seqs!$A:$B,2,0),W108,1),"")</f>
        <v>S</v>
      </c>
      <c r="W108" s="2">
        <v>205</v>
      </c>
      <c r="X108" s="3" t="str">
        <f>IFERROR(MID(VLOOKUP($B108,Seqs!$A:$B,2,0),Y108,1),"")</f>
        <v/>
      </c>
      <c r="Y108" s="2" t="s">
        <v>23</v>
      </c>
      <c r="Z108" s="3" t="str">
        <f>IFERROR(MID(VLOOKUP($B108,Seqs!$A:$B,2,0),AA108,1),"")</f>
        <v/>
      </c>
      <c r="AA108" s="2" t="s">
        <v>23</v>
      </c>
      <c r="AB108" s="3" t="str">
        <f>IFERROR(MID(VLOOKUP($B108,Seqs!$A:$B,2,0),AC108,1),"")</f>
        <v>K</v>
      </c>
      <c r="AC108" s="41">
        <v>216</v>
      </c>
      <c r="AD108" s="3" t="str">
        <f>IFERROR(MID(VLOOKUP($B108,Seqs!$A:$B,2,0),AE108,1),"")</f>
        <v>F</v>
      </c>
      <c r="AE108" s="2">
        <v>240</v>
      </c>
      <c r="AF108" s="3" t="str">
        <f>IFERROR(MID(VLOOKUP($B108,Seqs!$A:$B,2,0),AG108,1),"")</f>
        <v>C</v>
      </c>
      <c r="AG108" s="2">
        <v>255</v>
      </c>
      <c r="AH108" s="3" t="str">
        <f>IFERROR(MID(VLOOKUP($B108,Seqs!$A:$B,2,0),AI108,1),"")</f>
        <v>L</v>
      </c>
      <c r="AI108" s="2">
        <v>257</v>
      </c>
      <c r="AJ108" s="3" t="str">
        <f>IFERROR(MID(VLOOKUP($B108,Seqs!$A:$B,2,0),AK108,1),"")</f>
        <v>A</v>
      </c>
      <c r="AK108" s="2">
        <v>264</v>
      </c>
      <c r="AL108" s="3" t="str">
        <f>IFERROR(MID(VLOOKUP($B108,Seqs!$A:$B,2,0),AM108,1),"")</f>
        <v>K</v>
      </c>
      <c r="AM108" s="2">
        <v>303</v>
      </c>
      <c r="AN108" s="3" t="str">
        <f>IFERROR(MID(VLOOKUP($B108,Seqs!$A:$B,2,0),AO108,1),"")</f>
        <v>N</v>
      </c>
      <c r="AO108" s="2">
        <v>312</v>
      </c>
      <c r="AP108" s="3" t="str">
        <f>IFERROR(MID(VLOOKUP($B108,Seqs!$A:$B,2,0),AQ108,1),"")</f>
        <v>Y</v>
      </c>
      <c r="AQ108" s="2">
        <v>350</v>
      </c>
      <c r="AR108" s="3" t="str">
        <f>IFERROR(MID(VLOOKUP($B108,Seqs!$A:$B,2,0),AS108,1),"")</f>
        <v>R</v>
      </c>
      <c r="AS108" s="2">
        <v>357</v>
      </c>
      <c r="AT108" s="3" t="str">
        <f>IFERROR(MID(VLOOKUP($B108,Seqs!$A:$B,2,0),AU108,1),"")</f>
        <v>V</v>
      </c>
      <c r="AU108" s="2">
        <v>389</v>
      </c>
      <c r="AV108" s="3" t="str">
        <f>IFERROR(MID(VLOOKUP($B108,Seqs!$A:$B,2,0),AW108,1),"")</f>
        <v>S</v>
      </c>
      <c r="AW108" s="2">
        <v>390</v>
      </c>
      <c r="AX108" s="3" t="str">
        <f>IFERROR(MID(VLOOKUP($B108,Seqs!$A:$B,2,0),AY108,1),"")</f>
        <v>C</v>
      </c>
      <c r="AY108" s="2">
        <v>403</v>
      </c>
      <c r="AZ108" s="79" t="str">
        <f>VLOOKUP(B108,Classification!A:D,2,0)</f>
        <v>A</v>
      </c>
      <c r="BA108" s="97" t="str">
        <f>VLOOKUP(B108,Classification!A:D,4,0)</f>
        <v>Endothelin</v>
      </c>
      <c r="BB108" s="27" t="b">
        <f t="shared" si="223"/>
        <v>1</v>
      </c>
      <c r="BC108" s="23">
        <f t="shared" si="473"/>
        <v>269</v>
      </c>
      <c r="BD108" s="2" t="s">
        <v>1383</v>
      </c>
      <c r="BE108" s="3" t="s">
        <v>1381</v>
      </c>
      <c r="BF108" s="50" t="s">
        <v>1384</v>
      </c>
      <c r="BG108" s="50" t="s">
        <v>1384</v>
      </c>
      <c r="BH108" s="2"/>
      <c r="BI108" s="72" t="s">
        <v>1293</v>
      </c>
      <c r="BJ108" s="58" t="s">
        <v>1293</v>
      </c>
      <c r="BK108" s="58" t="s">
        <v>1293</v>
      </c>
      <c r="BL108" s="58" t="s">
        <v>1293</v>
      </c>
      <c r="BM108" s="58" t="s">
        <v>1293</v>
      </c>
      <c r="BN108" s="58" t="s">
        <v>1293</v>
      </c>
      <c r="BO108" s="58" t="s">
        <v>1293</v>
      </c>
      <c r="BP108" s="58" t="s">
        <v>1293</v>
      </c>
      <c r="BQ108" s="58" t="s">
        <v>1293</v>
      </c>
      <c r="BR108" s="58" t="s">
        <v>1293</v>
      </c>
      <c r="BS108" s="58" t="s">
        <v>1293</v>
      </c>
      <c r="BT108" s="58" t="s">
        <v>1293</v>
      </c>
      <c r="BU108" s="72">
        <f t="shared" si="474"/>
        <v>91</v>
      </c>
      <c r="BV108" s="73">
        <f t="shared" si="475"/>
        <v>130</v>
      </c>
      <c r="BW108" s="74">
        <f t="shared" si="476"/>
        <v>135</v>
      </c>
      <c r="BX108" s="73">
        <f t="shared" si="477"/>
        <v>166</v>
      </c>
      <c r="BY108" s="74">
        <f t="shared" si="478"/>
        <v>170</v>
      </c>
      <c r="BZ108" s="73" t="str">
        <f t="shared" si="479"/>
        <v>-</v>
      </c>
      <c r="CA108" s="74">
        <f t="shared" si="480"/>
        <v>216</v>
      </c>
      <c r="CB108" s="73">
        <f t="shared" si="481"/>
        <v>255</v>
      </c>
      <c r="CC108" s="74">
        <f t="shared" si="482"/>
        <v>264</v>
      </c>
      <c r="CD108" s="73">
        <f t="shared" si="483"/>
        <v>312</v>
      </c>
      <c r="CE108" s="74">
        <f t="shared" si="484"/>
        <v>357</v>
      </c>
      <c r="CF108" s="73">
        <f t="shared" si="485"/>
        <v>390</v>
      </c>
      <c r="CG108" s="72">
        <f t="shared" si="486"/>
        <v>129</v>
      </c>
      <c r="CH108" s="73">
        <f t="shared" si="487"/>
        <v>134</v>
      </c>
      <c r="CI108" s="74">
        <f t="shared" si="488"/>
        <v>164</v>
      </c>
      <c r="CJ108" s="74">
        <f t="shared" si="489"/>
        <v>169</v>
      </c>
      <c r="CK108" s="74">
        <f t="shared" si="490"/>
        <v>205</v>
      </c>
      <c r="CL108" s="74" t="str">
        <f t="shared" si="491"/>
        <v>-</v>
      </c>
      <c r="CM108" s="74">
        <f t="shared" si="492"/>
        <v>240</v>
      </c>
      <c r="CN108" s="74">
        <f t="shared" si="493"/>
        <v>257</v>
      </c>
      <c r="CO108" s="74">
        <f t="shared" si="494"/>
        <v>303</v>
      </c>
      <c r="CP108" s="74">
        <f t="shared" si="495"/>
        <v>350</v>
      </c>
      <c r="CQ108" s="74">
        <f t="shared" si="496"/>
        <v>389</v>
      </c>
      <c r="CR108" s="74">
        <f t="shared" si="497"/>
        <v>403</v>
      </c>
      <c r="CS108" s="23">
        <f t="shared" si="498"/>
        <v>1</v>
      </c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  <c r="LI108" s="1"/>
      <c r="LJ108" s="1"/>
      <c r="LK108" s="1"/>
      <c r="LL108" s="1"/>
      <c r="LM108" s="1"/>
      <c r="LN108" s="1"/>
      <c r="LO108" s="1"/>
      <c r="LP108" s="1"/>
      <c r="LQ108" s="1"/>
      <c r="LR108" s="1"/>
      <c r="LS108" s="1"/>
      <c r="LT108" s="1"/>
      <c r="LU108" s="1"/>
      <c r="LV108" s="1"/>
      <c r="LW108" s="1"/>
      <c r="LX108" s="1"/>
      <c r="LY108" s="1"/>
      <c r="LZ108" s="1"/>
      <c r="MA108" s="1"/>
      <c r="MB108" s="1"/>
      <c r="MC108" s="1"/>
      <c r="MD108" s="1"/>
      <c r="ME108" s="1"/>
      <c r="MF108" s="1"/>
      <c r="MG108" s="1"/>
      <c r="MH108" s="1"/>
      <c r="MI108" s="1"/>
      <c r="MJ108" s="1"/>
      <c r="MK108" s="1"/>
      <c r="ML108" s="1"/>
      <c r="MM108" s="1"/>
      <c r="MN108" s="1"/>
      <c r="MO108" s="1"/>
      <c r="MP108" s="1"/>
      <c r="MQ108" s="1"/>
      <c r="MR108" s="1"/>
      <c r="MS108" s="1"/>
      <c r="MT108" s="1"/>
      <c r="MU108" s="1"/>
      <c r="MV108" s="1"/>
      <c r="MW108" s="1"/>
      <c r="MX108" s="1"/>
      <c r="MY108" s="1"/>
      <c r="MZ108" s="1"/>
      <c r="NA108" s="1"/>
      <c r="NB108" s="1"/>
      <c r="NC108" s="1"/>
      <c r="ND108" s="1"/>
      <c r="NE108" s="1"/>
      <c r="NF108" s="1"/>
      <c r="NG108" s="1"/>
      <c r="NH108" s="1"/>
      <c r="NI108" s="1"/>
      <c r="NJ108" s="1"/>
      <c r="NK108" s="1"/>
      <c r="NL108" s="1"/>
      <c r="NM108" s="1"/>
      <c r="NN108" s="1"/>
      <c r="NO108" s="1"/>
      <c r="NP108" s="1"/>
      <c r="NQ108" s="1"/>
      <c r="NR108" s="1"/>
      <c r="NS108" s="1"/>
      <c r="NT108" s="1"/>
      <c r="NU108" s="1"/>
      <c r="NV108" s="1"/>
      <c r="NW108" s="1"/>
      <c r="NX108" s="1"/>
      <c r="NY108" s="1"/>
      <c r="NZ108" s="1"/>
      <c r="OA108" s="1"/>
      <c r="OB108" s="1"/>
      <c r="OC108" s="1"/>
      <c r="OD108" s="1"/>
      <c r="OE108" s="1"/>
      <c r="OF108" s="1"/>
      <c r="OG108" s="1"/>
      <c r="OH108" s="1"/>
      <c r="OI108" s="1"/>
      <c r="OJ108" s="1"/>
      <c r="OK108" s="1"/>
      <c r="OL108" s="1"/>
      <c r="OM108" s="1"/>
      <c r="ON108" s="1"/>
      <c r="OO108" s="1"/>
      <c r="OP108" s="1"/>
      <c r="OQ108" s="1"/>
      <c r="OR108" s="1"/>
      <c r="OS108" s="1"/>
      <c r="OT108" s="1"/>
      <c r="OU108" s="1"/>
      <c r="OV108" s="1"/>
      <c r="OW108" s="1"/>
      <c r="OX108" s="1"/>
      <c r="OY108" s="1"/>
      <c r="OZ108" s="1"/>
      <c r="PA108" s="1"/>
      <c r="PB108" s="1"/>
      <c r="PC108" s="1"/>
      <c r="PD108" s="1"/>
      <c r="PE108" s="1"/>
      <c r="PF108" s="1"/>
      <c r="PG108" s="1"/>
      <c r="PH108" s="1"/>
      <c r="PI108" s="1"/>
      <c r="PJ108" s="1"/>
      <c r="PK108" s="1"/>
      <c r="PL108" s="1"/>
      <c r="PM108" s="1"/>
      <c r="PN108" s="1"/>
      <c r="PO108" s="1"/>
      <c r="PP108" s="1"/>
      <c r="PQ108" s="1"/>
      <c r="PR108" s="1"/>
      <c r="PS108" s="1"/>
      <c r="PT108" s="1"/>
      <c r="PU108" s="1"/>
      <c r="PV108" s="1"/>
      <c r="PW108" s="1"/>
      <c r="PX108" s="1"/>
      <c r="PY108" s="1"/>
      <c r="PZ108" s="1"/>
      <c r="QA108" s="1"/>
      <c r="QB108" s="1"/>
      <c r="QC108" s="1"/>
      <c r="QD108" s="1"/>
      <c r="QE108" s="1"/>
      <c r="QF108" s="1"/>
      <c r="QG108" s="1"/>
      <c r="QH108" s="1"/>
      <c r="QI108" s="1"/>
      <c r="QJ108" s="1"/>
      <c r="QK108" s="1"/>
      <c r="QL108" s="1"/>
      <c r="QM108" s="1"/>
      <c r="QN108" s="1"/>
      <c r="QO108" s="1"/>
      <c r="QP108" s="1"/>
      <c r="QQ108" s="1"/>
      <c r="QR108" s="1"/>
      <c r="QS108" s="1"/>
      <c r="QT108" s="1"/>
      <c r="QU108" s="1"/>
      <c r="QV108" s="1"/>
      <c r="QW108" s="1"/>
      <c r="QX108" s="1"/>
      <c r="QY108" s="1"/>
      <c r="QZ108" s="1"/>
      <c r="RA108" s="1"/>
      <c r="RB108" s="1"/>
      <c r="RC108" s="1"/>
      <c r="RD108" s="1"/>
      <c r="RE108" s="1"/>
      <c r="RF108" s="1"/>
      <c r="RG108" s="1"/>
      <c r="RH108" s="1"/>
      <c r="RI108" s="1"/>
      <c r="RJ108" s="1"/>
      <c r="RK108" s="1"/>
      <c r="RL108" s="1"/>
      <c r="RM108" s="1"/>
      <c r="RN108" s="1"/>
      <c r="RO108" s="1"/>
      <c r="RP108" s="1"/>
      <c r="RQ108" s="1"/>
      <c r="RR108" s="1"/>
      <c r="RS108" s="1"/>
      <c r="RT108" s="1"/>
      <c r="RU108" s="1"/>
      <c r="RV108" s="1"/>
      <c r="RW108" s="1"/>
      <c r="RX108" s="1"/>
      <c r="RY108" s="1"/>
      <c r="RZ108" s="1"/>
      <c r="SA108" s="1"/>
      <c r="SB108" s="1"/>
      <c r="SC108" s="1"/>
      <c r="SD108" s="1"/>
      <c r="SE108" s="1"/>
      <c r="SF108" s="1"/>
      <c r="SG108" s="1"/>
      <c r="SH108" s="1"/>
      <c r="SI108" s="1"/>
      <c r="SJ108" s="1"/>
      <c r="SK108" s="1"/>
      <c r="SL108" s="1"/>
      <c r="SM108" s="1"/>
      <c r="SN108" s="1"/>
      <c r="SO108" s="1"/>
      <c r="SP108" s="1"/>
      <c r="SQ108" s="1"/>
      <c r="SR108" s="1"/>
      <c r="SS108" s="1"/>
      <c r="ST108" s="1"/>
      <c r="SU108" s="1"/>
      <c r="SV108" s="1"/>
      <c r="SW108" s="1"/>
      <c r="SX108" s="1"/>
      <c r="SY108" s="1"/>
      <c r="SZ108" s="1"/>
      <c r="TA108" s="1"/>
      <c r="TB108" s="1"/>
      <c r="TC108" s="1"/>
      <c r="TD108" s="1"/>
      <c r="TE108" s="1"/>
      <c r="TF108" s="1"/>
      <c r="TG108" s="1"/>
      <c r="TH108" s="1"/>
      <c r="TI108" s="1"/>
      <c r="TJ108" s="1"/>
      <c r="TK108" s="1"/>
      <c r="TL108" s="1"/>
      <c r="TM108" s="1"/>
      <c r="TN108" s="1"/>
      <c r="TO108" s="1"/>
      <c r="TP108" s="1"/>
      <c r="TQ108" s="1"/>
      <c r="TR108" s="1"/>
      <c r="TS108" s="1"/>
      <c r="TT108" s="1"/>
      <c r="TU108" s="1"/>
      <c r="TV108" s="1"/>
      <c r="TW108" s="1"/>
      <c r="TX108" s="1"/>
      <c r="TY108" s="1"/>
      <c r="TZ108" s="1"/>
      <c r="UA108" s="1"/>
      <c r="UB108" s="1"/>
      <c r="UC108" s="1"/>
      <c r="UD108" s="1"/>
      <c r="UE108" s="1"/>
      <c r="UF108" s="1"/>
      <c r="UG108" s="1"/>
      <c r="UH108" s="1"/>
      <c r="UI108" s="1"/>
      <c r="UJ108" s="1"/>
      <c r="UK108" s="1"/>
      <c r="UL108" s="1"/>
      <c r="UM108" s="1"/>
      <c r="UN108" s="1"/>
      <c r="UO108" s="1"/>
      <c r="UP108" s="1"/>
      <c r="UQ108" s="1"/>
      <c r="UR108" s="1"/>
      <c r="US108" s="1"/>
      <c r="UT108" s="1"/>
      <c r="UU108" s="1"/>
      <c r="UV108" s="1"/>
      <c r="UW108" s="1"/>
      <c r="UX108" s="1"/>
      <c r="UY108" s="1"/>
      <c r="UZ108" s="1"/>
      <c r="VA108" s="1"/>
      <c r="VB108" s="1"/>
      <c r="VC108" s="1"/>
      <c r="VD108" s="1"/>
      <c r="VE108" s="1"/>
      <c r="VF108" s="1"/>
      <c r="VG108" s="1"/>
      <c r="VH108" s="1"/>
      <c r="VI108" s="1"/>
      <c r="VJ108" s="1"/>
      <c r="VK108" s="1"/>
      <c r="VL108" s="1"/>
      <c r="VM108" s="1"/>
      <c r="VN108" s="1"/>
      <c r="VO108" s="1"/>
      <c r="VP108" s="1"/>
      <c r="VQ108" s="1"/>
      <c r="VR108" s="1"/>
      <c r="VS108" s="1"/>
      <c r="VT108" s="1"/>
      <c r="VU108" s="1"/>
      <c r="VV108" s="1"/>
      <c r="VW108" s="1"/>
      <c r="VX108" s="1"/>
      <c r="VY108" s="1"/>
      <c r="VZ108" s="1"/>
      <c r="WA108" s="1"/>
      <c r="WB108" s="1"/>
      <c r="WC108" s="1"/>
      <c r="WD108" s="1"/>
      <c r="WE108" s="1"/>
      <c r="WF108" s="1"/>
      <c r="WG108" s="1"/>
      <c r="WH108" s="1"/>
      <c r="WI108" s="1"/>
      <c r="WJ108" s="1"/>
      <c r="WK108" s="1"/>
      <c r="WL108" s="1"/>
      <c r="WM108" s="1"/>
      <c r="WN108" s="1"/>
      <c r="WO108" s="1"/>
      <c r="WP108" s="1"/>
      <c r="WQ108" s="1"/>
      <c r="WR108" s="1"/>
      <c r="WS108" s="1"/>
      <c r="WT108" s="1"/>
      <c r="WU108" s="1"/>
      <c r="WV108" s="1"/>
      <c r="WW108" s="1"/>
      <c r="WX108" s="1"/>
      <c r="WY108" s="1"/>
      <c r="WZ108" s="1"/>
      <c r="XA108" s="1"/>
      <c r="XB108" s="1"/>
      <c r="XC108" s="1"/>
      <c r="XD108" s="1"/>
      <c r="XE108" s="1"/>
      <c r="XF108" s="1"/>
      <c r="XG108" s="1"/>
      <c r="XH108" s="1"/>
      <c r="XI108" s="1"/>
      <c r="XJ108" s="1"/>
      <c r="XK108" s="1"/>
      <c r="XL108" s="1"/>
      <c r="XM108" s="1"/>
      <c r="XN108" s="1"/>
      <c r="XO108" s="1"/>
      <c r="XP108" s="1"/>
      <c r="XQ108" s="1"/>
      <c r="XR108" s="1"/>
      <c r="XS108" s="1"/>
      <c r="XT108" s="1"/>
      <c r="XU108" s="1"/>
      <c r="XV108" s="1"/>
      <c r="XW108" s="1"/>
      <c r="XX108" s="1"/>
      <c r="XY108" s="1"/>
      <c r="XZ108" s="1"/>
      <c r="YA108" s="1"/>
      <c r="YB108" s="1"/>
      <c r="YC108" s="1"/>
      <c r="YD108" s="1"/>
      <c r="YE108" s="1"/>
      <c r="YF108" s="1"/>
      <c r="YG108" s="1"/>
      <c r="YH108" s="1"/>
      <c r="YI108" s="1"/>
      <c r="YJ108" s="1"/>
      <c r="YK108" s="1"/>
      <c r="YL108" s="1"/>
      <c r="YM108" s="1"/>
      <c r="YN108" s="1"/>
      <c r="YO108" s="1"/>
      <c r="YP108" s="1"/>
      <c r="YQ108" s="1"/>
      <c r="YR108" s="1"/>
      <c r="YS108" s="1"/>
      <c r="YT108" s="1"/>
      <c r="YU108" s="1"/>
      <c r="YV108" s="1"/>
      <c r="YW108" s="1"/>
      <c r="YX108" s="1"/>
      <c r="YY108" s="1"/>
      <c r="YZ108" s="1"/>
      <c r="ZA108" s="1"/>
      <c r="ZB108" s="1"/>
      <c r="ZC108" s="1"/>
      <c r="ZD108" s="1"/>
      <c r="ZE108" s="1"/>
      <c r="ZF108" s="1"/>
      <c r="ZG108" s="1"/>
      <c r="ZH108" s="1"/>
      <c r="ZI108" s="1"/>
      <c r="ZJ108" s="1"/>
      <c r="ZK108" s="1"/>
      <c r="ZL108" s="1"/>
      <c r="ZM108" s="1"/>
      <c r="ZN108" s="1"/>
      <c r="ZO108" s="1"/>
      <c r="ZP108" s="1"/>
      <c r="ZQ108" s="1"/>
      <c r="ZR108" s="1"/>
      <c r="ZS108" s="1"/>
      <c r="ZT108" s="1"/>
      <c r="ZU108" s="1"/>
      <c r="ZV108" s="1"/>
      <c r="ZW108" s="1"/>
      <c r="ZX108" s="1"/>
      <c r="ZY108" s="1"/>
      <c r="ZZ108" s="1"/>
      <c r="AAA108" s="1"/>
      <c r="AAB108" s="1"/>
      <c r="AAC108" s="1"/>
      <c r="AAD108" s="1"/>
      <c r="AAE108" s="1"/>
      <c r="AAF108" s="1"/>
      <c r="AAG108" s="1"/>
      <c r="AAH108" s="1"/>
      <c r="AAI108" s="1"/>
      <c r="AAJ108" s="1"/>
      <c r="AAK108" s="1"/>
      <c r="AAL108" s="1"/>
      <c r="AAM108" s="1"/>
      <c r="AAN108" s="1"/>
      <c r="AAO108" s="1"/>
      <c r="AAP108" s="1"/>
      <c r="AAQ108" s="1"/>
      <c r="AAR108" s="1"/>
      <c r="AAS108" s="1"/>
      <c r="AAT108" s="1"/>
      <c r="AAU108" s="1"/>
      <c r="AAV108" s="1"/>
      <c r="AAW108" s="1"/>
      <c r="AAX108" s="1"/>
      <c r="AAY108" s="1"/>
      <c r="AAZ108" s="1"/>
      <c r="ABA108" s="1"/>
      <c r="ABB108" s="1"/>
      <c r="ABC108" s="1"/>
      <c r="ABD108" s="1"/>
      <c r="ABE108" s="1"/>
      <c r="ABF108" s="1"/>
      <c r="ABG108" s="1"/>
      <c r="ABH108" s="1"/>
      <c r="ABI108" s="1"/>
      <c r="ABJ108" s="1"/>
      <c r="ABK108" s="1"/>
      <c r="ABL108" s="1"/>
      <c r="ABM108" s="1"/>
      <c r="ABN108" s="1"/>
      <c r="ABO108" s="1"/>
      <c r="ABP108" s="1"/>
      <c r="ABQ108" s="1"/>
      <c r="ABR108" s="1"/>
      <c r="ABS108" s="1"/>
      <c r="ABT108" s="1"/>
      <c r="ABU108" s="1"/>
      <c r="ABV108" s="1"/>
      <c r="ABW108" s="1"/>
      <c r="ABX108" s="1"/>
      <c r="ABY108" s="1"/>
      <c r="ABZ108" s="1"/>
      <c r="ACA108" s="1"/>
      <c r="ACB108" s="1"/>
      <c r="ACC108" s="1"/>
      <c r="ACD108" s="1"/>
      <c r="ACE108" s="1"/>
      <c r="ACF108" s="1"/>
      <c r="ACG108" s="1"/>
      <c r="ACH108" s="1"/>
      <c r="ACI108" s="1"/>
      <c r="ACJ108" s="1"/>
      <c r="ACK108" s="1"/>
      <c r="ACL108" s="1"/>
      <c r="ACM108" s="1"/>
      <c r="ACN108" s="1"/>
      <c r="ACO108" s="1"/>
      <c r="ACP108" s="1"/>
      <c r="ACQ108" s="1"/>
      <c r="ACR108" s="1"/>
      <c r="ACS108" s="1"/>
      <c r="ACT108" s="1"/>
      <c r="ACU108" s="1"/>
      <c r="ACV108" s="1"/>
      <c r="ACW108" s="1"/>
      <c r="ACX108" s="1"/>
      <c r="ACY108" s="1"/>
      <c r="ACZ108" s="1"/>
      <c r="ADA108" s="1"/>
      <c r="ADB108" s="1"/>
      <c r="ADC108" s="1"/>
      <c r="ADD108" s="1"/>
      <c r="ADE108" s="1"/>
      <c r="ADF108" s="1"/>
      <c r="ADG108" s="1"/>
      <c r="ADH108" s="1"/>
      <c r="ADI108" s="1"/>
      <c r="ADJ108" s="1"/>
      <c r="ADK108" s="1"/>
      <c r="ADL108" s="1"/>
      <c r="ADM108" s="1"/>
      <c r="ADN108" s="1"/>
      <c r="ADO108" s="1"/>
      <c r="ADP108" s="1"/>
      <c r="ADQ108" s="1"/>
      <c r="ADR108" s="1"/>
      <c r="ADS108" s="1"/>
      <c r="ADT108" s="1"/>
      <c r="ADU108" s="1"/>
      <c r="ADV108" s="1"/>
      <c r="ADW108" s="1"/>
      <c r="ADX108" s="1"/>
      <c r="ADY108" s="1"/>
      <c r="ADZ108" s="1"/>
      <c r="AEA108" s="1"/>
      <c r="AEB108" s="1"/>
      <c r="AEC108" s="1"/>
      <c r="AED108" s="1"/>
      <c r="AEE108" s="1"/>
      <c r="AEF108" s="1"/>
      <c r="AEG108" s="1"/>
      <c r="AEH108" s="1"/>
      <c r="AEI108" s="1"/>
      <c r="AEJ108" s="1"/>
      <c r="AEK108" s="1"/>
      <c r="AEL108" s="1"/>
      <c r="AEM108" s="1"/>
      <c r="AEN108" s="1"/>
      <c r="AEO108" s="1"/>
      <c r="AEP108" s="1"/>
      <c r="AEQ108" s="1"/>
      <c r="AER108" s="1"/>
      <c r="AES108" s="1"/>
      <c r="AET108" s="1"/>
      <c r="AEU108" s="1"/>
      <c r="AEV108" s="1"/>
      <c r="AEW108" s="1"/>
      <c r="AEX108" s="1"/>
      <c r="AEY108" s="1"/>
      <c r="AEZ108" s="1"/>
      <c r="AFA108" s="1"/>
      <c r="AFB108" s="1"/>
      <c r="AFC108" s="1"/>
      <c r="AFD108" s="1"/>
      <c r="AFE108" s="1"/>
      <c r="AFF108" s="1"/>
      <c r="AFG108" s="1"/>
      <c r="AFH108" s="1"/>
      <c r="AFI108" s="1"/>
      <c r="AFJ108" s="1"/>
      <c r="AFK108" s="1"/>
      <c r="AFL108" s="1"/>
      <c r="AFM108" s="1"/>
      <c r="AFN108" s="1"/>
      <c r="AFO108" s="1"/>
      <c r="AFP108" s="1"/>
      <c r="AFQ108" s="1"/>
      <c r="AFR108" s="1"/>
      <c r="AFS108" s="1"/>
      <c r="AFT108" s="1"/>
      <c r="AFU108" s="1"/>
      <c r="AFV108" s="1"/>
      <c r="AFW108" s="1"/>
      <c r="AFX108" s="1"/>
      <c r="AFY108" s="1"/>
      <c r="AFZ108" s="1"/>
      <c r="AGA108" s="1"/>
      <c r="AGB108" s="1"/>
      <c r="AGC108" s="1"/>
      <c r="AGD108" s="1"/>
      <c r="AGE108" s="1"/>
      <c r="AGF108" s="1"/>
      <c r="AGG108" s="1"/>
      <c r="AGH108" s="1"/>
      <c r="AGI108" s="1"/>
      <c r="AGJ108" s="1"/>
      <c r="AGK108" s="1"/>
      <c r="AGL108" s="1"/>
      <c r="AGM108" s="1"/>
      <c r="AGN108" s="1"/>
      <c r="AGO108" s="1"/>
      <c r="AGP108" s="1"/>
      <c r="AGQ108" s="1"/>
      <c r="AGR108" s="1"/>
      <c r="AGS108" s="1"/>
      <c r="AGT108" s="1"/>
      <c r="AGU108" s="1"/>
      <c r="AGV108" s="1"/>
      <c r="AGW108" s="1"/>
      <c r="AGX108" s="1"/>
      <c r="AGY108" s="1"/>
      <c r="AGZ108" s="1"/>
      <c r="AHA108" s="1"/>
      <c r="AHB108" s="1"/>
      <c r="AHC108" s="1"/>
      <c r="AHD108" s="1"/>
      <c r="AHE108" s="1"/>
      <c r="AHF108" s="1"/>
      <c r="AHG108" s="1"/>
      <c r="AHH108" s="1"/>
      <c r="AHI108" s="1"/>
      <c r="AHJ108" s="1"/>
      <c r="AHK108" s="1"/>
      <c r="AHL108" s="1"/>
      <c r="AHM108" s="1"/>
      <c r="AHN108" s="1"/>
      <c r="AHO108" s="1"/>
      <c r="AHP108" s="1"/>
      <c r="AHQ108" s="1"/>
      <c r="AHR108" s="1"/>
      <c r="AHS108" s="1"/>
      <c r="AHT108" s="1"/>
      <c r="AHU108" s="1"/>
      <c r="AHV108" s="1"/>
      <c r="AHW108" s="1"/>
      <c r="AHX108" s="1"/>
      <c r="AHY108" s="1"/>
      <c r="AHZ108" s="1"/>
      <c r="AIA108" s="1"/>
      <c r="AIB108" s="1"/>
      <c r="AIC108" s="1"/>
      <c r="AID108" s="1"/>
      <c r="AIE108" s="1"/>
      <c r="AIF108" s="1"/>
      <c r="AIG108" s="1"/>
      <c r="AIH108" s="1"/>
      <c r="AII108" s="1"/>
      <c r="AIJ108" s="1"/>
      <c r="AIK108" s="1"/>
      <c r="AIL108" s="1"/>
      <c r="AIM108" s="1"/>
      <c r="AIN108" s="1"/>
      <c r="AIO108" s="1"/>
      <c r="AIP108" s="1"/>
      <c r="AIQ108" s="1"/>
      <c r="AIR108" s="1"/>
      <c r="AIS108" s="1"/>
      <c r="AIT108" s="1"/>
      <c r="AIU108" s="1"/>
      <c r="AIV108" s="1"/>
      <c r="AIW108" s="1"/>
      <c r="AIX108" s="1"/>
      <c r="AIY108" s="1"/>
      <c r="AIZ108" s="1"/>
      <c r="AJA108" s="1"/>
      <c r="AJB108" s="1"/>
      <c r="AJC108" s="1"/>
      <c r="AJD108" s="1"/>
      <c r="AJE108" s="1"/>
      <c r="AJF108" s="1"/>
      <c r="AJG108" s="1"/>
      <c r="AJH108" s="1"/>
      <c r="AJI108" s="1"/>
      <c r="AJJ108" s="1"/>
      <c r="AJK108" s="1"/>
      <c r="AJL108" s="1"/>
      <c r="AJM108" s="1"/>
      <c r="AJN108" s="1"/>
      <c r="AJO108" s="1"/>
      <c r="AJP108" s="1"/>
      <c r="AJQ108" s="1"/>
      <c r="AJR108" s="1"/>
      <c r="AJS108" s="1"/>
      <c r="AJT108" s="1"/>
      <c r="AJU108" s="1"/>
      <c r="AJV108" s="1"/>
      <c r="AJW108" s="1"/>
      <c r="AJX108" s="1"/>
      <c r="AJY108" s="1"/>
      <c r="AJZ108" s="1"/>
      <c r="AKA108" s="1"/>
      <c r="AKB108" s="1"/>
      <c r="AKC108" s="1"/>
      <c r="AKD108" s="1"/>
      <c r="AKE108" s="1"/>
      <c r="AKF108" s="1"/>
      <c r="AKG108" s="1"/>
      <c r="AKH108" s="1"/>
      <c r="AKI108" s="1"/>
      <c r="AKJ108" s="1"/>
      <c r="AKK108" s="1"/>
      <c r="AKL108" s="1"/>
      <c r="AKM108" s="1"/>
      <c r="AKN108" s="1"/>
      <c r="AKO108" s="1"/>
      <c r="AKP108" s="1"/>
      <c r="AKQ108" s="1"/>
      <c r="AKR108" s="1"/>
      <c r="AKS108" s="1"/>
      <c r="AKT108" s="1"/>
      <c r="AKU108" s="1"/>
      <c r="AKV108" s="1"/>
      <c r="AKW108" s="1"/>
      <c r="AKX108" s="1"/>
      <c r="AKY108" s="1"/>
      <c r="AKZ108" s="1"/>
      <c r="ALA108" s="1"/>
      <c r="ALB108" s="1"/>
      <c r="ALC108" s="1"/>
      <c r="ALD108" s="1"/>
      <c r="ALE108" s="1"/>
      <c r="ALF108" s="1"/>
      <c r="ALG108" s="1"/>
      <c r="ALH108" s="1"/>
      <c r="ALI108" s="1"/>
      <c r="ALJ108" s="1"/>
      <c r="ALK108" s="1"/>
      <c r="ALL108" s="1"/>
      <c r="ALM108" s="1"/>
      <c r="ALN108" s="1"/>
      <c r="ALO108" s="1"/>
      <c r="ALP108" s="1"/>
      <c r="ALQ108" s="1"/>
      <c r="ALR108" s="1"/>
      <c r="ALS108" s="1"/>
      <c r="ALT108" s="1"/>
      <c r="ALU108" s="1"/>
      <c r="ALV108" s="1"/>
      <c r="ALW108" s="1"/>
      <c r="ALX108" s="1"/>
      <c r="ALY108" s="1"/>
      <c r="ALZ108" s="1"/>
      <c r="AMA108" s="1"/>
      <c r="AMB108" s="1"/>
      <c r="AMC108" s="1"/>
      <c r="AMD108" s="1"/>
      <c r="AME108" s="1"/>
      <c r="AMF108" s="1"/>
      <c r="AMG108" s="1"/>
      <c r="AMH108" s="1"/>
      <c r="AMI108" s="1"/>
      <c r="AMJ108" s="1"/>
      <c r="AMK108" s="1"/>
      <c r="AML108" s="1"/>
      <c r="AMM108" s="1"/>
      <c r="AMN108" s="1"/>
    </row>
    <row r="109" spans="1:1028" x14ac:dyDescent="0.2">
      <c r="A109" s="3" t="str">
        <f t="shared" si="222"/>
        <v>ffar1_human__wt</v>
      </c>
      <c r="B109" s="3" t="s">
        <v>1173</v>
      </c>
      <c r="C109" s="3" t="s">
        <v>100</v>
      </c>
      <c r="D109" s="3" t="str">
        <f>IFERROR(MID(VLOOKUP($B109,Seqs!$A:$B,2,0),E109,1),"")</f>
        <v>P</v>
      </c>
      <c r="E109" s="3">
        <v>4</v>
      </c>
      <c r="F109" s="3" t="str">
        <f>IFERROR(MID(VLOOKUP($B109,Seqs!$A:$B,2,0),G109,1),"")</f>
        <v>R</v>
      </c>
      <c r="G109" s="3">
        <v>37</v>
      </c>
      <c r="H109" s="3" t="str">
        <f>IFERROR(MID(VLOOKUP($B109,Seqs!$A:$B,2,0),I109,1),"")</f>
        <v/>
      </c>
      <c r="I109" s="23" t="s">
        <v>23</v>
      </c>
      <c r="J109" s="3" t="str">
        <f>IFERROR(MID(VLOOKUP($B109,Seqs!$A:$B,2,0),K109,1),"")</f>
        <v/>
      </c>
      <c r="K109" s="23" t="s">
        <v>23</v>
      </c>
      <c r="L109" s="3" t="str">
        <f>IFERROR(MID(VLOOKUP($B109,Seqs!$A:$B,2,0),M109,1),"")</f>
        <v>T</v>
      </c>
      <c r="M109" s="3">
        <v>39</v>
      </c>
      <c r="N109" s="3" t="str">
        <f>IFERROR(MID(VLOOKUP($B109,Seqs!$A:$B,2,0),O109,1),"")</f>
        <v>S</v>
      </c>
      <c r="O109" s="3">
        <v>69</v>
      </c>
      <c r="P109" s="3" t="str">
        <f>IFERROR(MID(VLOOKUP($B109,Seqs!$A:$B,2,0),Q109,1),"")</f>
        <v>A</v>
      </c>
      <c r="Q109" s="3">
        <v>71</v>
      </c>
      <c r="R109" s="3" t="str">
        <f>IFERROR(MID(VLOOKUP($B109,Seqs!$A:$B,2,0),S109,1),"")</f>
        <v>L</v>
      </c>
      <c r="S109" s="3">
        <v>74</v>
      </c>
      <c r="T109" s="3" t="str">
        <f>IFERROR(MID(VLOOKUP($B109,Seqs!$A:$B,2,0),U109,1),"")</f>
        <v>P</v>
      </c>
      <c r="U109" s="3">
        <v>75</v>
      </c>
      <c r="V109" s="3" t="str">
        <f>IFERROR(MID(VLOOKUP($B109,Seqs!$A:$B,2,0),W109,1),"")</f>
        <v>F</v>
      </c>
      <c r="W109" s="3">
        <v>110</v>
      </c>
      <c r="X109" s="3" t="str">
        <f>IFERROR(MID(VLOOKUP($B109,Seqs!$A:$B,2,0),Y109,1),"")</f>
        <v>P</v>
      </c>
      <c r="Y109" s="3">
        <v>111</v>
      </c>
      <c r="Z109" s="3" t="str">
        <f>IFERROR(MID(VLOOKUP($B109,Seqs!$A:$B,2,0),AA109,1),"")</f>
        <v>R</v>
      </c>
      <c r="AA109" s="3">
        <v>118</v>
      </c>
      <c r="AB109" s="3" t="str">
        <f>IFERROR(MID(VLOOKUP($B109,Seqs!$A:$B,2,0),AC109,1),"")</f>
        <v>R</v>
      </c>
      <c r="AC109" s="9">
        <v>119</v>
      </c>
      <c r="AD109" s="3" t="str">
        <f>IFERROR(MID(VLOOKUP($B109,Seqs!$A:$B,2,0),AE109,1),"")</f>
        <v>A</v>
      </c>
      <c r="AE109" s="3">
        <v>146</v>
      </c>
      <c r="AF109" s="3" t="str">
        <f>IFERROR(MID(VLOOKUP($B109,Seqs!$A:$B,2,0),AG109,1),"")</f>
        <v>C</v>
      </c>
      <c r="AG109" s="3">
        <v>170</v>
      </c>
      <c r="AH109" s="3" t="str">
        <f>IFERROR(MID(VLOOKUP($B109,Seqs!$A:$B,2,0),AI109,1),"")</f>
        <v>E</v>
      </c>
      <c r="AI109" s="3">
        <v>172</v>
      </c>
      <c r="AJ109" s="3" t="str">
        <f>IFERROR(MID(VLOOKUP($B109,Seqs!$A:$B,2,0),AK109,1),"")</f>
        <v>D</v>
      </c>
      <c r="AK109" s="3">
        <v>175</v>
      </c>
      <c r="AL109" s="3" t="str">
        <f>IFERROR(MID(VLOOKUP($B109,Seqs!$A:$B,2,0),AM109,1),"")</f>
        <v>R</v>
      </c>
      <c r="AM109" s="3">
        <v>211</v>
      </c>
      <c r="AN109" s="3" t="str">
        <f>IFERROR(MID(VLOOKUP($B109,Seqs!$A:$B,2,0),AO109,1),"")</f>
        <v>R</v>
      </c>
      <c r="AO109" s="3">
        <v>217</v>
      </c>
      <c r="AP109" s="3" t="str">
        <f>IFERROR(MID(VLOOKUP($B109,Seqs!$A:$B,2,0),AQ109,1),"")</f>
        <v>Y</v>
      </c>
      <c r="AQ109" s="3">
        <v>250</v>
      </c>
      <c r="AR109" s="3" t="str">
        <f>IFERROR(MID(VLOOKUP($B109,Seqs!$A:$B,2,0),AS109,1),"")</f>
        <v>G</v>
      </c>
      <c r="AS109" s="3">
        <v>255</v>
      </c>
      <c r="AT109" s="3" t="str">
        <f>IFERROR(MID(VLOOKUP($B109,Seqs!$A:$B,2,0),AU109,1),"")</f>
        <v>L</v>
      </c>
      <c r="AU109" s="3">
        <v>279</v>
      </c>
      <c r="AV109" s="3" t="str">
        <f>IFERROR(MID(VLOOKUP($B109,Seqs!$A:$B,2,0),AW109,1),"")</f>
        <v>G</v>
      </c>
      <c r="AW109" s="3">
        <v>280</v>
      </c>
      <c r="AX109" s="3" t="str">
        <f>IFERROR(MID(VLOOKUP($B109,Seqs!$A:$B,2,0),AY109,1),"")</f>
        <v>Q</v>
      </c>
      <c r="AY109" s="3">
        <v>294</v>
      </c>
      <c r="AZ109" s="79" t="str">
        <f>VLOOKUP(B109,Classification!A:D,2,0)</f>
        <v>A</v>
      </c>
      <c r="BA109" s="97" t="str">
        <f>VLOOKUP(B109,Classification!A:D,4,0)</f>
        <v>Freefattyacid</v>
      </c>
      <c r="BB109" s="27" t="b">
        <f t="shared" si="223"/>
        <v>1</v>
      </c>
      <c r="BC109" s="23">
        <f t="shared" si="473"/>
        <v>256</v>
      </c>
      <c r="BD109" s="35" t="s">
        <v>1379</v>
      </c>
      <c r="BE109" s="3" t="s">
        <v>1381</v>
      </c>
      <c r="BF109" s="50" t="s">
        <v>1379</v>
      </c>
      <c r="BG109" s="50" t="s">
        <v>1384</v>
      </c>
      <c r="BH109" s="1"/>
      <c r="BI109" s="72" t="s">
        <v>1293</v>
      </c>
      <c r="BJ109" s="58" t="s">
        <v>1293</v>
      </c>
      <c r="BK109" s="58" t="s">
        <v>1293</v>
      </c>
      <c r="BL109" s="58" t="s">
        <v>1293</v>
      </c>
      <c r="BM109" s="58" t="s">
        <v>1293</v>
      </c>
      <c r="BN109" s="58" t="s">
        <v>1293</v>
      </c>
      <c r="BO109" s="58" t="s">
        <v>1293</v>
      </c>
      <c r="BP109" s="58" t="s">
        <v>1293</v>
      </c>
      <c r="BQ109" s="58" t="s">
        <v>1293</v>
      </c>
      <c r="BR109" s="58" t="s">
        <v>1293</v>
      </c>
      <c r="BS109" s="58" t="s">
        <v>1293</v>
      </c>
      <c r="BT109" s="58" t="s">
        <v>1293</v>
      </c>
      <c r="BU109" s="72">
        <f t="shared" si="474"/>
        <v>4</v>
      </c>
      <c r="BV109" s="73" t="str">
        <f t="shared" si="475"/>
        <v>-</v>
      </c>
      <c r="BW109" s="74">
        <f t="shared" si="476"/>
        <v>39</v>
      </c>
      <c r="BX109" s="73">
        <f t="shared" si="477"/>
        <v>71</v>
      </c>
      <c r="BY109" s="74">
        <f t="shared" si="478"/>
        <v>75</v>
      </c>
      <c r="BZ109" s="73">
        <f t="shared" si="479"/>
        <v>111</v>
      </c>
      <c r="CA109" s="74">
        <f t="shared" si="480"/>
        <v>119</v>
      </c>
      <c r="CB109" s="73">
        <f t="shared" si="481"/>
        <v>170</v>
      </c>
      <c r="CC109" s="74">
        <f t="shared" si="482"/>
        <v>175</v>
      </c>
      <c r="CD109" s="73">
        <f t="shared" si="483"/>
        <v>217</v>
      </c>
      <c r="CE109" s="74">
        <f t="shared" si="484"/>
        <v>255</v>
      </c>
      <c r="CF109" s="73">
        <f t="shared" si="485"/>
        <v>280</v>
      </c>
      <c r="CG109" s="72">
        <f t="shared" si="486"/>
        <v>37</v>
      </c>
      <c r="CH109" s="73" t="str">
        <f t="shared" si="487"/>
        <v>-</v>
      </c>
      <c r="CI109" s="74">
        <f t="shared" si="488"/>
        <v>69</v>
      </c>
      <c r="CJ109" s="74">
        <f t="shared" si="489"/>
        <v>74</v>
      </c>
      <c r="CK109" s="74">
        <f t="shared" si="490"/>
        <v>110</v>
      </c>
      <c r="CL109" s="74">
        <f t="shared" si="491"/>
        <v>118</v>
      </c>
      <c r="CM109" s="74">
        <f t="shared" si="492"/>
        <v>146</v>
      </c>
      <c r="CN109" s="74">
        <f t="shared" si="493"/>
        <v>172</v>
      </c>
      <c r="CO109" s="74">
        <f t="shared" si="494"/>
        <v>211</v>
      </c>
      <c r="CP109" s="74">
        <f t="shared" si="495"/>
        <v>250</v>
      </c>
      <c r="CQ109" s="74">
        <f t="shared" si="496"/>
        <v>279</v>
      </c>
      <c r="CR109" s="74">
        <f t="shared" si="497"/>
        <v>294</v>
      </c>
      <c r="CS109" s="23" t="e">
        <f t="shared" si="498"/>
        <v>#VALUE!</v>
      </c>
    </row>
    <row r="110" spans="1:1028" x14ac:dyDescent="0.2">
      <c r="A110" s="3" t="str">
        <f t="shared" si="222"/>
        <v>ffar1_human_4PHU</v>
      </c>
      <c r="B110" s="3" t="s">
        <v>1173</v>
      </c>
      <c r="C110" s="3" t="s">
        <v>52</v>
      </c>
      <c r="D110" s="3" t="str">
        <f>IFERROR(MID(VLOOKUP($B110,Seqs!$A:$B,2,0),E110,1),"")</f>
        <v>P</v>
      </c>
      <c r="E110" s="3">
        <v>4</v>
      </c>
      <c r="F110" s="3" t="str">
        <f>IFERROR(MID(VLOOKUP($B110,Seqs!$A:$B,2,0),G110,1),"")</f>
        <v>R</v>
      </c>
      <c r="G110" s="3">
        <v>37</v>
      </c>
      <c r="H110" s="3" t="str">
        <f>IFERROR(MID(VLOOKUP($B110,Seqs!$A:$B,2,0),I110,1),"")</f>
        <v/>
      </c>
      <c r="I110" s="23" t="s">
        <v>23</v>
      </c>
      <c r="J110" s="3" t="str">
        <f>IFERROR(MID(VLOOKUP($B110,Seqs!$A:$B,2,0),K110,1),"")</f>
        <v/>
      </c>
      <c r="K110" s="23" t="s">
        <v>23</v>
      </c>
      <c r="L110" s="3" t="str">
        <f>IFERROR(MID(VLOOKUP($B110,Seqs!$A:$B,2,0),M110,1),"")</f>
        <v>T</v>
      </c>
      <c r="M110" s="3">
        <v>39</v>
      </c>
      <c r="N110" s="3" t="str">
        <f>IFERROR(MID(VLOOKUP($B110,Seqs!$A:$B,2,0),O110,1),"")</f>
        <v>S</v>
      </c>
      <c r="O110" s="3">
        <v>69</v>
      </c>
      <c r="P110" s="3" t="str">
        <f>IFERROR(MID(VLOOKUP($B110,Seqs!$A:$B,2,0),Q110,1),"")</f>
        <v>A</v>
      </c>
      <c r="Q110" s="3">
        <v>71</v>
      </c>
      <c r="R110" s="3" t="str">
        <f>IFERROR(MID(VLOOKUP($B110,Seqs!$A:$B,2,0),S110,1),"")</f>
        <v>L</v>
      </c>
      <c r="S110" s="3">
        <v>74</v>
      </c>
      <c r="T110" s="3" t="str">
        <f>IFERROR(MID(VLOOKUP($B110,Seqs!$A:$B,2,0),U110,1),"")</f>
        <v>P</v>
      </c>
      <c r="U110" s="3">
        <v>75</v>
      </c>
      <c r="V110" s="3" t="str">
        <f>IFERROR(MID(VLOOKUP($B110,Seqs!$A:$B,2,0),W110,1),"")</f>
        <v>F</v>
      </c>
      <c r="W110" s="3">
        <v>110</v>
      </c>
      <c r="X110" s="3" t="str">
        <f>IFERROR(MID(VLOOKUP($B110,Seqs!$A:$B,2,0),Y110,1),"")</f>
        <v/>
      </c>
      <c r="Y110" s="3" t="s">
        <v>23</v>
      </c>
      <c r="Z110" s="3" t="str">
        <f>IFERROR(MID(VLOOKUP($B110,Seqs!$A:$B,2,0),AA110,1),"")</f>
        <v/>
      </c>
      <c r="AA110" s="3" t="s">
        <v>23</v>
      </c>
      <c r="AB110" s="3" t="str">
        <f>IFERROR(MID(VLOOKUP($B110,Seqs!$A:$B,2,0),AC110,1),"")</f>
        <v>C</v>
      </c>
      <c r="AC110" s="9">
        <v>121</v>
      </c>
      <c r="AD110" s="3" t="str">
        <f>IFERROR(MID(VLOOKUP($B110,Seqs!$A:$B,2,0),AE110,1),"")</f>
        <v>A</v>
      </c>
      <c r="AE110" s="3">
        <v>146</v>
      </c>
      <c r="AF110" s="3" t="str">
        <f>IFERROR(MID(VLOOKUP($B110,Seqs!$A:$B,2,0),AG110,1),"")</f>
        <v>C</v>
      </c>
      <c r="AG110" s="3">
        <v>170</v>
      </c>
      <c r="AH110" s="3" t="str">
        <f>IFERROR(MID(VLOOKUP($B110,Seqs!$A:$B,2,0),AI110,1),"")</f>
        <v>E</v>
      </c>
      <c r="AI110" s="3">
        <v>172</v>
      </c>
      <c r="AJ110" s="3" t="str">
        <f>IFERROR(MID(VLOOKUP($B110,Seqs!$A:$B,2,0),AK110,1),"")</f>
        <v>D</v>
      </c>
      <c r="AK110" s="3">
        <v>175</v>
      </c>
      <c r="AL110" s="3" t="str">
        <f>IFERROR(MID(VLOOKUP($B110,Seqs!$A:$B,2,0),AM110,1),"")</f>
        <v>A</v>
      </c>
      <c r="AM110" s="3">
        <v>210</v>
      </c>
      <c r="AN110" s="3" t="str">
        <f>IFERROR(MID(VLOOKUP($B110,Seqs!$A:$B,2,0),AO110,1),"")</f>
        <v>L</v>
      </c>
      <c r="AO110" s="3">
        <v>214</v>
      </c>
      <c r="AP110" s="3" t="str">
        <f>IFERROR(MID(VLOOKUP($B110,Seqs!$A:$B,2,0),AQ110,1),"")</f>
        <v>Y</v>
      </c>
      <c r="AQ110" s="3">
        <v>250</v>
      </c>
      <c r="AR110" s="3" t="str">
        <f>IFERROR(MID(VLOOKUP($B110,Seqs!$A:$B,2,0),AS110,1),"")</f>
        <v>G</v>
      </c>
      <c r="AS110" s="3">
        <v>255</v>
      </c>
      <c r="AT110" s="3" t="str">
        <f>IFERROR(MID(VLOOKUP($B110,Seqs!$A:$B,2,0),AU110,1),"")</f>
        <v>T</v>
      </c>
      <c r="AU110" s="3">
        <v>276</v>
      </c>
      <c r="AV110" s="3" t="str">
        <f>IFERROR(MID(VLOOKUP($B110,Seqs!$A:$B,2,0),AW110,1),"")</f>
        <v/>
      </c>
      <c r="AW110" s="3" t="s">
        <v>23</v>
      </c>
      <c r="AX110" s="3" t="str">
        <f>IFERROR(MID(VLOOKUP($B110,Seqs!$A:$B,2,0),AY110,1),"")</f>
        <v/>
      </c>
      <c r="AY110" s="3" t="s">
        <v>23</v>
      </c>
      <c r="AZ110" s="79" t="str">
        <f>VLOOKUP(B110,Classification!A:D,2,0)</f>
        <v>A</v>
      </c>
      <c r="BA110" s="97" t="str">
        <f>VLOOKUP(B110,Classification!A:D,4,0)</f>
        <v>Freefattyacid</v>
      </c>
      <c r="BB110" s="27" t="b">
        <f t="shared" si="223"/>
        <v>1</v>
      </c>
      <c r="BC110" s="23">
        <f t="shared" si="473"/>
        <v>232</v>
      </c>
      <c r="BD110" s="16" t="s">
        <v>1383</v>
      </c>
      <c r="BE110" s="3" t="s">
        <v>1381</v>
      </c>
      <c r="BF110" s="50" t="s">
        <v>1384</v>
      </c>
      <c r="BG110" s="50" t="s">
        <v>1384</v>
      </c>
      <c r="BH110" s="1"/>
      <c r="BI110" s="72" t="s">
        <v>1293</v>
      </c>
      <c r="BJ110" s="58" t="s">
        <v>1293</v>
      </c>
      <c r="BK110" s="58" t="s">
        <v>1293</v>
      </c>
      <c r="BL110" s="58" t="s">
        <v>1293</v>
      </c>
      <c r="BM110" s="58" t="s">
        <v>1293</v>
      </c>
      <c r="BN110" s="58" t="s">
        <v>1293</v>
      </c>
      <c r="BO110" s="58" t="s">
        <v>1293</v>
      </c>
      <c r="BP110" s="58" t="s">
        <v>1293</v>
      </c>
      <c r="BQ110" s="58" t="s">
        <v>1293</v>
      </c>
      <c r="BR110" s="58" t="s">
        <v>1293</v>
      </c>
      <c r="BS110" s="58" t="s">
        <v>1293</v>
      </c>
      <c r="BT110" s="58" t="s">
        <v>1293</v>
      </c>
      <c r="BU110" s="72">
        <f t="shared" si="474"/>
        <v>4</v>
      </c>
      <c r="BV110" s="73" t="str">
        <f t="shared" si="475"/>
        <v>-</v>
      </c>
      <c r="BW110" s="74">
        <f t="shared" si="476"/>
        <v>39</v>
      </c>
      <c r="BX110" s="73">
        <f t="shared" si="477"/>
        <v>71</v>
      </c>
      <c r="BY110" s="74">
        <f t="shared" si="478"/>
        <v>75</v>
      </c>
      <c r="BZ110" s="73" t="str">
        <f t="shared" si="479"/>
        <v>-</v>
      </c>
      <c r="CA110" s="74">
        <f t="shared" si="480"/>
        <v>121</v>
      </c>
      <c r="CB110" s="73">
        <f t="shared" si="481"/>
        <v>170</v>
      </c>
      <c r="CC110" s="74">
        <f t="shared" si="482"/>
        <v>175</v>
      </c>
      <c r="CD110" s="73">
        <f t="shared" si="483"/>
        <v>214</v>
      </c>
      <c r="CE110" s="74">
        <f t="shared" si="484"/>
        <v>255</v>
      </c>
      <c r="CF110" s="73" t="str">
        <f t="shared" si="485"/>
        <v>-</v>
      </c>
      <c r="CG110" s="72">
        <f t="shared" si="486"/>
        <v>37</v>
      </c>
      <c r="CH110" s="73" t="str">
        <f t="shared" si="487"/>
        <v>-</v>
      </c>
      <c r="CI110" s="74">
        <f t="shared" si="488"/>
        <v>69</v>
      </c>
      <c r="CJ110" s="74">
        <f t="shared" si="489"/>
        <v>74</v>
      </c>
      <c r="CK110" s="74">
        <f t="shared" si="490"/>
        <v>110</v>
      </c>
      <c r="CL110" s="74" t="str">
        <f t="shared" si="491"/>
        <v>-</v>
      </c>
      <c r="CM110" s="74">
        <f t="shared" si="492"/>
        <v>146</v>
      </c>
      <c r="CN110" s="74">
        <f t="shared" si="493"/>
        <v>172</v>
      </c>
      <c r="CO110" s="74">
        <f t="shared" si="494"/>
        <v>210</v>
      </c>
      <c r="CP110" s="74">
        <f t="shared" si="495"/>
        <v>250</v>
      </c>
      <c r="CQ110" s="74">
        <f t="shared" si="496"/>
        <v>276</v>
      </c>
      <c r="CR110" s="74" t="str">
        <f t="shared" si="497"/>
        <v>-</v>
      </c>
      <c r="CS110" s="23" t="e">
        <f t="shared" si="498"/>
        <v>#VALUE!</v>
      </c>
    </row>
    <row r="111" spans="1:1028" s="12" customFormat="1" x14ac:dyDescent="0.2">
      <c r="A111" s="9" t="str">
        <f t="shared" ref="A111" si="499">CONCATENATE(B111,"_",C111)</f>
        <v>ffar1_human_5TZR</v>
      </c>
      <c r="B111" s="9" t="s">
        <v>1173</v>
      </c>
      <c r="C111" s="9" t="s">
        <v>1426</v>
      </c>
      <c r="D111" s="9" t="str">
        <f>IFERROR(MID(VLOOKUP($B111,Seqs!$A:$B,2,0),E111,1),"")</f>
        <v>P</v>
      </c>
      <c r="E111" s="9">
        <v>4</v>
      </c>
      <c r="F111" s="9" t="str">
        <f>IFERROR(MID(VLOOKUP($B111,Seqs!$A:$B,2,0),G111,1),"")</f>
        <v>R</v>
      </c>
      <c r="G111" s="9">
        <v>37</v>
      </c>
      <c r="H111" s="9" t="str">
        <f>IFERROR(MID(VLOOKUP($B111,Seqs!$A:$B,2,0),I111,1),"")</f>
        <v/>
      </c>
      <c r="I111" s="112" t="s">
        <v>23</v>
      </c>
      <c r="J111" s="9" t="str">
        <f>IFERROR(MID(VLOOKUP($B111,Seqs!$A:$B,2,0),K111,1),"")</f>
        <v/>
      </c>
      <c r="K111" s="112" t="s">
        <v>23</v>
      </c>
      <c r="L111" s="9" t="str">
        <f>IFERROR(MID(VLOOKUP($B111,Seqs!$A:$B,2,0),M111,1),"")</f>
        <v>T</v>
      </c>
      <c r="M111" s="9">
        <v>39</v>
      </c>
      <c r="N111" s="9" t="str">
        <f>IFERROR(MID(VLOOKUP($B111,Seqs!$A:$B,2,0),O111,1),"")</f>
        <v>S</v>
      </c>
      <c r="O111" s="9">
        <v>69</v>
      </c>
      <c r="P111" s="9" t="str">
        <f>IFERROR(MID(VLOOKUP($B111,Seqs!$A:$B,2,0),Q111,1),"")</f>
        <v>A</v>
      </c>
      <c r="Q111" s="9">
        <v>71</v>
      </c>
      <c r="R111" s="9" t="str">
        <f>IFERROR(MID(VLOOKUP($B111,Seqs!$A:$B,2,0),S111,1),"")</f>
        <v>L</v>
      </c>
      <c r="S111" s="9">
        <v>74</v>
      </c>
      <c r="T111" s="9" t="str">
        <f>IFERROR(MID(VLOOKUP($B111,Seqs!$A:$B,2,0),U111,1),"")</f>
        <v>P</v>
      </c>
      <c r="U111" s="9">
        <v>75</v>
      </c>
      <c r="V111" s="9" t="str">
        <f>IFERROR(MID(VLOOKUP($B111,Seqs!$A:$B,2,0),W111,1),"")</f>
        <v>F</v>
      </c>
      <c r="W111" s="9">
        <v>110</v>
      </c>
      <c r="X111" s="9" t="str">
        <f>IFERROR(MID(VLOOKUP($B111,Seqs!$A:$B,2,0),Y111,1),"")</f>
        <v/>
      </c>
      <c r="Y111" s="9" t="s">
        <v>23</v>
      </c>
      <c r="Z111" s="9" t="str">
        <f>IFERROR(MID(VLOOKUP($B111,Seqs!$A:$B,2,0),AA111,1),"")</f>
        <v/>
      </c>
      <c r="AA111" s="9" t="s">
        <v>23</v>
      </c>
      <c r="AB111" s="9" t="str">
        <f>IFERROR(MID(VLOOKUP($B111,Seqs!$A:$B,2,0),AC111,1),"")</f>
        <v>C</v>
      </c>
      <c r="AC111" s="9">
        <v>121</v>
      </c>
      <c r="AD111" s="9" t="str">
        <f>IFERROR(MID(VLOOKUP($B111,Seqs!$A:$B,2,0),AE111,1),"")</f>
        <v>A</v>
      </c>
      <c r="AE111" s="9">
        <v>146</v>
      </c>
      <c r="AF111" s="9" t="str">
        <f>IFERROR(MID(VLOOKUP($B111,Seqs!$A:$B,2,0),AG111,1),"")</f>
        <v>C</v>
      </c>
      <c r="AG111" s="9">
        <v>170</v>
      </c>
      <c r="AH111" s="9" t="str">
        <f>IFERROR(MID(VLOOKUP($B111,Seqs!$A:$B,2,0),AI111,1),"")</f>
        <v>E</v>
      </c>
      <c r="AI111" s="9">
        <v>172</v>
      </c>
      <c r="AJ111" s="9" t="str">
        <f>IFERROR(MID(VLOOKUP($B111,Seqs!$A:$B,2,0),AK111,1),"")</f>
        <v>D</v>
      </c>
      <c r="AK111" s="9">
        <v>175</v>
      </c>
      <c r="AL111" s="9" t="str">
        <f>IFERROR(MID(VLOOKUP($B111,Seqs!$A:$B,2,0),AM111,1),"")</f>
        <v>R</v>
      </c>
      <c r="AM111" s="9">
        <v>211</v>
      </c>
      <c r="AN111" s="9" t="str">
        <f>IFERROR(MID(VLOOKUP($B111,Seqs!$A:$B,2,0),AO111,1),"")</f>
        <v>L</v>
      </c>
      <c r="AO111" s="9">
        <v>214</v>
      </c>
      <c r="AP111" s="9" t="str">
        <f>IFERROR(MID(VLOOKUP($B111,Seqs!$A:$B,2,0),AQ111,1),"")</f>
        <v>Y</v>
      </c>
      <c r="AQ111" s="9">
        <v>250</v>
      </c>
      <c r="AR111" s="9" t="str">
        <f>IFERROR(MID(VLOOKUP($B111,Seqs!$A:$B,2,0),AS111,1),"")</f>
        <v>G</v>
      </c>
      <c r="AS111" s="9">
        <v>255</v>
      </c>
      <c r="AT111" s="9" t="str">
        <f>IFERROR(MID(VLOOKUP($B111,Seqs!$A:$B,2,0),AU111,1),"")</f>
        <v>T</v>
      </c>
      <c r="AU111" s="9">
        <v>276</v>
      </c>
      <c r="AV111" s="9" t="str">
        <f>IFERROR(MID(VLOOKUP($B111,Seqs!$A:$B,2,0),AW111,1),"")</f>
        <v/>
      </c>
      <c r="AW111" s="9" t="s">
        <v>23</v>
      </c>
      <c r="AX111" s="9" t="str">
        <f>IFERROR(MID(VLOOKUP($B111,Seqs!$A:$B,2,0),AY111,1),"")</f>
        <v/>
      </c>
      <c r="AY111" s="9" t="s">
        <v>23</v>
      </c>
      <c r="AZ111" s="113" t="str">
        <f>VLOOKUP(B111,Classification!A:D,2,0)</f>
        <v>A</v>
      </c>
      <c r="BA111" s="101" t="str">
        <f>VLOOKUP(B111,Classification!A:D,4,0)</f>
        <v>Freefattyacid</v>
      </c>
      <c r="BB111" s="37" t="b">
        <f t="shared" ref="BB111" si="500">AND(E111&lt;G111,OR(G111&lt;I111,I111="-"),OR(I111&lt;K111,I111="-"),OR(K111&lt;M111,K111="-"),M111&lt;O111,OR(O111&lt;Q111,Q111="-"),OR(Q111&lt;S111,Q111="-"),OR(S111&lt;U111,S111="-"),U111&lt;W111,OR(W111&lt;Y111,Y111="-"),OR(Y111&lt;AA111,Y111="-"),OR(AA111&lt;AC111,AA111="-"),AC111&lt;AE111,OR(AE111&lt;AG111,AG111="-"),OR(AG111&lt;AI111,AG111="-"),OR(AI111&lt;AK111,AI111="-"),AK111&lt;AM111,AM111&lt;AO111,AO111&lt;AQ111,AQ111&lt;AS111,AS111&lt;AU111,OR(AU111&lt;AW111,AW111="-"),OR(AW111&lt;AY111,AW111="-"))</f>
        <v>1</v>
      </c>
      <c r="BC111" s="112">
        <f t="shared" ref="BC111" si="501">_xlfn.AGGREGATE(9,6,CG111:CR111)-_xlfn.AGGREGATE(9,6,BU111:CF111)+12</f>
        <v>233</v>
      </c>
      <c r="BD111" s="122" t="s">
        <v>23</v>
      </c>
      <c r="BE111" s="9" t="s">
        <v>1297</v>
      </c>
      <c r="BF111" s="52" t="s">
        <v>1</v>
      </c>
      <c r="BG111" s="52" t="s">
        <v>1</v>
      </c>
      <c r="BI111" s="114" t="s">
        <v>1293</v>
      </c>
      <c r="BJ111" s="115" t="s">
        <v>1293</v>
      </c>
      <c r="BK111" s="115" t="s">
        <v>1293</v>
      </c>
      <c r="BL111" s="115" t="s">
        <v>1293</v>
      </c>
      <c r="BM111" s="115" t="s">
        <v>1293</v>
      </c>
      <c r="BN111" s="115" t="s">
        <v>1293</v>
      </c>
      <c r="BO111" s="115" t="s">
        <v>1293</v>
      </c>
      <c r="BP111" s="115" t="s">
        <v>1293</v>
      </c>
      <c r="BQ111" s="115" t="s">
        <v>1293</v>
      </c>
      <c r="BR111" s="115" t="s">
        <v>1293</v>
      </c>
      <c r="BS111" s="115" t="s">
        <v>1293</v>
      </c>
      <c r="BT111" s="115" t="s">
        <v>1293</v>
      </c>
      <c r="BU111" s="114">
        <f t="shared" ref="BU111" si="502">E111</f>
        <v>4</v>
      </c>
      <c r="BV111" s="116" t="str">
        <f t="shared" ref="BV111" si="503">I111</f>
        <v>-</v>
      </c>
      <c r="BW111" s="117">
        <f t="shared" ref="BW111" si="504">M111</f>
        <v>39</v>
      </c>
      <c r="BX111" s="116">
        <f t="shared" ref="BX111" si="505">Q111</f>
        <v>71</v>
      </c>
      <c r="BY111" s="117">
        <f t="shared" ref="BY111" si="506">U111</f>
        <v>75</v>
      </c>
      <c r="BZ111" s="116" t="str">
        <f t="shared" ref="BZ111" si="507">Y111</f>
        <v>-</v>
      </c>
      <c r="CA111" s="117">
        <f t="shared" ref="CA111" si="508">AC111</f>
        <v>121</v>
      </c>
      <c r="CB111" s="116">
        <f t="shared" ref="CB111" si="509">AG111</f>
        <v>170</v>
      </c>
      <c r="CC111" s="117">
        <f t="shared" ref="CC111" si="510">AK111</f>
        <v>175</v>
      </c>
      <c r="CD111" s="116">
        <f t="shared" ref="CD111" si="511">AO111</f>
        <v>214</v>
      </c>
      <c r="CE111" s="117">
        <f t="shared" ref="CE111" si="512">AS111</f>
        <v>255</v>
      </c>
      <c r="CF111" s="116" t="str">
        <f t="shared" ref="CF111" si="513">AW111</f>
        <v>-</v>
      </c>
      <c r="CG111" s="114">
        <f t="shared" ref="CG111" si="514">G111</f>
        <v>37</v>
      </c>
      <c r="CH111" s="116" t="str">
        <f t="shared" ref="CH111" si="515">K111</f>
        <v>-</v>
      </c>
      <c r="CI111" s="117">
        <f t="shared" ref="CI111" si="516">O111</f>
        <v>69</v>
      </c>
      <c r="CJ111" s="117">
        <f t="shared" ref="CJ111" si="517">S111</f>
        <v>74</v>
      </c>
      <c r="CK111" s="117">
        <f t="shared" ref="CK111" si="518">W111</f>
        <v>110</v>
      </c>
      <c r="CL111" s="117" t="str">
        <f t="shared" ref="CL111" si="519">AA111</f>
        <v>-</v>
      </c>
      <c r="CM111" s="117">
        <f t="shared" ref="CM111" si="520">AE111</f>
        <v>146</v>
      </c>
      <c r="CN111" s="117">
        <f t="shared" ref="CN111" si="521">AI111</f>
        <v>172</v>
      </c>
      <c r="CO111" s="117">
        <f t="shared" ref="CO111" si="522">AM111</f>
        <v>211</v>
      </c>
      <c r="CP111" s="117">
        <f t="shared" ref="CP111" si="523">AQ111</f>
        <v>250</v>
      </c>
      <c r="CQ111" s="117">
        <f t="shared" ref="CQ111" si="524">AU111</f>
        <v>276</v>
      </c>
      <c r="CR111" s="117" t="str">
        <f t="shared" ref="CR111" si="525">AY111</f>
        <v>-</v>
      </c>
      <c r="CS111" s="112" t="e">
        <f t="shared" ref="CS111" si="526">M111-K111</f>
        <v>#VALUE!</v>
      </c>
      <c r="CT111" s="9"/>
      <c r="CU111" s="9"/>
      <c r="CV111" s="9"/>
      <c r="CW111" s="9"/>
      <c r="CX111" s="9"/>
      <c r="CY111" s="9"/>
      <c r="CZ111" s="9"/>
      <c r="DA111" s="9"/>
      <c r="DB111" s="9"/>
      <c r="DC111" s="9"/>
      <c r="DD111" s="9"/>
      <c r="DE111" s="9"/>
      <c r="DF111" s="9"/>
      <c r="DG111" s="9"/>
      <c r="DH111" s="9"/>
      <c r="DI111" s="9"/>
      <c r="DJ111" s="9"/>
      <c r="DK111" s="9"/>
      <c r="DL111" s="9"/>
      <c r="DM111" s="9"/>
      <c r="DN111" s="9"/>
      <c r="DO111" s="9"/>
      <c r="DP111" s="9"/>
      <c r="DQ111" s="9"/>
      <c r="DR111" s="9"/>
      <c r="DS111" s="9"/>
      <c r="DT111" s="9"/>
      <c r="DU111" s="9"/>
      <c r="DV111" s="9"/>
      <c r="DW111" s="9"/>
      <c r="DX111" s="9"/>
      <c r="DY111" s="9"/>
      <c r="DZ111" s="9"/>
      <c r="EA111" s="9"/>
      <c r="EB111" s="9"/>
      <c r="EC111" s="9"/>
      <c r="ED111" s="9"/>
      <c r="EE111" s="9"/>
      <c r="EF111" s="9"/>
      <c r="EG111" s="9"/>
      <c r="EH111" s="9"/>
      <c r="EI111" s="9"/>
      <c r="EJ111" s="9"/>
      <c r="EK111" s="9"/>
      <c r="EL111" s="9"/>
      <c r="EM111" s="9"/>
      <c r="EN111" s="9"/>
      <c r="EO111" s="9"/>
      <c r="EP111" s="9"/>
      <c r="EQ111" s="9"/>
      <c r="ER111" s="9"/>
      <c r="ES111" s="9"/>
      <c r="ET111" s="9"/>
      <c r="EU111" s="9"/>
      <c r="EV111" s="9"/>
      <c r="EW111" s="9"/>
      <c r="EX111" s="9"/>
      <c r="EY111" s="9"/>
      <c r="EZ111" s="9"/>
      <c r="FA111" s="9"/>
      <c r="FB111" s="9"/>
      <c r="FC111" s="9"/>
      <c r="FD111" s="9"/>
      <c r="FE111" s="9"/>
      <c r="FF111" s="9"/>
      <c r="FG111" s="9"/>
      <c r="FH111" s="9"/>
      <c r="FI111" s="9"/>
      <c r="FJ111" s="9"/>
      <c r="FK111" s="9"/>
      <c r="FL111" s="9"/>
      <c r="FM111" s="9"/>
      <c r="FN111" s="9"/>
      <c r="FO111" s="9"/>
      <c r="FP111" s="9"/>
      <c r="FQ111" s="9"/>
      <c r="FR111" s="9"/>
      <c r="FS111" s="9"/>
      <c r="FT111" s="9"/>
      <c r="FU111" s="9"/>
      <c r="FV111" s="9"/>
      <c r="FW111" s="9"/>
      <c r="FX111" s="9"/>
      <c r="FY111" s="9"/>
      <c r="FZ111" s="9"/>
      <c r="GA111" s="9"/>
      <c r="GB111" s="9"/>
      <c r="GC111" s="9"/>
      <c r="GD111" s="9"/>
      <c r="GE111" s="9"/>
      <c r="GF111" s="9"/>
      <c r="GG111" s="9"/>
      <c r="GH111" s="9"/>
      <c r="GI111" s="9"/>
      <c r="GJ111" s="9"/>
      <c r="GK111" s="9"/>
      <c r="GL111" s="9"/>
      <c r="GM111" s="9"/>
      <c r="GN111" s="9"/>
      <c r="GO111" s="9"/>
      <c r="GP111" s="9"/>
      <c r="GQ111" s="9"/>
      <c r="GR111" s="9"/>
      <c r="GS111" s="9"/>
      <c r="GT111" s="9"/>
      <c r="GU111" s="9"/>
      <c r="GV111" s="9"/>
      <c r="GW111" s="9"/>
      <c r="GX111" s="9"/>
      <c r="GY111" s="9"/>
      <c r="GZ111" s="9"/>
      <c r="HA111" s="9"/>
      <c r="HB111" s="9"/>
      <c r="HC111" s="9"/>
      <c r="HD111" s="9"/>
      <c r="HE111" s="9"/>
      <c r="HF111" s="9"/>
      <c r="HG111" s="9"/>
      <c r="HH111" s="9"/>
      <c r="HI111" s="9"/>
      <c r="HJ111" s="9"/>
      <c r="HK111" s="9"/>
      <c r="HL111" s="9"/>
      <c r="HM111" s="9"/>
      <c r="HN111" s="9"/>
      <c r="HO111" s="9"/>
      <c r="HP111" s="9"/>
      <c r="HQ111" s="9"/>
      <c r="HR111" s="9"/>
      <c r="HS111" s="9"/>
      <c r="HT111" s="9"/>
      <c r="HU111" s="9"/>
      <c r="HV111" s="9"/>
      <c r="HW111" s="9"/>
      <c r="HX111" s="9"/>
      <c r="HY111" s="9"/>
      <c r="HZ111" s="9"/>
      <c r="IA111" s="9"/>
      <c r="IB111" s="9"/>
      <c r="IC111" s="9"/>
      <c r="ID111" s="9"/>
      <c r="IE111" s="9"/>
      <c r="IF111" s="9"/>
      <c r="IG111" s="9"/>
      <c r="IH111" s="9"/>
      <c r="II111" s="9"/>
      <c r="IJ111" s="9"/>
      <c r="IK111" s="9"/>
      <c r="IL111" s="9"/>
      <c r="IM111" s="9"/>
      <c r="IN111" s="9"/>
      <c r="IO111" s="9"/>
      <c r="IP111" s="9"/>
      <c r="IQ111" s="9"/>
      <c r="IR111" s="9"/>
      <c r="IS111" s="9"/>
      <c r="IT111" s="9"/>
      <c r="IU111" s="9"/>
      <c r="IV111" s="9"/>
      <c r="IW111" s="9"/>
      <c r="IX111" s="9"/>
      <c r="IY111" s="9"/>
      <c r="IZ111" s="9"/>
      <c r="JA111" s="9"/>
      <c r="JB111" s="9"/>
      <c r="JC111" s="9"/>
      <c r="JD111" s="9"/>
      <c r="JE111" s="9"/>
      <c r="JF111" s="9"/>
      <c r="JG111" s="9"/>
      <c r="JH111" s="9"/>
      <c r="JI111" s="9"/>
      <c r="JJ111" s="9"/>
      <c r="JK111" s="9"/>
      <c r="JL111" s="9"/>
      <c r="JM111" s="9"/>
      <c r="JN111" s="9"/>
      <c r="JO111" s="9"/>
      <c r="JP111" s="9"/>
      <c r="JQ111" s="9"/>
      <c r="JR111" s="9"/>
      <c r="JS111" s="9"/>
      <c r="JT111" s="9"/>
      <c r="JU111" s="9"/>
      <c r="JV111" s="9"/>
      <c r="JW111" s="9"/>
      <c r="JX111" s="9"/>
      <c r="JY111" s="9"/>
      <c r="JZ111" s="9"/>
      <c r="KA111" s="9"/>
      <c r="KB111" s="9"/>
      <c r="KC111" s="9"/>
      <c r="KD111" s="9"/>
      <c r="KE111" s="9"/>
      <c r="KF111" s="9"/>
      <c r="KG111" s="9"/>
      <c r="KH111" s="9"/>
      <c r="KI111" s="9"/>
      <c r="KJ111" s="9"/>
      <c r="KK111" s="9"/>
      <c r="KL111" s="9"/>
      <c r="KM111" s="9"/>
      <c r="KN111" s="9"/>
      <c r="KO111" s="9"/>
      <c r="KP111" s="9"/>
      <c r="KQ111" s="9"/>
      <c r="KR111" s="9"/>
      <c r="KS111" s="9"/>
      <c r="KT111" s="9"/>
      <c r="KU111" s="9"/>
      <c r="KV111" s="9"/>
      <c r="KW111" s="9"/>
      <c r="KX111" s="9"/>
      <c r="KY111" s="9"/>
      <c r="KZ111" s="9"/>
      <c r="LA111" s="9"/>
      <c r="LB111" s="9"/>
      <c r="LC111" s="9"/>
      <c r="LD111" s="9"/>
      <c r="LE111" s="9"/>
      <c r="LF111" s="9"/>
      <c r="LG111" s="9"/>
      <c r="LH111" s="9"/>
      <c r="LI111" s="9"/>
      <c r="LJ111" s="9"/>
      <c r="LK111" s="9"/>
      <c r="LL111" s="9"/>
      <c r="LM111" s="9"/>
      <c r="LN111" s="9"/>
      <c r="LO111" s="9"/>
      <c r="LP111" s="9"/>
      <c r="LQ111" s="9"/>
      <c r="LR111" s="9"/>
      <c r="LS111" s="9"/>
      <c r="LT111" s="9"/>
      <c r="LU111" s="9"/>
      <c r="LV111" s="9"/>
      <c r="LW111" s="9"/>
      <c r="LX111" s="9"/>
      <c r="LY111" s="9"/>
      <c r="LZ111" s="9"/>
      <c r="MA111" s="9"/>
      <c r="MB111" s="9"/>
      <c r="MC111" s="9"/>
      <c r="MD111" s="9"/>
      <c r="ME111" s="9"/>
      <c r="MF111" s="9"/>
      <c r="MG111" s="9"/>
      <c r="MH111" s="9"/>
      <c r="MI111" s="9"/>
      <c r="MJ111" s="9"/>
      <c r="MK111" s="9"/>
      <c r="ML111" s="9"/>
      <c r="MM111" s="9"/>
      <c r="MN111" s="9"/>
      <c r="MO111" s="9"/>
      <c r="MP111" s="9"/>
      <c r="MQ111" s="9"/>
      <c r="MR111" s="9"/>
      <c r="MS111" s="9"/>
      <c r="MT111" s="9"/>
      <c r="MU111" s="9"/>
      <c r="MV111" s="9"/>
      <c r="MW111" s="9"/>
      <c r="MX111" s="9"/>
      <c r="MY111" s="9"/>
      <c r="MZ111" s="9"/>
      <c r="NA111" s="9"/>
      <c r="NB111" s="9"/>
      <c r="NC111" s="9"/>
      <c r="ND111" s="9"/>
      <c r="NE111" s="9"/>
      <c r="NF111" s="9"/>
      <c r="NG111" s="9"/>
      <c r="NH111" s="9"/>
      <c r="NI111" s="9"/>
      <c r="NJ111" s="9"/>
      <c r="NK111" s="9"/>
      <c r="NL111" s="9"/>
      <c r="NM111" s="9"/>
      <c r="NN111" s="9"/>
      <c r="NO111" s="9"/>
      <c r="NP111" s="9"/>
      <c r="NQ111" s="9"/>
      <c r="NR111" s="9"/>
      <c r="NS111" s="9"/>
      <c r="NT111" s="9"/>
      <c r="NU111" s="9"/>
      <c r="NV111" s="9"/>
      <c r="NW111" s="9"/>
      <c r="NX111" s="9"/>
      <c r="NY111" s="9"/>
      <c r="NZ111" s="9"/>
      <c r="OA111" s="9"/>
      <c r="OB111" s="9"/>
      <c r="OC111" s="9"/>
      <c r="OD111" s="9"/>
      <c r="OE111" s="9"/>
      <c r="OF111" s="9"/>
      <c r="OG111" s="9"/>
      <c r="OH111" s="9"/>
      <c r="OI111" s="9"/>
      <c r="OJ111" s="9"/>
      <c r="OK111" s="9"/>
      <c r="OL111" s="9"/>
      <c r="OM111" s="9"/>
      <c r="ON111" s="9"/>
      <c r="OO111" s="9"/>
      <c r="OP111" s="9"/>
      <c r="OQ111" s="9"/>
      <c r="OR111" s="9"/>
      <c r="OS111" s="9"/>
      <c r="OT111" s="9"/>
      <c r="OU111" s="9"/>
      <c r="OV111" s="9"/>
      <c r="OW111" s="9"/>
      <c r="OX111" s="9"/>
      <c r="OY111" s="9"/>
      <c r="OZ111" s="9"/>
      <c r="PA111" s="9"/>
      <c r="PB111" s="9"/>
      <c r="PC111" s="9"/>
      <c r="PD111" s="9"/>
      <c r="PE111" s="9"/>
      <c r="PF111" s="9"/>
      <c r="PG111" s="9"/>
      <c r="PH111" s="9"/>
      <c r="PI111" s="9"/>
      <c r="PJ111" s="9"/>
      <c r="PK111" s="9"/>
      <c r="PL111" s="9"/>
      <c r="PM111" s="9"/>
      <c r="PN111" s="9"/>
      <c r="PO111" s="9"/>
      <c r="PP111" s="9"/>
      <c r="PQ111" s="9"/>
      <c r="PR111" s="9"/>
      <c r="PS111" s="9"/>
      <c r="PT111" s="9"/>
      <c r="PU111" s="9"/>
      <c r="PV111" s="9"/>
      <c r="PW111" s="9"/>
      <c r="PX111" s="9"/>
      <c r="PY111" s="9"/>
      <c r="PZ111" s="9"/>
      <c r="QA111" s="9"/>
      <c r="QB111" s="9"/>
      <c r="QC111" s="9"/>
      <c r="QD111" s="9"/>
      <c r="QE111" s="9"/>
      <c r="QF111" s="9"/>
      <c r="QG111" s="9"/>
      <c r="QH111" s="9"/>
      <c r="QI111" s="9"/>
      <c r="QJ111" s="9"/>
      <c r="QK111" s="9"/>
      <c r="QL111" s="9"/>
      <c r="QM111" s="9"/>
      <c r="QN111" s="9"/>
      <c r="QO111" s="9"/>
      <c r="QP111" s="9"/>
      <c r="QQ111" s="9"/>
      <c r="QR111" s="9"/>
      <c r="QS111" s="9"/>
      <c r="QT111" s="9"/>
      <c r="QU111" s="9"/>
      <c r="QV111" s="9"/>
      <c r="QW111" s="9"/>
      <c r="QX111" s="9"/>
      <c r="QY111" s="9"/>
      <c r="QZ111" s="9"/>
      <c r="RA111" s="9"/>
      <c r="RB111" s="9"/>
      <c r="RC111" s="9"/>
      <c r="RD111" s="9"/>
      <c r="RE111" s="9"/>
      <c r="RF111" s="9"/>
      <c r="RG111" s="9"/>
      <c r="RH111" s="9"/>
      <c r="RI111" s="9"/>
      <c r="RJ111" s="9"/>
      <c r="RK111" s="9"/>
      <c r="RL111" s="9"/>
      <c r="RM111" s="9"/>
      <c r="RN111" s="9"/>
      <c r="RO111" s="9"/>
      <c r="RP111" s="9"/>
      <c r="RQ111" s="9"/>
      <c r="RR111" s="9"/>
      <c r="RS111" s="9"/>
      <c r="RT111" s="9"/>
      <c r="RU111" s="9"/>
      <c r="RV111" s="9"/>
      <c r="RW111" s="9"/>
      <c r="RX111" s="9"/>
      <c r="RY111" s="9"/>
      <c r="RZ111" s="9"/>
      <c r="SA111" s="9"/>
      <c r="SB111" s="9"/>
      <c r="SC111" s="9"/>
      <c r="SD111" s="9"/>
      <c r="SE111" s="9"/>
      <c r="SF111" s="9"/>
      <c r="SG111" s="9"/>
      <c r="SH111" s="9"/>
      <c r="SI111" s="9"/>
      <c r="SJ111" s="9"/>
      <c r="SK111" s="9"/>
      <c r="SL111" s="9"/>
      <c r="SM111" s="9"/>
      <c r="SN111" s="9"/>
      <c r="SO111" s="9"/>
      <c r="SP111" s="9"/>
      <c r="SQ111" s="9"/>
      <c r="SR111" s="9"/>
      <c r="SS111" s="9"/>
      <c r="ST111" s="9"/>
      <c r="SU111" s="9"/>
      <c r="SV111" s="9"/>
      <c r="SW111" s="9"/>
      <c r="SX111" s="9"/>
      <c r="SY111" s="9"/>
      <c r="SZ111" s="9"/>
      <c r="TA111" s="9"/>
      <c r="TB111" s="9"/>
      <c r="TC111" s="9"/>
      <c r="TD111" s="9"/>
      <c r="TE111" s="9"/>
      <c r="TF111" s="9"/>
      <c r="TG111" s="9"/>
      <c r="TH111" s="9"/>
      <c r="TI111" s="9"/>
      <c r="TJ111" s="9"/>
      <c r="TK111" s="9"/>
      <c r="TL111" s="9"/>
      <c r="TM111" s="9"/>
      <c r="TN111" s="9"/>
      <c r="TO111" s="9"/>
      <c r="TP111" s="9"/>
      <c r="TQ111" s="9"/>
      <c r="TR111" s="9"/>
      <c r="TS111" s="9"/>
      <c r="TT111" s="9"/>
      <c r="TU111" s="9"/>
      <c r="TV111" s="9"/>
      <c r="TW111" s="9"/>
      <c r="TX111" s="9"/>
      <c r="TY111" s="9"/>
      <c r="TZ111" s="9"/>
      <c r="UA111" s="9"/>
      <c r="UB111" s="9"/>
      <c r="UC111" s="9"/>
      <c r="UD111" s="9"/>
      <c r="UE111" s="9"/>
      <c r="UF111" s="9"/>
      <c r="UG111" s="9"/>
      <c r="UH111" s="9"/>
      <c r="UI111" s="9"/>
      <c r="UJ111" s="9"/>
      <c r="UK111" s="9"/>
      <c r="UL111" s="9"/>
      <c r="UM111" s="9"/>
      <c r="UN111" s="9"/>
      <c r="UO111" s="9"/>
      <c r="UP111" s="9"/>
      <c r="UQ111" s="9"/>
      <c r="UR111" s="9"/>
      <c r="US111" s="9"/>
      <c r="UT111" s="9"/>
      <c r="UU111" s="9"/>
      <c r="UV111" s="9"/>
      <c r="UW111" s="9"/>
      <c r="UX111" s="9"/>
      <c r="UY111" s="9"/>
      <c r="UZ111" s="9"/>
      <c r="VA111" s="9"/>
      <c r="VB111" s="9"/>
      <c r="VC111" s="9"/>
      <c r="VD111" s="9"/>
      <c r="VE111" s="9"/>
      <c r="VF111" s="9"/>
      <c r="VG111" s="9"/>
      <c r="VH111" s="9"/>
      <c r="VI111" s="9"/>
      <c r="VJ111" s="9"/>
      <c r="VK111" s="9"/>
      <c r="VL111" s="9"/>
      <c r="VM111" s="9"/>
      <c r="VN111" s="9"/>
      <c r="VO111" s="9"/>
      <c r="VP111" s="9"/>
      <c r="VQ111" s="9"/>
      <c r="VR111" s="9"/>
      <c r="VS111" s="9"/>
      <c r="VT111" s="9"/>
      <c r="VU111" s="9"/>
      <c r="VV111" s="9"/>
      <c r="VW111" s="9"/>
      <c r="VX111" s="9"/>
      <c r="VY111" s="9"/>
      <c r="VZ111" s="9"/>
      <c r="WA111" s="9"/>
      <c r="WB111" s="9"/>
      <c r="WC111" s="9"/>
      <c r="WD111" s="9"/>
      <c r="WE111" s="9"/>
      <c r="WF111" s="9"/>
      <c r="WG111" s="9"/>
      <c r="WH111" s="9"/>
      <c r="WI111" s="9"/>
      <c r="WJ111" s="9"/>
      <c r="WK111" s="9"/>
      <c r="WL111" s="9"/>
      <c r="WM111" s="9"/>
      <c r="WN111" s="9"/>
      <c r="WO111" s="9"/>
      <c r="WP111" s="9"/>
      <c r="WQ111" s="9"/>
      <c r="WR111" s="9"/>
      <c r="WS111" s="9"/>
      <c r="WT111" s="9"/>
      <c r="WU111" s="9"/>
      <c r="WV111" s="9"/>
      <c r="WW111" s="9"/>
      <c r="WX111" s="9"/>
      <c r="WY111" s="9"/>
      <c r="WZ111" s="9"/>
      <c r="XA111" s="9"/>
      <c r="XB111" s="9"/>
      <c r="XC111" s="9"/>
      <c r="XD111" s="9"/>
      <c r="XE111" s="9"/>
      <c r="XF111" s="9"/>
      <c r="XG111" s="9"/>
      <c r="XH111" s="9"/>
      <c r="XI111" s="9"/>
      <c r="XJ111" s="9"/>
      <c r="XK111" s="9"/>
      <c r="XL111" s="9"/>
      <c r="XM111" s="9"/>
      <c r="XN111" s="9"/>
      <c r="XO111" s="9"/>
      <c r="XP111" s="9"/>
      <c r="XQ111" s="9"/>
      <c r="XR111" s="9"/>
      <c r="XS111" s="9"/>
      <c r="XT111" s="9"/>
      <c r="XU111" s="9"/>
      <c r="XV111" s="9"/>
      <c r="XW111" s="9"/>
      <c r="XX111" s="9"/>
      <c r="XY111" s="9"/>
      <c r="XZ111" s="9"/>
      <c r="YA111" s="9"/>
      <c r="YB111" s="9"/>
      <c r="YC111" s="9"/>
      <c r="YD111" s="9"/>
      <c r="YE111" s="9"/>
      <c r="YF111" s="9"/>
      <c r="YG111" s="9"/>
      <c r="YH111" s="9"/>
      <c r="YI111" s="9"/>
      <c r="YJ111" s="9"/>
      <c r="YK111" s="9"/>
      <c r="YL111" s="9"/>
      <c r="YM111" s="9"/>
      <c r="YN111" s="9"/>
      <c r="YO111" s="9"/>
      <c r="YP111" s="9"/>
      <c r="YQ111" s="9"/>
      <c r="YR111" s="9"/>
      <c r="YS111" s="9"/>
      <c r="YT111" s="9"/>
      <c r="YU111" s="9"/>
      <c r="YV111" s="9"/>
      <c r="YW111" s="9"/>
      <c r="YX111" s="9"/>
      <c r="YY111" s="9"/>
      <c r="YZ111" s="9"/>
      <c r="ZA111" s="9"/>
      <c r="ZB111" s="9"/>
      <c r="ZC111" s="9"/>
      <c r="ZD111" s="9"/>
      <c r="ZE111" s="9"/>
      <c r="ZF111" s="9"/>
      <c r="ZG111" s="9"/>
      <c r="ZH111" s="9"/>
      <c r="ZI111" s="9"/>
      <c r="ZJ111" s="9"/>
      <c r="ZK111" s="9"/>
      <c r="ZL111" s="9"/>
      <c r="ZM111" s="9"/>
      <c r="ZN111" s="9"/>
      <c r="ZO111" s="9"/>
      <c r="ZP111" s="9"/>
      <c r="ZQ111" s="9"/>
      <c r="ZR111" s="9"/>
      <c r="ZS111" s="9"/>
      <c r="ZT111" s="9"/>
      <c r="ZU111" s="9"/>
      <c r="ZV111" s="9"/>
      <c r="ZW111" s="9"/>
      <c r="ZX111" s="9"/>
      <c r="ZY111" s="9"/>
      <c r="ZZ111" s="9"/>
      <c r="AAA111" s="9"/>
      <c r="AAB111" s="9"/>
      <c r="AAC111" s="9"/>
      <c r="AAD111" s="9"/>
      <c r="AAE111" s="9"/>
      <c r="AAF111" s="9"/>
      <c r="AAG111" s="9"/>
      <c r="AAH111" s="9"/>
      <c r="AAI111" s="9"/>
      <c r="AAJ111" s="9"/>
      <c r="AAK111" s="9"/>
      <c r="AAL111" s="9"/>
      <c r="AAM111" s="9"/>
      <c r="AAN111" s="9"/>
      <c r="AAO111" s="9"/>
      <c r="AAP111" s="9"/>
      <c r="AAQ111" s="9"/>
      <c r="AAR111" s="9"/>
      <c r="AAS111" s="9"/>
      <c r="AAT111" s="9"/>
      <c r="AAU111" s="9"/>
      <c r="AAV111" s="9"/>
      <c r="AAW111" s="9"/>
      <c r="AAX111" s="9"/>
      <c r="AAY111" s="9"/>
      <c r="AAZ111" s="9"/>
      <c r="ABA111" s="9"/>
      <c r="ABB111" s="9"/>
      <c r="ABC111" s="9"/>
      <c r="ABD111" s="9"/>
      <c r="ABE111" s="9"/>
      <c r="ABF111" s="9"/>
      <c r="ABG111" s="9"/>
      <c r="ABH111" s="9"/>
      <c r="ABI111" s="9"/>
      <c r="ABJ111" s="9"/>
      <c r="ABK111" s="9"/>
      <c r="ABL111" s="9"/>
      <c r="ABM111" s="9"/>
      <c r="ABN111" s="9"/>
      <c r="ABO111" s="9"/>
      <c r="ABP111" s="9"/>
      <c r="ABQ111" s="9"/>
      <c r="ABR111" s="9"/>
      <c r="ABS111" s="9"/>
      <c r="ABT111" s="9"/>
      <c r="ABU111" s="9"/>
      <c r="ABV111" s="9"/>
      <c r="ABW111" s="9"/>
      <c r="ABX111" s="9"/>
      <c r="ABY111" s="9"/>
      <c r="ABZ111" s="9"/>
      <c r="ACA111" s="9"/>
      <c r="ACB111" s="9"/>
      <c r="ACC111" s="9"/>
      <c r="ACD111" s="9"/>
      <c r="ACE111" s="9"/>
      <c r="ACF111" s="9"/>
      <c r="ACG111" s="9"/>
      <c r="ACH111" s="9"/>
      <c r="ACI111" s="9"/>
      <c r="ACJ111" s="9"/>
      <c r="ACK111" s="9"/>
      <c r="ACL111" s="9"/>
      <c r="ACM111" s="9"/>
      <c r="ACN111" s="9"/>
      <c r="ACO111" s="9"/>
      <c r="ACP111" s="9"/>
      <c r="ACQ111" s="9"/>
      <c r="ACR111" s="9"/>
      <c r="ACS111" s="9"/>
      <c r="ACT111" s="9"/>
      <c r="ACU111" s="9"/>
      <c r="ACV111" s="9"/>
      <c r="ACW111" s="9"/>
      <c r="ACX111" s="9"/>
      <c r="ACY111" s="9"/>
      <c r="ACZ111" s="9"/>
      <c r="ADA111" s="9"/>
      <c r="ADB111" s="9"/>
      <c r="ADC111" s="9"/>
      <c r="ADD111" s="9"/>
      <c r="ADE111" s="9"/>
      <c r="ADF111" s="9"/>
      <c r="ADG111" s="9"/>
      <c r="ADH111" s="9"/>
      <c r="ADI111" s="9"/>
      <c r="ADJ111" s="9"/>
      <c r="ADK111" s="9"/>
      <c r="ADL111" s="9"/>
      <c r="ADM111" s="9"/>
      <c r="ADN111" s="9"/>
      <c r="ADO111" s="9"/>
      <c r="ADP111" s="9"/>
      <c r="ADQ111" s="9"/>
      <c r="ADR111" s="9"/>
      <c r="ADS111" s="9"/>
      <c r="ADT111" s="9"/>
      <c r="ADU111" s="9"/>
      <c r="ADV111" s="9"/>
      <c r="ADW111" s="9"/>
      <c r="ADX111" s="9"/>
      <c r="ADY111" s="9"/>
      <c r="ADZ111" s="9"/>
      <c r="AEA111" s="9"/>
      <c r="AEB111" s="9"/>
      <c r="AEC111" s="9"/>
      <c r="AED111" s="9"/>
      <c r="AEE111" s="9"/>
      <c r="AEF111" s="9"/>
      <c r="AEG111" s="9"/>
      <c r="AEH111" s="9"/>
      <c r="AEI111" s="9"/>
      <c r="AEJ111" s="9"/>
      <c r="AEK111" s="9"/>
      <c r="AEL111" s="9"/>
      <c r="AEM111" s="9"/>
      <c r="AEN111" s="9"/>
      <c r="AEO111" s="9"/>
      <c r="AEP111" s="9"/>
      <c r="AEQ111" s="9"/>
      <c r="AER111" s="9"/>
      <c r="AES111" s="9"/>
      <c r="AET111" s="9"/>
      <c r="AEU111" s="9"/>
      <c r="AEV111" s="9"/>
      <c r="AEW111" s="9"/>
      <c r="AEX111" s="9"/>
      <c r="AEY111" s="9"/>
      <c r="AEZ111" s="9"/>
      <c r="AFA111" s="9"/>
      <c r="AFB111" s="9"/>
      <c r="AFC111" s="9"/>
      <c r="AFD111" s="9"/>
      <c r="AFE111" s="9"/>
      <c r="AFF111" s="9"/>
      <c r="AFG111" s="9"/>
      <c r="AFH111" s="9"/>
      <c r="AFI111" s="9"/>
      <c r="AFJ111" s="9"/>
      <c r="AFK111" s="9"/>
      <c r="AFL111" s="9"/>
      <c r="AFM111" s="9"/>
      <c r="AFN111" s="9"/>
      <c r="AFO111" s="9"/>
      <c r="AFP111" s="9"/>
      <c r="AFQ111" s="9"/>
      <c r="AFR111" s="9"/>
      <c r="AFS111" s="9"/>
      <c r="AFT111" s="9"/>
      <c r="AFU111" s="9"/>
      <c r="AFV111" s="9"/>
      <c r="AFW111" s="9"/>
      <c r="AFX111" s="9"/>
      <c r="AFY111" s="9"/>
      <c r="AFZ111" s="9"/>
      <c r="AGA111" s="9"/>
      <c r="AGB111" s="9"/>
      <c r="AGC111" s="9"/>
      <c r="AGD111" s="9"/>
      <c r="AGE111" s="9"/>
      <c r="AGF111" s="9"/>
      <c r="AGG111" s="9"/>
      <c r="AGH111" s="9"/>
      <c r="AGI111" s="9"/>
      <c r="AGJ111" s="9"/>
      <c r="AGK111" s="9"/>
      <c r="AGL111" s="9"/>
      <c r="AGM111" s="9"/>
      <c r="AGN111" s="9"/>
      <c r="AGO111" s="9"/>
      <c r="AGP111" s="9"/>
      <c r="AGQ111" s="9"/>
      <c r="AGR111" s="9"/>
      <c r="AGS111" s="9"/>
      <c r="AGT111" s="9"/>
      <c r="AGU111" s="9"/>
      <c r="AGV111" s="9"/>
      <c r="AGW111" s="9"/>
      <c r="AGX111" s="9"/>
      <c r="AGY111" s="9"/>
      <c r="AGZ111" s="9"/>
      <c r="AHA111" s="9"/>
      <c r="AHB111" s="9"/>
      <c r="AHC111" s="9"/>
      <c r="AHD111" s="9"/>
      <c r="AHE111" s="9"/>
      <c r="AHF111" s="9"/>
      <c r="AHG111" s="9"/>
      <c r="AHH111" s="9"/>
      <c r="AHI111" s="9"/>
      <c r="AHJ111" s="9"/>
      <c r="AHK111" s="9"/>
      <c r="AHL111" s="9"/>
      <c r="AHM111" s="9"/>
      <c r="AHN111" s="9"/>
      <c r="AHO111" s="9"/>
      <c r="AHP111" s="9"/>
      <c r="AHQ111" s="9"/>
      <c r="AHR111" s="9"/>
      <c r="AHS111" s="9"/>
      <c r="AHT111" s="9"/>
      <c r="AHU111" s="9"/>
      <c r="AHV111" s="9"/>
      <c r="AHW111" s="9"/>
      <c r="AHX111" s="9"/>
      <c r="AHY111" s="9"/>
      <c r="AHZ111" s="9"/>
      <c r="AIA111" s="9"/>
      <c r="AIB111" s="9"/>
      <c r="AIC111" s="9"/>
      <c r="AID111" s="9"/>
      <c r="AIE111" s="9"/>
      <c r="AIF111" s="9"/>
      <c r="AIG111" s="9"/>
      <c r="AIH111" s="9"/>
      <c r="AII111" s="9"/>
      <c r="AIJ111" s="9"/>
      <c r="AIK111" s="9"/>
      <c r="AIL111" s="9"/>
      <c r="AIM111" s="9"/>
      <c r="AIN111" s="9"/>
      <c r="AIO111" s="9"/>
      <c r="AIP111" s="9"/>
      <c r="AIQ111" s="9"/>
      <c r="AIR111" s="9"/>
      <c r="AIS111" s="9"/>
      <c r="AIT111" s="9"/>
      <c r="AIU111" s="9"/>
      <c r="AIV111" s="9"/>
      <c r="AIW111" s="9"/>
      <c r="AIX111" s="9"/>
      <c r="AIY111" s="9"/>
      <c r="AIZ111" s="9"/>
      <c r="AJA111" s="9"/>
      <c r="AJB111" s="9"/>
      <c r="AJC111" s="9"/>
      <c r="AJD111" s="9"/>
      <c r="AJE111" s="9"/>
      <c r="AJF111" s="9"/>
      <c r="AJG111" s="9"/>
      <c r="AJH111" s="9"/>
      <c r="AJI111" s="9"/>
      <c r="AJJ111" s="9"/>
      <c r="AJK111" s="9"/>
      <c r="AJL111" s="9"/>
      <c r="AJM111" s="9"/>
      <c r="AJN111" s="9"/>
      <c r="AJO111" s="9"/>
      <c r="AJP111" s="9"/>
      <c r="AJQ111" s="9"/>
      <c r="AJR111" s="9"/>
      <c r="AJS111" s="9"/>
      <c r="AJT111" s="9"/>
      <c r="AJU111" s="9"/>
      <c r="AJV111" s="9"/>
      <c r="AJW111" s="9"/>
      <c r="AJX111" s="9"/>
      <c r="AJY111" s="9"/>
      <c r="AJZ111" s="9"/>
      <c r="AKA111" s="9"/>
      <c r="AKB111" s="9"/>
      <c r="AKC111" s="9"/>
      <c r="AKD111" s="9"/>
      <c r="AKE111" s="9"/>
      <c r="AKF111" s="9"/>
      <c r="AKG111" s="9"/>
      <c r="AKH111" s="9"/>
      <c r="AKI111" s="9"/>
      <c r="AKJ111" s="9"/>
      <c r="AKK111" s="9"/>
      <c r="AKL111" s="9"/>
      <c r="AKM111" s="9"/>
      <c r="AKN111" s="9"/>
      <c r="AKO111" s="9"/>
      <c r="AKP111" s="9"/>
      <c r="AKQ111" s="9"/>
      <c r="AKR111" s="9"/>
      <c r="AKS111" s="9"/>
      <c r="AKT111" s="9"/>
      <c r="AKU111" s="9"/>
      <c r="AKV111" s="9"/>
      <c r="AKW111" s="9"/>
      <c r="AKX111" s="9"/>
      <c r="AKY111" s="9"/>
      <c r="AKZ111" s="9"/>
      <c r="ALA111" s="9"/>
      <c r="ALB111" s="9"/>
      <c r="ALC111" s="9"/>
      <c r="ALD111" s="9"/>
      <c r="ALE111" s="9"/>
      <c r="ALF111" s="9"/>
      <c r="ALG111" s="9"/>
      <c r="ALH111" s="9"/>
      <c r="ALI111" s="9"/>
      <c r="ALJ111" s="9"/>
      <c r="ALK111" s="9"/>
      <c r="ALL111" s="9"/>
      <c r="ALM111" s="9"/>
      <c r="ALN111" s="9"/>
      <c r="ALO111" s="9"/>
      <c r="ALP111" s="9"/>
      <c r="ALQ111" s="9"/>
      <c r="ALR111" s="9"/>
      <c r="ALS111" s="9"/>
      <c r="ALT111" s="9"/>
      <c r="ALU111" s="9"/>
      <c r="ALV111" s="9"/>
      <c r="ALW111" s="9"/>
      <c r="ALX111" s="9"/>
      <c r="ALY111" s="9"/>
      <c r="ALZ111" s="9"/>
      <c r="AMA111" s="9"/>
      <c r="AMB111" s="9"/>
      <c r="AMC111" s="9"/>
      <c r="AMD111" s="9"/>
      <c r="AME111" s="9"/>
      <c r="AMF111" s="9"/>
      <c r="AMG111" s="9"/>
      <c r="AMH111" s="9"/>
      <c r="AMI111" s="9"/>
      <c r="AMJ111" s="9"/>
      <c r="AMK111" s="9"/>
      <c r="AML111" s="9"/>
      <c r="AMM111" s="9"/>
      <c r="AMN111" s="9"/>
    </row>
    <row r="112" spans="1:1028" s="12" customFormat="1" x14ac:dyDescent="0.2">
      <c r="A112" s="9" t="str">
        <f t="shared" ref="A112" si="527">CONCATENATE(B112,"_",C112)</f>
        <v>ffar1_human_5TZY</v>
      </c>
      <c r="B112" s="9" t="s">
        <v>1173</v>
      </c>
      <c r="C112" s="9" t="s">
        <v>1427</v>
      </c>
      <c r="D112" s="9" t="str">
        <f>IFERROR(MID(VLOOKUP($B112,Seqs!$A:$B,2,0),E112,1),"")</f>
        <v>P</v>
      </c>
      <c r="E112" s="9">
        <v>4</v>
      </c>
      <c r="F112" s="9" t="str">
        <f>IFERROR(MID(VLOOKUP($B112,Seqs!$A:$B,2,0),G112,1),"")</f>
        <v>R</v>
      </c>
      <c r="G112" s="9">
        <v>37</v>
      </c>
      <c r="H112" s="9" t="str">
        <f>IFERROR(MID(VLOOKUP($B112,Seqs!$A:$B,2,0),I112,1),"")</f>
        <v/>
      </c>
      <c r="I112" s="112" t="s">
        <v>23</v>
      </c>
      <c r="J112" s="9" t="str">
        <f>IFERROR(MID(VLOOKUP($B112,Seqs!$A:$B,2,0),K112,1),"")</f>
        <v/>
      </c>
      <c r="K112" s="112" t="s">
        <v>23</v>
      </c>
      <c r="L112" s="9" t="str">
        <f>IFERROR(MID(VLOOKUP($B112,Seqs!$A:$B,2,0),M112,1),"")</f>
        <v>T</v>
      </c>
      <c r="M112" s="9">
        <v>39</v>
      </c>
      <c r="N112" s="9" t="str">
        <f>IFERROR(MID(VLOOKUP($B112,Seqs!$A:$B,2,0),O112,1),"")</f>
        <v>A</v>
      </c>
      <c r="O112" s="9">
        <v>68</v>
      </c>
      <c r="P112" s="9" t="str">
        <f>IFERROR(MID(VLOOKUP($B112,Seqs!$A:$B,2,0),Q112,1),"")</f>
        <v>A</v>
      </c>
      <c r="Q112" s="9">
        <v>71</v>
      </c>
      <c r="R112" s="9" t="str">
        <f>IFERROR(MID(VLOOKUP($B112,Seqs!$A:$B,2,0),S112,1),"")</f>
        <v>L</v>
      </c>
      <c r="S112" s="9">
        <v>74</v>
      </c>
      <c r="T112" s="9" t="str">
        <f>IFERROR(MID(VLOOKUP($B112,Seqs!$A:$B,2,0),U112,1),"")</f>
        <v>P</v>
      </c>
      <c r="U112" s="9">
        <v>75</v>
      </c>
      <c r="V112" s="9" t="str">
        <f>IFERROR(MID(VLOOKUP($B112,Seqs!$A:$B,2,0),W112,1),"")</f>
        <v>F</v>
      </c>
      <c r="W112" s="9">
        <v>110</v>
      </c>
      <c r="X112" s="9" t="str">
        <f>IFERROR(MID(VLOOKUP($B112,Seqs!$A:$B,2,0),Y112,1),"")</f>
        <v>P</v>
      </c>
      <c r="Y112" s="9">
        <v>111</v>
      </c>
      <c r="Z112" s="9" t="str">
        <f>IFERROR(MID(VLOOKUP($B112,Seqs!$A:$B,2,0),AA112,1),"")</f>
        <v>R</v>
      </c>
      <c r="AA112" s="9">
        <v>118</v>
      </c>
      <c r="AB112" s="9" t="str">
        <f>IFERROR(MID(VLOOKUP($B112,Seqs!$A:$B,2,0),AC112,1),"")</f>
        <v>R</v>
      </c>
      <c r="AC112" s="9">
        <v>119</v>
      </c>
      <c r="AD112" s="9" t="str">
        <f>IFERROR(MID(VLOOKUP($B112,Seqs!$A:$B,2,0),AE112,1),"")</f>
        <v>A</v>
      </c>
      <c r="AE112" s="9">
        <v>146</v>
      </c>
      <c r="AF112" s="9" t="str">
        <f>IFERROR(MID(VLOOKUP($B112,Seqs!$A:$B,2,0),AG112,1),"")</f>
        <v>C</v>
      </c>
      <c r="AG112" s="9">
        <v>170</v>
      </c>
      <c r="AH112" s="9" t="str">
        <f>IFERROR(MID(VLOOKUP($B112,Seqs!$A:$B,2,0),AI112,1),"")</f>
        <v>E</v>
      </c>
      <c r="AI112" s="9">
        <v>172</v>
      </c>
      <c r="AJ112" s="9" t="str">
        <f>IFERROR(MID(VLOOKUP($B112,Seqs!$A:$B,2,0),AK112,1),"")</f>
        <v>D</v>
      </c>
      <c r="AK112" s="9">
        <v>175</v>
      </c>
      <c r="AL112" s="9" t="str">
        <f>IFERROR(MID(VLOOKUP($B112,Seqs!$A:$B,2,0),AM112,1),"")</f>
        <v>R</v>
      </c>
      <c r="AM112" s="9">
        <v>211</v>
      </c>
      <c r="AN112" s="9" t="str">
        <f>IFERROR(MID(VLOOKUP($B112,Seqs!$A:$B,2,0),AO112,1),"")</f>
        <v>T</v>
      </c>
      <c r="AO112" s="9">
        <v>215</v>
      </c>
      <c r="AP112" s="9" t="str">
        <f>IFERROR(MID(VLOOKUP($B112,Seqs!$A:$B,2,0),AQ112,1),"")</f>
        <v>Y</v>
      </c>
      <c r="AQ112" s="9">
        <v>250</v>
      </c>
      <c r="AR112" s="9" t="str">
        <f>IFERROR(MID(VLOOKUP($B112,Seqs!$A:$B,2,0),AS112,1),"")</f>
        <v>G</v>
      </c>
      <c r="AS112" s="9">
        <v>254</v>
      </c>
      <c r="AT112" s="9" t="str">
        <f>IFERROR(MID(VLOOKUP($B112,Seqs!$A:$B,2,0),AU112,1),"")</f>
        <v>G</v>
      </c>
      <c r="AU112" s="9">
        <v>277</v>
      </c>
      <c r="AV112" s="9" t="str">
        <f>IFERROR(MID(VLOOKUP($B112,Seqs!$A:$B,2,0),AW112,1),"")</f>
        <v/>
      </c>
      <c r="AW112" s="9" t="s">
        <v>23</v>
      </c>
      <c r="AX112" s="9" t="str">
        <f>IFERROR(MID(VLOOKUP($B112,Seqs!$A:$B,2,0),AY112,1),"")</f>
        <v/>
      </c>
      <c r="AY112" s="9" t="s">
        <v>23</v>
      </c>
      <c r="AZ112" s="113" t="str">
        <f>VLOOKUP(B112,Classification!A:D,2,0)</f>
        <v>A</v>
      </c>
      <c r="BA112" s="101" t="str">
        <f>VLOOKUP(B112,Classification!A:D,4,0)</f>
        <v>Freefattyacid</v>
      </c>
      <c r="BB112" s="37" t="b">
        <f t="shared" ref="BB112" si="528">AND(E112&lt;G112,OR(G112&lt;I112,I112="-"),OR(I112&lt;K112,I112="-"),OR(K112&lt;M112,K112="-"),M112&lt;O112,OR(O112&lt;Q112,Q112="-"),OR(Q112&lt;S112,Q112="-"),OR(S112&lt;U112,S112="-"),U112&lt;W112,OR(W112&lt;Y112,Y112="-"),OR(Y112&lt;AA112,Y112="-"),OR(AA112&lt;AC112,AA112="-"),AC112&lt;AE112,OR(AE112&lt;AG112,AG112="-"),OR(AG112&lt;AI112,AG112="-"),OR(AI112&lt;AK112,AI112="-"),AK112&lt;AM112,AM112&lt;AO112,AO112&lt;AQ112,AQ112&lt;AS112,AS112&lt;AU112,OR(AU112&lt;AW112,AW112="-"),OR(AW112&lt;AY112,AW112="-"))</f>
        <v>1</v>
      </c>
      <c r="BC112" s="112">
        <f t="shared" ref="BC112" si="529">_xlfn.AGGREGATE(9,6,CG112:CR112)-_xlfn.AGGREGATE(9,6,BU112:CF112)+12</f>
        <v>242</v>
      </c>
      <c r="BD112" s="122" t="s">
        <v>1382</v>
      </c>
      <c r="BE112" s="9" t="s">
        <v>1297</v>
      </c>
      <c r="BF112" s="52" t="s">
        <v>1</v>
      </c>
      <c r="BG112" s="52" t="s">
        <v>1</v>
      </c>
      <c r="BI112" s="114" t="s">
        <v>1293</v>
      </c>
      <c r="BJ112" s="115" t="s">
        <v>1293</v>
      </c>
      <c r="BK112" s="115" t="s">
        <v>1293</v>
      </c>
      <c r="BL112" s="115" t="s">
        <v>1293</v>
      </c>
      <c r="BM112" s="115" t="s">
        <v>1293</v>
      </c>
      <c r="BN112" s="115" t="s">
        <v>1293</v>
      </c>
      <c r="BO112" s="115" t="s">
        <v>1293</v>
      </c>
      <c r="BP112" s="115" t="s">
        <v>1293</v>
      </c>
      <c r="BQ112" s="115" t="s">
        <v>1293</v>
      </c>
      <c r="BR112" s="115" t="s">
        <v>1293</v>
      </c>
      <c r="BS112" s="115" t="s">
        <v>1293</v>
      </c>
      <c r="BT112" s="115" t="s">
        <v>1293</v>
      </c>
      <c r="BU112" s="114">
        <f t="shared" ref="BU112" si="530">E112</f>
        <v>4</v>
      </c>
      <c r="BV112" s="116" t="str">
        <f t="shared" ref="BV112" si="531">I112</f>
        <v>-</v>
      </c>
      <c r="BW112" s="117">
        <f t="shared" ref="BW112" si="532">M112</f>
        <v>39</v>
      </c>
      <c r="BX112" s="116">
        <f t="shared" ref="BX112" si="533">Q112</f>
        <v>71</v>
      </c>
      <c r="BY112" s="117">
        <f t="shared" ref="BY112" si="534">U112</f>
        <v>75</v>
      </c>
      <c r="BZ112" s="116">
        <f t="shared" ref="BZ112" si="535">Y112</f>
        <v>111</v>
      </c>
      <c r="CA112" s="117">
        <f t="shared" ref="CA112" si="536">AC112</f>
        <v>119</v>
      </c>
      <c r="CB112" s="116">
        <f t="shared" ref="CB112" si="537">AG112</f>
        <v>170</v>
      </c>
      <c r="CC112" s="117">
        <f t="shared" ref="CC112" si="538">AK112</f>
        <v>175</v>
      </c>
      <c r="CD112" s="116">
        <f t="shared" ref="CD112" si="539">AO112</f>
        <v>215</v>
      </c>
      <c r="CE112" s="117">
        <f t="shared" ref="CE112" si="540">AS112</f>
        <v>254</v>
      </c>
      <c r="CF112" s="116" t="str">
        <f t="shared" ref="CF112" si="541">AW112</f>
        <v>-</v>
      </c>
      <c r="CG112" s="114">
        <f t="shared" ref="CG112" si="542">G112</f>
        <v>37</v>
      </c>
      <c r="CH112" s="116" t="str">
        <f t="shared" ref="CH112" si="543">K112</f>
        <v>-</v>
      </c>
      <c r="CI112" s="117">
        <f t="shared" ref="CI112" si="544">O112</f>
        <v>68</v>
      </c>
      <c r="CJ112" s="117">
        <f t="shared" ref="CJ112" si="545">S112</f>
        <v>74</v>
      </c>
      <c r="CK112" s="117">
        <f t="shared" ref="CK112" si="546">W112</f>
        <v>110</v>
      </c>
      <c r="CL112" s="117">
        <f t="shared" ref="CL112" si="547">AA112</f>
        <v>118</v>
      </c>
      <c r="CM112" s="117">
        <f t="shared" ref="CM112" si="548">AE112</f>
        <v>146</v>
      </c>
      <c r="CN112" s="117">
        <f t="shared" ref="CN112" si="549">AI112</f>
        <v>172</v>
      </c>
      <c r="CO112" s="117">
        <f t="shared" ref="CO112" si="550">AM112</f>
        <v>211</v>
      </c>
      <c r="CP112" s="117">
        <f t="shared" ref="CP112" si="551">AQ112</f>
        <v>250</v>
      </c>
      <c r="CQ112" s="117">
        <f t="shared" ref="CQ112" si="552">AU112</f>
        <v>277</v>
      </c>
      <c r="CR112" s="117" t="str">
        <f t="shared" ref="CR112" si="553">AY112</f>
        <v>-</v>
      </c>
      <c r="CS112" s="112" t="e">
        <f t="shared" ref="CS112" si="554">M112-K112</f>
        <v>#VALUE!</v>
      </c>
      <c r="CT112" s="9"/>
      <c r="CU112" s="9"/>
      <c r="CV112" s="9"/>
      <c r="CW112" s="9"/>
      <c r="CX112" s="9"/>
      <c r="CY112" s="9"/>
      <c r="CZ112" s="9"/>
      <c r="DA112" s="9"/>
      <c r="DB112" s="9"/>
      <c r="DC112" s="9"/>
      <c r="DD112" s="9"/>
      <c r="DE112" s="9"/>
      <c r="DF112" s="9"/>
      <c r="DG112" s="9"/>
      <c r="DH112" s="9"/>
      <c r="DI112" s="9"/>
      <c r="DJ112" s="9"/>
      <c r="DK112" s="9"/>
      <c r="DL112" s="9"/>
      <c r="DM112" s="9"/>
      <c r="DN112" s="9"/>
      <c r="DO112" s="9"/>
      <c r="DP112" s="9"/>
      <c r="DQ112" s="9"/>
      <c r="DR112" s="9"/>
      <c r="DS112" s="9"/>
      <c r="DT112" s="9"/>
      <c r="DU112" s="9"/>
      <c r="DV112" s="9"/>
      <c r="DW112" s="9"/>
      <c r="DX112" s="9"/>
      <c r="DY112" s="9"/>
      <c r="DZ112" s="9"/>
      <c r="EA112" s="9"/>
      <c r="EB112" s="9"/>
      <c r="EC112" s="9"/>
      <c r="ED112" s="9"/>
      <c r="EE112" s="9"/>
      <c r="EF112" s="9"/>
      <c r="EG112" s="9"/>
      <c r="EH112" s="9"/>
      <c r="EI112" s="9"/>
      <c r="EJ112" s="9"/>
      <c r="EK112" s="9"/>
      <c r="EL112" s="9"/>
      <c r="EM112" s="9"/>
      <c r="EN112" s="9"/>
      <c r="EO112" s="9"/>
      <c r="EP112" s="9"/>
      <c r="EQ112" s="9"/>
      <c r="ER112" s="9"/>
      <c r="ES112" s="9"/>
      <c r="ET112" s="9"/>
      <c r="EU112" s="9"/>
      <c r="EV112" s="9"/>
      <c r="EW112" s="9"/>
      <c r="EX112" s="9"/>
      <c r="EY112" s="9"/>
      <c r="EZ112" s="9"/>
      <c r="FA112" s="9"/>
      <c r="FB112" s="9"/>
      <c r="FC112" s="9"/>
      <c r="FD112" s="9"/>
      <c r="FE112" s="9"/>
      <c r="FF112" s="9"/>
      <c r="FG112" s="9"/>
      <c r="FH112" s="9"/>
      <c r="FI112" s="9"/>
      <c r="FJ112" s="9"/>
      <c r="FK112" s="9"/>
      <c r="FL112" s="9"/>
      <c r="FM112" s="9"/>
      <c r="FN112" s="9"/>
      <c r="FO112" s="9"/>
      <c r="FP112" s="9"/>
      <c r="FQ112" s="9"/>
      <c r="FR112" s="9"/>
      <c r="FS112" s="9"/>
      <c r="FT112" s="9"/>
      <c r="FU112" s="9"/>
      <c r="FV112" s="9"/>
      <c r="FW112" s="9"/>
      <c r="FX112" s="9"/>
      <c r="FY112" s="9"/>
      <c r="FZ112" s="9"/>
      <c r="GA112" s="9"/>
      <c r="GB112" s="9"/>
      <c r="GC112" s="9"/>
      <c r="GD112" s="9"/>
      <c r="GE112" s="9"/>
      <c r="GF112" s="9"/>
      <c r="GG112" s="9"/>
      <c r="GH112" s="9"/>
      <c r="GI112" s="9"/>
      <c r="GJ112" s="9"/>
      <c r="GK112" s="9"/>
      <c r="GL112" s="9"/>
      <c r="GM112" s="9"/>
      <c r="GN112" s="9"/>
      <c r="GO112" s="9"/>
      <c r="GP112" s="9"/>
      <c r="GQ112" s="9"/>
      <c r="GR112" s="9"/>
      <c r="GS112" s="9"/>
      <c r="GT112" s="9"/>
      <c r="GU112" s="9"/>
      <c r="GV112" s="9"/>
      <c r="GW112" s="9"/>
      <c r="GX112" s="9"/>
      <c r="GY112" s="9"/>
      <c r="GZ112" s="9"/>
      <c r="HA112" s="9"/>
      <c r="HB112" s="9"/>
      <c r="HC112" s="9"/>
      <c r="HD112" s="9"/>
      <c r="HE112" s="9"/>
      <c r="HF112" s="9"/>
      <c r="HG112" s="9"/>
      <c r="HH112" s="9"/>
      <c r="HI112" s="9"/>
      <c r="HJ112" s="9"/>
      <c r="HK112" s="9"/>
      <c r="HL112" s="9"/>
      <c r="HM112" s="9"/>
      <c r="HN112" s="9"/>
      <c r="HO112" s="9"/>
      <c r="HP112" s="9"/>
      <c r="HQ112" s="9"/>
      <c r="HR112" s="9"/>
      <c r="HS112" s="9"/>
      <c r="HT112" s="9"/>
      <c r="HU112" s="9"/>
      <c r="HV112" s="9"/>
      <c r="HW112" s="9"/>
      <c r="HX112" s="9"/>
      <c r="HY112" s="9"/>
      <c r="HZ112" s="9"/>
      <c r="IA112" s="9"/>
      <c r="IB112" s="9"/>
      <c r="IC112" s="9"/>
      <c r="ID112" s="9"/>
      <c r="IE112" s="9"/>
      <c r="IF112" s="9"/>
      <c r="IG112" s="9"/>
      <c r="IH112" s="9"/>
      <c r="II112" s="9"/>
      <c r="IJ112" s="9"/>
      <c r="IK112" s="9"/>
      <c r="IL112" s="9"/>
      <c r="IM112" s="9"/>
      <c r="IN112" s="9"/>
      <c r="IO112" s="9"/>
      <c r="IP112" s="9"/>
      <c r="IQ112" s="9"/>
      <c r="IR112" s="9"/>
      <c r="IS112" s="9"/>
      <c r="IT112" s="9"/>
      <c r="IU112" s="9"/>
      <c r="IV112" s="9"/>
      <c r="IW112" s="9"/>
      <c r="IX112" s="9"/>
      <c r="IY112" s="9"/>
      <c r="IZ112" s="9"/>
      <c r="JA112" s="9"/>
      <c r="JB112" s="9"/>
      <c r="JC112" s="9"/>
      <c r="JD112" s="9"/>
      <c r="JE112" s="9"/>
      <c r="JF112" s="9"/>
      <c r="JG112" s="9"/>
      <c r="JH112" s="9"/>
      <c r="JI112" s="9"/>
      <c r="JJ112" s="9"/>
      <c r="JK112" s="9"/>
      <c r="JL112" s="9"/>
      <c r="JM112" s="9"/>
      <c r="JN112" s="9"/>
      <c r="JO112" s="9"/>
      <c r="JP112" s="9"/>
      <c r="JQ112" s="9"/>
      <c r="JR112" s="9"/>
      <c r="JS112" s="9"/>
      <c r="JT112" s="9"/>
      <c r="JU112" s="9"/>
      <c r="JV112" s="9"/>
      <c r="JW112" s="9"/>
      <c r="JX112" s="9"/>
      <c r="JY112" s="9"/>
      <c r="JZ112" s="9"/>
      <c r="KA112" s="9"/>
      <c r="KB112" s="9"/>
      <c r="KC112" s="9"/>
      <c r="KD112" s="9"/>
      <c r="KE112" s="9"/>
      <c r="KF112" s="9"/>
      <c r="KG112" s="9"/>
      <c r="KH112" s="9"/>
      <c r="KI112" s="9"/>
      <c r="KJ112" s="9"/>
      <c r="KK112" s="9"/>
      <c r="KL112" s="9"/>
      <c r="KM112" s="9"/>
      <c r="KN112" s="9"/>
      <c r="KO112" s="9"/>
      <c r="KP112" s="9"/>
      <c r="KQ112" s="9"/>
      <c r="KR112" s="9"/>
      <c r="KS112" s="9"/>
      <c r="KT112" s="9"/>
      <c r="KU112" s="9"/>
      <c r="KV112" s="9"/>
      <c r="KW112" s="9"/>
      <c r="KX112" s="9"/>
      <c r="KY112" s="9"/>
      <c r="KZ112" s="9"/>
      <c r="LA112" s="9"/>
      <c r="LB112" s="9"/>
      <c r="LC112" s="9"/>
      <c r="LD112" s="9"/>
      <c r="LE112" s="9"/>
      <c r="LF112" s="9"/>
      <c r="LG112" s="9"/>
      <c r="LH112" s="9"/>
      <c r="LI112" s="9"/>
      <c r="LJ112" s="9"/>
      <c r="LK112" s="9"/>
      <c r="LL112" s="9"/>
      <c r="LM112" s="9"/>
      <c r="LN112" s="9"/>
      <c r="LO112" s="9"/>
      <c r="LP112" s="9"/>
      <c r="LQ112" s="9"/>
      <c r="LR112" s="9"/>
      <c r="LS112" s="9"/>
      <c r="LT112" s="9"/>
      <c r="LU112" s="9"/>
      <c r="LV112" s="9"/>
      <c r="LW112" s="9"/>
      <c r="LX112" s="9"/>
      <c r="LY112" s="9"/>
      <c r="LZ112" s="9"/>
      <c r="MA112" s="9"/>
      <c r="MB112" s="9"/>
      <c r="MC112" s="9"/>
      <c r="MD112" s="9"/>
      <c r="ME112" s="9"/>
      <c r="MF112" s="9"/>
      <c r="MG112" s="9"/>
      <c r="MH112" s="9"/>
      <c r="MI112" s="9"/>
      <c r="MJ112" s="9"/>
      <c r="MK112" s="9"/>
      <c r="ML112" s="9"/>
      <c r="MM112" s="9"/>
      <c r="MN112" s="9"/>
      <c r="MO112" s="9"/>
      <c r="MP112" s="9"/>
      <c r="MQ112" s="9"/>
      <c r="MR112" s="9"/>
      <c r="MS112" s="9"/>
      <c r="MT112" s="9"/>
      <c r="MU112" s="9"/>
      <c r="MV112" s="9"/>
      <c r="MW112" s="9"/>
      <c r="MX112" s="9"/>
      <c r="MY112" s="9"/>
      <c r="MZ112" s="9"/>
      <c r="NA112" s="9"/>
      <c r="NB112" s="9"/>
      <c r="NC112" s="9"/>
      <c r="ND112" s="9"/>
      <c r="NE112" s="9"/>
      <c r="NF112" s="9"/>
      <c r="NG112" s="9"/>
      <c r="NH112" s="9"/>
      <c r="NI112" s="9"/>
      <c r="NJ112" s="9"/>
      <c r="NK112" s="9"/>
      <c r="NL112" s="9"/>
      <c r="NM112" s="9"/>
      <c r="NN112" s="9"/>
      <c r="NO112" s="9"/>
      <c r="NP112" s="9"/>
      <c r="NQ112" s="9"/>
      <c r="NR112" s="9"/>
      <c r="NS112" s="9"/>
      <c r="NT112" s="9"/>
      <c r="NU112" s="9"/>
      <c r="NV112" s="9"/>
      <c r="NW112" s="9"/>
      <c r="NX112" s="9"/>
      <c r="NY112" s="9"/>
      <c r="NZ112" s="9"/>
      <c r="OA112" s="9"/>
      <c r="OB112" s="9"/>
      <c r="OC112" s="9"/>
      <c r="OD112" s="9"/>
      <c r="OE112" s="9"/>
      <c r="OF112" s="9"/>
      <c r="OG112" s="9"/>
      <c r="OH112" s="9"/>
      <c r="OI112" s="9"/>
      <c r="OJ112" s="9"/>
      <c r="OK112" s="9"/>
      <c r="OL112" s="9"/>
      <c r="OM112" s="9"/>
      <c r="ON112" s="9"/>
      <c r="OO112" s="9"/>
      <c r="OP112" s="9"/>
      <c r="OQ112" s="9"/>
      <c r="OR112" s="9"/>
      <c r="OS112" s="9"/>
      <c r="OT112" s="9"/>
      <c r="OU112" s="9"/>
      <c r="OV112" s="9"/>
      <c r="OW112" s="9"/>
      <c r="OX112" s="9"/>
      <c r="OY112" s="9"/>
      <c r="OZ112" s="9"/>
      <c r="PA112" s="9"/>
      <c r="PB112" s="9"/>
      <c r="PC112" s="9"/>
      <c r="PD112" s="9"/>
      <c r="PE112" s="9"/>
      <c r="PF112" s="9"/>
      <c r="PG112" s="9"/>
      <c r="PH112" s="9"/>
      <c r="PI112" s="9"/>
      <c r="PJ112" s="9"/>
      <c r="PK112" s="9"/>
      <c r="PL112" s="9"/>
      <c r="PM112" s="9"/>
      <c r="PN112" s="9"/>
      <c r="PO112" s="9"/>
      <c r="PP112" s="9"/>
      <c r="PQ112" s="9"/>
      <c r="PR112" s="9"/>
      <c r="PS112" s="9"/>
      <c r="PT112" s="9"/>
      <c r="PU112" s="9"/>
      <c r="PV112" s="9"/>
      <c r="PW112" s="9"/>
      <c r="PX112" s="9"/>
      <c r="PY112" s="9"/>
      <c r="PZ112" s="9"/>
      <c r="QA112" s="9"/>
      <c r="QB112" s="9"/>
      <c r="QC112" s="9"/>
      <c r="QD112" s="9"/>
      <c r="QE112" s="9"/>
      <c r="QF112" s="9"/>
      <c r="QG112" s="9"/>
      <c r="QH112" s="9"/>
      <c r="QI112" s="9"/>
      <c r="QJ112" s="9"/>
      <c r="QK112" s="9"/>
      <c r="QL112" s="9"/>
      <c r="QM112" s="9"/>
      <c r="QN112" s="9"/>
      <c r="QO112" s="9"/>
      <c r="QP112" s="9"/>
      <c r="QQ112" s="9"/>
      <c r="QR112" s="9"/>
      <c r="QS112" s="9"/>
      <c r="QT112" s="9"/>
      <c r="QU112" s="9"/>
      <c r="QV112" s="9"/>
      <c r="QW112" s="9"/>
      <c r="QX112" s="9"/>
      <c r="QY112" s="9"/>
      <c r="QZ112" s="9"/>
      <c r="RA112" s="9"/>
      <c r="RB112" s="9"/>
      <c r="RC112" s="9"/>
      <c r="RD112" s="9"/>
      <c r="RE112" s="9"/>
      <c r="RF112" s="9"/>
      <c r="RG112" s="9"/>
      <c r="RH112" s="9"/>
      <c r="RI112" s="9"/>
      <c r="RJ112" s="9"/>
      <c r="RK112" s="9"/>
      <c r="RL112" s="9"/>
      <c r="RM112" s="9"/>
      <c r="RN112" s="9"/>
      <c r="RO112" s="9"/>
      <c r="RP112" s="9"/>
      <c r="RQ112" s="9"/>
      <c r="RR112" s="9"/>
      <c r="RS112" s="9"/>
      <c r="RT112" s="9"/>
      <c r="RU112" s="9"/>
      <c r="RV112" s="9"/>
      <c r="RW112" s="9"/>
      <c r="RX112" s="9"/>
      <c r="RY112" s="9"/>
      <c r="RZ112" s="9"/>
      <c r="SA112" s="9"/>
      <c r="SB112" s="9"/>
      <c r="SC112" s="9"/>
      <c r="SD112" s="9"/>
      <c r="SE112" s="9"/>
      <c r="SF112" s="9"/>
      <c r="SG112" s="9"/>
      <c r="SH112" s="9"/>
      <c r="SI112" s="9"/>
      <c r="SJ112" s="9"/>
      <c r="SK112" s="9"/>
      <c r="SL112" s="9"/>
      <c r="SM112" s="9"/>
      <c r="SN112" s="9"/>
      <c r="SO112" s="9"/>
      <c r="SP112" s="9"/>
      <c r="SQ112" s="9"/>
      <c r="SR112" s="9"/>
      <c r="SS112" s="9"/>
      <c r="ST112" s="9"/>
      <c r="SU112" s="9"/>
      <c r="SV112" s="9"/>
      <c r="SW112" s="9"/>
      <c r="SX112" s="9"/>
      <c r="SY112" s="9"/>
      <c r="SZ112" s="9"/>
      <c r="TA112" s="9"/>
      <c r="TB112" s="9"/>
      <c r="TC112" s="9"/>
      <c r="TD112" s="9"/>
      <c r="TE112" s="9"/>
      <c r="TF112" s="9"/>
      <c r="TG112" s="9"/>
      <c r="TH112" s="9"/>
      <c r="TI112" s="9"/>
      <c r="TJ112" s="9"/>
      <c r="TK112" s="9"/>
      <c r="TL112" s="9"/>
      <c r="TM112" s="9"/>
      <c r="TN112" s="9"/>
      <c r="TO112" s="9"/>
      <c r="TP112" s="9"/>
      <c r="TQ112" s="9"/>
      <c r="TR112" s="9"/>
      <c r="TS112" s="9"/>
      <c r="TT112" s="9"/>
      <c r="TU112" s="9"/>
      <c r="TV112" s="9"/>
      <c r="TW112" s="9"/>
      <c r="TX112" s="9"/>
      <c r="TY112" s="9"/>
      <c r="TZ112" s="9"/>
      <c r="UA112" s="9"/>
      <c r="UB112" s="9"/>
      <c r="UC112" s="9"/>
      <c r="UD112" s="9"/>
      <c r="UE112" s="9"/>
      <c r="UF112" s="9"/>
      <c r="UG112" s="9"/>
      <c r="UH112" s="9"/>
      <c r="UI112" s="9"/>
      <c r="UJ112" s="9"/>
      <c r="UK112" s="9"/>
      <c r="UL112" s="9"/>
      <c r="UM112" s="9"/>
      <c r="UN112" s="9"/>
      <c r="UO112" s="9"/>
      <c r="UP112" s="9"/>
      <c r="UQ112" s="9"/>
      <c r="UR112" s="9"/>
      <c r="US112" s="9"/>
      <c r="UT112" s="9"/>
      <c r="UU112" s="9"/>
      <c r="UV112" s="9"/>
      <c r="UW112" s="9"/>
      <c r="UX112" s="9"/>
      <c r="UY112" s="9"/>
      <c r="UZ112" s="9"/>
      <c r="VA112" s="9"/>
      <c r="VB112" s="9"/>
      <c r="VC112" s="9"/>
      <c r="VD112" s="9"/>
      <c r="VE112" s="9"/>
      <c r="VF112" s="9"/>
      <c r="VG112" s="9"/>
      <c r="VH112" s="9"/>
      <c r="VI112" s="9"/>
      <c r="VJ112" s="9"/>
      <c r="VK112" s="9"/>
      <c r="VL112" s="9"/>
      <c r="VM112" s="9"/>
      <c r="VN112" s="9"/>
      <c r="VO112" s="9"/>
      <c r="VP112" s="9"/>
      <c r="VQ112" s="9"/>
      <c r="VR112" s="9"/>
      <c r="VS112" s="9"/>
      <c r="VT112" s="9"/>
      <c r="VU112" s="9"/>
      <c r="VV112" s="9"/>
      <c r="VW112" s="9"/>
      <c r="VX112" s="9"/>
      <c r="VY112" s="9"/>
      <c r="VZ112" s="9"/>
      <c r="WA112" s="9"/>
      <c r="WB112" s="9"/>
      <c r="WC112" s="9"/>
      <c r="WD112" s="9"/>
      <c r="WE112" s="9"/>
      <c r="WF112" s="9"/>
      <c r="WG112" s="9"/>
      <c r="WH112" s="9"/>
      <c r="WI112" s="9"/>
      <c r="WJ112" s="9"/>
      <c r="WK112" s="9"/>
      <c r="WL112" s="9"/>
      <c r="WM112" s="9"/>
      <c r="WN112" s="9"/>
      <c r="WO112" s="9"/>
      <c r="WP112" s="9"/>
      <c r="WQ112" s="9"/>
      <c r="WR112" s="9"/>
      <c r="WS112" s="9"/>
      <c r="WT112" s="9"/>
      <c r="WU112" s="9"/>
      <c r="WV112" s="9"/>
      <c r="WW112" s="9"/>
      <c r="WX112" s="9"/>
      <c r="WY112" s="9"/>
      <c r="WZ112" s="9"/>
      <c r="XA112" s="9"/>
      <c r="XB112" s="9"/>
      <c r="XC112" s="9"/>
      <c r="XD112" s="9"/>
      <c r="XE112" s="9"/>
      <c r="XF112" s="9"/>
      <c r="XG112" s="9"/>
      <c r="XH112" s="9"/>
      <c r="XI112" s="9"/>
      <c r="XJ112" s="9"/>
      <c r="XK112" s="9"/>
      <c r="XL112" s="9"/>
      <c r="XM112" s="9"/>
      <c r="XN112" s="9"/>
      <c r="XO112" s="9"/>
      <c r="XP112" s="9"/>
      <c r="XQ112" s="9"/>
      <c r="XR112" s="9"/>
      <c r="XS112" s="9"/>
      <c r="XT112" s="9"/>
      <c r="XU112" s="9"/>
      <c r="XV112" s="9"/>
      <c r="XW112" s="9"/>
      <c r="XX112" s="9"/>
      <c r="XY112" s="9"/>
      <c r="XZ112" s="9"/>
      <c r="YA112" s="9"/>
      <c r="YB112" s="9"/>
      <c r="YC112" s="9"/>
      <c r="YD112" s="9"/>
      <c r="YE112" s="9"/>
      <c r="YF112" s="9"/>
      <c r="YG112" s="9"/>
      <c r="YH112" s="9"/>
      <c r="YI112" s="9"/>
      <c r="YJ112" s="9"/>
      <c r="YK112" s="9"/>
      <c r="YL112" s="9"/>
      <c r="YM112" s="9"/>
      <c r="YN112" s="9"/>
      <c r="YO112" s="9"/>
      <c r="YP112" s="9"/>
      <c r="YQ112" s="9"/>
      <c r="YR112" s="9"/>
      <c r="YS112" s="9"/>
      <c r="YT112" s="9"/>
      <c r="YU112" s="9"/>
      <c r="YV112" s="9"/>
      <c r="YW112" s="9"/>
      <c r="YX112" s="9"/>
      <c r="YY112" s="9"/>
      <c r="YZ112" s="9"/>
      <c r="ZA112" s="9"/>
      <c r="ZB112" s="9"/>
      <c r="ZC112" s="9"/>
      <c r="ZD112" s="9"/>
      <c r="ZE112" s="9"/>
      <c r="ZF112" s="9"/>
      <c r="ZG112" s="9"/>
      <c r="ZH112" s="9"/>
      <c r="ZI112" s="9"/>
      <c r="ZJ112" s="9"/>
      <c r="ZK112" s="9"/>
      <c r="ZL112" s="9"/>
      <c r="ZM112" s="9"/>
      <c r="ZN112" s="9"/>
      <c r="ZO112" s="9"/>
      <c r="ZP112" s="9"/>
      <c r="ZQ112" s="9"/>
      <c r="ZR112" s="9"/>
      <c r="ZS112" s="9"/>
      <c r="ZT112" s="9"/>
      <c r="ZU112" s="9"/>
      <c r="ZV112" s="9"/>
      <c r="ZW112" s="9"/>
      <c r="ZX112" s="9"/>
      <c r="ZY112" s="9"/>
      <c r="ZZ112" s="9"/>
      <c r="AAA112" s="9"/>
      <c r="AAB112" s="9"/>
      <c r="AAC112" s="9"/>
      <c r="AAD112" s="9"/>
      <c r="AAE112" s="9"/>
      <c r="AAF112" s="9"/>
      <c r="AAG112" s="9"/>
      <c r="AAH112" s="9"/>
      <c r="AAI112" s="9"/>
      <c r="AAJ112" s="9"/>
      <c r="AAK112" s="9"/>
      <c r="AAL112" s="9"/>
      <c r="AAM112" s="9"/>
      <c r="AAN112" s="9"/>
      <c r="AAO112" s="9"/>
      <c r="AAP112" s="9"/>
      <c r="AAQ112" s="9"/>
      <c r="AAR112" s="9"/>
      <c r="AAS112" s="9"/>
      <c r="AAT112" s="9"/>
      <c r="AAU112" s="9"/>
      <c r="AAV112" s="9"/>
      <c r="AAW112" s="9"/>
      <c r="AAX112" s="9"/>
      <c r="AAY112" s="9"/>
      <c r="AAZ112" s="9"/>
      <c r="ABA112" s="9"/>
      <c r="ABB112" s="9"/>
      <c r="ABC112" s="9"/>
      <c r="ABD112" s="9"/>
      <c r="ABE112" s="9"/>
      <c r="ABF112" s="9"/>
      <c r="ABG112" s="9"/>
      <c r="ABH112" s="9"/>
      <c r="ABI112" s="9"/>
      <c r="ABJ112" s="9"/>
      <c r="ABK112" s="9"/>
      <c r="ABL112" s="9"/>
      <c r="ABM112" s="9"/>
      <c r="ABN112" s="9"/>
      <c r="ABO112" s="9"/>
      <c r="ABP112" s="9"/>
      <c r="ABQ112" s="9"/>
      <c r="ABR112" s="9"/>
      <c r="ABS112" s="9"/>
      <c r="ABT112" s="9"/>
      <c r="ABU112" s="9"/>
      <c r="ABV112" s="9"/>
      <c r="ABW112" s="9"/>
      <c r="ABX112" s="9"/>
      <c r="ABY112" s="9"/>
      <c r="ABZ112" s="9"/>
      <c r="ACA112" s="9"/>
      <c r="ACB112" s="9"/>
      <c r="ACC112" s="9"/>
      <c r="ACD112" s="9"/>
      <c r="ACE112" s="9"/>
      <c r="ACF112" s="9"/>
      <c r="ACG112" s="9"/>
      <c r="ACH112" s="9"/>
      <c r="ACI112" s="9"/>
      <c r="ACJ112" s="9"/>
      <c r="ACK112" s="9"/>
      <c r="ACL112" s="9"/>
      <c r="ACM112" s="9"/>
      <c r="ACN112" s="9"/>
      <c r="ACO112" s="9"/>
      <c r="ACP112" s="9"/>
      <c r="ACQ112" s="9"/>
      <c r="ACR112" s="9"/>
      <c r="ACS112" s="9"/>
      <c r="ACT112" s="9"/>
      <c r="ACU112" s="9"/>
      <c r="ACV112" s="9"/>
      <c r="ACW112" s="9"/>
      <c r="ACX112" s="9"/>
      <c r="ACY112" s="9"/>
      <c r="ACZ112" s="9"/>
      <c r="ADA112" s="9"/>
      <c r="ADB112" s="9"/>
      <c r="ADC112" s="9"/>
      <c r="ADD112" s="9"/>
      <c r="ADE112" s="9"/>
      <c r="ADF112" s="9"/>
      <c r="ADG112" s="9"/>
      <c r="ADH112" s="9"/>
      <c r="ADI112" s="9"/>
      <c r="ADJ112" s="9"/>
      <c r="ADK112" s="9"/>
      <c r="ADL112" s="9"/>
      <c r="ADM112" s="9"/>
      <c r="ADN112" s="9"/>
      <c r="ADO112" s="9"/>
      <c r="ADP112" s="9"/>
      <c r="ADQ112" s="9"/>
      <c r="ADR112" s="9"/>
      <c r="ADS112" s="9"/>
      <c r="ADT112" s="9"/>
      <c r="ADU112" s="9"/>
      <c r="ADV112" s="9"/>
      <c r="ADW112" s="9"/>
      <c r="ADX112" s="9"/>
      <c r="ADY112" s="9"/>
      <c r="ADZ112" s="9"/>
      <c r="AEA112" s="9"/>
      <c r="AEB112" s="9"/>
      <c r="AEC112" s="9"/>
      <c r="AED112" s="9"/>
      <c r="AEE112" s="9"/>
      <c r="AEF112" s="9"/>
      <c r="AEG112" s="9"/>
      <c r="AEH112" s="9"/>
      <c r="AEI112" s="9"/>
      <c r="AEJ112" s="9"/>
      <c r="AEK112" s="9"/>
      <c r="AEL112" s="9"/>
      <c r="AEM112" s="9"/>
      <c r="AEN112" s="9"/>
      <c r="AEO112" s="9"/>
      <c r="AEP112" s="9"/>
      <c r="AEQ112" s="9"/>
      <c r="AER112" s="9"/>
      <c r="AES112" s="9"/>
      <c r="AET112" s="9"/>
      <c r="AEU112" s="9"/>
      <c r="AEV112" s="9"/>
      <c r="AEW112" s="9"/>
      <c r="AEX112" s="9"/>
      <c r="AEY112" s="9"/>
      <c r="AEZ112" s="9"/>
      <c r="AFA112" s="9"/>
      <c r="AFB112" s="9"/>
      <c r="AFC112" s="9"/>
      <c r="AFD112" s="9"/>
      <c r="AFE112" s="9"/>
      <c r="AFF112" s="9"/>
      <c r="AFG112" s="9"/>
      <c r="AFH112" s="9"/>
      <c r="AFI112" s="9"/>
      <c r="AFJ112" s="9"/>
      <c r="AFK112" s="9"/>
      <c r="AFL112" s="9"/>
      <c r="AFM112" s="9"/>
      <c r="AFN112" s="9"/>
      <c r="AFO112" s="9"/>
      <c r="AFP112" s="9"/>
      <c r="AFQ112" s="9"/>
      <c r="AFR112" s="9"/>
      <c r="AFS112" s="9"/>
      <c r="AFT112" s="9"/>
      <c r="AFU112" s="9"/>
      <c r="AFV112" s="9"/>
      <c r="AFW112" s="9"/>
      <c r="AFX112" s="9"/>
      <c r="AFY112" s="9"/>
      <c r="AFZ112" s="9"/>
      <c r="AGA112" s="9"/>
      <c r="AGB112" s="9"/>
      <c r="AGC112" s="9"/>
      <c r="AGD112" s="9"/>
      <c r="AGE112" s="9"/>
      <c r="AGF112" s="9"/>
      <c r="AGG112" s="9"/>
      <c r="AGH112" s="9"/>
      <c r="AGI112" s="9"/>
      <c r="AGJ112" s="9"/>
      <c r="AGK112" s="9"/>
      <c r="AGL112" s="9"/>
      <c r="AGM112" s="9"/>
      <c r="AGN112" s="9"/>
      <c r="AGO112" s="9"/>
      <c r="AGP112" s="9"/>
      <c r="AGQ112" s="9"/>
      <c r="AGR112" s="9"/>
      <c r="AGS112" s="9"/>
      <c r="AGT112" s="9"/>
      <c r="AGU112" s="9"/>
      <c r="AGV112" s="9"/>
      <c r="AGW112" s="9"/>
      <c r="AGX112" s="9"/>
      <c r="AGY112" s="9"/>
      <c r="AGZ112" s="9"/>
      <c r="AHA112" s="9"/>
      <c r="AHB112" s="9"/>
      <c r="AHC112" s="9"/>
      <c r="AHD112" s="9"/>
      <c r="AHE112" s="9"/>
      <c r="AHF112" s="9"/>
      <c r="AHG112" s="9"/>
      <c r="AHH112" s="9"/>
      <c r="AHI112" s="9"/>
      <c r="AHJ112" s="9"/>
      <c r="AHK112" s="9"/>
      <c r="AHL112" s="9"/>
      <c r="AHM112" s="9"/>
      <c r="AHN112" s="9"/>
      <c r="AHO112" s="9"/>
      <c r="AHP112" s="9"/>
      <c r="AHQ112" s="9"/>
      <c r="AHR112" s="9"/>
      <c r="AHS112" s="9"/>
      <c r="AHT112" s="9"/>
      <c r="AHU112" s="9"/>
      <c r="AHV112" s="9"/>
      <c r="AHW112" s="9"/>
      <c r="AHX112" s="9"/>
      <c r="AHY112" s="9"/>
      <c r="AHZ112" s="9"/>
      <c r="AIA112" s="9"/>
      <c r="AIB112" s="9"/>
      <c r="AIC112" s="9"/>
      <c r="AID112" s="9"/>
      <c r="AIE112" s="9"/>
      <c r="AIF112" s="9"/>
      <c r="AIG112" s="9"/>
      <c r="AIH112" s="9"/>
      <c r="AII112" s="9"/>
      <c r="AIJ112" s="9"/>
      <c r="AIK112" s="9"/>
      <c r="AIL112" s="9"/>
      <c r="AIM112" s="9"/>
      <c r="AIN112" s="9"/>
      <c r="AIO112" s="9"/>
      <c r="AIP112" s="9"/>
      <c r="AIQ112" s="9"/>
      <c r="AIR112" s="9"/>
      <c r="AIS112" s="9"/>
      <c r="AIT112" s="9"/>
      <c r="AIU112" s="9"/>
      <c r="AIV112" s="9"/>
      <c r="AIW112" s="9"/>
      <c r="AIX112" s="9"/>
      <c r="AIY112" s="9"/>
      <c r="AIZ112" s="9"/>
      <c r="AJA112" s="9"/>
      <c r="AJB112" s="9"/>
      <c r="AJC112" s="9"/>
      <c r="AJD112" s="9"/>
      <c r="AJE112" s="9"/>
      <c r="AJF112" s="9"/>
      <c r="AJG112" s="9"/>
      <c r="AJH112" s="9"/>
      <c r="AJI112" s="9"/>
      <c r="AJJ112" s="9"/>
      <c r="AJK112" s="9"/>
      <c r="AJL112" s="9"/>
      <c r="AJM112" s="9"/>
      <c r="AJN112" s="9"/>
      <c r="AJO112" s="9"/>
      <c r="AJP112" s="9"/>
      <c r="AJQ112" s="9"/>
      <c r="AJR112" s="9"/>
      <c r="AJS112" s="9"/>
      <c r="AJT112" s="9"/>
      <c r="AJU112" s="9"/>
      <c r="AJV112" s="9"/>
      <c r="AJW112" s="9"/>
      <c r="AJX112" s="9"/>
      <c r="AJY112" s="9"/>
      <c r="AJZ112" s="9"/>
      <c r="AKA112" s="9"/>
      <c r="AKB112" s="9"/>
      <c r="AKC112" s="9"/>
      <c r="AKD112" s="9"/>
      <c r="AKE112" s="9"/>
      <c r="AKF112" s="9"/>
      <c r="AKG112" s="9"/>
      <c r="AKH112" s="9"/>
      <c r="AKI112" s="9"/>
      <c r="AKJ112" s="9"/>
      <c r="AKK112" s="9"/>
      <c r="AKL112" s="9"/>
      <c r="AKM112" s="9"/>
      <c r="AKN112" s="9"/>
      <c r="AKO112" s="9"/>
      <c r="AKP112" s="9"/>
      <c r="AKQ112" s="9"/>
      <c r="AKR112" s="9"/>
      <c r="AKS112" s="9"/>
      <c r="AKT112" s="9"/>
      <c r="AKU112" s="9"/>
      <c r="AKV112" s="9"/>
      <c r="AKW112" s="9"/>
      <c r="AKX112" s="9"/>
      <c r="AKY112" s="9"/>
      <c r="AKZ112" s="9"/>
      <c r="ALA112" s="9"/>
      <c r="ALB112" s="9"/>
      <c r="ALC112" s="9"/>
      <c r="ALD112" s="9"/>
      <c r="ALE112" s="9"/>
      <c r="ALF112" s="9"/>
      <c r="ALG112" s="9"/>
      <c r="ALH112" s="9"/>
      <c r="ALI112" s="9"/>
      <c r="ALJ112" s="9"/>
      <c r="ALK112" s="9"/>
      <c r="ALL112" s="9"/>
      <c r="ALM112" s="9"/>
      <c r="ALN112" s="9"/>
      <c r="ALO112" s="9"/>
      <c r="ALP112" s="9"/>
      <c r="ALQ112" s="9"/>
      <c r="ALR112" s="9"/>
      <c r="ALS112" s="9"/>
      <c r="ALT112" s="9"/>
      <c r="ALU112" s="9"/>
      <c r="ALV112" s="9"/>
      <c r="ALW112" s="9"/>
      <c r="ALX112" s="9"/>
      <c r="ALY112" s="9"/>
      <c r="ALZ112" s="9"/>
      <c r="AMA112" s="9"/>
      <c r="AMB112" s="9"/>
      <c r="AMC112" s="9"/>
      <c r="AMD112" s="9"/>
      <c r="AME112" s="9"/>
      <c r="AMF112" s="9"/>
      <c r="AMG112" s="9"/>
      <c r="AMH112" s="9"/>
      <c r="AMI112" s="9"/>
      <c r="AMJ112" s="9"/>
      <c r="AMK112" s="9"/>
      <c r="AML112" s="9"/>
      <c r="AMM112" s="9"/>
      <c r="AMN112" s="9"/>
    </row>
    <row r="113" spans="1:1029" x14ac:dyDescent="0.2">
      <c r="A113" s="3" t="str">
        <f t="shared" si="222"/>
        <v>hrh1_human__wt</v>
      </c>
      <c r="B113" s="3" t="s">
        <v>278</v>
      </c>
      <c r="C113" s="3" t="s">
        <v>100</v>
      </c>
      <c r="D113" s="3" t="str">
        <f>IFERROR(MID(VLOOKUP($B113,Seqs!$A:$B,2,0),E113,1),"")</f>
        <v>P</v>
      </c>
      <c r="E113" s="3">
        <v>29</v>
      </c>
      <c r="F113" s="3" t="str">
        <f>IFERROR(MID(VLOOKUP($B113,Seqs!$A:$B,2,0),G113,1),"")</f>
        <v>E</v>
      </c>
      <c r="G113" s="3">
        <v>55</v>
      </c>
      <c r="H113" s="3" t="str">
        <f>IFERROR(MID(VLOOKUP($B113,Seqs!$A:$B,2,0),I113,1),"")</f>
        <v>R</v>
      </c>
      <c r="I113" s="23">
        <v>56</v>
      </c>
      <c r="J113" s="3" t="str">
        <f>IFERROR(MID(VLOOKUP($B113,Seqs!$A:$B,2,0),K113,1),"")</f>
        <v>H</v>
      </c>
      <c r="K113" s="23">
        <v>59</v>
      </c>
      <c r="L113" s="3" t="str">
        <f>IFERROR(MID(VLOOKUP($B113,Seqs!$A:$B,2,0),M113,1),"")</f>
        <v>T</v>
      </c>
      <c r="M113" s="3">
        <v>60</v>
      </c>
      <c r="N113" s="3" t="str">
        <f>IFERROR(MID(VLOOKUP($B113,Seqs!$A:$B,2,0),O113,1),"")</f>
        <v>M</v>
      </c>
      <c r="O113" s="3">
        <v>90</v>
      </c>
      <c r="P113" s="3" t="str">
        <f>IFERROR(MID(VLOOKUP($B113,Seqs!$A:$B,2,0),Q113,1),"")</f>
        <v>K</v>
      </c>
      <c r="Q113" s="3">
        <v>92</v>
      </c>
      <c r="R113" s="3" t="str">
        <f>IFERROR(MID(VLOOKUP($B113,Seqs!$A:$B,2,0),S113,1),"")</f>
        <v>L</v>
      </c>
      <c r="S113" s="3">
        <v>95</v>
      </c>
      <c r="T113" s="3" t="str">
        <f>IFERROR(MID(VLOOKUP($B113,Seqs!$A:$B,2,0),U113,1),"")</f>
        <v>G</v>
      </c>
      <c r="U113" s="3">
        <v>96</v>
      </c>
      <c r="V113" s="3" t="str">
        <f>IFERROR(MID(VLOOKUP($B113,Seqs!$A:$B,2,0),W113,1),"")</f>
        <v>Q</v>
      </c>
      <c r="W113" s="3">
        <v>131</v>
      </c>
      <c r="X113" s="3" t="str">
        <f>IFERROR(MID(VLOOKUP($B113,Seqs!$A:$B,2,0),Y113,1),"")</f>
        <v>P</v>
      </c>
      <c r="Y113" s="3">
        <v>132</v>
      </c>
      <c r="Z113" s="3" t="str">
        <f>IFERROR(MID(VLOOKUP($B113,Seqs!$A:$B,2,0),AA113,1),"")</f>
        <v>R</v>
      </c>
      <c r="AA113" s="3">
        <v>139</v>
      </c>
      <c r="AB113" s="3" t="str">
        <f>IFERROR(MID(VLOOKUP($B113,Seqs!$A:$B,2,0),AC113,1),"")</f>
        <v>T</v>
      </c>
      <c r="AC113" s="9">
        <v>140</v>
      </c>
      <c r="AD113" s="3" t="str">
        <f>IFERROR(MID(VLOOKUP($B113,Seqs!$A:$B,2,0),AE113,1),"")</f>
        <v>G</v>
      </c>
      <c r="AE113" s="3">
        <v>164</v>
      </c>
      <c r="AF113" s="3" t="str">
        <f>IFERROR(MID(VLOOKUP($B113,Seqs!$A:$B,2,0),AG113,1),"")</f>
        <v>C</v>
      </c>
      <c r="AG113" s="3">
        <v>180</v>
      </c>
      <c r="AH113" s="3" t="str">
        <f>IFERROR(MID(VLOOKUP($B113,Seqs!$A:$B,2,0),AI113,1),"")</f>
        <v>T</v>
      </c>
      <c r="AI113" s="3">
        <v>182</v>
      </c>
      <c r="AJ113" s="3" t="str">
        <f>IFERROR(MID(VLOOKUP($B113,Seqs!$A:$B,2,0),AK113,1),"")</f>
        <v>V</v>
      </c>
      <c r="AK113" s="3">
        <v>187</v>
      </c>
      <c r="AL113" s="3" t="str">
        <f>IFERROR(MID(VLOOKUP($B113,Seqs!$A:$B,2,0),AM113,1),"")</f>
        <v>N</v>
      </c>
      <c r="AM113" s="3">
        <v>228</v>
      </c>
      <c r="AN113" s="3" t="str">
        <f>IFERROR(MID(VLOOKUP($B113,Seqs!$A:$B,2,0),AO113,1),"")</f>
        <v>G</v>
      </c>
      <c r="AO113" s="3">
        <v>404</v>
      </c>
      <c r="AP113" s="3" t="str">
        <f>IFERROR(MID(VLOOKUP($B113,Seqs!$A:$B,2,0),AQ113,1),"")</f>
        <v>C</v>
      </c>
      <c r="AQ113" s="3">
        <v>441</v>
      </c>
      <c r="AR113" s="3" t="str">
        <f>IFERROR(MID(VLOOKUP($B113,Seqs!$A:$B,2,0),AS113,1),"")</f>
        <v>N</v>
      </c>
      <c r="AS113" s="3">
        <v>446</v>
      </c>
      <c r="AT113" s="3" t="str">
        <f>IFERROR(MID(VLOOKUP($B113,Seqs!$A:$B,2,0),AU113,1),"")</f>
        <v>C</v>
      </c>
      <c r="AU113" s="3">
        <v>471</v>
      </c>
      <c r="AV113" s="3" t="str">
        <f>IFERROR(MID(VLOOKUP($B113,Seqs!$A:$B,2,0),AW113,1),"")</f>
        <v>N</v>
      </c>
      <c r="AW113" s="3">
        <v>472</v>
      </c>
      <c r="AX113" s="3" t="str">
        <f>IFERROR(MID(VLOOKUP($B113,Seqs!$A:$B,2,0),AY113,1),"")</f>
        <v>H</v>
      </c>
      <c r="AY113" s="3">
        <v>484</v>
      </c>
      <c r="AZ113" s="79" t="str">
        <f>VLOOKUP(B113,Classification!A:D,2,0)</f>
        <v>A</v>
      </c>
      <c r="BA113" s="97" t="str">
        <f>VLOOKUP(B113,Classification!A:D,4,0)</f>
        <v>Histamine</v>
      </c>
      <c r="BB113" s="27" t="b">
        <f t="shared" si="223"/>
        <v>1</v>
      </c>
      <c r="BC113" s="23">
        <f t="shared" si="473"/>
        <v>257</v>
      </c>
      <c r="BD113" s="35" t="s">
        <v>1379</v>
      </c>
      <c r="BE113" s="3" t="s">
        <v>1381</v>
      </c>
      <c r="BF113" s="50" t="s">
        <v>1379</v>
      </c>
      <c r="BG113" s="50" t="s">
        <v>1384</v>
      </c>
      <c r="BH113" s="1"/>
      <c r="BI113" s="72" t="s">
        <v>1293</v>
      </c>
      <c r="BJ113" s="58" t="s">
        <v>1293</v>
      </c>
      <c r="BK113" s="58" t="s">
        <v>1293</v>
      </c>
      <c r="BL113" s="58" t="s">
        <v>1293</v>
      </c>
      <c r="BM113" s="58" t="s">
        <v>1293</v>
      </c>
      <c r="BN113" s="58" t="s">
        <v>1293</v>
      </c>
      <c r="BO113" s="58" t="s">
        <v>1293</v>
      </c>
      <c r="BP113" s="58" t="s">
        <v>1293</v>
      </c>
      <c r="BQ113" s="58" t="s">
        <v>1293</v>
      </c>
      <c r="BR113" s="58" t="s">
        <v>1293</v>
      </c>
      <c r="BS113" s="58" t="s">
        <v>1293</v>
      </c>
      <c r="BT113" s="58" t="s">
        <v>1293</v>
      </c>
      <c r="BU113" s="72">
        <f t="shared" si="474"/>
        <v>29</v>
      </c>
      <c r="BV113" s="73">
        <f t="shared" si="475"/>
        <v>56</v>
      </c>
      <c r="BW113" s="74">
        <f t="shared" si="476"/>
        <v>60</v>
      </c>
      <c r="BX113" s="73">
        <f t="shared" si="477"/>
        <v>92</v>
      </c>
      <c r="BY113" s="74">
        <f t="shared" si="478"/>
        <v>96</v>
      </c>
      <c r="BZ113" s="73">
        <f t="shared" si="479"/>
        <v>132</v>
      </c>
      <c r="CA113" s="74">
        <f t="shared" si="480"/>
        <v>140</v>
      </c>
      <c r="CB113" s="73">
        <f t="shared" si="481"/>
        <v>180</v>
      </c>
      <c r="CC113" s="74">
        <f t="shared" si="482"/>
        <v>187</v>
      </c>
      <c r="CD113" s="73">
        <f t="shared" si="483"/>
        <v>404</v>
      </c>
      <c r="CE113" s="74">
        <f t="shared" si="484"/>
        <v>446</v>
      </c>
      <c r="CF113" s="73">
        <f t="shared" si="485"/>
        <v>472</v>
      </c>
      <c r="CG113" s="72">
        <f t="shared" si="486"/>
        <v>55</v>
      </c>
      <c r="CH113" s="73">
        <f t="shared" si="487"/>
        <v>59</v>
      </c>
      <c r="CI113" s="74">
        <f t="shared" si="488"/>
        <v>90</v>
      </c>
      <c r="CJ113" s="74">
        <f t="shared" si="489"/>
        <v>95</v>
      </c>
      <c r="CK113" s="74">
        <f t="shared" si="490"/>
        <v>131</v>
      </c>
      <c r="CL113" s="74">
        <f t="shared" si="491"/>
        <v>139</v>
      </c>
      <c r="CM113" s="74">
        <f t="shared" si="492"/>
        <v>164</v>
      </c>
      <c r="CN113" s="74">
        <f t="shared" si="493"/>
        <v>182</v>
      </c>
      <c r="CO113" s="74">
        <f t="shared" si="494"/>
        <v>228</v>
      </c>
      <c r="CP113" s="74">
        <f t="shared" si="495"/>
        <v>441</v>
      </c>
      <c r="CQ113" s="74">
        <f t="shared" si="496"/>
        <v>471</v>
      </c>
      <c r="CR113" s="74">
        <f t="shared" si="497"/>
        <v>484</v>
      </c>
      <c r="CS113" s="23">
        <f t="shared" si="498"/>
        <v>1</v>
      </c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  <c r="OK113" s="1"/>
      <c r="OL113" s="1"/>
      <c r="OM113" s="1"/>
      <c r="ON113" s="1"/>
      <c r="OO113" s="1"/>
      <c r="OP113" s="1"/>
      <c r="OQ113" s="1"/>
      <c r="OR113" s="1"/>
      <c r="OS113" s="1"/>
      <c r="OT113" s="1"/>
      <c r="OU113" s="1"/>
      <c r="OV113" s="1"/>
      <c r="OW113" s="1"/>
      <c r="OX113" s="1"/>
      <c r="OY113" s="1"/>
      <c r="OZ113" s="1"/>
      <c r="PA113" s="1"/>
      <c r="PB113" s="1"/>
      <c r="PC113" s="1"/>
      <c r="PD113" s="1"/>
      <c r="PE113" s="1"/>
      <c r="PF113" s="1"/>
      <c r="PG113" s="1"/>
      <c r="PH113" s="1"/>
      <c r="PI113" s="1"/>
      <c r="PJ113" s="1"/>
      <c r="PK113" s="1"/>
      <c r="PL113" s="1"/>
      <c r="PM113" s="1"/>
      <c r="PN113" s="1"/>
      <c r="PO113" s="1"/>
      <c r="PP113" s="1"/>
      <c r="PQ113" s="1"/>
      <c r="PR113" s="1"/>
      <c r="PS113" s="1"/>
      <c r="PT113" s="1"/>
      <c r="PU113" s="1"/>
      <c r="PV113" s="1"/>
      <c r="PW113" s="1"/>
      <c r="PX113" s="1"/>
      <c r="PY113" s="1"/>
      <c r="PZ113" s="1"/>
      <c r="QA113" s="1"/>
      <c r="QB113" s="1"/>
      <c r="QC113" s="1"/>
      <c r="QD113" s="1"/>
      <c r="QE113" s="1"/>
      <c r="QF113" s="1"/>
      <c r="QG113" s="1"/>
      <c r="QH113" s="1"/>
      <c r="QI113" s="1"/>
      <c r="QJ113" s="1"/>
      <c r="QK113" s="1"/>
      <c r="QL113" s="1"/>
      <c r="QM113" s="1"/>
      <c r="QN113" s="1"/>
      <c r="QO113" s="1"/>
      <c r="QP113" s="1"/>
      <c r="QQ113" s="1"/>
      <c r="QR113" s="1"/>
      <c r="QS113" s="1"/>
      <c r="QT113" s="1"/>
      <c r="QU113" s="1"/>
      <c r="QV113" s="1"/>
      <c r="QW113" s="1"/>
      <c r="QX113" s="1"/>
      <c r="QY113" s="1"/>
      <c r="QZ113" s="1"/>
      <c r="RA113" s="1"/>
      <c r="RB113" s="1"/>
      <c r="RC113" s="1"/>
      <c r="RD113" s="1"/>
      <c r="RE113" s="1"/>
      <c r="RF113" s="1"/>
      <c r="RG113" s="1"/>
      <c r="RH113" s="1"/>
      <c r="RI113" s="1"/>
      <c r="RJ113" s="1"/>
      <c r="RK113" s="1"/>
      <c r="RL113" s="1"/>
      <c r="RM113" s="1"/>
      <c r="RN113" s="1"/>
      <c r="RO113" s="1"/>
      <c r="RP113" s="1"/>
      <c r="RQ113" s="1"/>
      <c r="RR113" s="1"/>
      <c r="RS113" s="1"/>
      <c r="RT113" s="1"/>
      <c r="RU113" s="1"/>
      <c r="RV113" s="1"/>
      <c r="RW113" s="1"/>
      <c r="RX113" s="1"/>
      <c r="RY113" s="1"/>
      <c r="RZ113" s="1"/>
      <c r="SA113" s="1"/>
      <c r="SB113" s="1"/>
      <c r="SC113" s="1"/>
      <c r="SD113" s="1"/>
      <c r="SE113" s="1"/>
      <c r="SF113" s="1"/>
      <c r="SG113" s="1"/>
      <c r="SH113" s="1"/>
      <c r="SI113" s="1"/>
      <c r="SJ113" s="1"/>
      <c r="SK113" s="1"/>
      <c r="SL113" s="1"/>
      <c r="SM113" s="1"/>
      <c r="SN113" s="1"/>
      <c r="SO113" s="1"/>
      <c r="SP113" s="1"/>
      <c r="SQ113" s="1"/>
      <c r="SR113" s="1"/>
      <c r="SS113" s="1"/>
      <c r="ST113" s="1"/>
      <c r="SU113" s="1"/>
      <c r="SV113" s="1"/>
      <c r="SW113" s="1"/>
      <c r="SX113" s="1"/>
      <c r="SY113" s="1"/>
      <c r="SZ113" s="1"/>
      <c r="TA113" s="1"/>
      <c r="TB113" s="1"/>
      <c r="TC113" s="1"/>
      <c r="TD113" s="1"/>
      <c r="TE113" s="1"/>
      <c r="TF113" s="1"/>
      <c r="TG113" s="1"/>
      <c r="TH113" s="1"/>
      <c r="TI113" s="1"/>
      <c r="TJ113" s="1"/>
      <c r="TK113" s="1"/>
      <c r="TL113" s="1"/>
      <c r="TM113" s="1"/>
      <c r="TN113" s="1"/>
      <c r="TO113" s="1"/>
      <c r="TP113" s="1"/>
      <c r="TQ113" s="1"/>
      <c r="TR113" s="1"/>
      <c r="TS113" s="1"/>
      <c r="TT113" s="1"/>
      <c r="TU113" s="1"/>
      <c r="TV113" s="1"/>
      <c r="TW113" s="1"/>
      <c r="TX113" s="1"/>
      <c r="TY113" s="1"/>
      <c r="TZ113" s="1"/>
      <c r="UA113" s="1"/>
      <c r="UB113" s="1"/>
      <c r="UC113" s="1"/>
      <c r="UD113" s="1"/>
      <c r="UE113" s="1"/>
      <c r="UF113" s="1"/>
      <c r="UG113" s="1"/>
      <c r="UH113" s="1"/>
      <c r="UI113" s="1"/>
      <c r="UJ113" s="1"/>
      <c r="UK113" s="1"/>
      <c r="UL113" s="1"/>
      <c r="UM113" s="1"/>
      <c r="UN113" s="1"/>
      <c r="UO113" s="1"/>
      <c r="UP113" s="1"/>
      <c r="UQ113" s="1"/>
      <c r="UR113" s="1"/>
      <c r="US113" s="1"/>
      <c r="UT113" s="1"/>
      <c r="UU113" s="1"/>
      <c r="UV113" s="1"/>
      <c r="UW113" s="1"/>
      <c r="UX113" s="1"/>
      <c r="UY113" s="1"/>
      <c r="UZ113" s="1"/>
      <c r="VA113" s="1"/>
      <c r="VB113" s="1"/>
      <c r="VC113" s="1"/>
      <c r="VD113" s="1"/>
      <c r="VE113" s="1"/>
      <c r="VF113" s="1"/>
      <c r="VG113" s="1"/>
      <c r="VH113" s="1"/>
      <c r="VI113" s="1"/>
      <c r="VJ113" s="1"/>
      <c r="VK113" s="1"/>
      <c r="VL113" s="1"/>
      <c r="VM113" s="1"/>
      <c r="VN113" s="1"/>
      <c r="VO113" s="1"/>
      <c r="VP113" s="1"/>
      <c r="VQ113" s="1"/>
      <c r="VR113" s="1"/>
      <c r="VS113" s="1"/>
      <c r="VT113" s="1"/>
      <c r="VU113" s="1"/>
      <c r="VV113" s="1"/>
      <c r="VW113" s="1"/>
      <c r="VX113" s="1"/>
      <c r="VY113" s="1"/>
      <c r="VZ113" s="1"/>
      <c r="WA113" s="1"/>
      <c r="WB113" s="1"/>
      <c r="WC113" s="1"/>
      <c r="WD113" s="1"/>
      <c r="WE113" s="1"/>
      <c r="WF113" s="1"/>
      <c r="WG113" s="1"/>
      <c r="WH113" s="1"/>
      <c r="WI113" s="1"/>
      <c r="WJ113" s="1"/>
      <c r="WK113" s="1"/>
      <c r="WL113" s="1"/>
      <c r="WM113" s="1"/>
      <c r="WN113" s="1"/>
      <c r="WO113" s="1"/>
      <c r="WP113" s="1"/>
      <c r="WQ113" s="1"/>
      <c r="WR113" s="1"/>
      <c r="WS113" s="1"/>
      <c r="WT113" s="1"/>
      <c r="WU113" s="1"/>
      <c r="WV113" s="1"/>
      <c r="WW113" s="1"/>
      <c r="WX113" s="1"/>
      <c r="WY113" s="1"/>
      <c r="WZ113" s="1"/>
      <c r="XA113" s="1"/>
      <c r="XB113" s="1"/>
      <c r="XC113" s="1"/>
      <c r="XD113" s="1"/>
      <c r="XE113" s="1"/>
      <c r="XF113" s="1"/>
      <c r="XG113" s="1"/>
      <c r="XH113" s="1"/>
      <c r="XI113" s="1"/>
      <c r="XJ113" s="1"/>
      <c r="XK113" s="1"/>
      <c r="XL113" s="1"/>
      <c r="XM113" s="1"/>
      <c r="XN113" s="1"/>
      <c r="XO113" s="1"/>
      <c r="XP113" s="1"/>
      <c r="XQ113" s="1"/>
      <c r="XR113" s="1"/>
      <c r="XS113" s="1"/>
      <c r="XT113" s="1"/>
      <c r="XU113" s="1"/>
      <c r="XV113" s="1"/>
      <c r="XW113" s="1"/>
      <c r="XX113" s="1"/>
      <c r="XY113" s="1"/>
      <c r="XZ113" s="1"/>
      <c r="YA113" s="1"/>
      <c r="YB113" s="1"/>
      <c r="YC113" s="1"/>
      <c r="YD113" s="1"/>
      <c r="YE113" s="1"/>
      <c r="YF113" s="1"/>
      <c r="YG113" s="1"/>
      <c r="YH113" s="1"/>
      <c r="YI113" s="1"/>
      <c r="YJ113" s="1"/>
      <c r="YK113" s="1"/>
      <c r="YL113" s="1"/>
      <c r="YM113" s="1"/>
      <c r="YN113" s="1"/>
      <c r="YO113" s="1"/>
      <c r="YP113" s="1"/>
      <c r="YQ113" s="1"/>
      <c r="YR113" s="1"/>
      <c r="YS113" s="1"/>
      <c r="YT113" s="1"/>
      <c r="YU113" s="1"/>
      <c r="YV113" s="1"/>
      <c r="YW113" s="1"/>
      <c r="YX113" s="1"/>
      <c r="YY113" s="1"/>
      <c r="YZ113" s="1"/>
      <c r="ZA113" s="1"/>
      <c r="ZB113" s="1"/>
      <c r="ZC113" s="1"/>
      <c r="ZD113" s="1"/>
      <c r="ZE113" s="1"/>
      <c r="ZF113" s="1"/>
      <c r="ZG113" s="1"/>
      <c r="ZH113" s="1"/>
      <c r="ZI113" s="1"/>
      <c r="ZJ113" s="1"/>
      <c r="ZK113" s="1"/>
      <c r="ZL113" s="1"/>
      <c r="ZM113" s="1"/>
      <c r="ZN113" s="1"/>
      <c r="ZO113" s="1"/>
      <c r="ZP113" s="1"/>
      <c r="ZQ113" s="1"/>
      <c r="ZR113" s="1"/>
      <c r="ZS113" s="1"/>
      <c r="ZT113" s="1"/>
      <c r="ZU113" s="1"/>
      <c r="ZV113" s="1"/>
      <c r="ZW113" s="1"/>
      <c r="ZX113" s="1"/>
      <c r="ZY113" s="1"/>
      <c r="ZZ113" s="1"/>
      <c r="AAA113" s="1"/>
      <c r="AAB113" s="1"/>
      <c r="AAC113" s="1"/>
      <c r="AAD113" s="1"/>
      <c r="AAE113" s="1"/>
      <c r="AAF113" s="1"/>
      <c r="AAG113" s="1"/>
      <c r="AAH113" s="1"/>
      <c r="AAI113" s="1"/>
      <c r="AAJ113" s="1"/>
      <c r="AAK113" s="1"/>
      <c r="AAL113" s="1"/>
      <c r="AAM113" s="1"/>
      <c r="AAN113" s="1"/>
      <c r="AAO113" s="1"/>
      <c r="AAP113" s="1"/>
      <c r="AAQ113" s="1"/>
      <c r="AAR113" s="1"/>
      <c r="AAS113" s="1"/>
      <c r="AAT113" s="1"/>
      <c r="AAU113" s="1"/>
      <c r="AAV113" s="1"/>
      <c r="AAW113" s="1"/>
      <c r="AAX113" s="1"/>
      <c r="AAY113" s="1"/>
      <c r="AAZ113" s="1"/>
      <c r="ABA113" s="1"/>
      <c r="ABB113" s="1"/>
      <c r="ABC113" s="1"/>
      <c r="ABD113" s="1"/>
      <c r="ABE113" s="1"/>
      <c r="ABF113" s="1"/>
      <c r="ABG113" s="1"/>
      <c r="ABH113" s="1"/>
      <c r="ABI113" s="1"/>
      <c r="ABJ113" s="1"/>
      <c r="ABK113" s="1"/>
      <c r="ABL113" s="1"/>
      <c r="ABM113" s="1"/>
      <c r="ABN113" s="1"/>
      <c r="ABO113" s="1"/>
      <c r="ABP113" s="1"/>
      <c r="ABQ113" s="1"/>
      <c r="ABR113" s="1"/>
      <c r="ABS113" s="1"/>
      <c r="ABT113" s="1"/>
      <c r="ABU113" s="1"/>
      <c r="ABV113" s="1"/>
      <c r="ABW113" s="1"/>
      <c r="ABX113" s="1"/>
      <c r="ABY113" s="1"/>
      <c r="ABZ113" s="1"/>
      <c r="ACA113" s="1"/>
      <c r="ACB113" s="1"/>
      <c r="ACC113" s="1"/>
      <c r="ACD113" s="1"/>
      <c r="ACE113" s="1"/>
      <c r="ACF113" s="1"/>
      <c r="ACG113" s="1"/>
      <c r="ACH113" s="1"/>
      <c r="ACI113" s="1"/>
      <c r="ACJ113" s="1"/>
      <c r="ACK113" s="1"/>
      <c r="ACL113" s="1"/>
      <c r="ACM113" s="1"/>
      <c r="ACN113" s="1"/>
      <c r="ACO113" s="1"/>
      <c r="ACP113" s="1"/>
      <c r="ACQ113" s="1"/>
      <c r="ACR113" s="1"/>
      <c r="ACS113" s="1"/>
      <c r="ACT113" s="1"/>
      <c r="ACU113" s="1"/>
      <c r="ACV113" s="1"/>
      <c r="ACW113" s="1"/>
      <c r="ACX113" s="1"/>
      <c r="ACY113" s="1"/>
      <c r="ACZ113" s="1"/>
      <c r="ADA113" s="1"/>
      <c r="ADB113" s="1"/>
      <c r="ADC113" s="1"/>
      <c r="ADD113" s="1"/>
      <c r="ADE113" s="1"/>
      <c r="ADF113" s="1"/>
      <c r="ADG113" s="1"/>
      <c r="ADH113" s="1"/>
      <c r="ADI113" s="1"/>
      <c r="ADJ113" s="1"/>
      <c r="ADK113" s="1"/>
      <c r="ADL113" s="1"/>
      <c r="ADM113" s="1"/>
      <c r="ADN113" s="1"/>
      <c r="ADO113" s="1"/>
      <c r="ADP113" s="1"/>
      <c r="ADQ113" s="1"/>
      <c r="ADR113" s="1"/>
      <c r="ADS113" s="1"/>
      <c r="ADT113" s="1"/>
      <c r="ADU113" s="1"/>
      <c r="ADV113" s="1"/>
      <c r="ADW113" s="1"/>
      <c r="ADX113" s="1"/>
      <c r="ADY113" s="1"/>
      <c r="ADZ113" s="1"/>
      <c r="AEA113" s="1"/>
      <c r="AEB113" s="1"/>
      <c r="AEC113" s="1"/>
      <c r="AED113" s="1"/>
      <c r="AEE113" s="1"/>
      <c r="AEF113" s="1"/>
      <c r="AEG113" s="1"/>
      <c r="AEH113" s="1"/>
      <c r="AEI113" s="1"/>
      <c r="AEJ113" s="1"/>
      <c r="AEK113" s="1"/>
      <c r="AEL113" s="1"/>
      <c r="AEM113" s="1"/>
      <c r="AEN113" s="1"/>
      <c r="AEO113" s="1"/>
      <c r="AEP113" s="1"/>
      <c r="AEQ113" s="1"/>
      <c r="AER113" s="1"/>
      <c r="AES113" s="1"/>
      <c r="AET113" s="1"/>
      <c r="AEU113" s="1"/>
      <c r="AEV113" s="1"/>
      <c r="AEW113" s="1"/>
      <c r="AEX113" s="1"/>
      <c r="AEY113" s="1"/>
      <c r="AEZ113" s="1"/>
      <c r="AFA113" s="1"/>
      <c r="AFB113" s="1"/>
      <c r="AFC113" s="1"/>
      <c r="AFD113" s="1"/>
      <c r="AFE113" s="1"/>
      <c r="AFF113" s="1"/>
      <c r="AFG113" s="1"/>
      <c r="AFH113" s="1"/>
      <c r="AFI113" s="1"/>
      <c r="AFJ113" s="1"/>
      <c r="AFK113" s="1"/>
      <c r="AFL113" s="1"/>
      <c r="AFM113" s="1"/>
      <c r="AFN113" s="1"/>
      <c r="AFO113" s="1"/>
      <c r="AFP113" s="1"/>
      <c r="AFQ113" s="1"/>
      <c r="AFR113" s="1"/>
      <c r="AFS113" s="1"/>
      <c r="AFT113" s="1"/>
      <c r="AFU113" s="1"/>
      <c r="AFV113" s="1"/>
      <c r="AFW113" s="1"/>
      <c r="AFX113" s="1"/>
      <c r="AFY113" s="1"/>
      <c r="AFZ113" s="1"/>
      <c r="AGA113" s="1"/>
      <c r="AGB113" s="1"/>
      <c r="AGC113" s="1"/>
      <c r="AGD113" s="1"/>
      <c r="AGE113" s="1"/>
      <c r="AGF113" s="1"/>
      <c r="AGG113" s="1"/>
      <c r="AGH113" s="1"/>
      <c r="AGI113" s="1"/>
      <c r="AGJ113" s="1"/>
      <c r="AGK113" s="1"/>
      <c r="AGL113" s="1"/>
      <c r="AGM113" s="1"/>
      <c r="AGN113" s="1"/>
      <c r="AGO113" s="1"/>
      <c r="AGP113" s="1"/>
      <c r="AGQ113" s="1"/>
      <c r="AGR113" s="1"/>
      <c r="AGS113" s="1"/>
      <c r="AGT113" s="1"/>
      <c r="AGU113" s="1"/>
      <c r="AGV113" s="1"/>
      <c r="AGW113" s="1"/>
      <c r="AGX113" s="1"/>
      <c r="AGY113" s="1"/>
      <c r="AGZ113" s="1"/>
      <c r="AHA113" s="1"/>
      <c r="AHB113" s="1"/>
      <c r="AHC113" s="1"/>
      <c r="AHD113" s="1"/>
      <c r="AHE113" s="1"/>
      <c r="AHF113" s="1"/>
      <c r="AHG113" s="1"/>
      <c r="AHH113" s="1"/>
      <c r="AHI113" s="1"/>
      <c r="AHJ113" s="1"/>
      <c r="AHK113" s="1"/>
      <c r="AHL113" s="1"/>
      <c r="AHM113" s="1"/>
      <c r="AHN113" s="1"/>
      <c r="AHO113" s="1"/>
      <c r="AHP113" s="1"/>
      <c r="AHQ113" s="1"/>
      <c r="AHR113" s="1"/>
      <c r="AHS113" s="1"/>
      <c r="AHT113" s="1"/>
      <c r="AHU113" s="1"/>
      <c r="AHV113" s="1"/>
      <c r="AHW113" s="1"/>
      <c r="AHX113" s="1"/>
      <c r="AHY113" s="1"/>
      <c r="AHZ113" s="1"/>
      <c r="AIA113" s="1"/>
      <c r="AIB113" s="1"/>
      <c r="AIC113" s="1"/>
      <c r="AID113" s="1"/>
      <c r="AIE113" s="1"/>
      <c r="AIF113" s="1"/>
      <c r="AIG113" s="1"/>
      <c r="AIH113" s="1"/>
      <c r="AII113" s="1"/>
      <c r="AIJ113" s="1"/>
      <c r="AIK113" s="1"/>
      <c r="AIL113" s="1"/>
      <c r="AIM113" s="1"/>
      <c r="AIN113" s="1"/>
      <c r="AIO113" s="1"/>
      <c r="AIP113" s="1"/>
      <c r="AIQ113" s="1"/>
      <c r="AIR113" s="1"/>
      <c r="AIS113" s="1"/>
      <c r="AIT113" s="1"/>
      <c r="AIU113" s="1"/>
      <c r="AIV113" s="1"/>
      <c r="AIW113" s="1"/>
      <c r="AIX113" s="1"/>
      <c r="AIY113" s="1"/>
      <c r="AIZ113" s="1"/>
      <c r="AJA113" s="1"/>
      <c r="AJB113" s="1"/>
      <c r="AJC113" s="1"/>
      <c r="AJD113" s="1"/>
      <c r="AJE113" s="1"/>
      <c r="AJF113" s="1"/>
      <c r="AJG113" s="1"/>
      <c r="AJH113" s="1"/>
      <c r="AJI113" s="1"/>
      <c r="AJJ113" s="1"/>
      <c r="AJK113" s="1"/>
      <c r="AJL113" s="1"/>
      <c r="AJM113" s="1"/>
      <c r="AJN113" s="1"/>
      <c r="AJO113" s="1"/>
      <c r="AJP113" s="1"/>
      <c r="AJQ113" s="1"/>
      <c r="AJR113" s="1"/>
      <c r="AJS113" s="1"/>
      <c r="AJT113" s="1"/>
      <c r="AJU113" s="1"/>
      <c r="AJV113" s="1"/>
      <c r="AJW113" s="1"/>
      <c r="AJX113" s="1"/>
      <c r="AJY113" s="1"/>
      <c r="AJZ113" s="1"/>
      <c r="AKA113" s="1"/>
      <c r="AKB113" s="1"/>
      <c r="AKC113" s="1"/>
      <c r="AKD113" s="1"/>
      <c r="AKE113" s="1"/>
      <c r="AKF113" s="1"/>
      <c r="AKG113" s="1"/>
      <c r="AKH113" s="1"/>
      <c r="AKI113" s="1"/>
      <c r="AKJ113" s="1"/>
      <c r="AKK113" s="1"/>
      <c r="AKL113" s="1"/>
      <c r="AKM113" s="1"/>
      <c r="AKN113" s="1"/>
      <c r="AKO113" s="1"/>
      <c r="AKP113" s="1"/>
      <c r="AKQ113" s="1"/>
      <c r="AKR113" s="1"/>
      <c r="AKS113" s="1"/>
      <c r="AKT113" s="1"/>
      <c r="AKU113" s="1"/>
      <c r="AKV113" s="1"/>
      <c r="AKW113" s="1"/>
      <c r="AKX113" s="1"/>
      <c r="AKY113" s="1"/>
      <c r="AKZ113" s="1"/>
      <c r="ALA113" s="1"/>
      <c r="ALB113" s="1"/>
      <c r="ALC113" s="1"/>
      <c r="ALD113" s="1"/>
      <c r="ALE113" s="1"/>
      <c r="ALF113" s="1"/>
      <c r="ALG113" s="1"/>
      <c r="ALH113" s="1"/>
      <c r="ALI113" s="1"/>
      <c r="ALJ113" s="1"/>
      <c r="ALK113" s="1"/>
      <c r="ALL113" s="1"/>
      <c r="ALM113" s="1"/>
      <c r="ALN113" s="1"/>
      <c r="ALO113" s="1"/>
      <c r="ALP113" s="1"/>
      <c r="ALQ113" s="1"/>
      <c r="ALR113" s="1"/>
      <c r="ALS113" s="1"/>
      <c r="ALT113" s="1"/>
      <c r="ALU113" s="1"/>
      <c r="ALV113" s="1"/>
      <c r="ALW113" s="1"/>
      <c r="ALX113" s="1"/>
      <c r="ALY113" s="1"/>
      <c r="ALZ113" s="1"/>
      <c r="AMA113" s="1"/>
      <c r="AMB113" s="1"/>
      <c r="AMC113" s="1"/>
      <c r="AMD113" s="1"/>
      <c r="AME113" s="1"/>
      <c r="AMF113" s="1"/>
      <c r="AMG113" s="1"/>
      <c r="AMH113" s="1"/>
      <c r="AMI113" s="1"/>
      <c r="AMJ113" s="1"/>
      <c r="AMK113" s="1"/>
      <c r="AML113" s="1"/>
      <c r="AMM113" s="1"/>
      <c r="AMN113" s="1"/>
    </row>
    <row r="114" spans="1:1029" x14ac:dyDescent="0.2">
      <c r="A114" s="3" t="str">
        <f t="shared" si="222"/>
        <v>hrh1_human_3RZE</v>
      </c>
      <c r="B114" s="3" t="s">
        <v>278</v>
      </c>
      <c r="C114" s="3" t="s">
        <v>73</v>
      </c>
      <c r="D114" s="3" t="str">
        <f>IFERROR(MID(VLOOKUP($B114,Seqs!$A:$B,2,0),E114,1),"")</f>
        <v>V</v>
      </c>
      <c r="E114" s="3">
        <v>33</v>
      </c>
      <c r="F114" s="3" t="str">
        <f>IFERROR(MID(VLOOKUP($B114,Seqs!$A:$B,2,0),G114,1),"")</f>
        <v>E</v>
      </c>
      <c r="G114" s="3">
        <v>55</v>
      </c>
      <c r="H114" s="3" t="str">
        <f>IFERROR(MID(VLOOKUP($B114,Seqs!$A:$B,2,0),I114,1),"")</f>
        <v>R</v>
      </c>
      <c r="I114" s="23">
        <v>56</v>
      </c>
      <c r="J114" s="3" t="str">
        <f>IFERROR(MID(VLOOKUP($B114,Seqs!$A:$B,2,0),K114,1),"")</f>
        <v>H</v>
      </c>
      <c r="K114" s="23">
        <v>59</v>
      </c>
      <c r="L114" s="3" t="str">
        <f>IFERROR(MID(VLOOKUP($B114,Seqs!$A:$B,2,0),M114,1),"")</f>
        <v>T</v>
      </c>
      <c r="M114" s="3">
        <v>60</v>
      </c>
      <c r="N114" s="3" t="str">
        <f>IFERROR(MID(VLOOKUP($B114,Seqs!$A:$B,2,0),O114,1),"")</f>
        <v>M</v>
      </c>
      <c r="O114" s="3">
        <v>90</v>
      </c>
      <c r="P114" s="3" t="str">
        <f>IFERROR(MID(VLOOKUP($B114,Seqs!$A:$B,2,0),Q114,1),"")</f>
        <v>K</v>
      </c>
      <c r="Q114" s="3">
        <v>92</v>
      </c>
      <c r="R114" s="3" t="str">
        <f>IFERROR(MID(VLOOKUP($B114,Seqs!$A:$B,2,0),S114,1),"")</f>
        <v>L</v>
      </c>
      <c r="S114" s="3">
        <v>95</v>
      </c>
      <c r="T114" s="3" t="str">
        <f>IFERROR(MID(VLOOKUP($B114,Seqs!$A:$B,2,0),U114,1),"")</f>
        <v>G</v>
      </c>
      <c r="U114" s="3">
        <v>96</v>
      </c>
      <c r="V114" s="3" t="str">
        <f>IFERROR(MID(VLOOKUP($B114,Seqs!$A:$B,2,0),W114,1),"")</f>
        <v>Q</v>
      </c>
      <c r="W114" s="3">
        <v>131</v>
      </c>
      <c r="X114" s="3" t="str">
        <f>IFERROR(MID(VLOOKUP($B114,Seqs!$A:$B,2,0),Y114,1),"")</f>
        <v/>
      </c>
      <c r="Y114" s="3" t="s">
        <v>23</v>
      </c>
      <c r="Z114" s="3" t="str">
        <f>IFERROR(MID(VLOOKUP($B114,Seqs!$A:$B,2,0),AA114,1),"")</f>
        <v/>
      </c>
      <c r="AA114" s="3" t="s">
        <v>23</v>
      </c>
      <c r="AB114" s="3" t="str">
        <f>IFERROR(MID(VLOOKUP($B114,Seqs!$A:$B,2,0),AC114,1),"")</f>
        <v>T</v>
      </c>
      <c r="AC114" s="9">
        <v>140</v>
      </c>
      <c r="AD114" s="3" t="str">
        <f>IFERROR(MID(VLOOKUP($B114,Seqs!$A:$B,2,0),AE114,1),"")</f>
        <v>G</v>
      </c>
      <c r="AE114" s="3">
        <v>164</v>
      </c>
      <c r="AF114" s="3" t="str">
        <f>IFERROR(MID(VLOOKUP($B114,Seqs!$A:$B,2,0),AG114,1),"")</f>
        <v>C</v>
      </c>
      <c r="AG114" s="3">
        <v>180</v>
      </c>
      <c r="AH114" s="3" t="str">
        <f>IFERROR(MID(VLOOKUP($B114,Seqs!$A:$B,2,0),AI114,1),"")</f>
        <v>T</v>
      </c>
      <c r="AI114" s="3">
        <v>182</v>
      </c>
      <c r="AJ114" s="3" t="str">
        <f>IFERROR(MID(VLOOKUP($B114,Seqs!$A:$B,2,0),AK114,1),"")</f>
        <v>V</v>
      </c>
      <c r="AK114" s="3">
        <v>187</v>
      </c>
      <c r="AL114" s="3" t="str">
        <f>IFERROR(MID(VLOOKUP($B114,Seqs!$A:$B,2,0),AM114,1),"")</f>
        <v>V</v>
      </c>
      <c r="AM114" s="3">
        <v>217</v>
      </c>
      <c r="AN114" s="3" t="str">
        <f>IFERROR(MID(VLOOKUP($B114,Seqs!$A:$B,2,0),AO114,1),"")</f>
        <v>N</v>
      </c>
      <c r="AO114" s="3">
        <v>408</v>
      </c>
      <c r="AP114" s="3" t="str">
        <f>IFERROR(MID(VLOOKUP($B114,Seqs!$A:$B,2,0),AQ114,1),"")</f>
        <v>C</v>
      </c>
      <c r="AQ114" s="3">
        <v>441</v>
      </c>
      <c r="AR114" s="3" t="str">
        <f>IFERROR(MID(VLOOKUP($B114,Seqs!$A:$B,2,0),AS114,1),"")</f>
        <v>N</v>
      </c>
      <c r="AS114" s="3">
        <v>446</v>
      </c>
      <c r="AT114" s="3" t="str">
        <f>IFERROR(MID(VLOOKUP($B114,Seqs!$A:$B,2,0),AU114,1),"")</f>
        <v>C</v>
      </c>
      <c r="AU114" s="3">
        <v>471</v>
      </c>
      <c r="AV114" s="3" t="str">
        <f>IFERROR(MID(VLOOKUP($B114,Seqs!$A:$B,2,0),AW114,1),"")</f>
        <v>N</v>
      </c>
      <c r="AW114" s="3">
        <v>472</v>
      </c>
      <c r="AX114" s="3" t="str">
        <f>IFERROR(MID(VLOOKUP($B114,Seqs!$A:$B,2,0),AY114,1),"")</f>
        <v>H</v>
      </c>
      <c r="AY114" s="3">
        <v>484</v>
      </c>
      <c r="AZ114" s="79" t="str">
        <f>VLOOKUP(B114,Classification!A:D,2,0)</f>
        <v>A</v>
      </c>
      <c r="BA114" s="97" t="str">
        <f>VLOOKUP(B114,Classification!A:D,4,0)</f>
        <v>Histamine</v>
      </c>
      <c r="BB114" s="27" t="b">
        <f t="shared" si="223"/>
        <v>1</v>
      </c>
      <c r="BC114" s="23">
        <f t="shared" si="473"/>
        <v>231</v>
      </c>
      <c r="BD114" s="16" t="s">
        <v>1383</v>
      </c>
      <c r="BE114" s="3" t="s">
        <v>1381</v>
      </c>
      <c r="BF114" s="50" t="s">
        <v>1384</v>
      </c>
      <c r="BG114" s="50" t="s">
        <v>1384</v>
      </c>
      <c r="BH114" s="1"/>
      <c r="BI114" s="72" t="s">
        <v>1293</v>
      </c>
      <c r="BJ114" s="58" t="s">
        <v>1293</v>
      </c>
      <c r="BK114" s="58" t="s">
        <v>1293</v>
      </c>
      <c r="BL114" s="58" t="s">
        <v>1293</v>
      </c>
      <c r="BM114" s="58" t="s">
        <v>1293</v>
      </c>
      <c r="BN114" s="58" t="s">
        <v>1293</v>
      </c>
      <c r="BO114" s="58" t="s">
        <v>1293</v>
      </c>
      <c r="BP114" s="58" t="s">
        <v>1293</v>
      </c>
      <c r="BQ114" s="58" t="s">
        <v>1293</v>
      </c>
      <c r="BR114" s="58" t="s">
        <v>1293</v>
      </c>
      <c r="BS114" s="58" t="s">
        <v>1293</v>
      </c>
      <c r="BT114" s="58" t="s">
        <v>1293</v>
      </c>
      <c r="BU114" s="72">
        <f t="shared" si="474"/>
        <v>33</v>
      </c>
      <c r="BV114" s="73">
        <f t="shared" si="475"/>
        <v>56</v>
      </c>
      <c r="BW114" s="74">
        <f t="shared" si="476"/>
        <v>60</v>
      </c>
      <c r="BX114" s="73">
        <f t="shared" si="477"/>
        <v>92</v>
      </c>
      <c r="BY114" s="74">
        <f t="shared" si="478"/>
        <v>96</v>
      </c>
      <c r="BZ114" s="73" t="str">
        <f t="shared" si="479"/>
        <v>-</v>
      </c>
      <c r="CA114" s="74">
        <f t="shared" si="480"/>
        <v>140</v>
      </c>
      <c r="CB114" s="73">
        <f t="shared" si="481"/>
        <v>180</v>
      </c>
      <c r="CC114" s="74">
        <f t="shared" si="482"/>
        <v>187</v>
      </c>
      <c r="CD114" s="73">
        <f t="shared" si="483"/>
        <v>408</v>
      </c>
      <c r="CE114" s="74">
        <f t="shared" si="484"/>
        <v>446</v>
      </c>
      <c r="CF114" s="73">
        <f t="shared" si="485"/>
        <v>472</v>
      </c>
      <c r="CG114" s="72">
        <f t="shared" si="486"/>
        <v>55</v>
      </c>
      <c r="CH114" s="73">
        <f t="shared" si="487"/>
        <v>59</v>
      </c>
      <c r="CI114" s="74">
        <f t="shared" si="488"/>
        <v>90</v>
      </c>
      <c r="CJ114" s="74">
        <f t="shared" si="489"/>
        <v>95</v>
      </c>
      <c r="CK114" s="74">
        <f t="shared" si="490"/>
        <v>131</v>
      </c>
      <c r="CL114" s="74" t="str">
        <f t="shared" si="491"/>
        <v>-</v>
      </c>
      <c r="CM114" s="74">
        <f t="shared" si="492"/>
        <v>164</v>
      </c>
      <c r="CN114" s="74">
        <f t="shared" si="493"/>
        <v>182</v>
      </c>
      <c r="CO114" s="74">
        <f t="shared" si="494"/>
        <v>217</v>
      </c>
      <c r="CP114" s="74">
        <f t="shared" si="495"/>
        <v>441</v>
      </c>
      <c r="CQ114" s="74">
        <f t="shared" si="496"/>
        <v>471</v>
      </c>
      <c r="CR114" s="74">
        <f t="shared" si="497"/>
        <v>484</v>
      </c>
      <c r="CS114" s="23">
        <f t="shared" si="498"/>
        <v>1</v>
      </c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  <c r="OK114" s="1"/>
      <c r="OL114" s="1"/>
      <c r="OM114" s="1"/>
      <c r="ON114" s="1"/>
      <c r="OO114" s="1"/>
      <c r="OP114" s="1"/>
      <c r="OQ114" s="1"/>
      <c r="OR114" s="1"/>
      <c r="OS114" s="1"/>
      <c r="OT114" s="1"/>
      <c r="OU114" s="1"/>
      <c r="OV114" s="1"/>
      <c r="OW114" s="1"/>
      <c r="OX114" s="1"/>
      <c r="OY114" s="1"/>
      <c r="OZ114" s="1"/>
      <c r="PA114" s="1"/>
      <c r="PB114" s="1"/>
      <c r="PC114" s="1"/>
      <c r="PD114" s="1"/>
      <c r="PE114" s="1"/>
      <c r="PF114" s="1"/>
      <c r="PG114" s="1"/>
      <c r="PH114" s="1"/>
      <c r="PI114" s="1"/>
      <c r="PJ114" s="1"/>
      <c r="PK114" s="1"/>
      <c r="PL114" s="1"/>
      <c r="PM114" s="1"/>
      <c r="PN114" s="1"/>
      <c r="PO114" s="1"/>
      <c r="PP114" s="1"/>
      <c r="PQ114" s="1"/>
      <c r="PR114" s="1"/>
      <c r="PS114" s="1"/>
      <c r="PT114" s="1"/>
      <c r="PU114" s="1"/>
      <c r="PV114" s="1"/>
      <c r="PW114" s="1"/>
      <c r="PX114" s="1"/>
      <c r="PY114" s="1"/>
      <c r="PZ114" s="1"/>
      <c r="QA114" s="1"/>
      <c r="QB114" s="1"/>
      <c r="QC114" s="1"/>
      <c r="QD114" s="1"/>
      <c r="QE114" s="1"/>
      <c r="QF114" s="1"/>
      <c r="QG114" s="1"/>
      <c r="QH114" s="1"/>
      <c r="QI114" s="1"/>
      <c r="QJ114" s="1"/>
      <c r="QK114" s="1"/>
      <c r="QL114" s="1"/>
      <c r="QM114" s="1"/>
      <c r="QN114" s="1"/>
      <c r="QO114" s="1"/>
      <c r="QP114" s="1"/>
      <c r="QQ114" s="1"/>
      <c r="QR114" s="1"/>
      <c r="QS114" s="1"/>
      <c r="QT114" s="1"/>
      <c r="QU114" s="1"/>
      <c r="QV114" s="1"/>
      <c r="QW114" s="1"/>
      <c r="QX114" s="1"/>
      <c r="QY114" s="1"/>
      <c r="QZ114" s="1"/>
      <c r="RA114" s="1"/>
      <c r="RB114" s="1"/>
      <c r="RC114" s="1"/>
      <c r="RD114" s="1"/>
      <c r="RE114" s="1"/>
      <c r="RF114" s="1"/>
      <c r="RG114" s="1"/>
      <c r="RH114" s="1"/>
      <c r="RI114" s="1"/>
      <c r="RJ114" s="1"/>
      <c r="RK114" s="1"/>
      <c r="RL114" s="1"/>
      <c r="RM114" s="1"/>
      <c r="RN114" s="1"/>
      <c r="RO114" s="1"/>
      <c r="RP114" s="1"/>
      <c r="RQ114" s="1"/>
      <c r="RR114" s="1"/>
      <c r="RS114" s="1"/>
      <c r="RT114" s="1"/>
      <c r="RU114" s="1"/>
      <c r="RV114" s="1"/>
      <c r="RW114" s="1"/>
      <c r="RX114" s="1"/>
      <c r="RY114" s="1"/>
      <c r="RZ114" s="1"/>
      <c r="SA114" s="1"/>
      <c r="SB114" s="1"/>
      <c r="SC114" s="1"/>
      <c r="SD114" s="1"/>
      <c r="SE114" s="1"/>
      <c r="SF114" s="1"/>
      <c r="SG114" s="1"/>
      <c r="SH114" s="1"/>
      <c r="SI114" s="1"/>
      <c r="SJ114" s="1"/>
      <c r="SK114" s="1"/>
      <c r="SL114" s="1"/>
      <c r="SM114" s="1"/>
      <c r="SN114" s="1"/>
      <c r="SO114" s="1"/>
      <c r="SP114" s="1"/>
      <c r="SQ114" s="1"/>
      <c r="SR114" s="1"/>
      <c r="SS114" s="1"/>
      <c r="ST114" s="1"/>
      <c r="SU114" s="1"/>
      <c r="SV114" s="1"/>
      <c r="SW114" s="1"/>
      <c r="SX114" s="1"/>
      <c r="SY114" s="1"/>
      <c r="SZ114" s="1"/>
      <c r="TA114" s="1"/>
      <c r="TB114" s="1"/>
      <c r="TC114" s="1"/>
      <c r="TD114" s="1"/>
      <c r="TE114" s="1"/>
      <c r="TF114" s="1"/>
      <c r="TG114" s="1"/>
      <c r="TH114" s="1"/>
      <c r="TI114" s="1"/>
      <c r="TJ114" s="1"/>
      <c r="TK114" s="1"/>
      <c r="TL114" s="1"/>
      <c r="TM114" s="1"/>
      <c r="TN114" s="1"/>
      <c r="TO114" s="1"/>
      <c r="TP114" s="1"/>
      <c r="TQ114" s="1"/>
      <c r="TR114" s="1"/>
      <c r="TS114" s="1"/>
      <c r="TT114" s="1"/>
      <c r="TU114" s="1"/>
      <c r="TV114" s="1"/>
      <c r="TW114" s="1"/>
      <c r="TX114" s="1"/>
      <c r="TY114" s="1"/>
      <c r="TZ114" s="1"/>
      <c r="UA114" s="1"/>
      <c r="UB114" s="1"/>
      <c r="UC114" s="1"/>
      <c r="UD114" s="1"/>
      <c r="UE114" s="1"/>
      <c r="UF114" s="1"/>
      <c r="UG114" s="1"/>
      <c r="UH114" s="1"/>
      <c r="UI114" s="1"/>
      <c r="UJ114" s="1"/>
      <c r="UK114" s="1"/>
      <c r="UL114" s="1"/>
      <c r="UM114" s="1"/>
      <c r="UN114" s="1"/>
      <c r="UO114" s="1"/>
      <c r="UP114" s="1"/>
      <c r="UQ114" s="1"/>
      <c r="UR114" s="1"/>
      <c r="US114" s="1"/>
      <c r="UT114" s="1"/>
      <c r="UU114" s="1"/>
      <c r="UV114" s="1"/>
      <c r="UW114" s="1"/>
      <c r="UX114" s="1"/>
      <c r="UY114" s="1"/>
      <c r="UZ114" s="1"/>
      <c r="VA114" s="1"/>
      <c r="VB114" s="1"/>
      <c r="VC114" s="1"/>
      <c r="VD114" s="1"/>
      <c r="VE114" s="1"/>
      <c r="VF114" s="1"/>
      <c r="VG114" s="1"/>
      <c r="VH114" s="1"/>
      <c r="VI114" s="1"/>
      <c r="VJ114" s="1"/>
      <c r="VK114" s="1"/>
      <c r="VL114" s="1"/>
      <c r="VM114" s="1"/>
      <c r="VN114" s="1"/>
      <c r="VO114" s="1"/>
      <c r="VP114" s="1"/>
      <c r="VQ114" s="1"/>
      <c r="VR114" s="1"/>
      <c r="VS114" s="1"/>
      <c r="VT114" s="1"/>
      <c r="VU114" s="1"/>
      <c r="VV114" s="1"/>
      <c r="VW114" s="1"/>
      <c r="VX114" s="1"/>
      <c r="VY114" s="1"/>
      <c r="VZ114" s="1"/>
      <c r="WA114" s="1"/>
      <c r="WB114" s="1"/>
      <c r="WC114" s="1"/>
      <c r="WD114" s="1"/>
      <c r="WE114" s="1"/>
      <c r="WF114" s="1"/>
      <c r="WG114" s="1"/>
      <c r="WH114" s="1"/>
      <c r="WI114" s="1"/>
      <c r="WJ114" s="1"/>
      <c r="WK114" s="1"/>
      <c r="WL114" s="1"/>
      <c r="WM114" s="1"/>
      <c r="WN114" s="1"/>
      <c r="WO114" s="1"/>
      <c r="WP114" s="1"/>
      <c r="WQ114" s="1"/>
      <c r="WR114" s="1"/>
      <c r="WS114" s="1"/>
      <c r="WT114" s="1"/>
      <c r="WU114" s="1"/>
      <c r="WV114" s="1"/>
      <c r="WW114" s="1"/>
      <c r="WX114" s="1"/>
      <c r="WY114" s="1"/>
      <c r="WZ114" s="1"/>
      <c r="XA114" s="1"/>
      <c r="XB114" s="1"/>
      <c r="XC114" s="1"/>
      <c r="XD114" s="1"/>
      <c r="XE114" s="1"/>
      <c r="XF114" s="1"/>
      <c r="XG114" s="1"/>
      <c r="XH114" s="1"/>
      <c r="XI114" s="1"/>
      <c r="XJ114" s="1"/>
      <c r="XK114" s="1"/>
      <c r="XL114" s="1"/>
      <c r="XM114" s="1"/>
      <c r="XN114" s="1"/>
      <c r="XO114" s="1"/>
      <c r="XP114" s="1"/>
      <c r="XQ114" s="1"/>
      <c r="XR114" s="1"/>
      <c r="XS114" s="1"/>
      <c r="XT114" s="1"/>
      <c r="XU114" s="1"/>
      <c r="XV114" s="1"/>
      <c r="XW114" s="1"/>
      <c r="XX114" s="1"/>
      <c r="XY114" s="1"/>
      <c r="XZ114" s="1"/>
      <c r="YA114" s="1"/>
      <c r="YB114" s="1"/>
      <c r="YC114" s="1"/>
      <c r="YD114" s="1"/>
      <c r="YE114" s="1"/>
      <c r="YF114" s="1"/>
      <c r="YG114" s="1"/>
      <c r="YH114" s="1"/>
      <c r="YI114" s="1"/>
      <c r="YJ114" s="1"/>
      <c r="YK114" s="1"/>
      <c r="YL114" s="1"/>
      <c r="YM114" s="1"/>
      <c r="YN114" s="1"/>
      <c r="YO114" s="1"/>
      <c r="YP114" s="1"/>
      <c r="YQ114" s="1"/>
      <c r="YR114" s="1"/>
      <c r="YS114" s="1"/>
      <c r="YT114" s="1"/>
      <c r="YU114" s="1"/>
      <c r="YV114" s="1"/>
      <c r="YW114" s="1"/>
      <c r="YX114" s="1"/>
      <c r="YY114" s="1"/>
      <c r="YZ114" s="1"/>
      <c r="ZA114" s="1"/>
      <c r="ZB114" s="1"/>
      <c r="ZC114" s="1"/>
      <c r="ZD114" s="1"/>
      <c r="ZE114" s="1"/>
      <c r="ZF114" s="1"/>
      <c r="ZG114" s="1"/>
      <c r="ZH114" s="1"/>
      <c r="ZI114" s="1"/>
      <c r="ZJ114" s="1"/>
      <c r="ZK114" s="1"/>
      <c r="ZL114" s="1"/>
      <c r="ZM114" s="1"/>
      <c r="ZN114" s="1"/>
      <c r="ZO114" s="1"/>
      <c r="ZP114" s="1"/>
      <c r="ZQ114" s="1"/>
      <c r="ZR114" s="1"/>
      <c r="ZS114" s="1"/>
      <c r="ZT114" s="1"/>
      <c r="ZU114" s="1"/>
      <c r="ZV114" s="1"/>
      <c r="ZW114" s="1"/>
      <c r="ZX114" s="1"/>
      <c r="ZY114" s="1"/>
      <c r="ZZ114" s="1"/>
      <c r="AAA114" s="1"/>
      <c r="AAB114" s="1"/>
      <c r="AAC114" s="1"/>
      <c r="AAD114" s="1"/>
      <c r="AAE114" s="1"/>
      <c r="AAF114" s="1"/>
      <c r="AAG114" s="1"/>
      <c r="AAH114" s="1"/>
      <c r="AAI114" s="1"/>
      <c r="AAJ114" s="1"/>
      <c r="AAK114" s="1"/>
      <c r="AAL114" s="1"/>
      <c r="AAM114" s="1"/>
      <c r="AAN114" s="1"/>
      <c r="AAO114" s="1"/>
      <c r="AAP114" s="1"/>
      <c r="AAQ114" s="1"/>
      <c r="AAR114" s="1"/>
      <c r="AAS114" s="1"/>
      <c r="AAT114" s="1"/>
      <c r="AAU114" s="1"/>
      <c r="AAV114" s="1"/>
      <c r="AAW114" s="1"/>
      <c r="AAX114" s="1"/>
      <c r="AAY114" s="1"/>
      <c r="AAZ114" s="1"/>
      <c r="ABA114" s="1"/>
      <c r="ABB114" s="1"/>
      <c r="ABC114" s="1"/>
      <c r="ABD114" s="1"/>
      <c r="ABE114" s="1"/>
      <c r="ABF114" s="1"/>
      <c r="ABG114" s="1"/>
      <c r="ABH114" s="1"/>
      <c r="ABI114" s="1"/>
      <c r="ABJ114" s="1"/>
      <c r="ABK114" s="1"/>
      <c r="ABL114" s="1"/>
      <c r="ABM114" s="1"/>
      <c r="ABN114" s="1"/>
      <c r="ABO114" s="1"/>
      <c r="ABP114" s="1"/>
      <c r="ABQ114" s="1"/>
      <c r="ABR114" s="1"/>
      <c r="ABS114" s="1"/>
      <c r="ABT114" s="1"/>
      <c r="ABU114" s="1"/>
      <c r="ABV114" s="1"/>
      <c r="ABW114" s="1"/>
      <c r="ABX114" s="1"/>
      <c r="ABY114" s="1"/>
      <c r="ABZ114" s="1"/>
      <c r="ACA114" s="1"/>
      <c r="ACB114" s="1"/>
      <c r="ACC114" s="1"/>
      <c r="ACD114" s="1"/>
      <c r="ACE114" s="1"/>
      <c r="ACF114" s="1"/>
      <c r="ACG114" s="1"/>
      <c r="ACH114" s="1"/>
      <c r="ACI114" s="1"/>
      <c r="ACJ114" s="1"/>
      <c r="ACK114" s="1"/>
      <c r="ACL114" s="1"/>
      <c r="ACM114" s="1"/>
      <c r="ACN114" s="1"/>
      <c r="ACO114" s="1"/>
      <c r="ACP114" s="1"/>
      <c r="ACQ114" s="1"/>
      <c r="ACR114" s="1"/>
      <c r="ACS114" s="1"/>
      <c r="ACT114" s="1"/>
      <c r="ACU114" s="1"/>
      <c r="ACV114" s="1"/>
      <c r="ACW114" s="1"/>
      <c r="ACX114" s="1"/>
      <c r="ACY114" s="1"/>
      <c r="ACZ114" s="1"/>
      <c r="ADA114" s="1"/>
      <c r="ADB114" s="1"/>
      <c r="ADC114" s="1"/>
      <c r="ADD114" s="1"/>
      <c r="ADE114" s="1"/>
      <c r="ADF114" s="1"/>
      <c r="ADG114" s="1"/>
      <c r="ADH114" s="1"/>
      <c r="ADI114" s="1"/>
      <c r="ADJ114" s="1"/>
      <c r="ADK114" s="1"/>
      <c r="ADL114" s="1"/>
      <c r="ADM114" s="1"/>
      <c r="ADN114" s="1"/>
      <c r="ADO114" s="1"/>
      <c r="ADP114" s="1"/>
      <c r="ADQ114" s="1"/>
      <c r="ADR114" s="1"/>
      <c r="ADS114" s="1"/>
      <c r="ADT114" s="1"/>
      <c r="ADU114" s="1"/>
      <c r="ADV114" s="1"/>
      <c r="ADW114" s="1"/>
      <c r="ADX114" s="1"/>
      <c r="ADY114" s="1"/>
      <c r="ADZ114" s="1"/>
      <c r="AEA114" s="1"/>
      <c r="AEB114" s="1"/>
      <c r="AEC114" s="1"/>
      <c r="AED114" s="1"/>
      <c r="AEE114" s="1"/>
      <c r="AEF114" s="1"/>
      <c r="AEG114" s="1"/>
      <c r="AEH114" s="1"/>
      <c r="AEI114" s="1"/>
      <c r="AEJ114" s="1"/>
      <c r="AEK114" s="1"/>
      <c r="AEL114" s="1"/>
      <c r="AEM114" s="1"/>
      <c r="AEN114" s="1"/>
      <c r="AEO114" s="1"/>
      <c r="AEP114" s="1"/>
      <c r="AEQ114" s="1"/>
      <c r="AER114" s="1"/>
      <c r="AES114" s="1"/>
      <c r="AET114" s="1"/>
      <c r="AEU114" s="1"/>
      <c r="AEV114" s="1"/>
      <c r="AEW114" s="1"/>
      <c r="AEX114" s="1"/>
      <c r="AEY114" s="1"/>
      <c r="AEZ114" s="1"/>
      <c r="AFA114" s="1"/>
      <c r="AFB114" s="1"/>
      <c r="AFC114" s="1"/>
      <c r="AFD114" s="1"/>
      <c r="AFE114" s="1"/>
      <c r="AFF114" s="1"/>
      <c r="AFG114" s="1"/>
      <c r="AFH114" s="1"/>
      <c r="AFI114" s="1"/>
      <c r="AFJ114" s="1"/>
      <c r="AFK114" s="1"/>
      <c r="AFL114" s="1"/>
      <c r="AFM114" s="1"/>
      <c r="AFN114" s="1"/>
      <c r="AFO114" s="1"/>
      <c r="AFP114" s="1"/>
      <c r="AFQ114" s="1"/>
      <c r="AFR114" s="1"/>
      <c r="AFS114" s="1"/>
      <c r="AFT114" s="1"/>
      <c r="AFU114" s="1"/>
      <c r="AFV114" s="1"/>
      <c r="AFW114" s="1"/>
      <c r="AFX114" s="1"/>
      <c r="AFY114" s="1"/>
      <c r="AFZ114" s="1"/>
      <c r="AGA114" s="1"/>
      <c r="AGB114" s="1"/>
      <c r="AGC114" s="1"/>
      <c r="AGD114" s="1"/>
      <c r="AGE114" s="1"/>
      <c r="AGF114" s="1"/>
      <c r="AGG114" s="1"/>
      <c r="AGH114" s="1"/>
      <c r="AGI114" s="1"/>
      <c r="AGJ114" s="1"/>
      <c r="AGK114" s="1"/>
      <c r="AGL114" s="1"/>
      <c r="AGM114" s="1"/>
      <c r="AGN114" s="1"/>
      <c r="AGO114" s="1"/>
      <c r="AGP114" s="1"/>
      <c r="AGQ114" s="1"/>
      <c r="AGR114" s="1"/>
      <c r="AGS114" s="1"/>
      <c r="AGT114" s="1"/>
      <c r="AGU114" s="1"/>
      <c r="AGV114" s="1"/>
      <c r="AGW114" s="1"/>
      <c r="AGX114" s="1"/>
      <c r="AGY114" s="1"/>
      <c r="AGZ114" s="1"/>
      <c r="AHA114" s="1"/>
      <c r="AHB114" s="1"/>
      <c r="AHC114" s="1"/>
      <c r="AHD114" s="1"/>
      <c r="AHE114" s="1"/>
      <c r="AHF114" s="1"/>
      <c r="AHG114" s="1"/>
      <c r="AHH114" s="1"/>
      <c r="AHI114" s="1"/>
      <c r="AHJ114" s="1"/>
      <c r="AHK114" s="1"/>
      <c r="AHL114" s="1"/>
      <c r="AHM114" s="1"/>
      <c r="AHN114" s="1"/>
      <c r="AHO114" s="1"/>
      <c r="AHP114" s="1"/>
      <c r="AHQ114" s="1"/>
      <c r="AHR114" s="1"/>
      <c r="AHS114" s="1"/>
      <c r="AHT114" s="1"/>
      <c r="AHU114" s="1"/>
      <c r="AHV114" s="1"/>
      <c r="AHW114" s="1"/>
      <c r="AHX114" s="1"/>
      <c r="AHY114" s="1"/>
      <c r="AHZ114" s="1"/>
      <c r="AIA114" s="1"/>
      <c r="AIB114" s="1"/>
      <c r="AIC114" s="1"/>
      <c r="AID114" s="1"/>
      <c r="AIE114" s="1"/>
      <c r="AIF114" s="1"/>
      <c r="AIG114" s="1"/>
      <c r="AIH114" s="1"/>
      <c r="AII114" s="1"/>
      <c r="AIJ114" s="1"/>
      <c r="AIK114" s="1"/>
      <c r="AIL114" s="1"/>
      <c r="AIM114" s="1"/>
      <c r="AIN114" s="1"/>
      <c r="AIO114" s="1"/>
      <c r="AIP114" s="1"/>
      <c r="AIQ114" s="1"/>
      <c r="AIR114" s="1"/>
      <c r="AIS114" s="1"/>
      <c r="AIT114" s="1"/>
      <c r="AIU114" s="1"/>
      <c r="AIV114" s="1"/>
      <c r="AIW114" s="1"/>
      <c r="AIX114" s="1"/>
      <c r="AIY114" s="1"/>
      <c r="AIZ114" s="1"/>
      <c r="AJA114" s="1"/>
      <c r="AJB114" s="1"/>
      <c r="AJC114" s="1"/>
      <c r="AJD114" s="1"/>
      <c r="AJE114" s="1"/>
      <c r="AJF114" s="1"/>
      <c r="AJG114" s="1"/>
      <c r="AJH114" s="1"/>
      <c r="AJI114" s="1"/>
      <c r="AJJ114" s="1"/>
      <c r="AJK114" s="1"/>
      <c r="AJL114" s="1"/>
      <c r="AJM114" s="1"/>
      <c r="AJN114" s="1"/>
      <c r="AJO114" s="1"/>
      <c r="AJP114" s="1"/>
      <c r="AJQ114" s="1"/>
      <c r="AJR114" s="1"/>
      <c r="AJS114" s="1"/>
      <c r="AJT114" s="1"/>
      <c r="AJU114" s="1"/>
      <c r="AJV114" s="1"/>
      <c r="AJW114" s="1"/>
      <c r="AJX114" s="1"/>
      <c r="AJY114" s="1"/>
      <c r="AJZ114" s="1"/>
      <c r="AKA114" s="1"/>
      <c r="AKB114" s="1"/>
      <c r="AKC114" s="1"/>
      <c r="AKD114" s="1"/>
      <c r="AKE114" s="1"/>
      <c r="AKF114" s="1"/>
      <c r="AKG114" s="1"/>
      <c r="AKH114" s="1"/>
      <c r="AKI114" s="1"/>
      <c r="AKJ114" s="1"/>
      <c r="AKK114" s="1"/>
      <c r="AKL114" s="1"/>
      <c r="AKM114" s="1"/>
      <c r="AKN114" s="1"/>
      <c r="AKO114" s="1"/>
      <c r="AKP114" s="1"/>
      <c r="AKQ114" s="1"/>
      <c r="AKR114" s="1"/>
      <c r="AKS114" s="1"/>
      <c r="AKT114" s="1"/>
      <c r="AKU114" s="1"/>
      <c r="AKV114" s="1"/>
      <c r="AKW114" s="1"/>
      <c r="AKX114" s="1"/>
      <c r="AKY114" s="1"/>
      <c r="AKZ114" s="1"/>
      <c r="ALA114" s="1"/>
      <c r="ALB114" s="1"/>
      <c r="ALC114" s="1"/>
      <c r="ALD114" s="1"/>
      <c r="ALE114" s="1"/>
      <c r="ALF114" s="1"/>
      <c r="ALG114" s="1"/>
      <c r="ALH114" s="1"/>
      <c r="ALI114" s="1"/>
      <c r="ALJ114" s="1"/>
      <c r="ALK114" s="1"/>
      <c r="ALL114" s="1"/>
      <c r="ALM114" s="1"/>
      <c r="ALN114" s="1"/>
      <c r="ALO114" s="1"/>
      <c r="ALP114" s="1"/>
      <c r="ALQ114" s="1"/>
      <c r="ALR114" s="1"/>
      <c r="ALS114" s="1"/>
      <c r="ALT114" s="1"/>
      <c r="ALU114" s="1"/>
      <c r="ALV114" s="1"/>
      <c r="ALW114" s="1"/>
      <c r="ALX114" s="1"/>
      <c r="ALY114" s="1"/>
      <c r="ALZ114" s="1"/>
      <c r="AMA114" s="1"/>
      <c r="AMB114" s="1"/>
      <c r="AMC114" s="1"/>
      <c r="AMD114" s="1"/>
      <c r="AME114" s="1"/>
      <c r="AMF114" s="1"/>
      <c r="AMG114" s="1"/>
      <c r="AMH114" s="1"/>
      <c r="AMI114" s="1"/>
      <c r="AMJ114" s="1"/>
      <c r="AMK114" s="1"/>
      <c r="AML114" s="1"/>
      <c r="AMM114" s="1"/>
      <c r="AMN114" s="1"/>
    </row>
    <row r="115" spans="1:1029" x14ac:dyDescent="0.2">
      <c r="A115" s="3" t="str">
        <f t="shared" ref="A115:A147" si="555">CONCATENATE(B115,"_",C115)</f>
        <v>lpar1_human__wt</v>
      </c>
      <c r="B115" s="3" t="s">
        <v>103</v>
      </c>
      <c r="C115" s="3" t="s">
        <v>100</v>
      </c>
      <c r="D115" s="3" t="str">
        <f>IFERROR(MID(VLOOKUP($B115,Seqs!$A:$B,2,0),E115,1),"")</f>
        <v>T</v>
      </c>
      <c r="E115" s="3">
        <v>47</v>
      </c>
      <c r="F115" s="3" t="str">
        <f>IFERROR(MID(VLOOKUP($B115,Seqs!$A:$B,2,0),G115,1),"")</f>
        <v>N</v>
      </c>
      <c r="G115" s="3">
        <v>77</v>
      </c>
      <c r="H115" s="3" t="str">
        <f>IFERROR(MID(VLOOKUP($B115,Seqs!$A:$B,2,0),I115,1),"")</f>
        <v>R</v>
      </c>
      <c r="I115" s="23">
        <v>78</v>
      </c>
      <c r="J115" s="3" t="str">
        <f>IFERROR(MID(VLOOKUP($B115,Seqs!$A:$B,2,0),K115,1),"")</f>
        <v>H</v>
      </c>
      <c r="K115" s="23">
        <v>81</v>
      </c>
      <c r="L115" s="3" t="str">
        <f>IFERROR(MID(VLOOKUP($B115,Seqs!$A:$B,2,0),M115,1),"")</f>
        <v>F</v>
      </c>
      <c r="M115" s="3">
        <v>82</v>
      </c>
      <c r="N115" s="3" t="str">
        <f>IFERROR(MID(VLOOKUP($B115,Seqs!$A:$B,2,0),O115,1),"")</f>
        <v>N</v>
      </c>
      <c r="O115" s="3">
        <v>108</v>
      </c>
      <c r="P115" s="3" t="str">
        <f>IFERROR(MID(VLOOKUP($B115,Seqs!$A:$B,2,0),Q115,1),"")</f>
        <v>G</v>
      </c>
      <c r="Q115" s="3">
        <v>110</v>
      </c>
      <c r="R115" s="3" t="str">
        <f>IFERROR(MID(VLOOKUP($B115,Seqs!$A:$B,2,0),S115,1),"")</f>
        <v>L</v>
      </c>
      <c r="S115" s="3">
        <v>116</v>
      </c>
      <c r="T115" s="3" t="str">
        <f>IFERROR(MID(VLOOKUP($B115,Seqs!$A:$B,2,0),U115,1),"")</f>
        <v>T</v>
      </c>
      <c r="U115" s="3">
        <v>117</v>
      </c>
      <c r="V115" s="3" t="str">
        <f>IFERROR(MID(VLOOKUP($B115,Seqs!$A:$B,2,0),W115,1),"")</f>
        <v>R</v>
      </c>
      <c r="W115" s="3">
        <v>152</v>
      </c>
      <c r="X115" s="3" t="str">
        <f>IFERROR(MID(VLOOKUP($B115,Seqs!$A:$B,2,0),Y115,1),"")</f>
        <v>M</v>
      </c>
      <c r="Y115" s="108">
        <v>153</v>
      </c>
      <c r="Z115" s="3" t="str">
        <f>IFERROR(MID(VLOOKUP($B115,Seqs!$A:$B,2,0),AA115,1),"")</f>
        <v>M</v>
      </c>
      <c r="AA115" s="108">
        <v>159</v>
      </c>
      <c r="AB115" s="3" t="str">
        <f>IFERROR(MID(VLOOKUP($B115,Seqs!$A:$B,2,0),AC115,1),"")</f>
        <v>S</v>
      </c>
      <c r="AC115" s="108">
        <v>160</v>
      </c>
      <c r="AD115" s="3" t="str">
        <f>IFERROR(MID(VLOOKUP($B115,Seqs!$A:$B,2,0),AE115,1),"")</f>
        <v>G</v>
      </c>
      <c r="AE115" s="3">
        <v>185</v>
      </c>
      <c r="AF115" s="3" t="str">
        <f>IFERROR(MID(VLOOKUP($B115,Seqs!$A:$B,2,0),AG115,1),"")</f>
        <v/>
      </c>
      <c r="AG115" s="3" t="s">
        <v>23</v>
      </c>
      <c r="AH115" s="3" t="str">
        <f>IFERROR(MID(VLOOKUP($B115,Seqs!$A:$B,2,0),AI115,1),"")</f>
        <v/>
      </c>
      <c r="AI115" s="3" t="s">
        <v>23</v>
      </c>
      <c r="AJ115" s="3" t="str">
        <f>IFERROR(MID(VLOOKUP($B115,Seqs!$A:$B,2,0),AK115,1),"")</f>
        <v>S</v>
      </c>
      <c r="AK115" s="3">
        <v>203</v>
      </c>
      <c r="AL115" s="3" t="str">
        <f>IFERROR(MID(VLOOKUP($B115,Seqs!$A:$B,2,0),AM115,1),"")</f>
        <v>S</v>
      </c>
      <c r="AM115" s="3">
        <v>240</v>
      </c>
      <c r="AN115" s="3" t="str">
        <f>IFERROR(MID(VLOOKUP($B115,Seqs!$A:$B,2,0),AO115,1),"")</f>
        <v>G</v>
      </c>
      <c r="AO115" s="3">
        <v>245</v>
      </c>
      <c r="AP115" s="3" t="str">
        <f>IFERROR(MID(VLOOKUP($B115,Seqs!$A:$B,2,0),AQ115,1),"")</f>
        <v>C</v>
      </c>
      <c r="AQ115" s="3">
        <v>284</v>
      </c>
      <c r="AR115" s="3" t="str">
        <f>IFERROR(MID(VLOOKUP($B115,Seqs!$A:$B,2,0),AS115,1),"")</f>
        <v>D</v>
      </c>
      <c r="AS115" s="3">
        <v>288</v>
      </c>
      <c r="AT115" s="3" t="str">
        <f>IFERROR(MID(VLOOKUP($B115,Seqs!$A:$B,2,0),AU115,1),"")</f>
        <v>R</v>
      </c>
      <c r="AU115" s="3">
        <v>314</v>
      </c>
      <c r="AV115" s="3" t="str">
        <f>IFERROR(MID(VLOOKUP($B115,Seqs!$A:$B,2,0),AW115,1),"")</f>
        <v>D</v>
      </c>
      <c r="AW115" s="3">
        <v>315</v>
      </c>
      <c r="AX115" s="3" t="str">
        <f>IFERROR(MID(VLOOKUP($B115,Seqs!$A:$B,2,0),AY115,1),"")</f>
        <v>C</v>
      </c>
      <c r="AY115" s="3">
        <v>327</v>
      </c>
      <c r="AZ115" s="79" t="str">
        <f>VLOOKUP(B115,Classification!A:D,2,0)</f>
        <v>A</v>
      </c>
      <c r="BA115" s="97" t="str">
        <f>VLOOKUP(B115,Classification!A:D,4,0)</f>
        <v>Lysophospholipid(LPA)</v>
      </c>
      <c r="BB115" s="27" t="b">
        <f t="shared" ref="BB115:BB147" si="556">AND(E115&lt;G115,OR(G115&lt;I115,I115="-"),OR(I115&lt;K115,I115="-"),OR(K115&lt;M115,K115="-"),M115&lt;O115,OR(O115&lt;Q115,Q115="-"),OR(Q115&lt;S115,Q115="-"),OR(S115&lt;U115,S115="-"),U115&lt;W115,OR(W115&lt;Y115,Y115="-"),OR(Y115&lt;AA115,Y115="-"),OR(AA115&lt;AC115,AA115="-"),AC115&lt;AE115,OR(AE115&lt;AG115,AG115="-"),OR(AG115&lt;AI115,AG115="-"),OR(AI115&lt;AK115,AI115="-"),AK115&lt;AM115,AM115&lt;AO115,AO115&lt;AQ115,AQ115&lt;AS115,AS115&lt;AU115,OR(AU115&lt;AW115,AW115="-"),OR(AW115&lt;AY115,AW115="-"))</f>
        <v>1</v>
      </c>
      <c r="BC115" s="23">
        <f t="shared" si="473"/>
        <v>257</v>
      </c>
      <c r="BD115" s="57" t="s">
        <v>1379</v>
      </c>
      <c r="BE115" s="3" t="s">
        <v>1381</v>
      </c>
      <c r="BF115" s="50" t="s">
        <v>1379</v>
      </c>
      <c r="BG115" s="50" t="s">
        <v>1384</v>
      </c>
      <c r="BH115" s="1"/>
      <c r="BI115" s="72" t="s">
        <v>1293</v>
      </c>
      <c r="BJ115" s="58" t="s">
        <v>1293</v>
      </c>
      <c r="BK115" s="58" t="s">
        <v>1293</v>
      </c>
      <c r="BL115" s="58" t="s">
        <v>1293</v>
      </c>
      <c r="BM115" s="58" t="s">
        <v>1293</v>
      </c>
      <c r="BN115" s="58" t="s">
        <v>1293</v>
      </c>
      <c r="BO115" s="58" t="s">
        <v>1293</v>
      </c>
      <c r="BP115" s="58" t="s">
        <v>1293</v>
      </c>
      <c r="BQ115" s="58" t="s">
        <v>1293</v>
      </c>
      <c r="BR115" s="58" t="s">
        <v>1293</v>
      </c>
      <c r="BS115" s="58" t="s">
        <v>1293</v>
      </c>
      <c r="BT115" s="58" t="s">
        <v>1293</v>
      </c>
      <c r="BU115" s="72">
        <f t="shared" si="474"/>
        <v>47</v>
      </c>
      <c r="BV115" s="73">
        <f t="shared" si="475"/>
        <v>78</v>
      </c>
      <c r="BW115" s="74">
        <f t="shared" si="476"/>
        <v>82</v>
      </c>
      <c r="BX115" s="73">
        <f t="shared" si="477"/>
        <v>110</v>
      </c>
      <c r="BY115" s="74">
        <f t="shared" si="478"/>
        <v>117</v>
      </c>
      <c r="BZ115" s="73">
        <f t="shared" si="479"/>
        <v>153</v>
      </c>
      <c r="CA115" s="74">
        <f t="shared" si="480"/>
        <v>160</v>
      </c>
      <c r="CB115" s="73" t="str">
        <f t="shared" si="481"/>
        <v>-</v>
      </c>
      <c r="CC115" s="74">
        <f t="shared" si="482"/>
        <v>203</v>
      </c>
      <c r="CD115" s="73">
        <f t="shared" si="483"/>
        <v>245</v>
      </c>
      <c r="CE115" s="74">
        <f t="shared" si="484"/>
        <v>288</v>
      </c>
      <c r="CF115" s="73">
        <f t="shared" si="485"/>
        <v>315</v>
      </c>
      <c r="CG115" s="72">
        <f t="shared" si="486"/>
        <v>77</v>
      </c>
      <c r="CH115" s="73">
        <f t="shared" si="487"/>
        <v>81</v>
      </c>
      <c r="CI115" s="74">
        <f t="shared" si="488"/>
        <v>108</v>
      </c>
      <c r="CJ115" s="74">
        <f t="shared" si="489"/>
        <v>116</v>
      </c>
      <c r="CK115" s="74">
        <f t="shared" si="490"/>
        <v>152</v>
      </c>
      <c r="CL115" s="74">
        <f t="shared" si="491"/>
        <v>159</v>
      </c>
      <c r="CM115" s="74">
        <f t="shared" si="492"/>
        <v>185</v>
      </c>
      <c r="CN115" s="74" t="str">
        <f t="shared" si="493"/>
        <v>-</v>
      </c>
      <c r="CO115" s="74">
        <f t="shared" si="494"/>
        <v>240</v>
      </c>
      <c r="CP115" s="74">
        <f t="shared" si="495"/>
        <v>284</v>
      </c>
      <c r="CQ115" s="74">
        <f t="shared" si="496"/>
        <v>314</v>
      </c>
      <c r="CR115" s="74">
        <f t="shared" si="497"/>
        <v>327</v>
      </c>
      <c r="CS115" s="23">
        <f t="shared" si="498"/>
        <v>1</v>
      </c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  <c r="OK115" s="1"/>
      <c r="OL115" s="1"/>
      <c r="OM115" s="1"/>
      <c r="ON115" s="1"/>
      <c r="OO115" s="1"/>
      <c r="OP115" s="1"/>
      <c r="OQ115" s="1"/>
      <c r="OR115" s="1"/>
      <c r="OS115" s="1"/>
      <c r="OT115" s="1"/>
      <c r="OU115" s="1"/>
      <c r="OV115" s="1"/>
      <c r="OW115" s="1"/>
      <c r="OX115" s="1"/>
      <c r="OY115" s="1"/>
      <c r="OZ115" s="1"/>
      <c r="PA115" s="1"/>
      <c r="PB115" s="1"/>
      <c r="PC115" s="1"/>
      <c r="PD115" s="1"/>
      <c r="PE115" s="1"/>
      <c r="PF115" s="1"/>
      <c r="PG115" s="1"/>
      <c r="PH115" s="1"/>
      <c r="PI115" s="1"/>
      <c r="PJ115" s="1"/>
      <c r="PK115" s="1"/>
      <c r="PL115" s="1"/>
      <c r="PM115" s="1"/>
      <c r="PN115" s="1"/>
      <c r="PO115" s="1"/>
      <c r="PP115" s="1"/>
      <c r="PQ115" s="1"/>
      <c r="PR115" s="1"/>
      <c r="PS115" s="1"/>
      <c r="PT115" s="1"/>
      <c r="PU115" s="1"/>
      <c r="PV115" s="1"/>
      <c r="PW115" s="1"/>
      <c r="PX115" s="1"/>
      <c r="PY115" s="1"/>
      <c r="PZ115" s="1"/>
      <c r="QA115" s="1"/>
      <c r="QB115" s="1"/>
      <c r="QC115" s="1"/>
      <c r="QD115" s="1"/>
      <c r="QE115" s="1"/>
      <c r="QF115" s="1"/>
      <c r="QG115" s="1"/>
      <c r="QH115" s="1"/>
      <c r="QI115" s="1"/>
      <c r="QJ115" s="1"/>
      <c r="QK115" s="1"/>
      <c r="QL115" s="1"/>
      <c r="QM115" s="1"/>
      <c r="QN115" s="1"/>
      <c r="QO115" s="1"/>
      <c r="QP115" s="1"/>
      <c r="QQ115" s="1"/>
      <c r="QR115" s="1"/>
      <c r="QS115" s="1"/>
      <c r="QT115" s="1"/>
      <c r="QU115" s="1"/>
      <c r="QV115" s="1"/>
      <c r="QW115" s="1"/>
      <c r="QX115" s="1"/>
      <c r="QY115" s="1"/>
      <c r="QZ115" s="1"/>
      <c r="RA115" s="1"/>
      <c r="RB115" s="1"/>
      <c r="RC115" s="1"/>
      <c r="RD115" s="1"/>
      <c r="RE115" s="1"/>
      <c r="RF115" s="1"/>
      <c r="RG115" s="1"/>
      <c r="RH115" s="1"/>
      <c r="RI115" s="1"/>
      <c r="RJ115" s="1"/>
      <c r="RK115" s="1"/>
      <c r="RL115" s="1"/>
      <c r="RM115" s="1"/>
      <c r="RN115" s="1"/>
      <c r="RO115" s="1"/>
      <c r="RP115" s="1"/>
      <c r="RQ115" s="1"/>
      <c r="RR115" s="1"/>
      <c r="RS115" s="1"/>
      <c r="RT115" s="1"/>
      <c r="RU115" s="1"/>
      <c r="RV115" s="1"/>
      <c r="RW115" s="1"/>
      <c r="RX115" s="1"/>
      <c r="RY115" s="1"/>
      <c r="RZ115" s="1"/>
      <c r="SA115" s="1"/>
      <c r="SB115" s="1"/>
      <c r="SC115" s="1"/>
      <c r="SD115" s="1"/>
      <c r="SE115" s="1"/>
      <c r="SF115" s="1"/>
      <c r="SG115" s="1"/>
      <c r="SH115" s="1"/>
      <c r="SI115" s="1"/>
      <c r="SJ115" s="1"/>
      <c r="SK115" s="1"/>
      <c r="SL115" s="1"/>
      <c r="SM115" s="1"/>
      <c r="SN115" s="1"/>
      <c r="SO115" s="1"/>
      <c r="SP115" s="1"/>
      <c r="SQ115" s="1"/>
      <c r="SR115" s="1"/>
      <c r="SS115" s="1"/>
      <c r="ST115" s="1"/>
      <c r="SU115" s="1"/>
      <c r="SV115" s="1"/>
      <c r="SW115" s="1"/>
      <c r="SX115" s="1"/>
      <c r="SY115" s="1"/>
      <c r="SZ115" s="1"/>
      <c r="TA115" s="1"/>
      <c r="TB115" s="1"/>
      <c r="TC115" s="1"/>
      <c r="TD115" s="1"/>
      <c r="TE115" s="1"/>
      <c r="TF115" s="1"/>
      <c r="TG115" s="1"/>
      <c r="TH115" s="1"/>
      <c r="TI115" s="1"/>
      <c r="TJ115" s="1"/>
      <c r="TK115" s="1"/>
      <c r="TL115" s="1"/>
      <c r="TM115" s="1"/>
      <c r="TN115" s="1"/>
      <c r="TO115" s="1"/>
      <c r="TP115" s="1"/>
      <c r="TQ115" s="1"/>
      <c r="TR115" s="1"/>
      <c r="TS115" s="1"/>
      <c r="TT115" s="1"/>
      <c r="TU115" s="1"/>
      <c r="TV115" s="1"/>
      <c r="TW115" s="1"/>
      <c r="TX115" s="1"/>
      <c r="TY115" s="1"/>
      <c r="TZ115" s="1"/>
      <c r="UA115" s="1"/>
      <c r="UB115" s="1"/>
      <c r="UC115" s="1"/>
      <c r="UD115" s="1"/>
      <c r="UE115" s="1"/>
      <c r="UF115" s="1"/>
      <c r="UG115" s="1"/>
      <c r="UH115" s="1"/>
      <c r="UI115" s="1"/>
      <c r="UJ115" s="1"/>
      <c r="UK115" s="1"/>
      <c r="UL115" s="1"/>
      <c r="UM115" s="1"/>
      <c r="UN115" s="1"/>
      <c r="UO115" s="1"/>
      <c r="UP115" s="1"/>
      <c r="UQ115" s="1"/>
      <c r="UR115" s="1"/>
      <c r="US115" s="1"/>
      <c r="UT115" s="1"/>
      <c r="UU115" s="1"/>
      <c r="UV115" s="1"/>
      <c r="UW115" s="1"/>
      <c r="UX115" s="1"/>
      <c r="UY115" s="1"/>
      <c r="UZ115" s="1"/>
      <c r="VA115" s="1"/>
      <c r="VB115" s="1"/>
      <c r="VC115" s="1"/>
      <c r="VD115" s="1"/>
      <c r="VE115" s="1"/>
      <c r="VF115" s="1"/>
      <c r="VG115" s="1"/>
      <c r="VH115" s="1"/>
      <c r="VI115" s="1"/>
      <c r="VJ115" s="1"/>
      <c r="VK115" s="1"/>
      <c r="VL115" s="1"/>
      <c r="VM115" s="1"/>
      <c r="VN115" s="1"/>
      <c r="VO115" s="1"/>
      <c r="VP115" s="1"/>
      <c r="VQ115" s="1"/>
      <c r="VR115" s="1"/>
      <c r="VS115" s="1"/>
      <c r="VT115" s="1"/>
      <c r="VU115" s="1"/>
      <c r="VV115" s="1"/>
      <c r="VW115" s="1"/>
      <c r="VX115" s="1"/>
      <c r="VY115" s="1"/>
      <c r="VZ115" s="1"/>
      <c r="WA115" s="1"/>
      <c r="WB115" s="1"/>
      <c r="WC115" s="1"/>
      <c r="WD115" s="1"/>
      <c r="WE115" s="1"/>
      <c r="WF115" s="1"/>
      <c r="WG115" s="1"/>
      <c r="WH115" s="1"/>
      <c r="WI115" s="1"/>
      <c r="WJ115" s="1"/>
      <c r="WK115" s="1"/>
      <c r="WL115" s="1"/>
      <c r="WM115" s="1"/>
      <c r="WN115" s="1"/>
      <c r="WO115" s="1"/>
      <c r="WP115" s="1"/>
      <c r="WQ115" s="1"/>
      <c r="WR115" s="1"/>
      <c r="WS115" s="1"/>
      <c r="WT115" s="1"/>
      <c r="WU115" s="1"/>
      <c r="WV115" s="1"/>
      <c r="WW115" s="1"/>
      <c r="WX115" s="1"/>
      <c r="WY115" s="1"/>
      <c r="WZ115" s="1"/>
      <c r="XA115" s="1"/>
      <c r="XB115" s="1"/>
      <c r="XC115" s="1"/>
      <c r="XD115" s="1"/>
      <c r="XE115" s="1"/>
      <c r="XF115" s="1"/>
      <c r="XG115" s="1"/>
      <c r="XH115" s="1"/>
      <c r="XI115" s="1"/>
      <c r="XJ115" s="1"/>
      <c r="XK115" s="1"/>
      <c r="XL115" s="1"/>
      <c r="XM115" s="1"/>
      <c r="XN115" s="1"/>
      <c r="XO115" s="1"/>
      <c r="XP115" s="1"/>
      <c r="XQ115" s="1"/>
      <c r="XR115" s="1"/>
      <c r="XS115" s="1"/>
      <c r="XT115" s="1"/>
      <c r="XU115" s="1"/>
      <c r="XV115" s="1"/>
      <c r="XW115" s="1"/>
      <c r="XX115" s="1"/>
      <c r="XY115" s="1"/>
      <c r="XZ115" s="1"/>
      <c r="YA115" s="1"/>
      <c r="YB115" s="1"/>
      <c r="YC115" s="1"/>
      <c r="YD115" s="1"/>
      <c r="YE115" s="1"/>
      <c r="YF115" s="1"/>
      <c r="YG115" s="1"/>
      <c r="YH115" s="1"/>
      <c r="YI115" s="1"/>
      <c r="YJ115" s="1"/>
      <c r="YK115" s="1"/>
      <c r="YL115" s="1"/>
      <c r="YM115" s="1"/>
      <c r="YN115" s="1"/>
      <c r="YO115" s="1"/>
      <c r="YP115" s="1"/>
      <c r="YQ115" s="1"/>
      <c r="YR115" s="1"/>
      <c r="YS115" s="1"/>
      <c r="YT115" s="1"/>
      <c r="YU115" s="1"/>
      <c r="YV115" s="1"/>
      <c r="YW115" s="1"/>
      <c r="YX115" s="1"/>
      <c r="YY115" s="1"/>
      <c r="YZ115" s="1"/>
      <c r="ZA115" s="1"/>
      <c r="ZB115" s="1"/>
      <c r="ZC115" s="1"/>
      <c r="ZD115" s="1"/>
      <c r="ZE115" s="1"/>
      <c r="ZF115" s="1"/>
      <c r="ZG115" s="1"/>
      <c r="ZH115" s="1"/>
      <c r="ZI115" s="1"/>
      <c r="ZJ115" s="1"/>
      <c r="ZK115" s="1"/>
      <c r="ZL115" s="1"/>
      <c r="ZM115" s="1"/>
      <c r="ZN115" s="1"/>
      <c r="ZO115" s="1"/>
      <c r="ZP115" s="1"/>
      <c r="ZQ115" s="1"/>
      <c r="ZR115" s="1"/>
      <c r="ZS115" s="1"/>
      <c r="ZT115" s="1"/>
      <c r="ZU115" s="1"/>
      <c r="ZV115" s="1"/>
      <c r="ZW115" s="1"/>
      <c r="ZX115" s="1"/>
      <c r="ZY115" s="1"/>
      <c r="ZZ115" s="1"/>
      <c r="AAA115" s="1"/>
      <c r="AAB115" s="1"/>
      <c r="AAC115" s="1"/>
      <c r="AAD115" s="1"/>
      <c r="AAE115" s="1"/>
      <c r="AAF115" s="1"/>
      <c r="AAG115" s="1"/>
      <c r="AAH115" s="1"/>
      <c r="AAI115" s="1"/>
      <c r="AAJ115" s="1"/>
      <c r="AAK115" s="1"/>
      <c r="AAL115" s="1"/>
      <c r="AAM115" s="1"/>
      <c r="AAN115" s="1"/>
      <c r="AAO115" s="1"/>
      <c r="AAP115" s="1"/>
      <c r="AAQ115" s="1"/>
      <c r="AAR115" s="1"/>
      <c r="AAS115" s="1"/>
      <c r="AAT115" s="1"/>
      <c r="AAU115" s="1"/>
      <c r="AAV115" s="1"/>
      <c r="AAW115" s="1"/>
      <c r="AAX115" s="1"/>
      <c r="AAY115" s="1"/>
      <c r="AAZ115" s="1"/>
      <c r="ABA115" s="1"/>
      <c r="ABB115" s="1"/>
      <c r="ABC115" s="1"/>
      <c r="ABD115" s="1"/>
      <c r="ABE115" s="1"/>
      <c r="ABF115" s="1"/>
      <c r="ABG115" s="1"/>
      <c r="ABH115" s="1"/>
      <c r="ABI115" s="1"/>
      <c r="ABJ115" s="1"/>
      <c r="ABK115" s="1"/>
      <c r="ABL115" s="1"/>
      <c r="ABM115" s="1"/>
      <c r="ABN115" s="1"/>
      <c r="ABO115" s="1"/>
      <c r="ABP115" s="1"/>
      <c r="ABQ115" s="1"/>
      <c r="ABR115" s="1"/>
      <c r="ABS115" s="1"/>
      <c r="ABT115" s="1"/>
      <c r="ABU115" s="1"/>
      <c r="ABV115" s="1"/>
      <c r="ABW115" s="1"/>
      <c r="ABX115" s="1"/>
      <c r="ABY115" s="1"/>
      <c r="ABZ115" s="1"/>
      <c r="ACA115" s="1"/>
      <c r="ACB115" s="1"/>
      <c r="ACC115" s="1"/>
      <c r="ACD115" s="1"/>
      <c r="ACE115" s="1"/>
      <c r="ACF115" s="1"/>
      <c r="ACG115" s="1"/>
      <c r="ACH115" s="1"/>
      <c r="ACI115" s="1"/>
      <c r="ACJ115" s="1"/>
      <c r="ACK115" s="1"/>
      <c r="ACL115" s="1"/>
      <c r="ACM115" s="1"/>
      <c r="ACN115" s="1"/>
      <c r="ACO115" s="1"/>
      <c r="ACP115" s="1"/>
      <c r="ACQ115" s="1"/>
      <c r="ACR115" s="1"/>
      <c r="ACS115" s="1"/>
      <c r="ACT115" s="1"/>
      <c r="ACU115" s="1"/>
      <c r="ACV115" s="1"/>
      <c r="ACW115" s="1"/>
      <c r="ACX115" s="1"/>
      <c r="ACY115" s="1"/>
      <c r="ACZ115" s="1"/>
      <c r="ADA115" s="1"/>
      <c r="ADB115" s="1"/>
      <c r="ADC115" s="1"/>
      <c r="ADD115" s="1"/>
      <c r="ADE115" s="1"/>
      <c r="ADF115" s="1"/>
      <c r="ADG115" s="1"/>
      <c r="ADH115" s="1"/>
      <c r="ADI115" s="1"/>
      <c r="ADJ115" s="1"/>
      <c r="ADK115" s="1"/>
      <c r="ADL115" s="1"/>
      <c r="ADM115" s="1"/>
      <c r="ADN115" s="1"/>
      <c r="ADO115" s="1"/>
      <c r="ADP115" s="1"/>
      <c r="ADQ115" s="1"/>
      <c r="ADR115" s="1"/>
      <c r="ADS115" s="1"/>
      <c r="ADT115" s="1"/>
      <c r="ADU115" s="1"/>
      <c r="ADV115" s="1"/>
      <c r="ADW115" s="1"/>
      <c r="ADX115" s="1"/>
      <c r="ADY115" s="1"/>
      <c r="ADZ115" s="1"/>
      <c r="AEA115" s="1"/>
      <c r="AEB115" s="1"/>
      <c r="AEC115" s="1"/>
      <c r="AED115" s="1"/>
      <c r="AEE115" s="1"/>
      <c r="AEF115" s="1"/>
      <c r="AEG115" s="1"/>
      <c r="AEH115" s="1"/>
      <c r="AEI115" s="1"/>
      <c r="AEJ115" s="1"/>
      <c r="AEK115" s="1"/>
      <c r="AEL115" s="1"/>
      <c r="AEM115" s="1"/>
      <c r="AEN115" s="1"/>
      <c r="AEO115" s="1"/>
      <c r="AEP115" s="1"/>
      <c r="AEQ115" s="1"/>
      <c r="AER115" s="1"/>
      <c r="AES115" s="1"/>
      <c r="AET115" s="1"/>
      <c r="AEU115" s="1"/>
      <c r="AEV115" s="1"/>
      <c r="AEW115" s="1"/>
      <c r="AEX115" s="1"/>
      <c r="AEY115" s="1"/>
      <c r="AEZ115" s="1"/>
      <c r="AFA115" s="1"/>
      <c r="AFB115" s="1"/>
      <c r="AFC115" s="1"/>
      <c r="AFD115" s="1"/>
      <c r="AFE115" s="1"/>
      <c r="AFF115" s="1"/>
      <c r="AFG115" s="1"/>
      <c r="AFH115" s="1"/>
      <c r="AFI115" s="1"/>
      <c r="AFJ115" s="1"/>
      <c r="AFK115" s="1"/>
      <c r="AFL115" s="1"/>
      <c r="AFM115" s="1"/>
      <c r="AFN115" s="1"/>
      <c r="AFO115" s="1"/>
      <c r="AFP115" s="1"/>
      <c r="AFQ115" s="1"/>
      <c r="AFR115" s="1"/>
      <c r="AFS115" s="1"/>
      <c r="AFT115" s="1"/>
      <c r="AFU115" s="1"/>
      <c r="AFV115" s="1"/>
      <c r="AFW115" s="1"/>
      <c r="AFX115" s="1"/>
      <c r="AFY115" s="1"/>
      <c r="AFZ115" s="1"/>
      <c r="AGA115" s="1"/>
      <c r="AGB115" s="1"/>
      <c r="AGC115" s="1"/>
      <c r="AGD115" s="1"/>
      <c r="AGE115" s="1"/>
      <c r="AGF115" s="1"/>
      <c r="AGG115" s="1"/>
      <c r="AGH115" s="1"/>
      <c r="AGI115" s="1"/>
      <c r="AGJ115" s="1"/>
      <c r="AGK115" s="1"/>
      <c r="AGL115" s="1"/>
      <c r="AGM115" s="1"/>
      <c r="AGN115" s="1"/>
      <c r="AGO115" s="1"/>
      <c r="AGP115" s="1"/>
      <c r="AGQ115" s="1"/>
      <c r="AGR115" s="1"/>
      <c r="AGS115" s="1"/>
      <c r="AGT115" s="1"/>
      <c r="AGU115" s="1"/>
      <c r="AGV115" s="1"/>
      <c r="AGW115" s="1"/>
      <c r="AGX115" s="1"/>
      <c r="AGY115" s="1"/>
      <c r="AGZ115" s="1"/>
      <c r="AHA115" s="1"/>
      <c r="AHB115" s="1"/>
      <c r="AHC115" s="1"/>
      <c r="AHD115" s="1"/>
      <c r="AHE115" s="1"/>
      <c r="AHF115" s="1"/>
      <c r="AHG115" s="1"/>
      <c r="AHH115" s="1"/>
      <c r="AHI115" s="1"/>
      <c r="AHJ115" s="1"/>
      <c r="AHK115" s="1"/>
      <c r="AHL115" s="1"/>
      <c r="AHM115" s="1"/>
      <c r="AHN115" s="1"/>
      <c r="AHO115" s="1"/>
      <c r="AHP115" s="1"/>
      <c r="AHQ115" s="1"/>
      <c r="AHR115" s="1"/>
      <c r="AHS115" s="1"/>
      <c r="AHT115" s="1"/>
      <c r="AHU115" s="1"/>
      <c r="AHV115" s="1"/>
      <c r="AHW115" s="1"/>
      <c r="AHX115" s="1"/>
      <c r="AHY115" s="1"/>
      <c r="AHZ115" s="1"/>
      <c r="AIA115" s="1"/>
      <c r="AIB115" s="1"/>
      <c r="AIC115" s="1"/>
      <c r="AID115" s="1"/>
      <c r="AIE115" s="1"/>
      <c r="AIF115" s="1"/>
      <c r="AIG115" s="1"/>
      <c r="AIH115" s="1"/>
      <c r="AII115" s="1"/>
      <c r="AIJ115" s="1"/>
      <c r="AIK115" s="1"/>
      <c r="AIL115" s="1"/>
      <c r="AIM115" s="1"/>
      <c r="AIN115" s="1"/>
      <c r="AIO115" s="1"/>
      <c r="AIP115" s="1"/>
      <c r="AIQ115" s="1"/>
      <c r="AIR115" s="1"/>
      <c r="AIS115" s="1"/>
      <c r="AIT115" s="1"/>
      <c r="AIU115" s="1"/>
      <c r="AIV115" s="1"/>
      <c r="AIW115" s="1"/>
      <c r="AIX115" s="1"/>
      <c r="AIY115" s="1"/>
      <c r="AIZ115" s="1"/>
      <c r="AJA115" s="1"/>
      <c r="AJB115" s="1"/>
      <c r="AJC115" s="1"/>
      <c r="AJD115" s="1"/>
      <c r="AJE115" s="1"/>
      <c r="AJF115" s="1"/>
      <c r="AJG115" s="1"/>
      <c r="AJH115" s="1"/>
      <c r="AJI115" s="1"/>
      <c r="AJJ115" s="1"/>
      <c r="AJK115" s="1"/>
      <c r="AJL115" s="1"/>
      <c r="AJM115" s="1"/>
      <c r="AJN115" s="1"/>
      <c r="AJO115" s="1"/>
      <c r="AJP115" s="1"/>
      <c r="AJQ115" s="1"/>
      <c r="AJR115" s="1"/>
      <c r="AJS115" s="1"/>
      <c r="AJT115" s="1"/>
      <c r="AJU115" s="1"/>
      <c r="AJV115" s="1"/>
      <c r="AJW115" s="1"/>
      <c r="AJX115" s="1"/>
      <c r="AJY115" s="1"/>
      <c r="AJZ115" s="1"/>
      <c r="AKA115" s="1"/>
      <c r="AKB115" s="1"/>
      <c r="AKC115" s="1"/>
      <c r="AKD115" s="1"/>
      <c r="AKE115" s="1"/>
      <c r="AKF115" s="1"/>
      <c r="AKG115" s="1"/>
      <c r="AKH115" s="1"/>
      <c r="AKI115" s="1"/>
      <c r="AKJ115" s="1"/>
      <c r="AKK115" s="1"/>
      <c r="AKL115" s="1"/>
      <c r="AKM115" s="1"/>
      <c r="AKN115" s="1"/>
      <c r="AKO115" s="1"/>
      <c r="AKP115" s="1"/>
      <c r="AKQ115" s="1"/>
      <c r="AKR115" s="1"/>
      <c r="AKS115" s="1"/>
      <c r="AKT115" s="1"/>
      <c r="AKU115" s="1"/>
      <c r="AKV115" s="1"/>
      <c r="AKW115" s="1"/>
      <c r="AKX115" s="1"/>
      <c r="AKY115" s="1"/>
      <c r="AKZ115" s="1"/>
      <c r="ALA115" s="1"/>
      <c r="ALB115" s="1"/>
      <c r="ALC115" s="1"/>
      <c r="ALD115" s="1"/>
      <c r="ALE115" s="1"/>
      <c r="ALF115" s="1"/>
      <c r="ALG115" s="1"/>
      <c r="ALH115" s="1"/>
      <c r="ALI115" s="1"/>
      <c r="ALJ115" s="1"/>
      <c r="ALK115" s="1"/>
      <c r="ALL115" s="1"/>
      <c r="ALM115" s="1"/>
      <c r="ALN115" s="1"/>
      <c r="ALO115" s="1"/>
      <c r="ALP115" s="1"/>
      <c r="ALQ115" s="1"/>
      <c r="ALR115" s="1"/>
      <c r="ALS115" s="1"/>
      <c r="ALT115" s="1"/>
      <c r="ALU115" s="1"/>
      <c r="ALV115" s="1"/>
      <c r="ALW115" s="1"/>
      <c r="ALX115" s="1"/>
      <c r="ALY115" s="1"/>
      <c r="ALZ115" s="1"/>
      <c r="AMA115" s="1"/>
      <c r="AMB115" s="1"/>
      <c r="AMC115" s="1"/>
      <c r="AMD115" s="1"/>
      <c r="AME115" s="1"/>
      <c r="AMF115" s="1"/>
      <c r="AMG115" s="1"/>
      <c r="AMH115" s="1"/>
      <c r="AMI115" s="1"/>
      <c r="AMJ115" s="1"/>
      <c r="AMK115" s="1"/>
      <c r="AML115" s="1"/>
      <c r="AMM115" s="1"/>
      <c r="AMN115" s="1"/>
    </row>
    <row r="116" spans="1:1029" x14ac:dyDescent="0.2">
      <c r="A116" s="3" t="str">
        <f t="shared" si="555"/>
        <v>lpar1_human_4Z34</v>
      </c>
      <c r="B116" s="3" t="s">
        <v>103</v>
      </c>
      <c r="C116" s="3" t="s">
        <v>1057</v>
      </c>
      <c r="D116" s="3" t="str">
        <f>IFERROR(MID(VLOOKUP($B116,Seqs!$A:$B,2,0),E116,1),"")</f>
        <v>T</v>
      </c>
      <c r="E116" s="3">
        <v>47</v>
      </c>
      <c r="F116" s="3" t="str">
        <f>IFERROR(MID(VLOOKUP($B116,Seqs!$A:$B,2,0),G116,1),"")</f>
        <v>N</v>
      </c>
      <c r="G116" s="3">
        <v>77</v>
      </c>
      <c r="H116" s="3" t="str">
        <f>IFERROR(MID(VLOOKUP($B116,Seqs!$A:$B,2,0),I116,1),"")</f>
        <v>R</v>
      </c>
      <c r="I116" s="23">
        <v>78</v>
      </c>
      <c r="J116" s="3" t="str">
        <f>IFERROR(MID(VLOOKUP($B116,Seqs!$A:$B,2,0),K116,1),"")</f>
        <v>H</v>
      </c>
      <c r="K116" s="23">
        <v>81</v>
      </c>
      <c r="L116" s="3" t="str">
        <f>IFERROR(MID(VLOOKUP($B116,Seqs!$A:$B,2,0),M116,1),"")</f>
        <v>F</v>
      </c>
      <c r="M116" s="3">
        <v>82</v>
      </c>
      <c r="N116" s="3" t="str">
        <f>IFERROR(MID(VLOOKUP($B116,Seqs!$A:$B,2,0),O116,1),"")</f>
        <v>N</v>
      </c>
      <c r="O116" s="3">
        <v>108</v>
      </c>
      <c r="P116" s="3" t="str">
        <f>IFERROR(MID(VLOOKUP($B116,Seqs!$A:$B,2,0),Q116,1),"")</f>
        <v>G</v>
      </c>
      <c r="Q116" s="3">
        <v>110</v>
      </c>
      <c r="R116" s="3" t="str">
        <f>IFERROR(MID(VLOOKUP($B116,Seqs!$A:$B,2,0),S116,1),"")</f>
        <v>L</v>
      </c>
      <c r="S116" s="3">
        <v>116</v>
      </c>
      <c r="T116" s="3" t="str">
        <f>IFERROR(MID(VLOOKUP($B116,Seqs!$A:$B,2,0),U116,1),"")</f>
        <v>T</v>
      </c>
      <c r="U116" s="3">
        <v>117</v>
      </c>
      <c r="V116" s="3" t="str">
        <f>IFERROR(MID(VLOOKUP($B116,Seqs!$A:$B,2,0),W116,1),"")</f>
        <v>R</v>
      </c>
      <c r="W116" s="3">
        <v>152</v>
      </c>
      <c r="X116" s="3" t="str">
        <f>IFERROR(MID(VLOOKUP($B116,Seqs!$A:$B,2,0),Y116,1),"")</f>
        <v/>
      </c>
      <c r="Y116" s="3" t="s">
        <v>23</v>
      </c>
      <c r="Z116" s="3" t="str">
        <f>IFERROR(MID(VLOOKUP($B116,Seqs!$A:$B,2,0),AA116,1),"")</f>
        <v/>
      </c>
      <c r="AA116" s="3" t="s">
        <v>23</v>
      </c>
      <c r="AB116" s="3" t="str">
        <f>IFERROR(MID(VLOOKUP($B116,Seqs!$A:$B,2,0),AC116,1),"")</f>
        <v>T</v>
      </c>
      <c r="AC116" s="9">
        <v>157</v>
      </c>
      <c r="AD116" s="3" t="str">
        <f>IFERROR(MID(VLOOKUP($B116,Seqs!$A:$B,2,0),AE116,1),"")</f>
        <v>G</v>
      </c>
      <c r="AE116" s="3">
        <v>185</v>
      </c>
      <c r="AF116" s="3" t="str">
        <f>IFERROR(MID(VLOOKUP($B116,Seqs!$A:$B,2,0),AG116,1),"")</f>
        <v/>
      </c>
      <c r="AG116" s="3" t="s">
        <v>23</v>
      </c>
      <c r="AH116" s="3" t="str">
        <f>IFERROR(MID(VLOOKUP($B116,Seqs!$A:$B,2,0),AI116,1),"")</f>
        <v/>
      </c>
      <c r="AI116" s="3" t="s">
        <v>23</v>
      </c>
      <c r="AJ116" s="3" t="str">
        <f>IFERROR(MID(VLOOKUP($B116,Seqs!$A:$B,2,0),AK116,1),"")</f>
        <v>S</v>
      </c>
      <c r="AK116" s="3">
        <v>203</v>
      </c>
      <c r="AL116" s="3" t="str">
        <f>IFERROR(MID(VLOOKUP($B116,Seqs!$A:$B,2,0),AM116,1),"")</f>
        <v>R</v>
      </c>
      <c r="AM116" s="3">
        <v>235</v>
      </c>
      <c r="AN116" s="3" t="str">
        <f>IFERROR(MID(VLOOKUP($B116,Seqs!$A:$B,2,0),AO116,1),"")</f>
        <v>G</v>
      </c>
      <c r="AO116" s="3">
        <v>245</v>
      </c>
      <c r="AP116" s="3" t="str">
        <f>IFERROR(MID(VLOOKUP($B116,Seqs!$A:$B,2,0),AQ116,1),"")</f>
        <v>C</v>
      </c>
      <c r="AQ116" s="3">
        <v>284</v>
      </c>
      <c r="AR116" s="3" t="str">
        <f>IFERROR(MID(VLOOKUP($B116,Seqs!$A:$B,2,0),AS116,1),"")</f>
        <v>E</v>
      </c>
      <c r="AS116" s="3">
        <v>293</v>
      </c>
      <c r="AT116" s="3" t="str">
        <f>IFERROR(MID(VLOOKUP($B116,Seqs!$A:$B,2,0),AU116,1),"")</f>
        <v>R</v>
      </c>
      <c r="AU116" s="3">
        <v>314</v>
      </c>
      <c r="AV116" s="3" t="str">
        <f>IFERROR(MID(VLOOKUP($B116,Seqs!$A:$B,2,0),AW116,1),"")</f>
        <v>D</v>
      </c>
      <c r="AW116" s="3">
        <v>315</v>
      </c>
      <c r="AX116" s="3" t="str">
        <f>IFERROR(MID(VLOOKUP($B116,Seqs!$A:$B,2,0),AY116,1),"")</f>
        <v>C</v>
      </c>
      <c r="AY116" s="3">
        <v>327</v>
      </c>
      <c r="AZ116" s="79" t="str">
        <f>VLOOKUP(B116,Classification!A:D,2,0)</f>
        <v>A</v>
      </c>
      <c r="BA116" s="97" t="str">
        <f>VLOOKUP(B116,Classification!A:D,4,0)</f>
        <v>Lysophospholipid(LPA)</v>
      </c>
      <c r="BB116" s="27" t="b">
        <f t="shared" si="556"/>
        <v>1</v>
      </c>
      <c r="BC116" s="23">
        <f t="shared" si="473"/>
        <v>244</v>
      </c>
      <c r="BD116" s="16" t="s">
        <v>1383</v>
      </c>
      <c r="BE116" s="3" t="s">
        <v>1381</v>
      </c>
      <c r="BF116" s="50" t="s">
        <v>1384</v>
      </c>
      <c r="BG116" s="50" t="s">
        <v>1384</v>
      </c>
      <c r="BH116" s="1"/>
      <c r="BI116" s="72" t="s">
        <v>1293</v>
      </c>
      <c r="BJ116" s="58" t="s">
        <v>1293</v>
      </c>
      <c r="BK116" s="58" t="s">
        <v>1293</v>
      </c>
      <c r="BL116" s="58" t="s">
        <v>1293</v>
      </c>
      <c r="BM116" s="58" t="s">
        <v>1293</v>
      </c>
      <c r="BN116" s="58" t="s">
        <v>1293</v>
      </c>
      <c r="BO116" s="58" t="s">
        <v>1293</v>
      </c>
      <c r="BP116" s="58" t="s">
        <v>1293</v>
      </c>
      <c r="BQ116" s="58" t="s">
        <v>1293</v>
      </c>
      <c r="BR116" s="58" t="s">
        <v>1293</v>
      </c>
      <c r="BS116" s="58" t="s">
        <v>1293</v>
      </c>
      <c r="BT116" s="58" t="s">
        <v>1293</v>
      </c>
      <c r="BU116" s="72">
        <f t="shared" si="474"/>
        <v>47</v>
      </c>
      <c r="BV116" s="73">
        <f t="shared" si="475"/>
        <v>78</v>
      </c>
      <c r="BW116" s="74">
        <f t="shared" si="476"/>
        <v>82</v>
      </c>
      <c r="BX116" s="73">
        <f t="shared" si="477"/>
        <v>110</v>
      </c>
      <c r="BY116" s="74">
        <f t="shared" si="478"/>
        <v>117</v>
      </c>
      <c r="BZ116" s="73" t="str">
        <f t="shared" si="479"/>
        <v>-</v>
      </c>
      <c r="CA116" s="74">
        <f t="shared" si="480"/>
        <v>157</v>
      </c>
      <c r="CB116" s="73" t="str">
        <f t="shared" si="481"/>
        <v>-</v>
      </c>
      <c r="CC116" s="74">
        <f t="shared" si="482"/>
        <v>203</v>
      </c>
      <c r="CD116" s="73">
        <f t="shared" si="483"/>
        <v>245</v>
      </c>
      <c r="CE116" s="74">
        <f t="shared" si="484"/>
        <v>293</v>
      </c>
      <c r="CF116" s="73">
        <f t="shared" si="485"/>
        <v>315</v>
      </c>
      <c r="CG116" s="72">
        <f t="shared" si="486"/>
        <v>77</v>
      </c>
      <c r="CH116" s="73">
        <f t="shared" si="487"/>
        <v>81</v>
      </c>
      <c r="CI116" s="74">
        <f t="shared" si="488"/>
        <v>108</v>
      </c>
      <c r="CJ116" s="74">
        <f t="shared" si="489"/>
        <v>116</v>
      </c>
      <c r="CK116" s="74">
        <f t="shared" si="490"/>
        <v>152</v>
      </c>
      <c r="CL116" s="74" t="str">
        <f t="shared" si="491"/>
        <v>-</v>
      </c>
      <c r="CM116" s="74">
        <f t="shared" si="492"/>
        <v>185</v>
      </c>
      <c r="CN116" s="74" t="str">
        <f t="shared" si="493"/>
        <v>-</v>
      </c>
      <c r="CO116" s="74">
        <f t="shared" si="494"/>
        <v>235</v>
      </c>
      <c r="CP116" s="74">
        <f t="shared" si="495"/>
        <v>284</v>
      </c>
      <c r="CQ116" s="74">
        <f t="shared" si="496"/>
        <v>314</v>
      </c>
      <c r="CR116" s="74">
        <f t="shared" si="497"/>
        <v>327</v>
      </c>
      <c r="CS116" s="23">
        <f t="shared" si="498"/>
        <v>1</v>
      </c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  <c r="OK116" s="1"/>
      <c r="OL116" s="1"/>
      <c r="OM116" s="1"/>
      <c r="ON116" s="1"/>
      <c r="OO116" s="1"/>
      <c r="OP116" s="1"/>
      <c r="OQ116" s="1"/>
      <c r="OR116" s="1"/>
      <c r="OS116" s="1"/>
      <c r="OT116" s="1"/>
      <c r="OU116" s="1"/>
      <c r="OV116" s="1"/>
      <c r="OW116" s="1"/>
      <c r="OX116" s="1"/>
      <c r="OY116" s="1"/>
      <c r="OZ116" s="1"/>
      <c r="PA116" s="1"/>
      <c r="PB116" s="1"/>
      <c r="PC116" s="1"/>
      <c r="PD116" s="1"/>
      <c r="PE116" s="1"/>
      <c r="PF116" s="1"/>
      <c r="PG116" s="1"/>
      <c r="PH116" s="1"/>
      <c r="PI116" s="1"/>
      <c r="PJ116" s="1"/>
      <c r="PK116" s="1"/>
      <c r="PL116" s="1"/>
      <c r="PM116" s="1"/>
      <c r="PN116" s="1"/>
      <c r="PO116" s="1"/>
      <c r="PP116" s="1"/>
      <c r="PQ116" s="1"/>
      <c r="PR116" s="1"/>
      <c r="PS116" s="1"/>
      <c r="PT116" s="1"/>
      <c r="PU116" s="1"/>
      <c r="PV116" s="1"/>
      <c r="PW116" s="1"/>
      <c r="PX116" s="1"/>
      <c r="PY116" s="1"/>
      <c r="PZ116" s="1"/>
      <c r="QA116" s="1"/>
      <c r="QB116" s="1"/>
      <c r="QC116" s="1"/>
      <c r="QD116" s="1"/>
      <c r="QE116" s="1"/>
      <c r="QF116" s="1"/>
      <c r="QG116" s="1"/>
      <c r="QH116" s="1"/>
      <c r="QI116" s="1"/>
      <c r="QJ116" s="1"/>
      <c r="QK116" s="1"/>
      <c r="QL116" s="1"/>
      <c r="QM116" s="1"/>
      <c r="QN116" s="1"/>
      <c r="QO116" s="1"/>
      <c r="QP116" s="1"/>
      <c r="QQ116" s="1"/>
      <c r="QR116" s="1"/>
      <c r="QS116" s="1"/>
      <c r="QT116" s="1"/>
      <c r="QU116" s="1"/>
      <c r="QV116" s="1"/>
      <c r="QW116" s="1"/>
      <c r="QX116" s="1"/>
      <c r="QY116" s="1"/>
      <c r="QZ116" s="1"/>
      <c r="RA116" s="1"/>
      <c r="RB116" s="1"/>
      <c r="RC116" s="1"/>
      <c r="RD116" s="1"/>
      <c r="RE116" s="1"/>
      <c r="RF116" s="1"/>
      <c r="RG116" s="1"/>
      <c r="RH116" s="1"/>
      <c r="RI116" s="1"/>
      <c r="RJ116" s="1"/>
      <c r="RK116" s="1"/>
      <c r="RL116" s="1"/>
      <c r="RM116" s="1"/>
      <c r="RN116" s="1"/>
      <c r="RO116" s="1"/>
      <c r="RP116" s="1"/>
      <c r="RQ116" s="1"/>
      <c r="RR116" s="1"/>
      <c r="RS116" s="1"/>
      <c r="RT116" s="1"/>
      <c r="RU116" s="1"/>
      <c r="RV116" s="1"/>
      <c r="RW116" s="1"/>
      <c r="RX116" s="1"/>
      <c r="RY116" s="1"/>
      <c r="RZ116" s="1"/>
      <c r="SA116" s="1"/>
      <c r="SB116" s="1"/>
      <c r="SC116" s="1"/>
      <c r="SD116" s="1"/>
      <c r="SE116" s="1"/>
      <c r="SF116" s="1"/>
      <c r="SG116" s="1"/>
      <c r="SH116" s="1"/>
      <c r="SI116" s="1"/>
      <c r="SJ116" s="1"/>
      <c r="SK116" s="1"/>
      <c r="SL116" s="1"/>
      <c r="SM116" s="1"/>
      <c r="SN116" s="1"/>
      <c r="SO116" s="1"/>
      <c r="SP116" s="1"/>
      <c r="SQ116" s="1"/>
      <c r="SR116" s="1"/>
      <c r="SS116" s="1"/>
      <c r="ST116" s="1"/>
      <c r="SU116" s="1"/>
      <c r="SV116" s="1"/>
      <c r="SW116" s="1"/>
      <c r="SX116" s="1"/>
      <c r="SY116" s="1"/>
      <c r="SZ116" s="1"/>
      <c r="TA116" s="1"/>
      <c r="TB116" s="1"/>
      <c r="TC116" s="1"/>
      <c r="TD116" s="1"/>
      <c r="TE116" s="1"/>
      <c r="TF116" s="1"/>
      <c r="TG116" s="1"/>
      <c r="TH116" s="1"/>
      <c r="TI116" s="1"/>
      <c r="TJ116" s="1"/>
      <c r="TK116" s="1"/>
      <c r="TL116" s="1"/>
      <c r="TM116" s="1"/>
      <c r="TN116" s="1"/>
      <c r="TO116" s="1"/>
      <c r="TP116" s="1"/>
      <c r="TQ116" s="1"/>
      <c r="TR116" s="1"/>
      <c r="TS116" s="1"/>
      <c r="TT116" s="1"/>
      <c r="TU116" s="1"/>
      <c r="TV116" s="1"/>
      <c r="TW116" s="1"/>
      <c r="TX116" s="1"/>
      <c r="TY116" s="1"/>
      <c r="TZ116" s="1"/>
      <c r="UA116" s="1"/>
      <c r="UB116" s="1"/>
      <c r="UC116" s="1"/>
      <c r="UD116" s="1"/>
      <c r="UE116" s="1"/>
      <c r="UF116" s="1"/>
      <c r="UG116" s="1"/>
      <c r="UH116" s="1"/>
      <c r="UI116" s="1"/>
      <c r="UJ116" s="1"/>
      <c r="UK116" s="1"/>
      <c r="UL116" s="1"/>
      <c r="UM116" s="1"/>
      <c r="UN116" s="1"/>
      <c r="UO116" s="1"/>
      <c r="UP116" s="1"/>
      <c r="UQ116" s="1"/>
      <c r="UR116" s="1"/>
      <c r="US116" s="1"/>
      <c r="UT116" s="1"/>
      <c r="UU116" s="1"/>
      <c r="UV116" s="1"/>
      <c r="UW116" s="1"/>
      <c r="UX116" s="1"/>
      <c r="UY116" s="1"/>
      <c r="UZ116" s="1"/>
      <c r="VA116" s="1"/>
      <c r="VB116" s="1"/>
      <c r="VC116" s="1"/>
      <c r="VD116" s="1"/>
      <c r="VE116" s="1"/>
      <c r="VF116" s="1"/>
      <c r="VG116" s="1"/>
      <c r="VH116" s="1"/>
      <c r="VI116" s="1"/>
      <c r="VJ116" s="1"/>
      <c r="VK116" s="1"/>
      <c r="VL116" s="1"/>
      <c r="VM116" s="1"/>
      <c r="VN116" s="1"/>
      <c r="VO116" s="1"/>
      <c r="VP116" s="1"/>
      <c r="VQ116" s="1"/>
      <c r="VR116" s="1"/>
      <c r="VS116" s="1"/>
      <c r="VT116" s="1"/>
      <c r="VU116" s="1"/>
      <c r="VV116" s="1"/>
      <c r="VW116" s="1"/>
      <c r="VX116" s="1"/>
      <c r="VY116" s="1"/>
      <c r="VZ116" s="1"/>
      <c r="WA116" s="1"/>
      <c r="WB116" s="1"/>
      <c r="WC116" s="1"/>
      <c r="WD116" s="1"/>
      <c r="WE116" s="1"/>
      <c r="WF116" s="1"/>
      <c r="WG116" s="1"/>
      <c r="WH116" s="1"/>
      <c r="WI116" s="1"/>
      <c r="WJ116" s="1"/>
      <c r="WK116" s="1"/>
      <c r="WL116" s="1"/>
      <c r="WM116" s="1"/>
      <c r="WN116" s="1"/>
      <c r="WO116" s="1"/>
      <c r="WP116" s="1"/>
      <c r="WQ116" s="1"/>
      <c r="WR116" s="1"/>
      <c r="WS116" s="1"/>
      <c r="WT116" s="1"/>
      <c r="WU116" s="1"/>
      <c r="WV116" s="1"/>
      <c r="WW116" s="1"/>
      <c r="WX116" s="1"/>
      <c r="WY116" s="1"/>
      <c r="WZ116" s="1"/>
      <c r="XA116" s="1"/>
      <c r="XB116" s="1"/>
      <c r="XC116" s="1"/>
      <c r="XD116" s="1"/>
      <c r="XE116" s="1"/>
      <c r="XF116" s="1"/>
      <c r="XG116" s="1"/>
      <c r="XH116" s="1"/>
      <c r="XI116" s="1"/>
      <c r="XJ116" s="1"/>
      <c r="XK116" s="1"/>
      <c r="XL116" s="1"/>
      <c r="XM116" s="1"/>
      <c r="XN116" s="1"/>
      <c r="XO116" s="1"/>
      <c r="XP116" s="1"/>
      <c r="XQ116" s="1"/>
      <c r="XR116" s="1"/>
      <c r="XS116" s="1"/>
      <c r="XT116" s="1"/>
      <c r="XU116" s="1"/>
      <c r="XV116" s="1"/>
      <c r="XW116" s="1"/>
      <c r="XX116" s="1"/>
      <c r="XY116" s="1"/>
      <c r="XZ116" s="1"/>
      <c r="YA116" s="1"/>
      <c r="YB116" s="1"/>
      <c r="YC116" s="1"/>
      <c r="YD116" s="1"/>
      <c r="YE116" s="1"/>
      <c r="YF116" s="1"/>
      <c r="YG116" s="1"/>
      <c r="YH116" s="1"/>
      <c r="YI116" s="1"/>
      <c r="YJ116" s="1"/>
      <c r="YK116" s="1"/>
      <c r="YL116" s="1"/>
      <c r="YM116" s="1"/>
      <c r="YN116" s="1"/>
      <c r="YO116" s="1"/>
      <c r="YP116" s="1"/>
      <c r="YQ116" s="1"/>
      <c r="YR116" s="1"/>
      <c r="YS116" s="1"/>
      <c r="YT116" s="1"/>
      <c r="YU116" s="1"/>
      <c r="YV116" s="1"/>
      <c r="YW116" s="1"/>
      <c r="YX116" s="1"/>
      <c r="YY116" s="1"/>
      <c r="YZ116" s="1"/>
      <c r="ZA116" s="1"/>
      <c r="ZB116" s="1"/>
      <c r="ZC116" s="1"/>
      <c r="ZD116" s="1"/>
      <c r="ZE116" s="1"/>
      <c r="ZF116" s="1"/>
      <c r="ZG116" s="1"/>
      <c r="ZH116" s="1"/>
      <c r="ZI116" s="1"/>
      <c r="ZJ116" s="1"/>
      <c r="ZK116" s="1"/>
      <c r="ZL116" s="1"/>
      <c r="ZM116" s="1"/>
      <c r="ZN116" s="1"/>
      <c r="ZO116" s="1"/>
      <c r="ZP116" s="1"/>
      <c r="ZQ116" s="1"/>
      <c r="ZR116" s="1"/>
      <c r="ZS116" s="1"/>
      <c r="ZT116" s="1"/>
      <c r="ZU116" s="1"/>
      <c r="ZV116" s="1"/>
      <c r="ZW116" s="1"/>
      <c r="ZX116" s="1"/>
      <c r="ZY116" s="1"/>
      <c r="ZZ116" s="1"/>
      <c r="AAA116" s="1"/>
      <c r="AAB116" s="1"/>
      <c r="AAC116" s="1"/>
      <c r="AAD116" s="1"/>
      <c r="AAE116" s="1"/>
      <c r="AAF116" s="1"/>
      <c r="AAG116" s="1"/>
      <c r="AAH116" s="1"/>
      <c r="AAI116" s="1"/>
      <c r="AAJ116" s="1"/>
      <c r="AAK116" s="1"/>
      <c r="AAL116" s="1"/>
      <c r="AAM116" s="1"/>
      <c r="AAN116" s="1"/>
      <c r="AAO116" s="1"/>
      <c r="AAP116" s="1"/>
      <c r="AAQ116" s="1"/>
      <c r="AAR116" s="1"/>
      <c r="AAS116" s="1"/>
      <c r="AAT116" s="1"/>
      <c r="AAU116" s="1"/>
      <c r="AAV116" s="1"/>
      <c r="AAW116" s="1"/>
      <c r="AAX116" s="1"/>
      <c r="AAY116" s="1"/>
      <c r="AAZ116" s="1"/>
      <c r="ABA116" s="1"/>
      <c r="ABB116" s="1"/>
      <c r="ABC116" s="1"/>
      <c r="ABD116" s="1"/>
      <c r="ABE116" s="1"/>
      <c r="ABF116" s="1"/>
      <c r="ABG116" s="1"/>
      <c r="ABH116" s="1"/>
      <c r="ABI116" s="1"/>
      <c r="ABJ116" s="1"/>
      <c r="ABK116" s="1"/>
      <c r="ABL116" s="1"/>
      <c r="ABM116" s="1"/>
      <c r="ABN116" s="1"/>
      <c r="ABO116" s="1"/>
      <c r="ABP116" s="1"/>
      <c r="ABQ116" s="1"/>
      <c r="ABR116" s="1"/>
      <c r="ABS116" s="1"/>
      <c r="ABT116" s="1"/>
      <c r="ABU116" s="1"/>
      <c r="ABV116" s="1"/>
      <c r="ABW116" s="1"/>
      <c r="ABX116" s="1"/>
      <c r="ABY116" s="1"/>
      <c r="ABZ116" s="1"/>
      <c r="ACA116" s="1"/>
      <c r="ACB116" s="1"/>
      <c r="ACC116" s="1"/>
      <c r="ACD116" s="1"/>
      <c r="ACE116" s="1"/>
      <c r="ACF116" s="1"/>
      <c r="ACG116" s="1"/>
      <c r="ACH116" s="1"/>
      <c r="ACI116" s="1"/>
      <c r="ACJ116" s="1"/>
      <c r="ACK116" s="1"/>
      <c r="ACL116" s="1"/>
      <c r="ACM116" s="1"/>
      <c r="ACN116" s="1"/>
      <c r="ACO116" s="1"/>
      <c r="ACP116" s="1"/>
      <c r="ACQ116" s="1"/>
      <c r="ACR116" s="1"/>
      <c r="ACS116" s="1"/>
      <c r="ACT116" s="1"/>
      <c r="ACU116" s="1"/>
      <c r="ACV116" s="1"/>
      <c r="ACW116" s="1"/>
      <c r="ACX116" s="1"/>
      <c r="ACY116" s="1"/>
      <c r="ACZ116" s="1"/>
      <c r="ADA116" s="1"/>
      <c r="ADB116" s="1"/>
      <c r="ADC116" s="1"/>
      <c r="ADD116" s="1"/>
      <c r="ADE116" s="1"/>
      <c r="ADF116" s="1"/>
      <c r="ADG116" s="1"/>
      <c r="ADH116" s="1"/>
      <c r="ADI116" s="1"/>
      <c r="ADJ116" s="1"/>
      <c r="ADK116" s="1"/>
      <c r="ADL116" s="1"/>
      <c r="ADM116" s="1"/>
      <c r="ADN116" s="1"/>
      <c r="ADO116" s="1"/>
      <c r="ADP116" s="1"/>
      <c r="ADQ116" s="1"/>
      <c r="ADR116" s="1"/>
      <c r="ADS116" s="1"/>
      <c r="ADT116" s="1"/>
      <c r="ADU116" s="1"/>
      <c r="ADV116" s="1"/>
      <c r="ADW116" s="1"/>
      <c r="ADX116" s="1"/>
      <c r="ADY116" s="1"/>
      <c r="ADZ116" s="1"/>
      <c r="AEA116" s="1"/>
      <c r="AEB116" s="1"/>
      <c r="AEC116" s="1"/>
      <c r="AED116" s="1"/>
      <c r="AEE116" s="1"/>
      <c r="AEF116" s="1"/>
      <c r="AEG116" s="1"/>
      <c r="AEH116" s="1"/>
      <c r="AEI116" s="1"/>
      <c r="AEJ116" s="1"/>
      <c r="AEK116" s="1"/>
      <c r="AEL116" s="1"/>
      <c r="AEM116" s="1"/>
      <c r="AEN116" s="1"/>
      <c r="AEO116" s="1"/>
      <c r="AEP116" s="1"/>
      <c r="AEQ116" s="1"/>
      <c r="AER116" s="1"/>
      <c r="AES116" s="1"/>
      <c r="AET116" s="1"/>
      <c r="AEU116" s="1"/>
      <c r="AEV116" s="1"/>
      <c r="AEW116" s="1"/>
      <c r="AEX116" s="1"/>
      <c r="AEY116" s="1"/>
      <c r="AEZ116" s="1"/>
      <c r="AFA116" s="1"/>
      <c r="AFB116" s="1"/>
      <c r="AFC116" s="1"/>
      <c r="AFD116" s="1"/>
      <c r="AFE116" s="1"/>
      <c r="AFF116" s="1"/>
      <c r="AFG116" s="1"/>
      <c r="AFH116" s="1"/>
      <c r="AFI116" s="1"/>
      <c r="AFJ116" s="1"/>
      <c r="AFK116" s="1"/>
      <c r="AFL116" s="1"/>
      <c r="AFM116" s="1"/>
      <c r="AFN116" s="1"/>
      <c r="AFO116" s="1"/>
      <c r="AFP116" s="1"/>
      <c r="AFQ116" s="1"/>
      <c r="AFR116" s="1"/>
      <c r="AFS116" s="1"/>
      <c r="AFT116" s="1"/>
      <c r="AFU116" s="1"/>
      <c r="AFV116" s="1"/>
      <c r="AFW116" s="1"/>
      <c r="AFX116" s="1"/>
      <c r="AFY116" s="1"/>
      <c r="AFZ116" s="1"/>
      <c r="AGA116" s="1"/>
      <c r="AGB116" s="1"/>
      <c r="AGC116" s="1"/>
      <c r="AGD116" s="1"/>
      <c r="AGE116" s="1"/>
      <c r="AGF116" s="1"/>
      <c r="AGG116" s="1"/>
      <c r="AGH116" s="1"/>
      <c r="AGI116" s="1"/>
      <c r="AGJ116" s="1"/>
      <c r="AGK116" s="1"/>
      <c r="AGL116" s="1"/>
      <c r="AGM116" s="1"/>
      <c r="AGN116" s="1"/>
      <c r="AGO116" s="1"/>
      <c r="AGP116" s="1"/>
      <c r="AGQ116" s="1"/>
      <c r="AGR116" s="1"/>
      <c r="AGS116" s="1"/>
      <c r="AGT116" s="1"/>
      <c r="AGU116" s="1"/>
      <c r="AGV116" s="1"/>
      <c r="AGW116" s="1"/>
      <c r="AGX116" s="1"/>
      <c r="AGY116" s="1"/>
      <c r="AGZ116" s="1"/>
      <c r="AHA116" s="1"/>
      <c r="AHB116" s="1"/>
      <c r="AHC116" s="1"/>
      <c r="AHD116" s="1"/>
      <c r="AHE116" s="1"/>
      <c r="AHF116" s="1"/>
      <c r="AHG116" s="1"/>
      <c r="AHH116" s="1"/>
      <c r="AHI116" s="1"/>
      <c r="AHJ116" s="1"/>
      <c r="AHK116" s="1"/>
      <c r="AHL116" s="1"/>
      <c r="AHM116" s="1"/>
      <c r="AHN116" s="1"/>
      <c r="AHO116" s="1"/>
      <c r="AHP116" s="1"/>
      <c r="AHQ116" s="1"/>
      <c r="AHR116" s="1"/>
      <c r="AHS116" s="1"/>
      <c r="AHT116" s="1"/>
      <c r="AHU116" s="1"/>
      <c r="AHV116" s="1"/>
      <c r="AHW116" s="1"/>
      <c r="AHX116" s="1"/>
      <c r="AHY116" s="1"/>
      <c r="AHZ116" s="1"/>
      <c r="AIA116" s="1"/>
      <c r="AIB116" s="1"/>
      <c r="AIC116" s="1"/>
      <c r="AID116" s="1"/>
      <c r="AIE116" s="1"/>
      <c r="AIF116" s="1"/>
      <c r="AIG116" s="1"/>
      <c r="AIH116" s="1"/>
      <c r="AII116" s="1"/>
      <c r="AIJ116" s="1"/>
      <c r="AIK116" s="1"/>
      <c r="AIL116" s="1"/>
      <c r="AIM116" s="1"/>
      <c r="AIN116" s="1"/>
      <c r="AIO116" s="1"/>
      <c r="AIP116" s="1"/>
      <c r="AIQ116" s="1"/>
      <c r="AIR116" s="1"/>
      <c r="AIS116" s="1"/>
      <c r="AIT116" s="1"/>
      <c r="AIU116" s="1"/>
      <c r="AIV116" s="1"/>
      <c r="AIW116" s="1"/>
      <c r="AIX116" s="1"/>
      <c r="AIY116" s="1"/>
      <c r="AIZ116" s="1"/>
      <c r="AJA116" s="1"/>
      <c r="AJB116" s="1"/>
      <c r="AJC116" s="1"/>
      <c r="AJD116" s="1"/>
      <c r="AJE116" s="1"/>
      <c r="AJF116" s="1"/>
      <c r="AJG116" s="1"/>
      <c r="AJH116" s="1"/>
      <c r="AJI116" s="1"/>
      <c r="AJJ116" s="1"/>
      <c r="AJK116" s="1"/>
      <c r="AJL116" s="1"/>
      <c r="AJM116" s="1"/>
      <c r="AJN116" s="1"/>
      <c r="AJO116" s="1"/>
      <c r="AJP116" s="1"/>
      <c r="AJQ116" s="1"/>
      <c r="AJR116" s="1"/>
      <c r="AJS116" s="1"/>
      <c r="AJT116" s="1"/>
      <c r="AJU116" s="1"/>
      <c r="AJV116" s="1"/>
      <c r="AJW116" s="1"/>
      <c r="AJX116" s="1"/>
      <c r="AJY116" s="1"/>
      <c r="AJZ116" s="1"/>
      <c r="AKA116" s="1"/>
      <c r="AKB116" s="1"/>
      <c r="AKC116" s="1"/>
      <c r="AKD116" s="1"/>
      <c r="AKE116" s="1"/>
      <c r="AKF116" s="1"/>
      <c r="AKG116" s="1"/>
      <c r="AKH116" s="1"/>
      <c r="AKI116" s="1"/>
      <c r="AKJ116" s="1"/>
      <c r="AKK116" s="1"/>
      <c r="AKL116" s="1"/>
      <c r="AKM116" s="1"/>
      <c r="AKN116" s="1"/>
      <c r="AKO116" s="1"/>
      <c r="AKP116" s="1"/>
      <c r="AKQ116" s="1"/>
      <c r="AKR116" s="1"/>
      <c r="AKS116" s="1"/>
      <c r="AKT116" s="1"/>
      <c r="AKU116" s="1"/>
      <c r="AKV116" s="1"/>
      <c r="AKW116" s="1"/>
      <c r="AKX116" s="1"/>
      <c r="AKY116" s="1"/>
      <c r="AKZ116" s="1"/>
      <c r="ALA116" s="1"/>
      <c r="ALB116" s="1"/>
      <c r="ALC116" s="1"/>
      <c r="ALD116" s="1"/>
      <c r="ALE116" s="1"/>
      <c r="ALF116" s="1"/>
      <c r="ALG116" s="1"/>
      <c r="ALH116" s="1"/>
      <c r="ALI116" s="1"/>
      <c r="ALJ116" s="1"/>
      <c r="ALK116" s="1"/>
      <c r="ALL116" s="1"/>
      <c r="ALM116" s="1"/>
      <c r="ALN116" s="1"/>
      <c r="ALO116" s="1"/>
      <c r="ALP116" s="1"/>
      <c r="ALQ116" s="1"/>
      <c r="ALR116" s="1"/>
      <c r="ALS116" s="1"/>
      <c r="ALT116" s="1"/>
      <c r="ALU116" s="1"/>
      <c r="ALV116" s="1"/>
      <c r="ALW116" s="1"/>
      <c r="ALX116" s="1"/>
      <c r="ALY116" s="1"/>
      <c r="ALZ116" s="1"/>
      <c r="AMA116" s="1"/>
      <c r="AMB116" s="1"/>
      <c r="AMC116" s="1"/>
      <c r="AMD116" s="1"/>
      <c r="AME116" s="1"/>
      <c r="AMF116" s="1"/>
      <c r="AMG116" s="1"/>
      <c r="AMH116" s="1"/>
      <c r="AMI116" s="1"/>
      <c r="AMJ116" s="1"/>
      <c r="AMK116" s="1"/>
      <c r="AML116" s="1"/>
      <c r="AMM116" s="1"/>
      <c r="AMN116" s="1"/>
    </row>
    <row r="117" spans="1:1029" x14ac:dyDescent="0.2">
      <c r="A117" s="3" t="str">
        <f t="shared" si="555"/>
        <v>lpar1_human_4Z35</v>
      </c>
      <c r="B117" s="3" t="s">
        <v>103</v>
      </c>
      <c r="C117" s="3" t="s">
        <v>89</v>
      </c>
      <c r="D117" s="3" t="str">
        <f>IFERROR(MID(VLOOKUP($B117,Seqs!$A:$B,2,0),E117,1),"")</f>
        <v>T</v>
      </c>
      <c r="E117" s="3">
        <v>47</v>
      </c>
      <c r="F117" s="3" t="str">
        <f>IFERROR(MID(VLOOKUP($B117,Seqs!$A:$B,2,0),G117,1),"")</f>
        <v>N</v>
      </c>
      <c r="G117" s="3">
        <v>77</v>
      </c>
      <c r="H117" s="3" t="str">
        <f>IFERROR(MID(VLOOKUP($B117,Seqs!$A:$B,2,0),I117,1),"")</f>
        <v>R</v>
      </c>
      <c r="I117" s="23">
        <v>78</v>
      </c>
      <c r="J117" s="3" t="str">
        <f>IFERROR(MID(VLOOKUP($B117,Seqs!$A:$B,2,0),K117,1),"")</f>
        <v>H</v>
      </c>
      <c r="K117" s="23">
        <v>81</v>
      </c>
      <c r="L117" s="3" t="str">
        <f>IFERROR(MID(VLOOKUP($B117,Seqs!$A:$B,2,0),M117,1),"")</f>
        <v>F</v>
      </c>
      <c r="M117" s="3">
        <v>82</v>
      </c>
      <c r="N117" s="3" t="str">
        <f>IFERROR(MID(VLOOKUP($B117,Seqs!$A:$B,2,0),O117,1),"")</f>
        <v>N</v>
      </c>
      <c r="O117" s="3">
        <v>108</v>
      </c>
      <c r="P117" s="3" t="str">
        <f>IFERROR(MID(VLOOKUP($B117,Seqs!$A:$B,2,0),Q117,1),"")</f>
        <v>G</v>
      </c>
      <c r="Q117" s="3">
        <v>110</v>
      </c>
      <c r="R117" s="3" t="str">
        <f>IFERROR(MID(VLOOKUP($B117,Seqs!$A:$B,2,0),S117,1),"")</f>
        <v>L</v>
      </c>
      <c r="S117" s="3">
        <v>116</v>
      </c>
      <c r="T117" s="3" t="str">
        <f>IFERROR(MID(VLOOKUP($B117,Seqs!$A:$B,2,0),U117,1),"")</f>
        <v>T</v>
      </c>
      <c r="U117" s="3">
        <v>117</v>
      </c>
      <c r="V117" s="3" t="str">
        <f>IFERROR(MID(VLOOKUP($B117,Seqs!$A:$B,2,0),W117,1),"")</f>
        <v>R</v>
      </c>
      <c r="W117" s="3">
        <v>152</v>
      </c>
      <c r="X117" s="3" t="str">
        <f>IFERROR(MID(VLOOKUP($B117,Seqs!$A:$B,2,0),Y117,1),"")</f>
        <v/>
      </c>
      <c r="Y117" s="3" t="s">
        <v>23</v>
      </c>
      <c r="Z117" s="3" t="str">
        <f>IFERROR(MID(VLOOKUP($B117,Seqs!$A:$B,2,0),AA117,1),"")</f>
        <v/>
      </c>
      <c r="AA117" s="3" t="s">
        <v>23</v>
      </c>
      <c r="AB117" s="3" t="str">
        <f>IFERROR(MID(VLOOKUP($B117,Seqs!$A:$B,2,0),AC117,1),"")</f>
        <v>T</v>
      </c>
      <c r="AC117" s="9">
        <v>157</v>
      </c>
      <c r="AD117" s="3" t="str">
        <f>IFERROR(MID(VLOOKUP($B117,Seqs!$A:$B,2,0),AE117,1),"")</f>
        <v>G</v>
      </c>
      <c r="AE117" s="3">
        <v>185</v>
      </c>
      <c r="AF117" s="3" t="str">
        <f>IFERROR(MID(VLOOKUP($B117,Seqs!$A:$B,2,0),AG117,1),"")</f>
        <v/>
      </c>
      <c r="AG117" s="3" t="s">
        <v>23</v>
      </c>
      <c r="AH117" s="3" t="str">
        <f>IFERROR(MID(VLOOKUP($B117,Seqs!$A:$B,2,0),AI117,1),"")</f>
        <v/>
      </c>
      <c r="AI117" s="3" t="s">
        <v>23</v>
      </c>
      <c r="AJ117" s="3" t="str">
        <f>IFERROR(MID(VLOOKUP($B117,Seqs!$A:$B,2,0),AK117,1),"")</f>
        <v>S</v>
      </c>
      <c r="AK117" s="3">
        <v>203</v>
      </c>
      <c r="AL117" s="3" t="str">
        <f>IFERROR(MID(VLOOKUP($B117,Seqs!$A:$B,2,0),AM117,1),"")</f>
        <v>R</v>
      </c>
      <c r="AM117" s="3">
        <v>235</v>
      </c>
      <c r="AN117" s="3" t="str">
        <f>IFERROR(MID(VLOOKUP($B117,Seqs!$A:$B,2,0),AO117,1),"")</f>
        <v>G</v>
      </c>
      <c r="AO117" s="3">
        <v>245</v>
      </c>
      <c r="AP117" s="3" t="str">
        <f>IFERROR(MID(VLOOKUP($B117,Seqs!$A:$B,2,0),AQ117,1),"")</f>
        <v>C</v>
      </c>
      <c r="AQ117" s="3">
        <v>284</v>
      </c>
      <c r="AR117" s="3" t="str">
        <f>IFERROR(MID(VLOOKUP($B117,Seqs!$A:$B,2,0),AS117,1),"")</f>
        <v>E</v>
      </c>
      <c r="AS117" s="3">
        <v>293</v>
      </c>
      <c r="AT117" s="3" t="str">
        <f>IFERROR(MID(VLOOKUP($B117,Seqs!$A:$B,2,0),AU117,1),"")</f>
        <v>R</v>
      </c>
      <c r="AU117" s="3">
        <v>314</v>
      </c>
      <c r="AV117" s="3" t="str">
        <f>IFERROR(MID(VLOOKUP($B117,Seqs!$A:$B,2,0),AW117,1),"")</f>
        <v>D</v>
      </c>
      <c r="AW117" s="3">
        <v>315</v>
      </c>
      <c r="AX117" s="3" t="str">
        <f>IFERROR(MID(VLOOKUP($B117,Seqs!$A:$B,2,0),AY117,1),"")</f>
        <v>C</v>
      </c>
      <c r="AY117" s="3">
        <v>327</v>
      </c>
      <c r="AZ117" s="79" t="str">
        <f>VLOOKUP(B117,Classification!A:D,2,0)</f>
        <v>A</v>
      </c>
      <c r="BA117" s="97" t="str">
        <f>VLOOKUP(B117,Classification!A:D,4,0)</f>
        <v>Lysophospholipid(LPA)</v>
      </c>
      <c r="BB117" s="27" t="b">
        <f t="shared" si="556"/>
        <v>1</v>
      </c>
      <c r="BC117" s="23">
        <f t="shared" si="473"/>
        <v>244</v>
      </c>
      <c r="BD117" s="5" t="s">
        <v>23</v>
      </c>
      <c r="BE117" s="3" t="s">
        <v>1381</v>
      </c>
      <c r="BF117" s="50" t="s">
        <v>1384</v>
      </c>
      <c r="BG117" s="50" t="s">
        <v>1384</v>
      </c>
      <c r="BH117" s="1"/>
      <c r="BI117" s="72" t="s">
        <v>1293</v>
      </c>
      <c r="BJ117" s="58" t="s">
        <v>1293</v>
      </c>
      <c r="BK117" s="58" t="s">
        <v>1293</v>
      </c>
      <c r="BL117" s="58" t="s">
        <v>1293</v>
      </c>
      <c r="BM117" s="58" t="s">
        <v>1293</v>
      </c>
      <c r="BN117" s="58" t="s">
        <v>1293</v>
      </c>
      <c r="BO117" s="58" t="s">
        <v>1293</v>
      </c>
      <c r="BP117" s="58" t="s">
        <v>1293</v>
      </c>
      <c r="BQ117" s="58" t="s">
        <v>1293</v>
      </c>
      <c r="BR117" s="58" t="s">
        <v>1293</v>
      </c>
      <c r="BS117" s="58" t="s">
        <v>1293</v>
      </c>
      <c r="BT117" s="58" t="s">
        <v>1293</v>
      </c>
      <c r="BU117" s="72">
        <f t="shared" si="474"/>
        <v>47</v>
      </c>
      <c r="BV117" s="73">
        <f t="shared" si="475"/>
        <v>78</v>
      </c>
      <c r="BW117" s="74">
        <f t="shared" si="476"/>
        <v>82</v>
      </c>
      <c r="BX117" s="73">
        <f t="shared" si="477"/>
        <v>110</v>
      </c>
      <c r="BY117" s="74">
        <f t="shared" si="478"/>
        <v>117</v>
      </c>
      <c r="BZ117" s="73" t="str">
        <f t="shared" si="479"/>
        <v>-</v>
      </c>
      <c r="CA117" s="74">
        <f t="shared" si="480"/>
        <v>157</v>
      </c>
      <c r="CB117" s="73" t="str">
        <f t="shared" si="481"/>
        <v>-</v>
      </c>
      <c r="CC117" s="74">
        <f t="shared" si="482"/>
        <v>203</v>
      </c>
      <c r="CD117" s="73">
        <f t="shared" si="483"/>
        <v>245</v>
      </c>
      <c r="CE117" s="74">
        <f t="shared" si="484"/>
        <v>293</v>
      </c>
      <c r="CF117" s="73">
        <f t="shared" si="485"/>
        <v>315</v>
      </c>
      <c r="CG117" s="72">
        <f t="shared" si="486"/>
        <v>77</v>
      </c>
      <c r="CH117" s="73">
        <f t="shared" si="487"/>
        <v>81</v>
      </c>
      <c r="CI117" s="74">
        <f t="shared" si="488"/>
        <v>108</v>
      </c>
      <c r="CJ117" s="74">
        <f t="shared" si="489"/>
        <v>116</v>
      </c>
      <c r="CK117" s="74">
        <f t="shared" si="490"/>
        <v>152</v>
      </c>
      <c r="CL117" s="74" t="str">
        <f t="shared" si="491"/>
        <v>-</v>
      </c>
      <c r="CM117" s="74">
        <f t="shared" si="492"/>
        <v>185</v>
      </c>
      <c r="CN117" s="74" t="str">
        <f t="shared" si="493"/>
        <v>-</v>
      </c>
      <c r="CO117" s="74">
        <f t="shared" si="494"/>
        <v>235</v>
      </c>
      <c r="CP117" s="74">
        <f t="shared" si="495"/>
        <v>284</v>
      </c>
      <c r="CQ117" s="74">
        <f t="shared" si="496"/>
        <v>314</v>
      </c>
      <c r="CR117" s="74">
        <f t="shared" si="497"/>
        <v>327</v>
      </c>
      <c r="CS117" s="23">
        <f t="shared" si="498"/>
        <v>1</v>
      </c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  <c r="OK117" s="1"/>
      <c r="OL117" s="1"/>
      <c r="OM117" s="1"/>
      <c r="ON117" s="1"/>
      <c r="OO117" s="1"/>
      <c r="OP117" s="1"/>
      <c r="OQ117" s="1"/>
      <c r="OR117" s="1"/>
      <c r="OS117" s="1"/>
      <c r="OT117" s="1"/>
      <c r="OU117" s="1"/>
      <c r="OV117" s="1"/>
      <c r="OW117" s="1"/>
      <c r="OX117" s="1"/>
      <c r="OY117" s="1"/>
      <c r="OZ117" s="1"/>
      <c r="PA117" s="1"/>
      <c r="PB117" s="1"/>
      <c r="PC117" s="1"/>
      <c r="PD117" s="1"/>
      <c r="PE117" s="1"/>
      <c r="PF117" s="1"/>
      <c r="PG117" s="1"/>
      <c r="PH117" s="1"/>
      <c r="PI117" s="1"/>
      <c r="PJ117" s="1"/>
      <c r="PK117" s="1"/>
      <c r="PL117" s="1"/>
      <c r="PM117" s="1"/>
      <c r="PN117" s="1"/>
      <c r="PO117" s="1"/>
      <c r="PP117" s="1"/>
      <c r="PQ117" s="1"/>
      <c r="PR117" s="1"/>
      <c r="PS117" s="1"/>
      <c r="PT117" s="1"/>
      <c r="PU117" s="1"/>
      <c r="PV117" s="1"/>
      <c r="PW117" s="1"/>
      <c r="PX117" s="1"/>
      <c r="PY117" s="1"/>
      <c r="PZ117" s="1"/>
      <c r="QA117" s="1"/>
      <c r="QB117" s="1"/>
      <c r="QC117" s="1"/>
      <c r="QD117" s="1"/>
      <c r="QE117" s="1"/>
      <c r="QF117" s="1"/>
      <c r="QG117" s="1"/>
      <c r="QH117" s="1"/>
      <c r="QI117" s="1"/>
      <c r="QJ117" s="1"/>
      <c r="QK117" s="1"/>
      <c r="QL117" s="1"/>
      <c r="QM117" s="1"/>
      <c r="QN117" s="1"/>
      <c r="QO117" s="1"/>
      <c r="QP117" s="1"/>
      <c r="QQ117" s="1"/>
      <c r="QR117" s="1"/>
      <c r="QS117" s="1"/>
      <c r="QT117" s="1"/>
      <c r="QU117" s="1"/>
      <c r="QV117" s="1"/>
      <c r="QW117" s="1"/>
      <c r="QX117" s="1"/>
      <c r="QY117" s="1"/>
      <c r="QZ117" s="1"/>
      <c r="RA117" s="1"/>
      <c r="RB117" s="1"/>
      <c r="RC117" s="1"/>
      <c r="RD117" s="1"/>
      <c r="RE117" s="1"/>
      <c r="RF117" s="1"/>
      <c r="RG117" s="1"/>
      <c r="RH117" s="1"/>
      <c r="RI117" s="1"/>
      <c r="RJ117" s="1"/>
      <c r="RK117" s="1"/>
      <c r="RL117" s="1"/>
      <c r="RM117" s="1"/>
      <c r="RN117" s="1"/>
      <c r="RO117" s="1"/>
      <c r="RP117" s="1"/>
      <c r="RQ117" s="1"/>
      <c r="RR117" s="1"/>
      <c r="RS117" s="1"/>
      <c r="RT117" s="1"/>
      <c r="RU117" s="1"/>
      <c r="RV117" s="1"/>
      <c r="RW117" s="1"/>
      <c r="RX117" s="1"/>
      <c r="RY117" s="1"/>
      <c r="RZ117" s="1"/>
      <c r="SA117" s="1"/>
      <c r="SB117" s="1"/>
      <c r="SC117" s="1"/>
      <c r="SD117" s="1"/>
      <c r="SE117" s="1"/>
      <c r="SF117" s="1"/>
      <c r="SG117" s="1"/>
      <c r="SH117" s="1"/>
      <c r="SI117" s="1"/>
      <c r="SJ117" s="1"/>
      <c r="SK117" s="1"/>
      <c r="SL117" s="1"/>
      <c r="SM117" s="1"/>
      <c r="SN117" s="1"/>
      <c r="SO117" s="1"/>
      <c r="SP117" s="1"/>
      <c r="SQ117" s="1"/>
      <c r="SR117" s="1"/>
      <c r="SS117" s="1"/>
      <c r="ST117" s="1"/>
      <c r="SU117" s="1"/>
      <c r="SV117" s="1"/>
      <c r="SW117" s="1"/>
      <c r="SX117" s="1"/>
      <c r="SY117" s="1"/>
      <c r="SZ117" s="1"/>
      <c r="TA117" s="1"/>
      <c r="TB117" s="1"/>
      <c r="TC117" s="1"/>
      <c r="TD117" s="1"/>
      <c r="TE117" s="1"/>
      <c r="TF117" s="1"/>
      <c r="TG117" s="1"/>
      <c r="TH117" s="1"/>
      <c r="TI117" s="1"/>
      <c r="TJ117" s="1"/>
      <c r="TK117" s="1"/>
      <c r="TL117" s="1"/>
      <c r="TM117" s="1"/>
      <c r="TN117" s="1"/>
      <c r="TO117" s="1"/>
      <c r="TP117" s="1"/>
      <c r="TQ117" s="1"/>
      <c r="TR117" s="1"/>
      <c r="TS117" s="1"/>
      <c r="TT117" s="1"/>
      <c r="TU117" s="1"/>
      <c r="TV117" s="1"/>
      <c r="TW117" s="1"/>
      <c r="TX117" s="1"/>
      <c r="TY117" s="1"/>
      <c r="TZ117" s="1"/>
      <c r="UA117" s="1"/>
      <c r="UB117" s="1"/>
      <c r="UC117" s="1"/>
      <c r="UD117" s="1"/>
      <c r="UE117" s="1"/>
      <c r="UF117" s="1"/>
      <c r="UG117" s="1"/>
      <c r="UH117" s="1"/>
      <c r="UI117" s="1"/>
      <c r="UJ117" s="1"/>
      <c r="UK117" s="1"/>
      <c r="UL117" s="1"/>
      <c r="UM117" s="1"/>
      <c r="UN117" s="1"/>
      <c r="UO117" s="1"/>
      <c r="UP117" s="1"/>
      <c r="UQ117" s="1"/>
      <c r="UR117" s="1"/>
      <c r="US117" s="1"/>
      <c r="UT117" s="1"/>
      <c r="UU117" s="1"/>
      <c r="UV117" s="1"/>
      <c r="UW117" s="1"/>
      <c r="UX117" s="1"/>
      <c r="UY117" s="1"/>
      <c r="UZ117" s="1"/>
      <c r="VA117" s="1"/>
      <c r="VB117" s="1"/>
      <c r="VC117" s="1"/>
      <c r="VD117" s="1"/>
      <c r="VE117" s="1"/>
      <c r="VF117" s="1"/>
      <c r="VG117" s="1"/>
      <c r="VH117" s="1"/>
      <c r="VI117" s="1"/>
      <c r="VJ117" s="1"/>
      <c r="VK117" s="1"/>
      <c r="VL117" s="1"/>
      <c r="VM117" s="1"/>
      <c r="VN117" s="1"/>
      <c r="VO117" s="1"/>
      <c r="VP117" s="1"/>
      <c r="VQ117" s="1"/>
      <c r="VR117" s="1"/>
      <c r="VS117" s="1"/>
      <c r="VT117" s="1"/>
      <c r="VU117" s="1"/>
      <c r="VV117" s="1"/>
      <c r="VW117" s="1"/>
      <c r="VX117" s="1"/>
      <c r="VY117" s="1"/>
      <c r="VZ117" s="1"/>
      <c r="WA117" s="1"/>
      <c r="WB117" s="1"/>
      <c r="WC117" s="1"/>
      <c r="WD117" s="1"/>
      <c r="WE117" s="1"/>
      <c r="WF117" s="1"/>
      <c r="WG117" s="1"/>
      <c r="WH117" s="1"/>
      <c r="WI117" s="1"/>
      <c r="WJ117" s="1"/>
      <c r="WK117" s="1"/>
      <c r="WL117" s="1"/>
      <c r="WM117" s="1"/>
      <c r="WN117" s="1"/>
      <c r="WO117" s="1"/>
      <c r="WP117" s="1"/>
      <c r="WQ117" s="1"/>
      <c r="WR117" s="1"/>
      <c r="WS117" s="1"/>
      <c r="WT117" s="1"/>
      <c r="WU117" s="1"/>
      <c r="WV117" s="1"/>
      <c r="WW117" s="1"/>
      <c r="WX117" s="1"/>
      <c r="WY117" s="1"/>
      <c r="WZ117" s="1"/>
      <c r="XA117" s="1"/>
      <c r="XB117" s="1"/>
      <c r="XC117" s="1"/>
      <c r="XD117" s="1"/>
      <c r="XE117" s="1"/>
      <c r="XF117" s="1"/>
      <c r="XG117" s="1"/>
      <c r="XH117" s="1"/>
      <c r="XI117" s="1"/>
      <c r="XJ117" s="1"/>
      <c r="XK117" s="1"/>
      <c r="XL117" s="1"/>
      <c r="XM117" s="1"/>
      <c r="XN117" s="1"/>
      <c r="XO117" s="1"/>
      <c r="XP117" s="1"/>
      <c r="XQ117" s="1"/>
      <c r="XR117" s="1"/>
      <c r="XS117" s="1"/>
      <c r="XT117" s="1"/>
      <c r="XU117" s="1"/>
      <c r="XV117" s="1"/>
      <c r="XW117" s="1"/>
      <c r="XX117" s="1"/>
      <c r="XY117" s="1"/>
      <c r="XZ117" s="1"/>
      <c r="YA117" s="1"/>
      <c r="YB117" s="1"/>
      <c r="YC117" s="1"/>
      <c r="YD117" s="1"/>
      <c r="YE117" s="1"/>
      <c r="YF117" s="1"/>
      <c r="YG117" s="1"/>
      <c r="YH117" s="1"/>
      <c r="YI117" s="1"/>
      <c r="YJ117" s="1"/>
      <c r="YK117" s="1"/>
      <c r="YL117" s="1"/>
      <c r="YM117" s="1"/>
      <c r="YN117" s="1"/>
      <c r="YO117" s="1"/>
      <c r="YP117" s="1"/>
      <c r="YQ117" s="1"/>
      <c r="YR117" s="1"/>
      <c r="YS117" s="1"/>
      <c r="YT117" s="1"/>
      <c r="YU117" s="1"/>
      <c r="YV117" s="1"/>
      <c r="YW117" s="1"/>
      <c r="YX117" s="1"/>
      <c r="YY117" s="1"/>
      <c r="YZ117" s="1"/>
      <c r="ZA117" s="1"/>
      <c r="ZB117" s="1"/>
      <c r="ZC117" s="1"/>
      <c r="ZD117" s="1"/>
      <c r="ZE117" s="1"/>
      <c r="ZF117" s="1"/>
      <c r="ZG117" s="1"/>
      <c r="ZH117" s="1"/>
      <c r="ZI117" s="1"/>
      <c r="ZJ117" s="1"/>
      <c r="ZK117" s="1"/>
      <c r="ZL117" s="1"/>
      <c r="ZM117" s="1"/>
      <c r="ZN117" s="1"/>
      <c r="ZO117" s="1"/>
      <c r="ZP117" s="1"/>
      <c r="ZQ117" s="1"/>
      <c r="ZR117" s="1"/>
      <c r="ZS117" s="1"/>
      <c r="ZT117" s="1"/>
      <c r="ZU117" s="1"/>
      <c r="ZV117" s="1"/>
      <c r="ZW117" s="1"/>
      <c r="ZX117" s="1"/>
      <c r="ZY117" s="1"/>
      <c r="ZZ117" s="1"/>
      <c r="AAA117" s="1"/>
      <c r="AAB117" s="1"/>
      <c r="AAC117" s="1"/>
      <c r="AAD117" s="1"/>
      <c r="AAE117" s="1"/>
      <c r="AAF117" s="1"/>
      <c r="AAG117" s="1"/>
      <c r="AAH117" s="1"/>
      <c r="AAI117" s="1"/>
      <c r="AAJ117" s="1"/>
      <c r="AAK117" s="1"/>
      <c r="AAL117" s="1"/>
      <c r="AAM117" s="1"/>
      <c r="AAN117" s="1"/>
      <c r="AAO117" s="1"/>
      <c r="AAP117" s="1"/>
      <c r="AAQ117" s="1"/>
      <c r="AAR117" s="1"/>
      <c r="AAS117" s="1"/>
      <c r="AAT117" s="1"/>
      <c r="AAU117" s="1"/>
      <c r="AAV117" s="1"/>
      <c r="AAW117" s="1"/>
      <c r="AAX117" s="1"/>
      <c r="AAY117" s="1"/>
      <c r="AAZ117" s="1"/>
      <c r="ABA117" s="1"/>
      <c r="ABB117" s="1"/>
      <c r="ABC117" s="1"/>
      <c r="ABD117" s="1"/>
      <c r="ABE117" s="1"/>
      <c r="ABF117" s="1"/>
      <c r="ABG117" s="1"/>
      <c r="ABH117" s="1"/>
      <c r="ABI117" s="1"/>
      <c r="ABJ117" s="1"/>
      <c r="ABK117" s="1"/>
      <c r="ABL117" s="1"/>
      <c r="ABM117" s="1"/>
      <c r="ABN117" s="1"/>
      <c r="ABO117" s="1"/>
      <c r="ABP117" s="1"/>
      <c r="ABQ117" s="1"/>
      <c r="ABR117" s="1"/>
      <c r="ABS117" s="1"/>
      <c r="ABT117" s="1"/>
      <c r="ABU117" s="1"/>
      <c r="ABV117" s="1"/>
      <c r="ABW117" s="1"/>
      <c r="ABX117" s="1"/>
      <c r="ABY117" s="1"/>
      <c r="ABZ117" s="1"/>
      <c r="ACA117" s="1"/>
      <c r="ACB117" s="1"/>
      <c r="ACC117" s="1"/>
      <c r="ACD117" s="1"/>
      <c r="ACE117" s="1"/>
      <c r="ACF117" s="1"/>
      <c r="ACG117" s="1"/>
      <c r="ACH117" s="1"/>
      <c r="ACI117" s="1"/>
      <c r="ACJ117" s="1"/>
      <c r="ACK117" s="1"/>
      <c r="ACL117" s="1"/>
      <c r="ACM117" s="1"/>
      <c r="ACN117" s="1"/>
      <c r="ACO117" s="1"/>
      <c r="ACP117" s="1"/>
      <c r="ACQ117" s="1"/>
      <c r="ACR117" s="1"/>
      <c r="ACS117" s="1"/>
      <c r="ACT117" s="1"/>
      <c r="ACU117" s="1"/>
      <c r="ACV117" s="1"/>
      <c r="ACW117" s="1"/>
      <c r="ACX117" s="1"/>
      <c r="ACY117" s="1"/>
      <c r="ACZ117" s="1"/>
      <c r="ADA117" s="1"/>
      <c r="ADB117" s="1"/>
      <c r="ADC117" s="1"/>
      <c r="ADD117" s="1"/>
      <c r="ADE117" s="1"/>
      <c r="ADF117" s="1"/>
      <c r="ADG117" s="1"/>
      <c r="ADH117" s="1"/>
      <c r="ADI117" s="1"/>
      <c r="ADJ117" s="1"/>
      <c r="ADK117" s="1"/>
      <c r="ADL117" s="1"/>
      <c r="ADM117" s="1"/>
      <c r="ADN117" s="1"/>
      <c r="ADO117" s="1"/>
      <c r="ADP117" s="1"/>
      <c r="ADQ117" s="1"/>
      <c r="ADR117" s="1"/>
      <c r="ADS117" s="1"/>
      <c r="ADT117" s="1"/>
      <c r="ADU117" s="1"/>
      <c r="ADV117" s="1"/>
      <c r="ADW117" s="1"/>
      <c r="ADX117" s="1"/>
      <c r="ADY117" s="1"/>
      <c r="ADZ117" s="1"/>
      <c r="AEA117" s="1"/>
      <c r="AEB117" s="1"/>
      <c r="AEC117" s="1"/>
      <c r="AED117" s="1"/>
      <c r="AEE117" s="1"/>
      <c r="AEF117" s="1"/>
      <c r="AEG117" s="1"/>
      <c r="AEH117" s="1"/>
      <c r="AEI117" s="1"/>
      <c r="AEJ117" s="1"/>
      <c r="AEK117" s="1"/>
      <c r="AEL117" s="1"/>
      <c r="AEM117" s="1"/>
      <c r="AEN117" s="1"/>
      <c r="AEO117" s="1"/>
      <c r="AEP117" s="1"/>
      <c r="AEQ117" s="1"/>
      <c r="AER117" s="1"/>
      <c r="AES117" s="1"/>
      <c r="AET117" s="1"/>
      <c r="AEU117" s="1"/>
      <c r="AEV117" s="1"/>
      <c r="AEW117" s="1"/>
      <c r="AEX117" s="1"/>
      <c r="AEY117" s="1"/>
      <c r="AEZ117" s="1"/>
      <c r="AFA117" s="1"/>
      <c r="AFB117" s="1"/>
      <c r="AFC117" s="1"/>
      <c r="AFD117" s="1"/>
      <c r="AFE117" s="1"/>
      <c r="AFF117" s="1"/>
      <c r="AFG117" s="1"/>
      <c r="AFH117" s="1"/>
      <c r="AFI117" s="1"/>
      <c r="AFJ117" s="1"/>
      <c r="AFK117" s="1"/>
      <c r="AFL117" s="1"/>
      <c r="AFM117" s="1"/>
      <c r="AFN117" s="1"/>
      <c r="AFO117" s="1"/>
      <c r="AFP117" s="1"/>
      <c r="AFQ117" s="1"/>
      <c r="AFR117" s="1"/>
      <c r="AFS117" s="1"/>
      <c r="AFT117" s="1"/>
      <c r="AFU117" s="1"/>
      <c r="AFV117" s="1"/>
      <c r="AFW117" s="1"/>
      <c r="AFX117" s="1"/>
      <c r="AFY117" s="1"/>
      <c r="AFZ117" s="1"/>
      <c r="AGA117" s="1"/>
      <c r="AGB117" s="1"/>
      <c r="AGC117" s="1"/>
      <c r="AGD117" s="1"/>
      <c r="AGE117" s="1"/>
      <c r="AGF117" s="1"/>
      <c r="AGG117" s="1"/>
      <c r="AGH117" s="1"/>
      <c r="AGI117" s="1"/>
      <c r="AGJ117" s="1"/>
      <c r="AGK117" s="1"/>
      <c r="AGL117" s="1"/>
      <c r="AGM117" s="1"/>
      <c r="AGN117" s="1"/>
      <c r="AGO117" s="1"/>
      <c r="AGP117" s="1"/>
      <c r="AGQ117" s="1"/>
      <c r="AGR117" s="1"/>
      <c r="AGS117" s="1"/>
      <c r="AGT117" s="1"/>
      <c r="AGU117" s="1"/>
      <c r="AGV117" s="1"/>
      <c r="AGW117" s="1"/>
      <c r="AGX117" s="1"/>
      <c r="AGY117" s="1"/>
      <c r="AGZ117" s="1"/>
      <c r="AHA117" s="1"/>
      <c r="AHB117" s="1"/>
      <c r="AHC117" s="1"/>
      <c r="AHD117" s="1"/>
      <c r="AHE117" s="1"/>
      <c r="AHF117" s="1"/>
      <c r="AHG117" s="1"/>
      <c r="AHH117" s="1"/>
      <c r="AHI117" s="1"/>
      <c r="AHJ117" s="1"/>
      <c r="AHK117" s="1"/>
      <c r="AHL117" s="1"/>
      <c r="AHM117" s="1"/>
      <c r="AHN117" s="1"/>
      <c r="AHO117" s="1"/>
      <c r="AHP117" s="1"/>
      <c r="AHQ117" s="1"/>
      <c r="AHR117" s="1"/>
      <c r="AHS117" s="1"/>
      <c r="AHT117" s="1"/>
      <c r="AHU117" s="1"/>
      <c r="AHV117" s="1"/>
      <c r="AHW117" s="1"/>
      <c r="AHX117" s="1"/>
      <c r="AHY117" s="1"/>
      <c r="AHZ117" s="1"/>
      <c r="AIA117" s="1"/>
      <c r="AIB117" s="1"/>
      <c r="AIC117" s="1"/>
      <c r="AID117" s="1"/>
      <c r="AIE117" s="1"/>
      <c r="AIF117" s="1"/>
      <c r="AIG117" s="1"/>
      <c r="AIH117" s="1"/>
      <c r="AII117" s="1"/>
      <c r="AIJ117" s="1"/>
      <c r="AIK117" s="1"/>
      <c r="AIL117" s="1"/>
      <c r="AIM117" s="1"/>
      <c r="AIN117" s="1"/>
      <c r="AIO117" s="1"/>
      <c r="AIP117" s="1"/>
      <c r="AIQ117" s="1"/>
      <c r="AIR117" s="1"/>
      <c r="AIS117" s="1"/>
      <c r="AIT117" s="1"/>
      <c r="AIU117" s="1"/>
      <c r="AIV117" s="1"/>
      <c r="AIW117" s="1"/>
      <c r="AIX117" s="1"/>
      <c r="AIY117" s="1"/>
      <c r="AIZ117" s="1"/>
      <c r="AJA117" s="1"/>
      <c r="AJB117" s="1"/>
      <c r="AJC117" s="1"/>
      <c r="AJD117" s="1"/>
      <c r="AJE117" s="1"/>
      <c r="AJF117" s="1"/>
      <c r="AJG117" s="1"/>
      <c r="AJH117" s="1"/>
      <c r="AJI117" s="1"/>
      <c r="AJJ117" s="1"/>
      <c r="AJK117" s="1"/>
      <c r="AJL117" s="1"/>
      <c r="AJM117" s="1"/>
      <c r="AJN117" s="1"/>
      <c r="AJO117" s="1"/>
      <c r="AJP117" s="1"/>
      <c r="AJQ117" s="1"/>
      <c r="AJR117" s="1"/>
      <c r="AJS117" s="1"/>
      <c r="AJT117" s="1"/>
      <c r="AJU117" s="1"/>
      <c r="AJV117" s="1"/>
      <c r="AJW117" s="1"/>
      <c r="AJX117" s="1"/>
      <c r="AJY117" s="1"/>
      <c r="AJZ117" s="1"/>
      <c r="AKA117" s="1"/>
      <c r="AKB117" s="1"/>
      <c r="AKC117" s="1"/>
      <c r="AKD117" s="1"/>
      <c r="AKE117" s="1"/>
      <c r="AKF117" s="1"/>
      <c r="AKG117" s="1"/>
      <c r="AKH117" s="1"/>
      <c r="AKI117" s="1"/>
      <c r="AKJ117" s="1"/>
      <c r="AKK117" s="1"/>
      <c r="AKL117" s="1"/>
      <c r="AKM117" s="1"/>
      <c r="AKN117" s="1"/>
      <c r="AKO117" s="1"/>
      <c r="AKP117" s="1"/>
      <c r="AKQ117" s="1"/>
      <c r="AKR117" s="1"/>
      <c r="AKS117" s="1"/>
      <c r="AKT117" s="1"/>
      <c r="AKU117" s="1"/>
      <c r="AKV117" s="1"/>
      <c r="AKW117" s="1"/>
      <c r="AKX117" s="1"/>
      <c r="AKY117" s="1"/>
      <c r="AKZ117" s="1"/>
      <c r="ALA117" s="1"/>
      <c r="ALB117" s="1"/>
      <c r="ALC117" s="1"/>
      <c r="ALD117" s="1"/>
      <c r="ALE117" s="1"/>
      <c r="ALF117" s="1"/>
      <c r="ALG117" s="1"/>
      <c r="ALH117" s="1"/>
      <c r="ALI117" s="1"/>
      <c r="ALJ117" s="1"/>
      <c r="ALK117" s="1"/>
      <c r="ALL117" s="1"/>
      <c r="ALM117" s="1"/>
      <c r="ALN117" s="1"/>
      <c r="ALO117" s="1"/>
      <c r="ALP117" s="1"/>
      <c r="ALQ117" s="1"/>
      <c r="ALR117" s="1"/>
      <c r="ALS117" s="1"/>
      <c r="ALT117" s="1"/>
      <c r="ALU117" s="1"/>
      <c r="ALV117" s="1"/>
      <c r="ALW117" s="1"/>
      <c r="ALX117" s="1"/>
      <c r="ALY117" s="1"/>
      <c r="ALZ117" s="1"/>
      <c r="AMA117" s="1"/>
      <c r="AMB117" s="1"/>
      <c r="AMC117" s="1"/>
      <c r="AMD117" s="1"/>
      <c r="AME117" s="1"/>
      <c r="AMF117" s="1"/>
      <c r="AMG117" s="1"/>
      <c r="AMH117" s="1"/>
      <c r="AMI117" s="1"/>
      <c r="AMJ117" s="1"/>
      <c r="AMK117" s="1"/>
      <c r="AML117" s="1"/>
      <c r="AMM117" s="1"/>
      <c r="AMN117" s="1"/>
    </row>
    <row r="118" spans="1:1029" x14ac:dyDescent="0.2">
      <c r="A118" s="3" t="str">
        <f t="shared" si="555"/>
        <v>lpar1_human_4Z36</v>
      </c>
      <c r="B118" s="3" t="s">
        <v>103</v>
      </c>
      <c r="C118" s="3" t="s">
        <v>1058</v>
      </c>
      <c r="D118" s="3" t="str">
        <f>IFERROR(MID(VLOOKUP($B118,Seqs!$A:$B,2,0),E118,1),"")</f>
        <v>T</v>
      </c>
      <c r="E118" s="3">
        <v>47</v>
      </c>
      <c r="F118" s="3" t="str">
        <f>IFERROR(MID(VLOOKUP($B118,Seqs!$A:$B,2,0),G118,1),"")</f>
        <v>N</v>
      </c>
      <c r="G118" s="3">
        <v>77</v>
      </c>
      <c r="H118" s="3" t="str">
        <f>IFERROR(MID(VLOOKUP($B118,Seqs!$A:$B,2,0),I118,1),"")</f>
        <v>R</v>
      </c>
      <c r="I118" s="23">
        <v>78</v>
      </c>
      <c r="J118" s="3" t="str">
        <f>IFERROR(MID(VLOOKUP($B118,Seqs!$A:$B,2,0),K118,1),"")</f>
        <v>H</v>
      </c>
      <c r="K118" s="23">
        <v>81</v>
      </c>
      <c r="L118" s="3" t="str">
        <f>IFERROR(MID(VLOOKUP($B118,Seqs!$A:$B,2,0),M118,1),"")</f>
        <v>F</v>
      </c>
      <c r="M118" s="3">
        <v>82</v>
      </c>
      <c r="N118" s="3" t="str">
        <f>IFERROR(MID(VLOOKUP($B118,Seqs!$A:$B,2,0),O118,1),"")</f>
        <v>N</v>
      </c>
      <c r="O118" s="3">
        <v>108</v>
      </c>
      <c r="P118" s="3" t="str">
        <f>IFERROR(MID(VLOOKUP($B118,Seqs!$A:$B,2,0),Q118,1),"")</f>
        <v>G</v>
      </c>
      <c r="Q118" s="3">
        <v>110</v>
      </c>
      <c r="R118" s="3" t="str">
        <f>IFERROR(MID(VLOOKUP($B118,Seqs!$A:$B,2,0),S118,1),"")</f>
        <v>L</v>
      </c>
      <c r="S118" s="3">
        <v>116</v>
      </c>
      <c r="T118" s="3" t="str">
        <f>IFERROR(MID(VLOOKUP($B118,Seqs!$A:$B,2,0),U118,1),"")</f>
        <v>T</v>
      </c>
      <c r="U118" s="3">
        <v>117</v>
      </c>
      <c r="V118" s="3" t="str">
        <f>IFERROR(MID(VLOOKUP($B118,Seqs!$A:$B,2,0),W118,1),"")</f>
        <v>R</v>
      </c>
      <c r="W118" s="3">
        <v>152</v>
      </c>
      <c r="X118" s="3" t="str">
        <f>IFERROR(MID(VLOOKUP($B118,Seqs!$A:$B,2,0),Y118,1),"")</f>
        <v/>
      </c>
      <c r="Y118" s="3" t="s">
        <v>23</v>
      </c>
      <c r="Z118" s="3" t="str">
        <f>IFERROR(MID(VLOOKUP($B118,Seqs!$A:$B,2,0),AA118,1),"")</f>
        <v/>
      </c>
      <c r="AA118" s="3" t="s">
        <v>23</v>
      </c>
      <c r="AB118" s="3" t="str">
        <f>IFERROR(MID(VLOOKUP($B118,Seqs!$A:$B,2,0),AC118,1),"")</f>
        <v>T</v>
      </c>
      <c r="AC118" s="9">
        <v>157</v>
      </c>
      <c r="AD118" s="3" t="str">
        <f>IFERROR(MID(VLOOKUP($B118,Seqs!$A:$B,2,0),AE118,1),"")</f>
        <v>G</v>
      </c>
      <c r="AE118" s="3">
        <v>185</v>
      </c>
      <c r="AF118" s="3" t="str">
        <f>IFERROR(MID(VLOOKUP($B118,Seqs!$A:$B,2,0),AG118,1),"")</f>
        <v/>
      </c>
      <c r="AG118" s="3" t="s">
        <v>23</v>
      </c>
      <c r="AH118" s="3" t="str">
        <f>IFERROR(MID(VLOOKUP($B118,Seqs!$A:$B,2,0),AI118,1),"")</f>
        <v/>
      </c>
      <c r="AI118" s="3" t="s">
        <v>23</v>
      </c>
      <c r="AJ118" s="3" t="str">
        <f>IFERROR(MID(VLOOKUP($B118,Seqs!$A:$B,2,0),AK118,1),"")</f>
        <v>S</v>
      </c>
      <c r="AK118" s="3">
        <v>203</v>
      </c>
      <c r="AL118" s="3" t="str">
        <f>IFERROR(MID(VLOOKUP($B118,Seqs!$A:$B,2,0),AM118,1),"")</f>
        <v>R</v>
      </c>
      <c r="AM118" s="3">
        <v>235</v>
      </c>
      <c r="AN118" s="3" t="str">
        <f>IFERROR(MID(VLOOKUP($B118,Seqs!$A:$B,2,0),AO118,1),"")</f>
        <v>G</v>
      </c>
      <c r="AO118" s="3">
        <v>245</v>
      </c>
      <c r="AP118" s="3" t="str">
        <f>IFERROR(MID(VLOOKUP($B118,Seqs!$A:$B,2,0),AQ118,1),"")</f>
        <v>C</v>
      </c>
      <c r="AQ118" s="3">
        <v>284</v>
      </c>
      <c r="AR118" s="3" t="str">
        <f>IFERROR(MID(VLOOKUP($B118,Seqs!$A:$B,2,0),AS118,1),"")</f>
        <v>E</v>
      </c>
      <c r="AS118" s="3">
        <v>293</v>
      </c>
      <c r="AT118" s="3" t="str">
        <f>IFERROR(MID(VLOOKUP($B118,Seqs!$A:$B,2,0),AU118,1),"")</f>
        <v>R</v>
      </c>
      <c r="AU118" s="3">
        <v>314</v>
      </c>
      <c r="AV118" s="3" t="str">
        <f>IFERROR(MID(VLOOKUP($B118,Seqs!$A:$B,2,0),AW118,1),"")</f>
        <v>D</v>
      </c>
      <c r="AW118" s="3">
        <v>315</v>
      </c>
      <c r="AX118" s="3" t="str">
        <f>IFERROR(MID(VLOOKUP($B118,Seqs!$A:$B,2,0),AY118,1),"")</f>
        <v>C</v>
      </c>
      <c r="AY118" s="3">
        <v>327</v>
      </c>
      <c r="AZ118" s="79" t="str">
        <f>VLOOKUP(B118,Classification!A:D,2,0)</f>
        <v>A</v>
      </c>
      <c r="BA118" s="97" t="str">
        <f>VLOOKUP(B118,Classification!A:D,4,0)</f>
        <v>Lysophospholipid(LPA)</v>
      </c>
      <c r="BB118" s="27" t="b">
        <f t="shared" si="556"/>
        <v>1</v>
      </c>
      <c r="BC118" s="23">
        <f t="shared" si="473"/>
        <v>244</v>
      </c>
      <c r="BD118" s="5" t="s">
        <v>23</v>
      </c>
      <c r="BE118" s="3" t="s">
        <v>1381</v>
      </c>
      <c r="BF118" s="50" t="s">
        <v>1384</v>
      </c>
      <c r="BG118" s="50" t="s">
        <v>1384</v>
      </c>
      <c r="BH118" s="1"/>
      <c r="BI118" s="72" t="s">
        <v>1293</v>
      </c>
      <c r="BJ118" s="58" t="s">
        <v>1293</v>
      </c>
      <c r="BK118" s="58" t="s">
        <v>1293</v>
      </c>
      <c r="BL118" s="58" t="s">
        <v>1293</v>
      </c>
      <c r="BM118" s="58" t="s">
        <v>1293</v>
      </c>
      <c r="BN118" s="58" t="s">
        <v>1293</v>
      </c>
      <c r="BO118" s="58" t="s">
        <v>1293</v>
      </c>
      <c r="BP118" s="58" t="s">
        <v>1293</v>
      </c>
      <c r="BQ118" s="58" t="s">
        <v>1293</v>
      </c>
      <c r="BR118" s="58" t="s">
        <v>1293</v>
      </c>
      <c r="BS118" s="58" t="s">
        <v>1293</v>
      </c>
      <c r="BT118" s="58" t="s">
        <v>1293</v>
      </c>
      <c r="BU118" s="72">
        <f t="shared" si="474"/>
        <v>47</v>
      </c>
      <c r="BV118" s="73">
        <f t="shared" si="475"/>
        <v>78</v>
      </c>
      <c r="BW118" s="74">
        <f t="shared" si="476"/>
        <v>82</v>
      </c>
      <c r="BX118" s="73">
        <f t="shared" si="477"/>
        <v>110</v>
      </c>
      <c r="BY118" s="74">
        <f t="shared" si="478"/>
        <v>117</v>
      </c>
      <c r="BZ118" s="73" t="str">
        <f t="shared" si="479"/>
        <v>-</v>
      </c>
      <c r="CA118" s="74">
        <f t="shared" si="480"/>
        <v>157</v>
      </c>
      <c r="CB118" s="73" t="str">
        <f t="shared" si="481"/>
        <v>-</v>
      </c>
      <c r="CC118" s="74">
        <f t="shared" si="482"/>
        <v>203</v>
      </c>
      <c r="CD118" s="73">
        <f t="shared" si="483"/>
        <v>245</v>
      </c>
      <c r="CE118" s="74">
        <f t="shared" si="484"/>
        <v>293</v>
      </c>
      <c r="CF118" s="73">
        <f t="shared" si="485"/>
        <v>315</v>
      </c>
      <c r="CG118" s="72">
        <f t="shared" si="486"/>
        <v>77</v>
      </c>
      <c r="CH118" s="73">
        <f t="shared" si="487"/>
        <v>81</v>
      </c>
      <c r="CI118" s="74">
        <f t="shared" si="488"/>
        <v>108</v>
      </c>
      <c r="CJ118" s="74">
        <f t="shared" si="489"/>
        <v>116</v>
      </c>
      <c r="CK118" s="74">
        <f t="shared" si="490"/>
        <v>152</v>
      </c>
      <c r="CL118" s="74" t="str">
        <f t="shared" si="491"/>
        <v>-</v>
      </c>
      <c r="CM118" s="74">
        <f t="shared" si="492"/>
        <v>185</v>
      </c>
      <c r="CN118" s="74" t="str">
        <f t="shared" si="493"/>
        <v>-</v>
      </c>
      <c r="CO118" s="74">
        <f t="shared" si="494"/>
        <v>235</v>
      </c>
      <c r="CP118" s="74">
        <f t="shared" si="495"/>
        <v>284</v>
      </c>
      <c r="CQ118" s="74">
        <f t="shared" si="496"/>
        <v>314</v>
      </c>
      <c r="CR118" s="74">
        <f t="shared" si="497"/>
        <v>327</v>
      </c>
      <c r="CS118" s="23">
        <f t="shared" si="498"/>
        <v>1</v>
      </c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  <c r="OK118" s="1"/>
      <c r="OL118" s="1"/>
      <c r="OM118" s="1"/>
      <c r="ON118" s="1"/>
      <c r="OO118" s="1"/>
      <c r="OP118" s="1"/>
      <c r="OQ118" s="1"/>
      <c r="OR118" s="1"/>
      <c r="OS118" s="1"/>
      <c r="OT118" s="1"/>
      <c r="OU118" s="1"/>
      <c r="OV118" s="1"/>
      <c r="OW118" s="1"/>
      <c r="OX118" s="1"/>
      <c r="OY118" s="1"/>
      <c r="OZ118" s="1"/>
      <c r="PA118" s="1"/>
      <c r="PB118" s="1"/>
      <c r="PC118" s="1"/>
      <c r="PD118" s="1"/>
      <c r="PE118" s="1"/>
      <c r="PF118" s="1"/>
      <c r="PG118" s="1"/>
      <c r="PH118" s="1"/>
      <c r="PI118" s="1"/>
      <c r="PJ118" s="1"/>
      <c r="PK118" s="1"/>
      <c r="PL118" s="1"/>
      <c r="PM118" s="1"/>
      <c r="PN118" s="1"/>
      <c r="PO118" s="1"/>
      <c r="PP118" s="1"/>
      <c r="PQ118" s="1"/>
      <c r="PR118" s="1"/>
      <c r="PS118" s="1"/>
      <c r="PT118" s="1"/>
      <c r="PU118" s="1"/>
      <c r="PV118" s="1"/>
      <c r="PW118" s="1"/>
      <c r="PX118" s="1"/>
      <c r="PY118" s="1"/>
      <c r="PZ118" s="1"/>
      <c r="QA118" s="1"/>
      <c r="QB118" s="1"/>
      <c r="QC118" s="1"/>
      <c r="QD118" s="1"/>
      <c r="QE118" s="1"/>
      <c r="QF118" s="1"/>
      <c r="QG118" s="1"/>
      <c r="QH118" s="1"/>
      <c r="QI118" s="1"/>
      <c r="QJ118" s="1"/>
      <c r="QK118" s="1"/>
      <c r="QL118" s="1"/>
      <c r="QM118" s="1"/>
      <c r="QN118" s="1"/>
      <c r="QO118" s="1"/>
      <c r="QP118" s="1"/>
      <c r="QQ118" s="1"/>
      <c r="QR118" s="1"/>
      <c r="QS118" s="1"/>
      <c r="QT118" s="1"/>
      <c r="QU118" s="1"/>
      <c r="QV118" s="1"/>
      <c r="QW118" s="1"/>
      <c r="QX118" s="1"/>
      <c r="QY118" s="1"/>
      <c r="QZ118" s="1"/>
      <c r="RA118" s="1"/>
      <c r="RB118" s="1"/>
      <c r="RC118" s="1"/>
      <c r="RD118" s="1"/>
      <c r="RE118" s="1"/>
      <c r="RF118" s="1"/>
      <c r="RG118" s="1"/>
      <c r="RH118" s="1"/>
      <c r="RI118" s="1"/>
      <c r="RJ118" s="1"/>
      <c r="RK118" s="1"/>
      <c r="RL118" s="1"/>
      <c r="RM118" s="1"/>
      <c r="RN118" s="1"/>
      <c r="RO118" s="1"/>
      <c r="RP118" s="1"/>
      <c r="RQ118" s="1"/>
      <c r="RR118" s="1"/>
      <c r="RS118" s="1"/>
      <c r="RT118" s="1"/>
      <c r="RU118" s="1"/>
      <c r="RV118" s="1"/>
      <c r="RW118" s="1"/>
      <c r="RX118" s="1"/>
      <c r="RY118" s="1"/>
      <c r="RZ118" s="1"/>
      <c r="SA118" s="1"/>
      <c r="SB118" s="1"/>
      <c r="SC118" s="1"/>
      <c r="SD118" s="1"/>
      <c r="SE118" s="1"/>
      <c r="SF118" s="1"/>
      <c r="SG118" s="1"/>
      <c r="SH118" s="1"/>
      <c r="SI118" s="1"/>
      <c r="SJ118" s="1"/>
      <c r="SK118" s="1"/>
      <c r="SL118" s="1"/>
      <c r="SM118" s="1"/>
      <c r="SN118" s="1"/>
      <c r="SO118" s="1"/>
      <c r="SP118" s="1"/>
      <c r="SQ118" s="1"/>
      <c r="SR118" s="1"/>
      <c r="SS118" s="1"/>
      <c r="ST118" s="1"/>
      <c r="SU118" s="1"/>
      <c r="SV118" s="1"/>
      <c r="SW118" s="1"/>
      <c r="SX118" s="1"/>
      <c r="SY118" s="1"/>
      <c r="SZ118" s="1"/>
      <c r="TA118" s="1"/>
      <c r="TB118" s="1"/>
      <c r="TC118" s="1"/>
      <c r="TD118" s="1"/>
      <c r="TE118" s="1"/>
      <c r="TF118" s="1"/>
      <c r="TG118" s="1"/>
      <c r="TH118" s="1"/>
      <c r="TI118" s="1"/>
      <c r="TJ118" s="1"/>
      <c r="TK118" s="1"/>
      <c r="TL118" s="1"/>
      <c r="TM118" s="1"/>
      <c r="TN118" s="1"/>
      <c r="TO118" s="1"/>
      <c r="TP118" s="1"/>
      <c r="TQ118" s="1"/>
      <c r="TR118" s="1"/>
      <c r="TS118" s="1"/>
      <c r="TT118" s="1"/>
      <c r="TU118" s="1"/>
      <c r="TV118" s="1"/>
      <c r="TW118" s="1"/>
      <c r="TX118" s="1"/>
      <c r="TY118" s="1"/>
      <c r="TZ118" s="1"/>
      <c r="UA118" s="1"/>
      <c r="UB118" s="1"/>
      <c r="UC118" s="1"/>
      <c r="UD118" s="1"/>
      <c r="UE118" s="1"/>
      <c r="UF118" s="1"/>
      <c r="UG118" s="1"/>
      <c r="UH118" s="1"/>
      <c r="UI118" s="1"/>
      <c r="UJ118" s="1"/>
      <c r="UK118" s="1"/>
      <c r="UL118" s="1"/>
      <c r="UM118" s="1"/>
      <c r="UN118" s="1"/>
      <c r="UO118" s="1"/>
      <c r="UP118" s="1"/>
      <c r="UQ118" s="1"/>
      <c r="UR118" s="1"/>
      <c r="US118" s="1"/>
      <c r="UT118" s="1"/>
      <c r="UU118" s="1"/>
      <c r="UV118" s="1"/>
      <c r="UW118" s="1"/>
      <c r="UX118" s="1"/>
      <c r="UY118" s="1"/>
      <c r="UZ118" s="1"/>
      <c r="VA118" s="1"/>
      <c r="VB118" s="1"/>
      <c r="VC118" s="1"/>
      <c r="VD118" s="1"/>
      <c r="VE118" s="1"/>
      <c r="VF118" s="1"/>
      <c r="VG118" s="1"/>
      <c r="VH118" s="1"/>
      <c r="VI118" s="1"/>
      <c r="VJ118" s="1"/>
      <c r="VK118" s="1"/>
      <c r="VL118" s="1"/>
      <c r="VM118" s="1"/>
      <c r="VN118" s="1"/>
      <c r="VO118" s="1"/>
      <c r="VP118" s="1"/>
      <c r="VQ118" s="1"/>
      <c r="VR118" s="1"/>
      <c r="VS118" s="1"/>
      <c r="VT118" s="1"/>
      <c r="VU118" s="1"/>
      <c r="VV118" s="1"/>
      <c r="VW118" s="1"/>
      <c r="VX118" s="1"/>
      <c r="VY118" s="1"/>
      <c r="VZ118" s="1"/>
      <c r="WA118" s="1"/>
      <c r="WB118" s="1"/>
      <c r="WC118" s="1"/>
      <c r="WD118" s="1"/>
      <c r="WE118" s="1"/>
      <c r="WF118" s="1"/>
      <c r="WG118" s="1"/>
      <c r="WH118" s="1"/>
      <c r="WI118" s="1"/>
      <c r="WJ118" s="1"/>
      <c r="WK118" s="1"/>
      <c r="WL118" s="1"/>
      <c r="WM118" s="1"/>
      <c r="WN118" s="1"/>
      <c r="WO118" s="1"/>
      <c r="WP118" s="1"/>
      <c r="WQ118" s="1"/>
      <c r="WR118" s="1"/>
      <c r="WS118" s="1"/>
      <c r="WT118" s="1"/>
      <c r="WU118" s="1"/>
      <c r="WV118" s="1"/>
      <c r="WW118" s="1"/>
      <c r="WX118" s="1"/>
      <c r="WY118" s="1"/>
      <c r="WZ118" s="1"/>
      <c r="XA118" s="1"/>
      <c r="XB118" s="1"/>
      <c r="XC118" s="1"/>
      <c r="XD118" s="1"/>
      <c r="XE118" s="1"/>
      <c r="XF118" s="1"/>
      <c r="XG118" s="1"/>
      <c r="XH118" s="1"/>
      <c r="XI118" s="1"/>
      <c r="XJ118" s="1"/>
      <c r="XK118" s="1"/>
      <c r="XL118" s="1"/>
      <c r="XM118" s="1"/>
      <c r="XN118" s="1"/>
      <c r="XO118" s="1"/>
      <c r="XP118" s="1"/>
      <c r="XQ118" s="1"/>
      <c r="XR118" s="1"/>
      <c r="XS118" s="1"/>
      <c r="XT118" s="1"/>
      <c r="XU118" s="1"/>
      <c r="XV118" s="1"/>
      <c r="XW118" s="1"/>
      <c r="XX118" s="1"/>
      <c r="XY118" s="1"/>
      <c r="XZ118" s="1"/>
      <c r="YA118" s="1"/>
      <c r="YB118" s="1"/>
      <c r="YC118" s="1"/>
      <c r="YD118" s="1"/>
      <c r="YE118" s="1"/>
      <c r="YF118" s="1"/>
      <c r="YG118" s="1"/>
      <c r="YH118" s="1"/>
      <c r="YI118" s="1"/>
      <c r="YJ118" s="1"/>
      <c r="YK118" s="1"/>
      <c r="YL118" s="1"/>
      <c r="YM118" s="1"/>
      <c r="YN118" s="1"/>
      <c r="YO118" s="1"/>
      <c r="YP118" s="1"/>
      <c r="YQ118" s="1"/>
      <c r="YR118" s="1"/>
      <c r="YS118" s="1"/>
      <c r="YT118" s="1"/>
      <c r="YU118" s="1"/>
      <c r="YV118" s="1"/>
      <c r="YW118" s="1"/>
      <c r="YX118" s="1"/>
      <c r="YY118" s="1"/>
      <c r="YZ118" s="1"/>
      <c r="ZA118" s="1"/>
      <c r="ZB118" s="1"/>
      <c r="ZC118" s="1"/>
      <c r="ZD118" s="1"/>
      <c r="ZE118" s="1"/>
      <c r="ZF118" s="1"/>
      <c r="ZG118" s="1"/>
      <c r="ZH118" s="1"/>
      <c r="ZI118" s="1"/>
      <c r="ZJ118" s="1"/>
      <c r="ZK118" s="1"/>
      <c r="ZL118" s="1"/>
      <c r="ZM118" s="1"/>
      <c r="ZN118" s="1"/>
      <c r="ZO118" s="1"/>
      <c r="ZP118" s="1"/>
      <c r="ZQ118" s="1"/>
      <c r="ZR118" s="1"/>
      <c r="ZS118" s="1"/>
      <c r="ZT118" s="1"/>
      <c r="ZU118" s="1"/>
      <c r="ZV118" s="1"/>
      <c r="ZW118" s="1"/>
      <c r="ZX118" s="1"/>
      <c r="ZY118" s="1"/>
      <c r="ZZ118" s="1"/>
      <c r="AAA118" s="1"/>
      <c r="AAB118" s="1"/>
      <c r="AAC118" s="1"/>
      <c r="AAD118" s="1"/>
      <c r="AAE118" s="1"/>
      <c r="AAF118" s="1"/>
      <c r="AAG118" s="1"/>
      <c r="AAH118" s="1"/>
      <c r="AAI118" s="1"/>
      <c r="AAJ118" s="1"/>
      <c r="AAK118" s="1"/>
      <c r="AAL118" s="1"/>
      <c r="AAM118" s="1"/>
      <c r="AAN118" s="1"/>
      <c r="AAO118" s="1"/>
      <c r="AAP118" s="1"/>
      <c r="AAQ118" s="1"/>
      <c r="AAR118" s="1"/>
      <c r="AAS118" s="1"/>
      <c r="AAT118" s="1"/>
      <c r="AAU118" s="1"/>
      <c r="AAV118" s="1"/>
      <c r="AAW118" s="1"/>
      <c r="AAX118" s="1"/>
      <c r="AAY118" s="1"/>
      <c r="AAZ118" s="1"/>
      <c r="ABA118" s="1"/>
      <c r="ABB118" s="1"/>
      <c r="ABC118" s="1"/>
      <c r="ABD118" s="1"/>
      <c r="ABE118" s="1"/>
      <c r="ABF118" s="1"/>
      <c r="ABG118" s="1"/>
      <c r="ABH118" s="1"/>
      <c r="ABI118" s="1"/>
      <c r="ABJ118" s="1"/>
      <c r="ABK118" s="1"/>
      <c r="ABL118" s="1"/>
      <c r="ABM118" s="1"/>
      <c r="ABN118" s="1"/>
      <c r="ABO118" s="1"/>
      <c r="ABP118" s="1"/>
      <c r="ABQ118" s="1"/>
      <c r="ABR118" s="1"/>
      <c r="ABS118" s="1"/>
      <c r="ABT118" s="1"/>
      <c r="ABU118" s="1"/>
      <c r="ABV118" s="1"/>
      <c r="ABW118" s="1"/>
      <c r="ABX118" s="1"/>
      <c r="ABY118" s="1"/>
      <c r="ABZ118" s="1"/>
      <c r="ACA118" s="1"/>
      <c r="ACB118" s="1"/>
      <c r="ACC118" s="1"/>
      <c r="ACD118" s="1"/>
      <c r="ACE118" s="1"/>
      <c r="ACF118" s="1"/>
      <c r="ACG118" s="1"/>
      <c r="ACH118" s="1"/>
      <c r="ACI118" s="1"/>
      <c r="ACJ118" s="1"/>
      <c r="ACK118" s="1"/>
      <c r="ACL118" s="1"/>
      <c r="ACM118" s="1"/>
      <c r="ACN118" s="1"/>
      <c r="ACO118" s="1"/>
      <c r="ACP118" s="1"/>
      <c r="ACQ118" s="1"/>
      <c r="ACR118" s="1"/>
      <c r="ACS118" s="1"/>
      <c r="ACT118" s="1"/>
      <c r="ACU118" s="1"/>
      <c r="ACV118" s="1"/>
      <c r="ACW118" s="1"/>
      <c r="ACX118" s="1"/>
      <c r="ACY118" s="1"/>
      <c r="ACZ118" s="1"/>
      <c r="ADA118" s="1"/>
      <c r="ADB118" s="1"/>
      <c r="ADC118" s="1"/>
      <c r="ADD118" s="1"/>
      <c r="ADE118" s="1"/>
      <c r="ADF118" s="1"/>
      <c r="ADG118" s="1"/>
      <c r="ADH118" s="1"/>
      <c r="ADI118" s="1"/>
      <c r="ADJ118" s="1"/>
      <c r="ADK118" s="1"/>
      <c r="ADL118" s="1"/>
      <c r="ADM118" s="1"/>
      <c r="ADN118" s="1"/>
      <c r="ADO118" s="1"/>
      <c r="ADP118" s="1"/>
      <c r="ADQ118" s="1"/>
      <c r="ADR118" s="1"/>
      <c r="ADS118" s="1"/>
      <c r="ADT118" s="1"/>
      <c r="ADU118" s="1"/>
      <c r="ADV118" s="1"/>
      <c r="ADW118" s="1"/>
      <c r="ADX118" s="1"/>
      <c r="ADY118" s="1"/>
      <c r="ADZ118" s="1"/>
      <c r="AEA118" s="1"/>
      <c r="AEB118" s="1"/>
      <c r="AEC118" s="1"/>
      <c r="AED118" s="1"/>
      <c r="AEE118" s="1"/>
      <c r="AEF118" s="1"/>
      <c r="AEG118" s="1"/>
      <c r="AEH118" s="1"/>
      <c r="AEI118" s="1"/>
      <c r="AEJ118" s="1"/>
      <c r="AEK118" s="1"/>
      <c r="AEL118" s="1"/>
      <c r="AEM118" s="1"/>
      <c r="AEN118" s="1"/>
      <c r="AEO118" s="1"/>
      <c r="AEP118" s="1"/>
      <c r="AEQ118" s="1"/>
      <c r="AER118" s="1"/>
      <c r="AES118" s="1"/>
      <c r="AET118" s="1"/>
      <c r="AEU118" s="1"/>
      <c r="AEV118" s="1"/>
      <c r="AEW118" s="1"/>
      <c r="AEX118" s="1"/>
      <c r="AEY118" s="1"/>
      <c r="AEZ118" s="1"/>
      <c r="AFA118" s="1"/>
      <c r="AFB118" s="1"/>
      <c r="AFC118" s="1"/>
      <c r="AFD118" s="1"/>
      <c r="AFE118" s="1"/>
      <c r="AFF118" s="1"/>
      <c r="AFG118" s="1"/>
      <c r="AFH118" s="1"/>
      <c r="AFI118" s="1"/>
      <c r="AFJ118" s="1"/>
      <c r="AFK118" s="1"/>
      <c r="AFL118" s="1"/>
      <c r="AFM118" s="1"/>
      <c r="AFN118" s="1"/>
      <c r="AFO118" s="1"/>
      <c r="AFP118" s="1"/>
      <c r="AFQ118" s="1"/>
      <c r="AFR118" s="1"/>
      <c r="AFS118" s="1"/>
      <c r="AFT118" s="1"/>
      <c r="AFU118" s="1"/>
      <c r="AFV118" s="1"/>
      <c r="AFW118" s="1"/>
      <c r="AFX118" s="1"/>
      <c r="AFY118" s="1"/>
      <c r="AFZ118" s="1"/>
      <c r="AGA118" s="1"/>
      <c r="AGB118" s="1"/>
      <c r="AGC118" s="1"/>
      <c r="AGD118" s="1"/>
      <c r="AGE118" s="1"/>
      <c r="AGF118" s="1"/>
      <c r="AGG118" s="1"/>
      <c r="AGH118" s="1"/>
      <c r="AGI118" s="1"/>
      <c r="AGJ118" s="1"/>
      <c r="AGK118" s="1"/>
      <c r="AGL118" s="1"/>
      <c r="AGM118" s="1"/>
      <c r="AGN118" s="1"/>
      <c r="AGO118" s="1"/>
      <c r="AGP118" s="1"/>
      <c r="AGQ118" s="1"/>
      <c r="AGR118" s="1"/>
      <c r="AGS118" s="1"/>
      <c r="AGT118" s="1"/>
      <c r="AGU118" s="1"/>
      <c r="AGV118" s="1"/>
      <c r="AGW118" s="1"/>
      <c r="AGX118" s="1"/>
      <c r="AGY118" s="1"/>
      <c r="AGZ118" s="1"/>
      <c r="AHA118" s="1"/>
      <c r="AHB118" s="1"/>
      <c r="AHC118" s="1"/>
      <c r="AHD118" s="1"/>
      <c r="AHE118" s="1"/>
      <c r="AHF118" s="1"/>
      <c r="AHG118" s="1"/>
      <c r="AHH118" s="1"/>
      <c r="AHI118" s="1"/>
      <c r="AHJ118" s="1"/>
      <c r="AHK118" s="1"/>
      <c r="AHL118" s="1"/>
      <c r="AHM118" s="1"/>
      <c r="AHN118" s="1"/>
      <c r="AHO118" s="1"/>
      <c r="AHP118" s="1"/>
      <c r="AHQ118" s="1"/>
      <c r="AHR118" s="1"/>
      <c r="AHS118" s="1"/>
      <c r="AHT118" s="1"/>
      <c r="AHU118" s="1"/>
      <c r="AHV118" s="1"/>
      <c r="AHW118" s="1"/>
      <c r="AHX118" s="1"/>
      <c r="AHY118" s="1"/>
      <c r="AHZ118" s="1"/>
      <c r="AIA118" s="1"/>
      <c r="AIB118" s="1"/>
      <c r="AIC118" s="1"/>
      <c r="AID118" s="1"/>
      <c r="AIE118" s="1"/>
      <c r="AIF118" s="1"/>
      <c r="AIG118" s="1"/>
      <c r="AIH118" s="1"/>
      <c r="AII118" s="1"/>
      <c r="AIJ118" s="1"/>
      <c r="AIK118" s="1"/>
      <c r="AIL118" s="1"/>
      <c r="AIM118" s="1"/>
      <c r="AIN118" s="1"/>
      <c r="AIO118" s="1"/>
      <c r="AIP118" s="1"/>
      <c r="AIQ118" s="1"/>
      <c r="AIR118" s="1"/>
      <c r="AIS118" s="1"/>
      <c r="AIT118" s="1"/>
      <c r="AIU118" s="1"/>
      <c r="AIV118" s="1"/>
      <c r="AIW118" s="1"/>
      <c r="AIX118" s="1"/>
      <c r="AIY118" s="1"/>
      <c r="AIZ118" s="1"/>
      <c r="AJA118" s="1"/>
      <c r="AJB118" s="1"/>
      <c r="AJC118" s="1"/>
      <c r="AJD118" s="1"/>
      <c r="AJE118" s="1"/>
      <c r="AJF118" s="1"/>
      <c r="AJG118" s="1"/>
      <c r="AJH118" s="1"/>
      <c r="AJI118" s="1"/>
      <c r="AJJ118" s="1"/>
      <c r="AJK118" s="1"/>
      <c r="AJL118" s="1"/>
      <c r="AJM118" s="1"/>
      <c r="AJN118" s="1"/>
      <c r="AJO118" s="1"/>
      <c r="AJP118" s="1"/>
      <c r="AJQ118" s="1"/>
      <c r="AJR118" s="1"/>
      <c r="AJS118" s="1"/>
      <c r="AJT118" s="1"/>
      <c r="AJU118" s="1"/>
      <c r="AJV118" s="1"/>
      <c r="AJW118" s="1"/>
      <c r="AJX118" s="1"/>
      <c r="AJY118" s="1"/>
      <c r="AJZ118" s="1"/>
      <c r="AKA118" s="1"/>
      <c r="AKB118" s="1"/>
      <c r="AKC118" s="1"/>
      <c r="AKD118" s="1"/>
      <c r="AKE118" s="1"/>
      <c r="AKF118" s="1"/>
      <c r="AKG118" s="1"/>
      <c r="AKH118" s="1"/>
      <c r="AKI118" s="1"/>
      <c r="AKJ118" s="1"/>
      <c r="AKK118" s="1"/>
      <c r="AKL118" s="1"/>
      <c r="AKM118" s="1"/>
      <c r="AKN118" s="1"/>
      <c r="AKO118" s="1"/>
      <c r="AKP118" s="1"/>
      <c r="AKQ118" s="1"/>
      <c r="AKR118" s="1"/>
      <c r="AKS118" s="1"/>
      <c r="AKT118" s="1"/>
      <c r="AKU118" s="1"/>
      <c r="AKV118" s="1"/>
      <c r="AKW118" s="1"/>
      <c r="AKX118" s="1"/>
      <c r="AKY118" s="1"/>
      <c r="AKZ118" s="1"/>
      <c r="ALA118" s="1"/>
      <c r="ALB118" s="1"/>
      <c r="ALC118" s="1"/>
      <c r="ALD118" s="1"/>
      <c r="ALE118" s="1"/>
      <c r="ALF118" s="1"/>
      <c r="ALG118" s="1"/>
      <c r="ALH118" s="1"/>
      <c r="ALI118" s="1"/>
      <c r="ALJ118" s="1"/>
      <c r="ALK118" s="1"/>
      <c r="ALL118" s="1"/>
      <c r="ALM118" s="1"/>
      <c r="ALN118" s="1"/>
      <c r="ALO118" s="1"/>
      <c r="ALP118" s="1"/>
      <c r="ALQ118" s="1"/>
      <c r="ALR118" s="1"/>
      <c r="ALS118" s="1"/>
      <c r="ALT118" s="1"/>
      <c r="ALU118" s="1"/>
      <c r="ALV118" s="1"/>
      <c r="ALW118" s="1"/>
      <c r="ALX118" s="1"/>
      <c r="ALY118" s="1"/>
      <c r="ALZ118" s="1"/>
      <c r="AMA118" s="1"/>
      <c r="AMB118" s="1"/>
      <c r="AMC118" s="1"/>
      <c r="AMD118" s="1"/>
      <c r="AME118" s="1"/>
      <c r="AMF118" s="1"/>
      <c r="AMG118" s="1"/>
      <c r="AMH118" s="1"/>
      <c r="AMI118" s="1"/>
      <c r="AMJ118" s="1"/>
      <c r="AMK118" s="1"/>
      <c r="AML118" s="1"/>
      <c r="AMM118" s="1"/>
      <c r="AMN118" s="1"/>
    </row>
    <row r="119" spans="1:1029" x14ac:dyDescent="0.2">
      <c r="A119" s="3" t="str">
        <f t="shared" si="555"/>
        <v>ntr1_rat__wt</v>
      </c>
      <c r="B119" s="3" t="s">
        <v>914</v>
      </c>
      <c r="C119" s="3" t="s">
        <v>100</v>
      </c>
      <c r="D119" s="3" t="str">
        <f>IFERROR(MID(VLOOKUP($B119,Seqs!$A:$B,2,0),E119,1),"")</f>
        <v>I</v>
      </c>
      <c r="E119" s="3">
        <v>61</v>
      </c>
      <c r="F119" s="3" t="str">
        <f>IFERROR(MID(VLOOKUP($B119,Seqs!$A:$B,2,0),G119,1),"")</f>
        <v>K</v>
      </c>
      <c r="G119" s="3">
        <v>92</v>
      </c>
      <c r="H119" s="3" t="str">
        <f>IFERROR(MID(VLOOKUP($B119,Seqs!$A:$B,2,0),I119,1),"")</f>
        <v>K</v>
      </c>
      <c r="I119" s="23">
        <v>93</v>
      </c>
      <c r="J119" s="3" t="str">
        <f>IFERROR(MID(VLOOKUP($B119,Seqs!$A:$B,2,0),K119,1),"")</f>
        <v>Q</v>
      </c>
      <c r="K119" s="23">
        <v>96</v>
      </c>
      <c r="L119" s="3" t="str">
        <f>IFERROR(MID(VLOOKUP($B119,Seqs!$A:$B,2,0),M119,1),"")</f>
        <v>S</v>
      </c>
      <c r="M119" s="3">
        <v>97</v>
      </c>
      <c r="N119" s="3" t="str">
        <f>IFERROR(MID(VLOOKUP($B119,Seqs!$A:$B,2,0),O119,1),"")</f>
        <v>V</v>
      </c>
      <c r="O119" s="3">
        <v>131</v>
      </c>
      <c r="P119" s="3" t="str">
        <f>IFERROR(MID(VLOOKUP($B119,Seqs!$A:$B,2,0),Q119,1),"")</f>
        <v>P</v>
      </c>
      <c r="Q119" s="3">
        <v>134</v>
      </c>
      <c r="R119" s="3" t="str">
        <f>IFERROR(MID(VLOOKUP($B119,Seqs!$A:$B,2,0),S119,1),"")</f>
        <v>F</v>
      </c>
      <c r="S119" s="3">
        <v>137</v>
      </c>
      <c r="T119" s="3" t="str">
        <f>IFERROR(MID(VLOOKUP($B119,Seqs!$A:$B,2,0),U119,1),"")</f>
        <v>G</v>
      </c>
      <c r="U119" s="3">
        <v>138</v>
      </c>
      <c r="V119" s="3" t="str">
        <f>IFERROR(MID(VLOOKUP($B119,Seqs!$A:$B,2,0),W119,1),"")</f>
        <v>H</v>
      </c>
      <c r="W119" s="3">
        <v>173</v>
      </c>
      <c r="X119" s="3" t="str">
        <f>IFERROR(MID(VLOOKUP($B119,Seqs!$A:$B,2,0),Y119,1),"")</f>
        <v>P</v>
      </c>
      <c r="Y119" s="3">
        <v>174</v>
      </c>
      <c r="Z119" s="3" t="str">
        <f>IFERROR(MID(VLOOKUP($B119,Seqs!$A:$B,2,0),AA119,1),"")</f>
        <v>M</v>
      </c>
      <c r="AA119" s="3">
        <v>181</v>
      </c>
      <c r="AB119" s="3" t="str">
        <f>IFERROR(MID(VLOOKUP($B119,Seqs!$A:$B,2,0),AC119,1),"")</f>
        <v>S</v>
      </c>
      <c r="AC119" s="9">
        <v>182</v>
      </c>
      <c r="AD119" s="3" t="str">
        <f>IFERROR(MID(VLOOKUP($B119,Seqs!$A:$B,2,0),AE119,1),"")</f>
        <v>M</v>
      </c>
      <c r="AE119" s="3">
        <v>208</v>
      </c>
      <c r="AF119" s="3" t="str">
        <f>IFERROR(MID(VLOOKUP($B119,Seqs!$A:$B,2,0),AG119,1),"")</f>
        <v>C</v>
      </c>
      <c r="AG119" s="3">
        <v>225</v>
      </c>
      <c r="AH119" s="3" t="str">
        <f>IFERROR(MID(VLOOKUP($B119,Seqs!$A:$B,2,0),AI119,1),"")</f>
        <v>P</v>
      </c>
      <c r="AI119" s="3">
        <v>227</v>
      </c>
      <c r="AJ119" s="3" t="str">
        <f>IFERROR(MID(VLOOKUP($B119,Seqs!$A:$B,2,0),AK119,1),"")</f>
        <v>T</v>
      </c>
      <c r="AK119" s="3">
        <v>231</v>
      </c>
      <c r="AL119" s="3" t="str">
        <f>IFERROR(MID(VLOOKUP($B119,Seqs!$A:$B,2,0),AM119,1),"")</f>
        <v>G</v>
      </c>
      <c r="AM119" s="3">
        <v>275</v>
      </c>
      <c r="AN119" s="3" t="str">
        <f>IFERROR(MID(VLOOKUP($B119,Seqs!$A:$B,2,0),AO119,1),"")</f>
        <v>P</v>
      </c>
      <c r="AO119" s="3">
        <v>297</v>
      </c>
      <c r="AP119" s="3" t="str">
        <f>IFERROR(MID(VLOOKUP($B119,Seqs!$A:$B,2,0),AQ119,1),"")</f>
        <v>I</v>
      </c>
      <c r="AQ119" s="3">
        <v>334</v>
      </c>
      <c r="AR119" s="3" t="str">
        <f>IFERROR(MID(VLOOKUP($B119,Seqs!$A:$B,2,0),AS119,1),"")</f>
        <v>T</v>
      </c>
      <c r="AS119" s="3">
        <v>340</v>
      </c>
      <c r="AT119" s="3" t="str">
        <f>IFERROR(MID(VLOOKUP($B119,Seqs!$A:$B,2,0),AU119,1),"")</f>
        <v>V</v>
      </c>
      <c r="AU119" s="3">
        <v>372</v>
      </c>
      <c r="AV119" s="3" t="str">
        <f>IFERROR(MID(VLOOKUP($B119,Seqs!$A:$B,2,0),AW119,1),"")</f>
        <v>S</v>
      </c>
      <c r="AW119" s="3">
        <v>373</v>
      </c>
      <c r="AX119" s="3" t="str">
        <f>IFERROR(MID(VLOOKUP($B119,Seqs!$A:$B,2,0),AY119,1),"")</f>
        <v>L</v>
      </c>
      <c r="AY119" s="3">
        <v>384</v>
      </c>
      <c r="AZ119" s="79" t="str">
        <f>VLOOKUP(B119,Classification!A:D,2,0)</f>
        <v>A</v>
      </c>
      <c r="BA119" s="97" t="str">
        <f>VLOOKUP(B119,Classification!A:D,4,0)</f>
        <v>Neurotensin</v>
      </c>
      <c r="BB119" s="27" t="b">
        <f t="shared" si="556"/>
        <v>1</v>
      </c>
      <c r="BC119" s="23">
        <f t="shared" si="473"/>
        <v>277</v>
      </c>
      <c r="BD119" s="57" t="s">
        <v>1379</v>
      </c>
      <c r="BE119" s="3" t="s">
        <v>1381</v>
      </c>
      <c r="BF119" s="50" t="s">
        <v>1379</v>
      </c>
      <c r="BG119" s="50" t="s">
        <v>1384</v>
      </c>
      <c r="BH119" s="3" t="s">
        <v>1170</v>
      </c>
      <c r="BI119" s="72" t="s">
        <v>1293</v>
      </c>
      <c r="BJ119" s="58" t="s">
        <v>1293</v>
      </c>
      <c r="BK119" s="58" t="s">
        <v>1293</v>
      </c>
      <c r="BL119" s="58" t="s">
        <v>1293</v>
      </c>
      <c r="BM119" s="58" t="s">
        <v>1293</v>
      </c>
      <c r="BN119" s="58" t="s">
        <v>1293</v>
      </c>
      <c r="BO119" s="58" t="s">
        <v>1293</v>
      </c>
      <c r="BP119" s="58" t="s">
        <v>1293</v>
      </c>
      <c r="BQ119" s="58" t="s">
        <v>1293</v>
      </c>
      <c r="BR119" s="58" t="s">
        <v>1293</v>
      </c>
      <c r="BS119" s="58" t="s">
        <v>1293</v>
      </c>
      <c r="BT119" s="58" t="s">
        <v>1293</v>
      </c>
      <c r="BU119" s="72">
        <f t="shared" si="474"/>
        <v>61</v>
      </c>
      <c r="BV119" s="73">
        <f t="shared" si="475"/>
        <v>93</v>
      </c>
      <c r="BW119" s="74">
        <f t="shared" si="476"/>
        <v>97</v>
      </c>
      <c r="BX119" s="73">
        <f t="shared" si="477"/>
        <v>134</v>
      </c>
      <c r="BY119" s="74">
        <f t="shared" si="478"/>
        <v>138</v>
      </c>
      <c r="BZ119" s="73">
        <f t="shared" si="479"/>
        <v>174</v>
      </c>
      <c r="CA119" s="74">
        <f t="shared" si="480"/>
        <v>182</v>
      </c>
      <c r="CB119" s="73">
        <f t="shared" si="481"/>
        <v>225</v>
      </c>
      <c r="CC119" s="74">
        <f t="shared" si="482"/>
        <v>231</v>
      </c>
      <c r="CD119" s="73">
        <f t="shared" si="483"/>
        <v>297</v>
      </c>
      <c r="CE119" s="74">
        <f t="shared" si="484"/>
        <v>340</v>
      </c>
      <c r="CF119" s="73">
        <f t="shared" si="485"/>
        <v>373</v>
      </c>
      <c r="CG119" s="72">
        <f t="shared" si="486"/>
        <v>92</v>
      </c>
      <c r="CH119" s="73">
        <f t="shared" si="487"/>
        <v>96</v>
      </c>
      <c r="CI119" s="74">
        <f t="shared" si="488"/>
        <v>131</v>
      </c>
      <c r="CJ119" s="74">
        <f t="shared" si="489"/>
        <v>137</v>
      </c>
      <c r="CK119" s="74">
        <f t="shared" si="490"/>
        <v>173</v>
      </c>
      <c r="CL119" s="74">
        <f t="shared" si="491"/>
        <v>181</v>
      </c>
      <c r="CM119" s="74">
        <f t="shared" si="492"/>
        <v>208</v>
      </c>
      <c r="CN119" s="74">
        <f t="shared" si="493"/>
        <v>227</v>
      </c>
      <c r="CO119" s="74">
        <f t="shared" si="494"/>
        <v>275</v>
      </c>
      <c r="CP119" s="74">
        <f t="shared" si="495"/>
        <v>334</v>
      </c>
      <c r="CQ119" s="74">
        <f t="shared" si="496"/>
        <v>372</v>
      </c>
      <c r="CR119" s="74">
        <f t="shared" si="497"/>
        <v>384</v>
      </c>
      <c r="CS119" s="23">
        <f t="shared" si="498"/>
        <v>1</v>
      </c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  <c r="OK119" s="1"/>
      <c r="OL119" s="1"/>
      <c r="OM119" s="1"/>
      <c r="ON119" s="1"/>
      <c r="OO119" s="1"/>
      <c r="OP119" s="1"/>
      <c r="OQ119" s="1"/>
      <c r="OR119" s="1"/>
      <c r="OS119" s="1"/>
      <c r="OT119" s="1"/>
      <c r="OU119" s="1"/>
      <c r="OV119" s="1"/>
      <c r="OW119" s="1"/>
      <c r="OX119" s="1"/>
      <c r="OY119" s="1"/>
      <c r="OZ119" s="1"/>
      <c r="PA119" s="1"/>
      <c r="PB119" s="1"/>
      <c r="PC119" s="1"/>
      <c r="PD119" s="1"/>
      <c r="PE119" s="1"/>
      <c r="PF119" s="1"/>
      <c r="PG119" s="1"/>
      <c r="PH119" s="1"/>
      <c r="PI119" s="1"/>
      <c r="PJ119" s="1"/>
      <c r="PK119" s="1"/>
      <c r="PL119" s="1"/>
      <c r="PM119" s="1"/>
      <c r="PN119" s="1"/>
      <c r="PO119" s="1"/>
      <c r="PP119" s="1"/>
      <c r="PQ119" s="1"/>
      <c r="PR119" s="1"/>
      <c r="PS119" s="1"/>
      <c r="PT119" s="1"/>
      <c r="PU119" s="1"/>
      <c r="PV119" s="1"/>
      <c r="PW119" s="1"/>
      <c r="PX119" s="1"/>
      <c r="PY119" s="1"/>
      <c r="PZ119" s="1"/>
      <c r="QA119" s="1"/>
      <c r="QB119" s="1"/>
      <c r="QC119" s="1"/>
      <c r="QD119" s="1"/>
      <c r="QE119" s="1"/>
      <c r="QF119" s="1"/>
      <c r="QG119" s="1"/>
      <c r="QH119" s="1"/>
      <c r="QI119" s="1"/>
      <c r="QJ119" s="1"/>
      <c r="QK119" s="1"/>
      <c r="QL119" s="1"/>
      <c r="QM119" s="1"/>
      <c r="QN119" s="1"/>
      <c r="QO119" s="1"/>
      <c r="QP119" s="1"/>
      <c r="QQ119" s="1"/>
      <c r="QR119" s="1"/>
      <c r="QS119" s="1"/>
      <c r="QT119" s="1"/>
      <c r="QU119" s="1"/>
      <c r="QV119" s="1"/>
      <c r="QW119" s="1"/>
      <c r="QX119" s="1"/>
      <c r="QY119" s="1"/>
      <c r="QZ119" s="1"/>
      <c r="RA119" s="1"/>
      <c r="RB119" s="1"/>
      <c r="RC119" s="1"/>
      <c r="RD119" s="1"/>
      <c r="RE119" s="1"/>
      <c r="RF119" s="1"/>
      <c r="RG119" s="1"/>
      <c r="RH119" s="1"/>
      <c r="RI119" s="1"/>
      <c r="RJ119" s="1"/>
      <c r="RK119" s="1"/>
      <c r="RL119" s="1"/>
      <c r="RM119" s="1"/>
      <c r="RN119" s="1"/>
      <c r="RO119" s="1"/>
      <c r="RP119" s="1"/>
      <c r="RQ119" s="1"/>
      <c r="RR119" s="1"/>
      <c r="RS119" s="1"/>
      <c r="RT119" s="1"/>
      <c r="RU119" s="1"/>
      <c r="RV119" s="1"/>
      <c r="RW119" s="1"/>
      <c r="RX119" s="1"/>
      <c r="RY119" s="1"/>
      <c r="RZ119" s="1"/>
      <c r="SA119" s="1"/>
      <c r="SB119" s="1"/>
      <c r="SC119" s="1"/>
      <c r="SD119" s="1"/>
      <c r="SE119" s="1"/>
      <c r="SF119" s="1"/>
      <c r="SG119" s="1"/>
      <c r="SH119" s="1"/>
      <c r="SI119" s="1"/>
      <c r="SJ119" s="1"/>
      <c r="SK119" s="1"/>
      <c r="SL119" s="1"/>
      <c r="SM119" s="1"/>
      <c r="SN119" s="1"/>
      <c r="SO119" s="1"/>
      <c r="SP119" s="1"/>
      <c r="SQ119" s="1"/>
      <c r="SR119" s="1"/>
      <c r="SS119" s="1"/>
      <c r="ST119" s="1"/>
      <c r="SU119" s="1"/>
      <c r="SV119" s="1"/>
      <c r="SW119" s="1"/>
      <c r="SX119" s="1"/>
      <c r="SY119" s="1"/>
      <c r="SZ119" s="1"/>
      <c r="TA119" s="1"/>
      <c r="TB119" s="1"/>
      <c r="TC119" s="1"/>
      <c r="TD119" s="1"/>
      <c r="TE119" s="1"/>
      <c r="TF119" s="1"/>
      <c r="TG119" s="1"/>
      <c r="TH119" s="1"/>
      <c r="TI119" s="1"/>
      <c r="TJ119" s="1"/>
      <c r="TK119" s="1"/>
      <c r="TL119" s="1"/>
      <c r="TM119" s="1"/>
      <c r="TN119" s="1"/>
      <c r="TO119" s="1"/>
      <c r="TP119" s="1"/>
      <c r="TQ119" s="1"/>
      <c r="TR119" s="1"/>
      <c r="TS119" s="1"/>
      <c r="TT119" s="1"/>
      <c r="TU119" s="1"/>
      <c r="TV119" s="1"/>
      <c r="TW119" s="1"/>
      <c r="TX119" s="1"/>
      <c r="TY119" s="1"/>
      <c r="TZ119" s="1"/>
      <c r="UA119" s="1"/>
      <c r="UB119" s="1"/>
      <c r="UC119" s="1"/>
      <c r="UD119" s="1"/>
      <c r="UE119" s="1"/>
      <c r="UF119" s="1"/>
      <c r="UG119" s="1"/>
      <c r="UH119" s="1"/>
      <c r="UI119" s="1"/>
      <c r="UJ119" s="1"/>
      <c r="UK119" s="1"/>
      <c r="UL119" s="1"/>
      <c r="UM119" s="1"/>
      <c r="UN119" s="1"/>
      <c r="UO119" s="1"/>
      <c r="UP119" s="1"/>
      <c r="UQ119" s="1"/>
      <c r="UR119" s="1"/>
      <c r="US119" s="1"/>
      <c r="UT119" s="1"/>
      <c r="UU119" s="1"/>
      <c r="UV119" s="1"/>
      <c r="UW119" s="1"/>
      <c r="UX119" s="1"/>
      <c r="UY119" s="1"/>
      <c r="UZ119" s="1"/>
      <c r="VA119" s="1"/>
      <c r="VB119" s="1"/>
      <c r="VC119" s="1"/>
      <c r="VD119" s="1"/>
      <c r="VE119" s="1"/>
      <c r="VF119" s="1"/>
      <c r="VG119" s="1"/>
      <c r="VH119" s="1"/>
      <c r="VI119" s="1"/>
      <c r="VJ119" s="1"/>
      <c r="VK119" s="1"/>
      <c r="VL119" s="1"/>
      <c r="VM119" s="1"/>
      <c r="VN119" s="1"/>
      <c r="VO119" s="1"/>
      <c r="VP119" s="1"/>
      <c r="VQ119" s="1"/>
      <c r="VR119" s="1"/>
      <c r="VS119" s="1"/>
      <c r="VT119" s="1"/>
      <c r="VU119" s="1"/>
      <c r="VV119" s="1"/>
      <c r="VW119" s="1"/>
      <c r="VX119" s="1"/>
      <c r="VY119" s="1"/>
      <c r="VZ119" s="1"/>
      <c r="WA119" s="1"/>
      <c r="WB119" s="1"/>
      <c r="WC119" s="1"/>
      <c r="WD119" s="1"/>
      <c r="WE119" s="1"/>
      <c r="WF119" s="1"/>
      <c r="WG119" s="1"/>
      <c r="WH119" s="1"/>
      <c r="WI119" s="1"/>
      <c r="WJ119" s="1"/>
      <c r="WK119" s="1"/>
      <c r="WL119" s="1"/>
      <c r="WM119" s="1"/>
      <c r="WN119" s="1"/>
      <c r="WO119" s="1"/>
      <c r="WP119" s="1"/>
      <c r="WQ119" s="1"/>
      <c r="WR119" s="1"/>
      <c r="WS119" s="1"/>
      <c r="WT119" s="1"/>
      <c r="WU119" s="1"/>
      <c r="WV119" s="1"/>
      <c r="WW119" s="1"/>
      <c r="WX119" s="1"/>
      <c r="WY119" s="1"/>
      <c r="WZ119" s="1"/>
      <c r="XA119" s="1"/>
      <c r="XB119" s="1"/>
      <c r="XC119" s="1"/>
      <c r="XD119" s="1"/>
      <c r="XE119" s="1"/>
      <c r="XF119" s="1"/>
      <c r="XG119" s="1"/>
      <c r="XH119" s="1"/>
      <c r="XI119" s="1"/>
      <c r="XJ119" s="1"/>
      <c r="XK119" s="1"/>
      <c r="XL119" s="1"/>
      <c r="XM119" s="1"/>
      <c r="XN119" s="1"/>
      <c r="XO119" s="1"/>
      <c r="XP119" s="1"/>
      <c r="XQ119" s="1"/>
      <c r="XR119" s="1"/>
      <c r="XS119" s="1"/>
      <c r="XT119" s="1"/>
      <c r="XU119" s="1"/>
      <c r="XV119" s="1"/>
      <c r="XW119" s="1"/>
      <c r="XX119" s="1"/>
      <c r="XY119" s="1"/>
      <c r="XZ119" s="1"/>
      <c r="YA119" s="1"/>
      <c r="YB119" s="1"/>
      <c r="YC119" s="1"/>
      <c r="YD119" s="1"/>
      <c r="YE119" s="1"/>
      <c r="YF119" s="1"/>
      <c r="YG119" s="1"/>
      <c r="YH119" s="1"/>
      <c r="YI119" s="1"/>
      <c r="YJ119" s="1"/>
      <c r="YK119" s="1"/>
      <c r="YL119" s="1"/>
      <c r="YM119" s="1"/>
      <c r="YN119" s="1"/>
      <c r="YO119" s="1"/>
      <c r="YP119" s="1"/>
      <c r="YQ119" s="1"/>
      <c r="YR119" s="1"/>
      <c r="YS119" s="1"/>
      <c r="YT119" s="1"/>
      <c r="YU119" s="1"/>
      <c r="YV119" s="1"/>
      <c r="YW119" s="1"/>
      <c r="YX119" s="1"/>
      <c r="YY119" s="1"/>
      <c r="YZ119" s="1"/>
      <c r="ZA119" s="1"/>
      <c r="ZB119" s="1"/>
      <c r="ZC119" s="1"/>
      <c r="ZD119" s="1"/>
      <c r="ZE119" s="1"/>
      <c r="ZF119" s="1"/>
      <c r="ZG119" s="1"/>
      <c r="ZH119" s="1"/>
      <c r="ZI119" s="1"/>
      <c r="ZJ119" s="1"/>
      <c r="ZK119" s="1"/>
      <c r="ZL119" s="1"/>
      <c r="ZM119" s="1"/>
      <c r="ZN119" s="1"/>
      <c r="ZO119" s="1"/>
      <c r="ZP119" s="1"/>
      <c r="ZQ119" s="1"/>
      <c r="ZR119" s="1"/>
      <c r="ZS119" s="1"/>
      <c r="ZT119" s="1"/>
      <c r="ZU119" s="1"/>
      <c r="ZV119" s="1"/>
      <c r="ZW119" s="1"/>
      <c r="ZX119" s="1"/>
      <c r="ZY119" s="1"/>
      <c r="ZZ119" s="1"/>
      <c r="AAA119" s="1"/>
      <c r="AAB119" s="1"/>
      <c r="AAC119" s="1"/>
      <c r="AAD119" s="1"/>
      <c r="AAE119" s="1"/>
      <c r="AAF119" s="1"/>
      <c r="AAG119" s="1"/>
      <c r="AAH119" s="1"/>
      <c r="AAI119" s="1"/>
      <c r="AAJ119" s="1"/>
      <c r="AAK119" s="1"/>
      <c r="AAL119" s="1"/>
      <c r="AAM119" s="1"/>
      <c r="AAN119" s="1"/>
      <c r="AAO119" s="1"/>
      <c r="AAP119" s="1"/>
      <c r="AAQ119" s="1"/>
      <c r="AAR119" s="1"/>
      <c r="AAS119" s="1"/>
      <c r="AAT119" s="1"/>
      <c r="AAU119" s="1"/>
      <c r="AAV119" s="1"/>
      <c r="AAW119" s="1"/>
      <c r="AAX119" s="1"/>
      <c r="AAY119" s="1"/>
      <c r="AAZ119" s="1"/>
      <c r="ABA119" s="1"/>
      <c r="ABB119" s="1"/>
      <c r="ABC119" s="1"/>
      <c r="ABD119" s="1"/>
      <c r="ABE119" s="1"/>
      <c r="ABF119" s="1"/>
      <c r="ABG119" s="1"/>
      <c r="ABH119" s="1"/>
      <c r="ABI119" s="1"/>
      <c r="ABJ119" s="1"/>
      <c r="ABK119" s="1"/>
      <c r="ABL119" s="1"/>
      <c r="ABM119" s="1"/>
      <c r="ABN119" s="1"/>
      <c r="ABO119" s="1"/>
      <c r="ABP119" s="1"/>
      <c r="ABQ119" s="1"/>
      <c r="ABR119" s="1"/>
      <c r="ABS119" s="1"/>
      <c r="ABT119" s="1"/>
      <c r="ABU119" s="1"/>
      <c r="ABV119" s="1"/>
      <c r="ABW119" s="1"/>
      <c r="ABX119" s="1"/>
      <c r="ABY119" s="1"/>
      <c r="ABZ119" s="1"/>
      <c r="ACA119" s="1"/>
      <c r="ACB119" s="1"/>
      <c r="ACC119" s="1"/>
      <c r="ACD119" s="1"/>
      <c r="ACE119" s="1"/>
      <c r="ACF119" s="1"/>
      <c r="ACG119" s="1"/>
      <c r="ACH119" s="1"/>
      <c r="ACI119" s="1"/>
      <c r="ACJ119" s="1"/>
      <c r="ACK119" s="1"/>
      <c r="ACL119" s="1"/>
      <c r="ACM119" s="1"/>
      <c r="ACN119" s="1"/>
      <c r="ACO119" s="1"/>
      <c r="ACP119" s="1"/>
      <c r="ACQ119" s="1"/>
      <c r="ACR119" s="1"/>
      <c r="ACS119" s="1"/>
      <c r="ACT119" s="1"/>
      <c r="ACU119" s="1"/>
      <c r="ACV119" s="1"/>
      <c r="ACW119" s="1"/>
      <c r="ACX119" s="1"/>
      <c r="ACY119" s="1"/>
      <c r="ACZ119" s="1"/>
      <c r="ADA119" s="1"/>
      <c r="ADB119" s="1"/>
      <c r="ADC119" s="1"/>
      <c r="ADD119" s="1"/>
      <c r="ADE119" s="1"/>
      <c r="ADF119" s="1"/>
      <c r="ADG119" s="1"/>
      <c r="ADH119" s="1"/>
      <c r="ADI119" s="1"/>
      <c r="ADJ119" s="1"/>
      <c r="ADK119" s="1"/>
      <c r="ADL119" s="1"/>
      <c r="ADM119" s="1"/>
      <c r="ADN119" s="1"/>
      <c r="ADO119" s="1"/>
      <c r="ADP119" s="1"/>
      <c r="ADQ119" s="1"/>
      <c r="ADR119" s="1"/>
      <c r="ADS119" s="1"/>
      <c r="ADT119" s="1"/>
      <c r="ADU119" s="1"/>
      <c r="ADV119" s="1"/>
      <c r="ADW119" s="1"/>
      <c r="ADX119" s="1"/>
      <c r="ADY119" s="1"/>
      <c r="ADZ119" s="1"/>
      <c r="AEA119" s="1"/>
      <c r="AEB119" s="1"/>
      <c r="AEC119" s="1"/>
      <c r="AED119" s="1"/>
      <c r="AEE119" s="1"/>
      <c r="AEF119" s="1"/>
      <c r="AEG119" s="1"/>
      <c r="AEH119" s="1"/>
      <c r="AEI119" s="1"/>
      <c r="AEJ119" s="1"/>
      <c r="AEK119" s="1"/>
      <c r="AEL119" s="1"/>
      <c r="AEM119" s="1"/>
      <c r="AEN119" s="1"/>
      <c r="AEO119" s="1"/>
      <c r="AEP119" s="1"/>
      <c r="AEQ119" s="1"/>
      <c r="AER119" s="1"/>
      <c r="AES119" s="1"/>
      <c r="AET119" s="1"/>
      <c r="AEU119" s="1"/>
      <c r="AEV119" s="1"/>
      <c r="AEW119" s="1"/>
      <c r="AEX119" s="1"/>
      <c r="AEY119" s="1"/>
      <c r="AEZ119" s="1"/>
      <c r="AFA119" s="1"/>
      <c r="AFB119" s="1"/>
      <c r="AFC119" s="1"/>
      <c r="AFD119" s="1"/>
      <c r="AFE119" s="1"/>
      <c r="AFF119" s="1"/>
      <c r="AFG119" s="1"/>
      <c r="AFH119" s="1"/>
      <c r="AFI119" s="1"/>
      <c r="AFJ119" s="1"/>
      <c r="AFK119" s="1"/>
      <c r="AFL119" s="1"/>
      <c r="AFM119" s="1"/>
      <c r="AFN119" s="1"/>
      <c r="AFO119" s="1"/>
      <c r="AFP119" s="1"/>
      <c r="AFQ119" s="1"/>
      <c r="AFR119" s="1"/>
      <c r="AFS119" s="1"/>
      <c r="AFT119" s="1"/>
      <c r="AFU119" s="1"/>
      <c r="AFV119" s="1"/>
      <c r="AFW119" s="1"/>
      <c r="AFX119" s="1"/>
      <c r="AFY119" s="1"/>
      <c r="AFZ119" s="1"/>
      <c r="AGA119" s="1"/>
      <c r="AGB119" s="1"/>
      <c r="AGC119" s="1"/>
      <c r="AGD119" s="1"/>
      <c r="AGE119" s="1"/>
      <c r="AGF119" s="1"/>
      <c r="AGG119" s="1"/>
      <c r="AGH119" s="1"/>
      <c r="AGI119" s="1"/>
      <c r="AGJ119" s="1"/>
      <c r="AGK119" s="1"/>
      <c r="AGL119" s="1"/>
      <c r="AGM119" s="1"/>
      <c r="AGN119" s="1"/>
      <c r="AGO119" s="1"/>
      <c r="AGP119" s="1"/>
      <c r="AGQ119" s="1"/>
      <c r="AGR119" s="1"/>
      <c r="AGS119" s="1"/>
      <c r="AGT119" s="1"/>
      <c r="AGU119" s="1"/>
      <c r="AGV119" s="1"/>
      <c r="AGW119" s="1"/>
      <c r="AGX119" s="1"/>
      <c r="AGY119" s="1"/>
      <c r="AGZ119" s="1"/>
      <c r="AHA119" s="1"/>
      <c r="AHB119" s="1"/>
      <c r="AHC119" s="1"/>
      <c r="AHD119" s="1"/>
      <c r="AHE119" s="1"/>
      <c r="AHF119" s="1"/>
      <c r="AHG119" s="1"/>
      <c r="AHH119" s="1"/>
      <c r="AHI119" s="1"/>
      <c r="AHJ119" s="1"/>
      <c r="AHK119" s="1"/>
      <c r="AHL119" s="1"/>
      <c r="AHM119" s="1"/>
      <c r="AHN119" s="1"/>
      <c r="AHO119" s="1"/>
      <c r="AHP119" s="1"/>
      <c r="AHQ119" s="1"/>
      <c r="AHR119" s="1"/>
      <c r="AHS119" s="1"/>
      <c r="AHT119" s="1"/>
      <c r="AHU119" s="1"/>
      <c r="AHV119" s="1"/>
      <c r="AHW119" s="1"/>
      <c r="AHX119" s="1"/>
      <c r="AHY119" s="1"/>
      <c r="AHZ119" s="1"/>
      <c r="AIA119" s="1"/>
      <c r="AIB119" s="1"/>
      <c r="AIC119" s="1"/>
      <c r="AID119" s="1"/>
      <c r="AIE119" s="1"/>
      <c r="AIF119" s="1"/>
      <c r="AIG119" s="1"/>
      <c r="AIH119" s="1"/>
      <c r="AII119" s="1"/>
      <c r="AIJ119" s="1"/>
      <c r="AIK119" s="1"/>
      <c r="AIL119" s="1"/>
      <c r="AIM119" s="1"/>
      <c r="AIN119" s="1"/>
      <c r="AIO119" s="1"/>
      <c r="AIP119" s="1"/>
      <c r="AIQ119" s="1"/>
      <c r="AIR119" s="1"/>
      <c r="AIS119" s="1"/>
      <c r="AIT119" s="1"/>
      <c r="AIU119" s="1"/>
      <c r="AIV119" s="1"/>
      <c r="AIW119" s="1"/>
      <c r="AIX119" s="1"/>
      <c r="AIY119" s="1"/>
      <c r="AIZ119" s="1"/>
      <c r="AJA119" s="1"/>
      <c r="AJB119" s="1"/>
      <c r="AJC119" s="1"/>
      <c r="AJD119" s="1"/>
      <c r="AJE119" s="1"/>
      <c r="AJF119" s="1"/>
      <c r="AJG119" s="1"/>
      <c r="AJH119" s="1"/>
      <c r="AJI119" s="1"/>
      <c r="AJJ119" s="1"/>
      <c r="AJK119" s="1"/>
      <c r="AJL119" s="1"/>
      <c r="AJM119" s="1"/>
      <c r="AJN119" s="1"/>
      <c r="AJO119" s="1"/>
      <c r="AJP119" s="1"/>
      <c r="AJQ119" s="1"/>
      <c r="AJR119" s="1"/>
      <c r="AJS119" s="1"/>
      <c r="AJT119" s="1"/>
      <c r="AJU119" s="1"/>
      <c r="AJV119" s="1"/>
      <c r="AJW119" s="1"/>
      <c r="AJX119" s="1"/>
      <c r="AJY119" s="1"/>
      <c r="AJZ119" s="1"/>
      <c r="AKA119" s="1"/>
      <c r="AKB119" s="1"/>
      <c r="AKC119" s="1"/>
      <c r="AKD119" s="1"/>
      <c r="AKE119" s="1"/>
      <c r="AKF119" s="1"/>
      <c r="AKG119" s="1"/>
      <c r="AKH119" s="1"/>
      <c r="AKI119" s="1"/>
      <c r="AKJ119" s="1"/>
      <c r="AKK119" s="1"/>
      <c r="AKL119" s="1"/>
      <c r="AKM119" s="1"/>
      <c r="AKN119" s="1"/>
      <c r="AKO119" s="1"/>
      <c r="AKP119" s="1"/>
      <c r="AKQ119" s="1"/>
      <c r="AKR119" s="1"/>
      <c r="AKS119" s="1"/>
      <c r="AKT119" s="1"/>
      <c r="AKU119" s="1"/>
      <c r="AKV119" s="1"/>
      <c r="AKW119" s="1"/>
      <c r="AKX119" s="1"/>
      <c r="AKY119" s="1"/>
      <c r="AKZ119" s="1"/>
      <c r="ALA119" s="1"/>
      <c r="ALB119" s="1"/>
      <c r="ALC119" s="1"/>
      <c r="ALD119" s="1"/>
      <c r="ALE119" s="1"/>
      <c r="ALF119" s="1"/>
      <c r="ALG119" s="1"/>
      <c r="ALH119" s="1"/>
      <c r="ALI119" s="1"/>
      <c r="ALJ119" s="1"/>
      <c r="ALK119" s="1"/>
      <c r="ALL119" s="1"/>
      <c r="ALM119" s="1"/>
      <c r="ALN119" s="1"/>
      <c r="ALO119" s="1"/>
      <c r="ALP119" s="1"/>
      <c r="ALQ119" s="1"/>
      <c r="ALR119" s="1"/>
      <c r="ALS119" s="1"/>
      <c r="ALT119" s="1"/>
      <c r="ALU119" s="1"/>
      <c r="ALV119" s="1"/>
      <c r="ALW119" s="1"/>
      <c r="ALX119" s="1"/>
      <c r="ALY119" s="1"/>
      <c r="ALZ119" s="1"/>
      <c r="AMA119" s="1"/>
      <c r="AMB119" s="1"/>
      <c r="AMC119" s="1"/>
      <c r="AMD119" s="1"/>
      <c r="AME119" s="1"/>
      <c r="AMF119" s="1"/>
      <c r="AMG119" s="1"/>
      <c r="AMH119" s="1"/>
      <c r="AMI119" s="1"/>
      <c r="AMJ119" s="1"/>
      <c r="AMK119" s="1"/>
      <c r="AML119" s="1"/>
      <c r="AMM119" s="1"/>
      <c r="AMN119" s="1"/>
    </row>
    <row r="120" spans="1:1029" x14ac:dyDescent="0.2">
      <c r="A120" s="3" t="str">
        <f t="shared" si="555"/>
        <v>ntr1_rat_4BUO</v>
      </c>
      <c r="B120" s="3" t="s">
        <v>914</v>
      </c>
      <c r="C120" s="3" t="s">
        <v>1338</v>
      </c>
      <c r="D120" s="3" t="str">
        <f>IFERROR(MID(VLOOKUP($B120,Seqs!$A:$B,2,0),E120,1),"")</f>
        <v>I</v>
      </c>
      <c r="E120" s="3">
        <v>61</v>
      </c>
      <c r="F120" s="3" t="str">
        <f>IFERROR(MID(VLOOKUP($B120,Seqs!$A:$B,2,0),G120,1),"")</f>
        <v>R</v>
      </c>
      <c r="G120" s="3">
        <v>91</v>
      </c>
      <c r="H120" s="3" t="str">
        <f>IFERROR(MID(VLOOKUP($B120,Seqs!$A:$B,2,0),I120,1),"")</f>
        <v/>
      </c>
      <c r="I120" s="23" t="s">
        <v>23</v>
      </c>
      <c r="J120" s="3" t="str">
        <f>IFERROR(MID(VLOOKUP($B120,Seqs!$A:$B,2,0),K120,1),"")</f>
        <v/>
      </c>
      <c r="K120" s="23" t="s">
        <v>23</v>
      </c>
      <c r="L120" s="3" t="str">
        <f>IFERROR(MID(VLOOKUP($B120,Seqs!$A:$B,2,0),M120,1),"")</f>
        <v>S</v>
      </c>
      <c r="M120" s="3">
        <v>97</v>
      </c>
      <c r="N120" s="3" t="str">
        <f>IFERROR(MID(VLOOKUP($B120,Seqs!$A:$B,2,0),O120,1),"")</f>
        <v>V</v>
      </c>
      <c r="O120" s="3">
        <v>131</v>
      </c>
      <c r="P120" s="3" t="str">
        <f>IFERROR(MID(VLOOKUP($B120,Seqs!$A:$B,2,0),Q120,1),"")</f>
        <v>P</v>
      </c>
      <c r="Q120" s="3">
        <v>134</v>
      </c>
      <c r="R120" s="3" t="str">
        <f>IFERROR(MID(VLOOKUP($B120,Seqs!$A:$B,2,0),S120,1),"")</f>
        <v>F</v>
      </c>
      <c r="S120" s="3">
        <v>137</v>
      </c>
      <c r="T120" s="3" t="str">
        <f>IFERROR(MID(VLOOKUP($B120,Seqs!$A:$B,2,0),U120,1),"")</f>
        <v>G</v>
      </c>
      <c r="U120" s="3">
        <v>138</v>
      </c>
      <c r="V120" s="3" t="str">
        <f>IFERROR(MID(VLOOKUP($B120,Seqs!$A:$B,2,0),W120,1),"")</f>
        <v>H</v>
      </c>
      <c r="W120" s="3">
        <v>173</v>
      </c>
      <c r="X120" s="3" t="str">
        <f>IFERROR(MID(VLOOKUP($B120,Seqs!$A:$B,2,0),Y120,1),"")</f>
        <v/>
      </c>
      <c r="Y120" s="3" t="s">
        <v>23</v>
      </c>
      <c r="Z120" s="3" t="str">
        <f>IFERROR(MID(VLOOKUP($B120,Seqs!$A:$B,2,0),AA120,1),"")</f>
        <v/>
      </c>
      <c r="AA120" s="3" t="s">
        <v>23</v>
      </c>
      <c r="AB120" s="3" t="str">
        <f>IFERROR(MID(VLOOKUP($B120,Seqs!$A:$B,2,0),AC120,1),"")</f>
        <v>S</v>
      </c>
      <c r="AC120" s="9">
        <v>182</v>
      </c>
      <c r="AD120" s="3" t="str">
        <f>IFERROR(MID(VLOOKUP($B120,Seqs!$A:$B,2,0),AE120,1),"")</f>
        <v>M</v>
      </c>
      <c r="AE120" s="3">
        <v>208</v>
      </c>
      <c r="AF120" s="3" t="str">
        <f>IFERROR(MID(VLOOKUP($B120,Seqs!$A:$B,2,0),AG120,1),"")</f>
        <v>C</v>
      </c>
      <c r="AG120" s="3">
        <v>225</v>
      </c>
      <c r="AH120" s="3" t="str">
        <f>IFERROR(MID(VLOOKUP($B120,Seqs!$A:$B,2,0),AI120,1),"")</f>
        <v>P</v>
      </c>
      <c r="AI120" s="3">
        <v>227</v>
      </c>
      <c r="AJ120" s="3" t="str">
        <f>IFERROR(MID(VLOOKUP($B120,Seqs!$A:$B,2,0),AK120,1),"")</f>
        <v>T</v>
      </c>
      <c r="AK120" s="3">
        <v>231</v>
      </c>
      <c r="AL120" s="3" t="str">
        <f>IFERROR(MID(VLOOKUP($B120,Seqs!$A:$B,2,0),AM120,1),"")</f>
        <v>Q</v>
      </c>
      <c r="AM120" s="3">
        <v>270</v>
      </c>
      <c r="AN120" s="3" t="str">
        <f>IFERROR(MID(VLOOKUP($B120,Seqs!$A:$B,2,0),AO120,1),"")</f>
        <v>G</v>
      </c>
      <c r="AO120" s="3">
        <v>298</v>
      </c>
      <c r="AP120" s="3" t="str">
        <f>IFERROR(MID(VLOOKUP($B120,Seqs!$A:$B,2,0),AQ120,1),"")</f>
        <v>I</v>
      </c>
      <c r="AQ120" s="3">
        <v>334</v>
      </c>
      <c r="AR120" s="3" t="str">
        <f>IFERROR(MID(VLOOKUP($B120,Seqs!$A:$B,2,0),AS120,1),"")</f>
        <v>T</v>
      </c>
      <c r="AS120" s="3">
        <v>340</v>
      </c>
      <c r="AT120" s="3" t="str">
        <f>IFERROR(MID(VLOOKUP($B120,Seqs!$A:$B,2,0),AU120,1),"")</f>
        <v>V</v>
      </c>
      <c r="AU120" s="3">
        <v>372</v>
      </c>
      <c r="AV120" s="3" t="str">
        <f>IFERROR(MID(VLOOKUP($B120,Seqs!$A:$B,2,0),AW120,1),"")</f>
        <v>S</v>
      </c>
      <c r="AW120" s="3">
        <v>373</v>
      </c>
      <c r="AX120" s="3" t="str">
        <f>IFERROR(MID(VLOOKUP($B120,Seqs!$A:$B,2,0),AY120,1),"")</f>
        <v>L</v>
      </c>
      <c r="AY120" s="3">
        <v>384</v>
      </c>
      <c r="AZ120" s="79" t="str">
        <f>VLOOKUP(B120,Classification!A:D,2,0)</f>
        <v>A</v>
      </c>
      <c r="BA120" s="97" t="str">
        <f>VLOOKUP(B120,Classification!A:D,4,0)</f>
        <v>Neurotensin</v>
      </c>
      <c r="BB120" s="27" t="b">
        <f t="shared" si="556"/>
        <v>1</v>
      </c>
      <c r="BC120" s="23">
        <f t="shared" si="473"/>
        <v>260</v>
      </c>
      <c r="BD120" s="16" t="s">
        <v>1383</v>
      </c>
      <c r="BE120" s="3" t="s">
        <v>1381</v>
      </c>
      <c r="BF120" s="50" t="s">
        <v>1384</v>
      </c>
      <c r="BG120" s="50" t="s">
        <v>1384</v>
      </c>
      <c r="BH120" s="1"/>
      <c r="BI120" s="72" t="s">
        <v>1293</v>
      </c>
      <c r="BJ120" s="58" t="s">
        <v>1293</v>
      </c>
      <c r="BK120" s="58" t="s">
        <v>1293</v>
      </c>
      <c r="BL120" s="58" t="s">
        <v>1293</v>
      </c>
      <c r="BM120" s="58" t="s">
        <v>1293</v>
      </c>
      <c r="BN120" s="58" t="s">
        <v>1293</v>
      </c>
      <c r="BO120" s="58" t="s">
        <v>1293</v>
      </c>
      <c r="BP120" s="58" t="s">
        <v>1293</v>
      </c>
      <c r="BQ120" s="58" t="s">
        <v>1293</v>
      </c>
      <c r="BR120" s="58" t="s">
        <v>1293</v>
      </c>
      <c r="BS120" s="58" t="s">
        <v>1293</v>
      </c>
      <c r="BT120" s="58" t="s">
        <v>1293</v>
      </c>
      <c r="BU120" s="72">
        <f t="shared" si="474"/>
        <v>61</v>
      </c>
      <c r="BV120" s="73" t="str">
        <f t="shared" si="475"/>
        <v>-</v>
      </c>
      <c r="BW120" s="74">
        <f t="shared" si="476"/>
        <v>97</v>
      </c>
      <c r="BX120" s="73">
        <f t="shared" si="477"/>
        <v>134</v>
      </c>
      <c r="BY120" s="74">
        <f t="shared" si="478"/>
        <v>138</v>
      </c>
      <c r="BZ120" s="73" t="str">
        <f t="shared" si="479"/>
        <v>-</v>
      </c>
      <c r="CA120" s="74">
        <f t="shared" si="480"/>
        <v>182</v>
      </c>
      <c r="CB120" s="73">
        <f t="shared" si="481"/>
        <v>225</v>
      </c>
      <c r="CC120" s="74">
        <f t="shared" si="482"/>
        <v>231</v>
      </c>
      <c r="CD120" s="73">
        <f t="shared" si="483"/>
        <v>298</v>
      </c>
      <c r="CE120" s="74">
        <f t="shared" si="484"/>
        <v>340</v>
      </c>
      <c r="CF120" s="73">
        <f t="shared" si="485"/>
        <v>373</v>
      </c>
      <c r="CG120" s="72">
        <f t="shared" si="486"/>
        <v>91</v>
      </c>
      <c r="CH120" s="73" t="str">
        <f t="shared" si="487"/>
        <v>-</v>
      </c>
      <c r="CI120" s="74">
        <f t="shared" si="488"/>
        <v>131</v>
      </c>
      <c r="CJ120" s="74">
        <f t="shared" si="489"/>
        <v>137</v>
      </c>
      <c r="CK120" s="74">
        <f t="shared" si="490"/>
        <v>173</v>
      </c>
      <c r="CL120" s="74" t="str">
        <f t="shared" si="491"/>
        <v>-</v>
      </c>
      <c r="CM120" s="74">
        <f t="shared" si="492"/>
        <v>208</v>
      </c>
      <c r="CN120" s="74">
        <f t="shared" si="493"/>
        <v>227</v>
      </c>
      <c r="CO120" s="74">
        <f t="shared" si="494"/>
        <v>270</v>
      </c>
      <c r="CP120" s="74">
        <f t="shared" si="495"/>
        <v>334</v>
      </c>
      <c r="CQ120" s="74">
        <f t="shared" si="496"/>
        <v>372</v>
      </c>
      <c r="CR120" s="74">
        <f t="shared" si="497"/>
        <v>384</v>
      </c>
      <c r="CS120" s="23" t="e">
        <f t="shared" si="498"/>
        <v>#VALUE!</v>
      </c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  <c r="OK120" s="1"/>
      <c r="OL120" s="1"/>
      <c r="OM120" s="1"/>
      <c r="ON120" s="1"/>
      <c r="OO120" s="1"/>
      <c r="OP120" s="1"/>
      <c r="OQ120" s="1"/>
      <c r="OR120" s="1"/>
      <c r="OS120" s="1"/>
      <c r="OT120" s="1"/>
      <c r="OU120" s="1"/>
      <c r="OV120" s="1"/>
      <c r="OW120" s="1"/>
      <c r="OX120" s="1"/>
      <c r="OY120" s="1"/>
      <c r="OZ120" s="1"/>
      <c r="PA120" s="1"/>
      <c r="PB120" s="1"/>
      <c r="PC120" s="1"/>
      <c r="PD120" s="1"/>
      <c r="PE120" s="1"/>
      <c r="PF120" s="1"/>
      <c r="PG120" s="1"/>
      <c r="PH120" s="1"/>
      <c r="PI120" s="1"/>
      <c r="PJ120" s="1"/>
      <c r="PK120" s="1"/>
      <c r="PL120" s="1"/>
      <c r="PM120" s="1"/>
      <c r="PN120" s="1"/>
      <c r="PO120" s="1"/>
      <c r="PP120" s="1"/>
      <c r="PQ120" s="1"/>
      <c r="PR120" s="1"/>
      <c r="PS120" s="1"/>
      <c r="PT120" s="1"/>
      <c r="PU120" s="1"/>
      <c r="PV120" s="1"/>
      <c r="PW120" s="1"/>
      <c r="PX120" s="1"/>
      <c r="PY120" s="1"/>
      <c r="PZ120" s="1"/>
      <c r="QA120" s="1"/>
      <c r="QB120" s="1"/>
      <c r="QC120" s="1"/>
      <c r="QD120" s="1"/>
      <c r="QE120" s="1"/>
      <c r="QF120" s="1"/>
      <c r="QG120" s="1"/>
      <c r="QH120" s="1"/>
      <c r="QI120" s="1"/>
      <c r="QJ120" s="1"/>
      <c r="QK120" s="1"/>
      <c r="QL120" s="1"/>
      <c r="QM120" s="1"/>
      <c r="QN120" s="1"/>
      <c r="QO120" s="1"/>
      <c r="QP120" s="1"/>
      <c r="QQ120" s="1"/>
      <c r="QR120" s="1"/>
      <c r="QS120" s="1"/>
      <c r="QT120" s="1"/>
      <c r="QU120" s="1"/>
      <c r="QV120" s="1"/>
      <c r="QW120" s="1"/>
      <c r="QX120" s="1"/>
      <c r="QY120" s="1"/>
      <c r="QZ120" s="1"/>
      <c r="RA120" s="1"/>
      <c r="RB120" s="1"/>
      <c r="RC120" s="1"/>
      <c r="RD120" s="1"/>
      <c r="RE120" s="1"/>
      <c r="RF120" s="1"/>
      <c r="RG120" s="1"/>
      <c r="RH120" s="1"/>
      <c r="RI120" s="1"/>
      <c r="RJ120" s="1"/>
      <c r="RK120" s="1"/>
      <c r="RL120" s="1"/>
      <c r="RM120" s="1"/>
      <c r="RN120" s="1"/>
      <c r="RO120" s="1"/>
      <c r="RP120" s="1"/>
      <c r="RQ120" s="1"/>
      <c r="RR120" s="1"/>
      <c r="RS120" s="1"/>
      <c r="RT120" s="1"/>
      <c r="RU120" s="1"/>
      <c r="RV120" s="1"/>
      <c r="RW120" s="1"/>
      <c r="RX120" s="1"/>
      <c r="RY120" s="1"/>
      <c r="RZ120" s="1"/>
      <c r="SA120" s="1"/>
      <c r="SB120" s="1"/>
      <c r="SC120" s="1"/>
      <c r="SD120" s="1"/>
      <c r="SE120" s="1"/>
      <c r="SF120" s="1"/>
      <c r="SG120" s="1"/>
      <c r="SH120" s="1"/>
      <c r="SI120" s="1"/>
      <c r="SJ120" s="1"/>
      <c r="SK120" s="1"/>
      <c r="SL120" s="1"/>
      <c r="SM120" s="1"/>
      <c r="SN120" s="1"/>
      <c r="SO120" s="1"/>
      <c r="SP120" s="1"/>
      <c r="SQ120" s="1"/>
      <c r="SR120" s="1"/>
      <c r="SS120" s="1"/>
      <c r="ST120" s="1"/>
      <c r="SU120" s="1"/>
      <c r="SV120" s="1"/>
      <c r="SW120" s="1"/>
      <c r="SX120" s="1"/>
      <c r="SY120" s="1"/>
      <c r="SZ120" s="1"/>
      <c r="TA120" s="1"/>
      <c r="TB120" s="1"/>
      <c r="TC120" s="1"/>
      <c r="TD120" s="1"/>
      <c r="TE120" s="1"/>
      <c r="TF120" s="1"/>
      <c r="TG120" s="1"/>
      <c r="TH120" s="1"/>
      <c r="TI120" s="1"/>
      <c r="TJ120" s="1"/>
      <c r="TK120" s="1"/>
      <c r="TL120" s="1"/>
      <c r="TM120" s="1"/>
      <c r="TN120" s="1"/>
      <c r="TO120" s="1"/>
      <c r="TP120" s="1"/>
      <c r="TQ120" s="1"/>
      <c r="TR120" s="1"/>
      <c r="TS120" s="1"/>
      <c r="TT120" s="1"/>
      <c r="TU120" s="1"/>
      <c r="TV120" s="1"/>
      <c r="TW120" s="1"/>
      <c r="TX120" s="1"/>
      <c r="TY120" s="1"/>
      <c r="TZ120" s="1"/>
      <c r="UA120" s="1"/>
      <c r="UB120" s="1"/>
      <c r="UC120" s="1"/>
      <c r="UD120" s="1"/>
      <c r="UE120" s="1"/>
      <c r="UF120" s="1"/>
      <c r="UG120" s="1"/>
      <c r="UH120" s="1"/>
      <c r="UI120" s="1"/>
      <c r="UJ120" s="1"/>
      <c r="UK120" s="1"/>
      <c r="UL120" s="1"/>
      <c r="UM120" s="1"/>
      <c r="UN120" s="1"/>
      <c r="UO120" s="1"/>
      <c r="UP120" s="1"/>
      <c r="UQ120" s="1"/>
      <c r="UR120" s="1"/>
      <c r="US120" s="1"/>
      <c r="UT120" s="1"/>
      <c r="UU120" s="1"/>
      <c r="UV120" s="1"/>
      <c r="UW120" s="1"/>
      <c r="UX120" s="1"/>
      <c r="UY120" s="1"/>
      <c r="UZ120" s="1"/>
      <c r="VA120" s="1"/>
      <c r="VB120" s="1"/>
      <c r="VC120" s="1"/>
      <c r="VD120" s="1"/>
      <c r="VE120" s="1"/>
      <c r="VF120" s="1"/>
      <c r="VG120" s="1"/>
      <c r="VH120" s="1"/>
      <c r="VI120" s="1"/>
      <c r="VJ120" s="1"/>
      <c r="VK120" s="1"/>
      <c r="VL120" s="1"/>
      <c r="VM120" s="1"/>
      <c r="VN120" s="1"/>
      <c r="VO120" s="1"/>
      <c r="VP120" s="1"/>
      <c r="VQ120" s="1"/>
      <c r="VR120" s="1"/>
      <c r="VS120" s="1"/>
      <c r="VT120" s="1"/>
      <c r="VU120" s="1"/>
      <c r="VV120" s="1"/>
      <c r="VW120" s="1"/>
      <c r="VX120" s="1"/>
      <c r="VY120" s="1"/>
      <c r="VZ120" s="1"/>
      <c r="WA120" s="1"/>
      <c r="WB120" s="1"/>
      <c r="WC120" s="1"/>
      <c r="WD120" s="1"/>
      <c r="WE120" s="1"/>
      <c r="WF120" s="1"/>
      <c r="WG120" s="1"/>
      <c r="WH120" s="1"/>
      <c r="WI120" s="1"/>
      <c r="WJ120" s="1"/>
      <c r="WK120" s="1"/>
      <c r="WL120" s="1"/>
      <c r="WM120" s="1"/>
      <c r="WN120" s="1"/>
      <c r="WO120" s="1"/>
      <c r="WP120" s="1"/>
      <c r="WQ120" s="1"/>
      <c r="WR120" s="1"/>
      <c r="WS120" s="1"/>
      <c r="WT120" s="1"/>
      <c r="WU120" s="1"/>
      <c r="WV120" s="1"/>
      <c r="WW120" s="1"/>
      <c r="WX120" s="1"/>
      <c r="WY120" s="1"/>
      <c r="WZ120" s="1"/>
      <c r="XA120" s="1"/>
      <c r="XB120" s="1"/>
      <c r="XC120" s="1"/>
      <c r="XD120" s="1"/>
      <c r="XE120" s="1"/>
      <c r="XF120" s="1"/>
      <c r="XG120" s="1"/>
      <c r="XH120" s="1"/>
      <c r="XI120" s="1"/>
      <c r="XJ120" s="1"/>
      <c r="XK120" s="1"/>
      <c r="XL120" s="1"/>
      <c r="XM120" s="1"/>
      <c r="XN120" s="1"/>
      <c r="XO120" s="1"/>
      <c r="XP120" s="1"/>
      <c r="XQ120" s="1"/>
      <c r="XR120" s="1"/>
      <c r="XS120" s="1"/>
      <c r="XT120" s="1"/>
      <c r="XU120" s="1"/>
      <c r="XV120" s="1"/>
      <c r="XW120" s="1"/>
      <c r="XX120" s="1"/>
      <c r="XY120" s="1"/>
      <c r="XZ120" s="1"/>
      <c r="YA120" s="1"/>
      <c r="YB120" s="1"/>
      <c r="YC120" s="1"/>
      <c r="YD120" s="1"/>
      <c r="YE120" s="1"/>
      <c r="YF120" s="1"/>
      <c r="YG120" s="1"/>
      <c r="YH120" s="1"/>
      <c r="YI120" s="1"/>
      <c r="YJ120" s="1"/>
      <c r="YK120" s="1"/>
      <c r="YL120" s="1"/>
      <c r="YM120" s="1"/>
      <c r="YN120" s="1"/>
      <c r="YO120" s="1"/>
      <c r="YP120" s="1"/>
      <c r="YQ120" s="1"/>
      <c r="YR120" s="1"/>
      <c r="YS120" s="1"/>
      <c r="YT120" s="1"/>
      <c r="YU120" s="1"/>
      <c r="YV120" s="1"/>
      <c r="YW120" s="1"/>
      <c r="YX120" s="1"/>
      <c r="YY120" s="1"/>
      <c r="YZ120" s="1"/>
      <c r="ZA120" s="1"/>
      <c r="ZB120" s="1"/>
      <c r="ZC120" s="1"/>
      <c r="ZD120" s="1"/>
      <c r="ZE120" s="1"/>
      <c r="ZF120" s="1"/>
      <c r="ZG120" s="1"/>
      <c r="ZH120" s="1"/>
      <c r="ZI120" s="1"/>
      <c r="ZJ120" s="1"/>
      <c r="ZK120" s="1"/>
      <c r="ZL120" s="1"/>
      <c r="ZM120" s="1"/>
      <c r="ZN120" s="1"/>
      <c r="ZO120" s="1"/>
      <c r="ZP120" s="1"/>
      <c r="ZQ120" s="1"/>
      <c r="ZR120" s="1"/>
      <c r="ZS120" s="1"/>
      <c r="ZT120" s="1"/>
      <c r="ZU120" s="1"/>
      <c r="ZV120" s="1"/>
      <c r="ZW120" s="1"/>
      <c r="ZX120" s="1"/>
      <c r="ZY120" s="1"/>
      <c r="ZZ120" s="1"/>
      <c r="AAA120" s="1"/>
      <c r="AAB120" s="1"/>
      <c r="AAC120" s="1"/>
      <c r="AAD120" s="1"/>
      <c r="AAE120" s="1"/>
      <c r="AAF120" s="1"/>
      <c r="AAG120" s="1"/>
      <c r="AAH120" s="1"/>
      <c r="AAI120" s="1"/>
      <c r="AAJ120" s="1"/>
      <c r="AAK120" s="1"/>
      <c r="AAL120" s="1"/>
      <c r="AAM120" s="1"/>
      <c r="AAN120" s="1"/>
      <c r="AAO120" s="1"/>
      <c r="AAP120" s="1"/>
      <c r="AAQ120" s="1"/>
      <c r="AAR120" s="1"/>
      <c r="AAS120" s="1"/>
      <c r="AAT120" s="1"/>
      <c r="AAU120" s="1"/>
      <c r="AAV120" s="1"/>
      <c r="AAW120" s="1"/>
      <c r="AAX120" s="1"/>
      <c r="AAY120" s="1"/>
      <c r="AAZ120" s="1"/>
      <c r="ABA120" s="1"/>
      <c r="ABB120" s="1"/>
      <c r="ABC120" s="1"/>
      <c r="ABD120" s="1"/>
      <c r="ABE120" s="1"/>
      <c r="ABF120" s="1"/>
      <c r="ABG120" s="1"/>
      <c r="ABH120" s="1"/>
      <c r="ABI120" s="1"/>
      <c r="ABJ120" s="1"/>
      <c r="ABK120" s="1"/>
      <c r="ABL120" s="1"/>
      <c r="ABM120" s="1"/>
      <c r="ABN120" s="1"/>
      <c r="ABO120" s="1"/>
      <c r="ABP120" s="1"/>
      <c r="ABQ120" s="1"/>
      <c r="ABR120" s="1"/>
      <c r="ABS120" s="1"/>
      <c r="ABT120" s="1"/>
      <c r="ABU120" s="1"/>
      <c r="ABV120" s="1"/>
      <c r="ABW120" s="1"/>
      <c r="ABX120" s="1"/>
      <c r="ABY120" s="1"/>
      <c r="ABZ120" s="1"/>
      <c r="ACA120" s="1"/>
      <c r="ACB120" s="1"/>
      <c r="ACC120" s="1"/>
      <c r="ACD120" s="1"/>
      <c r="ACE120" s="1"/>
      <c r="ACF120" s="1"/>
      <c r="ACG120" s="1"/>
      <c r="ACH120" s="1"/>
      <c r="ACI120" s="1"/>
      <c r="ACJ120" s="1"/>
      <c r="ACK120" s="1"/>
      <c r="ACL120" s="1"/>
      <c r="ACM120" s="1"/>
      <c r="ACN120" s="1"/>
      <c r="ACO120" s="1"/>
      <c r="ACP120" s="1"/>
      <c r="ACQ120" s="1"/>
      <c r="ACR120" s="1"/>
      <c r="ACS120" s="1"/>
      <c r="ACT120" s="1"/>
      <c r="ACU120" s="1"/>
      <c r="ACV120" s="1"/>
      <c r="ACW120" s="1"/>
      <c r="ACX120" s="1"/>
      <c r="ACY120" s="1"/>
      <c r="ACZ120" s="1"/>
      <c r="ADA120" s="1"/>
      <c r="ADB120" s="1"/>
      <c r="ADC120" s="1"/>
      <c r="ADD120" s="1"/>
      <c r="ADE120" s="1"/>
      <c r="ADF120" s="1"/>
      <c r="ADG120" s="1"/>
      <c r="ADH120" s="1"/>
      <c r="ADI120" s="1"/>
      <c r="ADJ120" s="1"/>
      <c r="ADK120" s="1"/>
      <c r="ADL120" s="1"/>
      <c r="ADM120" s="1"/>
      <c r="ADN120" s="1"/>
      <c r="ADO120" s="1"/>
      <c r="ADP120" s="1"/>
      <c r="ADQ120" s="1"/>
      <c r="ADR120" s="1"/>
      <c r="ADS120" s="1"/>
      <c r="ADT120" s="1"/>
      <c r="ADU120" s="1"/>
      <c r="ADV120" s="1"/>
      <c r="ADW120" s="1"/>
      <c r="ADX120" s="1"/>
      <c r="ADY120" s="1"/>
      <c r="ADZ120" s="1"/>
      <c r="AEA120" s="1"/>
      <c r="AEB120" s="1"/>
      <c r="AEC120" s="1"/>
      <c r="AED120" s="1"/>
      <c r="AEE120" s="1"/>
      <c r="AEF120" s="1"/>
      <c r="AEG120" s="1"/>
      <c r="AEH120" s="1"/>
      <c r="AEI120" s="1"/>
      <c r="AEJ120" s="1"/>
      <c r="AEK120" s="1"/>
      <c r="AEL120" s="1"/>
      <c r="AEM120" s="1"/>
      <c r="AEN120" s="1"/>
      <c r="AEO120" s="1"/>
      <c r="AEP120" s="1"/>
      <c r="AEQ120" s="1"/>
      <c r="AER120" s="1"/>
      <c r="AES120" s="1"/>
      <c r="AET120" s="1"/>
      <c r="AEU120" s="1"/>
      <c r="AEV120" s="1"/>
      <c r="AEW120" s="1"/>
      <c r="AEX120" s="1"/>
      <c r="AEY120" s="1"/>
      <c r="AEZ120" s="1"/>
      <c r="AFA120" s="1"/>
      <c r="AFB120" s="1"/>
      <c r="AFC120" s="1"/>
      <c r="AFD120" s="1"/>
      <c r="AFE120" s="1"/>
      <c r="AFF120" s="1"/>
      <c r="AFG120" s="1"/>
      <c r="AFH120" s="1"/>
      <c r="AFI120" s="1"/>
      <c r="AFJ120" s="1"/>
      <c r="AFK120" s="1"/>
      <c r="AFL120" s="1"/>
      <c r="AFM120" s="1"/>
      <c r="AFN120" s="1"/>
      <c r="AFO120" s="1"/>
      <c r="AFP120" s="1"/>
      <c r="AFQ120" s="1"/>
      <c r="AFR120" s="1"/>
      <c r="AFS120" s="1"/>
      <c r="AFT120" s="1"/>
      <c r="AFU120" s="1"/>
      <c r="AFV120" s="1"/>
      <c r="AFW120" s="1"/>
      <c r="AFX120" s="1"/>
      <c r="AFY120" s="1"/>
      <c r="AFZ120" s="1"/>
      <c r="AGA120" s="1"/>
      <c r="AGB120" s="1"/>
      <c r="AGC120" s="1"/>
      <c r="AGD120" s="1"/>
      <c r="AGE120" s="1"/>
      <c r="AGF120" s="1"/>
      <c r="AGG120" s="1"/>
      <c r="AGH120" s="1"/>
      <c r="AGI120" s="1"/>
      <c r="AGJ120" s="1"/>
      <c r="AGK120" s="1"/>
      <c r="AGL120" s="1"/>
      <c r="AGM120" s="1"/>
      <c r="AGN120" s="1"/>
      <c r="AGO120" s="1"/>
      <c r="AGP120" s="1"/>
      <c r="AGQ120" s="1"/>
      <c r="AGR120" s="1"/>
      <c r="AGS120" s="1"/>
      <c r="AGT120" s="1"/>
      <c r="AGU120" s="1"/>
      <c r="AGV120" s="1"/>
      <c r="AGW120" s="1"/>
      <c r="AGX120" s="1"/>
      <c r="AGY120" s="1"/>
      <c r="AGZ120" s="1"/>
      <c r="AHA120" s="1"/>
      <c r="AHB120" s="1"/>
      <c r="AHC120" s="1"/>
      <c r="AHD120" s="1"/>
      <c r="AHE120" s="1"/>
      <c r="AHF120" s="1"/>
      <c r="AHG120" s="1"/>
      <c r="AHH120" s="1"/>
      <c r="AHI120" s="1"/>
      <c r="AHJ120" s="1"/>
      <c r="AHK120" s="1"/>
      <c r="AHL120" s="1"/>
      <c r="AHM120" s="1"/>
      <c r="AHN120" s="1"/>
      <c r="AHO120" s="1"/>
      <c r="AHP120" s="1"/>
      <c r="AHQ120" s="1"/>
      <c r="AHR120" s="1"/>
      <c r="AHS120" s="1"/>
      <c r="AHT120" s="1"/>
      <c r="AHU120" s="1"/>
      <c r="AHV120" s="1"/>
      <c r="AHW120" s="1"/>
      <c r="AHX120" s="1"/>
      <c r="AHY120" s="1"/>
      <c r="AHZ120" s="1"/>
      <c r="AIA120" s="1"/>
      <c r="AIB120" s="1"/>
      <c r="AIC120" s="1"/>
      <c r="AID120" s="1"/>
      <c r="AIE120" s="1"/>
      <c r="AIF120" s="1"/>
      <c r="AIG120" s="1"/>
      <c r="AIH120" s="1"/>
      <c r="AII120" s="1"/>
      <c r="AIJ120" s="1"/>
      <c r="AIK120" s="1"/>
      <c r="AIL120" s="1"/>
      <c r="AIM120" s="1"/>
      <c r="AIN120" s="1"/>
      <c r="AIO120" s="1"/>
      <c r="AIP120" s="1"/>
      <c r="AIQ120" s="1"/>
      <c r="AIR120" s="1"/>
      <c r="AIS120" s="1"/>
      <c r="AIT120" s="1"/>
      <c r="AIU120" s="1"/>
      <c r="AIV120" s="1"/>
      <c r="AIW120" s="1"/>
      <c r="AIX120" s="1"/>
      <c r="AIY120" s="1"/>
      <c r="AIZ120" s="1"/>
      <c r="AJA120" s="1"/>
      <c r="AJB120" s="1"/>
      <c r="AJC120" s="1"/>
      <c r="AJD120" s="1"/>
      <c r="AJE120" s="1"/>
      <c r="AJF120" s="1"/>
      <c r="AJG120" s="1"/>
      <c r="AJH120" s="1"/>
      <c r="AJI120" s="1"/>
      <c r="AJJ120" s="1"/>
      <c r="AJK120" s="1"/>
      <c r="AJL120" s="1"/>
      <c r="AJM120" s="1"/>
      <c r="AJN120" s="1"/>
      <c r="AJO120" s="1"/>
      <c r="AJP120" s="1"/>
      <c r="AJQ120" s="1"/>
      <c r="AJR120" s="1"/>
      <c r="AJS120" s="1"/>
      <c r="AJT120" s="1"/>
      <c r="AJU120" s="1"/>
      <c r="AJV120" s="1"/>
      <c r="AJW120" s="1"/>
      <c r="AJX120" s="1"/>
      <c r="AJY120" s="1"/>
      <c r="AJZ120" s="1"/>
      <c r="AKA120" s="1"/>
      <c r="AKB120" s="1"/>
      <c r="AKC120" s="1"/>
      <c r="AKD120" s="1"/>
      <c r="AKE120" s="1"/>
      <c r="AKF120" s="1"/>
      <c r="AKG120" s="1"/>
      <c r="AKH120" s="1"/>
      <c r="AKI120" s="1"/>
      <c r="AKJ120" s="1"/>
      <c r="AKK120" s="1"/>
      <c r="AKL120" s="1"/>
      <c r="AKM120" s="1"/>
      <c r="AKN120" s="1"/>
      <c r="AKO120" s="1"/>
      <c r="AKP120" s="1"/>
      <c r="AKQ120" s="1"/>
      <c r="AKR120" s="1"/>
      <c r="AKS120" s="1"/>
      <c r="AKT120" s="1"/>
      <c r="AKU120" s="1"/>
      <c r="AKV120" s="1"/>
      <c r="AKW120" s="1"/>
      <c r="AKX120" s="1"/>
      <c r="AKY120" s="1"/>
      <c r="AKZ120" s="1"/>
      <c r="ALA120" s="1"/>
      <c r="ALB120" s="1"/>
      <c r="ALC120" s="1"/>
      <c r="ALD120" s="1"/>
      <c r="ALE120" s="1"/>
      <c r="ALF120" s="1"/>
      <c r="ALG120" s="1"/>
      <c r="ALH120" s="1"/>
      <c r="ALI120" s="1"/>
      <c r="ALJ120" s="1"/>
      <c r="ALK120" s="1"/>
      <c r="ALL120" s="1"/>
      <c r="ALM120" s="1"/>
      <c r="ALN120" s="1"/>
      <c r="ALO120" s="1"/>
      <c r="ALP120" s="1"/>
      <c r="ALQ120" s="1"/>
      <c r="ALR120" s="1"/>
      <c r="ALS120" s="1"/>
      <c r="ALT120" s="1"/>
      <c r="ALU120" s="1"/>
      <c r="ALV120" s="1"/>
      <c r="ALW120" s="1"/>
      <c r="ALX120" s="1"/>
      <c r="ALY120" s="1"/>
      <c r="ALZ120" s="1"/>
      <c r="AMA120" s="1"/>
      <c r="AMB120" s="1"/>
      <c r="AMC120" s="1"/>
      <c r="AMD120" s="1"/>
      <c r="AME120" s="1"/>
      <c r="AMF120" s="1"/>
      <c r="AMG120" s="1"/>
      <c r="AMH120" s="1"/>
      <c r="AMI120" s="1"/>
      <c r="AMJ120" s="1"/>
      <c r="AMK120" s="1"/>
      <c r="AML120" s="1"/>
      <c r="AMM120" s="1"/>
      <c r="AMN120" s="1"/>
    </row>
    <row r="121" spans="1:1029" x14ac:dyDescent="0.2">
      <c r="A121" s="3" t="str">
        <f t="shared" si="555"/>
        <v>ntr1_rat_4GRV</v>
      </c>
      <c r="B121" s="3" t="s">
        <v>914</v>
      </c>
      <c r="C121" s="3" t="s">
        <v>50</v>
      </c>
      <c r="D121" s="3" t="str">
        <f>IFERROR(MID(VLOOKUP($B121,Seqs!$A:$B,2,0),E121,1),"")</f>
        <v>I</v>
      </c>
      <c r="E121" s="3">
        <v>61</v>
      </c>
      <c r="F121" s="3" t="str">
        <f>IFERROR(MID(VLOOKUP($B121,Seqs!$A:$B,2,0),G121,1),"")</f>
        <v>T</v>
      </c>
      <c r="G121" s="3">
        <v>88</v>
      </c>
      <c r="H121" s="3" t="str">
        <f>IFERROR(MID(VLOOKUP($B121,Seqs!$A:$B,2,0),I121,1),"")</f>
        <v/>
      </c>
      <c r="I121" s="23" t="s">
        <v>23</v>
      </c>
      <c r="J121" s="3" t="str">
        <f>IFERROR(MID(VLOOKUP($B121,Seqs!$A:$B,2,0),K121,1),"")</f>
        <v/>
      </c>
      <c r="K121" s="23" t="s">
        <v>23</v>
      </c>
      <c r="L121" s="3" t="str">
        <f>IFERROR(MID(VLOOKUP($B121,Seqs!$A:$B,2,0),M121,1),"")</f>
        <v>Q</v>
      </c>
      <c r="M121" s="3">
        <v>99</v>
      </c>
      <c r="N121" s="3" t="str">
        <f>IFERROR(MID(VLOOKUP($B121,Seqs!$A:$B,2,0),O121,1),"")</f>
        <v>V</v>
      </c>
      <c r="O121" s="3">
        <v>131</v>
      </c>
      <c r="P121" s="3" t="str">
        <f>IFERROR(MID(VLOOKUP($B121,Seqs!$A:$B,2,0),Q121,1),"")</f>
        <v>P</v>
      </c>
      <c r="Q121" s="3">
        <v>134</v>
      </c>
      <c r="R121" s="3" t="str">
        <f>IFERROR(MID(VLOOKUP($B121,Seqs!$A:$B,2,0),S121,1),"")</f>
        <v>F</v>
      </c>
      <c r="S121" s="3">
        <v>137</v>
      </c>
      <c r="T121" s="3" t="str">
        <f>IFERROR(MID(VLOOKUP($B121,Seqs!$A:$B,2,0),U121,1),"")</f>
        <v>G</v>
      </c>
      <c r="U121" s="3">
        <v>138</v>
      </c>
      <c r="V121" s="3" t="str">
        <f>IFERROR(MID(VLOOKUP($B121,Seqs!$A:$B,2,0),W121,1),"")</f>
        <v>H</v>
      </c>
      <c r="W121" s="3">
        <v>173</v>
      </c>
      <c r="X121" s="3" t="str">
        <f>IFERROR(MID(VLOOKUP($B121,Seqs!$A:$B,2,0),Y121,1),"")</f>
        <v/>
      </c>
      <c r="Y121" s="3" t="s">
        <v>23</v>
      </c>
      <c r="Z121" s="3" t="str">
        <f>IFERROR(MID(VLOOKUP($B121,Seqs!$A:$B,2,0),AA121,1),"")</f>
        <v/>
      </c>
      <c r="AA121" s="3" t="s">
        <v>23</v>
      </c>
      <c r="AB121" s="3" t="str">
        <f>IFERROR(MID(VLOOKUP($B121,Seqs!$A:$B,2,0),AC121,1),"")</f>
        <v>T</v>
      </c>
      <c r="AC121" s="9">
        <v>186</v>
      </c>
      <c r="AD121" s="3" t="str">
        <f>IFERROR(MID(VLOOKUP($B121,Seqs!$A:$B,2,0),AE121,1),"")</f>
        <v>M</v>
      </c>
      <c r="AE121" s="3">
        <v>208</v>
      </c>
      <c r="AF121" s="3" t="str">
        <f>IFERROR(MID(VLOOKUP($B121,Seqs!$A:$B,2,0),AG121,1),"")</f>
        <v>C</v>
      </c>
      <c r="AG121" s="3">
        <v>225</v>
      </c>
      <c r="AH121" s="3" t="str">
        <f>IFERROR(MID(VLOOKUP($B121,Seqs!$A:$B,2,0),AI121,1),"")</f>
        <v>P</v>
      </c>
      <c r="AI121" s="3">
        <v>227</v>
      </c>
      <c r="AJ121" s="3" t="str">
        <f>IFERROR(MID(VLOOKUP($B121,Seqs!$A:$B,2,0),AK121,1),"")</f>
        <v>T</v>
      </c>
      <c r="AK121" s="3">
        <v>231</v>
      </c>
      <c r="AL121" s="3" t="str">
        <f>IFERROR(MID(VLOOKUP($B121,Seqs!$A:$B,2,0),AM121,1),"")</f>
        <v>T</v>
      </c>
      <c r="AM121" s="3">
        <v>265</v>
      </c>
      <c r="AN121" s="3" t="str">
        <f>IFERROR(MID(VLOOKUP($B121,Seqs!$A:$B,2,0),AO121,1),"")</f>
        <v>A</v>
      </c>
      <c r="AO121" s="3">
        <v>302</v>
      </c>
      <c r="AP121" s="3" t="str">
        <f>IFERROR(MID(VLOOKUP($B121,Seqs!$A:$B,2,0),AQ121,1),"")</f>
        <v>I</v>
      </c>
      <c r="AQ121" s="3">
        <v>334</v>
      </c>
      <c r="AR121" s="3" t="str">
        <f>IFERROR(MID(VLOOKUP($B121,Seqs!$A:$B,2,0),AS121,1),"")</f>
        <v>T</v>
      </c>
      <c r="AS121" s="3">
        <v>340</v>
      </c>
      <c r="AT121" s="3" t="str">
        <f>IFERROR(MID(VLOOKUP($B121,Seqs!$A:$B,2,0),AU121,1),"")</f>
        <v>S</v>
      </c>
      <c r="AU121" s="3">
        <v>361</v>
      </c>
      <c r="AV121" s="3" t="str">
        <f>IFERROR(MID(VLOOKUP($B121,Seqs!$A:$B,2,0),AW121,1),"")</f>
        <v/>
      </c>
      <c r="AW121" s="3" t="s">
        <v>23</v>
      </c>
      <c r="AX121" s="3" t="str">
        <f>IFERROR(MID(VLOOKUP($B121,Seqs!$A:$B,2,0),AY121,1),"")</f>
        <v/>
      </c>
      <c r="AY121" s="3" t="s">
        <v>23</v>
      </c>
      <c r="AZ121" s="79" t="str">
        <f>VLOOKUP(B121,Classification!A:D,2,0)</f>
        <v>A</v>
      </c>
      <c r="BA121" s="97" t="str">
        <f>VLOOKUP(B121,Classification!A:D,4,0)</f>
        <v>Neurotensin</v>
      </c>
      <c r="BB121" s="27" t="b">
        <f t="shared" si="556"/>
        <v>1</v>
      </c>
      <c r="BC121" s="23">
        <f t="shared" si="473"/>
        <v>220</v>
      </c>
      <c r="BD121" s="5" t="s">
        <v>23</v>
      </c>
      <c r="BE121" s="3" t="s">
        <v>1381</v>
      </c>
      <c r="BF121" s="50" t="s">
        <v>1384</v>
      </c>
      <c r="BG121" s="50" t="s">
        <v>1384</v>
      </c>
      <c r="BH121" s="1"/>
      <c r="BI121" s="72" t="s">
        <v>1293</v>
      </c>
      <c r="BJ121" s="58" t="s">
        <v>1293</v>
      </c>
      <c r="BK121" s="58" t="s">
        <v>1293</v>
      </c>
      <c r="BL121" s="58" t="s">
        <v>1293</v>
      </c>
      <c r="BM121" s="58" t="s">
        <v>1293</v>
      </c>
      <c r="BN121" s="58" t="s">
        <v>1293</v>
      </c>
      <c r="BO121" s="58" t="s">
        <v>1293</v>
      </c>
      <c r="BP121" s="58" t="s">
        <v>1293</v>
      </c>
      <c r="BQ121" s="58" t="s">
        <v>1293</v>
      </c>
      <c r="BR121" s="58" t="s">
        <v>1293</v>
      </c>
      <c r="BS121" s="58" t="s">
        <v>1293</v>
      </c>
      <c r="BT121" s="58" t="s">
        <v>1293</v>
      </c>
      <c r="BU121" s="72">
        <f t="shared" si="474"/>
        <v>61</v>
      </c>
      <c r="BV121" s="73" t="str">
        <f t="shared" si="475"/>
        <v>-</v>
      </c>
      <c r="BW121" s="74">
        <f t="shared" si="476"/>
        <v>99</v>
      </c>
      <c r="BX121" s="73">
        <f t="shared" si="477"/>
        <v>134</v>
      </c>
      <c r="BY121" s="74">
        <f t="shared" si="478"/>
        <v>138</v>
      </c>
      <c r="BZ121" s="73" t="str">
        <f t="shared" si="479"/>
        <v>-</v>
      </c>
      <c r="CA121" s="74">
        <f t="shared" si="480"/>
        <v>186</v>
      </c>
      <c r="CB121" s="73">
        <f t="shared" si="481"/>
        <v>225</v>
      </c>
      <c r="CC121" s="74">
        <f t="shared" si="482"/>
        <v>231</v>
      </c>
      <c r="CD121" s="73">
        <f t="shared" si="483"/>
        <v>302</v>
      </c>
      <c r="CE121" s="74">
        <f t="shared" si="484"/>
        <v>340</v>
      </c>
      <c r="CF121" s="73" t="str">
        <f t="shared" si="485"/>
        <v>-</v>
      </c>
      <c r="CG121" s="72">
        <f t="shared" si="486"/>
        <v>88</v>
      </c>
      <c r="CH121" s="73" t="str">
        <f t="shared" si="487"/>
        <v>-</v>
      </c>
      <c r="CI121" s="74">
        <f t="shared" si="488"/>
        <v>131</v>
      </c>
      <c r="CJ121" s="74">
        <f t="shared" si="489"/>
        <v>137</v>
      </c>
      <c r="CK121" s="74">
        <f t="shared" si="490"/>
        <v>173</v>
      </c>
      <c r="CL121" s="74" t="str">
        <f t="shared" si="491"/>
        <v>-</v>
      </c>
      <c r="CM121" s="74">
        <f t="shared" si="492"/>
        <v>208</v>
      </c>
      <c r="CN121" s="74">
        <f t="shared" si="493"/>
        <v>227</v>
      </c>
      <c r="CO121" s="74">
        <f t="shared" si="494"/>
        <v>265</v>
      </c>
      <c r="CP121" s="74">
        <f t="shared" si="495"/>
        <v>334</v>
      </c>
      <c r="CQ121" s="74">
        <f t="shared" si="496"/>
        <v>361</v>
      </c>
      <c r="CR121" s="74" t="str">
        <f t="shared" si="497"/>
        <v>-</v>
      </c>
      <c r="CS121" s="23" t="e">
        <f t="shared" si="498"/>
        <v>#VALUE!</v>
      </c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1"/>
      <c r="NI121" s="1"/>
      <c r="NJ121" s="1"/>
      <c r="NK121" s="1"/>
      <c r="NL121" s="1"/>
      <c r="NM121" s="1"/>
      <c r="NN121" s="1"/>
      <c r="NO121" s="1"/>
      <c r="NP121" s="1"/>
      <c r="NQ121" s="1"/>
      <c r="NR121" s="1"/>
      <c r="NS121" s="1"/>
      <c r="NT121" s="1"/>
      <c r="NU121" s="1"/>
      <c r="NV121" s="1"/>
      <c r="NW121" s="1"/>
      <c r="NX121" s="1"/>
      <c r="NY121" s="1"/>
      <c r="NZ121" s="1"/>
      <c r="OA121" s="1"/>
      <c r="OB121" s="1"/>
      <c r="OC121" s="1"/>
      <c r="OD121" s="1"/>
      <c r="OE121" s="1"/>
      <c r="OF121" s="1"/>
      <c r="OG121" s="1"/>
      <c r="OH121" s="1"/>
      <c r="OI121" s="1"/>
      <c r="OJ121" s="1"/>
      <c r="OK121" s="1"/>
      <c r="OL121" s="1"/>
      <c r="OM121" s="1"/>
      <c r="ON121" s="1"/>
      <c r="OO121" s="1"/>
      <c r="OP121" s="1"/>
      <c r="OQ121" s="1"/>
      <c r="OR121" s="1"/>
      <c r="OS121" s="1"/>
      <c r="OT121" s="1"/>
      <c r="OU121" s="1"/>
      <c r="OV121" s="1"/>
      <c r="OW121" s="1"/>
      <c r="OX121" s="1"/>
      <c r="OY121" s="1"/>
      <c r="OZ121" s="1"/>
      <c r="PA121" s="1"/>
      <c r="PB121" s="1"/>
      <c r="PC121" s="1"/>
      <c r="PD121" s="1"/>
      <c r="PE121" s="1"/>
      <c r="PF121" s="1"/>
      <c r="PG121" s="1"/>
      <c r="PH121" s="1"/>
      <c r="PI121" s="1"/>
      <c r="PJ121" s="1"/>
      <c r="PK121" s="1"/>
      <c r="PL121" s="1"/>
      <c r="PM121" s="1"/>
      <c r="PN121" s="1"/>
      <c r="PO121" s="1"/>
      <c r="PP121" s="1"/>
      <c r="PQ121" s="1"/>
      <c r="PR121" s="1"/>
      <c r="PS121" s="1"/>
      <c r="PT121" s="1"/>
      <c r="PU121" s="1"/>
      <c r="PV121" s="1"/>
      <c r="PW121" s="1"/>
      <c r="PX121" s="1"/>
      <c r="PY121" s="1"/>
      <c r="PZ121" s="1"/>
      <c r="QA121" s="1"/>
      <c r="QB121" s="1"/>
      <c r="QC121" s="1"/>
      <c r="QD121" s="1"/>
      <c r="QE121" s="1"/>
      <c r="QF121" s="1"/>
      <c r="QG121" s="1"/>
      <c r="QH121" s="1"/>
      <c r="QI121" s="1"/>
      <c r="QJ121" s="1"/>
      <c r="QK121" s="1"/>
      <c r="QL121" s="1"/>
      <c r="QM121" s="1"/>
      <c r="QN121" s="1"/>
      <c r="QO121" s="1"/>
      <c r="QP121" s="1"/>
      <c r="QQ121" s="1"/>
      <c r="QR121" s="1"/>
      <c r="QS121" s="1"/>
      <c r="QT121" s="1"/>
      <c r="QU121" s="1"/>
      <c r="QV121" s="1"/>
      <c r="QW121" s="1"/>
      <c r="QX121" s="1"/>
      <c r="QY121" s="1"/>
      <c r="QZ121" s="1"/>
      <c r="RA121" s="1"/>
      <c r="RB121" s="1"/>
      <c r="RC121" s="1"/>
      <c r="RD121" s="1"/>
      <c r="RE121" s="1"/>
      <c r="RF121" s="1"/>
      <c r="RG121" s="1"/>
      <c r="RH121" s="1"/>
      <c r="RI121" s="1"/>
      <c r="RJ121" s="1"/>
      <c r="RK121" s="1"/>
      <c r="RL121" s="1"/>
      <c r="RM121" s="1"/>
      <c r="RN121" s="1"/>
      <c r="RO121" s="1"/>
      <c r="RP121" s="1"/>
      <c r="RQ121" s="1"/>
      <c r="RR121" s="1"/>
      <c r="RS121" s="1"/>
      <c r="RT121" s="1"/>
      <c r="RU121" s="1"/>
      <c r="RV121" s="1"/>
      <c r="RW121" s="1"/>
      <c r="RX121" s="1"/>
      <c r="RY121" s="1"/>
      <c r="RZ121" s="1"/>
      <c r="SA121" s="1"/>
      <c r="SB121" s="1"/>
      <c r="SC121" s="1"/>
      <c r="SD121" s="1"/>
      <c r="SE121" s="1"/>
      <c r="SF121" s="1"/>
      <c r="SG121" s="1"/>
      <c r="SH121" s="1"/>
      <c r="SI121" s="1"/>
      <c r="SJ121" s="1"/>
      <c r="SK121" s="1"/>
      <c r="SL121" s="1"/>
      <c r="SM121" s="1"/>
      <c r="SN121" s="1"/>
      <c r="SO121" s="1"/>
      <c r="SP121" s="1"/>
      <c r="SQ121" s="1"/>
      <c r="SR121" s="1"/>
      <c r="SS121" s="1"/>
      <c r="ST121" s="1"/>
      <c r="SU121" s="1"/>
      <c r="SV121" s="1"/>
      <c r="SW121" s="1"/>
      <c r="SX121" s="1"/>
      <c r="SY121" s="1"/>
      <c r="SZ121" s="1"/>
      <c r="TA121" s="1"/>
      <c r="TB121" s="1"/>
      <c r="TC121" s="1"/>
      <c r="TD121" s="1"/>
      <c r="TE121" s="1"/>
      <c r="TF121" s="1"/>
      <c r="TG121" s="1"/>
      <c r="TH121" s="1"/>
      <c r="TI121" s="1"/>
      <c r="TJ121" s="1"/>
      <c r="TK121" s="1"/>
      <c r="TL121" s="1"/>
      <c r="TM121" s="1"/>
      <c r="TN121" s="1"/>
      <c r="TO121" s="1"/>
      <c r="TP121" s="1"/>
      <c r="TQ121" s="1"/>
      <c r="TR121" s="1"/>
      <c r="TS121" s="1"/>
      <c r="TT121" s="1"/>
      <c r="TU121" s="1"/>
      <c r="TV121" s="1"/>
      <c r="TW121" s="1"/>
      <c r="TX121" s="1"/>
      <c r="TY121" s="1"/>
      <c r="TZ121" s="1"/>
      <c r="UA121" s="1"/>
      <c r="UB121" s="1"/>
      <c r="UC121" s="1"/>
      <c r="UD121" s="1"/>
      <c r="UE121" s="1"/>
      <c r="UF121" s="1"/>
      <c r="UG121" s="1"/>
      <c r="UH121" s="1"/>
      <c r="UI121" s="1"/>
      <c r="UJ121" s="1"/>
      <c r="UK121" s="1"/>
      <c r="UL121" s="1"/>
      <c r="UM121" s="1"/>
      <c r="UN121" s="1"/>
      <c r="UO121" s="1"/>
      <c r="UP121" s="1"/>
      <c r="UQ121" s="1"/>
      <c r="UR121" s="1"/>
      <c r="US121" s="1"/>
      <c r="UT121" s="1"/>
      <c r="UU121" s="1"/>
      <c r="UV121" s="1"/>
      <c r="UW121" s="1"/>
      <c r="UX121" s="1"/>
      <c r="UY121" s="1"/>
      <c r="UZ121" s="1"/>
      <c r="VA121" s="1"/>
      <c r="VB121" s="1"/>
      <c r="VC121" s="1"/>
      <c r="VD121" s="1"/>
      <c r="VE121" s="1"/>
      <c r="VF121" s="1"/>
      <c r="VG121" s="1"/>
      <c r="VH121" s="1"/>
      <c r="VI121" s="1"/>
      <c r="VJ121" s="1"/>
      <c r="VK121" s="1"/>
      <c r="VL121" s="1"/>
      <c r="VM121" s="1"/>
      <c r="VN121" s="1"/>
      <c r="VO121" s="1"/>
      <c r="VP121" s="1"/>
      <c r="VQ121" s="1"/>
      <c r="VR121" s="1"/>
      <c r="VS121" s="1"/>
      <c r="VT121" s="1"/>
      <c r="VU121" s="1"/>
      <c r="VV121" s="1"/>
      <c r="VW121" s="1"/>
      <c r="VX121" s="1"/>
      <c r="VY121" s="1"/>
      <c r="VZ121" s="1"/>
      <c r="WA121" s="1"/>
      <c r="WB121" s="1"/>
      <c r="WC121" s="1"/>
      <c r="WD121" s="1"/>
      <c r="WE121" s="1"/>
      <c r="WF121" s="1"/>
      <c r="WG121" s="1"/>
      <c r="WH121" s="1"/>
      <c r="WI121" s="1"/>
      <c r="WJ121" s="1"/>
      <c r="WK121" s="1"/>
      <c r="WL121" s="1"/>
      <c r="WM121" s="1"/>
      <c r="WN121" s="1"/>
      <c r="WO121" s="1"/>
      <c r="WP121" s="1"/>
      <c r="WQ121" s="1"/>
      <c r="WR121" s="1"/>
      <c r="WS121" s="1"/>
      <c r="WT121" s="1"/>
      <c r="WU121" s="1"/>
      <c r="WV121" s="1"/>
      <c r="WW121" s="1"/>
      <c r="WX121" s="1"/>
      <c r="WY121" s="1"/>
      <c r="WZ121" s="1"/>
      <c r="XA121" s="1"/>
      <c r="XB121" s="1"/>
      <c r="XC121" s="1"/>
      <c r="XD121" s="1"/>
      <c r="XE121" s="1"/>
      <c r="XF121" s="1"/>
      <c r="XG121" s="1"/>
      <c r="XH121" s="1"/>
      <c r="XI121" s="1"/>
      <c r="XJ121" s="1"/>
      <c r="XK121" s="1"/>
      <c r="XL121" s="1"/>
      <c r="XM121" s="1"/>
      <c r="XN121" s="1"/>
      <c r="XO121" s="1"/>
      <c r="XP121" s="1"/>
      <c r="XQ121" s="1"/>
      <c r="XR121" s="1"/>
      <c r="XS121" s="1"/>
      <c r="XT121" s="1"/>
      <c r="XU121" s="1"/>
      <c r="XV121" s="1"/>
      <c r="XW121" s="1"/>
      <c r="XX121" s="1"/>
      <c r="XY121" s="1"/>
      <c r="XZ121" s="1"/>
      <c r="YA121" s="1"/>
      <c r="YB121" s="1"/>
      <c r="YC121" s="1"/>
      <c r="YD121" s="1"/>
      <c r="YE121" s="1"/>
      <c r="YF121" s="1"/>
      <c r="YG121" s="1"/>
      <c r="YH121" s="1"/>
      <c r="YI121" s="1"/>
      <c r="YJ121" s="1"/>
      <c r="YK121" s="1"/>
      <c r="YL121" s="1"/>
      <c r="YM121" s="1"/>
      <c r="YN121" s="1"/>
      <c r="YO121" s="1"/>
      <c r="YP121" s="1"/>
      <c r="YQ121" s="1"/>
      <c r="YR121" s="1"/>
      <c r="YS121" s="1"/>
      <c r="YT121" s="1"/>
      <c r="YU121" s="1"/>
      <c r="YV121" s="1"/>
      <c r="YW121" s="1"/>
      <c r="YX121" s="1"/>
      <c r="YY121" s="1"/>
      <c r="YZ121" s="1"/>
      <c r="ZA121" s="1"/>
      <c r="ZB121" s="1"/>
      <c r="ZC121" s="1"/>
      <c r="ZD121" s="1"/>
      <c r="ZE121" s="1"/>
      <c r="ZF121" s="1"/>
      <c r="ZG121" s="1"/>
      <c r="ZH121" s="1"/>
      <c r="ZI121" s="1"/>
      <c r="ZJ121" s="1"/>
      <c r="ZK121" s="1"/>
      <c r="ZL121" s="1"/>
      <c r="ZM121" s="1"/>
      <c r="ZN121" s="1"/>
      <c r="ZO121" s="1"/>
      <c r="ZP121" s="1"/>
      <c r="ZQ121" s="1"/>
      <c r="ZR121" s="1"/>
      <c r="ZS121" s="1"/>
      <c r="ZT121" s="1"/>
      <c r="ZU121" s="1"/>
      <c r="ZV121" s="1"/>
      <c r="ZW121" s="1"/>
      <c r="ZX121" s="1"/>
      <c r="ZY121" s="1"/>
      <c r="ZZ121" s="1"/>
      <c r="AAA121" s="1"/>
      <c r="AAB121" s="1"/>
      <c r="AAC121" s="1"/>
      <c r="AAD121" s="1"/>
      <c r="AAE121" s="1"/>
      <c r="AAF121" s="1"/>
      <c r="AAG121" s="1"/>
      <c r="AAH121" s="1"/>
      <c r="AAI121" s="1"/>
      <c r="AAJ121" s="1"/>
      <c r="AAK121" s="1"/>
      <c r="AAL121" s="1"/>
      <c r="AAM121" s="1"/>
      <c r="AAN121" s="1"/>
      <c r="AAO121" s="1"/>
      <c r="AAP121" s="1"/>
      <c r="AAQ121" s="1"/>
      <c r="AAR121" s="1"/>
      <c r="AAS121" s="1"/>
      <c r="AAT121" s="1"/>
      <c r="AAU121" s="1"/>
      <c r="AAV121" s="1"/>
      <c r="AAW121" s="1"/>
      <c r="AAX121" s="1"/>
      <c r="AAY121" s="1"/>
      <c r="AAZ121" s="1"/>
      <c r="ABA121" s="1"/>
      <c r="ABB121" s="1"/>
      <c r="ABC121" s="1"/>
      <c r="ABD121" s="1"/>
      <c r="ABE121" s="1"/>
      <c r="ABF121" s="1"/>
      <c r="ABG121" s="1"/>
      <c r="ABH121" s="1"/>
      <c r="ABI121" s="1"/>
      <c r="ABJ121" s="1"/>
      <c r="ABK121" s="1"/>
      <c r="ABL121" s="1"/>
      <c r="ABM121" s="1"/>
      <c r="ABN121" s="1"/>
      <c r="ABO121" s="1"/>
      <c r="ABP121" s="1"/>
      <c r="ABQ121" s="1"/>
      <c r="ABR121" s="1"/>
      <c r="ABS121" s="1"/>
      <c r="ABT121" s="1"/>
      <c r="ABU121" s="1"/>
      <c r="ABV121" s="1"/>
      <c r="ABW121" s="1"/>
      <c r="ABX121" s="1"/>
      <c r="ABY121" s="1"/>
      <c r="ABZ121" s="1"/>
      <c r="ACA121" s="1"/>
      <c r="ACB121" s="1"/>
      <c r="ACC121" s="1"/>
      <c r="ACD121" s="1"/>
      <c r="ACE121" s="1"/>
      <c r="ACF121" s="1"/>
      <c r="ACG121" s="1"/>
      <c r="ACH121" s="1"/>
      <c r="ACI121" s="1"/>
      <c r="ACJ121" s="1"/>
      <c r="ACK121" s="1"/>
      <c r="ACL121" s="1"/>
      <c r="ACM121" s="1"/>
      <c r="ACN121" s="1"/>
      <c r="ACO121" s="1"/>
      <c r="ACP121" s="1"/>
      <c r="ACQ121" s="1"/>
      <c r="ACR121" s="1"/>
      <c r="ACS121" s="1"/>
      <c r="ACT121" s="1"/>
      <c r="ACU121" s="1"/>
      <c r="ACV121" s="1"/>
      <c r="ACW121" s="1"/>
      <c r="ACX121" s="1"/>
      <c r="ACY121" s="1"/>
      <c r="ACZ121" s="1"/>
      <c r="ADA121" s="1"/>
      <c r="ADB121" s="1"/>
      <c r="ADC121" s="1"/>
      <c r="ADD121" s="1"/>
      <c r="ADE121" s="1"/>
      <c r="ADF121" s="1"/>
      <c r="ADG121" s="1"/>
      <c r="ADH121" s="1"/>
      <c r="ADI121" s="1"/>
      <c r="ADJ121" s="1"/>
      <c r="ADK121" s="1"/>
      <c r="ADL121" s="1"/>
      <c r="ADM121" s="1"/>
      <c r="ADN121" s="1"/>
      <c r="ADO121" s="1"/>
      <c r="ADP121" s="1"/>
      <c r="ADQ121" s="1"/>
      <c r="ADR121" s="1"/>
      <c r="ADS121" s="1"/>
      <c r="ADT121" s="1"/>
      <c r="ADU121" s="1"/>
      <c r="ADV121" s="1"/>
      <c r="ADW121" s="1"/>
      <c r="ADX121" s="1"/>
      <c r="ADY121" s="1"/>
      <c r="ADZ121" s="1"/>
      <c r="AEA121" s="1"/>
      <c r="AEB121" s="1"/>
      <c r="AEC121" s="1"/>
      <c r="AED121" s="1"/>
      <c r="AEE121" s="1"/>
      <c r="AEF121" s="1"/>
      <c r="AEG121" s="1"/>
      <c r="AEH121" s="1"/>
      <c r="AEI121" s="1"/>
      <c r="AEJ121" s="1"/>
      <c r="AEK121" s="1"/>
      <c r="AEL121" s="1"/>
      <c r="AEM121" s="1"/>
      <c r="AEN121" s="1"/>
      <c r="AEO121" s="1"/>
      <c r="AEP121" s="1"/>
      <c r="AEQ121" s="1"/>
      <c r="AER121" s="1"/>
      <c r="AES121" s="1"/>
      <c r="AET121" s="1"/>
      <c r="AEU121" s="1"/>
      <c r="AEV121" s="1"/>
      <c r="AEW121" s="1"/>
      <c r="AEX121" s="1"/>
      <c r="AEY121" s="1"/>
      <c r="AEZ121" s="1"/>
      <c r="AFA121" s="1"/>
      <c r="AFB121" s="1"/>
      <c r="AFC121" s="1"/>
      <c r="AFD121" s="1"/>
      <c r="AFE121" s="1"/>
      <c r="AFF121" s="1"/>
      <c r="AFG121" s="1"/>
      <c r="AFH121" s="1"/>
      <c r="AFI121" s="1"/>
      <c r="AFJ121" s="1"/>
      <c r="AFK121" s="1"/>
      <c r="AFL121" s="1"/>
      <c r="AFM121" s="1"/>
      <c r="AFN121" s="1"/>
      <c r="AFO121" s="1"/>
      <c r="AFP121" s="1"/>
      <c r="AFQ121" s="1"/>
      <c r="AFR121" s="1"/>
      <c r="AFS121" s="1"/>
      <c r="AFT121" s="1"/>
      <c r="AFU121" s="1"/>
      <c r="AFV121" s="1"/>
      <c r="AFW121" s="1"/>
      <c r="AFX121" s="1"/>
      <c r="AFY121" s="1"/>
      <c r="AFZ121" s="1"/>
      <c r="AGA121" s="1"/>
      <c r="AGB121" s="1"/>
      <c r="AGC121" s="1"/>
      <c r="AGD121" s="1"/>
      <c r="AGE121" s="1"/>
      <c r="AGF121" s="1"/>
      <c r="AGG121" s="1"/>
      <c r="AGH121" s="1"/>
      <c r="AGI121" s="1"/>
      <c r="AGJ121" s="1"/>
      <c r="AGK121" s="1"/>
      <c r="AGL121" s="1"/>
      <c r="AGM121" s="1"/>
      <c r="AGN121" s="1"/>
      <c r="AGO121" s="1"/>
      <c r="AGP121" s="1"/>
      <c r="AGQ121" s="1"/>
      <c r="AGR121" s="1"/>
      <c r="AGS121" s="1"/>
      <c r="AGT121" s="1"/>
      <c r="AGU121" s="1"/>
      <c r="AGV121" s="1"/>
      <c r="AGW121" s="1"/>
      <c r="AGX121" s="1"/>
      <c r="AGY121" s="1"/>
      <c r="AGZ121" s="1"/>
      <c r="AHA121" s="1"/>
      <c r="AHB121" s="1"/>
      <c r="AHC121" s="1"/>
      <c r="AHD121" s="1"/>
      <c r="AHE121" s="1"/>
      <c r="AHF121" s="1"/>
      <c r="AHG121" s="1"/>
      <c r="AHH121" s="1"/>
      <c r="AHI121" s="1"/>
      <c r="AHJ121" s="1"/>
      <c r="AHK121" s="1"/>
      <c r="AHL121" s="1"/>
      <c r="AHM121" s="1"/>
      <c r="AHN121" s="1"/>
      <c r="AHO121" s="1"/>
      <c r="AHP121" s="1"/>
      <c r="AHQ121" s="1"/>
      <c r="AHR121" s="1"/>
      <c r="AHS121" s="1"/>
      <c r="AHT121" s="1"/>
      <c r="AHU121" s="1"/>
      <c r="AHV121" s="1"/>
      <c r="AHW121" s="1"/>
      <c r="AHX121" s="1"/>
      <c r="AHY121" s="1"/>
      <c r="AHZ121" s="1"/>
      <c r="AIA121" s="1"/>
      <c r="AIB121" s="1"/>
      <c r="AIC121" s="1"/>
      <c r="AID121" s="1"/>
      <c r="AIE121" s="1"/>
      <c r="AIF121" s="1"/>
      <c r="AIG121" s="1"/>
      <c r="AIH121" s="1"/>
      <c r="AII121" s="1"/>
      <c r="AIJ121" s="1"/>
      <c r="AIK121" s="1"/>
      <c r="AIL121" s="1"/>
      <c r="AIM121" s="1"/>
      <c r="AIN121" s="1"/>
      <c r="AIO121" s="1"/>
      <c r="AIP121" s="1"/>
      <c r="AIQ121" s="1"/>
      <c r="AIR121" s="1"/>
      <c r="AIS121" s="1"/>
      <c r="AIT121" s="1"/>
      <c r="AIU121" s="1"/>
      <c r="AIV121" s="1"/>
      <c r="AIW121" s="1"/>
      <c r="AIX121" s="1"/>
      <c r="AIY121" s="1"/>
      <c r="AIZ121" s="1"/>
      <c r="AJA121" s="1"/>
      <c r="AJB121" s="1"/>
      <c r="AJC121" s="1"/>
      <c r="AJD121" s="1"/>
      <c r="AJE121" s="1"/>
      <c r="AJF121" s="1"/>
      <c r="AJG121" s="1"/>
      <c r="AJH121" s="1"/>
      <c r="AJI121" s="1"/>
      <c r="AJJ121" s="1"/>
      <c r="AJK121" s="1"/>
      <c r="AJL121" s="1"/>
      <c r="AJM121" s="1"/>
      <c r="AJN121" s="1"/>
      <c r="AJO121" s="1"/>
      <c r="AJP121" s="1"/>
      <c r="AJQ121" s="1"/>
      <c r="AJR121" s="1"/>
      <c r="AJS121" s="1"/>
      <c r="AJT121" s="1"/>
      <c r="AJU121" s="1"/>
      <c r="AJV121" s="1"/>
      <c r="AJW121" s="1"/>
      <c r="AJX121" s="1"/>
      <c r="AJY121" s="1"/>
      <c r="AJZ121" s="1"/>
      <c r="AKA121" s="1"/>
      <c r="AKB121" s="1"/>
      <c r="AKC121" s="1"/>
      <c r="AKD121" s="1"/>
      <c r="AKE121" s="1"/>
      <c r="AKF121" s="1"/>
      <c r="AKG121" s="1"/>
      <c r="AKH121" s="1"/>
      <c r="AKI121" s="1"/>
      <c r="AKJ121" s="1"/>
      <c r="AKK121" s="1"/>
      <c r="AKL121" s="1"/>
      <c r="AKM121" s="1"/>
      <c r="AKN121" s="1"/>
      <c r="AKO121" s="1"/>
      <c r="AKP121" s="1"/>
      <c r="AKQ121" s="1"/>
      <c r="AKR121" s="1"/>
      <c r="AKS121" s="1"/>
      <c r="AKT121" s="1"/>
      <c r="AKU121" s="1"/>
      <c r="AKV121" s="1"/>
      <c r="AKW121" s="1"/>
      <c r="AKX121" s="1"/>
      <c r="AKY121" s="1"/>
      <c r="AKZ121" s="1"/>
      <c r="ALA121" s="1"/>
      <c r="ALB121" s="1"/>
      <c r="ALC121" s="1"/>
      <c r="ALD121" s="1"/>
      <c r="ALE121" s="1"/>
      <c r="ALF121" s="1"/>
      <c r="ALG121" s="1"/>
      <c r="ALH121" s="1"/>
      <c r="ALI121" s="1"/>
      <c r="ALJ121" s="1"/>
      <c r="ALK121" s="1"/>
      <c r="ALL121" s="1"/>
      <c r="ALM121" s="1"/>
      <c r="ALN121" s="1"/>
      <c r="ALO121" s="1"/>
      <c r="ALP121" s="1"/>
      <c r="ALQ121" s="1"/>
      <c r="ALR121" s="1"/>
      <c r="ALS121" s="1"/>
      <c r="ALT121" s="1"/>
      <c r="ALU121" s="1"/>
      <c r="ALV121" s="1"/>
      <c r="ALW121" s="1"/>
      <c r="ALX121" s="1"/>
      <c r="ALY121" s="1"/>
      <c r="ALZ121" s="1"/>
      <c r="AMA121" s="1"/>
      <c r="AMB121" s="1"/>
      <c r="AMC121" s="1"/>
      <c r="AMD121" s="1"/>
      <c r="AME121" s="1"/>
      <c r="AMF121" s="1"/>
      <c r="AMG121" s="1"/>
      <c r="AMH121" s="1"/>
      <c r="AMI121" s="1"/>
      <c r="AMJ121" s="1"/>
      <c r="AMK121" s="1"/>
      <c r="AML121" s="1"/>
      <c r="AMM121" s="1"/>
      <c r="AMN121" s="1"/>
    </row>
    <row r="122" spans="1:1029" x14ac:dyDescent="0.2">
      <c r="A122" s="3" t="str">
        <f t="shared" si="555"/>
        <v>ntr1_rat_4XEE</v>
      </c>
      <c r="B122" s="3" t="s">
        <v>914</v>
      </c>
      <c r="C122" s="3" t="s">
        <v>1356</v>
      </c>
      <c r="D122" s="3" t="str">
        <f>IFERROR(MID(VLOOKUP($B122,Seqs!$A:$B,2,0),E122,1),"")</f>
        <v>I</v>
      </c>
      <c r="E122" s="3">
        <v>61</v>
      </c>
      <c r="F122" s="3" t="str">
        <f>IFERROR(MID(VLOOKUP($B122,Seqs!$A:$B,2,0),G122,1),"")</f>
        <v>R</v>
      </c>
      <c r="G122" s="3">
        <v>91</v>
      </c>
      <c r="H122" s="3" t="str">
        <f>IFERROR(MID(VLOOKUP($B122,Seqs!$A:$B,2,0),I122,1),"")</f>
        <v/>
      </c>
      <c r="I122" s="23" t="s">
        <v>23</v>
      </c>
      <c r="J122" s="3" t="str">
        <f>IFERROR(MID(VLOOKUP($B122,Seqs!$A:$B,2,0),K122,1),"")</f>
        <v/>
      </c>
      <c r="K122" s="23" t="s">
        <v>23</v>
      </c>
      <c r="L122" s="3" t="str">
        <f>IFERROR(MID(VLOOKUP($B122,Seqs!$A:$B,2,0),M122,1),"")</f>
        <v>S</v>
      </c>
      <c r="M122" s="3">
        <v>100</v>
      </c>
      <c r="N122" s="3" t="str">
        <f>IFERROR(MID(VLOOKUP($B122,Seqs!$A:$B,2,0),O122,1),"")</f>
        <v>V</v>
      </c>
      <c r="O122" s="3">
        <v>131</v>
      </c>
      <c r="P122" s="3" t="str">
        <f>IFERROR(MID(VLOOKUP($B122,Seqs!$A:$B,2,0),Q122,1),"")</f>
        <v>P</v>
      </c>
      <c r="Q122" s="3">
        <v>134</v>
      </c>
      <c r="R122" s="3" t="str">
        <f>IFERROR(MID(VLOOKUP($B122,Seqs!$A:$B,2,0),S122,1),"")</f>
        <v>F</v>
      </c>
      <c r="S122" s="3">
        <v>137</v>
      </c>
      <c r="T122" s="3" t="str">
        <f>IFERROR(MID(VLOOKUP($B122,Seqs!$A:$B,2,0),U122,1),"")</f>
        <v>G</v>
      </c>
      <c r="U122" s="3">
        <v>138</v>
      </c>
      <c r="V122" s="3" t="str">
        <f>IFERROR(MID(VLOOKUP($B122,Seqs!$A:$B,2,0),W122,1),"")</f>
        <v>H</v>
      </c>
      <c r="W122" s="3">
        <v>173</v>
      </c>
      <c r="X122" s="3" t="str">
        <f>IFERROR(MID(VLOOKUP($B122,Seqs!$A:$B,2,0),Y122,1),"")</f>
        <v>P</v>
      </c>
      <c r="Y122" s="3">
        <v>174</v>
      </c>
      <c r="Z122" s="3" t="str">
        <f>IFERROR(MID(VLOOKUP($B122,Seqs!$A:$B,2,0),AA122,1),"")</f>
        <v>M</v>
      </c>
      <c r="AA122" s="3">
        <v>181</v>
      </c>
      <c r="AB122" s="3" t="str">
        <f>IFERROR(MID(VLOOKUP($B122,Seqs!$A:$B,2,0),AC122,1),"")</f>
        <v>S</v>
      </c>
      <c r="AC122" s="9">
        <v>182</v>
      </c>
      <c r="AD122" s="3" t="str">
        <f>IFERROR(MID(VLOOKUP($B122,Seqs!$A:$B,2,0),AE122,1),"")</f>
        <v>M</v>
      </c>
      <c r="AE122" s="3">
        <v>208</v>
      </c>
      <c r="AF122" s="3" t="str">
        <f>IFERROR(MID(VLOOKUP($B122,Seqs!$A:$B,2,0),AG122,1),"")</f>
        <v>C</v>
      </c>
      <c r="AG122" s="3">
        <v>225</v>
      </c>
      <c r="AH122" s="3" t="str">
        <f>IFERROR(MID(VLOOKUP($B122,Seqs!$A:$B,2,0),AI122,1),"")</f>
        <v>P</v>
      </c>
      <c r="AI122" s="3">
        <v>227</v>
      </c>
      <c r="AJ122" s="3" t="str">
        <f>IFERROR(MID(VLOOKUP($B122,Seqs!$A:$B,2,0),AK122,1),"")</f>
        <v>T</v>
      </c>
      <c r="AK122" s="3">
        <v>231</v>
      </c>
      <c r="AL122" s="3" t="str">
        <f>IFERROR(MID(VLOOKUP($B122,Seqs!$A:$B,2,0),AM122,1),"")</f>
        <v>V</v>
      </c>
      <c r="AM122" s="3">
        <v>268</v>
      </c>
      <c r="AN122" s="3" t="str">
        <f>IFERROR(MID(VLOOKUP($B122,Seqs!$A:$B,2,0),AO122,1),"")</f>
        <v>Q</v>
      </c>
      <c r="AO122" s="3">
        <v>301</v>
      </c>
      <c r="AP122" s="3" t="str">
        <f>IFERROR(MID(VLOOKUP($B122,Seqs!$A:$B,2,0),AQ122,1),"")</f>
        <v>I</v>
      </c>
      <c r="AQ122" s="3">
        <v>334</v>
      </c>
      <c r="AR122" s="3" t="str">
        <f>IFERROR(MID(VLOOKUP($B122,Seqs!$A:$B,2,0),AS122,1),"")</f>
        <v>T</v>
      </c>
      <c r="AS122" s="3">
        <v>340</v>
      </c>
      <c r="AT122" s="3" t="str">
        <f>IFERROR(MID(VLOOKUP($B122,Seqs!$A:$B,2,0),AU122,1),"")</f>
        <v>I</v>
      </c>
      <c r="AU122" s="3">
        <v>364</v>
      </c>
      <c r="AV122" s="3" t="str">
        <f>IFERROR(MID(VLOOKUP($B122,Seqs!$A:$B,2,0),AW122,1),"")</f>
        <v/>
      </c>
      <c r="AW122" s="3" t="s">
        <v>23</v>
      </c>
      <c r="AX122" s="3" t="str">
        <f>IFERROR(MID(VLOOKUP($B122,Seqs!$A:$B,2,0),AY122,1),"")</f>
        <v/>
      </c>
      <c r="AY122" s="3" t="s">
        <v>23</v>
      </c>
      <c r="AZ122" s="79" t="str">
        <f>VLOOKUP(B122,Classification!A:D,2,0)</f>
        <v>A</v>
      </c>
      <c r="BA122" s="97" t="str">
        <f>VLOOKUP(B122,Classification!A:D,4,0)</f>
        <v>Neurotensin</v>
      </c>
      <c r="BB122" s="27" t="b">
        <f t="shared" si="556"/>
        <v>1</v>
      </c>
      <c r="BC122" s="23">
        <f t="shared" si="473"/>
        <v>240</v>
      </c>
      <c r="BD122" s="4" t="s">
        <v>23</v>
      </c>
      <c r="BE122" s="3" t="s">
        <v>1381</v>
      </c>
      <c r="BF122" s="50" t="s">
        <v>1384</v>
      </c>
      <c r="BG122" s="50" t="s">
        <v>1384</v>
      </c>
      <c r="BH122" s="1"/>
      <c r="BI122" s="72" t="s">
        <v>1293</v>
      </c>
      <c r="BJ122" s="58" t="s">
        <v>1293</v>
      </c>
      <c r="BK122" s="58" t="s">
        <v>1293</v>
      </c>
      <c r="BL122" s="58" t="s">
        <v>1293</v>
      </c>
      <c r="BM122" s="58" t="s">
        <v>1293</v>
      </c>
      <c r="BN122" s="58" t="s">
        <v>1293</v>
      </c>
      <c r="BO122" s="58" t="s">
        <v>1293</v>
      </c>
      <c r="BP122" s="58" t="s">
        <v>1293</v>
      </c>
      <c r="BQ122" s="58" t="s">
        <v>1293</v>
      </c>
      <c r="BR122" s="58" t="s">
        <v>1293</v>
      </c>
      <c r="BS122" s="58" t="s">
        <v>1293</v>
      </c>
      <c r="BT122" s="58" t="s">
        <v>1293</v>
      </c>
      <c r="BU122" s="72">
        <f t="shared" si="474"/>
        <v>61</v>
      </c>
      <c r="BV122" s="73" t="str">
        <f t="shared" si="475"/>
        <v>-</v>
      </c>
      <c r="BW122" s="74">
        <f t="shared" si="476"/>
        <v>100</v>
      </c>
      <c r="BX122" s="73">
        <f t="shared" si="477"/>
        <v>134</v>
      </c>
      <c r="BY122" s="74">
        <f t="shared" si="478"/>
        <v>138</v>
      </c>
      <c r="BZ122" s="73">
        <f t="shared" si="479"/>
        <v>174</v>
      </c>
      <c r="CA122" s="74">
        <f t="shared" si="480"/>
        <v>182</v>
      </c>
      <c r="CB122" s="73">
        <f t="shared" si="481"/>
        <v>225</v>
      </c>
      <c r="CC122" s="74">
        <f t="shared" si="482"/>
        <v>231</v>
      </c>
      <c r="CD122" s="73">
        <f t="shared" si="483"/>
        <v>301</v>
      </c>
      <c r="CE122" s="74">
        <f t="shared" si="484"/>
        <v>340</v>
      </c>
      <c r="CF122" s="73" t="str">
        <f t="shared" si="485"/>
        <v>-</v>
      </c>
      <c r="CG122" s="72">
        <f t="shared" si="486"/>
        <v>91</v>
      </c>
      <c r="CH122" s="73" t="str">
        <f t="shared" si="487"/>
        <v>-</v>
      </c>
      <c r="CI122" s="74">
        <f t="shared" si="488"/>
        <v>131</v>
      </c>
      <c r="CJ122" s="74">
        <f t="shared" si="489"/>
        <v>137</v>
      </c>
      <c r="CK122" s="74">
        <f t="shared" si="490"/>
        <v>173</v>
      </c>
      <c r="CL122" s="74">
        <f t="shared" si="491"/>
        <v>181</v>
      </c>
      <c r="CM122" s="74">
        <f t="shared" si="492"/>
        <v>208</v>
      </c>
      <c r="CN122" s="74">
        <f t="shared" si="493"/>
        <v>227</v>
      </c>
      <c r="CO122" s="74">
        <f t="shared" si="494"/>
        <v>268</v>
      </c>
      <c r="CP122" s="74">
        <f t="shared" si="495"/>
        <v>334</v>
      </c>
      <c r="CQ122" s="74">
        <f t="shared" si="496"/>
        <v>364</v>
      </c>
      <c r="CR122" s="74" t="str">
        <f t="shared" si="497"/>
        <v>-</v>
      </c>
      <c r="CS122" s="23" t="e">
        <f t="shared" si="498"/>
        <v>#VALUE!</v>
      </c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/>
      <c r="NK122" s="1"/>
      <c r="NL122" s="1"/>
      <c r="NM122" s="1"/>
      <c r="NN122" s="1"/>
      <c r="NO122" s="1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  <c r="OK122" s="1"/>
      <c r="OL122" s="1"/>
      <c r="OM122" s="1"/>
      <c r="ON122" s="1"/>
      <c r="OO122" s="1"/>
      <c r="OP122" s="1"/>
      <c r="OQ122" s="1"/>
      <c r="OR122" s="1"/>
      <c r="OS122" s="1"/>
      <c r="OT122" s="1"/>
      <c r="OU122" s="1"/>
      <c r="OV122" s="1"/>
      <c r="OW122" s="1"/>
      <c r="OX122" s="1"/>
      <c r="OY122" s="1"/>
      <c r="OZ122" s="1"/>
      <c r="PA122" s="1"/>
      <c r="PB122" s="1"/>
      <c r="PC122" s="1"/>
      <c r="PD122" s="1"/>
      <c r="PE122" s="1"/>
      <c r="PF122" s="1"/>
      <c r="PG122" s="1"/>
      <c r="PH122" s="1"/>
      <c r="PI122" s="1"/>
      <c r="PJ122" s="1"/>
      <c r="PK122" s="1"/>
      <c r="PL122" s="1"/>
      <c r="PM122" s="1"/>
      <c r="PN122" s="1"/>
      <c r="PO122" s="1"/>
      <c r="PP122" s="1"/>
      <c r="PQ122" s="1"/>
      <c r="PR122" s="1"/>
      <c r="PS122" s="1"/>
      <c r="PT122" s="1"/>
      <c r="PU122" s="1"/>
      <c r="PV122" s="1"/>
      <c r="PW122" s="1"/>
      <c r="PX122" s="1"/>
      <c r="PY122" s="1"/>
      <c r="PZ122" s="1"/>
      <c r="QA122" s="1"/>
      <c r="QB122" s="1"/>
      <c r="QC122" s="1"/>
      <c r="QD122" s="1"/>
      <c r="QE122" s="1"/>
      <c r="QF122" s="1"/>
      <c r="QG122" s="1"/>
      <c r="QH122" s="1"/>
      <c r="QI122" s="1"/>
      <c r="QJ122" s="1"/>
      <c r="QK122" s="1"/>
      <c r="QL122" s="1"/>
      <c r="QM122" s="1"/>
      <c r="QN122" s="1"/>
      <c r="QO122" s="1"/>
      <c r="QP122" s="1"/>
      <c r="QQ122" s="1"/>
      <c r="QR122" s="1"/>
      <c r="QS122" s="1"/>
      <c r="QT122" s="1"/>
      <c r="QU122" s="1"/>
      <c r="QV122" s="1"/>
      <c r="QW122" s="1"/>
      <c r="QX122" s="1"/>
      <c r="QY122" s="1"/>
      <c r="QZ122" s="1"/>
      <c r="RA122" s="1"/>
      <c r="RB122" s="1"/>
      <c r="RC122" s="1"/>
      <c r="RD122" s="1"/>
      <c r="RE122" s="1"/>
      <c r="RF122" s="1"/>
      <c r="RG122" s="1"/>
      <c r="RH122" s="1"/>
      <c r="RI122" s="1"/>
      <c r="RJ122" s="1"/>
      <c r="RK122" s="1"/>
      <c r="RL122" s="1"/>
      <c r="RM122" s="1"/>
      <c r="RN122" s="1"/>
      <c r="RO122" s="1"/>
      <c r="RP122" s="1"/>
      <c r="RQ122" s="1"/>
      <c r="RR122" s="1"/>
      <c r="RS122" s="1"/>
      <c r="RT122" s="1"/>
      <c r="RU122" s="1"/>
      <c r="RV122" s="1"/>
      <c r="RW122" s="1"/>
      <c r="RX122" s="1"/>
      <c r="RY122" s="1"/>
      <c r="RZ122" s="1"/>
      <c r="SA122" s="1"/>
      <c r="SB122" s="1"/>
      <c r="SC122" s="1"/>
      <c r="SD122" s="1"/>
      <c r="SE122" s="1"/>
      <c r="SF122" s="1"/>
      <c r="SG122" s="1"/>
      <c r="SH122" s="1"/>
      <c r="SI122" s="1"/>
      <c r="SJ122" s="1"/>
      <c r="SK122" s="1"/>
      <c r="SL122" s="1"/>
      <c r="SM122" s="1"/>
      <c r="SN122" s="1"/>
      <c r="SO122" s="1"/>
      <c r="SP122" s="1"/>
      <c r="SQ122" s="1"/>
      <c r="SR122" s="1"/>
      <c r="SS122" s="1"/>
      <c r="ST122" s="1"/>
      <c r="SU122" s="1"/>
      <c r="SV122" s="1"/>
      <c r="SW122" s="1"/>
      <c r="SX122" s="1"/>
      <c r="SY122" s="1"/>
      <c r="SZ122" s="1"/>
      <c r="TA122" s="1"/>
      <c r="TB122" s="1"/>
      <c r="TC122" s="1"/>
      <c r="TD122" s="1"/>
      <c r="TE122" s="1"/>
      <c r="TF122" s="1"/>
      <c r="TG122" s="1"/>
      <c r="TH122" s="1"/>
      <c r="TI122" s="1"/>
      <c r="TJ122" s="1"/>
      <c r="TK122" s="1"/>
      <c r="TL122" s="1"/>
      <c r="TM122" s="1"/>
      <c r="TN122" s="1"/>
      <c r="TO122" s="1"/>
      <c r="TP122" s="1"/>
      <c r="TQ122" s="1"/>
      <c r="TR122" s="1"/>
      <c r="TS122" s="1"/>
      <c r="TT122" s="1"/>
      <c r="TU122" s="1"/>
      <c r="TV122" s="1"/>
      <c r="TW122" s="1"/>
      <c r="TX122" s="1"/>
      <c r="TY122" s="1"/>
      <c r="TZ122" s="1"/>
      <c r="UA122" s="1"/>
      <c r="UB122" s="1"/>
      <c r="UC122" s="1"/>
      <c r="UD122" s="1"/>
      <c r="UE122" s="1"/>
      <c r="UF122" s="1"/>
      <c r="UG122" s="1"/>
      <c r="UH122" s="1"/>
      <c r="UI122" s="1"/>
      <c r="UJ122" s="1"/>
      <c r="UK122" s="1"/>
      <c r="UL122" s="1"/>
      <c r="UM122" s="1"/>
      <c r="UN122" s="1"/>
      <c r="UO122" s="1"/>
      <c r="UP122" s="1"/>
      <c r="UQ122" s="1"/>
      <c r="UR122" s="1"/>
      <c r="US122" s="1"/>
      <c r="UT122" s="1"/>
      <c r="UU122" s="1"/>
      <c r="UV122" s="1"/>
      <c r="UW122" s="1"/>
      <c r="UX122" s="1"/>
      <c r="UY122" s="1"/>
      <c r="UZ122" s="1"/>
      <c r="VA122" s="1"/>
      <c r="VB122" s="1"/>
      <c r="VC122" s="1"/>
      <c r="VD122" s="1"/>
      <c r="VE122" s="1"/>
      <c r="VF122" s="1"/>
      <c r="VG122" s="1"/>
      <c r="VH122" s="1"/>
      <c r="VI122" s="1"/>
      <c r="VJ122" s="1"/>
      <c r="VK122" s="1"/>
      <c r="VL122" s="1"/>
      <c r="VM122" s="1"/>
      <c r="VN122" s="1"/>
      <c r="VO122" s="1"/>
      <c r="VP122" s="1"/>
      <c r="VQ122" s="1"/>
      <c r="VR122" s="1"/>
      <c r="VS122" s="1"/>
      <c r="VT122" s="1"/>
      <c r="VU122" s="1"/>
      <c r="VV122" s="1"/>
      <c r="VW122" s="1"/>
      <c r="VX122" s="1"/>
      <c r="VY122" s="1"/>
      <c r="VZ122" s="1"/>
      <c r="WA122" s="1"/>
      <c r="WB122" s="1"/>
      <c r="WC122" s="1"/>
      <c r="WD122" s="1"/>
      <c r="WE122" s="1"/>
      <c r="WF122" s="1"/>
      <c r="WG122" s="1"/>
      <c r="WH122" s="1"/>
      <c r="WI122" s="1"/>
      <c r="WJ122" s="1"/>
      <c r="WK122" s="1"/>
      <c r="WL122" s="1"/>
      <c r="WM122" s="1"/>
      <c r="WN122" s="1"/>
      <c r="WO122" s="1"/>
      <c r="WP122" s="1"/>
      <c r="WQ122" s="1"/>
      <c r="WR122" s="1"/>
      <c r="WS122" s="1"/>
      <c r="WT122" s="1"/>
      <c r="WU122" s="1"/>
      <c r="WV122" s="1"/>
      <c r="WW122" s="1"/>
      <c r="WX122" s="1"/>
      <c r="WY122" s="1"/>
      <c r="WZ122" s="1"/>
      <c r="XA122" s="1"/>
      <c r="XB122" s="1"/>
      <c r="XC122" s="1"/>
      <c r="XD122" s="1"/>
      <c r="XE122" s="1"/>
      <c r="XF122" s="1"/>
      <c r="XG122" s="1"/>
      <c r="XH122" s="1"/>
      <c r="XI122" s="1"/>
      <c r="XJ122" s="1"/>
      <c r="XK122" s="1"/>
      <c r="XL122" s="1"/>
      <c r="XM122" s="1"/>
      <c r="XN122" s="1"/>
      <c r="XO122" s="1"/>
      <c r="XP122" s="1"/>
      <c r="XQ122" s="1"/>
      <c r="XR122" s="1"/>
      <c r="XS122" s="1"/>
      <c r="XT122" s="1"/>
      <c r="XU122" s="1"/>
      <c r="XV122" s="1"/>
      <c r="XW122" s="1"/>
      <c r="XX122" s="1"/>
      <c r="XY122" s="1"/>
      <c r="XZ122" s="1"/>
      <c r="YA122" s="1"/>
      <c r="YB122" s="1"/>
      <c r="YC122" s="1"/>
      <c r="YD122" s="1"/>
      <c r="YE122" s="1"/>
      <c r="YF122" s="1"/>
      <c r="YG122" s="1"/>
      <c r="YH122" s="1"/>
      <c r="YI122" s="1"/>
      <c r="YJ122" s="1"/>
      <c r="YK122" s="1"/>
      <c r="YL122" s="1"/>
      <c r="YM122" s="1"/>
      <c r="YN122" s="1"/>
      <c r="YO122" s="1"/>
      <c r="YP122" s="1"/>
      <c r="YQ122" s="1"/>
      <c r="YR122" s="1"/>
      <c r="YS122" s="1"/>
      <c r="YT122" s="1"/>
      <c r="YU122" s="1"/>
      <c r="YV122" s="1"/>
      <c r="YW122" s="1"/>
      <c r="YX122" s="1"/>
      <c r="YY122" s="1"/>
      <c r="YZ122" s="1"/>
      <c r="ZA122" s="1"/>
      <c r="ZB122" s="1"/>
      <c r="ZC122" s="1"/>
      <c r="ZD122" s="1"/>
      <c r="ZE122" s="1"/>
      <c r="ZF122" s="1"/>
      <c r="ZG122" s="1"/>
      <c r="ZH122" s="1"/>
      <c r="ZI122" s="1"/>
      <c r="ZJ122" s="1"/>
      <c r="ZK122" s="1"/>
      <c r="ZL122" s="1"/>
      <c r="ZM122" s="1"/>
      <c r="ZN122" s="1"/>
      <c r="ZO122" s="1"/>
      <c r="ZP122" s="1"/>
      <c r="ZQ122" s="1"/>
      <c r="ZR122" s="1"/>
      <c r="ZS122" s="1"/>
      <c r="ZT122" s="1"/>
      <c r="ZU122" s="1"/>
      <c r="ZV122" s="1"/>
      <c r="ZW122" s="1"/>
      <c r="ZX122" s="1"/>
      <c r="ZY122" s="1"/>
      <c r="ZZ122" s="1"/>
      <c r="AAA122" s="1"/>
      <c r="AAB122" s="1"/>
      <c r="AAC122" s="1"/>
      <c r="AAD122" s="1"/>
      <c r="AAE122" s="1"/>
      <c r="AAF122" s="1"/>
      <c r="AAG122" s="1"/>
      <c r="AAH122" s="1"/>
      <c r="AAI122" s="1"/>
      <c r="AAJ122" s="1"/>
      <c r="AAK122" s="1"/>
      <c r="AAL122" s="1"/>
      <c r="AAM122" s="1"/>
      <c r="AAN122" s="1"/>
      <c r="AAO122" s="1"/>
      <c r="AAP122" s="1"/>
      <c r="AAQ122" s="1"/>
      <c r="AAR122" s="1"/>
      <c r="AAS122" s="1"/>
      <c r="AAT122" s="1"/>
      <c r="AAU122" s="1"/>
      <c r="AAV122" s="1"/>
      <c r="AAW122" s="1"/>
      <c r="AAX122" s="1"/>
      <c r="AAY122" s="1"/>
      <c r="AAZ122" s="1"/>
      <c r="ABA122" s="1"/>
      <c r="ABB122" s="1"/>
      <c r="ABC122" s="1"/>
      <c r="ABD122" s="1"/>
      <c r="ABE122" s="1"/>
      <c r="ABF122" s="1"/>
      <c r="ABG122" s="1"/>
      <c r="ABH122" s="1"/>
      <c r="ABI122" s="1"/>
      <c r="ABJ122" s="1"/>
      <c r="ABK122" s="1"/>
      <c r="ABL122" s="1"/>
      <c r="ABM122" s="1"/>
      <c r="ABN122" s="1"/>
      <c r="ABO122" s="1"/>
      <c r="ABP122" s="1"/>
      <c r="ABQ122" s="1"/>
      <c r="ABR122" s="1"/>
      <c r="ABS122" s="1"/>
      <c r="ABT122" s="1"/>
      <c r="ABU122" s="1"/>
      <c r="ABV122" s="1"/>
      <c r="ABW122" s="1"/>
      <c r="ABX122" s="1"/>
      <c r="ABY122" s="1"/>
      <c r="ABZ122" s="1"/>
      <c r="ACA122" s="1"/>
      <c r="ACB122" s="1"/>
      <c r="ACC122" s="1"/>
      <c r="ACD122" s="1"/>
      <c r="ACE122" s="1"/>
      <c r="ACF122" s="1"/>
      <c r="ACG122" s="1"/>
      <c r="ACH122" s="1"/>
      <c r="ACI122" s="1"/>
      <c r="ACJ122" s="1"/>
      <c r="ACK122" s="1"/>
      <c r="ACL122" s="1"/>
      <c r="ACM122" s="1"/>
      <c r="ACN122" s="1"/>
      <c r="ACO122" s="1"/>
      <c r="ACP122" s="1"/>
      <c r="ACQ122" s="1"/>
      <c r="ACR122" s="1"/>
      <c r="ACS122" s="1"/>
      <c r="ACT122" s="1"/>
      <c r="ACU122" s="1"/>
      <c r="ACV122" s="1"/>
      <c r="ACW122" s="1"/>
      <c r="ACX122" s="1"/>
      <c r="ACY122" s="1"/>
      <c r="ACZ122" s="1"/>
      <c r="ADA122" s="1"/>
      <c r="ADB122" s="1"/>
      <c r="ADC122" s="1"/>
      <c r="ADD122" s="1"/>
      <c r="ADE122" s="1"/>
      <c r="ADF122" s="1"/>
      <c r="ADG122" s="1"/>
      <c r="ADH122" s="1"/>
      <c r="ADI122" s="1"/>
      <c r="ADJ122" s="1"/>
      <c r="ADK122" s="1"/>
      <c r="ADL122" s="1"/>
      <c r="ADM122" s="1"/>
      <c r="ADN122" s="1"/>
      <c r="ADO122" s="1"/>
      <c r="ADP122" s="1"/>
      <c r="ADQ122" s="1"/>
      <c r="ADR122" s="1"/>
      <c r="ADS122" s="1"/>
      <c r="ADT122" s="1"/>
      <c r="ADU122" s="1"/>
      <c r="ADV122" s="1"/>
      <c r="ADW122" s="1"/>
      <c r="ADX122" s="1"/>
      <c r="ADY122" s="1"/>
      <c r="ADZ122" s="1"/>
      <c r="AEA122" s="1"/>
      <c r="AEB122" s="1"/>
      <c r="AEC122" s="1"/>
      <c r="AED122" s="1"/>
      <c r="AEE122" s="1"/>
      <c r="AEF122" s="1"/>
      <c r="AEG122" s="1"/>
      <c r="AEH122" s="1"/>
      <c r="AEI122" s="1"/>
      <c r="AEJ122" s="1"/>
      <c r="AEK122" s="1"/>
      <c r="AEL122" s="1"/>
      <c r="AEM122" s="1"/>
      <c r="AEN122" s="1"/>
      <c r="AEO122" s="1"/>
      <c r="AEP122" s="1"/>
      <c r="AEQ122" s="1"/>
      <c r="AER122" s="1"/>
      <c r="AES122" s="1"/>
      <c r="AET122" s="1"/>
      <c r="AEU122" s="1"/>
      <c r="AEV122" s="1"/>
      <c r="AEW122" s="1"/>
      <c r="AEX122" s="1"/>
      <c r="AEY122" s="1"/>
      <c r="AEZ122" s="1"/>
      <c r="AFA122" s="1"/>
      <c r="AFB122" s="1"/>
      <c r="AFC122" s="1"/>
      <c r="AFD122" s="1"/>
      <c r="AFE122" s="1"/>
      <c r="AFF122" s="1"/>
      <c r="AFG122" s="1"/>
      <c r="AFH122" s="1"/>
      <c r="AFI122" s="1"/>
      <c r="AFJ122" s="1"/>
      <c r="AFK122" s="1"/>
      <c r="AFL122" s="1"/>
      <c r="AFM122" s="1"/>
      <c r="AFN122" s="1"/>
      <c r="AFO122" s="1"/>
      <c r="AFP122" s="1"/>
      <c r="AFQ122" s="1"/>
      <c r="AFR122" s="1"/>
      <c r="AFS122" s="1"/>
      <c r="AFT122" s="1"/>
      <c r="AFU122" s="1"/>
      <c r="AFV122" s="1"/>
      <c r="AFW122" s="1"/>
      <c r="AFX122" s="1"/>
      <c r="AFY122" s="1"/>
      <c r="AFZ122" s="1"/>
      <c r="AGA122" s="1"/>
      <c r="AGB122" s="1"/>
      <c r="AGC122" s="1"/>
      <c r="AGD122" s="1"/>
      <c r="AGE122" s="1"/>
      <c r="AGF122" s="1"/>
      <c r="AGG122" s="1"/>
      <c r="AGH122" s="1"/>
      <c r="AGI122" s="1"/>
      <c r="AGJ122" s="1"/>
      <c r="AGK122" s="1"/>
      <c r="AGL122" s="1"/>
      <c r="AGM122" s="1"/>
      <c r="AGN122" s="1"/>
      <c r="AGO122" s="1"/>
      <c r="AGP122" s="1"/>
      <c r="AGQ122" s="1"/>
      <c r="AGR122" s="1"/>
      <c r="AGS122" s="1"/>
      <c r="AGT122" s="1"/>
      <c r="AGU122" s="1"/>
      <c r="AGV122" s="1"/>
      <c r="AGW122" s="1"/>
      <c r="AGX122" s="1"/>
      <c r="AGY122" s="1"/>
      <c r="AGZ122" s="1"/>
      <c r="AHA122" s="1"/>
      <c r="AHB122" s="1"/>
      <c r="AHC122" s="1"/>
      <c r="AHD122" s="1"/>
      <c r="AHE122" s="1"/>
      <c r="AHF122" s="1"/>
      <c r="AHG122" s="1"/>
      <c r="AHH122" s="1"/>
      <c r="AHI122" s="1"/>
      <c r="AHJ122" s="1"/>
      <c r="AHK122" s="1"/>
      <c r="AHL122" s="1"/>
      <c r="AHM122" s="1"/>
      <c r="AHN122" s="1"/>
      <c r="AHO122" s="1"/>
      <c r="AHP122" s="1"/>
      <c r="AHQ122" s="1"/>
      <c r="AHR122" s="1"/>
      <c r="AHS122" s="1"/>
      <c r="AHT122" s="1"/>
      <c r="AHU122" s="1"/>
      <c r="AHV122" s="1"/>
      <c r="AHW122" s="1"/>
      <c r="AHX122" s="1"/>
      <c r="AHY122" s="1"/>
      <c r="AHZ122" s="1"/>
      <c r="AIA122" s="1"/>
      <c r="AIB122" s="1"/>
      <c r="AIC122" s="1"/>
      <c r="AID122" s="1"/>
      <c r="AIE122" s="1"/>
      <c r="AIF122" s="1"/>
      <c r="AIG122" s="1"/>
      <c r="AIH122" s="1"/>
      <c r="AII122" s="1"/>
      <c r="AIJ122" s="1"/>
      <c r="AIK122" s="1"/>
      <c r="AIL122" s="1"/>
      <c r="AIM122" s="1"/>
      <c r="AIN122" s="1"/>
      <c r="AIO122" s="1"/>
      <c r="AIP122" s="1"/>
      <c r="AIQ122" s="1"/>
      <c r="AIR122" s="1"/>
      <c r="AIS122" s="1"/>
      <c r="AIT122" s="1"/>
      <c r="AIU122" s="1"/>
      <c r="AIV122" s="1"/>
      <c r="AIW122" s="1"/>
      <c r="AIX122" s="1"/>
      <c r="AIY122" s="1"/>
      <c r="AIZ122" s="1"/>
      <c r="AJA122" s="1"/>
      <c r="AJB122" s="1"/>
      <c r="AJC122" s="1"/>
      <c r="AJD122" s="1"/>
      <c r="AJE122" s="1"/>
      <c r="AJF122" s="1"/>
      <c r="AJG122" s="1"/>
      <c r="AJH122" s="1"/>
      <c r="AJI122" s="1"/>
      <c r="AJJ122" s="1"/>
      <c r="AJK122" s="1"/>
      <c r="AJL122" s="1"/>
      <c r="AJM122" s="1"/>
      <c r="AJN122" s="1"/>
      <c r="AJO122" s="1"/>
      <c r="AJP122" s="1"/>
      <c r="AJQ122" s="1"/>
      <c r="AJR122" s="1"/>
      <c r="AJS122" s="1"/>
      <c r="AJT122" s="1"/>
      <c r="AJU122" s="1"/>
      <c r="AJV122" s="1"/>
      <c r="AJW122" s="1"/>
      <c r="AJX122" s="1"/>
      <c r="AJY122" s="1"/>
      <c r="AJZ122" s="1"/>
      <c r="AKA122" s="1"/>
      <c r="AKB122" s="1"/>
      <c r="AKC122" s="1"/>
      <c r="AKD122" s="1"/>
      <c r="AKE122" s="1"/>
      <c r="AKF122" s="1"/>
      <c r="AKG122" s="1"/>
      <c r="AKH122" s="1"/>
      <c r="AKI122" s="1"/>
      <c r="AKJ122" s="1"/>
      <c r="AKK122" s="1"/>
      <c r="AKL122" s="1"/>
      <c r="AKM122" s="1"/>
      <c r="AKN122" s="1"/>
      <c r="AKO122" s="1"/>
      <c r="AKP122" s="1"/>
      <c r="AKQ122" s="1"/>
      <c r="AKR122" s="1"/>
      <c r="AKS122" s="1"/>
      <c r="AKT122" s="1"/>
      <c r="AKU122" s="1"/>
      <c r="AKV122" s="1"/>
      <c r="AKW122" s="1"/>
      <c r="AKX122" s="1"/>
      <c r="AKY122" s="1"/>
      <c r="AKZ122" s="1"/>
      <c r="ALA122" s="1"/>
      <c r="ALB122" s="1"/>
      <c r="ALC122" s="1"/>
      <c r="ALD122" s="1"/>
      <c r="ALE122" s="1"/>
      <c r="ALF122" s="1"/>
      <c r="ALG122" s="1"/>
      <c r="ALH122" s="1"/>
      <c r="ALI122" s="1"/>
      <c r="ALJ122" s="1"/>
      <c r="ALK122" s="1"/>
      <c r="ALL122" s="1"/>
      <c r="ALM122" s="1"/>
      <c r="ALN122" s="1"/>
      <c r="ALO122" s="1"/>
      <c r="ALP122" s="1"/>
      <c r="ALQ122" s="1"/>
      <c r="ALR122" s="1"/>
      <c r="ALS122" s="1"/>
      <c r="ALT122" s="1"/>
      <c r="ALU122" s="1"/>
      <c r="ALV122" s="1"/>
      <c r="ALW122" s="1"/>
      <c r="ALX122" s="1"/>
      <c r="ALY122" s="1"/>
      <c r="ALZ122" s="1"/>
      <c r="AMA122" s="1"/>
      <c r="AMB122" s="1"/>
      <c r="AMC122" s="1"/>
      <c r="AMD122" s="1"/>
      <c r="AME122" s="1"/>
      <c r="AMF122" s="1"/>
      <c r="AMG122" s="1"/>
      <c r="AMH122" s="1"/>
      <c r="AMI122" s="1"/>
      <c r="AMJ122" s="1"/>
      <c r="AMK122" s="1"/>
      <c r="AML122" s="1"/>
      <c r="AMM122" s="1"/>
      <c r="AMN122" s="1"/>
    </row>
    <row r="123" spans="1:1029" x14ac:dyDescent="0.2">
      <c r="A123" s="3" t="str">
        <f t="shared" si="555"/>
        <v>ntr1_rat_4XES</v>
      </c>
      <c r="B123" s="3" t="s">
        <v>914</v>
      </c>
      <c r="C123" s="3" t="s">
        <v>1357</v>
      </c>
      <c r="D123" s="3" t="str">
        <f>IFERROR(MID(VLOOKUP($B123,Seqs!$A:$B,2,0),E123,1),"")</f>
        <v>I</v>
      </c>
      <c r="E123" s="3">
        <v>61</v>
      </c>
      <c r="F123" s="3" t="str">
        <f>IFERROR(MID(VLOOKUP($B123,Seqs!$A:$B,2,0),G123,1),"")</f>
        <v>K</v>
      </c>
      <c r="G123" s="3">
        <v>92</v>
      </c>
      <c r="H123" s="3" t="str">
        <f>IFERROR(MID(VLOOKUP($B123,Seqs!$A:$B,2,0),I123,1),"")</f>
        <v/>
      </c>
      <c r="I123" s="23" t="s">
        <v>23</v>
      </c>
      <c r="J123" s="3" t="str">
        <f>IFERROR(MID(VLOOKUP($B123,Seqs!$A:$B,2,0),K123,1),"")</f>
        <v/>
      </c>
      <c r="K123" s="23" t="s">
        <v>23</v>
      </c>
      <c r="L123" s="3" t="str">
        <f>IFERROR(MID(VLOOKUP($B123,Seqs!$A:$B,2,0),M123,1),"")</f>
        <v>S</v>
      </c>
      <c r="M123" s="3">
        <v>97</v>
      </c>
      <c r="N123" s="3" t="str">
        <f>IFERROR(MID(VLOOKUP($B123,Seqs!$A:$B,2,0),O123,1),"")</f>
        <v>V</v>
      </c>
      <c r="O123" s="3">
        <v>131</v>
      </c>
      <c r="P123" s="3" t="str">
        <f>IFERROR(MID(VLOOKUP($B123,Seqs!$A:$B,2,0),Q123,1),"")</f>
        <v>P</v>
      </c>
      <c r="Q123" s="3">
        <v>134</v>
      </c>
      <c r="R123" s="3" t="str">
        <f>IFERROR(MID(VLOOKUP($B123,Seqs!$A:$B,2,0),S123,1),"")</f>
        <v>F</v>
      </c>
      <c r="S123" s="3">
        <v>137</v>
      </c>
      <c r="T123" s="3" t="str">
        <f>IFERROR(MID(VLOOKUP($B123,Seqs!$A:$B,2,0),U123,1),"")</f>
        <v>G</v>
      </c>
      <c r="U123" s="3">
        <v>138</v>
      </c>
      <c r="V123" s="3" t="str">
        <f>IFERROR(MID(VLOOKUP($B123,Seqs!$A:$B,2,0),W123,1),"")</f>
        <v>H</v>
      </c>
      <c r="W123" s="3">
        <v>173</v>
      </c>
      <c r="X123" s="3" t="str">
        <f>IFERROR(MID(VLOOKUP($B123,Seqs!$A:$B,2,0),Y123,1),"")</f>
        <v>P</v>
      </c>
      <c r="Y123" s="3">
        <v>174</v>
      </c>
      <c r="Z123" s="3" t="str">
        <f>IFERROR(MID(VLOOKUP($B123,Seqs!$A:$B,2,0),AA123,1),"")</f>
        <v>M</v>
      </c>
      <c r="AA123" s="3">
        <v>181</v>
      </c>
      <c r="AB123" s="3" t="str">
        <f>IFERROR(MID(VLOOKUP($B123,Seqs!$A:$B,2,0),AC123,1),"")</f>
        <v>S</v>
      </c>
      <c r="AC123" s="9">
        <v>182</v>
      </c>
      <c r="AD123" s="3" t="str">
        <f>IFERROR(MID(VLOOKUP($B123,Seqs!$A:$B,2,0),AE123,1),"")</f>
        <v>M</v>
      </c>
      <c r="AE123" s="3">
        <v>208</v>
      </c>
      <c r="AF123" s="3" t="str">
        <f>IFERROR(MID(VLOOKUP($B123,Seqs!$A:$B,2,0),AG123,1),"")</f>
        <v>C</v>
      </c>
      <c r="AG123" s="3">
        <v>225</v>
      </c>
      <c r="AH123" s="3" t="str">
        <f>IFERROR(MID(VLOOKUP($B123,Seqs!$A:$B,2,0),AI123,1),"")</f>
        <v>P</v>
      </c>
      <c r="AI123" s="3">
        <v>227</v>
      </c>
      <c r="AJ123" s="3" t="str">
        <f>IFERROR(MID(VLOOKUP($B123,Seqs!$A:$B,2,0),AK123,1),"")</f>
        <v>T</v>
      </c>
      <c r="AK123" s="3">
        <v>231</v>
      </c>
      <c r="AL123" s="3" t="str">
        <f>IFERROR(MID(VLOOKUP($B123,Seqs!$A:$B,2,0),AM123,1),"")</f>
        <v>V</v>
      </c>
      <c r="AM123" s="3">
        <v>268</v>
      </c>
      <c r="AN123" s="3" t="str">
        <f>IFERROR(MID(VLOOKUP($B123,Seqs!$A:$B,2,0),AO123,1),"")</f>
        <v>A</v>
      </c>
      <c r="AO123" s="3">
        <v>302</v>
      </c>
      <c r="AP123" s="3" t="str">
        <f>IFERROR(MID(VLOOKUP($B123,Seqs!$A:$B,2,0),AQ123,1),"")</f>
        <v>I</v>
      </c>
      <c r="AQ123" s="3">
        <v>334</v>
      </c>
      <c r="AR123" s="3" t="str">
        <f>IFERROR(MID(VLOOKUP($B123,Seqs!$A:$B,2,0),AS123,1),"")</f>
        <v>T</v>
      </c>
      <c r="AS123" s="3">
        <v>340</v>
      </c>
      <c r="AT123" s="3" t="str">
        <f>IFERROR(MID(VLOOKUP($B123,Seqs!$A:$B,2,0),AU123,1),"")</f>
        <v>I</v>
      </c>
      <c r="AU123" s="3">
        <v>364</v>
      </c>
      <c r="AV123" s="3" t="str">
        <f>IFERROR(MID(VLOOKUP($B123,Seqs!$A:$B,2,0),AW123,1),"")</f>
        <v/>
      </c>
      <c r="AW123" s="3" t="s">
        <v>23</v>
      </c>
      <c r="AX123" s="3" t="str">
        <f>IFERROR(MID(VLOOKUP($B123,Seqs!$A:$B,2,0),AY123,1),"")</f>
        <v/>
      </c>
      <c r="AY123" s="3" t="s">
        <v>23</v>
      </c>
      <c r="AZ123" s="79" t="str">
        <f>VLOOKUP(B123,Classification!A:D,2,0)</f>
        <v>A</v>
      </c>
      <c r="BA123" s="97" t="str">
        <f>VLOOKUP(B123,Classification!A:D,4,0)</f>
        <v>Neurotensin</v>
      </c>
      <c r="BB123" s="27" t="b">
        <f t="shared" si="556"/>
        <v>1</v>
      </c>
      <c r="BC123" s="23">
        <f t="shared" si="473"/>
        <v>243</v>
      </c>
      <c r="BD123" s="5" t="s">
        <v>23</v>
      </c>
      <c r="BE123" s="3" t="s">
        <v>1381</v>
      </c>
      <c r="BF123" s="50" t="s">
        <v>1384</v>
      </c>
      <c r="BG123" s="50" t="s">
        <v>1384</v>
      </c>
      <c r="BH123" s="1"/>
      <c r="BI123" s="72" t="s">
        <v>1293</v>
      </c>
      <c r="BJ123" s="58" t="s">
        <v>1293</v>
      </c>
      <c r="BK123" s="58" t="s">
        <v>1293</v>
      </c>
      <c r="BL123" s="58" t="s">
        <v>1293</v>
      </c>
      <c r="BM123" s="58" t="s">
        <v>1293</v>
      </c>
      <c r="BN123" s="58" t="s">
        <v>1293</v>
      </c>
      <c r="BO123" s="58" t="s">
        <v>1293</v>
      </c>
      <c r="BP123" s="58" t="s">
        <v>1293</v>
      </c>
      <c r="BQ123" s="58" t="s">
        <v>1293</v>
      </c>
      <c r="BR123" s="58" t="s">
        <v>1293</v>
      </c>
      <c r="BS123" s="58" t="s">
        <v>1293</v>
      </c>
      <c r="BT123" s="58" t="s">
        <v>1293</v>
      </c>
      <c r="BU123" s="72">
        <f t="shared" si="474"/>
        <v>61</v>
      </c>
      <c r="BV123" s="73" t="str">
        <f t="shared" si="475"/>
        <v>-</v>
      </c>
      <c r="BW123" s="74">
        <f t="shared" si="476"/>
        <v>97</v>
      </c>
      <c r="BX123" s="73">
        <f t="shared" si="477"/>
        <v>134</v>
      </c>
      <c r="BY123" s="74">
        <f t="shared" si="478"/>
        <v>138</v>
      </c>
      <c r="BZ123" s="73">
        <f t="shared" si="479"/>
        <v>174</v>
      </c>
      <c r="CA123" s="74">
        <f t="shared" si="480"/>
        <v>182</v>
      </c>
      <c r="CB123" s="73">
        <f t="shared" si="481"/>
        <v>225</v>
      </c>
      <c r="CC123" s="74">
        <f t="shared" si="482"/>
        <v>231</v>
      </c>
      <c r="CD123" s="73">
        <f t="shared" si="483"/>
        <v>302</v>
      </c>
      <c r="CE123" s="74">
        <f t="shared" si="484"/>
        <v>340</v>
      </c>
      <c r="CF123" s="73" t="str">
        <f t="shared" si="485"/>
        <v>-</v>
      </c>
      <c r="CG123" s="72">
        <f t="shared" si="486"/>
        <v>92</v>
      </c>
      <c r="CH123" s="73" t="str">
        <f t="shared" si="487"/>
        <v>-</v>
      </c>
      <c r="CI123" s="74">
        <f t="shared" si="488"/>
        <v>131</v>
      </c>
      <c r="CJ123" s="74">
        <f t="shared" si="489"/>
        <v>137</v>
      </c>
      <c r="CK123" s="74">
        <f t="shared" si="490"/>
        <v>173</v>
      </c>
      <c r="CL123" s="74">
        <f t="shared" si="491"/>
        <v>181</v>
      </c>
      <c r="CM123" s="74">
        <f t="shared" si="492"/>
        <v>208</v>
      </c>
      <c r="CN123" s="74">
        <f t="shared" si="493"/>
        <v>227</v>
      </c>
      <c r="CO123" s="74">
        <f t="shared" si="494"/>
        <v>268</v>
      </c>
      <c r="CP123" s="74">
        <f t="shared" si="495"/>
        <v>334</v>
      </c>
      <c r="CQ123" s="74">
        <f t="shared" si="496"/>
        <v>364</v>
      </c>
      <c r="CR123" s="74" t="str">
        <f t="shared" si="497"/>
        <v>-</v>
      </c>
      <c r="CS123" s="23" t="e">
        <f t="shared" si="498"/>
        <v>#VALUE!</v>
      </c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  <c r="LW123" s="1"/>
      <c r="LX123" s="1"/>
      <c r="LY123" s="1"/>
      <c r="LZ123" s="1"/>
      <c r="MA123" s="1"/>
      <c r="MB123" s="1"/>
      <c r="MC123" s="1"/>
      <c r="MD123" s="1"/>
      <c r="ME123" s="1"/>
      <c r="MF123" s="1"/>
      <c r="MG123" s="1"/>
      <c r="MH123" s="1"/>
      <c r="MI123" s="1"/>
      <c r="MJ123" s="1"/>
      <c r="MK123" s="1"/>
      <c r="ML123" s="1"/>
      <c r="MM123" s="1"/>
      <c r="MN123" s="1"/>
      <c r="MO123" s="1"/>
      <c r="MP123" s="1"/>
      <c r="MQ123" s="1"/>
      <c r="MR123" s="1"/>
      <c r="MS123" s="1"/>
      <c r="MT123" s="1"/>
      <c r="MU123" s="1"/>
      <c r="MV123" s="1"/>
      <c r="MW123" s="1"/>
      <c r="MX123" s="1"/>
      <c r="MY123" s="1"/>
      <c r="MZ123" s="1"/>
      <c r="NA123" s="1"/>
      <c r="NB123" s="1"/>
      <c r="NC123" s="1"/>
      <c r="ND123" s="1"/>
      <c r="NE123" s="1"/>
      <c r="NF123" s="1"/>
      <c r="NG123" s="1"/>
      <c r="NH123" s="1"/>
      <c r="NI123" s="1"/>
      <c r="NJ123" s="1"/>
      <c r="NK123" s="1"/>
      <c r="NL123" s="1"/>
      <c r="NM123" s="1"/>
      <c r="NN123" s="1"/>
      <c r="NO123" s="1"/>
      <c r="NP123" s="1"/>
      <c r="NQ123" s="1"/>
      <c r="NR123" s="1"/>
      <c r="NS123" s="1"/>
      <c r="NT123" s="1"/>
      <c r="NU123" s="1"/>
      <c r="NV123" s="1"/>
      <c r="NW123" s="1"/>
      <c r="NX123" s="1"/>
      <c r="NY123" s="1"/>
      <c r="NZ123" s="1"/>
      <c r="OA123" s="1"/>
      <c r="OB123" s="1"/>
      <c r="OC123" s="1"/>
      <c r="OD123" s="1"/>
      <c r="OE123" s="1"/>
      <c r="OF123" s="1"/>
      <c r="OG123" s="1"/>
      <c r="OH123" s="1"/>
      <c r="OI123" s="1"/>
      <c r="OJ123" s="1"/>
      <c r="OK123" s="1"/>
      <c r="OL123" s="1"/>
      <c r="OM123" s="1"/>
      <c r="ON123" s="1"/>
      <c r="OO123" s="1"/>
      <c r="OP123" s="1"/>
      <c r="OQ123" s="1"/>
      <c r="OR123" s="1"/>
      <c r="OS123" s="1"/>
      <c r="OT123" s="1"/>
      <c r="OU123" s="1"/>
      <c r="OV123" s="1"/>
      <c r="OW123" s="1"/>
      <c r="OX123" s="1"/>
      <c r="OY123" s="1"/>
      <c r="OZ123" s="1"/>
      <c r="PA123" s="1"/>
      <c r="PB123" s="1"/>
      <c r="PC123" s="1"/>
      <c r="PD123" s="1"/>
      <c r="PE123" s="1"/>
      <c r="PF123" s="1"/>
      <c r="PG123" s="1"/>
      <c r="PH123" s="1"/>
      <c r="PI123" s="1"/>
      <c r="PJ123" s="1"/>
      <c r="PK123" s="1"/>
      <c r="PL123" s="1"/>
      <c r="PM123" s="1"/>
      <c r="PN123" s="1"/>
      <c r="PO123" s="1"/>
      <c r="PP123" s="1"/>
      <c r="PQ123" s="1"/>
      <c r="PR123" s="1"/>
      <c r="PS123" s="1"/>
      <c r="PT123" s="1"/>
      <c r="PU123" s="1"/>
      <c r="PV123" s="1"/>
      <c r="PW123" s="1"/>
      <c r="PX123" s="1"/>
      <c r="PY123" s="1"/>
      <c r="PZ123" s="1"/>
      <c r="QA123" s="1"/>
      <c r="QB123" s="1"/>
      <c r="QC123" s="1"/>
      <c r="QD123" s="1"/>
      <c r="QE123" s="1"/>
      <c r="QF123" s="1"/>
      <c r="QG123" s="1"/>
      <c r="QH123" s="1"/>
      <c r="QI123" s="1"/>
      <c r="QJ123" s="1"/>
      <c r="QK123" s="1"/>
      <c r="QL123" s="1"/>
      <c r="QM123" s="1"/>
      <c r="QN123" s="1"/>
      <c r="QO123" s="1"/>
      <c r="QP123" s="1"/>
      <c r="QQ123" s="1"/>
      <c r="QR123" s="1"/>
      <c r="QS123" s="1"/>
      <c r="QT123" s="1"/>
      <c r="QU123" s="1"/>
      <c r="QV123" s="1"/>
      <c r="QW123" s="1"/>
      <c r="QX123" s="1"/>
      <c r="QY123" s="1"/>
      <c r="QZ123" s="1"/>
      <c r="RA123" s="1"/>
      <c r="RB123" s="1"/>
      <c r="RC123" s="1"/>
      <c r="RD123" s="1"/>
      <c r="RE123" s="1"/>
      <c r="RF123" s="1"/>
      <c r="RG123" s="1"/>
      <c r="RH123" s="1"/>
      <c r="RI123" s="1"/>
      <c r="RJ123" s="1"/>
      <c r="RK123" s="1"/>
      <c r="RL123" s="1"/>
      <c r="RM123" s="1"/>
      <c r="RN123" s="1"/>
      <c r="RO123" s="1"/>
      <c r="RP123" s="1"/>
      <c r="RQ123" s="1"/>
      <c r="RR123" s="1"/>
      <c r="RS123" s="1"/>
      <c r="RT123" s="1"/>
      <c r="RU123" s="1"/>
      <c r="RV123" s="1"/>
      <c r="RW123" s="1"/>
      <c r="RX123" s="1"/>
      <c r="RY123" s="1"/>
      <c r="RZ123" s="1"/>
      <c r="SA123" s="1"/>
      <c r="SB123" s="1"/>
      <c r="SC123" s="1"/>
      <c r="SD123" s="1"/>
      <c r="SE123" s="1"/>
      <c r="SF123" s="1"/>
      <c r="SG123" s="1"/>
      <c r="SH123" s="1"/>
      <c r="SI123" s="1"/>
      <c r="SJ123" s="1"/>
      <c r="SK123" s="1"/>
      <c r="SL123" s="1"/>
      <c r="SM123" s="1"/>
      <c r="SN123" s="1"/>
      <c r="SO123" s="1"/>
      <c r="SP123" s="1"/>
      <c r="SQ123" s="1"/>
      <c r="SR123" s="1"/>
      <c r="SS123" s="1"/>
      <c r="ST123" s="1"/>
      <c r="SU123" s="1"/>
      <c r="SV123" s="1"/>
      <c r="SW123" s="1"/>
      <c r="SX123" s="1"/>
      <c r="SY123" s="1"/>
      <c r="SZ123" s="1"/>
      <c r="TA123" s="1"/>
      <c r="TB123" s="1"/>
      <c r="TC123" s="1"/>
      <c r="TD123" s="1"/>
      <c r="TE123" s="1"/>
      <c r="TF123" s="1"/>
      <c r="TG123" s="1"/>
      <c r="TH123" s="1"/>
      <c r="TI123" s="1"/>
      <c r="TJ123" s="1"/>
      <c r="TK123" s="1"/>
      <c r="TL123" s="1"/>
      <c r="TM123" s="1"/>
      <c r="TN123" s="1"/>
      <c r="TO123" s="1"/>
      <c r="TP123" s="1"/>
      <c r="TQ123" s="1"/>
      <c r="TR123" s="1"/>
      <c r="TS123" s="1"/>
      <c r="TT123" s="1"/>
      <c r="TU123" s="1"/>
      <c r="TV123" s="1"/>
      <c r="TW123" s="1"/>
      <c r="TX123" s="1"/>
      <c r="TY123" s="1"/>
      <c r="TZ123" s="1"/>
      <c r="UA123" s="1"/>
      <c r="UB123" s="1"/>
      <c r="UC123" s="1"/>
      <c r="UD123" s="1"/>
      <c r="UE123" s="1"/>
      <c r="UF123" s="1"/>
      <c r="UG123" s="1"/>
      <c r="UH123" s="1"/>
      <c r="UI123" s="1"/>
      <c r="UJ123" s="1"/>
      <c r="UK123" s="1"/>
      <c r="UL123" s="1"/>
      <c r="UM123" s="1"/>
      <c r="UN123" s="1"/>
      <c r="UO123" s="1"/>
      <c r="UP123" s="1"/>
      <c r="UQ123" s="1"/>
      <c r="UR123" s="1"/>
      <c r="US123" s="1"/>
      <c r="UT123" s="1"/>
      <c r="UU123" s="1"/>
      <c r="UV123" s="1"/>
      <c r="UW123" s="1"/>
      <c r="UX123" s="1"/>
      <c r="UY123" s="1"/>
      <c r="UZ123" s="1"/>
      <c r="VA123" s="1"/>
      <c r="VB123" s="1"/>
      <c r="VC123" s="1"/>
      <c r="VD123" s="1"/>
      <c r="VE123" s="1"/>
      <c r="VF123" s="1"/>
      <c r="VG123" s="1"/>
      <c r="VH123" s="1"/>
      <c r="VI123" s="1"/>
      <c r="VJ123" s="1"/>
      <c r="VK123" s="1"/>
      <c r="VL123" s="1"/>
      <c r="VM123" s="1"/>
      <c r="VN123" s="1"/>
      <c r="VO123" s="1"/>
      <c r="VP123" s="1"/>
      <c r="VQ123" s="1"/>
      <c r="VR123" s="1"/>
      <c r="VS123" s="1"/>
      <c r="VT123" s="1"/>
      <c r="VU123" s="1"/>
      <c r="VV123" s="1"/>
      <c r="VW123" s="1"/>
      <c r="VX123" s="1"/>
      <c r="VY123" s="1"/>
      <c r="VZ123" s="1"/>
      <c r="WA123" s="1"/>
      <c r="WB123" s="1"/>
      <c r="WC123" s="1"/>
      <c r="WD123" s="1"/>
      <c r="WE123" s="1"/>
      <c r="WF123" s="1"/>
      <c r="WG123" s="1"/>
      <c r="WH123" s="1"/>
      <c r="WI123" s="1"/>
      <c r="WJ123" s="1"/>
      <c r="WK123" s="1"/>
      <c r="WL123" s="1"/>
      <c r="WM123" s="1"/>
      <c r="WN123" s="1"/>
      <c r="WO123" s="1"/>
      <c r="WP123" s="1"/>
      <c r="WQ123" s="1"/>
      <c r="WR123" s="1"/>
      <c r="WS123" s="1"/>
      <c r="WT123" s="1"/>
      <c r="WU123" s="1"/>
      <c r="WV123" s="1"/>
      <c r="WW123" s="1"/>
      <c r="WX123" s="1"/>
      <c r="WY123" s="1"/>
      <c r="WZ123" s="1"/>
      <c r="XA123" s="1"/>
      <c r="XB123" s="1"/>
      <c r="XC123" s="1"/>
      <c r="XD123" s="1"/>
      <c r="XE123" s="1"/>
      <c r="XF123" s="1"/>
      <c r="XG123" s="1"/>
      <c r="XH123" s="1"/>
      <c r="XI123" s="1"/>
      <c r="XJ123" s="1"/>
      <c r="XK123" s="1"/>
      <c r="XL123" s="1"/>
      <c r="XM123" s="1"/>
      <c r="XN123" s="1"/>
      <c r="XO123" s="1"/>
      <c r="XP123" s="1"/>
      <c r="XQ123" s="1"/>
      <c r="XR123" s="1"/>
      <c r="XS123" s="1"/>
      <c r="XT123" s="1"/>
      <c r="XU123" s="1"/>
      <c r="XV123" s="1"/>
      <c r="XW123" s="1"/>
      <c r="XX123" s="1"/>
      <c r="XY123" s="1"/>
      <c r="XZ123" s="1"/>
      <c r="YA123" s="1"/>
      <c r="YB123" s="1"/>
      <c r="YC123" s="1"/>
      <c r="YD123" s="1"/>
      <c r="YE123" s="1"/>
      <c r="YF123" s="1"/>
      <c r="YG123" s="1"/>
      <c r="YH123" s="1"/>
      <c r="YI123" s="1"/>
      <c r="YJ123" s="1"/>
      <c r="YK123" s="1"/>
      <c r="YL123" s="1"/>
      <c r="YM123" s="1"/>
      <c r="YN123" s="1"/>
      <c r="YO123" s="1"/>
      <c r="YP123" s="1"/>
      <c r="YQ123" s="1"/>
      <c r="YR123" s="1"/>
      <c r="YS123" s="1"/>
      <c r="YT123" s="1"/>
      <c r="YU123" s="1"/>
      <c r="YV123" s="1"/>
      <c r="YW123" s="1"/>
      <c r="YX123" s="1"/>
      <c r="YY123" s="1"/>
      <c r="YZ123" s="1"/>
      <c r="ZA123" s="1"/>
      <c r="ZB123" s="1"/>
      <c r="ZC123" s="1"/>
      <c r="ZD123" s="1"/>
      <c r="ZE123" s="1"/>
      <c r="ZF123" s="1"/>
      <c r="ZG123" s="1"/>
      <c r="ZH123" s="1"/>
      <c r="ZI123" s="1"/>
      <c r="ZJ123" s="1"/>
      <c r="ZK123" s="1"/>
      <c r="ZL123" s="1"/>
      <c r="ZM123" s="1"/>
      <c r="ZN123" s="1"/>
      <c r="ZO123" s="1"/>
      <c r="ZP123" s="1"/>
      <c r="ZQ123" s="1"/>
      <c r="ZR123" s="1"/>
      <c r="ZS123" s="1"/>
      <c r="ZT123" s="1"/>
      <c r="ZU123" s="1"/>
      <c r="ZV123" s="1"/>
      <c r="ZW123" s="1"/>
      <c r="ZX123" s="1"/>
      <c r="ZY123" s="1"/>
      <c r="ZZ123" s="1"/>
      <c r="AAA123" s="1"/>
      <c r="AAB123" s="1"/>
      <c r="AAC123" s="1"/>
      <c r="AAD123" s="1"/>
      <c r="AAE123" s="1"/>
      <c r="AAF123" s="1"/>
      <c r="AAG123" s="1"/>
      <c r="AAH123" s="1"/>
      <c r="AAI123" s="1"/>
      <c r="AAJ123" s="1"/>
      <c r="AAK123" s="1"/>
      <c r="AAL123" s="1"/>
      <c r="AAM123" s="1"/>
      <c r="AAN123" s="1"/>
      <c r="AAO123" s="1"/>
      <c r="AAP123" s="1"/>
      <c r="AAQ123" s="1"/>
      <c r="AAR123" s="1"/>
      <c r="AAS123" s="1"/>
      <c r="AAT123" s="1"/>
      <c r="AAU123" s="1"/>
      <c r="AAV123" s="1"/>
      <c r="AAW123" s="1"/>
      <c r="AAX123" s="1"/>
      <c r="AAY123" s="1"/>
      <c r="AAZ123" s="1"/>
      <c r="ABA123" s="1"/>
      <c r="ABB123" s="1"/>
      <c r="ABC123" s="1"/>
      <c r="ABD123" s="1"/>
      <c r="ABE123" s="1"/>
      <c r="ABF123" s="1"/>
      <c r="ABG123" s="1"/>
      <c r="ABH123" s="1"/>
      <c r="ABI123" s="1"/>
      <c r="ABJ123" s="1"/>
      <c r="ABK123" s="1"/>
      <c r="ABL123" s="1"/>
      <c r="ABM123" s="1"/>
      <c r="ABN123" s="1"/>
      <c r="ABO123" s="1"/>
      <c r="ABP123" s="1"/>
      <c r="ABQ123" s="1"/>
      <c r="ABR123" s="1"/>
      <c r="ABS123" s="1"/>
      <c r="ABT123" s="1"/>
      <c r="ABU123" s="1"/>
      <c r="ABV123" s="1"/>
      <c r="ABW123" s="1"/>
      <c r="ABX123" s="1"/>
      <c r="ABY123" s="1"/>
      <c r="ABZ123" s="1"/>
      <c r="ACA123" s="1"/>
      <c r="ACB123" s="1"/>
      <c r="ACC123" s="1"/>
      <c r="ACD123" s="1"/>
      <c r="ACE123" s="1"/>
      <c r="ACF123" s="1"/>
      <c r="ACG123" s="1"/>
      <c r="ACH123" s="1"/>
      <c r="ACI123" s="1"/>
      <c r="ACJ123" s="1"/>
      <c r="ACK123" s="1"/>
      <c r="ACL123" s="1"/>
      <c r="ACM123" s="1"/>
      <c r="ACN123" s="1"/>
      <c r="ACO123" s="1"/>
      <c r="ACP123" s="1"/>
      <c r="ACQ123" s="1"/>
      <c r="ACR123" s="1"/>
      <c r="ACS123" s="1"/>
      <c r="ACT123" s="1"/>
      <c r="ACU123" s="1"/>
      <c r="ACV123" s="1"/>
      <c r="ACW123" s="1"/>
      <c r="ACX123" s="1"/>
      <c r="ACY123" s="1"/>
      <c r="ACZ123" s="1"/>
      <c r="ADA123" s="1"/>
      <c r="ADB123" s="1"/>
      <c r="ADC123" s="1"/>
      <c r="ADD123" s="1"/>
      <c r="ADE123" s="1"/>
      <c r="ADF123" s="1"/>
      <c r="ADG123" s="1"/>
      <c r="ADH123" s="1"/>
      <c r="ADI123" s="1"/>
      <c r="ADJ123" s="1"/>
      <c r="ADK123" s="1"/>
      <c r="ADL123" s="1"/>
      <c r="ADM123" s="1"/>
      <c r="ADN123" s="1"/>
      <c r="ADO123" s="1"/>
      <c r="ADP123" s="1"/>
      <c r="ADQ123" s="1"/>
      <c r="ADR123" s="1"/>
      <c r="ADS123" s="1"/>
      <c r="ADT123" s="1"/>
      <c r="ADU123" s="1"/>
      <c r="ADV123" s="1"/>
      <c r="ADW123" s="1"/>
      <c r="ADX123" s="1"/>
      <c r="ADY123" s="1"/>
      <c r="ADZ123" s="1"/>
      <c r="AEA123" s="1"/>
      <c r="AEB123" s="1"/>
      <c r="AEC123" s="1"/>
      <c r="AED123" s="1"/>
      <c r="AEE123" s="1"/>
      <c r="AEF123" s="1"/>
      <c r="AEG123" s="1"/>
      <c r="AEH123" s="1"/>
      <c r="AEI123" s="1"/>
      <c r="AEJ123" s="1"/>
      <c r="AEK123" s="1"/>
      <c r="AEL123" s="1"/>
      <c r="AEM123" s="1"/>
      <c r="AEN123" s="1"/>
      <c r="AEO123" s="1"/>
      <c r="AEP123" s="1"/>
      <c r="AEQ123" s="1"/>
      <c r="AER123" s="1"/>
      <c r="AES123" s="1"/>
      <c r="AET123" s="1"/>
      <c r="AEU123" s="1"/>
      <c r="AEV123" s="1"/>
      <c r="AEW123" s="1"/>
      <c r="AEX123" s="1"/>
      <c r="AEY123" s="1"/>
      <c r="AEZ123" s="1"/>
      <c r="AFA123" s="1"/>
      <c r="AFB123" s="1"/>
      <c r="AFC123" s="1"/>
      <c r="AFD123" s="1"/>
      <c r="AFE123" s="1"/>
      <c r="AFF123" s="1"/>
      <c r="AFG123" s="1"/>
      <c r="AFH123" s="1"/>
      <c r="AFI123" s="1"/>
      <c r="AFJ123" s="1"/>
      <c r="AFK123" s="1"/>
      <c r="AFL123" s="1"/>
      <c r="AFM123" s="1"/>
      <c r="AFN123" s="1"/>
      <c r="AFO123" s="1"/>
      <c r="AFP123" s="1"/>
      <c r="AFQ123" s="1"/>
      <c r="AFR123" s="1"/>
      <c r="AFS123" s="1"/>
      <c r="AFT123" s="1"/>
      <c r="AFU123" s="1"/>
      <c r="AFV123" s="1"/>
      <c r="AFW123" s="1"/>
      <c r="AFX123" s="1"/>
      <c r="AFY123" s="1"/>
      <c r="AFZ123" s="1"/>
      <c r="AGA123" s="1"/>
      <c r="AGB123" s="1"/>
      <c r="AGC123" s="1"/>
      <c r="AGD123" s="1"/>
      <c r="AGE123" s="1"/>
      <c r="AGF123" s="1"/>
      <c r="AGG123" s="1"/>
      <c r="AGH123" s="1"/>
      <c r="AGI123" s="1"/>
      <c r="AGJ123" s="1"/>
      <c r="AGK123" s="1"/>
      <c r="AGL123" s="1"/>
      <c r="AGM123" s="1"/>
      <c r="AGN123" s="1"/>
      <c r="AGO123" s="1"/>
      <c r="AGP123" s="1"/>
      <c r="AGQ123" s="1"/>
      <c r="AGR123" s="1"/>
      <c r="AGS123" s="1"/>
      <c r="AGT123" s="1"/>
      <c r="AGU123" s="1"/>
      <c r="AGV123" s="1"/>
      <c r="AGW123" s="1"/>
      <c r="AGX123" s="1"/>
      <c r="AGY123" s="1"/>
      <c r="AGZ123" s="1"/>
      <c r="AHA123" s="1"/>
      <c r="AHB123" s="1"/>
      <c r="AHC123" s="1"/>
      <c r="AHD123" s="1"/>
      <c r="AHE123" s="1"/>
      <c r="AHF123" s="1"/>
      <c r="AHG123" s="1"/>
      <c r="AHH123" s="1"/>
      <c r="AHI123" s="1"/>
      <c r="AHJ123" s="1"/>
      <c r="AHK123" s="1"/>
      <c r="AHL123" s="1"/>
      <c r="AHM123" s="1"/>
      <c r="AHN123" s="1"/>
      <c r="AHO123" s="1"/>
      <c r="AHP123" s="1"/>
      <c r="AHQ123" s="1"/>
      <c r="AHR123" s="1"/>
      <c r="AHS123" s="1"/>
      <c r="AHT123" s="1"/>
      <c r="AHU123" s="1"/>
      <c r="AHV123" s="1"/>
      <c r="AHW123" s="1"/>
      <c r="AHX123" s="1"/>
      <c r="AHY123" s="1"/>
      <c r="AHZ123" s="1"/>
      <c r="AIA123" s="1"/>
      <c r="AIB123" s="1"/>
      <c r="AIC123" s="1"/>
      <c r="AID123" s="1"/>
      <c r="AIE123" s="1"/>
      <c r="AIF123" s="1"/>
      <c r="AIG123" s="1"/>
      <c r="AIH123" s="1"/>
      <c r="AII123" s="1"/>
      <c r="AIJ123" s="1"/>
      <c r="AIK123" s="1"/>
      <c r="AIL123" s="1"/>
      <c r="AIM123" s="1"/>
      <c r="AIN123" s="1"/>
      <c r="AIO123" s="1"/>
      <c r="AIP123" s="1"/>
      <c r="AIQ123" s="1"/>
      <c r="AIR123" s="1"/>
      <c r="AIS123" s="1"/>
      <c r="AIT123" s="1"/>
      <c r="AIU123" s="1"/>
      <c r="AIV123" s="1"/>
      <c r="AIW123" s="1"/>
      <c r="AIX123" s="1"/>
      <c r="AIY123" s="1"/>
      <c r="AIZ123" s="1"/>
      <c r="AJA123" s="1"/>
      <c r="AJB123" s="1"/>
      <c r="AJC123" s="1"/>
      <c r="AJD123" s="1"/>
      <c r="AJE123" s="1"/>
      <c r="AJF123" s="1"/>
      <c r="AJG123" s="1"/>
      <c r="AJH123" s="1"/>
      <c r="AJI123" s="1"/>
      <c r="AJJ123" s="1"/>
      <c r="AJK123" s="1"/>
      <c r="AJL123" s="1"/>
      <c r="AJM123" s="1"/>
      <c r="AJN123" s="1"/>
      <c r="AJO123" s="1"/>
      <c r="AJP123" s="1"/>
      <c r="AJQ123" s="1"/>
      <c r="AJR123" s="1"/>
      <c r="AJS123" s="1"/>
      <c r="AJT123" s="1"/>
      <c r="AJU123" s="1"/>
      <c r="AJV123" s="1"/>
      <c r="AJW123" s="1"/>
      <c r="AJX123" s="1"/>
      <c r="AJY123" s="1"/>
      <c r="AJZ123" s="1"/>
      <c r="AKA123" s="1"/>
      <c r="AKB123" s="1"/>
      <c r="AKC123" s="1"/>
      <c r="AKD123" s="1"/>
      <c r="AKE123" s="1"/>
      <c r="AKF123" s="1"/>
      <c r="AKG123" s="1"/>
      <c r="AKH123" s="1"/>
      <c r="AKI123" s="1"/>
      <c r="AKJ123" s="1"/>
      <c r="AKK123" s="1"/>
      <c r="AKL123" s="1"/>
      <c r="AKM123" s="1"/>
      <c r="AKN123" s="1"/>
      <c r="AKO123" s="1"/>
      <c r="AKP123" s="1"/>
      <c r="AKQ123" s="1"/>
      <c r="AKR123" s="1"/>
      <c r="AKS123" s="1"/>
      <c r="AKT123" s="1"/>
      <c r="AKU123" s="1"/>
      <c r="AKV123" s="1"/>
      <c r="AKW123" s="1"/>
      <c r="AKX123" s="1"/>
      <c r="AKY123" s="1"/>
      <c r="AKZ123" s="1"/>
      <c r="ALA123" s="1"/>
      <c r="ALB123" s="1"/>
      <c r="ALC123" s="1"/>
      <c r="ALD123" s="1"/>
      <c r="ALE123" s="1"/>
      <c r="ALF123" s="1"/>
      <c r="ALG123" s="1"/>
      <c r="ALH123" s="1"/>
      <c r="ALI123" s="1"/>
      <c r="ALJ123" s="1"/>
      <c r="ALK123" s="1"/>
      <c r="ALL123" s="1"/>
      <c r="ALM123" s="1"/>
      <c r="ALN123" s="1"/>
      <c r="ALO123" s="1"/>
      <c r="ALP123" s="1"/>
      <c r="ALQ123" s="1"/>
      <c r="ALR123" s="1"/>
      <c r="ALS123" s="1"/>
      <c r="ALT123" s="1"/>
      <c r="ALU123" s="1"/>
      <c r="ALV123" s="1"/>
      <c r="ALW123" s="1"/>
      <c r="ALX123" s="1"/>
      <c r="ALY123" s="1"/>
      <c r="ALZ123" s="1"/>
      <c r="AMA123" s="1"/>
      <c r="AMB123" s="1"/>
      <c r="AMC123" s="1"/>
      <c r="AMD123" s="1"/>
      <c r="AME123" s="1"/>
      <c r="AMF123" s="1"/>
      <c r="AMG123" s="1"/>
      <c r="AMH123" s="1"/>
      <c r="AMI123" s="1"/>
      <c r="AMJ123" s="1"/>
      <c r="AMK123" s="1"/>
      <c r="AML123" s="1"/>
      <c r="AMM123" s="1"/>
      <c r="AMN123" s="1"/>
    </row>
    <row r="124" spans="1:1029" x14ac:dyDescent="0.2">
      <c r="A124" s="3" t="str">
        <f t="shared" ref="A124" si="557">CONCATENATE(B124,"_",C124)</f>
        <v>ntr1_rat_5T04</v>
      </c>
      <c r="B124" s="3" t="s">
        <v>914</v>
      </c>
      <c r="C124" s="3" t="s">
        <v>1392</v>
      </c>
      <c r="D124" s="3" t="str">
        <f>IFERROR(MID(VLOOKUP($B124,Seqs!$A:$B,2,0),E124,1),"")</f>
        <v>I</v>
      </c>
      <c r="E124" s="3">
        <v>61</v>
      </c>
      <c r="F124" s="3" t="str">
        <f>IFERROR(MID(VLOOKUP($B124,Seqs!$A:$B,2,0),G124,1),"")</f>
        <v>T</v>
      </c>
      <c r="G124" s="3">
        <v>88</v>
      </c>
      <c r="H124" s="3" t="str">
        <f>IFERROR(MID(VLOOKUP($B124,Seqs!$A:$B,2,0),I124,1),"")</f>
        <v/>
      </c>
      <c r="I124" s="23" t="s">
        <v>23</v>
      </c>
      <c r="J124" s="3" t="str">
        <f>IFERROR(MID(VLOOKUP($B124,Seqs!$A:$B,2,0),K124,1),"")</f>
        <v/>
      </c>
      <c r="K124" s="23" t="s">
        <v>23</v>
      </c>
      <c r="L124" s="3" t="str">
        <f>IFERROR(MID(VLOOKUP($B124,Seqs!$A:$B,2,0),M124,1),"")</f>
        <v>H</v>
      </c>
      <c r="M124" s="3">
        <v>103</v>
      </c>
      <c r="N124" s="3" t="str">
        <f>IFERROR(MID(VLOOKUP($B124,Seqs!$A:$B,2,0),O124,1),"")</f>
        <v>V</v>
      </c>
      <c r="O124" s="3">
        <v>131</v>
      </c>
      <c r="P124" s="3" t="str">
        <f>IFERROR(MID(VLOOKUP($B124,Seqs!$A:$B,2,0),Q124,1),"")</f>
        <v>P</v>
      </c>
      <c r="Q124" s="3">
        <v>134</v>
      </c>
      <c r="R124" s="3" t="str">
        <f>IFERROR(MID(VLOOKUP($B124,Seqs!$A:$B,2,0),S124,1),"")</f>
        <v>F</v>
      </c>
      <c r="S124" s="3">
        <v>137</v>
      </c>
      <c r="T124" s="3" t="str">
        <f>IFERROR(MID(VLOOKUP($B124,Seqs!$A:$B,2,0),U124,1),"")</f>
        <v>G</v>
      </c>
      <c r="U124" s="3">
        <v>138</v>
      </c>
      <c r="V124" s="3" t="str">
        <f>IFERROR(MID(VLOOKUP($B124,Seqs!$A:$B,2,0),W124,1),"")</f>
        <v>H</v>
      </c>
      <c r="W124" s="3">
        <v>173</v>
      </c>
      <c r="X124" s="3" t="str">
        <f>IFERROR(MID(VLOOKUP($B124,Seqs!$A:$B,2,0),Y124,1),"")</f>
        <v>P</v>
      </c>
      <c r="Y124" s="3">
        <v>174</v>
      </c>
      <c r="Z124" s="3" t="str">
        <f>IFERROR(MID(VLOOKUP($B124,Seqs!$A:$B,2,0),AA124,1),"")</f>
        <v>M</v>
      </c>
      <c r="AA124" s="3">
        <v>181</v>
      </c>
      <c r="AB124" s="3" t="str">
        <f>IFERROR(MID(VLOOKUP($B124,Seqs!$A:$B,2,0),AC124,1),"")</f>
        <v>S</v>
      </c>
      <c r="AC124" s="3">
        <v>182</v>
      </c>
      <c r="AD124" s="3" t="str">
        <f>IFERROR(MID(VLOOKUP($B124,Seqs!$A:$B,2,0),AE124,1),"")</f>
        <v>M</v>
      </c>
      <c r="AE124" s="3">
        <v>208</v>
      </c>
      <c r="AF124" s="3" t="str">
        <f>IFERROR(MID(VLOOKUP($B124,Seqs!$A:$B,2,0),AG124,1),"")</f>
        <v>C</v>
      </c>
      <c r="AG124" s="3">
        <v>225</v>
      </c>
      <c r="AH124" s="3" t="str">
        <f>IFERROR(MID(VLOOKUP($B124,Seqs!$A:$B,2,0),AI124,1),"")</f>
        <v>P</v>
      </c>
      <c r="AI124" s="3">
        <v>227</v>
      </c>
      <c r="AJ124" s="3" t="str">
        <f>IFERROR(MID(VLOOKUP($B124,Seqs!$A:$B,2,0),AK124,1),"")</f>
        <v>T</v>
      </c>
      <c r="AK124" s="3">
        <v>231</v>
      </c>
      <c r="AL124" s="3" t="str">
        <f>IFERROR(MID(VLOOKUP($B124,Seqs!$A:$B,2,0),AM124,1),"")</f>
        <v>V</v>
      </c>
      <c r="AM124" s="3">
        <v>268</v>
      </c>
      <c r="AN124" s="3" t="str">
        <f>IFERROR(MID(VLOOKUP($B124,Seqs!$A:$B,2,0),AO124,1),"")</f>
        <v>P</v>
      </c>
      <c r="AO124" s="3">
        <v>297</v>
      </c>
      <c r="AP124" s="3" t="str">
        <f>IFERROR(MID(VLOOKUP($B124,Seqs!$A:$B,2,0),AQ124,1),"")</f>
        <v>I</v>
      </c>
      <c r="AQ124" s="3">
        <v>334</v>
      </c>
      <c r="AR124" s="3" t="str">
        <f>IFERROR(MID(VLOOKUP($B124,Seqs!$A:$B,2,0),AS124,1),"")</f>
        <v>T</v>
      </c>
      <c r="AS124" s="3">
        <v>340</v>
      </c>
      <c r="AT124" s="3" t="str">
        <f>IFERROR(MID(VLOOKUP($B124,Seqs!$A:$B,2,0),AU124,1),"")</f>
        <v>I</v>
      </c>
      <c r="AU124" s="3">
        <v>364</v>
      </c>
      <c r="AV124" s="3" t="str">
        <f>IFERROR(MID(VLOOKUP($B124,Seqs!$A:$B,2,0),AW124,1),"")</f>
        <v/>
      </c>
      <c r="AW124" s="3" t="s">
        <v>23</v>
      </c>
      <c r="AX124" s="3" t="str">
        <f>IFERROR(MID(VLOOKUP($B124,Seqs!$A:$B,2,0),AY124,1),"")</f>
        <v/>
      </c>
      <c r="AY124" s="3" t="s">
        <v>23</v>
      </c>
      <c r="AZ124" s="79" t="str">
        <f>VLOOKUP(B124,Classification!A:D,2,0)</f>
        <v>A</v>
      </c>
      <c r="BA124" s="97" t="str">
        <f>VLOOKUP(B124,Classification!A:D,4,0)</f>
        <v>Neurotensin</v>
      </c>
      <c r="BB124" s="27" t="b">
        <f t="shared" ref="BB124" si="558">AND(E124&lt;G124,OR(G124&lt;I124,I124="-"),OR(I124&lt;K124,I124="-"),OR(K124&lt;M124,K124="-"),M124&lt;O124,OR(O124&lt;Q124,Q124="-"),OR(Q124&lt;S124,Q124="-"),OR(S124&lt;U124,S124="-"),U124&lt;W124,OR(W124&lt;Y124,Y124="-"),OR(Y124&lt;AA124,Y124="-"),OR(AA124&lt;AC124,AA124="-"),AC124&lt;AE124,OR(AE124&lt;AG124,AG124="-"),OR(AG124&lt;AI124,AG124="-"),OR(AI124&lt;AK124,AI124="-"),AK124&lt;AM124,AM124&lt;AO124,AO124&lt;AQ124,AQ124&lt;AS124,AS124&lt;AU124,OR(AU124&lt;AW124,AW124="-"),OR(AW124&lt;AY124,AW124="-"))</f>
        <v>1</v>
      </c>
      <c r="BC124" s="23">
        <f t="shared" ref="BC124" si="559">_xlfn.AGGREGATE(9,6,CG124:CR124)-_xlfn.AGGREGATE(9,6,BU124:CF124)+12</f>
        <v>238</v>
      </c>
      <c r="BD124" s="5" t="s">
        <v>1382</v>
      </c>
      <c r="BE124" s="3" t="s">
        <v>1297</v>
      </c>
      <c r="BF124" s="50" t="s">
        <v>1384</v>
      </c>
      <c r="BG124" s="50" t="s">
        <v>1384</v>
      </c>
      <c r="BH124" s="1"/>
      <c r="BI124" s="72" t="s">
        <v>1293</v>
      </c>
      <c r="BJ124" s="58" t="s">
        <v>1293</v>
      </c>
      <c r="BK124" s="58" t="s">
        <v>1293</v>
      </c>
      <c r="BL124" s="58" t="s">
        <v>1293</v>
      </c>
      <c r="BM124" s="58" t="s">
        <v>1293</v>
      </c>
      <c r="BN124" s="58" t="s">
        <v>1293</v>
      </c>
      <c r="BO124" s="58" t="s">
        <v>1293</v>
      </c>
      <c r="BP124" s="58" t="s">
        <v>1293</v>
      </c>
      <c r="BQ124" s="58" t="s">
        <v>1293</v>
      </c>
      <c r="BR124" s="58" t="s">
        <v>1293</v>
      </c>
      <c r="BS124" s="58" t="s">
        <v>1293</v>
      </c>
      <c r="BT124" s="58" t="s">
        <v>1293</v>
      </c>
      <c r="BU124" s="72">
        <f t="shared" ref="BU124" si="560">E124</f>
        <v>61</v>
      </c>
      <c r="BV124" s="73" t="str">
        <f t="shared" ref="BV124" si="561">I124</f>
        <v>-</v>
      </c>
      <c r="BW124" s="74">
        <f t="shared" ref="BW124" si="562">M124</f>
        <v>103</v>
      </c>
      <c r="BX124" s="73">
        <f t="shared" ref="BX124" si="563">Q124</f>
        <v>134</v>
      </c>
      <c r="BY124" s="74">
        <f t="shared" ref="BY124" si="564">U124</f>
        <v>138</v>
      </c>
      <c r="BZ124" s="73">
        <f t="shared" ref="BZ124" si="565">Y124</f>
        <v>174</v>
      </c>
      <c r="CA124" s="74">
        <f t="shared" ref="CA124" si="566">AC124</f>
        <v>182</v>
      </c>
      <c r="CB124" s="73">
        <f t="shared" ref="CB124" si="567">AG124</f>
        <v>225</v>
      </c>
      <c r="CC124" s="74">
        <f t="shared" ref="CC124" si="568">AK124</f>
        <v>231</v>
      </c>
      <c r="CD124" s="73">
        <f t="shared" ref="CD124" si="569">AO124</f>
        <v>297</v>
      </c>
      <c r="CE124" s="74">
        <f t="shared" ref="CE124" si="570">AS124</f>
        <v>340</v>
      </c>
      <c r="CF124" s="73" t="str">
        <f t="shared" ref="CF124" si="571">AW124</f>
        <v>-</v>
      </c>
      <c r="CG124" s="72">
        <f t="shared" ref="CG124" si="572">G124</f>
        <v>88</v>
      </c>
      <c r="CH124" s="73" t="str">
        <f t="shared" ref="CH124" si="573">K124</f>
        <v>-</v>
      </c>
      <c r="CI124" s="74">
        <f t="shared" ref="CI124" si="574">O124</f>
        <v>131</v>
      </c>
      <c r="CJ124" s="74">
        <f t="shared" ref="CJ124" si="575">S124</f>
        <v>137</v>
      </c>
      <c r="CK124" s="74">
        <f t="shared" ref="CK124" si="576">W124</f>
        <v>173</v>
      </c>
      <c r="CL124" s="74">
        <f t="shared" ref="CL124" si="577">AA124</f>
        <v>181</v>
      </c>
      <c r="CM124" s="74">
        <f t="shared" ref="CM124" si="578">AE124</f>
        <v>208</v>
      </c>
      <c r="CN124" s="74">
        <f t="shared" ref="CN124" si="579">AI124</f>
        <v>227</v>
      </c>
      <c r="CO124" s="74">
        <f t="shared" ref="CO124" si="580">AM124</f>
        <v>268</v>
      </c>
      <c r="CP124" s="74">
        <f t="shared" ref="CP124" si="581">AQ124</f>
        <v>334</v>
      </c>
      <c r="CQ124" s="74">
        <f t="shared" ref="CQ124" si="582">AU124</f>
        <v>364</v>
      </c>
      <c r="CR124" s="74" t="str">
        <f t="shared" ref="CR124" si="583">AY124</f>
        <v>-</v>
      </c>
      <c r="CS124" s="23" t="e">
        <f t="shared" ref="CS124" si="584">M124-K124</f>
        <v>#VALUE!</v>
      </c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/>
      <c r="LO124" s="1"/>
      <c r="LP124" s="1"/>
      <c r="LQ124" s="1"/>
      <c r="LR124" s="1"/>
      <c r="LS124" s="1"/>
      <c r="LT124" s="1"/>
      <c r="LU124" s="1"/>
      <c r="LV124" s="1"/>
      <c r="LW124" s="1"/>
      <c r="LX124" s="1"/>
      <c r="LY124" s="1"/>
      <c r="LZ124" s="1"/>
      <c r="MA124" s="1"/>
      <c r="MB124" s="1"/>
      <c r="MC124" s="1"/>
      <c r="MD124" s="1"/>
      <c r="ME124" s="1"/>
      <c r="MF124" s="1"/>
      <c r="MG124" s="1"/>
      <c r="MH124" s="1"/>
      <c r="MI124" s="1"/>
      <c r="MJ124" s="1"/>
      <c r="MK124" s="1"/>
      <c r="ML124" s="1"/>
      <c r="MM124" s="1"/>
      <c r="MN124" s="1"/>
      <c r="MO124" s="1"/>
      <c r="MP124" s="1"/>
      <c r="MQ124" s="1"/>
      <c r="MR124" s="1"/>
      <c r="MS124" s="1"/>
      <c r="MT124" s="1"/>
      <c r="MU124" s="1"/>
      <c r="MV124" s="1"/>
      <c r="MW124" s="1"/>
      <c r="MX124" s="1"/>
      <c r="MY124" s="1"/>
      <c r="MZ124" s="1"/>
      <c r="NA124" s="1"/>
      <c r="NB124" s="1"/>
      <c r="NC124" s="1"/>
      <c r="ND124" s="1"/>
      <c r="NE124" s="1"/>
      <c r="NF124" s="1"/>
      <c r="NG124" s="1"/>
      <c r="NH124" s="1"/>
      <c r="NI124" s="1"/>
      <c r="NJ124" s="1"/>
      <c r="NK124" s="1"/>
      <c r="NL124" s="1"/>
      <c r="NM124" s="1"/>
      <c r="NN124" s="1"/>
      <c r="NO124" s="1"/>
      <c r="NP124" s="1"/>
      <c r="NQ124" s="1"/>
      <c r="NR124" s="1"/>
      <c r="NS124" s="1"/>
      <c r="NT124" s="1"/>
      <c r="NU124" s="1"/>
      <c r="NV124" s="1"/>
      <c r="NW124" s="1"/>
      <c r="NX124" s="1"/>
      <c r="NY124" s="1"/>
      <c r="NZ124" s="1"/>
      <c r="OA124" s="1"/>
      <c r="OB124" s="1"/>
      <c r="OC124" s="1"/>
      <c r="OD124" s="1"/>
      <c r="OE124" s="1"/>
      <c r="OF124" s="1"/>
      <c r="OG124" s="1"/>
      <c r="OH124" s="1"/>
      <c r="OI124" s="1"/>
      <c r="OJ124" s="1"/>
      <c r="OK124" s="1"/>
      <c r="OL124" s="1"/>
      <c r="OM124" s="1"/>
      <c r="ON124" s="1"/>
      <c r="OO124" s="1"/>
      <c r="OP124" s="1"/>
      <c r="OQ124" s="1"/>
      <c r="OR124" s="1"/>
      <c r="OS124" s="1"/>
      <c r="OT124" s="1"/>
      <c r="OU124" s="1"/>
      <c r="OV124" s="1"/>
      <c r="OW124" s="1"/>
      <c r="OX124" s="1"/>
      <c r="OY124" s="1"/>
      <c r="OZ124" s="1"/>
      <c r="PA124" s="1"/>
      <c r="PB124" s="1"/>
      <c r="PC124" s="1"/>
      <c r="PD124" s="1"/>
      <c r="PE124" s="1"/>
      <c r="PF124" s="1"/>
      <c r="PG124" s="1"/>
      <c r="PH124" s="1"/>
      <c r="PI124" s="1"/>
      <c r="PJ124" s="1"/>
      <c r="PK124" s="1"/>
      <c r="PL124" s="1"/>
      <c r="PM124" s="1"/>
      <c r="PN124" s="1"/>
      <c r="PO124" s="1"/>
      <c r="PP124" s="1"/>
      <c r="PQ124" s="1"/>
      <c r="PR124" s="1"/>
      <c r="PS124" s="1"/>
      <c r="PT124" s="1"/>
      <c r="PU124" s="1"/>
      <c r="PV124" s="1"/>
      <c r="PW124" s="1"/>
      <c r="PX124" s="1"/>
      <c r="PY124" s="1"/>
      <c r="PZ124" s="1"/>
      <c r="QA124" s="1"/>
      <c r="QB124" s="1"/>
      <c r="QC124" s="1"/>
      <c r="QD124" s="1"/>
      <c r="QE124" s="1"/>
      <c r="QF124" s="1"/>
      <c r="QG124" s="1"/>
      <c r="QH124" s="1"/>
      <c r="QI124" s="1"/>
      <c r="QJ124" s="1"/>
      <c r="QK124" s="1"/>
      <c r="QL124" s="1"/>
      <c r="QM124" s="1"/>
      <c r="QN124" s="1"/>
      <c r="QO124" s="1"/>
      <c r="QP124" s="1"/>
      <c r="QQ124" s="1"/>
      <c r="QR124" s="1"/>
      <c r="QS124" s="1"/>
      <c r="QT124" s="1"/>
      <c r="QU124" s="1"/>
      <c r="QV124" s="1"/>
      <c r="QW124" s="1"/>
      <c r="QX124" s="1"/>
      <c r="QY124" s="1"/>
      <c r="QZ124" s="1"/>
      <c r="RA124" s="1"/>
      <c r="RB124" s="1"/>
      <c r="RC124" s="1"/>
      <c r="RD124" s="1"/>
      <c r="RE124" s="1"/>
      <c r="RF124" s="1"/>
      <c r="RG124" s="1"/>
      <c r="RH124" s="1"/>
      <c r="RI124" s="1"/>
      <c r="RJ124" s="1"/>
      <c r="RK124" s="1"/>
      <c r="RL124" s="1"/>
      <c r="RM124" s="1"/>
      <c r="RN124" s="1"/>
      <c r="RO124" s="1"/>
      <c r="RP124" s="1"/>
      <c r="RQ124" s="1"/>
      <c r="RR124" s="1"/>
      <c r="RS124" s="1"/>
      <c r="RT124" s="1"/>
      <c r="RU124" s="1"/>
      <c r="RV124" s="1"/>
      <c r="RW124" s="1"/>
      <c r="RX124" s="1"/>
      <c r="RY124" s="1"/>
      <c r="RZ124" s="1"/>
      <c r="SA124" s="1"/>
      <c r="SB124" s="1"/>
      <c r="SC124" s="1"/>
      <c r="SD124" s="1"/>
      <c r="SE124" s="1"/>
      <c r="SF124" s="1"/>
      <c r="SG124" s="1"/>
      <c r="SH124" s="1"/>
      <c r="SI124" s="1"/>
      <c r="SJ124" s="1"/>
      <c r="SK124" s="1"/>
      <c r="SL124" s="1"/>
      <c r="SM124" s="1"/>
      <c r="SN124" s="1"/>
      <c r="SO124" s="1"/>
      <c r="SP124" s="1"/>
      <c r="SQ124" s="1"/>
      <c r="SR124" s="1"/>
      <c r="SS124" s="1"/>
      <c r="ST124" s="1"/>
      <c r="SU124" s="1"/>
      <c r="SV124" s="1"/>
      <c r="SW124" s="1"/>
      <c r="SX124" s="1"/>
      <c r="SY124" s="1"/>
      <c r="SZ124" s="1"/>
      <c r="TA124" s="1"/>
      <c r="TB124" s="1"/>
      <c r="TC124" s="1"/>
      <c r="TD124" s="1"/>
      <c r="TE124" s="1"/>
      <c r="TF124" s="1"/>
      <c r="TG124" s="1"/>
      <c r="TH124" s="1"/>
      <c r="TI124" s="1"/>
      <c r="TJ124" s="1"/>
      <c r="TK124" s="1"/>
      <c r="TL124" s="1"/>
      <c r="TM124" s="1"/>
      <c r="TN124" s="1"/>
      <c r="TO124" s="1"/>
      <c r="TP124" s="1"/>
      <c r="TQ124" s="1"/>
      <c r="TR124" s="1"/>
      <c r="TS124" s="1"/>
      <c r="TT124" s="1"/>
      <c r="TU124" s="1"/>
      <c r="TV124" s="1"/>
      <c r="TW124" s="1"/>
      <c r="TX124" s="1"/>
      <c r="TY124" s="1"/>
      <c r="TZ124" s="1"/>
      <c r="UA124" s="1"/>
      <c r="UB124" s="1"/>
      <c r="UC124" s="1"/>
      <c r="UD124" s="1"/>
      <c r="UE124" s="1"/>
      <c r="UF124" s="1"/>
      <c r="UG124" s="1"/>
      <c r="UH124" s="1"/>
      <c r="UI124" s="1"/>
      <c r="UJ124" s="1"/>
      <c r="UK124" s="1"/>
      <c r="UL124" s="1"/>
      <c r="UM124" s="1"/>
      <c r="UN124" s="1"/>
      <c r="UO124" s="1"/>
      <c r="UP124" s="1"/>
      <c r="UQ124" s="1"/>
      <c r="UR124" s="1"/>
      <c r="US124" s="1"/>
      <c r="UT124" s="1"/>
      <c r="UU124" s="1"/>
      <c r="UV124" s="1"/>
      <c r="UW124" s="1"/>
      <c r="UX124" s="1"/>
      <c r="UY124" s="1"/>
      <c r="UZ124" s="1"/>
      <c r="VA124" s="1"/>
      <c r="VB124" s="1"/>
      <c r="VC124" s="1"/>
      <c r="VD124" s="1"/>
      <c r="VE124" s="1"/>
      <c r="VF124" s="1"/>
      <c r="VG124" s="1"/>
      <c r="VH124" s="1"/>
      <c r="VI124" s="1"/>
      <c r="VJ124" s="1"/>
      <c r="VK124" s="1"/>
      <c r="VL124" s="1"/>
      <c r="VM124" s="1"/>
      <c r="VN124" s="1"/>
      <c r="VO124" s="1"/>
      <c r="VP124" s="1"/>
      <c r="VQ124" s="1"/>
      <c r="VR124" s="1"/>
      <c r="VS124" s="1"/>
      <c r="VT124" s="1"/>
      <c r="VU124" s="1"/>
      <c r="VV124" s="1"/>
      <c r="VW124" s="1"/>
      <c r="VX124" s="1"/>
      <c r="VY124" s="1"/>
      <c r="VZ124" s="1"/>
      <c r="WA124" s="1"/>
      <c r="WB124" s="1"/>
      <c r="WC124" s="1"/>
      <c r="WD124" s="1"/>
      <c r="WE124" s="1"/>
      <c r="WF124" s="1"/>
      <c r="WG124" s="1"/>
      <c r="WH124" s="1"/>
      <c r="WI124" s="1"/>
      <c r="WJ124" s="1"/>
      <c r="WK124" s="1"/>
      <c r="WL124" s="1"/>
      <c r="WM124" s="1"/>
      <c r="WN124" s="1"/>
      <c r="WO124" s="1"/>
      <c r="WP124" s="1"/>
      <c r="WQ124" s="1"/>
      <c r="WR124" s="1"/>
      <c r="WS124" s="1"/>
      <c r="WT124" s="1"/>
      <c r="WU124" s="1"/>
      <c r="WV124" s="1"/>
      <c r="WW124" s="1"/>
      <c r="WX124" s="1"/>
      <c r="WY124" s="1"/>
      <c r="WZ124" s="1"/>
      <c r="XA124" s="1"/>
      <c r="XB124" s="1"/>
      <c r="XC124" s="1"/>
      <c r="XD124" s="1"/>
      <c r="XE124" s="1"/>
      <c r="XF124" s="1"/>
      <c r="XG124" s="1"/>
      <c r="XH124" s="1"/>
      <c r="XI124" s="1"/>
      <c r="XJ124" s="1"/>
      <c r="XK124" s="1"/>
      <c r="XL124" s="1"/>
      <c r="XM124" s="1"/>
      <c r="XN124" s="1"/>
      <c r="XO124" s="1"/>
      <c r="XP124" s="1"/>
      <c r="XQ124" s="1"/>
      <c r="XR124" s="1"/>
      <c r="XS124" s="1"/>
      <c r="XT124" s="1"/>
      <c r="XU124" s="1"/>
      <c r="XV124" s="1"/>
      <c r="XW124" s="1"/>
      <c r="XX124" s="1"/>
      <c r="XY124" s="1"/>
      <c r="XZ124" s="1"/>
      <c r="YA124" s="1"/>
      <c r="YB124" s="1"/>
      <c r="YC124" s="1"/>
      <c r="YD124" s="1"/>
      <c r="YE124" s="1"/>
      <c r="YF124" s="1"/>
      <c r="YG124" s="1"/>
      <c r="YH124" s="1"/>
      <c r="YI124" s="1"/>
      <c r="YJ124" s="1"/>
      <c r="YK124" s="1"/>
      <c r="YL124" s="1"/>
      <c r="YM124" s="1"/>
      <c r="YN124" s="1"/>
      <c r="YO124" s="1"/>
      <c r="YP124" s="1"/>
      <c r="YQ124" s="1"/>
      <c r="YR124" s="1"/>
      <c r="YS124" s="1"/>
      <c r="YT124" s="1"/>
      <c r="YU124" s="1"/>
      <c r="YV124" s="1"/>
      <c r="YW124" s="1"/>
      <c r="YX124" s="1"/>
      <c r="YY124" s="1"/>
      <c r="YZ124" s="1"/>
      <c r="ZA124" s="1"/>
      <c r="ZB124" s="1"/>
      <c r="ZC124" s="1"/>
      <c r="ZD124" s="1"/>
      <c r="ZE124" s="1"/>
      <c r="ZF124" s="1"/>
      <c r="ZG124" s="1"/>
      <c r="ZH124" s="1"/>
      <c r="ZI124" s="1"/>
      <c r="ZJ124" s="1"/>
      <c r="ZK124" s="1"/>
      <c r="ZL124" s="1"/>
      <c r="ZM124" s="1"/>
      <c r="ZN124" s="1"/>
      <c r="ZO124" s="1"/>
      <c r="ZP124" s="1"/>
      <c r="ZQ124" s="1"/>
      <c r="ZR124" s="1"/>
      <c r="ZS124" s="1"/>
      <c r="ZT124" s="1"/>
      <c r="ZU124" s="1"/>
      <c r="ZV124" s="1"/>
      <c r="ZW124" s="1"/>
      <c r="ZX124" s="1"/>
      <c r="ZY124" s="1"/>
      <c r="ZZ124" s="1"/>
      <c r="AAA124" s="1"/>
      <c r="AAB124" s="1"/>
      <c r="AAC124" s="1"/>
      <c r="AAD124" s="1"/>
      <c r="AAE124" s="1"/>
      <c r="AAF124" s="1"/>
      <c r="AAG124" s="1"/>
      <c r="AAH124" s="1"/>
      <c r="AAI124" s="1"/>
      <c r="AAJ124" s="1"/>
      <c r="AAK124" s="1"/>
      <c r="AAL124" s="1"/>
      <c r="AAM124" s="1"/>
      <c r="AAN124" s="1"/>
      <c r="AAO124" s="1"/>
      <c r="AAP124" s="1"/>
      <c r="AAQ124" s="1"/>
      <c r="AAR124" s="1"/>
      <c r="AAS124" s="1"/>
      <c r="AAT124" s="1"/>
      <c r="AAU124" s="1"/>
      <c r="AAV124" s="1"/>
      <c r="AAW124" s="1"/>
      <c r="AAX124" s="1"/>
      <c r="AAY124" s="1"/>
      <c r="AAZ124" s="1"/>
      <c r="ABA124" s="1"/>
      <c r="ABB124" s="1"/>
      <c r="ABC124" s="1"/>
      <c r="ABD124" s="1"/>
      <c r="ABE124" s="1"/>
      <c r="ABF124" s="1"/>
      <c r="ABG124" s="1"/>
      <c r="ABH124" s="1"/>
      <c r="ABI124" s="1"/>
      <c r="ABJ124" s="1"/>
      <c r="ABK124" s="1"/>
      <c r="ABL124" s="1"/>
      <c r="ABM124" s="1"/>
      <c r="ABN124" s="1"/>
      <c r="ABO124" s="1"/>
      <c r="ABP124" s="1"/>
      <c r="ABQ124" s="1"/>
      <c r="ABR124" s="1"/>
      <c r="ABS124" s="1"/>
      <c r="ABT124" s="1"/>
      <c r="ABU124" s="1"/>
      <c r="ABV124" s="1"/>
      <c r="ABW124" s="1"/>
      <c r="ABX124" s="1"/>
      <c r="ABY124" s="1"/>
      <c r="ABZ124" s="1"/>
      <c r="ACA124" s="1"/>
      <c r="ACB124" s="1"/>
      <c r="ACC124" s="1"/>
      <c r="ACD124" s="1"/>
      <c r="ACE124" s="1"/>
      <c r="ACF124" s="1"/>
      <c r="ACG124" s="1"/>
      <c r="ACH124" s="1"/>
      <c r="ACI124" s="1"/>
      <c r="ACJ124" s="1"/>
      <c r="ACK124" s="1"/>
      <c r="ACL124" s="1"/>
      <c r="ACM124" s="1"/>
      <c r="ACN124" s="1"/>
      <c r="ACO124" s="1"/>
      <c r="ACP124" s="1"/>
      <c r="ACQ124" s="1"/>
      <c r="ACR124" s="1"/>
      <c r="ACS124" s="1"/>
      <c r="ACT124" s="1"/>
      <c r="ACU124" s="1"/>
      <c r="ACV124" s="1"/>
      <c r="ACW124" s="1"/>
      <c r="ACX124" s="1"/>
      <c r="ACY124" s="1"/>
      <c r="ACZ124" s="1"/>
      <c r="ADA124" s="1"/>
      <c r="ADB124" s="1"/>
      <c r="ADC124" s="1"/>
      <c r="ADD124" s="1"/>
      <c r="ADE124" s="1"/>
      <c r="ADF124" s="1"/>
      <c r="ADG124" s="1"/>
      <c r="ADH124" s="1"/>
      <c r="ADI124" s="1"/>
      <c r="ADJ124" s="1"/>
      <c r="ADK124" s="1"/>
      <c r="ADL124" s="1"/>
      <c r="ADM124" s="1"/>
      <c r="ADN124" s="1"/>
      <c r="ADO124" s="1"/>
      <c r="ADP124" s="1"/>
      <c r="ADQ124" s="1"/>
      <c r="ADR124" s="1"/>
      <c r="ADS124" s="1"/>
      <c r="ADT124" s="1"/>
      <c r="ADU124" s="1"/>
      <c r="ADV124" s="1"/>
      <c r="ADW124" s="1"/>
      <c r="ADX124" s="1"/>
      <c r="ADY124" s="1"/>
      <c r="ADZ124" s="1"/>
      <c r="AEA124" s="1"/>
      <c r="AEB124" s="1"/>
      <c r="AEC124" s="1"/>
      <c r="AED124" s="1"/>
      <c r="AEE124" s="1"/>
      <c r="AEF124" s="1"/>
      <c r="AEG124" s="1"/>
      <c r="AEH124" s="1"/>
      <c r="AEI124" s="1"/>
      <c r="AEJ124" s="1"/>
      <c r="AEK124" s="1"/>
      <c r="AEL124" s="1"/>
      <c r="AEM124" s="1"/>
      <c r="AEN124" s="1"/>
      <c r="AEO124" s="1"/>
      <c r="AEP124" s="1"/>
      <c r="AEQ124" s="1"/>
      <c r="AER124" s="1"/>
      <c r="AES124" s="1"/>
      <c r="AET124" s="1"/>
      <c r="AEU124" s="1"/>
      <c r="AEV124" s="1"/>
      <c r="AEW124" s="1"/>
      <c r="AEX124" s="1"/>
      <c r="AEY124" s="1"/>
      <c r="AEZ124" s="1"/>
      <c r="AFA124" s="1"/>
      <c r="AFB124" s="1"/>
      <c r="AFC124" s="1"/>
      <c r="AFD124" s="1"/>
      <c r="AFE124" s="1"/>
      <c r="AFF124" s="1"/>
      <c r="AFG124" s="1"/>
      <c r="AFH124" s="1"/>
      <c r="AFI124" s="1"/>
      <c r="AFJ124" s="1"/>
      <c r="AFK124" s="1"/>
      <c r="AFL124" s="1"/>
      <c r="AFM124" s="1"/>
      <c r="AFN124" s="1"/>
      <c r="AFO124" s="1"/>
      <c r="AFP124" s="1"/>
      <c r="AFQ124" s="1"/>
      <c r="AFR124" s="1"/>
      <c r="AFS124" s="1"/>
      <c r="AFT124" s="1"/>
      <c r="AFU124" s="1"/>
      <c r="AFV124" s="1"/>
      <c r="AFW124" s="1"/>
      <c r="AFX124" s="1"/>
      <c r="AFY124" s="1"/>
      <c r="AFZ124" s="1"/>
      <c r="AGA124" s="1"/>
      <c r="AGB124" s="1"/>
      <c r="AGC124" s="1"/>
      <c r="AGD124" s="1"/>
      <c r="AGE124" s="1"/>
      <c r="AGF124" s="1"/>
      <c r="AGG124" s="1"/>
      <c r="AGH124" s="1"/>
      <c r="AGI124" s="1"/>
      <c r="AGJ124" s="1"/>
      <c r="AGK124" s="1"/>
      <c r="AGL124" s="1"/>
      <c r="AGM124" s="1"/>
      <c r="AGN124" s="1"/>
      <c r="AGO124" s="1"/>
      <c r="AGP124" s="1"/>
      <c r="AGQ124" s="1"/>
      <c r="AGR124" s="1"/>
      <c r="AGS124" s="1"/>
      <c r="AGT124" s="1"/>
      <c r="AGU124" s="1"/>
      <c r="AGV124" s="1"/>
      <c r="AGW124" s="1"/>
      <c r="AGX124" s="1"/>
      <c r="AGY124" s="1"/>
      <c r="AGZ124" s="1"/>
      <c r="AHA124" s="1"/>
      <c r="AHB124" s="1"/>
      <c r="AHC124" s="1"/>
      <c r="AHD124" s="1"/>
      <c r="AHE124" s="1"/>
      <c r="AHF124" s="1"/>
      <c r="AHG124" s="1"/>
      <c r="AHH124" s="1"/>
      <c r="AHI124" s="1"/>
      <c r="AHJ124" s="1"/>
      <c r="AHK124" s="1"/>
      <c r="AHL124" s="1"/>
      <c r="AHM124" s="1"/>
      <c r="AHN124" s="1"/>
      <c r="AHO124" s="1"/>
      <c r="AHP124" s="1"/>
      <c r="AHQ124" s="1"/>
      <c r="AHR124" s="1"/>
      <c r="AHS124" s="1"/>
      <c r="AHT124" s="1"/>
      <c r="AHU124" s="1"/>
      <c r="AHV124" s="1"/>
      <c r="AHW124" s="1"/>
      <c r="AHX124" s="1"/>
      <c r="AHY124" s="1"/>
      <c r="AHZ124" s="1"/>
      <c r="AIA124" s="1"/>
      <c r="AIB124" s="1"/>
      <c r="AIC124" s="1"/>
      <c r="AID124" s="1"/>
      <c r="AIE124" s="1"/>
      <c r="AIF124" s="1"/>
      <c r="AIG124" s="1"/>
      <c r="AIH124" s="1"/>
      <c r="AII124" s="1"/>
      <c r="AIJ124" s="1"/>
      <c r="AIK124" s="1"/>
      <c r="AIL124" s="1"/>
      <c r="AIM124" s="1"/>
      <c r="AIN124" s="1"/>
      <c r="AIO124" s="1"/>
      <c r="AIP124" s="1"/>
      <c r="AIQ124" s="1"/>
      <c r="AIR124" s="1"/>
      <c r="AIS124" s="1"/>
      <c r="AIT124" s="1"/>
      <c r="AIU124" s="1"/>
      <c r="AIV124" s="1"/>
      <c r="AIW124" s="1"/>
      <c r="AIX124" s="1"/>
      <c r="AIY124" s="1"/>
      <c r="AIZ124" s="1"/>
      <c r="AJA124" s="1"/>
      <c r="AJB124" s="1"/>
      <c r="AJC124" s="1"/>
      <c r="AJD124" s="1"/>
      <c r="AJE124" s="1"/>
      <c r="AJF124" s="1"/>
      <c r="AJG124" s="1"/>
      <c r="AJH124" s="1"/>
      <c r="AJI124" s="1"/>
      <c r="AJJ124" s="1"/>
      <c r="AJK124" s="1"/>
      <c r="AJL124" s="1"/>
      <c r="AJM124" s="1"/>
      <c r="AJN124" s="1"/>
      <c r="AJO124" s="1"/>
      <c r="AJP124" s="1"/>
      <c r="AJQ124" s="1"/>
      <c r="AJR124" s="1"/>
      <c r="AJS124" s="1"/>
      <c r="AJT124" s="1"/>
      <c r="AJU124" s="1"/>
      <c r="AJV124" s="1"/>
      <c r="AJW124" s="1"/>
      <c r="AJX124" s="1"/>
      <c r="AJY124" s="1"/>
      <c r="AJZ124" s="1"/>
      <c r="AKA124" s="1"/>
      <c r="AKB124" s="1"/>
      <c r="AKC124" s="1"/>
      <c r="AKD124" s="1"/>
      <c r="AKE124" s="1"/>
      <c r="AKF124" s="1"/>
      <c r="AKG124" s="1"/>
      <c r="AKH124" s="1"/>
      <c r="AKI124" s="1"/>
      <c r="AKJ124" s="1"/>
      <c r="AKK124" s="1"/>
      <c r="AKL124" s="1"/>
      <c r="AKM124" s="1"/>
      <c r="AKN124" s="1"/>
      <c r="AKO124" s="1"/>
      <c r="AKP124" s="1"/>
      <c r="AKQ124" s="1"/>
      <c r="AKR124" s="1"/>
      <c r="AKS124" s="1"/>
      <c r="AKT124" s="1"/>
      <c r="AKU124" s="1"/>
      <c r="AKV124" s="1"/>
      <c r="AKW124" s="1"/>
      <c r="AKX124" s="1"/>
      <c r="AKY124" s="1"/>
      <c r="AKZ124" s="1"/>
      <c r="ALA124" s="1"/>
      <c r="ALB124" s="1"/>
      <c r="ALC124" s="1"/>
      <c r="ALD124" s="1"/>
      <c r="ALE124" s="1"/>
      <c r="ALF124" s="1"/>
      <c r="ALG124" s="1"/>
      <c r="ALH124" s="1"/>
      <c r="ALI124" s="1"/>
      <c r="ALJ124" s="1"/>
      <c r="ALK124" s="1"/>
      <c r="ALL124" s="1"/>
      <c r="ALM124" s="1"/>
      <c r="ALN124" s="1"/>
      <c r="ALO124" s="1"/>
      <c r="ALP124" s="1"/>
      <c r="ALQ124" s="1"/>
      <c r="ALR124" s="1"/>
      <c r="ALS124" s="1"/>
      <c r="ALT124" s="1"/>
      <c r="ALU124" s="1"/>
      <c r="ALV124" s="1"/>
      <c r="ALW124" s="1"/>
      <c r="ALX124" s="1"/>
      <c r="ALY124" s="1"/>
      <c r="ALZ124" s="1"/>
      <c r="AMA124" s="1"/>
      <c r="AMB124" s="1"/>
      <c r="AMC124" s="1"/>
      <c r="AMD124" s="1"/>
      <c r="AME124" s="1"/>
      <c r="AMF124" s="1"/>
      <c r="AMG124" s="1"/>
      <c r="AMH124" s="1"/>
      <c r="AMI124" s="1"/>
      <c r="AMJ124" s="1"/>
      <c r="AMK124" s="1"/>
      <c r="AML124" s="1"/>
      <c r="AMM124" s="1"/>
      <c r="AMN124" s="1"/>
    </row>
    <row r="125" spans="1:1029" x14ac:dyDescent="0.2">
      <c r="A125" s="3" t="str">
        <f t="shared" si="555"/>
        <v>oprd_human__wt</v>
      </c>
      <c r="B125" s="3" t="s">
        <v>335</v>
      </c>
      <c r="C125" s="3" t="s">
        <v>100</v>
      </c>
      <c r="D125" s="3" t="str">
        <f>IFERROR(MID(VLOOKUP($B125,Seqs!$A:$B,2,0),E125,1),"")</f>
        <v>G</v>
      </c>
      <c r="E125" s="3">
        <v>39</v>
      </c>
      <c r="F125" s="3" t="str">
        <f>IFERROR(MID(VLOOKUP($B125,Seqs!$A:$B,2,0),G125,1),"")</f>
        <v>Y</v>
      </c>
      <c r="G125" s="3">
        <v>77</v>
      </c>
      <c r="H125" s="3" t="str">
        <f>IFERROR(MID(VLOOKUP($B125,Seqs!$A:$B,2,0),I125,1),"")</f>
        <v>T</v>
      </c>
      <c r="I125" s="23">
        <v>78</v>
      </c>
      <c r="J125" s="3" t="str">
        <f>IFERROR(MID(VLOOKUP($B125,Seqs!$A:$B,2,0),K125,1),"")</f>
        <v>K</v>
      </c>
      <c r="K125" s="23">
        <v>81</v>
      </c>
      <c r="L125" s="3" t="str">
        <f>IFERROR(MID(VLOOKUP($B125,Seqs!$A:$B,2,0),M125,1),"")</f>
        <v>T</v>
      </c>
      <c r="M125" s="3">
        <v>82</v>
      </c>
      <c r="N125" s="3" t="str">
        <f>IFERROR(MID(VLOOKUP($B125,Seqs!$A:$B,2,0),O125,1),"")</f>
        <v>M</v>
      </c>
      <c r="O125" s="3">
        <v>111</v>
      </c>
      <c r="P125" s="3" t="str">
        <f>IFERROR(MID(VLOOKUP($B125,Seqs!$A:$B,2,0),Q125,1),"")</f>
        <v>T</v>
      </c>
      <c r="Q125" s="3">
        <v>113</v>
      </c>
      <c r="R125" s="3" t="str">
        <f>IFERROR(MID(VLOOKUP($B125,Seqs!$A:$B,2,0),S125,1),"")</f>
        <v>F</v>
      </c>
      <c r="S125" s="3">
        <v>116</v>
      </c>
      <c r="T125" s="3" t="str">
        <f>IFERROR(MID(VLOOKUP($B125,Seqs!$A:$B,2,0),U125,1),"")</f>
        <v>G</v>
      </c>
      <c r="U125" s="3">
        <v>117</v>
      </c>
      <c r="V125" s="3" t="str">
        <f>IFERROR(MID(VLOOKUP($B125,Seqs!$A:$B,2,0),W125,1),"")</f>
        <v>H</v>
      </c>
      <c r="W125" s="3">
        <v>152</v>
      </c>
      <c r="X125" s="3" t="str">
        <f>IFERROR(MID(VLOOKUP($B125,Seqs!$A:$B,2,0),Y125,1),"")</f>
        <v>P</v>
      </c>
      <c r="Y125" s="3">
        <v>153</v>
      </c>
      <c r="Z125" s="3" t="str">
        <f>IFERROR(MID(VLOOKUP($B125,Seqs!$A:$B,2,0),AA125,1),"")</f>
        <v>R</v>
      </c>
      <c r="AA125" s="3">
        <v>160</v>
      </c>
      <c r="AB125" s="3" t="str">
        <f>IFERROR(MID(VLOOKUP($B125,Seqs!$A:$B,2,0),AC125,1),"")</f>
        <v>T</v>
      </c>
      <c r="AC125" s="9">
        <v>161</v>
      </c>
      <c r="AD125" s="3" t="str">
        <f>IFERROR(MID(VLOOKUP($B125,Seqs!$A:$B,2,0),AE125,1),"")</f>
        <v>A</v>
      </c>
      <c r="AE125" s="3">
        <v>187</v>
      </c>
      <c r="AF125" s="3" t="str">
        <f>IFERROR(MID(VLOOKUP($B125,Seqs!$A:$B,2,0),AG125,1),"")</f>
        <v>C</v>
      </c>
      <c r="AG125" s="3">
        <v>198</v>
      </c>
      <c r="AH125" s="3" t="str">
        <f>IFERROR(MID(VLOOKUP($B125,Seqs!$A:$B,2,0),AI125,1),"")</f>
        <v>L</v>
      </c>
      <c r="AI125" s="3">
        <v>200</v>
      </c>
      <c r="AJ125" s="3" t="str">
        <f>IFERROR(MID(VLOOKUP($B125,Seqs!$A:$B,2,0),AK125,1),"")</f>
        <v>S</v>
      </c>
      <c r="AK125" s="3">
        <v>206</v>
      </c>
      <c r="AL125" s="3" t="str">
        <f>IFERROR(MID(VLOOKUP($B125,Seqs!$A:$B,2,0),AM125,1),"")</f>
        <v>V</v>
      </c>
      <c r="AM125" s="3">
        <v>243</v>
      </c>
      <c r="AN125" s="3" t="str">
        <f>IFERROR(MID(VLOOKUP($B125,Seqs!$A:$B,2,0),AO125,1),"")</f>
        <v>S</v>
      </c>
      <c r="AO125" s="3">
        <v>249</v>
      </c>
      <c r="AP125" s="3" t="str">
        <f>IFERROR(MID(VLOOKUP($B125,Seqs!$A:$B,2,0),AQ125,1),"")</f>
        <v>V</v>
      </c>
      <c r="AQ125" s="3">
        <v>287</v>
      </c>
      <c r="AR125" s="3" t="str">
        <f>IFERROR(MID(VLOOKUP($B125,Seqs!$A:$B,2,0),AS125,1),"")</f>
        <v>D</v>
      </c>
      <c r="AS125" s="3">
        <v>293</v>
      </c>
      <c r="AT125" s="3" t="str">
        <f>IFERROR(MID(VLOOKUP($B125,Seqs!$A:$B,2,0),AU125,1),"")</f>
        <v>L</v>
      </c>
      <c r="AU125" s="3">
        <v>321</v>
      </c>
      <c r="AV125" s="3" t="str">
        <f>IFERROR(MID(VLOOKUP($B125,Seqs!$A:$B,2,0),AW125,1),"")</f>
        <v>D</v>
      </c>
      <c r="AW125" s="3">
        <v>322</v>
      </c>
      <c r="AX125" s="3" t="str">
        <f>IFERROR(MID(VLOOKUP($B125,Seqs!$A:$B,2,0),AY125,1),"")</f>
        <v>K</v>
      </c>
      <c r="AY125" s="3">
        <v>335</v>
      </c>
      <c r="AZ125" s="79" t="str">
        <f>VLOOKUP(B125,Classification!A:D,2,0)</f>
        <v>A</v>
      </c>
      <c r="BA125" s="97" t="str">
        <f>VLOOKUP(B125,Classification!A:D,4,0)</f>
        <v>Opioid</v>
      </c>
      <c r="BB125" s="27" t="b">
        <f t="shared" si="556"/>
        <v>1</v>
      </c>
      <c r="BC125" s="23">
        <f t="shared" si="473"/>
        <v>271</v>
      </c>
      <c r="BD125" s="57" t="s">
        <v>1379</v>
      </c>
      <c r="BE125" s="3" t="s">
        <v>1381</v>
      </c>
      <c r="BF125" s="50" t="s">
        <v>1379</v>
      </c>
      <c r="BG125" s="50" t="s">
        <v>1384</v>
      </c>
      <c r="BH125" s="1"/>
      <c r="BI125" s="72" t="s">
        <v>1293</v>
      </c>
      <c r="BJ125" s="58" t="s">
        <v>1293</v>
      </c>
      <c r="BK125" s="58" t="s">
        <v>1293</v>
      </c>
      <c r="BL125" s="58" t="s">
        <v>1293</v>
      </c>
      <c r="BM125" s="58" t="s">
        <v>1293</v>
      </c>
      <c r="BN125" s="58" t="s">
        <v>1293</v>
      </c>
      <c r="BO125" s="58" t="s">
        <v>1293</v>
      </c>
      <c r="BP125" s="58" t="s">
        <v>1293</v>
      </c>
      <c r="BQ125" s="58" t="s">
        <v>1293</v>
      </c>
      <c r="BR125" s="58" t="s">
        <v>1293</v>
      </c>
      <c r="BS125" s="58" t="s">
        <v>1293</v>
      </c>
      <c r="BT125" s="58" t="s">
        <v>1293</v>
      </c>
      <c r="BU125" s="72">
        <f t="shared" si="474"/>
        <v>39</v>
      </c>
      <c r="BV125" s="73">
        <f t="shared" si="475"/>
        <v>78</v>
      </c>
      <c r="BW125" s="74">
        <f t="shared" si="476"/>
        <v>82</v>
      </c>
      <c r="BX125" s="73">
        <f t="shared" si="477"/>
        <v>113</v>
      </c>
      <c r="BY125" s="74">
        <f t="shared" si="478"/>
        <v>117</v>
      </c>
      <c r="BZ125" s="73">
        <f t="shared" si="479"/>
        <v>153</v>
      </c>
      <c r="CA125" s="74">
        <f t="shared" si="480"/>
        <v>161</v>
      </c>
      <c r="CB125" s="73">
        <f t="shared" si="481"/>
        <v>198</v>
      </c>
      <c r="CC125" s="74">
        <f t="shared" si="482"/>
        <v>206</v>
      </c>
      <c r="CD125" s="73">
        <f t="shared" si="483"/>
        <v>249</v>
      </c>
      <c r="CE125" s="74">
        <f t="shared" si="484"/>
        <v>293</v>
      </c>
      <c r="CF125" s="73">
        <f t="shared" si="485"/>
        <v>322</v>
      </c>
      <c r="CG125" s="72">
        <f t="shared" si="486"/>
        <v>77</v>
      </c>
      <c r="CH125" s="73">
        <f t="shared" si="487"/>
        <v>81</v>
      </c>
      <c r="CI125" s="74">
        <f t="shared" si="488"/>
        <v>111</v>
      </c>
      <c r="CJ125" s="74">
        <f t="shared" si="489"/>
        <v>116</v>
      </c>
      <c r="CK125" s="74">
        <f t="shared" si="490"/>
        <v>152</v>
      </c>
      <c r="CL125" s="74">
        <f t="shared" si="491"/>
        <v>160</v>
      </c>
      <c r="CM125" s="74">
        <f t="shared" si="492"/>
        <v>187</v>
      </c>
      <c r="CN125" s="74">
        <f t="shared" si="493"/>
        <v>200</v>
      </c>
      <c r="CO125" s="74">
        <f t="shared" si="494"/>
        <v>243</v>
      </c>
      <c r="CP125" s="74">
        <f t="shared" si="495"/>
        <v>287</v>
      </c>
      <c r="CQ125" s="74">
        <f t="shared" si="496"/>
        <v>321</v>
      </c>
      <c r="CR125" s="74">
        <f t="shared" si="497"/>
        <v>335</v>
      </c>
      <c r="CS125" s="23">
        <f t="shared" si="498"/>
        <v>1</v>
      </c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  <c r="LO125" s="1"/>
      <c r="LP125" s="1"/>
      <c r="LQ125" s="1"/>
      <c r="LR125" s="1"/>
      <c r="LS125" s="1"/>
      <c r="LT125" s="1"/>
      <c r="LU125" s="1"/>
      <c r="LV125" s="1"/>
      <c r="LW125" s="1"/>
      <c r="LX125" s="1"/>
      <c r="LY125" s="1"/>
      <c r="LZ125" s="1"/>
      <c r="MA125" s="1"/>
      <c r="MB125" s="1"/>
      <c r="MC125" s="1"/>
      <c r="MD125" s="1"/>
      <c r="ME125" s="1"/>
      <c r="MF125" s="1"/>
      <c r="MG125" s="1"/>
      <c r="MH125" s="1"/>
      <c r="MI125" s="1"/>
      <c r="MJ125" s="1"/>
      <c r="MK125" s="1"/>
      <c r="ML125" s="1"/>
      <c r="MM125" s="1"/>
      <c r="MN125" s="1"/>
      <c r="MO125" s="1"/>
      <c r="MP125" s="1"/>
      <c r="MQ125" s="1"/>
      <c r="MR125" s="1"/>
      <c r="MS125" s="1"/>
      <c r="MT125" s="1"/>
      <c r="MU125" s="1"/>
      <c r="MV125" s="1"/>
      <c r="MW125" s="1"/>
      <c r="MX125" s="1"/>
      <c r="MY125" s="1"/>
      <c r="MZ125" s="1"/>
      <c r="NA125" s="1"/>
      <c r="NB125" s="1"/>
      <c r="NC125" s="1"/>
      <c r="ND125" s="1"/>
      <c r="NE125" s="1"/>
      <c r="NF125" s="1"/>
      <c r="NG125" s="1"/>
      <c r="NH125" s="1"/>
      <c r="NI125" s="1"/>
      <c r="NJ125" s="1"/>
      <c r="NK125" s="1"/>
      <c r="NL125" s="1"/>
      <c r="NM125" s="1"/>
      <c r="NN125" s="1"/>
      <c r="NO125" s="1"/>
      <c r="NP125" s="1"/>
      <c r="NQ125" s="1"/>
      <c r="NR125" s="1"/>
      <c r="NS125" s="1"/>
      <c r="NT125" s="1"/>
      <c r="NU125" s="1"/>
      <c r="NV125" s="1"/>
      <c r="NW125" s="1"/>
      <c r="NX125" s="1"/>
      <c r="NY125" s="1"/>
      <c r="NZ125" s="1"/>
      <c r="OA125" s="1"/>
      <c r="OB125" s="1"/>
      <c r="OC125" s="1"/>
      <c r="OD125" s="1"/>
      <c r="OE125" s="1"/>
      <c r="OF125" s="1"/>
      <c r="OG125" s="1"/>
      <c r="OH125" s="1"/>
      <c r="OI125" s="1"/>
      <c r="OJ125" s="1"/>
      <c r="OK125" s="1"/>
      <c r="OL125" s="1"/>
      <c r="OM125" s="1"/>
      <c r="ON125" s="1"/>
      <c r="OO125" s="1"/>
      <c r="OP125" s="1"/>
      <c r="OQ125" s="1"/>
      <c r="OR125" s="1"/>
      <c r="OS125" s="1"/>
      <c r="OT125" s="1"/>
      <c r="OU125" s="1"/>
      <c r="OV125" s="1"/>
      <c r="OW125" s="1"/>
      <c r="OX125" s="1"/>
      <c r="OY125" s="1"/>
      <c r="OZ125" s="1"/>
      <c r="PA125" s="1"/>
      <c r="PB125" s="1"/>
      <c r="PC125" s="1"/>
      <c r="PD125" s="1"/>
      <c r="PE125" s="1"/>
      <c r="PF125" s="1"/>
      <c r="PG125" s="1"/>
      <c r="PH125" s="1"/>
      <c r="PI125" s="1"/>
      <c r="PJ125" s="1"/>
      <c r="PK125" s="1"/>
      <c r="PL125" s="1"/>
      <c r="PM125" s="1"/>
      <c r="PN125" s="1"/>
      <c r="PO125" s="1"/>
      <c r="PP125" s="1"/>
      <c r="PQ125" s="1"/>
      <c r="PR125" s="1"/>
      <c r="PS125" s="1"/>
      <c r="PT125" s="1"/>
      <c r="PU125" s="1"/>
      <c r="PV125" s="1"/>
      <c r="PW125" s="1"/>
      <c r="PX125" s="1"/>
      <c r="PY125" s="1"/>
      <c r="PZ125" s="1"/>
      <c r="QA125" s="1"/>
      <c r="QB125" s="1"/>
      <c r="QC125" s="1"/>
      <c r="QD125" s="1"/>
      <c r="QE125" s="1"/>
      <c r="QF125" s="1"/>
      <c r="QG125" s="1"/>
      <c r="QH125" s="1"/>
      <c r="QI125" s="1"/>
      <c r="QJ125" s="1"/>
      <c r="QK125" s="1"/>
      <c r="QL125" s="1"/>
      <c r="QM125" s="1"/>
      <c r="QN125" s="1"/>
      <c r="QO125" s="1"/>
      <c r="QP125" s="1"/>
      <c r="QQ125" s="1"/>
      <c r="QR125" s="1"/>
      <c r="QS125" s="1"/>
      <c r="QT125" s="1"/>
      <c r="QU125" s="1"/>
      <c r="QV125" s="1"/>
      <c r="QW125" s="1"/>
      <c r="QX125" s="1"/>
      <c r="QY125" s="1"/>
      <c r="QZ125" s="1"/>
      <c r="RA125" s="1"/>
      <c r="RB125" s="1"/>
      <c r="RC125" s="1"/>
      <c r="RD125" s="1"/>
      <c r="RE125" s="1"/>
      <c r="RF125" s="1"/>
      <c r="RG125" s="1"/>
      <c r="RH125" s="1"/>
      <c r="RI125" s="1"/>
      <c r="RJ125" s="1"/>
      <c r="RK125" s="1"/>
      <c r="RL125" s="1"/>
      <c r="RM125" s="1"/>
      <c r="RN125" s="1"/>
      <c r="RO125" s="1"/>
      <c r="RP125" s="1"/>
      <c r="RQ125" s="1"/>
      <c r="RR125" s="1"/>
      <c r="RS125" s="1"/>
      <c r="RT125" s="1"/>
      <c r="RU125" s="1"/>
      <c r="RV125" s="1"/>
      <c r="RW125" s="1"/>
      <c r="RX125" s="1"/>
      <c r="RY125" s="1"/>
      <c r="RZ125" s="1"/>
      <c r="SA125" s="1"/>
      <c r="SB125" s="1"/>
      <c r="SC125" s="1"/>
      <c r="SD125" s="1"/>
      <c r="SE125" s="1"/>
      <c r="SF125" s="1"/>
      <c r="SG125" s="1"/>
      <c r="SH125" s="1"/>
      <c r="SI125" s="1"/>
      <c r="SJ125" s="1"/>
      <c r="SK125" s="1"/>
      <c r="SL125" s="1"/>
      <c r="SM125" s="1"/>
      <c r="SN125" s="1"/>
      <c r="SO125" s="1"/>
      <c r="SP125" s="1"/>
      <c r="SQ125" s="1"/>
      <c r="SR125" s="1"/>
      <c r="SS125" s="1"/>
      <c r="ST125" s="1"/>
      <c r="SU125" s="1"/>
      <c r="SV125" s="1"/>
      <c r="SW125" s="1"/>
      <c r="SX125" s="1"/>
      <c r="SY125" s="1"/>
      <c r="SZ125" s="1"/>
      <c r="TA125" s="1"/>
      <c r="TB125" s="1"/>
      <c r="TC125" s="1"/>
      <c r="TD125" s="1"/>
      <c r="TE125" s="1"/>
      <c r="TF125" s="1"/>
      <c r="TG125" s="1"/>
      <c r="TH125" s="1"/>
      <c r="TI125" s="1"/>
      <c r="TJ125" s="1"/>
      <c r="TK125" s="1"/>
      <c r="TL125" s="1"/>
      <c r="TM125" s="1"/>
      <c r="TN125" s="1"/>
      <c r="TO125" s="1"/>
      <c r="TP125" s="1"/>
      <c r="TQ125" s="1"/>
      <c r="TR125" s="1"/>
      <c r="TS125" s="1"/>
      <c r="TT125" s="1"/>
      <c r="TU125" s="1"/>
      <c r="TV125" s="1"/>
      <c r="TW125" s="1"/>
      <c r="TX125" s="1"/>
      <c r="TY125" s="1"/>
      <c r="TZ125" s="1"/>
      <c r="UA125" s="1"/>
      <c r="UB125" s="1"/>
      <c r="UC125" s="1"/>
      <c r="UD125" s="1"/>
      <c r="UE125" s="1"/>
      <c r="UF125" s="1"/>
      <c r="UG125" s="1"/>
      <c r="UH125" s="1"/>
      <c r="UI125" s="1"/>
      <c r="UJ125" s="1"/>
      <c r="UK125" s="1"/>
      <c r="UL125" s="1"/>
      <c r="UM125" s="1"/>
      <c r="UN125" s="1"/>
      <c r="UO125" s="1"/>
      <c r="UP125" s="1"/>
      <c r="UQ125" s="1"/>
      <c r="UR125" s="1"/>
      <c r="US125" s="1"/>
      <c r="UT125" s="1"/>
      <c r="UU125" s="1"/>
      <c r="UV125" s="1"/>
      <c r="UW125" s="1"/>
      <c r="UX125" s="1"/>
      <c r="UY125" s="1"/>
      <c r="UZ125" s="1"/>
      <c r="VA125" s="1"/>
      <c r="VB125" s="1"/>
      <c r="VC125" s="1"/>
      <c r="VD125" s="1"/>
      <c r="VE125" s="1"/>
      <c r="VF125" s="1"/>
      <c r="VG125" s="1"/>
      <c r="VH125" s="1"/>
      <c r="VI125" s="1"/>
      <c r="VJ125" s="1"/>
      <c r="VK125" s="1"/>
      <c r="VL125" s="1"/>
      <c r="VM125" s="1"/>
      <c r="VN125" s="1"/>
      <c r="VO125" s="1"/>
      <c r="VP125" s="1"/>
      <c r="VQ125" s="1"/>
      <c r="VR125" s="1"/>
      <c r="VS125" s="1"/>
      <c r="VT125" s="1"/>
      <c r="VU125" s="1"/>
      <c r="VV125" s="1"/>
      <c r="VW125" s="1"/>
      <c r="VX125" s="1"/>
      <c r="VY125" s="1"/>
      <c r="VZ125" s="1"/>
      <c r="WA125" s="1"/>
      <c r="WB125" s="1"/>
      <c r="WC125" s="1"/>
      <c r="WD125" s="1"/>
      <c r="WE125" s="1"/>
      <c r="WF125" s="1"/>
      <c r="WG125" s="1"/>
      <c r="WH125" s="1"/>
      <c r="WI125" s="1"/>
      <c r="WJ125" s="1"/>
      <c r="WK125" s="1"/>
      <c r="WL125" s="1"/>
      <c r="WM125" s="1"/>
      <c r="WN125" s="1"/>
      <c r="WO125" s="1"/>
      <c r="WP125" s="1"/>
      <c r="WQ125" s="1"/>
      <c r="WR125" s="1"/>
      <c r="WS125" s="1"/>
      <c r="WT125" s="1"/>
      <c r="WU125" s="1"/>
      <c r="WV125" s="1"/>
      <c r="WW125" s="1"/>
      <c r="WX125" s="1"/>
      <c r="WY125" s="1"/>
      <c r="WZ125" s="1"/>
      <c r="XA125" s="1"/>
      <c r="XB125" s="1"/>
      <c r="XC125" s="1"/>
      <c r="XD125" s="1"/>
      <c r="XE125" s="1"/>
      <c r="XF125" s="1"/>
      <c r="XG125" s="1"/>
      <c r="XH125" s="1"/>
      <c r="XI125" s="1"/>
      <c r="XJ125" s="1"/>
      <c r="XK125" s="1"/>
      <c r="XL125" s="1"/>
      <c r="XM125" s="1"/>
      <c r="XN125" s="1"/>
      <c r="XO125" s="1"/>
      <c r="XP125" s="1"/>
      <c r="XQ125" s="1"/>
      <c r="XR125" s="1"/>
      <c r="XS125" s="1"/>
      <c r="XT125" s="1"/>
      <c r="XU125" s="1"/>
      <c r="XV125" s="1"/>
      <c r="XW125" s="1"/>
      <c r="XX125" s="1"/>
      <c r="XY125" s="1"/>
      <c r="XZ125" s="1"/>
      <c r="YA125" s="1"/>
      <c r="YB125" s="1"/>
      <c r="YC125" s="1"/>
      <c r="YD125" s="1"/>
      <c r="YE125" s="1"/>
      <c r="YF125" s="1"/>
      <c r="YG125" s="1"/>
      <c r="YH125" s="1"/>
      <c r="YI125" s="1"/>
      <c r="YJ125" s="1"/>
      <c r="YK125" s="1"/>
      <c r="YL125" s="1"/>
      <c r="YM125" s="1"/>
      <c r="YN125" s="1"/>
      <c r="YO125" s="1"/>
      <c r="YP125" s="1"/>
      <c r="YQ125" s="1"/>
      <c r="YR125" s="1"/>
      <c r="YS125" s="1"/>
      <c r="YT125" s="1"/>
      <c r="YU125" s="1"/>
      <c r="YV125" s="1"/>
      <c r="YW125" s="1"/>
      <c r="YX125" s="1"/>
      <c r="YY125" s="1"/>
      <c r="YZ125" s="1"/>
      <c r="ZA125" s="1"/>
      <c r="ZB125" s="1"/>
      <c r="ZC125" s="1"/>
      <c r="ZD125" s="1"/>
      <c r="ZE125" s="1"/>
      <c r="ZF125" s="1"/>
      <c r="ZG125" s="1"/>
      <c r="ZH125" s="1"/>
      <c r="ZI125" s="1"/>
      <c r="ZJ125" s="1"/>
      <c r="ZK125" s="1"/>
      <c r="ZL125" s="1"/>
      <c r="ZM125" s="1"/>
      <c r="ZN125" s="1"/>
      <c r="ZO125" s="1"/>
      <c r="ZP125" s="1"/>
      <c r="ZQ125" s="1"/>
      <c r="ZR125" s="1"/>
      <c r="ZS125" s="1"/>
      <c r="ZT125" s="1"/>
      <c r="ZU125" s="1"/>
      <c r="ZV125" s="1"/>
      <c r="ZW125" s="1"/>
      <c r="ZX125" s="1"/>
      <c r="ZY125" s="1"/>
      <c r="ZZ125" s="1"/>
      <c r="AAA125" s="1"/>
      <c r="AAB125" s="1"/>
      <c r="AAC125" s="1"/>
      <c r="AAD125" s="1"/>
      <c r="AAE125" s="1"/>
      <c r="AAF125" s="1"/>
      <c r="AAG125" s="1"/>
      <c r="AAH125" s="1"/>
      <c r="AAI125" s="1"/>
      <c r="AAJ125" s="1"/>
      <c r="AAK125" s="1"/>
      <c r="AAL125" s="1"/>
      <c r="AAM125" s="1"/>
      <c r="AAN125" s="1"/>
      <c r="AAO125" s="1"/>
      <c r="AAP125" s="1"/>
      <c r="AAQ125" s="1"/>
      <c r="AAR125" s="1"/>
      <c r="AAS125" s="1"/>
      <c r="AAT125" s="1"/>
      <c r="AAU125" s="1"/>
      <c r="AAV125" s="1"/>
      <c r="AAW125" s="1"/>
      <c r="AAX125" s="1"/>
      <c r="AAY125" s="1"/>
      <c r="AAZ125" s="1"/>
      <c r="ABA125" s="1"/>
      <c r="ABB125" s="1"/>
      <c r="ABC125" s="1"/>
      <c r="ABD125" s="1"/>
      <c r="ABE125" s="1"/>
      <c r="ABF125" s="1"/>
      <c r="ABG125" s="1"/>
      <c r="ABH125" s="1"/>
      <c r="ABI125" s="1"/>
      <c r="ABJ125" s="1"/>
      <c r="ABK125" s="1"/>
      <c r="ABL125" s="1"/>
      <c r="ABM125" s="1"/>
      <c r="ABN125" s="1"/>
      <c r="ABO125" s="1"/>
      <c r="ABP125" s="1"/>
      <c r="ABQ125" s="1"/>
      <c r="ABR125" s="1"/>
      <c r="ABS125" s="1"/>
      <c r="ABT125" s="1"/>
      <c r="ABU125" s="1"/>
      <c r="ABV125" s="1"/>
      <c r="ABW125" s="1"/>
      <c r="ABX125" s="1"/>
      <c r="ABY125" s="1"/>
      <c r="ABZ125" s="1"/>
      <c r="ACA125" s="1"/>
      <c r="ACB125" s="1"/>
      <c r="ACC125" s="1"/>
      <c r="ACD125" s="1"/>
      <c r="ACE125" s="1"/>
      <c r="ACF125" s="1"/>
      <c r="ACG125" s="1"/>
      <c r="ACH125" s="1"/>
      <c r="ACI125" s="1"/>
      <c r="ACJ125" s="1"/>
      <c r="ACK125" s="1"/>
      <c r="ACL125" s="1"/>
      <c r="ACM125" s="1"/>
      <c r="ACN125" s="1"/>
      <c r="ACO125" s="1"/>
      <c r="ACP125" s="1"/>
      <c r="ACQ125" s="1"/>
      <c r="ACR125" s="1"/>
      <c r="ACS125" s="1"/>
      <c r="ACT125" s="1"/>
      <c r="ACU125" s="1"/>
      <c r="ACV125" s="1"/>
      <c r="ACW125" s="1"/>
      <c r="ACX125" s="1"/>
      <c r="ACY125" s="1"/>
      <c r="ACZ125" s="1"/>
      <c r="ADA125" s="1"/>
      <c r="ADB125" s="1"/>
      <c r="ADC125" s="1"/>
      <c r="ADD125" s="1"/>
      <c r="ADE125" s="1"/>
      <c r="ADF125" s="1"/>
      <c r="ADG125" s="1"/>
      <c r="ADH125" s="1"/>
      <c r="ADI125" s="1"/>
      <c r="ADJ125" s="1"/>
      <c r="ADK125" s="1"/>
      <c r="ADL125" s="1"/>
      <c r="ADM125" s="1"/>
      <c r="ADN125" s="1"/>
      <c r="ADO125" s="1"/>
      <c r="ADP125" s="1"/>
      <c r="ADQ125" s="1"/>
      <c r="ADR125" s="1"/>
      <c r="ADS125" s="1"/>
      <c r="ADT125" s="1"/>
      <c r="ADU125" s="1"/>
      <c r="ADV125" s="1"/>
      <c r="ADW125" s="1"/>
      <c r="ADX125" s="1"/>
      <c r="ADY125" s="1"/>
      <c r="ADZ125" s="1"/>
      <c r="AEA125" s="1"/>
      <c r="AEB125" s="1"/>
      <c r="AEC125" s="1"/>
      <c r="AED125" s="1"/>
      <c r="AEE125" s="1"/>
      <c r="AEF125" s="1"/>
      <c r="AEG125" s="1"/>
      <c r="AEH125" s="1"/>
      <c r="AEI125" s="1"/>
      <c r="AEJ125" s="1"/>
      <c r="AEK125" s="1"/>
      <c r="AEL125" s="1"/>
      <c r="AEM125" s="1"/>
      <c r="AEN125" s="1"/>
      <c r="AEO125" s="1"/>
      <c r="AEP125" s="1"/>
      <c r="AEQ125" s="1"/>
      <c r="AER125" s="1"/>
      <c r="AES125" s="1"/>
      <c r="AET125" s="1"/>
      <c r="AEU125" s="1"/>
      <c r="AEV125" s="1"/>
      <c r="AEW125" s="1"/>
      <c r="AEX125" s="1"/>
      <c r="AEY125" s="1"/>
      <c r="AEZ125" s="1"/>
      <c r="AFA125" s="1"/>
      <c r="AFB125" s="1"/>
      <c r="AFC125" s="1"/>
      <c r="AFD125" s="1"/>
      <c r="AFE125" s="1"/>
      <c r="AFF125" s="1"/>
      <c r="AFG125" s="1"/>
      <c r="AFH125" s="1"/>
      <c r="AFI125" s="1"/>
      <c r="AFJ125" s="1"/>
      <c r="AFK125" s="1"/>
      <c r="AFL125" s="1"/>
      <c r="AFM125" s="1"/>
      <c r="AFN125" s="1"/>
      <c r="AFO125" s="1"/>
      <c r="AFP125" s="1"/>
      <c r="AFQ125" s="1"/>
      <c r="AFR125" s="1"/>
      <c r="AFS125" s="1"/>
      <c r="AFT125" s="1"/>
      <c r="AFU125" s="1"/>
      <c r="AFV125" s="1"/>
      <c r="AFW125" s="1"/>
      <c r="AFX125" s="1"/>
      <c r="AFY125" s="1"/>
      <c r="AFZ125" s="1"/>
      <c r="AGA125" s="1"/>
      <c r="AGB125" s="1"/>
      <c r="AGC125" s="1"/>
      <c r="AGD125" s="1"/>
      <c r="AGE125" s="1"/>
      <c r="AGF125" s="1"/>
      <c r="AGG125" s="1"/>
      <c r="AGH125" s="1"/>
      <c r="AGI125" s="1"/>
      <c r="AGJ125" s="1"/>
      <c r="AGK125" s="1"/>
      <c r="AGL125" s="1"/>
      <c r="AGM125" s="1"/>
      <c r="AGN125" s="1"/>
      <c r="AGO125" s="1"/>
      <c r="AGP125" s="1"/>
      <c r="AGQ125" s="1"/>
      <c r="AGR125" s="1"/>
      <c r="AGS125" s="1"/>
      <c r="AGT125" s="1"/>
      <c r="AGU125" s="1"/>
      <c r="AGV125" s="1"/>
      <c r="AGW125" s="1"/>
      <c r="AGX125" s="1"/>
      <c r="AGY125" s="1"/>
      <c r="AGZ125" s="1"/>
      <c r="AHA125" s="1"/>
      <c r="AHB125" s="1"/>
      <c r="AHC125" s="1"/>
      <c r="AHD125" s="1"/>
      <c r="AHE125" s="1"/>
      <c r="AHF125" s="1"/>
      <c r="AHG125" s="1"/>
      <c r="AHH125" s="1"/>
      <c r="AHI125" s="1"/>
      <c r="AHJ125" s="1"/>
      <c r="AHK125" s="1"/>
      <c r="AHL125" s="1"/>
      <c r="AHM125" s="1"/>
      <c r="AHN125" s="1"/>
      <c r="AHO125" s="1"/>
      <c r="AHP125" s="1"/>
      <c r="AHQ125" s="1"/>
      <c r="AHR125" s="1"/>
      <c r="AHS125" s="1"/>
      <c r="AHT125" s="1"/>
      <c r="AHU125" s="1"/>
      <c r="AHV125" s="1"/>
      <c r="AHW125" s="1"/>
      <c r="AHX125" s="1"/>
      <c r="AHY125" s="1"/>
      <c r="AHZ125" s="1"/>
      <c r="AIA125" s="1"/>
      <c r="AIB125" s="1"/>
      <c r="AIC125" s="1"/>
      <c r="AID125" s="1"/>
      <c r="AIE125" s="1"/>
      <c r="AIF125" s="1"/>
      <c r="AIG125" s="1"/>
      <c r="AIH125" s="1"/>
      <c r="AII125" s="1"/>
      <c r="AIJ125" s="1"/>
      <c r="AIK125" s="1"/>
      <c r="AIL125" s="1"/>
      <c r="AIM125" s="1"/>
      <c r="AIN125" s="1"/>
      <c r="AIO125" s="1"/>
      <c r="AIP125" s="1"/>
      <c r="AIQ125" s="1"/>
      <c r="AIR125" s="1"/>
      <c r="AIS125" s="1"/>
      <c r="AIT125" s="1"/>
      <c r="AIU125" s="1"/>
      <c r="AIV125" s="1"/>
      <c r="AIW125" s="1"/>
      <c r="AIX125" s="1"/>
      <c r="AIY125" s="1"/>
      <c r="AIZ125" s="1"/>
      <c r="AJA125" s="1"/>
      <c r="AJB125" s="1"/>
      <c r="AJC125" s="1"/>
      <c r="AJD125" s="1"/>
      <c r="AJE125" s="1"/>
      <c r="AJF125" s="1"/>
      <c r="AJG125" s="1"/>
      <c r="AJH125" s="1"/>
      <c r="AJI125" s="1"/>
      <c r="AJJ125" s="1"/>
      <c r="AJK125" s="1"/>
      <c r="AJL125" s="1"/>
      <c r="AJM125" s="1"/>
      <c r="AJN125" s="1"/>
      <c r="AJO125" s="1"/>
      <c r="AJP125" s="1"/>
      <c r="AJQ125" s="1"/>
      <c r="AJR125" s="1"/>
      <c r="AJS125" s="1"/>
      <c r="AJT125" s="1"/>
      <c r="AJU125" s="1"/>
      <c r="AJV125" s="1"/>
      <c r="AJW125" s="1"/>
      <c r="AJX125" s="1"/>
      <c r="AJY125" s="1"/>
      <c r="AJZ125" s="1"/>
      <c r="AKA125" s="1"/>
      <c r="AKB125" s="1"/>
      <c r="AKC125" s="1"/>
      <c r="AKD125" s="1"/>
      <c r="AKE125" s="1"/>
      <c r="AKF125" s="1"/>
      <c r="AKG125" s="1"/>
      <c r="AKH125" s="1"/>
      <c r="AKI125" s="1"/>
      <c r="AKJ125" s="1"/>
      <c r="AKK125" s="1"/>
      <c r="AKL125" s="1"/>
      <c r="AKM125" s="1"/>
      <c r="AKN125" s="1"/>
      <c r="AKO125" s="1"/>
      <c r="AKP125" s="1"/>
      <c r="AKQ125" s="1"/>
      <c r="AKR125" s="1"/>
      <c r="AKS125" s="1"/>
      <c r="AKT125" s="1"/>
      <c r="AKU125" s="1"/>
      <c r="AKV125" s="1"/>
      <c r="AKW125" s="1"/>
      <c r="AKX125" s="1"/>
      <c r="AKY125" s="1"/>
      <c r="AKZ125" s="1"/>
      <c r="ALA125" s="1"/>
      <c r="ALB125" s="1"/>
      <c r="ALC125" s="1"/>
      <c r="ALD125" s="1"/>
      <c r="ALE125" s="1"/>
      <c r="ALF125" s="1"/>
      <c r="ALG125" s="1"/>
      <c r="ALH125" s="1"/>
      <c r="ALI125" s="1"/>
      <c r="ALJ125" s="1"/>
      <c r="ALK125" s="1"/>
      <c r="ALL125" s="1"/>
      <c r="ALM125" s="1"/>
      <c r="ALN125" s="1"/>
      <c r="ALO125" s="1"/>
      <c r="ALP125" s="1"/>
      <c r="ALQ125" s="1"/>
      <c r="ALR125" s="1"/>
      <c r="ALS125" s="1"/>
      <c r="ALT125" s="1"/>
      <c r="ALU125" s="1"/>
      <c r="ALV125" s="1"/>
      <c r="ALW125" s="1"/>
      <c r="ALX125" s="1"/>
      <c r="ALY125" s="1"/>
      <c r="ALZ125" s="1"/>
      <c r="AMA125" s="1"/>
      <c r="AMB125" s="1"/>
      <c r="AMC125" s="1"/>
      <c r="AMD125" s="1"/>
      <c r="AME125" s="1"/>
      <c r="AMF125" s="1"/>
      <c r="AMG125" s="1"/>
      <c r="AMH125" s="1"/>
      <c r="AMI125" s="1"/>
      <c r="AMJ125" s="1"/>
      <c r="AMK125" s="1"/>
      <c r="AML125" s="1"/>
      <c r="AMM125" s="1"/>
      <c r="AMN125" s="1"/>
    </row>
    <row r="126" spans="1:1029" x14ac:dyDescent="0.2">
      <c r="A126" s="3" t="str">
        <f t="shared" si="555"/>
        <v>oprd_human_4N6H</v>
      </c>
      <c r="B126" s="3" t="s">
        <v>335</v>
      </c>
      <c r="C126" s="3" t="s">
        <v>87</v>
      </c>
      <c r="D126" s="3" t="str">
        <f>IFERROR(MID(VLOOKUP($B126,Seqs!$A:$B,2,0),E126,1),"")</f>
        <v>G</v>
      </c>
      <c r="E126" s="3">
        <v>39</v>
      </c>
      <c r="F126" s="3" t="str">
        <f>IFERROR(MID(VLOOKUP($B126,Seqs!$A:$B,2,0),G126,1),"")</f>
        <v>Y</v>
      </c>
      <c r="G126" s="3">
        <v>77</v>
      </c>
      <c r="H126" s="3" t="str">
        <f>IFERROR(MID(VLOOKUP($B126,Seqs!$A:$B,2,0),I126,1),"")</f>
        <v>T</v>
      </c>
      <c r="I126" s="23">
        <v>78</v>
      </c>
      <c r="J126" s="3" t="str">
        <f>IFERROR(MID(VLOOKUP($B126,Seqs!$A:$B,2,0),K126,1),"")</f>
        <v>K</v>
      </c>
      <c r="K126" s="23">
        <v>81</v>
      </c>
      <c r="L126" s="3" t="str">
        <f>IFERROR(MID(VLOOKUP($B126,Seqs!$A:$B,2,0),M126,1),"")</f>
        <v>T</v>
      </c>
      <c r="M126" s="3">
        <v>82</v>
      </c>
      <c r="N126" s="3" t="str">
        <f>IFERROR(MID(VLOOKUP($B126,Seqs!$A:$B,2,0),O126,1),"")</f>
        <v>M</v>
      </c>
      <c r="O126" s="3">
        <v>111</v>
      </c>
      <c r="P126" s="3" t="str">
        <f>IFERROR(MID(VLOOKUP($B126,Seqs!$A:$B,2,0),Q126,1),"")</f>
        <v>T</v>
      </c>
      <c r="Q126" s="3">
        <v>113</v>
      </c>
      <c r="R126" s="3" t="str">
        <f>IFERROR(MID(VLOOKUP($B126,Seqs!$A:$B,2,0),S126,1),"")</f>
        <v>F</v>
      </c>
      <c r="S126" s="3">
        <v>116</v>
      </c>
      <c r="T126" s="3" t="str">
        <f>IFERROR(MID(VLOOKUP($B126,Seqs!$A:$B,2,0),U126,1),"")</f>
        <v>G</v>
      </c>
      <c r="U126" s="3">
        <v>117</v>
      </c>
      <c r="V126" s="3" t="str">
        <f>IFERROR(MID(VLOOKUP($B126,Seqs!$A:$B,2,0),W126,1),"")</f>
        <v>H</v>
      </c>
      <c r="W126" s="3">
        <v>152</v>
      </c>
      <c r="X126" s="3" t="str">
        <f>IFERROR(MID(VLOOKUP($B126,Seqs!$A:$B,2,0),Y126,1),"")</f>
        <v>P</v>
      </c>
      <c r="Y126" s="3">
        <v>153</v>
      </c>
      <c r="Z126" s="3" t="str">
        <f>IFERROR(MID(VLOOKUP($B126,Seqs!$A:$B,2,0),AA126,1),"")</f>
        <v>R</v>
      </c>
      <c r="AA126" s="3">
        <v>160</v>
      </c>
      <c r="AB126" s="3" t="str">
        <f>IFERROR(MID(VLOOKUP($B126,Seqs!$A:$B,2,0),AC126,1),"")</f>
        <v>T</v>
      </c>
      <c r="AC126" s="9">
        <v>161</v>
      </c>
      <c r="AD126" s="3" t="str">
        <f>IFERROR(MID(VLOOKUP($B126,Seqs!$A:$B,2,0),AE126,1),"")</f>
        <v>A</v>
      </c>
      <c r="AE126" s="3">
        <v>187</v>
      </c>
      <c r="AF126" s="3" t="str">
        <f>IFERROR(MID(VLOOKUP($B126,Seqs!$A:$B,2,0),AG126,1),"")</f>
        <v>C</v>
      </c>
      <c r="AG126" s="3">
        <v>198</v>
      </c>
      <c r="AH126" s="3" t="str">
        <f>IFERROR(MID(VLOOKUP($B126,Seqs!$A:$B,2,0),AI126,1),"")</f>
        <v>L</v>
      </c>
      <c r="AI126" s="3">
        <v>200</v>
      </c>
      <c r="AJ126" s="3" t="str">
        <f>IFERROR(MID(VLOOKUP($B126,Seqs!$A:$B,2,0),AK126,1),"")</f>
        <v>S</v>
      </c>
      <c r="AK126" s="3">
        <v>206</v>
      </c>
      <c r="AL126" s="3" t="str">
        <f>IFERROR(MID(VLOOKUP($B126,Seqs!$A:$B,2,0),AM126,1),"")</f>
        <v>V</v>
      </c>
      <c r="AM126" s="3">
        <v>243</v>
      </c>
      <c r="AN126" s="3" t="str">
        <f>IFERROR(MID(VLOOKUP($B126,Seqs!$A:$B,2,0),AO126,1),"")</f>
        <v>S</v>
      </c>
      <c r="AO126" s="3">
        <v>249</v>
      </c>
      <c r="AP126" s="3" t="str">
        <f>IFERROR(MID(VLOOKUP($B126,Seqs!$A:$B,2,0),AQ126,1),"")</f>
        <v>V</v>
      </c>
      <c r="AQ126" s="3">
        <v>287</v>
      </c>
      <c r="AR126" s="3" t="str">
        <f>IFERROR(MID(VLOOKUP($B126,Seqs!$A:$B,2,0),AS126,1),"")</f>
        <v>D</v>
      </c>
      <c r="AS126" s="3">
        <v>293</v>
      </c>
      <c r="AT126" s="3" t="str">
        <f>IFERROR(MID(VLOOKUP($B126,Seqs!$A:$B,2,0),AU126,1),"")</f>
        <v>L</v>
      </c>
      <c r="AU126" s="3">
        <v>321</v>
      </c>
      <c r="AV126" s="3" t="str">
        <f>IFERROR(MID(VLOOKUP($B126,Seqs!$A:$B,2,0),AW126,1),"")</f>
        <v>D</v>
      </c>
      <c r="AW126" s="3">
        <v>322</v>
      </c>
      <c r="AX126" s="3" t="str">
        <f>IFERROR(MID(VLOOKUP($B126,Seqs!$A:$B,2,0),AY126,1),"")</f>
        <v>K</v>
      </c>
      <c r="AY126" s="3">
        <v>335</v>
      </c>
      <c r="AZ126" s="79" t="str">
        <f>VLOOKUP(B126,Classification!A:D,2,0)</f>
        <v>A</v>
      </c>
      <c r="BA126" s="97" t="str">
        <f>VLOOKUP(B126,Classification!A:D,4,0)</f>
        <v>Opioid</v>
      </c>
      <c r="BB126" s="27" t="b">
        <f t="shared" si="556"/>
        <v>1</v>
      </c>
      <c r="BC126" s="23">
        <f t="shared" si="473"/>
        <v>271</v>
      </c>
      <c r="BD126" s="16" t="s">
        <v>1383</v>
      </c>
      <c r="BE126" s="3" t="s">
        <v>1381</v>
      </c>
      <c r="BF126" s="50" t="s">
        <v>1384</v>
      </c>
      <c r="BG126" s="50" t="s">
        <v>1384</v>
      </c>
      <c r="BI126" s="72" t="s">
        <v>1293</v>
      </c>
      <c r="BJ126" s="58" t="s">
        <v>1293</v>
      </c>
      <c r="BK126" s="58" t="s">
        <v>1293</v>
      </c>
      <c r="BL126" s="58" t="s">
        <v>1293</v>
      </c>
      <c r="BM126" s="58" t="s">
        <v>1293</v>
      </c>
      <c r="BN126" s="58" t="s">
        <v>1293</v>
      </c>
      <c r="BO126" s="58" t="s">
        <v>1293</v>
      </c>
      <c r="BP126" s="58" t="s">
        <v>1293</v>
      </c>
      <c r="BQ126" s="58" t="s">
        <v>1293</v>
      </c>
      <c r="BR126" s="58" t="s">
        <v>1293</v>
      </c>
      <c r="BS126" s="58" t="s">
        <v>1293</v>
      </c>
      <c r="BT126" s="58" t="s">
        <v>1293</v>
      </c>
      <c r="BU126" s="72">
        <f t="shared" si="474"/>
        <v>39</v>
      </c>
      <c r="BV126" s="73">
        <f t="shared" si="475"/>
        <v>78</v>
      </c>
      <c r="BW126" s="74">
        <f t="shared" si="476"/>
        <v>82</v>
      </c>
      <c r="BX126" s="73">
        <f t="shared" si="477"/>
        <v>113</v>
      </c>
      <c r="BY126" s="74">
        <f t="shared" si="478"/>
        <v>117</v>
      </c>
      <c r="BZ126" s="73">
        <f t="shared" si="479"/>
        <v>153</v>
      </c>
      <c r="CA126" s="74">
        <f t="shared" si="480"/>
        <v>161</v>
      </c>
      <c r="CB126" s="73">
        <f t="shared" si="481"/>
        <v>198</v>
      </c>
      <c r="CC126" s="74">
        <f t="shared" si="482"/>
        <v>206</v>
      </c>
      <c r="CD126" s="73">
        <f t="shared" si="483"/>
        <v>249</v>
      </c>
      <c r="CE126" s="74">
        <f t="shared" si="484"/>
        <v>293</v>
      </c>
      <c r="CF126" s="73">
        <f t="shared" si="485"/>
        <v>322</v>
      </c>
      <c r="CG126" s="72">
        <f t="shared" si="486"/>
        <v>77</v>
      </c>
      <c r="CH126" s="73">
        <f t="shared" si="487"/>
        <v>81</v>
      </c>
      <c r="CI126" s="74">
        <f t="shared" si="488"/>
        <v>111</v>
      </c>
      <c r="CJ126" s="74">
        <f t="shared" si="489"/>
        <v>116</v>
      </c>
      <c r="CK126" s="74">
        <f t="shared" si="490"/>
        <v>152</v>
      </c>
      <c r="CL126" s="74">
        <f t="shared" si="491"/>
        <v>160</v>
      </c>
      <c r="CM126" s="74">
        <f t="shared" si="492"/>
        <v>187</v>
      </c>
      <c r="CN126" s="74">
        <f t="shared" si="493"/>
        <v>200</v>
      </c>
      <c r="CO126" s="74">
        <f t="shared" si="494"/>
        <v>243</v>
      </c>
      <c r="CP126" s="74">
        <f t="shared" si="495"/>
        <v>287</v>
      </c>
      <c r="CQ126" s="74">
        <f t="shared" si="496"/>
        <v>321</v>
      </c>
      <c r="CR126" s="74">
        <f t="shared" si="497"/>
        <v>335</v>
      </c>
      <c r="CS126" s="23">
        <f t="shared" si="498"/>
        <v>1</v>
      </c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  <c r="LI126" s="1"/>
      <c r="LJ126" s="1"/>
      <c r="LK126" s="1"/>
      <c r="LL126" s="1"/>
      <c r="LM126" s="1"/>
      <c r="LN126" s="1"/>
      <c r="LO126" s="1"/>
      <c r="LP126" s="1"/>
      <c r="LQ126" s="1"/>
      <c r="LR126" s="1"/>
      <c r="LS126" s="1"/>
      <c r="LT126" s="1"/>
      <c r="LU126" s="1"/>
      <c r="LV126" s="1"/>
      <c r="LW126" s="1"/>
      <c r="LX126" s="1"/>
      <c r="LY126" s="1"/>
      <c r="LZ126" s="1"/>
      <c r="MA126" s="1"/>
      <c r="MB126" s="1"/>
      <c r="MC126" s="1"/>
      <c r="MD126" s="1"/>
      <c r="ME126" s="1"/>
      <c r="MF126" s="1"/>
      <c r="MG126" s="1"/>
      <c r="MH126" s="1"/>
      <c r="MI126" s="1"/>
      <c r="MJ126" s="1"/>
      <c r="MK126" s="1"/>
      <c r="ML126" s="1"/>
      <c r="MM126" s="1"/>
      <c r="MN126" s="1"/>
      <c r="MO126" s="1"/>
      <c r="MP126" s="1"/>
      <c r="MQ126" s="1"/>
      <c r="MR126" s="1"/>
      <c r="MS126" s="1"/>
      <c r="MT126" s="1"/>
      <c r="MU126" s="1"/>
      <c r="MV126" s="1"/>
      <c r="MW126" s="1"/>
      <c r="MX126" s="1"/>
      <c r="MY126" s="1"/>
      <c r="MZ126" s="1"/>
      <c r="NA126" s="1"/>
      <c r="NB126" s="1"/>
      <c r="NC126" s="1"/>
      <c r="ND126" s="1"/>
      <c r="NE126" s="1"/>
      <c r="NF126" s="1"/>
      <c r="NG126" s="1"/>
      <c r="NH126" s="1"/>
      <c r="NI126" s="1"/>
      <c r="NJ126" s="1"/>
      <c r="NK126" s="1"/>
      <c r="NL126" s="1"/>
      <c r="NM126" s="1"/>
      <c r="NN126" s="1"/>
      <c r="NO126" s="1"/>
      <c r="NP126" s="1"/>
      <c r="NQ126" s="1"/>
      <c r="NR126" s="1"/>
      <c r="NS126" s="1"/>
      <c r="NT126" s="1"/>
      <c r="NU126" s="1"/>
      <c r="NV126" s="1"/>
      <c r="NW126" s="1"/>
      <c r="NX126" s="1"/>
      <c r="NY126" s="1"/>
      <c r="NZ126" s="1"/>
      <c r="OA126" s="1"/>
      <c r="OB126" s="1"/>
      <c r="OC126" s="1"/>
      <c r="OD126" s="1"/>
      <c r="OE126" s="1"/>
      <c r="OF126" s="1"/>
      <c r="OG126" s="1"/>
      <c r="OH126" s="1"/>
      <c r="OI126" s="1"/>
      <c r="OJ126" s="1"/>
      <c r="OK126" s="1"/>
      <c r="OL126" s="1"/>
      <c r="OM126" s="1"/>
      <c r="ON126" s="1"/>
      <c r="OO126" s="1"/>
      <c r="OP126" s="1"/>
      <c r="OQ126" s="1"/>
      <c r="OR126" s="1"/>
      <c r="OS126" s="1"/>
      <c r="OT126" s="1"/>
      <c r="OU126" s="1"/>
      <c r="OV126" s="1"/>
      <c r="OW126" s="1"/>
      <c r="OX126" s="1"/>
      <c r="OY126" s="1"/>
      <c r="OZ126" s="1"/>
      <c r="PA126" s="1"/>
      <c r="PB126" s="1"/>
      <c r="PC126" s="1"/>
      <c r="PD126" s="1"/>
      <c r="PE126" s="1"/>
      <c r="PF126" s="1"/>
      <c r="PG126" s="1"/>
      <c r="PH126" s="1"/>
      <c r="PI126" s="1"/>
      <c r="PJ126" s="1"/>
      <c r="PK126" s="1"/>
      <c r="PL126" s="1"/>
      <c r="PM126" s="1"/>
      <c r="PN126" s="1"/>
      <c r="PO126" s="1"/>
      <c r="PP126" s="1"/>
      <c r="PQ126" s="1"/>
      <c r="PR126" s="1"/>
      <c r="PS126" s="1"/>
      <c r="PT126" s="1"/>
      <c r="PU126" s="1"/>
      <c r="PV126" s="1"/>
      <c r="PW126" s="1"/>
      <c r="PX126" s="1"/>
      <c r="PY126" s="1"/>
      <c r="PZ126" s="1"/>
      <c r="QA126" s="1"/>
      <c r="QB126" s="1"/>
      <c r="QC126" s="1"/>
      <c r="QD126" s="1"/>
      <c r="QE126" s="1"/>
      <c r="QF126" s="1"/>
      <c r="QG126" s="1"/>
      <c r="QH126" s="1"/>
      <c r="QI126" s="1"/>
      <c r="QJ126" s="1"/>
      <c r="QK126" s="1"/>
      <c r="QL126" s="1"/>
      <c r="QM126" s="1"/>
      <c r="QN126" s="1"/>
      <c r="QO126" s="1"/>
      <c r="QP126" s="1"/>
      <c r="QQ126" s="1"/>
      <c r="QR126" s="1"/>
      <c r="QS126" s="1"/>
      <c r="QT126" s="1"/>
      <c r="QU126" s="1"/>
      <c r="QV126" s="1"/>
      <c r="QW126" s="1"/>
      <c r="QX126" s="1"/>
      <c r="QY126" s="1"/>
      <c r="QZ126" s="1"/>
      <c r="RA126" s="1"/>
      <c r="RB126" s="1"/>
      <c r="RC126" s="1"/>
      <c r="RD126" s="1"/>
      <c r="RE126" s="1"/>
      <c r="RF126" s="1"/>
      <c r="RG126" s="1"/>
      <c r="RH126" s="1"/>
      <c r="RI126" s="1"/>
      <c r="RJ126" s="1"/>
      <c r="RK126" s="1"/>
      <c r="RL126" s="1"/>
      <c r="RM126" s="1"/>
      <c r="RN126" s="1"/>
      <c r="RO126" s="1"/>
      <c r="RP126" s="1"/>
      <c r="RQ126" s="1"/>
      <c r="RR126" s="1"/>
      <c r="RS126" s="1"/>
      <c r="RT126" s="1"/>
      <c r="RU126" s="1"/>
      <c r="RV126" s="1"/>
      <c r="RW126" s="1"/>
      <c r="RX126" s="1"/>
      <c r="RY126" s="1"/>
      <c r="RZ126" s="1"/>
      <c r="SA126" s="1"/>
      <c r="SB126" s="1"/>
      <c r="SC126" s="1"/>
      <c r="SD126" s="1"/>
      <c r="SE126" s="1"/>
      <c r="SF126" s="1"/>
      <c r="SG126" s="1"/>
      <c r="SH126" s="1"/>
      <c r="SI126" s="1"/>
      <c r="SJ126" s="1"/>
      <c r="SK126" s="1"/>
      <c r="SL126" s="1"/>
      <c r="SM126" s="1"/>
      <c r="SN126" s="1"/>
      <c r="SO126" s="1"/>
      <c r="SP126" s="1"/>
      <c r="SQ126" s="1"/>
      <c r="SR126" s="1"/>
      <c r="SS126" s="1"/>
      <c r="ST126" s="1"/>
      <c r="SU126" s="1"/>
      <c r="SV126" s="1"/>
      <c r="SW126" s="1"/>
      <c r="SX126" s="1"/>
      <c r="SY126" s="1"/>
      <c r="SZ126" s="1"/>
      <c r="TA126" s="1"/>
      <c r="TB126" s="1"/>
      <c r="TC126" s="1"/>
      <c r="TD126" s="1"/>
      <c r="TE126" s="1"/>
      <c r="TF126" s="1"/>
      <c r="TG126" s="1"/>
      <c r="TH126" s="1"/>
      <c r="TI126" s="1"/>
      <c r="TJ126" s="1"/>
      <c r="TK126" s="1"/>
      <c r="TL126" s="1"/>
      <c r="TM126" s="1"/>
      <c r="TN126" s="1"/>
      <c r="TO126" s="1"/>
      <c r="TP126" s="1"/>
      <c r="TQ126" s="1"/>
      <c r="TR126" s="1"/>
      <c r="TS126" s="1"/>
      <c r="TT126" s="1"/>
      <c r="TU126" s="1"/>
      <c r="TV126" s="1"/>
      <c r="TW126" s="1"/>
      <c r="TX126" s="1"/>
      <c r="TY126" s="1"/>
      <c r="TZ126" s="1"/>
      <c r="UA126" s="1"/>
      <c r="UB126" s="1"/>
      <c r="UC126" s="1"/>
      <c r="UD126" s="1"/>
      <c r="UE126" s="1"/>
      <c r="UF126" s="1"/>
      <c r="UG126" s="1"/>
      <c r="UH126" s="1"/>
      <c r="UI126" s="1"/>
      <c r="UJ126" s="1"/>
      <c r="UK126" s="1"/>
      <c r="UL126" s="1"/>
      <c r="UM126" s="1"/>
      <c r="UN126" s="1"/>
      <c r="UO126" s="1"/>
      <c r="UP126" s="1"/>
      <c r="UQ126" s="1"/>
      <c r="UR126" s="1"/>
      <c r="US126" s="1"/>
      <c r="UT126" s="1"/>
      <c r="UU126" s="1"/>
      <c r="UV126" s="1"/>
      <c r="UW126" s="1"/>
      <c r="UX126" s="1"/>
      <c r="UY126" s="1"/>
      <c r="UZ126" s="1"/>
      <c r="VA126" s="1"/>
      <c r="VB126" s="1"/>
      <c r="VC126" s="1"/>
      <c r="VD126" s="1"/>
      <c r="VE126" s="1"/>
      <c r="VF126" s="1"/>
      <c r="VG126" s="1"/>
      <c r="VH126" s="1"/>
      <c r="VI126" s="1"/>
      <c r="VJ126" s="1"/>
      <c r="VK126" s="1"/>
      <c r="VL126" s="1"/>
      <c r="VM126" s="1"/>
      <c r="VN126" s="1"/>
      <c r="VO126" s="1"/>
      <c r="VP126" s="1"/>
      <c r="VQ126" s="1"/>
      <c r="VR126" s="1"/>
      <c r="VS126" s="1"/>
      <c r="VT126" s="1"/>
      <c r="VU126" s="1"/>
      <c r="VV126" s="1"/>
      <c r="VW126" s="1"/>
      <c r="VX126" s="1"/>
      <c r="VY126" s="1"/>
      <c r="VZ126" s="1"/>
      <c r="WA126" s="1"/>
      <c r="WB126" s="1"/>
      <c r="WC126" s="1"/>
      <c r="WD126" s="1"/>
      <c r="WE126" s="1"/>
      <c r="WF126" s="1"/>
      <c r="WG126" s="1"/>
      <c r="WH126" s="1"/>
      <c r="WI126" s="1"/>
      <c r="WJ126" s="1"/>
      <c r="WK126" s="1"/>
      <c r="WL126" s="1"/>
      <c r="WM126" s="1"/>
      <c r="WN126" s="1"/>
      <c r="WO126" s="1"/>
      <c r="WP126" s="1"/>
      <c r="WQ126" s="1"/>
      <c r="WR126" s="1"/>
      <c r="WS126" s="1"/>
      <c r="WT126" s="1"/>
      <c r="WU126" s="1"/>
      <c r="WV126" s="1"/>
      <c r="WW126" s="1"/>
      <c r="WX126" s="1"/>
      <c r="WY126" s="1"/>
      <c r="WZ126" s="1"/>
      <c r="XA126" s="1"/>
      <c r="XB126" s="1"/>
      <c r="XC126" s="1"/>
      <c r="XD126" s="1"/>
      <c r="XE126" s="1"/>
      <c r="XF126" s="1"/>
      <c r="XG126" s="1"/>
      <c r="XH126" s="1"/>
      <c r="XI126" s="1"/>
      <c r="XJ126" s="1"/>
      <c r="XK126" s="1"/>
      <c r="XL126" s="1"/>
      <c r="XM126" s="1"/>
      <c r="XN126" s="1"/>
      <c r="XO126" s="1"/>
      <c r="XP126" s="1"/>
      <c r="XQ126" s="1"/>
      <c r="XR126" s="1"/>
      <c r="XS126" s="1"/>
      <c r="XT126" s="1"/>
      <c r="XU126" s="1"/>
      <c r="XV126" s="1"/>
      <c r="XW126" s="1"/>
      <c r="XX126" s="1"/>
      <c r="XY126" s="1"/>
      <c r="XZ126" s="1"/>
      <c r="YA126" s="1"/>
      <c r="YB126" s="1"/>
      <c r="YC126" s="1"/>
      <c r="YD126" s="1"/>
      <c r="YE126" s="1"/>
      <c r="YF126" s="1"/>
      <c r="YG126" s="1"/>
      <c r="YH126" s="1"/>
      <c r="YI126" s="1"/>
      <c r="YJ126" s="1"/>
      <c r="YK126" s="1"/>
      <c r="YL126" s="1"/>
      <c r="YM126" s="1"/>
      <c r="YN126" s="1"/>
      <c r="YO126" s="1"/>
      <c r="YP126" s="1"/>
      <c r="YQ126" s="1"/>
      <c r="YR126" s="1"/>
      <c r="YS126" s="1"/>
      <c r="YT126" s="1"/>
      <c r="YU126" s="1"/>
      <c r="YV126" s="1"/>
      <c r="YW126" s="1"/>
      <c r="YX126" s="1"/>
      <c r="YY126" s="1"/>
      <c r="YZ126" s="1"/>
      <c r="ZA126" s="1"/>
      <c r="ZB126" s="1"/>
      <c r="ZC126" s="1"/>
      <c r="ZD126" s="1"/>
      <c r="ZE126" s="1"/>
      <c r="ZF126" s="1"/>
      <c r="ZG126" s="1"/>
      <c r="ZH126" s="1"/>
      <c r="ZI126" s="1"/>
      <c r="ZJ126" s="1"/>
      <c r="ZK126" s="1"/>
      <c r="ZL126" s="1"/>
      <c r="ZM126" s="1"/>
      <c r="ZN126" s="1"/>
      <c r="ZO126" s="1"/>
      <c r="ZP126" s="1"/>
      <c r="ZQ126" s="1"/>
      <c r="ZR126" s="1"/>
      <c r="ZS126" s="1"/>
      <c r="ZT126" s="1"/>
      <c r="ZU126" s="1"/>
      <c r="ZV126" s="1"/>
      <c r="ZW126" s="1"/>
      <c r="ZX126" s="1"/>
      <c r="ZY126" s="1"/>
      <c r="ZZ126" s="1"/>
      <c r="AAA126" s="1"/>
      <c r="AAB126" s="1"/>
      <c r="AAC126" s="1"/>
      <c r="AAD126" s="1"/>
      <c r="AAE126" s="1"/>
      <c r="AAF126" s="1"/>
      <c r="AAG126" s="1"/>
      <c r="AAH126" s="1"/>
      <c r="AAI126" s="1"/>
      <c r="AAJ126" s="1"/>
      <c r="AAK126" s="1"/>
      <c r="AAL126" s="1"/>
      <c r="AAM126" s="1"/>
      <c r="AAN126" s="1"/>
      <c r="AAO126" s="1"/>
      <c r="AAP126" s="1"/>
      <c r="AAQ126" s="1"/>
      <c r="AAR126" s="1"/>
      <c r="AAS126" s="1"/>
      <c r="AAT126" s="1"/>
      <c r="AAU126" s="1"/>
      <c r="AAV126" s="1"/>
      <c r="AAW126" s="1"/>
      <c r="AAX126" s="1"/>
      <c r="AAY126" s="1"/>
      <c r="AAZ126" s="1"/>
      <c r="ABA126" s="1"/>
      <c r="ABB126" s="1"/>
      <c r="ABC126" s="1"/>
      <c r="ABD126" s="1"/>
      <c r="ABE126" s="1"/>
      <c r="ABF126" s="1"/>
      <c r="ABG126" s="1"/>
      <c r="ABH126" s="1"/>
      <c r="ABI126" s="1"/>
      <c r="ABJ126" s="1"/>
      <c r="ABK126" s="1"/>
      <c r="ABL126" s="1"/>
      <c r="ABM126" s="1"/>
      <c r="ABN126" s="1"/>
      <c r="ABO126" s="1"/>
      <c r="ABP126" s="1"/>
      <c r="ABQ126" s="1"/>
      <c r="ABR126" s="1"/>
      <c r="ABS126" s="1"/>
      <c r="ABT126" s="1"/>
      <c r="ABU126" s="1"/>
      <c r="ABV126" s="1"/>
      <c r="ABW126" s="1"/>
      <c r="ABX126" s="1"/>
      <c r="ABY126" s="1"/>
      <c r="ABZ126" s="1"/>
      <c r="ACA126" s="1"/>
      <c r="ACB126" s="1"/>
      <c r="ACC126" s="1"/>
      <c r="ACD126" s="1"/>
      <c r="ACE126" s="1"/>
      <c r="ACF126" s="1"/>
      <c r="ACG126" s="1"/>
      <c r="ACH126" s="1"/>
      <c r="ACI126" s="1"/>
      <c r="ACJ126" s="1"/>
      <c r="ACK126" s="1"/>
      <c r="ACL126" s="1"/>
      <c r="ACM126" s="1"/>
      <c r="ACN126" s="1"/>
      <c r="ACO126" s="1"/>
      <c r="ACP126" s="1"/>
      <c r="ACQ126" s="1"/>
      <c r="ACR126" s="1"/>
      <c r="ACS126" s="1"/>
      <c r="ACT126" s="1"/>
      <c r="ACU126" s="1"/>
      <c r="ACV126" s="1"/>
      <c r="ACW126" s="1"/>
      <c r="ACX126" s="1"/>
      <c r="ACY126" s="1"/>
      <c r="ACZ126" s="1"/>
      <c r="ADA126" s="1"/>
      <c r="ADB126" s="1"/>
      <c r="ADC126" s="1"/>
      <c r="ADD126" s="1"/>
      <c r="ADE126" s="1"/>
      <c r="ADF126" s="1"/>
      <c r="ADG126" s="1"/>
      <c r="ADH126" s="1"/>
      <c r="ADI126" s="1"/>
      <c r="ADJ126" s="1"/>
      <c r="ADK126" s="1"/>
      <c r="ADL126" s="1"/>
      <c r="ADM126" s="1"/>
      <c r="ADN126" s="1"/>
      <c r="ADO126" s="1"/>
      <c r="ADP126" s="1"/>
      <c r="ADQ126" s="1"/>
      <c r="ADR126" s="1"/>
      <c r="ADS126" s="1"/>
      <c r="ADT126" s="1"/>
      <c r="ADU126" s="1"/>
      <c r="ADV126" s="1"/>
      <c r="ADW126" s="1"/>
      <c r="ADX126" s="1"/>
      <c r="ADY126" s="1"/>
      <c r="ADZ126" s="1"/>
      <c r="AEA126" s="1"/>
      <c r="AEB126" s="1"/>
      <c r="AEC126" s="1"/>
      <c r="AED126" s="1"/>
      <c r="AEE126" s="1"/>
      <c r="AEF126" s="1"/>
      <c r="AEG126" s="1"/>
      <c r="AEH126" s="1"/>
      <c r="AEI126" s="1"/>
      <c r="AEJ126" s="1"/>
      <c r="AEK126" s="1"/>
      <c r="AEL126" s="1"/>
      <c r="AEM126" s="1"/>
      <c r="AEN126" s="1"/>
      <c r="AEO126" s="1"/>
      <c r="AEP126" s="1"/>
      <c r="AEQ126" s="1"/>
      <c r="AER126" s="1"/>
      <c r="AES126" s="1"/>
      <c r="AET126" s="1"/>
      <c r="AEU126" s="1"/>
      <c r="AEV126" s="1"/>
      <c r="AEW126" s="1"/>
      <c r="AEX126" s="1"/>
      <c r="AEY126" s="1"/>
      <c r="AEZ126" s="1"/>
      <c r="AFA126" s="1"/>
      <c r="AFB126" s="1"/>
      <c r="AFC126" s="1"/>
      <c r="AFD126" s="1"/>
      <c r="AFE126" s="1"/>
      <c r="AFF126" s="1"/>
      <c r="AFG126" s="1"/>
      <c r="AFH126" s="1"/>
      <c r="AFI126" s="1"/>
      <c r="AFJ126" s="1"/>
      <c r="AFK126" s="1"/>
      <c r="AFL126" s="1"/>
      <c r="AFM126" s="1"/>
      <c r="AFN126" s="1"/>
      <c r="AFO126" s="1"/>
      <c r="AFP126" s="1"/>
      <c r="AFQ126" s="1"/>
      <c r="AFR126" s="1"/>
      <c r="AFS126" s="1"/>
      <c r="AFT126" s="1"/>
      <c r="AFU126" s="1"/>
      <c r="AFV126" s="1"/>
      <c r="AFW126" s="1"/>
      <c r="AFX126" s="1"/>
      <c r="AFY126" s="1"/>
      <c r="AFZ126" s="1"/>
      <c r="AGA126" s="1"/>
      <c r="AGB126" s="1"/>
      <c r="AGC126" s="1"/>
      <c r="AGD126" s="1"/>
      <c r="AGE126" s="1"/>
      <c r="AGF126" s="1"/>
      <c r="AGG126" s="1"/>
      <c r="AGH126" s="1"/>
      <c r="AGI126" s="1"/>
      <c r="AGJ126" s="1"/>
      <c r="AGK126" s="1"/>
      <c r="AGL126" s="1"/>
      <c r="AGM126" s="1"/>
      <c r="AGN126" s="1"/>
      <c r="AGO126" s="1"/>
      <c r="AGP126" s="1"/>
      <c r="AGQ126" s="1"/>
      <c r="AGR126" s="1"/>
      <c r="AGS126" s="1"/>
      <c r="AGT126" s="1"/>
      <c r="AGU126" s="1"/>
      <c r="AGV126" s="1"/>
      <c r="AGW126" s="1"/>
      <c r="AGX126" s="1"/>
      <c r="AGY126" s="1"/>
      <c r="AGZ126" s="1"/>
      <c r="AHA126" s="1"/>
      <c r="AHB126" s="1"/>
      <c r="AHC126" s="1"/>
      <c r="AHD126" s="1"/>
      <c r="AHE126" s="1"/>
      <c r="AHF126" s="1"/>
      <c r="AHG126" s="1"/>
      <c r="AHH126" s="1"/>
      <c r="AHI126" s="1"/>
      <c r="AHJ126" s="1"/>
      <c r="AHK126" s="1"/>
      <c r="AHL126" s="1"/>
      <c r="AHM126" s="1"/>
      <c r="AHN126" s="1"/>
      <c r="AHO126" s="1"/>
      <c r="AHP126" s="1"/>
      <c r="AHQ126" s="1"/>
      <c r="AHR126" s="1"/>
      <c r="AHS126" s="1"/>
      <c r="AHT126" s="1"/>
      <c r="AHU126" s="1"/>
      <c r="AHV126" s="1"/>
      <c r="AHW126" s="1"/>
      <c r="AHX126" s="1"/>
      <c r="AHY126" s="1"/>
      <c r="AHZ126" s="1"/>
      <c r="AIA126" s="1"/>
      <c r="AIB126" s="1"/>
      <c r="AIC126" s="1"/>
      <c r="AID126" s="1"/>
      <c r="AIE126" s="1"/>
      <c r="AIF126" s="1"/>
      <c r="AIG126" s="1"/>
      <c r="AIH126" s="1"/>
      <c r="AII126" s="1"/>
      <c r="AIJ126" s="1"/>
      <c r="AIK126" s="1"/>
      <c r="AIL126" s="1"/>
      <c r="AIM126" s="1"/>
      <c r="AIN126" s="1"/>
      <c r="AIO126" s="1"/>
      <c r="AIP126" s="1"/>
      <c r="AIQ126" s="1"/>
      <c r="AIR126" s="1"/>
      <c r="AIS126" s="1"/>
      <c r="AIT126" s="1"/>
      <c r="AIU126" s="1"/>
      <c r="AIV126" s="1"/>
      <c r="AIW126" s="1"/>
      <c r="AIX126" s="1"/>
      <c r="AIY126" s="1"/>
      <c r="AIZ126" s="1"/>
      <c r="AJA126" s="1"/>
      <c r="AJB126" s="1"/>
      <c r="AJC126" s="1"/>
      <c r="AJD126" s="1"/>
      <c r="AJE126" s="1"/>
      <c r="AJF126" s="1"/>
      <c r="AJG126" s="1"/>
      <c r="AJH126" s="1"/>
      <c r="AJI126" s="1"/>
      <c r="AJJ126" s="1"/>
      <c r="AJK126" s="1"/>
      <c r="AJL126" s="1"/>
      <c r="AJM126" s="1"/>
      <c r="AJN126" s="1"/>
      <c r="AJO126" s="1"/>
      <c r="AJP126" s="1"/>
      <c r="AJQ126" s="1"/>
      <c r="AJR126" s="1"/>
      <c r="AJS126" s="1"/>
      <c r="AJT126" s="1"/>
      <c r="AJU126" s="1"/>
      <c r="AJV126" s="1"/>
      <c r="AJW126" s="1"/>
      <c r="AJX126" s="1"/>
      <c r="AJY126" s="1"/>
      <c r="AJZ126" s="1"/>
      <c r="AKA126" s="1"/>
      <c r="AKB126" s="1"/>
      <c r="AKC126" s="1"/>
      <c r="AKD126" s="1"/>
      <c r="AKE126" s="1"/>
      <c r="AKF126" s="1"/>
      <c r="AKG126" s="1"/>
      <c r="AKH126" s="1"/>
      <c r="AKI126" s="1"/>
      <c r="AKJ126" s="1"/>
      <c r="AKK126" s="1"/>
      <c r="AKL126" s="1"/>
      <c r="AKM126" s="1"/>
      <c r="AKN126" s="1"/>
      <c r="AKO126" s="1"/>
      <c r="AKP126" s="1"/>
      <c r="AKQ126" s="1"/>
      <c r="AKR126" s="1"/>
      <c r="AKS126" s="1"/>
      <c r="AKT126" s="1"/>
      <c r="AKU126" s="1"/>
      <c r="AKV126" s="1"/>
      <c r="AKW126" s="1"/>
      <c r="AKX126" s="1"/>
      <c r="AKY126" s="1"/>
      <c r="AKZ126" s="1"/>
      <c r="ALA126" s="1"/>
      <c r="ALB126" s="1"/>
      <c r="ALC126" s="1"/>
      <c r="ALD126" s="1"/>
      <c r="ALE126" s="1"/>
      <c r="ALF126" s="1"/>
      <c r="ALG126" s="1"/>
      <c r="ALH126" s="1"/>
      <c r="ALI126" s="1"/>
      <c r="ALJ126" s="1"/>
      <c r="ALK126" s="1"/>
      <c r="ALL126" s="1"/>
      <c r="ALM126" s="1"/>
      <c r="ALN126" s="1"/>
      <c r="ALO126" s="1"/>
      <c r="ALP126" s="1"/>
      <c r="ALQ126" s="1"/>
      <c r="ALR126" s="1"/>
      <c r="ALS126" s="1"/>
      <c r="ALT126" s="1"/>
      <c r="ALU126" s="1"/>
      <c r="ALV126" s="1"/>
      <c r="ALW126" s="1"/>
      <c r="ALX126" s="1"/>
      <c r="ALY126" s="1"/>
      <c r="ALZ126" s="1"/>
      <c r="AMA126" s="1"/>
      <c r="AMB126" s="1"/>
      <c r="AMC126" s="1"/>
      <c r="AMD126" s="1"/>
      <c r="AME126" s="1"/>
      <c r="AMF126" s="1"/>
      <c r="AMG126" s="1"/>
      <c r="AMH126" s="1"/>
      <c r="AMI126" s="1"/>
      <c r="AMJ126" s="1"/>
      <c r="AMK126" s="1"/>
      <c r="AML126" s="1"/>
      <c r="AMM126" s="1"/>
      <c r="AMN126" s="1"/>
    </row>
    <row r="127" spans="1:1029" s="2" customFormat="1" x14ac:dyDescent="0.2">
      <c r="A127" s="3" t="str">
        <f t="shared" si="555"/>
        <v>oprd_human_4RWD</v>
      </c>
      <c r="B127" s="1" t="s">
        <v>335</v>
      </c>
      <c r="C127" s="1" t="s">
        <v>1344</v>
      </c>
      <c r="D127" s="3" t="str">
        <f>IFERROR(MID(VLOOKUP($B127,Seqs!$A:$B,2,0),E127,1),"")</f>
        <v>A</v>
      </c>
      <c r="E127" s="3">
        <v>43</v>
      </c>
      <c r="F127" s="3" t="str">
        <f>IFERROR(MID(VLOOKUP($B127,Seqs!$A:$B,2,0),G127,1),"")</f>
        <v>Y</v>
      </c>
      <c r="G127" s="3">
        <v>77</v>
      </c>
      <c r="H127" s="3" t="str">
        <f>IFERROR(MID(VLOOKUP($B127,Seqs!$A:$B,2,0),I127,1),"")</f>
        <v>T</v>
      </c>
      <c r="I127" s="23">
        <v>78</v>
      </c>
      <c r="J127" s="3" t="str">
        <f>IFERROR(MID(VLOOKUP($B127,Seqs!$A:$B,2,0),K127,1),"")</f>
        <v>K</v>
      </c>
      <c r="K127" s="23">
        <v>81</v>
      </c>
      <c r="L127" s="3" t="str">
        <f>IFERROR(MID(VLOOKUP($B127,Seqs!$A:$B,2,0),M127,1),"")</f>
        <v>T</v>
      </c>
      <c r="M127" s="3">
        <v>82</v>
      </c>
      <c r="N127" s="3" t="str">
        <f>IFERROR(MID(VLOOKUP($B127,Seqs!$A:$B,2,0),O127,1),"")</f>
        <v>M</v>
      </c>
      <c r="O127" s="3">
        <v>111</v>
      </c>
      <c r="P127" s="3" t="str">
        <f>IFERROR(MID(VLOOKUP($B127,Seqs!$A:$B,2,0),Q127,1),"")</f>
        <v>T</v>
      </c>
      <c r="Q127" s="3">
        <v>113</v>
      </c>
      <c r="R127" s="3" t="str">
        <f>IFERROR(MID(VLOOKUP($B127,Seqs!$A:$B,2,0),S127,1),"")</f>
        <v>F</v>
      </c>
      <c r="S127" s="3">
        <v>116</v>
      </c>
      <c r="T127" s="3" t="str">
        <f>IFERROR(MID(VLOOKUP($B127,Seqs!$A:$B,2,0),U127,1),"")</f>
        <v>G</v>
      </c>
      <c r="U127" s="3">
        <v>117</v>
      </c>
      <c r="V127" s="3" t="str">
        <f>IFERROR(MID(VLOOKUP($B127,Seqs!$A:$B,2,0),W127,1),"")</f>
        <v>H</v>
      </c>
      <c r="W127" s="3">
        <v>152</v>
      </c>
      <c r="X127" s="3" t="str">
        <f>IFERROR(MID(VLOOKUP($B127,Seqs!$A:$B,2,0),Y127,1),"")</f>
        <v>P</v>
      </c>
      <c r="Y127" s="3">
        <v>153</v>
      </c>
      <c r="Z127" s="3" t="str">
        <f>IFERROR(MID(VLOOKUP($B127,Seqs!$A:$B,2,0),AA127,1),"")</f>
        <v>R</v>
      </c>
      <c r="AA127" s="3">
        <v>160</v>
      </c>
      <c r="AB127" s="3" t="str">
        <f>IFERROR(MID(VLOOKUP($B127,Seqs!$A:$B,2,0),AC127,1),"")</f>
        <v>T</v>
      </c>
      <c r="AC127" s="9">
        <v>161</v>
      </c>
      <c r="AD127" s="3" t="str">
        <f>IFERROR(MID(VLOOKUP($B127,Seqs!$A:$B,2,0),AE127,1),"")</f>
        <v>A</v>
      </c>
      <c r="AE127" s="3">
        <v>187</v>
      </c>
      <c r="AF127" s="3" t="str">
        <f>IFERROR(MID(VLOOKUP($B127,Seqs!$A:$B,2,0),AG127,1),"")</f>
        <v>C</v>
      </c>
      <c r="AG127" s="3">
        <v>198</v>
      </c>
      <c r="AH127" s="3" t="str">
        <f>IFERROR(MID(VLOOKUP($B127,Seqs!$A:$B,2,0),AI127,1),"")</f>
        <v>L</v>
      </c>
      <c r="AI127" s="3">
        <v>200</v>
      </c>
      <c r="AJ127" s="3" t="str">
        <f>IFERROR(MID(VLOOKUP($B127,Seqs!$A:$B,2,0),AK127,1),"")</f>
        <v>S</v>
      </c>
      <c r="AK127" s="3">
        <v>206</v>
      </c>
      <c r="AL127" s="3" t="str">
        <f>IFERROR(MID(VLOOKUP($B127,Seqs!$A:$B,2,0),AM127,1),"")</f>
        <v>V</v>
      </c>
      <c r="AM127" s="3">
        <v>243</v>
      </c>
      <c r="AN127" s="3" t="str">
        <f>IFERROR(MID(VLOOKUP($B127,Seqs!$A:$B,2,0),AO127,1),"")</f>
        <v>S</v>
      </c>
      <c r="AO127" s="3">
        <v>249</v>
      </c>
      <c r="AP127" s="3" t="str">
        <f>IFERROR(MID(VLOOKUP($B127,Seqs!$A:$B,2,0),AQ127,1),"")</f>
        <v>V</v>
      </c>
      <c r="AQ127" s="3">
        <v>287</v>
      </c>
      <c r="AR127" s="3" t="str">
        <f>IFERROR(MID(VLOOKUP($B127,Seqs!$A:$B,2,0),AS127,1),"")</f>
        <v>D</v>
      </c>
      <c r="AS127" s="3">
        <v>293</v>
      </c>
      <c r="AT127" s="3" t="str">
        <f>IFERROR(MID(VLOOKUP($B127,Seqs!$A:$B,2,0),AU127,1),"")</f>
        <v>L</v>
      </c>
      <c r="AU127" s="3">
        <v>321</v>
      </c>
      <c r="AV127" s="3" t="str">
        <f>IFERROR(MID(VLOOKUP($B127,Seqs!$A:$B,2,0),AW127,1),"")</f>
        <v>D</v>
      </c>
      <c r="AW127" s="3">
        <v>322</v>
      </c>
      <c r="AX127" s="3" t="str">
        <f>IFERROR(MID(VLOOKUP($B127,Seqs!$A:$B,2,0),AY127,1),"")</f>
        <v>C</v>
      </c>
      <c r="AY127" s="3">
        <v>333</v>
      </c>
      <c r="AZ127" s="79" t="str">
        <f>VLOOKUP(B127,Classification!A:D,2,0)</f>
        <v>A</v>
      </c>
      <c r="BA127" s="97" t="str">
        <f>VLOOKUP(B127,Classification!A:D,4,0)</f>
        <v>Opioid</v>
      </c>
      <c r="BB127" s="27" t="b">
        <f t="shared" si="556"/>
        <v>1</v>
      </c>
      <c r="BC127" s="23">
        <f t="shared" si="473"/>
        <v>265</v>
      </c>
      <c r="BD127" s="16" t="s">
        <v>23</v>
      </c>
      <c r="BE127" s="3" t="s">
        <v>1381</v>
      </c>
      <c r="BF127" s="50" t="s">
        <v>1384</v>
      </c>
      <c r="BG127" s="50" t="s">
        <v>1384</v>
      </c>
      <c r="BH127" s="3"/>
      <c r="BI127" s="72" t="s">
        <v>1293</v>
      </c>
      <c r="BJ127" s="58" t="s">
        <v>1293</v>
      </c>
      <c r="BK127" s="58" t="s">
        <v>1293</v>
      </c>
      <c r="BL127" s="58" t="s">
        <v>1293</v>
      </c>
      <c r="BM127" s="58" t="s">
        <v>1293</v>
      </c>
      <c r="BN127" s="58" t="s">
        <v>1293</v>
      </c>
      <c r="BO127" s="58" t="s">
        <v>1293</v>
      </c>
      <c r="BP127" s="58" t="s">
        <v>1293</v>
      </c>
      <c r="BQ127" s="58" t="s">
        <v>1293</v>
      </c>
      <c r="BR127" s="58" t="s">
        <v>1293</v>
      </c>
      <c r="BS127" s="58" t="s">
        <v>1293</v>
      </c>
      <c r="BT127" s="58" t="s">
        <v>1293</v>
      </c>
      <c r="BU127" s="72">
        <f t="shared" si="474"/>
        <v>43</v>
      </c>
      <c r="BV127" s="73">
        <f t="shared" si="475"/>
        <v>78</v>
      </c>
      <c r="BW127" s="74">
        <f t="shared" si="476"/>
        <v>82</v>
      </c>
      <c r="BX127" s="73">
        <f t="shared" si="477"/>
        <v>113</v>
      </c>
      <c r="BY127" s="74">
        <f t="shared" si="478"/>
        <v>117</v>
      </c>
      <c r="BZ127" s="73">
        <f t="shared" si="479"/>
        <v>153</v>
      </c>
      <c r="CA127" s="74">
        <f t="shared" si="480"/>
        <v>161</v>
      </c>
      <c r="CB127" s="73">
        <f t="shared" si="481"/>
        <v>198</v>
      </c>
      <c r="CC127" s="74">
        <f t="shared" si="482"/>
        <v>206</v>
      </c>
      <c r="CD127" s="73">
        <f t="shared" si="483"/>
        <v>249</v>
      </c>
      <c r="CE127" s="74">
        <f t="shared" si="484"/>
        <v>293</v>
      </c>
      <c r="CF127" s="73">
        <f t="shared" si="485"/>
        <v>322</v>
      </c>
      <c r="CG127" s="72">
        <f t="shared" si="486"/>
        <v>77</v>
      </c>
      <c r="CH127" s="73">
        <f t="shared" si="487"/>
        <v>81</v>
      </c>
      <c r="CI127" s="74">
        <f t="shared" si="488"/>
        <v>111</v>
      </c>
      <c r="CJ127" s="74">
        <f t="shared" si="489"/>
        <v>116</v>
      </c>
      <c r="CK127" s="74">
        <f t="shared" si="490"/>
        <v>152</v>
      </c>
      <c r="CL127" s="74">
        <f t="shared" si="491"/>
        <v>160</v>
      </c>
      <c r="CM127" s="74">
        <f t="shared" si="492"/>
        <v>187</v>
      </c>
      <c r="CN127" s="74">
        <f t="shared" si="493"/>
        <v>200</v>
      </c>
      <c r="CO127" s="74">
        <f t="shared" si="494"/>
        <v>243</v>
      </c>
      <c r="CP127" s="74">
        <f t="shared" si="495"/>
        <v>287</v>
      </c>
      <c r="CQ127" s="74">
        <f t="shared" si="496"/>
        <v>321</v>
      </c>
      <c r="CR127" s="74">
        <f t="shared" si="497"/>
        <v>333</v>
      </c>
      <c r="CS127" s="23">
        <f t="shared" si="498"/>
        <v>1</v>
      </c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/>
      <c r="NK127" s="1"/>
      <c r="NL127" s="1"/>
      <c r="NM127" s="1"/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  <c r="OA127" s="1"/>
      <c r="OB127" s="1"/>
      <c r="OC127" s="1"/>
      <c r="OD127" s="1"/>
      <c r="OE127" s="1"/>
      <c r="OF127" s="1"/>
      <c r="OG127" s="1"/>
      <c r="OH127" s="1"/>
      <c r="OI127" s="1"/>
      <c r="OJ127" s="1"/>
      <c r="OK127" s="1"/>
      <c r="OL127" s="1"/>
      <c r="OM127" s="1"/>
      <c r="ON127" s="1"/>
      <c r="OO127" s="1"/>
      <c r="OP127" s="1"/>
      <c r="OQ127" s="1"/>
      <c r="OR127" s="1"/>
      <c r="OS127" s="1"/>
      <c r="OT127" s="1"/>
      <c r="OU127" s="1"/>
      <c r="OV127" s="1"/>
      <c r="OW127" s="1"/>
      <c r="OX127" s="1"/>
      <c r="OY127" s="1"/>
      <c r="OZ127" s="1"/>
      <c r="PA127" s="1"/>
      <c r="PB127" s="1"/>
      <c r="PC127" s="1"/>
      <c r="PD127" s="1"/>
      <c r="PE127" s="1"/>
      <c r="PF127" s="1"/>
      <c r="PG127" s="1"/>
      <c r="PH127" s="1"/>
      <c r="PI127" s="1"/>
      <c r="PJ127" s="1"/>
      <c r="PK127" s="1"/>
      <c r="PL127" s="1"/>
      <c r="PM127" s="1"/>
      <c r="PN127" s="1"/>
      <c r="PO127" s="1"/>
      <c r="PP127" s="1"/>
      <c r="PQ127" s="1"/>
      <c r="PR127" s="1"/>
      <c r="PS127" s="1"/>
      <c r="PT127" s="1"/>
      <c r="PU127" s="1"/>
      <c r="PV127" s="1"/>
      <c r="PW127" s="1"/>
      <c r="PX127" s="1"/>
      <c r="PY127" s="1"/>
      <c r="PZ127" s="1"/>
      <c r="QA127" s="1"/>
      <c r="QB127" s="1"/>
      <c r="QC127" s="1"/>
      <c r="QD127" s="1"/>
      <c r="QE127" s="1"/>
      <c r="QF127" s="1"/>
      <c r="QG127" s="1"/>
      <c r="QH127" s="1"/>
      <c r="QI127" s="1"/>
      <c r="QJ127" s="1"/>
      <c r="QK127" s="1"/>
      <c r="QL127" s="1"/>
      <c r="QM127" s="1"/>
      <c r="QN127" s="1"/>
      <c r="QO127" s="1"/>
      <c r="QP127" s="1"/>
      <c r="QQ127" s="1"/>
      <c r="QR127" s="1"/>
      <c r="QS127" s="1"/>
      <c r="QT127" s="1"/>
      <c r="QU127" s="1"/>
      <c r="QV127" s="1"/>
      <c r="QW127" s="1"/>
      <c r="QX127" s="1"/>
      <c r="QY127" s="1"/>
      <c r="QZ127" s="1"/>
      <c r="RA127" s="1"/>
      <c r="RB127" s="1"/>
      <c r="RC127" s="1"/>
      <c r="RD127" s="1"/>
      <c r="RE127" s="1"/>
      <c r="RF127" s="1"/>
      <c r="RG127" s="1"/>
      <c r="RH127" s="1"/>
      <c r="RI127" s="1"/>
      <c r="RJ127" s="1"/>
      <c r="RK127" s="1"/>
      <c r="RL127" s="1"/>
      <c r="RM127" s="1"/>
      <c r="RN127" s="1"/>
      <c r="RO127" s="1"/>
      <c r="RP127" s="1"/>
      <c r="RQ127" s="1"/>
      <c r="RR127" s="1"/>
      <c r="RS127" s="1"/>
      <c r="RT127" s="1"/>
      <c r="RU127" s="1"/>
      <c r="RV127" s="1"/>
      <c r="RW127" s="1"/>
      <c r="RX127" s="1"/>
      <c r="RY127" s="1"/>
      <c r="RZ127" s="1"/>
      <c r="SA127" s="1"/>
      <c r="SB127" s="1"/>
      <c r="SC127" s="1"/>
      <c r="SD127" s="1"/>
      <c r="SE127" s="1"/>
      <c r="SF127" s="1"/>
      <c r="SG127" s="1"/>
      <c r="SH127" s="1"/>
      <c r="SI127" s="1"/>
      <c r="SJ127" s="1"/>
      <c r="SK127" s="1"/>
      <c r="SL127" s="1"/>
      <c r="SM127" s="1"/>
      <c r="SN127" s="1"/>
      <c r="SO127" s="1"/>
      <c r="SP127" s="1"/>
      <c r="SQ127" s="1"/>
      <c r="SR127" s="1"/>
      <c r="SS127" s="1"/>
      <c r="ST127" s="1"/>
      <c r="SU127" s="1"/>
      <c r="SV127" s="1"/>
      <c r="SW127" s="1"/>
      <c r="SX127" s="1"/>
      <c r="SY127" s="1"/>
      <c r="SZ127" s="1"/>
      <c r="TA127" s="1"/>
      <c r="TB127" s="1"/>
      <c r="TC127" s="1"/>
      <c r="TD127" s="1"/>
      <c r="TE127" s="1"/>
      <c r="TF127" s="1"/>
      <c r="TG127" s="1"/>
      <c r="TH127" s="1"/>
      <c r="TI127" s="1"/>
      <c r="TJ127" s="1"/>
      <c r="TK127" s="1"/>
      <c r="TL127" s="1"/>
      <c r="TM127" s="1"/>
      <c r="TN127" s="1"/>
      <c r="TO127" s="1"/>
      <c r="TP127" s="1"/>
      <c r="TQ127" s="1"/>
      <c r="TR127" s="1"/>
      <c r="TS127" s="1"/>
      <c r="TT127" s="1"/>
      <c r="TU127" s="1"/>
      <c r="TV127" s="1"/>
      <c r="TW127" s="1"/>
      <c r="TX127" s="1"/>
      <c r="TY127" s="1"/>
      <c r="TZ127" s="1"/>
      <c r="UA127" s="1"/>
      <c r="UB127" s="1"/>
      <c r="UC127" s="1"/>
      <c r="UD127" s="1"/>
      <c r="UE127" s="1"/>
      <c r="UF127" s="1"/>
      <c r="UG127" s="1"/>
      <c r="UH127" s="1"/>
      <c r="UI127" s="1"/>
      <c r="UJ127" s="1"/>
      <c r="UK127" s="1"/>
      <c r="UL127" s="1"/>
      <c r="UM127" s="1"/>
      <c r="UN127" s="1"/>
      <c r="UO127" s="1"/>
      <c r="UP127" s="1"/>
      <c r="UQ127" s="1"/>
      <c r="UR127" s="1"/>
      <c r="US127" s="1"/>
      <c r="UT127" s="1"/>
      <c r="UU127" s="1"/>
      <c r="UV127" s="1"/>
      <c r="UW127" s="1"/>
      <c r="UX127" s="1"/>
      <c r="UY127" s="1"/>
      <c r="UZ127" s="1"/>
      <c r="VA127" s="1"/>
      <c r="VB127" s="1"/>
      <c r="VC127" s="1"/>
      <c r="VD127" s="1"/>
      <c r="VE127" s="1"/>
      <c r="VF127" s="1"/>
      <c r="VG127" s="1"/>
      <c r="VH127" s="1"/>
      <c r="VI127" s="1"/>
      <c r="VJ127" s="1"/>
      <c r="VK127" s="1"/>
      <c r="VL127" s="1"/>
      <c r="VM127" s="1"/>
      <c r="VN127" s="1"/>
      <c r="VO127" s="1"/>
      <c r="VP127" s="1"/>
      <c r="VQ127" s="1"/>
      <c r="VR127" s="1"/>
      <c r="VS127" s="1"/>
      <c r="VT127" s="1"/>
      <c r="VU127" s="1"/>
      <c r="VV127" s="1"/>
      <c r="VW127" s="1"/>
      <c r="VX127" s="1"/>
      <c r="VY127" s="1"/>
      <c r="VZ127" s="1"/>
      <c r="WA127" s="1"/>
      <c r="WB127" s="1"/>
      <c r="WC127" s="1"/>
      <c r="WD127" s="1"/>
      <c r="WE127" s="1"/>
      <c r="WF127" s="1"/>
      <c r="WG127" s="1"/>
      <c r="WH127" s="1"/>
      <c r="WI127" s="1"/>
      <c r="WJ127" s="1"/>
      <c r="WK127" s="1"/>
      <c r="WL127" s="1"/>
      <c r="WM127" s="1"/>
      <c r="WN127" s="1"/>
      <c r="WO127" s="1"/>
      <c r="WP127" s="1"/>
      <c r="WQ127" s="1"/>
      <c r="WR127" s="1"/>
      <c r="WS127" s="1"/>
      <c r="WT127" s="1"/>
      <c r="WU127" s="1"/>
      <c r="WV127" s="1"/>
      <c r="WW127" s="1"/>
      <c r="WX127" s="1"/>
      <c r="WY127" s="1"/>
      <c r="WZ127" s="1"/>
      <c r="XA127" s="1"/>
      <c r="XB127" s="1"/>
      <c r="XC127" s="1"/>
      <c r="XD127" s="1"/>
      <c r="XE127" s="1"/>
      <c r="XF127" s="1"/>
      <c r="XG127" s="1"/>
      <c r="XH127" s="1"/>
      <c r="XI127" s="1"/>
      <c r="XJ127" s="1"/>
      <c r="XK127" s="1"/>
      <c r="XL127" s="1"/>
      <c r="XM127" s="1"/>
      <c r="XN127" s="1"/>
      <c r="XO127" s="1"/>
      <c r="XP127" s="1"/>
      <c r="XQ127" s="1"/>
      <c r="XR127" s="1"/>
      <c r="XS127" s="1"/>
      <c r="XT127" s="1"/>
      <c r="XU127" s="1"/>
      <c r="XV127" s="1"/>
      <c r="XW127" s="1"/>
      <c r="XX127" s="1"/>
      <c r="XY127" s="1"/>
      <c r="XZ127" s="1"/>
      <c r="YA127" s="1"/>
      <c r="YB127" s="1"/>
      <c r="YC127" s="1"/>
      <c r="YD127" s="1"/>
      <c r="YE127" s="1"/>
      <c r="YF127" s="1"/>
      <c r="YG127" s="1"/>
      <c r="YH127" s="1"/>
      <c r="YI127" s="1"/>
      <c r="YJ127" s="1"/>
      <c r="YK127" s="1"/>
      <c r="YL127" s="1"/>
      <c r="YM127" s="1"/>
      <c r="YN127" s="1"/>
      <c r="YO127" s="1"/>
      <c r="YP127" s="1"/>
      <c r="YQ127" s="1"/>
      <c r="YR127" s="1"/>
      <c r="YS127" s="1"/>
      <c r="YT127" s="1"/>
      <c r="YU127" s="1"/>
      <c r="YV127" s="1"/>
      <c r="YW127" s="1"/>
      <c r="YX127" s="1"/>
      <c r="YY127" s="1"/>
      <c r="YZ127" s="1"/>
      <c r="ZA127" s="1"/>
      <c r="ZB127" s="1"/>
      <c r="ZC127" s="1"/>
      <c r="ZD127" s="1"/>
      <c r="ZE127" s="1"/>
      <c r="ZF127" s="1"/>
      <c r="ZG127" s="1"/>
      <c r="ZH127" s="1"/>
      <c r="ZI127" s="1"/>
      <c r="ZJ127" s="1"/>
      <c r="ZK127" s="1"/>
      <c r="ZL127" s="1"/>
      <c r="ZM127" s="1"/>
      <c r="ZN127" s="1"/>
      <c r="ZO127" s="1"/>
      <c r="ZP127" s="1"/>
      <c r="ZQ127" s="1"/>
      <c r="ZR127" s="1"/>
      <c r="ZS127" s="1"/>
      <c r="ZT127" s="1"/>
      <c r="ZU127" s="1"/>
      <c r="ZV127" s="1"/>
      <c r="ZW127" s="1"/>
      <c r="ZX127" s="1"/>
      <c r="ZY127" s="1"/>
      <c r="ZZ127" s="1"/>
      <c r="AAA127" s="1"/>
      <c r="AAB127" s="1"/>
      <c r="AAC127" s="1"/>
      <c r="AAD127" s="1"/>
      <c r="AAE127" s="1"/>
      <c r="AAF127" s="1"/>
      <c r="AAG127" s="1"/>
      <c r="AAH127" s="1"/>
      <c r="AAI127" s="1"/>
      <c r="AAJ127" s="1"/>
      <c r="AAK127" s="1"/>
      <c r="AAL127" s="1"/>
      <c r="AAM127" s="1"/>
      <c r="AAN127" s="1"/>
      <c r="AAO127" s="1"/>
      <c r="AAP127" s="1"/>
      <c r="AAQ127" s="1"/>
      <c r="AAR127" s="1"/>
      <c r="AAS127" s="1"/>
      <c r="AAT127" s="1"/>
      <c r="AAU127" s="1"/>
      <c r="AAV127" s="1"/>
      <c r="AAW127" s="1"/>
      <c r="AAX127" s="1"/>
      <c r="AAY127" s="1"/>
      <c r="AAZ127" s="1"/>
      <c r="ABA127" s="1"/>
      <c r="ABB127" s="1"/>
      <c r="ABC127" s="1"/>
      <c r="ABD127" s="1"/>
      <c r="ABE127" s="1"/>
      <c r="ABF127" s="1"/>
      <c r="ABG127" s="1"/>
      <c r="ABH127" s="1"/>
      <c r="ABI127" s="1"/>
      <c r="ABJ127" s="1"/>
      <c r="ABK127" s="1"/>
      <c r="ABL127" s="1"/>
      <c r="ABM127" s="1"/>
      <c r="ABN127" s="1"/>
      <c r="ABO127" s="1"/>
      <c r="ABP127" s="1"/>
      <c r="ABQ127" s="1"/>
      <c r="ABR127" s="1"/>
      <c r="ABS127" s="1"/>
      <c r="ABT127" s="1"/>
      <c r="ABU127" s="1"/>
      <c r="ABV127" s="1"/>
      <c r="ABW127" s="1"/>
      <c r="ABX127" s="1"/>
      <c r="ABY127" s="1"/>
      <c r="ABZ127" s="1"/>
      <c r="ACA127" s="1"/>
      <c r="ACB127" s="1"/>
      <c r="ACC127" s="1"/>
      <c r="ACD127" s="1"/>
      <c r="ACE127" s="1"/>
      <c r="ACF127" s="1"/>
      <c r="ACG127" s="1"/>
      <c r="ACH127" s="1"/>
      <c r="ACI127" s="1"/>
      <c r="ACJ127" s="1"/>
      <c r="ACK127" s="1"/>
      <c r="ACL127" s="1"/>
      <c r="ACM127" s="1"/>
      <c r="ACN127" s="1"/>
      <c r="ACO127" s="1"/>
      <c r="ACP127" s="1"/>
      <c r="ACQ127" s="1"/>
      <c r="ACR127" s="1"/>
      <c r="ACS127" s="1"/>
      <c r="ACT127" s="1"/>
      <c r="ACU127" s="1"/>
      <c r="ACV127" s="1"/>
      <c r="ACW127" s="1"/>
      <c r="ACX127" s="1"/>
      <c r="ACY127" s="1"/>
      <c r="ACZ127" s="1"/>
      <c r="ADA127" s="1"/>
      <c r="ADB127" s="1"/>
      <c r="ADC127" s="1"/>
      <c r="ADD127" s="1"/>
      <c r="ADE127" s="1"/>
      <c r="ADF127" s="1"/>
      <c r="ADG127" s="1"/>
      <c r="ADH127" s="1"/>
      <c r="ADI127" s="1"/>
      <c r="ADJ127" s="1"/>
      <c r="ADK127" s="1"/>
      <c r="ADL127" s="1"/>
      <c r="ADM127" s="1"/>
      <c r="ADN127" s="1"/>
      <c r="ADO127" s="1"/>
      <c r="ADP127" s="1"/>
      <c r="ADQ127" s="1"/>
      <c r="ADR127" s="1"/>
      <c r="ADS127" s="1"/>
      <c r="ADT127" s="1"/>
      <c r="ADU127" s="1"/>
      <c r="ADV127" s="1"/>
      <c r="ADW127" s="1"/>
      <c r="ADX127" s="1"/>
      <c r="ADY127" s="1"/>
      <c r="ADZ127" s="1"/>
      <c r="AEA127" s="1"/>
      <c r="AEB127" s="1"/>
      <c r="AEC127" s="1"/>
      <c r="AED127" s="1"/>
      <c r="AEE127" s="1"/>
      <c r="AEF127" s="1"/>
      <c r="AEG127" s="1"/>
      <c r="AEH127" s="1"/>
      <c r="AEI127" s="1"/>
      <c r="AEJ127" s="1"/>
      <c r="AEK127" s="1"/>
      <c r="AEL127" s="1"/>
      <c r="AEM127" s="1"/>
      <c r="AEN127" s="1"/>
      <c r="AEO127" s="1"/>
      <c r="AEP127" s="1"/>
      <c r="AEQ127" s="1"/>
      <c r="AER127" s="1"/>
      <c r="AES127" s="1"/>
      <c r="AET127" s="1"/>
      <c r="AEU127" s="1"/>
      <c r="AEV127" s="1"/>
      <c r="AEW127" s="1"/>
      <c r="AEX127" s="1"/>
      <c r="AEY127" s="1"/>
      <c r="AEZ127" s="1"/>
      <c r="AFA127" s="1"/>
      <c r="AFB127" s="1"/>
      <c r="AFC127" s="1"/>
      <c r="AFD127" s="1"/>
      <c r="AFE127" s="1"/>
      <c r="AFF127" s="1"/>
      <c r="AFG127" s="1"/>
      <c r="AFH127" s="1"/>
      <c r="AFI127" s="1"/>
      <c r="AFJ127" s="1"/>
      <c r="AFK127" s="1"/>
      <c r="AFL127" s="1"/>
      <c r="AFM127" s="1"/>
      <c r="AFN127" s="1"/>
      <c r="AFO127" s="1"/>
      <c r="AFP127" s="1"/>
      <c r="AFQ127" s="1"/>
      <c r="AFR127" s="1"/>
      <c r="AFS127" s="1"/>
      <c r="AFT127" s="1"/>
      <c r="AFU127" s="1"/>
      <c r="AFV127" s="1"/>
      <c r="AFW127" s="1"/>
      <c r="AFX127" s="1"/>
      <c r="AFY127" s="1"/>
      <c r="AFZ127" s="1"/>
      <c r="AGA127" s="1"/>
      <c r="AGB127" s="1"/>
      <c r="AGC127" s="1"/>
      <c r="AGD127" s="1"/>
      <c r="AGE127" s="1"/>
      <c r="AGF127" s="1"/>
      <c r="AGG127" s="1"/>
      <c r="AGH127" s="1"/>
      <c r="AGI127" s="1"/>
      <c r="AGJ127" s="1"/>
      <c r="AGK127" s="1"/>
      <c r="AGL127" s="1"/>
      <c r="AGM127" s="1"/>
      <c r="AGN127" s="1"/>
      <c r="AGO127" s="1"/>
      <c r="AGP127" s="1"/>
      <c r="AGQ127" s="1"/>
      <c r="AGR127" s="1"/>
      <c r="AGS127" s="1"/>
      <c r="AGT127" s="1"/>
      <c r="AGU127" s="1"/>
      <c r="AGV127" s="1"/>
      <c r="AGW127" s="1"/>
      <c r="AGX127" s="1"/>
      <c r="AGY127" s="1"/>
      <c r="AGZ127" s="1"/>
      <c r="AHA127" s="1"/>
      <c r="AHB127" s="1"/>
      <c r="AHC127" s="1"/>
      <c r="AHD127" s="1"/>
      <c r="AHE127" s="1"/>
      <c r="AHF127" s="1"/>
      <c r="AHG127" s="1"/>
      <c r="AHH127" s="1"/>
      <c r="AHI127" s="1"/>
      <c r="AHJ127" s="1"/>
      <c r="AHK127" s="1"/>
      <c r="AHL127" s="1"/>
      <c r="AHM127" s="1"/>
      <c r="AHN127" s="1"/>
      <c r="AHO127" s="1"/>
      <c r="AHP127" s="1"/>
      <c r="AHQ127" s="1"/>
      <c r="AHR127" s="1"/>
      <c r="AHS127" s="1"/>
      <c r="AHT127" s="1"/>
      <c r="AHU127" s="1"/>
      <c r="AHV127" s="1"/>
      <c r="AHW127" s="1"/>
      <c r="AHX127" s="1"/>
      <c r="AHY127" s="1"/>
      <c r="AHZ127" s="1"/>
      <c r="AIA127" s="1"/>
      <c r="AIB127" s="1"/>
      <c r="AIC127" s="1"/>
      <c r="AID127" s="1"/>
      <c r="AIE127" s="1"/>
      <c r="AIF127" s="1"/>
      <c r="AIG127" s="1"/>
      <c r="AIH127" s="1"/>
      <c r="AII127" s="1"/>
      <c r="AIJ127" s="1"/>
      <c r="AIK127" s="1"/>
      <c r="AIL127" s="1"/>
      <c r="AIM127" s="1"/>
      <c r="AIN127" s="1"/>
      <c r="AIO127" s="1"/>
      <c r="AIP127" s="1"/>
      <c r="AIQ127" s="1"/>
      <c r="AIR127" s="1"/>
      <c r="AIS127" s="1"/>
      <c r="AIT127" s="1"/>
      <c r="AIU127" s="1"/>
      <c r="AIV127" s="1"/>
      <c r="AIW127" s="1"/>
      <c r="AIX127" s="1"/>
      <c r="AIY127" s="1"/>
      <c r="AIZ127" s="1"/>
      <c r="AJA127" s="1"/>
      <c r="AJB127" s="1"/>
      <c r="AJC127" s="1"/>
      <c r="AJD127" s="1"/>
      <c r="AJE127" s="1"/>
      <c r="AJF127" s="1"/>
      <c r="AJG127" s="1"/>
      <c r="AJH127" s="1"/>
      <c r="AJI127" s="1"/>
      <c r="AJJ127" s="1"/>
      <c r="AJK127" s="1"/>
      <c r="AJL127" s="1"/>
      <c r="AJM127" s="1"/>
      <c r="AJN127" s="1"/>
      <c r="AJO127" s="1"/>
      <c r="AJP127" s="1"/>
      <c r="AJQ127" s="1"/>
      <c r="AJR127" s="1"/>
      <c r="AJS127" s="1"/>
      <c r="AJT127" s="1"/>
      <c r="AJU127" s="1"/>
      <c r="AJV127" s="1"/>
      <c r="AJW127" s="1"/>
      <c r="AJX127" s="1"/>
      <c r="AJY127" s="1"/>
      <c r="AJZ127" s="1"/>
      <c r="AKA127" s="1"/>
      <c r="AKB127" s="1"/>
      <c r="AKC127" s="1"/>
      <c r="AKD127" s="1"/>
      <c r="AKE127" s="1"/>
      <c r="AKF127" s="1"/>
      <c r="AKG127" s="1"/>
      <c r="AKH127" s="1"/>
      <c r="AKI127" s="1"/>
      <c r="AKJ127" s="1"/>
      <c r="AKK127" s="1"/>
      <c r="AKL127" s="1"/>
      <c r="AKM127" s="1"/>
      <c r="AKN127" s="1"/>
      <c r="AKO127" s="1"/>
      <c r="AKP127" s="1"/>
      <c r="AKQ127" s="1"/>
      <c r="AKR127" s="1"/>
      <c r="AKS127" s="1"/>
      <c r="AKT127" s="1"/>
      <c r="AKU127" s="1"/>
      <c r="AKV127" s="1"/>
      <c r="AKW127" s="1"/>
      <c r="AKX127" s="1"/>
      <c r="AKY127" s="1"/>
      <c r="AKZ127" s="1"/>
      <c r="ALA127" s="1"/>
      <c r="ALB127" s="1"/>
      <c r="ALC127" s="1"/>
      <c r="ALD127" s="1"/>
      <c r="ALE127" s="1"/>
      <c r="ALF127" s="1"/>
      <c r="ALG127" s="1"/>
      <c r="ALH127" s="1"/>
      <c r="ALI127" s="1"/>
      <c r="ALJ127" s="1"/>
      <c r="ALK127" s="1"/>
      <c r="ALL127" s="1"/>
      <c r="ALM127" s="1"/>
      <c r="ALN127" s="1"/>
      <c r="ALO127" s="1"/>
      <c r="ALP127" s="1"/>
      <c r="ALQ127" s="1"/>
      <c r="ALR127" s="1"/>
      <c r="ALS127" s="1"/>
      <c r="ALT127" s="1"/>
      <c r="ALU127" s="1"/>
      <c r="ALV127" s="1"/>
      <c r="ALW127" s="1"/>
      <c r="ALX127" s="1"/>
      <c r="ALY127" s="1"/>
      <c r="ALZ127" s="1"/>
      <c r="AMA127" s="1"/>
      <c r="AMB127" s="1"/>
      <c r="AMC127" s="1"/>
      <c r="AMD127" s="1"/>
      <c r="AME127" s="1"/>
      <c r="AMF127" s="1"/>
      <c r="AMG127" s="1"/>
      <c r="AMH127" s="1"/>
      <c r="AMI127" s="1"/>
      <c r="AMJ127" s="1"/>
      <c r="AMK127" s="1"/>
      <c r="AML127" s="1"/>
      <c r="AMM127" s="1"/>
      <c r="AMN127" s="1"/>
      <c r="AMO127" s="1"/>
    </row>
    <row r="128" spans="1:1029" s="2" customFormat="1" x14ac:dyDescent="0.2">
      <c r="A128" s="3" t="str">
        <f t="shared" si="555"/>
        <v>oprd_mouse__wt</v>
      </c>
      <c r="B128" s="3" t="s">
        <v>916</v>
      </c>
      <c r="C128" s="3" t="s">
        <v>100</v>
      </c>
      <c r="D128" s="3" t="str">
        <f>IFERROR(MID(VLOOKUP($B128,Seqs!$A:$B,2,0),E128,1),"")</f>
        <v>R</v>
      </c>
      <c r="E128" s="3">
        <v>41</v>
      </c>
      <c r="F128" s="3" t="str">
        <f>IFERROR(MID(VLOOKUP($B128,Seqs!$A:$B,2,0),G128,1),"")</f>
        <v>Y</v>
      </c>
      <c r="G128" s="3">
        <v>77</v>
      </c>
      <c r="H128" s="3" t="str">
        <f>IFERROR(MID(VLOOKUP($B128,Seqs!$A:$B,2,0),I128,1),"")</f>
        <v>T</v>
      </c>
      <c r="I128" s="23">
        <v>78</v>
      </c>
      <c r="J128" s="3" t="str">
        <f>IFERROR(MID(VLOOKUP($B128,Seqs!$A:$B,2,0),K128,1),"")</f>
        <v>K</v>
      </c>
      <c r="K128" s="23">
        <v>81</v>
      </c>
      <c r="L128" s="3" t="str">
        <f>IFERROR(MID(VLOOKUP($B128,Seqs!$A:$B,2,0),M128,1),"")</f>
        <v>T</v>
      </c>
      <c r="M128" s="3">
        <v>82</v>
      </c>
      <c r="N128" s="3" t="str">
        <f>IFERROR(MID(VLOOKUP($B128,Seqs!$A:$B,2,0),O128,1),"")</f>
        <v>M</v>
      </c>
      <c r="O128" s="3">
        <v>111</v>
      </c>
      <c r="P128" s="3" t="str">
        <f>IFERROR(MID(VLOOKUP($B128,Seqs!$A:$B,2,0),Q128,1),"")</f>
        <v>T</v>
      </c>
      <c r="Q128" s="3">
        <v>113</v>
      </c>
      <c r="R128" s="3" t="str">
        <f>IFERROR(MID(VLOOKUP($B128,Seqs!$A:$B,2,0),S128,1),"")</f>
        <v>F</v>
      </c>
      <c r="S128" s="3">
        <v>116</v>
      </c>
      <c r="T128" s="3" t="str">
        <f>IFERROR(MID(VLOOKUP($B128,Seqs!$A:$B,2,0),U128,1),"")</f>
        <v>G</v>
      </c>
      <c r="U128" s="3">
        <v>117</v>
      </c>
      <c r="V128" s="3" t="str">
        <f>IFERROR(MID(VLOOKUP($B128,Seqs!$A:$B,2,0),W128,1),"")</f>
        <v>H</v>
      </c>
      <c r="W128" s="3">
        <v>152</v>
      </c>
      <c r="X128" s="3" t="str">
        <f>IFERROR(MID(VLOOKUP($B128,Seqs!$A:$B,2,0),Y128,1),"")</f>
        <v>P</v>
      </c>
      <c r="Y128" s="3">
        <v>153</v>
      </c>
      <c r="Z128" s="3" t="str">
        <f>IFERROR(MID(VLOOKUP($B128,Seqs!$A:$B,2,0),AA128,1),"")</f>
        <v>R</v>
      </c>
      <c r="AA128" s="3">
        <v>160</v>
      </c>
      <c r="AB128" s="3" t="str">
        <f>IFERROR(MID(VLOOKUP($B128,Seqs!$A:$B,2,0),AC128,1),"")</f>
        <v>T</v>
      </c>
      <c r="AC128" s="9">
        <v>161</v>
      </c>
      <c r="AD128" s="3" t="str">
        <f>IFERROR(MID(VLOOKUP($B128,Seqs!$A:$B,2,0),AE128,1),"")</f>
        <v>A</v>
      </c>
      <c r="AE128" s="3">
        <v>187</v>
      </c>
      <c r="AF128" s="3" t="str">
        <f>IFERROR(MID(VLOOKUP($B128,Seqs!$A:$B,2,0),AG128,1),"")</f>
        <v>C</v>
      </c>
      <c r="AG128" s="3">
        <v>198</v>
      </c>
      <c r="AH128" s="3" t="str">
        <f>IFERROR(MID(VLOOKUP($B128,Seqs!$A:$B,2,0),AI128,1),"")</f>
        <v>L</v>
      </c>
      <c r="AI128" s="3">
        <v>200</v>
      </c>
      <c r="AJ128" s="3" t="str">
        <f>IFERROR(MID(VLOOKUP($B128,Seqs!$A:$B,2,0),AK128,1),"")</f>
        <v>S</v>
      </c>
      <c r="AK128" s="3">
        <v>206</v>
      </c>
      <c r="AL128" s="3" t="str">
        <f>IFERROR(MID(VLOOKUP($B128,Seqs!$A:$B,2,0),AM128,1),"")</f>
        <v>V</v>
      </c>
      <c r="AM128" s="3">
        <v>243</v>
      </c>
      <c r="AN128" s="3" t="str">
        <f>IFERROR(MID(VLOOKUP($B128,Seqs!$A:$B,2,0),AO128,1),"")</f>
        <v>S</v>
      </c>
      <c r="AO128" s="3">
        <v>249</v>
      </c>
      <c r="AP128" s="3" t="str">
        <f>IFERROR(MID(VLOOKUP($B128,Seqs!$A:$B,2,0),AQ128,1),"")</f>
        <v>V</v>
      </c>
      <c r="AQ128" s="3">
        <v>287</v>
      </c>
      <c r="AR128" s="3" t="str">
        <f>IFERROR(MID(VLOOKUP($B128,Seqs!$A:$B,2,0),AS128,1),"")</f>
        <v>D</v>
      </c>
      <c r="AS128" s="3">
        <v>293</v>
      </c>
      <c r="AT128" s="3" t="str">
        <f>IFERROR(MID(VLOOKUP($B128,Seqs!$A:$B,2,0),AU128,1),"")</f>
        <v>L</v>
      </c>
      <c r="AU128" s="3">
        <v>321</v>
      </c>
      <c r="AV128" s="3" t="str">
        <f>IFERROR(MID(VLOOKUP($B128,Seqs!$A:$B,2,0),AW128,1),"")</f>
        <v>D</v>
      </c>
      <c r="AW128" s="3">
        <v>322</v>
      </c>
      <c r="AX128" s="3" t="str">
        <f>IFERROR(MID(VLOOKUP($B128,Seqs!$A:$B,2,0),AY128,1),"")</f>
        <v>T</v>
      </c>
      <c r="AY128" s="3">
        <v>335</v>
      </c>
      <c r="AZ128" s="79" t="str">
        <f>VLOOKUP(B128,Classification!A:D,2,0)</f>
        <v>A</v>
      </c>
      <c r="BA128" s="97" t="str">
        <f>VLOOKUP(B128,Classification!A:D,4,0)</f>
        <v>Opioid</v>
      </c>
      <c r="BB128" s="27" t="b">
        <f t="shared" si="556"/>
        <v>1</v>
      </c>
      <c r="BC128" s="23">
        <f t="shared" si="473"/>
        <v>269</v>
      </c>
      <c r="BD128" s="57" t="s">
        <v>1379</v>
      </c>
      <c r="BE128" s="3" t="s">
        <v>1381</v>
      </c>
      <c r="BF128" s="50" t="s">
        <v>1379</v>
      </c>
      <c r="BG128" s="50" t="s">
        <v>1384</v>
      </c>
      <c r="BH128" s="1"/>
      <c r="BI128" s="72" t="s">
        <v>1293</v>
      </c>
      <c r="BJ128" s="58" t="s">
        <v>1293</v>
      </c>
      <c r="BK128" s="58" t="s">
        <v>1293</v>
      </c>
      <c r="BL128" s="58" t="s">
        <v>1293</v>
      </c>
      <c r="BM128" s="58" t="s">
        <v>1293</v>
      </c>
      <c r="BN128" s="58" t="s">
        <v>1293</v>
      </c>
      <c r="BO128" s="58" t="s">
        <v>1293</v>
      </c>
      <c r="BP128" s="58" t="s">
        <v>1293</v>
      </c>
      <c r="BQ128" s="58" t="s">
        <v>1293</v>
      </c>
      <c r="BR128" s="58" t="s">
        <v>1293</v>
      </c>
      <c r="BS128" s="58" t="s">
        <v>1293</v>
      </c>
      <c r="BT128" s="58" t="s">
        <v>1293</v>
      </c>
      <c r="BU128" s="72">
        <f t="shared" si="474"/>
        <v>41</v>
      </c>
      <c r="BV128" s="73">
        <f t="shared" si="475"/>
        <v>78</v>
      </c>
      <c r="BW128" s="74">
        <f t="shared" si="476"/>
        <v>82</v>
      </c>
      <c r="BX128" s="73">
        <f t="shared" si="477"/>
        <v>113</v>
      </c>
      <c r="BY128" s="74">
        <f t="shared" si="478"/>
        <v>117</v>
      </c>
      <c r="BZ128" s="73">
        <f t="shared" si="479"/>
        <v>153</v>
      </c>
      <c r="CA128" s="74">
        <f t="shared" si="480"/>
        <v>161</v>
      </c>
      <c r="CB128" s="73">
        <f t="shared" si="481"/>
        <v>198</v>
      </c>
      <c r="CC128" s="74">
        <f t="shared" si="482"/>
        <v>206</v>
      </c>
      <c r="CD128" s="73">
        <f t="shared" si="483"/>
        <v>249</v>
      </c>
      <c r="CE128" s="74">
        <f t="shared" si="484"/>
        <v>293</v>
      </c>
      <c r="CF128" s="73">
        <f t="shared" si="485"/>
        <v>322</v>
      </c>
      <c r="CG128" s="72">
        <f t="shared" si="486"/>
        <v>77</v>
      </c>
      <c r="CH128" s="73">
        <f t="shared" si="487"/>
        <v>81</v>
      </c>
      <c r="CI128" s="74">
        <f t="shared" si="488"/>
        <v>111</v>
      </c>
      <c r="CJ128" s="74">
        <f t="shared" si="489"/>
        <v>116</v>
      </c>
      <c r="CK128" s="74">
        <f t="shared" si="490"/>
        <v>152</v>
      </c>
      <c r="CL128" s="74">
        <f t="shared" si="491"/>
        <v>160</v>
      </c>
      <c r="CM128" s="74">
        <f t="shared" si="492"/>
        <v>187</v>
      </c>
      <c r="CN128" s="74">
        <f t="shared" si="493"/>
        <v>200</v>
      </c>
      <c r="CO128" s="74">
        <f t="shared" si="494"/>
        <v>243</v>
      </c>
      <c r="CP128" s="74">
        <f t="shared" si="495"/>
        <v>287</v>
      </c>
      <c r="CQ128" s="74">
        <f t="shared" si="496"/>
        <v>321</v>
      </c>
      <c r="CR128" s="74">
        <f t="shared" si="497"/>
        <v>335</v>
      </c>
      <c r="CS128" s="23">
        <f t="shared" si="498"/>
        <v>1</v>
      </c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  <c r="LI128" s="1"/>
      <c r="LJ128" s="1"/>
      <c r="LK128" s="1"/>
      <c r="LL128" s="1"/>
      <c r="LM128" s="1"/>
      <c r="LN128" s="1"/>
      <c r="LO128" s="1"/>
      <c r="LP128" s="1"/>
      <c r="LQ128" s="1"/>
      <c r="LR128" s="1"/>
      <c r="LS128" s="1"/>
      <c r="LT128" s="1"/>
      <c r="LU128" s="1"/>
      <c r="LV128" s="1"/>
      <c r="LW128" s="1"/>
      <c r="LX128" s="1"/>
      <c r="LY128" s="1"/>
      <c r="LZ128" s="1"/>
      <c r="MA128" s="1"/>
      <c r="MB128" s="1"/>
      <c r="MC128" s="1"/>
      <c r="MD128" s="1"/>
      <c r="ME128" s="1"/>
      <c r="MF128" s="1"/>
      <c r="MG128" s="1"/>
      <c r="MH128" s="1"/>
      <c r="MI128" s="1"/>
      <c r="MJ128" s="1"/>
      <c r="MK128" s="1"/>
      <c r="ML128" s="1"/>
      <c r="MM128" s="1"/>
      <c r="MN128" s="1"/>
      <c r="MO128" s="1"/>
      <c r="MP128" s="1"/>
      <c r="MQ128" s="1"/>
      <c r="MR128" s="1"/>
      <c r="MS128" s="1"/>
      <c r="MT128" s="1"/>
      <c r="MU128" s="1"/>
      <c r="MV128" s="1"/>
      <c r="MW128" s="1"/>
      <c r="MX128" s="1"/>
      <c r="MY128" s="1"/>
      <c r="MZ128" s="1"/>
      <c r="NA128" s="1"/>
      <c r="NB128" s="1"/>
      <c r="NC128" s="1"/>
      <c r="ND128" s="1"/>
      <c r="NE128" s="1"/>
      <c r="NF128" s="1"/>
      <c r="NG128" s="1"/>
      <c r="NH128" s="1"/>
      <c r="NI128" s="1"/>
      <c r="NJ128" s="1"/>
      <c r="NK128" s="1"/>
      <c r="NL128" s="1"/>
      <c r="NM128" s="1"/>
      <c r="NN128" s="1"/>
      <c r="NO128" s="1"/>
      <c r="NP128" s="1"/>
      <c r="NQ128" s="1"/>
      <c r="NR128" s="1"/>
      <c r="NS128" s="1"/>
      <c r="NT128" s="1"/>
      <c r="NU128" s="1"/>
      <c r="NV128" s="1"/>
      <c r="NW128" s="1"/>
      <c r="NX128" s="1"/>
      <c r="NY128" s="1"/>
      <c r="NZ128" s="1"/>
      <c r="OA128" s="1"/>
      <c r="OB128" s="1"/>
      <c r="OC128" s="1"/>
      <c r="OD128" s="1"/>
      <c r="OE128" s="1"/>
      <c r="OF128" s="1"/>
      <c r="OG128" s="1"/>
      <c r="OH128" s="1"/>
      <c r="OI128" s="1"/>
      <c r="OJ128" s="1"/>
      <c r="OK128" s="1"/>
      <c r="OL128" s="1"/>
      <c r="OM128" s="1"/>
      <c r="ON128" s="1"/>
      <c r="OO128" s="1"/>
      <c r="OP128" s="1"/>
      <c r="OQ128" s="1"/>
      <c r="OR128" s="1"/>
      <c r="OS128" s="1"/>
      <c r="OT128" s="1"/>
      <c r="OU128" s="1"/>
      <c r="OV128" s="1"/>
      <c r="OW128" s="1"/>
      <c r="OX128" s="1"/>
      <c r="OY128" s="1"/>
      <c r="OZ128" s="1"/>
      <c r="PA128" s="1"/>
      <c r="PB128" s="1"/>
      <c r="PC128" s="1"/>
      <c r="PD128" s="1"/>
      <c r="PE128" s="1"/>
      <c r="PF128" s="1"/>
      <c r="PG128" s="1"/>
      <c r="PH128" s="1"/>
      <c r="PI128" s="1"/>
      <c r="PJ128" s="1"/>
      <c r="PK128" s="1"/>
      <c r="PL128" s="1"/>
      <c r="PM128" s="1"/>
      <c r="PN128" s="1"/>
      <c r="PO128" s="1"/>
      <c r="PP128" s="1"/>
      <c r="PQ128" s="1"/>
      <c r="PR128" s="1"/>
      <c r="PS128" s="1"/>
      <c r="PT128" s="1"/>
      <c r="PU128" s="1"/>
      <c r="PV128" s="1"/>
      <c r="PW128" s="1"/>
      <c r="PX128" s="1"/>
      <c r="PY128" s="1"/>
      <c r="PZ128" s="1"/>
      <c r="QA128" s="1"/>
      <c r="QB128" s="1"/>
      <c r="QC128" s="1"/>
      <c r="QD128" s="1"/>
      <c r="QE128" s="1"/>
      <c r="QF128" s="1"/>
      <c r="QG128" s="1"/>
      <c r="QH128" s="1"/>
      <c r="QI128" s="1"/>
      <c r="QJ128" s="1"/>
      <c r="QK128" s="1"/>
      <c r="QL128" s="1"/>
      <c r="QM128" s="1"/>
      <c r="QN128" s="1"/>
      <c r="QO128" s="1"/>
      <c r="QP128" s="1"/>
      <c r="QQ128" s="1"/>
      <c r="QR128" s="1"/>
      <c r="QS128" s="1"/>
      <c r="QT128" s="1"/>
      <c r="QU128" s="1"/>
      <c r="QV128" s="1"/>
      <c r="QW128" s="1"/>
      <c r="QX128" s="1"/>
      <c r="QY128" s="1"/>
      <c r="QZ128" s="1"/>
      <c r="RA128" s="1"/>
      <c r="RB128" s="1"/>
      <c r="RC128" s="1"/>
      <c r="RD128" s="1"/>
      <c r="RE128" s="1"/>
      <c r="RF128" s="1"/>
      <c r="RG128" s="1"/>
      <c r="RH128" s="1"/>
      <c r="RI128" s="1"/>
      <c r="RJ128" s="1"/>
      <c r="RK128" s="1"/>
      <c r="RL128" s="1"/>
      <c r="RM128" s="1"/>
      <c r="RN128" s="1"/>
      <c r="RO128" s="1"/>
      <c r="RP128" s="1"/>
      <c r="RQ128" s="1"/>
      <c r="RR128" s="1"/>
      <c r="RS128" s="1"/>
      <c r="RT128" s="1"/>
      <c r="RU128" s="1"/>
      <c r="RV128" s="1"/>
      <c r="RW128" s="1"/>
      <c r="RX128" s="1"/>
      <c r="RY128" s="1"/>
      <c r="RZ128" s="1"/>
      <c r="SA128" s="1"/>
      <c r="SB128" s="1"/>
      <c r="SC128" s="1"/>
      <c r="SD128" s="1"/>
      <c r="SE128" s="1"/>
      <c r="SF128" s="1"/>
      <c r="SG128" s="1"/>
      <c r="SH128" s="1"/>
      <c r="SI128" s="1"/>
      <c r="SJ128" s="1"/>
      <c r="SK128" s="1"/>
      <c r="SL128" s="1"/>
      <c r="SM128" s="1"/>
      <c r="SN128" s="1"/>
      <c r="SO128" s="1"/>
      <c r="SP128" s="1"/>
      <c r="SQ128" s="1"/>
      <c r="SR128" s="1"/>
      <c r="SS128" s="1"/>
      <c r="ST128" s="1"/>
      <c r="SU128" s="1"/>
      <c r="SV128" s="1"/>
      <c r="SW128" s="1"/>
      <c r="SX128" s="1"/>
      <c r="SY128" s="1"/>
      <c r="SZ128" s="1"/>
      <c r="TA128" s="1"/>
      <c r="TB128" s="1"/>
      <c r="TC128" s="1"/>
      <c r="TD128" s="1"/>
      <c r="TE128" s="1"/>
      <c r="TF128" s="1"/>
      <c r="TG128" s="1"/>
      <c r="TH128" s="1"/>
      <c r="TI128" s="1"/>
      <c r="TJ128" s="1"/>
      <c r="TK128" s="1"/>
      <c r="TL128" s="1"/>
      <c r="TM128" s="1"/>
      <c r="TN128" s="1"/>
      <c r="TO128" s="1"/>
      <c r="TP128" s="1"/>
      <c r="TQ128" s="1"/>
      <c r="TR128" s="1"/>
      <c r="TS128" s="1"/>
      <c r="TT128" s="1"/>
      <c r="TU128" s="1"/>
      <c r="TV128" s="1"/>
      <c r="TW128" s="1"/>
      <c r="TX128" s="1"/>
      <c r="TY128" s="1"/>
      <c r="TZ128" s="1"/>
      <c r="UA128" s="1"/>
      <c r="UB128" s="1"/>
      <c r="UC128" s="1"/>
      <c r="UD128" s="1"/>
      <c r="UE128" s="1"/>
      <c r="UF128" s="1"/>
      <c r="UG128" s="1"/>
      <c r="UH128" s="1"/>
      <c r="UI128" s="1"/>
      <c r="UJ128" s="1"/>
      <c r="UK128" s="1"/>
      <c r="UL128" s="1"/>
      <c r="UM128" s="1"/>
      <c r="UN128" s="1"/>
      <c r="UO128" s="1"/>
      <c r="UP128" s="1"/>
      <c r="UQ128" s="1"/>
      <c r="UR128" s="1"/>
      <c r="US128" s="1"/>
      <c r="UT128" s="1"/>
      <c r="UU128" s="1"/>
      <c r="UV128" s="1"/>
      <c r="UW128" s="1"/>
      <c r="UX128" s="1"/>
      <c r="UY128" s="1"/>
      <c r="UZ128" s="1"/>
      <c r="VA128" s="1"/>
      <c r="VB128" s="1"/>
      <c r="VC128" s="1"/>
      <c r="VD128" s="1"/>
      <c r="VE128" s="1"/>
      <c r="VF128" s="1"/>
      <c r="VG128" s="1"/>
      <c r="VH128" s="1"/>
      <c r="VI128" s="1"/>
      <c r="VJ128" s="1"/>
      <c r="VK128" s="1"/>
      <c r="VL128" s="1"/>
      <c r="VM128" s="1"/>
      <c r="VN128" s="1"/>
      <c r="VO128" s="1"/>
      <c r="VP128" s="1"/>
      <c r="VQ128" s="1"/>
      <c r="VR128" s="1"/>
      <c r="VS128" s="1"/>
      <c r="VT128" s="1"/>
      <c r="VU128" s="1"/>
      <c r="VV128" s="1"/>
      <c r="VW128" s="1"/>
      <c r="VX128" s="1"/>
      <c r="VY128" s="1"/>
      <c r="VZ128" s="1"/>
      <c r="WA128" s="1"/>
      <c r="WB128" s="1"/>
      <c r="WC128" s="1"/>
      <c r="WD128" s="1"/>
      <c r="WE128" s="1"/>
      <c r="WF128" s="1"/>
      <c r="WG128" s="1"/>
      <c r="WH128" s="1"/>
      <c r="WI128" s="1"/>
      <c r="WJ128" s="1"/>
      <c r="WK128" s="1"/>
      <c r="WL128" s="1"/>
      <c r="WM128" s="1"/>
      <c r="WN128" s="1"/>
      <c r="WO128" s="1"/>
      <c r="WP128" s="1"/>
      <c r="WQ128" s="1"/>
      <c r="WR128" s="1"/>
      <c r="WS128" s="1"/>
      <c r="WT128" s="1"/>
      <c r="WU128" s="1"/>
      <c r="WV128" s="1"/>
      <c r="WW128" s="1"/>
      <c r="WX128" s="1"/>
      <c r="WY128" s="1"/>
      <c r="WZ128" s="1"/>
      <c r="XA128" s="1"/>
      <c r="XB128" s="1"/>
      <c r="XC128" s="1"/>
      <c r="XD128" s="1"/>
      <c r="XE128" s="1"/>
      <c r="XF128" s="1"/>
      <c r="XG128" s="1"/>
      <c r="XH128" s="1"/>
      <c r="XI128" s="1"/>
      <c r="XJ128" s="1"/>
      <c r="XK128" s="1"/>
      <c r="XL128" s="1"/>
      <c r="XM128" s="1"/>
      <c r="XN128" s="1"/>
      <c r="XO128" s="1"/>
      <c r="XP128" s="1"/>
      <c r="XQ128" s="1"/>
      <c r="XR128" s="1"/>
      <c r="XS128" s="1"/>
      <c r="XT128" s="1"/>
      <c r="XU128" s="1"/>
      <c r="XV128" s="1"/>
      <c r="XW128" s="1"/>
      <c r="XX128" s="1"/>
      <c r="XY128" s="1"/>
      <c r="XZ128" s="1"/>
      <c r="YA128" s="1"/>
      <c r="YB128" s="1"/>
      <c r="YC128" s="1"/>
      <c r="YD128" s="1"/>
      <c r="YE128" s="1"/>
      <c r="YF128" s="1"/>
      <c r="YG128" s="1"/>
      <c r="YH128" s="1"/>
      <c r="YI128" s="1"/>
      <c r="YJ128" s="1"/>
      <c r="YK128" s="1"/>
      <c r="YL128" s="1"/>
      <c r="YM128" s="1"/>
      <c r="YN128" s="1"/>
      <c r="YO128" s="1"/>
      <c r="YP128" s="1"/>
      <c r="YQ128" s="1"/>
      <c r="YR128" s="1"/>
      <c r="YS128" s="1"/>
      <c r="YT128" s="1"/>
      <c r="YU128" s="1"/>
      <c r="YV128" s="1"/>
      <c r="YW128" s="1"/>
      <c r="YX128" s="1"/>
      <c r="YY128" s="1"/>
      <c r="YZ128" s="1"/>
      <c r="ZA128" s="1"/>
      <c r="ZB128" s="1"/>
      <c r="ZC128" s="1"/>
      <c r="ZD128" s="1"/>
      <c r="ZE128" s="1"/>
      <c r="ZF128" s="1"/>
      <c r="ZG128" s="1"/>
      <c r="ZH128" s="1"/>
      <c r="ZI128" s="1"/>
      <c r="ZJ128" s="1"/>
      <c r="ZK128" s="1"/>
      <c r="ZL128" s="1"/>
      <c r="ZM128" s="1"/>
      <c r="ZN128" s="1"/>
      <c r="ZO128" s="1"/>
      <c r="ZP128" s="1"/>
      <c r="ZQ128" s="1"/>
      <c r="ZR128" s="1"/>
      <c r="ZS128" s="1"/>
      <c r="ZT128" s="1"/>
      <c r="ZU128" s="1"/>
      <c r="ZV128" s="1"/>
      <c r="ZW128" s="1"/>
      <c r="ZX128" s="1"/>
      <c r="ZY128" s="1"/>
      <c r="ZZ128" s="1"/>
      <c r="AAA128" s="1"/>
      <c r="AAB128" s="1"/>
      <c r="AAC128" s="1"/>
      <c r="AAD128" s="1"/>
      <c r="AAE128" s="1"/>
      <c r="AAF128" s="1"/>
      <c r="AAG128" s="1"/>
      <c r="AAH128" s="1"/>
      <c r="AAI128" s="1"/>
      <c r="AAJ128" s="1"/>
      <c r="AAK128" s="1"/>
      <c r="AAL128" s="1"/>
      <c r="AAM128" s="1"/>
      <c r="AAN128" s="1"/>
      <c r="AAO128" s="1"/>
      <c r="AAP128" s="1"/>
      <c r="AAQ128" s="1"/>
      <c r="AAR128" s="1"/>
      <c r="AAS128" s="1"/>
      <c r="AAT128" s="1"/>
      <c r="AAU128" s="1"/>
      <c r="AAV128" s="1"/>
      <c r="AAW128" s="1"/>
      <c r="AAX128" s="1"/>
      <c r="AAY128" s="1"/>
      <c r="AAZ128" s="1"/>
      <c r="ABA128" s="1"/>
      <c r="ABB128" s="1"/>
      <c r="ABC128" s="1"/>
      <c r="ABD128" s="1"/>
      <c r="ABE128" s="1"/>
      <c r="ABF128" s="1"/>
      <c r="ABG128" s="1"/>
      <c r="ABH128" s="1"/>
      <c r="ABI128" s="1"/>
      <c r="ABJ128" s="1"/>
      <c r="ABK128" s="1"/>
      <c r="ABL128" s="1"/>
      <c r="ABM128" s="1"/>
      <c r="ABN128" s="1"/>
      <c r="ABO128" s="1"/>
      <c r="ABP128" s="1"/>
      <c r="ABQ128" s="1"/>
      <c r="ABR128" s="1"/>
      <c r="ABS128" s="1"/>
      <c r="ABT128" s="1"/>
      <c r="ABU128" s="1"/>
      <c r="ABV128" s="1"/>
      <c r="ABW128" s="1"/>
      <c r="ABX128" s="1"/>
      <c r="ABY128" s="1"/>
      <c r="ABZ128" s="1"/>
      <c r="ACA128" s="1"/>
      <c r="ACB128" s="1"/>
      <c r="ACC128" s="1"/>
      <c r="ACD128" s="1"/>
      <c r="ACE128" s="1"/>
      <c r="ACF128" s="1"/>
      <c r="ACG128" s="1"/>
      <c r="ACH128" s="1"/>
      <c r="ACI128" s="1"/>
      <c r="ACJ128" s="1"/>
      <c r="ACK128" s="1"/>
      <c r="ACL128" s="1"/>
      <c r="ACM128" s="1"/>
      <c r="ACN128" s="1"/>
      <c r="ACO128" s="1"/>
      <c r="ACP128" s="1"/>
      <c r="ACQ128" s="1"/>
      <c r="ACR128" s="1"/>
      <c r="ACS128" s="1"/>
      <c r="ACT128" s="1"/>
      <c r="ACU128" s="1"/>
      <c r="ACV128" s="1"/>
      <c r="ACW128" s="1"/>
      <c r="ACX128" s="1"/>
      <c r="ACY128" s="1"/>
      <c r="ACZ128" s="1"/>
      <c r="ADA128" s="1"/>
      <c r="ADB128" s="1"/>
      <c r="ADC128" s="1"/>
      <c r="ADD128" s="1"/>
      <c r="ADE128" s="1"/>
      <c r="ADF128" s="1"/>
      <c r="ADG128" s="1"/>
      <c r="ADH128" s="1"/>
      <c r="ADI128" s="1"/>
      <c r="ADJ128" s="1"/>
      <c r="ADK128" s="1"/>
      <c r="ADL128" s="1"/>
      <c r="ADM128" s="1"/>
      <c r="ADN128" s="1"/>
      <c r="ADO128" s="1"/>
      <c r="ADP128" s="1"/>
      <c r="ADQ128" s="1"/>
      <c r="ADR128" s="1"/>
      <c r="ADS128" s="1"/>
      <c r="ADT128" s="1"/>
      <c r="ADU128" s="1"/>
      <c r="ADV128" s="1"/>
      <c r="ADW128" s="1"/>
      <c r="ADX128" s="1"/>
      <c r="ADY128" s="1"/>
      <c r="ADZ128" s="1"/>
      <c r="AEA128" s="1"/>
      <c r="AEB128" s="1"/>
      <c r="AEC128" s="1"/>
      <c r="AED128" s="1"/>
      <c r="AEE128" s="1"/>
      <c r="AEF128" s="1"/>
      <c r="AEG128" s="1"/>
      <c r="AEH128" s="1"/>
      <c r="AEI128" s="1"/>
      <c r="AEJ128" s="1"/>
      <c r="AEK128" s="1"/>
      <c r="AEL128" s="1"/>
      <c r="AEM128" s="1"/>
      <c r="AEN128" s="1"/>
      <c r="AEO128" s="1"/>
      <c r="AEP128" s="1"/>
      <c r="AEQ128" s="1"/>
      <c r="AER128" s="1"/>
      <c r="AES128" s="1"/>
      <c r="AET128" s="1"/>
      <c r="AEU128" s="1"/>
      <c r="AEV128" s="1"/>
      <c r="AEW128" s="1"/>
      <c r="AEX128" s="1"/>
      <c r="AEY128" s="1"/>
      <c r="AEZ128" s="1"/>
      <c r="AFA128" s="1"/>
      <c r="AFB128" s="1"/>
      <c r="AFC128" s="1"/>
      <c r="AFD128" s="1"/>
      <c r="AFE128" s="1"/>
      <c r="AFF128" s="1"/>
      <c r="AFG128" s="1"/>
      <c r="AFH128" s="1"/>
      <c r="AFI128" s="1"/>
      <c r="AFJ128" s="1"/>
      <c r="AFK128" s="1"/>
      <c r="AFL128" s="1"/>
      <c r="AFM128" s="1"/>
      <c r="AFN128" s="1"/>
      <c r="AFO128" s="1"/>
      <c r="AFP128" s="1"/>
      <c r="AFQ128" s="1"/>
      <c r="AFR128" s="1"/>
      <c r="AFS128" s="1"/>
      <c r="AFT128" s="1"/>
      <c r="AFU128" s="1"/>
      <c r="AFV128" s="1"/>
      <c r="AFW128" s="1"/>
      <c r="AFX128" s="1"/>
      <c r="AFY128" s="1"/>
      <c r="AFZ128" s="1"/>
      <c r="AGA128" s="1"/>
      <c r="AGB128" s="1"/>
      <c r="AGC128" s="1"/>
      <c r="AGD128" s="1"/>
      <c r="AGE128" s="1"/>
      <c r="AGF128" s="1"/>
      <c r="AGG128" s="1"/>
      <c r="AGH128" s="1"/>
      <c r="AGI128" s="1"/>
      <c r="AGJ128" s="1"/>
      <c r="AGK128" s="1"/>
      <c r="AGL128" s="1"/>
      <c r="AGM128" s="1"/>
      <c r="AGN128" s="1"/>
      <c r="AGO128" s="1"/>
      <c r="AGP128" s="1"/>
      <c r="AGQ128" s="1"/>
      <c r="AGR128" s="1"/>
      <c r="AGS128" s="1"/>
      <c r="AGT128" s="1"/>
      <c r="AGU128" s="1"/>
      <c r="AGV128" s="1"/>
      <c r="AGW128" s="1"/>
      <c r="AGX128" s="1"/>
      <c r="AGY128" s="1"/>
      <c r="AGZ128" s="1"/>
      <c r="AHA128" s="1"/>
      <c r="AHB128" s="1"/>
      <c r="AHC128" s="1"/>
      <c r="AHD128" s="1"/>
      <c r="AHE128" s="1"/>
      <c r="AHF128" s="1"/>
      <c r="AHG128" s="1"/>
      <c r="AHH128" s="1"/>
      <c r="AHI128" s="1"/>
      <c r="AHJ128" s="1"/>
      <c r="AHK128" s="1"/>
      <c r="AHL128" s="1"/>
      <c r="AHM128" s="1"/>
      <c r="AHN128" s="1"/>
      <c r="AHO128" s="1"/>
      <c r="AHP128" s="1"/>
      <c r="AHQ128" s="1"/>
      <c r="AHR128" s="1"/>
      <c r="AHS128" s="1"/>
      <c r="AHT128" s="1"/>
      <c r="AHU128" s="1"/>
      <c r="AHV128" s="1"/>
      <c r="AHW128" s="1"/>
      <c r="AHX128" s="1"/>
      <c r="AHY128" s="1"/>
      <c r="AHZ128" s="1"/>
      <c r="AIA128" s="1"/>
      <c r="AIB128" s="1"/>
      <c r="AIC128" s="1"/>
      <c r="AID128" s="1"/>
      <c r="AIE128" s="1"/>
      <c r="AIF128" s="1"/>
      <c r="AIG128" s="1"/>
      <c r="AIH128" s="1"/>
      <c r="AII128" s="1"/>
      <c r="AIJ128" s="1"/>
      <c r="AIK128" s="1"/>
      <c r="AIL128" s="1"/>
      <c r="AIM128" s="1"/>
      <c r="AIN128" s="1"/>
      <c r="AIO128" s="1"/>
      <c r="AIP128" s="1"/>
      <c r="AIQ128" s="1"/>
      <c r="AIR128" s="1"/>
      <c r="AIS128" s="1"/>
      <c r="AIT128" s="1"/>
      <c r="AIU128" s="1"/>
      <c r="AIV128" s="1"/>
      <c r="AIW128" s="1"/>
      <c r="AIX128" s="1"/>
      <c r="AIY128" s="1"/>
      <c r="AIZ128" s="1"/>
      <c r="AJA128" s="1"/>
      <c r="AJB128" s="1"/>
      <c r="AJC128" s="1"/>
      <c r="AJD128" s="1"/>
      <c r="AJE128" s="1"/>
      <c r="AJF128" s="1"/>
      <c r="AJG128" s="1"/>
      <c r="AJH128" s="1"/>
      <c r="AJI128" s="1"/>
      <c r="AJJ128" s="1"/>
      <c r="AJK128" s="1"/>
      <c r="AJL128" s="1"/>
      <c r="AJM128" s="1"/>
      <c r="AJN128" s="1"/>
      <c r="AJO128" s="1"/>
      <c r="AJP128" s="1"/>
      <c r="AJQ128" s="1"/>
      <c r="AJR128" s="1"/>
      <c r="AJS128" s="1"/>
      <c r="AJT128" s="1"/>
      <c r="AJU128" s="1"/>
      <c r="AJV128" s="1"/>
      <c r="AJW128" s="1"/>
      <c r="AJX128" s="1"/>
      <c r="AJY128" s="1"/>
      <c r="AJZ128" s="1"/>
      <c r="AKA128" s="1"/>
      <c r="AKB128" s="1"/>
      <c r="AKC128" s="1"/>
      <c r="AKD128" s="1"/>
      <c r="AKE128" s="1"/>
      <c r="AKF128" s="1"/>
      <c r="AKG128" s="1"/>
      <c r="AKH128" s="1"/>
      <c r="AKI128" s="1"/>
      <c r="AKJ128" s="1"/>
      <c r="AKK128" s="1"/>
      <c r="AKL128" s="1"/>
      <c r="AKM128" s="1"/>
      <c r="AKN128" s="1"/>
      <c r="AKO128" s="1"/>
      <c r="AKP128" s="1"/>
      <c r="AKQ128" s="1"/>
      <c r="AKR128" s="1"/>
      <c r="AKS128" s="1"/>
      <c r="AKT128" s="1"/>
      <c r="AKU128" s="1"/>
      <c r="AKV128" s="1"/>
      <c r="AKW128" s="1"/>
      <c r="AKX128" s="1"/>
      <c r="AKY128" s="1"/>
      <c r="AKZ128" s="1"/>
      <c r="ALA128" s="1"/>
      <c r="ALB128" s="1"/>
      <c r="ALC128" s="1"/>
      <c r="ALD128" s="1"/>
      <c r="ALE128" s="1"/>
      <c r="ALF128" s="1"/>
      <c r="ALG128" s="1"/>
      <c r="ALH128" s="1"/>
      <c r="ALI128" s="1"/>
      <c r="ALJ128" s="1"/>
      <c r="ALK128" s="1"/>
      <c r="ALL128" s="1"/>
      <c r="ALM128" s="1"/>
      <c r="ALN128" s="1"/>
      <c r="ALO128" s="1"/>
      <c r="ALP128" s="1"/>
      <c r="ALQ128" s="1"/>
      <c r="ALR128" s="1"/>
      <c r="ALS128" s="1"/>
      <c r="ALT128" s="1"/>
      <c r="ALU128" s="1"/>
      <c r="ALV128" s="1"/>
      <c r="ALW128" s="1"/>
      <c r="ALX128" s="1"/>
      <c r="ALY128" s="1"/>
      <c r="ALZ128" s="1"/>
      <c r="AMA128" s="1"/>
      <c r="AMB128" s="1"/>
      <c r="AMC128" s="1"/>
      <c r="AMD128" s="1"/>
      <c r="AME128" s="1"/>
      <c r="AMF128" s="1"/>
      <c r="AMG128" s="1"/>
      <c r="AMH128" s="1"/>
      <c r="AMI128" s="1"/>
      <c r="AMJ128" s="1"/>
      <c r="AMK128" s="1"/>
      <c r="AML128" s="1"/>
      <c r="AMM128" s="1"/>
      <c r="AMN128" s="1"/>
      <c r="AMO128" s="1"/>
    </row>
    <row r="129" spans="1:1029" s="2" customFormat="1" x14ac:dyDescent="0.2">
      <c r="A129" s="3" t="str">
        <f t="shared" si="555"/>
        <v>oprd_mouse_4EJ4</v>
      </c>
      <c r="B129" s="3" t="s">
        <v>916</v>
      </c>
      <c r="C129" s="3" t="s">
        <v>64</v>
      </c>
      <c r="D129" s="3" t="str">
        <f>IFERROR(MID(VLOOKUP($B129,Seqs!$A:$B,2,0),E129,1),"")</f>
        <v>R</v>
      </c>
      <c r="E129" s="3">
        <v>41</v>
      </c>
      <c r="F129" s="3" t="str">
        <f>IFERROR(MID(VLOOKUP($B129,Seqs!$A:$B,2,0),G129,1),"")</f>
        <v>Y</v>
      </c>
      <c r="G129" s="3">
        <v>77</v>
      </c>
      <c r="H129" s="3" t="str">
        <f>IFERROR(MID(VLOOKUP($B129,Seqs!$A:$B,2,0),I129,1),"")</f>
        <v>T</v>
      </c>
      <c r="I129" s="23">
        <v>78</v>
      </c>
      <c r="J129" s="3" t="str">
        <f>IFERROR(MID(VLOOKUP($B129,Seqs!$A:$B,2,0),K129,1),"")</f>
        <v>K</v>
      </c>
      <c r="K129" s="23">
        <v>81</v>
      </c>
      <c r="L129" s="3" t="str">
        <f>IFERROR(MID(VLOOKUP($B129,Seqs!$A:$B,2,0),M129,1),"")</f>
        <v>T</v>
      </c>
      <c r="M129" s="3">
        <v>82</v>
      </c>
      <c r="N129" s="3" t="str">
        <f>IFERROR(MID(VLOOKUP($B129,Seqs!$A:$B,2,0),O129,1),"")</f>
        <v>M</v>
      </c>
      <c r="O129" s="3">
        <v>111</v>
      </c>
      <c r="P129" s="3" t="str">
        <f>IFERROR(MID(VLOOKUP($B129,Seqs!$A:$B,2,0),Q129,1),"")</f>
        <v>T</v>
      </c>
      <c r="Q129" s="3">
        <v>113</v>
      </c>
      <c r="R129" s="3" t="str">
        <f>IFERROR(MID(VLOOKUP($B129,Seqs!$A:$B,2,0),S129,1),"")</f>
        <v>F</v>
      </c>
      <c r="S129" s="3">
        <v>116</v>
      </c>
      <c r="T129" s="3" t="str">
        <f>IFERROR(MID(VLOOKUP($B129,Seqs!$A:$B,2,0),U129,1),"")</f>
        <v>G</v>
      </c>
      <c r="U129" s="3">
        <v>117</v>
      </c>
      <c r="V129" s="3" t="str">
        <f>IFERROR(MID(VLOOKUP($B129,Seqs!$A:$B,2,0),W129,1),"")</f>
        <v>H</v>
      </c>
      <c r="W129" s="3">
        <v>152</v>
      </c>
      <c r="X129" s="3" t="str">
        <f>IFERROR(MID(VLOOKUP($B129,Seqs!$A:$B,2,0),Y129,1),"")</f>
        <v>P</v>
      </c>
      <c r="Y129" s="3">
        <v>153</v>
      </c>
      <c r="Z129" s="3" t="str">
        <f>IFERROR(MID(VLOOKUP($B129,Seqs!$A:$B,2,0),AA129,1),"")</f>
        <v>R</v>
      </c>
      <c r="AA129" s="3">
        <v>160</v>
      </c>
      <c r="AB129" s="3" t="str">
        <f>IFERROR(MID(VLOOKUP($B129,Seqs!$A:$B,2,0),AC129,1),"")</f>
        <v>T</v>
      </c>
      <c r="AC129" s="9">
        <v>161</v>
      </c>
      <c r="AD129" s="3" t="str">
        <f>IFERROR(MID(VLOOKUP($B129,Seqs!$A:$B,2,0),AE129,1),"")</f>
        <v>A</v>
      </c>
      <c r="AE129" s="3">
        <v>187</v>
      </c>
      <c r="AF129" s="3" t="str">
        <f>IFERROR(MID(VLOOKUP($B129,Seqs!$A:$B,2,0),AG129,1),"")</f>
        <v>C</v>
      </c>
      <c r="AG129" s="3">
        <v>198</v>
      </c>
      <c r="AH129" s="3" t="str">
        <f>IFERROR(MID(VLOOKUP($B129,Seqs!$A:$B,2,0),AI129,1),"")</f>
        <v>L</v>
      </c>
      <c r="AI129" s="3">
        <v>200</v>
      </c>
      <c r="AJ129" s="3" t="str">
        <f>IFERROR(MID(VLOOKUP($B129,Seqs!$A:$B,2,0),AK129,1),"")</f>
        <v>S</v>
      </c>
      <c r="AK129" s="3">
        <v>206</v>
      </c>
      <c r="AL129" s="3" t="str">
        <f>IFERROR(MID(VLOOKUP($B129,Seqs!$A:$B,2,0),AM129,1),"")</f>
        <v>L</v>
      </c>
      <c r="AM129" s="3">
        <v>238</v>
      </c>
      <c r="AN129" s="3" t="str">
        <f>IFERROR(MID(VLOOKUP($B129,Seqs!$A:$B,2,0),AO129,1),"")</f>
        <v>R</v>
      </c>
      <c r="AO129" s="3">
        <v>258</v>
      </c>
      <c r="AP129" s="3" t="str">
        <f>IFERROR(MID(VLOOKUP($B129,Seqs!$A:$B,2,0),AQ129,1),"")</f>
        <v>V</v>
      </c>
      <c r="AQ129" s="3">
        <v>287</v>
      </c>
      <c r="AR129" s="3" t="str">
        <f>IFERROR(MID(VLOOKUP($B129,Seqs!$A:$B,2,0),AS129,1),"")</f>
        <v>D</v>
      </c>
      <c r="AS129" s="3">
        <v>293</v>
      </c>
      <c r="AT129" s="3" t="str">
        <f>IFERROR(MID(VLOOKUP($B129,Seqs!$A:$B,2,0),AU129,1),"")</f>
        <v>L</v>
      </c>
      <c r="AU129" s="3">
        <v>321</v>
      </c>
      <c r="AV129" s="3" t="str">
        <f>IFERROR(MID(VLOOKUP($B129,Seqs!$A:$B,2,0),AW129,1),"")</f>
        <v>D</v>
      </c>
      <c r="AW129" s="3">
        <v>322</v>
      </c>
      <c r="AX129" s="3" t="str">
        <f>IFERROR(MID(VLOOKUP($B129,Seqs!$A:$B,2,0),AY129,1),"")</f>
        <v>C</v>
      </c>
      <c r="AY129" s="3">
        <v>328</v>
      </c>
      <c r="AZ129" s="79" t="str">
        <f>VLOOKUP(B129,Classification!A:D,2,0)</f>
        <v>A</v>
      </c>
      <c r="BA129" s="97" t="str">
        <f>VLOOKUP(B129,Classification!A:D,4,0)</f>
        <v>Opioid</v>
      </c>
      <c r="BB129" s="27" t="b">
        <f t="shared" si="556"/>
        <v>1</v>
      </c>
      <c r="BC129" s="23">
        <f t="shared" si="473"/>
        <v>248</v>
      </c>
      <c r="BD129" s="2" t="s">
        <v>1383</v>
      </c>
      <c r="BE129" s="3" t="s">
        <v>1381</v>
      </c>
      <c r="BF129" s="50" t="s">
        <v>1384</v>
      </c>
      <c r="BG129" s="50" t="s">
        <v>1384</v>
      </c>
      <c r="BH129" s="1"/>
      <c r="BI129" s="72" t="s">
        <v>1293</v>
      </c>
      <c r="BJ129" s="58" t="s">
        <v>1293</v>
      </c>
      <c r="BK129" s="58" t="s">
        <v>1293</v>
      </c>
      <c r="BL129" s="58" t="s">
        <v>1293</v>
      </c>
      <c r="BM129" s="58" t="s">
        <v>1293</v>
      </c>
      <c r="BN129" s="58" t="s">
        <v>1293</v>
      </c>
      <c r="BO129" s="58" t="s">
        <v>1293</v>
      </c>
      <c r="BP129" s="58" t="s">
        <v>1293</v>
      </c>
      <c r="BQ129" s="58" t="s">
        <v>1293</v>
      </c>
      <c r="BR129" s="58" t="s">
        <v>1293</v>
      </c>
      <c r="BS129" s="58" t="s">
        <v>1293</v>
      </c>
      <c r="BT129" s="58" t="s">
        <v>1293</v>
      </c>
      <c r="BU129" s="72">
        <f t="shared" si="474"/>
        <v>41</v>
      </c>
      <c r="BV129" s="73">
        <f t="shared" si="475"/>
        <v>78</v>
      </c>
      <c r="BW129" s="74">
        <f t="shared" si="476"/>
        <v>82</v>
      </c>
      <c r="BX129" s="73">
        <f t="shared" si="477"/>
        <v>113</v>
      </c>
      <c r="BY129" s="74">
        <f t="shared" si="478"/>
        <v>117</v>
      </c>
      <c r="BZ129" s="73">
        <f t="shared" si="479"/>
        <v>153</v>
      </c>
      <c r="CA129" s="74">
        <f t="shared" si="480"/>
        <v>161</v>
      </c>
      <c r="CB129" s="73">
        <f t="shared" si="481"/>
        <v>198</v>
      </c>
      <c r="CC129" s="74">
        <f t="shared" si="482"/>
        <v>206</v>
      </c>
      <c r="CD129" s="73">
        <f t="shared" si="483"/>
        <v>258</v>
      </c>
      <c r="CE129" s="74">
        <f t="shared" si="484"/>
        <v>293</v>
      </c>
      <c r="CF129" s="73">
        <f t="shared" si="485"/>
        <v>322</v>
      </c>
      <c r="CG129" s="72">
        <f t="shared" si="486"/>
        <v>77</v>
      </c>
      <c r="CH129" s="73">
        <f t="shared" si="487"/>
        <v>81</v>
      </c>
      <c r="CI129" s="74">
        <f t="shared" si="488"/>
        <v>111</v>
      </c>
      <c r="CJ129" s="74">
        <f t="shared" si="489"/>
        <v>116</v>
      </c>
      <c r="CK129" s="74">
        <f t="shared" si="490"/>
        <v>152</v>
      </c>
      <c r="CL129" s="74">
        <f t="shared" si="491"/>
        <v>160</v>
      </c>
      <c r="CM129" s="74">
        <f t="shared" si="492"/>
        <v>187</v>
      </c>
      <c r="CN129" s="74">
        <f t="shared" si="493"/>
        <v>200</v>
      </c>
      <c r="CO129" s="74">
        <f t="shared" si="494"/>
        <v>238</v>
      </c>
      <c r="CP129" s="74">
        <f t="shared" si="495"/>
        <v>287</v>
      </c>
      <c r="CQ129" s="74">
        <f t="shared" si="496"/>
        <v>321</v>
      </c>
      <c r="CR129" s="74">
        <f t="shared" si="497"/>
        <v>328</v>
      </c>
      <c r="CS129" s="23">
        <f t="shared" si="498"/>
        <v>1</v>
      </c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  <c r="LI129" s="1"/>
      <c r="LJ129" s="1"/>
      <c r="LK129" s="1"/>
      <c r="LL129" s="1"/>
      <c r="LM129" s="1"/>
      <c r="LN129" s="1"/>
      <c r="LO129" s="1"/>
      <c r="LP129" s="1"/>
      <c r="LQ129" s="1"/>
      <c r="LR129" s="1"/>
      <c r="LS129" s="1"/>
      <c r="LT129" s="1"/>
      <c r="LU129" s="1"/>
      <c r="LV129" s="1"/>
      <c r="LW129" s="1"/>
      <c r="LX129" s="1"/>
      <c r="LY129" s="1"/>
      <c r="LZ129" s="1"/>
      <c r="MA129" s="1"/>
      <c r="MB129" s="1"/>
      <c r="MC129" s="1"/>
      <c r="MD129" s="1"/>
      <c r="ME129" s="1"/>
      <c r="MF129" s="1"/>
      <c r="MG129" s="1"/>
      <c r="MH129" s="1"/>
      <c r="MI129" s="1"/>
      <c r="MJ129" s="1"/>
      <c r="MK129" s="1"/>
      <c r="ML129" s="1"/>
      <c r="MM129" s="1"/>
      <c r="MN129" s="1"/>
      <c r="MO129" s="1"/>
      <c r="MP129" s="1"/>
      <c r="MQ129" s="1"/>
      <c r="MR129" s="1"/>
      <c r="MS129" s="1"/>
      <c r="MT129" s="1"/>
      <c r="MU129" s="1"/>
      <c r="MV129" s="1"/>
      <c r="MW129" s="1"/>
      <c r="MX129" s="1"/>
      <c r="MY129" s="1"/>
      <c r="MZ129" s="1"/>
      <c r="NA129" s="1"/>
      <c r="NB129" s="1"/>
      <c r="NC129" s="1"/>
      <c r="ND129" s="1"/>
      <c r="NE129" s="1"/>
      <c r="NF129" s="1"/>
      <c r="NG129" s="1"/>
      <c r="NH129" s="1"/>
      <c r="NI129" s="1"/>
      <c r="NJ129" s="1"/>
      <c r="NK129" s="1"/>
      <c r="NL129" s="1"/>
      <c r="NM129" s="1"/>
      <c r="NN129" s="1"/>
      <c r="NO129" s="1"/>
      <c r="NP129" s="1"/>
      <c r="NQ129" s="1"/>
      <c r="NR129" s="1"/>
      <c r="NS129" s="1"/>
      <c r="NT129" s="1"/>
      <c r="NU129" s="1"/>
      <c r="NV129" s="1"/>
      <c r="NW129" s="1"/>
      <c r="NX129" s="1"/>
      <c r="NY129" s="1"/>
      <c r="NZ129" s="1"/>
      <c r="OA129" s="1"/>
      <c r="OB129" s="1"/>
      <c r="OC129" s="1"/>
      <c r="OD129" s="1"/>
      <c r="OE129" s="1"/>
      <c r="OF129" s="1"/>
      <c r="OG129" s="1"/>
      <c r="OH129" s="1"/>
      <c r="OI129" s="1"/>
      <c r="OJ129" s="1"/>
      <c r="OK129" s="1"/>
      <c r="OL129" s="1"/>
      <c r="OM129" s="1"/>
      <c r="ON129" s="1"/>
      <c r="OO129" s="1"/>
      <c r="OP129" s="1"/>
      <c r="OQ129" s="1"/>
      <c r="OR129" s="1"/>
      <c r="OS129" s="1"/>
      <c r="OT129" s="1"/>
      <c r="OU129" s="1"/>
      <c r="OV129" s="1"/>
      <c r="OW129" s="1"/>
      <c r="OX129" s="1"/>
      <c r="OY129" s="1"/>
      <c r="OZ129" s="1"/>
      <c r="PA129" s="1"/>
      <c r="PB129" s="1"/>
      <c r="PC129" s="1"/>
      <c r="PD129" s="1"/>
      <c r="PE129" s="1"/>
      <c r="PF129" s="1"/>
      <c r="PG129" s="1"/>
      <c r="PH129" s="1"/>
      <c r="PI129" s="1"/>
      <c r="PJ129" s="1"/>
      <c r="PK129" s="1"/>
      <c r="PL129" s="1"/>
      <c r="PM129" s="1"/>
      <c r="PN129" s="1"/>
      <c r="PO129" s="1"/>
      <c r="PP129" s="1"/>
      <c r="PQ129" s="1"/>
      <c r="PR129" s="1"/>
      <c r="PS129" s="1"/>
      <c r="PT129" s="1"/>
      <c r="PU129" s="1"/>
      <c r="PV129" s="1"/>
      <c r="PW129" s="1"/>
      <c r="PX129" s="1"/>
      <c r="PY129" s="1"/>
      <c r="PZ129" s="1"/>
      <c r="QA129" s="1"/>
      <c r="QB129" s="1"/>
      <c r="QC129" s="1"/>
      <c r="QD129" s="1"/>
      <c r="QE129" s="1"/>
      <c r="QF129" s="1"/>
      <c r="QG129" s="1"/>
      <c r="QH129" s="1"/>
      <c r="QI129" s="1"/>
      <c r="QJ129" s="1"/>
      <c r="QK129" s="1"/>
      <c r="QL129" s="1"/>
      <c r="QM129" s="1"/>
      <c r="QN129" s="1"/>
      <c r="QO129" s="1"/>
      <c r="QP129" s="1"/>
      <c r="QQ129" s="1"/>
      <c r="QR129" s="1"/>
      <c r="QS129" s="1"/>
      <c r="QT129" s="1"/>
      <c r="QU129" s="1"/>
      <c r="QV129" s="1"/>
      <c r="QW129" s="1"/>
      <c r="QX129" s="1"/>
      <c r="QY129" s="1"/>
      <c r="QZ129" s="1"/>
      <c r="RA129" s="1"/>
      <c r="RB129" s="1"/>
      <c r="RC129" s="1"/>
      <c r="RD129" s="1"/>
      <c r="RE129" s="1"/>
      <c r="RF129" s="1"/>
      <c r="RG129" s="1"/>
      <c r="RH129" s="1"/>
      <c r="RI129" s="1"/>
      <c r="RJ129" s="1"/>
      <c r="RK129" s="1"/>
      <c r="RL129" s="1"/>
      <c r="RM129" s="1"/>
      <c r="RN129" s="1"/>
      <c r="RO129" s="1"/>
      <c r="RP129" s="1"/>
      <c r="RQ129" s="1"/>
      <c r="RR129" s="1"/>
      <c r="RS129" s="1"/>
      <c r="RT129" s="1"/>
      <c r="RU129" s="1"/>
      <c r="RV129" s="1"/>
      <c r="RW129" s="1"/>
      <c r="RX129" s="1"/>
      <c r="RY129" s="1"/>
      <c r="RZ129" s="1"/>
      <c r="SA129" s="1"/>
      <c r="SB129" s="1"/>
      <c r="SC129" s="1"/>
      <c r="SD129" s="1"/>
      <c r="SE129" s="1"/>
      <c r="SF129" s="1"/>
      <c r="SG129" s="1"/>
      <c r="SH129" s="1"/>
      <c r="SI129" s="1"/>
      <c r="SJ129" s="1"/>
      <c r="SK129" s="1"/>
      <c r="SL129" s="1"/>
      <c r="SM129" s="1"/>
      <c r="SN129" s="1"/>
      <c r="SO129" s="1"/>
      <c r="SP129" s="1"/>
      <c r="SQ129" s="1"/>
      <c r="SR129" s="1"/>
      <c r="SS129" s="1"/>
      <c r="ST129" s="1"/>
      <c r="SU129" s="1"/>
      <c r="SV129" s="1"/>
      <c r="SW129" s="1"/>
      <c r="SX129" s="1"/>
      <c r="SY129" s="1"/>
      <c r="SZ129" s="1"/>
      <c r="TA129" s="1"/>
      <c r="TB129" s="1"/>
      <c r="TC129" s="1"/>
      <c r="TD129" s="1"/>
      <c r="TE129" s="1"/>
      <c r="TF129" s="1"/>
      <c r="TG129" s="1"/>
      <c r="TH129" s="1"/>
      <c r="TI129" s="1"/>
      <c r="TJ129" s="1"/>
      <c r="TK129" s="1"/>
      <c r="TL129" s="1"/>
      <c r="TM129" s="1"/>
      <c r="TN129" s="1"/>
      <c r="TO129" s="1"/>
      <c r="TP129" s="1"/>
      <c r="TQ129" s="1"/>
      <c r="TR129" s="1"/>
      <c r="TS129" s="1"/>
      <c r="TT129" s="1"/>
      <c r="TU129" s="1"/>
      <c r="TV129" s="1"/>
      <c r="TW129" s="1"/>
      <c r="TX129" s="1"/>
      <c r="TY129" s="1"/>
      <c r="TZ129" s="1"/>
      <c r="UA129" s="1"/>
      <c r="UB129" s="1"/>
      <c r="UC129" s="1"/>
      <c r="UD129" s="1"/>
      <c r="UE129" s="1"/>
      <c r="UF129" s="1"/>
      <c r="UG129" s="1"/>
      <c r="UH129" s="1"/>
      <c r="UI129" s="1"/>
      <c r="UJ129" s="1"/>
      <c r="UK129" s="1"/>
      <c r="UL129" s="1"/>
      <c r="UM129" s="1"/>
      <c r="UN129" s="1"/>
      <c r="UO129" s="1"/>
      <c r="UP129" s="1"/>
      <c r="UQ129" s="1"/>
      <c r="UR129" s="1"/>
      <c r="US129" s="1"/>
      <c r="UT129" s="1"/>
      <c r="UU129" s="1"/>
      <c r="UV129" s="1"/>
      <c r="UW129" s="1"/>
      <c r="UX129" s="1"/>
      <c r="UY129" s="1"/>
      <c r="UZ129" s="1"/>
      <c r="VA129" s="1"/>
      <c r="VB129" s="1"/>
      <c r="VC129" s="1"/>
      <c r="VD129" s="1"/>
      <c r="VE129" s="1"/>
      <c r="VF129" s="1"/>
      <c r="VG129" s="1"/>
      <c r="VH129" s="1"/>
      <c r="VI129" s="1"/>
      <c r="VJ129" s="1"/>
      <c r="VK129" s="1"/>
      <c r="VL129" s="1"/>
      <c r="VM129" s="1"/>
      <c r="VN129" s="1"/>
      <c r="VO129" s="1"/>
      <c r="VP129" s="1"/>
      <c r="VQ129" s="1"/>
      <c r="VR129" s="1"/>
      <c r="VS129" s="1"/>
      <c r="VT129" s="1"/>
      <c r="VU129" s="1"/>
      <c r="VV129" s="1"/>
      <c r="VW129" s="1"/>
      <c r="VX129" s="1"/>
      <c r="VY129" s="1"/>
      <c r="VZ129" s="1"/>
      <c r="WA129" s="1"/>
      <c r="WB129" s="1"/>
      <c r="WC129" s="1"/>
      <c r="WD129" s="1"/>
      <c r="WE129" s="1"/>
      <c r="WF129" s="1"/>
      <c r="WG129" s="1"/>
      <c r="WH129" s="1"/>
      <c r="WI129" s="1"/>
      <c r="WJ129" s="1"/>
      <c r="WK129" s="1"/>
      <c r="WL129" s="1"/>
      <c r="WM129" s="1"/>
      <c r="WN129" s="1"/>
      <c r="WO129" s="1"/>
      <c r="WP129" s="1"/>
      <c r="WQ129" s="1"/>
      <c r="WR129" s="1"/>
      <c r="WS129" s="1"/>
      <c r="WT129" s="1"/>
      <c r="WU129" s="1"/>
      <c r="WV129" s="1"/>
      <c r="WW129" s="1"/>
      <c r="WX129" s="1"/>
      <c r="WY129" s="1"/>
      <c r="WZ129" s="1"/>
      <c r="XA129" s="1"/>
      <c r="XB129" s="1"/>
      <c r="XC129" s="1"/>
      <c r="XD129" s="1"/>
      <c r="XE129" s="1"/>
      <c r="XF129" s="1"/>
      <c r="XG129" s="1"/>
      <c r="XH129" s="1"/>
      <c r="XI129" s="1"/>
      <c r="XJ129" s="1"/>
      <c r="XK129" s="1"/>
      <c r="XL129" s="1"/>
      <c r="XM129" s="1"/>
      <c r="XN129" s="1"/>
      <c r="XO129" s="1"/>
      <c r="XP129" s="1"/>
      <c r="XQ129" s="1"/>
      <c r="XR129" s="1"/>
      <c r="XS129" s="1"/>
      <c r="XT129" s="1"/>
      <c r="XU129" s="1"/>
      <c r="XV129" s="1"/>
      <c r="XW129" s="1"/>
      <c r="XX129" s="1"/>
      <c r="XY129" s="1"/>
      <c r="XZ129" s="1"/>
      <c r="YA129" s="1"/>
      <c r="YB129" s="1"/>
      <c r="YC129" s="1"/>
      <c r="YD129" s="1"/>
      <c r="YE129" s="1"/>
      <c r="YF129" s="1"/>
      <c r="YG129" s="1"/>
      <c r="YH129" s="1"/>
      <c r="YI129" s="1"/>
      <c r="YJ129" s="1"/>
      <c r="YK129" s="1"/>
      <c r="YL129" s="1"/>
      <c r="YM129" s="1"/>
      <c r="YN129" s="1"/>
      <c r="YO129" s="1"/>
      <c r="YP129" s="1"/>
      <c r="YQ129" s="1"/>
      <c r="YR129" s="1"/>
      <c r="YS129" s="1"/>
      <c r="YT129" s="1"/>
      <c r="YU129" s="1"/>
      <c r="YV129" s="1"/>
      <c r="YW129" s="1"/>
      <c r="YX129" s="1"/>
      <c r="YY129" s="1"/>
      <c r="YZ129" s="1"/>
      <c r="ZA129" s="1"/>
      <c r="ZB129" s="1"/>
      <c r="ZC129" s="1"/>
      <c r="ZD129" s="1"/>
      <c r="ZE129" s="1"/>
      <c r="ZF129" s="1"/>
      <c r="ZG129" s="1"/>
      <c r="ZH129" s="1"/>
      <c r="ZI129" s="1"/>
      <c r="ZJ129" s="1"/>
      <c r="ZK129" s="1"/>
      <c r="ZL129" s="1"/>
      <c r="ZM129" s="1"/>
      <c r="ZN129" s="1"/>
      <c r="ZO129" s="1"/>
      <c r="ZP129" s="1"/>
      <c r="ZQ129" s="1"/>
      <c r="ZR129" s="1"/>
      <c r="ZS129" s="1"/>
      <c r="ZT129" s="1"/>
      <c r="ZU129" s="1"/>
      <c r="ZV129" s="1"/>
      <c r="ZW129" s="1"/>
      <c r="ZX129" s="1"/>
      <c r="ZY129" s="1"/>
      <c r="ZZ129" s="1"/>
      <c r="AAA129" s="1"/>
      <c r="AAB129" s="1"/>
      <c r="AAC129" s="1"/>
      <c r="AAD129" s="1"/>
      <c r="AAE129" s="1"/>
      <c r="AAF129" s="1"/>
      <c r="AAG129" s="1"/>
      <c r="AAH129" s="1"/>
      <c r="AAI129" s="1"/>
      <c r="AAJ129" s="1"/>
      <c r="AAK129" s="1"/>
      <c r="AAL129" s="1"/>
      <c r="AAM129" s="1"/>
      <c r="AAN129" s="1"/>
      <c r="AAO129" s="1"/>
      <c r="AAP129" s="1"/>
      <c r="AAQ129" s="1"/>
      <c r="AAR129" s="1"/>
      <c r="AAS129" s="1"/>
      <c r="AAT129" s="1"/>
      <c r="AAU129" s="1"/>
      <c r="AAV129" s="1"/>
      <c r="AAW129" s="1"/>
      <c r="AAX129" s="1"/>
      <c r="AAY129" s="1"/>
      <c r="AAZ129" s="1"/>
      <c r="ABA129" s="1"/>
      <c r="ABB129" s="1"/>
      <c r="ABC129" s="1"/>
      <c r="ABD129" s="1"/>
      <c r="ABE129" s="1"/>
      <c r="ABF129" s="1"/>
      <c r="ABG129" s="1"/>
      <c r="ABH129" s="1"/>
      <c r="ABI129" s="1"/>
      <c r="ABJ129" s="1"/>
      <c r="ABK129" s="1"/>
      <c r="ABL129" s="1"/>
      <c r="ABM129" s="1"/>
      <c r="ABN129" s="1"/>
      <c r="ABO129" s="1"/>
      <c r="ABP129" s="1"/>
      <c r="ABQ129" s="1"/>
      <c r="ABR129" s="1"/>
      <c r="ABS129" s="1"/>
      <c r="ABT129" s="1"/>
      <c r="ABU129" s="1"/>
      <c r="ABV129" s="1"/>
      <c r="ABW129" s="1"/>
      <c r="ABX129" s="1"/>
      <c r="ABY129" s="1"/>
      <c r="ABZ129" s="1"/>
      <c r="ACA129" s="1"/>
      <c r="ACB129" s="1"/>
      <c r="ACC129" s="1"/>
      <c r="ACD129" s="1"/>
      <c r="ACE129" s="1"/>
      <c r="ACF129" s="1"/>
      <c r="ACG129" s="1"/>
      <c r="ACH129" s="1"/>
      <c r="ACI129" s="1"/>
      <c r="ACJ129" s="1"/>
      <c r="ACK129" s="1"/>
      <c r="ACL129" s="1"/>
      <c r="ACM129" s="1"/>
      <c r="ACN129" s="1"/>
      <c r="ACO129" s="1"/>
      <c r="ACP129" s="1"/>
      <c r="ACQ129" s="1"/>
      <c r="ACR129" s="1"/>
      <c r="ACS129" s="1"/>
      <c r="ACT129" s="1"/>
      <c r="ACU129" s="1"/>
      <c r="ACV129" s="1"/>
      <c r="ACW129" s="1"/>
      <c r="ACX129" s="1"/>
      <c r="ACY129" s="1"/>
      <c r="ACZ129" s="1"/>
      <c r="ADA129" s="1"/>
      <c r="ADB129" s="1"/>
      <c r="ADC129" s="1"/>
      <c r="ADD129" s="1"/>
      <c r="ADE129" s="1"/>
      <c r="ADF129" s="1"/>
      <c r="ADG129" s="1"/>
      <c r="ADH129" s="1"/>
      <c r="ADI129" s="1"/>
      <c r="ADJ129" s="1"/>
      <c r="ADK129" s="1"/>
      <c r="ADL129" s="1"/>
      <c r="ADM129" s="1"/>
      <c r="ADN129" s="1"/>
      <c r="ADO129" s="1"/>
      <c r="ADP129" s="1"/>
      <c r="ADQ129" s="1"/>
      <c r="ADR129" s="1"/>
      <c r="ADS129" s="1"/>
      <c r="ADT129" s="1"/>
      <c r="ADU129" s="1"/>
      <c r="ADV129" s="1"/>
      <c r="ADW129" s="1"/>
      <c r="ADX129" s="1"/>
      <c r="ADY129" s="1"/>
      <c r="ADZ129" s="1"/>
      <c r="AEA129" s="1"/>
      <c r="AEB129" s="1"/>
      <c r="AEC129" s="1"/>
      <c r="AED129" s="1"/>
      <c r="AEE129" s="1"/>
      <c r="AEF129" s="1"/>
      <c r="AEG129" s="1"/>
      <c r="AEH129" s="1"/>
      <c r="AEI129" s="1"/>
      <c r="AEJ129" s="1"/>
      <c r="AEK129" s="1"/>
      <c r="AEL129" s="1"/>
      <c r="AEM129" s="1"/>
      <c r="AEN129" s="1"/>
      <c r="AEO129" s="1"/>
      <c r="AEP129" s="1"/>
      <c r="AEQ129" s="1"/>
      <c r="AER129" s="1"/>
      <c r="AES129" s="1"/>
      <c r="AET129" s="1"/>
      <c r="AEU129" s="1"/>
      <c r="AEV129" s="1"/>
      <c r="AEW129" s="1"/>
      <c r="AEX129" s="1"/>
      <c r="AEY129" s="1"/>
      <c r="AEZ129" s="1"/>
      <c r="AFA129" s="1"/>
      <c r="AFB129" s="1"/>
      <c r="AFC129" s="1"/>
      <c r="AFD129" s="1"/>
      <c r="AFE129" s="1"/>
      <c r="AFF129" s="1"/>
      <c r="AFG129" s="1"/>
      <c r="AFH129" s="1"/>
      <c r="AFI129" s="1"/>
      <c r="AFJ129" s="1"/>
      <c r="AFK129" s="1"/>
      <c r="AFL129" s="1"/>
      <c r="AFM129" s="1"/>
      <c r="AFN129" s="1"/>
      <c r="AFO129" s="1"/>
      <c r="AFP129" s="1"/>
      <c r="AFQ129" s="1"/>
      <c r="AFR129" s="1"/>
      <c r="AFS129" s="1"/>
      <c r="AFT129" s="1"/>
      <c r="AFU129" s="1"/>
      <c r="AFV129" s="1"/>
      <c r="AFW129" s="1"/>
      <c r="AFX129" s="1"/>
      <c r="AFY129" s="1"/>
      <c r="AFZ129" s="1"/>
      <c r="AGA129" s="1"/>
      <c r="AGB129" s="1"/>
      <c r="AGC129" s="1"/>
      <c r="AGD129" s="1"/>
      <c r="AGE129" s="1"/>
      <c r="AGF129" s="1"/>
      <c r="AGG129" s="1"/>
      <c r="AGH129" s="1"/>
      <c r="AGI129" s="1"/>
      <c r="AGJ129" s="1"/>
      <c r="AGK129" s="1"/>
      <c r="AGL129" s="1"/>
      <c r="AGM129" s="1"/>
      <c r="AGN129" s="1"/>
      <c r="AGO129" s="1"/>
      <c r="AGP129" s="1"/>
      <c r="AGQ129" s="1"/>
      <c r="AGR129" s="1"/>
      <c r="AGS129" s="1"/>
      <c r="AGT129" s="1"/>
      <c r="AGU129" s="1"/>
      <c r="AGV129" s="1"/>
      <c r="AGW129" s="1"/>
      <c r="AGX129" s="1"/>
      <c r="AGY129" s="1"/>
      <c r="AGZ129" s="1"/>
      <c r="AHA129" s="1"/>
      <c r="AHB129" s="1"/>
      <c r="AHC129" s="1"/>
      <c r="AHD129" s="1"/>
      <c r="AHE129" s="1"/>
      <c r="AHF129" s="1"/>
      <c r="AHG129" s="1"/>
      <c r="AHH129" s="1"/>
      <c r="AHI129" s="1"/>
      <c r="AHJ129" s="1"/>
      <c r="AHK129" s="1"/>
      <c r="AHL129" s="1"/>
      <c r="AHM129" s="1"/>
      <c r="AHN129" s="1"/>
      <c r="AHO129" s="1"/>
      <c r="AHP129" s="1"/>
      <c r="AHQ129" s="1"/>
      <c r="AHR129" s="1"/>
      <c r="AHS129" s="1"/>
      <c r="AHT129" s="1"/>
      <c r="AHU129" s="1"/>
      <c r="AHV129" s="1"/>
      <c r="AHW129" s="1"/>
      <c r="AHX129" s="1"/>
      <c r="AHY129" s="1"/>
      <c r="AHZ129" s="1"/>
      <c r="AIA129" s="1"/>
      <c r="AIB129" s="1"/>
      <c r="AIC129" s="1"/>
      <c r="AID129" s="1"/>
      <c r="AIE129" s="1"/>
      <c r="AIF129" s="1"/>
      <c r="AIG129" s="1"/>
      <c r="AIH129" s="1"/>
      <c r="AII129" s="1"/>
      <c r="AIJ129" s="1"/>
      <c r="AIK129" s="1"/>
      <c r="AIL129" s="1"/>
      <c r="AIM129" s="1"/>
      <c r="AIN129" s="1"/>
      <c r="AIO129" s="1"/>
      <c r="AIP129" s="1"/>
      <c r="AIQ129" s="1"/>
      <c r="AIR129" s="1"/>
      <c r="AIS129" s="1"/>
      <c r="AIT129" s="1"/>
      <c r="AIU129" s="1"/>
      <c r="AIV129" s="1"/>
      <c r="AIW129" s="1"/>
      <c r="AIX129" s="1"/>
      <c r="AIY129" s="1"/>
      <c r="AIZ129" s="1"/>
      <c r="AJA129" s="1"/>
      <c r="AJB129" s="1"/>
      <c r="AJC129" s="1"/>
      <c r="AJD129" s="1"/>
      <c r="AJE129" s="1"/>
      <c r="AJF129" s="1"/>
      <c r="AJG129" s="1"/>
      <c r="AJH129" s="1"/>
      <c r="AJI129" s="1"/>
      <c r="AJJ129" s="1"/>
      <c r="AJK129" s="1"/>
      <c r="AJL129" s="1"/>
      <c r="AJM129" s="1"/>
      <c r="AJN129" s="1"/>
      <c r="AJO129" s="1"/>
      <c r="AJP129" s="1"/>
      <c r="AJQ129" s="1"/>
      <c r="AJR129" s="1"/>
      <c r="AJS129" s="1"/>
      <c r="AJT129" s="1"/>
      <c r="AJU129" s="1"/>
      <c r="AJV129" s="1"/>
      <c r="AJW129" s="1"/>
      <c r="AJX129" s="1"/>
      <c r="AJY129" s="1"/>
      <c r="AJZ129" s="1"/>
      <c r="AKA129" s="1"/>
      <c r="AKB129" s="1"/>
      <c r="AKC129" s="1"/>
      <c r="AKD129" s="1"/>
      <c r="AKE129" s="1"/>
      <c r="AKF129" s="1"/>
      <c r="AKG129" s="1"/>
      <c r="AKH129" s="1"/>
      <c r="AKI129" s="1"/>
      <c r="AKJ129" s="1"/>
      <c r="AKK129" s="1"/>
      <c r="AKL129" s="1"/>
      <c r="AKM129" s="1"/>
      <c r="AKN129" s="1"/>
      <c r="AKO129" s="1"/>
      <c r="AKP129" s="1"/>
      <c r="AKQ129" s="1"/>
      <c r="AKR129" s="1"/>
      <c r="AKS129" s="1"/>
      <c r="AKT129" s="1"/>
      <c r="AKU129" s="1"/>
      <c r="AKV129" s="1"/>
      <c r="AKW129" s="1"/>
      <c r="AKX129" s="1"/>
      <c r="AKY129" s="1"/>
      <c r="AKZ129" s="1"/>
      <c r="ALA129" s="1"/>
      <c r="ALB129" s="1"/>
      <c r="ALC129" s="1"/>
      <c r="ALD129" s="1"/>
      <c r="ALE129" s="1"/>
      <c r="ALF129" s="1"/>
      <c r="ALG129" s="1"/>
      <c r="ALH129" s="1"/>
      <c r="ALI129" s="1"/>
      <c r="ALJ129" s="1"/>
      <c r="ALK129" s="1"/>
      <c r="ALL129" s="1"/>
      <c r="ALM129" s="1"/>
      <c r="ALN129" s="1"/>
      <c r="ALO129" s="1"/>
      <c r="ALP129" s="1"/>
      <c r="ALQ129" s="1"/>
      <c r="ALR129" s="1"/>
      <c r="ALS129" s="1"/>
      <c r="ALT129" s="1"/>
      <c r="ALU129" s="1"/>
      <c r="ALV129" s="1"/>
      <c r="ALW129" s="1"/>
      <c r="ALX129" s="1"/>
      <c r="ALY129" s="1"/>
      <c r="ALZ129" s="1"/>
      <c r="AMA129" s="1"/>
      <c r="AMB129" s="1"/>
      <c r="AMC129" s="1"/>
      <c r="AMD129" s="1"/>
      <c r="AME129" s="1"/>
      <c r="AMF129" s="1"/>
      <c r="AMG129" s="1"/>
      <c r="AMH129" s="1"/>
      <c r="AMI129" s="1"/>
      <c r="AMJ129" s="1"/>
      <c r="AMK129" s="1"/>
      <c r="AML129" s="1"/>
      <c r="AMM129" s="1"/>
      <c r="AMN129" s="1"/>
      <c r="AMO129" s="1"/>
    </row>
    <row r="130" spans="1:1029" x14ac:dyDescent="0.2">
      <c r="A130" s="3" t="str">
        <f t="shared" si="555"/>
        <v>oprk_human__wt</v>
      </c>
      <c r="B130" s="3" t="s">
        <v>336</v>
      </c>
      <c r="C130" s="3" t="s">
        <v>100</v>
      </c>
      <c r="D130" s="3" t="str">
        <f>IFERROR(MID(VLOOKUP($B130,Seqs!$A:$B,2,0),E130,1),"")</f>
        <v>A</v>
      </c>
      <c r="E130" s="3">
        <v>57</v>
      </c>
      <c r="F130" s="3" t="str">
        <f>IFERROR(MID(VLOOKUP($B130,Seqs!$A:$B,2,0),G130,1),"")</f>
        <v>Y</v>
      </c>
      <c r="G130" s="3">
        <v>87</v>
      </c>
      <c r="H130" s="3" t="str">
        <f>IFERROR(MID(VLOOKUP($B130,Seqs!$A:$B,2,0),I130,1),"")</f>
        <v>T</v>
      </c>
      <c r="I130" s="23">
        <v>88</v>
      </c>
      <c r="J130" s="3" t="str">
        <f>IFERROR(MID(VLOOKUP($B130,Seqs!$A:$B,2,0),K130,1),"")</f>
        <v>K</v>
      </c>
      <c r="K130" s="23">
        <v>91</v>
      </c>
      <c r="L130" s="3" t="str">
        <f>IFERROR(MID(VLOOKUP($B130,Seqs!$A:$B,2,0),M130,1),"")</f>
        <v>T</v>
      </c>
      <c r="M130" s="3">
        <v>92</v>
      </c>
      <c r="N130" s="3" t="str">
        <f>IFERROR(MID(VLOOKUP($B130,Seqs!$A:$B,2,0),O130,1),"")</f>
        <v>M</v>
      </c>
      <c r="O130" s="3">
        <v>121</v>
      </c>
      <c r="P130" s="3" t="str">
        <f>IFERROR(MID(VLOOKUP($B130,Seqs!$A:$B,2,0),Q130,1),"")</f>
        <v>S</v>
      </c>
      <c r="Q130" s="3">
        <v>123</v>
      </c>
      <c r="R130" s="3" t="str">
        <f>IFERROR(MID(VLOOKUP($B130,Seqs!$A:$B,2,0),S130,1),"")</f>
        <v>F</v>
      </c>
      <c r="S130" s="3">
        <v>126</v>
      </c>
      <c r="T130" s="3" t="str">
        <f>IFERROR(MID(VLOOKUP($B130,Seqs!$A:$B,2,0),U130,1),"")</f>
        <v>G</v>
      </c>
      <c r="U130" s="3">
        <v>127</v>
      </c>
      <c r="V130" s="3" t="str">
        <f>IFERROR(MID(VLOOKUP($B130,Seqs!$A:$B,2,0),W130,1),"")</f>
        <v>H</v>
      </c>
      <c r="W130" s="3">
        <v>162</v>
      </c>
      <c r="X130" s="3" t="str">
        <f>IFERROR(MID(VLOOKUP($B130,Seqs!$A:$B,2,0),Y130,1),"")</f>
        <v>P</v>
      </c>
      <c r="Y130" s="3">
        <v>163</v>
      </c>
      <c r="Z130" s="3" t="str">
        <f>IFERROR(MID(VLOOKUP($B130,Seqs!$A:$B,2,0),AA130,1),"")</f>
        <v>R</v>
      </c>
      <c r="AA130" s="3">
        <v>170</v>
      </c>
      <c r="AB130" s="3" t="str">
        <f>IFERROR(MID(VLOOKUP($B130,Seqs!$A:$B,2,0),AC130,1),"")</f>
        <v>T</v>
      </c>
      <c r="AC130" s="9">
        <v>171</v>
      </c>
      <c r="AD130" s="3" t="str">
        <f>IFERROR(MID(VLOOKUP($B130,Seqs!$A:$B,2,0),AE130,1),"")</f>
        <v>G</v>
      </c>
      <c r="AE130" s="3">
        <v>197</v>
      </c>
      <c r="AF130" s="3" t="str">
        <f>IFERROR(MID(VLOOKUP($B130,Seqs!$A:$B,2,0),AG130,1),"")</f>
        <v>C</v>
      </c>
      <c r="AG130" s="3">
        <v>210</v>
      </c>
      <c r="AH130" s="3" t="str">
        <f>IFERROR(MID(VLOOKUP($B130,Seqs!$A:$B,2,0),AI130,1),"")</f>
        <v>L</v>
      </c>
      <c r="AI130" s="3">
        <v>212</v>
      </c>
      <c r="AJ130" s="3" t="str">
        <f>IFERROR(MID(VLOOKUP($B130,Seqs!$A:$B,2,0),AK130,1),"")</f>
        <v>Y</v>
      </c>
      <c r="AK130" s="3">
        <v>219</v>
      </c>
      <c r="AL130" s="3" t="str">
        <f>IFERROR(MID(VLOOKUP($B130,Seqs!$A:$B,2,0),AM130,1),"")</f>
        <v>V</v>
      </c>
      <c r="AM130" s="3">
        <v>256</v>
      </c>
      <c r="AN130" s="3" t="str">
        <f>IFERROR(MID(VLOOKUP($B130,Seqs!$A:$B,2,0),AO130,1),"")</f>
        <v>S</v>
      </c>
      <c r="AO130" s="3">
        <v>262</v>
      </c>
      <c r="AP130" s="3" t="str">
        <f>IFERROR(MID(VLOOKUP($B130,Seqs!$A:$B,2,0),AQ130,1),"")</f>
        <v>G</v>
      </c>
      <c r="AQ130" s="3">
        <v>300</v>
      </c>
      <c r="AR130" s="3" t="str">
        <f>IFERROR(MID(VLOOKUP($B130,Seqs!$A:$B,2,0),AS130,1),"")</f>
        <v>S</v>
      </c>
      <c r="AS130" s="3">
        <v>305</v>
      </c>
      <c r="AT130" s="3" t="str">
        <f>IFERROR(MID(VLOOKUP($B130,Seqs!$A:$B,2,0),AU130,1),"")</f>
        <v>L</v>
      </c>
      <c r="AU130" s="3">
        <v>333</v>
      </c>
      <c r="AV130" s="3" t="str">
        <f>IFERROR(MID(VLOOKUP($B130,Seqs!$A:$B,2,0),AW130,1),"")</f>
        <v>D</v>
      </c>
      <c r="AW130" s="3">
        <v>334</v>
      </c>
      <c r="AX130" s="3" t="str">
        <f>IFERROR(MID(VLOOKUP($B130,Seqs!$A:$B,2,0),AY130,1),"")</f>
        <v>F</v>
      </c>
      <c r="AY130" s="3">
        <v>346</v>
      </c>
      <c r="AZ130" s="79" t="str">
        <f>VLOOKUP(B130,Classification!A:D,2,0)</f>
        <v>A</v>
      </c>
      <c r="BA130" s="97" t="str">
        <f>VLOOKUP(B130,Classification!A:D,4,0)</f>
        <v>Opioid</v>
      </c>
      <c r="BB130" s="27" t="b">
        <f t="shared" si="556"/>
        <v>1</v>
      </c>
      <c r="BC130" s="23">
        <f t="shared" si="473"/>
        <v>262</v>
      </c>
      <c r="BD130" s="57" t="s">
        <v>1379</v>
      </c>
      <c r="BE130" s="3" t="s">
        <v>1381</v>
      </c>
      <c r="BF130" s="50" t="s">
        <v>1379</v>
      </c>
      <c r="BG130" s="50" t="s">
        <v>1384</v>
      </c>
      <c r="BH130" s="1"/>
      <c r="BI130" s="72" t="s">
        <v>1293</v>
      </c>
      <c r="BJ130" s="58" t="s">
        <v>1293</v>
      </c>
      <c r="BK130" s="58" t="s">
        <v>1293</v>
      </c>
      <c r="BL130" s="58" t="s">
        <v>1293</v>
      </c>
      <c r="BM130" s="58" t="s">
        <v>1293</v>
      </c>
      <c r="BN130" s="58" t="s">
        <v>1293</v>
      </c>
      <c r="BO130" s="58" t="s">
        <v>1293</v>
      </c>
      <c r="BP130" s="58" t="s">
        <v>1293</v>
      </c>
      <c r="BQ130" s="58" t="s">
        <v>1293</v>
      </c>
      <c r="BR130" s="58" t="s">
        <v>1293</v>
      </c>
      <c r="BS130" s="58" t="s">
        <v>1293</v>
      </c>
      <c r="BT130" s="58" t="s">
        <v>1293</v>
      </c>
      <c r="BU130" s="72">
        <f t="shared" si="474"/>
        <v>57</v>
      </c>
      <c r="BV130" s="73">
        <f t="shared" si="475"/>
        <v>88</v>
      </c>
      <c r="BW130" s="74">
        <f t="shared" si="476"/>
        <v>92</v>
      </c>
      <c r="BX130" s="73">
        <f t="shared" si="477"/>
        <v>123</v>
      </c>
      <c r="BY130" s="74">
        <f t="shared" si="478"/>
        <v>127</v>
      </c>
      <c r="BZ130" s="73">
        <f t="shared" si="479"/>
        <v>163</v>
      </c>
      <c r="CA130" s="74">
        <f t="shared" si="480"/>
        <v>171</v>
      </c>
      <c r="CB130" s="73">
        <f t="shared" si="481"/>
        <v>210</v>
      </c>
      <c r="CC130" s="74">
        <f t="shared" si="482"/>
        <v>219</v>
      </c>
      <c r="CD130" s="73">
        <f t="shared" si="483"/>
        <v>262</v>
      </c>
      <c r="CE130" s="74">
        <f t="shared" si="484"/>
        <v>305</v>
      </c>
      <c r="CF130" s="73">
        <f t="shared" si="485"/>
        <v>334</v>
      </c>
      <c r="CG130" s="72">
        <f t="shared" si="486"/>
        <v>87</v>
      </c>
      <c r="CH130" s="73">
        <f t="shared" si="487"/>
        <v>91</v>
      </c>
      <c r="CI130" s="74">
        <f t="shared" si="488"/>
        <v>121</v>
      </c>
      <c r="CJ130" s="74">
        <f t="shared" si="489"/>
        <v>126</v>
      </c>
      <c r="CK130" s="74">
        <f t="shared" si="490"/>
        <v>162</v>
      </c>
      <c r="CL130" s="74">
        <f t="shared" si="491"/>
        <v>170</v>
      </c>
      <c r="CM130" s="74">
        <f t="shared" si="492"/>
        <v>197</v>
      </c>
      <c r="CN130" s="74">
        <f t="shared" si="493"/>
        <v>212</v>
      </c>
      <c r="CO130" s="74">
        <f t="shared" si="494"/>
        <v>256</v>
      </c>
      <c r="CP130" s="74">
        <f t="shared" si="495"/>
        <v>300</v>
      </c>
      <c r="CQ130" s="74">
        <f t="shared" si="496"/>
        <v>333</v>
      </c>
      <c r="CR130" s="74">
        <f t="shared" si="497"/>
        <v>346</v>
      </c>
      <c r="CS130" s="23">
        <f t="shared" si="498"/>
        <v>1</v>
      </c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/>
      <c r="LU130" s="1"/>
      <c r="LV130" s="1"/>
      <c r="LW130" s="1"/>
      <c r="LX130" s="1"/>
      <c r="LY130" s="1"/>
      <c r="LZ130" s="1"/>
      <c r="MA130" s="1"/>
      <c r="MB130" s="1"/>
      <c r="MC130" s="1"/>
      <c r="MD130" s="1"/>
      <c r="ME130" s="1"/>
      <c r="MF130" s="1"/>
      <c r="MG130" s="1"/>
      <c r="MH130" s="1"/>
      <c r="MI130" s="1"/>
      <c r="MJ130" s="1"/>
      <c r="MK130" s="1"/>
      <c r="ML130" s="1"/>
      <c r="MM130" s="1"/>
      <c r="MN130" s="1"/>
      <c r="MO130" s="1"/>
      <c r="MP130" s="1"/>
      <c r="MQ130" s="1"/>
      <c r="MR130" s="1"/>
      <c r="MS130" s="1"/>
      <c r="MT130" s="1"/>
      <c r="MU130" s="1"/>
      <c r="MV130" s="1"/>
      <c r="MW130" s="1"/>
      <c r="MX130" s="1"/>
      <c r="MY130" s="1"/>
      <c r="MZ130" s="1"/>
      <c r="NA130" s="1"/>
      <c r="NB130" s="1"/>
      <c r="NC130" s="1"/>
      <c r="ND130" s="1"/>
      <c r="NE130" s="1"/>
      <c r="NF130" s="1"/>
      <c r="NG130" s="1"/>
      <c r="NH130" s="1"/>
      <c r="NI130" s="1"/>
      <c r="NJ130" s="1"/>
      <c r="NK130" s="1"/>
      <c r="NL130" s="1"/>
      <c r="NM130" s="1"/>
      <c r="NN130" s="1"/>
      <c r="NO130" s="1"/>
      <c r="NP130" s="1"/>
      <c r="NQ130" s="1"/>
      <c r="NR130" s="1"/>
      <c r="NS130" s="1"/>
      <c r="NT130" s="1"/>
      <c r="NU130" s="1"/>
      <c r="NV130" s="1"/>
      <c r="NW130" s="1"/>
      <c r="NX130" s="1"/>
      <c r="NY130" s="1"/>
      <c r="NZ130" s="1"/>
      <c r="OA130" s="1"/>
      <c r="OB130" s="1"/>
      <c r="OC130" s="1"/>
      <c r="OD130" s="1"/>
      <c r="OE130" s="1"/>
      <c r="OF130" s="1"/>
      <c r="OG130" s="1"/>
      <c r="OH130" s="1"/>
      <c r="OI130" s="1"/>
      <c r="OJ130" s="1"/>
      <c r="OK130" s="1"/>
      <c r="OL130" s="1"/>
      <c r="OM130" s="1"/>
      <c r="ON130" s="1"/>
      <c r="OO130" s="1"/>
      <c r="OP130" s="1"/>
      <c r="OQ130" s="1"/>
      <c r="OR130" s="1"/>
      <c r="OS130" s="1"/>
      <c r="OT130" s="1"/>
      <c r="OU130" s="1"/>
      <c r="OV130" s="1"/>
      <c r="OW130" s="1"/>
      <c r="OX130" s="1"/>
      <c r="OY130" s="1"/>
      <c r="OZ130" s="1"/>
      <c r="PA130" s="1"/>
      <c r="PB130" s="1"/>
      <c r="PC130" s="1"/>
      <c r="PD130" s="1"/>
      <c r="PE130" s="1"/>
      <c r="PF130" s="1"/>
      <c r="PG130" s="1"/>
      <c r="PH130" s="1"/>
      <c r="PI130" s="1"/>
      <c r="PJ130" s="1"/>
      <c r="PK130" s="1"/>
      <c r="PL130" s="1"/>
      <c r="PM130" s="1"/>
      <c r="PN130" s="1"/>
      <c r="PO130" s="1"/>
      <c r="PP130" s="1"/>
      <c r="PQ130" s="1"/>
      <c r="PR130" s="1"/>
      <c r="PS130" s="1"/>
      <c r="PT130" s="1"/>
      <c r="PU130" s="1"/>
      <c r="PV130" s="1"/>
      <c r="PW130" s="1"/>
      <c r="PX130" s="1"/>
      <c r="PY130" s="1"/>
      <c r="PZ130" s="1"/>
      <c r="QA130" s="1"/>
      <c r="QB130" s="1"/>
      <c r="QC130" s="1"/>
      <c r="QD130" s="1"/>
      <c r="QE130" s="1"/>
      <c r="QF130" s="1"/>
      <c r="QG130" s="1"/>
      <c r="QH130" s="1"/>
      <c r="QI130" s="1"/>
      <c r="QJ130" s="1"/>
      <c r="QK130" s="1"/>
      <c r="QL130" s="1"/>
      <c r="QM130" s="1"/>
      <c r="QN130" s="1"/>
      <c r="QO130" s="1"/>
      <c r="QP130" s="1"/>
      <c r="QQ130" s="1"/>
      <c r="QR130" s="1"/>
      <c r="QS130" s="1"/>
      <c r="QT130" s="1"/>
      <c r="QU130" s="1"/>
      <c r="QV130" s="1"/>
      <c r="QW130" s="1"/>
      <c r="QX130" s="1"/>
      <c r="QY130" s="1"/>
      <c r="QZ130" s="1"/>
      <c r="RA130" s="1"/>
      <c r="RB130" s="1"/>
      <c r="RC130" s="1"/>
      <c r="RD130" s="1"/>
      <c r="RE130" s="1"/>
      <c r="RF130" s="1"/>
      <c r="RG130" s="1"/>
      <c r="RH130" s="1"/>
      <c r="RI130" s="1"/>
      <c r="RJ130" s="1"/>
      <c r="RK130" s="1"/>
      <c r="RL130" s="1"/>
      <c r="RM130" s="1"/>
      <c r="RN130" s="1"/>
      <c r="RO130" s="1"/>
      <c r="RP130" s="1"/>
      <c r="RQ130" s="1"/>
      <c r="RR130" s="1"/>
      <c r="RS130" s="1"/>
      <c r="RT130" s="1"/>
      <c r="RU130" s="1"/>
      <c r="RV130" s="1"/>
      <c r="RW130" s="1"/>
      <c r="RX130" s="1"/>
      <c r="RY130" s="1"/>
      <c r="RZ130" s="1"/>
      <c r="SA130" s="1"/>
      <c r="SB130" s="1"/>
      <c r="SC130" s="1"/>
      <c r="SD130" s="1"/>
      <c r="SE130" s="1"/>
      <c r="SF130" s="1"/>
      <c r="SG130" s="1"/>
      <c r="SH130" s="1"/>
      <c r="SI130" s="1"/>
      <c r="SJ130" s="1"/>
      <c r="SK130" s="1"/>
      <c r="SL130" s="1"/>
      <c r="SM130" s="1"/>
      <c r="SN130" s="1"/>
      <c r="SO130" s="1"/>
      <c r="SP130" s="1"/>
      <c r="SQ130" s="1"/>
      <c r="SR130" s="1"/>
      <c r="SS130" s="1"/>
      <c r="ST130" s="1"/>
      <c r="SU130" s="1"/>
      <c r="SV130" s="1"/>
      <c r="SW130" s="1"/>
      <c r="SX130" s="1"/>
      <c r="SY130" s="1"/>
      <c r="SZ130" s="1"/>
      <c r="TA130" s="1"/>
      <c r="TB130" s="1"/>
      <c r="TC130" s="1"/>
      <c r="TD130" s="1"/>
      <c r="TE130" s="1"/>
      <c r="TF130" s="1"/>
      <c r="TG130" s="1"/>
      <c r="TH130" s="1"/>
      <c r="TI130" s="1"/>
      <c r="TJ130" s="1"/>
      <c r="TK130" s="1"/>
      <c r="TL130" s="1"/>
      <c r="TM130" s="1"/>
      <c r="TN130" s="1"/>
      <c r="TO130" s="1"/>
      <c r="TP130" s="1"/>
      <c r="TQ130" s="1"/>
      <c r="TR130" s="1"/>
      <c r="TS130" s="1"/>
      <c r="TT130" s="1"/>
      <c r="TU130" s="1"/>
      <c r="TV130" s="1"/>
      <c r="TW130" s="1"/>
      <c r="TX130" s="1"/>
      <c r="TY130" s="1"/>
      <c r="TZ130" s="1"/>
      <c r="UA130" s="1"/>
      <c r="UB130" s="1"/>
      <c r="UC130" s="1"/>
      <c r="UD130" s="1"/>
      <c r="UE130" s="1"/>
      <c r="UF130" s="1"/>
      <c r="UG130" s="1"/>
      <c r="UH130" s="1"/>
      <c r="UI130" s="1"/>
      <c r="UJ130" s="1"/>
      <c r="UK130" s="1"/>
      <c r="UL130" s="1"/>
      <c r="UM130" s="1"/>
      <c r="UN130" s="1"/>
      <c r="UO130" s="1"/>
      <c r="UP130" s="1"/>
      <c r="UQ130" s="1"/>
      <c r="UR130" s="1"/>
      <c r="US130" s="1"/>
      <c r="UT130" s="1"/>
      <c r="UU130" s="1"/>
      <c r="UV130" s="1"/>
      <c r="UW130" s="1"/>
      <c r="UX130" s="1"/>
      <c r="UY130" s="1"/>
      <c r="UZ130" s="1"/>
      <c r="VA130" s="1"/>
      <c r="VB130" s="1"/>
      <c r="VC130" s="1"/>
      <c r="VD130" s="1"/>
      <c r="VE130" s="1"/>
      <c r="VF130" s="1"/>
      <c r="VG130" s="1"/>
      <c r="VH130" s="1"/>
      <c r="VI130" s="1"/>
      <c r="VJ130" s="1"/>
      <c r="VK130" s="1"/>
      <c r="VL130" s="1"/>
      <c r="VM130" s="1"/>
      <c r="VN130" s="1"/>
      <c r="VO130" s="1"/>
      <c r="VP130" s="1"/>
      <c r="VQ130" s="1"/>
      <c r="VR130" s="1"/>
      <c r="VS130" s="1"/>
      <c r="VT130" s="1"/>
      <c r="VU130" s="1"/>
      <c r="VV130" s="1"/>
      <c r="VW130" s="1"/>
      <c r="VX130" s="1"/>
      <c r="VY130" s="1"/>
      <c r="VZ130" s="1"/>
      <c r="WA130" s="1"/>
      <c r="WB130" s="1"/>
      <c r="WC130" s="1"/>
      <c r="WD130" s="1"/>
      <c r="WE130" s="1"/>
      <c r="WF130" s="1"/>
      <c r="WG130" s="1"/>
      <c r="WH130" s="1"/>
      <c r="WI130" s="1"/>
      <c r="WJ130" s="1"/>
      <c r="WK130" s="1"/>
      <c r="WL130" s="1"/>
      <c r="WM130" s="1"/>
      <c r="WN130" s="1"/>
      <c r="WO130" s="1"/>
      <c r="WP130" s="1"/>
      <c r="WQ130" s="1"/>
      <c r="WR130" s="1"/>
      <c r="WS130" s="1"/>
      <c r="WT130" s="1"/>
      <c r="WU130" s="1"/>
      <c r="WV130" s="1"/>
      <c r="WW130" s="1"/>
      <c r="WX130" s="1"/>
      <c r="WY130" s="1"/>
      <c r="WZ130" s="1"/>
      <c r="XA130" s="1"/>
      <c r="XB130" s="1"/>
      <c r="XC130" s="1"/>
      <c r="XD130" s="1"/>
      <c r="XE130" s="1"/>
      <c r="XF130" s="1"/>
      <c r="XG130" s="1"/>
      <c r="XH130" s="1"/>
      <c r="XI130" s="1"/>
      <c r="XJ130" s="1"/>
      <c r="XK130" s="1"/>
      <c r="XL130" s="1"/>
      <c r="XM130" s="1"/>
      <c r="XN130" s="1"/>
      <c r="XO130" s="1"/>
      <c r="XP130" s="1"/>
      <c r="XQ130" s="1"/>
      <c r="XR130" s="1"/>
      <c r="XS130" s="1"/>
      <c r="XT130" s="1"/>
      <c r="XU130" s="1"/>
      <c r="XV130" s="1"/>
      <c r="XW130" s="1"/>
      <c r="XX130" s="1"/>
      <c r="XY130" s="1"/>
      <c r="XZ130" s="1"/>
      <c r="YA130" s="1"/>
      <c r="YB130" s="1"/>
      <c r="YC130" s="1"/>
      <c r="YD130" s="1"/>
      <c r="YE130" s="1"/>
      <c r="YF130" s="1"/>
      <c r="YG130" s="1"/>
      <c r="YH130" s="1"/>
      <c r="YI130" s="1"/>
      <c r="YJ130" s="1"/>
      <c r="YK130" s="1"/>
      <c r="YL130" s="1"/>
      <c r="YM130" s="1"/>
      <c r="YN130" s="1"/>
      <c r="YO130" s="1"/>
      <c r="YP130" s="1"/>
      <c r="YQ130" s="1"/>
      <c r="YR130" s="1"/>
      <c r="YS130" s="1"/>
      <c r="YT130" s="1"/>
      <c r="YU130" s="1"/>
      <c r="YV130" s="1"/>
      <c r="YW130" s="1"/>
      <c r="YX130" s="1"/>
      <c r="YY130" s="1"/>
      <c r="YZ130" s="1"/>
      <c r="ZA130" s="1"/>
      <c r="ZB130" s="1"/>
      <c r="ZC130" s="1"/>
      <c r="ZD130" s="1"/>
      <c r="ZE130" s="1"/>
      <c r="ZF130" s="1"/>
      <c r="ZG130" s="1"/>
      <c r="ZH130" s="1"/>
      <c r="ZI130" s="1"/>
      <c r="ZJ130" s="1"/>
      <c r="ZK130" s="1"/>
      <c r="ZL130" s="1"/>
      <c r="ZM130" s="1"/>
      <c r="ZN130" s="1"/>
      <c r="ZO130" s="1"/>
      <c r="ZP130" s="1"/>
      <c r="ZQ130" s="1"/>
      <c r="ZR130" s="1"/>
      <c r="ZS130" s="1"/>
      <c r="ZT130" s="1"/>
      <c r="ZU130" s="1"/>
      <c r="ZV130" s="1"/>
      <c r="ZW130" s="1"/>
      <c r="ZX130" s="1"/>
      <c r="ZY130" s="1"/>
      <c r="ZZ130" s="1"/>
      <c r="AAA130" s="1"/>
      <c r="AAB130" s="1"/>
      <c r="AAC130" s="1"/>
      <c r="AAD130" s="1"/>
      <c r="AAE130" s="1"/>
      <c r="AAF130" s="1"/>
      <c r="AAG130" s="1"/>
      <c r="AAH130" s="1"/>
      <c r="AAI130" s="1"/>
      <c r="AAJ130" s="1"/>
      <c r="AAK130" s="1"/>
      <c r="AAL130" s="1"/>
      <c r="AAM130" s="1"/>
      <c r="AAN130" s="1"/>
      <c r="AAO130" s="1"/>
      <c r="AAP130" s="1"/>
      <c r="AAQ130" s="1"/>
      <c r="AAR130" s="1"/>
      <c r="AAS130" s="1"/>
      <c r="AAT130" s="1"/>
      <c r="AAU130" s="1"/>
      <c r="AAV130" s="1"/>
      <c r="AAW130" s="1"/>
      <c r="AAX130" s="1"/>
      <c r="AAY130" s="1"/>
      <c r="AAZ130" s="1"/>
      <c r="ABA130" s="1"/>
      <c r="ABB130" s="1"/>
      <c r="ABC130" s="1"/>
      <c r="ABD130" s="1"/>
      <c r="ABE130" s="1"/>
      <c r="ABF130" s="1"/>
      <c r="ABG130" s="1"/>
      <c r="ABH130" s="1"/>
      <c r="ABI130" s="1"/>
      <c r="ABJ130" s="1"/>
      <c r="ABK130" s="1"/>
      <c r="ABL130" s="1"/>
      <c r="ABM130" s="1"/>
      <c r="ABN130" s="1"/>
      <c r="ABO130" s="1"/>
      <c r="ABP130" s="1"/>
      <c r="ABQ130" s="1"/>
      <c r="ABR130" s="1"/>
      <c r="ABS130" s="1"/>
      <c r="ABT130" s="1"/>
      <c r="ABU130" s="1"/>
      <c r="ABV130" s="1"/>
      <c r="ABW130" s="1"/>
      <c r="ABX130" s="1"/>
      <c r="ABY130" s="1"/>
      <c r="ABZ130" s="1"/>
      <c r="ACA130" s="1"/>
      <c r="ACB130" s="1"/>
      <c r="ACC130" s="1"/>
      <c r="ACD130" s="1"/>
      <c r="ACE130" s="1"/>
      <c r="ACF130" s="1"/>
      <c r="ACG130" s="1"/>
      <c r="ACH130" s="1"/>
      <c r="ACI130" s="1"/>
      <c r="ACJ130" s="1"/>
      <c r="ACK130" s="1"/>
      <c r="ACL130" s="1"/>
      <c r="ACM130" s="1"/>
      <c r="ACN130" s="1"/>
      <c r="ACO130" s="1"/>
      <c r="ACP130" s="1"/>
      <c r="ACQ130" s="1"/>
      <c r="ACR130" s="1"/>
      <c r="ACS130" s="1"/>
      <c r="ACT130" s="1"/>
      <c r="ACU130" s="1"/>
      <c r="ACV130" s="1"/>
      <c r="ACW130" s="1"/>
      <c r="ACX130" s="1"/>
      <c r="ACY130" s="1"/>
      <c r="ACZ130" s="1"/>
      <c r="ADA130" s="1"/>
      <c r="ADB130" s="1"/>
      <c r="ADC130" s="1"/>
      <c r="ADD130" s="1"/>
      <c r="ADE130" s="1"/>
      <c r="ADF130" s="1"/>
      <c r="ADG130" s="1"/>
      <c r="ADH130" s="1"/>
      <c r="ADI130" s="1"/>
      <c r="ADJ130" s="1"/>
      <c r="ADK130" s="1"/>
      <c r="ADL130" s="1"/>
      <c r="ADM130" s="1"/>
      <c r="ADN130" s="1"/>
      <c r="ADO130" s="1"/>
      <c r="ADP130" s="1"/>
      <c r="ADQ130" s="1"/>
      <c r="ADR130" s="1"/>
      <c r="ADS130" s="1"/>
      <c r="ADT130" s="1"/>
      <c r="ADU130" s="1"/>
      <c r="ADV130" s="1"/>
      <c r="ADW130" s="1"/>
      <c r="ADX130" s="1"/>
      <c r="ADY130" s="1"/>
      <c r="ADZ130" s="1"/>
      <c r="AEA130" s="1"/>
      <c r="AEB130" s="1"/>
      <c r="AEC130" s="1"/>
      <c r="AED130" s="1"/>
      <c r="AEE130" s="1"/>
      <c r="AEF130" s="1"/>
      <c r="AEG130" s="1"/>
      <c r="AEH130" s="1"/>
      <c r="AEI130" s="1"/>
      <c r="AEJ130" s="1"/>
      <c r="AEK130" s="1"/>
      <c r="AEL130" s="1"/>
      <c r="AEM130" s="1"/>
      <c r="AEN130" s="1"/>
      <c r="AEO130" s="1"/>
      <c r="AEP130" s="1"/>
      <c r="AEQ130" s="1"/>
      <c r="AER130" s="1"/>
      <c r="AES130" s="1"/>
      <c r="AET130" s="1"/>
      <c r="AEU130" s="1"/>
      <c r="AEV130" s="1"/>
      <c r="AEW130" s="1"/>
      <c r="AEX130" s="1"/>
      <c r="AEY130" s="1"/>
      <c r="AEZ130" s="1"/>
      <c r="AFA130" s="1"/>
      <c r="AFB130" s="1"/>
      <c r="AFC130" s="1"/>
      <c r="AFD130" s="1"/>
      <c r="AFE130" s="1"/>
      <c r="AFF130" s="1"/>
      <c r="AFG130" s="1"/>
      <c r="AFH130" s="1"/>
      <c r="AFI130" s="1"/>
      <c r="AFJ130" s="1"/>
      <c r="AFK130" s="1"/>
      <c r="AFL130" s="1"/>
      <c r="AFM130" s="1"/>
      <c r="AFN130" s="1"/>
      <c r="AFO130" s="1"/>
      <c r="AFP130" s="1"/>
      <c r="AFQ130" s="1"/>
      <c r="AFR130" s="1"/>
      <c r="AFS130" s="1"/>
      <c r="AFT130" s="1"/>
      <c r="AFU130" s="1"/>
      <c r="AFV130" s="1"/>
      <c r="AFW130" s="1"/>
      <c r="AFX130" s="1"/>
      <c r="AFY130" s="1"/>
      <c r="AFZ130" s="1"/>
      <c r="AGA130" s="1"/>
      <c r="AGB130" s="1"/>
      <c r="AGC130" s="1"/>
      <c r="AGD130" s="1"/>
      <c r="AGE130" s="1"/>
      <c r="AGF130" s="1"/>
      <c r="AGG130" s="1"/>
      <c r="AGH130" s="1"/>
      <c r="AGI130" s="1"/>
      <c r="AGJ130" s="1"/>
      <c r="AGK130" s="1"/>
      <c r="AGL130" s="1"/>
      <c r="AGM130" s="1"/>
      <c r="AGN130" s="1"/>
      <c r="AGO130" s="1"/>
      <c r="AGP130" s="1"/>
      <c r="AGQ130" s="1"/>
      <c r="AGR130" s="1"/>
      <c r="AGS130" s="1"/>
      <c r="AGT130" s="1"/>
      <c r="AGU130" s="1"/>
      <c r="AGV130" s="1"/>
      <c r="AGW130" s="1"/>
      <c r="AGX130" s="1"/>
      <c r="AGY130" s="1"/>
      <c r="AGZ130" s="1"/>
      <c r="AHA130" s="1"/>
      <c r="AHB130" s="1"/>
      <c r="AHC130" s="1"/>
      <c r="AHD130" s="1"/>
      <c r="AHE130" s="1"/>
      <c r="AHF130" s="1"/>
      <c r="AHG130" s="1"/>
      <c r="AHH130" s="1"/>
      <c r="AHI130" s="1"/>
      <c r="AHJ130" s="1"/>
      <c r="AHK130" s="1"/>
      <c r="AHL130" s="1"/>
      <c r="AHM130" s="1"/>
      <c r="AHN130" s="1"/>
      <c r="AHO130" s="1"/>
      <c r="AHP130" s="1"/>
      <c r="AHQ130" s="1"/>
      <c r="AHR130" s="1"/>
      <c r="AHS130" s="1"/>
      <c r="AHT130" s="1"/>
      <c r="AHU130" s="1"/>
      <c r="AHV130" s="1"/>
      <c r="AHW130" s="1"/>
      <c r="AHX130" s="1"/>
      <c r="AHY130" s="1"/>
      <c r="AHZ130" s="1"/>
      <c r="AIA130" s="1"/>
      <c r="AIB130" s="1"/>
      <c r="AIC130" s="1"/>
      <c r="AID130" s="1"/>
      <c r="AIE130" s="1"/>
      <c r="AIF130" s="1"/>
      <c r="AIG130" s="1"/>
      <c r="AIH130" s="1"/>
      <c r="AII130" s="1"/>
      <c r="AIJ130" s="1"/>
      <c r="AIK130" s="1"/>
      <c r="AIL130" s="1"/>
      <c r="AIM130" s="1"/>
      <c r="AIN130" s="1"/>
      <c r="AIO130" s="1"/>
      <c r="AIP130" s="1"/>
      <c r="AIQ130" s="1"/>
      <c r="AIR130" s="1"/>
      <c r="AIS130" s="1"/>
      <c r="AIT130" s="1"/>
      <c r="AIU130" s="1"/>
      <c r="AIV130" s="1"/>
      <c r="AIW130" s="1"/>
      <c r="AIX130" s="1"/>
      <c r="AIY130" s="1"/>
      <c r="AIZ130" s="1"/>
      <c r="AJA130" s="1"/>
      <c r="AJB130" s="1"/>
      <c r="AJC130" s="1"/>
      <c r="AJD130" s="1"/>
      <c r="AJE130" s="1"/>
      <c r="AJF130" s="1"/>
      <c r="AJG130" s="1"/>
      <c r="AJH130" s="1"/>
      <c r="AJI130" s="1"/>
      <c r="AJJ130" s="1"/>
      <c r="AJK130" s="1"/>
      <c r="AJL130" s="1"/>
      <c r="AJM130" s="1"/>
      <c r="AJN130" s="1"/>
      <c r="AJO130" s="1"/>
      <c r="AJP130" s="1"/>
      <c r="AJQ130" s="1"/>
      <c r="AJR130" s="1"/>
      <c r="AJS130" s="1"/>
      <c r="AJT130" s="1"/>
      <c r="AJU130" s="1"/>
      <c r="AJV130" s="1"/>
      <c r="AJW130" s="1"/>
      <c r="AJX130" s="1"/>
      <c r="AJY130" s="1"/>
      <c r="AJZ130" s="1"/>
      <c r="AKA130" s="1"/>
      <c r="AKB130" s="1"/>
      <c r="AKC130" s="1"/>
      <c r="AKD130" s="1"/>
      <c r="AKE130" s="1"/>
      <c r="AKF130" s="1"/>
      <c r="AKG130" s="1"/>
      <c r="AKH130" s="1"/>
      <c r="AKI130" s="1"/>
      <c r="AKJ130" s="1"/>
      <c r="AKK130" s="1"/>
      <c r="AKL130" s="1"/>
      <c r="AKM130" s="1"/>
      <c r="AKN130" s="1"/>
      <c r="AKO130" s="1"/>
      <c r="AKP130" s="1"/>
      <c r="AKQ130" s="1"/>
      <c r="AKR130" s="1"/>
      <c r="AKS130" s="1"/>
      <c r="AKT130" s="1"/>
      <c r="AKU130" s="1"/>
      <c r="AKV130" s="1"/>
      <c r="AKW130" s="1"/>
      <c r="AKX130" s="1"/>
      <c r="AKY130" s="1"/>
      <c r="AKZ130" s="1"/>
      <c r="ALA130" s="1"/>
      <c r="ALB130" s="1"/>
      <c r="ALC130" s="1"/>
      <c r="ALD130" s="1"/>
      <c r="ALE130" s="1"/>
      <c r="ALF130" s="1"/>
      <c r="ALG130" s="1"/>
      <c r="ALH130" s="1"/>
      <c r="ALI130" s="1"/>
      <c r="ALJ130" s="1"/>
      <c r="ALK130" s="1"/>
      <c r="ALL130" s="1"/>
      <c r="ALM130" s="1"/>
      <c r="ALN130" s="1"/>
      <c r="ALO130" s="1"/>
      <c r="ALP130" s="1"/>
      <c r="ALQ130" s="1"/>
      <c r="ALR130" s="1"/>
      <c r="ALS130" s="1"/>
      <c r="ALT130" s="1"/>
      <c r="ALU130" s="1"/>
      <c r="ALV130" s="1"/>
      <c r="ALW130" s="1"/>
      <c r="ALX130" s="1"/>
      <c r="ALY130" s="1"/>
      <c r="ALZ130" s="1"/>
      <c r="AMA130" s="1"/>
      <c r="AMB130" s="1"/>
      <c r="AMC130" s="1"/>
      <c r="AMD130" s="1"/>
      <c r="AME130" s="1"/>
      <c r="AMF130" s="1"/>
      <c r="AMG130" s="1"/>
      <c r="AMH130" s="1"/>
      <c r="AMI130" s="1"/>
      <c r="AMJ130" s="1"/>
      <c r="AMK130" s="1"/>
      <c r="AML130" s="1"/>
      <c r="AMM130" s="1"/>
      <c r="AMN130" s="1"/>
    </row>
    <row r="131" spans="1:1029" x14ac:dyDescent="0.2">
      <c r="A131" s="3" t="str">
        <f t="shared" si="555"/>
        <v>oprk_human_4DJH</v>
      </c>
      <c r="B131" s="3" t="s">
        <v>336</v>
      </c>
      <c r="C131" s="3" t="s">
        <v>88</v>
      </c>
      <c r="D131" s="3" t="str">
        <f>IFERROR(MID(VLOOKUP($B131,Seqs!$A:$B,2,0),E131,1),"")</f>
        <v>A</v>
      </c>
      <c r="E131" s="3">
        <v>57</v>
      </c>
      <c r="F131" s="3" t="str">
        <f>IFERROR(MID(VLOOKUP($B131,Seqs!$A:$B,2,0),G131,1),"")</f>
        <v>Y</v>
      </c>
      <c r="G131" s="3">
        <v>87</v>
      </c>
      <c r="H131" s="3" t="str">
        <f>IFERROR(MID(VLOOKUP($B131,Seqs!$A:$B,2,0),I131,1),"")</f>
        <v>T</v>
      </c>
      <c r="I131" s="23">
        <v>88</v>
      </c>
      <c r="J131" s="3" t="str">
        <f>IFERROR(MID(VLOOKUP($B131,Seqs!$A:$B,2,0),K131,1),"")</f>
        <v>K</v>
      </c>
      <c r="K131" s="23">
        <v>91</v>
      </c>
      <c r="L131" s="3" t="str">
        <f>IFERROR(MID(VLOOKUP($B131,Seqs!$A:$B,2,0),M131,1),"")</f>
        <v>T</v>
      </c>
      <c r="M131" s="3">
        <v>92</v>
      </c>
      <c r="N131" s="3" t="str">
        <f>IFERROR(MID(VLOOKUP($B131,Seqs!$A:$B,2,0),O131,1),"")</f>
        <v>M</v>
      </c>
      <c r="O131" s="3">
        <v>121</v>
      </c>
      <c r="P131" s="3" t="str">
        <f>IFERROR(MID(VLOOKUP($B131,Seqs!$A:$B,2,0),Q131,1),"")</f>
        <v>S</v>
      </c>
      <c r="Q131" s="3">
        <v>123</v>
      </c>
      <c r="R131" s="3" t="str">
        <f>IFERROR(MID(VLOOKUP($B131,Seqs!$A:$B,2,0),S131,1),"")</f>
        <v>F</v>
      </c>
      <c r="S131" s="3">
        <v>126</v>
      </c>
      <c r="T131" s="3" t="str">
        <f>IFERROR(MID(VLOOKUP($B131,Seqs!$A:$B,2,0),U131,1),"")</f>
        <v>G</v>
      </c>
      <c r="U131" s="3">
        <v>127</v>
      </c>
      <c r="V131" s="3" t="str">
        <f>IFERROR(MID(VLOOKUP($B131,Seqs!$A:$B,2,0),W131,1),"")</f>
        <v>H</v>
      </c>
      <c r="W131" s="3">
        <v>162</v>
      </c>
      <c r="X131" s="3" t="str">
        <f>IFERROR(MID(VLOOKUP($B131,Seqs!$A:$B,2,0),Y131,1),"")</f>
        <v>P</v>
      </c>
      <c r="Y131" s="3">
        <v>163</v>
      </c>
      <c r="Z131" s="3" t="str">
        <f>IFERROR(MID(VLOOKUP($B131,Seqs!$A:$B,2,0),AA131,1),"")</f>
        <v>L</v>
      </c>
      <c r="AA131" s="3">
        <v>167</v>
      </c>
      <c r="AB131" s="3" t="str">
        <f>IFERROR(MID(VLOOKUP($B131,Seqs!$A:$B,2,0),AC131,1),"")</f>
        <v>R</v>
      </c>
      <c r="AC131" s="9">
        <v>170</v>
      </c>
      <c r="AD131" s="3" t="str">
        <f>IFERROR(MID(VLOOKUP($B131,Seqs!$A:$B,2,0),AE131,1),"")</f>
        <v>G</v>
      </c>
      <c r="AE131" s="3">
        <v>197</v>
      </c>
      <c r="AF131" s="3" t="str">
        <f>IFERROR(MID(VLOOKUP($B131,Seqs!$A:$B,2,0),AG131,1),"")</f>
        <v>C</v>
      </c>
      <c r="AG131" s="3">
        <v>210</v>
      </c>
      <c r="AH131" s="3" t="str">
        <f>IFERROR(MID(VLOOKUP($B131,Seqs!$A:$B,2,0),AI131,1),"")</f>
        <v>L</v>
      </c>
      <c r="AI131" s="3">
        <v>212</v>
      </c>
      <c r="AJ131" s="3" t="str">
        <f>IFERROR(MID(VLOOKUP($B131,Seqs!$A:$B,2,0),AK131,1),"")</f>
        <v>Y</v>
      </c>
      <c r="AK131" s="3">
        <v>219</v>
      </c>
      <c r="AL131" s="3" t="str">
        <f>IFERROR(MID(VLOOKUP($B131,Seqs!$A:$B,2,0),AM131,1),"")</f>
        <v>V</v>
      </c>
      <c r="AM131" s="3">
        <v>256</v>
      </c>
      <c r="AN131" s="3" t="str">
        <f>IFERROR(MID(VLOOKUP($B131,Seqs!$A:$B,2,0),AO131,1),"")</f>
        <v>R</v>
      </c>
      <c r="AO131" s="3">
        <v>267</v>
      </c>
      <c r="AP131" s="3" t="str">
        <f>IFERROR(MID(VLOOKUP($B131,Seqs!$A:$B,2,0),AQ131,1),"")</f>
        <v>G</v>
      </c>
      <c r="AQ131" s="3">
        <v>300</v>
      </c>
      <c r="AR131" s="3" t="str">
        <f>IFERROR(MID(VLOOKUP($B131,Seqs!$A:$B,2,0),AS131,1),"")</f>
        <v>A</v>
      </c>
      <c r="AS131" s="3">
        <v>308</v>
      </c>
      <c r="AT131" s="3" t="str">
        <f>IFERROR(MID(VLOOKUP($B131,Seqs!$A:$B,2,0),AU131,1),"")</f>
        <v>L</v>
      </c>
      <c r="AU131" s="3">
        <v>333</v>
      </c>
      <c r="AV131" s="3" t="str">
        <f>IFERROR(MID(VLOOKUP($B131,Seqs!$A:$B,2,0),AW131,1),"")</f>
        <v>D</v>
      </c>
      <c r="AW131" s="3">
        <v>334</v>
      </c>
      <c r="AX131" s="3" t="str">
        <f>IFERROR(MID(VLOOKUP($B131,Seqs!$A:$B,2,0),AY131,1),"")</f>
        <v>F</v>
      </c>
      <c r="AY131" s="3">
        <v>346</v>
      </c>
      <c r="AZ131" s="79" t="str">
        <f>VLOOKUP(B131,Classification!A:D,2,0)</f>
        <v>A</v>
      </c>
      <c r="BA131" s="97" t="str">
        <f>VLOOKUP(B131,Classification!A:D,4,0)</f>
        <v>Opioid</v>
      </c>
      <c r="BB131" s="27" t="b">
        <f t="shared" si="556"/>
        <v>1</v>
      </c>
      <c r="BC131" s="23">
        <f t="shared" si="473"/>
        <v>252</v>
      </c>
      <c r="BD131" s="2" t="s">
        <v>1383</v>
      </c>
      <c r="BE131" s="3" t="s">
        <v>1381</v>
      </c>
      <c r="BF131" s="50" t="s">
        <v>1384</v>
      </c>
      <c r="BG131" s="50" t="s">
        <v>1384</v>
      </c>
      <c r="BH131" s="1"/>
      <c r="BI131" s="72" t="s">
        <v>1293</v>
      </c>
      <c r="BJ131" s="58" t="s">
        <v>1293</v>
      </c>
      <c r="BK131" s="58" t="s">
        <v>1293</v>
      </c>
      <c r="BL131" s="58" t="s">
        <v>1293</v>
      </c>
      <c r="BM131" s="58" t="s">
        <v>1293</v>
      </c>
      <c r="BN131" s="58" t="s">
        <v>1293</v>
      </c>
      <c r="BO131" s="58" t="s">
        <v>1293</v>
      </c>
      <c r="BP131" s="58" t="s">
        <v>1293</v>
      </c>
      <c r="BQ131" s="58" t="s">
        <v>1293</v>
      </c>
      <c r="BR131" s="58" t="s">
        <v>1293</v>
      </c>
      <c r="BS131" s="58" t="s">
        <v>1293</v>
      </c>
      <c r="BT131" s="58" t="s">
        <v>1293</v>
      </c>
      <c r="BU131" s="72">
        <f t="shared" si="474"/>
        <v>57</v>
      </c>
      <c r="BV131" s="73">
        <f t="shared" si="475"/>
        <v>88</v>
      </c>
      <c r="BW131" s="74">
        <f t="shared" si="476"/>
        <v>92</v>
      </c>
      <c r="BX131" s="73">
        <f t="shared" si="477"/>
        <v>123</v>
      </c>
      <c r="BY131" s="74">
        <f t="shared" si="478"/>
        <v>127</v>
      </c>
      <c r="BZ131" s="73">
        <f t="shared" si="479"/>
        <v>163</v>
      </c>
      <c r="CA131" s="74">
        <f t="shared" si="480"/>
        <v>170</v>
      </c>
      <c r="CB131" s="73">
        <f t="shared" si="481"/>
        <v>210</v>
      </c>
      <c r="CC131" s="74">
        <f t="shared" si="482"/>
        <v>219</v>
      </c>
      <c r="CD131" s="73">
        <f t="shared" si="483"/>
        <v>267</v>
      </c>
      <c r="CE131" s="74">
        <f t="shared" si="484"/>
        <v>308</v>
      </c>
      <c r="CF131" s="73">
        <f t="shared" si="485"/>
        <v>334</v>
      </c>
      <c r="CG131" s="72">
        <f t="shared" si="486"/>
        <v>87</v>
      </c>
      <c r="CH131" s="73">
        <f t="shared" si="487"/>
        <v>91</v>
      </c>
      <c r="CI131" s="74">
        <f t="shared" si="488"/>
        <v>121</v>
      </c>
      <c r="CJ131" s="74">
        <f t="shared" si="489"/>
        <v>126</v>
      </c>
      <c r="CK131" s="74">
        <f t="shared" si="490"/>
        <v>162</v>
      </c>
      <c r="CL131" s="74">
        <f t="shared" si="491"/>
        <v>167</v>
      </c>
      <c r="CM131" s="74">
        <f t="shared" si="492"/>
        <v>197</v>
      </c>
      <c r="CN131" s="74">
        <f t="shared" si="493"/>
        <v>212</v>
      </c>
      <c r="CO131" s="74">
        <f t="shared" si="494"/>
        <v>256</v>
      </c>
      <c r="CP131" s="74">
        <f t="shared" si="495"/>
        <v>300</v>
      </c>
      <c r="CQ131" s="74">
        <f t="shared" si="496"/>
        <v>333</v>
      </c>
      <c r="CR131" s="74">
        <f t="shared" si="497"/>
        <v>346</v>
      </c>
      <c r="CS131" s="23">
        <f t="shared" si="498"/>
        <v>1</v>
      </c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/>
      <c r="LU131" s="1"/>
      <c r="LV131" s="1"/>
      <c r="LW131" s="1"/>
      <c r="LX131" s="1"/>
      <c r="LY131" s="1"/>
      <c r="LZ131" s="1"/>
      <c r="MA131" s="1"/>
      <c r="MB131" s="1"/>
      <c r="MC131" s="1"/>
      <c r="MD131" s="1"/>
      <c r="ME131" s="1"/>
      <c r="MF131" s="1"/>
      <c r="MG131" s="1"/>
      <c r="MH131" s="1"/>
      <c r="MI131" s="1"/>
      <c r="MJ131" s="1"/>
      <c r="MK131" s="1"/>
      <c r="ML131" s="1"/>
      <c r="MM131" s="1"/>
      <c r="MN131" s="1"/>
      <c r="MO131" s="1"/>
      <c r="MP131" s="1"/>
      <c r="MQ131" s="1"/>
      <c r="MR131" s="1"/>
      <c r="MS131" s="1"/>
      <c r="MT131" s="1"/>
      <c r="MU131" s="1"/>
      <c r="MV131" s="1"/>
      <c r="MW131" s="1"/>
      <c r="MX131" s="1"/>
      <c r="MY131" s="1"/>
      <c r="MZ131" s="1"/>
      <c r="NA131" s="1"/>
      <c r="NB131" s="1"/>
      <c r="NC131" s="1"/>
      <c r="ND131" s="1"/>
      <c r="NE131" s="1"/>
      <c r="NF131" s="1"/>
      <c r="NG131" s="1"/>
      <c r="NH131" s="1"/>
      <c r="NI131" s="1"/>
      <c r="NJ131" s="1"/>
      <c r="NK131" s="1"/>
      <c r="NL131" s="1"/>
      <c r="NM131" s="1"/>
      <c r="NN131" s="1"/>
      <c r="NO131" s="1"/>
      <c r="NP131" s="1"/>
      <c r="NQ131" s="1"/>
      <c r="NR131" s="1"/>
      <c r="NS131" s="1"/>
      <c r="NT131" s="1"/>
      <c r="NU131" s="1"/>
      <c r="NV131" s="1"/>
      <c r="NW131" s="1"/>
      <c r="NX131" s="1"/>
      <c r="NY131" s="1"/>
      <c r="NZ131" s="1"/>
      <c r="OA131" s="1"/>
      <c r="OB131" s="1"/>
      <c r="OC131" s="1"/>
      <c r="OD131" s="1"/>
      <c r="OE131" s="1"/>
      <c r="OF131" s="1"/>
      <c r="OG131" s="1"/>
      <c r="OH131" s="1"/>
      <c r="OI131" s="1"/>
      <c r="OJ131" s="1"/>
      <c r="OK131" s="1"/>
      <c r="OL131" s="1"/>
      <c r="OM131" s="1"/>
      <c r="ON131" s="1"/>
      <c r="OO131" s="1"/>
      <c r="OP131" s="1"/>
      <c r="OQ131" s="1"/>
      <c r="OR131" s="1"/>
      <c r="OS131" s="1"/>
      <c r="OT131" s="1"/>
      <c r="OU131" s="1"/>
      <c r="OV131" s="1"/>
      <c r="OW131" s="1"/>
      <c r="OX131" s="1"/>
      <c r="OY131" s="1"/>
      <c r="OZ131" s="1"/>
      <c r="PA131" s="1"/>
      <c r="PB131" s="1"/>
      <c r="PC131" s="1"/>
      <c r="PD131" s="1"/>
      <c r="PE131" s="1"/>
      <c r="PF131" s="1"/>
      <c r="PG131" s="1"/>
      <c r="PH131" s="1"/>
      <c r="PI131" s="1"/>
      <c r="PJ131" s="1"/>
      <c r="PK131" s="1"/>
      <c r="PL131" s="1"/>
      <c r="PM131" s="1"/>
      <c r="PN131" s="1"/>
      <c r="PO131" s="1"/>
      <c r="PP131" s="1"/>
      <c r="PQ131" s="1"/>
      <c r="PR131" s="1"/>
      <c r="PS131" s="1"/>
      <c r="PT131" s="1"/>
      <c r="PU131" s="1"/>
      <c r="PV131" s="1"/>
      <c r="PW131" s="1"/>
      <c r="PX131" s="1"/>
      <c r="PY131" s="1"/>
      <c r="PZ131" s="1"/>
      <c r="QA131" s="1"/>
      <c r="QB131" s="1"/>
      <c r="QC131" s="1"/>
      <c r="QD131" s="1"/>
      <c r="QE131" s="1"/>
      <c r="QF131" s="1"/>
      <c r="QG131" s="1"/>
      <c r="QH131" s="1"/>
      <c r="QI131" s="1"/>
      <c r="QJ131" s="1"/>
      <c r="QK131" s="1"/>
      <c r="QL131" s="1"/>
      <c r="QM131" s="1"/>
      <c r="QN131" s="1"/>
      <c r="QO131" s="1"/>
      <c r="QP131" s="1"/>
      <c r="QQ131" s="1"/>
      <c r="QR131" s="1"/>
      <c r="QS131" s="1"/>
      <c r="QT131" s="1"/>
      <c r="QU131" s="1"/>
      <c r="QV131" s="1"/>
      <c r="QW131" s="1"/>
      <c r="QX131" s="1"/>
      <c r="QY131" s="1"/>
      <c r="QZ131" s="1"/>
      <c r="RA131" s="1"/>
      <c r="RB131" s="1"/>
      <c r="RC131" s="1"/>
      <c r="RD131" s="1"/>
      <c r="RE131" s="1"/>
      <c r="RF131" s="1"/>
      <c r="RG131" s="1"/>
      <c r="RH131" s="1"/>
      <c r="RI131" s="1"/>
      <c r="RJ131" s="1"/>
      <c r="RK131" s="1"/>
      <c r="RL131" s="1"/>
      <c r="RM131" s="1"/>
      <c r="RN131" s="1"/>
      <c r="RO131" s="1"/>
      <c r="RP131" s="1"/>
      <c r="RQ131" s="1"/>
      <c r="RR131" s="1"/>
      <c r="RS131" s="1"/>
      <c r="RT131" s="1"/>
      <c r="RU131" s="1"/>
      <c r="RV131" s="1"/>
      <c r="RW131" s="1"/>
      <c r="RX131" s="1"/>
      <c r="RY131" s="1"/>
      <c r="RZ131" s="1"/>
      <c r="SA131" s="1"/>
      <c r="SB131" s="1"/>
      <c r="SC131" s="1"/>
      <c r="SD131" s="1"/>
      <c r="SE131" s="1"/>
      <c r="SF131" s="1"/>
      <c r="SG131" s="1"/>
      <c r="SH131" s="1"/>
      <c r="SI131" s="1"/>
      <c r="SJ131" s="1"/>
      <c r="SK131" s="1"/>
      <c r="SL131" s="1"/>
      <c r="SM131" s="1"/>
      <c r="SN131" s="1"/>
      <c r="SO131" s="1"/>
      <c r="SP131" s="1"/>
      <c r="SQ131" s="1"/>
      <c r="SR131" s="1"/>
      <c r="SS131" s="1"/>
      <c r="ST131" s="1"/>
      <c r="SU131" s="1"/>
      <c r="SV131" s="1"/>
      <c r="SW131" s="1"/>
      <c r="SX131" s="1"/>
      <c r="SY131" s="1"/>
      <c r="SZ131" s="1"/>
      <c r="TA131" s="1"/>
      <c r="TB131" s="1"/>
      <c r="TC131" s="1"/>
      <c r="TD131" s="1"/>
      <c r="TE131" s="1"/>
      <c r="TF131" s="1"/>
      <c r="TG131" s="1"/>
      <c r="TH131" s="1"/>
      <c r="TI131" s="1"/>
      <c r="TJ131" s="1"/>
      <c r="TK131" s="1"/>
      <c r="TL131" s="1"/>
      <c r="TM131" s="1"/>
      <c r="TN131" s="1"/>
      <c r="TO131" s="1"/>
      <c r="TP131" s="1"/>
      <c r="TQ131" s="1"/>
      <c r="TR131" s="1"/>
      <c r="TS131" s="1"/>
      <c r="TT131" s="1"/>
      <c r="TU131" s="1"/>
      <c r="TV131" s="1"/>
      <c r="TW131" s="1"/>
      <c r="TX131" s="1"/>
      <c r="TY131" s="1"/>
      <c r="TZ131" s="1"/>
      <c r="UA131" s="1"/>
      <c r="UB131" s="1"/>
      <c r="UC131" s="1"/>
      <c r="UD131" s="1"/>
      <c r="UE131" s="1"/>
      <c r="UF131" s="1"/>
      <c r="UG131" s="1"/>
      <c r="UH131" s="1"/>
      <c r="UI131" s="1"/>
      <c r="UJ131" s="1"/>
      <c r="UK131" s="1"/>
      <c r="UL131" s="1"/>
      <c r="UM131" s="1"/>
      <c r="UN131" s="1"/>
      <c r="UO131" s="1"/>
      <c r="UP131" s="1"/>
      <c r="UQ131" s="1"/>
      <c r="UR131" s="1"/>
      <c r="US131" s="1"/>
      <c r="UT131" s="1"/>
      <c r="UU131" s="1"/>
      <c r="UV131" s="1"/>
      <c r="UW131" s="1"/>
      <c r="UX131" s="1"/>
      <c r="UY131" s="1"/>
      <c r="UZ131" s="1"/>
      <c r="VA131" s="1"/>
      <c r="VB131" s="1"/>
      <c r="VC131" s="1"/>
      <c r="VD131" s="1"/>
      <c r="VE131" s="1"/>
      <c r="VF131" s="1"/>
      <c r="VG131" s="1"/>
      <c r="VH131" s="1"/>
      <c r="VI131" s="1"/>
      <c r="VJ131" s="1"/>
      <c r="VK131" s="1"/>
      <c r="VL131" s="1"/>
      <c r="VM131" s="1"/>
      <c r="VN131" s="1"/>
      <c r="VO131" s="1"/>
      <c r="VP131" s="1"/>
      <c r="VQ131" s="1"/>
      <c r="VR131" s="1"/>
      <c r="VS131" s="1"/>
      <c r="VT131" s="1"/>
      <c r="VU131" s="1"/>
      <c r="VV131" s="1"/>
      <c r="VW131" s="1"/>
      <c r="VX131" s="1"/>
      <c r="VY131" s="1"/>
      <c r="VZ131" s="1"/>
      <c r="WA131" s="1"/>
      <c r="WB131" s="1"/>
      <c r="WC131" s="1"/>
      <c r="WD131" s="1"/>
      <c r="WE131" s="1"/>
      <c r="WF131" s="1"/>
      <c r="WG131" s="1"/>
      <c r="WH131" s="1"/>
      <c r="WI131" s="1"/>
      <c r="WJ131" s="1"/>
      <c r="WK131" s="1"/>
      <c r="WL131" s="1"/>
      <c r="WM131" s="1"/>
      <c r="WN131" s="1"/>
      <c r="WO131" s="1"/>
      <c r="WP131" s="1"/>
      <c r="WQ131" s="1"/>
      <c r="WR131" s="1"/>
      <c r="WS131" s="1"/>
      <c r="WT131" s="1"/>
      <c r="WU131" s="1"/>
      <c r="WV131" s="1"/>
      <c r="WW131" s="1"/>
      <c r="WX131" s="1"/>
      <c r="WY131" s="1"/>
      <c r="WZ131" s="1"/>
      <c r="XA131" s="1"/>
      <c r="XB131" s="1"/>
      <c r="XC131" s="1"/>
      <c r="XD131" s="1"/>
      <c r="XE131" s="1"/>
      <c r="XF131" s="1"/>
      <c r="XG131" s="1"/>
      <c r="XH131" s="1"/>
      <c r="XI131" s="1"/>
      <c r="XJ131" s="1"/>
      <c r="XK131" s="1"/>
      <c r="XL131" s="1"/>
      <c r="XM131" s="1"/>
      <c r="XN131" s="1"/>
      <c r="XO131" s="1"/>
      <c r="XP131" s="1"/>
      <c r="XQ131" s="1"/>
      <c r="XR131" s="1"/>
      <c r="XS131" s="1"/>
      <c r="XT131" s="1"/>
      <c r="XU131" s="1"/>
      <c r="XV131" s="1"/>
      <c r="XW131" s="1"/>
      <c r="XX131" s="1"/>
      <c r="XY131" s="1"/>
      <c r="XZ131" s="1"/>
      <c r="YA131" s="1"/>
      <c r="YB131" s="1"/>
      <c r="YC131" s="1"/>
      <c r="YD131" s="1"/>
      <c r="YE131" s="1"/>
      <c r="YF131" s="1"/>
      <c r="YG131" s="1"/>
      <c r="YH131" s="1"/>
      <c r="YI131" s="1"/>
      <c r="YJ131" s="1"/>
      <c r="YK131" s="1"/>
      <c r="YL131" s="1"/>
      <c r="YM131" s="1"/>
      <c r="YN131" s="1"/>
      <c r="YO131" s="1"/>
      <c r="YP131" s="1"/>
      <c r="YQ131" s="1"/>
      <c r="YR131" s="1"/>
      <c r="YS131" s="1"/>
      <c r="YT131" s="1"/>
      <c r="YU131" s="1"/>
      <c r="YV131" s="1"/>
      <c r="YW131" s="1"/>
      <c r="YX131" s="1"/>
      <c r="YY131" s="1"/>
      <c r="YZ131" s="1"/>
      <c r="ZA131" s="1"/>
      <c r="ZB131" s="1"/>
      <c r="ZC131" s="1"/>
      <c r="ZD131" s="1"/>
      <c r="ZE131" s="1"/>
      <c r="ZF131" s="1"/>
      <c r="ZG131" s="1"/>
      <c r="ZH131" s="1"/>
      <c r="ZI131" s="1"/>
      <c r="ZJ131" s="1"/>
      <c r="ZK131" s="1"/>
      <c r="ZL131" s="1"/>
      <c r="ZM131" s="1"/>
      <c r="ZN131" s="1"/>
      <c r="ZO131" s="1"/>
      <c r="ZP131" s="1"/>
      <c r="ZQ131" s="1"/>
      <c r="ZR131" s="1"/>
      <c r="ZS131" s="1"/>
      <c r="ZT131" s="1"/>
      <c r="ZU131" s="1"/>
      <c r="ZV131" s="1"/>
      <c r="ZW131" s="1"/>
      <c r="ZX131" s="1"/>
      <c r="ZY131" s="1"/>
      <c r="ZZ131" s="1"/>
      <c r="AAA131" s="1"/>
      <c r="AAB131" s="1"/>
      <c r="AAC131" s="1"/>
      <c r="AAD131" s="1"/>
      <c r="AAE131" s="1"/>
      <c r="AAF131" s="1"/>
      <c r="AAG131" s="1"/>
      <c r="AAH131" s="1"/>
      <c r="AAI131" s="1"/>
      <c r="AAJ131" s="1"/>
      <c r="AAK131" s="1"/>
      <c r="AAL131" s="1"/>
      <c r="AAM131" s="1"/>
      <c r="AAN131" s="1"/>
      <c r="AAO131" s="1"/>
      <c r="AAP131" s="1"/>
      <c r="AAQ131" s="1"/>
      <c r="AAR131" s="1"/>
      <c r="AAS131" s="1"/>
      <c r="AAT131" s="1"/>
      <c r="AAU131" s="1"/>
      <c r="AAV131" s="1"/>
      <c r="AAW131" s="1"/>
      <c r="AAX131" s="1"/>
      <c r="AAY131" s="1"/>
      <c r="AAZ131" s="1"/>
      <c r="ABA131" s="1"/>
      <c r="ABB131" s="1"/>
      <c r="ABC131" s="1"/>
      <c r="ABD131" s="1"/>
      <c r="ABE131" s="1"/>
      <c r="ABF131" s="1"/>
      <c r="ABG131" s="1"/>
      <c r="ABH131" s="1"/>
      <c r="ABI131" s="1"/>
      <c r="ABJ131" s="1"/>
      <c r="ABK131" s="1"/>
      <c r="ABL131" s="1"/>
      <c r="ABM131" s="1"/>
      <c r="ABN131" s="1"/>
      <c r="ABO131" s="1"/>
      <c r="ABP131" s="1"/>
      <c r="ABQ131" s="1"/>
      <c r="ABR131" s="1"/>
      <c r="ABS131" s="1"/>
      <c r="ABT131" s="1"/>
      <c r="ABU131" s="1"/>
      <c r="ABV131" s="1"/>
      <c r="ABW131" s="1"/>
      <c r="ABX131" s="1"/>
      <c r="ABY131" s="1"/>
      <c r="ABZ131" s="1"/>
      <c r="ACA131" s="1"/>
      <c r="ACB131" s="1"/>
      <c r="ACC131" s="1"/>
      <c r="ACD131" s="1"/>
      <c r="ACE131" s="1"/>
      <c r="ACF131" s="1"/>
      <c r="ACG131" s="1"/>
      <c r="ACH131" s="1"/>
      <c r="ACI131" s="1"/>
      <c r="ACJ131" s="1"/>
      <c r="ACK131" s="1"/>
      <c r="ACL131" s="1"/>
      <c r="ACM131" s="1"/>
      <c r="ACN131" s="1"/>
      <c r="ACO131" s="1"/>
      <c r="ACP131" s="1"/>
      <c r="ACQ131" s="1"/>
      <c r="ACR131" s="1"/>
      <c r="ACS131" s="1"/>
      <c r="ACT131" s="1"/>
      <c r="ACU131" s="1"/>
      <c r="ACV131" s="1"/>
      <c r="ACW131" s="1"/>
      <c r="ACX131" s="1"/>
      <c r="ACY131" s="1"/>
      <c r="ACZ131" s="1"/>
      <c r="ADA131" s="1"/>
      <c r="ADB131" s="1"/>
      <c r="ADC131" s="1"/>
      <c r="ADD131" s="1"/>
      <c r="ADE131" s="1"/>
      <c r="ADF131" s="1"/>
      <c r="ADG131" s="1"/>
      <c r="ADH131" s="1"/>
      <c r="ADI131" s="1"/>
      <c r="ADJ131" s="1"/>
      <c r="ADK131" s="1"/>
      <c r="ADL131" s="1"/>
      <c r="ADM131" s="1"/>
      <c r="ADN131" s="1"/>
      <c r="ADO131" s="1"/>
      <c r="ADP131" s="1"/>
      <c r="ADQ131" s="1"/>
      <c r="ADR131" s="1"/>
      <c r="ADS131" s="1"/>
      <c r="ADT131" s="1"/>
      <c r="ADU131" s="1"/>
      <c r="ADV131" s="1"/>
      <c r="ADW131" s="1"/>
      <c r="ADX131" s="1"/>
      <c r="ADY131" s="1"/>
      <c r="ADZ131" s="1"/>
      <c r="AEA131" s="1"/>
      <c r="AEB131" s="1"/>
      <c r="AEC131" s="1"/>
      <c r="AED131" s="1"/>
      <c r="AEE131" s="1"/>
      <c r="AEF131" s="1"/>
      <c r="AEG131" s="1"/>
      <c r="AEH131" s="1"/>
      <c r="AEI131" s="1"/>
      <c r="AEJ131" s="1"/>
      <c r="AEK131" s="1"/>
      <c r="AEL131" s="1"/>
      <c r="AEM131" s="1"/>
      <c r="AEN131" s="1"/>
      <c r="AEO131" s="1"/>
      <c r="AEP131" s="1"/>
      <c r="AEQ131" s="1"/>
      <c r="AER131" s="1"/>
      <c r="AES131" s="1"/>
      <c r="AET131" s="1"/>
      <c r="AEU131" s="1"/>
      <c r="AEV131" s="1"/>
      <c r="AEW131" s="1"/>
      <c r="AEX131" s="1"/>
      <c r="AEY131" s="1"/>
      <c r="AEZ131" s="1"/>
      <c r="AFA131" s="1"/>
      <c r="AFB131" s="1"/>
      <c r="AFC131" s="1"/>
      <c r="AFD131" s="1"/>
      <c r="AFE131" s="1"/>
      <c r="AFF131" s="1"/>
      <c r="AFG131" s="1"/>
      <c r="AFH131" s="1"/>
      <c r="AFI131" s="1"/>
      <c r="AFJ131" s="1"/>
      <c r="AFK131" s="1"/>
      <c r="AFL131" s="1"/>
      <c r="AFM131" s="1"/>
      <c r="AFN131" s="1"/>
      <c r="AFO131" s="1"/>
      <c r="AFP131" s="1"/>
      <c r="AFQ131" s="1"/>
      <c r="AFR131" s="1"/>
      <c r="AFS131" s="1"/>
      <c r="AFT131" s="1"/>
      <c r="AFU131" s="1"/>
      <c r="AFV131" s="1"/>
      <c r="AFW131" s="1"/>
      <c r="AFX131" s="1"/>
      <c r="AFY131" s="1"/>
      <c r="AFZ131" s="1"/>
      <c r="AGA131" s="1"/>
      <c r="AGB131" s="1"/>
      <c r="AGC131" s="1"/>
      <c r="AGD131" s="1"/>
      <c r="AGE131" s="1"/>
      <c r="AGF131" s="1"/>
      <c r="AGG131" s="1"/>
      <c r="AGH131" s="1"/>
      <c r="AGI131" s="1"/>
      <c r="AGJ131" s="1"/>
      <c r="AGK131" s="1"/>
      <c r="AGL131" s="1"/>
      <c r="AGM131" s="1"/>
      <c r="AGN131" s="1"/>
      <c r="AGO131" s="1"/>
      <c r="AGP131" s="1"/>
      <c r="AGQ131" s="1"/>
      <c r="AGR131" s="1"/>
      <c r="AGS131" s="1"/>
      <c r="AGT131" s="1"/>
      <c r="AGU131" s="1"/>
      <c r="AGV131" s="1"/>
      <c r="AGW131" s="1"/>
      <c r="AGX131" s="1"/>
      <c r="AGY131" s="1"/>
      <c r="AGZ131" s="1"/>
      <c r="AHA131" s="1"/>
      <c r="AHB131" s="1"/>
      <c r="AHC131" s="1"/>
      <c r="AHD131" s="1"/>
      <c r="AHE131" s="1"/>
      <c r="AHF131" s="1"/>
      <c r="AHG131" s="1"/>
      <c r="AHH131" s="1"/>
      <c r="AHI131" s="1"/>
      <c r="AHJ131" s="1"/>
      <c r="AHK131" s="1"/>
      <c r="AHL131" s="1"/>
      <c r="AHM131" s="1"/>
      <c r="AHN131" s="1"/>
      <c r="AHO131" s="1"/>
      <c r="AHP131" s="1"/>
      <c r="AHQ131" s="1"/>
      <c r="AHR131" s="1"/>
      <c r="AHS131" s="1"/>
      <c r="AHT131" s="1"/>
      <c r="AHU131" s="1"/>
      <c r="AHV131" s="1"/>
      <c r="AHW131" s="1"/>
      <c r="AHX131" s="1"/>
      <c r="AHY131" s="1"/>
      <c r="AHZ131" s="1"/>
      <c r="AIA131" s="1"/>
      <c r="AIB131" s="1"/>
      <c r="AIC131" s="1"/>
      <c r="AID131" s="1"/>
      <c r="AIE131" s="1"/>
      <c r="AIF131" s="1"/>
      <c r="AIG131" s="1"/>
      <c r="AIH131" s="1"/>
      <c r="AII131" s="1"/>
      <c r="AIJ131" s="1"/>
      <c r="AIK131" s="1"/>
      <c r="AIL131" s="1"/>
      <c r="AIM131" s="1"/>
      <c r="AIN131" s="1"/>
      <c r="AIO131" s="1"/>
      <c r="AIP131" s="1"/>
      <c r="AIQ131" s="1"/>
      <c r="AIR131" s="1"/>
      <c r="AIS131" s="1"/>
      <c r="AIT131" s="1"/>
      <c r="AIU131" s="1"/>
      <c r="AIV131" s="1"/>
      <c r="AIW131" s="1"/>
      <c r="AIX131" s="1"/>
      <c r="AIY131" s="1"/>
      <c r="AIZ131" s="1"/>
      <c r="AJA131" s="1"/>
      <c r="AJB131" s="1"/>
      <c r="AJC131" s="1"/>
      <c r="AJD131" s="1"/>
      <c r="AJE131" s="1"/>
      <c r="AJF131" s="1"/>
      <c r="AJG131" s="1"/>
      <c r="AJH131" s="1"/>
      <c r="AJI131" s="1"/>
      <c r="AJJ131" s="1"/>
      <c r="AJK131" s="1"/>
      <c r="AJL131" s="1"/>
      <c r="AJM131" s="1"/>
      <c r="AJN131" s="1"/>
      <c r="AJO131" s="1"/>
      <c r="AJP131" s="1"/>
      <c r="AJQ131" s="1"/>
      <c r="AJR131" s="1"/>
      <c r="AJS131" s="1"/>
      <c r="AJT131" s="1"/>
      <c r="AJU131" s="1"/>
      <c r="AJV131" s="1"/>
      <c r="AJW131" s="1"/>
      <c r="AJX131" s="1"/>
      <c r="AJY131" s="1"/>
      <c r="AJZ131" s="1"/>
      <c r="AKA131" s="1"/>
      <c r="AKB131" s="1"/>
      <c r="AKC131" s="1"/>
      <c r="AKD131" s="1"/>
      <c r="AKE131" s="1"/>
      <c r="AKF131" s="1"/>
      <c r="AKG131" s="1"/>
      <c r="AKH131" s="1"/>
      <c r="AKI131" s="1"/>
      <c r="AKJ131" s="1"/>
      <c r="AKK131" s="1"/>
      <c r="AKL131" s="1"/>
      <c r="AKM131" s="1"/>
      <c r="AKN131" s="1"/>
      <c r="AKO131" s="1"/>
      <c r="AKP131" s="1"/>
      <c r="AKQ131" s="1"/>
      <c r="AKR131" s="1"/>
      <c r="AKS131" s="1"/>
      <c r="AKT131" s="1"/>
      <c r="AKU131" s="1"/>
      <c r="AKV131" s="1"/>
      <c r="AKW131" s="1"/>
      <c r="AKX131" s="1"/>
      <c r="AKY131" s="1"/>
      <c r="AKZ131" s="1"/>
      <c r="ALA131" s="1"/>
      <c r="ALB131" s="1"/>
      <c r="ALC131" s="1"/>
      <c r="ALD131" s="1"/>
      <c r="ALE131" s="1"/>
      <c r="ALF131" s="1"/>
      <c r="ALG131" s="1"/>
      <c r="ALH131" s="1"/>
      <c r="ALI131" s="1"/>
      <c r="ALJ131" s="1"/>
      <c r="ALK131" s="1"/>
      <c r="ALL131" s="1"/>
      <c r="ALM131" s="1"/>
      <c r="ALN131" s="1"/>
      <c r="ALO131" s="1"/>
      <c r="ALP131" s="1"/>
      <c r="ALQ131" s="1"/>
      <c r="ALR131" s="1"/>
      <c r="ALS131" s="1"/>
      <c r="ALT131" s="1"/>
      <c r="ALU131" s="1"/>
      <c r="ALV131" s="1"/>
      <c r="ALW131" s="1"/>
      <c r="ALX131" s="1"/>
      <c r="ALY131" s="1"/>
      <c r="ALZ131" s="1"/>
      <c r="AMA131" s="1"/>
      <c r="AMB131" s="1"/>
      <c r="AMC131" s="1"/>
      <c r="AMD131" s="1"/>
      <c r="AME131" s="1"/>
      <c r="AMF131" s="1"/>
      <c r="AMG131" s="1"/>
      <c r="AMH131" s="1"/>
      <c r="AMI131" s="1"/>
      <c r="AMJ131" s="1"/>
      <c r="AMK131" s="1"/>
      <c r="AML131" s="1"/>
      <c r="AMM131" s="1"/>
      <c r="AMN131" s="1"/>
    </row>
    <row r="132" spans="1:1029" x14ac:dyDescent="0.2">
      <c r="A132" s="3" t="str">
        <f t="shared" si="555"/>
        <v>oprm_mouse__wt</v>
      </c>
      <c r="B132" s="3" t="s">
        <v>918</v>
      </c>
      <c r="C132" s="3" t="s">
        <v>100</v>
      </c>
      <c r="D132" s="3" t="str">
        <f>IFERROR(MID(VLOOKUP($B132,Seqs!$A:$B,2,0),E132,1),"")</f>
        <v>M</v>
      </c>
      <c r="E132" s="3">
        <v>65</v>
      </c>
      <c r="F132" s="3" t="str">
        <f>IFERROR(MID(VLOOKUP($B132,Seqs!$A:$B,2,0),G132,1),"")</f>
        <v>Y</v>
      </c>
      <c r="G132" s="3">
        <v>96</v>
      </c>
      <c r="H132" s="3" t="str">
        <f>IFERROR(MID(VLOOKUP($B132,Seqs!$A:$B,2,0),I132,1),"")</f>
        <v>T</v>
      </c>
      <c r="I132" s="23">
        <v>97</v>
      </c>
      <c r="J132" s="3" t="str">
        <f>IFERROR(MID(VLOOKUP($B132,Seqs!$A:$B,2,0),K132,1),"")</f>
        <v>K</v>
      </c>
      <c r="K132" s="23">
        <v>100</v>
      </c>
      <c r="L132" s="3" t="str">
        <f>IFERROR(MID(VLOOKUP($B132,Seqs!$A:$B,2,0),M132,1),"")</f>
        <v>T</v>
      </c>
      <c r="M132" s="3">
        <v>101</v>
      </c>
      <c r="N132" s="3" t="str">
        <f>IFERROR(MID(VLOOKUP($B132,Seqs!$A:$B,2,0),O132,1),"")</f>
        <v>M</v>
      </c>
      <c r="O132" s="3">
        <v>130</v>
      </c>
      <c r="P132" s="3" t="str">
        <f>IFERROR(MID(VLOOKUP($B132,Seqs!$A:$B,2,0),Q132,1),"")</f>
        <v>T</v>
      </c>
      <c r="Q132" s="3">
        <v>132</v>
      </c>
      <c r="R132" s="3" t="str">
        <f>IFERROR(MID(VLOOKUP($B132,Seqs!$A:$B,2,0),S132,1),"")</f>
        <v>F</v>
      </c>
      <c r="S132" s="3">
        <v>135</v>
      </c>
      <c r="T132" s="3" t="str">
        <f>IFERROR(MID(VLOOKUP($B132,Seqs!$A:$B,2,0),U132,1),"")</f>
        <v>G</v>
      </c>
      <c r="U132" s="3">
        <v>136</v>
      </c>
      <c r="V132" s="3" t="str">
        <f>IFERROR(MID(VLOOKUP($B132,Seqs!$A:$B,2,0),W132,1),"")</f>
        <v>H</v>
      </c>
      <c r="W132" s="3">
        <v>171</v>
      </c>
      <c r="X132" s="3" t="str">
        <f>IFERROR(MID(VLOOKUP($B132,Seqs!$A:$B,2,0),Y132,1),"")</f>
        <v>P</v>
      </c>
      <c r="Y132" s="3">
        <v>172</v>
      </c>
      <c r="Z132" s="3" t="str">
        <f>IFERROR(MID(VLOOKUP($B132,Seqs!$A:$B,2,0),AA132,1),"")</f>
        <v>R</v>
      </c>
      <c r="AA132" s="3">
        <v>179</v>
      </c>
      <c r="AB132" s="3" t="str">
        <f>IFERROR(MID(VLOOKUP($B132,Seqs!$A:$B,2,0),AC132,1),"")</f>
        <v>T</v>
      </c>
      <c r="AC132" s="9">
        <v>180</v>
      </c>
      <c r="AD132" s="3" t="str">
        <f>IFERROR(MID(VLOOKUP($B132,Seqs!$A:$B,2,0),AE132,1),"")</f>
        <v>A</v>
      </c>
      <c r="AE132" s="3">
        <v>206</v>
      </c>
      <c r="AF132" s="3" t="str">
        <f>IFERROR(MID(VLOOKUP($B132,Seqs!$A:$B,2,0),AG132,1),"")</f>
        <v>C</v>
      </c>
      <c r="AG132" s="3">
        <v>217</v>
      </c>
      <c r="AH132" s="3" t="str">
        <f>IFERROR(MID(VLOOKUP($B132,Seqs!$A:$B,2,0),AI132,1),"")</f>
        <v>L</v>
      </c>
      <c r="AI132" s="3">
        <v>219</v>
      </c>
      <c r="AJ132" s="3" t="str">
        <f>IFERROR(MID(VLOOKUP($B132,Seqs!$A:$B,2,0),AK132,1),"")</f>
        <v>T</v>
      </c>
      <c r="AK132" s="3">
        <v>225</v>
      </c>
      <c r="AL132" s="3" t="str">
        <f>IFERROR(MID(VLOOKUP($B132,Seqs!$A:$B,2,0),AM132,1),"")</f>
        <v>V</v>
      </c>
      <c r="AM132" s="3">
        <v>262</v>
      </c>
      <c r="AN132" s="3" t="str">
        <f>IFERROR(MID(VLOOKUP($B132,Seqs!$A:$B,2,0),AO132,1),"")</f>
        <v>S</v>
      </c>
      <c r="AO132" s="3">
        <v>268</v>
      </c>
      <c r="AP132" s="3" t="str">
        <f>IFERROR(MID(VLOOKUP($B132,Seqs!$A:$B,2,0),AQ132,1),"")</f>
        <v>I</v>
      </c>
      <c r="AQ132" s="3">
        <v>306</v>
      </c>
      <c r="AR132" s="3" t="str">
        <f>IFERROR(MID(VLOOKUP($B132,Seqs!$A:$B,2,0),AS132,1),"")</f>
        <v>T</v>
      </c>
      <c r="AS132" s="3">
        <v>311</v>
      </c>
      <c r="AT132" s="3" t="str">
        <f>IFERROR(MID(VLOOKUP($B132,Seqs!$A:$B,2,0),AU132,1),"")</f>
        <v>L</v>
      </c>
      <c r="AU132" s="3">
        <v>339</v>
      </c>
      <c r="AV132" s="3" t="str">
        <f>IFERROR(MID(VLOOKUP($B132,Seqs!$A:$B,2,0),AW132,1),"")</f>
        <v>D</v>
      </c>
      <c r="AW132" s="3">
        <v>340</v>
      </c>
      <c r="AX132" s="3" t="str">
        <f>IFERROR(MID(VLOOKUP($B132,Seqs!$A:$B,2,0),AY132,1),"")</f>
        <v>I</v>
      </c>
      <c r="AY132" s="3">
        <v>352</v>
      </c>
      <c r="AZ132" s="79" t="str">
        <f>VLOOKUP(B132,Classification!A:D,2,0)</f>
        <v>A</v>
      </c>
      <c r="BA132" s="97" t="str">
        <f>VLOOKUP(B132,Classification!A:D,4,0)</f>
        <v>Opioid</v>
      </c>
      <c r="BB132" s="27" t="b">
        <f t="shared" si="556"/>
        <v>1</v>
      </c>
      <c r="BC132" s="23">
        <f t="shared" si="473"/>
        <v>263</v>
      </c>
      <c r="BD132" s="57" t="s">
        <v>1379</v>
      </c>
      <c r="BE132" s="3" t="s">
        <v>1381</v>
      </c>
      <c r="BF132" s="50" t="s">
        <v>1379</v>
      </c>
      <c r="BG132" s="50" t="s">
        <v>1384</v>
      </c>
      <c r="BH132" s="1"/>
      <c r="BI132" s="72" t="s">
        <v>1293</v>
      </c>
      <c r="BJ132" s="58" t="s">
        <v>1293</v>
      </c>
      <c r="BK132" s="58" t="s">
        <v>1293</v>
      </c>
      <c r="BL132" s="58" t="s">
        <v>1293</v>
      </c>
      <c r="BM132" s="58" t="s">
        <v>1293</v>
      </c>
      <c r="BN132" s="58" t="s">
        <v>1293</v>
      </c>
      <c r="BO132" s="58" t="s">
        <v>1293</v>
      </c>
      <c r="BP132" s="58" t="s">
        <v>1293</v>
      </c>
      <c r="BQ132" s="58" t="s">
        <v>1293</v>
      </c>
      <c r="BR132" s="58" t="s">
        <v>1293</v>
      </c>
      <c r="BS132" s="58" t="s">
        <v>1293</v>
      </c>
      <c r="BT132" s="58" t="s">
        <v>1293</v>
      </c>
      <c r="BU132" s="72">
        <f t="shared" si="474"/>
        <v>65</v>
      </c>
      <c r="BV132" s="73">
        <f t="shared" si="475"/>
        <v>97</v>
      </c>
      <c r="BW132" s="74">
        <f t="shared" si="476"/>
        <v>101</v>
      </c>
      <c r="BX132" s="73">
        <f t="shared" si="477"/>
        <v>132</v>
      </c>
      <c r="BY132" s="74">
        <f t="shared" si="478"/>
        <v>136</v>
      </c>
      <c r="BZ132" s="73">
        <f t="shared" si="479"/>
        <v>172</v>
      </c>
      <c r="CA132" s="74">
        <f t="shared" si="480"/>
        <v>180</v>
      </c>
      <c r="CB132" s="73">
        <f t="shared" si="481"/>
        <v>217</v>
      </c>
      <c r="CC132" s="74">
        <f t="shared" si="482"/>
        <v>225</v>
      </c>
      <c r="CD132" s="73">
        <f t="shared" si="483"/>
        <v>268</v>
      </c>
      <c r="CE132" s="74">
        <f t="shared" si="484"/>
        <v>311</v>
      </c>
      <c r="CF132" s="73">
        <f t="shared" si="485"/>
        <v>340</v>
      </c>
      <c r="CG132" s="72">
        <f t="shared" si="486"/>
        <v>96</v>
      </c>
      <c r="CH132" s="73">
        <f t="shared" si="487"/>
        <v>100</v>
      </c>
      <c r="CI132" s="74">
        <f t="shared" si="488"/>
        <v>130</v>
      </c>
      <c r="CJ132" s="74">
        <f t="shared" si="489"/>
        <v>135</v>
      </c>
      <c r="CK132" s="74">
        <f t="shared" si="490"/>
        <v>171</v>
      </c>
      <c r="CL132" s="74">
        <f t="shared" si="491"/>
        <v>179</v>
      </c>
      <c r="CM132" s="74">
        <f t="shared" si="492"/>
        <v>206</v>
      </c>
      <c r="CN132" s="74">
        <f t="shared" si="493"/>
        <v>219</v>
      </c>
      <c r="CO132" s="74">
        <f t="shared" si="494"/>
        <v>262</v>
      </c>
      <c r="CP132" s="74">
        <f t="shared" si="495"/>
        <v>306</v>
      </c>
      <c r="CQ132" s="74">
        <f t="shared" si="496"/>
        <v>339</v>
      </c>
      <c r="CR132" s="74">
        <f t="shared" si="497"/>
        <v>352</v>
      </c>
      <c r="CS132" s="23">
        <f t="shared" si="498"/>
        <v>1</v>
      </c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  <c r="LI132" s="1"/>
      <c r="LJ132" s="1"/>
      <c r="LK132" s="1"/>
      <c r="LL132" s="1"/>
      <c r="LM132" s="1"/>
      <c r="LN132" s="1"/>
      <c r="LO132" s="1"/>
      <c r="LP132" s="1"/>
      <c r="LQ132" s="1"/>
      <c r="LR132" s="1"/>
      <c r="LS132" s="1"/>
      <c r="LT132" s="1"/>
      <c r="LU132" s="1"/>
      <c r="LV132" s="1"/>
      <c r="LW132" s="1"/>
      <c r="LX132" s="1"/>
      <c r="LY132" s="1"/>
      <c r="LZ132" s="1"/>
      <c r="MA132" s="1"/>
      <c r="MB132" s="1"/>
      <c r="MC132" s="1"/>
      <c r="MD132" s="1"/>
      <c r="ME132" s="1"/>
      <c r="MF132" s="1"/>
      <c r="MG132" s="1"/>
      <c r="MH132" s="1"/>
      <c r="MI132" s="1"/>
      <c r="MJ132" s="1"/>
      <c r="MK132" s="1"/>
      <c r="ML132" s="1"/>
      <c r="MM132" s="1"/>
      <c r="MN132" s="1"/>
      <c r="MO132" s="1"/>
      <c r="MP132" s="1"/>
      <c r="MQ132" s="1"/>
      <c r="MR132" s="1"/>
      <c r="MS132" s="1"/>
      <c r="MT132" s="1"/>
      <c r="MU132" s="1"/>
      <c r="MV132" s="1"/>
      <c r="MW132" s="1"/>
      <c r="MX132" s="1"/>
      <c r="MY132" s="1"/>
      <c r="MZ132" s="1"/>
      <c r="NA132" s="1"/>
      <c r="NB132" s="1"/>
      <c r="NC132" s="1"/>
      <c r="ND132" s="1"/>
      <c r="NE132" s="1"/>
      <c r="NF132" s="1"/>
      <c r="NG132" s="1"/>
      <c r="NH132" s="1"/>
      <c r="NI132" s="1"/>
      <c r="NJ132" s="1"/>
      <c r="NK132" s="1"/>
      <c r="NL132" s="1"/>
      <c r="NM132" s="1"/>
      <c r="NN132" s="1"/>
      <c r="NO132" s="1"/>
      <c r="NP132" s="1"/>
      <c r="NQ132" s="1"/>
      <c r="NR132" s="1"/>
      <c r="NS132" s="1"/>
      <c r="NT132" s="1"/>
      <c r="NU132" s="1"/>
      <c r="NV132" s="1"/>
      <c r="NW132" s="1"/>
      <c r="NX132" s="1"/>
      <c r="NY132" s="1"/>
      <c r="NZ132" s="1"/>
      <c r="OA132" s="1"/>
      <c r="OB132" s="1"/>
      <c r="OC132" s="1"/>
      <c r="OD132" s="1"/>
      <c r="OE132" s="1"/>
      <c r="OF132" s="1"/>
      <c r="OG132" s="1"/>
      <c r="OH132" s="1"/>
      <c r="OI132" s="1"/>
      <c r="OJ132" s="1"/>
      <c r="OK132" s="1"/>
      <c r="OL132" s="1"/>
      <c r="OM132" s="1"/>
      <c r="ON132" s="1"/>
      <c r="OO132" s="1"/>
      <c r="OP132" s="1"/>
      <c r="OQ132" s="1"/>
      <c r="OR132" s="1"/>
      <c r="OS132" s="1"/>
      <c r="OT132" s="1"/>
      <c r="OU132" s="1"/>
      <c r="OV132" s="1"/>
      <c r="OW132" s="1"/>
      <c r="OX132" s="1"/>
      <c r="OY132" s="1"/>
      <c r="OZ132" s="1"/>
      <c r="PA132" s="1"/>
      <c r="PB132" s="1"/>
      <c r="PC132" s="1"/>
      <c r="PD132" s="1"/>
      <c r="PE132" s="1"/>
      <c r="PF132" s="1"/>
      <c r="PG132" s="1"/>
      <c r="PH132" s="1"/>
      <c r="PI132" s="1"/>
      <c r="PJ132" s="1"/>
      <c r="PK132" s="1"/>
      <c r="PL132" s="1"/>
      <c r="PM132" s="1"/>
      <c r="PN132" s="1"/>
      <c r="PO132" s="1"/>
      <c r="PP132" s="1"/>
      <c r="PQ132" s="1"/>
      <c r="PR132" s="1"/>
      <c r="PS132" s="1"/>
      <c r="PT132" s="1"/>
      <c r="PU132" s="1"/>
      <c r="PV132" s="1"/>
      <c r="PW132" s="1"/>
      <c r="PX132" s="1"/>
      <c r="PY132" s="1"/>
      <c r="PZ132" s="1"/>
      <c r="QA132" s="1"/>
      <c r="QB132" s="1"/>
      <c r="QC132" s="1"/>
      <c r="QD132" s="1"/>
      <c r="QE132" s="1"/>
      <c r="QF132" s="1"/>
      <c r="QG132" s="1"/>
      <c r="QH132" s="1"/>
      <c r="QI132" s="1"/>
      <c r="QJ132" s="1"/>
      <c r="QK132" s="1"/>
      <c r="QL132" s="1"/>
      <c r="QM132" s="1"/>
      <c r="QN132" s="1"/>
      <c r="QO132" s="1"/>
      <c r="QP132" s="1"/>
      <c r="QQ132" s="1"/>
      <c r="QR132" s="1"/>
      <c r="QS132" s="1"/>
      <c r="QT132" s="1"/>
      <c r="QU132" s="1"/>
      <c r="QV132" s="1"/>
      <c r="QW132" s="1"/>
      <c r="QX132" s="1"/>
      <c r="QY132" s="1"/>
      <c r="QZ132" s="1"/>
      <c r="RA132" s="1"/>
      <c r="RB132" s="1"/>
      <c r="RC132" s="1"/>
      <c r="RD132" s="1"/>
      <c r="RE132" s="1"/>
      <c r="RF132" s="1"/>
      <c r="RG132" s="1"/>
      <c r="RH132" s="1"/>
      <c r="RI132" s="1"/>
      <c r="RJ132" s="1"/>
      <c r="RK132" s="1"/>
      <c r="RL132" s="1"/>
      <c r="RM132" s="1"/>
      <c r="RN132" s="1"/>
      <c r="RO132" s="1"/>
      <c r="RP132" s="1"/>
      <c r="RQ132" s="1"/>
      <c r="RR132" s="1"/>
      <c r="RS132" s="1"/>
      <c r="RT132" s="1"/>
      <c r="RU132" s="1"/>
      <c r="RV132" s="1"/>
      <c r="RW132" s="1"/>
      <c r="RX132" s="1"/>
      <c r="RY132" s="1"/>
      <c r="RZ132" s="1"/>
      <c r="SA132" s="1"/>
      <c r="SB132" s="1"/>
      <c r="SC132" s="1"/>
      <c r="SD132" s="1"/>
      <c r="SE132" s="1"/>
      <c r="SF132" s="1"/>
      <c r="SG132" s="1"/>
      <c r="SH132" s="1"/>
      <c r="SI132" s="1"/>
      <c r="SJ132" s="1"/>
      <c r="SK132" s="1"/>
      <c r="SL132" s="1"/>
      <c r="SM132" s="1"/>
      <c r="SN132" s="1"/>
      <c r="SO132" s="1"/>
      <c r="SP132" s="1"/>
      <c r="SQ132" s="1"/>
      <c r="SR132" s="1"/>
      <c r="SS132" s="1"/>
      <c r="ST132" s="1"/>
      <c r="SU132" s="1"/>
      <c r="SV132" s="1"/>
      <c r="SW132" s="1"/>
      <c r="SX132" s="1"/>
      <c r="SY132" s="1"/>
      <c r="SZ132" s="1"/>
      <c r="TA132" s="1"/>
      <c r="TB132" s="1"/>
      <c r="TC132" s="1"/>
      <c r="TD132" s="1"/>
      <c r="TE132" s="1"/>
      <c r="TF132" s="1"/>
      <c r="TG132" s="1"/>
      <c r="TH132" s="1"/>
      <c r="TI132" s="1"/>
      <c r="TJ132" s="1"/>
      <c r="TK132" s="1"/>
      <c r="TL132" s="1"/>
      <c r="TM132" s="1"/>
      <c r="TN132" s="1"/>
      <c r="TO132" s="1"/>
      <c r="TP132" s="1"/>
      <c r="TQ132" s="1"/>
      <c r="TR132" s="1"/>
      <c r="TS132" s="1"/>
      <c r="TT132" s="1"/>
      <c r="TU132" s="1"/>
      <c r="TV132" s="1"/>
      <c r="TW132" s="1"/>
      <c r="TX132" s="1"/>
      <c r="TY132" s="1"/>
      <c r="TZ132" s="1"/>
      <c r="UA132" s="1"/>
      <c r="UB132" s="1"/>
      <c r="UC132" s="1"/>
      <c r="UD132" s="1"/>
      <c r="UE132" s="1"/>
      <c r="UF132" s="1"/>
      <c r="UG132" s="1"/>
      <c r="UH132" s="1"/>
      <c r="UI132" s="1"/>
      <c r="UJ132" s="1"/>
      <c r="UK132" s="1"/>
      <c r="UL132" s="1"/>
      <c r="UM132" s="1"/>
      <c r="UN132" s="1"/>
      <c r="UO132" s="1"/>
      <c r="UP132" s="1"/>
      <c r="UQ132" s="1"/>
      <c r="UR132" s="1"/>
      <c r="US132" s="1"/>
      <c r="UT132" s="1"/>
      <c r="UU132" s="1"/>
      <c r="UV132" s="1"/>
      <c r="UW132" s="1"/>
      <c r="UX132" s="1"/>
      <c r="UY132" s="1"/>
      <c r="UZ132" s="1"/>
      <c r="VA132" s="1"/>
      <c r="VB132" s="1"/>
      <c r="VC132" s="1"/>
      <c r="VD132" s="1"/>
      <c r="VE132" s="1"/>
      <c r="VF132" s="1"/>
      <c r="VG132" s="1"/>
      <c r="VH132" s="1"/>
      <c r="VI132" s="1"/>
      <c r="VJ132" s="1"/>
      <c r="VK132" s="1"/>
      <c r="VL132" s="1"/>
      <c r="VM132" s="1"/>
      <c r="VN132" s="1"/>
      <c r="VO132" s="1"/>
      <c r="VP132" s="1"/>
      <c r="VQ132" s="1"/>
      <c r="VR132" s="1"/>
      <c r="VS132" s="1"/>
      <c r="VT132" s="1"/>
      <c r="VU132" s="1"/>
      <c r="VV132" s="1"/>
      <c r="VW132" s="1"/>
      <c r="VX132" s="1"/>
      <c r="VY132" s="1"/>
      <c r="VZ132" s="1"/>
      <c r="WA132" s="1"/>
      <c r="WB132" s="1"/>
      <c r="WC132" s="1"/>
      <c r="WD132" s="1"/>
      <c r="WE132" s="1"/>
      <c r="WF132" s="1"/>
      <c r="WG132" s="1"/>
      <c r="WH132" s="1"/>
      <c r="WI132" s="1"/>
      <c r="WJ132" s="1"/>
      <c r="WK132" s="1"/>
      <c r="WL132" s="1"/>
      <c r="WM132" s="1"/>
      <c r="WN132" s="1"/>
      <c r="WO132" s="1"/>
      <c r="WP132" s="1"/>
      <c r="WQ132" s="1"/>
      <c r="WR132" s="1"/>
      <c r="WS132" s="1"/>
      <c r="WT132" s="1"/>
      <c r="WU132" s="1"/>
      <c r="WV132" s="1"/>
      <c r="WW132" s="1"/>
      <c r="WX132" s="1"/>
      <c r="WY132" s="1"/>
      <c r="WZ132" s="1"/>
      <c r="XA132" s="1"/>
      <c r="XB132" s="1"/>
      <c r="XC132" s="1"/>
      <c r="XD132" s="1"/>
      <c r="XE132" s="1"/>
      <c r="XF132" s="1"/>
      <c r="XG132" s="1"/>
      <c r="XH132" s="1"/>
      <c r="XI132" s="1"/>
      <c r="XJ132" s="1"/>
      <c r="XK132" s="1"/>
      <c r="XL132" s="1"/>
      <c r="XM132" s="1"/>
      <c r="XN132" s="1"/>
      <c r="XO132" s="1"/>
      <c r="XP132" s="1"/>
      <c r="XQ132" s="1"/>
      <c r="XR132" s="1"/>
      <c r="XS132" s="1"/>
      <c r="XT132" s="1"/>
      <c r="XU132" s="1"/>
      <c r="XV132" s="1"/>
      <c r="XW132" s="1"/>
      <c r="XX132" s="1"/>
      <c r="XY132" s="1"/>
      <c r="XZ132" s="1"/>
      <c r="YA132" s="1"/>
      <c r="YB132" s="1"/>
      <c r="YC132" s="1"/>
      <c r="YD132" s="1"/>
      <c r="YE132" s="1"/>
      <c r="YF132" s="1"/>
      <c r="YG132" s="1"/>
      <c r="YH132" s="1"/>
      <c r="YI132" s="1"/>
      <c r="YJ132" s="1"/>
      <c r="YK132" s="1"/>
      <c r="YL132" s="1"/>
      <c r="YM132" s="1"/>
      <c r="YN132" s="1"/>
      <c r="YO132" s="1"/>
      <c r="YP132" s="1"/>
      <c r="YQ132" s="1"/>
      <c r="YR132" s="1"/>
      <c r="YS132" s="1"/>
      <c r="YT132" s="1"/>
      <c r="YU132" s="1"/>
      <c r="YV132" s="1"/>
      <c r="YW132" s="1"/>
      <c r="YX132" s="1"/>
      <c r="YY132" s="1"/>
      <c r="YZ132" s="1"/>
      <c r="ZA132" s="1"/>
      <c r="ZB132" s="1"/>
      <c r="ZC132" s="1"/>
      <c r="ZD132" s="1"/>
      <c r="ZE132" s="1"/>
      <c r="ZF132" s="1"/>
      <c r="ZG132" s="1"/>
      <c r="ZH132" s="1"/>
      <c r="ZI132" s="1"/>
      <c r="ZJ132" s="1"/>
      <c r="ZK132" s="1"/>
      <c r="ZL132" s="1"/>
      <c r="ZM132" s="1"/>
      <c r="ZN132" s="1"/>
      <c r="ZO132" s="1"/>
      <c r="ZP132" s="1"/>
      <c r="ZQ132" s="1"/>
      <c r="ZR132" s="1"/>
      <c r="ZS132" s="1"/>
      <c r="ZT132" s="1"/>
      <c r="ZU132" s="1"/>
      <c r="ZV132" s="1"/>
      <c r="ZW132" s="1"/>
      <c r="ZX132" s="1"/>
      <c r="ZY132" s="1"/>
      <c r="ZZ132" s="1"/>
      <c r="AAA132" s="1"/>
      <c r="AAB132" s="1"/>
      <c r="AAC132" s="1"/>
      <c r="AAD132" s="1"/>
      <c r="AAE132" s="1"/>
      <c r="AAF132" s="1"/>
      <c r="AAG132" s="1"/>
      <c r="AAH132" s="1"/>
      <c r="AAI132" s="1"/>
      <c r="AAJ132" s="1"/>
      <c r="AAK132" s="1"/>
      <c r="AAL132" s="1"/>
      <c r="AAM132" s="1"/>
      <c r="AAN132" s="1"/>
      <c r="AAO132" s="1"/>
      <c r="AAP132" s="1"/>
      <c r="AAQ132" s="1"/>
      <c r="AAR132" s="1"/>
      <c r="AAS132" s="1"/>
      <c r="AAT132" s="1"/>
      <c r="AAU132" s="1"/>
      <c r="AAV132" s="1"/>
      <c r="AAW132" s="1"/>
      <c r="AAX132" s="1"/>
      <c r="AAY132" s="1"/>
      <c r="AAZ132" s="1"/>
      <c r="ABA132" s="1"/>
      <c r="ABB132" s="1"/>
      <c r="ABC132" s="1"/>
      <c r="ABD132" s="1"/>
      <c r="ABE132" s="1"/>
      <c r="ABF132" s="1"/>
      <c r="ABG132" s="1"/>
      <c r="ABH132" s="1"/>
      <c r="ABI132" s="1"/>
      <c r="ABJ132" s="1"/>
      <c r="ABK132" s="1"/>
      <c r="ABL132" s="1"/>
      <c r="ABM132" s="1"/>
      <c r="ABN132" s="1"/>
      <c r="ABO132" s="1"/>
      <c r="ABP132" s="1"/>
      <c r="ABQ132" s="1"/>
      <c r="ABR132" s="1"/>
      <c r="ABS132" s="1"/>
      <c r="ABT132" s="1"/>
      <c r="ABU132" s="1"/>
      <c r="ABV132" s="1"/>
      <c r="ABW132" s="1"/>
      <c r="ABX132" s="1"/>
      <c r="ABY132" s="1"/>
      <c r="ABZ132" s="1"/>
      <c r="ACA132" s="1"/>
      <c r="ACB132" s="1"/>
      <c r="ACC132" s="1"/>
      <c r="ACD132" s="1"/>
      <c r="ACE132" s="1"/>
      <c r="ACF132" s="1"/>
      <c r="ACG132" s="1"/>
      <c r="ACH132" s="1"/>
      <c r="ACI132" s="1"/>
      <c r="ACJ132" s="1"/>
      <c r="ACK132" s="1"/>
      <c r="ACL132" s="1"/>
      <c r="ACM132" s="1"/>
      <c r="ACN132" s="1"/>
      <c r="ACO132" s="1"/>
      <c r="ACP132" s="1"/>
      <c r="ACQ132" s="1"/>
      <c r="ACR132" s="1"/>
      <c r="ACS132" s="1"/>
      <c r="ACT132" s="1"/>
      <c r="ACU132" s="1"/>
      <c r="ACV132" s="1"/>
      <c r="ACW132" s="1"/>
      <c r="ACX132" s="1"/>
      <c r="ACY132" s="1"/>
      <c r="ACZ132" s="1"/>
      <c r="ADA132" s="1"/>
      <c r="ADB132" s="1"/>
      <c r="ADC132" s="1"/>
      <c r="ADD132" s="1"/>
      <c r="ADE132" s="1"/>
      <c r="ADF132" s="1"/>
      <c r="ADG132" s="1"/>
      <c r="ADH132" s="1"/>
      <c r="ADI132" s="1"/>
      <c r="ADJ132" s="1"/>
      <c r="ADK132" s="1"/>
      <c r="ADL132" s="1"/>
      <c r="ADM132" s="1"/>
      <c r="ADN132" s="1"/>
      <c r="ADO132" s="1"/>
      <c r="ADP132" s="1"/>
      <c r="ADQ132" s="1"/>
      <c r="ADR132" s="1"/>
      <c r="ADS132" s="1"/>
      <c r="ADT132" s="1"/>
      <c r="ADU132" s="1"/>
      <c r="ADV132" s="1"/>
      <c r="ADW132" s="1"/>
      <c r="ADX132" s="1"/>
      <c r="ADY132" s="1"/>
      <c r="ADZ132" s="1"/>
      <c r="AEA132" s="1"/>
      <c r="AEB132" s="1"/>
      <c r="AEC132" s="1"/>
      <c r="AED132" s="1"/>
      <c r="AEE132" s="1"/>
      <c r="AEF132" s="1"/>
      <c r="AEG132" s="1"/>
      <c r="AEH132" s="1"/>
      <c r="AEI132" s="1"/>
      <c r="AEJ132" s="1"/>
      <c r="AEK132" s="1"/>
      <c r="AEL132" s="1"/>
      <c r="AEM132" s="1"/>
      <c r="AEN132" s="1"/>
      <c r="AEO132" s="1"/>
      <c r="AEP132" s="1"/>
      <c r="AEQ132" s="1"/>
      <c r="AER132" s="1"/>
      <c r="AES132" s="1"/>
      <c r="AET132" s="1"/>
      <c r="AEU132" s="1"/>
      <c r="AEV132" s="1"/>
      <c r="AEW132" s="1"/>
      <c r="AEX132" s="1"/>
      <c r="AEY132" s="1"/>
      <c r="AEZ132" s="1"/>
      <c r="AFA132" s="1"/>
      <c r="AFB132" s="1"/>
      <c r="AFC132" s="1"/>
      <c r="AFD132" s="1"/>
      <c r="AFE132" s="1"/>
      <c r="AFF132" s="1"/>
      <c r="AFG132" s="1"/>
      <c r="AFH132" s="1"/>
      <c r="AFI132" s="1"/>
      <c r="AFJ132" s="1"/>
      <c r="AFK132" s="1"/>
      <c r="AFL132" s="1"/>
      <c r="AFM132" s="1"/>
      <c r="AFN132" s="1"/>
      <c r="AFO132" s="1"/>
      <c r="AFP132" s="1"/>
      <c r="AFQ132" s="1"/>
      <c r="AFR132" s="1"/>
      <c r="AFS132" s="1"/>
      <c r="AFT132" s="1"/>
      <c r="AFU132" s="1"/>
      <c r="AFV132" s="1"/>
      <c r="AFW132" s="1"/>
      <c r="AFX132" s="1"/>
      <c r="AFY132" s="1"/>
      <c r="AFZ132" s="1"/>
      <c r="AGA132" s="1"/>
      <c r="AGB132" s="1"/>
      <c r="AGC132" s="1"/>
      <c r="AGD132" s="1"/>
      <c r="AGE132" s="1"/>
      <c r="AGF132" s="1"/>
      <c r="AGG132" s="1"/>
      <c r="AGH132" s="1"/>
      <c r="AGI132" s="1"/>
      <c r="AGJ132" s="1"/>
      <c r="AGK132" s="1"/>
      <c r="AGL132" s="1"/>
      <c r="AGM132" s="1"/>
      <c r="AGN132" s="1"/>
      <c r="AGO132" s="1"/>
      <c r="AGP132" s="1"/>
      <c r="AGQ132" s="1"/>
      <c r="AGR132" s="1"/>
      <c r="AGS132" s="1"/>
      <c r="AGT132" s="1"/>
      <c r="AGU132" s="1"/>
      <c r="AGV132" s="1"/>
      <c r="AGW132" s="1"/>
      <c r="AGX132" s="1"/>
      <c r="AGY132" s="1"/>
      <c r="AGZ132" s="1"/>
      <c r="AHA132" s="1"/>
      <c r="AHB132" s="1"/>
      <c r="AHC132" s="1"/>
      <c r="AHD132" s="1"/>
      <c r="AHE132" s="1"/>
      <c r="AHF132" s="1"/>
      <c r="AHG132" s="1"/>
      <c r="AHH132" s="1"/>
      <c r="AHI132" s="1"/>
      <c r="AHJ132" s="1"/>
      <c r="AHK132" s="1"/>
      <c r="AHL132" s="1"/>
      <c r="AHM132" s="1"/>
      <c r="AHN132" s="1"/>
      <c r="AHO132" s="1"/>
      <c r="AHP132" s="1"/>
      <c r="AHQ132" s="1"/>
      <c r="AHR132" s="1"/>
      <c r="AHS132" s="1"/>
      <c r="AHT132" s="1"/>
      <c r="AHU132" s="1"/>
      <c r="AHV132" s="1"/>
      <c r="AHW132" s="1"/>
      <c r="AHX132" s="1"/>
      <c r="AHY132" s="1"/>
      <c r="AHZ132" s="1"/>
      <c r="AIA132" s="1"/>
      <c r="AIB132" s="1"/>
      <c r="AIC132" s="1"/>
      <c r="AID132" s="1"/>
      <c r="AIE132" s="1"/>
      <c r="AIF132" s="1"/>
      <c r="AIG132" s="1"/>
      <c r="AIH132" s="1"/>
      <c r="AII132" s="1"/>
      <c r="AIJ132" s="1"/>
      <c r="AIK132" s="1"/>
      <c r="AIL132" s="1"/>
      <c r="AIM132" s="1"/>
      <c r="AIN132" s="1"/>
      <c r="AIO132" s="1"/>
      <c r="AIP132" s="1"/>
      <c r="AIQ132" s="1"/>
      <c r="AIR132" s="1"/>
      <c r="AIS132" s="1"/>
      <c r="AIT132" s="1"/>
      <c r="AIU132" s="1"/>
      <c r="AIV132" s="1"/>
      <c r="AIW132" s="1"/>
      <c r="AIX132" s="1"/>
      <c r="AIY132" s="1"/>
      <c r="AIZ132" s="1"/>
      <c r="AJA132" s="1"/>
      <c r="AJB132" s="1"/>
      <c r="AJC132" s="1"/>
      <c r="AJD132" s="1"/>
      <c r="AJE132" s="1"/>
      <c r="AJF132" s="1"/>
      <c r="AJG132" s="1"/>
      <c r="AJH132" s="1"/>
      <c r="AJI132" s="1"/>
      <c r="AJJ132" s="1"/>
      <c r="AJK132" s="1"/>
      <c r="AJL132" s="1"/>
      <c r="AJM132" s="1"/>
      <c r="AJN132" s="1"/>
      <c r="AJO132" s="1"/>
      <c r="AJP132" s="1"/>
      <c r="AJQ132" s="1"/>
      <c r="AJR132" s="1"/>
      <c r="AJS132" s="1"/>
      <c r="AJT132" s="1"/>
      <c r="AJU132" s="1"/>
      <c r="AJV132" s="1"/>
      <c r="AJW132" s="1"/>
      <c r="AJX132" s="1"/>
      <c r="AJY132" s="1"/>
      <c r="AJZ132" s="1"/>
      <c r="AKA132" s="1"/>
      <c r="AKB132" s="1"/>
      <c r="AKC132" s="1"/>
      <c r="AKD132" s="1"/>
      <c r="AKE132" s="1"/>
      <c r="AKF132" s="1"/>
      <c r="AKG132" s="1"/>
      <c r="AKH132" s="1"/>
      <c r="AKI132" s="1"/>
      <c r="AKJ132" s="1"/>
      <c r="AKK132" s="1"/>
      <c r="AKL132" s="1"/>
      <c r="AKM132" s="1"/>
      <c r="AKN132" s="1"/>
      <c r="AKO132" s="1"/>
      <c r="AKP132" s="1"/>
      <c r="AKQ132" s="1"/>
      <c r="AKR132" s="1"/>
      <c r="AKS132" s="1"/>
      <c r="AKT132" s="1"/>
      <c r="AKU132" s="1"/>
      <c r="AKV132" s="1"/>
      <c r="AKW132" s="1"/>
      <c r="AKX132" s="1"/>
      <c r="AKY132" s="1"/>
      <c r="AKZ132" s="1"/>
      <c r="ALA132" s="1"/>
      <c r="ALB132" s="1"/>
      <c r="ALC132" s="1"/>
      <c r="ALD132" s="1"/>
      <c r="ALE132" s="1"/>
      <c r="ALF132" s="1"/>
      <c r="ALG132" s="1"/>
      <c r="ALH132" s="1"/>
      <c r="ALI132" s="1"/>
      <c r="ALJ132" s="1"/>
      <c r="ALK132" s="1"/>
      <c r="ALL132" s="1"/>
      <c r="ALM132" s="1"/>
      <c r="ALN132" s="1"/>
      <c r="ALO132" s="1"/>
      <c r="ALP132" s="1"/>
      <c r="ALQ132" s="1"/>
      <c r="ALR132" s="1"/>
      <c r="ALS132" s="1"/>
      <c r="ALT132" s="1"/>
      <c r="ALU132" s="1"/>
      <c r="ALV132" s="1"/>
      <c r="ALW132" s="1"/>
      <c r="ALX132" s="1"/>
      <c r="ALY132" s="1"/>
      <c r="ALZ132" s="1"/>
      <c r="AMA132" s="1"/>
      <c r="AMB132" s="1"/>
      <c r="AMC132" s="1"/>
      <c r="AMD132" s="1"/>
      <c r="AME132" s="1"/>
      <c r="AMF132" s="1"/>
      <c r="AMG132" s="1"/>
      <c r="AMH132" s="1"/>
      <c r="AMI132" s="1"/>
      <c r="AMJ132" s="1"/>
      <c r="AMK132" s="1"/>
      <c r="AML132" s="1"/>
      <c r="AMM132" s="1"/>
      <c r="AMN132" s="1"/>
    </row>
    <row r="133" spans="1:1029" x14ac:dyDescent="0.2">
      <c r="A133" s="3" t="str">
        <f t="shared" si="555"/>
        <v>oprm_mouse_4DKL</v>
      </c>
      <c r="B133" s="3" t="s">
        <v>918</v>
      </c>
      <c r="C133" s="3" t="s">
        <v>65</v>
      </c>
      <c r="D133" s="3" t="str">
        <f>IFERROR(MID(VLOOKUP($B133,Seqs!$A:$B,2,0),E133,1),"")</f>
        <v>M</v>
      </c>
      <c r="E133" s="3">
        <v>65</v>
      </c>
      <c r="F133" s="3" t="str">
        <f>IFERROR(MID(VLOOKUP($B133,Seqs!$A:$B,2,0),G133,1),"")</f>
        <v>Y</v>
      </c>
      <c r="G133" s="3">
        <v>96</v>
      </c>
      <c r="H133" s="3" t="str">
        <f>IFERROR(MID(VLOOKUP($B133,Seqs!$A:$B,2,0),I133,1),"")</f>
        <v>T</v>
      </c>
      <c r="I133" s="23">
        <v>97</v>
      </c>
      <c r="J133" s="3" t="str">
        <f>IFERROR(MID(VLOOKUP($B133,Seqs!$A:$B,2,0),K133,1),"")</f>
        <v>K</v>
      </c>
      <c r="K133" s="23">
        <v>100</v>
      </c>
      <c r="L133" s="3" t="str">
        <f>IFERROR(MID(VLOOKUP($B133,Seqs!$A:$B,2,0),M133,1),"")</f>
        <v>T</v>
      </c>
      <c r="M133" s="3">
        <v>101</v>
      </c>
      <c r="N133" s="3" t="str">
        <f>IFERROR(MID(VLOOKUP($B133,Seqs!$A:$B,2,0),O133,1),"")</f>
        <v>M</v>
      </c>
      <c r="O133" s="3">
        <v>130</v>
      </c>
      <c r="P133" s="3" t="str">
        <f>IFERROR(MID(VLOOKUP($B133,Seqs!$A:$B,2,0),Q133,1),"")</f>
        <v>T</v>
      </c>
      <c r="Q133" s="3">
        <v>132</v>
      </c>
      <c r="R133" s="3" t="str">
        <f>IFERROR(MID(VLOOKUP($B133,Seqs!$A:$B,2,0),S133,1),"")</f>
        <v>F</v>
      </c>
      <c r="S133" s="3">
        <v>135</v>
      </c>
      <c r="T133" s="3" t="str">
        <f>IFERROR(MID(VLOOKUP($B133,Seqs!$A:$B,2,0),U133,1),"")</f>
        <v>G</v>
      </c>
      <c r="U133" s="3">
        <v>136</v>
      </c>
      <c r="V133" s="3" t="str">
        <f>IFERROR(MID(VLOOKUP($B133,Seqs!$A:$B,2,0),W133,1),"")</f>
        <v>H</v>
      </c>
      <c r="W133" s="3">
        <v>171</v>
      </c>
      <c r="X133" s="3" t="str">
        <f>IFERROR(MID(VLOOKUP($B133,Seqs!$A:$B,2,0),Y133,1),"")</f>
        <v>P</v>
      </c>
      <c r="Y133" s="3">
        <v>172</v>
      </c>
      <c r="Z133" s="3" t="str">
        <f>IFERROR(MID(VLOOKUP($B133,Seqs!$A:$B,2,0),AA133,1),"")</f>
        <v>R</v>
      </c>
      <c r="AA133" s="3">
        <v>179</v>
      </c>
      <c r="AB133" s="3" t="str">
        <f>IFERROR(MID(VLOOKUP($B133,Seqs!$A:$B,2,0),AC133,1),"")</f>
        <v>T</v>
      </c>
      <c r="AC133" s="9">
        <v>180</v>
      </c>
      <c r="AD133" s="3" t="str">
        <f>IFERROR(MID(VLOOKUP($B133,Seqs!$A:$B,2,0),AE133,1),"")</f>
        <v>A</v>
      </c>
      <c r="AE133" s="3">
        <v>206</v>
      </c>
      <c r="AF133" s="3" t="str">
        <f>IFERROR(MID(VLOOKUP($B133,Seqs!$A:$B,2,0),AG133,1),"")</f>
        <v>C</v>
      </c>
      <c r="AG133" s="3">
        <v>217</v>
      </c>
      <c r="AH133" s="3" t="str">
        <f>IFERROR(MID(VLOOKUP($B133,Seqs!$A:$B,2,0),AI133,1),"")</f>
        <v>L</v>
      </c>
      <c r="AI133" s="3">
        <v>219</v>
      </c>
      <c r="AJ133" s="3" t="str">
        <f>IFERROR(MID(VLOOKUP($B133,Seqs!$A:$B,2,0),AK133,1),"")</f>
        <v>T</v>
      </c>
      <c r="AK133" s="3">
        <v>225</v>
      </c>
      <c r="AL133" s="3" t="str">
        <f>IFERROR(MID(VLOOKUP($B133,Seqs!$A:$B,2,0),AM133,1),"")</f>
        <v>L</v>
      </c>
      <c r="AM133" s="3">
        <v>257</v>
      </c>
      <c r="AN133" s="3" t="str">
        <f>IFERROR(MID(VLOOKUP($B133,Seqs!$A:$B,2,0),AO133,1),"")</f>
        <v>N</v>
      </c>
      <c r="AO133" s="3">
        <v>274</v>
      </c>
      <c r="AP133" s="3" t="str">
        <f>IFERROR(MID(VLOOKUP($B133,Seqs!$A:$B,2,0),AQ133,1),"")</f>
        <v>I</v>
      </c>
      <c r="AQ133" s="3">
        <v>306</v>
      </c>
      <c r="AR133" s="3" t="str">
        <f>IFERROR(MID(VLOOKUP($B133,Seqs!$A:$B,2,0),AS133,1),"")</f>
        <v>T</v>
      </c>
      <c r="AS133" s="3">
        <v>311</v>
      </c>
      <c r="AT133" s="3" t="str">
        <f>IFERROR(MID(VLOOKUP($B133,Seqs!$A:$B,2,0),AU133,1),"")</f>
        <v>L</v>
      </c>
      <c r="AU133" s="3">
        <v>339</v>
      </c>
      <c r="AV133" s="3" t="str">
        <f>IFERROR(MID(VLOOKUP($B133,Seqs!$A:$B,2,0),AW133,1),"")</f>
        <v>D</v>
      </c>
      <c r="AW133" s="3">
        <v>340</v>
      </c>
      <c r="AX133" s="3" t="str">
        <f>IFERROR(MID(VLOOKUP($B133,Seqs!$A:$B,2,0),AY133,1),"")</f>
        <v>I</v>
      </c>
      <c r="AY133" s="3">
        <v>352</v>
      </c>
      <c r="AZ133" s="79" t="str">
        <f>VLOOKUP(B133,Classification!A:D,2,0)</f>
        <v>A</v>
      </c>
      <c r="BA133" s="97" t="str">
        <f>VLOOKUP(B133,Classification!A:D,4,0)</f>
        <v>Opioid</v>
      </c>
      <c r="BB133" s="27" t="b">
        <f t="shared" si="556"/>
        <v>1</v>
      </c>
      <c r="BC133" s="23">
        <f t="shared" si="473"/>
        <v>252</v>
      </c>
      <c r="BD133" s="2" t="s">
        <v>1383</v>
      </c>
      <c r="BE133" s="3" t="s">
        <v>1381</v>
      </c>
      <c r="BF133" s="50" t="s">
        <v>1384</v>
      </c>
      <c r="BG133" s="50" t="s">
        <v>1384</v>
      </c>
      <c r="BH133" s="1"/>
      <c r="BI133" s="72" t="s">
        <v>1293</v>
      </c>
      <c r="BJ133" s="58" t="s">
        <v>1293</v>
      </c>
      <c r="BK133" s="58" t="s">
        <v>1293</v>
      </c>
      <c r="BL133" s="58" t="s">
        <v>1293</v>
      </c>
      <c r="BM133" s="58" t="s">
        <v>1293</v>
      </c>
      <c r="BN133" s="58" t="s">
        <v>1293</v>
      </c>
      <c r="BO133" s="58" t="s">
        <v>1293</v>
      </c>
      <c r="BP133" s="58" t="s">
        <v>1293</v>
      </c>
      <c r="BQ133" s="58" t="s">
        <v>1293</v>
      </c>
      <c r="BR133" s="58" t="s">
        <v>1293</v>
      </c>
      <c r="BS133" s="58" t="s">
        <v>1293</v>
      </c>
      <c r="BT133" s="58" t="s">
        <v>1293</v>
      </c>
      <c r="BU133" s="72">
        <f t="shared" si="474"/>
        <v>65</v>
      </c>
      <c r="BV133" s="73">
        <f t="shared" si="475"/>
        <v>97</v>
      </c>
      <c r="BW133" s="74">
        <f t="shared" si="476"/>
        <v>101</v>
      </c>
      <c r="BX133" s="73">
        <f t="shared" si="477"/>
        <v>132</v>
      </c>
      <c r="BY133" s="74">
        <f t="shared" si="478"/>
        <v>136</v>
      </c>
      <c r="BZ133" s="73">
        <f t="shared" si="479"/>
        <v>172</v>
      </c>
      <c r="CA133" s="74">
        <f t="shared" si="480"/>
        <v>180</v>
      </c>
      <c r="CB133" s="73">
        <f t="shared" si="481"/>
        <v>217</v>
      </c>
      <c r="CC133" s="74">
        <f t="shared" si="482"/>
        <v>225</v>
      </c>
      <c r="CD133" s="73">
        <f t="shared" si="483"/>
        <v>274</v>
      </c>
      <c r="CE133" s="74">
        <f t="shared" si="484"/>
        <v>311</v>
      </c>
      <c r="CF133" s="73">
        <f t="shared" si="485"/>
        <v>340</v>
      </c>
      <c r="CG133" s="72">
        <f t="shared" si="486"/>
        <v>96</v>
      </c>
      <c r="CH133" s="73">
        <f t="shared" si="487"/>
        <v>100</v>
      </c>
      <c r="CI133" s="74">
        <f t="shared" si="488"/>
        <v>130</v>
      </c>
      <c r="CJ133" s="74">
        <f t="shared" si="489"/>
        <v>135</v>
      </c>
      <c r="CK133" s="74">
        <f t="shared" si="490"/>
        <v>171</v>
      </c>
      <c r="CL133" s="74">
        <f t="shared" si="491"/>
        <v>179</v>
      </c>
      <c r="CM133" s="74">
        <f t="shared" si="492"/>
        <v>206</v>
      </c>
      <c r="CN133" s="74">
        <f t="shared" si="493"/>
        <v>219</v>
      </c>
      <c r="CO133" s="74">
        <f t="shared" si="494"/>
        <v>257</v>
      </c>
      <c r="CP133" s="74">
        <f t="shared" si="495"/>
        <v>306</v>
      </c>
      <c r="CQ133" s="74">
        <f t="shared" si="496"/>
        <v>339</v>
      </c>
      <c r="CR133" s="74">
        <f t="shared" si="497"/>
        <v>352</v>
      </c>
      <c r="CS133" s="23">
        <f t="shared" si="498"/>
        <v>1</v>
      </c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  <c r="LI133" s="1"/>
      <c r="LJ133" s="1"/>
      <c r="LK133" s="1"/>
      <c r="LL133" s="1"/>
      <c r="LM133" s="1"/>
      <c r="LN133" s="1"/>
      <c r="LO133" s="1"/>
      <c r="LP133" s="1"/>
      <c r="LQ133" s="1"/>
      <c r="LR133" s="1"/>
      <c r="LS133" s="1"/>
      <c r="LT133" s="1"/>
      <c r="LU133" s="1"/>
      <c r="LV133" s="1"/>
      <c r="LW133" s="1"/>
      <c r="LX133" s="1"/>
      <c r="LY133" s="1"/>
      <c r="LZ133" s="1"/>
      <c r="MA133" s="1"/>
      <c r="MB133" s="1"/>
      <c r="MC133" s="1"/>
      <c r="MD133" s="1"/>
      <c r="ME133" s="1"/>
      <c r="MF133" s="1"/>
      <c r="MG133" s="1"/>
      <c r="MH133" s="1"/>
      <c r="MI133" s="1"/>
      <c r="MJ133" s="1"/>
      <c r="MK133" s="1"/>
      <c r="ML133" s="1"/>
      <c r="MM133" s="1"/>
      <c r="MN133" s="1"/>
      <c r="MO133" s="1"/>
      <c r="MP133" s="1"/>
      <c r="MQ133" s="1"/>
      <c r="MR133" s="1"/>
      <c r="MS133" s="1"/>
      <c r="MT133" s="1"/>
      <c r="MU133" s="1"/>
      <c r="MV133" s="1"/>
      <c r="MW133" s="1"/>
      <c r="MX133" s="1"/>
      <c r="MY133" s="1"/>
      <c r="MZ133" s="1"/>
      <c r="NA133" s="1"/>
      <c r="NB133" s="1"/>
      <c r="NC133" s="1"/>
      <c r="ND133" s="1"/>
      <c r="NE133" s="1"/>
      <c r="NF133" s="1"/>
      <c r="NG133" s="1"/>
      <c r="NH133" s="1"/>
      <c r="NI133" s="1"/>
      <c r="NJ133" s="1"/>
      <c r="NK133" s="1"/>
      <c r="NL133" s="1"/>
      <c r="NM133" s="1"/>
      <c r="NN133" s="1"/>
      <c r="NO133" s="1"/>
      <c r="NP133" s="1"/>
      <c r="NQ133" s="1"/>
      <c r="NR133" s="1"/>
      <c r="NS133" s="1"/>
      <c r="NT133" s="1"/>
      <c r="NU133" s="1"/>
      <c r="NV133" s="1"/>
      <c r="NW133" s="1"/>
      <c r="NX133" s="1"/>
      <c r="NY133" s="1"/>
      <c r="NZ133" s="1"/>
      <c r="OA133" s="1"/>
      <c r="OB133" s="1"/>
      <c r="OC133" s="1"/>
      <c r="OD133" s="1"/>
      <c r="OE133" s="1"/>
      <c r="OF133" s="1"/>
      <c r="OG133" s="1"/>
      <c r="OH133" s="1"/>
      <c r="OI133" s="1"/>
      <c r="OJ133" s="1"/>
      <c r="OK133" s="1"/>
      <c r="OL133" s="1"/>
      <c r="OM133" s="1"/>
      <c r="ON133" s="1"/>
      <c r="OO133" s="1"/>
      <c r="OP133" s="1"/>
      <c r="OQ133" s="1"/>
      <c r="OR133" s="1"/>
      <c r="OS133" s="1"/>
      <c r="OT133" s="1"/>
      <c r="OU133" s="1"/>
      <c r="OV133" s="1"/>
      <c r="OW133" s="1"/>
      <c r="OX133" s="1"/>
      <c r="OY133" s="1"/>
      <c r="OZ133" s="1"/>
      <c r="PA133" s="1"/>
      <c r="PB133" s="1"/>
      <c r="PC133" s="1"/>
      <c r="PD133" s="1"/>
      <c r="PE133" s="1"/>
      <c r="PF133" s="1"/>
      <c r="PG133" s="1"/>
      <c r="PH133" s="1"/>
      <c r="PI133" s="1"/>
      <c r="PJ133" s="1"/>
      <c r="PK133" s="1"/>
      <c r="PL133" s="1"/>
      <c r="PM133" s="1"/>
      <c r="PN133" s="1"/>
      <c r="PO133" s="1"/>
      <c r="PP133" s="1"/>
      <c r="PQ133" s="1"/>
      <c r="PR133" s="1"/>
      <c r="PS133" s="1"/>
      <c r="PT133" s="1"/>
      <c r="PU133" s="1"/>
      <c r="PV133" s="1"/>
      <c r="PW133" s="1"/>
      <c r="PX133" s="1"/>
      <c r="PY133" s="1"/>
      <c r="PZ133" s="1"/>
      <c r="QA133" s="1"/>
      <c r="QB133" s="1"/>
      <c r="QC133" s="1"/>
      <c r="QD133" s="1"/>
      <c r="QE133" s="1"/>
      <c r="QF133" s="1"/>
      <c r="QG133" s="1"/>
      <c r="QH133" s="1"/>
      <c r="QI133" s="1"/>
      <c r="QJ133" s="1"/>
      <c r="QK133" s="1"/>
      <c r="QL133" s="1"/>
      <c r="QM133" s="1"/>
      <c r="QN133" s="1"/>
      <c r="QO133" s="1"/>
      <c r="QP133" s="1"/>
      <c r="QQ133" s="1"/>
      <c r="QR133" s="1"/>
      <c r="QS133" s="1"/>
      <c r="QT133" s="1"/>
      <c r="QU133" s="1"/>
      <c r="QV133" s="1"/>
      <c r="QW133" s="1"/>
      <c r="QX133" s="1"/>
      <c r="QY133" s="1"/>
      <c r="QZ133" s="1"/>
      <c r="RA133" s="1"/>
      <c r="RB133" s="1"/>
      <c r="RC133" s="1"/>
      <c r="RD133" s="1"/>
      <c r="RE133" s="1"/>
      <c r="RF133" s="1"/>
      <c r="RG133" s="1"/>
      <c r="RH133" s="1"/>
      <c r="RI133" s="1"/>
      <c r="RJ133" s="1"/>
      <c r="RK133" s="1"/>
      <c r="RL133" s="1"/>
      <c r="RM133" s="1"/>
      <c r="RN133" s="1"/>
      <c r="RO133" s="1"/>
      <c r="RP133" s="1"/>
      <c r="RQ133" s="1"/>
      <c r="RR133" s="1"/>
      <c r="RS133" s="1"/>
      <c r="RT133" s="1"/>
      <c r="RU133" s="1"/>
      <c r="RV133" s="1"/>
      <c r="RW133" s="1"/>
      <c r="RX133" s="1"/>
      <c r="RY133" s="1"/>
      <c r="RZ133" s="1"/>
      <c r="SA133" s="1"/>
      <c r="SB133" s="1"/>
      <c r="SC133" s="1"/>
      <c r="SD133" s="1"/>
      <c r="SE133" s="1"/>
      <c r="SF133" s="1"/>
      <c r="SG133" s="1"/>
      <c r="SH133" s="1"/>
      <c r="SI133" s="1"/>
      <c r="SJ133" s="1"/>
      <c r="SK133" s="1"/>
      <c r="SL133" s="1"/>
      <c r="SM133" s="1"/>
      <c r="SN133" s="1"/>
      <c r="SO133" s="1"/>
      <c r="SP133" s="1"/>
      <c r="SQ133" s="1"/>
      <c r="SR133" s="1"/>
      <c r="SS133" s="1"/>
      <c r="ST133" s="1"/>
      <c r="SU133" s="1"/>
      <c r="SV133" s="1"/>
      <c r="SW133" s="1"/>
      <c r="SX133" s="1"/>
      <c r="SY133" s="1"/>
      <c r="SZ133" s="1"/>
      <c r="TA133" s="1"/>
      <c r="TB133" s="1"/>
      <c r="TC133" s="1"/>
      <c r="TD133" s="1"/>
      <c r="TE133" s="1"/>
      <c r="TF133" s="1"/>
      <c r="TG133" s="1"/>
      <c r="TH133" s="1"/>
      <c r="TI133" s="1"/>
      <c r="TJ133" s="1"/>
      <c r="TK133" s="1"/>
      <c r="TL133" s="1"/>
      <c r="TM133" s="1"/>
      <c r="TN133" s="1"/>
      <c r="TO133" s="1"/>
      <c r="TP133" s="1"/>
      <c r="TQ133" s="1"/>
      <c r="TR133" s="1"/>
      <c r="TS133" s="1"/>
      <c r="TT133" s="1"/>
      <c r="TU133" s="1"/>
      <c r="TV133" s="1"/>
      <c r="TW133" s="1"/>
      <c r="TX133" s="1"/>
      <c r="TY133" s="1"/>
      <c r="TZ133" s="1"/>
      <c r="UA133" s="1"/>
      <c r="UB133" s="1"/>
      <c r="UC133" s="1"/>
      <c r="UD133" s="1"/>
      <c r="UE133" s="1"/>
      <c r="UF133" s="1"/>
      <c r="UG133" s="1"/>
      <c r="UH133" s="1"/>
      <c r="UI133" s="1"/>
      <c r="UJ133" s="1"/>
      <c r="UK133" s="1"/>
      <c r="UL133" s="1"/>
      <c r="UM133" s="1"/>
      <c r="UN133" s="1"/>
      <c r="UO133" s="1"/>
      <c r="UP133" s="1"/>
      <c r="UQ133" s="1"/>
      <c r="UR133" s="1"/>
      <c r="US133" s="1"/>
      <c r="UT133" s="1"/>
      <c r="UU133" s="1"/>
      <c r="UV133" s="1"/>
      <c r="UW133" s="1"/>
      <c r="UX133" s="1"/>
      <c r="UY133" s="1"/>
      <c r="UZ133" s="1"/>
      <c r="VA133" s="1"/>
      <c r="VB133" s="1"/>
      <c r="VC133" s="1"/>
      <c r="VD133" s="1"/>
      <c r="VE133" s="1"/>
      <c r="VF133" s="1"/>
      <c r="VG133" s="1"/>
      <c r="VH133" s="1"/>
      <c r="VI133" s="1"/>
      <c r="VJ133" s="1"/>
      <c r="VK133" s="1"/>
      <c r="VL133" s="1"/>
      <c r="VM133" s="1"/>
      <c r="VN133" s="1"/>
      <c r="VO133" s="1"/>
      <c r="VP133" s="1"/>
      <c r="VQ133" s="1"/>
      <c r="VR133" s="1"/>
      <c r="VS133" s="1"/>
      <c r="VT133" s="1"/>
      <c r="VU133" s="1"/>
      <c r="VV133" s="1"/>
      <c r="VW133" s="1"/>
      <c r="VX133" s="1"/>
      <c r="VY133" s="1"/>
      <c r="VZ133" s="1"/>
      <c r="WA133" s="1"/>
      <c r="WB133" s="1"/>
      <c r="WC133" s="1"/>
      <c r="WD133" s="1"/>
      <c r="WE133" s="1"/>
      <c r="WF133" s="1"/>
      <c r="WG133" s="1"/>
      <c r="WH133" s="1"/>
      <c r="WI133" s="1"/>
      <c r="WJ133" s="1"/>
      <c r="WK133" s="1"/>
      <c r="WL133" s="1"/>
      <c r="WM133" s="1"/>
      <c r="WN133" s="1"/>
      <c r="WO133" s="1"/>
      <c r="WP133" s="1"/>
      <c r="WQ133" s="1"/>
      <c r="WR133" s="1"/>
      <c r="WS133" s="1"/>
      <c r="WT133" s="1"/>
      <c r="WU133" s="1"/>
      <c r="WV133" s="1"/>
      <c r="WW133" s="1"/>
      <c r="WX133" s="1"/>
      <c r="WY133" s="1"/>
      <c r="WZ133" s="1"/>
      <c r="XA133" s="1"/>
      <c r="XB133" s="1"/>
      <c r="XC133" s="1"/>
      <c r="XD133" s="1"/>
      <c r="XE133" s="1"/>
      <c r="XF133" s="1"/>
      <c r="XG133" s="1"/>
      <c r="XH133" s="1"/>
      <c r="XI133" s="1"/>
      <c r="XJ133" s="1"/>
      <c r="XK133" s="1"/>
      <c r="XL133" s="1"/>
      <c r="XM133" s="1"/>
      <c r="XN133" s="1"/>
      <c r="XO133" s="1"/>
      <c r="XP133" s="1"/>
      <c r="XQ133" s="1"/>
      <c r="XR133" s="1"/>
      <c r="XS133" s="1"/>
      <c r="XT133" s="1"/>
      <c r="XU133" s="1"/>
      <c r="XV133" s="1"/>
      <c r="XW133" s="1"/>
      <c r="XX133" s="1"/>
      <c r="XY133" s="1"/>
      <c r="XZ133" s="1"/>
      <c r="YA133" s="1"/>
      <c r="YB133" s="1"/>
      <c r="YC133" s="1"/>
      <c r="YD133" s="1"/>
      <c r="YE133" s="1"/>
      <c r="YF133" s="1"/>
      <c r="YG133" s="1"/>
      <c r="YH133" s="1"/>
      <c r="YI133" s="1"/>
      <c r="YJ133" s="1"/>
      <c r="YK133" s="1"/>
      <c r="YL133" s="1"/>
      <c r="YM133" s="1"/>
      <c r="YN133" s="1"/>
      <c r="YO133" s="1"/>
      <c r="YP133" s="1"/>
      <c r="YQ133" s="1"/>
      <c r="YR133" s="1"/>
      <c r="YS133" s="1"/>
      <c r="YT133" s="1"/>
      <c r="YU133" s="1"/>
      <c r="YV133" s="1"/>
      <c r="YW133" s="1"/>
      <c r="YX133" s="1"/>
      <c r="YY133" s="1"/>
      <c r="YZ133" s="1"/>
      <c r="ZA133" s="1"/>
      <c r="ZB133" s="1"/>
      <c r="ZC133" s="1"/>
      <c r="ZD133" s="1"/>
      <c r="ZE133" s="1"/>
      <c r="ZF133" s="1"/>
      <c r="ZG133" s="1"/>
      <c r="ZH133" s="1"/>
      <c r="ZI133" s="1"/>
      <c r="ZJ133" s="1"/>
      <c r="ZK133" s="1"/>
      <c r="ZL133" s="1"/>
      <c r="ZM133" s="1"/>
      <c r="ZN133" s="1"/>
      <c r="ZO133" s="1"/>
      <c r="ZP133" s="1"/>
      <c r="ZQ133" s="1"/>
      <c r="ZR133" s="1"/>
      <c r="ZS133" s="1"/>
      <c r="ZT133" s="1"/>
      <c r="ZU133" s="1"/>
      <c r="ZV133" s="1"/>
      <c r="ZW133" s="1"/>
      <c r="ZX133" s="1"/>
      <c r="ZY133" s="1"/>
      <c r="ZZ133" s="1"/>
      <c r="AAA133" s="1"/>
      <c r="AAB133" s="1"/>
      <c r="AAC133" s="1"/>
      <c r="AAD133" s="1"/>
      <c r="AAE133" s="1"/>
      <c r="AAF133" s="1"/>
      <c r="AAG133" s="1"/>
      <c r="AAH133" s="1"/>
      <c r="AAI133" s="1"/>
      <c r="AAJ133" s="1"/>
      <c r="AAK133" s="1"/>
      <c r="AAL133" s="1"/>
      <c r="AAM133" s="1"/>
      <c r="AAN133" s="1"/>
      <c r="AAO133" s="1"/>
      <c r="AAP133" s="1"/>
      <c r="AAQ133" s="1"/>
      <c r="AAR133" s="1"/>
      <c r="AAS133" s="1"/>
      <c r="AAT133" s="1"/>
      <c r="AAU133" s="1"/>
      <c r="AAV133" s="1"/>
      <c r="AAW133" s="1"/>
      <c r="AAX133" s="1"/>
      <c r="AAY133" s="1"/>
      <c r="AAZ133" s="1"/>
      <c r="ABA133" s="1"/>
      <c r="ABB133" s="1"/>
      <c r="ABC133" s="1"/>
      <c r="ABD133" s="1"/>
      <c r="ABE133" s="1"/>
      <c r="ABF133" s="1"/>
      <c r="ABG133" s="1"/>
      <c r="ABH133" s="1"/>
      <c r="ABI133" s="1"/>
      <c r="ABJ133" s="1"/>
      <c r="ABK133" s="1"/>
      <c r="ABL133" s="1"/>
      <c r="ABM133" s="1"/>
      <c r="ABN133" s="1"/>
      <c r="ABO133" s="1"/>
      <c r="ABP133" s="1"/>
      <c r="ABQ133" s="1"/>
      <c r="ABR133" s="1"/>
      <c r="ABS133" s="1"/>
      <c r="ABT133" s="1"/>
      <c r="ABU133" s="1"/>
      <c r="ABV133" s="1"/>
      <c r="ABW133" s="1"/>
      <c r="ABX133" s="1"/>
      <c r="ABY133" s="1"/>
      <c r="ABZ133" s="1"/>
      <c r="ACA133" s="1"/>
      <c r="ACB133" s="1"/>
      <c r="ACC133" s="1"/>
      <c r="ACD133" s="1"/>
      <c r="ACE133" s="1"/>
      <c r="ACF133" s="1"/>
      <c r="ACG133" s="1"/>
      <c r="ACH133" s="1"/>
      <c r="ACI133" s="1"/>
      <c r="ACJ133" s="1"/>
      <c r="ACK133" s="1"/>
      <c r="ACL133" s="1"/>
      <c r="ACM133" s="1"/>
      <c r="ACN133" s="1"/>
      <c r="ACO133" s="1"/>
      <c r="ACP133" s="1"/>
      <c r="ACQ133" s="1"/>
      <c r="ACR133" s="1"/>
      <c r="ACS133" s="1"/>
      <c r="ACT133" s="1"/>
      <c r="ACU133" s="1"/>
      <c r="ACV133" s="1"/>
      <c r="ACW133" s="1"/>
      <c r="ACX133" s="1"/>
      <c r="ACY133" s="1"/>
      <c r="ACZ133" s="1"/>
      <c r="ADA133" s="1"/>
      <c r="ADB133" s="1"/>
      <c r="ADC133" s="1"/>
      <c r="ADD133" s="1"/>
      <c r="ADE133" s="1"/>
      <c r="ADF133" s="1"/>
      <c r="ADG133" s="1"/>
      <c r="ADH133" s="1"/>
      <c r="ADI133" s="1"/>
      <c r="ADJ133" s="1"/>
      <c r="ADK133" s="1"/>
      <c r="ADL133" s="1"/>
      <c r="ADM133" s="1"/>
      <c r="ADN133" s="1"/>
      <c r="ADO133" s="1"/>
      <c r="ADP133" s="1"/>
      <c r="ADQ133" s="1"/>
      <c r="ADR133" s="1"/>
      <c r="ADS133" s="1"/>
      <c r="ADT133" s="1"/>
      <c r="ADU133" s="1"/>
      <c r="ADV133" s="1"/>
      <c r="ADW133" s="1"/>
      <c r="ADX133" s="1"/>
      <c r="ADY133" s="1"/>
      <c r="ADZ133" s="1"/>
      <c r="AEA133" s="1"/>
      <c r="AEB133" s="1"/>
      <c r="AEC133" s="1"/>
      <c r="AED133" s="1"/>
      <c r="AEE133" s="1"/>
      <c r="AEF133" s="1"/>
      <c r="AEG133" s="1"/>
      <c r="AEH133" s="1"/>
      <c r="AEI133" s="1"/>
      <c r="AEJ133" s="1"/>
      <c r="AEK133" s="1"/>
      <c r="AEL133" s="1"/>
      <c r="AEM133" s="1"/>
      <c r="AEN133" s="1"/>
      <c r="AEO133" s="1"/>
      <c r="AEP133" s="1"/>
      <c r="AEQ133" s="1"/>
      <c r="AER133" s="1"/>
      <c r="AES133" s="1"/>
      <c r="AET133" s="1"/>
      <c r="AEU133" s="1"/>
      <c r="AEV133" s="1"/>
      <c r="AEW133" s="1"/>
      <c r="AEX133" s="1"/>
      <c r="AEY133" s="1"/>
      <c r="AEZ133" s="1"/>
      <c r="AFA133" s="1"/>
      <c r="AFB133" s="1"/>
      <c r="AFC133" s="1"/>
      <c r="AFD133" s="1"/>
      <c r="AFE133" s="1"/>
      <c r="AFF133" s="1"/>
      <c r="AFG133" s="1"/>
      <c r="AFH133" s="1"/>
      <c r="AFI133" s="1"/>
      <c r="AFJ133" s="1"/>
      <c r="AFK133" s="1"/>
      <c r="AFL133" s="1"/>
      <c r="AFM133" s="1"/>
      <c r="AFN133" s="1"/>
      <c r="AFO133" s="1"/>
      <c r="AFP133" s="1"/>
      <c r="AFQ133" s="1"/>
      <c r="AFR133" s="1"/>
      <c r="AFS133" s="1"/>
      <c r="AFT133" s="1"/>
      <c r="AFU133" s="1"/>
      <c r="AFV133" s="1"/>
      <c r="AFW133" s="1"/>
      <c r="AFX133" s="1"/>
      <c r="AFY133" s="1"/>
      <c r="AFZ133" s="1"/>
      <c r="AGA133" s="1"/>
      <c r="AGB133" s="1"/>
      <c r="AGC133" s="1"/>
      <c r="AGD133" s="1"/>
      <c r="AGE133" s="1"/>
      <c r="AGF133" s="1"/>
      <c r="AGG133" s="1"/>
      <c r="AGH133" s="1"/>
      <c r="AGI133" s="1"/>
      <c r="AGJ133" s="1"/>
      <c r="AGK133" s="1"/>
      <c r="AGL133" s="1"/>
      <c r="AGM133" s="1"/>
      <c r="AGN133" s="1"/>
      <c r="AGO133" s="1"/>
      <c r="AGP133" s="1"/>
      <c r="AGQ133" s="1"/>
      <c r="AGR133" s="1"/>
      <c r="AGS133" s="1"/>
      <c r="AGT133" s="1"/>
      <c r="AGU133" s="1"/>
      <c r="AGV133" s="1"/>
      <c r="AGW133" s="1"/>
      <c r="AGX133" s="1"/>
      <c r="AGY133" s="1"/>
      <c r="AGZ133" s="1"/>
      <c r="AHA133" s="1"/>
      <c r="AHB133" s="1"/>
      <c r="AHC133" s="1"/>
      <c r="AHD133" s="1"/>
      <c r="AHE133" s="1"/>
      <c r="AHF133" s="1"/>
      <c r="AHG133" s="1"/>
      <c r="AHH133" s="1"/>
      <c r="AHI133" s="1"/>
      <c r="AHJ133" s="1"/>
      <c r="AHK133" s="1"/>
      <c r="AHL133" s="1"/>
      <c r="AHM133" s="1"/>
      <c r="AHN133" s="1"/>
      <c r="AHO133" s="1"/>
      <c r="AHP133" s="1"/>
      <c r="AHQ133" s="1"/>
      <c r="AHR133" s="1"/>
      <c r="AHS133" s="1"/>
      <c r="AHT133" s="1"/>
      <c r="AHU133" s="1"/>
      <c r="AHV133" s="1"/>
      <c r="AHW133" s="1"/>
      <c r="AHX133" s="1"/>
      <c r="AHY133" s="1"/>
      <c r="AHZ133" s="1"/>
      <c r="AIA133" s="1"/>
      <c r="AIB133" s="1"/>
      <c r="AIC133" s="1"/>
      <c r="AID133" s="1"/>
      <c r="AIE133" s="1"/>
      <c r="AIF133" s="1"/>
      <c r="AIG133" s="1"/>
      <c r="AIH133" s="1"/>
      <c r="AII133" s="1"/>
      <c r="AIJ133" s="1"/>
      <c r="AIK133" s="1"/>
      <c r="AIL133" s="1"/>
      <c r="AIM133" s="1"/>
      <c r="AIN133" s="1"/>
      <c r="AIO133" s="1"/>
      <c r="AIP133" s="1"/>
      <c r="AIQ133" s="1"/>
      <c r="AIR133" s="1"/>
      <c r="AIS133" s="1"/>
      <c r="AIT133" s="1"/>
      <c r="AIU133" s="1"/>
      <c r="AIV133" s="1"/>
      <c r="AIW133" s="1"/>
      <c r="AIX133" s="1"/>
      <c r="AIY133" s="1"/>
      <c r="AIZ133" s="1"/>
      <c r="AJA133" s="1"/>
      <c r="AJB133" s="1"/>
      <c r="AJC133" s="1"/>
      <c r="AJD133" s="1"/>
      <c r="AJE133" s="1"/>
      <c r="AJF133" s="1"/>
      <c r="AJG133" s="1"/>
      <c r="AJH133" s="1"/>
      <c r="AJI133" s="1"/>
      <c r="AJJ133" s="1"/>
      <c r="AJK133" s="1"/>
      <c r="AJL133" s="1"/>
      <c r="AJM133" s="1"/>
      <c r="AJN133" s="1"/>
      <c r="AJO133" s="1"/>
      <c r="AJP133" s="1"/>
      <c r="AJQ133" s="1"/>
      <c r="AJR133" s="1"/>
      <c r="AJS133" s="1"/>
      <c r="AJT133" s="1"/>
      <c r="AJU133" s="1"/>
      <c r="AJV133" s="1"/>
      <c r="AJW133" s="1"/>
      <c r="AJX133" s="1"/>
      <c r="AJY133" s="1"/>
      <c r="AJZ133" s="1"/>
      <c r="AKA133" s="1"/>
      <c r="AKB133" s="1"/>
      <c r="AKC133" s="1"/>
      <c r="AKD133" s="1"/>
      <c r="AKE133" s="1"/>
      <c r="AKF133" s="1"/>
      <c r="AKG133" s="1"/>
      <c r="AKH133" s="1"/>
      <c r="AKI133" s="1"/>
      <c r="AKJ133" s="1"/>
      <c r="AKK133" s="1"/>
      <c r="AKL133" s="1"/>
      <c r="AKM133" s="1"/>
      <c r="AKN133" s="1"/>
      <c r="AKO133" s="1"/>
      <c r="AKP133" s="1"/>
      <c r="AKQ133" s="1"/>
      <c r="AKR133" s="1"/>
      <c r="AKS133" s="1"/>
      <c r="AKT133" s="1"/>
      <c r="AKU133" s="1"/>
      <c r="AKV133" s="1"/>
      <c r="AKW133" s="1"/>
      <c r="AKX133" s="1"/>
      <c r="AKY133" s="1"/>
      <c r="AKZ133" s="1"/>
      <c r="ALA133" s="1"/>
      <c r="ALB133" s="1"/>
      <c r="ALC133" s="1"/>
      <c r="ALD133" s="1"/>
      <c r="ALE133" s="1"/>
      <c r="ALF133" s="1"/>
      <c r="ALG133" s="1"/>
      <c r="ALH133" s="1"/>
      <c r="ALI133" s="1"/>
      <c r="ALJ133" s="1"/>
      <c r="ALK133" s="1"/>
      <c r="ALL133" s="1"/>
      <c r="ALM133" s="1"/>
      <c r="ALN133" s="1"/>
      <c r="ALO133" s="1"/>
      <c r="ALP133" s="1"/>
      <c r="ALQ133" s="1"/>
      <c r="ALR133" s="1"/>
      <c r="ALS133" s="1"/>
      <c r="ALT133" s="1"/>
      <c r="ALU133" s="1"/>
      <c r="ALV133" s="1"/>
      <c r="ALW133" s="1"/>
      <c r="ALX133" s="1"/>
      <c r="ALY133" s="1"/>
      <c r="ALZ133" s="1"/>
      <c r="AMA133" s="1"/>
      <c r="AMB133" s="1"/>
      <c r="AMC133" s="1"/>
      <c r="AMD133" s="1"/>
      <c r="AME133" s="1"/>
      <c r="AMF133" s="1"/>
      <c r="AMG133" s="1"/>
      <c r="AMH133" s="1"/>
      <c r="AMI133" s="1"/>
      <c r="AMJ133" s="1"/>
      <c r="AMK133" s="1"/>
      <c r="AML133" s="1"/>
      <c r="AMM133" s="1"/>
      <c r="AMN133" s="1"/>
    </row>
    <row r="134" spans="1:1029" x14ac:dyDescent="0.2">
      <c r="A134" s="3" t="str">
        <f t="shared" si="555"/>
        <v>oprm_mouse_5C1M</v>
      </c>
      <c r="B134" s="3" t="s">
        <v>918</v>
      </c>
      <c r="C134" s="3" t="s">
        <v>84</v>
      </c>
      <c r="D134" s="3" t="str">
        <f>IFERROR(MID(VLOOKUP($B134,Seqs!$A:$B,2,0),E134,1),"")</f>
        <v>M</v>
      </c>
      <c r="E134" s="3">
        <v>65</v>
      </c>
      <c r="F134" s="3" t="str">
        <f>IFERROR(MID(VLOOKUP($B134,Seqs!$A:$B,2,0),G134,1),"")</f>
        <v>Y</v>
      </c>
      <c r="G134" s="3">
        <v>96</v>
      </c>
      <c r="H134" s="3" t="str">
        <f>IFERROR(MID(VLOOKUP($B134,Seqs!$A:$B,2,0),I134,1),"")</f>
        <v/>
      </c>
      <c r="I134" s="23" t="s">
        <v>23</v>
      </c>
      <c r="J134" s="3" t="str">
        <f>IFERROR(MID(VLOOKUP($B134,Seqs!$A:$B,2,0),K134,1),"")</f>
        <v/>
      </c>
      <c r="K134" s="23" t="s">
        <v>23</v>
      </c>
      <c r="L134" s="3" t="str">
        <f>IFERROR(MID(VLOOKUP($B134,Seqs!$A:$B,2,0),M134,1),"")</f>
        <v>T</v>
      </c>
      <c r="M134" s="3">
        <v>101</v>
      </c>
      <c r="N134" s="3" t="str">
        <f>IFERROR(MID(VLOOKUP($B134,Seqs!$A:$B,2,0),O134,1),"")</f>
        <v>M</v>
      </c>
      <c r="O134" s="3">
        <v>130</v>
      </c>
      <c r="P134" s="3" t="str">
        <f>IFERROR(MID(VLOOKUP($B134,Seqs!$A:$B,2,0),Q134,1),"")</f>
        <v>T</v>
      </c>
      <c r="Q134" s="3">
        <v>132</v>
      </c>
      <c r="R134" s="3" t="str">
        <f>IFERROR(MID(VLOOKUP($B134,Seqs!$A:$B,2,0),S134,1),"")</f>
        <v>F</v>
      </c>
      <c r="S134" s="3">
        <v>135</v>
      </c>
      <c r="T134" s="3" t="str">
        <f>IFERROR(MID(VLOOKUP($B134,Seqs!$A:$B,2,0),U134,1),"")</f>
        <v>G</v>
      </c>
      <c r="U134" s="3">
        <v>136</v>
      </c>
      <c r="V134" s="3" t="str">
        <f>IFERROR(MID(VLOOKUP($B134,Seqs!$A:$B,2,0),W134,1),"")</f>
        <v>H</v>
      </c>
      <c r="W134" s="3">
        <v>171</v>
      </c>
      <c r="X134" s="3" t="str">
        <f>IFERROR(MID(VLOOKUP($B134,Seqs!$A:$B,2,0),Y134,1),"")</f>
        <v>P</v>
      </c>
      <c r="Y134" s="3">
        <v>172</v>
      </c>
      <c r="Z134" s="3" t="str">
        <f>IFERROR(MID(VLOOKUP($B134,Seqs!$A:$B,2,0),AA134,1),"")</f>
        <v>R</v>
      </c>
      <c r="AA134" s="3">
        <v>179</v>
      </c>
      <c r="AB134" s="3" t="str">
        <f>IFERROR(MID(VLOOKUP($B134,Seqs!$A:$B,2,0),AC134,1),"")</f>
        <v>T</v>
      </c>
      <c r="AC134" s="9">
        <v>180</v>
      </c>
      <c r="AD134" s="3" t="str">
        <f>IFERROR(MID(VLOOKUP($B134,Seqs!$A:$B,2,0),AE134,1),"")</f>
        <v>A</v>
      </c>
      <c r="AE134" s="3">
        <v>206</v>
      </c>
      <c r="AF134" s="3" t="str">
        <f>IFERROR(MID(VLOOKUP($B134,Seqs!$A:$B,2,0),AG134,1),"")</f>
        <v>C</v>
      </c>
      <c r="AG134" s="3">
        <v>217</v>
      </c>
      <c r="AH134" s="3" t="str">
        <f>IFERROR(MID(VLOOKUP($B134,Seqs!$A:$B,2,0),AI134,1),"")</f>
        <v>L</v>
      </c>
      <c r="AI134" s="3">
        <v>219</v>
      </c>
      <c r="AJ134" s="3" t="str">
        <f>IFERROR(MID(VLOOKUP($B134,Seqs!$A:$B,2,0),AK134,1),"")</f>
        <v>T</v>
      </c>
      <c r="AK134" s="3">
        <v>225</v>
      </c>
      <c r="AL134" s="3" t="str">
        <f>IFERROR(MID(VLOOKUP($B134,Seqs!$A:$B,2,0),AM134,1),"")</f>
        <v>V</v>
      </c>
      <c r="AM134" s="3">
        <v>262</v>
      </c>
      <c r="AN134" s="3" t="str">
        <f>IFERROR(MID(VLOOKUP($B134,Seqs!$A:$B,2,0),AO134,1),"")</f>
        <v>S</v>
      </c>
      <c r="AO134" s="3">
        <v>268</v>
      </c>
      <c r="AP134" s="3" t="str">
        <f>IFERROR(MID(VLOOKUP($B134,Seqs!$A:$B,2,0),AQ134,1),"")</f>
        <v>I</v>
      </c>
      <c r="AQ134" s="3">
        <v>306</v>
      </c>
      <c r="AR134" s="3" t="str">
        <f>IFERROR(MID(VLOOKUP($B134,Seqs!$A:$B,2,0),AS134,1),"")</f>
        <v>T</v>
      </c>
      <c r="AS134" s="3">
        <v>311</v>
      </c>
      <c r="AT134" s="3" t="str">
        <f>IFERROR(MID(VLOOKUP($B134,Seqs!$A:$B,2,0),AU134,1),"")</f>
        <v>P</v>
      </c>
      <c r="AU134" s="3">
        <v>333</v>
      </c>
      <c r="AV134" s="3" t="str">
        <f>IFERROR(MID(VLOOKUP($B134,Seqs!$A:$B,2,0),AW134,1),"")</f>
        <v/>
      </c>
      <c r="AW134" s="3" t="s">
        <v>23</v>
      </c>
      <c r="AX134" s="3" t="str">
        <f>IFERROR(MID(VLOOKUP($B134,Seqs!$A:$B,2,0),AY134,1),"")</f>
        <v/>
      </c>
      <c r="AY134" s="3" t="s">
        <v>23</v>
      </c>
      <c r="AZ134" s="79" t="str">
        <f>VLOOKUP(B134,Classification!A:D,2,0)</f>
        <v>A</v>
      </c>
      <c r="BA134" s="97" t="str">
        <f>VLOOKUP(B134,Classification!A:D,4,0)</f>
        <v>Opioid</v>
      </c>
      <c r="BB134" s="27" t="b">
        <f t="shared" si="556"/>
        <v>1</v>
      </c>
      <c r="BC134" s="23">
        <f t="shared" si="473"/>
        <v>242</v>
      </c>
      <c r="BD134" s="5" t="s">
        <v>1382</v>
      </c>
      <c r="BE134" s="3" t="s">
        <v>1297</v>
      </c>
      <c r="BF134" s="50" t="s">
        <v>1384</v>
      </c>
      <c r="BG134" s="50" t="s">
        <v>1384</v>
      </c>
      <c r="BH134" s="1"/>
      <c r="BI134" s="72" t="s">
        <v>1293</v>
      </c>
      <c r="BJ134" s="58" t="s">
        <v>1293</v>
      </c>
      <c r="BK134" s="58" t="s">
        <v>1293</v>
      </c>
      <c r="BL134" s="58" t="s">
        <v>1293</v>
      </c>
      <c r="BM134" s="58" t="s">
        <v>1293</v>
      </c>
      <c r="BN134" s="58" t="s">
        <v>1293</v>
      </c>
      <c r="BO134" s="58" t="s">
        <v>1293</v>
      </c>
      <c r="BP134" s="58" t="s">
        <v>1293</v>
      </c>
      <c r="BQ134" s="58" t="s">
        <v>1293</v>
      </c>
      <c r="BR134" s="58" t="s">
        <v>1293</v>
      </c>
      <c r="BS134" s="58" t="s">
        <v>1293</v>
      </c>
      <c r="BT134" s="58" t="s">
        <v>1293</v>
      </c>
      <c r="BU134" s="72">
        <f t="shared" si="474"/>
        <v>65</v>
      </c>
      <c r="BV134" s="73" t="str">
        <f t="shared" si="475"/>
        <v>-</v>
      </c>
      <c r="BW134" s="74">
        <f t="shared" si="476"/>
        <v>101</v>
      </c>
      <c r="BX134" s="73">
        <f t="shared" si="477"/>
        <v>132</v>
      </c>
      <c r="BY134" s="74">
        <f t="shared" si="478"/>
        <v>136</v>
      </c>
      <c r="BZ134" s="73">
        <f t="shared" si="479"/>
        <v>172</v>
      </c>
      <c r="CA134" s="74">
        <f t="shared" si="480"/>
        <v>180</v>
      </c>
      <c r="CB134" s="73">
        <f t="shared" si="481"/>
        <v>217</v>
      </c>
      <c r="CC134" s="74">
        <f t="shared" si="482"/>
        <v>225</v>
      </c>
      <c r="CD134" s="73">
        <f t="shared" si="483"/>
        <v>268</v>
      </c>
      <c r="CE134" s="74">
        <f t="shared" si="484"/>
        <v>311</v>
      </c>
      <c r="CF134" s="73" t="str">
        <f t="shared" si="485"/>
        <v>-</v>
      </c>
      <c r="CG134" s="72">
        <f t="shared" si="486"/>
        <v>96</v>
      </c>
      <c r="CH134" s="73" t="str">
        <f t="shared" si="487"/>
        <v>-</v>
      </c>
      <c r="CI134" s="74">
        <f t="shared" si="488"/>
        <v>130</v>
      </c>
      <c r="CJ134" s="74">
        <f t="shared" si="489"/>
        <v>135</v>
      </c>
      <c r="CK134" s="74">
        <f t="shared" si="490"/>
        <v>171</v>
      </c>
      <c r="CL134" s="74">
        <f t="shared" si="491"/>
        <v>179</v>
      </c>
      <c r="CM134" s="74">
        <f t="shared" si="492"/>
        <v>206</v>
      </c>
      <c r="CN134" s="74">
        <f t="shared" si="493"/>
        <v>219</v>
      </c>
      <c r="CO134" s="74">
        <f t="shared" si="494"/>
        <v>262</v>
      </c>
      <c r="CP134" s="74">
        <f t="shared" si="495"/>
        <v>306</v>
      </c>
      <c r="CQ134" s="74">
        <f t="shared" si="496"/>
        <v>333</v>
      </c>
      <c r="CR134" s="74" t="str">
        <f t="shared" si="497"/>
        <v>-</v>
      </c>
      <c r="CS134" s="23" t="e">
        <f t="shared" si="498"/>
        <v>#VALUE!</v>
      </c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  <c r="LI134" s="1"/>
      <c r="LJ134" s="1"/>
      <c r="LK134" s="1"/>
      <c r="LL134" s="1"/>
      <c r="LM134" s="1"/>
      <c r="LN134" s="1"/>
      <c r="LO134" s="1"/>
      <c r="LP134" s="1"/>
      <c r="LQ134" s="1"/>
      <c r="LR134" s="1"/>
      <c r="LS134" s="1"/>
      <c r="LT134" s="1"/>
      <c r="LU134" s="1"/>
      <c r="LV134" s="1"/>
      <c r="LW134" s="1"/>
      <c r="LX134" s="1"/>
      <c r="LY134" s="1"/>
      <c r="LZ134" s="1"/>
      <c r="MA134" s="1"/>
      <c r="MB134" s="1"/>
      <c r="MC134" s="1"/>
      <c r="MD134" s="1"/>
      <c r="ME134" s="1"/>
      <c r="MF134" s="1"/>
      <c r="MG134" s="1"/>
      <c r="MH134" s="1"/>
      <c r="MI134" s="1"/>
      <c r="MJ134" s="1"/>
      <c r="MK134" s="1"/>
      <c r="ML134" s="1"/>
      <c r="MM134" s="1"/>
      <c r="MN134" s="1"/>
      <c r="MO134" s="1"/>
      <c r="MP134" s="1"/>
      <c r="MQ134" s="1"/>
      <c r="MR134" s="1"/>
      <c r="MS134" s="1"/>
      <c r="MT134" s="1"/>
      <c r="MU134" s="1"/>
      <c r="MV134" s="1"/>
      <c r="MW134" s="1"/>
      <c r="MX134" s="1"/>
      <c r="MY134" s="1"/>
      <c r="MZ134" s="1"/>
      <c r="NA134" s="1"/>
      <c r="NB134" s="1"/>
      <c r="NC134" s="1"/>
      <c r="ND134" s="1"/>
      <c r="NE134" s="1"/>
      <c r="NF134" s="1"/>
      <c r="NG134" s="1"/>
      <c r="NH134" s="1"/>
      <c r="NI134" s="1"/>
      <c r="NJ134" s="1"/>
      <c r="NK134" s="1"/>
      <c r="NL134" s="1"/>
      <c r="NM134" s="1"/>
      <c r="NN134" s="1"/>
      <c r="NO134" s="1"/>
      <c r="NP134" s="1"/>
      <c r="NQ134" s="1"/>
      <c r="NR134" s="1"/>
      <c r="NS134" s="1"/>
      <c r="NT134" s="1"/>
      <c r="NU134" s="1"/>
      <c r="NV134" s="1"/>
      <c r="NW134" s="1"/>
      <c r="NX134" s="1"/>
      <c r="NY134" s="1"/>
      <c r="NZ134" s="1"/>
      <c r="OA134" s="1"/>
      <c r="OB134" s="1"/>
      <c r="OC134" s="1"/>
      <c r="OD134" s="1"/>
      <c r="OE134" s="1"/>
      <c r="OF134" s="1"/>
      <c r="OG134" s="1"/>
      <c r="OH134" s="1"/>
      <c r="OI134" s="1"/>
      <c r="OJ134" s="1"/>
      <c r="OK134" s="1"/>
      <c r="OL134" s="1"/>
      <c r="OM134" s="1"/>
      <c r="ON134" s="1"/>
      <c r="OO134" s="1"/>
      <c r="OP134" s="1"/>
      <c r="OQ134" s="1"/>
      <c r="OR134" s="1"/>
      <c r="OS134" s="1"/>
      <c r="OT134" s="1"/>
      <c r="OU134" s="1"/>
      <c r="OV134" s="1"/>
      <c r="OW134" s="1"/>
      <c r="OX134" s="1"/>
      <c r="OY134" s="1"/>
      <c r="OZ134" s="1"/>
      <c r="PA134" s="1"/>
      <c r="PB134" s="1"/>
      <c r="PC134" s="1"/>
      <c r="PD134" s="1"/>
      <c r="PE134" s="1"/>
      <c r="PF134" s="1"/>
      <c r="PG134" s="1"/>
      <c r="PH134" s="1"/>
      <c r="PI134" s="1"/>
      <c r="PJ134" s="1"/>
      <c r="PK134" s="1"/>
      <c r="PL134" s="1"/>
      <c r="PM134" s="1"/>
      <c r="PN134" s="1"/>
      <c r="PO134" s="1"/>
      <c r="PP134" s="1"/>
      <c r="PQ134" s="1"/>
      <c r="PR134" s="1"/>
      <c r="PS134" s="1"/>
      <c r="PT134" s="1"/>
      <c r="PU134" s="1"/>
      <c r="PV134" s="1"/>
      <c r="PW134" s="1"/>
      <c r="PX134" s="1"/>
      <c r="PY134" s="1"/>
      <c r="PZ134" s="1"/>
      <c r="QA134" s="1"/>
      <c r="QB134" s="1"/>
      <c r="QC134" s="1"/>
      <c r="QD134" s="1"/>
      <c r="QE134" s="1"/>
      <c r="QF134" s="1"/>
      <c r="QG134" s="1"/>
      <c r="QH134" s="1"/>
      <c r="QI134" s="1"/>
      <c r="QJ134" s="1"/>
      <c r="QK134" s="1"/>
      <c r="QL134" s="1"/>
      <c r="QM134" s="1"/>
      <c r="QN134" s="1"/>
      <c r="QO134" s="1"/>
      <c r="QP134" s="1"/>
      <c r="QQ134" s="1"/>
      <c r="QR134" s="1"/>
      <c r="QS134" s="1"/>
      <c r="QT134" s="1"/>
      <c r="QU134" s="1"/>
      <c r="QV134" s="1"/>
      <c r="QW134" s="1"/>
      <c r="QX134" s="1"/>
      <c r="QY134" s="1"/>
      <c r="QZ134" s="1"/>
      <c r="RA134" s="1"/>
      <c r="RB134" s="1"/>
      <c r="RC134" s="1"/>
      <c r="RD134" s="1"/>
      <c r="RE134" s="1"/>
      <c r="RF134" s="1"/>
      <c r="RG134" s="1"/>
      <c r="RH134" s="1"/>
      <c r="RI134" s="1"/>
      <c r="RJ134" s="1"/>
      <c r="RK134" s="1"/>
      <c r="RL134" s="1"/>
      <c r="RM134" s="1"/>
      <c r="RN134" s="1"/>
      <c r="RO134" s="1"/>
      <c r="RP134" s="1"/>
      <c r="RQ134" s="1"/>
      <c r="RR134" s="1"/>
      <c r="RS134" s="1"/>
      <c r="RT134" s="1"/>
      <c r="RU134" s="1"/>
      <c r="RV134" s="1"/>
      <c r="RW134" s="1"/>
      <c r="RX134" s="1"/>
      <c r="RY134" s="1"/>
      <c r="RZ134" s="1"/>
      <c r="SA134" s="1"/>
      <c r="SB134" s="1"/>
      <c r="SC134" s="1"/>
      <c r="SD134" s="1"/>
      <c r="SE134" s="1"/>
      <c r="SF134" s="1"/>
      <c r="SG134" s="1"/>
      <c r="SH134" s="1"/>
      <c r="SI134" s="1"/>
      <c r="SJ134" s="1"/>
      <c r="SK134" s="1"/>
      <c r="SL134" s="1"/>
      <c r="SM134" s="1"/>
      <c r="SN134" s="1"/>
      <c r="SO134" s="1"/>
      <c r="SP134" s="1"/>
      <c r="SQ134" s="1"/>
      <c r="SR134" s="1"/>
      <c r="SS134" s="1"/>
      <c r="ST134" s="1"/>
      <c r="SU134" s="1"/>
      <c r="SV134" s="1"/>
      <c r="SW134" s="1"/>
      <c r="SX134" s="1"/>
      <c r="SY134" s="1"/>
      <c r="SZ134" s="1"/>
      <c r="TA134" s="1"/>
      <c r="TB134" s="1"/>
      <c r="TC134" s="1"/>
      <c r="TD134" s="1"/>
      <c r="TE134" s="1"/>
      <c r="TF134" s="1"/>
      <c r="TG134" s="1"/>
      <c r="TH134" s="1"/>
      <c r="TI134" s="1"/>
      <c r="TJ134" s="1"/>
      <c r="TK134" s="1"/>
      <c r="TL134" s="1"/>
      <c r="TM134" s="1"/>
      <c r="TN134" s="1"/>
      <c r="TO134" s="1"/>
      <c r="TP134" s="1"/>
      <c r="TQ134" s="1"/>
      <c r="TR134" s="1"/>
      <c r="TS134" s="1"/>
      <c r="TT134" s="1"/>
      <c r="TU134" s="1"/>
      <c r="TV134" s="1"/>
      <c r="TW134" s="1"/>
      <c r="TX134" s="1"/>
      <c r="TY134" s="1"/>
      <c r="TZ134" s="1"/>
      <c r="UA134" s="1"/>
      <c r="UB134" s="1"/>
      <c r="UC134" s="1"/>
      <c r="UD134" s="1"/>
      <c r="UE134" s="1"/>
      <c r="UF134" s="1"/>
      <c r="UG134" s="1"/>
      <c r="UH134" s="1"/>
      <c r="UI134" s="1"/>
      <c r="UJ134" s="1"/>
      <c r="UK134" s="1"/>
      <c r="UL134" s="1"/>
      <c r="UM134" s="1"/>
      <c r="UN134" s="1"/>
      <c r="UO134" s="1"/>
      <c r="UP134" s="1"/>
      <c r="UQ134" s="1"/>
      <c r="UR134" s="1"/>
      <c r="US134" s="1"/>
      <c r="UT134" s="1"/>
      <c r="UU134" s="1"/>
      <c r="UV134" s="1"/>
      <c r="UW134" s="1"/>
      <c r="UX134" s="1"/>
      <c r="UY134" s="1"/>
      <c r="UZ134" s="1"/>
      <c r="VA134" s="1"/>
      <c r="VB134" s="1"/>
      <c r="VC134" s="1"/>
      <c r="VD134" s="1"/>
      <c r="VE134" s="1"/>
      <c r="VF134" s="1"/>
      <c r="VG134" s="1"/>
      <c r="VH134" s="1"/>
      <c r="VI134" s="1"/>
      <c r="VJ134" s="1"/>
      <c r="VK134" s="1"/>
      <c r="VL134" s="1"/>
      <c r="VM134" s="1"/>
      <c r="VN134" s="1"/>
      <c r="VO134" s="1"/>
      <c r="VP134" s="1"/>
      <c r="VQ134" s="1"/>
      <c r="VR134" s="1"/>
      <c r="VS134" s="1"/>
      <c r="VT134" s="1"/>
      <c r="VU134" s="1"/>
      <c r="VV134" s="1"/>
      <c r="VW134" s="1"/>
      <c r="VX134" s="1"/>
      <c r="VY134" s="1"/>
      <c r="VZ134" s="1"/>
      <c r="WA134" s="1"/>
      <c r="WB134" s="1"/>
      <c r="WC134" s="1"/>
      <c r="WD134" s="1"/>
      <c r="WE134" s="1"/>
      <c r="WF134" s="1"/>
      <c r="WG134" s="1"/>
      <c r="WH134" s="1"/>
      <c r="WI134" s="1"/>
      <c r="WJ134" s="1"/>
      <c r="WK134" s="1"/>
      <c r="WL134" s="1"/>
      <c r="WM134" s="1"/>
      <c r="WN134" s="1"/>
      <c r="WO134" s="1"/>
      <c r="WP134" s="1"/>
      <c r="WQ134" s="1"/>
      <c r="WR134" s="1"/>
      <c r="WS134" s="1"/>
      <c r="WT134" s="1"/>
      <c r="WU134" s="1"/>
      <c r="WV134" s="1"/>
      <c r="WW134" s="1"/>
      <c r="WX134" s="1"/>
      <c r="WY134" s="1"/>
      <c r="WZ134" s="1"/>
      <c r="XA134" s="1"/>
      <c r="XB134" s="1"/>
      <c r="XC134" s="1"/>
      <c r="XD134" s="1"/>
      <c r="XE134" s="1"/>
      <c r="XF134" s="1"/>
      <c r="XG134" s="1"/>
      <c r="XH134" s="1"/>
      <c r="XI134" s="1"/>
      <c r="XJ134" s="1"/>
      <c r="XK134" s="1"/>
      <c r="XL134" s="1"/>
      <c r="XM134" s="1"/>
      <c r="XN134" s="1"/>
      <c r="XO134" s="1"/>
      <c r="XP134" s="1"/>
      <c r="XQ134" s="1"/>
      <c r="XR134" s="1"/>
      <c r="XS134" s="1"/>
      <c r="XT134" s="1"/>
      <c r="XU134" s="1"/>
      <c r="XV134" s="1"/>
      <c r="XW134" s="1"/>
      <c r="XX134" s="1"/>
      <c r="XY134" s="1"/>
      <c r="XZ134" s="1"/>
      <c r="YA134" s="1"/>
      <c r="YB134" s="1"/>
      <c r="YC134" s="1"/>
      <c r="YD134" s="1"/>
      <c r="YE134" s="1"/>
      <c r="YF134" s="1"/>
      <c r="YG134" s="1"/>
      <c r="YH134" s="1"/>
      <c r="YI134" s="1"/>
      <c r="YJ134" s="1"/>
      <c r="YK134" s="1"/>
      <c r="YL134" s="1"/>
      <c r="YM134" s="1"/>
      <c r="YN134" s="1"/>
      <c r="YO134" s="1"/>
      <c r="YP134" s="1"/>
      <c r="YQ134" s="1"/>
      <c r="YR134" s="1"/>
      <c r="YS134" s="1"/>
      <c r="YT134" s="1"/>
      <c r="YU134" s="1"/>
      <c r="YV134" s="1"/>
      <c r="YW134" s="1"/>
      <c r="YX134" s="1"/>
      <c r="YY134" s="1"/>
      <c r="YZ134" s="1"/>
      <c r="ZA134" s="1"/>
      <c r="ZB134" s="1"/>
      <c r="ZC134" s="1"/>
      <c r="ZD134" s="1"/>
      <c r="ZE134" s="1"/>
      <c r="ZF134" s="1"/>
      <c r="ZG134" s="1"/>
      <c r="ZH134" s="1"/>
      <c r="ZI134" s="1"/>
      <c r="ZJ134" s="1"/>
      <c r="ZK134" s="1"/>
      <c r="ZL134" s="1"/>
      <c r="ZM134" s="1"/>
      <c r="ZN134" s="1"/>
      <c r="ZO134" s="1"/>
      <c r="ZP134" s="1"/>
      <c r="ZQ134" s="1"/>
      <c r="ZR134" s="1"/>
      <c r="ZS134" s="1"/>
      <c r="ZT134" s="1"/>
      <c r="ZU134" s="1"/>
      <c r="ZV134" s="1"/>
      <c r="ZW134" s="1"/>
      <c r="ZX134" s="1"/>
      <c r="ZY134" s="1"/>
      <c r="ZZ134" s="1"/>
      <c r="AAA134" s="1"/>
      <c r="AAB134" s="1"/>
      <c r="AAC134" s="1"/>
      <c r="AAD134" s="1"/>
      <c r="AAE134" s="1"/>
      <c r="AAF134" s="1"/>
      <c r="AAG134" s="1"/>
      <c r="AAH134" s="1"/>
      <c r="AAI134" s="1"/>
      <c r="AAJ134" s="1"/>
      <c r="AAK134" s="1"/>
      <c r="AAL134" s="1"/>
      <c r="AAM134" s="1"/>
      <c r="AAN134" s="1"/>
      <c r="AAO134" s="1"/>
      <c r="AAP134" s="1"/>
      <c r="AAQ134" s="1"/>
      <c r="AAR134" s="1"/>
      <c r="AAS134" s="1"/>
      <c r="AAT134" s="1"/>
      <c r="AAU134" s="1"/>
      <c r="AAV134" s="1"/>
      <c r="AAW134" s="1"/>
      <c r="AAX134" s="1"/>
      <c r="AAY134" s="1"/>
      <c r="AAZ134" s="1"/>
      <c r="ABA134" s="1"/>
      <c r="ABB134" s="1"/>
      <c r="ABC134" s="1"/>
      <c r="ABD134" s="1"/>
      <c r="ABE134" s="1"/>
      <c r="ABF134" s="1"/>
      <c r="ABG134" s="1"/>
      <c r="ABH134" s="1"/>
      <c r="ABI134" s="1"/>
      <c r="ABJ134" s="1"/>
      <c r="ABK134" s="1"/>
      <c r="ABL134" s="1"/>
      <c r="ABM134" s="1"/>
      <c r="ABN134" s="1"/>
      <c r="ABO134" s="1"/>
      <c r="ABP134" s="1"/>
      <c r="ABQ134" s="1"/>
      <c r="ABR134" s="1"/>
      <c r="ABS134" s="1"/>
      <c r="ABT134" s="1"/>
      <c r="ABU134" s="1"/>
      <c r="ABV134" s="1"/>
      <c r="ABW134" s="1"/>
      <c r="ABX134" s="1"/>
      <c r="ABY134" s="1"/>
      <c r="ABZ134" s="1"/>
      <c r="ACA134" s="1"/>
      <c r="ACB134" s="1"/>
      <c r="ACC134" s="1"/>
      <c r="ACD134" s="1"/>
      <c r="ACE134" s="1"/>
      <c r="ACF134" s="1"/>
      <c r="ACG134" s="1"/>
      <c r="ACH134" s="1"/>
      <c r="ACI134" s="1"/>
      <c r="ACJ134" s="1"/>
      <c r="ACK134" s="1"/>
      <c r="ACL134" s="1"/>
      <c r="ACM134" s="1"/>
      <c r="ACN134" s="1"/>
      <c r="ACO134" s="1"/>
      <c r="ACP134" s="1"/>
      <c r="ACQ134" s="1"/>
      <c r="ACR134" s="1"/>
      <c r="ACS134" s="1"/>
      <c r="ACT134" s="1"/>
      <c r="ACU134" s="1"/>
      <c r="ACV134" s="1"/>
      <c r="ACW134" s="1"/>
      <c r="ACX134" s="1"/>
      <c r="ACY134" s="1"/>
      <c r="ACZ134" s="1"/>
      <c r="ADA134" s="1"/>
      <c r="ADB134" s="1"/>
      <c r="ADC134" s="1"/>
      <c r="ADD134" s="1"/>
      <c r="ADE134" s="1"/>
      <c r="ADF134" s="1"/>
      <c r="ADG134" s="1"/>
      <c r="ADH134" s="1"/>
      <c r="ADI134" s="1"/>
      <c r="ADJ134" s="1"/>
      <c r="ADK134" s="1"/>
      <c r="ADL134" s="1"/>
      <c r="ADM134" s="1"/>
      <c r="ADN134" s="1"/>
      <c r="ADO134" s="1"/>
      <c r="ADP134" s="1"/>
      <c r="ADQ134" s="1"/>
      <c r="ADR134" s="1"/>
      <c r="ADS134" s="1"/>
      <c r="ADT134" s="1"/>
      <c r="ADU134" s="1"/>
      <c r="ADV134" s="1"/>
      <c r="ADW134" s="1"/>
      <c r="ADX134" s="1"/>
      <c r="ADY134" s="1"/>
      <c r="ADZ134" s="1"/>
      <c r="AEA134" s="1"/>
      <c r="AEB134" s="1"/>
      <c r="AEC134" s="1"/>
      <c r="AED134" s="1"/>
      <c r="AEE134" s="1"/>
      <c r="AEF134" s="1"/>
      <c r="AEG134" s="1"/>
      <c r="AEH134" s="1"/>
      <c r="AEI134" s="1"/>
      <c r="AEJ134" s="1"/>
      <c r="AEK134" s="1"/>
      <c r="AEL134" s="1"/>
      <c r="AEM134" s="1"/>
      <c r="AEN134" s="1"/>
      <c r="AEO134" s="1"/>
      <c r="AEP134" s="1"/>
      <c r="AEQ134" s="1"/>
      <c r="AER134" s="1"/>
      <c r="AES134" s="1"/>
      <c r="AET134" s="1"/>
      <c r="AEU134" s="1"/>
      <c r="AEV134" s="1"/>
      <c r="AEW134" s="1"/>
      <c r="AEX134" s="1"/>
      <c r="AEY134" s="1"/>
      <c r="AEZ134" s="1"/>
      <c r="AFA134" s="1"/>
      <c r="AFB134" s="1"/>
      <c r="AFC134" s="1"/>
      <c r="AFD134" s="1"/>
      <c r="AFE134" s="1"/>
      <c r="AFF134" s="1"/>
      <c r="AFG134" s="1"/>
      <c r="AFH134" s="1"/>
      <c r="AFI134" s="1"/>
      <c r="AFJ134" s="1"/>
      <c r="AFK134" s="1"/>
      <c r="AFL134" s="1"/>
      <c r="AFM134" s="1"/>
      <c r="AFN134" s="1"/>
      <c r="AFO134" s="1"/>
      <c r="AFP134" s="1"/>
      <c r="AFQ134" s="1"/>
      <c r="AFR134" s="1"/>
      <c r="AFS134" s="1"/>
      <c r="AFT134" s="1"/>
      <c r="AFU134" s="1"/>
      <c r="AFV134" s="1"/>
      <c r="AFW134" s="1"/>
      <c r="AFX134" s="1"/>
      <c r="AFY134" s="1"/>
      <c r="AFZ134" s="1"/>
      <c r="AGA134" s="1"/>
      <c r="AGB134" s="1"/>
      <c r="AGC134" s="1"/>
      <c r="AGD134" s="1"/>
      <c r="AGE134" s="1"/>
      <c r="AGF134" s="1"/>
      <c r="AGG134" s="1"/>
      <c r="AGH134" s="1"/>
      <c r="AGI134" s="1"/>
      <c r="AGJ134" s="1"/>
      <c r="AGK134" s="1"/>
      <c r="AGL134" s="1"/>
      <c r="AGM134" s="1"/>
      <c r="AGN134" s="1"/>
      <c r="AGO134" s="1"/>
      <c r="AGP134" s="1"/>
      <c r="AGQ134" s="1"/>
      <c r="AGR134" s="1"/>
      <c r="AGS134" s="1"/>
      <c r="AGT134" s="1"/>
      <c r="AGU134" s="1"/>
      <c r="AGV134" s="1"/>
      <c r="AGW134" s="1"/>
      <c r="AGX134" s="1"/>
      <c r="AGY134" s="1"/>
      <c r="AGZ134" s="1"/>
      <c r="AHA134" s="1"/>
      <c r="AHB134" s="1"/>
      <c r="AHC134" s="1"/>
      <c r="AHD134" s="1"/>
      <c r="AHE134" s="1"/>
      <c r="AHF134" s="1"/>
      <c r="AHG134" s="1"/>
      <c r="AHH134" s="1"/>
      <c r="AHI134" s="1"/>
      <c r="AHJ134" s="1"/>
      <c r="AHK134" s="1"/>
      <c r="AHL134" s="1"/>
      <c r="AHM134" s="1"/>
      <c r="AHN134" s="1"/>
      <c r="AHO134" s="1"/>
      <c r="AHP134" s="1"/>
      <c r="AHQ134" s="1"/>
      <c r="AHR134" s="1"/>
      <c r="AHS134" s="1"/>
      <c r="AHT134" s="1"/>
      <c r="AHU134" s="1"/>
      <c r="AHV134" s="1"/>
      <c r="AHW134" s="1"/>
      <c r="AHX134" s="1"/>
      <c r="AHY134" s="1"/>
      <c r="AHZ134" s="1"/>
      <c r="AIA134" s="1"/>
      <c r="AIB134" s="1"/>
      <c r="AIC134" s="1"/>
      <c r="AID134" s="1"/>
      <c r="AIE134" s="1"/>
      <c r="AIF134" s="1"/>
      <c r="AIG134" s="1"/>
      <c r="AIH134" s="1"/>
      <c r="AII134" s="1"/>
      <c r="AIJ134" s="1"/>
      <c r="AIK134" s="1"/>
      <c r="AIL134" s="1"/>
      <c r="AIM134" s="1"/>
      <c r="AIN134" s="1"/>
      <c r="AIO134" s="1"/>
      <c r="AIP134" s="1"/>
      <c r="AIQ134" s="1"/>
      <c r="AIR134" s="1"/>
      <c r="AIS134" s="1"/>
      <c r="AIT134" s="1"/>
      <c r="AIU134" s="1"/>
      <c r="AIV134" s="1"/>
      <c r="AIW134" s="1"/>
      <c r="AIX134" s="1"/>
      <c r="AIY134" s="1"/>
      <c r="AIZ134" s="1"/>
      <c r="AJA134" s="1"/>
      <c r="AJB134" s="1"/>
      <c r="AJC134" s="1"/>
      <c r="AJD134" s="1"/>
      <c r="AJE134" s="1"/>
      <c r="AJF134" s="1"/>
      <c r="AJG134" s="1"/>
      <c r="AJH134" s="1"/>
      <c r="AJI134" s="1"/>
      <c r="AJJ134" s="1"/>
      <c r="AJK134" s="1"/>
      <c r="AJL134" s="1"/>
      <c r="AJM134" s="1"/>
      <c r="AJN134" s="1"/>
      <c r="AJO134" s="1"/>
      <c r="AJP134" s="1"/>
      <c r="AJQ134" s="1"/>
      <c r="AJR134" s="1"/>
      <c r="AJS134" s="1"/>
      <c r="AJT134" s="1"/>
      <c r="AJU134" s="1"/>
      <c r="AJV134" s="1"/>
      <c r="AJW134" s="1"/>
      <c r="AJX134" s="1"/>
      <c r="AJY134" s="1"/>
      <c r="AJZ134" s="1"/>
      <c r="AKA134" s="1"/>
      <c r="AKB134" s="1"/>
      <c r="AKC134" s="1"/>
      <c r="AKD134" s="1"/>
      <c r="AKE134" s="1"/>
      <c r="AKF134" s="1"/>
      <c r="AKG134" s="1"/>
      <c r="AKH134" s="1"/>
      <c r="AKI134" s="1"/>
      <c r="AKJ134" s="1"/>
      <c r="AKK134" s="1"/>
      <c r="AKL134" s="1"/>
      <c r="AKM134" s="1"/>
      <c r="AKN134" s="1"/>
      <c r="AKO134" s="1"/>
      <c r="AKP134" s="1"/>
      <c r="AKQ134" s="1"/>
      <c r="AKR134" s="1"/>
      <c r="AKS134" s="1"/>
      <c r="AKT134" s="1"/>
      <c r="AKU134" s="1"/>
      <c r="AKV134" s="1"/>
      <c r="AKW134" s="1"/>
      <c r="AKX134" s="1"/>
      <c r="AKY134" s="1"/>
      <c r="AKZ134" s="1"/>
      <c r="ALA134" s="1"/>
      <c r="ALB134" s="1"/>
      <c r="ALC134" s="1"/>
      <c r="ALD134" s="1"/>
      <c r="ALE134" s="1"/>
      <c r="ALF134" s="1"/>
      <c r="ALG134" s="1"/>
      <c r="ALH134" s="1"/>
      <c r="ALI134" s="1"/>
      <c r="ALJ134" s="1"/>
      <c r="ALK134" s="1"/>
      <c r="ALL134" s="1"/>
      <c r="ALM134" s="1"/>
      <c r="ALN134" s="1"/>
      <c r="ALO134" s="1"/>
      <c r="ALP134" s="1"/>
      <c r="ALQ134" s="1"/>
      <c r="ALR134" s="1"/>
      <c r="ALS134" s="1"/>
      <c r="ALT134" s="1"/>
      <c r="ALU134" s="1"/>
      <c r="ALV134" s="1"/>
      <c r="ALW134" s="1"/>
      <c r="ALX134" s="1"/>
      <c r="ALY134" s="1"/>
      <c r="ALZ134" s="1"/>
      <c r="AMA134" s="1"/>
      <c r="AMB134" s="1"/>
      <c r="AMC134" s="1"/>
      <c r="AMD134" s="1"/>
      <c r="AME134" s="1"/>
      <c r="AMF134" s="1"/>
      <c r="AMG134" s="1"/>
      <c r="AMH134" s="1"/>
      <c r="AMI134" s="1"/>
      <c r="AMJ134" s="1"/>
      <c r="AMK134" s="1"/>
      <c r="AML134" s="1"/>
      <c r="AMM134" s="1"/>
      <c r="AMN134" s="1"/>
    </row>
    <row r="135" spans="1:1029" x14ac:dyDescent="0.2">
      <c r="A135" s="3" t="str">
        <f t="shared" si="555"/>
        <v>oprx_human__wt</v>
      </c>
      <c r="B135" s="3" t="s">
        <v>1174</v>
      </c>
      <c r="C135" s="3" t="s">
        <v>100</v>
      </c>
      <c r="D135" s="3" t="str">
        <f>IFERROR(MID(VLOOKUP($B135,Seqs!$A:$B,2,0),E135,1),"")</f>
        <v>L</v>
      </c>
      <c r="E135" s="3">
        <v>48</v>
      </c>
      <c r="F135" s="3" t="str">
        <f>IFERROR(MID(VLOOKUP($B135,Seqs!$A:$B,2,0),G135,1),"")</f>
        <v>H</v>
      </c>
      <c r="G135" s="3">
        <v>79</v>
      </c>
      <c r="H135" s="3" t="str">
        <f>IFERROR(MID(VLOOKUP($B135,Seqs!$A:$B,2,0),I135,1),"")</f>
        <v>T</v>
      </c>
      <c r="I135" s="23">
        <v>80</v>
      </c>
      <c r="J135" s="3" t="str">
        <f>IFERROR(MID(VLOOKUP($B135,Seqs!$A:$B,2,0),K135,1),"")</f>
        <v>K</v>
      </c>
      <c r="K135" s="23">
        <v>83</v>
      </c>
      <c r="L135" s="3" t="str">
        <f>IFERROR(MID(VLOOKUP($B135,Seqs!$A:$B,2,0),M135,1),"")</f>
        <v>T</v>
      </c>
      <c r="M135" s="3">
        <v>84</v>
      </c>
      <c r="N135" s="3" t="str">
        <f>IFERROR(MID(VLOOKUP($B135,Seqs!$A:$B,2,0),O135,1),"")</f>
        <v>L</v>
      </c>
      <c r="O135" s="3">
        <v>113</v>
      </c>
      <c r="P135" s="3" t="str">
        <f>IFERROR(MID(VLOOKUP($B135,Seqs!$A:$B,2,0),Q135,1),"")</f>
        <v>F</v>
      </c>
      <c r="Q135" s="3">
        <v>115</v>
      </c>
      <c r="R135" s="3" t="str">
        <f>IFERROR(MID(VLOOKUP($B135,Seqs!$A:$B,2,0),S135,1),"")</f>
        <v>F</v>
      </c>
      <c r="S135" s="3">
        <v>118</v>
      </c>
      <c r="T135" s="3" t="str">
        <f>IFERROR(MID(VLOOKUP($B135,Seqs!$A:$B,2,0),U135,1),"")</f>
        <v>G</v>
      </c>
      <c r="U135" s="3">
        <v>119</v>
      </c>
      <c r="V135" s="3" t="str">
        <f>IFERROR(MID(VLOOKUP($B135,Seqs!$A:$B,2,0),W135,1),"")</f>
        <v>H</v>
      </c>
      <c r="W135" s="3">
        <v>154</v>
      </c>
      <c r="X135" s="3" t="str">
        <f>IFERROR(MID(VLOOKUP($B135,Seqs!$A:$B,2,0),Y135,1),"")</f>
        <v>P</v>
      </c>
      <c r="Y135" s="3">
        <v>155</v>
      </c>
      <c r="Z135" s="3" t="str">
        <f>IFERROR(MID(VLOOKUP($B135,Seqs!$A:$B,2,0),AA135,1),"")</f>
        <v>R</v>
      </c>
      <c r="AA135" s="3">
        <v>162</v>
      </c>
      <c r="AB135" s="3" t="str">
        <f>IFERROR(MID(VLOOKUP($B135,Seqs!$A:$B,2,0),AC135,1),"")</f>
        <v>T</v>
      </c>
      <c r="AC135" s="9">
        <v>163</v>
      </c>
      <c r="AD135" s="3" t="str">
        <f>IFERROR(MID(VLOOKUP($B135,Seqs!$A:$B,2,0),AE135,1),"")</f>
        <v>G</v>
      </c>
      <c r="AE135" s="3">
        <v>189</v>
      </c>
      <c r="AF135" s="3" t="str">
        <f>IFERROR(MID(VLOOKUP($B135,Seqs!$A:$B,2,0),AG135,1),"")</f>
        <v>C</v>
      </c>
      <c r="AG135" s="3">
        <v>200</v>
      </c>
      <c r="AH135" s="3" t="str">
        <f>IFERROR(MID(VLOOKUP($B135,Seqs!$A:$B,2,0),AI135,1),"")</f>
        <v>V</v>
      </c>
      <c r="AI135" s="3">
        <v>202</v>
      </c>
      <c r="AJ135" s="3" t="str">
        <f>IFERROR(MID(VLOOKUP($B135,Seqs!$A:$B,2,0),AK135,1),"")</f>
        <v>Q</v>
      </c>
      <c r="AK135" s="3">
        <v>208</v>
      </c>
      <c r="AL135" s="3" t="str">
        <f>IFERROR(MID(VLOOKUP($B135,Seqs!$A:$B,2,0),AM135,1),"")</f>
        <v>V</v>
      </c>
      <c r="AM135" s="3">
        <v>245</v>
      </c>
      <c r="AN135" s="3" t="str">
        <f>IFERROR(MID(VLOOKUP($B135,Seqs!$A:$B,2,0),AO135,1),"")</f>
        <v>S</v>
      </c>
      <c r="AO135" s="3">
        <v>251</v>
      </c>
      <c r="AP135" s="3" t="str">
        <f>IFERROR(MID(VLOOKUP($B135,Seqs!$A:$B,2,0),AQ135,1),"")</f>
        <v>G</v>
      </c>
      <c r="AQ135" s="3">
        <v>289</v>
      </c>
      <c r="AR135" s="3" t="str">
        <f>IFERROR(MID(VLOOKUP($B135,Seqs!$A:$B,2,0),AS135,1),"")</f>
        <v>S</v>
      </c>
      <c r="AS135" s="3">
        <v>294</v>
      </c>
      <c r="AT135" s="3" t="str">
        <f>IFERROR(MID(VLOOKUP($B135,Seqs!$A:$B,2,0),AU135,1),"")</f>
        <v>L</v>
      </c>
      <c r="AU135" s="3">
        <v>322</v>
      </c>
      <c r="AV135" s="3" t="str">
        <f>IFERROR(MID(VLOOKUP($B135,Seqs!$A:$B,2,0),AW135,1),"")</f>
        <v>D</v>
      </c>
      <c r="AW135" s="3">
        <v>323</v>
      </c>
      <c r="AX135" s="3" t="str">
        <f>IFERROR(MID(VLOOKUP($B135,Seqs!$A:$B,2,0),AY135,1),"")</f>
        <v>C</v>
      </c>
      <c r="AY135" s="3">
        <v>335</v>
      </c>
      <c r="AZ135" s="79" t="str">
        <f>VLOOKUP(B135,Classification!A:D,2,0)</f>
        <v>A</v>
      </c>
      <c r="BA135" s="97" t="str">
        <f>VLOOKUP(B135,Classification!A:D,4,0)</f>
        <v>Opioid</v>
      </c>
      <c r="BB135" s="27" t="b">
        <f t="shared" si="556"/>
        <v>1</v>
      </c>
      <c r="BC135" s="23">
        <f t="shared" si="473"/>
        <v>263</v>
      </c>
      <c r="BD135" s="57" t="s">
        <v>1379</v>
      </c>
      <c r="BE135" s="3" t="s">
        <v>1381</v>
      </c>
      <c r="BF135" s="50" t="s">
        <v>1379</v>
      </c>
      <c r="BG135" s="50" t="s">
        <v>1384</v>
      </c>
      <c r="BH135" s="1"/>
      <c r="BI135" s="72" t="s">
        <v>1293</v>
      </c>
      <c r="BJ135" s="58" t="s">
        <v>1293</v>
      </c>
      <c r="BK135" s="58" t="s">
        <v>1293</v>
      </c>
      <c r="BL135" s="58" t="s">
        <v>1293</v>
      </c>
      <c r="BM135" s="58" t="s">
        <v>1293</v>
      </c>
      <c r="BN135" s="58" t="s">
        <v>1293</v>
      </c>
      <c r="BO135" s="58" t="s">
        <v>1293</v>
      </c>
      <c r="BP135" s="58" t="s">
        <v>1293</v>
      </c>
      <c r="BQ135" s="58" t="s">
        <v>1293</v>
      </c>
      <c r="BR135" s="58" t="s">
        <v>1293</v>
      </c>
      <c r="BS135" s="58" t="s">
        <v>1293</v>
      </c>
      <c r="BT135" s="58" t="s">
        <v>1293</v>
      </c>
      <c r="BU135" s="72">
        <f t="shared" si="474"/>
        <v>48</v>
      </c>
      <c r="BV135" s="73">
        <f t="shared" si="475"/>
        <v>80</v>
      </c>
      <c r="BW135" s="74">
        <f t="shared" si="476"/>
        <v>84</v>
      </c>
      <c r="BX135" s="73">
        <f t="shared" si="477"/>
        <v>115</v>
      </c>
      <c r="BY135" s="74">
        <f t="shared" si="478"/>
        <v>119</v>
      </c>
      <c r="BZ135" s="73">
        <f t="shared" si="479"/>
        <v>155</v>
      </c>
      <c r="CA135" s="74">
        <f t="shared" si="480"/>
        <v>163</v>
      </c>
      <c r="CB135" s="73">
        <f t="shared" si="481"/>
        <v>200</v>
      </c>
      <c r="CC135" s="74">
        <f t="shared" si="482"/>
        <v>208</v>
      </c>
      <c r="CD135" s="73">
        <f t="shared" si="483"/>
        <v>251</v>
      </c>
      <c r="CE135" s="74">
        <f t="shared" si="484"/>
        <v>294</v>
      </c>
      <c r="CF135" s="73">
        <f t="shared" si="485"/>
        <v>323</v>
      </c>
      <c r="CG135" s="72">
        <f t="shared" si="486"/>
        <v>79</v>
      </c>
      <c r="CH135" s="73">
        <f t="shared" si="487"/>
        <v>83</v>
      </c>
      <c r="CI135" s="74">
        <f t="shared" si="488"/>
        <v>113</v>
      </c>
      <c r="CJ135" s="74">
        <f t="shared" si="489"/>
        <v>118</v>
      </c>
      <c r="CK135" s="74">
        <f t="shared" si="490"/>
        <v>154</v>
      </c>
      <c r="CL135" s="74">
        <f t="shared" si="491"/>
        <v>162</v>
      </c>
      <c r="CM135" s="74">
        <f t="shared" si="492"/>
        <v>189</v>
      </c>
      <c r="CN135" s="74">
        <f t="shared" si="493"/>
        <v>202</v>
      </c>
      <c r="CO135" s="74">
        <f t="shared" si="494"/>
        <v>245</v>
      </c>
      <c r="CP135" s="74">
        <f t="shared" si="495"/>
        <v>289</v>
      </c>
      <c r="CQ135" s="74">
        <f t="shared" si="496"/>
        <v>322</v>
      </c>
      <c r="CR135" s="74">
        <f t="shared" si="497"/>
        <v>335</v>
      </c>
      <c r="CS135" s="23">
        <f t="shared" si="498"/>
        <v>1</v>
      </c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1"/>
      <c r="LV135" s="1"/>
      <c r="LW135" s="1"/>
      <c r="LX135" s="1"/>
      <c r="LY135" s="1"/>
      <c r="LZ135" s="1"/>
      <c r="MA135" s="1"/>
      <c r="MB135" s="1"/>
      <c r="MC135" s="1"/>
      <c r="MD135" s="1"/>
      <c r="ME135" s="1"/>
      <c r="MF135" s="1"/>
      <c r="MG135" s="1"/>
      <c r="MH135" s="1"/>
      <c r="MI135" s="1"/>
      <c r="MJ135" s="1"/>
      <c r="MK135" s="1"/>
      <c r="ML135" s="1"/>
      <c r="MM135" s="1"/>
      <c r="MN135" s="1"/>
      <c r="MO135" s="1"/>
      <c r="MP135" s="1"/>
      <c r="MQ135" s="1"/>
      <c r="MR135" s="1"/>
      <c r="MS135" s="1"/>
      <c r="MT135" s="1"/>
      <c r="MU135" s="1"/>
      <c r="MV135" s="1"/>
      <c r="MW135" s="1"/>
      <c r="MX135" s="1"/>
      <c r="MY135" s="1"/>
      <c r="MZ135" s="1"/>
      <c r="NA135" s="1"/>
      <c r="NB135" s="1"/>
      <c r="NC135" s="1"/>
      <c r="ND135" s="1"/>
      <c r="NE135" s="1"/>
      <c r="NF135" s="1"/>
      <c r="NG135" s="1"/>
      <c r="NH135" s="1"/>
      <c r="NI135" s="1"/>
      <c r="NJ135" s="1"/>
      <c r="NK135" s="1"/>
      <c r="NL135" s="1"/>
      <c r="NM135" s="1"/>
      <c r="NN135" s="1"/>
      <c r="NO135" s="1"/>
      <c r="NP135" s="1"/>
      <c r="NQ135" s="1"/>
      <c r="NR135" s="1"/>
      <c r="NS135" s="1"/>
      <c r="NT135" s="1"/>
      <c r="NU135" s="1"/>
      <c r="NV135" s="1"/>
      <c r="NW135" s="1"/>
      <c r="NX135" s="1"/>
      <c r="NY135" s="1"/>
      <c r="NZ135" s="1"/>
      <c r="OA135" s="1"/>
      <c r="OB135" s="1"/>
      <c r="OC135" s="1"/>
      <c r="OD135" s="1"/>
      <c r="OE135" s="1"/>
      <c r="OF135" s="1"/>
      <c r="OG135" s="1"/>
      <c r="OH135" s="1"/>
      <c r="OI135" s="1"/>
      <c r="OJ135" s="1"/>
      <c r="OK135" s="1"/>
      <c r="OL135" s="1"/>
      <c r="OM135" s="1"/>
      <c r="ON135" s="1"/>
      <c r="OO135" s="1"/>
      <c r="OP135" s="1"/>
      <c r="OQ135" s="1"/>
      <c r="OR135" s="1"/>
      <c r="OS135" s="1"/>
      <c r="OT135" s="1"/>
      <c r="OU135" s="1"/>
      <c r="OV135" s="1"/>
      <c r="OW135" s="1"/>
      <c r="OX135" s="1"/>
      <c r="OY135" s="1"/>
      <c r="OZ135" s="1"/>
      <c r="PA135" s="1"/>
      <c r="PB135" s="1"/>
      <c r="PC135" s="1"/>
      <c r="PD135" s="1"/>
      <c r="PE135" s="1"/>
      <c r="PF135" s="1"/>
      <c r="PG135" s="1"/>
      <c r="PH135" s="1"/>
      <c r="PI135" s="1"/>
      <c r="PJ135" s="1"/>
      <c r="PK135" s="1"/>
      <c r="PL135" s="1"/>
      <c r="PM135" s="1"/>
      <c r="PN135" s="1"/>
      <c r="PO135" s="1"/>
      <c r="PP135" s="1"/>
      <c r="PQ135" s="1"/>
      <c r="PR135" s="1"/>
      <c r="PS135" s="1"/>
      <c r="PT135" s="1"/>
      <c r="PU135" s="1"/>
      <c r="PV135" s="1"/>
      <c r="PW135" s="1"/>
      <c r="PX135" s="1"/>
      <c r="PY135" s="1"/>
      <c r="PZ135" s="1"/>
      <c r="QA135" s="1"/>
      <c r="QB135" s="1"/>
      <c r="QC135" s="1"/>
      <c r="QD135" s="1"/>
      <c r="QE135" s="1"/>
      <c r="QF135" s="1"/>
      <c r="QG135" s="1"/>
      <c r="QH135" s="1"/>
      <c r="QI135" s="1"/>
      <c r="QJ135" s="1"/>
      <c r="QK135" s="1"/>
      <c r="QL135" s="1"/>
      <c r="QM135" s="1"/>
      <c r="QN135" s="1"/>
      <c r="QO135" s="1"/>
      <c r="QP135" s="1"/>
      <c r="QQ135" s="1"/>
      <c r="QR135" s="1"/>
      <c r="QS135" s="1"/>
      <c r="QT135" s="1"/>
      <c r="QU135" s="1"/>
      <c r="QV135" s="1"/>
      <c r="QW135" s="1"/>
      <c r="QX135" s="1"/>
      <c r="QY135" s="1"/>
      <c r="QZ135" s="1"/>
      <c r="RA135" s="1"/>
      <c r="RB135" s="1"/>
      <c r="RC135" s="1"/>
      <c r="RD135" s="1"/>
      <c r="RE135" s="1"/>
      <c r="RF135" s="1"/>
      <c r="RG135" s="1"/>
      <c r="RH135" s="1"/>
      <c r="RI135" s="1"/>
      <c r="RJ135" s="1"/>
      <c r="RK135" s="1"/>
      <c r="RL135" s="1"/>
      <c r="RM135" s="1"/>
      <c r="RN135" s="1"/>
      <c r="RO135" s="1"/>
      <c r="RP135" s="1"/>
      <c r="RQ135" s="1"/>
      <c r="RR135" s="1"/>
      <c r="RS135" s="1"/>
      <c r="RT135" s="1"/>
      <c r="RU135" s="1"/>
      <c r="RV135" s="1"/>
      <c r="RW135" s="1"/>
      <c r="RX135" s="1"/>
      <c r="RY135" s="1"/>
      <c r="RZ135" s="1"/>
      <c r="SA135" s="1"/>
      <c r="SB135" s="1"/>
      <c r="SC135" s="1"/>
      <c r="SD135" s="1"/>
      <c r="SE135" s="1"/>
      <c r="SF135" s="1"/>
      <c r="SG135" s="1"/>
      <c r="SH135" s="1"/>
      <c r="SI135" s="1"/>
      <c r="SJ135" s="1"/>
      <c r="SK135" s="1"/>
      <c r="SL135" s="1"/>
      <c r="SM135" s="1"/>
      <c r="SN135" s="1"/>
      <c r="SO135" s="1"/>
      <c r="SP135" s="1"/>
      <c r="SQ135" s="1"/>
      <c r="SR135" s="1"/>
      <c r="SS135" s="1"/>
      <c r="ST135" s="1"/>
      <c r="SU135" s="1"/>
      <c r="SV135" s="1"/>
      <c r="SW135" s="1"/>
      <c r="SX135" s="1"/>
      <c r="SY135" s="1"/>
      <c r="SZ135" s="1"/>
      <c r="TA135" s="1"/>
      <c r="TB135" s="1"/>
      <c r="TC135" s="1"/>
      <c r="TD135" s="1"/>
      <c r="TE135" s="1"/>
      <c r="TF135" s="1"/>
      <c r="TG135" s="1"/>
      <c r="TH135" s="1"/>
      <c r="TI135" s="1"/>
      <c r="TJ135" s="1"/>
      <c r="TK135" s="1"/>
      <c r="TL135" s="1"/>
      <c r="TM135" s="1"/>
      <c r="TN135" s="1"/>
      <c r="TO135" s="1"/>
      <c r="TP135" s="1"/>
      <c r="TQ135" s="1"/>
      <c r="TR135" s="1"/>
      <c r="TS135" s="1"/>
      <c r="TT135" s="1"/>
      <c r="TU135" s="1"/>
      <c r="TV135" s="1"/>
      <c r="TW135" s="1"/>
      <c r="TX135" s="1"/>
      <c r="TY135" s="1"/>
      <c r="TZ135" s="1"/>
      <c r="UA135" s="1"/>
      <c r="UB135" s="1"/>
      <c r="UC135" s="1"/>
      <c r="UD135" s="1"/>
      <c r="UE135" s="1"/>
      <c r="UF135" s="1"/>
      <c r="UG135" s="1"/>
      <c r="UH135" s="1"/>
      <c r="UI135" s="1"/>
      <c r="UJ135" s="1"/>
      <c r="UK135" s="1"/>
      <c r="UL135" s="1"/>
      <c r="UM135" s="1"/>
      <c r="UN135" s="1"/>
      <c r="UO135" s="1"/>
      <c r="UP135" s="1"/>
      <c r="UQ135" s="1"/>
      <c r="UR135" s="1"/>
      <c r="US135" s="1"/>
      <c r="UT135" s="1"/>
      <c r="UU135" s="1"/>
      <c r="UV135" s="1"/>
      <c r="UW135" s="1"/>
      <c r="UX135" s="1"/>
      <c r="UY135" s="1"/>
      <c r="UZ135" s="1"/>
      <c r="VA135" s="1"/>
      <c r="VB135" s="1"/>
      <c r="VC135" s="1"/>
      <c r="VD135" s="1"/>
      <c r="VE135" s="1"/>
      <c r="VF135" s="1"/>
      <c r="VG135" s="1"/>
      <c r="VH135" s="1"/>
      <c r="VI135" s="1"/>
      <c r="VJ135" s="1"/>
      <c r="VK135" s="1"/>
      <c r="VL135" s="1"/>
      <c r="VM135" s="1"/>
      <c r="VN135" s="1"/>
      <c r="VO135" s="1"/>
      <c r="VP135" s="1"/>
      <c r="VQ135" s="1"/>
      <c r="VR135" s="1"/>
      <c r="VS135" s="1"/>
      <c r="VT135" s="1"/>
      <c r="VU135" s="1"/>
      <c r="VV135" s="1"/>
      <c r="VW135" s="1"/>
      <c r="VX135" s="1"/>
      <c r="VY135" s="1"/>
      <c r="VZ135" s="1"/>
      <c r="WA135" s="1"/>
      <c r="WB135" s="1"/>
      <c r="WC135" s="1"/>
      <c r="WD135" s="1"/>
      <c r="WE135" s="1"/>
      <c r="WF135" s="1"/>
      <c r="WG135" s="1"/>
      <c r="WH135" s="1"/>
      <c r="WI135" s="1"/>
      <c r="WJ135" s="1"/>
      <c r="WK135" s="1"/>
      <c r="WL135" s="1"/>
      <c r="WM135" s="1"/>
      <c r="WN135" s="1"/>
      <c r="WO135" s="1"/>
      <c r="WP135" s="1"/>
      <c r="WQ135" s="1"/>
      <c r="WR135" s="1"/>
      <c r="WS135" s="1"/>
      <c r="WT135" s="1"/>
      <c r="WU135" s="1"/>
      <c r="WV135" s="1"/>
      <c r="WW135" s="1"/>
      <c r="WX135" s="1"/>
      <c r="WY135" s="1"/>
      <c r="WZ135" s="1"/>
      <c r="XA135" s="1"/>
      <c r="XB135" s="1"/>
      <c r="XC135" s="1"/>
      <c r="XD135" s="1"/>
      <c r="XE135" s="1"/>
      <c r="XF135" s="1"/>
      <c r="XG135" s="1"/>
      <c r="XH135" s="1"/>
      <c r="XI135" s="1"/>
      <c r="XJ135" s="1"/>
      <c r="XK135" s="1"/>
      <c r="XL135" s="1"/>
      <c r="XM135" s="1"/>
      <c r="XN135" s="1"/>
      <c r="XO135" s="1"/>
      <c r="XP135" s="1"/>
      <c r="XQ135" s="1"/>
      <c r="XR135" s="1"/>
      <c r="XS135" s="1"/>
      <c r="XT135" s="1"/>
      <c r="XU135" s="1"/>
      <c r="XV135" s="1"/>
      <c r="XW135" s="1"/>
      <c r="XX135" s="1"/>
      <c r="XY135" s="1"/>
      <c r="XZ135" s="1"/>
      <c r="YA135" s="1"/>
      <c r="YB135" s="1"/>
      <c r="YC135" s="1"/>
      <c r="YD135" s="1"/>
      <c r="YE135" s="1"/>
      <c r="YF135" s="1"/>
      <c r="YG135" s="1"/>
      <c r="YH135" s="1"/>
      <c r="YI135" s="1"/>
      <c r="YJ135" s="1"/>
      <c r="YK135" s="1"/>
      <c r="YL135" s="1"/>
      <c r="YM135" s="1"/>
      <c r="YN135" s="1"/>
      <c r="YO135" s="1"/>
      <c r="YP135" s="1"/>
      <c r="YQ135" s="1"/>
      <c r="YR135" s="1"/>
      <c r="YS135" s="1"/>
      <c r="YT135" s="1"/>
      <c r="YU135" s="1"/>
      <c r="YV135" s="1"/>
      <c r="YW135" s="1"/>
      <c r="YX135" s="1"/>
      <c r="YY135" s="1"/>
      <c r="YZ135" s="1"/>
      <c r="ZA135" s="1"/>
      <c r="ZB135" s="1"/>
      <c r="ZC135" s="1"/>
      <c r="ZD135" s="1"/>
      <c r="ZE135" s="1"/>
      <c r="ZF135" s="1"/>
      <c r="ZG135" s="1"/>
      <c r="ZH135" s="1"/>
      <c r="ZI135" s="1"/>
      <c r="ZJ135" s="1"/>
      <c r="ZK135" s="1"/>
      <c r="ZL135" s="1"/>
      <c r="ZM135" s="1"/>
      <c r="ZN135" s="1"/>
      <c r="ZO135" s="1"/>
      <c r="ZP135" s="1"/>
      <c r="ZQ135" s="1"/>
      <c r="ZR135" s="1"/>
      <c r="ZS135" s="1"/>
      <c r="ZT135" s="1"/>
      <c r="ZU135" s="1"/>
      <c r="ZV135" s="1"/>
      <c r="ZW135" s="1"/>
      <c r="ZX135" s="1"/>
      <c r="ZY135" s="1"/>
      <c r="ZZ135" s="1"/>
      <c r="AAA135" s="1"/>
      <c r="AAB135" s="1"/>
      <c r="AAC135" s="1"/>
      <c r="AAD135" s="1"/>
      <c r="AAE135" s="1"/>
      <c r="AAF135" s="1"/>
      <c r="AAG135" s="1"/>
      <c r="AAH135" s="1"/>
      <c r="AAI135" s="1"/>
      <c r="AAJ135" s="1"/>
      <c r="AAK135" s="1"/>
      <c r="AAL135" s="1"/>
      <c r="AAM135" s="1"/>
      <c r="AAN135" s="1"/>
      <c r="AAO135" s="1"/>
      <c r="AAP135" s="1"/>
      <c r="AAQ135" s="1"/>
      <c r="AAR135" s="1"/>
      <c r="AAS135" s="1"/>
      <c r="AAT135" s="1"/>
      <c r="AAU135" s="1"/>
      <c r="AAV135" s="1"/>
      <c r="AAW135" s="1"/>
      <c r="AAX135" s="1"/>
      <c r="AAY135" s="1"/>
      <c r="AAZ135" s="1"/>
      <c r="ABA135" s="1"/>
      <c r="ABB135" s="1"/>
      <c r="ABC135" s="1"/>
      <c r="ABD135" s="1"/>
      <c r="ABE135" s="1"/>
      <c r="ABF135" s="1"/>
      <c r="ABG135" s="1"/>
      <c r="ABH135" s="1"/>
      <c r="ABI135" s="1"/>
      <c r="ABJ135" s="1"/>
      <c r="ABK135" s="1"/>
      <c r="ABL135" s="1"/>
      <c r="ABM135" s="1"/>
      <c r="ABN135" s="1"/>
      <c r="ABO135" s="1"/>
      <c r="ABP135" s="1"/>
      <c r="ABQ135" s="1"/>
      <c r="ABR135" s="1"/>
      <c r="ABS135" s="1"/>
      <c r="ABT135" s="1"/>
      <c r="ABU135" s="1"/>
      <c r="ABV135" s="1"/>
      <c r="ABW135" s="1"/>
      <c r="ABX135" s="1"/>
      <c r="ABY135" s="1"/>
      <c r="ABZ135" s="1"/>
      <c r="ACA135" s="1"/>
      <c r="ACB135" s="1"/>
      <c r="ACC135" s="1"/>
      <c r="ACD135" s="1"/>
      <c r="ACE135" s="1"/>
      <c r="ACF135" s="1"/>
      <c r="ACG135" s="1"/>
      <c r="ACH135" s="1"/>
      <c r="ACI135" s="1"/>
      <c r="ACJ135" s="1"/>
      <c r="ACK135" s="1"/>
      <c r="ACL135" s="1"/>
      <c r="ACM135" s="1"/>
      <c r="ACN135" s="1"/>
      <c r="ACO135" s="1"/>
      <c r="ACP135" s="1"/>
      <c r="ACQ135" s="1"/>
      <c r="ACR135" s="1"/>
      <c r="ACS135" s="1"/>
      <c r="ACT135" s="1"/>
      <c r="ACU135" s="1"/>
      <c r="ACV135" s="1"/>
      <c r="ACW135" s="1"/>
      <c r="ACX135" s="1"/>
      <c r="ACY135" s="1"/>
      <c r="ACZ135" s="1"/>
      <c r="ADA135" s="1"/>
      <c r="ADB135" s="1"/>
      <c r="ADC135" s="1"/>
      <c r="ADD135" s="1"/>
      <c r="ADE135" s="1"/>
      <c r="ADF135" s="1"/>
      <c r="ADG135" s="1"/>
      <c r="ADH135" s="1"/>
      <c r="ADI135" s="1"/>
      <c r="ADJ135" s="1"/>
      <c r="ADK135" s="1"/>
      <c r="ADL135" s="1"/>
      <c r="ADM135" s="1"/>
      <c r="ADN135" s="1"/>
      <c r="ADO135" s="1"/>
      <c r="ADP135" s="1"/>
      <c r="ADQ135" s="1"/>
      <c r="ADR135" s="1"/>
      <c r="ADS135" s="1"/>
      <c r="ADT135" s="1"/>
      <c r="ADU135" s="1"/>
      <c r="ADV135" s="1"/>
      <c r="ADW135" s="1"/>
      <c r="ADX135" s="1"/>
      <c r="ADY135" s="1"/>
      <c r="ADZ135" s="1"/>
      <c r="AEA135" s="1"/>
      <c r="AEB135" s="1"/>
      <c r="AEC135" s="1"/>
      <c r="AED135" s="1"/>
      <c r="AEE135" s="1"/>
      <c r="AEF135" s="1"/>
      <c r="AEG135" s="1"/>
      <c r="AEH135" s="1"/>
      <c r="AEI135" s="1"/>
      <c r="AEJ135" s="1"/>
      <c r="AEK135" s="1"/>
      <c r="AEL135" s="1"/>
      <c r="AEM135" s="1"/>
      <c r="AEN135" s="1"/>
      <c r="AEO135" s="1"/>
      <c r="AEP135" s="1"/>
      <c r="AEQ135" s="1"/>
      <c r="AER135" s="1"/>
      <c r="AES135" s="1"/>
      <c r="AET135" s="1"/>
      <c r="AEU135" s="1"/>
      <c r="AEV135" s="1"/>
      <c r="AEW135" s="1"/>
      <c r="AEX135" s="1"/>
      <c r="AEY135" s="1"/>
      <c r="AEZ135" s="1"/>
      <c r="AFA135" s="1"/>
      <c r="AFB135" s="1"/>
      <c r="AFC135" s="1"/>
      <c r="AFD135" s="1"/>
      <c r="AFE135" s="1"/>
      <c r="AFF135" s="1"/>
      <c r="AFG135" s="1"/>
      <c r="AFH135" s="1"/>
      <c r="AFI135" s="1"/>
      <c r="AFJ135" s="1"/>
      <c r="AFK135" s="1"/>
      <c r="AFL135" s="1"/>
      <c r="AFM135" s="1"/>
      <c r="AFN135" s="1"/>
      <c r="AFO135" s="1"/>
      <c r="AFP135" s="1"/>
      <c r="AFQ135" s="1"/>
      <c r="AFR135" s="1"/>
      <c r="AFS135" s="1"/>
      <c r="AFT135" s="1"/>
      <c r="AFU135" s="1"/>
      <c r="AFV135" s="1"/>
      <c r="AFW135" s="1"/>
      <c r="AFX135" s="1"/>
      <c r="AFY135" s="1"/>
      <c r="AFZ135" s="1"/>
      <c r="AGA135" s="1"/>
      <c r="AGB135" s="1"/>
      <c r="AGC135" s="1"/>
      <c r="AGD135" s="1"/>
      <c r="AGE135" s="1"/>
      <c r="AGF135" s="1"/>
      <c r="AGG135" s="1"/>
      <c r="AGH135" s="1"/>
      <c r="AGI135" s="1"/>
      <c r="AGJ135" s="1"/>
      <c r="AGK135" s="1"/>
      <c r="AGL135" s="1"/>
      <c r="AGM135" s="1"/>
      <c r="AGN135" s="1"/>
      <c r="AGO135" s="1"/>
      <c r="AGP135" s="1"/>
      <c r="AGQ135" s="1"/>
      <c r="AGR135" s="1"/>
      <c r="AGS135" s="1"/>
      <c r="AGT135" s="1"/>
      <c r="AGU135" s="1"/>
      <c r="AGV135" s="1"/>
      <c r="AGW135" s="1"/>
      <c r="AGX135" s="1"/>
      <c r="AGY135" s="1"/>
      <c r="AGZ135" s="1"/>
      <c r="AHA135" s="1"/>
      <c r="AHB135" s="1"/>
      <c r="AHC135" s="1"/>
      <c r="AHD135" s="1"/>
      <c r="AHE135" s="1"/>
      <c r="AHF135" s="1"/>
      <c r="AHG135" s="1"/>
      <c r="AHH135" s="1"/>
      <c r="AHI135" s="1"/>
      <c r="AHJ135" s="1"/>
      <c r="AHK135" s="1"/>
      <c r="AHL135" s="1"/>
      <c r="AHM135" s="1"/>
      <c r="AHN135" s="1"/>
      <c r="AHO135" s="1"/>
      <c r="AHP135" s="1"/>
      <c r="AHQ135" s="1"/>
      <c r="AHR135" s="1"/>
      <c r="AHS135" s="1"/>
      <c r="AHT135" s="1"/>
      <c r="AHU135" s="1"/>
      <c r="AHV135" s="1"/>
      <c r="AHW135" s="1"/>
      <c r="AHX135" s="1"/>
      <c r="AHY135" s="1"/>
      <c r="AHZ135" s="1"/>
      <c r="AIA135" s="1"/>
      <c r="AIB135" s="1"/>
      <c r="AIC135" s="1"/>
      <c r="AID135" s="1"/>
      <c r="AIE135" s="1"/>
      <c r="AIF135" s="1"/>
      <c r="AIG135" s="1"/>
      <c r="AIH135" s="1"/>
      <c r="AII135" s="1"/>
      <c r="AIJ135" s="1"/>
      <c r="AIK135" s="1"/>
      <c r="AIL135" s="1"/>
      <c r="AIM135" s="1"/>
      <c r="AIN135" s="1"/>
      <c r="AIO135" s="1"/>
      <c r="AIP135" s="1"/>
      <c r="AIQ135" s="1"/>
      <c r="AIR135" s="1"/>
      <c r="AIS135" s="1"/>
      <c r="AIT135" s="1"/>
      <c r="AIU135" s="1"/>
      <c r="AIV135" s="1"/>
      <c r="AIW135" s="1"/>
      <c r="AIX135" s="1"/>
      <c r="AIY135" s="1"/>
      <c r="AIZ135" s="1"/>
      <c r="AJA135" s="1"/>
      <c r="AJB135" s="1"/>
      <c r="AJC135" s="1"/>
      <c r="AJD135" s="1"/>
      <c r="AJE135" s="1"/>
      <c r="AJF135" s="1"/>
      <c r="AJG135" s="1"/>
      <c r="AJH135" s="1"/>
      <c r="AJI135" s="1"/>
      <c r="AJJ135" s="1"/>
      <c r="AJK135" s="1"/>
      <c r="AJL135" s="1"/>
      <c r="AJM135" s="1"/>
      <c r="AJN135" s="1"/>
      <c r="AJO135" s="1"/>
      <c r="AJP135" s="1"/>
      <c r="AJQ135" s="1"/>
      <c r="AJR135" s="1"/>
      <c r="AJS135" s="1"/>
      <c r="AJT135" s="1"/>
      <c r="AJU135" s="1"/>
      <c r="AJV135" s="1"/>
      <c r="AJW135" s="1"/>
      <c r="AJX135" s="1"/>
      <c r="AJY135" s="1"/>
      <c r="AJZ135" s="1"/>
      <c r="AKA135" s="1"/>
      <c r="AKB135" s="1"/>
      <c r="AKC135" s="1"/>
      <c r="AKD135" s="1"/>
      <c r="AKE135" s="1"/>
      <c r="AKF135" s="1"/>
      <c r="AKG135" s="1"/>
      <c r="AKH135" s="1"/>
      <c r="AKI135" s="1"/>
      <c r="AKJ135" s="1"/>
      <c r="AKK135" s="1"/>
      <c r="AKL135" s="1"/>
      <c r="AKM135" s="1"/>
      <c r="AKN135" s="1"/>
      <c r="AKO135" s="1"/>
      <c r="AKP135" s="1"/>
      <c r="AKQ135" s="1"/>
      <c r="AKR135" s="1"/>
      <c r="AKS135" s="1"/>
      <c r="AKT135" s="1"/>
      <c r="AKU135" s="1"/>
      <c r="AKV135" s="1"/>
      <c r="AKW135" s="1"/>
      <c r="AKX135" s="1"/>
      <c r="AKY135" s="1"/>
      <c r="AKZ135" s="1"/>
      <c r="ALA135" s="1"/>
      <c r="ALB135" s="1"/>
      <c r="ALC135" s="1"/>
      <c r="ALD135" s="1"/>
      <c r="ALE135" s="1"/>
      <c r="ALF135" s="1"/>
      <c r="ALG135" s="1"/>
      <c r="ALH135" s="1"/>
      <c r="ALI135" s="1"/>
      <c r="ALJ135" s="1"/>
      <c r="ALK135" s="1"/>
      <c r="ALL135" s="1"/>
      <c r="ALM135" s="1"/>
      <c r="ALN135" s="1"/>
      <c r="ALO135" s="1"/>
      <c r="ALP135" s="1"/>
      <c r="ALQ135" s="1"/>
      <c r="ALR135" s="1"/>
      <c r="ALS135" s="1"/>
      <c r="ALT135" s="1"/>
      <c r="ALU135" s="1"/>
      <c r="ALV135" s="1"/>
      <c r="ALW135" s="1"/>
      <c r="ALX135" s="1"/>
      <c r="ALY135" s="1"/>
      <c r="ALZ135" s="1"/>
      <c r="AMA135" s="1"/>
      <c r="AMB135" s="1"/>
      <c r="AMC135" s="1"/>
      <c r="AMD135" s="1"/>
      <c r="AME135" s="1"/>
      <c r="AMF135" s="1"/>
      <c r="AMG135" s="1"/>
      <c r="AMH135" s="1"/>
      <c r="AMI135" s="1"/>
      <c r="AMJ135" s="1"/>
      <c r="AMK135" s="1"/>
      <c r="AML135" s="1"/>
      <c r="AMM135" s="1"/>
      <c r="AMN135" s="1"/>
    </row>
    <row r="136" spans="1:1029" x14ac:dyDescent="0.2">
      <c r="A136" s="3" t="str">
        <f t="shared" si="555"/>
        <v>oprx_human_4EA3</v>
      </c>
      <c r="B136" s="3" t="s">
        <v>1174</v>
      </c>
      <c r="C136" s="3" t="s">
        <v>67</v>
      </c>
      <c r="D136" s="3" t="str">
        <f>IFERROR(MID(VLOOKUP($B136,Seqs!$A:$B,2,0),E136,1),"")</f>
        <v>L</v>
      </c>
      <c r="E136" s="3">
        <v>48</v>
      </c>
      <c r="F136" s="3" t="str">
        <f>IFERROR(MID(VLOOKUP($B136,Seqs!$A:$B,2,0),G136,1),"")</f>
        <v>H</v>
      </c>
      <c r="G136" s="3">
        <v>79</v>
      </c>
      <c r="H136" s="3" t="str">
        <f>IFERROR(MID(VLOOKUP($B136,Seqs!$A:$B,2,0),I136,1),"")</f>
        <v/>
      </c>
      <c r="I136" s="23" t="s">
        <v>23</v>
      </c>
      <c r="J136" s="3" t="str">
        <f>IFERROR(MID(VLOOKUP($B136,Seqs!$A:$B,2,0),K136,1),"")</f>
        <v/>
      </c>
      <c r="K136" s="23" t="s">
        <v>23</v>
      </c>
      <c r="L136" s="3" t="str">
        <f>IFERROR(MID(VLOOKUP($B136,Seqs!$A:$B,2,0),M136,1),"")</f>
        <v>T</v>
      </c>
      <c r="M136" s="3">
        <v>84</v>
      </c>
      <c r="N136" s="3" t="str">
        <f>IFERROR(MID(VLOOKUP($B136,Seqs!$A:$B,2,0),O136,1),"")</f>
        <v>L</v>
      </c>
      <c r="O136" s="3">
        <v>113</v>
      </c>
      <c r="P136" s="3" t="str">
        <f>IFERROR(MID(VLOOKUP($B136,Seqs!$A:$B,2,0),Q136,1),"")</f>
        <v>F</v>
      </c>
      <c r="Q136" s="3">
        <v>115</v>
      </c>
      <c r="R136" s="3" t="str">
        <f>IFERROR(MID(VLOOKUP($B136,Seqs!$A:$B,2,0),S136,1),"")</f>
        <v>F</v>
      </c>
      <c r="S136" s="3">
        <v>118</v>
      </c>
      <c r="T136" s="3" t="str">
        <f>IFERROR(MID(VLOOKUP($B136,Seqs!$A:$B,2,0),U136,1),"")</f>
        <v>G</v>
      </c>
      <c r="U136" s="3">
        <v>119</v>
      </c>
      <c r="V136" s="3" t="str">
        <f>IFERROR(MID(VLOOKUP($B136,Seqs!$A:$B,2,0),W136,1),"")</f>
        <v>H</v>
      </c>
      <c r="W136" s="3">
        <v>154</v>
      </c>
      <c r="X136" s="3" t="str">
        <f>IFERROR(MID(VLOOKUP($B136,Seqs!$A:$B,2,0),Y136,1),"")</f>
        <v/>
      </c>
      <c r="Y136" s="3" t="s">
        <v>23</v>
      </c>
      <c r="Z136" s="3" t="str">
        <f>IFERROR(MID(VLOOKUP($B136,Seqs!$A:$B,2,0),AA136,1),"")</f>
        <v/>
      </c>
      <c r="AA136" s="3" t="s">
        <v>23</v>
      </c>
      <c r="AB136" s="3" t="str">
        <f>IFERROR(MID(VLOOKUP($B136,Seqs!$A:$B,2,0),AC136,1),"")</f>
        <v>T</v>
      </c>
      <c r="AC136" s="9">
        <v>163</v>
      </c>
      <c r="AD136" s="3" t="str">
        <f>IFERROR(MID(VLOOKUP($B136,Seqs!$A:$B,2,0),AE136,1),"")</f>
        <v>G</v>
      </c>
      <c r="AE136" s="3">
        <v>189</v>
      </c>
      <c r="AF136" s="3" t="str">
        <f>IFERROR(MID(VLOOKUP($B136,Seqs!$A:$B,2,0),AG136,1),"")</f>
        <v>C</v>
      </c>
      <c r="AG136" s="3">
        <v>200</v>
      </c>
      <c r="AH136" s="3" t="str">
        <f>IFERROR(MID(VLOOKUP($B136,Seqs!$A:$B,2,0),AI136,1),"")</f>
        <v>V</v>
      </c>
      <c r="AI136" s="3">
        <v>202</v>
      </c>
      <c r="AJ136" s="3" t="str">
        <f>IFERROR(MID(VLOOKUP($B136,Seqs!$A:$B,2,0),AK136,1),"")</f>
        <v>Q</v>
      </c>
      <c r="AK136" s="3">
        <v>208</v>
      </c>
      <c r="AL136" s="3" t="str">
        <f>IFERROR(MID(VLOOKUP($B136,Seqs!$A:$B,2,0),AM136,1),"")</f>
        <v>L</v>
      </c>
      <c r="AM136" s="3">
        <v>242</v>
      </c>
      <c r="AN136" s="3" t="str">
        <f>IFERROR(MID(VLOOKUP($B136,Seqs!$A:$B,2,0),AO136,1),"")</f>
        <v>S</v>
      </c>
      <c r="AO136" s="3">
        <v>251</v>
      </c>
      <c r="AP136" s="3" t="str">
        <f>IFERROR(MID(VLOOKUP($B136,Seqs!$A:$B,2,0),AQ136,1),"")</f>
        <v>G</v>
      </c>
      <c r="AQ136" s="3">
        <v>289</v>
      </c>
      <c r="AR136" s="3" t="str">
        <f>IFERROR(MID(VLOOKUP($B136,Seqs!$A:$B,2,0),AS136,1),"")</f>
        <v>S</v>
      </c>
      <c r="AS136" s="3">
        <v>294</v>
      </c>
      <c r="AT136" s="3" t="str">
        <f>IFERROR(MID(VLOOKUP($B136,Seqs!$A:$B,2,0),AU136,1),"")</f>
        <v>L</v>
      </c>
      <c r="AU136" s="3">
        <v>322</v>
      </c>
      <c r="AV136" s="3" t="str">
        <f>IFERROR(MID(VLOOKUP($B136,Seqs!$A:$B,2,0),AW136,1),"")</f>
        <v>D</v>
      </c>
      <c r="AW136" s="3">
        <v>323</v>
      </c>
      <c r="AX136" s="3" t="str">
        <f>IFERROR(MID(VLOOKUP($B136,Seqs!$A:$B,2,0),AY136,1),"")</f>
        <v>R</v>
      </c>
      <c r="AY136" s="3">
        <v>331</v>
      </c>
      <c r="AZ136" s="79" t="str">
        <f>VLOOKUP(B136,Classification!A:D,2,0)</f>
        <v>A</v>
      </c>
      <c r="BA136" s="97" t="str">
        <f>VLOOKUP(B136,Classification!A:D,4,0)</f>
        <v>Opioid</v>
      </c>
      <c r="BB136" s="27" t="b">
        <f t="shared" si="556"/>
        <v>1</v>
      </c>
      <c r="BC136" s="23">
        <f t="shared" si="473"/>
        <v>246</v>
      </c>
      <c r="BD136" s="5" t="s">
        <v>23</v>
      </c>
      <c r="BE136" s="3" t="s">
        <v>1381</v>
      </c>
      <c r="BF136" s="50" t="s">
        <v>1384</v>
      </c>
      <c r="BG136" s="50" t="s">
        <v>1384</v>
      </c>
      <c r="BH136" s="1"/>
      <c r="BI136" s="72" t="s">
        <v>1293</v>
      </c>
      <c r="BJ136" s="58" t="s">
        <v>1293</v>
      </c>
      <c r="BK136" s="58" t="s">
        <v>1293</v>
      </c>
      <c r="BL136" s="58" t="s">
        <v>1293</v>
      </c>
      <c r="BM136" s="58" t="s">
        <v>1293</v>
      </c>
      <c r="BN136" s="58" t="s">
        <v>1293</v>
      </c>
      <c r="BO136" s="58" t="s">
        <v>1293</v>
      </c>
      <c r="BP136" s="58" t="s">
        <v>1293</v>
      </c>
      <c r="BQ136" s="58" t="s">
        <v>1293</v>
      </c>
      <c r="BR136" s="58" t="s">
        <v>1293</v>
      </c>
      <c r="BS136" s="58" t="s">
        <v>1293</v>
      </c>
      <c r="BT136" s="58" t="s">
        <v>1293</v>
      </c>
      <c r="BU136" s="72">
        <f t="shared" si="474"/>
        <v>48</v>
      </c>
      <c r="BV136" s="73" t="str">
        <f t="shared" si="475"/>
        <v>-</v>
      </c>
      <c r="BW136" s="74">
        <f t="shared" si="476"/>
        <v>84</v>
      </c>
      <c r="BX136" s="73">
        <f t="shared" si="477"/>
        <v>115</v>
      </c>
      <c r="BY136" s="74">
        <f t="shared" si="478"/>
        <v>119</v>
      </c>
      <c r="BZ136" s="73" t="str">
        <f t="shared" si="479"/>
        <v>-</v>
      </c>
      <c r="CA136" s="74">
        <f t="shared" si="480"/>
        <v>163</v>
      </c>
      <c r="CB136" s="73">
        <f t="shared" si="481"/>
        <v>200</v>
      </c>
      <c r="CC136" s="74">
        <f t="shared" si="482"/>
        <v>208</v>
      </c>
      <c r="CD136" s="73">
        <f t="shared" si="483"/>
        <v>251</v>
      </c>
      <c r="CE136" s="74">
        <f t="shared" si="484"/>
        <v>294</v>
      </c>
      <c r="CF136" s="73">
        <f t="shared" si="485"/>
        <v>323</v>
      </c>
      <c r="CG136" s="72">
        <f t="shared" si="486"/>
        <v>79</v>
      </c>
      <c r="CH136" s="73" t="str">
        <f t="shared" si="487"/>
        <v>-</v>
      </c>
      <c r="CI136" s="74">
        <f t="shared" si="488"/>
        <v>113</v>
      </c>
      <c r="CJ136" s="74">
        <f t="shared" si="489"/>
        <v>118</v>
      </c>
      <c r="CK136" s="74">
        <f t="shared" si="490"/>
        <v>154</v>
      </c>
      <c r="CL136" s="74" t="str">
        <f t="shared" si="491"/>
        <v>-</v>
      </c>
      <c r="CM136" s="74">
        <f t="shared" si="492"/>
        <v>189</v>
      </c>
      <c r="CN136" s="74">
        <f t="shared" si="493"/>
        <v>202</v>
      </c>
      <c r="CO136" s="74">
        <f t="shared" si="494"/>
        <v>242</v>
      </c>
      <c r="CP136" s="74">
        <f t="shared" si="495"/>
        <v>289</v>
      </c>
      <c r="CQ136" s="74">
        <f t="shared" si="496"/>
        <v>322</v>
      </c>
      <c r="CR136" s="74">
        <f t="shared" si="497"/>
        <v>331</v>
      </c>
      <c r="CS136" s="23" t="e">
        <f t="shared" si="498"/>
        <v>#VALUE!</v>
      </c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  <c r="LI136" s="1"/>
      <c r="LJ136" s="1"/>
      <c r="LK136" s="1"/>
      <c r="LL136" s="1"/>
      <c r="LM136" s="1"/>
      <c r="LN136" s="1"/>
      <c r="LO136" s="1"/>
      <c r="LP136" s="1"/>
      <c r="LQ136" s="1"/>
      <c r="LR136" s="1"/>
      <c r="LS136" s="1"/>
      <c r="LT136" s="1"/>
      <c r="LU136" s="1"/>
      <c r="LV136" s="1"/>
      <c r="LW136" s="1"/>
      <c r="LX136" s="1"/>
      <c r="LY136" s="1"/>
      <c r="LZ136" s="1"/>
      <c r="MA136" s="1"/>
      <c r="MB136" s="1"/>
      <c r="MC136" s="1"/>
      <c r="MD136" s="1"/>
      <c r="ME136" s="1"/>
      <c r="MF136" s="1"/>
      <c r="MG136" s="1"/>
      <c r="MH136" s="1"/>
      <c r="MI136" s="1"/>
      <c r="MJ136" s="1"/>
      <c r="MK136" s="1"/>
      <c r="ML136" s="1"/>
      <c r="MM136" s="1"/>
      <c r="MN136" s="1"/>
      <c r="MO136" s="1"/>
      <c r="MP136" s="1"/>
      <c r="MQ136" s="1"/>
      <c r="MR136" s="1"/>
      <c r="MS136" s="1"/>
      <c r="MT136" s="1"/>
      <c r="MU136" s="1"/>
      <c r="MV136" s="1"/>
      <c r="MW136" s="1"/>
      <c r="MX136" s="1"/>
      <c r="MY136" s="1"/>
      <c r="MZ136" s="1"/>
      <c r="NA136" s="1"/>
      <c r="NB136" s="1"/>
      <c r="NC136" s="1"/>
      <c r="ND136" s="1"/>
      <c r="NE136" s="1"/>
      <c r="NF136" s="1"/>
      <c r="NG136" s="1"/>
      <c r="NH136" s="1"/>
      <c r="NI136" s="1"/>
      <c r="NJ136" s="1"/>
      <c r="NK136" s="1"/>
      <c r="NL136" s="1"/>
      <c r="NM136" s="1"/>
      <c r="NN136" s="1"/>
      <c r="NO136" s="1"/>
      <c r="NP136" s="1"/>
      <c r="NQ136" s="1"/>
      <c r="NR136" s="1"/>
      <c r="NS136" s="1"/>
      <c r="NT136" s="1"/>
      <c r="NU136" s="1"/>
      <c r="NV136" s="1"/>
      <c r="NW136" s="1"/>
      <c r="NX136" s="1"/>
      <c r="NY136" s="1"/>
      <c r="NZ136" s="1"/>
      <c r="OA136" s="1"/>
      <c r="OB136" s="1"/>
      <c r="OC136" s="1"/>
      <c r="OD136" s="1"/>
      <c r="OE136" s="1"/>
      <c r="OF136" s="1"/>
      <c r="OG136" s="1"/>
      <c r="OH136" s="1"/>
      <c r="OI136" s="1"/>
      <c r="OJ136" s="1"/>
      <c r="OK136" s="1"/>
      <c r="OL136" s="1"/>
      <c r="OM136" s="1"/>
      <c r="ON136" s="1"/>
      <c r="OO136" s="1"/>
      <c r="OP136" s="1"/>
      <c r="OQ136" s="1"/>
      <c r="OR136" s="1"/>
      <c r="OS136" s="1"/>
      <c r="OT136" s="1"/>
      <c r="OU136" s="1"/>
      <c r="OV136" s="1"/>
      <c r="OW136" s="1"/>
      <c r="OX136" s="1"/>
      <c r="OY136" s="1"/>
      <c r="OZ136" s="1"/>
      <c r="PA136" s="1"/>
      <c r="PB136" s="1"/>
      <c r="PC136" s="1"/>
      <c r="PD136" s="1"/>
      <c r="PE136" s="1"/>
      <c r="PF136" s="1"/>
      <c r="PG136" s="1"/>
      <c r="PH136" s="1"/>
      <c r="PI136" s="1"/>
      <c r="PJ136" s="1"/>
      <c r="PK136" s="1"/>
      <c r="PL136" s="1"/>
      <c r="PM136" s="1"/>
      <c r="PN136" s="1"/>
      <c r="PO136" s="1"/>
      <c r="PP136" s="1"/>
      <c r="PQ136" s="1"/>
      <c r="PR136" s="1"/>
      <c r="PS136" s="1"/>
      <c r="PT136" s="1"/>
      <c r="PU136" s="1"/>
      <c r="PV136" s="1"/>
      <c r="PW136" s="1"/>
      <c r="PX136" s="1"/>
      <c r="PY136" s="1"/>
      <c r="PZ136" s="1"/>
      <c r="QA136" s="1"/>
      <c r="QB136" s="1"/>
      <c r="QC136" s="1"/>
      <c r="QD136" s="1"/>
      <c r="QE136" s="1"/>
      <c r="QF136" s="1"/>
      <c r="QG136" s="1"/>
      <c r="QH136" s="1"/>
      <c r="QI136" s="1"/>
      <c r="QJ136" s="1"/>
      <c r="QK136" s="1"/>
      <c r="QL136" s="1"/>
      <c r="QM136" s="1"/>
      <c r="QN136" s="1"/>
      <c r="QO136" s="1"/>
      <c r="QP136" s="1"/>
      <c r="QQ136" s="1"/>
      <c r="QR136" s="1"/>
      <c r="QS136" s="1"/>
      <c r="QT136" s="1"/>
      <c r="QU136" s="1"/>
      <c r="QV136" s="1"/>
      <c r="QW136" s="1"/>
      <c r="QX136" s="1"/>
      <c r="QY136" s="1"/>
      <c r="QZ136" s="1"/>
      <c r="RA136" s="1"/>
      <c r="RB136" s="1"/>
      <c r="RC136" s="1"/>
      <c r="RD136" s="1"/>
      <c r="RE136" s="1"/>
      <c r="RF136" s="1"/>
      <c r="RG136" s="1"/>
      <c r="RH136" s="1"/>
      <c r="RI136" s="1"/>
      <c r="RJ136" s="1"/>
      <c r="RK136" s="1"/>
      <c r="RL136" s="1"/>
      <c r="RM136" s="1"/>
      <c r="RN136" s="1"/>
      <c r="RO136" s="1"/>
      <c r="RP136" s="1"/>
      <c r="RQ136" s="1"/>
      <c r="RR136" s="1"/>
      <c r="RS136" s="1"/>
      <c r="RT136" s="1"/>
      <c r="RU136" s="1"/>
      <c r="RV136" s="1"/>
      <c r="RW136" s="1"/>
      <c r="RX136" s="1"/>
      <c r="RY136" s="1"/>
      <c r="RZ136" s="1"/>
      <c r="SA136" s="1"/>
      <c r="SB136" s="1"/>
      <c r="SC136" s="1"/>
      <c r="SD136" s="1"/>
      <c r="SE136" s="1"/>
      <c r="SF136" s="1"/>
      <c r="SG136" s="1"/>
      <c r="SH136" s="1"/>
      <c r="SI136" s="1"/>
      <c r="SJ136" s="1"/>
      <c r="SK136" s="1"/>
      <c r="SL136" s="1"/>
      <c r="SM136" s="1"/>
      <c r="SN136" s="1"/>
      <c r="SO136" s="1"/>
      <c r="SP136" s="1"/>
      <c r="SQ136" s="1"/>
      <c r="SR136" s="1"/>
      <c r="SS136" s="1"/>
      <c r="ST136" s="1"/>
      <c r="SU136" s="1"/>
      <c r="SV136" s="1"/>
      <c r="SW136" s="1"/>
      <c r="SX136" s="1"/>
      <c r="SY136" s="1"/>
      <c r="SZ136" s="1"/>
      <c r="TA136" s="1"/>
      <c r="TB136" s="1"/>
      <c r="TC136" s="1"/>
      <c r="TD136" s="1"/>
      <c r="TE136" s="1"/>
      <c r="TF136" s="1"/>
      <c r="TG136" s="1"/>
      <c r="TH136" s="1"/>
      <c r="TI136" s="1"/>
      <c r="TJ136" s="1"/>
      <c r="TK136" s="1"/>
      <c r="TL136" s="1"/>
      <c r="TM136" s="1"/>
      <c r="TN136" s="1"/>
      <c r="TO136" s="1"/>
      <c r="TP136" s="1"/>
      <c r="TQ136" s="1"/>
      <c r="TR136" s="1"/>
      <c r="TS136" s="1"/>
      <c r="TT136" s="1"/>
      <c r="TU136" s="1"/>
      <c r="TV136" s="1"/>
      <c r="TW136" s="1"/>
      <c r="TX136" s="1"/>
      <c r="TY136" s="1"/>
      <c r="TZ136" s="1"/>
      <c r="UA136" s="1"/>
      <c r="UB136" s="1"/>
      <c r="UC136" s="1"/>
      <c r="UD136" s="1"/>
      <c r="UE136" s="1"/>
      <c r="UF136" s="1"/>
      <c r="UG136" s="1"/>
      <c r="UH136" s="1"/>
      <c r="UI136" s="1"/>
      <c r="UJ136" s="1"/>
      <c r="UK136" s="1"/>
      <c r="UL136" s="1"/>
      <c r="UM136" s="1"/>
      <c r="UN136" s="1"/>
      <c r="UO136" s="1"/>
      <c r="UP136" s="1"/>
      <c r="UQ136" s="1"/>
      <c r="UR136" s="1"/>
      <c r="US136" s="1"/>
      <c r="UT136" s="1"/>
      <c r="UU136" s="1"/>
      <c r="UV136" s="1"/>
      <c r="UW136" s="1"/>
      <c r="UX136" s="1"/>
      <c r="UY136" s="1"/>
      <c r="UZ136" s="1"/>
      <c r="VA136" s="1"/>
      <c r="VB136" s="1"/>
      <c r="VC136" s="1"/>
      <c r="VD136" s="1"/>
      <c r="VE136" s="1"/>
      <c r="VF136" s="1"/>
      <c r="VG136" s="1"/>
      <c r="VH136" s="1"/>
      <c r="VI136" s="1"/>
      <c r="VJ136" s="1"/>
      <c r="VK136" s="1"/>
      <c r="VL136" s="1"/>
      <c r="VM136" s="1"/>
      <c r="VN136" s="1"/>
      <c r="VO136" s="1"/>
      <c r="VP136" s="1"/>
      <c r="VQ136" s="1"/>
      <c r="VR136" s="1"/>
      <c r="VS136" s="1"/>
      <c r="VT136" s="1"/>
      <c r="VU136" s="1"/>
      <c r="VV136" s="1"/>
      <c r="VW136" s="1"/>
      <c r="VX136" s="1"/>
      <c r="VY136" s="1"/>
      <c r="VZ136" s="1"/>
      <c r="WA136" s="1"/>
      <c r="WB136" s="1"/>
      <c r="WC136" s="1"/>
      <c r="WD136" s="1"/>
      <c r="WE136" s="1"/>
      <c r="WF136" s="1"/>
      <c r="WG136" s="1"/>
      <c r="WH136" s="1"/>
      <c r="WI136" s="1"/>
      <c r="WJ136" s="1"/>
      <c r="WK136" s="1"/>
      <c r="WL136" s="1"/>
      <c r="WM136" s="1"/>
      <c r="WN136" s="1"/>
      <c r="WO136" s="1"/>
      <c r="WP136" s="1"/>
      <c r="WQ136" s="1"/>
      <c r="WR136" s="1"/>
      <c r="WS136" s="1"/>
      <c r="WT136" s="1"/>
      <c r="WU136" s="1"/>
      <c r="WV136" s="1"/>
      <c r="WW136" s="1"/>
      <c r="WX136" s="1"/>
      <c r="WY136" s="1"/>
      <c r="WZ136" s="1"/>
      <c r="XA136" s="1"/>
      <c r="XB136" s="1"/>
      <c r="XC136" s="1"/>
      <c r="XD136" s="1"/>
      <c r="XE136" s="1"/>
      <c r="XF136" s="1"/>
      <c r="XG136" s="1"/>
      <c r="XH136" s="1"/>
      <c r="XI136" s="1"/>
      <c r="XJ136" s="1"/>
      <c r="XK136" s="1"/>
      <c r="XL136" s="1"/>
      <c r="XM136" s="1"/>
      <c r="XN136" s="1"/>
      <c r="XO136" s="1"/>
      <c r="XP136" s="1"/>
      <c r="XQ136" s="1"/>
      <c r="XR136" s="1"/>
      <c r="XS136" s="1"/>
      <c r="XT136" s="1"/>
      <c r="XU136" s="1"/>
      <c r="XV136" s="1"/>
      <c r="XW136" s="1"/>
      <c r="XX136" s="1"/>
      <c r="XY136" s="1"/>
      <c r="XZ136" s="1"/>
      <c r="YA136" s="1"/>
      <c r="YB136" s="1"/>
      <c r="YC136" s="1"/>
      <c r="YD136" s="1"/>
      <c r="YE136" s="1"/>
      <c r="YF136" s="1"/>
      <c r="YG136" s="1"/>
      <c r="YH136" s="1"/>
      <c r="YI136" s="1"/>
      <c r="YJ136" s="1"/>
      <c r="YK136" s="1"/>
      <c r="YL136" s="1"/>
      <c r="YM136" s="1"/>
      <c r="YN136" s="1"/>
      <c r="YO136" s="1"/>
      <c r="YP136" s="1"/>
      <c r="YQ136" s="1"/>
      <c r="YR136" s="1"/>
      <c r="YS136" s="1"/>
      <c r="YT136" s="1"/>
      <c r="YU136" s="1"/>
      <c r="YV136" s="1"/>
      <c r="YW136" s="1"/>
      <c r="YX136" s="1"/>
      <c r="YY136" s="1"/>
      <c r="YZ136" s="1"/>
      <c r="ZA136" s="1"/>
      <c r="ZB136" s="1"/>
      <c r="ZC136" s="1"/>
      <c r="ZD136" s="1"/>
      <c r="ZE136" s="1"/>
      <c r="ZF136" s="1"/>
      <c r="ZG136" s="1"/>
      <c r="ZH136" s="1"/>
      <c r="ZI136" s="1"/>
      <c r="ZJ136" s="1"/>
      <c r="ZK136" s="1"/>
      <c r="ZL136" s="1"/>
      <c r="ZM136" s="1"/>
      <c r="ZN136" s="1"/>
      <c r="ZO136" s="1"/>
      <c r="ZP136" s="1"/>
      <c r="ZQ136" s="1"/>
      <c r="ZR136" s="1"/>
      <c r="ZS136" s="1"/>
      <c r="ZT136" s="1"/>
      <c r="ZU136" s="1"/>
      <c r="ZV136" s="1"/>
      <c r="ZW136" s="1"/>
      <c r="ZX136" s="1"/>
      <c r="ZY136" s="1"/>
      <c r="ZZ136" s="1"/>
      <c r="AAA136" s="1"/>
      <c r="AAB136" s="1"/>
      <c r="AAC136" s="1"/>
      <c r="AAD136" s="1"/>
      <c r="AAE136" s="1"/>
      <c r="AAF136" s="1"/>
      <c r="AAG136" s="1"/>
      <c r="AAH136" s="1"/>
      <c r="AAI136" s="1"/>
      <c r="AAJ136" s="1"/>
      <c r="AAK136" s="1"/>
      <c r="AAL136" s="1"/>
      <c r="AAM136" s="1"/>
      <c r="AAN136" s="1"/>
      <c r="AAO136" s="1"/>
      <c r="AAP136" s="1"/>
      <c r="AAQ136" s="1"/>
      <c r="AAR136" s="1"/>
      <c r="AAS136" s="1"/>
      <c r="AAT136" s="1"/>
      <c r="AAU136" s="1"/>
      <c r="AAV136" s="1"/>
      <c r="AAW136" s="1"/>
      <c r="AAX136" s="1"/>
      <c r="AAY136" s="1"/>
      <c r="AAZ136" s="1"/>
      <c r="ABA136" s="1"/>
      <c r="ABB136" s="1"/>
      <c r="ABC136" s="1"/>
      <c r="ABD136" s="1"/>
      <c r="ABE136" s="1"/>
      <c r="ABF136" s="1"/>
      <c r="ABG136" s="1"/>
      <c r="ABH136" s="1"/>
      <c r="ABI136" s="1"/>
      <c r="ABJ136" s="1"/>
      <c r="ABK136" s="1"/>
      <c r="ABL136" s="1"/>
      <c r="ABM136" s="1"/>
      <c r="ABN136" s="1"/>
      <c r="ABO136" s="1"/>
      <c r="ABP136" s="1"/>
      <c r="ABQ136" s="1"/>
      <c r="ABR136" s="1"/>
      <c r="ABS136" s="1"/>
      <c r="ABT136" s="1"/>
      <c r="ABU136" s="1"/>
      <c r="ABV136" s="1"/>
      <c r="ABW136" s="1"/>
      <c r="ABX136" s="1"/>
      <c r="ABY136" s="1"/>
      <c r="ABZ136" s="1"/>
      <c r="ACA136" s="1"/>
      <c r="ACB136" s="1"/>
      <c r="ACC136" s="1"/>
      <c r="ACD136" s="1"/>
      <c r="ACE136" s="1"/>
      <c r="ACF136" s="1"/>
      <c r="ACG136" s="1"/>
      <c r="ACH136" s="1"/>
      <c r="ACI136" s="1"/>
      <c r="ACJ136" s="1"/>
      <c r="ACK136" s="1"/>
      <c r="ACL136" s="1"/>
      <c r="ACM136" s="1"/>
      <c r="ACN136" s="1"/>
      <c r="ACO136" s="1"/>
      <c r="ACP136" s="1"/>
      <c r="ACQ136" s="1"/>
      <c r="ACR136" s="1"/>
      <c r="ACS136" s="1"/>
      <c r="ACT136" s="1"/>
      <c r="ACU136" s="1"/>
      <c r="ACV136" s="1"/>
      <c r="ACW136" s="1"/>
      <c r="ACX136" s="1"/>
      <c r="ACY136" s="1"/>
      <c r="ACZ136" s="1"/>
      <c r="ADA136" s="1"/>
      <c r="ADB136" s="1"/>
      <c r="ADC136" s="1"/>
      <c r="ADD136" s="1"/>
      <c r="ADE136" s="1"/>
      <c r="ADF136" s="1"/>
      <c r="ADG136" s="1"/>
      <c r="ADH136" s="1"/>
      <c r="ADI136" s="1"/>
      <c r="ADJ136" s="1"/>
      <c r="ADK136" s="1"/>
      <c r="ADL136" s="1"/>
      <c r="ADM136" s="1"/>
      <c r="ADN136" s="1"/>
      <c r="ADO136" s="1"/>
      <c r="ADP136" s="1"/>
      <c r="ADQ136" s="1"/>
      <c r="ADR136" s="1"/>
      <c r="ADS136" s="1"/>
      <c r="ADT136" s="1"/>
      <c r="ADU136" s="1"/>
      <c r="ADV136" s="1"/>
      <c r="ADW136" s="1"/>
      <c r="ADX136" s="1"/>
      <c r="ADY136" s="1"/>
      <c r="ADZ136" s="1"/>
      <c r="AEA136" s="1"/>
      <c r="AEB136" s="1"/>
      <c r="AEC136" s="1"/>
      <c r="AED136" s="1"/>
      <c r="AEE136" s="1"/>
      <c r="AEF136" s="1"/>
      <c r="AEG136" s="1"/>
      <c r="AEH136" s="1"/>
      <c r="AEI136" s="1"/>
      <c r="AEJ136" s="1"/>
      <c r="AEK136" s="1"/>
      <c r="AEL136" s="1"/>
      <c r="AEM136" s="1"/>
      <c r="AEN136" s="1"/>
      <c r="AEO136" s="1"/>
      <c r="AEP136" s="1"/>
      <c r="AEQ136" s="1"/>
      <c r="AER136" s="1"/>
      <c r="AES136" s="1"/>
      <c r="AET136" s="1"/>
      <c r="AEU136" s="1"/>
      <c r="AEV136" s="1"/>
      <c r="AEW136" s="1"/>
      <c r="AEX136" s="1"/>
      <c r="AEY136" s="1"/>
      <c r="AEZ136" s="1"/>
      <c r="AFA136" s="1"/>
      <c r="AFB136" s="1"/>
      <c r="AFC136" s="1"/>
      <c r="AFD136" s="1"/>
      <c r="AFE136" s="1"/>
      <c r="AFF136" s="1"/>
      <c r="AFG136" s="1"/>
      <c r="AFH136" s="1"/>
      <c r="AFI136" s="1"/>
      <c r="AFJ136" s="1"/>
      <c r="AFK136" s="1"/>
      <c r="AFL136" s="1"/>
      <c r="AFM136" s="1"/>
      <c r="AFN136" s="1"/>
      <c r="AFO136" s="1"/>
      <c r="AFP136" s="1"/>
      <c r="AFQ136" s="1"/>
      <c r="AFR136" s="1"/>
      <c r="AFS136" s="1"/>
      <c r="AFT136" s="1"/>
      <c r="AFU136" s="1"/>
      <c r="AFV136" s="1"/>
      <c r="AFW136" s="1"/>
      <c r="AFX136" s="1"/>
      <c r="AFY136" s="1"/>
      <c r="AFZ136" s="1"/>
      <c r="AGA136" s="1"/>
      <c r="AGB136" s="1"/>
      <c r="AGC136" s="1"/>
      <c r="AGD136" s="1"/>
      <c r="AGE136" s="1"/>
      <c r="AGF136" s="1"/>
      <c r="AGG136" s="1"/>
      <c r="AGH136" s="1"/>
      <c r="AGI136" s="1"/>
      <c r="AGJ136" s="1"/>
      <c r="AGK136" s="1"/>
      <c r="AGL136" s="1"/>
      <c r="AGM136" s="1"/>
      <c r="AGN136" s="1"/>
      <c r="AGO136" s="1"/>
      <c r="AGP136" s="1"/>
      <c r="AGQ136" s="1"/>
      <c r="AGR136" s="1"/>
      <c r="AGS136" s="1"/>
      <c r="AGT136" s="1"/>
      <c r="AGU136" s="1"/>
      <c r="AGV136" s="1"/>
      <c r="AGW136" s="1"/>
      <c r="AGX136" s="1"/>
      <c r="AGY136" s="1"/>
      <c r="AGZ136" s="1"/>
      <c r="AHA136" s="1"/>
      <c r="AHB136" s="1"/>
      <c r="AHC136" s="1"/>
      <c r="AHD136" s="1"/>
      <c r="AHE136" s="1"/>
      <c r="AHF136" s="1"/>
      <c r="AHG136" s="1"/>
      <c r="AHH136" s="1"/>
      <c r="AHI136" s="1"/>
      <c r="AHJ136" s="1"/>
      <c r="AHK136" s="1"/>
      <c r="AHL136" s="1"/>
      <c r="AHM136" s="1"/>
      <c r="AHN136" s="1"/>
      <c r="AHO136" s="1"/>
      <c r="AHP136" s="1"/>
      <c r="AHQ136" s="1"/>
      <c r="AHR136" s="1"/>
      <c r="AHS136" s="1"/>
      <c r="AHT136" s="1"/>
      <c r="AHU136" s="1"/>
      <c r="AHV136" s="1"/>
      <c r="AHW136" s="1"/>
      <c r="AHX136" s="1"/>
      <c r="AHY136" s="1"/>
      <c r="AHZ136" s="1"/>
      <c r="AIA136" s="1"/>
      <c r="AIB136" s="1"/>
      <c r="AIC136" s="1"/>
      <c r="AID136" s="1"/>
      <c r="AIE136" s="1"/>
      <c r="AIF136" s="1"/>
      <c r="AIG136" s="1"/>
      <c r="AIH136" s="1"/>
      <c r="AII136" s="1"/>
      <c r="AIJ136" s="1"/>
      <c r="AIK136" s="1"/>
      <c r="AIL136" s="1"/>
      <c r="AIM136" s="1"/>
      <c r="AIN136" s="1"/>
      <c r="AIO136" s="1"/>
      <c r="AIP136" s="1"/>
      <c r="AIQ136" s="1"/>
      <c r="AIR136" s="1"/>
      <c r="AIS136" s="1"/>
      <c r="AIT136" s="1"/>
      <c r="AIU136" s="1"/>
      <c r="AIV136" s="1"/>
      <c r="AIW136" s="1"/>
      <c r="AIX136" s="1"/>
      <c r="AIY136" s="1"/>
      <c r="AIZ136" s="1"/>
      <c r="AJA136" s="1"/>
      <c r="AJB136" s="1"/>
      <c r="AJC136" s="1"/>
      <c r="AJD136" s="1"/>
      <c r="AJE136" s="1"/>
      <c r="AJF136" s="1"/>
      <c r="AJG136" s="1"/>
      <c r="AJH136" s="1"/>
      <c r="AJI136" s="1"/>
      <c r="AJJ136" s="1"/>
      <c r="AJK136" s="1"/>
      <c r="AJL136" s="1"/>
      <c r="AJM136" s="1"/>
      <c r="AJN136" s="1"/>
      <c r="AJO136" s="1"/>
      <c r="AJP136" s="1"/>
      <c r="AJQ136" s="1"/>
      <c r="AJR136" s="1"/>
      <c r="AJS136" s="1"/>
      <c r="AJT136" s="1"/>
      <c r="AJU136" s="1"/>
      <c r="AJV136" s="1"/>
      <c r="AJW136" s="1"/>
      <c r="AJX136" s="1"/>
      <c r="AJY136" s="1"/>
      <c r="AJZ136" s="1"/>
      <c r="AKA136" s="1"/>
      <c r="AKB136" s="1"/>
      <c r="AKC136" s="1"/>
      <c r="AKD136" s="1"/>
      <c r="AKE136" s="1"/>
      <c r="AKF136" s="1"/>
      <c r="AKG136" s="1"/>
      <c r="AKH136" s="1"/>
      <c r="AKI136" s="1"/>
      <c r="AKJ136" s="1"/>
      <c r="AKK136" s="1"/>
      <c r="AKL136" s="1"/>
      <c r="AKM136" s="1"/>
      <c r="AKN136" s="1"/>
      <c r="AKO136" s="1"/>
      <c r="AKP136" s="1"/>
      <c r="AKQ136" s="1"/>
      <c r="AKR136" s="1"/>
      <c r="AKS136" s="1"/>
      <c r="AKT136" s="1"/>
      <c r="AKU136" s="1"/>
      <c r="AKV136" s="1"/>
      <c r="AKW136" s="1"/>
      <c r="AKX136" s="1"/>
      <c r="AKY136" s="1"/>
      <c r="AKZ136" s="1"/>
      <c r="ALA136" s="1"/>
      <c r="ALB136" s="1"/>
      <c r="ALC136" s="1"/>
      <c r="ALD136" s="1"/>
      <c r="ALE136" s="1"/>
      <c r="ALF136" s="1"/>
      <c r="ALG136" s="1"/>
      <c r="ALH136" s="1"/>
      <c r="ALI136" s="1"/>
      <c r="ALJ136" s="1"/>
      <c r="ALK136" s="1"/>
      <c r="ALL136" s="1"/>
      <c r="ALM136" s="1"/>
      <c r="ALN136" s="1"/>
      <c r="ALO136" s="1"/>
      <c r="ALP136" s="1"/>
      <c r="ALQ136" s="1"/>
      <c r="ALR136" s="1"/>
      <c r="ALS136" s="1"/>
      <c r="ALT136" s="1"/>
      <c r="ALU136" s="1"/>
      <c r="ALV136" s="1"/>
      <c r="ALW136" s="1"/>
      <c r="ALX136" s="1"/>
      <c r="ALY136" s="1"/>
      <c r="ALZ136" s="1"/>
      <c r="AMA136" s="1"/>
      <c r="AMB136" s="1"/>
      <c r="AMC136" s="1"/>
      <c r="AMD136" s="1"/>
      <c r="AME136" s="1"/>
      <c r="AMF136" s="1"/>
      <c r="AMG136" s="1"/>
      <c r="AMH136" s="1"/>
      <c r="AMI136" s="1"/>
      <c r="AMJ136" s="1"/>
      <c r="AMK136" s="1"/>
      <c r="AML136" s="1"/>
      <c r="AMM136" s="1"/>
      <c r="AMN136" s="1"/>
    </row>
    <row r="137" spans="1:1029" x14ac:dyDescent="0.2">
      <c r="A137" s="3" t="str">
        <f t="shared" si="555"/>
        <v>oprx_human_5DHG</v>
      </c>
      <c r="B137" s="3" t="s">
        <v>1174</v>
      </c>
      <c r="C137" s="3" t="s">
        <v>1361</v>
      </c>
      <c r="D137" s="3" t="str">
        <f>IFERROR(MID(VLOOKUP($B137,Seqs!$A:$B,2,0),E137,1),"")</f>
        <v>L</v>
      </c>
      <c r="E137" s="3">
        <v>48</v>
      </c>
      <c r="F137" s="3" t="str">
        <f>IFERROR(MID(VLOOKUP($B137,Seqs!$A:$B,2,0),G137,1),"")</f>
        <v>H</v>
      </c>
      <c r="G137" s="3">
        <v>79</v>
      </c>
      <c r="H137" s="3" t="str">
        <f>IFERROR(MID(VLOOKUP($B137,Seqs!$A:$B,2,0),I137,1),"")</f>
        <v/>
      </c>
      <c r="I137" s="23" t="s">
        <v>23</v>
      </c>
      <c r="J137" s="3" t="str">
        <f>IFERROR(MID(VLOOKUP($B137,Seqs!$A:$B,2,0),K137,1),"")</f>
        <v/>
      </c>
      <c r="K137" s="23" t="s">
        <v>23</v>
      </c>
      <c r="L137" s="3" t="str">
        <f>IFERROR(MID(VLOOKUP($B137,Seqs!$A:$B,2,0),M137,1),"")</f>
        <v>T</v>
      </c>
      <c r="M137" s="3">
        <v>84</v>
      </c>
      <c r="N137" s="3" t="str">
        <f>IFERROR(MID(VLOOKUP($B137,Seqs!$A:$B,2,0),O137,1),"")</f>
        <v>L</v>
      </c>
      <c r="O137" s="3">
        <v>113</v>
      </c>
      <c r="P137" s="3" t="str">
        <f>IFERROR(MID(VLOOKUP($B137,Seqs!$A:$B,2,0),Q137,1),"")</f>
        <v>F</v>
      </c>
      <c r="Q137" s="3">
        <v>115</v>
      </c>
      <c r="R137" s="3" t="str">
        <f>IFERROR(MID(VLOOKUP($B137,Seqs!$A:$B,2,0),S137,1),"")</f>
        <v>F</v>
      </c>
      <c r="S137" s="3">
        <v>118</v>
      </c>
      <c r="T137" s="3" t="str">
        <f>IFERROR(MID(VLOOKUP($B137,Seqs!$A:$B,2,0),U137,1),"")</f>
        <v>G</v>
      </c>
      <c r="U137" s="3">
        <v>119</v>
      </c>
      <c r="V137" s="3" t="str">
        <f>IFERROR(MID(VLOOKUP($B137,Seqs!$A:$B,2,0),W137,1),"")</f>
        <v>H</v>
      </c>
      <c r="W137" s="3">
        <v>154</v>
      </c>
      <c r="X137" s="3" t="str">
        <f>IFERROR(MID(VLOOKUP($B137,Seqs!$A:$B,2,0),Y137,1),"")</f>
        <v/>
      </c>
      <c r="Y137" s="3" t="s">
        <v>23</v>
      </c>
      <c r="Z137" s="3" t="str">
        <f>IFERROR(MID(VLOOKUP($B137,Seqs!$A:$B,2,0),AA137,1),"")</f>
        <v/>
      </c>
      <c r="AA137" s="3" t="s">
        <v>23</v>
      </c>
      <c r="AB137" s="3" t="str">
        <f>IFERROR(MID(VLOOKUP($B137,Seqs!$A:$B,2,0),AC137,1),"")</f>
        <v>T</v>
      </c>
      <c r="AC137" s="9">
        <v>163</v>
      </c>
      <c r="AD137" s="3" t="str">
        <f>IFERROR(MID(VLOOKUP($B137,Seqs!$A:$B,2,0),AE137,1),"")</f>
        <v>G</v>
      </c>
      <c r="AE137" s="3">
        <v>189</v>
      </c>
      <c r="AF137" s="3" t="str">
        <f>IFERROR(MID(VLOOKUP($B137,Seqs!$A:$B,2,0),AG137,1),"")</f>
        <v>C</v>
      </c>
      <c r="AG137" s="3">
        <v>200</v>
      </c>
      <c r="AH137" s="3" t="str">
        <f>IFERROR(MID(VLOOKUP($B137,Seqs!$A:$B,2,0),AI137,1),"")</f>
        <v>V</v>
      </c>
      <c r="AI137" s="3">
        <v>202</v>
      </c>
      <c r="AJ137" s="3" t="str">
        <f>IFERROR(MID(VLOOKUP($B137,Seqs!$A:$B,2,0),AK137,1),"")</f>
        <v>Q</v>
      </c>
      <c r="AK137" s="3">
        <v>208</v>
      </c>
      <c r="AL137" s="3" t="str">
        <f>IFERROR(MID(VLOOKUP($B137,Seqs!$A:$B,2,0),AM137,1),"")</f>
        <v>L</v>
      </c>
      <c r="AM137" s="3">
        <v>242</v>
      </c>
      <c r="AN137" s="3" t="str">
        <f>IFERROR(MID(VLOOKUP($B137,Seqs!$A:$B,2,0),AO137,1),"")</f>
        <v>S</v>
      </c>
      <c r="AO137" s="3">
        <v>251</v>
      </c>
      <c r="AP137" s="3" t="str">
        <f>IFERROR(MID(VLOOKUP($B137,Seqs!$A:$B,2,0),AQ137,1),"")</f>
        <v>G</v>
      </c>
      <c r="AQ137" s="3">
        <v>289</v>
      </c>
      <c r="AR137" s="3" t="str">
        <f>IFERROR(MID(VLOOKUP($B137,Seqs!$A:$B,2,0),AS137,1),"")</f>
        <v>S</v>
      </c>
      <c r="AS137" s="3">
        <v>294</v>
      </c>
      <c r="AT137" s="3" t="str">
        <f>IFERROR(MID(VLOOKUP($B137,Seqs!$A:$B,2,0),AU137,1),"")</f>
        <v>L</v>
      </c>
      <c r="AU137" s="3">
        <v>322</v>
      </c>
      <c r="AV137" s="3" t="str">
        <f>IFERROR(MID(VLOOKUP($B137,Seqs!$A:$B,2,0),AW137,1),"")</f>
        <v>D</v>
      </c>
      <c r="AW137" s="3">
        <v>323</v>
      </c>
      <c r="AX137" s="3" t="str">
        <f>IFERROR(MID(VLOOKUP($B137,Seqs!$A:$B,2,0),AY137,1),"")</f>
        <v>F</v>
      </c>
      <c r="AY137" s="3">
        <v>333</v>
      </c>
      <c r="AZ137" s="79" t="str">
        <f>VLOOKUP(B137,Classification!A:D,2,0)</f>
        <v>A</v>
      </c>
      <c r="BA137" s="97" t="str">
        <f>VLOOKUP(B137,Classification!A:D,4,0)</f>
        <v>Opioid</v>
      </c>
      <c r="BB137" s="27" t="b">
        <f t="shared" si="556"/>
        <v>1</v>
      </c>
      <c r="BC137" s="23">
        <f t="shared" si="473"/>
        <v>248</v>
      </c>
      <c r="BD137" s="16" t="s">
        <v>1383</v>
      </c>
      <c r="BE137" s="3" t="s">
        <v>1381</v>
      </c>
      <c r="BF137" s="50" t="s">
        <v>1287</v>
      </c>
      <c r="BG137" s="50" t="s">
        <v>1384</v>
      </c>
      <c r="BH137" s="1"/>
      <c r="BI137" s="72" t="s">
        <v>1293</v>
      </c>
      <c r="BJ137" s="58" t="s">
        <v>1293</v>
      </c>
      <c r="BK137" s="58" t="s">
        <v>1293</v>
      </c>
      <c r="BL137" s="58" t="s">
        <v>1293</v>
      </c>
      <c r="BM137" s="58" t="s">
        <v>1293</v>
      </c>
      <c r="BN137" s="58" t="s">
        <v>1293</v>
      </c>
      <c r="BO137" s="58" t="s">
        <v>1293</v>
      </c>
      <c r="BP137" s="58" t="s">
        <v>1293</v>
      </c>
      <c r="BQ137" s="58" t="s">
        <v>1293</v>
      </c>
      <c r="BR137" s="58" t="s">
        <v>1293</v>
      </c>
      <c r="BS137" s="58" t="s">
        <v>1293</v>
      </c>
      <c r="BT137" s="58" t="s">
        <v>1293</v>
      </c>
      <c r="BU137" s="72">
        <f t="shared" si="474"/>
        <v>48</v>
      </c>
      <c r="BV137" s="73" t="str">
        <f t="shared" si="475"/>
        <v>-</v>
      </c>
      <c r="BW137" s="74">
        <f t="shared" si="476"/>
        <v>84</v>
      </c>
      <c r="BX137" s="73">
        <f t="shared" si="477"/>
        <v>115</v>
      </c>
      <c r="BY137" s="74">
        <f t="shared" si="478"/>
        <v>119</v>
      </c>
      <c r="BZ137" s="73" t="str">
        <f t="shared" si="479"/>
        <v>-</v>
      </c>
      <c r="CA137" s="74">
        <f t="shared" si="480"/>
        <v>163</v>
      </c>
      <c r="CB137" s="73">
        <f t="shared" si="481"/>
        <v>200</v>
      </c>
      <c r="CC137" s="74">
        <f t="shared" si="482"/>
        <v>208</v>
      </c>
      <c r="CD137" s="73">
        <f t="shared" si="483"/>
        <v>251</v>
      </c>
      <c r="CE137" s="74">
        <f t="shared" si="484"/>
        <v>294</v>
      </c>
      <c r="CF137" s="73">
        <f t="shared" si="485"/>
        <v>323</v>
      </c>
      <c r="CG137" s="72">
        <f t="shared" si="486"/>
        <v>79</v>
      </c>
      <c r="CH137" s="73" t="str">
        <f t="shared" si="487"/>
        <v>-</v>
      </c>
      <c r="CI137" s="74">
        <f t="shared" si="488"/>
        <v>113</v>
      </c>
      <c r="CJ137" s="74">
        <f t="shared" si="489"/>
        <v>118</v>
      </c>
      <c r="CK137" s="74">
        <f t="shared" si="490"/>
        <v>154</v>
      </c>
      <c r="CL137" s="74" t="str">
        <f t="shared" si="491"/>
        <v>-</v>
      </c>
      <c r="CM137" s="74">
        <f t="shared" si="492"/>
        <v>189</v>
      </c>
      <c r="CN137" s="74">
        <f t="shared" si="493"/>
        <v>202</v>
      </c>
      <c r="CO137" s="74">
        <f t="shared" si="494"/>
        <v>242</v>
      </c>
      <c r="CP137" s="74">
        <f t="shared" si="495"/>
        <v>289</v>
      </c>
      <c r="CQ137" s="74">
        <f t="shared" si="496"/>
        <v>322</v>
      </c>
      <c r="CR137" s="74">
        <f t="shared" si="497"/>
        <v>333</v>
      </c>
      <c r="CS137" s="23" t="e">
        <f t="shared" si="498"/>
        <v>#VALUE!</v>
      </c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  <c r="LW137" s="1"/>
      <c r="LX137" s="1"/>
      <c r="LY137" s="1"/>
      <c r="LZ137" s="1"/>
      <c r="MA137" s="1"/>
      <c r="MB137" s="1"/>
      <c r="MC137" s="1"/>
      <c r="MD137" s="1"/>
      <c r="ME137" s="1"/>
      <c r="MF137" s="1"/>
      <c r="MG137" s="1"/>
      <c r="MH137" s="1"/>
      <c r="MI137" s="1"/>
      <c r="MJ137" s="1"/>
      <c r="MK137" s="1"/>
      <c r="ML137" s="1"/>
      <c r="MM137" s="1"/>
      <c r="MN137" s="1"/>
      <c r="MO137" s="1"/>
      <c r="MP137" s="1"/>
      <c r="MQ137" s="1"/>
      <c r="MR137" s="1"/>
      <c r="MS137" s="1"/>
      <c r="MT137" s="1"/>
      <c r="MU137" s="1"/>
      <c r="MV137" s="1"/>
      <c r="MW137" s="1"/>
      <c r="MX137" s="1"/>
      <c r="MY137" s="1"/>
      <c r="MZ137" s="1"/>
      <c r="NA137" s="1"/>
      <c r="NB137" s="1"/>
      <c r="NC137" s="1"/>
      <c r="ND137" s="1"/>
      <c r="NE137" s="1"/>
      <c r="NF137" s="1"/>
      <c r="NG137" s="1"/>
      <c r="NH137" s="1"/>
      <c r="NI137" s="1"/>
      <c r="NJ137" s="1"/>
      <c r="NK137" s="1"/>
      <c r="NL137" s="1"/>
      <c r="NM137" s="1"/>
      <c r="NN137" s="1"/>
      <c r="NO137" s="1"/>
      <c r="NP137" s="1"/>
      <c r="NQ137" s="1"/>
      <c r="NR137" s="1"/>
      <c r="NS137" s="1"/>
      <c r="NT137" s="1"/>
      <c r="NU137" s="1"/>
      <c r="NV137" s="1"/>
      <c r="NW137" s="1"/>
      <c r="NX137" s="1"/>
      <c r="NY137" s="1"/>
      <c r="NZ137" s="1"/>
      <c r="OA137" s="1"/>
      <c r="OB137" s="1"/>
      <c r="OC137" s="1"/>
      <c r="OD137" s="1"/>
      <c r="OE137" s="1"/>
      <c r="OF137" s="1"/>
      <c r="OG137" s="1"/>
      <c r="OH137" s="1"/>
      <c r="OI137" s="1"/>
      <c r="OJ137" s="1"/>
      <c r="OK137" s="1"/>
      <c r="OL137" s="1"/>
      <c r="OM137" s="1"/>
      <c r="ON137" s="1"/>
      <c r="OO137" s="1"/>
      <c r="OP137" s="1"/>
      <c r="OQ137" s="1"/>
      <c r="OR137" s="1"/>
      <c r="OS137" s="1"/>
      <c r="OT137" s="1"/>
      <c r="OU137" s="1"/>
      <c r="OV137" s="1"/>
      <c r="OW137" s="1"/>
      <c r="OX137" s="1"/>
      <c r="OY137" s="1"/>
      <c r="OZ137" s="1"/>
      <c r="PA137" s="1"/>
      <c r="PB137" s="1"/>
      <c r="PC137" s="1"/>
      <c r="PD137" s="1"/>
      <c r="PE137" s="1"/>
      <c r="PF137" s="1"/>
      <c r="PG137" s="1"/>
      <c r="PH137" s="1"/>
      <c r="PI137" s="1"/>
      <c r="PJ137" s="1"/>
      <c r="PK137" s="1"/>
      <c r="PL137" s="1"/>
      <c r="PM137" s="1"/>
      <c r="PN137" s="1"/>
      <c r="PO137" s="1"/>
      <c r="PP137" s="1"/>
      <c r="PQ137" s="1"/>
      <c r="PR137" s="1"/>
      <c r="PS137" s="1"/>
      <c r="PT137" s="1"/>
      <c r="PU137" s="1"/>
      <c r="PV137" s="1"/>
      <c r="PW137" s="1"/>
      <c r="PX137" s="1"/>
      <c r="PY137" s="1"/>
      <c r="PZ137" s="1"/>
      <c r="QA137" s="1"/>
      <c r="QB137" s="1"/>
      <c r="QC137" s="1"/>
      <c r="QD137" s="1"/>
      <c r="QE137" s="1"/>
      <c r="QF137" s="1"/>
      <c r="QG137" s="1"/>
      <c r="QH137" s="1"/>
      <c r="QI137" s="1"/>
      <c r="QJ137" s="1"/>
      <c r="QK137" s="1"/>
      <c r="QL137" s="1"/>
      <c r="QM137" s="1"/>
      <c r="QN137" s="1"/>
      <c r="QO137" s="1"/>
      <c r="QP137" s="1"/>
      <c r="QQ137" s="1"/>
      <c r="QR137" s="1"/>
      <c r="QS137" s="1"/>
      <c r="QT137" s="1"/>
      <c r="QU137" s="1"/>
      <c r="QV137" s="1"/>
      <c r="QW137" s="1"/>
      <c r="QX137" s="1"/>
      <c r="QY137" s="1"/>
      <c r="QZ137" s="1"/>
      <c r="RA137" s="1"/>
      <c r="RB137" s="1"/>
      <c r="RC137" s="1"/>
      <c r="RD137" s="1"/>
      <c r="RE137" s="1"/>
      <c r="RF137" s="1"/>
      <c r="RG137" s="1"/>
      <c r="RH137" s="1"/>
      <c r="RI137" s="1"/>
      <c r="RJ137" s="1"/>
      <c r="RK137" s="1"/>
      <c r="RL137" s="1"/>
      <c r="RM137" s="1"/>
      <c r="RN137" s="1"/>
      <c r="RO137" s="1"/>
      <c r="RP137" s="1"/>
      <c r="RQ137" s="1"/>
      <c r="RR137" s="1"/>
      <c r="RS137" s="1"/>
      <c r="RT137" s="1"/>
      <c r="RU137" s="1"/>
      <c r="RV137" s="1"/>
      <c r="RW137" s="1"/>
      <c r="RX137" s="1"/>
      <c r="RY137" s="1"/>
      <c r="RZ137" s="1"/>
      <c r="SA137" s="1"/>
      <c r="SB137" s="1"/>
      <c r="SC137" s="1"/>
      <c r="SD137" s="1"/>
      <c r="SE137" s="1"/>
      <c r="SF137" s="1"/>
      <c r="SG137" s="1"/>
      <c r="SH137" s="1"/>
      <c r="SI137" s="1"/>
      <c r="SJ137" s="1"/>
      <c r="SK137" s="1"/>
      <c r="SL137" s="1"/>
      <c r="SM137" s="1"/>
      <c r="SN137" s="1"/>
      <c r="SO137" s="1"/>
      <c r="SP137" s="1"/>
      <c r="SQ137" s="1"/>
      <c r="SR137" s="1"/>
      <c r="SS137" s="1"/>
      <c r="ST137" s="1"/>
      <c r="SU137" s="1"/>
      <c r="SV137" s="1"/>
      <c r="SW137" s="1"/>
      <c r="SX137" s="1"/>
      <c r="SY137" s="1"/>
      <c r="SZ137" s="1"/>
      <c r="TA137" s="1"/>
      <c r="TB137" s="1"/>
      <c r="TC137" s="1"/>
      <c r="TD137" s="1"/>
      <c r="TE137" s="1"/>
      <c r="TF137" s="1"/>
      <c r="TG137" s="1"/>
      <c r="TH137" s="1"/>
      <c r="TI137" s="1"/>
      <c r="TJ137" s="1"/>
      <c r="TK137" s="1"/>
      <c r="TL137" s="1"/>
      <c r="TM137" s="1"/>
      <c r="TN137" s="1"/>
      <c r="TO137" s="1"/>
      <c r="TP137" s="1"/>
      <c r="TQ137" s="1"/>
      <c r="TR137" s="1"/>
      <c r="TS137" s="1"/>
      <c r="TT137" s="1"/>
      <c r="TU137" s="1"/>
      <c r="TV137" s="1"/>
      <c r="TW137" s="1"/>
      <c r="TX137" s="1"/>
      <c r="TY137" s="1"/>
      <c r="TZ137" s="1"/>
      <c r="UA137" s="1"/>
      <c r="UB137" s="1"/>
      <c r="UC137" s="1"/>
      <c r="UD137" s="1"/>
      <c r="UE137" s="1"/>
      <c r="UF137" s="1"/>
      <c r="UG137" s="1"/>
      <c r="UH137" s="1"/>
      <c r="UI137" s="1"/>
      <c r="UJ137" s="1"/>
      <c r="UK137" s="1"/>
      <c r="UL137" s="1"/>
      <c r="UM137" s="1"/>
      <c r="UN137" s="1"/>
      <c r="UO137" s="1"/>
      <c r="UP137" s="1"/>
      <c r="UQ137" s="1"/>
      <c r="UR137" s="1"/>
      <c r="US137" s="1"/>
      <c r="UT137" s="1"/>
      <c r="UU137" s="1"/>
      <c r="UV137" s="1"/>
      <c r="UW137" s="1"/>
      <c r="UX137" s="1"/>
      <c r="UY137" s="1"/>
      <c r="UZ137" s="1"/>
      <c r="VA137" s="1"/>
      <c r="VB137" s="1"/>
      <c r="VC137" s="1"/>
      <c r="VD137" s="1"/>
      <c r="VE137" s="1"/>
      <c r="VF137" s="1"/>
      <c r="VG137" s="1"/>
      <c r="VH137" s="1"/>
      <c r="VI137" s="1"/>
      <c r="VJ137" s="1"/>
      <c r="VK137" s="1"/>
      <c r="VL137" s="1"/>
      <c r="VM137" s="1"/>
      <c r="VN137" s="1"/>
      <c r="VO137" s="1"/>
      <c r="VP137" s="1"/>
      <c r="VQ137" s="1"/>
      <c r="VR137" s="1"/>
      <c r="VS137" s="1"/>
      <c r="VT137" s="1"/>
      <c r="VU137" s="1"/>
      <c r="VV137" s="1"/>
      <c r="VW137" s="1"/>
      <c r="VX137" s="1"/>
      <c r="VY137" s="1"/>
      <c r="VZ137" s="1"/>
      <c r="WA137" s="1"/>
      <c r="WB137" s="1"/>
      <c r="WC137" s="1"/>
      <c r="WD137" s="1"/>
      <c r="WE137" s="1"/>
      <c r="WF137" s="1"/>
      <c r="WG137" s="1"/>
      <c r="WH137" s="1"/>
      <c r="WI137" s="1"/>
      <c r="WJ137" s="1"/>
      <c r="WK137" s="1"/>
      <c r="WL137" s="1"/>
      <c r="WM137" s="1"/>
      <c r="WN137" s="1"/>
      <c r="WO137" s="1"/>
      <c r="WP137" s="1"/>
      <c r="WQ137" s="1"/>
      <c r="WR137" s="1"/>
      <c r="WS137" s="1"/>
      <c r="WT137" s="1"/>
      <c r="WU137" s="1"/>
      <c r="WV137" s="1"/>
      <c r="WW137" s="1"/>
      <c r="WX137" s="1"/>
      <c r="WY137" s="1"/>
      <c r="WZ137" s="1"/>
      <c r="XA137" s="1"/>
      <c r="XB137" s="1"/>
      <c r="XC137" s="1"/>
      <c r="XD137" s="1"/>
      <c r="XE137" s="1"/>
      <c r="XF137" s="1"/>
      <c r="XG137" s="1"/>
      <c r="XH137" s="1"/>
      <c r="XI137" s="1"/>
      <c r="XJ137" s="1"/>
      <c r="XK137" s="1"/>
      <c r="XL137" s="1"/>
      <c r="XM137" s="1"/>
      <c r="XN137" s="1"/>
      <c r="XO137" s="1"/>
      <c r="XP137" s="1"/>
      <c r="XQ137" s="1"/>
      <c r="XR137" s="1"/>
      <c r="XS137" s="1"/>
      <c r="XT137" s="1"/>
      <c r="XU137" s="1"/>
      <c r="XV137" s="1"/>
      <c r="XW137" s="1"/>
      <c r="XX137" s="1"/>
      <c r="XY137" s="1"/>
      <c r="XZ137" s="1"/>
      <c r="YA137" s="1"/>
      <c r="YB137" s="1"/>
      <c r="YC137" s="1"/>
      <c r="YD137" s="1"/>
      <c r="YE137" s="1"/>
      <c r="YF137" s="1"/>
      <c r="YG137" s="1"/>
      <c r="YH137" s="1"/>
      <c r="YI137" s="1"/>
      <c r="YJ137" s="1"/>
      <c r="YK137" s="1"/>
      <c r="YL137" s="1"/>
      <c r="YM137" s="1"/>
      <c r="YN137" s="1"/>
      <c r="YO137" s="1"/>
      <c r="YP137" s="1"/>
      <c r="YQ137" s="1"/>
      <c r="YR137" s="1"/>
      <c r="YS137" s="1"/>
      <c r="YT137" s="1"/>
      <c r="YU137" s="1"/>
      <c r="YV137" s="1"/>
      <c r="YW137" s="1"/>
      <c r="YX137" s="1"/>
      <c r="YY137" s="1"/>
      <c r="YZ137" s="1"/>
      <c r="ZA137" s="1"/>
      <c r="ZB137" s="1"/>
      <c r="ZC137" s="1"/>
      <c r="ZD137" s="1"/>
      <c r="ZE137" s="1"/>
      <c r="ZF137" s="1"/>
      <c r="ZG137" s="1"/>
      <c r="ZH137" s="1"/>
      <c r="ZI137" s="1"/>
      <c r="ZJ137" s="1"/>
      <c r="ZK137" s="1"/>
      <c r="ZL137" s="1"/>
      <c r="ZM137" s="1"/>
      <c r="ZN137" s="1"/>
      <c r="ZO137" s="1"/>
      <c r="ZP137" s="1"/>
      <c r="ZQ137" s="1"/>
      <c r="ZR137" s="1"/>
      <c r="ZS137" s="1"/>
      <c r="ZT137" s="1"/>
      <c r="ZU137" s="1"/>
      <c r="ZV137" s="1"/>
      <c r="ZW137" s="1"/>
      <c r="ZX137" s="1"/>
      <c r="ZY137" s="1"/>
      <c r="ZZ137" s="1"/>
      <c r="AAA137" s="1"/>
      <c r="AAB137" s="1"/>
      <c r="AAC137" s="1"/>
      <c r="AAD137" s="1"/>
      <c r="AAE137" s="1"/>
      <c r="AAF137" s="1"/>
      <c r="AAG137" s="1"/>
      <c r="AAH137" s="1"/>
      <c r="AAI137" s="1"/>
      <c r="AAJ137" s="1"/>
      <c r="AAK137" s="1"/>
      <c r="AAL137" s="1"/>
      <c r="AAM137" s="1"/>
      <c r="AAN137" s="1"/>
      <c r="AAO137" s="1"/>
      <c r="AAP137" s="1"/>
      <c r="AAQ137" s="1"/>
      <c r="AAR137" s="1"/>
      <c r="AAS137" s="1"/>
      <c r="AAT137" s="1"/>
      <c r="AAU137" s="1"/>
      <c r="AAV137" s="1"/>
      <c r="AAW137" s="1"/>
      <c r="AAX137" s="1"/>
      <c r="AAY137" s="1"/>
      <c r="AAZ137" s="1"/>
      <c r="ABA137" s="1"/>
      <c r="ABB137" s="1"/>
      <c r="ABC137" s="1"/>
      <c r="ABD137" s="1"/>
      <c r="ABE137" s="1"/>
      <c r="ABF137" s="1"/>
      <c r="ABG137" s="1"/>
      <c r="ABH137" s="1"/>
      <c r="ABI137" s="1"/>
      <c r="ABJ137" s="1"/>
      <c r="ABK137" s="1"/>
      <c r="ABL137" s="1"/>
      <c r="ABM137" s="1"/>
      <c r="ABN137" s="1"/>
      <c r="ABO137" s="1"/>
      <c r="ABP137" s="1"/>
      <c r="ABQ137" s="1"/>
      <c r="ABR137" s="1"/>
      <c r="ABS137" s="1"/>
      <c r="ABT137" s="1"/>
      <c r="ABU137" s="1"/>
      <c r="ABV137" s="1"/>
      <c r="ABW137" s="1"/>
      <c r="ABX137" s="1"/>
      <c r="ABY137" s="1"/>
      <c r="ABZ137" s="1"/>
      <c r="ACA137" s="1"/>
      <c r="ACB137" s="1"/>
      <c r="ACC137" s="1"/>
      <c r="ACD137" s="1"/>
      <c r="ACE137" s="1"/>
      <c r="ACF137" s="1"/>
      <c r="ACG137" s="1"/>
      <c r="ACH137" s="1"/>
      <c r="ACI137" s="1"/>
      <c r="ACJ137" s="1"/>
      <c r="ACK137" s="1"/>
      <c r="ACL137" s="1"/>
      <c r="ACM137" s="1"/>
      <c r="ACN137" s="1"/>
      <c r="ACO137" s="1"/>
      <c r="ACP137" s="1"/>
      <c r="ACQ137" s="1"/>
      <c r="ACR137" s="1"/>
      <c r="ACS137" s="1"/>
      <c r="ACT137" s="1"/>
      <c r="ACU137" s="1"/>
      <c r="ACV137" s="1"/>
      <c r="ACW137" s="1"/>
      <c r="ACX137" s="1"/>
      <c r="ACY137" s="1"/>
      <c r="ACZ137" s="1"/>
      <c r="ADA137" s="1"/>
      <c r="ADB137" s="1"/>
      <c r="ADC137" s="1"/>
      <c r="ADD137" s="1"/>
      <c r="ADE137" s="1"/>
      <c r="ADF137" s="1"/>
      <c r="ADG137" s="1"/>
      <c r="ADH137" s="1"/>
      <c r="ADI137" s="1"/>
      <c r="ADJ137" s="1"/>
      <c r="ADK137" s="1"/>
      <c r="ADL137" s="1"/>
      <c r="ADM137" s="1"/>
      <c r="ADN137" s="1"/>
      <c r="ADO137" s="1"/>
      <c r="ADP137" s="1"/>
      <c r="ADQ137" s="1"/>
      <c r="ADR137" s="1"/>
      <c r="ADS137" s="1"/>
      <c r="ADT137" s="1"/>
      <c r="ADU137" s="1"/>
      <c r="ADV137" s="1"/>
      <c r="ADW137" s="1"/>
      <c r="ADX137" s="1"/>
      <c r="ADY137" s="1"/>
      <c r="ADZ137" s="1"/>
      <c r="AEA137" s="1"/>
      <c r="AEB137" s="1"/>
      <c r="AEC137" s="1"/>
      <c r="AED137" s="1"/>
      <c r="AEE137" s="1"/>
      <c r="AEF137" s="1"/>
      <c r="AEG137" s="1"/>
      <c r="AEH137" s="1"/>
      <c r="AEI137" s="1"/>
      <c r="AEJ137" s="1"/>
      <c r="AEK137" s="1"/>
      <c r="AEL137" s="1"/>
      <c r="AEM137" s="1"/>
      <c r="AEN137" s="1"/>
      <c r="AEO137" s="1"/>
      <c r="AEP137" s="1"/>
      <c r="AEQ137" s="1"/>
      <c r="AER137" s="1"/>
      <c r="AES137" s="1"/>
      <c r="AET137" s="1"/>
      <c r="AEU137" s="1"/>
      <c r="AEV137" s="1"/>
      <c r="AEW137" s="1"/>
      <c r="AEX137" s="1"/>
      <c r="AEY137" s="1"/>
      <c r="AEZ137" s="1"/>
      <c r="AFA137" s="1"/>
      <c r="AFB137" s="1"/>
      <c r="AFC137" s="1"/>
      <c r="AFD137" s="1"/>
      <c r="AFE137" s="1"/>
      <c r="AFF137" s="1"/>
      <c r="AFG137" s="1"/>
      <c r="AFH137" s="1"/>
      <c r="AFI137" s="1"/>
      <c r="AFJ137" s="1"/>
      <c r="AFK137" s="1"/>
      <c r="AFL137" s="1"/>
      <c r="AFM137" s="1"/>
      <c r="AFN137" s="1"/>
      <c r="AFO137" s="1"/>
      <c r="AFP137" s="1"/>
      <c r="AFQ137" s="1"/>
      <c r="AFR137" s="1"/>
      <c r="AFS137" s="1"/>
      <c r="AFT137" s="1"/>
      <c r="AFU137" s="1"/>
      <c r="AFV137" s="1"/>
      <c r="AFW137" s="1"/>
      <c r="AFX137" s="1"/>
      <c r="AFY137" s="1"/>
      <c r="AFZ137" s="1"/>
      <c r="AGA137" s="1"/>
      <c r="AGB137" s="1"/>
      <c r="AGC137" s="1"/>
      <c r="AGD137" s="1"/>
      <c r="AGE137" s="1"/>
      <c r="AGF137" s="1"/>
      <c r="AGG137" s="1"/>
      <c r="AGH137" s="1"/>
      <c r="AGI137" s="1"/>
      <c r="AGJ137" s="1"/>
      <c r="AGK137" s="1"/>
      <c r="AGL137" s="1"/>
      <c r="AGM137" s="1"/>
      <c r="AGN137" s="1"/>
      <c r="AGO137" s="1"/>
      <c r="AGP137" s="1"/>
      <c r="AGQ137" s="1"/>
      <c r="AGR137" s="1"/>
      <c r="AGS137" s="1"/>
      <c r="AGT137" s="1"/>
      <c r="AGU137" s="1"/>
      <c r="AGV137" s="1"/>
      <c r="AGW137" s="1"/>
      <c r="AGX137" s="1"/>
      <c r="AGY137" s="1"/>
      <c r="AGZ137" s="1"/>
      <c r="AHA137" s="1"/>
      <c r="AHB137" s="1"/>
      <c r="AHC137" s="1"/>
      <c r="AHD137" s="1"/>
      <c r="AHE137" s="1"/>
      <c r="AHF137" s="1"/>
      <c r="AHG137" s="1"/>
      <c r="AHH137" s="1"/>
      <c r="AHI137" s="1"/>
      <c r="AHJ137" s="1"/>
      <c r="AHK137" s="1"/>
      <c r="AHL137" s="1"/>
      <c r="AHM137" s="1"/>
      <c r="AHN137" s="1"/>
      <c r="AHO137" s="1"/>
      <c r="AHP137" s="1"/>
      <c r="AHQ137" s="1"/>
      <c r="AHR137" s="1"/>
      <c r="AHS137" s="1"/>
      <c r="AHT137" s="1"/>
      <c r="AHU137" s="1"/>
      <c r="AHV137" s="1"/>
      <c r="AHW137" s="1"/>
      <c r="AHX137" s="1"/>
      <c r="AHY137" s="1"/>
      <c r="AHZ137" s="1"/>
      <c r="AIA137" s="1"/>
      <c r="AIB137" s="1"/>
      <c r="AIC137" s="1"/>
      <c r="AID137" s="1"/>
      <c r="AIE137" s="1"/>
      <c r="AIF137" s="1"/>
      <c r="AIG137" s="1"/>
      <c r="AIH137" s="1"/>
      <c r="AII137" s="1"/>
      <c r="AIJ137" s="1"/>
      <c r="AIK137" s="1"/>
      <c r="AIL137" s="1"/>
      <c r="AIM137" s="1"/>
      <c r="AIN137" s="1"/>
      <c r="AIO137" s="1"/>
      <c r="AIP137" s="1"/>
      <c r="AIQ137" s="1"/>
      <c r="AIR137" s="1"/>
      <c r="AIS137" s="1"/>
      <c r="AIT137" s="1"/>
      <c r="AIU137" s="1"/>
      <c r="AIV137" s="1"/>
      <c r="AIW137" s="1"/>
      <c r="AIX137" s="1"/>
      <c r="AIY137" s="1"/>
      <c r="AIZ137" s="1"/>
      <c r="AJA137" s="1"/>
      <c r="AJB137" s="1"/>
      <c r="AJC137" s="1"/>
      <c r="AJD137" s="1"/>
      <c r="AJE137" s="1"/>
      <c r="AJF137" s="1"/>
      <c r="AJG137" s="1"/>
      <c r="AJH137" s="1"/>
      <c r="AJI137" s="1"/>
      <c r="AJJ137" s="1"/>
      <c r="AJK137" s="1"/>
      <c r="AJL137" s="1"/>
      <c r="AJM137" s="1"/>
      <c r="AJN137" s="1"/>
      <c r="AJO137" s="1"/>
      <c r="AJP137" s="1"/>
      <c r="AJQ137" s="1"/>
      <c r="AJR137" s="1"/>
      <c r="AJS137" s="1"/>
      <c r="AJT137" s="1"/>
      <c r="AJU137" s="1"/>
      <c r="AJV137" s="1"/>
      <c r="AJW137" s="1"/>
      <c r="AJX137" s="1"/>
      <c r="AJY137" s="1"/>
      <c r="AJZ137" s="1"/>
      <c r="AKA137" s="1"/>
      <c r="AKB137" s="1"/>
      <c r="AKC137" s="1"/>
      <c r="AKD137" s="1"/>
      <c r="AKE137" s="1"/>
      <c r="AKF137" s="1"/>
      <c r="AKG137" s="1"/>
      <c r="AKH137" s="1"/>
      <c r="AKI137" s="1"/>
      <c r="AKJ137" s="1"/>
      <c r="AKK137" s="1"/>
      <c r="AKL137" s="1"/>
      <c r="AKM137" s="1"/>
      <c r="AKN137" s="1"/>
      <c r="AKO137" s="1"/>
      <c r="AKP137" s="1"/>
      <c r="AKQ137" s="1"/>
      <c r="AKR137" s="1"/>
      <c r="AKS137" s="1"/>
      <c r="AKT137" s="1"/>
      <c r="AKU137" s="1"/>
      <c r="AKV137" s="1"/>
      <c r="AKW137" s="1"/>
      <c r="AKX137" s="1"/>
      <c r="AKY137" s="1"/>
      <c r="AKZ137" s="1"/>
      <c r="ALA137" s="1"/>
      <c r="ALB137" s="1"/>
      <c r="ALC137" s="1"/>
      <c r="ALD137" s="1"/>
      <c r="ALE137" s="1"/>
      <c r="ALF137" s="1"/>
      <c r="ALG137" s="1"/>
      <c r="ALH137" s="1"/>
      <c r="ALI137" s="1"/>
      <c r="ALJ137" s="1"/>
      <c r="ALK137" s="1"/>
      <c r="ALL137" s="1"/>
      <c r="ALM137" s="1"/>
      <c r="ALN137" s="1"/>
      <c r="ALO137" s="1"/>
      <c r="ALP137" s="1"/>
      <c r="ALQ137" s="1"/>
      <c r="ALR137" s="1"/>
      <c r="ALS137" s="1"/>
      <c r="ALT137" s="1"/>
      <c r="ALU137" s="1"/>
      <c r="ALV137" s="1"/>
      <c r="ALW137" s="1"/>
      <c r="ALX137" s="1"/>
      <c r="ALY137" s="1"/>
      <c r="ALZ137" s="1"/>
      <c r="AMA137" s="1"/>
      <c r="AMB137" s="1"/>
      <c r="AMC137" s="1"/>
      <c r="AMD137" s="1"/>
      <c r="AME137" s="1"/>
      <c r="AMF137" s="1"/>
      <c r="AMG137" s="1"/>
      <c r="AMH137" s="1"/>
      <c r="AMI137" s="1"/>
      <c r="AMJ137" s="1"/>
      <c r="AMK137" s="1"/>
      <c r="AML137" s="1"/>
      <c r="AMM137" s="1"/>
      <c r="AMN137" s="1"/>
    </row>
    <row r="138" spans="1:1029" x14ac:dyDescent="0.2">
      <c r="A138" s="3" t="str">
        <f t="shared" si="555"/>
        <v>oprx_human_5DHH</v>
      </c>
      <c r="B138" s="3" t="s">
        <v>1174</v>
      </c>
      <c r="C138" s="3" t="s">
        <v>1362</v>
      </c>
      <c r="D138" s="3" t="str">
        <f>IFERROR(MID(VLOOKUP($B138,Seqs!$A:$B,2,0),E138,1),"")</f>
        <v>L</v>
      </c>
      <c r="E138" s="3">
        <v>48</v>
      </c>
      <c r="F138" s="3" t="str">
        <f>IFERROR(MID(VLOOKUP($B138,Seqs!$A:$B,2,0),G138,1),"")</f>
        <v>H</v>
      </c>
      <c r="G138" s="3">
        <v>79</v>
      </c>
      <c r="H138" s="3" t="str">
        <f>IFERROR(MID(VLOOKUP($B138,Seqs!$A:$B,2,0),I138,1),"")</f>
        <v/>
      </c>
      <c r="I138" s="23" t="s">
        <v>23</v>
      </c>
      <c r="J138" s="3" t="str">
        <f>IFERROR(MID(VLOOKUP($B138,Seqs!$A:$B,2,0),K138,1),"")</f>
        <v/>
      </c>
      <c r="K138" s="23" t="s">
        <v>23</v>
      </c>
      <c r="L138" s="3" t="str">
        <f>IFERROR(MID(VLOOKUP($B138,Seqs!$A:$B,2,0),M138,1),"")</f>
        <v>T</v>
      </c>
      <c r="M138" s="3">
        <v>84</v>
      </c>
      <c r="N138" s="3" t="str">
        <f>IFERROR(MID(VLOOKUP($B138,Seqs!$A:$B,2,0),O138,1),"")</f>
        <v>L</v>
      </c>
      <c r="O138" s="3">
        <v>113</v>
      </c>
      <c r="P138" s="3" t="str">
        <f>IFERROR(MID(VLOOKUP($B138,Seqs!$A:$B,2,0),Q138,1),"")</f>
        <v>F</v>
      </c>
      <c r="Q138" s="3">
        <v>115</v>
      </c>
      <c r="R138" s="3" t="str">
        <f>IFERROR(MID(VLOOKUP($B138,Seqs!$A:$B,2,0),S138,1),"")</f>
        <v>F</v>
      </c>
      <c r="S138" s="3">
        <v>118</v>
      </c>
      <c r="T138" s="3" t="str">
        <f>IFERROR(MID(VLOOKUP($B138,Seqs!$A:$B,2,0),U138,1),"")</f>
        <v>G</v>
      </c>
      <c r="U138" s="3">
        <v>119</v>
      </c>
      <c r="V138" s="3" t="str">
        <f>IFERROR(MID(VLOOKUP($B138,Seqs!$A:$B,2,0),W138,1),"")</f>
        <v>H</v>
      </c>
      <c r="W138" s="3">
        <v>154</v>
      </c>
      <c r="X138" s="3" t="str">
        <f>IFERROR(MID(VLOOKUP($B138,Seqs!$A:$B,2,0),Y138,1),"")</f>
        <v/>
      </c>
      <c r="Y138" s="3" t="s">
        <v>23</v>
      </c>
      <c r="Z138" s="3" t="str">
        <f>IFERROR(MID(VLOOKUP($B138,Seqs!$A:$B,2,0),AA138,1),"")</f>
        <v/>
      </c>
      <c r="AA138" s="3" t="s">
        <v>23</v>
      </c>
      <c r="AB138" s="3" t="str">
        <f>IFERROR(MID(VLOOKUP($B138,Seqs!$A:$B,2,0),AC138,1),"")</f>
        <v>T</v>
      </c>
      <c r="AC138" s="9">
        <v>163</v>
      </c>
      <c r="AD138" s="3" t="str">
        <f>IFERROR(MID(VLOOKUP($B138,Seqs!$A:$B,2,0),AE138,1),"")</f>
        <v>G</v>
      </c>
      <c r="AE138" s="3">
        <v>189</v>
      </c>
      <c r="AF138" s="3" t="str">
        <f>IFERROR(MID(VLOOKUP($B138,Seqs!$A:$B,2,0),AG138,1),"")</f>
        <v>C</v>
      </c>
      <c r="AG138" s="3">
        <v>200</v>
      </c>
      <c r="AH138" s="3" t="str">
        <f>IFERROR(MID(VLOOKUP($B138,Seqs!$A:$B,2,0),AI138,1),"")</f>
        <v>V</v>
      </c>
      <c r="AI138" s="3">
        <v>202</v>
      </c>
      <c r="AJ138" s="3" t="str">
        <f>IFERROR(MID(VLOOKUP($B138,Seqs!$A:$B,2,0),AK138,1),"")</f>
        <v>Q</v>
      </c>
      <c r="AK138" s="3">
        <v>208</v>
      </c>
      <c r="AL138" s="3" t="str">
        <f>IFERROR(MID(VLOOKUP($B138,Seqs!$A:$B,2,0),AM138,1),"")</f>
        <v>L</v>
      </c>
      <c r="AM138" s="3">
        <v>242</v>
      </c>
      <c r="AN138" s="3" t="str">
        <f>IFERROR(MID(VLOOKUP($B138,Seqs!$A:$B,2,0),AO138,1),"")</f>
        <v>S</v>
      </c>
      <c r="AO138" s="3">
        <v>251</v>
      </c>
      <c r="AP138" s="3" t="str">
        <f>IFERROR(MID(VLOOKUP($B138,Seqs!$A:$B,2,0),AQ138,1),"")</f>
        <v>G</v>
      </c>
      <c r="AQ138" s="3">
        <v>289</v>
      </c>
      <c r="AR138" s="3" t="str">
        <f>IFERROR(MID(VLOOKUP($B138,Seqs!$A:$B,2,0),AS138,1),"")</f>
        <v>S</v>
      </c>
      <c r="AS138" s="3">
        <v>294</v>
      </c>
      <c r="AT138" s="3" t="str">
        <f>IFERROR(MID(VLOOKUP($B138,Seqs!$A:$B,2,0),AU138,1),"")</f>
        <v>L</v>
      </c>
      <c r="AU138" s="3">
        <v>322</v>
      </c>
      <c r="AV138" s="3" t="str">
        <f>IFERROR(MID(VLOOKUP($B138,Seqs!$A:$B,2,0),AW138,1),"")</f>
        <v>D</v>
      </c>
      <c r="AW138" s="3">
        <v>323</v>
      </c>
      <c r="AX138" s="3" t="str">
        <f>IFERROR(MID(VLOOKUP($B138,Seqs!$A:$B,2,0),AY138,1),"")</f>
        <v>R</v>
      </c>
      <c r="AY138" s="3">
        <v>331</v>
      </c>
      <c r="AZ138" s="79" t="str">
        <f>VLOOKUP(B138,Classification!A:D,2,0)</f>
        <v>A</v>
      </c>
      <c r="BA138" s="97" t="str">
        <f>VLOOKUP(B138,Classification!A:D,4,0)</f>
        <v>Opioid</v>
      </c>
      <c r="BB138" s="27" t="b">
        <f t="shared" si="556"/>
        <v>1</v>
      </c>
      <c r="BC138" s="23">
        <f t="shared" si="473"/>
        <v>246</v>
      </c>
      <c r="BD138" s="5" t="s">
        <v>23</v>
      </c>
      <c r="BE138" s="3" t="s">
        <v>1381</v>
      </c>
      <c r="BF138" s="50" t="s">
        <v>1</v>
      </c>
      <c r="BG138" s="50" t="s">
        <v>1384</v>
      </c>
      <c r="BH138" s="1" t="s">
        <v>1366</v>
      </c>
      <c r="BI138" s="72" t="s">
        <v>1293</v>
      </c>
      <c r="BJ138" s="58" t="s">
        <v>1293</v>
      </c>
      <c r="BK138" s="58" t="s">
        <v>1293</v>
      </c>
      <c r="BL138" s="58" t="s">
        <v>1293</v>
      </c>
      <c r="BM138" s="58" t="s">
        <v>1293</v>
      </c>
      <c r="BN138" s="58" t="s">
        <v>1293</v>
      </c>
      <c r="BO138" s="58" t="s">
        <v>1293</v>
      </c>
      <c r="BP138" s="58" t="s">
        <v>1293</v>
      </c>
      <c r="BQ138" s="58" t="s">
        <v>1293</v>
      </c>
      <c r="BR138" s="58" t="s">
        <v>1293</v>
      </c>
      <c r="BS138" s="58" t="s">
        <v>1293</v>
      </c>
      <c r="BT138" s="58" t="s">
        <v>1293</v>
      </c>
      <c r="BU138" s="72">
        <f t="shared" si="474"/>
        <v>48</v>
      </c>
      <c r="BV138" s="73" t="str">
        <f t="shared" si="475"/>
        <v>-</v>
      </c>
      <c r="BW138" s="74">
        <f t="shared" si="476"/>
        <v>84</v>
      </c>
      <c r="BX138" s="73">
        <f t="shared" si="477"/>
        <v>115</v>
      </c>
      <c r="BY138" s="74">
        <f t="shared" si="478"/>
        <v>119</v>
      </c>
      <c r="BZ138" s="73" t="str">
        <f t="shared" si="479"/>
        <v>-</v>
      </c>
      <c r="CA138" s="74">
        <f t="shared" si="480"/>
        <v>163</v>
      </c>
      <c r="CB138" s="73">
        <f t="shared" si="481"/>
        <v>200</v>
      </c>
      <c r="CC138" s="74">
        <f t="shared" si="482"/>
        <v>208</v>
      </c>
      <c r="CD138" s="73">
        <f t="shared" si="483"/>
        <v>251</v>
      </c>
      <c r="CE138" s="74">
        <f t="shared" si="484"/>
        <v>294</v>
      </c>
      <c r="CF138" s="73">
        <f t="shared" si="485"/>
        <v>323</v>
      </c>
      <c r="CG138" s="72">
        <f t="shared" si="486"/>
        <v>79</v>
      </c>
      <c r="CH138" s="73" t="str">
        <f t="shared" si="487"/>
        <v>-</v>
      </c>
      <c r="CI138" s="74">
        <f t="shared" si="488"/>
        <v>113</v>
      </c>
      <c r="CJ138" s="74">
        <f t="shared" si="489"/>
        <v>118</v>
      </c>
      <c r="CK138" s="74">
        <f t="shared" si="490"/>
        <v>154</v>
      </c>
      <c r="CL138" s="74" t="str">
        <f t="shared" si="491"/>
        <v>-</v>
      </c>
      <c r="CM138" s="74">
        <f t="shared" si="492"/>
        <v>189</v>
      </c>
      <c r="CN138" s="74">
        <f t="shared" si="493"/>
        <v>202</v>
      </c>
      <c r="CO138" s="74">
        <f t="shared" si="494"/>
        <v>242</v>
      </c>
      <c r="CP138" s="74">
        <f t="shared" si="495"/>
        <v>289</v>
      </c>
      <c r="CQ138" s="74">
        <f t="shared" si="496"/>
        <v>322</v>
      </c>
      <c r="CR138" s="74">
        <f t="shared" si="497"/>
        <v>331</v>
      </c>
      <c r="CS138" s="23" t="e">
        <f t="shared" si="498"/>
        <v>#VALUE!</v>
      </c>
    </row>
    <row r="139" spans="1:1029" x14ac:dyDescent="0.2">
      <c r="A139" s="3" t="str">
        <f t="shared" si="555"/>
        <v>opsd_bovin__wt</v>
      </c>
      <c r="B139" s="3" t="s">
        <v>920</v>
      </c>
      <c r="C139" s="3" t="s">
        <v>100</v>
      </c>
      <c r="D139" s="3" t="str">
        <f>IFERROR(MID(VLOOKUP($B139,Seqs!$A:$B,2,0),E139,1),"")</f>
        <v>P</v>
      </c>
      <c r="E139" s="3">
        <v>34</v>
      </c>
      <c r="F139" s="3" t="str">
        <f>IFERROR(MID(VLOOKUP($B139,Seqs!$A:$B,2,0),G139,1),"")</f>
        <v>H</v>
      </c>
      <c r="G139" s="3">
        <v>65</v>
      </c>
      <c r="H139" s="3" t="str">
        <f>IFERROR(MID(VLOOKUP($B139,Seqs!$A:$B,2,0),I139,1),"")</f>
        <v>K</v>
      </c>
      <c r="I139" s="23">
        <v>66</v>
      </c>
      <c r="J139" s="3" t="str">
        <f>IFERROR(MID(VLOOKUP($B139,Seqs!$A:$B,2,0),K139,1),"")</f>
        <v>R</v>
      </c>
      <c r="K139" s="23">
        <v>69</v>
      </c>
      <c r="L139" s="3" t="str">
        <f>IFERROR(MID(VLOOKUP($B139,Seqs!$A:$B,2,0),M139,1),"")</f>
        <v>T</v>
      </c>
      <c r="M139" s="3">
        <v>70</v>
      </c>
      <c r="N139" s="3" t="str">
        <f>IFERROR(MID(VLOOKUP($B139,Seqs!$A:$B,2,0),O139,1),"")</f>
        <v>H</v>
      </c>
      <c r="O139" s="3">
        <v>100</v>
      </c>
      <c r="P139" s="3" t="str">
        <f>IFERROR(MID(VLOOKUP($B139,Seqs!$A:$B,2,0),Q139,1),"")</f>
        <v>Y</v>
      </c>
      <c r="Q139" s="3">
        <v>102</v>
      </c>
      <c r="R139" s="3" t="str">
        <f>IFERROR(MID(VLOOKUP($B139,Seqs!$A:$B,2,0),S139,1),"")</f>
        <v>F</v>
      </c>
      <c r="S139" s="3">
        <v>105</v>
      </c>
      <c r="T139" s="3" t="str">
        <f>IFERROR(MID(VLOOKUP($B139,Seqs!$A:$B,2,0),U139,1),"")</f>
        <v>G</v>
      </c>
      <c r="U139" s="3">
        <v>106</v>
      </c>
      <c r="V139" s="3" t="str">
        <f>IFERROR(MID(VLOOKUP($B139,Seqs!$A:$B,2,0),W139,1),"")</f>
        <v>K</v>
      </c>
      <c r="W139" s="3">
        <v>141</v>
      </c>
      <c r="X139" s="3" t="str">
        <f>IFERROR(MID(VLOOKUP($B139,Seqs!$A:$B,2,0),Y139,1),"")</f>
        <v>P</v>
      </c>
      <c r="Y139" s="3">
        <v>142</v>
      </c>
      <c r="Z139" s="3" t="str">
        <f>IFERROR(MID(VLOOKUP($B139,Seqs!$A:$B,2,0),AA139,1),"")</f>
        <v>F</v>
      </c>
      <c r="AA139" s="108">
        <v>148</v>
      </c>
      <c r="AB139" s="3" t="str">
        <f>IFERROR(MID(VLOOKUP($B139,Seqs!$A:$B,2,0),AC139,1),"")</f>
        <v>G</v>
      </c>
      <c r="AC139" s="108">
        <v>149</v>
      </c>
      <c r="AD139" s="3" t="str">
        <f>IFERROR(MID(VLOOKUP($B139,Seqs!$A:$B,2,0),AE139,1),"")</f>
        <v>V</v>
      </c>
      <c r="AE139" s="3">
        <v>173</v>
      </c>
      <c r="AF139" s="3" t="str">
        <f>IFERROR(MID(VLOOKUP($B139,Seqs!$A:$B,2,0),AG139,1),"")</f>
        <v>C</v>
      </c>
      <c r="AG139" s="3">
        <v>187</v>
      </c>
      <c r="AH139" s="3" t="str">
        <f>IFERROR(MID(VLOOKUP($B139,Seqs!$A:$B,2,0),AI139,1),"")</f>
        <v>I</v>
      </c>
      <c r="AI139" s="3">
        <v>189</v>
      </c>
      <c r="AJ139" s="3" t="str">
        <f>IFERROR(MID(VLOOKUP($B139,Seqs!$A:$B,2,0),AK139,1),"")</f>
        <v>N</v>
      </c>
      <c r="AK139" s="3">
        <v>199</v>
      </c>
      <c r="AL139" s="3" t="str">
        <f>IFERROR(MID(VLOOKUP($B139,Seqs!$A:$B,2,0),AM139,1),"")</f>
        <v>Q</v>
      </c>
      <c r="AM139" s="3">
        <v>237</v>
      </c>
      <c r="AN139" s="3" t="str">
        <f>IFERROR(MID(VLOOKUP($B139,Seqs!$A:$B,2,0),AO139,1),"")</f>
        <v>A</v>
      </c>
      <c r="AO139" s="3">
        <v>241</v>
      </c>
      <c r="AP139" s="3" t="str">
        <f>IFERROR(MID(VLOOKUP($B139,Seqs!$A:$B,2,0),AQ139,1),"")</f>
        <v>H</v>
      </c>
      <c r="AQ139" s="3">
        <v>278</v>
      </c>
      <c r="AR139" s="3" t="str">
        <f>IFERROR(MID(VLOOKUP($B139,Seqs!$A:$B,2,0),AS139,1),"")</f>
        <v>G</v>
      </c>
      <c r="AS139" s="3">
        <v>284</v>
      </c>
      <c r="AT139" s="3" t="str">
        <f>IFERROR(MID(VLOOKUP($B139,Seqs!$A:$B,2,0),AU139,1),"")</f>
        <v>M</v>
      </c>
      <c r="AU139" s="3">
        <v>309</v>
      </c>
      <c r="AV139" s="3" t="str">
        <f>IFERROR(MID(VLOOKUP($B139,Seqs!$A:$B,2,0),AW139,1),"")</f>
        <v>N</v>
      </c>
      <c r="AW139" s="3">
        <v>310</v>
      </c>
      <c r="AX139" s="3" t="str">
        <f>IFERROR(MID(VLOOKUP($B139,Seqs!$A:$B,2,0),AY139,1),"")</f>
        <v>C</v>
      </c>
      <c r="AY139" s="3">
        <v>322</v>
      </c>
      <c r="AZ139" s="79" t="str">
        <f>VLOOKUP(B139,Classification!A:D,2,0)</f>
        <v>A</v>
      </c>
      <c r="BA139" s="97" t="str">
        <f>VLOOKUP(B139,Classification!A:D,4,0)</f>
        <v>Opsins</v>
      </c>
      <c r="BB139" s="27" t="b">
        <f t="shared" si="556"/>
        <v>1</v>
      </c>
      <c r="BC139" s="23">
        <f t="shared" si="473"/>
        <v>258</v>
      </c>
      <c r="BD139" s="35" t="s">
        <v>1379</v>
      </c>
      <c r="BE139" s="3" t="s">
        <v>1381</v>
      </c>
      <c r="BF139" s="50" t="s">
        <v>1379</v>
      </c>
      <c r="BG139" s="50" t="s">
        <v>1384</v>
      </c>
      <c r="BH139" s="1"/>
      <c r="BI139" s="72" t="s">
        <v>1293</v>
      </c>
      <c r="BJ139" s="58" t="s">
        <v>1293</v>
      </c>
      <c r="BK139" s="58" t="s">
        <v>1293</v>
      </c>
      <c r="BL139" s="58" t="s">
        <v>1293</v>
      </c>
      <c r="BM139" s="58" t="s">
        <v>1293</v>
      </c>
      <c r="BN139" s="58" t="s">
        <v>1293</v>
      </c>
      <c r="BO139" s="58" t="s">
        <v>1293</v>
      </c>
      <c r="BP139" s="58" t="s">
        <v>1293</v>
      </c>
      <c r="BQ139" s="58" t="s">
        <v>1293</v>
      </c>
      <c r="BR139" s="58" t="s">
        <v>1293</v>
      </c>
      <c r="BS139" s="58" t="s">
        <v>1293</v>
      </c>
      <c r="BT139" s="58" t="s">
        <v>1293</v>
      </c>
      <c r="BU139" s="72">
        <f t="shared" si="474"/>
        <v>34</v>
      </c>
      <c r="BV139" s="73">
        <f t="shared" si="475"/>
        <v>66</v>
      </c>
      <c r="BW139" s="74">
        <f t="shared" si="476"/>
        <v>70</v>
      </c>
      <c r="BX139" s="73">
        <f t="shared" si="477"/>
        <v>102</v>
      </c>
      <c r="BY139" s="74">
        <f t="shared" si="478"/>
        <v>106</v>
      </c>
      <c r="BZ139" s="73">
        <f t="shared" si="479"/>
        <v>142</v>
      </c>
      <c r="CA139" s="74">
        <f t="shared" si="480"/>
        <v>149</v>
      </c>
      <c r="CB139" s="73">
        <f t="shared" si="481"/>
        <v>187</v>
      </c>
      <c r="CC139" s="74">
        <f t="shared" si="482"/>
        <v>199</v>
      </c>
      <c r="CD139" s="73">
        <f t="shared" si="483"/>
        <v>241</v>
      </c>
      <c r="CE139" s="74">
        <f t="shared" si="484"/>
        <v>284</v>
      </c>
      <c r="CF139" s="73">
        <f t="shared" si="485"/>
        <v>310</v>
      </c>
      <c r="CG139" s="72">
        <f t="shared" si="486"/>
        <v>65</v>
      </c>
      <c r="CH139" s="73">
        <f t="shared" si="487"/>
        <v>69</v>
      </c>
      <c r="CI139" s="74">
        <f t="shared" si="488"/>
        <v>100</v>
      </c>
      <c r="CJ139" s="74">
        <f t="shared" si="489"/>
        <v>105</v>
      </c>
      <c r="CK139" s="74">
        <f t="shared" si="490"/>
        <v>141</v>
      </c>
      <c r="CL139" s="74">
        <f t="shared" si="491"/>
        <v>148</v>
      </c>
      <c r="CM139" s="74">
        <f t="shared" si="492"/>
        <v>173</v>
      </c>
      <c r="CN139" s="74">
        <f t="shared" si="493"/>
        <v>189</v>
      </c>
      <c r="CO139" s="74">
        <f t="shared" si="494"/>
        <v>237</v>
      </c>
      <c r="CP139" s="74">
        <f t="shared" si="495"/>
        <v>278</v>
      </c>
      <c r="CQ139" s="74">
        <f t="shared" si="496"/>
        <v>309</v>
      </c>
      <c r="CR139" s="74">
        <f t="shared" si="497"/>
        <v>322</v>
      </c>
      <c r="CS139" s="23">
        <f t="shared" si="498"/>
        <v>1</v>
      </c>
    </row>
    <row r="140" spans="1:1029" x14ac:dyDescent="0.2">
      <c r="A140" s="3" t="str">
        <f t="shared" si="555"/>
        <v>opsd_bovin_1GZM</v>
      </c>
      <c r="B140" s="3" t="s">
        <v>920</v>
      </c>
      <c r="C140" s="3" t="s">
        <v>1343</v>
      </c>
      <c r="D140" s="3" t="str">
        <f>IFERROR(MID(VLOOKUP($B140,Seqs!$A:$B,2,0),E140,1),"")</f>
        <v>P</v>
      </c>
      <c r="E140" s="3">
        <v>34</v>
      </c>
      <c r="F140" s="3" t="str">
        <f>IFERROR(MID(VLOOKUP($B140,Seqs!$A:$B,2,0),G140,1),"")</f>
        <v>H</v>
      </c>
      <c r="G140" s="3">
        <v>65</v>
      </c>
      <c r="H140" s="3" t="str">
        <f>IFERROR(MID(VLOOKUP($B140,Seqs!$A:$B,2,0),I140,1),"")</f>
        <v>K</v>
      </c>
      <c r="I140" s="23">
        <v>66</v>
      </c>
      <c r="J140" s="3" t="str">
        <f>IFERROR(MID(VLOOKUP($B140,Seqs!$A:$B,2,0),K140,1),"")</f>
        <v>R</v>
      </c>
      <c r="K140" s="23">
        <v>69</v>
      </c>
      <c r="L140" s="3" t="str">
        <f>IFERROR(MID(VLOOKUP($B140,Seqs!$A:$B,2,0),M140,1),"")</f>
        <v>T</v>
      </c>
      <c r="M140" s="3">
        <v>70</v>
      </c>
      <c r="N140" s="3" t="str">
        <f>IFERROR(MID(VLOOKUP($B140,Seqs!$A:$B,2,0),O140,1),"")</f>
        <v>H</v>
      </c>
      <c r="O140" s="3">
        <v>100</v>
      </c>
      <c r="P140" s="3" t="str">
        <f>IFERROR(MID(VLOOKUP($B140,Seqs!$A:$B,2,0),Q140,1),"")</f>
        <v>Y</v>
      </c>
      <c r="Q140" s="3">
        <v>102</v>
      </c>
      <c r="R140" s="3" t="str">
        <f>IFERROR(MID(VLOOKUP($B140,Seqs!$A:$B,2,0),S140,1),"")</f>
        <v>F</v>
      </c>
      <c r="S140" s="3">
        <v>105</v>
      </c>
      <c r="T140" s="3" t="str">
        <f>IFERROR(MID(VLOOKUP($B140,Seqs!$A:$B,2,0),U140,1),"")</f>
        <v>G</v>
      </c>
      <c r="U140" s="3">
        <v>106</v>
      </c>
      <c r="V140" s="3" t="str">
        <f>IFERROR(MID(VLOOKUP($B140,Seqs!$A:$B,2,0),W140,1),"")</f>
        <v>K</v>
      </c>
      <c r="W140" s="3">
        <v>141</v>
      </c>
      <c r="X140" s="3" t="str">
        <f>IFERROR(MID(VLOOKUP($B140,Seqs!$A:$B,2,0),Y140,1),"")</f>
        <v/>
      </c>
      <c r="Y140" s="3" t="s">
        <v>23</v>
      </c>
      <c r="Z140" s="3" t="str">
        <f>IFERROR(MID(VLOOKUP($B140,Seqs!$A:$B,2,0),AA140,1),"")</f>
        <v/>
      </c>
      <c r="AA140" s="3" t="s">
        <v>23</v>
      </c>
      <c r="AB140" s="3" t="str">
        <f>IFERROR(MID(VLOOKUP($B140,Seqs!$A:$B,2,0),AC140,1),"")</f>
        <v>G</v>
      </c>
      <c r="AC140" s="9">
        <v>149</v>
      </c>
      <c r="AD140" s="3" t="str">
        <f>IFERROR(MID(VLOOKUP($B140,Seqs!$A:$B,2,0),AE140,1),"")</f>
        <v>V</v>
      </c>
      <c r="AE140" s="3">
        <v>173</v>
      </c>
      <c r="AF140" s="3" t="str">
        <f>IFERROR(MID(VLOOKUP($B140,Seqs!$A:$B,2,0),AG140,1),"")</f>
        <v>C</v>
      </c>
      <c r="AG140" s="3">
        <v>187</v>
      </c>
      <c r="AH140" s="3" t="str">
        <f>IFERROR(MID(VLOOKUP($B140,Seqs!$A:$B,2,0),AI140,1),"")</f>
        <v>I</v>
      </c>
      <c r="AI140" s="3">
        <v>189</v>
      </c>
      <c r="AJ140" s="3" t="str">
        <f>IFERROR(MID(VLOOKUP($B140,Seqs!$A:$B,2,0),AK140,1),"")</f>
        <v>N</v>
      </c>
      <c r="AK140" s="3">
        <v>199</v>
      </c>
      <c r="AL140" s="3" t="str">
        <f>IFERROR(MID(VLOOKUP($B140,Seqs!$A:$B,2,0),AM140,1),"")</f>
        <v>A</v>
      </c>
      <c r="AM140" s="3">
        <v>233</v>
      </c>
      <c r="AN140" s="3" t="str">
        <f>IFERROR(MID(VLOOKUP($B140,Seqs!$A:$B,2,0),AO140,1),"")</f>
        <v>A</v>
      </c>
      <c r="AO140" s="3">
        <v>241</v>
      </c>
      <c r="AP140" s="3" t="str">
        <f>IFERROR(MID(VLOOKUP($B140,Seqs!$A:$B,2,0),AQ140,1),"")</f>
        <v>H</v>
      </c>
      <c r="AQ140" s="3">
        <v>278</v>
      </c>
      <c r="AR140" s="3" t="str">
        <f>IFERROR(MID(VLOOKUP($B140,Seqs!$A:$B,2,0),AS140,1),"")</f>
        <v>G</v>
      </c>
      <c r="AS140" s="3">
        <v>284</v>
      </c>
      <c r="AT140" s="3" t="str">
        <f>IFERROR(MID(VLOOKUP($B140,Seqs!$A:$B,2,0),AU140,1),"")</f>
        <v>M</v>
      </c>
      <c r="AU140" s="3">
        <v>309</v>
      </c>
      <c r="AV140" s="3" t="str">
        <f>IFERROR(MID(VLOOKUP($B140,Seqs!$A:$B,2,0),AW140,1),"")</f>
        <v>N</v>
      </c>
      <c r="AW140" s="3">
        <v>310</v>
      </c>
      <c r="AX140" s="3" t="str">
        <f>IFERROR(MID(VLOOKUP($B140,Seqs!$A:$B,2,0),AY140,1),"")</f>
        <v>C</v>
      </c>
      <c r="AY140" s="3">
        <v>322</v>
      </c>
      <c r="AZ140" s="79" t="str">
        <f>VLOOKUP(B140,Classification!A:D,2,0)</f>
        <v>A</v>
      </c>
      <c r="BA140" s="97" t="str">
        <f>VLOOKUP(B140,Classification!A:D,4,0)</f>
        <v>Opsins</v>
      </c>
      <c r="BB140" s="27" t="b">
        <f t="shared" si="556"/>
        <v>1</v>
      </c>
      <c r="BC140" s="23">
        <f t="shared" si="473"/>
        <v>248</v>
      </c>
      <c r="BD140" s="57" t="s">
        <v>1383</v>
      </c>
      <c r="BE140" s="3" t="s">
        <v>1381</v>
      </c>
      <c r="BF140" s="50" t="s">
        <v>1384</v>
      </c>
      <c r="BG140" s="50" t="s">
        <v>1384</v>
      </c>
      <c r="BH140" s="1"/>
      <c r="BI140" s="72" t="s">
        <v>1293</v>
      </c>
      <c r="BJ140" s="58" t="s">
        <v>1293</v>
      </c>
      <c r="BK140" s="58" t="s">
        <v>1293</v>
      </c>
      <c r="BL140" s="58" t="s">
        <v>1293</v>
      </c>
      <c r="BM140" s="58" t="s">
        <v>1293</v>
      </c>
      <c r="BN140" s="58" t="s">
        <v>1293</v>
      </c>
      <c r="BO140" s="58" t="s">
        <v>1293</v>
      </c>
      <c r="BP140" s="58" t="s">
        <v>1293</v>
      </c>
      <c r="BQ140" s="58" t="s">
        <v>1293</v>
      </c>
      <c r="BR140" s="58" t="s">
        <v>1293</v>
      </c>
      <c r="BS140" s="58" t="s">
        <v>1293</v>
      </c>
      <c r="BT140" s="58" t="s">
        <v>1293</v>
      </c>
      <c r="BU140" s="72">
        <f t="shared" si="474"/>
        <v>34</v>
      </c>
      <c r="BV140" s="73">
        <f t="shared" si="475"/>
        <v>66</v>
      </c>
      <c r="BW140" s="74">
        <f t="shared" si="476"/>
        <v>70</v>
      </c>
      <c r="BX140" s="73">
        <f t="shared" si="477"/>
        <v>102</v>
      </c>
      <c r="BY140" s="74">
        <f t="shared" si="478"/>
        <v>106</v>
      </c>
      <c r="BZ140" s="73" t="str">
        <f t="shared" si="479"/>
        <v>-</v>
      </c>
      <c r="CA140" s="74">
        <f t="shared" si="480"/>
        <v>149</v>
      </c>
      <c r="CB140" s="73">
        <f t="shared" si="481"/>
        <v>187</v>
      </c>
      <c r="CC140" s="74">
        <f t="shared" si="482"/>
        <v>199</v>
      </c>
      <c r="CD140" s="73">
        <f t="shared" si="483"/>
        <v>241</v>
      </c>
      <c r="CE140" s="74">
        <f t="shared" si="484"/>
        <v>284</v>
      </c>
      <c r="CF140" s="73">
        <f t="shared" si="485"/>
        <v>310</v>
      </c>
      <c r="CG140" s="72">
        <f t="shared" si="486"/>
        <v>65</v>
      </c>
      <c r="CH140" s="73">
        <f t="shared" si="487"/>
        <v>69</v>
      </c>
      <c r="CI140" s="74">
        <f t="shared" si="488"/>
        <v>100</v>
      </c>
      <c r="CJ140" s="74">
        <f t="shared" si="489"/>
        <v>105</v>
      </c>
      <c r="CK140" s="74">
        <f t="shared" si="490"/>
        <v>141</v>
      </c>
      <c r="CL140" s="74" t="str">
        <f t="shared" si="491"/>
        <v>-</v>
      </c>
      <c r="CM140" s="74">
        <f t="shared" si="492"/>
        <v>173</v>
      </c>
      <c r="CN140" s="74">
        <f t="shared" si="493"/>
        <v>189</v>
      </c>
      <c r="CO140" s="74">
        <f t="shared" si="494"/>
        <v>233</v>
      </c>
      <c r="CP140" s="74">
        <f t="shared" si="495"/>
        <v>278</v>
      </c>
      <c r="CQ140" s="74">
        <f t="shared" si="496"/>
        <v>309</v>
      </c>
      <c r="CR140" s="74">
        <f t="shared" si="497"/>
        <v>322</v>
      </c>
      <c r="CS140" s="23">
        <f t="shared" si="498"/>
        <v>1</v>
      </c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"/>
      <c r="JS140" s="1"/>
      <c r="JT140" s="1"/>
      <c r="JU140" s="1"/>
      <c r="JV140" s="1"/>
      <c r="JW140" s="1"/>
      <c r="JX140" s="1"/>
      <c r="JY140" s="1"/>
      <c r="JZ140" s="1"/>
      <c r="KA140" s="1"/>
      <c r="KB140" s="1"/>
      <c r="KC140" s="1"/>
      <c r="KD140" s="1"/>
      <c r="KE140" s="1"/>
      <c r="KF140" s="1"/>
      <c r="KG140" s="1"/>
      <c r="KH140" s="1"/>
      <c r="KI140" s="1"/>
      <c r="KJ140" s="1"/>
      <c r="KK140" s="1"/>
      <c r="KL140" s="1"/>
      <c r="KM140" s="1"/>
      <c r="KN140" s="1"/>
      <c r="KO140" s="1"/>
      <c r="KP140" s="1"/>
      <c r="KQ140" s="1"/>
      <c r="KR140" s="1"/>
      <c r="KS140" s="1"/>
      <c r="KT140" s="1"/>
      <c r="KU140" s="1"/>
      <c r="KV140" s="1"/>
      <c r="KW140" s="1"/>
      <c r="KX140" s="1"/>
      <c r="KY140" s="1"/>
      <c r="KZ140" s="1"/>
      <c r="LA140" s="1"/>
      <c r="LB140" s="1"/>
      <c r="LC140" s="1"/>
      <c r="LD140" s="1"/>
      <c r="LE140" s="1"/>
      <c r="LF140" s="1"/>
      <c r="LG140" s="1"/>
      <c r="LH140" s="1"/>
      <c r="LI140" s="1"/>
      <c r="LJ140" s="1"/>
      <c r="LK140" s="1"/>
      <c r="LL140" s="1"/>
      <c r="LM140" s="1"/>
      <c r="LN140" s="1"/>
      <c r="LO140" s="1"/>
      <c r="LP140" s="1"/>
      <c r="LQ140" s="1"/>
      <c r="LR140" s="1"/>
      <c r="LS140" s="1"/>
      <c r="LT140" s="1"/>
      <c r="LU140" s="1"/>
      <c r="LV140" s="1"/>
      <c r="LW140" s="1"/>
      <c r="LX140" s="1"/>
      <c r="LY140" s="1"/>
      <c r="LZ140" s="1"/>
      <c r="MA140" s="1"/>
      <c r="MB140" s="1"/>
      <c r="MC140" s="1"/>
      <c r="MD140" s="1"/>
      <c r="ME140" s="1"/>
      <c r="MF140" s="1"/>
      <c r="MG140" s="1"/>
      <c r="MH140" s="1"/>
      <c r="MI140" s="1"/>
      <c r="MJ140" s="1"/>
      <c r="MK140" s="1"/>
      <c r="ML140" s="1"/>
      <c r="MM140" s="1"/>
      <c r="MN140" s="1"/>
      <c r="MO140" s="1"/>
      <c r="MP140" s="1"/>
      <c r="MQ140" s="1"/>
      <c r="MR140" s="1"/>
      <c r="MS140" s="1"/>
      <c r="MT140" s="1"/>
      <c r="MU140" s="1"/>
      <c r="MV140" s="1"/>
      <c r="MW140" s="1"/>
      <c r="MX140" s="1"/>
      <c r="MY140" s="1"/>
      <c r="MZ140" s="1"/>
      <c r="NA140" s="1"/>
      <c r="NB140" s="1"/>
      <c r="NC140" s="1"/>
      <c r="ND140" s="1"/>
      <c r="NE140" s="1"/>
      <c r="NF140" s="1"/>
      <c r="NG140" s="1"/>
      <c r="NH140" s="1"/>
      <c r="NI140" s="1"/>
      <c r="NJ140" s="1"/>
      <c r="NK140" s="1"/>
      <c r="NL140" s="1"/>
      <c r="NM140" s="1"/>
      <c r="NN140" s="1"/>
      <c r="NO140" s="1"/>
      <c r="NP140" s="1"/>
      <c r="NQ140" s="1"/>
      <c r="NR140" s="1"/>
      <c r="NS140" s="1"/>
      <c r="NT140" s="1"/>
      <c r="NU140" s="1"/>
      <c r="NV140" s="1"/>
      <c r="NW140" s="1"/>
      <c r="NX140" s="1"/>
      <c r="NY140" s="1"/>
      <c r="NZ140" s="1"/>
      <c r="OA140" s="1"/>
      <c r="OB140" s="1"/>
      <c r="OC140" s="1"/>
      <c r="OD140" s="1"/>
      <c r="OE140" s="1"/>
      <c r="OF140" s="1"/>
      <c r="OG140" s="1"/>
      <c r="OH140" s="1"/>
      <c r="OI140" s="1"/>
      <c r="OJ140" s="1"/>
      <c r="OK140" s="1"/>
      <c r="OL140" s="1"/>
      <c r="OM140" s="1"/>
      <c r="ON140" s="1"/>
      <c r="OO140" s="1"/>
      <c r="OP140" s="1"/>
      <c r="OQ140" s="1"/>
      <c r="OR140" s="1"/>
      <c r="OS140" s="1"/>
      <c r="OT140" s="1"/>
      <c r="OU140" s="1"/>
      <c r="OV140" s="1"/>
      <c r="OW140" s="1"/>
      <c r="OX140" s="1"/>
      <c r="OY140" s="1"/>
      <c r="OZ140" s="1"/>
      <c r="PA140" s="1"/>
      <c r="PB140" s="1"/>
      <c r="PC140" s="1"/>
      <c r="PD140" s="1"/>
      <c r="PE140" s="1"/>
      <c r="PF140" s="1"/>
      <c r="PG140" s="1"/>
      <c r="PH140" s="1"/>
      <c r="PI140" s="1"/>
      <c r="PJ140" s="1"/>
      <c r="PK140" s="1"/>
      <c r="PL140" s="1"/>
      <c r="PM140" s="1"/>
      <c r="PN140" s="1"/>
      <c r="PO140" s="1"/>
      <c r="PP140" s="1"/>
      <c r="PQ140" s="1"/>
      <c r="PR140" s="1"/>
      <c r="PS140" s="1"/>
      <c r="PT140" s="1"/>
      <c r="PU140" s="1"/>
      <c r="PV140" s="1"/>
      <c r="PW140" s="1"/>
      <c r="PX140" s="1"/>
      <c r="PY140" s="1"/>
      <c r="PZ140" s="1"/>
      <c r="QA140" s="1"/>
      <c r="QB140" s="1"/>
      <c r="QC140" s="1"/>
      <c r="QD140" s="1"/>
      <c r="QE140" s="1"/>
      <c r="QF140" s="1"/>
      <c r="QG140" s="1"/>
      <c r="QH140" s="1"/>
      <c r="QI140" s="1"/>
      <c r="QJ140" s="1"/>
      <c r="QK140" s="1"/>
      <c r="QL140" s="1"/>
      <c r="QM140" s="1"/>
      <c r="QN140" s="1"/>
      <c r="QO140" s="1"/>
      <c r="QP140" s="1"/>
      <c r="QQ140" s="1"/>
      <c r="QR140" s="1"/>
      <c r="QS140" s="1"/>
      <c r="QT140" s="1"/>
      <c r="QU140" s="1"/>
      <c r="QV140" s="1"/>
      <c r="QW140" s="1"/>
      <c r="QX140" s="1"/>
      <c r="QY140" s="1"/>
      <c r="QZ140" s="1"/>
      <c r="RA140" s="1"/>
      <c r="RB140" s="1"/>
      <c r="RC140" s="1"/>
      <c r="RD140" s="1"/>
      <c r="RE140" s="1"/>
      <c r="RF140" s="1"/>
      <c r="RG140" s="1"/>
      <c r="RH140" s="1"/>
      <c r="RI140" s="1"/>
      <c r="RJ140" s="1"/>
      <c r="RK140" s="1"/>
      <c r="RL140" s="1"/>
      <c r="RM140" s="1"/>
      <c r="RN140" s="1"/>
      <c r="RO140" s="1"/>
      <c r="RP140" s="1"/>
      <c r="RQ140" s="1"/>
      <c r="RR140" s="1"/>
      <c r="RS140" s="1"/>
      <c r="RT140" s="1"/>
      <c r="RU140" s="1"/>
      <c r="RV140" s="1"/>
      <c r="RW140" s="1"/>
      <c r="RX140" s="1"/>
      <c r="RY140" s="1"/>
      <c r="RZ140" s="1"/>
      <c r="SA140" s="1"/>
      <c r="SB140" s="1"/>
      <c r="SC140" s="1"/>
      <c r="SD140" s="1"/>
      <c r="SE140" s="1"/>
      <c r="SF140" s="1"/>
      <c r="SG140" s="1"/>
      <c r="SH140" s="1"/>
      <c r="SI140" s="1"/>
      <c r="SJ140" s="1"/>
      <c r="SK140" s="1"/>
      <c r="SL140" s="1"/>
      <c r="SM140" s="1"/>
      <c r="SN140" s="1"/>
      <c r="SO140" s="1"/>
      <c r="SP140" s="1"/>
      <c r="SQ140" s="1"/>
      <c r="SR140" s="1"/>
      <c r="SS140" s="1"/>
      <c r="ST140" s="1"/>
      <c r="SU140" s="1"/>
      <c r="SV140" s="1"/>
      <c r="SW140" s="1"/>
      <c r="SX140" s="1"/>
      <c r="SY140" s="1"/>
      <c r="SZ140" s="1"/>
      <c r="TA140" s="1"/>
      <c r="TB140" s="1"/>
      <c r="TC140" s="1"/>
      <c r="TD140" s="1"/>
      <c r="TE140" s="1"/>
      <c r="TF140" s="1"/>
      <c r="TG140" s="1"/>
      <c r="TH140" s="1"/>
      <c r="TI140" s="1"/>
      <c r="TJ140" s="1"/>
      <c r="TK140" s="1"/>
      <c r="TL140" s="1"/>
      <c r="TM140" s="1"/>
      <c r="TN140" s="1"/>
      <c r="TO140" s="1"/>
      <c r="TP140" s="1"/>
      <c r="TQ140" s="1"/>
      <c r="TR140" s="1"/>
      <c r="TS140" s="1"/>
      <c r="TT140" s="1"/>
      <c r="TU140" s="1"/>
      <c r="TV140" s="1"/>
      <c r="TW140" s="1"/>
      <c r="TX140" s="1"/>
      <c r="TY140" s="1"/>
      <c r="TZ140" s="1"/>
      <c r="UA140" s="1"/>
      <c r="UB140" s="1"/>
      <c r="UC140" s="1"/>
      <c r="UD140" s="1"/>
      <c r="UE140" s="1"/>
      <c r="UF140" s="1"/>
      <c r="UG140" s="1"/>
      <c r="UH140" s="1"/>
      <c r="UI140" s="1"/>
      <c r="UJ140" s="1"/>
      <c r="UK140" s="1"/>
      <c r="UL140" s="1"/>
      <c r="UM140" s="1"/>
      <c r="UN140" s="1"/>
      <c r="UO140" s="1"/>
      <c r="UP140" s="1"/>
      <c r="UQ140" s="1"/>
      <c r="UR140" s="1"/>
      <c r="US140" s="1"/>
      <c r="UT140" s="1"/>
      <c r="UU140" s="1"/>
      <c r="UV140" s="1"/>
      <c r="UW140" s="1"/>
      <c r="UX140" s="1"/>
      <c r="UY140" s="1"/>
      <c r="UZ140" s="1"/>
      <c r="VA140" s="1"/>
      <c r="VB140" s="1"/>
      <c r="VC140" s="1"/>
      <c r="VD140" s="1"/>
      <c r="VE140" s="1"/>
      <c r="VF140" s="1"/>
      <c r="VG140" s="1"/>
      <c r="VH140" s="1"/>
      <c r="VI140" s="1"/>
      <c r="VJ140" s="1"/>
      <c r="VK140" s="1"/>
      <c r="VL140" s="1"/>
      <c r="VM140" s="1"/>
      <c r="VN140" s="1"/>
      <c r="VO140" s="1"/>
      <c r="VP140" s="1"/>
      <c r="VQ140" s="1"/>
      <c r="VR140" s="1"/>
      <c r="VS140" s="1"/>
      <c r="VT140" s="1"/>
      <c r="VU140" s="1"/>
      <c r="VV140" s="1"/>
      <c r="VW140" s="1"/>
      <c r="VX140" s="1"/>
      <c r="VY140" s="1"/>
      <c r="VZ140" s="1"/>
      <c r="WA140" s="1"/>
      <c r="WB140" s="1"/>
      <c r="WC140" s="1"/>
      <c r="WD140" s="1"/>
      <c r="WE140" s="1"/>
      <c r="WF140" s="1"/>
      <c r="WG140" s="1"/>
      <c r="WH140" s="1"/>
      <c r="WI140" s="1"/>
      <c r="WJ140" s="1"/>
      <c r="WK140" s="1"/>
      <c r="WL140" s="1"/>
      <c r="WM140" s="1"/>
      <c r="WN140" s="1"/>
      <c r="WO140" s="1"/>
      <c r="WP140" s="1"/>
      <c r="WQ140" s="1"/>
      <c r="WR140" s="1"/>
      <c r="WS140" s="1"/>
      <c r="WT140" s="1"/>
      <c r="WU140" s="1"/>
      <c r="WV140" s="1"/>
      <c r="WW140" s="1"/>
      <c r="WX140" s="1"/>
      <c r="WY140" s="1"/>
      <c r="WZ140" s="1"/>
      <c r="XA140" s="1"/>
      <c r="XB140" s="1"/>
      <c r="XC140" s="1"/>
      <c r="XD140" s="1"/>
      <c r="XE140" s="1"/>
      <c r="XF140" s="1"/>
      <c r="XG140" s="1"/>
      <c r="XH140" s="1"/>
      <c r="XI140" s="1"/>
      <c r="XJ140" s="1"/>
      <c r="XK140" s="1"/>
      <c r="XL140" s="1"/>
      <c r="XM140" s="1"/>
      <c r="XN140" s="1"/>
      <c r="XO140" s="1"/>
      <c r="XP140" s="1"/>
      <c r="XQ140" s="1"/>
      <c r="XR140" s="1"/>
      <c r="XS140" s="1"/>
      <c r="XT140" s="1"/>
      <c r="XU140" s="1"/>
      <c r="XV140" s="1"/>
      <c r="XW140" s="1"/>
      <c r="XX140" s="1"/>
      <c r="XY140" s="1"/>
      <c r="XZ140" s="1"/>
      <c r="YA140" s="1"/>
      <c r="YB140" s="1"/>
      <c r="YC140" s="1"/>
      <c r="YD140" s="1"/>
      <c r="YE140" s="1"/>
      <c r="YF140" s="1"/>
      <c r="YG140" s="1"/>
      <c r="YH140" s="1"/>
      <c r="YI140" s="1"/>
      <c r="YJ140" s="1"/>
      <c r="YK140" s="1"/>
      <c r="YL140" s="1"/>
      <c r="YM140" s="1"/>
      <c r="YN140" s="1"/>
      <c r="YO140" s="1"/>
      <c r="YP140" s="1"/>
      <c r="YQ140" s="1"/>
      <c r="YR140" s="1"/>
      <c r="YS140" s="1"/>
      <c r="YT140" s="1"/>
      <c r="YU140" s="1"/>
      <c r="YV140" s="1"/>
      <c r="YW140" s="1"/>
      <c r="YX140" s="1"/>
      <c r="YY140" s="1"/>
      <c r="YZ140" s="1"/>
      <c r="ZA140" s="1"/>
      <c r="ZB140" s="1"/>
      <c r="ZC140" s="1"/>
      <c r="ZD140" s="1"/>
      <c r="ZE140" s="1"/>
      <c r="ZF140" s="1"/>
      <c r="ZG140" s="1"/>
      <c r="ZH140" s="1"/>
      <c r="ZI140" s="1"/>
      <c r="ZJ140" s="1"/>
      <c r="ZK140" s="1"/>
      <c r="ZL140" s="1"/>
      <c r="ZM140" s="1"/>
      <c r="ZN140" s="1"/>
      <c r="ZO140" s="1"/>
      <c r="ZP140" s="1"/>
      <c r="ZQ140" s="1"/>
      <c r="ZR140" s="1"/>
      <c r="ZS140" s="1"/>
      <c r="ZT140" s="1"/>
      <c r="ZU140" s="1"/>
      <c r="ZV140" s="1"/>
      <c r="ZW140" s="1"/>
      <c r="ZX140" s="1"/>
      <c r="ZY140" s="1"/>
      <c r="ZZ140" s="1"/>
      <c r="AAA140" s="1"/>
      <c r="AAB140" s="1"/>
      <c r="AAC140" s="1"/>
      <c r="AAD140" s="1"/>
      <c r="AAE140" s="1"/>
      <c r="AAF140" s="1"/>
      <c r="AAG140" s="1"/>
      <c r="AAH140" s="1"/>
      <c r="AAI140" s="1"/>
      <c r="AAJ140" s="1"/>
      <c r="AAK140" s="1"/>
      <c r="AAL140" s="1"/>
      <c r="AAM140" s="1"/>
      <c r="AAN140" s="1"/>
      <c r="AAO140" s="1"/>
      <c r="AAP140" s="1"/>
      <c r="AAQ140" s="1"/>
      <c r="AAR140" s="1"/>
      <c r="AAS140" s="1"/>
      <c r="AAT140" s="1"/>
      <c r="AAU140" s="1"/>
      <c r="AAV140" s="1"/>
      <c r="AAW140" s="1"/>
      <c r="AAX140" s="1"/>
      <c r="AAY140" s="1"/>
      <c r="AAZ140" s="1"/>
      <c r="ABA140" s="1"/>
      <c r="ABB140" s="1"/>
      <c r="ABC140" s="1"/>
      <c r="ABD140" s="1"/>
      <c r="ABE140" s="1"/>
      <c r="ABF140" s="1"/>
      <c r="ABG140" s="1"/>
      <c r="ABH140" s="1"/>
      <c r="ABI140" s="1"/>
      <c r="ABJ140" s="1"/>
      <c r="ABK140" s="1"/>
      <c r="ABL140" s="1"/>
      <c r="ABM140" s="1"/>
      <c r="ABN140" s="1"/>
      <c r="ABO140" s="1"/>
      <c r="ABP140" s="1"/>
      <c r="ABQ140" s="1"/>
      <c r="ABR140" s="1"/>
      <c r="ABS140" s="1"/>
      <c r="ABT140" s="1"/>
      <c r="ABU140" s="1"/>
      <c r="ABV140" s="1"/>
      <c r="ABW140" s="1"/>
      <c r="ABX140" s="1"/>
      <c r="ABY140" s="1"/>
      <c r="ABZ140" s="1"/>
      <c r="ACA140" s="1"/>
      <c r="ACB140" s="1"/>
      <c r="ACC140" s="1"/>
      <c r="ACD140" s="1"/>
      <c r="ACE140" s="1"/>
      <c r="ACF140" s="1"/>
      <c r="ACG140" s="1"/>
      <c r="ACH140" s="1"/>
      <c r="ACI140" s="1"/>
      <c r="ACJ140" s="1"/>
      <c r="ACK140" s="1"/>
      <c r="ACL140" s="1"/>
      <c r="ACM140" s="1"/>
      <c r="ACN140" s="1"/>
      <c r="ACO140" s="1"/>
      <c r="ACP140" s="1"/>
      <c r="ACQ140" s="1"/>
      <c r="ACR140" s="1"/>
      <c r="ACS140" s="1"/>
      <c r="ACT140" s="1"/>
      <c r="ACU140" s="1"/>
      <c r="ACV140" s="1"/>
      <c r="ACW140" s="1"/>
      <c r="ACX140" s="1"/>
      <c r="ACY140" s="1"/>
      <c r="ACZ140" s="1"/>
      <c r="ADA140" s="1"/>
      <c r="ADB140" s="1"/>
      <c r="ADC140" s="1"/>
      <c r="ADD140" s="1"/>
      <c r="ADE140" s="1"/>
      <c r="ADF140" s="1"/>
      <c r="ADG140" s="1"/>
      <c r="ADH140" s="1"/>
      <c r="ADI140" s="1"/>
      <c r="ADJ140" s="1"/>
      <c r="ADK140" s="1"/>
      <c r="ADL140" s="1"/>
      <c r="ADM140" s="1"/>
      <c r="ADN140" s="1"/>
      <c r="ADO140" s="1"/>
      <c r="ADP140" s="1"/>
      <c r="ADQ140" s="1"/>
      <c r="ADR140" s="1"/>
      <c r="ADS140" s="1"/>
      <c r="ADT140" s="1"/>
      <c r="ADU140" s="1"/>
      <c r="ADV140" s="1"/>
      <c r="ADW140" s="1"/>
      <c r="ADX140" s="1"/>
      <c r="ADY140" s="1"/>
      <c r="ADZ140" s="1"/>
      <c r="AEA140" s="1"/>
      <c r="AEB140" s="1"/>
      <c r="AEC140" s="1"/>
      <c r="AED140" s="1"/>
      <c r="AEE140" s="1"/>
      <c r="AEF140" s="1"/>
      <c r="AEG140" s="1"/>
      <c r="AEH140" s="1"/>
      <c r="AEI140" s="1"/>
      <c r="AEJ140" s="1"/>
      <c r="AEK140" s="1"/>
      <c r="AEL140" s="1"/>
      <c r="AEM140" s="1"/>
      <c r="AEN140" s="1"/>
      <c r="AEO140" s="1"/>
      <c r="AEP140" s="1"/>
      <c r="AEQ140" s="1"/>
      <c r="AER140" s="1"/>
      <c r="AES140" s="1"/>
      <c r="AET140" s="1"/>
      <c r="AEU140" s="1"/>
      <c r="AEV140" s="1"/>
      <c r="AEW140" s="1"/>
      <c r="AEX140" s="1"/>
      <c r="AEY140" s="1"/>
      <c r="AEZ140" s="1"/>
      <c r="AFA140" s="1"/>
      <c r="AFB140" s="1"/>
      <c r="AFC140" s="1"/>
      <c r="AFD140" s="1"/>
      <c r="AFE140" s="1"/>
      <c r="AFF140" s="1"/>
      <c r="AFG140" s="1"/>
      <c r="AFH140" s="1"/>
      <c r="AFI140" s="1"/>
      <c r="AFJ140" s="1"/>
      <c r="AFK140" s="1"/>
      <c r="AFL140" s="1"/>
      <c r="AFM140" s="1"/>
      <c r="AFN140" s="1"/>
      <c r="AFO140" s="1"/>
      <c r="AFP140" s="1"/>
      <c r="AFQ140" s="1"/>
      <c r="AFR140" s="1"/>
      <c r="AFS140" s="1"/>
      <c r="AFT140" s="1"/>
      <c r="AFU140" s="1"/>
      <c r="AFV140" s="1"/>
      <c r="AFW140" s="1"/>
      <c r="AFX140" s="1"/>
      <c r="AFY140" s="1"/>
      <c r="AFZ140" s="1"/>
      <c r="AGA140" s="1"/>
      <c r="AGB140" s="1"/>
      <c r="AGC140" s="1"/>
      <c r="AGD140" s="1"/>
      <c r="AGE140" s="1"/>
      <c r="AGF140" s="1"/>
      <c r="AGG140" s="1"/>
      <c r="AGH140" s="1"/>
      <c r="AGI140" s="1"/>
      <c r="AGJ140" s="1"/>
      <c r="AGK140" s="1"/>
      <c r="AGL140" s="1"/>
      <c r="AGM140" s="1"/>
      <c r="AGN140" s="1"/>
      <c r="AGO140" s="1"/>
      <c r="AGP140" s="1"/>
      <c r="AGQ140" s="1"/>
      <c r="AGR140" s="1"/>
      <c r="AGS140" s="1"/>
      <c r="AGT140" s="1"/>
      <c r="AGU140" s="1"/>
      <c r="AGV140" s="1"/>
      <c r="AGW140" s="1"/>
      <c r="AGX140" s="1"/>
      <c r="AGY140" s="1"/>
      <c r="AGZ140" s="1"/>
      <c r="AHA140" s="1"/>
      <c r="AHB140" s="1"/>
      <c r="AHC140" s="1"/>
      <c r="AHD140" s="1"/>
      <c r="AHE140" s="1"/>
      <c r="AHF140" s="1"/>
      <c r="AHG140" s="1"/>
      <c r="AHH140" s="1"/>
      <c r="AHI140" s="1"/>
      <c r="AHJ140" s="1"/>
      <c r="AHK140" s="1"/>
      <c r="AHL140" s="1"/>
      <c r="AHM140" s="1"/>
      <c r="AHN140" s="1"/>
      <c r="AHO140" s="1"/>
      <c r="AHP140" s="1"/>
      <c r="AHQ140" s="1"/>
      <c r="AHR140" s="1"/>
      <c r="AHS140" s="1"/>
      <c r="AHT140" s="1"/>
      <c r="AHU140" s="1"/>
      <c r="AHV140" s="1"/>
      <c r="AHW140" s="1"/>
      <c r="AHX140" s="1"/>
      <c r="AHY140" s="1"/>
      <c r="AHZ140" s="1"/>
      <c r="AIA140" s="1"/>
      <c r="AIB140" s="1"/>
      <c r="AIC140" s="1"/>
      <c r="AID140" s="1"/>
      <c r="AIE140" s="1"/>
      <c r="AIF140" s="1"/>
      <c r="AIG140" s="1"/>
      <c r="AIH140" s="1"/>
      <c r="AII140" s="1"/>
      <c r="AIJ140" s="1"/>
      <c r="AIK140" s="1"/>
      <c r="AIL140" s="1"/>
      <c r="AIM140" s="1"/>
      <c r="AIN140" s="1"/>
      <c r="AIO140" s="1"/>
      <c r="AIP140" s="1"/>
      <c r="AIQ140" s="1"/>
      <c r="AIR140" s="1"/>
      <c r="AIS140" s="1"/>
      <c r="AIT140" s="1"/>
      <c r="AIU140" s="1"/>
      <c r="AIV140" s="1"/>
      <c r="AIW140" s="1"/>
      <c r="AIX140" s="1"/>
      <c r="AIY140" s="1"/>
      <c r="AIZ140" s="1"/>
      <c r="AJA140" s="1"/>
      <c r="AJB140" s="1"/>
      <c r="AJC140" s="1"/>
      <c r="AJD140" s="1"/>
      <c r="AJE140" s="1"/>
      <c r="AJF140" s="1"/>
      <c r="AJG140" s="1"/>
      <c r="AJH140" s="1"/>
      <c r="AJI140" s="1"/>
      <c r="AJJ140" s="1"/>
      <c r="AJK140" s="1"/>
      <c r="AJL140" s="1"/>
      <c r="AJM140" s="1"/>
      <c r="AJN140" s="1"/>
      <c r="AJO140" s="1"/>
      <c r="AJP140" s="1"/>
      <c r="AJQ140" s="1"/>
      <c r="AJR140" s="1"/>
      <c r="AJS140" s="1"/>
      <c r="AJT140" s="1"/>
      <c r="AJU140" s="1"/>
      <c r="AJV140" s="1"/>
      <c r="AJW140" s="1"/>
      <c r="AJX140" s="1"/>
      <c r="AJY140" s="1"/>
      <c r="AJZ140" s="1"/>
      <c r="AKA140" s="1"/>
      <c r="AKB140" s="1"/>
      <c r="AKC140" s="1"/>
      <c r="AKD140" s="1"/>
      <c r="AKE140" s="1"/>
      <c r="AKF140" s="1"/>
      <c r="AKG140" s="1"/>
      <c r="AKH140" s="1"/>
      <c r="AKI140" s="1"/>
      <c r="AKJ140" s="1"/>
      <c r="AKK140" s="1"/>
      <c r="AKL140" s="1"/>
      <c r="AKM140" s="1"/>
      <c r="AKN140" s="1"/>
      <c r="AKO140" s="1"/>
      <c r="AKP140" s="1"/>
      <c r="AKQ140" s="1"/>
      <c r="AKR140" s="1"/>
      <c r="AKS140" s="1"/>
      <c r="AKT140" s="1"/>
      <c r="AKU140" s="1"/>
      <c r="AKV140" s="1"/>
      <c r="AKW140" s="1"/>
      <c r="AKX140" s="1"/>
      <c r="AKY140" s="1"/>
      <c r="AKZ140" s="1"/>
      <c r="ALA140" s="1"/>
      <c r="ALB140" s="1"/>
      <c r="ALC140" s="1"/>
      <c r="ALD140" s="1"/>
      <c r="ALE140" s="1"/>
      <c r="ALF140" s="1"/>
      <c r="ALG140" s="1"/>
      <c r="ALH140" s="1"/>
      <c r="ALI140" s="1"/>
      <c r="ALJ140" s="1"/>
      <c r="ALK140" s="1"/>
      <c r="ALL140" s="1"/>
      <c r="ALM140" s="1"/>
      <c r="ALN140" s="1"/>
      <c r="ALO140" s="1"/>
      <c r="ALP140" s="1"/>
      <c r="ALQ140" s="1"/>
      <c r="ALR140" s="1"/>
      <c r="ALS140" s="1"/>
      <c r="ALT140" s="1"/>
      <c r="ALU140" s="1"/>
      <c r="ALV140" s="1"/>
      <c r="ALW140" s="1"/>
      <c r="ALX140" s="1"/>
      <c r="ALY140" s="1"/>
      <c r="ALZ140" s="1"/>
      <c r="AMA140" s="1"/>
      <c r="AMB140" s="1"/>
      <c r="AMC140" s="1"/>
      <c r="AMD140" s="1"/>
      <c r="AME140" s="1"/>
      <c r="AMF140" s="1"/>
      <c r="AMG140" s="1"/>
      <c r="AMH140" s="1"/>
      <c r="AMI140" s="1"/>
      <c r="AMJ140" s="1"/>
      <c r="AMK140" s="1"/>
      <c r="AML140" s="1"/>
      <c r="AMM140" s="1"/>
      <c r="AMN140" s="1"/>
    </row>
    <row r="141" spans="1:1029" x14ac:dyDescent="0.2">
      <c r="A141" s="3" t="str">
        <f t="shared" si="555"/>
        <v>opsd_bovin_1U19</v>
      </c>
      <c r="B141" s="3" t="s">
        <v>920</v>
      </c>
      <c r="C141" s="3" t="s">
        <v>53</v>
      </c>
      <c r="D141" s="3" t="str">
        <f>IFERROR(MID(VLOOKUP($B141,Seqs!$A:$B,2,0),E141,1),"")</f>
        <v>P</v>
      </c>
      <c r="E141" s="3">
        <v>34</v>
      </c>
      <c r="F141" s="3" t="str">
        <f>IFERROR(MID(VLOOKUP($B141,Seqs!$A:$B,2,0),G141,1),"")</f>
        <v>H</v>
      </c>
      <c r="G141" s="3">
        <v>65</v>
      </c>
      <c r="H141" s="3" t="str">
        <f>IFERROR(MID(VLOOKUP($B141,Seqs!$A:$B,2,0),I141,1),"")</f>
        <v>K</v>
      </c>
      <c r="I141" s="23">
        <v>66</v>
      </c>
      <c r="J141" s="3" t="str">
        <f>IFERROR(MID(VLOOKUP($B141,Seqs!$A:$B,2,0),K141,1),"")</f>
        <v>R</v>
      </c>
      <c r="K141" s="23">
        <v>69</v>
      </c>
      <c r="L141" s="3" t="str">
        <f>IFERROR(MID(VLOOKUP($B141,Seqs!$A:$B,2,0),M141,1),"")</f>
        <v>T</v>
      </c>
      <c r="M141" s="3">
        <v>70</v>
      </c>
      <c r="N141" s="3" t="str">
        <f>IFERROR(MID(VLOOKUP($B141,Seqs!$A:$B,2,0),O141,1),"")</f>
        <v>H</v>
      </c>
      <c r="O141" s="3">
        <v>100</v>
      </c>
      <c r="P141" s="3" t="str">
        <f>IFERROR(MID(VLOOKUP($B141,Seqs!$A:$B,2,0),Q141,1),"")</f>
        <v>Y</v>
      </c>
      <c r="Q141" s="3">
        <v>102</v>
      </c>
      <c r="R141" s="3" t="str">
        <f>IFERROR(MID(VLOOKUP($B141,Seqs!$A:$B,2,0),S141,1),"")</f>
        <v>F</v>
      </c>
      <c r="S141" s="3">
        <v>105</v>
      </c>
      <c r="T141" s="3" t="str">
        <f>IFERROR(MID(VLOOKUP($B141,Seqs!$A:$B,2,0),U141,1),"")</f>
        <v>G</v>
      </c>
      <c r="U141" s="3">
        <v>106</v>
      </c>
      <c r="V141" s="3" t="str">
        <f>IFERROR(MID(VLOOKUP($B141,Seqs!$A:$B,2,0),W141,1),"")</f>
        <v>K</v>
      </c>
      <c r="W141" s="3">
        <v>141</v>
      </c>
      <c r="X141" s="3" t="str">
        <f>IFERROR(MID(VLOOKUP($B141,Seqs!$A:$B,2,0),Y141,1),"")</f>
        <v/>
      </c>
      <c r="Y141" s="3" t="s">
        <v>23</v>
      </c>
      <c r="Z141" s="3" t="str">
        <f>IFERROR(MID(VLOOKUP($B141,Seqs!$A:$B,2,0),AA141,1),"")</f>
        <v/>
      </c>
      <c r="AA141" s="3" t="s">
        <v>23</v>
      </c>
      <c r="AB141" s="3" t="str">
        <f>IFERROR(MID(VLOOKUP($B141,Seqs!$A:$B,2,0),AC141,1),"")</f>
        <v>G</v>
      </c>
      <c r="AC141" s="9">
        <v>149</v>
      </c>
      <c r="AD141" s="3" t="str">
        <f>IFERROR(MID(VLOOKUP($B141,Seqs!$A:$B,2,0),AE141,1),"")</f>
        <v>V</v>
      </c>
      <c r="AE141" s="3">
        <v>173</v>
      </c>
      <c r="AF141" s="3" t="str">
        <f>IFERROR(MID(VLOOKUP($B141,Seqs!$A:$B,2,0),AG141,1),"")</f>
        <v>C</v>
      </c>
      <c r="AG141" s="3">
        <v>187</v>
      </c>
      <c r="AH141" s="3" t="str">
        <f>IFERROR(MID(VLOOKUP($B141,Seqs!$A:$B,2,0),AI141,1),"")</f>
        <v>I</v>
      </c>
      <c r="AI141" s="3">
        <v>189</v>
      </c>
      <c r="AJ141" s="3" t="str">
        <f>IFERROR(MID(VLOOKUP($B141,Seqs!$A:$B,2,0),AK141,1),"")</f>
        <v>N</v>
      </c>
      <c r="AK141" s="3">
        <v>199</v>
      </c>
      <c r="AL141" s="3" t="str">
        <f>IFERROR(MID(VLOOKUP($B141,Seqs!$A:$B,2,0),AM141,1),"")</f>
        <v>Q</v>
      </c>
      <c r="AM141" s="3">
        <v>225</v>
      </c>
      <c r="AN141" s="3" t="str">
        <f>IFERROR(MID(VLOOKUP($B141,Seqs!$A:$B,2,0),AO141,1),"")</f>
        <v>T</v>
      </c>
      <c r="AO141" s="3">
        <v>243</v>
      </c>
      <c r="AP141" s="3" t="str">
        <f>IFERROR(MID(VLOOKUP($B141,Seqs!$A:$B,2,0),AQ141,1),"")</f>
        <v>H</v>
      </c>
      <c r="AQ141" s="3">
        <v>278</v>
      </c>
      <c r="AR141" s="3" t="str">
        <f>IFERROR(MID(VLOOKUP($B141,Seqs!$A:$B,2,0),AS141,1),"")</f>
        <v>G</v>
      </c>
      <c r="AS141" s="3">
        <v>284</v>
      </c>
      <c r="AT141" s="3" t="str">
        <f>IFERROR(MID(VLOOKUP($B141,Seqs!$A:$B,2,0),AU141,1),"")</f>
        <v>M</v>
      </c>
      <c r="AU141" s="3">
        <v>309</v>
      </c>
      <c r="AV141" s="3" t="str">
        <f>IFERROR(MID(VLOOKUP($B141,Seqs!$A:$B,2,0),AW141,1),"")</f>
        <v>N</v>
      </c>
      <c r="AW141" s="3">
        <v>310</v>
      </c>
      <c r="AX141" s="3" t="str">
        <f>IFERROR(MID(VLOOKUP($B141,Seqs!$A:$B,2,0),AY141,1),"")</f>
        <v>C</v>
      </c>
      <c r="AY141" s="3">
        <v>322</v>
      </c>
      <c r="AZ141" s="79" t="str">
        <f>VLOOKUP(B141,Classification!A:D,2,0)</f>
        <v>A</v>
      </c>
      <c r="BA141" s="97" t="str">
        <f>VLOOKUP(B141,Classification!A:D,4,0)</f>
        <v>Opsins</v>
      </c>
      <c r="BB141" s="27" t="b">
        <f t="shared" si="556"/>
        <v>1</v>
      </c>
      <c r="BC141" s="23">
        <f t="shared" si="473"/>
        <v>238</v>
      </c>
      <c r="BD141" s="76" t="s">
        <v>23</v>
      </c>
      <c r="BE141" s="3" t="s">
        <v>1381</v>
      </c>
      <c r="BF141" s="50" t="s">
        <v>1</v>
      </c>
      <c r="BG141" s="50" t="s">
        <v>1384</v>
      </c>
      <c r="BH141" s="1"/>
      <c r="BI141" s="72" t="s">
        <v>1293</v>
      </c>
      <c r="BJ141" s="58" t="s">
        <v>1293</v>
      </c>
      <c r="BK141" s="58" t="s">
        <v>1293</v>
      </c>
      <c r="BL141" s="58" t="s">
        <v>1293</v>
      </c>
      <c r="BM141" s="58" t="s">
        <v>1293</v>
      </c>
      <c r="BN141" s="58" t="s">
        <v>1293</v>
      </c>
      <c r="BO141" s="58" t="s">
        <v>1293</v>
      </c>
      <c r="BP141" s="58" t="s">
        <v>1293</v>
      </c>
      <c r="BQ141" s="58" t="s">
        <v>1293</v>
      </c>
      <c r="BR141" s="58" t="s">
        <v>1293</v>
      </c>
      <c r="BS141" s="58" t="s">
        <v>1293</v>
      </c>
      <c r="BT141" s="58" t="s">
        <v>1293</v>
      </c>
      <c r="BU141" s="72">
        <f t="shared" si="474"/>
        <v>34</v>
      </c>
      <c r="BV141" s="73">
        <f t="shared" si="475"/>
        <v>66</v>
      </c>
      <c r="BW141" s="74">
        <f t="shared" si="476"/>
        <v>70</v>
      </c>
      <c r="BX141" s="73">
        <f t="shared" si="477"/>
        <v>102</v>
      </c>
      <c r="BY141" s="74">
        <f t="shared" si="478"/>
        <v>106</v>
      </c>
      <c r="BZ141" s="73" t="str">
        <f t="shared" si="479"/>
        <v>-</v>
      </c>
      <c r="CA141" s="74">
        <f t="shared" si="480"/>
        <v>149</v>
      </c>
      <c r="CB141" s="73">
        <f t="shared" si="481"/>
        <v>187</v>
      </c>
      <c r="CC141" s="74">
        <f t="shared" si="482"/>
        <v>199</v>
      </c>
      <c r="CD141" s="73">
        <f t="shared" si="483"/>
        <v>243</v>
      </c>
      <c r="CE141" s="74">
        <f t="shared" si="484"/>
        <v>284</v>
      </c>
      <c r="CF141" s="73">
        <f t="shared" si="485"/>
        <v>310</v>
      </c>
      <c r="CG141" s="72">
        <f t="shared" si="486"/>
        <v>65</v>
      </c>
      <c r="CH141" s="73">
        <f t="shared" si="487"/>
        <v>69</v>
      </c>
      <c r="CI141" s="74">
        <f t="shared" si="488"/>
        <v>100</v>
      </c>
      <c r="CJ141" s="74">
        <f t="shared" si="489"/>
        <v>105</v>
      </c>
      <c r="CK141" s="74">
        <f t="shared" si="490"/>
        <v>141</v>
      </c>
      <c r="CL141" s="74" t="str">
        <f t="shared" si="491"/>
        <v>-</v>
      </c>
      <c r="CM141" s="74">
        <f t="shared" si="492"/>
        <v>173</v>
      </c>
      <c r="CN141" s="74">
        <f t="shared" si="493"/>
        <v>189</v>
      </c>
      <c r="CO141" s="74">
        <f t="shared" si="494"/>
        <v>225</v>
      </c>
      <c r="CP141" s="74">
        <f t="shared" si="495"/>
        <v>278</v>
      </c>
      <c r="CQ141" s="74">
        <f t="shared" si="496"/>
        <v>309</v>
      </c>
      <c r="CR141" s="74">
        <f t="shared" si="497"/>
        <v>322</v>
      </c>
      <c r="CS141" s="23">
        <f t="shared" si="498"/>
        <v>1</v>
      </c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  <c r="JP141" s="1"/>
      <c r="JQ141" s="1"/>
      <c r="JR141" s="1"/>
      <c r="JS141" s="1"/>
      <c r="JT141" s="1"/>
      <c r="JU141" s="1"/>
      <c r="JV141" s="1"/>
      <c r="JW141" s="1"/>
      <c r="JX141" s="1"/>
      <c r="JY141" s="1"/>
      <c r="JZ141" s="1"/>
      <c r="KA141" s="1"/>
      <c r="KB141" s="1"/>
      <c r="KC141" s="1"/>
      <c r="KD141" s="1"/>
      <c r="KE141" s="1"/>
      <c r="KF141" s="1"/>
      <c r="KG141" s="1"/>
      <c r="KH141" s="1"/>
      <c r="KI141" s="1"/>
      <c r="KJ141" s="1"/>
      <c r="KK141" s="1"/>
      <c r="KL141" s="1"/>
      <c r="KM141" s="1"/>
      <c r="KN141" s="1"/>
      <c r="KO141" s="1"/>
      <c r="KP141" s="1"/>
      <c r="KQ141" s="1"/>
      <c r="KR141" s="1"/>
      <c r="KS141" s="1"/>
      <c r="KT141" s="1"/>
      <c r="KU141" s="1"/>
      <c r="KV141" s="1"/>
      <c r="KW141" s="1"/>
      <c r="KX141" s="1"/>
      <c r="KY141" s="1"/>
      <c r="KZ141" s="1"/>
      <c r="LA141" s="1"/>
      <c r="LB141" s="1"/>
      <c r="LC141" s="1"/>
      <c r="LD141" s="1"/>
      <c r="LE141" s="1"/>
      <c r="LF141" s="1"/>
      <c r="LG141" s="1"/>
      <c r="LH141" s="1"/>
      <c r="LI141" s="1"/>
      <c r="LJ141" s="1"/>
      <c r="LK141" s="1"/>
      <c r="LL141" s="1"/>
      <c r="LM141" s="1"/>
      <c r="LN141" s="1"/>
      <c r="LO141" s="1"/>
      <c r="LP141" s="1"/>
      <c r="LQ141" s="1"/>
      <c r="LR141" s="1"/>
      <c r="LS141" s="1"/>
      <c r="LT141" s="1"/>
      <c r="LU141" s="1"/>
      <c r="LV141" s="1"/>
      <c r="LW141" s="1"/>
      <c r="LX141" s="1"/>
      <c r="LY141" s="1"/>
      <c r="LZ141" s="1"/>
      <c r="MA141" s="1"/>
      <c r="MB141" s="1"/>
      <c r="MC141" s="1"/>
      <c r="MD141" s="1"/>
      <c r="ME141" s="1"/>
      <c r="MF141" s="1"/>
      <c r="MG141" s="1"/>
      <c r="MH141" s="1"/>
      <c r="MI141" s="1"/>
      <c r="MJ141" s="1"/>
      <c r="MK141" s="1"/>
      <c r="ML141" s="1"/>
      <c r="MM141" s="1"/>
      <c r="MN141" s="1"/>
      <c r="MO141" s="1"/>
      <c r="MP141" s="1"/>
      <c r="MQ141" s="1"/>
      <c r="MR141" s="1"/>
      <c r="MS141" s="1"/>
      <c r="MT141" s="1"/>
      <c r="MU141" s="1"/>
      <c r="MV141" s="1"/>
      <c r="MW141" s="1"/>
      <c r="MX141" s="1"/>
      <c r="MY141" s="1"/>
      <c r="MZ141" s="1"/>
      <c r="NA141" s="1"/>
      <c r="NB141" s="1"/>
      <c r="NC141" s="1"/>
      <c r="ND141" s="1"/>
      <c r="NE141" s="1"/>
      <c r="NF141" s="1"/>
      <c r="NG141" s="1"/>
      <c r="NH141" s="1"/>
      <c r="NI141" s="1"/>
      <c r="NJ141" s="1"/>
      <c r="NK141" s="1"/>
      <c r="NL141" s="1"/>
      <c r="NM141" s="1"/>
      <c r="NN141" s="1"/>
      <c r="NO141" s="1"/>
      <c r="NP141" s="1"/>
      <c r="NQ141" s="1"/>
      <c r="NR141" s="1"/>
      <c r="NS141" s="1"/>
      <c r="NT141" s="1"/>
      <c r="NU141" s="1"/>
      <c r="NV141" s="1"/>
      <c r="NW141" s="1"/>
      <c r="NX141" s="1"/>
      <c r="NY141" s="1"/>
      <c r="NZ141" s="1"/>
      <c r="OA141" s="1"/>
      <c r="OB141" s="1"/>
      <c r="OC141" s="1"/>
      <c r="OD141" s="1"/>
      <c r="OE141" s="1"/>
      <c r="OF141" s="1"/>
      <c r="OG141" s="1"/>
      <c r="OH141" s="1"/>
      <c r="OI141" s="1"/>
      <c r="OJ141" s="1"/>
      <c r="OK141" s="1"/>
      <c r="OL141" s="1"/>
      <c r="OM141" s="1"/>
      <c r="ON141" s="1"/>
      <c r="OO141" s="1"/>
      <c r="OP141" s="1"/>
      <c r="OQ141" s="1"/>
      <c r="OR141" s="1"/>
      <c r="OS141" s="1"/>
      <c r="OT141" s="1"/>
      <c r="OU141" s="1"/>
      <c r="OV141" s="1"/>
      <c r="OW141" s="1"/>
      <c r="OX141" s="1"/>
      <c r="OY141" s="1"/>
      <c r="OZ141" s="1"/>
      <c r="PA141" s="1"/>
      <c r="PB141" s="1"/>
      <c r="PC141" s="1"/>
      <c r="PD141" s="1"/>
      <c r="PE141" s="1"/>
      <c r="PF141" s="1"/>
      <c r="PG141" s="1"/>
      <c r="PH141" s="1"/>
      <c r="PI141" s="1"/>
      <c r="PJ141" s="1"/>
      <c r="PK141" s="1"/>
      <c r="PL141" s="1"/>
      <c r="PM141" s="1"/>
      <c r="PN141" s="1"/>
      <c r="PO141" s="1"/>
      <c r="PP141" s="1"/>
      <c r="PQ141" s="1"/>
      <c r="PR141" s="1"/>
      <c r="PS141" s="1"/>
      <c r="PT141" s="1"/>
      <c r="PU141" s="1"/>
      <c r="PV141" s="1"/>
      <c r="PW141" s="1"/>
      <c r="PX141" s="1"/>
      <c r="PY141" s="1"/>
      <c r="PZ141" s="1"/>
      <c r="QA141" s="1"/>
      <c r="QB141" s="1"/>
      <c r="QC141" s="1"/>
      <c r="QD141" s="1"/>
      <c r="QE141" s="1"/>
      <c r="QF141" s="1"/>
      <c r="QG141" s="1"/>
      <c r="QH141" s="1"/>
      <c r="QI141" s="1"/>
      <c r="QJ141" s="1"/>
      <c r="QK141" s="1"/>
      <c r="QL141" s="1"/>
      <c r="QM141" s="1"/>
      <c r="QN141" s="1"/>
      <c r="QO141" s="1"/>
      <c r="QP141" s="1"/>
      <c r="QQ141" s="1"/>
      <c r="QR141" s="1"/>
      <c r="QS141" s="1"/>
      <c r="QT141" s="1"/>
      <c r="QU141" s="1"/>
      <c r="QV141" s="1"/>
      <c r="QW141" s="1"/>
      <c r="QX141" s="1"/>
      <c r="QY141" s="1"/>
      <c r="QZ141" s="1"/>
      <c r="RA141" s="1"/>
      <c r="RB141" s="1"/>
      <c r="RC141" s="1"/>
      <c r="RD141" s="1"/>
      <c r="RE141" s="1"/>
      <c r="RF141" s="1"/>
      <c r="RG141" s="1"/>
      <c r="RH141" s="1"/>
      <c r="RI141" s="1"/>
      <c r="RJ141" s="1"/>
      <c r="RK141" s="1"/>
      <c r="RL141" s="1"/>
      <c r="RM141" s="1"/>
      <c r="RN141" s="1"/>
      <c r="RO141" s="1"/>
      <c r="RP141" s="1"/>
      <c r="RQ141" s="1"/>
      <c r="RR141" s="1"/>
      <c r="RS141" s="1"/>
      <c r="RT141" s="1"/>
      <c r="RU141" s="1"/>
      <c r="RV141" s="1"/>
      <c r="RW141" s="1"/>
      <c r="RX141" s="1"/>
      <c r="RY141" s="1"/>
      <c r="RZ141" s="1"/>
      <c r="SA141" s="1"/>
      <c r="SB141" s="1"/>
      <c r="SC141" s="1"/>
      <c r="SD141" s="1"/>
      <c r="SE141" s="1"/>
      <c r="SF141" s="1"/>
      <c r="SG141" s="1"/>
      <c r="SH141" s="1"/>
      <c r="SI141" s="1"/>
      <c r="SJ141" s="1"/>
      <c r="SK141" s="1"/>
      <c r="SL141" s="1"/>
      <c r="SM141" s="1"/>
      <c r="SN141" s="1"/>
      <c r="SO141" s="1"/>
      <c r="SP141" s="1"/>
      <c r="SQ141" s="1"/>
      <c r="SR141" s="1"/>
      <c r="SS141" s="1"/>
      <c r="ST141" s="1"/>
      <c r="SU141" s="1"/>
      <c r="SV141" s="1"/>
      <c r="SW141" s="1"/>
      <c r="SX141" s="1"/>
      <c r="SY141" s="1"/>
      <c r="SZ141" s="1"/>
      <c r="TA141" s="1"/>
      <c r="TB141" s="1"/>
      <c r="TC141" s="1"/>
      <c r="TD141" s="1"/>
      <c r="TE141" s="1"/>
      <c r="TF141" s="1"/>
      <c r="TG141" s="1"/>
      <c r="TH141" s="1"/>
      <c r="TI141" s="1"/>
      <c r="TJ141" s="1"/>
      <c r="TK141" s="1"/>
      <c r="TL141" s="1"/>
      <c r="TM141" s="1"/>
      <c r="TN141" s="1"/>
      <c r="TO141" s="1"/>
      <c r="TP141" s="1"/>
      <c r="TQ141" s="1"/>
      <c r="TR141" s="1"/>
      <c r="TS141" s="1"/>
      <c r="TT141" s="1"/>
      <c r="TU141" s="1"/>
      <c r="TV141" s="1"/>
      <c r="TW141" s="1"/>
      <c r="TX141" s="1"/>
      <c r="TY141" s="1"/>
      <c r="TZ141" s="1"/>
      <c r="UA141" s="1"/>
      <c r="UB141" s="1"/>
      <c r="UC141" s="1"/>
      <c r="UD141" s="1"/>
      <c r="UE141" s="1"/>
      <c r="UF141" s="1"/>
      <c r="UG141" s="1"/>
      <c r="UH141" s="1"/>
      <c r="UI141" s="1"/>
      <c r="UJ141" s="1"/>
      <c r="UK141" s="1"/>
      <c r="UL141" s="1"/>
      <c r="UM141" s="1"/>
      <c r="UN141" s="1"/>
      <c r="UO141" s="1"/>
      <c r="UP141" s="1"/>
      <c r="UQ141" s="1"/>
      <c r="UR141" s="1"/>
      <c r="US141" s="1"/>
      <c r="UT141" s="1"/>
      <c r="UU141" s="1"/>
      <c r="UV141" s="1"/>
      <c r="UW141" s="1"/>
      <c r="UX141" s="1"/>
      <c r="UY141" s="1"/>
      <c r="UZ141" s="1"/>
      <c r="VA141" s="1"/>
      <c r="VB141" s="1"/>
      <c r="VC141" s="1"/>
      <c r="VD141" s="1"/>
      <c r="VE141" s="1"/>
      <c r="VF141" s="1"/>
      <c r="VG141" s="1"/>
      <c r="VH141" s="1"/>
      <c r="VI141" s="1"/>
      <c r="VJ141" s="1"/>
      <c r="VK141" s="1"/>
      <c r="VL141" s="1"/>
      <c r="VM141" s="1"/>
      <c r="VN141" s="1"/>
      <c r="VO141" s="1"/>
      <c r="VP141" s="1"/>
      <c r="VQ141" s="1"/>
      <c r="VR141" s="1"/>
      <c r="VS141" s="1"/>
      <c r="VT141" s="1"/>
      <c r="VU141" s="1"/>
      <c r="VV141" s="1"/>
      <c r="VW141" s="1"/>
      <c r="VX141" s="1"/>
      <c r="VY141" s="1"/>
      <c r="VZ141" s="1"/>
      <c r="WA141" s="1"/>
      <c r="WB141" s="1"/>
      <c r="WC141" s="1"/>
      <c r="WD141" s="1"/>
      <c r="WE141" s="1"/>
      <c r="WF141" s="1"/>
      <c r="WG141" s="1"/>
      <c r="WH141" s="1"/>
      <c r="WI141" s="1"/>
      <c r="WJ141" s="1"/>
      <c r="WK141" s="1"/>
      <c r="WL141" s="1"/>
      <c r="WM141" s="1"/>
      <c r="WN141" s="1"/>
      <c r="WO141" s="1"/>
      <c r="WP141" s="1"/>
      <c r="WQ141" s="1"/>
      <c r="WR141" s="1"/>
      <c r="WS141" s="1"/>
      <c r="WT141" s="1"/>
      <c r="WU141" s="1"/>
      <c r="WV141" s="1"/>
      <c r="WW141" s="1"/>
      <c r="WX141" s="1"/>
      <c r="WY141" s="1"/>
      <c r="WZ141" s="1"/>
      <c r="XA141" s="1"/>
      <c r="XB141" s="1"/>
      <c r="XC141" s="1"/>
      <c r="XD141" s="1"/>
      <c r="XE141" s="1"/>
      <c r="XF141" s="1"/>
      <c r="XG141" s="1"/>
      <c r="XH141" s="1"/>
      <c r="XI141" s="1"/>
      <c r="XJ141" s="1"/>
      <c r="XK141" s="1"/>
      <c r="XL141" s="1"/>
      <c r="XM141" s="1"/>
      <c r="XN141" s="1"/>
      <c r="XO141" s="1"/>
      <c r="XP141" s="1"/>
      <c r="XQ141" s="1"/>
      <c r="XR141" s="1"/>
      <c r="XS141" s="1"/>
      <c r="XT141" s="1"/>
      <c r="XU141" s="1"/>
      <c r="XV141" s="1"/>
      <c r="XW141" s="1"/>
      <c r="XX141" s="1"/>
      <c r="XY141" s="1"/>
      <c r="XZ141" s="1"/>
      <c r="YA141" s="1"/>
      <c r="YB141" s="1"/>
      <c r="YC141" s="1"/>
      <c r="YD141" s="1"/>
      <c r="YE141" s="1"/>
      <c r="YF141" s="1"/>
      <c r="YG141" s="1"/>
      <c r="YH141" s="1"/>
      <c r="YI141" s="1"/>
      <c r="YJ141" s="1"/>
      <c r="YK141" s="1"/>
      <c r="YL141" s="1"/>
      <c r="YM141" s="1"/>
      <c r="YN141" s="1"/>
      <c r="YO141" s="1"/>
      <c r="YP141" s="1"/>
      <c r="YQ141" s="1"/>
      <c r="YR141" s="1"/>
      <c r="YS141" s="1"/>
      <c r="YT141" s="1"/>
      <c r="YU141" s="1"/>
      <c r="YV141" s="1"/>
      <c r="YW141" s="1"/>
      <c r="YX141" s="1"/>
      <c r="YY141" s="1"/>
      <c r="YZ141" s="1"/>
      <c r="ZA141" s="1"/>
      <c r="ZB141" s="1"/>
      <c r="ZC141" s="1"/>
      <c r="ZD141" s="1"/>
      <c r="ZE141" s="1"/>
      <c r="ZF141" s="1"/>
      <c r="ZG141" s="1"/>
      <c r="ZH141" s="1"/>
      <c r="ZI141" s="1"/>
      <c r="ZJ141" s="1"/>
      <c r="ZK141" s="1"/>
      <c r="ZL141" s="1"/>
      <c r="ZM141" s="1"/>
      <c r="ZN141" s="1"/>
      <c r="ZO141" s="1"/>
      <c r="ZP141" s="1"/>
      <c r="ZQ141" s="1"/>
      <c r="ZR141" s="1"/>
      <c r="ZS141" s="1"/>
      <c r="ZT141" s="1"/>
      <c r="ZU141" s="1"/>
      <c r="ZV141" s="1"/>
      <c r="ZW141" s="1"/>
      <c r="ZX141" s="1"/>
      <c r="ZY141" s="1"/>
      <c r="ZZ141" s="1"/>
      <c r="AAA141" s="1"/>
      <c r="AAB141" s="1"/>
      <c r="AAC141" s="1"/>
      <c r="AAD141" s="1"/>
      <c r="AAE141" s="1"/>
      <c r="AAF141" s="1"/>
      <c r="AAG141" s="1"/>
      <c r="AAH141" s="1"/>
      <c r="AAI141" s="1"/>
      <c r="AAJ141" s="1"/>
      <c r="AAK141" s="1"/>
      <c r="AAL141" s="1"/>
      <c r="AAM141" s="1"/>
      <c r="AAN141" s="1"/>
      <c r="AAO141" s="1"/>
      <c r="AAP141" s="1"/>
      <c r="AAQ141" s="1"/>
      <c r="AAR141" s="1"/>
      <c r="AAS141" s="1"/>
      <c r="AAT141" s="1"/>
      <c r="AAU141" s="1"/>
      <c r="AAV141" s="1"/>
      <c r="AAW141" s="1"/>
      <c r="AAX141" s="1"/>
      <c r="AAY141" s="1"/>
      <c r="AAZ141" s="1"/>
      <c r="ABA141" s="1"/>
      <c r="ABB141" s="1"/>
      <c r="ABC141" s="1"/>
      <c r="ABD141" s="1"/>
      <c r="ABE141" s="1"/>
      <c r="ABF141" s="1"/>
      <c r="ABG141" s="1"/>
      <c r="ABH141" s="1"/>
      <c r="ABI141" s="1"/>
      <c r="ABJ141" s="1"/>
      <c r="ABK141" s="1"/>
      <c r="ABL141" s="1"/>
      <c r="ABM141" s="1"/>
      <c r="ABN141" s="1"/>
      <c r="ABO141" s="1"/>
      <c r="ABP141" s="1"/>
      <c r="ABQ141" s="1"/>
      <c r="ABR141" s="1"/>
      <c r="ABS141" s="1"/>
      <c r="ABT141" s="1"/>
      <c r="ABU141" s="1"/>
      <c r="ABV141" s="1"/>
      <c r="ABW141" s="1"/>
      <c r="ABX141" s="1"/>
      <c r="ABY141" s="1"/>
      <c r="ABZ141" s="1"/>
      <c r="ACA141" s="1"/>
      <c r="ACB141" s="1"/>
      <c r="ACC141" s="1"/>
      <c r="ACD141" s="1"/>
      <c r="ACE141" s="1"/>
      <c r="ACF141" s="1"/>
      <c r="ACG141" s="1"/>
      <c r="ACH141" s="1"/>
      <c r="ACI141" s="1"/>
      <c r="ACJ141" s="1"/>
      <c r="ACK141" s="1"/>
      <c r="ACL141" s="1"/>
      <c r="ACM141" s="1"/>
      <c r="ACN141" s="1"/>
      <c r="ACO141" s="1"/>
      <c r="ACP141" s="1"/>
      <c r="ACQ141" s="1"/>
      <c r="ACR141" s="1"/>
      <c r="ACS141" s="1"/>
      <c r="ACT141" s="1"/>
      <c r="ACU141" s="1"/>
      <c r="ACV141" s="1"/>
      <c r="ACW141" s="1"/>
      <c r="ACX141" s="1"/>
      <c r="ACY141" s="1"/>
      <c r="ACZ141" s="1"/>
      <c r="ADA141" s="1"/>
      <c r="ADB141" s="1"/>
      <c r="ADC141" s="1"/>
      <c r="ADD141" s="1"/>
      <c r="ADE141" s="1"/>
      <c r="ADF141" s="1"/>
      <c r="ADG141" s="1"/>
      <c r="ADH141" s="1"/>
      <c r="ADI141" s="1"/>
      <c r="ADJ141" s="1"/>
      <c r="ADK141" s="1"/>
      <c r="ADL141" s="1"/>
      <c r="ADM141" s="1"/>
      <c r="ADN141" s="1"/>
      <c r="ADO141" s="1"/>
      <c r="ADP141" s="1"/>
      <c r="ADQ141" s="1"/>
      <c r="ADR141" s="1"/>
      <c r="ADS141" s="1"/>
      <c r="ADT141" s="1"/>
      <c r="ADU141" s="1"/>
      <c r="ADV141" s="1"/>
      <c r="ADW141" s="1"/>
      <c r="ADX141" s="1"/>
      <c r="ADY141" s="1"/>
      <c r="ADZ141" s="1"/>
      <c r="AEA141" s="1"/>
      <c r="AEB141" s="1"/>
      <c r="AEC141" s="1"/>
      <c r="AED141" s="1"/>
      <c r="AEE141" s="1"/>
      <c r="AEF141" s="1"/>
      <c r="AEG141" s="1"/>
      <c r="AEH141" s="1"/>
      <c r="AEI141" s="1"/>
      <c r="AEJ141" s="1"/>
      <c r="AEK141" s="1"/>
      <c r="AEL141" s="1"/>
      <c r="AEM141" s="1"/>
      <c r="AEN141" s="1"/>
      <c r="AEO141" s="1"/>
      <c r="AEP141" s="1"/>
      <c r="AEQ141" s="1"/>
      <c r="AER141" s="1"/>
      <c r="AES141" s="1"/>
      <c r="AET141" s="1"/>
      <c r="AEU141" s="1"/>
      <c r="AEV141" s="1"/>
      <c r="AEW141" s="1"/>
      <c r="AEX141" s="1"/>
      <c r="AEY141" s="1"/>
      <c r="AEZ141" s="1"/>
      <c r="AFA141" s="1"/>
      <c r="AFB141" s="1"/>
      <c r="AFC141" s="1"/>
      <c r="AFD141" s="1"/>
      <c r="AFE141" s="1"/>
      <c r="AFF141" s="1"/>
      <c r="AFG141" s="1"/>
      <c r="AFH141" s="1"/>
      <c r="AFI141" s="1"/>
      <c r="AFJ141" s="1"/>
      <c r="AFK141" s="1"/>
      <c r="AFL141" s="1"/>
      <c r="AFM141" s="1"/>
      <c r="AFN141" s="1"/>
      <c r="AFO141" s="1"/>
      <c r="AFP141" s="1"/>
      <c r="AFQ141" s="1"/>
      <c r="AFR141" s="1"/>
      <c r="AFS141" s="1"/>
      <c r="AFT141" s="1"/>
      <c r="AFU141" s="1"/>
      <c r="AFV141" s="1"/>
      <c r="AFW141" s="1"/>
      <c r="AFX141" s="1"/>
      <c r="AFY141" s="1"/>
      <c r="AFZ141" s="1"/>
      <c r="AGA141" s="1"/>
      <c r="AGB141" s="1"/>
      <c r="AGC141" s="1"/>
      <c r="AGD141" s="1"/>
      <c r="AGE141" s="1"/>
      <c r="AGF141" s="1"/>
      <c r="AGG141" s="1"/>
      <c r="AGH141" s="1"/>
      <c r="AGI141" s="1"/>
      <c r="AGJ141" s="1"/>
      <c r="AGK141" s="1"/>
      <c r="AGL141" s="1"/>
      <c r="AGM141" s="1"/>
      <c r="AGN141" s="1"/>
      <c r="AGO141" s="1"/>
      <c r="AGP141" s="1"/>
      <c r="AGQ141" s="1"/>
      <c r="AGR141" s="1"/>
      <c r="AGS141" s="1"/>
      <c r="AGT141" s="1"/>
      <c r="AGU141" s="1"/>
      <c r="AGV141" s="1"/>
      <c r="AGW141" s="1"/>
      <c r="AGX141" s="1"/>
      <c r="AGY141" s="1"/>
      <c r="AGZ141" s="1"/>
      <c r="AHA141" s="1"/>
      <c r="AHB141" s="1"/>
      <c r="AHC141" s="1"/>
      <c r="AHD141" s="1"/>
      <c r="AHE141" s="1"/>
      <c r="AHF141" s="1"/>
      <c r="AHG141" s="1"/>
      <c r="AHH141" s="1"/>
      <c r="AHI141" s="1"/>
      <c r="AHJ141" s="1"/>
      <c r="AHK141" s="1"/>
      <c r="AHL141" s="1"/>
      <c r="AHM141" s="1"/>
      <c r="AHN141" s="1"/>
      <c r="AHO141" s="1"/>
      <c r="AHP141" s="1"/>
      <c r="AHQ141" s="1"/>
      <c r="AHR141" s="1"/>
      <c r="AHS141" s="1"/>
      <c r="AHT141" s="1"/>
      <c r="AHU141" s="1"/>
      <c r="AHV141" s="1"/>
      <c r="AHW141" s="1"/>
      <c r="AHX141" s="1"/>
      <c r="AHY141" s="1"/>
      <c r="AHZ141" s="1"/>
      <c r="AIA141" s="1"/>
      <c r="AIB141" s="1"/>
      <c r="AIC141" s="1"/>
      <c r="AID141" s="1"/>
      <c r="AIE141" s="1"/>
      <c r="AIF141" s="1"/>
      <c r="AIG141" s="1"/>
      <c r="AIH141" s="1"/>
      <c r="AII141" s="1"/>
      <c r="AIJ141" s="1"/>
      <c r="AIK141" s="1"/>
      <c r="AIL141" s="1"/>
      <c r="AIM141" s="1"/>
      <c r="AIN141" s="1"/>
      <c r="AIO141" s="1"/>
      <c r="AIP141" s="1"/>
      <c r="AIQ141" s="1"/>
      <c r="AIR141" s="1"/>
      <c r="AIS141" s="1"/>
      <c r="AIT141" s="1"/>
      <c r="AIU141" s="1"/>
      <c r="AIV141" s="1"/>
      <c r="AIW141" s="1"/>
      <c r="AIX141" s="1"/>
      <c r="AIY141" s="1"/>
      <c r="AIZ141" s="1"/>
      <c r="AJA141" s="1"/>
      <c r="AJB141" s="1"/>
      <c r="AJC141" s="1"/>
      <c r="AJD141" s="1"/>
      <c r="AJE141" s="1"/>
      <c r="AJF141" s="1"/>
      <c r="AJG141" s="1"/>
      <c r="AJH141" s="1"/>
      <c r="AJI141" s="1"/>
      <c r="AJJ141" s="1"/>
      <c r="AJK141" s="1"/>
      <c r="AJL141" s="1"/>
      <c r="AJM141" s="1"/>
      <c r="AJN141" s="1"/>
      <c r="AJO141" s="1"/>
      <c r="AJP141" s="1"/>
      <c r="AJQ141" s="1"/>
      <c r="AJR141" s="1"/>
      <c r="AJS141" s="1"/>
      <c r="AJT141" s="1"/>
      <c r="AJU141" s="1"/>
      <c r="AJV141" s="1"/>
      <c r="AJW141" s="1"/>
      <c r="AJX141" s="1"/>
      <c r="AJY141" s="1"/>
      <c r="AJZ141" s="1"/>
      <c r="AKA141" s="1"/>
      <c r="AKB141" s="1"/>
      <c r="AKC141" s="1"/>
      <c r="AKD141" s="1"/>
      <c r="AKE141" s="1"/>
      <c r="AKF141" s="1"/>
      <c r="AKG141" s="1"/>
      <c r="AKH141" s="1"/>
      <c r="AKI141" s="1"/>
      <c r="AKJ141" s="1"/>
      <c r="AKK141" s="1"/>
      <c r="AKL141" s="1"/>
      <c r="AKM141" s="1"/>
      <c r="AKN141" s="1"/>
      <c r="AKO141" s="1"/>
      <c r="AKP141" s="1"/>
      <c r="AKQ141" s="1"/>
      <c r="AKR141" s="1"/>
      <c r="AKS141" s="1"/>
      <c r="AKT141" s="1"/>
      <c r="AKU141" s="1"/>
      <c r="AKV141" s="1"/>
      <c r="AKW141" s="1"/>
      <c r="AKX141" s="1"/>
      <c r="AKY141" s="1"/>
      <c r="AKZ141" s="1"/>
      <c r="ALA141" s="1"/>
      <c r="ALB141" s="1"/>
      <c r="ALC141" s="1"/>
      <c r="ALD141" s="1"/>
      <c r="ALE141" s="1"/>
      <c r="ALF141" s="1"/>
      <c r="ALG141" s="1"/>
      <c r="ALH141" s="1"/>
      <c r="ALI141" s="1"/>
      <c r="ALJ141" s="1"/>
      <c r="ALK141" s="1"/>
      <c r="ALL141" s="1"/>
      <c r="ALM141" s="1"/>
      <c r="ALN141" s="1"/>
      <c r="ALO141" s="1"/>
      <c r="ALP141" s="1"/>
      <c r="ALQ141" s="1"/>
      <c r="ALR141" s="1"/>
      <c r="ALS141" s="1"/>
      <c r="ALT141" s="1"/>
      <c r="ALU141" s="1"/>
      <c r="ALV141" s="1"/>
      <c r="ALW141" s="1"/>
      <c r="ALX141" s="1"/>
      <c r="ALY141" s="1"/>
      <c r="ALZ141" s="1"/>
      <c r="AMA141" s="1"/>
      <c r="AMB141" s="1"/>
      <c r="AMC141" s="1"/>
      <c r="AMD141" s="1"/>
      <c r="AME141" s="1"/>
      <c r="AMF141" s="1"/>
      <c r="AMG141" s="1"/>
      <c r="AMH141" s="1"/>
      <c r="AMI141" s="1"/>
      <c r="AMJ141" s="1"/>
      <c r="AMK141" s="1"/>
      <c r="AML141" s="1"/>
      <c r="AMM141" s="1"/>
      <c r="AMN141" s="1"/>
    </row>
    <row r="142" spans="1:1029" x14ac:dyDescent="0.2">
      <c r="A142" s="3" t="str">
        <f t="shared" si="555"/>
        <v>opsd_bovin_2X72</v>
      </c>
      <c r="B142" s="2" t="s">
        <v>920</v>
      </c>
      <c r="C142" s="3" t="s">
        <v>1376</v>
      </c>
      <c r="D142" s="3" t="str">
        <f>IFERROR(MID(VLOOKUP($B142,Seqs!$A:$B,2,0),E142,1),"")</f>
        <v>P</v>
      </c>
      <c r="E142" s="3">
        <v>34</v>
      </c>
      <c r="F142" s="3" t="str">
        <f>IFERROR(MID(VLOOKUP($B142,Seqs!$A:$B,2,0),G142,1),"")</f>
        <v>H</v>
      </c>
      <c r="G142" s="3">
        <v>65</v>
      </c>
      <c r="H142" s="3" t="str">
        <f>IFERROR(MID(VLOOKUP($B142,Seqs!$A:$B,2,0),I142,1),"")</f>
        <v>K</v>
      </c>
      <c r="I142" s="23">
        <v>66</v>
      </c>
      <c r="J142" s="3" t="str">
        <f>IFERROR(MID(VLOOKUP($B142,Seqs!$A:$B,2,0),K142,1),"")</f>
        <v>R</v>
      </c>
      <c r="K142" s="23">
        <v>69</v>
      </c>
      <c r="L142" s="3" t="str">
        <f>IFERROR(MID(VLOOKUP($B142,Seqs!$A:$B,2,0),M142,1),"")</f>
        <v>T</v>
      </c>
      <c r="M142" s="3">
        <v>70</v>
      </c>
      <c r="N142" s="3" t="str">
        <f>IFERROR(MID(VLOOKUP($B142,Seqs!$A:$B,2,0),O142,1),"")</f>
        <v>H</v>
      </c>
      <c r="O142" s="3">
        <v>100</v>
      </c>
      <c r="P142" s="3" t="str">
        <f>IFERROR(MID(VLOOKUP($B142,Seqs!$A:$B,2,0),Q142,1),"")</f>
        <v>Y</v>
      </c>
      <c r="Q142" s="3">
        <v>102</v>
      </c>
      <c r="R142" s="3" t="str">
        <f>IFERROR(MID(VLOOKUP($B142,Seqs!$A:$B,2,0),S142,1),"")</f>
        <v>F</v>
      </c>
      <c r="S142" s="3">
        <v>105</v>
      </c>
      <c r="T142" s="3" t="str">
        <f>IFERROR(MID(VLOOKUP($B142,Seqs!$A:$B,2,0),U142,1),"")</f>
        <v>G</v>
      </c>
      <c r="U142" s="3">
        <v>106</v>
      </c>
      <c r="V142" s="3" t="str">
        <f>IFERROR(MID(VLOOKUP($B142,Seqs!$A:$B,2,0),W142,1),"")</f>
        <v>K</v>
      </c>
      <c r="W142" s="3">
        <v>141</v>
      </c>
      <c r="X142" s="3" t="str">
        <f>IFERROR(MID(VLOOKUP($B142,Seqs!$A:$B,2,0),Y142,1),"")</f>
        <v/>
      </c>
      <c r="Y142" s="3" t="s">
        <v>23</v>
      </c>
      <c r="Z142" s="3" t="str">
        <f>IFERROR(MID(VLOOKUP($B142,Seqs!$A:$B,2,0),AA142,1),"")</f>
        <v/>
      </c>
      <c r="AA142" s="3" t="s">
        <v>23</v>
      </c>
      <c r="AB142" s="3" t="str">
        <f>IFERROR(MID(VLOOKUP($B142,Seqs!$A:$B,2,0),AC142,1),"")</f>
        <v>G</v>
      </c>
      <c r="AC142" s="9">
        <v>149</v>
      </c>
      <c r="AD142" s="3" t="str">
        <f>IFERROR(MID(VLOOKUP($B142,Seqs!$A:$B,2,0),AE142,1),"")</f>
        <v>V</v>
      </c>
      <c r="AE142" s="3">
        <v>173</v>
      </c>
      <c r="AF142" s="3" t="str">
        <f>IFERROR(MID(VLOOKUP($B142,Seqs!$A:$B,2,0),AG142,1),"")</f>
        <v>C</v>
      </c>
      <c r="AG142" s="3">
        <v>187</v>
      </c>
      <c r="AH142" s="3" t="str">
        <f>IFERROR(MID(VLOOKUP($B142,Seqs!$A:$B,2,0),AI142,1),"")</f>
        <v>I</v>
      </c>
      <c r="AI142" s="3">
        <v>189</v>
      </c>
      <c r="AJ142" s="3" t="str">
        <f>IFERROR(MID(VLOOKUP($B142,Seqs!$A:$B,2,0),AK142,1),"")</f>
        <v>N</v>
      </c>
      <c r="AK142" s="3">
        <v>199</v>
      </c>
      <c r="AL142" s="3" t="str">
        <f>IFERROR(MID(VLOOKUP($B142,Seqs!$A:$B,2,0),AM142,1),"")</f>
        <v>Q</v>
      </c>
      <c r="AM142" s="3">
        <v>237</v>
      </c>
      <c r="AN142" s="3" t="str">
        <f>IFERROR(MID(VLOOKUP($B142,Seqs!$A:$B,2,0),AO142,1),"")</f>
        <v>A</v>
      </c>
      <c r="AO142" s="3">
        <v>241</v>
      </c>
      <c r="AP142" s="3" t="str">
        <f>IFERROR(MID(VLOOKUP($B142,Seqs!$A:$B,2,0),AQ142,1),"")</f>
        <v>H</v>
      </c>
      <c r="AQ142" s="3">
        <v>278</v>
      </c>
      <c r="AR142" s="3" t="str">
        <f>IFERROR(MID(VLOOKUP($B142,Seqs!$A:$B,2,0),AS142,1),"")</f>
        <v>G</v>
      </c>
      <c r="AS142" s="3">
        <v>284</v>
      </c>
      <c r="AT142" s="3" t="str">
        <f>IFERROR(MID(VLOOKUP($B142,Seqs!$A:$B,2,0),AU142,1),"")</f>
        <v>M</v>
      </c>
      <c r="AU142" s="3">
        <v>309</v>
      </c>
      <c r="AV142" s="3" t="str">
        <f>IFERROR(MID(VLOOKUP($B142,Seqs!$A:$B,2,0),AW142,1),"")</f>
        <v>N</v>
      </c>
      <c r="AW142" s="3">
        <v>310</v>
      </c>
      <c r="AX142" s="3" t="str">
        <f>IFERROR(MID(VLOOKUP($B142,Seqs!$A:$B,2,0),AY142,1),"")</f>
        <v>C</v>
      </c>
      <c r="AY142" s="3">
        <v>322</v>
      </c>
      <c r="AZ142" s="79" t="str">
        <f>VLOOKUP(B142,Classification!A:D,2,0)</f>
        <v>A</v>
      </c>
      <c r="BA142" s="97" t="str">
        <f>VLOOKUP(B142,Classification!A:D,4,0)</f>
        <v>Opsins</v>
      </c>
      <c r="BB142" s="27" t="b">
        <f t="shared" ref="BB142" si="585">AND(E142&lt;G142,OR(G142&lt;I142,I142="-"),OR(I142&lt;K142,I142="-"),OR(K142&lt;M142,K142="-"),M142&lt;O142,OR(O142&lt;Q142,Q142="-"),OR(Q142&lt;S142,Q142="-"),OR(S142&lt;U142,S142="-"),U142&lt;W142,OR(W142&lt;Y142,Y142="-"),OR(Y142&lt;AA142,Y142="-"),OR(AA142&lt;AC142,AA142="-"),AC142&lt;AE142,OR(AE142&lt;AG142,AG142="-"),OR(AG142&lt;AI142,AG142="-"),OR(AI142&lt;AK142,AI142="-"),AK142&lt;AM142,AM142&lt;AO142,AO142&lt;AQ142,AQ142&lt;AS142,AS142&lt;AU142,OR(AU142&lt;AW142,AW142="-"),OR(AW142&lt;AY142,AW142="-"))</f>
        <v>1</v>
      </c>
      <c r="BC142" s="23">
        <f t="shared" ref="BC142" si="586">_xlfn.AGGREGATE(9,6,CG142:CR142)-_xlfn.AGGREGATE(9,6,BU142:CF142)+12</f>
        <v>252</v>
      </c>
      <c r="BD142" s="57" t="s">
        <v>23</v>
      </c>
      <c r="BE142" s="3" t="s">
        <v>1297</v>
      </c>
      <c r="BF142" s="50" t="s">
        <v>1384</v>
      </c>
      <c r="BG142" s="50" t="s">
        <v>1384</v>
      </c>
      <c r="BH142" s="1"/>
      <c r="BI142" s="72" t="s">
        <v>1293</v>
      </c>
      <c r="BJ142" s="58" t="s">
        <v>1293</v>
      </c>
      <c r="BK142" s="58" t="s">
        <v>1293</v>
      </c>
      <c r="BL142" s="58" t="s">
        <v>1293</v>
      </c>
      <c r="BM142" s="58" t="s">
        <v>1293</v>
      </c>
      <c r="BN142" s="58" t="s">
        <v>1293</v>
      </c>
      <c r="BO142" s="58" t="s">
        <v>1293</v>
      </c>
      <c r="BP142" s="58" t="s">
        <v>1293</v>
      </c>
      <c r="BQ142" s="58" t="s">
        <v>1293</v>
      </c>
      <c r="BR142" s="58" t="s">
        <v>1293</v>
      </c>
      <c r="BS142" s="58" t="s">
        <v>1293</v>
      </c>
      <c r="BT142" s="58" t="s">
        <v>1293</v>
      </c>
      <c r="BU142" s="72">
        <f t="shared" ref="BU142" si="587">E142</f>
        <v>34</v>
      </c>
      <c r="BV142" s="73">
        <f t="shared" ref="BV142" si="588">I142</f>
        <v>66</v>
      </c>
      <c r="BW142" s="74">
        <f t="shared" ref="BW142" si="589">M142</f>
        <v>70</v>
      </c>
      <c r="BX142" s="73">
        <f t="shared" ref="BX142" si="590">Q142</f>
        <v>102</v>
      </c>
      <c r="BY142" s="74">
        <f t="shared" ref="BY142" si="591">U142</f>
        <v>106</v>
      </c>
      <c r="BZ142" s="73" t="str">
        <f t="shared" ref="BZ142" si="592">Y142</f>
        <v>-</v>
      </c>
      <c r="CA142" s="74">
        <f t="shared" ref="CA142" si="593">AC142</f>
        <v>149</v>
      </c>
      <c r="CB142" s="73">
        <f t="shared" ref="CB142" si="594">AG142</f>
        <v>187</v>
      </c>
      <c r="CC142" s="74">
        <f t="shared" ref="CC142" si="595">AK142</f>
        <v>199</v>
      </c>
      <c r="CD142" s="73">
        <f t="shared" ref="CD142" si="596">AO142</f>
        <v>241</v>
      </c>
      <c r="CE142" s="74">
        <f t="shared" ref="CE142" si="597">AS142</f>
        <v>284</v>
      </c>
      <c r="CF142" s="73">
        <f t="shared" ref="CF142" si="598">AW142</f>
        <v>310</v>
      </c>
      <c r="CG142" s="72">
        <f t="shared" ref="CG142" si="599">G142</f>
        <v>65</v>
      </c>
      <c r="CH142" s="73">
        <f t="shared" ref="CH142" si="600">K142</f>
        <v>69</v>
      </c>
      <c r="CI142" s="74">
        <f t="shared" ref="CI142" si="601">O142</f>
        <v>100</v>
      </c>
      <c r="CJ142" s="74">
        <f t="shared" ref="CJ142" si="602">S142</f>
        <v>105</v>
      </c>
      <c r="CK142" s="74">
        <f t="shared" ref="CK142" si="603">W142</f>
        <v>141</v>
      </c>
      <c r="CL142" s="74" t="str">
        <f t="shared" ref="CL142" si="604">AA142</f>
        <v>-</v>
      </c>
      <c r="CM142" s="74">
        <f t="shared" ref="CM142" si="605">AE142</f>
        <v>173</v>
      </c>
      <c r="CN142" s="74">
        <f t="shared" ref="CN142" si="606">AI142</f>
        <v>189</v>
      </c>
      <c r="CO142" s="74">
        <f t="shared" ref="CO142" si="607">AM142</f>
        <v>237</v>
      </c>
      <c r="CP142" s="74">
        <f t="shared" ref="CP142" si="608">AQ142</f>
        <v>278</v>
      </c>
      <c r="CQ142" s="74">
        <f t="shared" ref="CQ142" si="609">AU142</f>
        <v>309</v>
      </c>
      <c r="CR142" s="74">
        <f t="shared" ref="CR142" si="610">AY142</f>
        <v>322</v>
      </c>
      <c r="CS142" s="23">
        <f t="shared" ref="CS142" si="611">M142-K142</f>
        <v>1</v>
      </c>
      <c r="CT142" s="6"/>
      <c r="CU142" s="6"/>
      <c r="CV142" s="6"/>
      <c r="CW142" s="6"/>
      <c r="CX142" s="6"/>
      <c r="CY142" s="6"/>
      <c r="CZ142" s="6"/>
      <c r="DA142" s="6"/>
      <c r="DB142" s="6"/>
      <c r="DC142" s="6"/>
      <c r="DD142" s="6"/>
      <c r="DE142" s="6"/>
      <c r="DF142" s="6"/>
      <c r="DG142" s="6"/>
      <c r="DH142" s="6"/>
      <c r="DI142" s="6"/>
      <c r="DJ142" s="6"/>
      <c r="DK142" s="6"/>
      <c r="DL142" s="6"/>
      <c r="DM142" s="6"/>
      <c r="DN142" s="6"/>
      <c r="DO142" s="6"/>
      <c r="DP142" s="6"/>
      <c r="DQ142" s="6"/>
      <c r="DR142" s="6"/>
      <c r="DS142" s="6"/>
      <c r="DT142" s="6"/>
      <c r="DU142" s="6"/>
      <c r="DV142" s="6"/>
      <c r="DW142" s="6"/>
      <c r="DX142" s="6"/>
      <c r="DY142" s="6"/>
      <c r="DZ142" s="6"/>
      <c r="EA142" s="6"/>
      <c r="EB142" s="6"/>
      <c r="EC142" s="6"/>
      <c r="ED142" s="6"/>
      <c r="EE142" s="6"/>
      <c r="EF142" s="6"/>
      <c r="EG142" s="6"/>
      <c r="EH142" s="6"/>
      <c r="EI142" s="6"/>
      <c r="EJ142" s="6"/>
      <c r="EK142" s="6"/>
      <c r="EL142" s="6"/>
      <c r="EM142" s="6"/>
      <c r="EN142" s="6"/>
      <c r="EO142" s="6"/>
      <c r="EP142" s="6"/>
      <c r="EQ142" s="6"/>
      <c r="ER142" s="6"/>
      <c r="ES142" s="6"/>
      <c r="ET142" s="6"/>
      <c r="EU142" s="6"/>
      <c r="EV142" s="6"/>
      <c r="EW142" s="6"/>
      <c r="EX142" s="6"/>
      <c r="EY142" s="6"/>
      <c r="EZ142" s="6"/>
      <c r="FA142" s="6"/>
      <c r="FB142" s="6"/>
      <c r="FC142" s="6"/>
      <c r="FD142" s="6"/>
      <c r="FE142" s="6"/>
      <c r="FF142" s="6"/>
      <c r="FG142" s="6"/>
      <c r="FH142" s="6"/>
      <c r="FI142" s="6"/>
      <c r="FJ142" s="6"/>
      <c r="FK142" s="6"/>
      <c r="FL142" s="6"/>
      <c r="FM142" s="6"/>
      <c r="FN142" s="6"/>
      <c r="FO142" s="6"/>
      <c r="FP142" s="6"/>
      <c r="FQ142" s="6"/>
      <c r="FR142" s="6"/>
      <c r="FS142" s="6"/>
      <c r="FT142" s="6"/>
      <c r="FU142" s="6"/>
      <c r="FV142" s="6"/>
      <c r="FW142" s="6"/>
      <c r="FX142" s="6"/>
      <c r="FY142" s="6"/>
      <c r="FZ142" s="6"/>
      <c r="GA142" s="6"/>
      <c r="GB142" s="6"/>
      <c r="GC142" s="6"/>
      <c r="GD142" s="6"/>
      <c r="GE142" s="6"/>
      <c r="GF142" s="6"/>
      <c r="GG142" s="6"/>
      <c r="GH142" s="6"/>
      <c r="GI142" s="6"/>
      <c r="GJ142" s="6"/>
      <c r="GK142" s="6"/>
      <c r="GL142" s="6"/>
      <c r="GM142" s="6"/>
      <c r="GN142" s="6"/>
      <c r="GO142" s="6"/>
      <c r="GP142" s="6"/>
      <c r="GQ142" s="6"/>
      <c r="GR142" s="6"/>
      <c r="GS142" s="6"/>
      <c r="GT142" s="6"/>
      <c r="GU142" s="6"/>
      <c r="GV142" s="6"/>
      <c r="GW142" s="6"/>
      <c r="GX142" s="6"/>
      <c r="GY142" s="6"/>
      <c r="GZ142" s="6"/>
      <c r="HA142" s="6"/>
      <c r="HB142" s="6"/>
      <c r="HC142" s="6"/>
      <c r="HD142" s="6"/>
      <c r="HE142" s="6"/>
      <c r="HF142" s="6"/>
      <c r="HG142" s="6"/>
      <c r="HH142" s="6"/>
      <c r="HI142" s="6"/>
      <c r="HJ142" s="6"/>
      <c r="HK142" s="6"/>
      <c r="HL142" s="6"/>
      <c r="HM142" s="6"/>
      <c r="HN142" s="6"/>
      <c r="HO142" s="6"/>
      <c r="HP142" s="6"/>
      <c r="HQ142" s="6"/>
      <c r="HR142" s="6"/>
      <c r="HS142" s="6"/>
      <c r="HT142" s="6"/>
      <c r="HU142" s="6"/>
      <c r="HV142" s="6"/>
      <c r="HW142" s="6"/>
      <c r="HX142" s="6"/>
      <c r="HY142" s="6"/>
      <c r="HZ142" s="6"/>
      <c r="IA142" s="6"/>
      <c r="IB142" s="6"/>
      <c r="IC142" s="6"/>
      <c r="ID142" s="6"/>
      <c r="IE142" s="6"/>
      <c r="IF142" s="6"/>
      <c r="IG142" s="6"/>
      <c r="IH142" s="6"/>
      <c r="II142" s="6"/>
      <c r="IJ142" s="6"/>
      <c r="IK142" s="6"/>
      <c r="IL142" s="6"/>
      <c r="IM142" s="6"/>
      <c r="IN142" s="6"/>
      <c r="IO142" s="6"/>
      <c r="IP142" s="6"/>
      <c r="IQ142" s="6"/>
      <c r="IR142" s="6"/>
      <c r="IS142" s="6"/>
      <c r="IT142" s="6"/>
      <c r="IU142" s="6"/>
      <c r="IV142" s="6"/>
      <c r="IW142" s="6"/>
      <c r="IX142" s="6"/>
      <c r="IY142" s="6"/>
      <c r="IZ142" s="6"/>
      <c r="JA142" s="6"/>
      <c r="JB142" s="6"/>
      <c r="JC142" s="6"/>
      <c r="JD142" s="6"/>
      <c r="JE142" s="6"/>
      <c r="JF142" s="6"/>
      <c r="JG142" s="6"/>
      <c r="JH142" s="6"/>
      <c r="JI142" s="6"/>
      <c r="JJ142" s="6"/>
      <c r="JK142" s="6"/>
      <c r="JL142" s="6"/>
      <c r="JM142" s="6"/>
      <c r="JN142" s="6"/>
      <c r="JO142" s="6"/>
      <c r="JP142" s="6"/>
      <c r="JQ142" s="6"/>
      <c r="JR142" s="6"/>
      <c r="JS142" s="6"/>
      <c r="JT142" s="6"/>
      <c r="JU142" s="6"/>
      <c r="JV142" s="6"/>
      <c r="JW142" s="6"/>
      <c r="JX142" s="6"/>
      <c r="JY142" s="6"/>
      <c r="JZ142" s="6"/>
      <c r="KA142" s="6"/>
      <c r="KB142" s="6"/>
      <c r="KC142" s="6"/>
      <c r="KD142" s="6"/>
      <c r="KE142" s="6"/>
      <c r="KF142" s="6"/>
      <c r="KG142" s="6"/>
      <c r="KH142" s="6"/>
      <c r="KI142" s="6"/>
      <c r="KJ142" s="6"/>
      <c r="KK142" s="6"/>
      <c r="KL142" s="6"/>
      <c r="KM142" s="6"/>
      <c r="KN142" s="6"/>
      <c r="KO142" s="6"/>
      <c r="KP142" s="6"/>
      <c r="KQ142" s="6"/>
      <c r="KR142" s="6"/>
      <c r="KS142" s="6"/>
      <c r="KT142" s="6"/>
      <c r="KU142" s="6"/>
      <c r="KV142" s="6"/>
      <c r="KW142" s="6"/>
      <c r="KX142" s="6"/>
      <c r="KY142" s="6"/>
      <c r="KZ142" s="6"/>
      <c r="LA142" s="6"/>
      <c r="LB142" s="6"/>
      <c r="LC142" s="6"/>
      <c r="LD142" s="6"/>
      <c r="LE142" s="6"/>
      <c r="LF142" s="6"/>
      <c r="LG142" s="6"/>
      <c r="LH142" s="6"/>
      <c r="LI142" s="6"/>
      <c r="LJ142" s="6"/>
      <c r="LK142" s="6"/>
      <c r="LL142" s="6"/>
      <c r="LM142" s="6"/>
      <c r="LN142" s="6"/>
      <c r="LO142" s="6"/>
      <c r="LP142" s="6"/>
      <c r="LQ142" s="6"/>
      <c r="LR142" s="6"/>
      <c r="LS142" s="6"/>
      <c r="LT142" s="6"/>
      <c r="LU142" s="6"/>
      <c r="LV142" s="6"/>
      <c r="LW142" s="6"/>
      <c r="LX142" s="6"/>
      <c r="LY142" s="6"/>
      <c r="LZ142" s="6"/>
      <c r="MA142" s="6"/>
      <c r="MB142" s="6"/>
      <c r="MC142" s="6"/>
      <c r="MD142" s="6"/>
      <c r="ME142" s="6"/>
      <c r="MF142" s="6"/>
      <c r="MG142" s="6"/>
      <c r="MH142" s="6"/>
      <c r="MI142" s="6"/>
      <c r="MJ142" s="6"/>
      <c r="MK142" s="6"/>
      <c r="ML142" s="6"/>
      <c r="MM142" s="6"/>
      <c r="MN142" s="6"/>
      <c r="MO142" s="6"/>
      <c r="MP142" s="6"/>
      <c r="MQ142" s="6"/>
      <c r="MR142" s="6"/>
      <c r="MS142" s="6"/>
      <c r="MT142" s="6"/>
      <c r="MU142" s="6"/>
      <c r="MV142" s="6"/>
      <c r="MW142" s="6"/>
      <c r="MX142" s="6"/>
      <c r="MY142" s="6"/>
      <c r="MZ142" s="6"/>
      <c r="NA142" s="6"/>
      <c r="NB142" s="6"/>
      <c r="NC142" s="6"/>
      <c r="ND142" s="6"/>
      <c r="NE142" s="6"/>
      <c r="NF142" s="6"/>
      <c r="NG142" s="6"/>
      <c r="NH142" s="6"/>
      <c r="NI142" s="6"/>
      <c r="NJ142" s="6"/>
      <c r="NK142" s="6"/>
      <c r="NL142" s="6"/>
      <c r="NM142" s="6"/>
      <c r="NN142" s="6"/>
      <c r="NO142" s="6"/>
      <c r="NP142" s="6"/>
      <c r="NQ142" s="6"/>
      <c r="NR142" s="6"/>
      <c r="NS142" s="6"/>
      <c r="NT142" s="6"/>
      <c r="NU142" s="6"/>
      <c r="NV142" s="6"/>
      <c r="NW142" s="6"/>
      <c r="NX142" s="6"/>
      <c r="NY142" s="6"/>
      <c r="NZ142" s="6"/>
      <c r="OA142" s="6"/>
      <c r="OB142" s="6"/>
      <c r="OC142" s="6"/>
      <c r="OD142" s="6"/>
      <c r="OE142" s="6"/>
      <c r="OF142" s="6"/>
      <c r="OG142" s="6"/>
      <c r="OH142" s="6"/>
      <c r="OI142" s="6"/>
      <c r="OJ142" s="6"/>
      <c r="OK142" s="6"/>
      <c r="OL142" s="6"/>
      <c r="OM142" s="6"/>
      <c r="ON142" s="6"/>
      <c r="OO142" s="6"/>
      <c r="OP142" s="6"/>
      <c r="OQ142" s="6"/>
      <c r="OR142" s="6"/>
      <c r="OS142" s="6"/>
      <c r="OT142" s="6"/>
      <c r="OU142" s="6"/>
      <c r="OV142" s="6"/>
      <c r="OW142" s="6"/>
      <c r="OX142" s="6"/>
      <c r="OY142" s="6"/>
      <c r="OZ142" s="6"/>
      <c r="PA142" s="6"/>
      <c r="PB142" s="6"/>
      <c r="PC142" s="6"/>
      <c r="PD142" s="6"/>
      <c r="PE142" s="6"/>
      <c r="PF142" s="6"/>
      <c r="PG142" s="6"/>
      <c r="PH142" s="6"/>
      <c r="PI142" s="6"/>
      <c r="PJ142" s="6"/>
      <c r="PK142" s="6"/>
      <c r="PL142" s="6"/>
      <c r="PM142" s="6"/>
      <c r="PN142" s="6"/>
      <c r="PO142" s="6"/>
      <c r="PP142" s="6"/>
      <c r="PQ142" s="6"/>
      <c r="PR142" s="6"/>
      <c r="PS142" s="6"/>
      <c r="PT142" s="6"/>
      <c r="PU142" s="6"/>
      <c r="PV142" s="6"/>
      <c r="PW142" s="6"/>
      <c r="PX142" s="6"/>
      <c r="PY142" s="6"/>
      <c r="PZ142" s="6"/>
      <c r="QA142" s="6"/>
      <c r="QB142" s="6"/>
      <c r="QC142" s="6"/>
      <c r="QD142" s="6"/>
      <c r="QE142" s="6"/>
      <c r="QF142" s="6"/>
      <c r="QG142" s="6"/>
      <c r="QH142" s="6"/>
      <c r="QI142" s="6"/>
      <c r="QJ142" s="6"/>
      <c r="QK142" s="6"/>
      <c r="QL142" s="6"/>
      <c r="QM142" s="6"/>
      <c r="QN142" s="6"/>
      <c r="QO142" s="6"/>
      <c r="QP142" s="6"/>
      <c r="QQ142" s="6"/>
      <c r="QR142" s="6"/>
      <c r="QS142" s="6"/>
      <c r="QT142" s="6"/>
      <c r="QU142" s="6"/>
      <c r="QV142" s="6"/>
      <c r="QW142" s="6"/>
      <c r="QX142" s="6"/>
      <c r="QY142" s="6"/>
      <c r="QZ142" s="6"/>
      <c r="RA142" s="6"/>
      <c r="RB142" s="6"/>
      <c r="RC142" s="6"/>
      <c r="RD142" s="6"/>
      <c r="RE142" s="6"/>
      <c r="RF142" s="6"/>
      <c r="RG142" s="6"/>
      <c r="RH142" s="6"/>
      <c r="RI142" s="6"/>
      <c r="RJ142" s="6"/>
      <c r="RK142" s="6"/>
      <c r="RL142" s="6"/>
      <c r="RM142" s="6"/>
      <c r="RN142" s="6"/>
      <c r="RO142" s="6"/>
      <c r="RP142" s="6"/>
      <c r="RQ142" s="6"/>
      <c r="RR142" s="6"/>
      <c r="RS142" s="6"/>
      <c r="RT142" s="6"/>
      <c r="RU142" s="6"/>
      <c r="RV142" s="6"/>
      <c r="RW142" s="6"/>
      <c r="RX142" s="6"/>
      <c r="RY142" s="6"/>
      <c r="RZ142" s="6"/>
      <c r="SA142" s="6"/>
      <c r="SB142" s="6"/>
      <c r="SC142" s="6"/>
      <c r="SD142" s="6"/>
      <c r="SE142" s="6"/>
      <c r="SF142" s="6"/>
      <c r="SG142" s="6"/>
      <c r="SH142" s="6"/>
      <c r="SI142" s="6"/>
      <c r="SJ142" s="6"/>
      <c r="SK142" s="6"/>
      <c r="SL142" s="6"/>
      <c r="SM142" s="6"/>
      <c r="SN142" s="6"/>
      <c r="SO142" s="6"/>
      <c r="SP142" s="6"/>
      <c r="SQ142" s="6"/>
      <c r="SR142" s="6"/>
      <c r="SS142" s="6"/>
      <c r="ST142" s="6"/>
      <c r="SU142" s="6"/>
      <c r="SV142" s="6"/>
      <c r="SW142" s="6"/>
      <c r="SX142" s="6"/>
      <c r="SY142" s="6"/>
      <c r="SZ142" s="6"/>
      <c r="TA142" s="6"/>
      <c r="TB142" s="6"/>
      <c r="TC142" s="6"/>
      <c r="TD142" s="6"/>
      <c r="TE142" s="6"/>
      <c r="TF142" s="6"/>
      <c r="TG142" s="6"/>
      <c r="TH142" s="6"/>
      <c r="TI142" s="6"/>
      <c r="TJ142" s="6"/>
      <c r="TK142" s="6"/>
      <c r="TL142" s="6"/>
      <c r="TM142" s="6"/>
      <c r="TN142" s="6"/>
      <c r="TO142" s="6"/>
      <c r="TP142" s="6"/>
      <c r="TQ142" s="6"/>
      <c r="TR142" s="6"/>
      <c r="TS142" s="6"/>
      <c r="TT142" s="6"/>
      <c r="TU142" s="6"/>
      <c r="TV142" s="6"/>
      <c r="TW142" s="6"/>
      <c r="TX142" s="6"/>
      <c r="TY142" s="6"/>
      <c r="TZ142" s="6"/>
      <c r="UA142" s="6"/>
      <c r="UB142" s="6"/>
      <c r="UC142" s="6"/>
      <c r="UD142" s="6"/>
      <c r="UE142" s="6"/>
      <c r="UF142" s="6"/>
      <c r="UG142" s="6"/>
      <c r="UH142" s="6"/>
      <c r="UI142" s="6"/>
      <c r="UJ142" s="6"/>
      <c r="UK142" s="6"/>
      <c r="UL142" s="6"/>
      <c r="UM142" s="6"/>
      <c r="UN142" s="6"/>
      <c r="UO142" s="6"/>
      <c r="UP142" s="6"/>
      <c r="UQ142" s="6"/>
      <c r="UR142" s="6"/>
      <c r="US142" s="6"/>
      <c r="UT142" s="6"/>
      <c r="UU142" s="6"/>
      <c r="UV142" s="6"/>
      <c r="UW142" s="6"/>
      <c r="UX142" s="6"/>
      <c r="UY142" s="6"/>
      <c r="UZ142" s="6"/>
      <c r="VA142" s="6"/>
      <c r="VB142" s="6"/>
      <c r="VC142" s="6"/>
      <c r="VD142" s="6"/>
      <c r="VE142" s="6"/>
      <c r="VF142" s="6"/>
      <c r="VG142" s="6"/>
      <c r="VH142" s="6"/>
      <c r="VI142" s="6"/>
      <c r="VJ142" s="6"/>
      <c r="VK142" s="6"/>
      <c r="VL142" s="6"/>
      <c r="VM142" s="6"/>
      <c r="VN142" s="6"/>
      <c r="VO142" s="6"/>
      <c r="VP142" s="6"/>
      <c r="VQ142" s="6"/>
      <c r="VR142" s="6"/>
      <c r="VS142" s="6"/>
      <c r="VT142" s="6"/>
      <c r="VU142" s="6"/>
      <c r="VV142" s="6"/>
      <c r="VW142" s="6"/>
      <c r="VX142" s="6"/>
      <c r="VY142" s="6"/>
      <c r="VZ142" s="6"/>
      <c r="WA142" s="6"/>
      <c r="WB142" s="6"/>
      <c r="WC142" s="6"/>
      <c r="WD142" s="6"/>
      <c r="WE142" s="6"/>
      <c r="WF142" s="6"/>
      <c r="WG142" s="6"/>
      <c r="WH142" s="6"/>
      <c r="WI142" s="6"/>
      <c r="WJ142" s="6"/>
      <c r="WK142" s="6"/>
      <c r="WL142" s="6"/>
      <c r="WM142" s="6"/>
      <c r="WN142" s="6"/>
      <c r="WO142" s="6"/>
      <c r="WP142" s="6"/>
      <c r="WQ142" s="6"/>
      <c r="WR142" s="6"/>
      <c r="WS142" s="6"/>
      <c r="WT142" s="6"/>
      <c r="WU142" s="6"/>
      <c r="WV142" s="6"/>
      <c r="WW142" s="6"/>
      <c r="WX142" s="6"/>
      <c r="WY142" s="6"/>
      <c r="WZ142" s="6"/>
      <c r="XA142" s="6"/>
      <c r="XB142" s="6"/>
      <c r="XC142" s="6"/>
      <c r="XD142" s="6"/>
      <c r="XE142" s="6"/>
      <c r="XF142" s="6"/>
      <c r="XG142" s="6"/>
      <c r="XH142" s="6"/>
      <c r="XI142" s="6"/>
      <c r="XJ142" s="6"/>
      <c r="XK142" s="6"/>
      <c r="XL142" s="6"/>
      <c r="XM142" s="6"/>
      <c r="XN142" s="6"/>
      <c r="XO142" s="6"/>
      <c r="XP142" s="6"/>
      <c r="XQ142" s="6"/>
      <c r="XR142" s="6"/>
      <c r="XS142" s="6"/>
      <c r="XT142" s="6"/>
      <c r="XU142" s="6"/>
      <c r="XV142" s="6"/>
      <c r="XW142" s="6"/>
      <c r="XX142" s="6"/>
      <c r="XY142" s="6"/>
      <c r="XZ142" s="6"/>
      <c r="YA142" s="6"/>
      <c r="YB142" s="6"/>
      <c r="YC142" s="6"/>
      <c r="YD142" s="6"/>
      <c r="YE142" s="6"/>
      <c r="YF142" s="6"/>
      <c r="YG142" s="6"/>
      <c r="YH142" s="6"/>
      <c r="YI142" s="6"/>
      <c r="YJ142" s="6"/>
      <c r="YK142" s="6"/>
      <c r="YL142" s="6"/>
      <c r="YM142" s="6"/>
      <c r="YN142" s="6"/>
      <c r="YO142" s="6"/>
      <c r="YP142" s="6"/>
      <c r="YQ142" s="6"/>
      <c r="YR142" s="6"/>
      <c r="YS142" s="6"/>
      <c r="YT142" s="6"/>
      <c r="YU142" s="6"/>
      <c r="YV142" s="6"/>
      <c r="YW142" s="6"/>
      <c r="YX142" s="6"/>
      <c r="YY142" s="6"/>
      <c r="YZ142" s="6"/>
      <c r="ZA142" s="6"/>
      <c r="ZB142" s="6"/>
      <c r="ZC142" s="6"/>
      <c r="ZD142" s="6"/>
      <c r="ZE142" s="6"/>
      <c r="ZF142" s="6"/>
      <c r="ZG142" s="6"/>
      <c r="ZH142" s="6"/>
      <c r="ZI142" s="6"/>
      <c r="ZJ142" s="6"/>
      <c r="ZK142" s="6"/>
      <c r="ZL142" s="6"/>
      <c r="ZM142" s="6"/>
      <c r="ZN142" s="6"/>
      <c r="ZO142" s="6"/>
      <c r="ZP142" s="6"/>
      <c r="ZQ142" s="6"/>
      <c r="ZR142" s="6"/>
      <c r="ZS142" s="6"/>
      <c r="ZT142" s="6"/>
      <c r="ZU142" s="6"/>
      <c r="ZV142" s="6"/>
      <c r="ZW142" s="6"/>
      <c r="ZX142" s="6"/>
      <c r="ZY142" s="6"/>
      <c r="ZZ142" s="6"/>
      <c r="AAA142" s="6"/>
      <c r="AAB142" s="6"/>
      <c r="AAC142" s="6"/>
      <c r="AAD142" s="6"/>
      <c r="AAE142" s="6"/>
      <c r="AAF142" s="6"/>
      <c r="AAG142" s="6"/>
      <c r="AAH142" s="6"/>
      <c r="AAI142" s="6"/>
      <c r="AAJ142" s="6"/>
      <c r="AAK142" s="6"/>
      <c r="AAL142" s="6"/>
      <c r="AAM142" s="6"/>
      <c r="AAN142" s="6"/>
      <c r="AAO142" s="6"/>
      <c r="AAP142" s="6"/>
      <c r="AAQ142" s="6"/>
      <c r="AAR142" s="6"/>
      <c r="AAS142" s="6"/>
      <c r="AAT142" s="6"/>
      <c r="AAU142" s="6"/>
      <c r="AAV142" s="6"/>
      <c r="AAW142" s="6"/>
      <c r="AAX142" s="6"/>
      <c r="AAY142" s="6"/>
      <c r="AAZ142" s="6"/>
      <c r="ABA142" s="6"/>
      <c r="ABB142" s="6"/>
      <c r="ABC142" s="6"/>
      <c r="ABD142" s="6"/>
      <c r="ABE142" s="6"/>
      <c r="ABF142" s="6"/>
      <c r="ABG142" s="6"/>
      <c r="ABH142" s="6"/>
      <c r="ABI142" s="6"/>
      <c r="ABJ142" s="6"/>
      <c r="ABK142" s="6"/>
      <c r="ABL142" s="6"/>
      <c r="ABM142" s="6"/>
      <c r="ABN142" s="6"/>
      <c r="ABO142" s="6"/>
      <c r="ABP142" s="6"/>
      <c r="ABQ142" s="6"/>
      <c r="ABR142" s="6"/>
      <c r="ABS142" s="6"/>
      <c r="ABT142" s="6"/>
      <c r="ABU142" s="6"/>
      <c r="ABV142" s="6"/>
      <c r="ABW142" s="6"/>
      <c r="ABX142" s="6"/>
      <c r="ABY142" s="6"/>
      <c r="ABZ142" s="6"/>
      <c r="ACA142" s="6"/>
      <c r="ACB142" s="6"/>
      <c r="ACC142" s="6"/>
      <c r="ACD142" s="6"/>
      <c r="ACE142" s="6"/>
      <c r="ACF142" s="6"/>
      <c r="ACG142" s="6"/>
      <c r="ACH142" s="6"/>
      <c r="ACI142" s="6"/>
      <c r="ACJ142" s="6"/>
      <c r="ACK142" s="6"/>
      <c r="ACL142" s="6"/>
      <c r="ACM142" s="6"/>
      <c r="ACN142" s="6"/>
      <c r="ACO142" s="6"/>
      <c r="ACP142" s="6"/>
      <c r="ACQ142" s="6"/>
      <c r="ACR142" s="6"/>
      <c r="ACS142" s="6"/>
      <c r="ACT142" s="6"/>
      <c r="ACU142" s="6"/>
      <c r="ACV142" s="6"/>
      <c r="ACW142" s="6"/>
      <c r="ACX142" s="6"/>
      <c r="ACY142" s="6"/>
      <c r="ACZ142" s="6"/>
      <c r="ADA142" s="6"/>
      <c r="ADB142" s="6"/>
      <c r="ADC142" s="6"/>
      <c r="ADD142" s="6"/>
      <c r="ADE142" s="6"/>
      <c r="ADF142" s="6"/>
      <c r="ADG142" s="6"/>
      <c r="ADH142" s="6"/>
      <c r="ADI142" s="6"/>
      <c r="ADJ142" s="6"/>
      <c r="ADK142" s="6"/>
      <c r="ADL142" s="6"/>
      <c r="ADM142" s="6"/>
      <c r="ADN142" s="6"/>
      <c r="ADO142" s="6"/>
      <c r="ADP142" s="6"/>
      <c r="ADQ142" s="6"/>
      <c r="ADR142" s="6"/>
      <c r="ADS142" s="6"/>
      <c r="ADT142" s="6"/>
      <c r="ADU142" s="6"/>
      <c r="ADV142" s="6"/>
      <c r="ADW142" s="6"/>
      <c r="ADX142" s="6"/>
      <c r="ADY142" s="6"/>
      <c r="ADZ142" s="6"/>
      <c r="AEA142" s="6"/>
      <c r="AEB142" s="6"/>
      <c r="AEC142" s="6"/>
      <c r="AED142" s="6"/>
      <c r="AEE142" s="6"/>
      <c r="AEF142" s="6"/>
      <c r="AEG142" s="6"/>
      <c r="AEH142" s="6"/>
      <c r="AEI142" s="6"/>
      <c r="AEJ142" s="6"/>
      <c r="AEK142" s="6"/>
      <c r="AEL142" s="6"/>
      <c r="AEM142" s="6"/>
      <c r="AEN142" s="6"/>
      <c r="AEO142" s="6"/>
      <c r="AEP142" s="6"/>
      <c r="AEQ142" s="6"/>
      <c r="AER142" s="6"/>
      <c r="AES142" s="6"/>
      <c r="AET142" s="6"/>
      <c r="AEU142" s="6"/>
      <c r="AEV142" s="6"/>
      <c r="AEW142" s="6"/>
      <c r="AEX142" s="6"/>
      <c r="AEY142" s="6"/>
      <c r="AEZ142" s="6"/>
      <c r="AFA142" s="6"/>
      <c r="AFB142" s="6"/>
      <c r="AFC142" s="6"/>
      <c r="AFD142" s="6"/>
      <c r="AFE142" s="6"/>
      <c r="AFF142" s="6"/>
      <c r="AFG142" s="6"/>
      <c r="AFH142" s="6"/>
      <c r="AFI142" s="6"/>
      <c r="AFJ142" s="6"/>
      <c r="AFK142" s="6"/>
      <c r="AFL142" s="6"/>
      <c r="AFM142" s="6"/>
      <c r="AFN142" s="6"/>
      <c r="AFO142" s="6"/>
      <c r="AFP142" s="6"/>
      <c r="AFQ142" s="6"/>
      <c r="AFR142" s="6"/>
      <c r="AFS142" s="6"/>
      <c r="AFT142" s="6"/>
      <c r="AFU142" s="6"/>
      <c r="AFV142" s="6"/>
      <c r="AFW142" s="6"/>
      <c r="AFX142" s="6"/>
      <c r="AFY142" s="6"/>
      <c r="AFZ142" s="6"/>
      <c r="AGA142" s="6"/>
      <c r="AGB142" s="6"/>
      <c r="AGC142" s="6"/>
      <c r="AGD142" s="6"/>
      <c r="AGE142" s="6"/>
      <c r="AGF142" s="6"/>
      <c r="AGG142" s="6"/>
      <c r="AGH142" s="6"/>
      <c r="AGI142" s="6"/>
      <c r="AGJ142" s="6"/>
      <c r="AGK142" s="6"/>
      <c r="AGL142" s="6"/>
      <c r="AGM142" s="6"/>
      <c r="AGN142" s="6"/>
      <c r="AGO142" s="6"/>
      <c r="AGP142" s="6"/>
      <c r="AGQ142" s="6"/>
      <c r="AGR142" s="6"/>
      <c r="AGS142" s="6"/>
      <c r="AGT142" s="6"/>
      <c r="AGU142" s="6"/>
      <c r="AGV142" s="6"/>
      <c r="AGW142" s="6"/>
      <c r="AGX142" s="6"/>
      <c r="AGY142" s="6"/>
      <c r="AGZ142" s="6"/>
      <c r="AHA142" s="6"/>
      <c r="AHB142" s="6"/>
      <c r="AHC142" s="6"/>
      <c r="AHD142" s="6"/>
      <c r="AHE142" s="6"/>
      <c r="AHF142" s="6"/>
      <c r="AHG142" s="6"/>
      <c r="AHH142" s="6"/>
      <c r="AHI142" s="6"/>
      <c r="AHJ142" s="6"/>
      <c r="AHK142" s="6"/>
      <c r="AHL142" s="6"/>
      <c r="AHM142" s="6"/>
      <c r="AHN142" s="6"/>
      <c r="AHO142" s="6"/>
      <c r="AHP142" s="6"/>
      <c r="AHQ142" s="6"/>
      <c r="AHR142" s="6"/>
      <c r="AHS142" s="6"/>
      <c r="AHT142" s="6"/>
      <c r="AHU142" s="6"/>
      <c r="AHV142" s="6"/>
      <c r="AHW142" s="6"/>
      <c r="AHX142" s="6"/>
      <c r="AHY142" s="6"/>
      <c r="AHZ142" s="6"/>
      <c r="AIA142" s="6"/>
      <c r="AIB142" s="6"/>
      <c r="AIC142" s="6"/>
      <c r="AID142" s="6"/>
      <c r="AIE142" s="6"/>
      <c r="AIF142" s="6"/>
      <c r="AIG142" s="6"/>
      <c r="AIH142" s="6"/>
      <c r="AII142" s="6"/>
      <c r="AIJ142" s="6"/>
      <c r="AIK142" s="6"/>
      <c r="AIL142" s="6"/>
      <c r="AIM142" s="6"/>
      <c r="AIN142" s="6"/>
      <c r="AIO142" s="6"/>
      <c r="AIP142" s="6"/>
      <c r="AIQ142" s="6"/>
      <c r="AIR142" s="6"/>
      <c r="AIS142" s="6"/>
      <c r="AIT142" s="6"/>
      <c r="AIU142" s="6"/>
      <c r="AIV142" s="6"/>
      <c r="AIW142" s="6"/>
      <c r="AIX142" s="6"/>
      <c r="AIY142" s="6"/>
      <c r="AIZ142" s="6"/>
      <c r="AJA142" s="6"/>
      <c r="AJB142" s="6"/>
      <c r="AJC142" s="6"/>
      <c r="AJD142" s="6"/>
      <c r="AJE142" s="6"/>
      <c r="AJF142" s="6"/>
      <c r="AJG142" s="6"/>
      <c r="AJH142" s="6"/>
      <c r="AJI142" s="6"/>
      <c r="AJJ142" s="6"/>
      <c r="AJK142" s="6"/>
      <c r="AJL142" s="6"/>
      <c r="AJM142" s="6"/>
      <c r="AJN142" s="6"/>
      <c r="AJO142" s="6"/>
      <c r="AJP142" s="6"/>
      <c r="AJQ142" s="6"/>
      <c r="AJR142" s="6"/>
      <c r="AJS142" s="6"/>
      <c r="AJT142" s="6"/>
      <c r="AJU142" s="6"/>
      <c r="AJV142" s="6"/>
      <c r="AJW142" s="6"/>
      <c r="AJX142" s="6"/>
      <c r="AJY142" s="6"/>
      <c r="AJZ142" s="6"/>
      <c r="AKA142" s="6"/>
      <c r="AKB142" s="6"/>
      <c r="AKC142" s="6"/>
      <c r="AKD142" s="6"/>
      <c r="AKE142" s="6"/>
      <c r="AKF142" s="6"/>
      <c r="AKG142" s="6"/>
      <c r="AKH142" s="6"/>
      <c r="AKI142" s="6"/>
      <c r="AKJ142" s="6"/>
      <c r="AKK142" s="6"/>
      <c r="AKL142" s="6"/>
      <c r="AKM142" s="6"/>
      <c r="AKN142" s="6"/>
      <c r="AKO142" s="6"/>
      <c r="AKP142" s="6"/>
      <c r="AKQ142" s="6"/>
      <c r="AKR142" s="6"/>
      <c r="AKS142" s="6"/>
      <c r="AKT142" s="6"/>
      <c r="AKU142" s="6"/>
      <c r="AKV142" s="6"/>
      <c r="AKW142" s="6"/>
      <c r="AKX142" s="6"/>
      <c r="AKY142" s="6"/>
      <c r="AKZ142" s="6"/>
      <c r="ALA142" s="6"/>
      <c r="ALB142" s="6"/>
      <c r="ALC142" s="6"/>
      <c r="ALD142" s="6"/>
      <c r="ALE142" s="6"/>
      <c r="ALF142" s="6"/>
      <c r="ALG142" s="6"/>
      <c r="ALH142" s="6"/>
      <c r="ALI142" s="6"/>
      <c r="ALJ142" s="6"/>
      <c r="ALK142" s="6"/>
      <c r="ALL142" s="6"/>
      <c r="ALM142" s="6"/>
      <c r="ALN142" s="6"/>
      <c r="ALO142" s="6"/>
      <c r="ALP142" s="6"/>
      <c r="ALQ142" s="6"/>
      <c r="ALR142" s="6"/>
      <c r="ALS142" s="6"/>
      <c r="ALT142" s="6"/>
      <c r="ALU142" s="6"/>
      <c r="ALV142" s="6"/>
      <c r="ALW142" s="6"/>
      <c r="ALX142" s="6"/>
      <c r="ALY142" s="6"/>
      <c r="ALZ142" s="6"/>
      <c r="AMA142" s="6"/>
      <c r="AMB142" s="6"/>
      <c r="AMC142" s="6"/>
      <c r="AMD142" s="6"/>
      <c r="AME142" s="6"/>
      <c r="AMF142" s="6"/>
      <c r="AMG142" s="6"/>
      <c r="AMH142" s="6"/>
      <c r="AMI142" s="6"/>
      <c r="AMJ142" s="6"/>
      <c r="AMK142" s="6"/>
      <c r="AML142" s="6"/>
      <c r="AMM142" s="6"/>
      <c r="AMN142" s="6"/>
      <c r="AMO142" s="6"/>
    </row>
    <row r="143" spans="1:1029" x14ac:dyDescent="0.2">
      <c r="A143" s="3" t="str">
        <f t="shared" si="555"/>
        <v>opsd_bovin_3DQB</v>
      </c>
      <c r="B143" s="3" t="s">
        <v>920</v>
      </c>
      <c r="C143" s="3" t="s">
        <v>54</v>
      </c>
      <c r="D143" s="3" t="str">
        <f>IFERROR(MID(VLOOKUP($B143,Seqs!$A:$B,2,0),E143,1),"")</f>
        <v>P</v>
      </c>
      <c r="E143" s="3">
        <v>34</v>
      </c>
      <c r="F143" s="3" t="str">
        <f>IFERROR(MID(VLOOKUP($B143,Seqs!$A:$B,2,0),G143,1),"")</f>
        <v>H</v>
      </c>
      <c r="G143" s="3">
        <v>65</v>
      </c>
      <c r="H143" s="3" t="str">
        <f>IFERROR(MID(VLOOKUP($B143,Seqs!$A:$B,2,0),I143,1),"")</f>
        <v>K</v>
      </c>
      <c r="I143" s="23">
        <v>66</v>
      </c>
      <c r="J143" s="3" t="str">
        <f>IFERROR(MID(VLOOKUP($B143,Seqs!$A:$B,2,0),K143,1),"")</f>
        <v>R</v>
      </c>
      <c r="K143" s="23">
        <v>69</v>
      </c>
      <c r="L143" s="3" t="str">
        <f>IFERROR(MID(VLOOKUP($B143,Seqs!$A:$B,2,0),M143,1),"")</f>
        <v>T</v>
      </c>
      <c r="M143" s="3">
        <v>70</v>
      </c>
      <c r="N143" s="3" t="str">
        <f>IFERROR(MID(VLOOKUP($B143,Seqs!$A:$B,2,0),O143,1),"")</f>
        <v>H</v>
      </c>
      <c r="O143" s="3">
        <v>100</v>
      </c>
      <c r="P143" s="3" t="str">
        <f>IFERROR(MID(VLOOKUP($B143,Seqs!$A:$B,2,0),Q143,1),"")</f>
        <v>Y</v>
      </c>
      <c r="Q143" s="3">
        <v>102</v>
      </c>
      <c r="R143" s="3" t="str">
        <f>IFERROR(MID(VLOOKUP($B143,Seqs!$A:$B,2,0),S143,1),"")</f>
        <v>F</v>
      </c>
      <c r="S143" s="3">
        <v>105</v>
      </c>
      <c r="T143" s="3" t="str">
        <f>IFERROR(MID(VLOOKUP($B143,Seqs!$A:$B,2,0),U143,1),"")</f>
        <v>G</v>
      </c>
      <c r="U143" s="3">
        <v>106</v>
      </c>
      <c r="V143" s="3" t="str">
        <f>IFERROR(MID(VLOOKUP($B143,Seqs!$A:$B,2,0),W143,1),"")</f>
        <v>K</v>
      </c>
      <c r="W143" s="3">
        <v>141</v>
      </c>
      <c r="X143" s="3" t="str">
        <f>IFERROR(MID(VLOOKUP($B143,Seqs!$A:$B,2,0),Y143,1),"")</f>
        <v/>
      </c>
      <c r="Y143" s="3" t="s">
        <v>23</v>
      </c>
      <c r="Z143" s="3" t="str">
        <f>IFERROR(MID(VLOOKUP($B143,Seqs!$A:$B,2,0),AA143,1),"")</f>
        <v/>
      </c>
      <c r="AA143" s="3" t="s">
        <v>23</v>
      </c>
      <c r="AB143" s="3" t="str">
        <f>IFERROR(MID(VLOOKUP($B143,Seqs!$A:$B,2,0),AC143,1),"")</f>
        <v>G</v>
      </c>
      <c r="AC143" s="9">
        <v>149</v>
      </c>
      <c r="AD143" s="3" t="str">
        <f>IFERROR(MID(VLOOKUP($B143,Seqs!$A:$B,2,0),AE143,1),"")</f>
        <v>V</v>
      </c>
      <c r="AE143" s="3">
        <v>173</v>
      </c>
      <c r="AF143" s="3" t="str">
        <f>IFERROR(MID(VLOOKUP($B143,Seqs!$A:$B,2,0),AG143,1),"")</f>
        <v>C</v>
      </c>
      <c r="AG143" s="3">
        <v>187</v>
      </c>
      <c r="AH143" s="3" t="str">
        <f>IFERROR(MID(VLOOKUP($B143,Seqs!$A:$B,2,0),AI143,1),"")</f>
        <v>I</v>
      </c>
      <c r="AI143" s="3">
        <v>189</v>
      </c>
      <c r="AJ143" s="3" t="str">
        <f>IFERROR(MID(VLOOKUP($B143,Seqs!$A:$B,2,0),AK143,1),"")</f>
        <v>N</v>
      </c>
      <c r="AK143" s="3">
        <v>199</v>
      </c>
      <c r="AL143" s="3" t="str">
        <f>IFERROR(MID(VLOOKUP($B143,Seqs!$A:$B,2,0),AM143,1),"")</f>
        <v>Q</v>
      </c>
      <c r="AM143" s="3">
        <v>237</v>
      </c>
      <c r="AN143" s="3" t="str">
        <f>IFERROR(MID(VLOOKUP($B143,Seqs!$A:$B,2,0),AO143,1),"")</f>
        <v>A</v>
      </c>
      <c r="AO143" s="3">
        <v>241</v>
      </c>
      <c r="AP143" s="3" t="str">
        <f>IFERROR(MID(VLOOKUP($B143,Seqs!$A:$B,2,0),AQ143,1),"")</f>
        <v>H</v>
      </c>
      <c r="AQ143" s="3">
        <v>278</v>
      </c>
      <c r="AR143" s="3" t="str">
        <f>IFERROR(MID(VLOOKUP($B143,Seqs!$A:$B,2,0),AS143,1),"")</f>
        <v>G</v>
      </c>
      <c r="AS143" s="3">
        <v>284</v>
      </c>
      <c r="AT143" s="3" t="str">
        <f>IFERROR(MID(VLOOKUP($B143,Seqs!$A:$B,2,0),AU143,1),"")</f>
        <v>M</v>
      </c>
      <c r="AU143" s="3">
        <v>309</v>
      </c>
      <c r="AV143" s="3" t="str">
        <f>IFERROR(MID(VLOOKUP($B143,Seqs!$A:$B,2,0),AW143,1),"")</f>
        <v>N</v>
      </c>
      <c r="AW143" s="3">
        <v>310</v>
      </c>
      <c r="AX143" s="3" t="str">
        <f>IFERROR(MID(VLOOKUP($B143,Seqs!$A:$B,2,0),AY143,1),"")</f>
        <v>C</v>
      </c>
      <c r="AY143" s="3">
        <v>322</v>
      </c>
      <c r="AZ143" s="79" t="str">
        <f>VLOOKUP(B143,Classification!A:D,2,0)</f>
        <v>A</v>
      </c>
      <c r="BA143" s="97" t="str">
        <f>VLOOKUP(B143,Classification!A:D,4,0)</f>
        <v>Opsins</v>
      </c>
      <c r="BB143" s="27" t="b">
        <f t="shared" si="556"/>
        <v>1</v>
      </c>
      <c r="BC143" s="23">
        <f>_xlfn.AGGREGATE(9,6,CG143:CR143)-_xlfn.AGGREGATE(9,6,BU143:CF143)+12</f>
        <v>252</v>
      </c>
      <c r="BD143" s="76" t="s">
        <v>23</v>
      </c>
      <c r="BE143" s="3" t="s">
        <v>1297</v>
      </c>
      <c r="BF143" s="50" t="s">
        <v>1384</v>
      </c>
      <c r="BG143" s="50" t="s">
        <v>1384</v>
      </c>
      <c r="BH143" s="1"/>
      <c r="BI143" s="72" t="s">
        <v>1293</v>
      </c>
      <c r="BJ143" s="58" t="s">
        <v>1293</v>
      </c>
      <c r="BK143" s="58" t="s">
        <v>1293</v>
      </c>
      <c r="BL143" s="58" t="s">
        <v>1293</v>
      </c>
      <c r="BM143" s="58" t="s">
        <v>1293</v>
      </c>
      <c r="BN143" s="58" t="s">
        <v>1293</v>
      </c>
      <c r="BO143" s="58" t="s">
        <v>1293</v>
      </c>
      <c r="BP143" s="58" t="s">
        <v>1293</v>
      </c>
      <c r="BQ143" s="58" t="s">
        <v>1293</v>
      </c>
      <c r="BR143" s="58" t="s">
        <v>1293</v>
      </c>
      <c r="BS143" s="58" t="s">
        <v>1293</v>
      </c>
      <c r="BT143" s="58" t="s">
        <v>1293</v>
      </c>
      <c r="BU143" s="72">
        <f>E143</f>
        <v>34</v>
      </c>
      <c r="BV143" s="73">
        <f>I143</f>
        <v>66</v>
      </c>
      <c r="BW143" s="74">
        <f>M143</f>
        <v>70</v>
      </c>
      <c r="BX143" s="73">
        <f>Q143</f>
        <v>102</v>
      </c>
      <c r="BY143" s="74">
        <f>U143</f>
        <v>106</v>
      </c>
      <c r="BZ143" s="73" t="str">
        <f>Y143</f>
        <v>-</v>
      </c>
      <c r="CA143" s="74">
        <f>AC143</f>
        <v>149</v>
      </c>
      <c r="CB143" s="73">
        <f>AG143</f>
        <v>187</v>
      </c>
      <c r="CC143" s="74">
        <f>AK143</f>
        <v>199</v>
      </c>
      <c r="CD143" s="73">
        <f>AO143</f>
        <v>241</v>
      </c>
      <c r="CE143" s="74">
        <f>AS143</f>
        <v>284</v>
      </c>
      <c r="CF143" s="73">
        <f>AW143</f>
        <v>310</v>
      </c>
      <c r="CG143" s="72">
        <f>G143</f>
        <v>65</v>
      </c>
      <c r="CH143" s="73">
        <f>K143</f>
        <v>69</v>
      </c>
      <c r="CI143" s="74">
        <f>O143</f>
        <v>100</v>
      </c>
      <c r="CJ143" s="74">
        <f>S143</f>
        <v>105</v>
      </c>
      <c r="CK143" s="74">
        <f>W143</f>
        <v>141</v>
      </c>
      <c r="CL143" s="74" t="str">
        <f>AA143</f>
        <v>-</v>
      </c>
      <c r="CM143" s="74">
        <f>AE143</f>
        <v>173</v>
      </c>
      <c r="CN143" s="74">
        <f>AI143</f>
        <v>189</v>
      </c>
      <c r="CO143" s="74">
        <f>AM143</f>
        <v>237</v>
      </c>
      <c r="CP143" s="74">
        <f>AQ143</f>
        <v>278</v>
      </c>
      <c r="CQ143" s="74">
        <f>AU143</f>
        <v>309</v>
      </c>
      <c r="CR143" s="74">
        <f>AY143</f>
        <v>322</v>
      </c>
      <c r="CS143" s="23">
        <f>M143-K143</f>
        <v>1</v>
      </c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/>
      <c r="KD143" s="1"/>
      <c r="KE143" s="1"/>
      <c r="KF143" s="1"/>
      <c r="KG143" s="1"/>
      <c r="KH143" s="1"/>
      <c r="KI143" s="1"/>
      <c r="KJ143" s="1"/>
      <c r="KK143" s="1"/>
      <c r="KL143" s="1"/>
      <c r="KM143" s="1"/>
      <c r="KN143" s="1"/>
      <c r="KO143" s="1"/>
      <c r="KP143" s="1"/>
      <c r="KQ143" s="1"/>
      <c r="KR143" s="1"/>
      <c r="KS143" s="1"/>
      <c r="KT143" s="1"/>
      <c r="KU143" s="1"/>
      <c r="KV143" s="1"/>
      <c r="KW143" s="1"/>
      <c r="KX143" s="1"/>
      <c r="KY143" s="1"/>
      <c r="KZ143" s="1"/>
      <c r="LA143" s="1"/>
      <c r="LB143" s="1"/>
      <c r="LC143" s="1"/>
      <c r="LD143" s="1"/>
      <c r="LE143" s="1"/>
      <c r="LF143" s="1"/>
      <c r="LG143" s="1"/>
      <c r="LH143" s="1"/>
      <c r="LI143" s="1"/>
      <c r="LJ143" s="1"/>
      <c r="LK143" s="1"/>
      <c r="LL143" s="1"/>
      <c r="LM143" s="1"/>
      <c r="LN143" s="1"/>
      <c r="LO143" s="1"/>
      <c r="LP143" s="1"/>
      <c r="LQ143" s="1"/>
      <c r="LR143" s="1"/>
      <c r="LS143" s="1"/>
      <c r="LT143" s="1"/>
      <c r="LU143" s="1"/>
      <c r="LV143" s="1"/>
      <c r="LW143" s="1"/>
      <c r="LX143" s="1"/>
      <c r="LY143" s="1"/>
      <c r="LZ143" s="1"/>
      <c r="MA143" s="1"/>
      <c r="MB143" s="1"/>
      <c r="MC143" s="1"/>
      <c r="MD143" s="1"/>
      <c r="ME143" s="1"/>
      <c r="MF143" s="1"/>
      <c r="MG143" s="1"/>
      <c r="MH143" s="1"/>
      <c r="MI143" s="1"/>
      <c r="MJ143" s="1"/>
      <c r="MK143" s="1"/>
      <c r="ML143" s="1"/>
      <c r="MM143" s="1"/>
      <c r="MN143" s="1"/>
      <c r="MO143" s="1"/>
      <c r="MP143" s="1"/>
      <c r="MQ143" s="1"/>
      <c r="MR143" s="1"/>
      <c r="MS143" s="1"/>
      <c r="MT143" s="1"/>
      <c r="MU143" s="1"/>
      <c r="MV143" s="1"/>
      <c r="MW143" s="1"/>
      <c r="MX143" s="1"/>
      <c r="MY143" s="1"/>
      <c r="MZ143" s="1"/>
      <c r="NA143" s="1"/>
      <c r="NB143" s="1"/>
      <c r="NC143" s="1"/>
      <c r="ND143" s="1"/>
      <c r="NE143" s="1"/>
      <c r="NF143" s="1"/>
      <c r="NG143" s="1"/>
      <c r="NH143" s="1"/>
      <c r="NI143" s="1"/>
      <c r="NJ143" s="1"/>
      <c r="NK143" s="1"/>
      <c r="NL143" s="1"/>
      <c r="NM143" s="1"/>
      <c r="NN143" s="1"/>
      <c r="NO143" s="1"/>
      <c r="NP143" s="1"/>
      <c r="NQ143" s="1"/>
      <c r="NR143" s="1"/>
      <c r="NS143" s="1"/>
      <c r="NT143" s="1"/>
      <c r="NU143" s="1"/>
      <c r="NV143" s="1"/>
      <c r="NW143" s="1"/>
      <c r="NX143" s="1"/>
      <c r="NY143" s="1"/>
      <c r="NZ143" s="1"/>
      <c r="OA143" s="1"/>
      <c r="OB143" s="1"/>
      <c r="OC143" s="1"/>
      <c r="OD143" s="1"/>
      <c r="OE143" s="1"/>
      <c r="OF143" s="1"/>
      <c r="OG143" s="1"/>
      <c r="OH143" s="1"/>
      <c r="OI143" s="1"/>
      <c r="OJ143" s="1"/>
      <c r="OK143" s="1"/>
      <c r="OL143" s="1"/>
      <c r="OM143" s="1"/>
      <c r="ON143" s="1"/>
      <c r="OO143" s="1"/>
      <c r="OP143" s="1"/>
      <c r="OQ143" s="1"/>
      <c r="OR143" s="1"/>
      <c r="OS143" s="1"/>
      <c r="OT143" s="1"/>
      <c r="OU143" s="1"/>
      <c r="OV143" s="1"/>
      <c r="OW143" s="1"/>
      <c r="OX143" s="1"/>
      <c r="OY143" s="1"/>
      <c r="OZ143" s="1"/>
      <c r="PA143" s="1"/>
      <c r="PB143" s="1"/>
      <c r="PC143" s="1"/>
      <c r="PD143" s="1"/>
      <c r="PE143" s="1"/>
      <c r="PF143" s="1"/>
      <c r="PG143" s="1"/>
      <c r="PH143" s="1"/>
      <c r="PI143" s="1"/>
      <c r="PJ143" s="1"/>
      <c r="PK143" s="1"/>
      <c r="PL143" s="1"/>
      <c r="PM143" s="1"/>
      <c r="PN143" s="1"/>
      <c r="PO143" s="1"/>
      <c r="PP143" s="1"/>
      <c r="PQ143" s="1"/>
      <c r="PR143" s="1"/>
      <c r="PS143" s="1"/>
      <c r="PT143" s="1"/>
      <c r="PU143" s="1"/>
      <c r="PV143" s="1"/>
      <c r="PW143" s="1"/>
      <c r="PX143" s="1"/>
      <c r="PY143" s="1"/>
      <c r="PZ143" s="1"/>
      <c r="QA143" s="1"/>
      <c r="QB143" s="1"/>
      <c r="QC143" s="1"/>
      <c r="QD143" s="1"/>
      <c r="QE143" s="1"/>
      <c r="QF143" s="1"/>
      <c r="QG143" s="1"/>
      <c r="QH143" s="1"/>
      <c r="QI143" s="1"/>
      <c r="QJ143" s="1"/>
      <c r="QK143" s="1"/>
      <c r="QL143" s="1"/>
      <c r="QM143" s="1"/>
      <c r="QN143" s="1"/>
      <c r="QO143" s="1"/>
      <c r="QP143" s="1"/>
      <c r="QQ143" s="1"/>
      <c r="QR143" s="1"/>
      <c r="QS143" s="1"/>
      <c r="QT143" s="1"/>
      <c r="QU143" s="1"/>
      <c r="QV143" s="1"/>
      <c r="QW143" s="1"/>
      <c r="QX143" s="1"/>
      <c r="QY143" s="1"/>
      <c r="QZ143" s="1"/>
      <c r="RA143" s="1"/>
      <c r="RB143" s="1"/>
      <c r="RC143" s="1"/>
      <c r="RD143" s="1"/>
      <c r="RE143" s="1"/>
      <c r="RF143" s="1"/>
      <c r="RG143" s="1"/>
      <c r="RH143" s="1"/>
      <c r="RI143" s="1"/>
      <c r="RJ143" s="1"/>
      <c r="RK143" s="1"/>
      <c r="RL143" s="1"/>
      <c r="RM143" s="1"/>
      <c r="RN143" s="1"/>
      <c r="RO143" s="1"/>
      <c r="RP143" s="1"/>
      <c r="RQ143" s="1"/>
      <c r="RR143" s="1"/>
      <c r="RS143" s="1"/>
      <c r="RT143" s="1"/>
      <c r="RU143" s="1"/>
      <c r="RV143" s="1"/>
      <c r="RW143" s="1"/>
      <c r="RX143" s="1"/>
      <c r="RY143" s="1"/>
      <c r="RZ143" s="1"/>
      <c r="SA143" s="1"/>
      <c r="SB143" s="1"/>
      <c r="SC143" s="1"/>
      <c r="SD143" s="1"/>
      <c r="SE143" s="1"/>
      <c r="SF143" s="1"/>
      <c r="SG143" s="1"/>
      <c r="SH143" s="1"/>
      <c r="SI143" s="1"/>
      <c r="SJ143" s="1"/>
      <c r="SK143" s="1"/>
      <c r="SL143" s="1"/>
      <c r="SM143" s="1"/>
      <c r="SN143" s="1"/>
      <c r="SO143" s="1"/>
      <c r="SP143" s="1"/>
      <c r="SQ143" s="1"/>
      <c r="SR143" s="1"/>
      <c r="SS143" s="1"/>
      <c r="ST143" s="1"/>
      <c r="SU143" s="1"/>
      <c r="SV143" s="1"/>
      <c r="SW143" s="1"/>
      <c r="SX143" s="1"/>
      <c r="SY143" s="1"/>
      <c r="SZ143" s="1"/>
      <c r="TA143" s="1"/>
      <c r="TB143" s="1"/>
      <c r="TC143" s="1"/>
      <c r="TD143" s="1"/>
      <c r="TE143" s="1"/>
      <c r="TF143" s="1"/>
      <c r="TG143" s="1"/>
      <c r="TH143" s="1"/>
      <c r="TI143" s="1"/>
      <c r="TJ143" s="1"/>
      <c r="TK143" s="1"/>
      <c r="TL143" s="1"/>
      <c r="TM143" s="1"/>
      <c r="TN143" s="1"/>
      <c r="TO143" s="1"/>
      <c r="TP143" s="1"/>
      <c r="TQ143" s="1"/>
      <c r="TR143" s="1"/>
      <c r="TS143" s="1"/>
      <c r="TT143" s="1"/>
      <c r="TU143" s="1"/>
      <c r="TV143" s="1"/>
      <c r="TW143" s="1"/>
      <c r="TX143" s="1"/>
      <c r="TY143" s="1"/>
      <c r="TZ143" s="1"/>
      <c r="UA143" s="1"/>
      <c r="UB143" s="1"/>
      <c r="UC143" s="1"/>
      <c r="UD143" s="1"/>
      <c r="UE143" s="1"/>
      <c r="UF143" s="1"/>
      <c r="UG143" s="1"/>
      <c r="UH143" s="1"/>
      <c r="UI143" s="1"/>
      <c r="UJ143" s="1"/>
      <c r="UK143" s="1"/>
      <c r="UL143" s="1"/>
      <c r="UM143" s="1"/>
      <c r="UN143" s="1"/>
      <c r="UO143" s="1"/>
      <c r="UP143" s="1"/>
      <c r="UQ143" s="1"/>
      <c r="UR143" s="1"/>
      <c r="US143" s="1"/>
      <c r="UT143" s="1"/>
      <c r="UU143" s="1"/>
      <c r="UV143" s="1"/>
      <c r="UW143" s="1"/>
      <c r="UX143" s="1"/>
      <c r="UY143" s="1"/>
      <c r="UZ143" s="1"/>
      <c r="VA143" s="1"/>
      <c r="VB143" s="1"/>
      <c r="VC143" s="1"/>
      <c r="VD143" s="1"/>
      <c r="VE143" s="1"/>
      <c r="VF143" s="1"/>
      <c r="VG143" s="1"/>
      <c r="VH143" s="1"/>
      <c r="VI143" s="1"/>
      <c r="VJ143" s="1"/>
      <c r="VK143" s="1"/>
      <c r="VL143" s="1"/>
      <c r="VM143" s="1"/>
      <c r="VN143" s="1"/>
      <c r="VO143" s="1"/>
      <c r="VP143" s="1"/>
      <c r="VQ143" s="1"/>
      <c r="VR143" s="1"/>
      <c r="VS143" s="1"/>
      <c r="VT143" s="1"/>
      <c r="VU143" s="1"/>
      <c r="VV143" s="1"/>
      <c r="VW143" s="1"/>
      <c r="VX143" s="1"/>
      <c r="VY143" s="1"/>
      <c r="VZ143" s="1"/>
      <c r="WA143" s="1"/>
      <c r="WB143" s="1"/>
      <c r="WC143" s="1"/>
      <c r="WD143" s="1"/>
      <c r="WE143" s="1"/>
      <c r="WF143" s="1"/>
      <c r="WG143" s="1"/>
      <c r="WH143" s="1"/>
      <c r="WI143" s="1"/>
      <c r="WJ143" s="1"/>
      <c r="WK143" s="1"/>
      <c r="WL143" s="1"/>
      <c r="WM143" s="1"/>
      <c r="WN143" s="1"/>
      <c r="WO143" s="1"/>
      <c r="WP143" s="1"/>
      <c r="WQ143" s="1"/>
      <c r="WR143" s="1"/>
      <c r="WS143" s="1"/>
      <c r="WT143" s="1"/>
      <c r="WU143" s="1"/>
      <c r="WV143" s="1"/>
      <c r="WW143" s="1"/>
      <c r="WX143" s="1"/>
      <c r="WY143" s="1"/>
      <c r="WZ143" s="1"/>
      <c r="XA143" s="1"/>
      <c r="XB143" s="1"/>
      <c r="XC143" s="1"/>
      <c r="XD143" s="1"/>
      <c r="XE143" s="1"/>
      <c r="XF143" s="1"/>
      <c r="XG143" s="1"/>
      <c r="XH143" s="1"/>
      <c r="XI143" s="1"/>
      <c r="XJ143" s="1"/>
      <c r="XK143" s="1"/>
      <c r="XL143" s="1"/>
      <c r="XM143" s="1"/>
      <c r="XN143" s="1"/>
      <c r="XO143" s="1"/>
      <c r="XP143" s="1"/>
      <c r="XQ143" s="1"/>
      <c r="XR143" s="1"/>
      <c r="XS143" s="1"/>
      <c r="XT143" s="1"/>
      <c r="XU143" s="1"/>
      <c r="XV143" s="1"/>
      <c r="XW143" s="1"/>
      <c r="XX143" s="1"/>
      <c r="XY143" s="1"/>
      <c r="XZ143" s="1"/>
      <c r="YA143" s="1"/>
      <c r="YB143" s="1"/>
      <c r="YC143" s="1"/>
      <c r="YD143" s="1"/>
      <c r="YE143" s="1"/>
      <c r="YF143" s="1"/>
      <c r="YG143" s="1"/>
      <c r="YH143" s="1"/>
      <c r="YI143" s="1"/>
      <c r="YJ143" s="1"/>
      <c r="YK143" s="1"/>
      <c r="YL143" s="1"/>
      <c r="YM143" s="1"/>
      <c r="YN143" s="1"/>
      <c r="YO143" s="1"/>
      <c r="YP143" s="1"/>
      <c r="YQ143" s="1"/>
      <c r="YR143" s="1"/>
      <c r="YS143" s="1"/>
      <c r="YT143" s="1"/>
      <c r="YU143" s="1"/>
      <c r="YV143" s="1"/>
      <c r="YW143" s="1"/>
      <c r="YX143" s="1"/>
      <c r="YY143" s="1"/>
      <c r="YZ143" s="1"/>
      <c r="ZA143" s="1"/>
      <c r="ZB143" s="1"/>
      <c r="ZC143" s="1"/>
      <c r="ZD143" s="1"/>
      <c r="ZE143" s="1"/>
      <c r="ZF143" s="1"/>
      <c r="ZG143" s="1"/>
      <c r="ZH143" s="1"/>
      <c r="ZI143" s="1"/>
      <c r="ZJ143" s="1"/>
      <c r="ZK143" s="1"/>
      <c r="ZL143" s="1"/>
      <c r="ZM143" s="1"/>
      <c r="ZN143" s="1"/>
      <c r="ZO143" s="1"/>
      <c r="ZP143" s="1"/>
      <c r="ZQ143" s="1"/>
      <c r="ZR143" s="1"/>
      <c r="ZS143" s="1"/>
      <c r="ZT143" s="1"/>
      <c r="ZU143" s="1"/>
      <c r="ZV143" s="1"/>
      <c r="ZW143" s="1"/>
      <c r="ZX143" s="1"/>
      <c r="ZY143" s="1"/>
      <c r="ZZ143" s="1"/>
      <c r="AAA143" s="1"/>
      <c r="AAB143" s="1"/>
      <c r="AAC143" s="1"/>
      <c r="AAD143" s="1"/>
      <c r="AAE143" s="1"/>
      <c r="AAF143" s="1"/>
      <c r="AAG143" s="1"/>
      <c r="AAH143" s="1"/>
      <c r="AAI143" s="1"/>
      <c r="AAJ143" s="1"/>
      <c r="AAK143" s="1"/>
      <c r="AAL143" s="1"/>
      <c r="AAM143" s="1"/>
      <c r="AAN143" s="1"/>
      <c r="AAO143" s="1"/>
      <c r="AAP143" s="1"/>
      <c r="AAQ143" s="1"/>
      <c r="AAR143" s="1"/>
      <c r="AAS143" s="1"/>
      <c r="AAT143" s="1"/>
      <c r="AAU143" s="1"/>
      <c r="AAV143" s="1"/>
      <c r="AAW143" s="1"/>
      <c r="AAX143" s="1"/>
      <c r="AAY143" s="1"/>
      <c r="AAZ143" s="1"/>
      <c r="ABA143" s="1"/>
      <c r="ABB143" s="1"/>
      <c r="ABC143" s="1"/>
      <c r="ABD143" s="1"/>
      <c r="ABE143" s="1"/>
      <c r="ABF143" s="1"/>
      <c r="ABG143" s="1"/>
      <c r="ABH143" s="1"/>
      <c r="ABI143" s="1"/>
      <c r="ABJ143" s="1"/>
      <c r="ABK143" s="1"/>
      <c r="ABL143" s="1"/>
      <c r="ABM143" s="1"/>
      <c r="ABN143" s="1"/>
      <c r="ABO143" s="1"/>
      <c r="ABP143" s="1"/>
      <c r="ABQ143" s="1"/>
      <c r="ABR143" s="1"/>
      <c r="ABS143" s="1"/>
      <c r="ABT143" s="1"/>
      <c r="ABU143" s="1"/>
      <c r="ABV143" s="1"/>
      <c r="ABW143" s="1"/>
      <c r="ABX143" s="1"/>
      <c r="ABY143" s="1"/>
      <c r="ABZ143" s="1"/>
      <c r="ACA143" s="1"/>
      <c r="ACB143" s="1"/>
      <c r="ACC143" s="1"/>
      <c r="ACD143" s="1"/>
      <c r="ACE143" s="1"/>
      <c r="ACF143" s="1"/>
      <c r="ACG143" s="1"/>
      <c r="ACH143" s="1"/>
      <c r="ACI143" s="1"/>
      <c r="ACJ143" s="1"/>
      <c r="ACK143" s="1"/>
      <c r="ACL143" s="1"/>
      <c r="ACM143" s="1"/>
      <c r="ACN143" s="1"/>
      <c r="ACO143" s="1"/>
      <c r="ACP143" s="1"/>
      <c r="ACQ143" s="1"/>
      <c r="ACR143" s="1"/>
      <c r="ACS143" s="1"/>
      <c r="ACT143" s="1"/>
      <c r="ACU143" s="1"/>
      <c r="ACV143" s="1"/>
      <c r="ACW143" s="1"/>
      <c r="ACX143" s="1"/>
      <c r="ACY143" s="1"/>
      <c r="ACZ143" s="1"/>
      <c r="ADA143" s="1"/>
      <c r="ADB143" s="1"/>
      <c r="ADC143" s="1"/>
      <c r="ADD143" s="1"/>
      <c r="ADE143" s="1"/>
      <c r="ADF143" s="1"/>
      <c r="ADG143" s="1"/>
      <c r="ADH143" s="1"/>
      <c r="ADI143" s="1"/>
      <c r="ADJ143" s="1"/>
      <c r="ADK143" s="1"/>
      <c r="ADL143" s="1"/>
      <c r="ADM143" s="1"/>
      <c r="ADN143" s="1"/>
      <c r="ADO143" s="1"/>
      <c r="ADP143" s="1"/>
      <c r="ADQ143" s="1"/>
      <c r="ADR143" s="1"/>
      <c r="ADS143" s="1"/>
      <c r="ADT143" s="1"/>
      <c r="ADU143" s="1"/>
      <c r="ADV143" s="1"/>
      <c r="ADW143" s="1"/>
      <c r="ADX143" s="1"/>
      <c r="ADY143" s="1"/>
      <c r="ADZ143" s="1"/>
      <c r="AEA143" s="1"/>
      <c r="AEB143" s="1"/>
      <c r="AEC143" s="1"/>
      <c r="AED143" s="1"/>
      <c r="AEE143" s="1"/>
      <c r="AEF143" s="1"/>
      <c r="AEG143" s="1"/>
      <c r="AEH143" s="1"/>
      <c r="AEI143" s="1"/>
      <c r="AEJ143" s="1"/>
      <c r="AEK143" s="1"/>
      <c r="AEL143" s="1"/>
      <c r="AEM143" s="1"/>
      <c r="AEN143" s="1"/>
      <c r="AEO143" s="1"/>
      <c r="AEP143" s="1"/>
      <c r="AEQ143" s="1"/>
      <c r="AER143" s="1"/>
      <c r="AES143" s="1"/>
      <c r="AET143" s="1"/>
      <c r="AEU143" s="1"/>
      <c r="AEV143" s="1"/>
      <c r="AEW143" s="1"/>
      <c r="AEX143" s="1"/>
      <c r="AEY143" s="1"/>
      <c r="AEZ143" s="1"/>
      <c r="AFA143" s="1"/>
      <c r="AFB143" s="1"/>
      <c r="AFC143" s="1"/>
      <c r="AFD143" s="1"/>
      <c r="AFE143" s="1"/>
      <c r="AFF143" s="1"/>
      <c r="AFG143" s="1"/>
      <c r="AFH143" s="1"/>
      <c r="AFI143" s="1"/>
      <c r="AFJ143" s="1"/>
      <c r="AFK143" s="1"/>
      <c r="AFL143" s="1"/>
      <c r="AFM143" s="1"/>
      <c r="AFN143" s="1"/>
      <c r="AFO143" s="1"/>
      <c r="AFP143" s="1"/>
      <c r="AFQ143" s="1"/>
      <c r="AFR143" s="1"/>
      <c r="AFS143" s="1"/>
      <c r="AFT143" s="1"/>
      <c r="AFU143" s="1"/>
      <c r="AFV143" s="1"/>
      <c r="AFW143" s="1"/>
      <c r="AFX143" s="1"/>
      <c r="AFY143" s="1"/>
      <c r="AFZ143" s="1"/>
      <c r="AGA143" s="1"/>
      <c r="AGB143" s="1"/>
      <c r="AGC143" s="1"/>
      <c r="AGD143" s="1"/>
      <c r="AGE143" s="1"/>
      <c r="AGF143" s="1"/>
      <c r="AGG143" s="1"/>
      <c r="AGH143" s="1"/>
      <c r="AGI143" s="1"/>
      <c r="AGJ143" s="1"/>
      <c r="AGK143" s="1"/>
      <c r="AGL143" s="1"/>
      <c r="AGM143" s="1"/>
      <c r="AGN143" s="1"/>
      <c r="AGO143" s="1"/>
      <c r="AGP143" s="1"/>
      <c r="AGQ143" s="1"/>
      <c r="AGR143" s="1"/>
      <c r="AGS143" s="1"/>
      <c r="AGT143" s="1"/>
      <c r="AGU143" s="1"/>
      <c r="AGV143" s="1"/>
      <c r="AGW143" s="1"/>
      <c r="AGX143" s="1"/>
      <c r="AGY143" s="1"/>
      <c r="AGZ143" s="1"/>
      <c r="AHA143" s="1"/>
      <c r="AHB143" s="1"/>
      <c r="AHC143" s="1"/>
      <c r="AHD143" s="1"/>
      <c r="AHE143" s="1"/>
      <c r="AHF143" s="1"/>
      <c r="AHG143" s="1"/>
      <c r="AHH143" s="1"/>
      <c r="AHI143" s="1"/>
      <c r="AHJ143" s="1"/>
      <c r="AHK143" s="1"/>
      <c r="AHL143" s="1"/>
      <c r="AHM143" s="1"/>
      <c r="AHN143" s="1"/>
      <c r="AHO143" s="1"/>
      <c r="AHP143" s="1"/>
      <c r="AHQ143" s="1"/>
      <c r="AHR143" s="1"/>
      <c r="AHS143" s="1"/>
      <c r="AHT143" s="1"/>
      <c r="AHU143" s="1"/>
      <c r="AHV143" s="1"/>
      <c r="AHW143" s="1"/>
      <c r="AHX143" s="1"/>
      <c r="AHY143" s="1"/>
      <c r="AHZ143" s="1"/>
      <c r="AIA143" s="1"/>
      <c r="AIB143" s="1"/>
      <c r="AIC143" s="1"/>
      <c r="AID143" s="1"/>
      <c r="AIE143" s="1"/>
      <c r="AIF143" s="1"/>
      <c r="AIG143" s="1"/>
      <c r="AIH143" s="1"/>
      <c r="AII143" s="1"/>
      <c r="AIJ143" s="1"/>
      <c r="AIK143" s="1"/>
      <c r="AIL143" s="1"/>
      <c r="AIM143" s="1"/>
      <c r="AIN143" s="1"/>
      <c r="AIO143" s="1"/>
      <c r="AIP143" s="1"/>
      <c r="AIQ143" s="1"/>
      <c r="AIR143" s="1"/>
      <c r="AIS143" s="1"/>
      <c r="AIT143" s="1"/>
      <c r="AIU143" s="1"/>
      <c r="AIV143" s="1"/>
      <c r="AIW143" s="1"/>
      <c r="AIX143" s="1"/>
      <c r="AIY143" s="1"/>
      <c r="AIZ143" s="1"/>
      <c r="AJA143" s="1"/>
      <c r="AJB143" s="1"/>
      <c r="AJC143" s="1"/>
      <c r="AJD143" s="1"/>
      <c r="AJE143" s="1"/>
      <c r="AJF143" s="1"/>
      <c r="AJG143" s="1"/>
      <c r="AJH143" s="1"/>
      <c r="AJI143" s="1"/>
      <c r="AJJ143" s="1"/>
      <c r="AJK143" s="1"/>
      <c r="AJL143" s="1"/>
      <c r="AJM143" s="1"/>
      <c r="AJN143" s="1"/>
      <c r="AJO143" s="1"/>
      <c r="AJP143" s="1"/>
      <c r="AJQ143" s="1"/>
      <c r="AJR143" s="1"/>
      <c r="AJS143" s="1"/>
      <c r="AJT143" s="1"/>
      <c r="AJU143" s="1"/>
      <c r="AJV143" s="1"/>
      <c r="AJW143" s="1"/>
      <c r="AJX143" s="1"/>
      <c r="AJY143" s="1"/>
      <c r="AJZ143" s="1"/>
      <c r="AKA143" s="1"/>
      <c r="AKB143" s="1"/>
      <c r="AKC143" s="1"/>
      <c r="AKD143" s="1"/>
      <c r="AKE143" s="1"/>
      <c r="AKF143" s="1"/>
      <c r="AKG143" s="1"/>
      <c r="AKH143" s="1"/>
      <c r="AKI143" s="1"/>
      <c r="AKJ143" s="1"/>
      <c r="AKK143" s="1"/>
      <c r="AKL143" s="1"/>
      <c r="AKM143" s="1"/>
      <c r="AKN143" s="1"/>
      <c r="AKO143" s="1"/>
      <c r="AKP143" s="1"/>
      <c r="AKQ143" s="1"/>
      <c r="AKR143" s="1"/>
      <c r="AKS143" s="1"/>
      <c r="AKT143" s="1"/>
      <c r="AKU143" s="1"/>
      <c r="AKV143" s="1"/>
      <c r="AKW143" s="1"/>
      <c r="AKX143" s="1"/>
      <c r="AKY143" s="1"/>
      <c r="AKZ143" s="1"/>
      <c r="ALA143" s="1"/>
      <c r="ALB143" s="1"/>
      <c r="ALC143" s="1"/>
      <c r="ALD143" s="1"/>
      <c r="ALE143" s="1"/>
      <c r="ALF143" s="1"/>
      <c r="ALG143" s="1"/>
      <c r="ALH143" s="1"/>
      <c r="ALI143" s="1"/>
      <c r="ALJ143" s="1"/>
      <c r="ALK143" s="1"/>
      <c r="ALL143" s="1"/>
      <c r="ALM143" s="1"/>
      <c r="ALN143" s="1"/>
      <c r="ALO143" s="1"/>
      <c r="ALP143" s="1"/>
      <c r="ALQ143" s="1"/>
      <c r="ALR143" s="1"/>
      <c r="ALS143" s="1"/>
      <c r="ALT143" s="1"/>
      <c r="ALU143" s="1"/>
      <c r="ALV143" s="1"/>
      <c r="ALW143" s="1"/>
      <c r="ALX143" s="1"/>
      <c r="ALY143" s="1"/>
      <c r="ALZ143" s="1"/>
      <c r="AMA143" s="1"/>
      <c r="AMB143" s="1"/>
      <c r="AMC143" s="1"/>
      <c r="AMD143" s="1"/>
      <c r="AME143" s="1"/>
      <c r="AMF143" s="1"/>
      <c r="AMG143" s="1"/>
      <c r="AMH143" s="1"/>
      <c r="AMI143" s="1"/>
      <c r="AMJ143" s="1"/>
      <c r="AMK143" s="1"/>
      <c r="AML143" s="1"/>
      <c r="AMM143" s="1"/>
      <c r="AMN143" s="1"/>
    </row>
    <row r="144" spans="1:1029" x14ac:dyDescent="0.2">
      <c r="A144" s="3" t="str">
        <f t="shared" si="555"/>
        <v>opsd_bovin_3PQR</v>
      </c>
      <c r="B144" s="3" t="s">
        <v>920</v>
      </c>
      <c r="C144" s="3" t="s">
        <v>1033</v>
      </c>
      <c r="D144" s="3" t="str">
        <f>IFERROR(MID(VLOOKUP($B144,Seqs!$A:$B,2,0),E144,1),"")</f>
        <v>P</v>
      </c>
      <c r="E144" s="3">
        <v>34</v>
      </c>
      <c r="F144" s="3" t="str">
        <f>IFERROR(MID(VLOOKUP($B144,Seqs!$A:$B,2,0),G144,1),"")</f>
        <v>H</v>
      </c>
      <c r="G144" s="3">
        <v>65</v>
      </c>
      <c r="H144" s="3" t="str">
        <f>IFERROR(MID(VLOOKUP($B144,Seqs!$A:$B,2,0),I144,1),"")</f>
        <v>K</v>
      </c>
      <c r="I144" s="23">
        <v>66</v>
      </c>
      <c r="J144" s="3" t="str">
        <f>IFERROR(MID(VLOOKUP($B144,Seqs!$A:$B,2,0),K144,1),"")</f>
        <v>R</v>
      </c>
      <c r="K144" s="23">
        <v>69</v>
      </c>
      <c r="L144" s="3" t="str">
        <f>IFERROR(MID(VLOOKUP($B144,Seqs!$A:$B,2,0),M144,1),"")</f>
        <v>T</v>
      </c>
      <c r="M144" s="3">
        <v>70</v>
      </c>
      <c r="N144" s="3" t="str">
        <f>IFERROR(MID(VLOOKUP($B144,Seqs!$A:$B,2,0),O144,1),"")</f>
        <v>H</v>
      </c>
      <c r="O144" s="3">
        <v>100</v>
      </c>
      <c r="P144" s="3" t="str">
        <f>IFERROR(MID(VLOOKUP($B144,Seqs!$A:$B,2,0),Q144,1),"")</f>
        <v>Y</v>
      </c>
      <c r="Q144" s="3">
        <v>102</v>
      </c>
      <c r="R144" s="3" t="str">
        <f>IFERROR(MID(VLOOKUP($B144,Seqs!$A:$B,2,0),S144,1),"")</f>
        <v>F</v>
      </c>
      <c r="S144" s="3">
        <v>105</v>
      </c>
      <c r="T144" s="3" t="str">
        <f>IFERROR(MID(VLOOKUP($B144,Seqs!$A:$B,2,0),U144,1),"")</f>
        <v>G</v>
      </c>
      <c r="U144" s="3">
        <v>106</v>
      </c>
      <c r="V144" s="3" t="str">
        <f>IFERROR(MID(VLOOKUP($B144,Seqs!$A:$B,2,0),W144,1),"")</f>
        <v>K</v>
      </c>
      <c r="W144" s="3">
        <v>141</v>
      </c>
      <c r="X144" s="3" t="str">
        <f>IFERROR(MID(VLOOKUP($B144,Seqs!$A:$B,2,0),Y144,1),"")</f>
        <v/>
      </c>
      <c r="Y144" s="3" t="s">
        <v>23</v>
      </c>
      <c r="Z144" s="3" t="str">
        <f>IFERROR(MID(VLOOKUP($B144,Seqs!$A:$B,2,0),AA144,1),"")</f>
        <v/>
      </c>
      <c r="AA144" s="3" t="s">
        <v>23</v>
      </c>
      <c r="AB144" s="3" t="str">
        <f>IFERROR(MID(VLOOKUP($B144,Seqs!$A:$B,2,0),AC144,1),"")</f>
        <v>G</v>
      </c>
      <c r="AC144" s="9">
        <v>149</v>
      </c>
      <c r="AD144" s="3" t="str">
        <f>IFERROR(MID(VLOOKUP($B144,Seqs!$A:$B,2,0),AE144,1),"")</f>
        <v>V</v>
      </c>
      <c r="AE144" s="3">
        <v>173</v>
      </c>
      <c r="AF144" s="3" t="str">
        <f>IFERROR(MID(VLOOKUP($B144,Seqs!$A:$B,2,0),AG144,1),"")</f>
        <v>C</v>
      </c>
      <c r="AG144" s="3">
        <v>187</v>
      </c>
      <c r="AH144" s="3" t="str">
        <f>IFERROR(MID(VLOOKUP($B144,Seqs!$A:$B,2,0),AI144,1),"")</f>
        <v>I</v>
      </c>
      <c r="AI144" s="3">
        <v>189</v>
      </c>
      <c r="AJ144" s="3" t="str">
        <f>IFERROR(MID(VLOOKUP($B144,Seqs!$A:$B,2,0),AK144,1),"")</f>
        <v>N</v>
      </c>
      <c r="AK144" s="3">
        <v>199</v>
      </c>
      <c r="AL144" s="3" t="str">
        <f>IFERROR(MID(VLOOKUP($B144,Seqs!$A:$B,2,0),AM144,1),"")</f>
        <v>Q</v>
      </c>
      <c r="AM144" s="3">
        <v>237</v>
      </c>
      <c r="AN144" s="3" t="str">
        <f>IFERROR(MID(VLOOKUP($B144,Seqs!$A:$B,2,0),AO144,1),"")</f>
        <v>A</v>
      </c>
      <c r="AO144" s="3">
        <v>241</v>
      </c>
      <c r="AP144" s="3" t="str">
        <f>IFERROR(MID(VLOOKUP($B144,Seqs!$A:$B,2,0),AQ144,1),"")</f>
        <v>H</v>
      </c>
      <c r="AQ144" s="3">
        <v>278</v>
      </c>
      <c r="AR144" s="3" t="str">
        <f>IFERROR(MID(VLOOKUP($B144,Seqs!$A:$B,2,0),AS144,1),"")</f>
        <v>G</v>
      </c>
      <c r="AS144" s="3">
        <v>284</v>
      </c>
      <c r="AT144" s="3" t="str">
        <f>IFERROR(MID(VLOOKUP($B144,Seqs!$A:$B,2,0),AU144,1),"")</f>
        <v>M</v>
      </c>
      <c r="AU144" s="3">
        <v>309</v>
      </c>
      <c r="AV144" s="3" t="str">
        <f>IFERROR(MID(VLOOKUP($B144,Seqs!$A:$B,2,0),AW144,1),"")</f>
        <v>N</v>
      </c>
      <c r="AW144" s="3">
        <v>310</v>
      </c>
      <c r="AX144" s="3" t="str">
        <f>IFERROR(MID(VLOOKUP($B144,Seqs!$A:$B,2,0),AY144,1),"")</f>
        <v>C</v>
      </c>
      <c r="AY144" s="3">
        <v>322</v>
      </c>
      <c r="AZ144" s="79" t="str">
        <f>VLOOKUP(B144,Classification!A:D,2,0)</f>
        <v>A</v>
      </c>
      <c r="BA144" s="97" t="str">
        <f>VLOOKUP(B144,Classification!A:D,4,0)</f>
        <v>Opsins</v>
      </c>
      <c r="BB144" s="27" t="b">
        <f t="shared" si="556"/>
        <v>1</v>
      </c>
      <c r="BC144" s="23">
        <f>_xlfn.AGGREGATE(9,6,CG144:CR144)-_xlfn.AGGREGATE(9,6,BU144:CF144)+12</f>
        <v>252</v>
      </c>
      <c r="BD144" s="4" t="s">
        <v>23</v>
      </c>
      <c r="BE144" s="3" t="s">
        <v>1297</v>
      </c>
      <c r="BF144" s="50" t="s">
        <v>1384</v>
      </c>
      <c r="BG144" s="50" t="s">
        <v>1384</v>
      </c>
      <c r="BH144" s="1"/>
      <c r="BI144" s="72" t="s">
        <v>1293</v>
      </c>
      <c r="BJ144" s="58" t="s">
        <v>1293</v>
      </c>
      <c r="BK144" s="58" t="s">
        <v>1293</v>
      </c>
      <c r="BL144" s="58" t="s">
        <v>1293</v>
      </c>
      <c r="BM144" s="58" t="s">
        <v>1293</v>
      </c>
      <c r="BN144" s="58" t="s">
        <v>1293</v>
      </c>
      <c r="BO144" s="58" t="s">
        <v>1293</v>
      </c>
      <c r="BP144" s="58" t="s">
        <v>1293</v>
      </c>
      <c r="BQ144" s="58" t="s">
        <v>1293</v>
      </c>
      <c r="BR144" s="58" t="s">
        <v>1293</v>
      </c>
      <c r="BS144" s="58" t="s">
        <v>1293</v>
      </c>
      <c r="BT144" s="58" t="s">
        <v>1293</v>
      </c>
      <c r="BU144" s="72">
        <f>E144</f>
        <v>34</v>
      </c>
      <c r="BV144" s="73">
        <f>I144</f>
        <v>66</v>
      </c>
      <c r="BW144" s="74">
        <f>M144</f>
        <v>70</v>
      </c>
      <c r="BX144" s="73">
        <f>Q144</f>
        <v>102</v>
      </c>
      <c r="BY144" s="74">
        <f>U144</f>
        <v>106</v>
      </c>
      <c r="BZ144" s="73" t="str">
        <f>Y144</f>
        <v>-</v>
      </c>
      <c r="CA144" s="74">
        <f>AC144</f>
        <v>149</v>
      </c>
      <c r="CB144" s="73">
        <f>AG144</f>
        <v>187</v>
      </c>
      <c r="CC144" s="74">
        <f>AK144</f>
        <v>199</v>
      </c>
      <c r="CD144" s="73">
        <f>AO144</f>
        <v>241</v>
      </c>
      <c r="CE144" s="74">
        <f>AS144</f>
        <v>284</v>
      </c>
      <c r="CF144" s="73">
        <f>AW144</f>
        <v>310</v>
      </c>
      <c r="CG144" s="72">
        <f>G144</f>
        <v>65</v>
      </c>
      <c r="CH144" s="73">
        <f>K144</f>
        <v>69</v>
      </c>
      <c r="CI144" s="74">
        <f>O144</f>
        <v>100</v>
      </c>
      <c r="CJ144" s="74">
        <f>S144</f>
        <v>105</v>
      </c>
      <c r="CK144" s="74">
        <f>W144</f>
        <v>141</v>
      </c>
      <c r="CL144" s="74" t="str">
        <f>AA144</f>
        <v>-</v>
      </c>
      <c r="CM144" s="74">
        <f>AE144</f>
        <v>173</v>
      </c>
      <c r="CN144" s="74">
        <f>AI144</f>
        <v>189</v>
      </c>
      <c r="CO144" s="74">
        <f>AM144</f>
        <v>237</v>
      </c>
      <c r="CP144" s="74">
        <f>AQ144</f>
        <v>278</v>
      </c>
      <c r="CQ144" s="74">
        <f>AU144</f>
        <v>309</v>
      </c>
      <c r="CR144" s="74">
        <f>AY144</f>
        <v>322</v>
      </c>
      <c r="CS144" s="23">
        <f>M144-K144</f>
        <v>1</v>
      </c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  <c r="LI144" s="1"/>
      <c r="LJ144" s="1"/>
      <c r="LK144" s="1"/>
      <c r="LL144" s="1"/>
      <c r="LM144" s="1"/>
      <c r="LN144" s="1"/>
      <c r="LO144" s="1"/>
      <c r="LP144" s="1"/>
      <c r="LQ144" s="1"/>
      <c r="LR144" s="1"/>
      <c r="LS144" s="1"/>
      <c r="LT144" s="1"/>
      <c r="LU144" s="1"/>
      <c r="LV144" s="1"/>
      <c r="LW144" s="1"/>
      <c r="LX144" s="1"/>
      <c r="LY144" s="1"/>
      <c r="LZ144" s="1"/>
      <c r="MA144" s="1"/>
      <c r="MB144" s="1"/>
      <c r="MC144" s="1"/>
      <c r="MD144" s="1"/>
      <c r="ME144" s="1"/>
      <c r="MF144" s="1"/>
      <c r="MG144" s="1"/>
      <c r="MH144" s="1"/>
      <c r="MI144" s="1"/>
      <c r="MJ144" s="1"/>
      <c r="MK144" s="1"/>
      <c r="ML144" s="1"/>
      <c r="MM144" s="1"/>
      <c r="MN144" s="1"/>
      <c r="MO144" s="1"/>
      <c r="MP144" s="1"/>
      <c r="MQ144" s="1"/>
      <c r="MR144" s="1"/>
      <c r="MS144" s="1"/>
      <c r="MT144" s="1"/>
      <c r="MU144" s="1"/>
      <c r="MV144" s="1"/>
      <c r="MW144" s="1"/>
      <c r="MX144" s="1"/>
      <c r="MY144" s="1"/>
      <c r="MZ144" s="1"/>
      <c r="NA144" s="1"/>
      <c r="NB144" s="1"/>
      <c r="NC144" s="1"/>
      <c r="ND144" s="1"/>
      <c r="NE144" s="1"/>
      <c r="NF144" s="1"/>
      <c r="NG144" s="1"/>
      <c r="NH144" s="1"/>
      <c r="NI144" s="1"/>
      <c r="NJ144" s="1"/>
      <c r="NK144" s="1"/>
      <c r="NL144" s="1"/>
      <c r="NM144" s="1"/>
      <c r="NN144" s="1"/>
      <c r="NO144" s="1"/>
      <c r="NP144" s="1"/>
      <c r="NQ144" s="1"/>
      <c r="NR144" s="1"/>
      <c r="NS144" s="1"/>
      <c r="NT144" s="1"/>
      <c r="NU144" s="1"/>
      <c r="NV144" s="1"/>
      <c r="NW144" s="1"/>
      <c r="NX144" s="1"/>
      <c r="NY144" s="1"/>
      <c r="NZ144" s="1"/>
      <c r="OA144" s="1"/>
      <c r="OB144" s="1"/>
      <c r="OC144" s="1"/>
      <c r="OD144" s="1"/>
      <c r="OE144" s="1"/>
      <c r="OF144" s="1"/>
      <c r="OG144" s="1"/>
      <c r="OH144" s="1"/>
      <c r="OI144" s="1"/>
      <c r="OJ144" s="1"/>
      <c r="OK144" s="1"/>
      <c r="OL144" s="1"/>
      <c r="OM144" s="1"/>
      <c r="ON144" s="1"/>
      <c r="OO144" s="1"/>
      <c r="OP144" s="1"/>
      <c r="OQ144" s="1"/>
      <c r="OR144" s="1"/>
      <c r="OS144" s="1"/>
      <c r="OT144" s="1"/>
      <c r="OU144" s="1"/>
      <c r="OV144" s="1"/>
      <c r="OW144" s="1"/>
      <c r="OX144" s="1"/>
      <c r="OY144" s="1"/>
      <c r="OZ144" s="1"/>
      <c r="PA144" s="1"/>
      <c r="PB144" s="1"/>
      <c r="PC144" s="1"/>
      <c r="PD144" s="1"/>
      <c r="PE144" s="1"/>
      <c r="PF144" s="1"/>
      <c r="PG144" s="1"/>
      <c r="PH144" s="1"/>
      <c r="PI144" s="1"/>
      <c r="PJ144" s="1"/>
      <c r="PK144" s="1"/>
      <c r="PL144" s="1"/>
      <c r="PM144" s="1"/>
      <c r="PN144" s="1"/>
      <c r="PO144" s="1"/>
      <c r="PP144" s="1"/>
      <c r="PQ144" s="1"/>
      <c r="PR144" s="1"/>
      <c r="PS144" s="1"/>
      <c r="PT144" s="1"/>
      <c r="PU144" s="1"/>
      <c r="PV144" s="1"/>
      <c r="PW144" s="1"/>
      <c r="PX144" s="1"/>
      <c r="PY144" s="1"/>
      <c r="PZ144" s="1"/>
      <c r="QA144" s="1"/>
      <c r="QB144" s="1"/>
      <c r="QC144" s="1"/>
      <c r="QD144" s="1"/>
      <c r="QE144" s="1"/>
      <c r="QF144" s="1"/>
      <c r="QG144" s="1"/>
      <c r="QH144" s="1"/>
      <c r="QI144" s="1"/>
      <c r="QJ144" s="1"/>
      <c r="QK144" s="1"/>
      <c r="QL144" s="1"/>
      <c r="QM144" s="1"/>
      <c r="QN144" s="1"/>
      <c r="QO144" s="1"/>
      <c r="QP144" s="1"/>
      <c r="QQ144" s="1"/>
      <c r="QR144" s="1"/>
      <c r="QS144" s="1"/>
      <c r="QT144" s="1"/>
      <c r="QU144" s="1"/>
      <c r="QV144" s="1"/>
      <c r="QW144" s="1"/>
      <c r="QX144" s="1"/>
      <c r="QY144" s="1"/>
      <c r="QZ144" s="1"/>
      <c r="RA144" s="1"/>
      <c r="RB144" s="1"/>
      <c r="RC144" s="1"/>
      <c r="RD144" s="1"/>
      <c r="RE144" s="1"/>
      <c r="RF144" s="1"/>
      <c r="RG144" s="1"/>
      <c r="RH144" s="1"/>
      <c r="RI144" s="1"/>
      <c r="RJ144" s="1"/>
      <c r="RK144" s="1"/>
      <c r="RL144" s="1"/>
      <c r="RM144" s="1"/>
      <c r="RN144" s="1"/>
      <c r="RO144" s="1"/>
      <c r="RP144" s="1"/>
      <c r="RQ144" s="1"/>
      <c r="RR144" s="1"/>
      <c r="RS144" s="1"/>
      <c r="RT144" s="1"/>
      <c r="RU144" s="1"/>
      <c r="RV144" s="1"/>
      <c r="RW144" s="1"/>
      <c r="RX144" s="1"/>
      <c r="RY144" s="1"/>
      <c r="RZ144" s="1"/>
      <c r="SA144" s="1"/>
      <c r="SB144" s="1"/>
      <c r="SC144" s="1"/>
      <c r="SD144" s="1"/>
      <c r="SE144" s="1"/>
      <c r="SF144" s="1"/>
      <c r="SG144" s="1"/>
      <c r="SH144" s="1"/>
      <c r="SI144" s="1"/>
      <c r="SJ144" s="1"/>
      <c r="SK144" s="1"/>
      <c r="SL144" s="1"/>
      <c r="SM144" s="1"/>
      <c r="SN144" s="1"/>
      <c r="SO144" s="1"/>
      <c r="SP144" s="1"/>
      <c r="SQ144" s="1"/>
      <c r="SR144" s="1"/>
      <c r="SS144" s="1"/>
      <c r="ST144" s="1"/>
      <c r="SU144" s="1"/>
      <c r="SV144" s="1"/>
      <c r="SW144" s="1"/>
      <c r="SX144" s="1"/>
      <c r="SY144" s="1"/>
      <c r="SZ144" s="1"/>
      <c r="TA144" s="1"/>
      <c r="TB144" s="1"/>
      <c r="TC144" s="1"/>
      <c r="TD144" s="1"/>
      <c r="TE144" s="1"/>
      <c r="TF144" s="1"/>
      <c r="TG144" s="1"/>
      <c r="TH144" s="1"/>
      <c r="TI144" s="1"/>
      <c r="TJ144" s="1"/>
      <c r="TK144" s="1"/>
      <c r="TL144" s="1"/>
      <c r="TM144" s="1"/>
      <c r="TN144" s="1"/>
      <c r="TO144" s="1"/>
      <c r="TP144" s="1"/>
      <c r="TQ144" s="1"/>
      <c r="TR144" s="1"/>
      <c r="TS144" s="1"/>
      <c r="TT144" s="1"/>
      <c r="TU144" s="1"/>
      <c r="TV144" s="1"/>
      <c r="TW144" s="1"/>
      <c r="TX144" s="1"/>
      <c r="TY144" s="1"/>
      <c r="TZ144" s="1"/>
      <c r="UA144" s="1"/>
      <c r="UB144" s="1"/>
      <c r="UC144" s="1"/>
      <c r="UD144" s="1"/>
      <c r="UE144" s="1"/>
      <c r="UF144" s="1"/>
      <c r="UG144" s="1"/>
      <c r="UH144" s="1"/>
      <c r="UI144" s="1"/>
      <c r="UJ144" s="1"/>
      <c r="UK144" s="1"/>
      <c r="UL144" s="1"/>
      <c r="UM144" s="1"/>
      <c r="UN144" s="1"/>
      <c r="UO144" s="1"/>
      <c r="UP144" s="1"/>
      <c r="UQ144" s="1"/>
      <c r="UR144" s="1"/>
      <c r="US144" s="1"/>
      <c r="UT144" s="1"/>
      <c r="UU144" s="1"/>
      <c r="UV144" s="1"/>
      <c r="UW144" s="1"/>
      <c r="UX144" s="1"/>
      <c r="UY144" s="1"/>
      <c r="UZ144" s="1"/>
      <c r="VA144" s="1"/>
      <c r="VB144" s="1"/>
      <c r="VC144" s="1"/>
      <c r="VD144" s="1"/>
      <c r="VE144" s="1"/>
      <c r="VF144" s="1"/>
      <c r="VG144" s="1"/>
      <c r="VH144" s="1"/>
      <c r="VI144" s="1"/>
      <c r="VJ144" s="1"/>
      <c r="VK144" s="1"/>
      <c r="VL144" s="1"/>
      <c r="VM144" s="1"/>
      <c r="VN144" s="1"/>
      <c r="VO144" s="1"/>
      <c r="VP144" s="1"/>
      <c r="VQ144" s="1"/>
      <c r="VR144" s="1"/>
      <c r="VS144" s="1"/>
      <c r="VT144" s="1"/>
      <c r="VU144" s="1"/>
      <c r="VV144" s="1"/>
      <c r="VW144" s="1"/>
      <c r="VX144" s="1"/>
      <c r="VY144" s="1"/>
      <c r="VZ144" s="1"/>
      <c r="WA144" s="1"/>
      <c r="WB144" s="1"/>
      <c r="WC144" s="1"/>
      <c r="WD144" s="1"/>
      <c r="WE144" s="1"/>
      <c r="WF144" s="1"/>
      <c r="WG144" s="1"/>
      <c r="WH144" s="1"/>
      <c r="WI144" s="1"/>
      <c r="WJ144" s="1"/>
      <c r="WK144" s="1"/>
      <c r="WL144" s="1"/>
      <c r="WM144" s="1"/>
      <c r="WN144" s="1"/>
      <c r="WO144" s="1"/>
      <c r="WP144" s="1"/>
      <c r="WQ144" s="1"/>
      <c r="WR144" s="1"/>
      <c r="WS144" s="1"/>
      <c r="WT144" s="1"/>
      <c r="WU144" s="1"/>
      <c r="WV144" s="1"/>
      <c r="WW144" s="1"/>
      <c r="WX144" s="1"/>
      <c r="WY144" s="1"/>
      <c r="WZ144" s="1"/>
      <c r="XA144" s="1"/>
      <c r="XB144" s="1"/>
      <c r="XC144" s="1"/>
      <c r="XD144" s="1"/>
      <c r="XE144" s="1"/>
      <c r="XF144" s="1"/>
      <c r="XG144" s="1"/>
      <c r="XH144" s="1"/>
      <c r="XI144" s="1"/>
      <c r="XJ144" s="1"/>
      <c r="XK144" s="1"/>
      <c r="XL144" s="1"/>
      <c r="XM144" s="1"/>
      <c r="XN144" s="1"/>
      <c r="XO144" s="1"/>
      <c r="XP144" s="1"/>
      <c r="XQ144" s="1"/>
      <c r="XR144" s="1"/>
      <c r="XS144" s="1"/>
      <c r="XT144" s="1"/>
      <c r="XU144" s="1"/>
      <c r="XV144" s="1"/>
      <c r="XW144" s="1"/>
      <c r="XX144" s="1"/>
      <c r="XY144" s="1"/>
      <c r="XZ144" s="1"/>
      <c r="YA144" s="1"/>
      <c r="YB144" s="1"/>
      <c r="YC144" s="1"/>
      <c r="YD144" s="1"/>
      <c r="YE144" s="1"/>
      <c r="YF144" s="1"/>
      <c r="YG144" s="1"/>
      <c r="YH144" s="1"/>
      <c r="YI144" s="1"/>
      <c r="YJ144" s="1"/>
      <c r="YK144" s="1"/>
      <c r="YL144" s="1"/>
      <c r="YM144" s="1"/>
      <c r="YN144" s="1"/>
      <c r="YO144" s="1"/>
      <c r="YP144" s="1"/>
      <c r="YQ144" s="1"/>
      <c r="YR144" s="1"/>
      <c r="YS144" s="1"/>
      <c r="YT144" s="1"/>
      <c r="YU144" s="1"/>
      <c r="YV144" s="1"/>
      <c r="YW144" s="1"/>
      <c r="YX144" s="1"/>
      <c r="YY144" s="1"/>
      <c r="YZ144" s="1"/>
      <c r="ZA144" s="1"/>
      <c r="ZB144" s="1"/>
      <c r="ZC144" s="1"/>
      <c r="ZD144" s="1"/>
      <c r="ZE144" s="1"/>
      <c r="ZF144" s="1"/>
      <c r="ZG144" s="1"/>
      <c r="ZH144" s="1"/>
      <c r="ZI144" s="1"/>
      <c r="ZJ144" s="1"/>
      <c r="ZK144" s="1"/>
      <c r="ZL144" s="1"/>
      <c r="ZM144" s="1"/>
      <c r="ZN144" s="1"/>
      <c r="ZO144" s="1"/>
      <c r="ZP144" s="1"/>
      <c r="ZQ144" s="1"/>
      <c r="ZR144" s="1"/>
      <c r="ZS144" s="1"/>
      <c r="ZT144" s="1"/>
      <c r="ZU144" s="1"/>
      <c r="ZV144" s="1"/>
      <c r="ZW144" s="1"/>
      <c r="ZX144" s="1"/>
      <c r="ZY144" s="1"/>
      <c r="ZZ144" s="1"/>
      <c r="AAA144" s="1"/>
      <c r="AAB144" s="1"/>
      <c r="AAC144" s="1"/>
      <c r="AAD144" s="1"/>
      <c r="AAE144" s="1"/>
      <c r="AAF144" s="1"/>
      <c r="AAG144" s="1"/>
      <c r="AAH144" s="1"/>
      <c r="AAI144" s="1"/>
      <c r="AAJ144" s="1"/>
      <c r="AAK144" s="1"/>
      <c r="AAL144" s="1"/>
      <c r="AAM144" s="1"/>
      <c r="AAN144" s="1"/>
      <c r="AAO144" s="1"/>
      <c r="AAP144" s="1"/>
      <c r="AAQ144" s="1"/>
      <c r="AAR144" s="1"/>
      <c r="AAS144" s="1"/>
      <c r="AAT144" s="1"/>
      <c r="AAU144" s="1"/>
      <c r="AAV144" s="1"/>
      <c r="AAW144" s="1"/>
      <c r="AAX144" s="1"/>
      <c r="AAY144" s="1"/>
      <c r="AAZ144" s="1"/>
      <c r="ABA144" s="1"/>
      <c r="ABB144" s="1"/>
      <c r="ABC144" s="1"/>
      <c r="ABD144" s="1"/>
      <c r="ABE144" s="1"/>
      <c r="ABF144" s="1"/>
      <c r="ABG144" s="1"/>
      <c r="ABH144" s="1"/>
      <c r="ABI144" s="1"/>
      <c r="ABJ144" s="1"/>
      <c r="ABK144" s="1"/>
      <c r="ABL144" s="1"/>
      <c r="ABM144" s="1"/>
      <c r="ABN144" s="1"/>
      <c r="ABO144" s="1"/>
      <c r="ABP144" s="1"/>
      <c r="ABQ144" s="1"/>
      <c r="ABR144" s="1"/>
      <c r="ABS144" s="1"/>
      <c r="ABT144" s="1"/>
      <c r="ABU144" s="1"/>
      <c r="ABV144" s="1"/>
      <c r="ABW144" s="1"/>
      <c r="ABX144" s="1"/>
      <c r="ABY144" s="1"/>
      <c r="ABZ144" s="1"/>
      <c r="ACA144" s="1"/>
      <c r="ACB144" s="1"/>
      <c r="ACC144" s="1"/>
      <c r="ACD144" s="1"/>
      <c r="ACE144" s="1"/>
      <c r="ACF144" s="1"/>
      <c r="ACG144" s="1"/>
      <c r="ACH144" s="1"/>
      <c r="ACI144" s="1"/>
      <c r="ACJ144" s="1"/>
      <c r="ACK144" s="1"/>
      <c r="ACL144" s="1"/>
      <c r="ACM144" s="1"/>
      <c r="ACN144" s="1"/>
      <c r="ACO144" s="1"/>
      <c r="ACP144" s="1"/>
      <c r="ACQ144" s="1"/>
      <c r="ACR144" s="1"/>
      <c r="ACS144" s="1"/>
      <c r="ACT144" s="1"/>
      <c r="ACU144" s="1"/>
      <c r="ACV144" s="1"/>
      <c r="ACW144" s="1"/>
      <c r="ACX144" s="1"/>
      <c r="ACY144" s="1"/>
      <c r="ACZ144" s="1"/>
      <c r="ADA144" s="1"/>
      <c r="ADB144" s="1"/>
      <c r="ADC144" s="1"/>
      <c r="ADD144" s="1"/>
      <c r="ADE144" s="1"/>
      <c r="ADF144" s="1"/>
      <c r="ADG144" s="1"/>
      <c r="ADH144" s="1"/>
      <c r="ADI144" s="1"/>
      <c r="ADJ144" s="1"/>
      <c r="ADK144" s="1"/>
      <c r="ADL144" s="1"/>
      <c r="ADM144" s="1"/>
      <c r="ADN144" s="1"/>
      <c r="ADO144" s="1"/>
      <c r="ADP144" s="1"/>
      <c r="ADQ144" s="1"/>
      <c r="ADR144" s="1"/>
      <c r="ADS144" s="1"/>
      <c r="ADT144" s="1"/>
      <c r="ADU144" s="1"/>
      <c r="ADV144" s="1"/>
      <c r="ADW144" s="1"/>
      <c r="ADX144" s="1"/>
      <c r="ADY144" s="1"/>
      <c r="ADZ144" s="1"/>
      <c r="AEA144" s="1"/>
      <c r="AEB144" s="1"/>
      <c r="AEC144" s="1"/>
      <c r="AED144" s="1"/>
      <c r="AEE144" s="1"/>
      <c r="AEF144" s="1"/>
      <c r="AEG144" s="1"/>
      <c r="AEH144" s="1"/>
      <c r="AEI144" s="1"/>
      <c r="AEJ144" s="1"/>
      <c r="AEK144" s="1"/>
      <c r="AEL144" s="1"/>
      <c r="AEM144" s="1"/>
      <c r="AEN144" s="1"/>
      <c r="AEO144" s="1"/>
      <c r="AEP144" s="1"/>
      <c r="AEQ144" s="1"/>
      <c r="AER144" s="1"/>
      <c r="AES144" s="1"/>
      <c r="AET144" s="1"/>
      <c r="AEU144" s="1"/>
      <c r="AEV144" s="1"/>
      <c r="AEW144" s="1"/>
      <c r="AEX144" s="1"/>
      <c r="AEY144" s="1"/>
      <c r="AEZ144" s="1"/>
      <c r="AFA144" s="1"/>
      <c r="AFB144" s="1"/>
      <c r="AFC144" s="1"/>
      <c r="AFD144" s="1"/>
      <c r="AFE144" s="1"/>
      <c r="AFF144" s="1"/>
      <c r="AFG144" s="1"/>
      <c r="AFH144" s="1"/>
      <c r="AFI144" s="1"/>
      <c r="AFJ144" s="1"/>
      <c r="AFK144" s="1"/>
      <c r="AFL144" s="1"/>
      <c r="AFM144" s="1"/>
      <c r="AFN144" s="1"/>
      <c r="AFO144" s="1"/>
      <c r="AFP144" s="1"/>
      <c r="AFQ144" s="1"/>
      <c r="AFR144" s="1"/>
      <c r="AFS144" s="1"/>
      <c r="AFT144" s="1"/>
      <c r="AFU144" s="1"/>
      <c r="AFV144" s="1"/>
      <c r="AFW144" s="1"/>
      <c r="AFX144" s="1"/>
      <c r="AFY144" s="1"/>
      <c r="AFZ144" s="1"/>
      <c r="AGA144" s="1"/>
      <c r="AGB144" s="1"/>
      <c r="AGC144" s="1"/>
      <c r="AGD144" s="1"/>
      <c r="AGE144" s="1"/>
      <c r="AGF144" s="1"/>
      <c r="AGG144" s="1"/>
      <c r="AGH144" s="1"/>
      <c r="AGI144" s="1"/>
      <c r="AGJ144" s="1"/>
      <c r="AGK144" s="1"/>
      <c r="AGL144" s="1"/>
      <c r="AGM144" s="1"/>
      <c r="AGN144" s="1"/>
      <c r="AGO144" s="1"/>
      <c r="AGP144" s="1"/>
      <c r="AGQ144" s="1"/>
      <c r="AGR144" s="1"/>
      <c r="AGS144" s="1"/>
      <c r="AGT144" s="1"/>
      <c r="AGU144" s="1"/>
      <c r="AGV144" s="1"/>
      <c r="AGW144" s="1"/>
      <c r="AGX144" s="1"/>
      <c r="AGY144" s="1"/>
      <c r="AGZ144" s="1"/>
      <c r="AHA144" s="1"/>
      <c r="AHB144" s="1"/>
      <c r="AHC144" s="1"/>
      <c r="AHD144" s="1"/>
      <c r="AHE144" s="1"/>
      <c r="AHF144" s="1"/>
      <c r="AHG144" s="1"/>
      <c r="AHH144" s="1"/>
      <c r="AHI144" s="1"/>
      <c r="AHJ144" s="1"/>
      <c r="AHK144" s="1"/>
      <c r="AHL144" s="1"/>
      <c r="AHM144" s="1"/>
      <c r="AHN144" s="1"/>
      <c r="AHO144" s="1"/>
      <c r="AHP144" s="1"/>
      <c r="AHQ144" s="1"/>
      <c r="AHR144" s="1"/>
      <c r="AHS144" s="1"/>
      <c r="AHT144" s="1"/>
      <c r="AHU144" s="1"/>
      <c r="AHV144" s="1"/>
      <c r="AHW144" s="1"/>
      <c r="AHX144" s="1"/>
      <c r="AHY144" s="1"/>
      <c r="AHZ144" s="1"/>
      <c r="AIA144" s="1"/>
      <c r="AIB144" s="1"/>
      <c r="AIC144" s="1"/>
      <c r="AID144" s="1"/>
      <c r="AIE144" s="1"/>
      <c r="AIF144" s="1"/>
      <c r="AIG144" s="1"/>
      <c r="AIH144" s="1"/>
      <c r="AII144" s="1"/>
      <c r="AIJ144" s="1"/>
      <c r="AIK144" s="1"/>
      <c r="AIL144" s="1"/>
      <c r="AIM144" s="1"/>
      <c r="AIN144" s="1"/>
      <c r="AIO144" s="1"/>
      <c r="AIP144" s="1"/>
      <c r="AIQ144" s="1"/>
      <c r="AIR144" s="1"/>
      <c r="AIS144" s="1"/>
      <c r="AIT144" s="1"/>
      <c r="AIU144" s="1"/>
      <c r="AIV144" s="1"/>
      <c r="AIW144" s="1"/>
      <c r="AIX144" s="1"/>
      <c r="AIY144" s="1"/>
      <c r="AIZ144" s="1"/>
      <c r="AJA144" s="1"/>
      <c r="AJB144" s="1"/>
      <c r="AJC144" s="1"/>
      <c r="AJD144" s="1"/>
      <c r="AJE144" s="1"/>
      <c r="AJF144" s="1"/>
      <c r="AJG144" s="1"/>
      <c r="AJH144" s="1"/>
      <c r="AJI144" s="1"/>
      <c r="AJJ144" s="1"/>
      <c r="AJK144" s="1"/>
      <c r="AJL144" s="1"/>
      <c r="AJM144" s="1"/>
      <c r="AJN144" s="1"/>
      <c r="AJO144" s="1"/>
      <c r="AJP144" s="1"/>
      <c r="AJQ144" s="1"/>
      <c r="AJR144" s="1"/>
      <c r="AJS144" s="1"/>
      <c r="AJT144" s="1"/>
      <c r="AJU144" s="1"/>
      <c r="AJV144" s="1"/>
      <c r="AJW144" s="1"/>
      <c r="AJX144" s="1"/>
      <c r="AJY144" s="1"/>
      <c r="AJZ144" s="1"/>
      <c r="AKA144" s="1"/>
      <c r="AKB144" s="1"/>
      <c r="AKC144" s="1"/>
      <c r="AKD144" s="1"/>
      <c r="AKE144" s="1"/>
      <c r="AKF144" s="1"/>
      <c r="AKG144" s="1"/>
      <c r="AKH144" s="1"/>
      <c r="AKI144" s="1"/>
      <c r="AKJ144" s="1"/>
      <c r="AKK144" s="1"/>
      <c r="AKL144" s="1"/>
      <c r="AKM144" s="1"/>
      <c r="AKN144" s="1"/>
      <c r="AKO144" s="1"/>
      <c r="AKP144" s="1"/>
      <c r="AKQ144" s="1"/>
      <c r="AKR144" s="1"/>
      <c r="AKS144" s="1"/>
      <c r="AKT144" s="1"/>
      <c r="AKU144" s="1"/>
      <c r="AKV144" s="1"/>
      <c r="AKW144" s="1"/>
      <c r="AKX144" s="1"/>
      <c r="AKY144" s="1"/>
      <c r="AKZ144" s="1"/>
      <c r="ALA144" s="1"/>
      <c r="ALB144" s="1"/>
      <c r="ALC144" s="1"/>
      <c r="ALD144" s="1"/>
      <c r="ALE144" s="1"/>
      <c r="ALF144" s="1"/>
      <c r="ALG144" s="1"/>
      <c r="ALH144" s="1"/>
      <c r="ALI144" s="1"/>
      <c r="ALJ144" s="1"/>
      <c r="ALK144" s="1"/>
      <c r="ALL144" s="1"/>
      <c r="ALM144" s="1"/>
      <c r="ALN144" s="1"/>
      <c r="ALO144" s="1"/>
      <c r="ALP144" s="1"/>
      <c r="ALQ144" s="1"/>
      <c r="ALR144" s="1"/>
      <c r="ALS144" s="1"/>
      <c r="ALT144" s="1"/>
      <c r="ALU144" s="1"/>
      <c r="ALV144" s="1"/>
      <c r="ALW144" s="1"/>
      <c r="ALX144" s="1"/>
      <c r="ALY144" s="1"/>
      <c r="ALZ144" s="1"/>
      <c r="AMA144" s="1"/>
      <c r="AMB144" s="1"/>
      <c r="AMC144" s="1"/>
      <c r="AMD144" s="1"/>
      <c r="AME144" s="1"/>
      <c r="AMF144" s="1"/>
      <c r="AMG144" s="1"/>
      <c r="AMH144" s="1"/>
      <c r="AMI144" s="1"/>
      <c r="AMJ144" s="1"/>
      <c r="AMK144" s="1"/>
      <c r="AML144" s="1"/>
      <c r="AMM144" s="1"/>
      <c r="AMN144" s="1"/>
    </row>
    <row r="145" spans="1:1029" x14ac:dyDescent="0.2">
      <c r="A145" s="3" t="str">
        <f t="shared" si="555"/>
        <v>opsd_bovin_4A4M</v>
      </c>
      <c r="B145" s="2" t="s">
        <v>920</v>
      </c>
      <c r="C145" s="3" t="s">
        <v>1377</v>
      </c>
      <c r="D145" s="3" t="str">
        <f>IFERROR(MID(VLOOKUP($B145,Seqs!$A:$B,2,0),E145,1),"")</f>
        <v>P</v>
      </c>
      <c r="E145" s="3">
        <v>34</v>
      </c>
      <c r="F145" s="3" t="str">
        <f>IFERROR(MID(VLOOKUP($B145,Seqs!$A:$B,2,0),G145,1),"")</f>
        <v>H</v>
      </c>
      <c r="G145" s="3">
        <v>65</v>
      </c>
      <c r="H145" s="3" t="str">
        <f>IFERROR(MID(VLOOKUP($B145,Seqs!$A:$B,2,0),I145,1),"")</f>
        <v>K</v>
      </c>
      <c r="I145" s="23">
        <v>66</v>
      </c>
      <c r="J145" s="3" t="str">
        <f>IFERROR(MID(VLOOKUP($B145,Seqs!$A:$B,2,0),K145,1),"")</f>
        <v>R</v>
      </c>
      <c r="K145" s="23">
        <v>69</v>
      </c>
      <c r="L145" s="3" t="str">
        <f>IFERROR(MID(VLOOKUP($B145,Seqs!$A:$B,2,0),M145,1),"")</f>
        <v>T</v>
      </c>
      <c r="M145" s="3">
        <v>70</v>
      </c>
      <c r="N145" s="3" t="str">
        <f>IFERROR(MID(VLOOKUP($B145,Seqs!$A:$B,2,0),O145,1),"")</f>
        <v>H</v>
      </c>
      <c r="O145" s="3">
        <v>100</v>
      </c>
      <c r="P145" s="3" t="str">
        <f>IFERROR(MID(VLOOKUP($B145,Seqs!$A:$B,2,0),Q145,1),"")</f>
        <v>Y</v>
      </c>
      <c r="Q145" s="3">
        <v>102</v>
      </c>
      <c r="R145" s="3" t="str">
        <f>IFERROR(MID(VLOOKUP($B145,Seqs!$A:$B,2,0),S145,1),"")</f>
        <v>F</v>
      </c>
      <c r="S145" s="3">
        <v>105</v>
      </c>
      <c r="T145" s="3" t="str">
        <f>IFERROR(MID(VLOOKUP($B145,Seqs!$A:$B,2,0),U145,1),"")</f>
        <v>G</v>
      </c>
      <c r="U145" s="3">
        <v>106</v>
      </c>
      <c r="V145" s="3" t="str">
        <f>IFERROR(MID(VLOOKUP($B145,Seqs!$A:$B,2,0),W145,1),"")</f>
        <v>K</v>
      </c>
      <c r="W145" s="3">
        <v>141</v>
      </c>
      <c r="X145" s="3" t="str">
        <f>IFERROR(MID(VLOOKUP($B145,Seqs!$A:$B,2,0),Y145,1),"")</f>
        <v/>
      </c>
      <c r="Y145" s="3" t="s">
        <v>23</v>
      </c>
      <c r="Z145" s="3" t="str">
        <f>IFERROR(MID(VLOOKUP($B145,Seqs!$A:$B,2,0),AA145,1),"")</f>
        <v/>
      </c>
      <c r="AA145" s="3" t="s">
        <v>23</v>
      </c>
      <c r="AB145" s="3" t="str">
        <f>IFERROR(MID(VLOOKUP($B145,Seqs!$A:$B,2,0),AC145,1),"")</f>
        <v>G</v>
      </c>
      <c r="AC145" s="9">
        <v>149</v>
      </c>
      <c r="AD145" s="3" t="str">
        <f>IFERROR(MID(VLOOKUP($B145,Seqs!$A:$B,2,0),AE145,1),"")</f>
        <v>V</v>
      </c>
      <c r="AE145" s="3">
        <v>173</v>
      </c>
      <c r="AF145" s="3" t="str">
        <f>IFERROR(MID(VLOOKUP($B145,Seqs!$A:$B,2,0),AG145,1),"")</f>
        <v>C</v>
      </c>
      <c r="AG145" s="3">
        <v>187</v>
      </c>
      <c r="AH145" s="3" t="str">
        <f>IFERROR(MID(VLOOKUP($B145,Seqs!$A:$B,2,0),AI145,1),"")</f>
        <v>I</v>
      </c>
      <c r="AI145" s="3">
        <v>189</v>
      </c>
      <c r="AJ145" s="3" t="str">
        <f>IFERROR(MID(VLOOKUP($B145,Seqs!$A:$B,2,0),AK145,1),"")</f>
        <v>N</v>
      </c>
      <c r="AK145" s="3">
        <v>199</v>
      </c>
      <c r="AL145" s="3" t="str">
        <f>IFERROR(MID(VLOOKUP($B145,Seqs!$A:$B,2,0),AM145,1),"")</f>
        <v>Q</v>
      </c>
      <c r="AM145" s="3">
        <v>237</v>
      </c>
      <c r="AN145" s="3" t="str">
        <f>IFERROR(MID(VLOOKUP($B145,Seqs!$A:$B,2,0),AO145,1),"")</f>
        <v>A</v>
      </c>
      <c r="AO145" s="3">
        <v>241</v>
      </c>
      <c r="AP145" s="3" t="str">
        <f>IFERROR(MID(VLOOKUP($B145,Seqs!$A:$B,2,0),AQ145,1),"")</f>
        <v>H</v>
      </c>
      <c r="AQ145" s="3">
        <v>278</v>
      </c>
      <c r="AR145" s="3" t="str">
        <f>IFERROR(MID(VLOOKUP($B145,Seqs!$A:$B,2,0),AS145,1),"")</f>
        <v>G</v>
      </c>
      <c r="AS145" s="3">
        <v>284</v>
      </c>
      <c r="AT145" s="3" t="str">
        <f>IFERROR(MID(VLOOKUP($B145,Seqs!$A:$B,2,0),AU145,1),"")</f>
        <v>M</v>
      </c>
      <c r="AU145" s="3">
        <v>309</v>
      </c>
      <c r="AV145" s="3" t="str">
        <f>IFERROR(MID(VLOOKUP($B145,Seqs!$A:$B,2,0),AW145,1),"")</f>
        <v>N</v>
      </c>
      <c r="AW145" s="3">
        <v>310</v>
      </c>
      <c r="AX145" s="3" t="str">
        <f>IFERROR(MID(VLOOKUP($B145,Seqs!$A:$B,2,0),AY145,1),"")</f>
        <v>C</v>
      </c>
      <c r="AY145" s="3">
        <v>322</v>
      </c>
      <c r="AZ145" s="79" t="str">
        <f>VLOOKUP(B145,Classification!A:D,2,0)</f>
        <v>A</v>
      </c>
      <c r="BA145" s="97" t="str">
        <f>VLOOKUP(B145,Classification!A:D,4,0)</f>
        <v>Opsins</v>
      </c>
      <c r="BB145" s="27" t="b">
        <f t="shared" ref="BB145" si="612">AND(E145&lt;G145,OR(G145&lt;I145,I145="-"),OR(I145&lt;K145,I145="-"),OR(K145&lt;M145,K145="-"),M145&lt;O145,OR(O145&lt;Q145,Q145="-"),OR(Q145&lt;S145,Q145="-"),OR(S145&lt;U145,S145="-"),U145&lt;W145,OR(W145&lt;Y145,Y145="-"),OR(Y145&lt;AA145,Y145="-"),OR(AA145&lt;AC145,AA145="-"),AC145&lt;AE145,OR(AE145&lt;AG145,AG145="-"),OR(AG145&lt;AI145,AG145="-"),OR(AI145&lt;AK145,AI145="-"),AK145&lt;AM145,AM145&lt;AO145,AO145&lt;AQ145,AQ145&lt;AS145,AS145&lt;AU145,OR(AU145&lt;AW145,AW145="-"),OR(AW145&lt;AY145,AW145="-"))</f>
        <v>1</v>
      </c>
      <c r="BC145" s="23">
        <f>_xlfn.AGGREGATE(9,6,CG145:CR145)-_xlfn.AGGREGATE(9,6,BU145:CF145)+12</f>
        <v>252</v>
      </c>
      <c r="BD145" s="4" t="s">
        <v>23</v>
      </c>
      <c r="BE145" s="3" t="s">
        <v>1297</v>
      </c>
      <c r="BF145" s="50" t="s">
        <v>1384</v>
      </c>
      <c r="BG145" s="50" t="s">
        <v>1384</v>
      </c>
      <c r="BH145" s="1"/>
      <c r="BI145" s="72" t="s">
        <v>1293</v>
      </c>
      <c r="BJ145" s="58" t="s">
        <v>1293</v>
      </c>
      <c r="BK145" s="58" t="s">
        <v>1293</v>
      </c>
      <c r="BL145" s="58" t="s">
        <v>1293</v>
      </c>
      <c r="BM145" s="58" t="s">
        <v>1293</v>
      </c>
      <c r="BN145" s="58" t="s">
        <v>1293</v>
      </c>
      <c r="BO145" s="58" t="s">
        <v>1293</v>
      </c>
      <c r="BP145" s="58" t="s">
        <v>1293</v>
      </c>
      <c r="BQ145" s="58" t="s">
        <v>1293</v>
      </c>
      <c r="BR145" s="58" t="s">
        <v>1293</v>
      </c>
      <c r="BS145" s="58" t="s">
        <v>1293</v>
      </c>
      <c r="BT145" s="58" t="s">
        <v>1293</v>
      </c>
      <c r="BU145" s="72">
        <f>E145</f>
        <v>34</v>
      </c>
      <c r="BV145" s="73">
        <f>I145</f>
        <v>66</v>
      </c>
      <c r="BW145" s="74">
        <f>M145</f>
        <v>70</v>
      </c>
      <c r="BX145" s="73">
        <f>Q145</f>
        <v>102</v>
      </c>
      <c r="BY145" s="74">
        <f>U145</f>
        <v>106</v>
      </c>
      <c r="BZ145" s="73" t="str">
        <f>Y145</f>
        <v>-</v>
      </c>
      <c r="CA145" s="74">
        <f>AC145</f>
        <v>149</v>
      </c>
      <c r="CB145" s="73">
        <f>AG145</f>
        <v>187</v>
      </c>
      <c r="CC145" s="74">
        <f>AK145</f>
        <v>199</v>
      </c>
      <c r="CD145" s="73">
        <f>AO145</f>
        <v>241</v>
      </c>
      <c r="CE145" s="74">
        <f>AS145</f>
        <v>284</v>
      </c>
      <c r="CF145" s="73">
        <f>AW145</f>
        <v>310</v>
      </c>
      <c r="CG145" s="72">
        <f>G145</f>
        <v>65</v>
      </c>
      <c r="CH145" s="73">
        <f>K145</f>
        <v>69</v>
      </c>
      <c r="CI145" s="74">
        <f>O145</f>
        <v>100</v>
      </c>
      <c r="CJ145" s="74">
        <f>S145</f>
        <v>105</v>
      </c>
      <c r="CK145" s="74">
        <f>W145</f>
        <v>141</v>
      </c>
      <c r="CL145" s="74" t="str">
        <f>AA145</f>
        <v>-</v>
      </c>
      <c r="CM145" s="74">
        <f>AE145</f>
        <v>173</v>
      </c>
      <c r="CN145" s="74">
        <f>AI145</f>
        <v>189</v>
      </c>
      <c r="CO145" s="74">
        <f>AM145</f>
        <v>237</v>
      </c>
      <c r="CP145" s="74">
        <f>AQ145</f>
        <v>278</v>
      </c>
      <c r="CQ145" s="74">
        <f>AU145</f>
        <v>309</v>
      </c>
      <c r="CR145" s="74">
        <f>AY145</f>
        <v>322</v>
      </c>
      <c r="CS145" s="23">
        <f>M145-K145</f>
        <v>1</v>
      </c>
      <c r="CT145" s="6"/>
      <c r="CU145" s="6"/>
      <c r="CV145" s="6"/>
      <c r="CW145" s="6"/>
      <c r="CX145" s="6"/>
      <c r="CY145" s="6"/>
      <c r="CZ145" s="6"/>
      <c r="DA145" s="6"/>
      <c r="DB145" s="6"/>
      <c r="DC145" s="6"/>
      <c r="DD145" s="6"/>
      <c r="DE145" s="6"/>
      <c r="DF145" s="6"/>
      <c r="DG145" s="6"/>
      <c r="DH145" s="6"/>
      <c r="DI145" s="6"/>
      <c r="DJ145" s="6"/>
      <c r="DK145" s="6"/>
      <c r="DL145" s="6"/>
      <c r="DM145" s="6"/>
      <c r="DN145" s="6"/>
      <c r="DO145" s="6"/>
      <c r="DP145" s="6"/>
      <c r="DQ145" s="6"/>
      <c r="DR145" s="6"/>
      <c r="DS145" s="6"/>
      <c r="DT145" s="6"/>
      <c r="DU145" s="6"/>
      <c r="DV145" s="6"/>
      <c r="DW145" s="6"/>
      <c r="DX145" s="6"/>
      <c r="DY145" s="6"/>
      <c r="DZ145" s="6"/>
      <c r="EA145" s="6"/>
      <c r="EB145" s="6"/>
      <c r="EC145" s="6"/>
      <c r="ED145" s="6"/>
      <c r="EE145" s="6"/>
      <c r="EF145" s="6"/>
      <c r="EG145" s="6"/>
      <c r="EH145" s="6"/>
      <c r="EI145" s="6"/>
      <c r="EJ145" s="6"/>
      <c r="EK145" s="6"/>
      <c r="EL145" s="6"/>
      <c r="EM145" s="6"/>
      <c r="EN145" s="6"/>
      <c r="EO145" s="6"/>
      <c r="EP145" s="6"/>
      <c r="EQ145" s="6"/>
      <c r="ER145" s="6"/>
      <c r="ES145" s="6"/>
      <c r="ET145" s="6"/>
      <c r="EU145" s="6"/>
      <c r="EV145" s="6"/>
      <c r="EW145" s="6"/>
      <c r="EX145" s="6"/>
      <c r="EY145" s="6"/>
      <c r="EZ145" s="6"/>
      <c r="FA145" s="6"/>
      <c r="FB145" s="6"/>
      <c r="FC145" s="6"/>
      <c r="FD145" s="6"/>
      <c r="FE145" s="6"/>
      <c r="FF145" s="6"/>
      <c r="FG145" s="6"/>
      <c r="FH145" s="6"/>
      <c r="FI145" s="6"/>
      <c r="FJ145" s="6"/>
      <c r="FK145" s="6"/>
      <c r="FL145" s="6"/>
      <c r="FM145" s="6"/>
      <c r="FN145" s="6"/>
      <c r="FO145" s="6"/>
      <c r="FP145" s="6"/>
      <c r="FQ145" s="6"/>
      <c r="FR145" s="6"/>
      <c r="FS145" s="6"/>
      <c r="FT145" s="6"/>
      <c r="FU145" s="6"/>
      <c r="FV145" s="6"/>
      <c r="FW145" s="6"/>
      <c r="FX145" s="6"/>
      <c r="FY145" s="6"/>
      <c r="FZ145" s="6"/>
      <c r="GA145" s="6"/>
      <c r="GB145" s="6"/>
      <c r="GC145" s="6"/>
      <c r="GD145" s="6"/>
      <c r="GE145" s="6"/>
      <c r="GF145" s="6"/>
      <c r="GG145" s="6"/>
      <c r="GH145" s="6"/>
      <c r="GI145" s="6"/>
      <c r="GJ145" s="6"/>
      <c r="GK145" s="6"/>
      <c r="GL145" s="6"/>
      <c r="GM145" s="6"/>
      <c r="GN145" s="6"/>
      <c r="GO145" s="6"/>
      <c r="GP145" s="6"/>
      <c r="GQ145" s="6"/>
      <c r="GR145" s="6"/>
      <c r="GS145" s="6"/>
      <c r="GT145" s="6"/>
      <c r="GU145" s="6"/>
      <c r="GV145" s="6"/>
      <c r="GW145" s="6"/>
      <c r="GX145" s="6"/>
      <c r="GY145" s="6"/>
      <c r="GZ145" s="6"/>
      <c r="HA145" s="6"/>
      <c r="HB145" s="6"/>
      <c r="HC145" s="6"/>
      <c r="HD145" s="6"/>
      <c r="HE145" s="6"/>
      <c r="HF145" s="6"/>
      <c r="HG145" s="6"/>
      <c r="HH145" s="6"/>
      <c r="HI145" s="6"/>
      <c r="HJ145" s="6"/>
      <c r="HK145" s="6"/>
      <c r="HL145" s="6"/>
      <c r="HM145" s="6"/>
      <c r="HN145" s="6"/>
      <c r="HO145" s="6"/>
      <c r="HP145" s="6"/>
      <c r="HQ145" s="6"/>
      <c r="HR145" s="6"/>
      <c r="HS145" s="6"/>
      <c r="HT145" s="6"/>
      <c r="HU145" s="6"/>
      <c r="HV145" s="6"/>
      <c r="HW145" s="6"/>
      <c r="HX145" s="6"/>
      <c r="HY145" s="6"/>
      <c r="HZ145" s="6"/>
      <c r="IA145" s="6"/>
      <c r="IB145" s="6"/>
      <c r="IC145" s="6"/>
      <c r="ID145" s="6"/>
      <c r="IE145" s="6"/>
      <c r="IF145" s="6"/>
      <c r="IG145" s="6"/>
      <c r="IH145" s="6"/>
      <c r="II145" s="6"/>
      <c r="IJ145" s="6"/>
      <c r="IK145" s="6"/>
      <c r="IL145" s="6"/>
      <c r="IM145" s="6"/>
      <c r="IN145" s="6"/>
      <c r="IO145" s="6"/>
      <c r="IP145" s="6"/>
      <c r="IQ145" s="6"/>
      <c r="IR145" s="6"/>
      <c r="IS145" s="6"/>
      <c r="IT145" s="6"/>
      <c r="IU145" s="6"/>
      <c r="IV145" s="6"/>
      <c r="IW145" s="6"/>
      <c r="IX145" s="6"/>
      <c r="IY145" s="6"/>
      <c r="IZ145" s="6"/>
      <c r="JA145" s="6"/>
      <c r="JB145" s="6"/>
      <c r="JC145" s="6"/>
      <c r="JD145" s="6"/>
      <c r="JE145" s="6"/>
      <c r="JF145" s="6"/>
      <c r="JG145" s="6"/>
      <c r="JH145" s="6"/>
      <c r="JI145" s="6"/>
      <c r="JJ145" s="6"/>
      <c r="JK145" s="6"/>
      <c r="JL145" s="6"/>
      <c r="JM145" s="6"/>
      <c r="JN145" s="6"/>
      <c r="JO145" s="6"/>
      <c r="JP145" s="6"/>
      <c r="JQ145" s="6"/>
      <c r="JR145" s="6"/>
      <c r="JS145" s="6"/>
      <c r="JT145" s="6"/>
      <c r="JU145" s="6"/>
      <c r="JV145" s="6"/>
      <c r="JW145" s="6"/>
      <c r="JX145" s="6"/>
      <c r="JY145" s="6"/>
      <c r="JZ145" s="6"/>
      <c r="KA145" s="6"/>
      <c r="KB145" s="6"/>
      <c r="KC145" s="6"/>
      <c r="KD145" s="6"/>
      <c r="KE145" s="6"/>
      <c r="KF145" s="6"/>
      <c r="KG145" s="6"/>
      <c r="KH145" s="6"/>
      <c r="KI145" s="6"/>
      <c r="KJ145" s="6"/>
      <c r="KK145" s="6"/>
      <c r="KL145" s="6"/>
      <c r="KM145" s="6"/>
      <c r="KN145" s="6"/>
      <c r="KO145" s="6"/>
      <c r="KP145" s="6"/>
      <c r="KQ145" s="6"/>
      <c r="KR145" s="6"/>
      <c r="KS145" s="6"/>
      <c r="KT145" s="6"/>
      <c r="KU145" s="6"/>
      <c r="KV145" s="6"/>
      <c r="KW145" s="6"/>
      <c r="KX145" s="6"/>
      <c r="KY145" s="6"/>
      <c r="KZ145" s="6"/>
      <c r="LA145" s="6"/>
      <c r="LB145" s="6"/>
      <c r="LC145" s="6"/>
      <c r="LD145" s="6"/>
      <c r="LE145" s="6"/>
      <c r="LF145" s="6"/>
      <c r="LG145" s="6"/>
      <c r="LH145" s="6"/>
      <c r="LI145" s="6"/>
      <c r="LJ145" s="6"/>
      <c r="LK145" s="6"/>
      <c r="LL145" s="6"/>
      <c r="LM145" s="6"/>
      <c r="LN145" s="6"/>
      <c r="LO145" s="6"/>
      <c r="LP145" s="6"/>
      <c r="LQ145" s="6"/>
      <c r="LR145" s="6"/>
      <c r="LS145" s="6"/>
      <c r="LT145" s="6"/>
      <c r="LU145" s="6"/>
      <c r="LV145" s="6"/>
      <c r="LW145" s="6"/>
      <c r="LX145" s="6"/>
      <c r="LY145" s="6"/>
      <c r="LZ145" s="6"/>
      <c r="MA145" s="6"/>
      <c r="MB145" s="6"/>
      <c r="MC145" s="6"/>
      <c r="MD145" s="6"/>
      <c r="ME145" s="6"/>
      <c r="MF145" s="6"/>
      <c r="MG145" s="6"/>
      <c r="MH145" s="6"/>
      <c r="MI145" s="6"/>
      <c r="MJ145" s="6"/>
      <c r="MK145" s="6"/>
      <c r="ML145" s="6"/>
      <c r="MM145" s="6"/>
      <c r="MN145" s="6"/>
      <c r="MO145" s="6"/>
      <c r="MP145" s="6"/>
      <c r="MQ145" s="6"/>
      <c r="MR145" s="6"/>
      <c r="MS145" s="6"/>
      <c r="MT145" s="6"/>
      <c r="MU145" s="6"/>
      <c r="MV145" s="6"/>
      <c r="MW145" s="6"/>
      <c r="MX145" s="6"/>
      <c r="MY145" s="6"/>
      <c r="MZ145" s="6"/>
      <c r="NA145" s="6"/>
      <c r="NB145" s="6"/>
      <c r="NC145" s="6"/>
      <c r="ND145" s="6"/>
      <c r="NE145" s="6"/>
      <c r="NF145" s="6"/>
      <c r="NG145" s="6"/>
      <c r="NH145" s="6"/>
      <c r="NI145" s="6"/>
      <c r="NJ145" s="6"/>
      <c r="NK145" s="6"/>
      <c r="NL145" s="6"/>
      <c r="NM145" s="6"/>
      <c r="NN145" s="6"/>
      <c r="NO145" s="6"/>
      <c r="NP145" s="6"/>
      <c r="NQ145" s="6"/>
      <c r="NR145" s="6"/>
      <c r="NS145" s="6"/>
      <c r="NT145" s="6"/>
      <c r="NU145" s="6"/>
      <c r="NV145" s="6"/>
      <c r="NW145" s="6"/>
      <c r="NX145" s="6"/>
      <c r="NY145" s="6"/>
      <c r="NZ145" s="6"/>
      <c r="OA145" s="6"/>
      <c r="OB145" s="6"/>
      <c r="OC145" s="6"/>
      <c r="OD145" s="6"/>
      <c r="OE145" s="6"/>
      <c r="OF145" s="6"/>
      <c r="OG145" s="6"/>
      <c r="OH145" s="6"/>
      <c r="OI145" s="6"/>
      <c r="OJ145" s="6"/>
      <c r="OK145" s="6"/>
      <c r="OL145" s="6"/>
      <c r="OM145" s="6"/>
      <c r="ON145" s="6"/>
      <c r="OO145" s="6"/>
      <c r="OP145" s="6"/>
      <c r="OQ145" s="6"/>
      <c r="OR145" s="6"/>
      <c r="OS145" s="6"/>
      <c r="OT145" s="6"/>
      <c r="OU145" s="6"/>
      <c r="OV145" s="6"/>
      <c r="OW145" s="6"/>
      <c r="OX145" s="6"/>
      <c r="OY145" s="6"/>
      <c r="OZ145" s="6"/>
      <c r="PA145" s="6"/>
      <c r="PB145" s="6"/>
      <c r="PC145" s="6"/>
      <c r="PD145" s="6"/>
      <c r="PE145" s="6"/>
      <c r="PF145" s="6"/>
      <c r="PG145" s="6"/>
      <c r="PH145" s="6"/>
      <c r="PI145" s="6"/>
      <c r="PJ145" s="6"/>
      <c r="PK145" s="6"/>
      <c r="PL145" s="6"/>
      <c r="PM145" s="6"/>
      <c r="PN145" s="6"/>
      <c r="PO145" s="6"/>
      <c r="PP145" s="6"/>
      <c r="PQ145" s="6"/>
      <c r="PR145" s="6"/>
      <c r="PS145" s="6"/>
      <c r="PT145" s="6"/>
      <c r="PU145" s="6"/>
      <c r="PV145" s="6"/>
      <c r="PW145" s="6"/>
      <c r="PX145" s="6"/>
      <c r="PY145" s="6"/>
      <c r="PZ145" s="6"/>
      <c r="QA145" s="6"/>
      <c r="QB145" s="6"/>
      <c r="QC145" s="6"/>
      <c r="QD145" s="6"/>
      <c r="QE145" s="6"/>
      <c r="QF145" s="6"/>
      <c r="QG145" s="6"/>
      <c r="QH145" s="6"/>
      <c r="QI145" s="6"/>
      <c r="QJ145" s="6"/>
      <c r="QK145" s="6"/>
      <c r="QL145" s="6"/>
      <c r="QM145" s="6"/>
      <c r="QN145" s="6"/>
      <c r="QO145" s="6"/>
      <c r="QP145" s="6"/>
      <c r="QQ145" s="6"/>
      <c r="QR145" s="6"/>
      <c r="QS145" s="6"/>
      <c r="QT145" s="6"/>
      <c r="QU145" s="6"/>
      <c r="QV145" s="6"/>
      <c r="QW145" s="6"/>
      <c r="QX145" s="6"/>
      <c r="QY145" s="6"/>
      <c r="QZ145" s="6"/>
      <c r="RA145" s="6"/>
      <c r="RB145" s="6"/>
      <c r="RC145" s="6"/>
      <c r="RD145" s="6"/>
      <c r="RE145" s="6"/>
      <c r="RF145" s="6"/>
      <c r="RG145" s="6"/>
      <c r="RH145" s="6"/>
      <c r="RI145" s="6"/>
      <c r="RJ145" s="6"/>
      <c r="RK145" s="6"/>
      <c r="RL145" s="6"/>
      <c r="RM145" s="6"/>
      <c r="RN145" s="6"/>
      <c r="RO145" s="6"/>
      <c r="RP145" s="6"/>
      <c r="RQ145" s="6"/>
      <c r="RR145" s="6"/>
      <c r="RS145" s="6"/>
      <c r="RT145" s="6"/>
      <c r="RU145" s="6"/>
      <c r="RV145" s="6"/>
      <c r="RW145" s="6"/>
      <c r="RX145" s="6"/>
      <c r="RY145" s="6"/>
      <c r="RZ145" s="6"/>
      <c r="SA145" s="6"/>
      <c r="SB145" s="6"/>
      <c r="SC145" s="6"/>
      <c r="SD145" s="6"/>
      <c r="SE145" s="6"/>
      <c r="SF145" s="6"/>
      <c r="SG145" s="6"/>
      <c r="SH145" s="6"/>
      <c r="SI145" s="6"/>
      <c r="SJ145" s="6"/>
      <c r="SK145" s="6"/>
      <c r="SL145" s="6"/>
      <c r="SM145" s="6"/>
      <c r="SN145" s="6"/>
      <c r="SO145" s="6"/>
      <c r="SP145" s="6"/>
      <c r="SQ145" s="6"/>
      <c r="SR145" s="6"/>
      <c r="SS145" s="6"/>
      <c r="ST145" s="6"/>
      <c r="SU145" s="6"/>
      <c r="SV145" s="6"/>
      <c r="SW145" s="6"/>
      <c r="SX145" s="6"/>
      <c r="SY145" s="6"/>
      <c r="SZ145" s="6"/>
      <c r="TA145" s="6"/>
      <c r="TB145" s="6"/>
      <c r="TC145" s="6"/>
      <c r="TD145" s="6"/>
      <c r="TE145" s="6"/>
      <c r="TF145" s="6"/>
      <c r="TG145" s="6"/>
      <c r="TH145" s="6"/>
      <c r="TI145" s="6"/>
      <c r="TJ145" s="6"/>
      <c r="TK145" s="6"/>
      <c r="TL145" s="6"/>
      <c r="TM145" s="6"/>
      <c r="TN145" s="6"/>
      <c r="TO145" s="6"/>
      <c r="TP145" s="6"/>
      <c r="TQ145" s="6"/>
      <c r="TR145" s="6"/>
      <c r="TS145" s="6"/>
      <c r="TT145" s="6"/>
      <c r="TU145" s="6"/>
      <c r="TV145" s="6"/>
      <c r="TW145" s="6"/>
      <c r="TX145" s="6"/>
      <c r="TY145" s="6"/>
      <c r="TZ145" s="6"/>
      <c r="UA145" s="6"/>
      <c r="UB145" s="6"/>
      <c r="UC145" s="6"/>
      <c r="UD145" s="6"/>
      <c r="UE145" s="6"/>
      <c r="UF145" s="6"/>
      <c r="UG145" s="6"/>
      <c r="UH145" s="6"/>
      <c r="UI145" s="6"/>
      <c r="UJ145" s="6"/>
      <c r="UK145" s="6"/>
      <c r="UL145" s="6"/>
      <c r="UM145" s="6"/>
      <c r="UN145" s="6"/>
      <c r="UO145" s="6"/>
      <c r="UP145" s="6"/>
      <c r="UQ145" s="6"/>
      <c r="UR145" s="6"/>
      <c r="US145" s="6"/>
      <c r="UT145" s="6"/>
      <c r="UU145" s="6"/>
      <c r="UV145" s="6"/>
      <c r="UW145" s="6"/>
      <c r="UX145" s="6"/>
      <c r="UY145" s="6"/>
      <c r="UZ145" s="6"/>
      <c r="VA145" s="6"/>
      <c r="VB145" s="6"/>
      <c r="VC145" s="6"/>
      <c r="VD145" s="6"/>
      <c r="VE145" s="6"/>
      <c r="VF145" s="6"/>
      <c r="VG145" s="6"/>
      <c r="VH145" s="6"/>
      <c r="VI145" s="6"/>
      <c r="VJ145" s="6"/>
      <c r="VK145" s="6"/>
      <c r="VL145" s="6"/>
      <c r="VM145" s="6"/>
      <c r="VN145" s="6"/>
      <c r="VO145" s="6"/>
      <c r="VP145" s="6"/>
      <c r="VQ145" s="6"/>
      <c r="VR145" s="6"/>
      <c r="VS145" s="6"/>
      <c r="VT145" s="6"/>
      <c r="VU145" s="6"/>
      <c r="VV145" s="6"/>
      <c r="VW145" s="6"/>
      <c r="VX145" s="6"/>
      <c r="VY145" s="6"/>
      <c r="VZ145" s="6"/>
      <c r="WA145" s="6"/>
      <c r="WB145" s="6"/>
      <c r="WC145" s="6"/>
      <c r="WD145" s="6"/>
      <c r="WE145" s="6"/>
      <c r="WF145" s="6"/>
      <c r="WG145" s="6"/>
      <c r="WH145" s="6"/>
      <c r="WI145" s="6"/>
      <c r="WJ145" s="6"/>
      <c r="WK145" s="6"/>
      <c r="WL145" s="6"/>
      <c r="WM145" s="6"/>
      <c r="WN145" s="6"/>
      <c r="WO145" s="6"/>
      <c r="WP145" s="6"/>
      <c r="WQ145" s="6"/>
      <c r="WR145" s="6"/>
      <c r="WS145" s="6"/>
      <c r="WT145" s="6"/>
      <c r="WU145" s="6"/>
      <c r="WV145" s="6"/>
      <c r="WW145" s="6"/>
      <c r="WX145" s="6"/>
      <c r="WY145" s="6"/>
      <c r="WZ145" s="6"/>
      <c r="XA145" s="6"/>
      <c r="XB145" s="6"/>
      <c r="XC145" s="6"/>
      <c r="XD145" s="6"/>
      <c r="XE145" s="6"/>
      <c r="XF145" s="6"/>
      <c r="XG145" s="6"/>
      <c r="XH145" s="6"/>
      <c r="XI145" s="6"/>
      <c r="XJ145" s="6"/>
      <c r="XK145" s="6"/>
      <c r="XL145" s="6"/>
      <c r="XM145" s="6"/>
      <c r="XN145" s="6"/>
      <c r="XO145" s="6"/>
      <c r="XP145" s="6"/>
      <c r="XQ145" s="6"/>
      <c r="XR145" s="6"/>
      <c r="XS145" s="6"/>
      <c r="XT145" s="6"/>
      <c r="XU145" s="6"/>
      <c r="XV145" s="6"/>
      <c r="XW145" s="6"/>
      <c r="XX145" s="6"/>
      <c r="XY145" s="6"/>
      <c r="XZ145" s="6"/>
      <c r="YA145" s="6"/>
      <c r="YB145" s="6"/>
      <c r="YC145" s="6"/>
      <c r="YD145" s="6"/>
      <c r="YE145" s="6"/>
      <c r="YF145" s="6"/>
      <c r="YG145" s="6"/>
      <c r="YH145" s="6"/>
      <c r="YI145" s="6"/>
      <c r="YJ145" s="6"/>
      <c r="YK145" s="6"/>
      <c r="YL145" s="6"/>
      <c r="YM145" s="6"/>
      <c r="YN145" s="6"/>
      <c r="YO145" s="6"/>
      <c r="YP145" s="6"/>
      <c r="YQ145" s="6"/>
      <c r="YR145" s="6"/>
      <c r="YS145" s="6"/>
      <c r="YT145" s="6"/>
      <c r="YU145" s="6"/>
      <c r="YV145" s="6"/>
      <c r="YW145" s="6"/>
      <c r="YX145" s="6"/>
      <c r="YY145" s="6"/>
      <c r="YZ145" s="6"/>
      <c r="ZA145" s="6"/>
      <c r="ZB145" s="6"/>
      <c r="ZC145" s="6"/>
      <c r="ZD145" s="6"/>
      <c r="ZE145" s="6"/>
      <c r="ZF145" s="6"/>
      <c r="ZG145" s="6"/>
      <c r="ZH145" s="6"/>
      <c r="ZI145" s="6"/>
      <c r="ZJ145" s="6"/>
      <c r="ZK145" s="6"/>
      <c r="ZL145" s="6"/>
      <c r="ZM145" s="6"/>
      <c r="ZN145" s="6"/>
      <c r="ZO145" s="6"/>
      <c r="ZP145" s="6"/>
      <c r="ZQ145" s="6"/>
      <c r="ZR145" s="6"/>
      <c r="ZS145" s="6"/>
      <c r="ZT145" s="6"/>
      <c r="ZU145" s="6"/>
      <c r="ZV145" s="6"/>
      <c r="ZW145" s="6"/>
      <c r="ZX145" s="6"/>
      <c r="ZY145" s="6"/>
      <c r="ZZ145" s="6"/>
      <c r="AAA145" s="6"/>
      <c r="AAB145" s="6"/>
      <c r="AAC145" s="6"/>
      <c r="AAD145" s="6"/>
      <c r="AAE145" s="6"/>
      <c r="AAF145" s="6"/>
      <c r="AAG145" s="6"/>
      <c r="AAH145" s="6"/>
      <c r="AAI145" s="6"/>
      <c r="AAJ145" s="6"/>
      <c r="AAK145" s="6"/>
      <c r="AAL145" s="6"/>
      <c r="AAM145" s="6"/>
      <c r="AAN145" s="6"/>
      <c r="AAO145" s="6"/>
      <c r="AAP145" s="6"/>
      <c r="AAQ145" s="6"/>
      <c r="AAR145" s="6"/>
      <c r="AAS145" s="6"/>
      <c r="AAT145" s="6"/>
      <c r="AAU145" s="6"/>
      <c r="AAV145" s="6"/>
      <c r="AAW145" s="6"/>
      <c r="AAX145" s="6"/>
      <c r="AAY145" s="6"/>
      <c r="AAZ145" s="6"/>
      <c r="ABA145" s="6"/>
      <c r="ABB145" s="6"/>
      <c r="ABC145" s="6"/>
      <c r="ABD145" s="6"/>
      <c r="ABE145" s="6"/>
      <c r="ABF145" s="6"/>
      <c r="ABG145" s="6"/>
      <c r="ABH145" s="6"/>
      <c r="ABI145" s="6"/>
      <c r="ABJ145" s="6"/>
      <c r="ABK145" s="6"/>
      <c r="ABL145" s="6"/>
      <c r="ABM145" s="6"/>
      <c r="ABN145" s="6"/>
      <c r="ABO145" s="6"/>
      <c r="ABP145" s="6"/>
      <c r="ABQ145" s="6"/>
      <c r="ABR145" s="6"/>
      <c r="ABS145" s="6"/>
      <c r="ABT145" s="6"/>
      <c r="ABU145" s="6"/>
      <c r="ABV145" s="6"/>
      <c r="ABW145" s="6"/>
      <c r="ABX145" s="6"/>
      <c r="ABY145" s="6"/>
      <c r="ABZ145" s="6"/>
      <c r="ACA145" s="6"/>
      <c r="ACB145" s="6"/>
      <c r="ACC145" s="6"/>
      <c r="ACD145" s="6"/>
      <c r="ACE145" s="6"/>
      <c r="ACF145" s="6"/>
      <c r="ACG145" s="6"/>
      <c r="ACH145" s="6"/>
      <c r="ACI145" s="6"/>
      <c r="ACJ145" s="6"/>
      <c r="ACK145" s="6"/>
      <c r="ACL145" s="6"/>
      <c r="ACM145" s="6"/>
      <c r="ACN145" s="6"/>
      <c r="ACO145" s="6"/>
      <c r="ACP145" s="6"/>
      <c r="ACQ145" s="6"/>
      <c r="ACR145" s="6"/>
      <c r="ACS145" s="6"/>
      <c r="ACT145" s="6"/>
      <c r="ACU145" s="6"/>
      <c r="ACV145" s="6"/>
      <c r="ACW145" s="6"/>
      <c r="ACX145" s="6"/>
      <c r="ACY145" s="6"/>
      <c r="ACZ145" s="6"/>
      <c r="ADA145" s="6"/>
      <c r="ADB145" s="6"/>
      <c r="ADC145" s="6"/>
      <c r="ADD145" s="6"/>
      <c r="ADE145" s="6"/>
      <c r="ADF145" s="6"/>
      <c r="ADG145" s="6"/>
      <c r="ADH145" s="6"/>
      <c r="ADI145" s="6"/>
      <c r="ADJ145" s="6"/>
      <c r="ADK145" s="6"/>
      <c r="ADL145" s="6"/>
      <c r="ADM145" s="6"/>
      <c r="ADN145" s="6"/>
      <c r="ADO145" s="6"/>
      <c r="ADP145" s="6"/>
      <c r="ADQ145" s="6"/>
      <c r="ADR145" s="6"/>
      <c r="ADS145" s="6"/>
      <c r="ADT145" s="6"/>
      <c r="ADU145" s="6"/>
      <c r="ADV145" s="6"/>
      <c r="ADW145" s="6"/>
      <c r="ADX145" s="6"/>
      <c r="ADY145" s="6"/>
      <c r="ADZ145" s="6"/>
      <c r="AEA145" s="6"/>
      <c r="AEB145" s="6"/>
      <c r="AEC145" s="6"/>
      <c r="AED145" s="6"/>
      <c r="AEE145" s="6"/>
      <c r="AEF145" s="6"/>
      <c r="AEG145" s="6"/>
      <c r="AEH145" s="6"/>
      <c r="AEI145" s="6"/>
      <c r="AEJ145" s="6"/>
      <c r="AEK145" s="6"/>
      <c r="AEL145" s="6"/>
      <c r="AEM145" s="6"/>
      <c r="AEN145" s="6"/>
      <c r="AEO145" s="6"/>
      <c r="AEP145" s="6"/>
      <c r="AEQ145" s="6"/>
      <c r="AER145" s="6"/>
      <c r="AES145" s="6"/>
      <c r="AET145" s="6"/>
      <c r="AEU145" s="6"/>
      <c r="AEV145" s="6"/>
      <c r="AEW145" s="6"/>
      <c r="AEX145" s="6"/>
      <c r="AEY145" s="6"/>
      <c r="AEZ145" s="6"/>
      <c r="AFA145" s="6"/>
      <c r="AFB145" s="6"/>
      <c r="AFC145" s="6"/>
      <c r="AFD145" s="6"/>
      <c r="AFE145" s="6"/>
      <c r="AFF145" s="6"/>
      <c r="AFG145" s="6"/>
      <c r="AFH145" s="6"/>
      <c r="AFI145" s="6"/>
      <c r="AFJ145" s="6"/>
      <c r="AFK145" s="6"/>
      <c r="AFL145" s="6"/>
      <c r="AFM145" s="6"/>
      <c r="AFN145" s="6"/>
      <c r="AFO145" s="6"/>
      <c r="AFP145" s="6"/>
      <c r="AFQ145" s="6"/>
      <c r="AFR145" s="6"/>
      <c r="AFS145" s="6"/>
      <c r="AFT145" s="6"/>
      <c r="AFU145" s="6"/>
      <c r="AFV145" s="6"/>
      <c r="AFW145" s="6"/>
      <c r="AFX145" s="6"/>
      <c r="AFY145" s="6"/>
      <c r="AFZ145" s="6"/>
      <c r="AGA145" s="6"/>
      <c r="AGB145" s="6"/>
      <c r="AGC145" s="6"/>
      <c r="AGD145" s="6"/>
      <c r="AGE145" s="6"/>
      <c r="AGF145" s="6"/>
      <c r="AGG145" s="6"/>
      <c r="AGH145" s="6"/>
      <c r="AGI145" s="6"/>
      <c r="AGJ145" s="6"/>
      <c r="AGK145" s="6"/>
      <c r="AGL145" s="6"/>
      <c r="AGM145" s="6"/>
      <c r="AGN145" s="6"/>
      <c r="AGO145" s="6"/>
      <c r="AGP145" s="6"/>
      <c r="AGQ145" s="6"/>
      <c r="AGR145" s="6"/>
      <c r="AGS145" s="6"/>
      <c r="AGT145" s="6"/>
      <c r="AGU145" s="6"/>
      <c r="AGV145" s="6"/>
      <c r="AGW145" s="6"/>
      <c r="AGX145" s="6"/>
      <c r="AGY145" s="6"/>
      <c r="AGZ145" s="6"/>
      <c r="AHA145" s="6"/>
      <c r="AHB145" s="6"/>
      <c r="AHC145" s="6"/>
      <c r="AHD145" s="6"/>
      <c r="AHE145" s="6"/>
      <c r="AHF145" s="6"/>
      <c r="AHG145" s="6"/>
      <c r="AHH145" s="6"/>
      <c r="AHI145" s="6"/>
      <c r="AHJ145" s="6"/>
      <c r="AHK145" s="6"/>
      <c r="AHL145" s="6"/>
      <c r="AHM145" s="6"/>
      <c r="AHN145" s="6"/>
      <c r="AHO145" s="6"/>
      <c r="AHP145" s="6"/>
      <c r="AHQ145" s="6"/>
      <c r="AHR145" s="6"/>
      <c r="AHS145" s="6"/>
      <c r="AHT145" s="6"/>
      <c r="AHU145" s="6"/>
      <c r="AHV145" s="6"/>
      <c r="AHW145" s="6"/>
      <c r="AHX145" s="6"/>
      <c r="AHY145" s="6"/>
      <c r="AHZ145" s="6"/>
      <c r="AIA145" s="6"/>
      <c r="AIB145" s="6"/>
      <c r="AIC145" s="6"/>
      <c r="AID145" s="6"/>
      <c r="AIE145" s="6"/>
      <c r="AIF145" s="6"/>
      <c r="AIG145" s="6"/>
      <c r="AIH145" s="6"/>
      <c r="AII145" s="6"/>
      <c r="AIJ145" s="6"/>
      <c r="AIK145" s="6"/>
      <c r="AIL145" s="6"/>
      <c r="AIM145" s="6"/>
      <c r="AIN145" s="6"/>
      <c r="AIO145" s="6"/>
      <c r="AIP145" s="6"/>
      <c r="AIQ145" s="6"/>
      <c r="AIR145" s="6"/>
      <c r="AIS145" s="6"/>
      <c r="AIT145" s="6"/>
      <c r="AIU145" s="6"/>
      <c r="AIV145" s="6"/>
      <c r="AIW145" s="6"/>
      <c r="AIX145" s="6"/>
      <c r="AIY145" s="6"/>
      <c r="AIZ145" s="6"/>
      <c r="AJA145" s="6"/>
      <c r="AJB145" s="6"/>
      <c r="AJC145" s="6"/>
      <c r="AJD145" s="6"/>
      <c r="AJE145" s="6"/>
      <c r="AJF145" s="6"/>
      <c r="AJG145" s="6"/>
      <c r="AJH145" s="6"/>
      <c r="AJI145" s="6"/>
      <c r="AJJ145" s="6"/>
      <c r="AJK145" s="6"/>
      <c r="AJL145" s="6"/>
      <c r="AJM145" s="6"/>
      <c r="AJN145" s="6"/>
      <c r="AJO145" s="6"/>
      <c r="AJP145" s="6"/>
      <c r="AJQ145" s="6"/>
      <c r="AJR145" s="6"/>
      <c r="AJS145" s="6"/>
      <c r="AJT145" s="6"/>
      <c r="AJU145" s="6"/>
      <c r="AJV145" s="6"/>
      <c r="AJW145" s="6"/>
      <c r="AJX145" s="6"/>
      <c r="AJY145" s="6"/>
      <c r="AJZ145" s="6"/>
      <c r="AKA145" s="6"/>
      <c r="AKB145" s="6"/>
      <c r="AKC145" s="6"/>
      <c r="AKD145" s="6"/>
      <c r="AKE145" s="6"/>
      <c r="AKF145" s="6"/>
      <c r="AKG145" s="6"/>
      <c r="AKH145" s="6"/>
      <c r="AKI145" s="6"/>
      <c r="AKJ145" s="6"/>
      <c r="AKK145" s="6"/>
      <c r="AKL145" s="6"/>
      <c r="AKM145" s="6"/>
      <c r="AKN145" s="6"/>
      <c r="AKO145" s="6"/>
      <c r="AKP145" s="6"/>
      <c r="AKQ145" s="6"/>
      <c r="AKR145" s="6"/>
      <c r="AKS145" s="6"/>
      <c r="AKT145" s="6"/>
      <c r="AKU145" s="6"/>
      <c r="AKV145" s="6"/>
      <c r="AKW145" s="6"/>
      <c r="AKX145" s="6"/>
      <c r="AKY145" s="6"/>
      <c r="AKZ145" s="6"/>
      <c r="ALA145" s="6"/>
      <c r="ALB145" s="6"/>
      <c r="ALC145" s="6"/>
      <c r="ALD145" s="6"/>
      <c r="ALE145" s="6"/>
      <c r="ALF145" s="6"/>
      <c r="ALG145" s="6"/>
      <c r="ALH145" s="6"/>
      <c r="ALI145" s="6"/>
      <c r="ALJ145" s="6"/>
      <c r="ALK145" s="6"/>
      <c r="ALL145" s="6"/>
      <c r="ALM145" s="6"/>
      <c r="ALN145" s="6"/>
      <c r="ALO145" s="6"/>
      <c r="ALP145" s="6"/>
      <c r="ALQ145" s="6"/>
      <c r="ALR145" s="6"/>
      <c r="ALS145" s="6"/>
      <c r="ALT145" s="6"/>
      <c r="ALU145" s="6"/>
      <c r="ALV145" s="6"/>
      <c r="ALW145" s="6"/>
      <c r="ALX145" s="6"/>
      <c r="ALY145" s="6"/>
      <c r="ALZ145" s="6"/>
      <c r="AMA145" s="6"/>
      <c r="AMB145" s="6"/>
      <c r="AMC145" s="6"/>
      <c r="AMD145" s="6"/>
      <c r="AME145" s="6"/>
      <c r="AMF145" s="6"/>
      <c r="AMG145" s="6"/>
      <c r="AMH145" s="6"/>
      <c r="AMI145" s="6"/>
      <c r="AMJ145" s="6"/>
      <c r="AMK145" s="6"/>
      <c r="AML145" s="6"/>
      <c r="AMM145" s="6"/>
      <c r="AMN145" s="6"/>
      <c r="AMO145" s="6"/>
    </row>
    <row r="146" spans="1:1029" x14ac:dyDescent="0.2">
      <c r="A146" s="3" t="str">
        <f t="shared" si="555"/>
        <v>opsd_bovin_4J4Q</v>
      </c>
      <c r="B146" s="3" t="s">
        <v>920</v>
      </c>
      <c r="C146" s="3" t="s">
        <v>1044</v>
      </c>
      <c r="D146" s="3" t="str">
        <f>IFERROR(MID(VLOOKUP($B146,Seqs!$A:$B,2,0),E146,1),"")</f>
        <v>P</v>
      </c>
      <c r="E146" s="3">
        <v>34</v>
      </c>
      <c r="F146" s="3" t="str">
        <f>IFERROR(MID(VLOOKUP($B146,Seqs!$A:$B,2,0),G146,1),"")</f>
        <v>H</v>
      </c>
      <c r="G146" s="3">
        <v>65</v>
      </c>
      <c r="H146" s="3" t="str">
        <f>IFERROR(MID(VLOOKUP($B146,Seqs!$A:$B,2,0),I146,1),"")</f>
        <v>K</v>
      </c>
      <c r="I146" s="23">
        <v>66</v>
      </c>
      <c r="J146" s="3" t="str">
        <f>IFERROR(MID(VLOOKUP($B146,Seqs!$A:$B,2,0),K146,1),"")</f>
        <v>R</v>
      </c>
      <c r="K146" s="23">
        <v>69</v>
      </c>
      <c r="L146" s="3" t="str">
        <f>IFERROR(MID(VLOOKUP($B146,Seqs!$A:$B,2,0),M146,1),"")</f>
        <v>T</v>
      </c>
      <c r="M146" s="3">
        <v>70</v>
      </c>
      <c r="N146" s="3" t="str">
        <f>IFERROR(MID(VLOOKUP($B146,Seqs!$A:$B,2,0),O146,1),"")</f>
        <v>H</v>
      </c>
      <c r="O146" s="3">
        <v>100</v>
      </c>
      <c r="P146" s="3" t="str">
        <f>IFERROR(MID(VLOOKUP($B146,Seqs!$A:$B,2,0),Q146,1),"")</f>
        <v>Y</v>
      </c>
      <c r="Q146" s="3">
        <v>102</v>
      </c>
      <c r="R146" s="3" t="str">
        <f>IFERROR(MID(VLOOKUP($B146,Seqs!$A:$B,2,0),S146,1),"")</f>
        <v>F</v>
      </c>
      <c r="S146" s="3">
        <v>105</v>
      </c>
      <c r="T146" s="3" t="str">
        <f>IFERROR(MID(VLOOKUP($B146,Seqs!$A:$B,2,0),U146,1),"")</f>
        <v>G</v>
      </c>
      <c r="U146" s="3">
        <v>106</v>
      </c>
      <c r="V146" s="3" t="str">
        <f>IFERROR(MID(VLOOKUP($B146,Seqs!$A:$B,2,0),W146,1),"")</f>
        <v>K</v>
      </c>
      <c r="W146" s="3">
        <v>141</v>
      </c>
      <c r="X146" s="3" t="str">
        <f>IFERROR(MID(VLOOKUP($B146,Seqs!$A:$B,2,0),Y146,1),"")</f>
        <v/>
      </c>
      <c r="Y146" s="3" t="s">
        <v>23</v>
      </c>
      <c r="Z146" s="3" t="str">
        <f>IFERROR(MID(VLOOKUP($B146,Seqs!$A:$B,2,0),AA146,1),"")</f>
        <v/>
      </c>
      <c r="AA146" s="3" t="s">
        <v>23</v>
      </c>
      <c r="AB146" s="3" t="str">
        <f>IFERROR(MID(VLOOKUP($B146,Seqs!$A:$B,2,0),AC146,1),"")</f>
        <v>G</v>
      </c>
      <c r="AC146" s="9">
        <v>149</v>
      </c>
      <c r="AD146" s="3" t="str">
        <f>IFERROR(MID(VLOOKUP($B146,Seqs!$A:$B,2,0),AE146,1),"")</f>
        <v>V</v>
      </c>
      <c r="AE146" s="3">
        <v>173</v>
      </c>
      <c r="AF146" s="3" t="str">
        <f>IFERROR(MID(VLOOKUP($B146,Seqs!$A:$B,2,0),AG146,1),"")</f>
        <v>C</v>
      </c>
      <c r="AG146" s="3">
        <v>187</v>
      </c>
      <c r="AH146" s="3" t="str">
        <f>IFERROR(MID(VLOOKUP($B146,Seqs!$A:$B,2,0),AI146,1),"")</f>
        <v>I</v>
      </c>
      <c r="AI146" s="3">
        <v>189</v>
      </c>
      <c r="AJ146" s="3" t="str">
        <f>IFERROR(MID(VLOOKUP($B146,Seqs!$A:$B,2,0),AK146,1),"")</f>
        <v>N</v>
      </c>
      <c r="AK146" s="3">
        <v>199</v>
      </c>
      <c r="AL146" s="3" t="str">
        <f>IFERROR(MID(VLOOKUP($B146,Seqs!$A:$B,2,0),AM146,1),"")</f>
        <v>Q</v>
      </c>
      <c r="AM146" s="3">
        <v>237</v>
      </c>
      <c r="AN146" s="3" t="str">
        <f>IFERROR(MID(VLOOKUP($B146,Seqs!$A:$B,2,0),AO146,1),"")</f>
        <v>A</v>
      </c>
      <c r="AO146" s="3">
        <v>241</v>
      </c>
      <c r="AP146" s="3" t="str">
        <f>IFERROR(MID(VLOOKUP($B146,Seqs!$A:$B,2,0),AQ146,1),"")</f>
        <v>H</v>
      </c>
      <c r="AQ146" s="3">
        <v>278</v>
      </c>
      <c r="AR146" s="3" t="str">
        <f>IFERROR(MID(VLOOKUP($B146,Seqs!$A:$B,2,0),AS146,1),"")</f>
        <v>G</v>
      </c>
      <c r="AS146" s="3">
        <v>284</v>
      </c>
      <c r="AT146" s="3" t="str">
        <f>IFERROR(MID(VLOOKUP($B146,Seqs!$A:$B,2,0),AU146,1),"")</f>
        <v>M</v>
      </c>
      <c r="AU146" s="3">
        <v>309</v>
      </c>
      <c r="AV146" s="3" t="str">
        <f>IFERROR(MID(VLOOKUP($B146,Seqs!$A:$B,2,0),AW146,1),"")</f>
        <v>N</v>
      </c>
      <c r="AW146" s="3">
        <v>310</v>
      </c>
      <c r="AX146" s="3" t="str">
        <f>IFERROR(MID(VLOOKUP($B146,Seqs!$A:$B,2,0),AY146,1),"")</f>
        <v>C</v>
      </c>
      <c r="AY146" s="3">
        <v>322</v>
      </c>
      <c r="AZ146" s="79" t="str">
        <f>VLOOKUP(B146,Classification!A:D,2,0)</f>
        <v>A</v>
      </c>
      <c r="BA146" s="97" t="str">
        <f>VLOOKUP(B146,Classification!A:D,4,0)</f>
        <v>Opsins</v>
      </c>
      <c r="BB146" s="27" t="b">
        <f t="shared" si="556"/>
        <v>1</v>
      </c>
      <c r="BC146" s="23">
        <f t="shared" ref="BC146:BC176" si="613">_xlfn.AGGREGATE(9,6,CG146:CR146)-_xlfn.AGGREGATE(9,6,BU146:CF146)+12</f>
        <v>252</v>
      </c>
      <c r="BD146" s="4" t="s">
        <v>23</v>
      </c>
      <c r="BE146" s="3" t="s">
        <v>1297</v>
      </c>
      <c r="BF146" s="50" t="s">
        <v>1384</v>
      </c>
      <c r="BG146" s="50" t="s">
        <v>1384</v>
      </c>
      <c r="BH146" s="1"/>
      <c r="BI146" s="72" t="s">
        <v>1293</v>
      </c>
      <c r="BJ146" s="58" t="s">
        <v>1293</v>
      </c>
      <c r="BK146" s="58" t="s">
        <v>1293</v>
      </c>
      <c r="BL146" s="58" t="s">
        <v>1293</v>
      </c>
      <c r="BM146" s="58" t="s">
        <v>1293</v>
      </c>
      <c r="BN146" s="58" t="s">
        <v>1293</v>
      </c>
      <c r="BO146" s="58" t="s">
        <v>1293</v>
      </c>
      <c r="BP146" s="58" t="s">
        <v>1293</v>
      </c>
      <c r="BQ146" s="58" t="s">
        <v>1293</v>
      </c>
      <c r="BR146" s="58" t="s">
        <v>1293</v>
      </c>
      <c r="BS146" s="58" t="s">
        <v>1293</v>
      </c>
      <c r="BT146" s="58" t="s">
        <v>1293</v>
      </c>
      <c r="BU146" s="72">
        <f t="shared" ref="BU146:BU176" si="614">E146</f>
        <v>34</v>
      </c>
      <c r="BV146" s="73">
        <f t="shared" ref="BV146:BV176" si="615">I146</f>
        <v>66</v>
      </c>
      <c r="BW146" s="74">
        <f t="shared" ref="BW146:BW176" si="616">M146</f>
        <v>70</v>
      </c>
      <c r="BX146" s="73">
        <f t="shared" ref="BX146:BX176" si="617">Q146</f>
        <v>102</v>
      </c>
      <c r="BY146" s="74">
        <f t="shared" ref="BY146:BY176" si="618">U146</f>
        <v>106</v>
      </c>
      <c r="BZ146" s="73" t="str">
        <f t="shared" ref="BZ146:BZ176" si="619">Y146</f>
        <v>-</v>
      </c>
      <c r="CA146" s="74">
        <f t="shared" ref="CA146:CA176" si="620">AC146</f>
        <v>149</v>
      </c>
      <c r="CB146" s="73">
        <f t="shared" ref="CB146:CB176" si="621">AG146</f>
        <v>187</v>
      </c>
      <c r="CC146" s="74">
        <f t="shared" ref="CC146:CC176" si="622">AK146</f>
        <v>199</v>
      </c>
      <c r="CD146" s="73">
        <f t="shared" ref="CD146:CD176" si="623">AO146</f>
        <v>241</v>
      </c>
      <c r="CE146" s="74">
        <f t="shared" ref="CE146:CE176" si="624">AS146</f>
        <v>284</v>
      </c>
      <c r="CF146" s="73">
        <f t="shared" ref="CF146:CF176" si="625">AW146</f>
        <v>310</v>
      </c>
      <c r="CG146" s="72">
        <f t="shared" ref="CG146:CG176" si="626">G146</f>
        <v>65</v>
      </c>
      <c r="CH146" s="73">
        <f t="shared" ref="CH146:CH176" si="627">K146</f>
        <v>69</v>
      </c>
      <c r="CI146" s="74">
        <f t="shared" ref="CI146:CI176" si="628">O146</f>
        <v>100</v>
      </c>
      <c r="CJ146" s="74">
        <f t="shared" ref="CJ146:CJ176" si="629">S146</f>
        <v>105</v>
      </c>
      <c r="CK146" s="74">
        <f t="shared" ref="CK146:CK176" si="630">W146</f>
        <v>141</v>
      </c>
      <c r="CL146" s="74" t="str">
        <f t="shared" ref="CL146:CL176" si="631">AA146</f>
        <v>-</v>
      </c>
      <c r="CM146" s="74">
        <f t="shared" ref="CM146:CM176" si="632">AE146</f>
        <v>173</v>
      </c>
      <c r="CN146" s="74">
        <f t="shared" ref="CN146:CN176" si="633">AI146</f>
        <v>189</v>
      </c>
      <c r="CO146" s="74">
        <f t="shared" ref="CO146:CO176" si="634">AM146</f>
        <v>237</v>
      </c>
      <c r="CP146" s="74">
        <f t="shared" ref="CP146:CP176" si="635">AQ146</f>
        <v>278</v>
      </c>
      <c r="CQ146" s="74">
        <f t="shared" ref="CQ146:CQ176" si="636">AU146</f>
        <v>309</v>
      </c>
      <c r="CR146" s="74">
        <f t="shared" ref="CR146:CR176" si="637">AY146</f>
        <v>322</v>
      </c>
      <c r="CS146" s="23">
        <f t="shared" ref="CS146:CS176" si="638">M146-K146</f>
        <v>1</v>
      </c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1"/>
      <c r="KH146" s="1"/>
      <c r="KI146" s="1"/>
      <c r="KJ146" s="1"/>
      <c r="KK146" s="1"/>
      <c r="KL146" s="1"/>
      <c r="KM146" s="1"/>
      <c r="KN146" s="1"/>
      <c r="KO146" s="1"/>
      <c r="KP146" s="1"/>
      <c r="KQ146" s="1"/>
      <c r="KR146" s="1"/>
      <c r="KS146" s="1"/>
      <c r="KT146" s="1"/>
      <c r="KU146" s="1"/>
      <c r="KV146" s="1"/>
      <c r="KW146" s="1"/>
      <c r="KX146" s="1"/>
      <c r="KY146" s="1"/>
      <c r="KZ146" s="1"/>
      <c r="LA146" s="1"/>
      <c r="LB146" s="1"/>
      <c r="LC146" s="1"/>
      <c r="LD146" s="1"/>
      <c r="LE146" s="1"/>
      <c r="LF146" s="1"/>
      <c r="LG146" s="1"/>
      <c r="LH146" s="1"/>
      <c r="LI146" s="1"/>
      <c r="LJ146" s="1"/>
      <c r="LK146" s="1"/>
      <c r="LL146" s="1"/>
      <c r="LM146" s="1"/>
      <c r="LN146" s="1"/>
      <c r="LO146" s="1"/>
      <c r="LP146" s="1"/>
      <c r="LQ146" s="1"/>
      <c r="LR146" s="1"/>
      <c r="LS146" s="1"/>
      <c r="LT146" s="1"/>
      <c r="LU146" s="1"/>
      <c r="LV146" s="1"/>
      <c r="LW146" s="1"/>
      <c r="LX146" s="1"/>
      <c r="LY146" s="1"/>
      <c r="LZ146" s="1"/>
      <c r="MA146" s="1"/>
      <c r="MB146" s="1"/>
      <c r="MC146" s="1"/>
      <c r="MD146" s="1"/>
      <c r="ME146" s="1"/>
      <c r="MF146" s="1"/>
      <c r="MG146" s="1"/>
      <c r="MH146" s="1"/>
      <c r="MI146" s="1"/>
      <c r="MJ146" s="1"/>
      <c r="MK146" s="1"/>
      <c r="ML146" s="1"/>
      <c r="MM146" s="1"/>
      <c r="MN146" s="1"/>
      <c r="MO146" s="1"/>
      <c r="MP146" s="1"/>
      <c r="MQ146" s="1"/>
      <c r="MR146" s="1"/>
      <c r="MS146" s="1"/>
      <c r="MT146" s="1"/>
      <c r="MU146" s="1"/>
      <c r="MV146" s="1"/>
      <c r="MW146" s="1"/>
      <c r="MX146" s="1"/>
      <c r="MY146" s="1"/>
      <c r="MZ146" s="1"/>
      <c r="NA146" s="1"/>
      <c r="NB146" s="1"/>
      <c r="NC146" s="1"/>
      <c r="ND146" s="1"/>
      <c r="NE146" s="1"/>
      <c r="NF146" s="1"/>
      <c r="NG146" s="1"/>
      <c r="NH146" s="1"/>
      <c r="NI146" s="1"/>
      <c r="NJ146" s="1"/>
      <c r="NK146" s="1"/>
      <c r="NL146" s="1"/>
      <c r="NM146" s="1"/>
      <c r="NN146" s="1"/>
      <c r="NO146" s="1"/>
      <c r="NP146" s="1"/>
      <c r="NQ146" s="1"/>
      <c r="NR146" s="1"/>
      <c r="NS146" s="1"/>
      <c r="NT146" s="1"/>
      <c r="NU146" s="1"/>
      <c r="NV146" s="1"/>
      <c r="NW146" s="1"/>
      <c r="NX146" s="1"/>
      <c r="NY146" s="1"/>
      <c r="NZ146" s="1"/>
      <c r="OA146" s="1"/>
      <c r="OB146" s="1"/>
      <c r="OC146" s="1"/>
      <c r="OD146" s="1"/>
      <c r="OE146" s="1"/>
      <c r="OF146" s="1"/>
      <c r="OG146" s="1"/>
      <c r="OH146" s="1"/>
      <c r="OI146" s="1"/>
      <c r="OJ146" s="1"/>
      <c r="OK146" s="1"/>
      <c r="OL146" s="1"/>
      <c r="OM146" s="1"/>
      <c r="ON146" s="1"/>
      <c r="OO146" s="1"/>
      <c r="OP146" s="1"/>
      <c r="OQ146" s="1"/>
      <c r="OR146" s="1"/>
      <c r="OS146" s="1"/>
      <c r="OT146" s="1"/>
      <c r="OU146" s="1"/>
      <c r="OV146" s="1"/>
      <c r="OW146" s="1"/>
      <c r="OX146" s="1"/>
      <c r="OY146" s="1"/>
      <c r="OZ146" s="1"/>
      <c r="PA146" s="1"/>
      <c r="PB146" s="1"/>
      <c r="PC146" s="1"/>
      <c r="PD146" s="1"/>
      <c r="PE146" s="1"/>
      <c r="PF146" s="1"/>
      <c r="PG146" s="1"/>
      <c r="PH146" s="1"/>
      <c r="PI146" s="1"/>
      <c r="PJ146" s="1"/>
      <c r="PK146" s="1"/>
      <c r="PL146" s="1"/>
      <c r="PM146" s="1"/>
      <c r="PN146" s="1"/>
      <c r="PO146" s="1"/>
      <c r="PP146" s="1"/>
      <c r="PQ146" s="1"/>
      <c r="PR146" s="1"/>
      <c r="PS146" s="1"/>
      <c r="PT146" s="1"/>
      <c r="PU146" s="1"/>
      <c r="PV146" s="1"/>
      <c r="PW146" s="1"/>
      <c r="PX146" s="1"/>
      <c r="PY146" s="1"/>
      <c r="PZ146" s="1"/>
      <c r="QA146" s="1"/>
      <c r="QB146" s="1"/>
      <c r="QC146" s="1"/>
      <c r="QD146" s="1"/>
      <c r="QE146" s="1"/>
      <c r="QF146" s="1"/>
      <c r="QG146" s="1"/>
      <c r="QH146" s="1"/>
      <c r="QI146" s="1"/>
      <c r="QJ146" s="1"/>
      <c r="QK146" s="1"/>
      <c r="QL146" s="1"/>
      <c r="QM146" s="1"/>
      <c r="QN146" s="1"/>
      <c r="QO146" s="1"/>
      <c r="QP146" s="1"/>
      <c r="QQ146" s="1"/>
      <c r="QR146" s="1"/>
      <c r="QS146" s="1"/>
      <c r="QT146" s="1"/>
      <c r="QU146" s="1"/>
      <c r="QV146" s="1"/>
      <c r="QW146" s="1"/>
      <c r="QX146" s="1"/>
      <c r="QY146" s="1"/>
      <c r="QZ146" s="1"/>
      <c r="RA146" s="1"/>
      <c r="RB146" s="1"/>
      <c r="RC146" s="1"/>
      <c r="RD146" s="1"/>
      <c r="RE146" s="1"/>
      <c r="RF146" s="1"/>
      <c r="RG146" s="1"/>
      <c r="RH146" s="1"/>
      <c r="RI146" s="1"/>
      <c r="RJ146" s="1"/>
      <c r="RK146" s="1"/>
      <c r="RL146" s="1"/>
      <c r="RM146" s="1"/>
      <c r="RN146" s="1"/>
      <c r="RO146" s="1"/>
      <c r="RP146" s="1"/>
      <c r="RQ146" s="1"/>
      <c r="RR146" s="1"/>
      <c r="RS146" s="1"/>
      <c r="RT146" s="1"/>
      <c r="RU146" s="1"/>
      <c r="RV146" s="1"/>
      <c r="RW146" s="1"/>
      <c r="RX146" s="1"/>
      <c r="RY146" s="1"/>
      <c r="RZ146" s="1"/>
      <c r="SA146" s="1"/>
      <c r="SB146" s="1"/>
      <c r="SC146" s="1"/>
      <c r="SD146" s="1"/>
      <c r="SE146" s="1"/>
      <c r="SF146" s="1"/>
      <c r="SG146" s="1"/>
      <c r="SH146" s="1"/>
      <c r="SI146" s="1"/>
      <c r="SJ146" s="1"/>
      <c r="SK146" s="1"/>
      <c r="SL146" s="1"/>
      <c r="SM146" s="1"/>
      <c r="SN146" s="1"/>
      <c r="SO146" s="1"/>
      <c r="SP146" s="1"/>
      <c r="SQ146" s="1"/>
      <c r="SR146" s="1"/>
      <c r="SS146" s="1"/>
      <c r="ST146" s="1"/>
      <c r="SU146" s="1"/>
      <c r="SV146" s="1"/>
      <c r="SW146" s="1"/>
      <c r="SX146" s="1"/>
      <c r="SY146" s="1"/>
      <c r="SZ146" s="1"/>
      <c r="TA146" s="1"/>
      <c r="TB146" s="1"/>
      <c r="TC146" s="1"/>
      <c r="TD146" s="1"/>
      <c r="TE146" s="1"/>
      <c r="TF146" s="1"/>
      <c r="TG146" s="1"/>
      <c r="TH146" s="1"/>
      <c r="TI146" s="1"/>
      <c r="TJ146" s="1"/>
      <c r="TK146" s="1"/>
      <c r="TL146" s="1"/>
      <c r="TM146" s="1"/>
      <c r="TN146" s="1"/>
      <c r="TO146" s="1"/>
      <c r="TP146" s="1"/>
      <c r="TQ146" s="1"/>
      <c r="TR146" s="1"/>
      <c r="TS146" s="1"/>
      <c r="TT146" s="1"/>
      <c r="TU146" s="1"/>
      <c r="TV146" s="1"/>
      <c r="TW146" s="1"/>
      <c r="TX146" s="1"/>
      <c r="TY146" s="1"/>
      <c r="TZ146" s="1"/>
      <c r="UA146" s="1"/>
      <c r="UB146" s="1"/>
      <c r="UC146" s="1"/>
      <c r="UD146" s="1"/>
      <c r="UE146" s="1"/>
      <c r="UF146" s="1"/>
      <c r="UG146" s="1"/>
      <c r="UH146" s="1"/>
      <c r="UI146" s="1"/>
      <c r="UJ146" s="1"/>
      <c r="UK146" s="1"/>
      <c r="UL146" s="1"/>
      <c r="UM146" s="1"/>
      <c r="UN146" s="1"/>
      <c r="UO146" s="1"/>
      <c r="UP146" s="1"/>
      <c r="UQ146" s="1"/>
      <c r="UR146" s="1"/>
      <c r="US146" s="1"/>
      <c r="UT146" s="1"/>
      <c r="UU146" s="1"/>
      <c r="UV146" s="1"/>
      <c r="UW146" s="1"/>
      <c r="UX146" s="1"/>
      <c r="UY146" s="1"/>
      <c r="UZ146" s="1"/>
      <c r="VA146" s="1"/>
      <c r="VB146" s="1"/>
      <c r="VC146" s="1"/>
      <c r="VD146" s="1"/>
      <c r="VE146" s="1"/>
      <c r="VF146" s="1"/>
      <c r="VG146" s="1"/>
      <c r="VH146" s="1"/>
      <c r="VI146" s="1"/>
      <c r="VJ146" s="1"/>
      <c r="VK146" s="1"/>
      <c r="VL146" s="1"/>
      <c r="VM146" s="1"/>
      <c r="VN146" s="1"/>
      <c r="VO146" s="1"/>
      <c r="VP146" s="1"/>
      <c r="VQ146" s="1"/>
      <c r="VR146" s="1"/>
      <c r="VS146" s="1"/>
      <c r="VT146" s="1"/>
      <c r="VU146" s="1"/>
      <c r="VV146" s="1"/>
      <c r="VW146" s="1"/>
      <c r="VX146" s="1"/>
      <c r="VY146" s="1"/>
      <c r="VZ146" s="1"/>
      <c r="WA146" s="1"/>
      <c r="WB146" s="1"/>
      <c r="WC146" s="1"/>
      <c r="WD146" s="1"/>
      <c r="WE146" s="1"/>
      <c r="WF146" s="1"/>
      <c r="WG146" s="1"/>
      <c r="WH146" s="1"/>
      <c r="WI146" s="1"/>
      <c r="WJ146" s="1"/>
      <c r="WK146" s="1"/>
      <c r="WL146" s="1"/>
      <c r="WM146" s="1"/>
      <c r="WN146" s="1"/>
      <c r="WO146" s="1"/>
      <c r="WP146" s="1"/>
      <c r="WQ146" s="1"/>
      <c r="WR146" s="1"/>
      <c r="WS146" s="1"/>
      <c r="WT146" s="1"/>
      <c r="WU146" s="1"/>
      <c r="WV146" s="1"/>
      <c r="WW146" s="1"/>
      <c r="WX146" s="1"/>
      <c r="WY146" s="1"/>
      <c r="WZ146" s="1"/>
      <c r="XA146" s="1"/>
      <c r="XB146" s="1"/>
      <c r="XC146" s="1"/>
      <c r="XD146" s="1"/>
      <c r="XE146" s="1"/>
      <c r="XF146" s="1"/>
      <c r="XG146" s="1"/>
      <c r="XH146" s="1"/>
      <c r="XI146" s="1"/>
      <c r="XJ146" s="1"/>
      <c r="XK146" s="1"/>
      <c r="XL146" s="1"/>
      <c r="XM146" s="1"/>
      <c r="XN146" s="1"/>
      <c r="XO146" s="1"/>
      <c r="XP146" s="1"/>
      <c r="XQ146" s="1"/>
      <c r="XR146" s="1"/>
      <c r="XS146" s="1"/>
      <c r="XT146" s="1"/>
      <c r="XU146" s="1"/>
      <c r="XV146" s="1"/>
      <c r="XW146" s="1"/>
      <c r="XX146" s="1"/>
      <c r="XY146" s="1"/>
      <c r="XZ146" s="1"/>
      <c r="YA146" s="1"/>
      <c r="YB146" s="1"/>
      <c r="YC146" s="1"/>
      <c r="YD146" s="1"/>
      <c r="YE146" s="1"/>
      <c r="YF146" s="1"/>
      <c r="YG146" s="1"/>
      <c r="YH146" s="1"/>
      <c r="YI146" s="1"/>
      <c r="YJ146" s="1"/>
      <c r="YK146" s="1"/>
      <c r="YL146" s="1"/>
      <c r="YM146" s="1"/>
      <c r="YN146" s="1"/>
      <c r="YO146" s="1"/>
      <c r="YP146" s="1"/>
      <c r="YQ146" s="1"/>
      <c r="YR146" s="1"/>
      <c r="YS146" s="1"/>
      <c r="YT146" s="1"/>
      <c r="YU146" s="1"/>
      <c r="YV146" s="1"/>
      <c r="YW146" s="1"/>
      <c r="YX146" s="1"/>
      <c r="YY146" s="1"/>
      <c r="YZ146" s="1"/>
      <c r="ZA146" s="1"/>
      <c r="ZB146" s="1"/>
      <c r="ZC146" s="1"/>
      <c r="ZD146" s="1"/>
      <c r="ZE146" s="1"/>
      <c r="ZF146" s="1"/>
      <c r="ZG146" s="1"/>
      <c r="ZH146" s="1"/>
      <c r="ZI146" s="1"/>
      <c r="ZJ146" s="1"/>
      <c r="ZK146" s="1"/>
      <c r="ZL146" s="1"/>
      <c r="ZM146" s="1"/>
      <c r="ZN146" s="1"/>
      <c r="ZO146" s="1"/>
      <c r="ZP146" s="1"/>
      <c r="ZQ146" s="1"/>
      <c r="ZR146" s="1"/>
      <c r="ZS146" s="1"/>
      <c r="ZT146" s="1"/>
      <c r="ZU146" s="1"/>
      <c r="ZV146" s="1"/>
      <c r="ZW146" s="1"/>
      <c r="ZX146" s="1"/>
      <c r="ZY146" s="1"/>
      <c r="ZZ146" s="1"/>
      <c r="AAA146" s="1"/>
      <c r="AAB146" s="1"/>
      <c r="AAC146" s="1"/>
      <c r="AAD146" s="1"/>
      <c r="AAE146" s="1"/>
      <c r="AAF146" s="1"/>
      <c r="AAG146" s="1"/>
      <c r="AAH146" s="1"/>
      <c r="AAI146" s="1"/>
      <c r="AAJ146" s="1"/>
      <c r="AAK146" s="1"/>
      <c r="AAL146" s="1"/>
      <c r="AAM146" s="1"/>
      <c r="AAN146" s="1"/>
      <c r="AAO146" s="1"/>
      <c r="AAP146" s="1"/>
      <c r="AAQ146" s="1"/>
      <c r="AAR146" s="1"/>
      <c r="AAS146" s="1"/>
      <c r="AAT146" s="1"/>
      <c r="AAU146" s="1"/>
      <c r="AAV146" s="1"/>
      <c r="AAW146" s="1"/>
      <c r="AAX146" s="1"/>
      <c r="AAY146" s="1"/>
      <c r="AAZ146" s="1"/>
      <c r="ABA146" s="1"/>
      <c r="ABB146" s="1"/>
      <c r="ABC146" s="1"/>
      <c r="ABD146" s="1"/>
      <c r="ABE146" s="1"/>
      <c r="ABF146" s="1"/>
      <c r="ABG146" s="1"/>
      <c r="ABH146" s="1"/>
      <c r="ABI146" s="1"/>
      <c r="ABJ146" s="1"/>
      <c r="ABK146" s="1"/>
      <c r="ABL146" s="1"/>
      <c r="ABM146" s="1"/>
      <c r="ABN146" s="1"/>
      <c r="ABO146" s="1"/>
      <c r="ABP146" s="1"/>
      <c r="ABQ146" s="1"/>
      <c r="ABR146" s="1"/>
      <c r="ABS146" s="1"/>
      <c r="ABT146" s="1"/>
      <c r="ABU146" s="1"/>
      <c r="ABV146" s="1"/>
      <c r="ABW146" s="1"/>
      <c r="ABX146" s="1"/>
      <c r="ABY146" s="1"/>
      <c r="ABZ146" s="1"/>
      <c r="ACA146" s="1"/>
      <c r="ACB146" s="1"/>
      <c r="ACC146" s="1"/>
      <c r="ACD146" s="1"/>
      <c r="ACE146" s="1"/>
      <c r="ACF146" s="1"/>
      <c r="ACG146" s="1"/>
      <c r="ACH146" s="1"/>
      <c r="ACI146" s="1"/>
      <c r="ACJ146" s="1"/>
      <c r="ACK146" s="1"/>
      <c r="ACL146" s="1"/>
      <c r="ACM146" s="1"/>
      <c r="ACN146" s="1"/>
      <c r="ACO146" s="1"/>
      <c r="ACP146" s="1"/>
      <c r="ACQ146" s="1"/>
      <c r="ACR146" s="1"/>
      <c r="ACS146" s="1"/>
      <c r="ACT146" s="1"/>
      <c r="ACU146" s="1"/>
      <c r="ACV146" s="1"/>
      <c r="ACW146" s="1"/>
      <c r="ACX146" s="1"/>
      <c r="ACY146" s="1"/>
      <c r="ACZ146" s="1"/>
      <c r="ADA146" s="1"/>
      <c r="ADB146" s="1"/>
      <c r="ADC146" s="1"/>
      <c r="ADD146" s="1"/>
      <c r="ADE146" s="1"/>
      <c r="ADF146" s="1"/>
      <c r="ADG146" s="1"/>
      <c r="ADH146" s="1"/>
      <c r="ADI146" s="1"/>
      <c r="ADJ146" s="1"/>
      <c r="ADK146" s="1"/>
      <c r="ADL146" s="1"/>
      <c r="ADM146" s="1"/>
      <c r="ADN146" s="1"/>
      <c r="ADO146" s="1"/>
      <c r="ADP146" s="1"/>
      <c r="ADQ146" s="1"/>
      <c r="ADR146" s="1"/>
      <c r="ADS146" s="1"/>
      <c r="ADT146" s="1"/>
      <c r="ADU146" s="1"/>
      <c r="ADV146" s="1"/>
      <c r="ADW146" s="1"/>
      <c r="ADX146" s="1"/>
      <c r="ADY146" s="1"/>
      <c r="ADZ146" s="1"/>
      <c r="AEA146" s="1"/>
      <c r="AEB146" s="1"/>
      <c r="AEC146" s="1"/>
      <c r="AED146" s="1"/>
      <c r="AEE146" s="1"/>
      <c r="AEF146" s="1"/>
      <c r="AEG146" s="1"/>
      <c r="AEH146" s="1"/>
      <c r="AEI146" s="1"/>
      <c r="AEJ146" s="1"/>
      <c r="AEK146" s="1"/>
      <c r="AEL146" s="1"/>
      <c r="AEM146" s="1"/>
      <c r="AEN146" s="1"/>
      <c r="AEO146" s="1"/>
      <c r="AEP146" s="1"/>
      <c r="AEQ146" s="1"/>
      <c r="AER146" s="1"/>
      <c r="AES146" s="1"/>
      <c r="AET146" s="1"/>
      <c r="AEU146" s="1"/>
      <c r="AEV146" s="1"/>
      <c r="AEW146" s="1"/>
      <c r="AEX146" s="1"/>
      <c r="AEY146" s="1"/>
      <c r="AEZ146" s="1"/>
      <c r="AFA146" s="1"/>
      <c r="AFB146" s="1"/>
      <c r="AFC146" s="1"/>
      <c r="AFD146" s="1"/>
      <c r="AFE146" s="1"/>
      <c r="AFF146" s="1"/>
      <c r="AFG146" s="1"/>
      <c r="AFH146" s="1"/>
      <c r="AFI146" s="1"/>
      <c r="AFJ146" s="1"/>
      <c r="AFK146" s="1"/>
      <c r="AFL146" s="1"/>
      <c r="AFM146" s="1"/>
      <c r="AFN146" s="1"/>
      <c r="AFO146" s="1"/>
      <c r="AFP146" s="1"/>
      <c r="AFQ146" s="1"/>
      <c r="AFR146" s="1"/>
      <c r="AFS146" s="1"/>
      <c r="AFT146" s="1"/>
      <c r="AFU146" s="1"/>
      <c r="AFV146" s="1"/>
      <c r="AFW146" s="1"/>
      <c r="AFX146" s="1"/>
      <c r="AFY146" s="1"/>
      <c r="AFZ146" s="1"/>
      <c r="AGA146" s="1"/>
      <c r="AGB146" s="1"/>
      <c r="AGC146" s="1"/>
      <c r="AGD146" s="1"/>
      <c r="AGE146" s="1"/>
      <c r="AGF146" s="1"/>
      <c r="AGG146" s="1"/>
      <c r="AGH146" s="1"/>
      <c r="AGI146" s="1"/>
      <c r="AGJ146" s="1"/>
      <c r="AGK146" s="1"/>
      <c r="AGL146" s="1"/>
      <c r="AGM146" s="1"/>
      <c r="AGN146" s="1"/>
      <c r="AGO146" s="1"/>
      <c r="AGP146" s="1"/>
      <c r="AGQ146" s="1"/>
      <c r="AGR146" s="1"/>
      <c r="AGS146" s="1"/>
      <c r="AGT146" s="1"/>
      <c r="AGU146" s="1"/>
      <c r="AGV146" s="1"/>
      <c r="AGW146" s="1"/>
      <c r="AGX146" s="1"/>
      <c r="AGY146" s="1"/>
      <c r="AGZ146" s="1"/>
      <c r="AHA146" s="1"/>
      <c r="AHB146" s="1"/>
      <c r="AHC146" s="1"/>
      <c r="AHD146" s="1"/>
      <c r="AHE146" s="1"/>
      <c r="AHF146" s="1"/>
      <c r="AHG146" s="1"/>
      <c r="AHH146" s="1"/>
      <c r="AHI146" s="1"/>
      <c r="AHJ146" s="1"/>
      <c r="AHK146" s="1"/>
      <c r="AHL146" s="1"/>
      <c r="AHM146" s="1"/>
      <c r="AHN146" s="1"/>
      <c r="AHO146" s="1"/>
      <c r="AHP146" s="1"/>
      <c r="AHQ146" s="1"/>
      <c r="AHR146" s="1"/>
      <c r="AHS146" s="1"/>
      <c r="AHT146" s="1"/>
      <c r="AHU146" s="1"/>
      <c r="AHV146" s="1"/>
      <c r="AHW146" s="1"/>
      <c r="AHX146" s="1"/>
      <c r="AHY146" s="1"/>
      <c r="AHZ146" s="1"/>
      <c r="AIA146" s="1"/>
      <c r="AIB146" s="1"/>
      <c r="AIC146" s="1"/>
      <c r="AID146" s="1"/>
      <c r="AIE146" s="1"/>
      <c r="AIF146" s="1"/>
      <c r="AIG146" s="1"/>
      <c r="AIH146" s="1"/>
      <c r="AII146" s="1"/>
      <c r="AIJ146" s="1"/>
      <c r="AIK146" s="1"/>
      <c r="AIL146" s="1"/>
      <c r="AIM146" s="1"/>
      <c r="AIN146" s="1"/>
      <c r="AIO146" s="1"/>
      <c r="AIP146" s="1"/>
      <c r="AIQ146" s="1"/>
      <c r="AIR146" s="1"/>
      <c r="AIS146" s="1"/>
      <c r="AIT146" s="1"/>
      <c r="AIU146" s="1"/>
      <c r="AIV146" s="1"/>
      <c r="AIW146" s="1"/>
      <c r="AIX146" s="1"/>
      <c r="AIY146" s="1"/>
      <c r="AIZ146" s="1"/>
      <c r="AJA146" s="1"/>
      <c r="AJB146" s="1"/>
      <c r="AJC146" s="1"/>
      <c r="AJD146" s="1"/>
      <c r="AJE146" s="1"/>
      <c r="AJF146" s="1"/>
      <c r="AJG146" s="1"/>
      <c r="AJH146" s="1"/>
      <c r="AJI146" s="1"/>
      <c r="AJJ146" s="1"/>
      <c r="AJK146" s="1"/>
      <c r="AJL146" s="1"/>
      <c r="AJM146" s="1"/>
      <c r="AJN146" s="1"/>
      <c r="AJO146" s="1"/>
      <c r="AJP146" s="1"/>
      <c r="AJQ146" s="1"/>
      <c r="AJR146" s="1"/>
      <c r="AJS146" s="1"/>
      <c r="AJT146" s="1"/>
      <c r="AJU146" s="1"/>
      <c r="AJV146" s="1"/>
      <c r="AJW146" s="1"/>
      <c r="AJX146" s="1"/>
      <c r="AJY146" s="1"/>
      <c r="AJZ146" s="1"/>
      <c r="AKA146" s="1"/>
      <c r="AKB146" s="1"/>
      <c r="AKC146" s="1"/>
      <c r="AKD146" s="1"/>
      <c r="AKE146" s="1"/>
      <c r="AKF146" s="1"/>
      <c r="AKG146" s="1"/>
      <c r="AKH146" s="1"/>
      <c r="AKI146" s="1"/>
      <c r="AKJ146" s="1"/>
      <c r="AKK146" s="1"/>
      <c r="AKL146" s="1"/>
      <c r="AKM146" s="1"/>
      <c r="AKN146" s="1"/>
      <c r="AKO146" s="1"/>
      <c r="AKP146" s="1"/>
      <c r="AKQ146" s="1"/>
      <c r="AKR146" s="1"/>
      <c r="AKS146" s="1"/>
      <c r="AKT146" s="1"/>
      <c r="AKU146" s="1"/>
      <c r="AKV146" s="1"/>
      <c r="AKW146" s="1"/>
      <c r="AKX146" s="1"/>
      <c r="AKY146" s="1"/>
      <c r="AKZ146" s="1"/>
      <c r="ALA146" s="1"/>
      <c r="ALB146" s="1"/>
      <c r="ALC146" s="1"/>
      <c r="ALD146" s="1"/>
      <c r="ALE146" s="1"/>
      <c r="ALF146" s="1"/>
      <c r="ALG146" s="1"/>
      <c r="ALH146" s="1"/>
      <c r="ALI146" s="1"/>
      <c r="ALJ146" s="1"/>
      <c r="ALK146" s="1"/>
      <c r="ALL146" s="1"/>
      <c r="ALM146" s="1"/>
      <c r="ALN146" s="1"/>
      <c r="ALO146" s="1"/>
      <c r="ALP146" s="1"/>
      <c r="ALQ146" s="1"/>
      <c r="ALR146" s="1"/>
      <c r="ALS146" s="1"/>
      <c r="ALT146" s="1"/>
      <c r="ALU146" s="1"/>
      <c r="ALV146" s="1"/>
      <c r="ALW146" s="1"/>
      <c r="ALX146" s="1"/>
      <c r="ALY146" s="1"/>
      <c r="ALZ146" s="1"/>
      <c r="AMA146" s="1"/>
      <c r="AMB146" s="1"/>
      <c r="AMC146" s="1"/>
      <c r="AMD146" s="1"/>
      <c r="AME146" s="1"/>
      <c r="AMF146" s="1"/>
      <c r="AMG146" s="1"/>
      <c r="AMH146" s="1"/>
      <c r="AMI146" s="1"/>
      <c r="AMJ146" s="1"/>
      <c r="AMK146" s="1"/>
      <c r="AML146" s="1"/>
      <c r="AMM146" s="1"/>
      <c r="AMN146" s="1"/>
    </row>
    <row r="147" spans="1:1029" x14ac:dyDescent="0.2">
      <c r="A147" s="3" t="str">
        <f t="shared" si="555"/>
        <v>opsd_bovin_5DYS</v>
      </c>
      <c r="B147" s="3" t="s">
        <v>920</v>
      </c>
      <c r="C147" s="3" t="s">
        <v>1363</v>
      </c>
      <c r="D147" s="3" t="str">
        <f>IFERROR(MID(VLOOKUP($B147,Seqs!$A:$B,2,0),E147,1),"")</f>
        <v>P</v>
      </c>
      <c r="E147" s="3">
        <v>34</v>
      </c>
      <c r="F147" s="3" t="str">
        <f>IFERROR(MID(VLOOKUP($B147,Seqs!$A:$B,2,0),G147,1),"")</f>
        <v>H</v>
      </c>
      <c r="G147" s="3">
        <v>65</v>
      </c>
      <c r="H147" s="3" t="str">
        <f>IFERROR(MID(VLOOKUP($B147,Seqs!$A:$B,2,0),I147,1),"")</f>
        <v>K</v>
      </c>
      <c r="I147" s="23">
        <v>66</v>
      </c>
      <c r="J147" s="3" t="str">
        <f>IFERROR(MID(VLOOKUP($B147,Seqs!$A:$B,2,0),K147,1),"")</f>
        <v>R</v>
      </c>
      <c r="K147" s="23">
        <v>69</v>
      </c>
      <c r="L147" s="3" t="str">
        <f>IFERROR(MID(VLOOKUP($B147,Seqs!$A:$B,2,0),M147,1),"")</f>
        <v>T</v>
      </c>
      <c r="M147" s="3">
        <v>70</v>
      </c>
      <c r="N147" s="3" t="str">
        <f>IFERROR(MID(VLOOKUP($B147,Seqs!$A:$B,2,0),O147,1),"")</f>
        <v>H</v>
      </c>
      <c r="O147" s="3">
        <v>100</v>
      </c>
      <c r="P147" s="3" t="str">
        <f>IFERROR(MID(VLOOKUP($B147,Seqs!$A:$B,2,0),Q147,1),"")</f>
        <v>Y</v>
      </c>
      <c r="Q147" s="3">
        <v>102</v>
      </c>
      <c r="R147" s="3" t="str">
        <f>IFERROR(MID(VLOOKUP($B147,Seqs!$A:$B,2,0),S147,1),"")</f>
        <v>F</v>
      </c>
      <c r="S147" s="3">
        <v>105</v>
      </c>
      <c r="T147" s="3" t="str">
        <f>IFERROR(MID(VLOOKUP($B147,Seqs!$A:$B,2,0),U147,1),"")</f>
        <v>G</v>
      </c>
      <c r="U147" s="3">
        <v>106</v>
      </c>
      <c r="V147" s="3" t="str">
        <f>IFERROR(MID(VLOOKUP($B147,Seqs!$A:$B,2,0),W147,1),"")</f>
        <v>K</v>
      </c>
      <c r="W147" s="3">
        <v>141</v>
      </c>
      <c r="X147" s="3" t="str">
        <f>IFERROR(MID(VLOOKUP($B147,Seqs!$A:$B,2,0),Y147,1),"")</f>
        <v/>
      </c>
      <c r="Y147" s="3" t="s">
        <v>23</v>
      </c>
      <c r="Z147" s="3" t="str">
        <f>IFERROR(MID(VLOOKUP($B147,Seqs!$A:$B,2,0),AA147,1),"")</f>
        <v/>
      </c>
      <c r="AA147" s="3" t="s">
        <v>23</v>
      </c>
      <c r="AB147" s="3" t="str">
        <f>IFERROR(MID(VLOOKUP($B147,Seqs!$A:$B,2,0),AC147,1),"")</f>
        <v>G</v>
      </c>
      <c r="AC147" s="9">
        <v>149</v>
      </c>
      <c r="AD147" s="3" t="str">
        <f>IFERROR(MID(VLOOKUP($B147,Seqs!$A:$B,2,0),AE147,1),"")</f>
        <v>V</v>
      </c>
      <c r="AE147" s="3">
        <v>173</v>
      </c>
      <c r="AF147" s="3" t="str">
        <f>IFERROR(MID(VLOOKUP($B147,Seqs!$A:$B,2,0),AG147,1),"")</f>
        <v>C</v>
      </c>
      <c r="AG147" s="3">
        <v>187</v>
      </c>
      <c r="AH147" s="3" t="str">
        <f>IFERROR(MID(VLOOKUP($B147,Seqs!$A:$B,2,0),AI147,1),"")</f>
        <v>I</v>
      </c>
      <c r="AI147" s="3">
        <v>189</v>
      </c>
      <c r="AJ147" s="3" t="str">
        <f>IFERROR(MID(VLOOKUP($B147,Seqs!$A:$B,2,0),AK147,1),"")</f>
        <v>N</v>
      </c>
      <c r="AK147" s="3">
        <v>199</v>
      </c>
      <c r="AL147" s="3" t="str">
        <f>IFERROR(MID(VLOOKUP($B147,Seqs!$A:$B,2,0),AM147,1),"")</f>
        <v>Q</v>
      </c>
      <c r="AM147" s="3">
        <v>237</v>
      </c>
      <c r="AN147" s="3" t="str">
        <f>IFERROR(MID(VLOOKUP($B147,Seqs!$A:$B,2,0),AO147,1),"")</f>
        <v>A</v>
      </c>
      <c r="AO147" s="3">
        <v>241</v>
      </c>
      <c r="AP147" s="3" t="str">
        <f>IFERROR(MID(VLOOKUP($B147,Seqs!$A:$B,2,0),AQ147,1),"")</f>
        <v>H</v>
      </c>
      <c r="AQ147" s="3">
        <v>278</v>
      </c>
      <c r="AR147" s="3" t="str">
        <f>IFERROR(MID(VLOOKUP($B147,Seqs!$A:$B,2,0),AS147,1),"")</f>
        <v>G</v>
      </c>
      <c r="AS147" s="3">
        <v>284</v>
      </c>
      <c r="AT147" s="3" t="str">
        <f>IFERROR(MID(VLOOKUP($B147,Seqs!$A:$B,2,0),AU147,1),"")</f>
        <v>M</v>
      </c>
      <c r="AU147" s="3">
        <v>309</v>
      </c>
      <c r="AV147" s="3" t="str">
        <f>IFERROR(MID(VLOOKUP($B147,Seqs!$A:$B,2,0),AW147,1),"")</f>
        <v>N</v>
      </c>
      <c r="AW147" s="3">
        <v>310</v>
      </c>
      <c r="AX147" s="3" t="str">
        <f>IFERROR(MID(VLOOKUP($B147,Seqs!$A:$B,2,0),AY147,1),"")</f>
        <v>C</v>
      </c>
      <c r="AY147" s="3">
        <v>322</v>
      </c>
      <c r="AZ147" s="79" t="str">
        <f>VLOOKUP(B147,Classification!A:D,2,0)</f>
        <v>A</v>
      </c>
      <c r="BA147" s="97" t="str">
        <f>VLOOKUP(B147,Classification!A:D,4,0)</f>
        <v>Opsins</v>
      </c>
      <c r="BB147" s="27" t="b">
        <f t="shared" si="556"/>
        <v>1</v>
      </c>
      <c r="BC147" s="23">
        <f t="shared" si="613"/>
        <v>252</v>
      </c>
      <c r="BD147" s="5" t="s">
        <v>1382</v>
      </c>
      <c r="BE147" s="3" t="s">
        <v>1297</v>
      </c>
      <c r="BF147" s="50" t="s">
        <v>1384</v>
      </c>
      <c r="BG147" s="50" t="s">
        <v>1384</v>
      </c>
      <c r="BH147" s="1"/>
      <c r="BI147" s="72" t="s">
        <v>1293</v>
      </c>
      <c r="BJ147" s="58" t="s">
        <v>1293</v>
      </c>
      <c r="BK147" s="58" t="s">
        <v>1293</v>
      </c>
      <c r="BL147" s="58" t="s">
        <v>1293</v>
      </c>
      <c r="BM147" s="58" t="s">
        <v>1293</v>
      </c>
      <c r="BN147" s="58" t="s">
        <v>1293</v>
      </c>
      <c r="BO147" s="58" t="s">
        <v>1293</v>
      </c>
      <c r="BP147" s="58" t="s">
        <v>1293</v>
      </c>
      <c r="BQ147" s="58" t="s">
        <v>1293</v>
      </c>
      <c r="BR147" s="58" t="s">
        <v>1293</v>
      </c>
      <c r="BS147" s="58" t="s">
        <v>1293</v>
      </c>
      <c r="BT147" s="58" t="s">
        <v>1293</v>
      </c>
      <c r="BU147" s="72">
        <f t="shared" si="614"/>
        <v>34</v>
      </c>
      <c r="BV147" s="73">
        <f t="shared" si="615"/>
        <v>66</v>
      </c>
      <c r="BW147" s="74">
        <f t="shared" si="616"/>
        <v>70</v>
      </c>
      <c r="BX147" s="73">
        <f t="shared" si="617"/>
        <v>102</v>
      </c>
      <c r="BY147" s="74">
        <f t="shared" si="618"/>
        <v>106</v>
      </c>
      <c r="BZ147" s="73" t="str">
        <f t="shared" si="619"/>
        <v>-</v>
      </c>
      <c r="CA147" s="74">
        <f t="shared" si="620"/>
        <v>149</v>
      </c>
      <c r="CB147" s="73">
        <f t="shared" si="621"/>
        <v>187</v>
      </c>
      <c r="CC147" s="74">
        <f t="shared" si="622"/>
        <v>199</v>
      </c>
      <c r="CD147" s="73">
        <f t="shared" si="623"/>
        <v>241</v>
      </c>
      <c r="CE147" s="74">
        <f t="shared" si="624"/>
        <v>284</v>
      </c>
      <c r="CF147" s="73">
        <f t="shared" si="625"/>
        <v>310</v>
      </c>
      <c r="CG147" s="72">
        <f t="shared" si="626"/>
        <v>65</v>
      </c>
      <c r="CH147" s="73">
        <f t="shared" si="627"/>
        <v>69</v>
      </c>
      <c r="CI147" s="74">
        <f t="shared" si="628"/>
        <v>100</v>
      </c>
      <c r="CJ147" s="74">
        <f t="shared" si="629"/>
        <v>105</v>
      </c>
      <c r="CK147" s="74">
        <f t="shared" si="630"/>
        <v>141</v>
      </c>
      <c r="CL147" s="74" t="str">
        <f t="shared" si="631"/>
        <v>-</v>
      </c>
      <c r="CM147" s="74">
        <f t="shared" si="632"/>
        <v>173</v>
      </c>
      <c r="CN147" s="74">
        <f t="shared" si="633"/>
        <v>189</v>
      </c>
      <c r="CO147" s="74">
        <f t="shared" si="634"/>
        <v>237</v>
      </c>
      <c r="CP147" s="74">
        <f t="shared" si="635"/>
        <v>278</v>
      </c>
      <c r="CQ147" s="74">
        <f t="shared" si="636"/>
        <v>309</v>
      </c>
      <c r="CR147" s="74">
        <f t="shared" si="637"/>
        <v>322</v>
      </c>
      <c r="CS147" s="23">
        <f t="shared" si="638"/>
        <v>1</v>
      </c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  <c r="JQ147" s="1"/>
      <c r="JR147" s="1"/>
      <c r="JS147" s="1"/>
      <c r="JT147" s="1"/>
      <c r="JU147" s="1"/>
      <c r="JV147" s="1"/>
      <c r="JW147" s="1"/>
      <c r="JX147" s="1"/>
      <c r="JY147" s="1"/>
      <c r="JZ147" s="1"/>
      <c r="KA147" s="1"/>
      <c r="KB147" s="1"/>
      <c r="KC147" s="1"/>
      <c r="KD147" s="1"/>
      <c r="KE147" s="1"/>
      <c r="KF147" s="1"/>
      <c r="KG147" s="1"/>
      <c r="KH147" s="1"/>
      <c r="KI147" s="1"/>
      <c r="KJ147" s="1"/>
      <c r="KK147" s="1"/>
      <c r="KL147" s="1"/>
      <c r="KM147" s="1"/>
      <c r="KN147" s="1"/>
      <c r="KO147" s="1"/>
      <c r="KP147" s="1"/>
      <c r="KQ147" s="1"/>
      <c r="KR147" s="1"/>
      <c r="KS147" s="1"/>
      <c r="KT147" s="1"/>
      <c r="KU147" s="1"/>
      <c r="KV147" s="1"/>
      <c r="KW147" s="1"/>
      <c r="KX147" s="1"/>
      <c r="KY147" s="1"/>
      <c r="KZ147" s="1"/>
      <c r="LA147" s="1"/>
      <c r="LB147" s="1"/>
      <c r="LC147" s="1"/>
      <c r="LD147" s="1"/>
      <c r="LE147" s="1"/>
      <c r="LF147" s="1"/>
      <c r="LG147" s="1"/>
      <c r="LH147" s="1"/>
      <c r="LI147" s="1"/>
      <c r="LJ147" s="1"/>
      <c r="LK147" s="1"/>
      <c r="LL147" s="1"/>
      <c r="LM147" s="1"/>
      <c r="LN147" s="1"/>
      <c r="LO147" s="1"/>
      <c r="LP147" s="1"/>
      <c r="LQ147" s="1"/>
      <c r="LR147" s="1"/>
      <c r="LS147" s="1"/>
      <c r="LT147" s="1"/>
      <c r="LU147" s="1"/>
      <c r="LV147" s="1"/>
      <c r="LW147" s="1"/>
      <c r="LX147" s="1"/>
      <c r="LY147" s="1"/>
      <c r="LZ147" s="1"/>
      <c r="MA147" s="1"/>
      <c r="MB147" s="1"/>
      <c r="MC147" s="1"/>
      <c r="MD147" s="1"/>
      <c r="ME147" s="1"/>
      <c r="MF147" s="1"/>
      <c r="MG147" s="1"/>
      <c r="MH147" s="1"/>
      <c r="MI147" s="1"/>
      <c r="MJ147" s="1"/>
      <c r="MK147" s="1"/>
      <c r="ML147" s="1"/>
      <c r="MM147" s="1"/>
      <c r="MN147" s="1"/>
      <c r="MO147" s="1"/>
      <c r="MP147" s="1"/>
      <c r="MQ147" s="1"/>
      <c r="MR147" s="1"/>
      <c r="MS147" s="1"/>
      <c r="MT147" s="1"/>
      <c r="MU147" s="1"/>
      <c r="MV147" s="1"/>
      <c r="MW147" s="1"/>
      <c r="MX147" s="1"/>
      <c r="MY147" s="1"/>
      <c r="MZ147" s="1"/>
      <c r="NA147" s="1"/>
      <c r="NB147" s="1"/>
      <c r="NC147" s="1"/>
      <c r="ND147" s="1"/>
      <c r="NE147" s="1"/>
      <c r="NF147" s="1"/>
      <c r="NG147" s="1"/>
      <c r="NH147" s="1"/>
      <c r="NI147" s="1"/>
      <c r="NJ147" s="1"/>
      <c r="NK147" s="1"/>
      <c r="NL147" s="1"/>
      <c r="NM147" s="1"/>
      <c r="NN147" s="1"/>
      <c r="NO147" s="1"/>
      <c r="NP147" s="1"/>
      <c r="NQ147" s="1"/>
      <c r="NR147" s="1"/>
      <c r="NS147" s="1"/>
      <c r="NT147" s="1"/>
      <c r="NU147" s="1"/>
      <c r="NV147" s="1"/>
      <c r="NW147" s="1"/>
      <c r="NX147" s="1"/>
      <c r="NY147" s="1"/>
      <c r="NZ147" s="1"/>
      <c r="OA147" s="1"/>
      <c r="OB147" s="1"/>
      <c r="OC147" s="1"/>
      <c r="OD147" s="1"/>
      <c r="OE147" s="1"/>
      <c r="OF147" s="1"/>
      <c r="OG147" s="1"/>
      <c r="OH147" s="1"/>
      <c r="OI147" s="1"/>
      <c r="OJ147" s="1"/>
      <c r="OK147" s="1"/>
      <c r="OL147" s="1"/>
      <c r="OM147" s="1"/>
      <c r="ON147" s="1"/>
      <c r="OO147" s="1"/>
      <c r="OP147" s="1"/>
      <c r="OQ147" s="1"/>
      <c r="OR147" s="1"/>
      <c r="OS147" s="1"/>
      <c r="OT147" s="1"/>
      <c r="OU147" s="1"/>
      <c r="OV147" s="1"/>
      <c r="OW147" s="1"/>
      <c r="OX147" s="1"/>
      <c r="OY147" s="1"/>
      <c r="OZ147" s="1"/>
      <c r="PA147" s="1"/>
      <c r="PB147" s="1"/>
      <c r="PC147" s="1"/>
      <c r="PD147" s="1"/>
      <c r="PE147" s="1"/>
      <c r="PF147" s="1"/>
      <c r="PG147" s="1"/>
      <c r="PH147" s="1"/>
      <c r="PI147" s="1"/>
      <c r="PJ147" s="1"/>
      <c r="PK147" s="1"/>
      <c r="PL147" s="1"/>
      <c r="PM147" s="1"/>
      <c r="PN147" s="1"/>
      <c r="PO147" s="1"/>
      <c r="PP147" s="1"/>
      <c r="PQ147" s="1"/>
      <c r="PR147" s="1"/>
      <c r="PS147" s="1"/>
      <c r="PT147" s="1"/>
      <c r="PU147" s="1"/>
      <c r="PV147" s="1"/>
      <c r="PW147" s="1"/>
      <c r="PX147" s="1"/>
      <c r="PY147" s="1"/>
      <c r="PZ147" s="1"/>
      <c r="QA147" s="1"/>
      <c r="QB147" s="1"/>
      <c r="QC147" s="1"/>
      <c r="QD147" s="1"/>
      <c r="QE147" s="1"/>
      <c r="QF147" s="1"/>
      <c r="QG147" s="1"/>
      <c r="QH147" s="1"/>
      <c r="QI147" s="1"/>
      <c r="QJ147" s="1"/>
      <c r="QK147" s="1"/>
      <c r="QL147" s="1"/>
      <c r="QM147" s="1"/>
      <c r="QN147" s="1"/>
      <c r="QO147" s="1"/>
      <c r="QP147" s="1"/>
      <c r="QQ147" s="1"/>
      <c r="QR147" s="1"/>
      <c r="QS147" s="1"/>
      <c r="QT147" s="1"/>
      <c r="QU147" s="1"/>
      <c r="QV147" s="1"/>
      <c r="QW147" s="1"/>
      <c r="QX147" s="1"/>
      <c r="QY147" s="1"/>
      <c r="QZ147" s="1"/>
      <c r="RA147" s="1"/>
      <c r="RB147" s="1"/>
      <c r="RC147" s="1"/>
      <c r="RD147" s="1"/>
      <c r="RE147" s="1"/>
      <c r="RF147" s="1"/>
      <c r="RG147" s="1"/>
      <c r="RH147" s="1"/>
      <c r="RI147" s="1"/>
      <c r="RJ147" s="1"/>
      <c r="RK147" s="1"/>
      <c r="RL147" s="1"/>
      <c r="RM147" s="1"/>
      <c r="RN147" s="1"/>
      <c r="RO147" s="1"/>
      <c r="RP147" s="1"/>
      <c r="RQ147" s="1"/>
      <c r="RR147" s="1"/>
      <c r="RS147" s="1"/>
      <c r="RT147" s="1"/>
      <c r="RU147" s="1"/>
      <c r="RV147" s="1"/>
      <c r="RW147" s="1"/>
      <c r="RX147" s="1"/>
      <c r="RY147" s="1"/>
      <c r="RZ147" s="1"/>
      <c r="SA147" s="1"/>
      <c r="SB147" s="1"/>
      <c r="SC147" s="1"/>
      <c r="SD147" s="1"/>
      <c r="SE147" s="1"/>
      <c r="SF147" s="1"/>
      <c r="SG147" s="1"/>
      <c r="SH147" s="1"/>
      <c r="SI147" s="1"/>
      <c r="SJ147" s="1"/>
      <c r="SK147" s="1"/>
      <c r="SL147" s="1"/>
      <c r="SM147" s="1"/>
      <c r="SN147" s="1"/>
      <c r="SO147" s="1"/>
      <c r="SP147" s="1"/>
      <c r="SQ147" s="1"/>
      <c r="SR147" s="1"/>
      <c r="SS147" s="1"/>
      <c r="ST147" s="1"/>
      <c r="SU147" s="1"/>
      <c r="SV147" s="1"/>
      <c r="SW147" s="1"/>
      <c r="SX147" s="1"/>
      <c r="SY147" s="1"/>
      <c r="SZ147" s="1"/>
      <c r="TA147" s="1"/>
      <c r="TB147" s="1"/>
      <c r="TC147" s="1"/>
      <c r="TD147" s="1"/>
      <c r="TE147" s="1"/>
      <c r="TF147" s="1"/>
      <c r="TG147" s="1"/>
      <c r="TH147" s="1"/>
      <c r="TI147" s="1"/>
      <c r="TJ147" s="1"/>
      <c r="TK147" s="1"/>
      <c r="TL147" s="1"/>
      <c r="TM147" s="1"/>
      <c r="TN147" s="1"/>
      <c r="TO147" s="1"/>
      <c r="TP147" s="1"/>
      <c r="TQ147" s="1"/>
      <c r="TR147" s="1"/>
      <c r="TS147" s="1"/>
      <c r="TT147" s="1"/>
      <c r="TU147" s="1"/>
      <c r="TV147" s="1"/>
      <c r="TW147" s="1"/>
      <c r="TX147" s="1"/>
      <c r="TY147" s="1"/>
      <c r="TZ147" s="1"/>
      <c r="UA147" s="1"/>
      <c r="UB147" s="1"/>
      <c r="UC147" s="1"/>
      <c r="UD147" s="1"/>
      <c r="UE147" s="1"/>
      <c r="UF147" s="1"/>
      <c r="UG147" s="1"/>
      <c r="UH147" s="1"/>
      <c r="UI147" s="1"/>
      <c r="UJ147" s="1"/>
      <c r="UK147" s="1"/>
      <c r="UL147" s="1"/>
      <c r="UM147" s="1"/>
      <c r="UN147" s="1"/>
      <c r="UO147" s="1"/>
      <c r="UP147" s="1"/>
      <c r="UQ147" s="1"/>
      <c r="UR147" s="1"/>
      <c r="US147" s="1"/>
      <c r="UT147" s="1"/>
      <c r="UU147" s="1"/>
      <c r="UV147" s="1"/>
      <c r="UW147" s="1"/>
      <c r="UX147" s="1"/>
      <c r="UY147" s="1"/>
      <c r="UZ147" s="1"/>
      <c r="VA147" s="1"/>
      <c r="VB147" s="1"/>
      <c r="VC147" s="1"/>
      <c r="VD147" s="1"/>
      <c r="VE147" s="1"/>
      <c r="VF147" s="1"/>
      <c r="VG147" s="1"/>
      <c r="VH147" s="1"/>
      <c r="VI147" s="1"/>
      <c r="VJ147" s="1"/>
      <c r="VK147" s="1"/>
      <c r="VL147" s="1"/>
      <c r="VM147" s="1"/>
      <c r="VN147" s="1"/>
      <c r="VO147" s="1"/>
      <c r="VP147" s="1"/>
      <c r="VQ147" s="1"/>
      <c r="VR147" s="1"/>
      <c r="VS147" s="1"/>
      <c r="VT147" s="1"/>
      <c r="VU147" s="1"/>
      <c r="VV147" s="1"/>
      <c r="VW147" s="1"/>
      <c r="VX147" s="1"/>
      <c r="VY147" s="1"/>
      <c r="VZ147" s="1"/>
      <c r="WA147" s="1"/>
      <c r="WB147" s="1"/>
      <c r="WC147" s="1"/>
      <c r="WD147" s="1"/>
      <c r="WE147" s="1"/>
      <c r="WF147" s="1"/>
      <c r="WG147" s="1"/>
      <c r="WH147" s="1"/>
      <c r="WI147" s="1"/>
      <c r="WJ147" s="1"/>
      <c r="WK147" s="1"/>
      <c r="WL147" s="1"/>
      <c r="WM147" s="1"/>
      <c r="WN147" s="1"/>
      <c r="WO147" s="1"/>
      <c r="WP147" s="1"/>
      <c r="WQ147" s="1"/>
      <c r="WR147" s="1"/>
      <c r="WS147" s="1"/>
      <c r="WT147" s="1"/>
      <c r="WU147" s="1"/>
      <c r="WV147" s="1"/>
      <c r="WW147" s="1"/>
      <c r="WX147" s="1"/>
      <c r="WY147" s="1"/>
      <c r="WZ147" s="1"/>
      <c r="XA147" s="1"/>
      <c r="XB147" s="1"/>
      <c r="XC147" s="1"/>
      <c r="XD147" s="1"/>
      <c r="XE147" s="1"/>
      <c r="XF147" s="1"/>
      <c r="XG147" s="1"/>
      <c r="XH147" s="1"/>
      <c r="XI147" s="1"/>
      <c r="XJ147" s="1"/>
      <c r="XK147" s="1"/>
      <c r="XL147" s="1"/>
      <c r="XM147" s="1"/>
      <c r="XN147" s="1"/>
      <c r="XO147" s="1"/>
      <c r="XP147" s="1"/>
      <c r="XQ147" s="1"/>
      <c r="XR147" s="1"/>
      <c r="XS147" s="1"/>
      <c r="XT147" s="1"/>
      <c r="XU147" s="1"/>
      <c r="XV147" s="1"/>
      <c r="XW147" s="1"/>
      <c r="XX147" s="1"/>
      <c r="XY147" s="1"/>
      <c r="XZ147" s="1"/>
      <c r="YA147" s="1"/>
      <c r="YB147" s="1"/>
      <c r="YC147" s="1"/>
      <c r="YD147" s="1"/>
      <c r="YE147" s="1"/>
      <c r="YF147" s="1"/>
      <c r="YG147" s="1"/>
      <c r="YH147" s="1"/>
      <c r="YI147" s="1"/>
      <c r="YJ147" s="1"/>
      <c r="YK147" s="1"/>
      <c r="YL147" s="1"/>
      <c r="YM147" s="1"/>
      <c r="YN147" s="1"/>
      <c r="YO147" s="1"/>
      <c r="YP147" s="1"/>
      <c r="YQ147" s="1"/>
      <c r="YR147" s="1"/>
      <c r="YS147" s="1"/>
      <c r="YT147" s="1"/>
      <c r="YU147" s="1"/>
      <c r="YV147" s="1"/>
      <c r="YW147" s="1"/>
      <c r="YX147" s="1"/>
      <c r="YY147" s="1"/>
      <c r="YZ147" s="1"/>
      <c r="ZA147" s="1"/>
      <c r="ZB147" s="1"/>
      <c r="ZC147" s="1"/>
      <c r="ZD147" s="1"/>
      <c r="ZE147" s="1"/>
      <c r="ZF147" s="1"/>
      <c r="ZG147" s="1"/>
      <c r="ZH147" s="1"/>
      <c r="ZI147" s="1"/>
      <c r="ZJ147" s="1"/>
      <c r="ZK147" s="1"/>
      <c r="ZL147" s="1"/>
      <c r="ZM147" s="1"/>
      <c r="ZN147" s="1"/>
      <c r="ZO147" s="1"/>
      <c r="ZP147" s="1"/>
      <c r="ZQ147" s="1"/>
      <c r="ZR147" s="1"/>
      <c r="ZS147" s="1"/>
      <c r="ZT147" s="1"/>
      <c r="ZU147" s="1"/>
      <c r="ZV147" s="1"/>
      <c r="ZW147" s="1"/>
      <c r="ZX147" s="1"/>
      <c r="ZY147" s="1"/>
      <c r="ZZ147" s="1"/>
      <c r="AAA147" s="1"/>
      <c r="AAB147" s="1"/>
      <c r="AAC147" s="1"/>
      <c r="AAD147" s="1"/>
      <c r="AAE147" s="1"/>
      <c r="AAF147" s="1"/>
      <c r="AAG147" s="1"/>
      <c r="AAH147" s="1"/>
      <c r="AAI147" s="1"/>
      <c r="AAJ147" s="1"/>
      <c r="AAK147" s="1"/>
      <c r="AAL147" s="1"/>
      <c r="AAM147" s="1"/>
      <c r="AAN147" s="1"/>
      <c r="AAO147" s="1"/>
      <c r="AAP147" s="1"/>
      <c r="AAQ147" s="1"/>
      <c r="AAR147" s="1"/>
      <c r="AAS147" s="1"/>
      <c r="AAT147" s="1"/>
      <c r="AAU147" s="1"/>
      <c r="AAV147" s="1"/>
      <c r="AAW147" s="1"/>
      <c r="AAX147" s="1"/>
      <c r="AAY147" s="1"/>
      <c r="AAZ147" s="1"/>
      <c r="ABA147" s="1"/>
      <c r="ABB147" s="1"/>
      <c r="ABC147" s="1"/>
      <c r="ABD147" s="1"/>
      <c r="ABE147" s="1"/>
      <c r="ABF147" s="1"/>
      <c r="ABG147" s="1"/>
      <c r="ABH147" s="1"/>
      <c r="ABI147" s="1"/>
      <c r="ABJ147" s="1"/>
      <c r="ABK147" s="1"/>
      <c r="ABL147" s="1"/>
      <c r="ABM147" s="1"/>
      <c r="ABN147" s="1"/>
      <c r="ABO147" s="1"/>
      <c r="ABP147" s="1"/>
      <c r="ABQ147" s="1"/>
      <c r="ABR147" s="1"/>
      <c r="ABS147" s="1"/>
      <c r="ABT147" s="1"/>
      <c r="ABU147" s="1"/>
      <c r="ABV147" s="1"/>
      <c r="ABW147" s="1"/>
      <c r="ABX147" s="1"/>
      <c r="ABY147" s="1"/>
      <c r="ABZ147" s="1"/>
      <c r="ACA147" s="1"/>
      <c r="ACB147" s="1"/>
      <c r="ACC147" s="1"/>
      <c r="ACD147" s="1"/>
      <c r="ACE147" s="1"/>
      <c r="ACF147" s="1"/>
      <c r="ACG147" s="1"/>
      <c r="ACH147" s="1"/>
      <c r="ACI147" s="1"/>
      <c r="ACJ147" s="1"/>
      <c r="ACK147" s="1"/>
      <c r="ACL147" s="1"/>
      <c r="ACM147" s="1"/>
      <c r="ACN147" s="1"/>
      <c r="ACO147" s="1"/>
      <c r="ACP147" s="1"/>
      <c r="ACQ147" s="1"/>
      <c r="ACR147" s="1"/>
      <c r="ACS147" s="1"/>
      <c r="ACT147" s="1"/>
      <c r="ACU147" s="1"/>
      <c r="ACV147" s="1"/>
      <c r="ACW147" s="1"/>
      <c r="ACX147" s="1"/>
      <c r="ACY147" s="1"/>
      <c r="ACZ147" s="1"/>
      <c r="ADA147" s="1"/>
      <c r="ADB147" s="1"/>
      <c r="ADC147" s="1"/>
      <c r="ADD147" s="1"/>
      <c r="ADE147" s="1"/>
      <c r="ADF147" s="1"/>
      <c r="ADG147" s="1"/>
      <c r="ADH147" s="1"/>
      <c r="ADI147" s="1"/>
      <c r="ADJ147" s="1"/>
      <c r="ADK147" s="1"/>
      <c r="ADL147" s="1"/>
      <c r="ADM147" s="1"/>
      <c r="ADN147" s="1"/>
      <c r="ADO147" s="1"/>
      <c r="ADP147" s="1"/>
      <c r="ADQ147" s="1"/>
      <c r="ADR147" s="1"/>
      <c r="ADS147" s="1"/>
      <c r="ADT147" s="1"/>
      <c r="ADU147" s="1"/>
      <c r="ADV147" s="1"/>
      <c r="ADW147" s="1"/>
      <c r="ADX147" s="1"/>
      <c r="ADY147" s="1"/>
      <c r="ADZ147" s="1"/>
      <c r="AEA147" s="1"/>
      <c r="AEB147" s="1"/>
      <c r="AEC147" s="1"/>
      <c r="AED147" s="1"/>
      <c r="AEE147" s="1"/>
      <c r="AEF147" s="1"/>
      <c r="AEG147" s="1"/>
      <c r="AEH147" s="1"/>
      <c r="AEI147" s="1"/>
      <c r="AEJ147" s="1"/>
      <c r="AEK147" s="1"/>
      <c r="AEL147" s="1"/>
      <c r="AEM147" s="1"/>
      <c r="AEN147" s="1"/>
      <c r="AEO147" s="1"/>
      <c r="AEP147" s="1"/>
      <c r="AEQ147" s="1"/>
      <c r="AER147" s="1"/>
      <c r="AES147" s="1"/>
      <c r="AET147" s="1"/>
      <c r="AEU147" s="1"/>
      <c r="AEV147" s="1"/>
      <c r="AEW147" s="1"/>
      <c r="AEX147" s="1"/>
      <c r="AEY147" s="1"/>
      <c r="AEZ147" s="1"/>
      <c r="AFA147" s="1"/>
      <c r="AFB147" s="1"/>
      <c r="AFC147" s="1"/>
      <c r="AFD147" s="1"/>
      <c r="AFE147" s="1"/>
      <c r="AFF147" s="1"/>
      <c r="AFG147" s="1"/>
      <c r="AFH147" s="1"/>
      <c r="AFI147" s="1"/>
      <c r="AFJ147" s="1"/>
      <c r="AFK147" s="1"/>
      <c r="AFL147" s="1"/>
      <c r="AFM147" s="1"/>
      <c r="AFN147" s="1"/>
      <c r="AFO147" s="1"/>
      <c r="AFP147" s="1"/>
      <c r="AFQ147" s="1"/>
      <c r="AFR147" s="1"/>
      <c r="AFS147" s="1"/>
      <c r="AFT147" s="1"/>
      <c r="AFU147" s="1"/>
      <c r="AFV147" s="1"/>
      <c r="AFW147" s="1"/>
      <c r="AFX147" s="1"/>
      <c r="AFY147" s="1"/>
      <c r="AFZ147" s="1"/>
      <c r="AGA147" s="1"/>
      <c r="AGB147" s="1"/>
      <c r="AGC147" s="1"/>
      <c r="AGD147" s="1"/>
      <c r="AGE147" s="1"/>
      <c r="AGF147" s="1"/>
      <c r="AGG147" s="1"/>
      <c r="AGH147" s="1"/>
      <c r="AGI147" s="1"/>
      <c r="AGJ147" s="1"/>
      <c r="AGK147" s="1"/>
      <c r="AGL147" s="1"/>
      <c r="AGM147" s="1"/>
      <c r="AGN147" s="1"/>
      <c r="AGO147" s="1"/>
      <c r="AGP147" s="1"/>
      <c r="AGQ147" s="1"/>
      <c r="AGR147" s="1"/>
      <c r="AGS147" s="1"/>
      <c r="AGT147" s="1"/>
      <c r="AGU147" s="1"/>
      <c r="AGV147" s="1"/>
      <c r="AGW147" s="1"/>
      <c r="AGX147" s="1"/>
      <c r="AGY147" s="1"/>
      <c r="AGZ147" s="1"/>
      <c r="AHA147" s="1"/>
      <c r="AHB147" s="1"/>
      <c r="AHC147" s="1"/>
      <c r="AHD147" s="1"/>
      <c r="AHE147" s="1"/>
      <c r="AHF147" s="1"/>
      <c r="AHG147" s="1"/>
      <c r="AHH147" s="1"/>
      <c r="AHI147" s="1"/>
      <c r="AHJ147" s="1"/>
      <c r="AHK147" s="1"/>
      <c r="AHL147" s="1"/>
      <c r="AHM147" s="1"/>
      <c r="AHN147" s="1"/>
      <c r="AHO147" s="1"/>
      <c r="AHP147" s="1"/>
      <c r="AHQ147" s="1"/>
      <c r="AHR147" s="1"/>
      <c r="AHS147" s="1"/>
      <c r="AHT147" s="1"/>
      <c r="AHU147" s="1"/>
      <c r="AHV147" s="1"/>
      <c r="AHW147" s="1"/>
      <c r="AHX147" s="1"/>
      <c r="AHY147" s="1"/>
      <c r="AHZ147" s="1"/>
      <c r="AIA147" s="1"/>
      <c r="AIB147" s="1"/>
      <c r="AIC147" s="1"/>
      <c r="AID147" s="1"/>
      <c r="AIE147" s="1"/>
      <c r="AIF147" s="1"/>
      <c r="AIG147" s="1"/>
      <c r="AIH147" s="1"/>
      <c r="AII147" s="1"/>
      <c r="AIJ147" s="1"/>
      <c r="AIK147" s="1"/>
      <c r="AIL147" s="1"/>
      <c r="AIM147" s="1"/>
      <c r="AIN147" s="1"/>
      <c r="AIO147" s="1"/>
      <c r="AIP147" s="1"/>
      <c r="AIQ147" s="1"/>
      <c r="AIR147" s="1"/>
      <c r="AIS147" s="1"/>
      <c r="AIT147" s="1"/>
      <c r="AIU147" s="1"/>
      <c r="AIV147" s="1"/>
      <c r="AIW147" s="1"/>
      <c r="AIX147" s="1"/>
      <c r="AIY147" s="1"/>
      <c r="AIZ147" s="1"/>
      <c r="AJA147" s="1"/>
      <c r="AJB147" s="1"/>
      <c r="AJC147" s="1"/>
      <c r="AJD147" s="1"/>
      <c r="AJE147" s="1"/>
      <c r="AJF147" s="1"/>
      <c r="AJG147" s="1"/>
      <c r="AJH147" s="1"/>
      <c r="AJI147" s="1"/>
      <c r="AJJ147" s="1"/>
      <c r="AJK147" s="1"/>
      <c r="AJL147" s="1"/>
      <c r="AJM147" s="1"/>
      <c r="AJN147" s="1"/>
      <c r="AJO147" s="1"/>
      <c r="AJP147" s="1"/>
      <c r="AJQ147" s="1"/>
      <c r="AJR147" s="1"/>
      <c r="AJS147" s="1"/>
      <c r="AJT147" s="1"/>
      <c r="AJU147" s="1"/>
      <c r="AJV147" s="1"/>
      <c r="AJW147" s="1"/>
      <c r="AJX147" s="1"/>
      <c r="AJY147" s="1"/>
      <c r="AJZ147" s="1"/>
      <c r="AKA147" s="1"/>
      <c r="AKB147" s="1"/>
      <c r="AKC147" s="1"/>
      <c r="AKD147" s="1"/>
      <c r="AKE147" s="1"/>
      <c r="AKF147" s="1"/>
      <c r="AKG147" s="1"/>
      <c r="AKH147" s="1"/>
      <c r="AKI147" s="1"/>
      <c r="AKJ147" s="1"/>
      <c r="AKK147" s="1"/>
      <c r="AKL147" s="1"/>
      <c r="AKM147" s="1"/>
      <c r="AKN147" s="1"/>
      <c r="AKO147" s="1"/>
      <c r="AKP147" s="1"/>
      <c r="AKQ147" s="1"/>
      <c r="AKR147" s="1"/>
      <c r="AKS147" s="1"/>
      <c r="AKT147" s="1"/>
      <c r="AKU147" s="1"/>
      <c r="AKV147" s="1"/>
      <c r="AKW147" s="1"/>
      <c r="AKX147" s="1"/>
      <c r="AKY147" s="1"/>
      <c r="AKZ147" s="1"/>
      <c r="ALA147" s="1"/>
      <c r="ALB147" s="1"/>
      <c r="ALC147" s="1"/>
      <c r="ALD147" s="1"/>
      <c r="ALE147" s="1"/>
      <c r="ALF147" s="1"/>
      <c r="ALG147" s="1"/>
      <c r="ALH147" s="1"/>
      <c r="ALI147" s="1"/>
      <c r="ALJ147" s="1"/>
      <c r="ALK147" s="1"/>
      <c r="ALL147" s="1"/>
      <c r="ALM147" s="1"/>
      <c r="ALN147" s="1"/>
      <c r="ALO147" s="1"/>
      <c r="ALP147" s="1"/>
      <c r="ALQ147" s="1"/>
      <c r="ALR147" s="1"/>
      <c r="ALS147" s="1"/>
      <c r="ALT147" s="1"/>
      <c r="ALU147" s="1"/>
      <c r="ALV147" s="1"/>
      <c r="ALW147" s="1"/>
      <c r="ALX147" s="1"/>
      <c r="ALY147" s="1"/>
      <c r="ALZ147" s="1"/>
      <c r="AMA147" s="1"/>
      <c r="AMB147" s="1"/>
      <c r="AMC147" s="1"/>
      <c r="AMD147" s="1"/>
      <c r="AME147" s="1"/>
      <c r="AMF147" s="1"/>
      <c r="AMG147" s="1"/>
      <c r="AMH147" s="1"/>
      <c r="AMI147" s="1"/>
      <c r="AMJ147" s="1"/>
      <c r="AMK147" s="1"/>
      <c r="AML147" s="1"/>
      <c r="AMM147" s="1"/>
      <c r="AMN147" s="1"/>
    </row>
    <row r="148" spans="1:1029" x14ac:dyDescent="0.2">
      <c r="A148" s="3" t="str">
        <f t="shared" ref="A148:A187" si="639">CONCATENATE(B148,"_",C148)</f>
        <v>opsd_bovin_5EN0</v>
      </c>
      <c r="B148" s="3" t="s">
        <v>920</v>
      </c>
      <c r="C148" s="3" t="s">
        <v>1364</v>
      </c>
      <c r="D148" s="3" t="str">
        <f>IFERROR(MID(VLOOKUP($B148,Seqs!$A:$B,2,0),E148,1),"")</f>
        <v>P</v>
      </c>
      <c r="E148" s="3">
        <v>34</v>
      </c>
      <c r="F148" s="3" t="str">
        <f>IFERROR(MID(VLOOKUP($B148,Seqs!$A:$B,2,0),G148,1),"")</f>
        <v>H</v>
      </c>
      <c r="G148" s="3">
        <v>65</v>
      </c>
      <c r="H148" s="3" t="str">
        <f>IFERROR(MID(VLOOKUP($B148,Seqs!$A:$B,2,0),I148,1),"")</f>
        <v>K</v>
      </c>
      <c r="I148" s="23">
        <v>66</v>
      </c>
      <c r="J148" s="3" t="str">
        <f>IFERROR(MID(VLOOKUP($B148,Seqs!$A:$B,2,0),K148,1),"")</f>
        <v>R</v>
      </c>
      <c r="K148" s="23">
        <v>69</v>
      </c>
      <c r="L148" s="3" t="str">
        <f>IFERROR(MID(VLOOKUP($B148,Seqs!$A:$B,2,0),M148,1),"")</f>
        <v>T</v>
      </c>
      <c r="M148" s="3">
        <v>70</v>
      </c>
      <c r="N148" s="3" t="str">
        <f>IFERROR(MID(VLOOKUP($B148,Seqs!$A:$B,2,0),O148,1),"")</f>
        <v>H</v>
      </c>
      <c r="O148" s="3">
        <v>100</v>
      </c>
      <c r="P148" s="3" t="str">
        <f>IFERROR(MID(VLOOKUP($B148,Seqs!$A:$B,2,0),Q148,1),"")</f>
        <v>Y</v>
      </c>
      <c r="Q148" s="3">
        <v>102</v>
      </c>
      <c r="R148" s="3" t="str">
        <f>IFERROR(MID(VLOOKUP($B148,Seqs!$A:$B,2,0),S148,1),"")</f>
        <v>F</v>
      </c>
      <c r="S148" s="3">
        <v>105</v>
      </c>
      <c r="T148" s="3" t="str">
        <f>IFERROR(MID(VLOOKUP($B148,Seqs!$A:$B,2,0),U148,1),"")</f>
        <v>G</v>
      </c>
      <c r="U148" s="3">
        <v>106</v>
      </c>
      <c r="V148" s="3" t="str">
        <f>IFERROR(MID(VLOOKUP($B148,Seqs!$A:$B,2,0),W148,1),"")</f>
        <v>K</v>
      </c>
      <c r="W148" s="3">
        <v>141</v>
      </c>
      <c r="X148" s="3" t="str">
        <f>IFERROR(MID(VLOOKUP($B148,Seqs!$A:$B,2,0),Y148,1),"")</f>
        <v/>
      </c>
      <c r="Y148" s="3" t="s">
        <v>23</v>
      </c>
      <c r="Z148" s="3" t="str">
        <f>IFERROR(MID(VLOOKUP($B148,Seqs!$A:$B,2,0),AA148,1),"")</f>
        <v/>
      </c>
      <c r="AA148" s="3" t="s">
        <v>23</v>
      </c>
      <c r="AB148" s="3" t="str">
        <f>IFERROR(MID(VLOOKUP($B148,Seqs!$A:$B,2,0),AC148,1),"")</f>
        <v>G</v>
      </c>
      <c r="AC148" s="9">
        <v>149</v>
      </c>
      <c r="AD148" s="3" t="str">
        <f>IFERROR(MID(VLOOKUP($B148,Seqs!$A:$B,2,0),AE148,1),"")</f>
        <v>V</v>
      </c>
      <c r="AE148" s="3">
        <v>173</v>
      </c>
      <c r="AF148" s="3" t="str">
        <f>IFERROR(MID(VLOOKUP($B148,Seqs!$A:$B,2,0),AG148,1),"")</f>
        <v>C</v>
      </c>
      <c r="AG148" s="3">
        <v>187</v>
      </c>
      <c r="AH148" s="3" t="str">
        <f>IFERROR(MID(VLOOKUP($B148,Seqs!$A:$B,2,0),AI148,1),"")</f>
        <v>I</v>
      </c>
      <c r="AI148" s="3">
        <v>189</v>
      </c>
      <c r="AJ148" s="3" t="str">
        <f>IFERROR(MID(VLOOKUP($B148,Seqs!$A:$B,2,0),AK148,1),"")</f>
        <v>N</v>
      </c>
      <c r="AK148" s="3">
        <v>199</v>
      </c>
      <c r="AL148" s="3" t="str">
        <f>IFERROR(MID(VLOOKUP($B148,Seqs!$A:$B,2,0),AM148,1),"")</f>
        <v>Q</v>
      </c>
      <c r="AM148" s="3">
        <v>237</v>
      </c>
      <c r="AN148" s="3" t="str">
        <f>IFERROR(MID(VLOOKUP($B148,Seqs!$A:$B,2,0),AO148,1),"")</f>
        <v>A</v>
      </c>
      <c r="AO148" s="3">
        <v>241</v>
      </c>
      <c r="AP148" s="3" t="str">
        <f>IFERROR(MID(VLOOKUP($B148,Seqs!$A:$B,2,0),AQ148,1),"")</f>
        <v>H</v>
      </c>
      <c r="AQ148" s="3">
        <v>278</v>
      </c>
      <c r="AR148" s="3" t="str">
        <f>IFERROR(MID(VLOOKUP($B148,Seqs!$A:$B,2,0),AS148,1),"")</f>
        <v>G</v>
      </c>
      <c r="AS148" s="3">
        <v>284</v>
      </c>
      <c r="AT148" s="3" t="str">
        <f>IFERROR(MID(VLOOKUP($B148,Seqs!$A:$B,2,0),AU148,1),"")</f>
        <v>M</v>
      </c>
      <c r="AU148" s="3">
        <v>309</v>
      </c>
      <c r="AV148" s="3" t="str">
        <f>IFERROR(MID(VLOOKUP($B148,Seqs!$A:$B,2,0),AW148,1),"")</f>
        <v>N</v>
      </c>
      <c r="AW148" s="3">
        <v>310</v>
      </c>
      <c r="AX148" s="3" t="str">
        <f>IFERROR(MID(VLOOKUP($B148,Seqs!$A:$B,2,0),AY148,1),"")</f>
        <v>C</v>
      </c>
      <c r="AY148" s="3">
        <v>322</v>
      </c>
      <c r="AZ148" s="79" t="str">
        <f>VLOOKUP(B148,Classification!A:D,2,0)</f>
        <v>A</v>
      </c>
      <c r="BA148" s="97" t="str">
        <f>VLOOKUP(B148,Classification!A:D,4,0)</f>
        <v>Opsins</v>
      </c>
      <c r="BB148" s="27" t="b">
        <f t="shared" ref="BB148:BB187" si="640">AND(E148&lt;G148,OR(G148&lt;I148,I148="-"),OR(I148&lt;K148,I148="-"),OR(K148&lt;M148,K148="-"),M148&lt;O148,OR(O148&lt;Q148,Q148="-"),OR(Q148&lt;S148,Q148="-"),OR(S148&lt;U148,S148="-"),U148&lt;W148,OR(W148&lt;Y148,Y148="-"),OR(Y148&lt;AA148,Y148="-"),OR(AA148&lt;AC148,AA148="-"),AC148&lt;AE148,OR(AE148&lt;AG148,AG148="-"),OR(AG148&lt;AI148,AG148="-"),OR(AI148&lt;AK148,AI148="-"),AK148&lt;AM148,AM148&lt;AO148,AO148&lt;AQ148,AQ148&lt;AS148,AS148&lt;AU148,OR(AU148&lt;AW148,AW148="-"),OR(AW148&lt;AY148,AW148="-"))</f>
        <v>1</v>
      </c>
      <c r="BC148" s="23">
        <f t="shared" si="613"/>
        <v>252</v>
      </c>
      <c r="BD148" s="4" t="s">
        <v>23</v>
      </c>
      <c r="BE148" s="3" t="s">
        <v>1297</v>
      </c>
      <c r="BF148" s="50" t="s">
        <v>1384</v>
      </c>
      <c r="BG148" s="50" t="s">
        <v>1384</v>
      </c>
      <c r="BH148" s="1"/>
      <c r="BI148" s="72" t="s">
        <v>1293</v>
      </c>
      <c r="BJ148" s="58" t="s">
        <v>1293</v>
      </c>
      <c r="BK148" s="58" t="s">
        <v>1293</v>
      </c>
      <c r="BL148" s="58" t="s">
        <v>1293</v>
      </c>
      <c r="BM148" s="58" t="s">
        <v>1293</v>
      </c>
      <c r="BN148" s="58" t="s">
        <v>1293</v>
      </c>
      <c r="BO148" s="58" t="s">
        <v>1293</v>
      </c>
      <c r="BP148" s="58" t="s">
        <v>1293</v>
      </c>
      <c r="BQ148" s="58" t="s">
        <v>1293</v>
      </c>
      <c r="BR148" s="58" t="s">
        <v>1293</v>
      </c>
      <c r="BS148" s="58" t="s">
        <v>1293</v>
      </c>
      <c r="BT148" s="58" t="s">
        <v>1293</v>
      </c>
      <c r="BU148" s="72">
        <f t="shared" si="614"/>
        <v>34</v>
      </c>
      <c r="BV148" s="73">
        <f t="shared" si="615"/>
        <v>66</v>
      </c>
      <c r="BW148" s="74">
        <f t="shared" si="616"/>
        <v>70</v>
      </c>
      <c r="BX148" s="73">
        <f t="shared" si="617"/>
        <v>102</v>
      </c>
      <c r="BY148" s="74">
        <f t="shared" si="618"/>
        <v>106</v>
      </c>
      <c r="BZ148" s="73" t="str">
        <f t="shared" si="619"/>
        <v>-</v>
      </c>
      <c r="CA148" s="74">
        <f t="shared" si="620"/>
        <v>149</v>
      </c>
      <c r="CB148" s="73">
        <f t="shared" si="621"/>
        <v>187</v>
      </c>
      <c r="CC148" s="74">
        <f t="shared" si="622"/>
        <v>199</v>
      </c>
      <c r="CD148" s="73">
        <f t="shared" si="623"/>
        <v>241</v>
      </c>
      <c r="CE148" s="74">
        <f t="shared" si="624"/>
        <v>284</v>
      </c>
      <c r="CF148" s="73">
        <f t="shared" si="625"/>
        <v>310</v>
      </c>
      <c r="CG148" s="72">
        <f t="shared" si="626"/>
        <v>65</v>
      </c>
      <c r="CH148" s="73">
        <f t="shared" si="627"/>
        <v>69</v>
      </c>
      <c r="CI148" s="74">
        <f t="shared" si="628"/>
        <v>100</v>
      </c>
      <c r="CJ148" s="74">
        <f t="shared" si="629"/>
        <v>105</v>
      </c>
      <c r="CK148" s="74">
        <f t="shared" si="630"/>
        <v>141</v>
      </c>
      <c r="CL148" s="74" t="str">
        <f t="shared" si="631"/>
        <v>-</v>
      </c>
      <c r="CM148" s="74">
        <f t="shared" si="632"/>
        <v>173</v>
      </c>
      <c r="CN148" s="74">
        <f t="shared" si="633"/>
        <v>189</v>
      </c>
      <c r="CO148" s="74">
        <f t="shared" si="634"/>
        <v>237</v>
      </c>
      <c r="CP148" s="74">
        <f t="shared" si="635"/>
        <v>278</v>
      </c>
      <c r="CQ148" s="74">
        <f t="shared" si="636"/>
        <v>309</v>
      </c>
      <c r="CR148" s="74">
        <f t="shared" si="637"/>
        <v>322</v>
      </c>
      <c r="CS148" s="23">
        <f t="shared" si="638"/>
        <v>1</v>
      </c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/>
      <c r="JK148" s="1"/>
      <c r="JL148" s="1"/>
      <c r="JM148" s="1"/>
      <c r="JN148" s="1"/>
      <c r="JO148" s="1"/>
      <c r="JP148" s="1"/>
      <c r="JQ148" s="1"/>
      <c r="JR148" s="1"/>
      <c r="JS148" s="1"/>
      <c r="JT148" s="1"/>
      <c r="JU148" s="1"/>
      <c r="JV148" s="1"/>
      <c r="JW148" s="1"/>
      <c r="JX148" s="1"/>
      <c r="JY148" s="1"/>
      <c r="JZ148" s="1"/>
      <c r="KA148" s="1"/>
      <c r="KB148" s="1"/>
      <c r="KC148" s="1"/>
      <c r="KD148" s="1"/>
      <c r="KE148" s="1"/>
      <c r="KF148" s="1"/>
      <c r="KG148" s="1"/>
      <c r="KH148" s="1"/>
      <c r="KI148" s="1"/>
      <c r="KJ148" s="1"/>
      <c r="KK148" s="1"/>
      <c r="KL148" s="1"/>
      <c r="KM148" s="1"/>
      <c r="KN148" s="1"/>
      <c r="KO148" s="1"/>
      <c r="KP148" s="1"/>
      <c r="KQ148" s="1"/>
      <c r="KR148" s="1"/>
      <c r="KS148" s="1"/>
      <c r="KT148" s="1"/>
      <c r="KU148" s="1"/>
      <c r="KV148" s="1"/>
      <c r="KW148" s="1"/>
      <c r="KX148" s="1"/>
      <c r="KY148" s="1"/>
      <c r="KZ148" s="1"/>
      <c r="LA148" s="1"/>
      <c r="LB148" s="1"/>
      <c r="LC148" s="1"/>
      <c r="LD148" s="1"/>
      <c r="LE148" s="1"/>
      <c r="LF148" s="1"/>
      <c r="LG148" s="1"/>
      <c r="LH148" s="1"/>
      <c r="LI148" s="1"/>
      <c r="LJ148" s="1"/>
      <c r="LK148" s="1"/>
      <c r="LL148" s="1"/>
      <c r="LM148" s="1"/>
      <c r="LN148" s="1"/>
      <c r="LO148" s="1"/>
      <c r="LP148" s="1"/>
      <c r="LQ148" s="1"/>
      <c r="LR148" s="1"/>
      <c r="LS148" s="1"/>
      <c r="LT148" s="1"/>
      <c r="LU148" s="1"/>
      <c r="LV148" s="1"/>
      <c r="LW148" s="1"/>
      <c r="LX148" s="1"/>
      <c r="LY148" s="1"/>
      <c r="LZ148" s="1"/>
      <c r="MA148" s="1"/>
      <c r="MB148" s="1"/>
      <c r="MC148" s="1"/>
      <c r="MD148" s="1"/>
      <c r="ME148" s="1"/>
      <c r="MF148" s="1"/>
      <c r="MG148" s="1"/>
      <c r="MH148" s="1"/>
      <c r="MI148" s="1"/>
      <c r="MJ148" s="1"/>
      <c r="MK148" s="1"/>
      <c r="ML148" s="1"/>
      <c r="MM148" s="1"/>
      <c r="MN148" s="1"/>
      <c r="MO148" s="1"/>
      <c r="MP148" s="1"/>
      <c r="MQ148" s="1"/>
      <c r="MR148" s="1"/>
      <c r="MS148" s="1"/>
      <c r="MT148" s="1"/>
      <c r="MU148" s="1"/>
      <c r="MV148" s="1"/>
      <c r="MW148" s="1"/>
      <c r="MX148" s="1"/>
      <c r="MY148" s="1"/>
      <c r="MZ148" s="1"/>
      <c r="NA148" s="1"/>
      <c r="NB148" s="1"/>
      <c r="NC148" s="1"/>
      <c r="ND148" s="1"/>
      <c r="NE148" s="1"/>
      <c r="NF148" s="1"/>
      <c r="NG148" s="1"/>
      <c r="NH148" s="1"/>
      <c r="NI148" s="1"/>
      <c r="NJ148" s="1"/>
      <c r="NK148" s="1"/>
      <c r="NL148" s="1"/>
      <c r="NM148" s="1"/>
      <c r="NN148" s="1"/>
      <c r="NO148" s="1"/>
      <c r="NP148" s="1"/>
      <c r="NQ148" s="1"/>
      <c r="NR148" s="1"/>
      <c r="NS148" s="1"/>
      <c r="NT148" s="1"/>
      <c r="NU148" s="1"/>
      <c r="NV148" s="1"/>
      <c r="NW148" s="1"/>
      <c r="NX148" s="1"/>
      <c r="NY148" s="1"/>
      <c r="NZ148" s="1"/>
      <c r="OA148" s="1"/>
      <c r="OB148" s="1"/>
      <c r="OC148" s="1"/>
      <c r="OD148" s="1"/>
      <c r="OE148" s="1"/>
      <c r="OF148" s="1"/>
      <c r="OG148" s="1"/>
      <c r="OH148" s="1"/>
      <c r="OI148" s="1"/>
      <c r="OJ148" s="1"/>
      <c r="OK148" s="1"/>
      <c r="OL148" s="1"/>
      <c r="OM148" s="1"/>
      <c r="ON148" s="1"/>
      <c r="OO148" s="1"/>
      <c r="OP148" s="1"/>
      <c r="OQ148" s="1"/>
      <c r="OR148" s="1"/>
      <c r="OS148" s="1"/>
      <c r="OT148" s="1"/>
      <c r="OU148" s="1"/>
      <c r="OV148" s="1"/>
      <c r="OW148" s="1"/>
      <c r="OX148" s="1"/>
      <c r="OY148" s="1"/>
      <c r="OZ148" s="1"/>
      <c r="PA148" s="1"/>
      <c r="PB148" s="1"/>
      <c r="PC148" s="1"/>
      <c r="PD148" s="1"/>
      <c r="PE148" s="1"/>
      <c r="PF148" s="1"/>
      <c r="PG148" s="1"/>
      <c r="PH148" s="1"/>
      <c r="PI148" s="1"/>
      <c r="PJ148" s="1"/>
      <c r="PK148" s="1"/>
      <c r="PL148" s="1"/>
      <c r="PM148" s="1"/>
      <c r="PN148" s="1"/>
      <c r="PO148" s="1"/>
      <c r="PP148" s="1"/>
      <c r="PQ148" s="1"/>
      <c r="PR148" s="1"/>
      <c r="PS148" s="1"/>
      <c r="PT148" s="1"/>
      <c r="PU148" s="1"/>
      <c r="PV148" s="1"/>
      <c r="PW148" s="1"/>
      <c r="PX148" s="1"/>
      <c r="PY148" s="1"/>
      <c r="PZ148" s="1"/>
      <c r="QA148" s="1"/>
      <c r="QB148" s="1"/>
      <c r="QC148" s="1"/>
      <c r="QD148" s="1"/>
      <c r="QE148" s="1"/>
      <c r="QF148" s="1"/>
      <c r="QG148" s="1"/>
      <c r="QH148" s="1"/>
      <c r="QI148" s="1"/>
      <c r="QJ148" s="1"/>
      <c r="QK148" s="1"/>
      <c r="QL148" s="1"/>
      <c r="QM148" s="1"/>
      <c r="QN148" s="1"/>
      <c r="QO148" s="1"/>
      <c r="QP148" s="1"/>
      <c r="QQ148" s="1"/>
      <c r="QR148" s="1"/>
      <c r="QS148" s="1"/>
      <c r="QT148" s="1"/>
      <c r="QU148" s="1"/>
      <c r="QV148" s="1"/>
      <c r="QW148" s="1"/>
      <c r="QX148" s="1"/>
      <c r="QY148" s="1"/>
      <c r="QZ148" s="1"/>
      <c r="RA148" s="1"/>
      <c r="RB148" s="1"/>
      <c r="RC148" s="1"/>
      <c r="RD148" s="1"/>
      <c r="RE148" s="1"/>
      <c r="RF148" s="1"/>
      <c r="RG148" s="1"/>
      <c r="RH148" s="1"/>
      <c r="RI148" s="1"/>
      <c r="RJ148" s="1"/>
      <c r="RK148" s="1"/>
      <c r="RL148" s="1"/>
      <c r="RM148" s="1"/>
      <c r="RN148" s="1"/>
      <c r="RO148" s="1"/>
      <c r="RP148" s="1"/>
      <c r="RQ148" s="1"/>
      <c r="RR148" s="1"/>
      <c r="RS148" s="1"/>
      <c r="RT148" s="1"/>
      <c r="RU148" s="1"/>
      <c r="RV148" s="1"/>
      <c r="RW148" s="1"/>
      <c r="RX148" s="1"/>
      <c r="RY148" s="1"/>
      <c r="RZ148" s="1"/>
      <c r="SA148" s="1"/>
      <c r="SB148" s="1"/>
      <c r="SC148" s="1"/>
      <c r="SD148" s="1"/>
      <c r="SE148" s="1"/>
      <c r="SF148" s="1"/>
      <c r="SG148" s="1"/>
      <c r="SH148" s="1"/>
      <c r="SI148" s="1"/>
      <c r="SJ148" s="1"/>
      <c r="SK148" s="1"/>
      <c r="SL148" s="1"/>
      <c r="SM148" s="1"/>
      <c r="SN148" s="1"/>
      <c r="SO148" s="1"/>
      <c r="SP148" s="1"/>
      <c r="SQ148" s="1"/>
      <c r="SR148" s="1"/>
      <c r="SS148" s="1"/>
      <c r="ST148" s="1"/>
      <c r="SU148" s="1"/>
      <c r="SV148" s="1"/>
      <c r="SW148" s="1"/>
      <c r="SX148" s="1"/>
      <c r="SY148" s="1"/>
      <c r="SZ148" s="1"/>
      <c r="TA148" s="1"/>
      <c r="TB148" s="1"/>
      <c r="TC148" s="1"/>
      <c r="TD148" s="1"/>
      <c r="TE148" s="1"/>
      <c r="TF148" s="1"/>
      <c r="TG148" s="1"/>
      <c r="TH148" s="1"/>
      <c r="TI148" s="1"/>
      <c r="TJ148" s="1"/>
      <c r="TK148" s="1"/>
      <c r="TL148" s="1"/>
      <c r="TM148" s="1"/>
      <c r="TN148" s="1"/>
      <c r="TO148" s="1"/>
      <c r="TP148" s="1"/>
      <c r="TQ148" s="1"/>
      <c r="TR148" s="1"/>
      <c r="TS148" s="1"/>
      <c r="TT148" s="1"/>
      <c r="TU148" s="1"/>
      <c r="TV148" s="1"/>
      <c r="TW148" s="1"/>
      <c r="TX148" s="1"/>
      <c r="TY148" s="1"/>
      <c r="TZ148" s="1"/>
      <c r="UA148" s="1"/>
      <c r="UB148" s="1"/>
      <c r="UC148" s="1"/>
      <c r="UD148" s="1"/>
      <c r="UE148" s="1"/>
      <c r="UF148" s="1"/>
      <c r="UG148" s="1"/>
      <c r="UH148" s="1"/>
      <c r="UI148" s="1"/>
      <c r="UJ148" s="1"/>
      <c r="UK148" s="1"/>
      <c r="UL148" s="1"/>
      <c r="UM148" s="1"/>
      <c r="UN148" s="1"/>
      <c r="UO148" s="1"/>
      <c r="UP148" s="1"/>
      <c r="UQ148" s="1"/>
      <c r="UR148" s="1"/>
      <c r="US148" s="1"/>
      <c r="UT148" s="1"/>
      <c r="UU148" s="1"/>
      <c r="UV148" s="1"/>
      <c r="UW148" s="1"/>
      <c r="UX148" s="1"/>
      <c r="UY148" s="1"/>
      <c r="UZ148" s="1"/>
      <c r="VA148" s="1"/>
      <c r="VB148" s="1"/>
      <c r="VC148" s="1"/>
      <c r="VD148" s="1"/>
      <c r="VE148" s="1"/>
      <c r="VF148" s="1"/>
      <c r="VG148" s="1"/>
      <c r="VH148" s="1"/>
      <c r="VI148" s="1"/>
      <c r="VJ148" s="1"/>
      <c r="VK148" s="1"/>
      <c r="VL148" s="1"/>
      <c r="VM148" s="1"/>
      <c r="VN148" s="1"/>
      <c r="VO148" s="1"/>
      <c r="VP148" s="1"/>
      <c r="VQ148" s="1"/>
      <c r="VR148" s="1"/>
      <c r="VS148" s="1"/>
      <c r="VT148" s="1"/>
      <c r="VU148" s="1"/>
      <c r="VV148" s="1"/>
      <c r="VW148" s="1"/>
      <c r="VX148" s="1"/>
      <c r="VY148" s="1"/>
      <c r="VZ148" s="1"/>
      <c r="WA148" s="1"/>
      <c r="WB148" s="1"/>
      <c r="WC148" s="1"/>
      <c r="WD148" s="1"/>
      <c r="WE148" s="1"/>
      <c r="WF148" s="1"/>
      <c r="WG148" s="1"/>
      <c r="WH148" s="1"/>
      <c r="WI148" s="1"/>
      <c r="WJ148" s="1"/>
      <c r="WK148" s="1"/>
      <c r="WL148" s="1"/>
      <c r="WM148" s="1"/>
      <c r="WN148" s="1"/>
      <c r="WO148" s="1"/>
      <c r="WP148" s="1"/>
      <c r="WQ148" s="1"/>
      <c r="WR148" s="1"/>
      <c r="WS148" s="1"/>
      <c r="WT148" s="1"/>
      <c r="WU148" s="1"/>
      <c r="WV148" s="1"/>
      <c r="WW148" s="1"/>
      <c r="WX148" s="1"/>
      <c r="WY148" s="1"/>
      <c r="WZ148" s="1"/>
      <c r="XA148" s="1"/>
      <c r="XB148" s="1"/>
      <c r="XC148" s="1"/>
      <c r="XD148" s="1"/>
      <c r="XE148" s="1"/>
      <c r="XF148" s="1"/>
      <c r="XG148" s="1"/>
      <c r="XH148" s="1"/>
      <c r="XI148" s="1"/>
      <c r="XJ148" s="1"/>
      <c r="XK148" s="1"/>
      <c r="XL148" s="1"/>
      <c r="XM148" s="1"/>
      <c r="XN148" s="1"/>
      <c r="XO148" s="1"/>
      <c r="XP148" s="1"/>
      <c r="XQ148" s="1"/>
      <c r="XR148" s="1"/>
      <c r="XS148" s="1"/>
      <c r="XT148" s="1"/>
      <c r="XU148" s="1"/>
      <c r="XV148" s="1"/>
      <c r="XW148" s="1"/>
      <c r="XX148" s="1"/>
      <c r="XY148" s="1"/>
      <c r="XZ148" s="1"/>
      <c r="YA148" s="1"/>
      <c r="YB148" s="1"/>
      <c r="YC148" s="1"/>
      <c r="YD148" s="1"/>
      <c r="YE148" s="1"/>
      <c r="YF148" s="1"/>
      <c r="YG148" s="1"/>
      <c r="YH148" s="1"/>
      <c r="YI148" s="1"/>
      <c r="YJ148" s="1"/>
      <c r="YK148" s="1"/>
      <c r="YL148" s="1"/>
      <c r="YM148" s="1"/>
      <c r="YN148" s="1"/>
      <c r="YO148" s="1"/>
      <c r="YP148" s="1"/>
      <c r="YQ148" s="1"/>
      <c r="YR148" s="1"/>
      <c r="YS148" s="1"/>
      <c r="YT148" s="1"/>
      <c r="YU148" s="1"/>
      <c r="YV148" s="1"/>
      <c r="YW148" s="1"/>
      <c r="YX148" s="1"/>
      <c r="YY148" s="1"/>
      <c r="YZ148" s="1"/>
      <c r="ZA148" s="1"/>
      <c r="ZB148" s="1"/>
      <c r="ZC148" s="1"/>
      <c r="ZD148" s="1"/>
      <c r="ZE148" s="1"/>
      <c r="ZF148" s="1"/>
      <c r="ZG148" s="1"/>
      <c r="ZH148" s="1"/>
      <c r="ZI148" s="1"/>
      <c r="ZJ148" s="1"/>
      <c r="ZK148" s="1"/>
      <c r="ZL148" s="1"/>
      <c r="ZM148" s="1"/>
      <c r="ZN148" s="1"/>
      <c r="ZO148" s="1"/>
      <c r="ZP148" s="1"/>
      <c r="ZQ148" s="1"/>
      <c r="ZR148" s="1"/>
      <c r="ZS148" s="1"/>
      <c r="ZT148" s="1"/>
      <c r="ZU148" s="1"/>
      <c r="ZV148" s="1"/>
      <c r="ZW148" s="1"/>
      <c r="ZX148" s="1"/>
      <c r="ZY148" s="1"/>
      <c r="ZZ148" s="1"/>
      <c r="AAA148" s="1"/>
      <c r="AAB148" s="1"/>
      <c r="AAC148" s="1"/>
      <c r="AAD148" s="1"/>
      <c r="AAE148" s="1"/>
      <c r="AAF148" s="1"/>
      <c r="AAG148" s="1"/>
      <c r="AAH148" s="1"/>
      <c r="AAI148" s="1"/>
      <c r="AAJ148" s="1"/>
      <c r="AAK148" s="1"/>
      <c r="AAL148" s="1"/>
      <c r="AAM148" s="1"/>
      <c r="AAN148" s="1"/>
      <c r="AAO148" s="1"/>
      <c r="AAP148" s="1"/>
      <c r="AAQ148" s="1"/>
      <c r="AAR148" s="1"/>
      <c r="AAS148" s="1"/>
      <c r="AAT148" s="1"/>
      <c r="AAU148" s="1"/>
      <c r="AAV148" s="1"/>
      <c r="AAW148" s="1"/>
      <c r="AAX148" s="1"/>
      <c r="AAY148" s="1"/>
      <c r="AAZ148" s="1"/>
      <c r="ABA148" s="1"/>
      <c r="ABB148" s="1"/>
      <c r="ABC148" s="1"/>
      <c r="ABD148" s="1"/>
      <c r="ABE148" s="1"/>
      <c r="ABF148" s="1"/>
      <c r="ABG148" s="1"/>
      <c r="ABH148" s="1"/>
      <c r="ABI148" s="1"/>
      <c r="ABJ148" s="1"/>
      <c r="ABK148" s="1"/>
      <c r="ABL148" s="1"/>
      <c r="ABM148" s="1"/>
      <c r="ABN148" s="1"/>
      <c r="ABO148" s="1"/>
      <c r="ABP148" s="1"/>
      <c r="ABQ148" s="1"/>
      <c r="ABR148" s="1"/>
      <c r="ABS148" s="1"/>
      <c r="ABT148" s="1"/>
      <c r="ABU148" s="1"/>
      <c r="ABV148" s="1"/>
      <c r="ABW148" s="1"/>
      <c r="ABX148" s="1"/>
      <c r="ABY148" s="1"/>
      <c r="ABZ148" s="1"/>
      <c r="ACA148" s="1"/>
      <c r="ACB148" s="1"/>
      <c r="ACC148" s="1"/>
      <c r="ACD148" s="1"/>
      <c r="ACE148" s="1"/>
      <c r="ACF148" s="1"/>
      <c r="ACG148" s="1"/>
      <c r="ACH148" s="1"/>
      <c r="ACI148" s="1"/>
      <c r="ACJ148" s="1"/>
      <c r="ACK148" s="1"/>
      <c r="ACL148" s="1"/>
      <c r="ACM148" s="1"/>
      <c r="ACN148" s="1"/>
      <c r="ACO148" s="1"/>
      <c r="ACP148" s="1"/>
      <c r="ACQ148" s="1"/>
      <c r="ACR148" s="1"/>
      <c r="ACS148" s="1"/>
      <c r="ACT148" s="1"/>
      <c r="ACU148" s="1"/>
      <c r="ACV148" s="1"/>
      <c r="ACW148" s="1"/>
      <c r="ACX148" s="1"/>
      <c r="ACY148" s="1"/>
      <c r="ACZ148" s="1"/>
      <c r="ADA148" s="1"/>
      <c r="ADB148" s="1"/>
      <c r="ADC148" s="1"/>
      <c r="ADD148" s="1"/>
      <c r="ADE148" s="1"/>
      <c r="ADF148" s="1"/>
      <c r="ADG148" s="1"/>
      <c r="ADH148" s="1"/>
      <c r="ADI148" s="1"/>
      <c r="ADJ148" s="1"/>
      <c r="ADK148" s="1"/>
      <c r="ADL148" s="1"/>
      <c r="ADM148" s="1"/>
      <c r="ADN148" s="1"/>
      <c r="ADO148" s="1"/>
      <c r="ADP148" s="1"/>
      <c r="ADQ148" s="1"/>
      <c r="ADR148" s="1"/>
      <c r="ADS148" s="1"/>
      <c r="ADT148" s="1"/>
      <c r="ADU148" s="1"/>
      <c r="ADV148" s="1"/>
      <c r="ADW148" s="1"/>
      <c r="ADX148" s="1"/>
      <c r="ADY148" s="1"/>
      <c r="ADZ148" s="1"/>
      <c r="AEA148" s="1"/>
      <c r="AEB148" s="1"/>
      <c r="AEC148" s="1"/>
      <c r="AED148" s="1"/>
      <c r="AEE148" s="1"/>
      <c r="AEF148" s="1"/>
      <c r="AEG148" s="1"/>
      <c r="AEH148" s="1"/>
      <c r="AEI148" s="1"/>
      <c r="AEJ148" s="1"/>
      <c r="AEK148" s="1"/>
      <c r="AEL148" s="1"/>
      <c r="AEM148" s="1"/>
      <c r="AEN148" s="1"/>
      <c r="AEO148" s="1"/>
      <c r="AEP148" s="1"/>
      <c r="AEQ148" s="1"/>
      <c r="AER148" s="1"/>
      <c r="AES148" s="1"/>
      <c r="AET148" s="1"/>
      <c r="AEU148" s="1"/>
      <c r="AEV148" s="1"/>
      <c r="AEW148" s="1"/>
      <c r="AEX148" s="1"/>
      <c r="AEY148" s="1"/>
      <c r="AEZ148" s="1"/>
      <c r="AFA148" s="1"/>
      <c r="AFB148" s="1"/>
      <c r="AFC148" s="1"/>
      <c r="AFD148" s="1"/>
      <c r="AFE148" s="1"/>
      <c r="AFF148" s="1"/>
      <c r="AFG148" s="1"/>
      <c r="AFH148" s="1"/>
      <c r="AFI148" s="1"/>
      <c r="AFJ148" s="1"/>
      <c r="AFK148" s="1"/>
      <c r="AFL148" s="1"/>
      <c r="AFM148" s="1"/>
      <c r="AFN148" s="1"/>
      <c r="AFO148" s="1"/>
      <c r="AFP148" s="1"/>
      <c r="AFQ148" s="1"/>
      <c r="AFR148" s="1"/>
      <c r="AFS148" s="1"/>
      <c r="AFT148" s="1"/>
      <c r="AFU148" s="1"/>
      <c r="AFV148" s="1"/>
      <c r="AFW148" s="1"/>
      <c r="AFX148" s="1"/>
      <c r="AFY148" s="1"/>
      <c r="AFZ148" s="1"/>
      <c r="AGA148" s="1"/>
      <c r="AGB148" s="1"/>
      <c r="AGC148" s="1"/>
      <c r="AGD148" s="1"/>
      <c r="AGE148" s="1"/>
      <c r="AGF148" s="1"/>
      <c r="AGG148" s="1"/>
      <c r="AGH148" s="1"/>
      <c r="AGI148" s="1"/>
      <c r="AGJ148" s="1"/>
      <c r="AGK148" s="1"/>
      <c r="AGL148" s="1"/>
      <c r="AGM148" s="1"/>
      <c r="AGN148" s="1"/>
      <c r="AGO148" s="1"/>
      <c r="AGP148" s="1"/>
      <c r="AGQ148" s="1"/>
      <c r="AGR148" s="1"/>
      <c r="AGS148" s="1"/>
      <c r="AGT148" s="1"/>
      <c r="AGU148" s="1"/>
      <c r="AGV148" s="1"/>
      <c r="AGW148" s="1"/>
      <c r="AGX148" s="1"/>
      <c r="AGY148" s="1"/>
      <c r="AGZ148" s="1"/>
      <c r="AHA148" s="1"/>
      <c r="AHB148" s="1"/>
      <c r="AHC148" s="1"/>
      <c r="AHD148" s="1"/>
      <c r="AHE148" s="1"/>
      <c r="AHF148" s="1"/>
      <c r="AHG148" s="1"/>
      <c r="AHH148" s="1"/>
      <c r="AHI148" s="1"/>
      <c r="AHJ148" s="1"/>
      <c r="AHK148" s="1"/>
      <c r="AHL148" s="1"/>
      <c r="AHM148" s="1"/>
      <c r="AHN148" s="1"/>
      <c r="AHO148" s="1"/>
      <c r="AHP148" s="1"/>
      <c r="AHQ148" s="1"/>
      <c r="AHR148" s="1"/>
      <c r="AHS148" s="1"/>
      <c r="AHT148" s="1"/>
      <c r="AHU148" s="1"/>
      <c r="AHV148" s="1"/>
      <c r="AHW148" s="1"/>
      <c r="AHX148" s="1"/>
      <c r="AHY148" s="1"/>
      <c r="AHZ148" s="1"/>
      <c r="AIA148" s="1"/>
      <c r="AIB148" s="1"/>
      <c r="AIC148" s="1"/>
      <c r="AID148" s="1"/>
      <c r="AIE148" s="1"/>
      <c r="AIF148" s="1"/>
      <c r="AIG148" s="1"/>
      <c r="AIH148" s="1"/>
      <c r="AII148" s="1"/>
      <c r="AIJ148" s="1"/>
      <c r="AIK148" s="1"/>
      <c r="AIL148" s="1"/>
      <c r="AIM148" s="1"/>
      <c r="AIN148" s="1"/>
      <c r="AIO148" s="1"/>
      <c r="AIP148" s="1"/>
      <c r="AIQ148" s="1"/>
      <c r="AIR148" s="1"/>
      <c r="AIS148" s="1"/>
      <c r="AIT148" s="1"/>
      <c r="AIU148" s="1"/>
      <c r="AIV148" s="1"/>
      <c r="AIW148" s="1"/>
      <c r="AIX148" s="1"/>
      <c r="AIY148" s="1"/>
      <c r="AIZ148" s="1"/>
      <c r="AJA148" s="1"/>
      <c r="AJB148" s="1"/>
      <c r="AJC148" s="1"/>
      <c r="AJD148" s="1"/>
      <c r="AJE148" s="1"/>
      <c r="AJF148" s="1"/>
      <c r="AJG148" s="1"/>
      <c r="AJH148" s="1"/>
      <c r="AJI148" s="1"/>
      <c r="AJJ148" s="1"/>
      <c r="AJK148" s="1"/>
      <c r="AJL148" s="1"/>
      <c r="AJM148" s="1"/>
      <c r="AJN148" s="1"/>
      <c r="AJO148" s="1"/>
      <c r="AJP148" s="1"/>
      <c r="AJQ148" s="1"/>
      <c r="AJR148" s="1"/>
      <c r="AJS148" s="1"/>
      <c r="AJT148" s="1"/>
      <c r="AJU148" s="1"/>
      <c r="AJV148" s="1"/>
      <c r="AJW148" s="1"/>
      <c r="AJX148" s="1"/>
      <c r="AJY148" s="1"/>
      <c r="AJZ148" s="1"/>
      <c r="AKA148" s="1"/>
      <c r="AKB148" s="1"/>
      <c r="AKC148" s="1"/>
      <c r="AKD148" s="1"/>
      <c r="AKE148" s="1"/>
      <c r="AKF148" s="1"/>
      <c r="AKG148" s="1"/>
      <c r="AKH148" s="1"/>
      <c r="AKI148" s="1"/>
      <c r="AKJ148" s="1"/>
      <c r="AKK148" s="1"/>
      <c r="AKL148" s="1"/>
      <c r="AKM148" s="1"/>
      <c r="AKN148" s="1"/>
      <c r="AKO148" s="1"/>
      <c r="AKP148" s="1"/>
      <c r="AKQ148" s="1"/>
      <c r="AKR148" s="1"/>
      <c r="AKS148" s="1"/>
      <c r="AKT148" s="1"/>
      <c r="AKU148" s="1"/>
      <c r="AKV148" s="1"/>
      <c r="AKW148" s="1"/>
      <c r="AKX148" s="1"/>
      <c r="AKY148" s="1"/>
      <c r="AKZ148" s="1"/>
      <c r="ALA148" s="1"/>
      <c r="ALB148" s="1"/>
      <c r="ALC148" s="1"/>
      <c r="ALD148" s="1"/>
      <c r="ALE148" s="1"/>
      <c r="ALF148" s="1"/>
      <c r="ALG148" s="1"/>
      <c r="ALH148" s="1"/>
      <c r="ALI148" s="1"/>
      <c r="ALJ148" s="1"/>
      <c r="ALK148" s="1"/>
      <c r="ALL148" s="1"/>
      <c r="ALM148" s="1"/>
      <c r="ALN148" s="1"/>
      <c r="ALO148" s="1"/>
      <c r="ALP148" s="1"/>
      <c r="ALQ148" s="1"/>
      <c r="ALR148" s="1"/>
      <c r="ALS148" s="1"/>
      <c r="ALT148" s="1"/>
      <c r="ALU148" s="1"/>
      <c r="ALV148" s="1"/>
      <c r="ALW148" s="1"/>
      <c r="ALX148" s="1"/>
      <c r="ALY148" s="1"/>
      <c r="ALZ148" s="1"/>
      <c r="AMA148" s="1"/>
      <c r="AMB148" s="1"/>
      <c r="AMC148" s="1"/>
      <c r="AMD148" s="1"/>
      <c r="AME148" s="1"/>
      <c r="AMF148" s="1"/>
      <c r="AMG148" s="1"/>
      <c r="AMH148" s="1"/>
      <c r="AMI148" s="1"/>
      <c r="AMJ148" s="1"/>
      <c r="AMK148" s="1"/>
      <c r="AML148" s="1"/>
      <c r="AMM148" s="1"/>
      <c r="AMN148" s="1"/>
    </row>
    <row r="149" spans="1:1029" s="12" customFormat="1" x14ac:dyDescent="0.2">
      <c r="A149" s="9" t="str">
        <f t="shared" ref="A149" si="641">CONCATENATE(B149,"_",C149)</f>
        <v>opsd_bovin_5TE3</v>
      </c>
      <c r="B149" s="9" t="s">
        <v>920</v>
      </c>
      <c r="C149" s="9" t="s">
        <v>1407</v>
      </c>
      <c r="D149" s="9" t="str">
        <f>IFERROR(MID(VLOOKUP($B149,Seqs!$A:$B,2,0),E149,1),"")</f>
        <v>P</v>
      </c>
      <c r="E149" s="9">
        <v>34</v>
      </c>
      <c r="F149" s="9" t="str">
        <f>IFERROR(MID(VLOOKUP($B149,Seqs!$A:$B,2,0),G149,1),"")</f>
        <v>H</v>
      </c>
      <c r="G149" s="9">
        <v>65</v>
      </c>
      <c r="H149" s="9" t="str">
        <f>IFERROR(MID(VLOOKUP($B149,Seqs!$A:$B,2,0),I149,1),"")</f>
        <v>K</v>
      </c>
      <c r="I149" s="112">
        <v>66</v>
      </c>
      <c r="J149" s="9" t="str">
        <f>IFERROR(MID(VLOOKUP($B149,Seqs!$A:$B,2,0),K149,1),"")</f>
        <v>R</v>
      </c>
      <c r="K149" s="112">
        <v>69</v>
      </c>
      <c r="L149" s="9" t="str">
        <f>IFERROR(MID(VLOOKUP($B149,Seqs!$A:$B,2,0),M149,1),"")</f>
        <v>T</v>
      </c>
      <c r="M149" s="9">
        <v>70</v>
      </c>
      <c r="N149" s="9" t="str">
        <f>IFERROR(MID(VLOOKUP($B149,Seqs!$A:$B,2,0),O149,1),"")</f>
        <v>H</v>
      </c>
      <c r="O149" s="9">
        <v>100</v>
      </c>
      <c r="P149" s="9" t="str">
        <f>IFERROR(MID(VLOOKUP($B149,Seqs!$A:$B,2,0),Q149,1),"")</f>
        <v>Y</v>
      </c>
      <c r="Q149" s="9">
        <v>102</v>
      </c>
      <c r="R149" s="9" t="str">
        <f>IFERROR(MID(VLOOKUP($B149,Seqs!$A:$B,2,0),S149,1),"")</f>
        <v>F</v>
      </c>
      <c r="S149" s="9">
        <v>105</v>
      </c>
      <c r="T149" s="9" t="str">
        <f>IFERROR(MID(VLOOKUP($B149,Seqs!$A:$B,2,0),U149,1),"")</f>
        <v>G</v>
      </c>
      <c r="U149" s="9">
        <v>106</v>
      </c>
      <c r="V149" s="9" t="str">
        <f>IFERROR(MID(VLOOKUP($B149,Seqs!$A:$B,2,0),W149,1),"")</f>
        <v>K</v>
      </c>
      <c r="W149" s="9">
        <v>141</v>
      </c>
      <c r="X149" s="9" t="str">
        <f>IFERROR(MID(VLOOKUP($B149,Seqs!$A:$B,2,0),Y149,1),"")</f>
        <v/>
      </c>
      <c r="Y149" s="9" t="s">
        <v>23</v>
      </c>
      <c r="Z149" s="9" t="str">
        <f>IFERROR(MID(VLOOKUP($B149,Seqs!$A:$B,2,0),AA149,1),"")</f>
        <v/>
      </c>
      <c r="AA149" s="9" t="s">
        <v>23</v>
      </c>
      <c r="AB149" s="9" t="str">
        <f>IFERROR(MID(VLOOKUP($B149,Seqs!$A:$B,2,0),AC149,1),"")</f>
        <v>G</v>
      </c>
      <c r="AC149" s="9">
        <v>149</v>
      </c>
      <c r="AD149" s="9" t="str">
        <f>IFERROR(MID(VLOOKUP($B149,Seqs!$A:$B,2,0),AE149,1),"")</f>
        <v>V</v>
      </c>
      <c r="AE149" s="9">
        <v>173</v>
      </c>
      <c r="AF149" s="9" t="str">
        <f>IFERROR(MID(VLOOKUP($B149,Seqs!$A:$B,2,0),AG149,1),"")</f>
        <v>C</v>
      </c>
      <c r="AG149" s="9">
        <v>187</v>
      </c>
      <c r="AH149" s="9" t="str">
        <f>IFERROR(MID(VLOOKUP($B149,Seqs!$A:$B,2,0),AI149,1),"")</f>
        <v>I</v>
      </c>
      <c r="AI149" s="9">
        <v>189</v>
      </c>
      <c r="AJ149" s="9" t="str">
        <f>IFERROR(MID(VLOOKUP($B149,Seqs!$A:$B,2,0),AK149,1),"")</f>
        <v>N</v>
      </c>
      <c r="AK149" s="9">
        <v>199</v>
      </c>
      <c r="AL149" s="9" t="str">
        <f>IFERROR(MID(VLOOKUP($B149,Seqs!$A:$B,2,0),AM149,1),"")</f>
        <v>Q</v>
      </c>
      <c r="AM149" s="9">
        <v>237</v>
      </c>
      <c r="AN149" s="9" t="str">
        <f>IFERROR(MID(VLOOKUP($B149,Seqs!$A:$B,2,0),AO149,1),"")</f>
        <v>A</v>
      </c>
      <c r="AO149" s="9">
        <v>241</v>
      </c>
      <c r="AP149" s="9" t="str">
        <f>IFERROR(MID(VLOOKUP($B149,Seqs!$A:$B,2,0),AQ149,1),"")</f>
        <v>H</v>
      </c>
      <c r="AQ149" s="9">
        <v>278</v>
      </c>
      <c r="AR149" s="9" t="str">
        <f>IFERROR(MID(VLOOKUP($B149,Seqs!$A:$B,2,0),AS149,1),"")</f>
        <v>G</v>
      </c>
      <c r="AS149" s="9">
        <v>284</v>
      </c>
      <c r="AT149" s="9" t="str">
        <f>IFERROR(MID(VLOOKUP($B149,Seqs!$A:$B,2,0),AU149,1),"")</f>
        <v>M</v>
      </c>
      <c r="AU149" s="9">
        <v>309</v>
      </c>
      <c r="AV149" s="9" t="str">
        <f>IFERROR(MID(VLOOKUP($B149,Seqs!$A:$B,2,0),AW149,1),"")</f>
        <v>N</v>
      </c>
      <c r="AW149" s="9">
        <v>310</v>
      </c>
      <c r="AX149" s="9" t="str">
        <f>IFERROR(MID(VLOOKUP($B149,Seqs!$A:$B,2,0),AY149,1),"")</f>
        <v>C</v>
      </c>
      <c r="AY149" s="9">
        <v>322</v>
      </c>
      <c r="AZ149" s="113" t="str">
        <f>VLOOKUP(B149,Classification!A:D,2,0)</f>
        <v>A</v>
      </c>
      <c r="BA149" s="101" t="str">
        <f>VLOOKUP(B149,Classification!A:D,4,0)</f>
        <v>Opsins</v>
      </c>
      <c r="BB149" s="37" t="b">
        <f t="shared" ref="BB149" si="642">AND(E149&lt;G149,OR(G149&lt;I149,I149="-"),OR(I149&lt;K149,I149="-"),OR(K149&lt;M149,K149="-"),M149&lt;O149,OR(O149&lt;Q149,Q149="-"),OR(Q149&lt;S149,Q149="-"),OR(S149&lt;U149,S149="-"),U149&lt;W149,OR(W149&lt;Y149,Y149="-"),OR(Y149&lt;AA149,Y149="-"),OR(AA149&lt;AC149,AA149="-"),AC149&lt;AE149,OR(AE149&lt;AG149,AG149="-"),OR(AG149&lt;AI149,AG149="-"),OR(AI149&lt;AK149,AI149="-"),AK149&lt;AM149,AM149&lt;AO149,AO149&lt;AQ149,AQ149&lt;AS149,AS149&lt;AU149,OR(AU149&lt;AW149,AW149="-"),OR(AW149&lt;AY149,AW149="-"))</f>
        <v>1</v>
      </c>
      <c r="BC149" s="112">
        <f t="shared" ref="BC149" si="643">_xlfn.AGGREGATE(9,6,CG149:CR149)-_xlfn.AGGREGATE(9,6,BU149:CF149)+12</f>
        <v>252</v>
      </c>
      <c r="BD149" s="41" t="s">
        <v>23</v>
      </c>
      <c r="BE149" s="9" t="s">
        <v>1297</v>
      </c>
      <c r="BF149" s="52" t="s">
        <v>1</v>
      </c>
      <c r="BG149" s="52" t="s">
        <v>1384</v>
      </c>
      <c r="BI149" s="114" t="s">
        <v>1293</v>
      </c>
      <c r="BJ149" s="115" t="s">
        <v>1293</v>
      </c>
      <c r="BK149" s="115" t="s">
        <v>1293</v>
      </c>
      <c r="BL149" s="115" t="s">
        <v>1293</v>
      </c>
      <c r="BM149" s="115" t="s">
        <v>1293</v>
      </c>
      <c r="BN149" s="115" t="s">
        <v>1293</v>
      </c>
      <c r="BO149" s="115" t="s">
        <v>1293</v>
      </c>
      <c r="BP149" s="115" t="s">
        <v>1293</v>
      </c>
      <c r="BQ149" s="115" t="s">
        <v>1293</v>
      </c>
      <c r="BR149" s="115" t="s">
        <v>1293</v>
      </c>
      <c r="BS149" s="115" t="s">
        <v>1293</v>
      </c>
      <c r="BT149" s="115" t="s">
        <v>1293</v>
      </c>
      <c r="BU149" s="114">
        <f t="shared" ref="BU149" si="644">E149</f>
        <v>34</v>
      </c>
      <c r="BV149" s="116">
        <f t="shared" ref="BV149" si="645">I149</f>
        <v>66</v>
      </c>
      <c r="BW149" s="117">
        <f t="shared" ref="BW149" si="646">M149</f>
        <v>70</v>
      </c>
      <c r="BX149" s="116">
        <f t="shared" ref="BX149" si="647">Q149</f>
        <v>102</v>
      </c>
      <c r="BY149" s="117">
        <f t="shared" ref="BY149" si="648">U149</f>
        <v>106</v>
      </c>
      <c r="BZ149" s="116" t="str">
        <f t="shared" ref="BZ149" si="649">Y149</f>
        <v>-</v>
      </c>
      <c r="CA149" s="117">
        <f t="shared" ref="CA149" si="650">AC149</f>
        <v>149</v>
      </c>
      <c r="CB149" s="116">
        <f t="shared" ref="CB149" si="651">AG149</f>
        <v>187</v>
      </c>
      <c r="CC149" s="117">
        <f t="shared" ref="CC149" si="652">AK149</f>
        <v>199</v>
      </c>
      <c r="CD149" s="116">
        <f t="shared" ref="CD149" si="653">AO149</f>
        <v>241</v>
      </c>
      <c r="CE149" s="117">
        <f t="shared" ref="CE149" si="654">AS149</f>
        <v>284</v>
      </c>
      <c r="CF149" s="116">
        <f t="shared" ref="CF149" si="655">AW149</f>
        <v>310</v>
      </c>
      <c r="CG149" s="114">
        <f t="shared" ref="CG149" si="656">G149</f>
        <v>65</v>
      </c>
      <c r="CH149" s="116">
        <f t="shared" ref="CH149" si="657">K149</f>
        <v>69</v>
      </c>
      <c r="CI149" s="117">
        <f t="shared" ref="CI149" si="658">O149</f>
        <v>100</v>
      </c>
      <c r="CJ149" s="117">
        <f t="shared" ref="CJ149" si="659">S149</f>
        <v>105</v>
      </c>
      <c r="CK149" s="117">
        <f t="shared" ref="CK149" si="660">W149</f>
        <v>141</v>
      </c>
      <c r="CL149" s="117" t="str">
        <f t="shared" ref="CL149" si="661">AA149</f>
        <v>-</v>
      </c>
      <c r="CM149" s="117">
        <f t="shared" ref="CM149" si="662">AE149</f>
        <v>173</v>
      </c>
      <c r="CN149" s="117">
        <f t="shared" ref="CN149" si="663">AI149</f>
        <v>189</v>
      </c>
      <c r="CO149" s="117">
        <f t="shared" ref="CO149" si="664">AM149</f>
        <v>237</v>
      </c>
      <c r="CP149" s="117">
        <f t="shared" ref="CP149" si="665">AQ149</f>
        <v>278</v>
      </c>
      <c r="CQ149" s="117">
        <f t="shared" ref="CQ149" si="666">AU149</f>
        <v>309</v>
      </c>
      <c r="CR149" s="117">
        <f t="shared" ref="CR149" si="667">AY149</f>
        <v>322</v>
      </c>
      <c r="CS149" s="112">
        <f t="shared" ref="CS149" si="668">M149-K149</f>
        <v>1</v>
      </c>
    </row>
    <row r="150" spans="1:1029" s="12" customFormat="1" x14ac:dyDescent="0.2">
      <c r="A150" s="9" t="str">
        <f t="shared" ref="A150" si="669">CONCATENATE(B150,"_",C150)</f>
        <v>opsd_bovin_5TE5</v>
      </c>
      <c r="B150" s="9" t="s">
        <v>920</v>
      </c>
      <c r="C150" s="9" t="s">
        <v>1408</v>
      </c>
      <c r="D150" s="9" t="str">
        <f>IFERROR(MID(VLOOKUP($B150,Seqs!$A:$B,2,0),E150,1),"")</f>
        <v>Q</v>
      </c>
      <c r="E150" s="9">
        <v>36</v>
      </c>
      <c r="F150" s="9" t="str">
        <f>IFERROR(MID(VLOOKUP($B150,Seqs!$A:$B,2,0),G150,1),"")</f>
        <v>H</v>
      </c>
      <c r="G150" s="9">
        <v>65</v>
      </c>
      <c r="H150" s="9" t="str">
        <f>IFERROR(MID(VLOOKUP($B150,Seqs!$A:$B,2,0),I150,1),"")</f>
        <v>K</v>
      </c>
      <c r="I150" s="112">
        <v>66</v>
      </c>
      <c r="J150" s="9" t="str">
        <f>IFERROR(MID(VLOOKUP($B150,Seqs!$A:$B,2,0),K150,1),"")</f>
        <v>R</v>
      </c>
      <c r="K150" s="112">
        <v>69</v>
      </c>
      <c r="L150" s="9" t="str">
        <f>IFERROR(MID(VLOOKUP($B150,Seqs!$A:$B,2,0),M150,1),"")</f>
        <v>T</v>
      </c>
      <c r="M150" s="9">
        <v>70</v>
      </c>
      <c r="N150" s="9" t="str">
        <f>IFERROR(MID(VLOOKUP($B150,Seqs!$A:$B,2,0),O150,1),"")</f>
        <v>H</v>
      </c>
      <c r="O150" s="9">
        <v>100</v>
      </c>
      <c r="P150" s="9" t="str">
        <f>IFERROR(MID(VLOOKUP($B150,Seqs!$A:$B,2,0),Q150,1),"")</f>
        <v>Y</v>
      </c>
      <c r="Q150" s="9">
        <v>102</v>
      </c>
      <c r="R150" s="9" t="str">
        <f>IFERROR(MID(VLOOKUP($B150,Seqs!$A:$B,2,0),S150,1),"")</f>
        <v>F</v>
      </c>
      <c r="S150" s="9">
        <v>105</v>
      </c>
      <c r="T150" s="9" t="str">
        <f>IFERROR(MID(VLOOKUP($B150,Seqs!$A:$B,2,0),U150,1),"")</f>
        <v>G</v>
      </c>
      <c r="U150" s="9">
        <v>106</v>
      </c>
      <c r="V150" s="9" t="str">
        <f>IFERROR(MID(VLOOKUP($B150,Seqs!$A:$B,2,0),W150,1),"")</f>
        <v>K</v>
      </c>
      <c r="W150" s="9">
        <v>141</v>
      </c>
      <c r="X150" s="9" t="str">
        <f>IFERROR(MID(VLOOKUP($B150,Seqs!$A:$B,2,0),Y150,1),"")</f>
        <v/>
      </c>
      <c r="Y150" s="9" t="s">
        <v>23</v>
      </c>
      <c r="Z150" s="9" t="str">
        <f>IFERROR(MID(VLOOKUP($B150,Seqs!$A:$B,2,0),AA150,1),"")</f>
        <v/>
      </c>
      <c r="AA150" s="9" t="s">
        <v>23</v>
      </c>
      <c r="AB150" s="9" t="str">
        <f>IFERROR(MID(VLOOKUP($B150,Seqs!$A:$B,2,0),AC150,1),"")</f>
        <v>G</v>
      </c>
      <c r="AC150" s="9">
        <v>149</v>
      </c>
      <c r="AD150" s="9" t="str">
        <f>IFERROR(MID(VLOOKUP($B150,Seqs!$A:$B,2,0),AE150,1),"")</f>
        <v>V</v>
      </c>
      <c r="AE150" s="9">
        <v>173</v>
      </c>
      <c r="AF150" s="9" t="str">
        <f>IFERROR(MID(VLOOKUP($B150,Seqs!$A:$B,2,0),AG150,1),"")</f>
        <v>C</v>
      </c>
      <c r="AG150" s="9">
        <v>187</v>
      </c>
      <c r="AH150" s="9" t="str">
        <f>IFERROR(MID(VLOOKUP($B150,Seqs!$A:$B,2,0),AI150,1),"")</f>
        <v>I</v>
      </c>
      <c r="AI150" s="9">
        <v>189</v>
      </c>
      <c r="AJ150" s="9" t="str">
        <f>IFERROR(MID(VLOOKUP($B150,Seqs!$A:$B,2,0),AK150,1),"")</f>
        <v>S</v>
      </c>
      <c r="AK150" s="9">
        <v>202</v>
      </c>
      <c r="AL150" s="9" t="str">
        <f>IFERROR(MID(VLOOKUP($B150,Seqs!$A:$B,2,0),AM150,1),"")</f>
        <v>L</v>
      </c>
      <c r="AM150" s="9">
        <v>226</v>
      </c>
      <c r="AN150" s="9" t="str">
        <f>IFERROR(MID(VLOOKUP($B150,Seqs!$A:$B,2,0),AO150,1),"")</f>
        <v>T</v>
      </c>
      <c r="AO150" s="9">
        <v>243</v>
      </c>
      <c r="AP150" s="9" t="str">
        <f>IFERROR(MID(VLOOKUP($B150,Seqs!$A:$B,2,0),AQ150,1),"")</f>
        <v>H</v>
      </c>
      <c r="AQ150" s="9">
        <v>278</v>
      </c>
      <c r="AR150" s="9" t="str">
        <f>IFERROR(MID(VLOOKUP($B150,Seqs!$A:$B,2,0),AS150,1),"")</f>
        <v>P</v>
      </c>
      <c r="AS150" s="9">
        <v>285</v>
      </c>
      <c r="AT150" s="9" t="str">
        <f>IFERROR(MID(VLOOKUP($B150,Seqs!$A:$B,2,0),AU150,1),"")</f>
        <v>M</v>
      </c>
      <c r="AU150" s="9">
        <v>309</v>
      </c>
      <c r="AV150" s="9" t="str">
        <f>IFERROR(MID(VLOOKUP($B150,Seqs!$A:$B,2,0),AW150,1),"")</f>
        <v>N</v>
      </c>
      <c r="AW150" s="9">
        <v>310</v>
      </c>
      <c r="AX150" s="9" t="str">
        <f>IFERROR(MID(VLOOKUP($B150,Seqs!$A:$B,2,0),AY150,1),"")</f>
        <v>C</v>
      </c>
      <c r="AY150" s="9">
        <v>323</v>
      </c>
      <c r="AZ150" s="113" t="str">
        <f>VLOOKUP(B150,Classification!A:D,2,0)</f>
        <v>A</v>
      </c>
      <c r="BA150" s="101" t="str">
        <f>VLOOKUP(B150,Classification!A:D,4,0)</f>
        <v>Opsins</v>
      </c>
      <c r="BB150" s="37" t="b">
        <f t="shared" ref="BB150" si="670">AND(E150&lt;G150,OR(G150&lt;I150,I150="-"),OR(I150&lt;K150,I150="-"),OR(K150&lt;M150,K150="-"),M150&lt;O150,OR(O150&lt;Q150,Q150="-"),OR(Q150&lt;S150,Q150="-"),OR(S150&lt;U150,S150="-"),U150&lt;W150,OR(W150&lt;Y150,Y150="-"),OR(Y150&lt;AA150,Y150="-"),OR(AA150&lt;AC150,AA150="-"),AC150&lt;AE150,OR(AE150&lt;AG150,AG150="-"),OR(AG150&lt;AI150,AG150="-"),OR(AI150&lt;AK150,AI150="-"),AK150&lt;AM150,AM150&lt;AO150,AO150&lt;AQ150,AQ150&lt;AS150,AS150&lt;AU150,OR(AU150&lt;AW150,AW150="-"),OR(AW150&lt;AY150,AW150="-"))</f>
        <v>1</v>
      </c>
      <c r="BC150" s="112">
        <f t="shared" ref="BC150" si="671">_xlfn.AGGREGATE(9,6,CG150:CR150)-_xlfn.AGGREGATE(9,6,BU150:CF150)+12</f>
        <v>234</v>
      </c>
      <c r="BD150" s="41" t="s">
        <v>23</v>
      </c>
      <c r="BE150" s="9" t="s">
        <v>1381</v>
      </c>
      <c r="BF150" s="52" t="s">
        <v>1384</v>
      </c>
      <c r="BG150" s="52" t="s">
        <v>1384</v>
      </c>
      <c r="BI150" s="114" t="s">
        <v>1293</v>
      </c>
      <c r="BJ150" s="115" t="s">
        <v>1293</v>
      </c>
      <c r="BK150" s="115" t="s">
        <v>1293</v>
      </c>
      <c r="BL150" s="115" t="s">
        <v>1293</v>
      </c>
      <c r="BM150" s="115" t="s">
        <v>1293</v>
      </c>
      <c r="BN150" s="115" t="s">
        <v>1293</v>
      </c>
      <c r="BO150" s="115" t="s">
        <v>1293</v>
      </c>
      <c r="BP150" s="115" t="s">
        <v>1293</v>
      </c>
      <c r="BQ150" s="115" t="s">
        <v>1293</v>
      </c>
      <c r="BR150" s="115" t="s">
        <v>1293</v>
      </c>
      <c r="BS150" s="115" t="s">
        <v>1293</v>
      </c>
      <c r="BT150" s="115" t="s">
        <v>1293</v>
      </c>
      <c r="BU150" s="114">
        <f t="shared" ref="BU150" si="672">E150</f>
        <v>36</v>
      </c>
      <c r="BV150" s="116">
        <f t="shared" ref="BV150" si="673">I150</f>
        <v>66</v>
      </c>
      <c r="BW150" s="117">
        <f t="shared" ref="BW150" si="674">M150</f>
        <v>70</v>
      </c>
      <c r="BX150" s="116">
        <f t="shared" ref="BX150" si="675">Q150</f>
        <v>102</v>
      </c>
      <c r="BY150" s="117">
        <f t="shared" ref="BY150" si="676">U150</f>
        <v>106</v>
      </c>
      <c r="BZ150" s="116" t="str">
        <f t="shared" ref="BZ150" si="677">Y150</f>
        <v>-</v>
      </c>
      <c r="CA150" s="117">
        <f t="shared" ref="CA150" si="678">AC150</f>
        <v>149</v>
      </c>
      <c r="CB150" s="116">
        <f t="shared" ref="CB150" si="679">AG150</f>
        <v>187</v>
      </c>
      <c r="CC150" s="117">
        <f t="shared" ref="CC150" si="680">AK150</f>
        <v>202</v>
      </c>
      <c r="CD150" s="116">
        <f t="shared" ref="CD150" si="681">AO150</f>
        <v>243</v>
      </c>
      <c r="CE150" s="117">
        <f t="shared" ref="CE150" si="682">AS150</f>
        <v>285</v>
      </c>
      <c r="CF150" s="116">
        <f t="shared" ref="CF150" si="683">AW150</f>
        <v>310</v>
      </c>
      <c r="CG150" s="114">
        <f t="shared" ref="CG150" si="684">G150</f>
        <v>65</v>
      </c>
      <c r="CH150" s="116">
        <f t="shared" ref="CH150" si="685">K150</f>
        <v>69</v>
      </c>
      <c r="CI150" s="117">
        <f t="shared" ref="CI150" si="686">O150</f>
        <v>100</v>
      </c>
      <c r="CJ150" s="117">
        <f t="shared" ref="CJ150" si="687">S150</f>
        <v>105</v>
      </c>
      <c r="CK150" s="117">
        <f t="shared" ref="CK150" si="688">W150</f>
        <v>141</v>
      </c>
      <c r="CL150" s="117" t="str">
        <f t="shared" ref="CL150" si="689">AA150</f>
        <v>-</v>
      </c>
      <c r="CM150" s="117">
        <f t="shared" ref="CM150" si="690">AE150</f>
        <v>173</v>
      </c>
      <c r="CN150" s="117">
        <f t="shared" ref="CN150" si="691">AI150</f>
        <v>189</v>
      </c>
      <c r="CO150" s="117">
        <f t="shared" ref="CO150" si="692">AM150</f>
        <v>226</v>
      </c>
      <c r="CP150" s="117">
        <f t="shared" ref="CP150" si="693">AQ150</f>
        <v>278</v>
      </c>
      <c r="CQ150" s="117">
        <f t="shared" ref="CQ150" si="694">AU150</f>
        <v>309</v>
      </c>
      <c r="CR150" s="117">
        <f t="shared" ref="CR150" si="695">AY150</f>
        <v>323</v>
      </c>
      <c r="CS150" s="112">
        <f t="shared" ref="CS150" si="696">M150-K150</f>
        <v>1</v>
      </c>
    </row>
    <row r="151" spans="1:1029" x14ac:dyDescent="0.2">
      <c r="A151" s="3" t="str">
        <f t="shared" si="639"/>
        <v>opsd_human__wt</v>
      </c>
      <c r="B151" s="3" t="s">
        <v>339</v>
      </c>
      <c r="C151" s="3" t="s">
        <v>100</v>
      </c>
      <c r="D151" s="3" t="str">
        <f>IFERROR(MID(VLOOKUP($B151,Seqs!$A:$B,2,0),E151,1),"")</f>
        <v>P</v>
      </c>
      <c r="E151" s="3">
        <v>34</v>
      </c>
      <c r="F151" s="3" t="str">
        <f>IFERROR(MID(VLOOKUP($B151,Seqs!$A:$B,2,0),G151,1),"")</f>
        <v>H</v>
      </c>
      <c r="G151" s="3">
        <v>65</v>
      </c>
      <c r="H151" s="3" t="str">
        <f>IFERROR(MID(VLOOKUP($B151,Seqs!$A:$B,2,0),I151,1),"")</f>
        <v>K</v>
      </c>
      <c r="I151" s="23">
        <v>66</v>
      </c>
      <c r="J151" s="3" t="str">
        <f>IFERROR(MID(VLOOKUP($B151,Seqs!$A:$B,2,0),K151,1),"")</f>
        <v>R</v>
      </c>
      <c r="K151" s="23">
        <v>69</v>
      </c>
      <c r="L151" s="3" t="str">
        <f>IFERROR(MID(VLOOKUP($B151,Seqs!$A:$B,2,0),M151,1),"")</f>
        <v>T</v>
      </c>
      <c r="M151" s="3">
        <v>70</v>
      </c>
      <c r="N151" s="3" t="str">
        <f>IFERROR(MID(VLOOKUP($B151,Seqs!$A:$B,2,0),O151,1),"")</f>
        <v>H</v>
      </c>
      <c r="O151" s="3">
        <v>100</v>
      </c>
      <c r="P151" s="3" t="str">
        <f>IFERROR(MID(VLOOKUP($B151,Seqs!$A:$B,2,0),Q151,1),"")</f>
        <v>Y</v>
      </c>
      <c r="Q151" s="3">
        <v>102</v>
      </c>
      <c r="R151" s="3" t="str">
        <f>IFERROR(MID(VLOOKUP($B151,Seqs!$A:$B,2,0),S151,1),"")</f>
        <v>F</v>
      </c>
      <c r="S151" s="3">
        <v>105</v>
      </c>
      <c r="T151" s="3" t="str">
        <f>IFERROR(MID(VLOOKUP($B151,Seqs!$A:$B,2,0),U151,1),"")</f>
        <v>G</v>
      </c>
      <c r="U151" s="3">
        <v>106</v>
      </c>
      <c r="V151" s="3" t="str">
        <f>IFERROR(MID(VLOOKUP($B151,Seqs!$A:$B,2,0),W151,1),"")</f>
        <v>K</v>
      </c>
      <c r="W151" s="3">
        <v>141</v>
      </c>
      <c r="X151" s="3" t="str">
        <f>IFERROR(MID(VLOOKUP($B151,Seqs!$A:$B,2,0),Y151,1),"")</f>
        <v>P</v>
      </c>
      <c r="Y151" s="3">
        <v>142</v>
      </c>
      <c r="Z151" s="3" t="str">
        <f>IFERROR(MID(VLOOKUP($B151,Seqs!$A:$B,2,0),AA151,1),"")</f>
        <v>F</v>
      </c>
      <c r="AA151" s="3">
        <v>148</v>
      </c>
      <c r="AB151" s="3" t="str">
        <f>IFERROR(MID(VLOOKUP($B151,Seqs!$A:$B,2,0),AC151,1),"")</f>
        <v>G</v>
      </c>
      <c r="AC151" s="9">
        <v>149</v>
      </c>
      <c r="AD151" s="3" t="str">
        <f>IFERROR(MID(VLOOKUP($B151,Seqs!$A:$B,2,0),AE151,1),"")</f>
        <v>A</v>
      </c>
      <c r="AE151" s="3">
        <v>173</v>
      </c>
      <c r="AF151" s="3" t="str">
        <f>IFERROR(MID(VLOOKUP($B151,Seqs!$A:$B,2,0),AG151,1),"")</f>
        <v>C</v>
      </c>
      <c r="AG151" s="3">
        <v>187</v>
      </c>
      <c r="AH151" s="3" t="str">
        <f>IFERROR(MID(VLOOKUP($B151,Seqs!$A:$B,2,0),AI151,1),"")</f>
        <v>I</v>
      </c>
      <c r="AI151" s="3">
        <v>189</v>
      </c>
      <c r="AJ151" s="3" t="str">
        <f>IFERROR(MID(VLOOKUP($B151,Seqs!$A:$B,2,0),AK151,1),"")</f>
        <v>N</v>
      </c>
      <c r="AK151" s="3">
        <v>199</v>
      </c>
      <c r="AL151" s="3" t="str">
        <f>IFERROR(MID(VLOOKUP($B151,Seqs!$A:$B,2,0),AM151,1),"")</f>
        <v>Q</v>
      </c>
      <c r="AM151" s="3">
        <v>237</v>
      </c>
      <c r="AN151" s="3" t="str">
        <f>IFERROR(MID(VLOOKUP($B151,Seqs!$A:$B,2,0),AO151,1),"")</f>
        <v>A</v>
      </c>
      <c r="AO151" s="3">
        <v>241</v>
      </c>
      <c r="AP151" s="3" t="str">
        <f>IFERROR(MID(VLOOKUP($B151,Seqs!$A:$B,2,0),AQ151,1),"")</f>
        <v>H</v>
      </c>
      <c r="AQ151" s="3">
        <v>278</v>
      </c>
      <c r="AR151" s="3" t="str">
        <f>IFERROR(MID(VLOOKUP($B151,Seqs!$A:$B,2,0),AS151,1),"")</f>
        <v>G</v>
      </c>
      <c r="AS151" s="3">
        <v>284</v>
      </c>
      <c r="AT151" s="3" t="str">
        <f>IFERROR(MID(VLOOKUP($B151,Seqs!$A:$B,2,0),AU151,1),"")</f>
        <v>M</v>
      </c>
      <c r="AU151" s="3">
        <v>309</v>
      </c>
      <c r="AV151" s="3" t="str">
        <f>IFERROR(MID(VLOOKUP($B151,Seqs!$A:$B,2,0),AW151,1),"")</f>
        <v>N</v>
      </c>
      <c r="AW151" s="3">
        <v>310</v>
      </c>
      <c r="AX151" s="3" t="str">
        <f>IFERROR(MID(VLOOKUP($B151,Seqs!$A:$B,2,0),AY151,1),"")</f>
        <v>C</v>
      </c>
      <c r="AY151" s="3">
        <v>322</v>
      </c>
      <c r="AZ151" s="79" t="str">
        <f>VLOOKUP(B151,Classification!A:D,2,0)</f>
        <v>A</v>
      </c>
      <c r="BA151" s="97" t="str">
        <f>VLOOKUP(B151,Classification!A:D,4,0)</f>
        <v>Opsins</v>
      </c>
      <c r="BB151" s="27" t="b">
        <f t="shared" si="640"/>
        <v>1</v>
      </c>
      <c r="BC151" s="23">
        <f t="shared" si="613"/>
        <v>258</v>
      </c>
      <c r="BD151" s="57" t="s">
        <v>1379</v>
      </c>
      <c r="BE151" s="3" t="s">
        <v>1381</v>
      </c>
      <c r="BF151" s="50" t="s">
        <v>1379</v>
      </c>
      <c r="BG151" s="50" t="s">
        <v>1384</v>
      </c>
      <c r="BH151" s="1"/>
      <c r="BI151" s="72" t="s">
        <v>1293</v>
      </c>
      <c r="BJ151" s="58" t="s">
        <v>1293</v>
      </c>
      <c r="BK151" s="58" t="s">
        <v>1293</v>
      </c>
      <c r="BL151" s="58" t="s">
        <v>1293</v>
      </c>
      <c r="BM151" s="58" t="s">
        <v>1293</v>
      </c>
      <c r="BN151" s="58" t="s">
        <v>1293</v>
      </c>
      <c r="BO151" s="58" t="s">
        <v>1293</v>
      </c>
      <c r="BP151" s="58" t="s">
        <v>1293</v>
      </c>
      <c r="BQ151" s="58" t="s">
        <v>1293</v>
      </c>
      <c r="BR151" s="58" t="s">
        <v>1293</v>
      </c>
      <c r="BS151" s="58" t="s">
        <v>1293</v>
      </c>
      <c r="BT151" s="58" t="s">
        <v>1293</v>
      </c>
      <c r="BU151" s="72">
        <f t="shared" si="614"/>
        <v>34</v>
      </c>
      <c r="BV151" s="73">
        <f t="shared" si="615"/>
        <v>66</v>
      </c>
      <c r="BW151" s="74">
        <f t="shared" si="616"/>
        <v>70</v>
      </c>
      <c r="BX151" s="73">
        <f t="shared" si="617"/>
        <v>102</v>
      </c>
      <c r="BY151" s="74">
        <f t="shared" si="618"/>
        <v>106</v>
      </c>
      <c r="BZ151" s="73">
        <f t="shared" si="619"/>
        <v>142</v>
      </c>
      <c r="CA151" s="74">
        <f t="shared" si="620"/>
        <v>149</v>
      </c>
      <c r="CB151" s="73">
        <f t="shared" si="621"/>
        <v>187</v>
      </c>
      <c r="CC151" s="74">
        <f t="shared" si="622"/>
        <v>199</v>
      </c>
      <c r="CD151" s="73">
        <f t="shared" si="623"/>
        <v>241</v>
      </c>
      <c r="CE151" s="74">
        <f t="shared" si="624"/>
        <v>284</v>
      </c>
      <c r="CF151" s="73">
        <f t="shared" si="625"/>
        <v>310</v>
      </c>
      <c r="CG151" s="72">
        <f t="shared" si="626"/>
        <v>65</v>
      </c>
      <c r="CH151" s="73">
        <f t="shared" si="627"/>
        <v>69</v>
      </c>
      <c r="CI151" s="74">
        <f t="shared" si="628"/>
        <v>100</v>
      </c>
      <c r="CJ151" s="74">
        <f t="shared" si="629"/>
        <v>105</v>
      </c>
      <c r="CK151" s="74">
        <f t="shared" si="630"/>
        <v>141</v>
      </c>
      <c r="CL151" s="74">
        <f t="shared" si="631"/>
        <v>148</v>
      </c>
      <c r="CM151" s="74">
        <f t="shared" si="632"/>
        <v>173</v>
      </c>
      <c r="CN151" s="74">
        <f t="shared" si="633"/>
        <v>189</v>
      </c>
      <c r="CO151" s="74">
        <f t="shared" si="634"/>
        <v>237</v>
      </c>
      <c r="CP151" s="74">
        <f t="shared" si="635"/>
        <v>278</v>
      </c>
      <c r="CQ151" s="74">
        <f t="shared" si="636"/>
        <v>309</v>
      </c>
      <c r="CR151" s="74">
        <f t="shared" si="637"/>
        <v>322</v>
      </c>
      <c r="CS151" s="23">
        <f t="shared" si="638"/>
        <v>1</v>
      </c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  <c r="LI151" s="1"/>
      <c r="LJ151" s="1"/>
      <c r="LK151" s="1"/>
      <c r="LL151" s="1"/>
      <c r="LM151" s="1"/>
      <c r="LN151" s="1"/>
      <c r="LO151" s="1"/>
      <c r="LP151" s="1"/>
      <c r="LQ151" s="1"/>
      <c r="LR151" s="1"/>
      <c r="LS151" s="1"/>
      <c r="LT151" s="1"/>
      <c r="LU151" s="1"/>
      <c r="LV151" s="1"/>
      <c r="LW151" s="1"/>
      <c r="LX151" s="1"/>
      <c r="LY151" s="1"/>
      <c r="LZ151" s="1"/>
      <c r="MA151" s="1"/>
      <c r="MB151" s="1"/>
      <c r="MC151" s="1"/>
      <c r="MD151" s="1"/>
      <c r="ME151" s="1"/>
      <c r="MF151" s="1"/>
      <c r="MG151" s="1"/>
      <c r="MH151" s="1"/>
      <c r="MI151" s="1"/>
      <c r="MJ151" s="1"/>
      <c r="MK151" s="1"/>
      <c r="ML151" s="1"/>
      <c r="MM151" s="1"/>
      <c r="MN151" s="1"/>
      <c r="MO151" s="1"/>
      <c r="MP151" s="1"/>
      <c r="MQ151" s="1"/>
      <c r="MR151" s="1"/>
      <c r="MS151" s="1"/>
      <c r="MT151" s="1"/>
      <c r="MU151" s="1"/>
      <c r="MV151" s="1"/>
      <c r="MW151" s="1"/>
      <c r="MX151" s="1"/>
      <c r="MY151" s="1"/>
      <c r="MZ151" s="1"/>
      <c r="NA151" s="1"/>
      <c r="NB151" s="1"/>
      <c r="NC151" s="1"/>
      <c r="ND151" s="1"/>
      <c r="NE151" s="1"/>
      <c r="NF151" s="1"/>
      <c r="NG151" s="1"/>
      <c r="NH151" s="1"/>
      <c r="NI151" s="1"/>
      <c r="NJ151" s="1"/>
      <c r="NK151" s="1"/>
      <c r="NL151" s="1"/>
      <c r="NM151" s="1"/>
      <c r="NN151" s="1"/>
      <c r="NO151" s="1"/>
      <c r="NP151" s="1"/>
      <c r="NQ151" s="1"/>
      <c r="NR151" s="1"/>
      <c r="NS151" s="1"/>
      <c r="NT151" s="1"/>
      <c r="NU151" s="1"/>
      <c r="NV151" s="1"/>
      <c r="NW151" s="1"/>
      <c r="NX151" s="1"/>
      <c r="NY151" s="1"/>
      <c r="NZ151" s="1"/>
      <c r="OA151" s="1"/>
      <c r="OB151" s="1"/>
      <c r="OC151" s="1"/>
      <c r="OD151" s="1"/>
      <c r="OE151" s="1"/>
      <c r="OF151" s="1"/>
      <c r="OG151" s="1"/>
      <c r="OH151" s="1"/>
      <c r="OI151" s="1"/>
      <c r="OJ151" s="1"/>
      <c r="OK151" s="1"/>
      <c r="OL151" s="1"/>
      <c r="OM151" s="1"/>
      <c r="ON151" s="1"/>
      <c r="OO151" s="1"/>
      <c r="OP151" s="1"/>
      <c r="OQ151" s="1"/>
      <c r="OR151" s="1"/>
      <c r="OS151" s="1"/>
      <c r="OT151" s="1"/>
      <c r="OU151" s="1"/>
      <c r="OV151" s="1"/>
      <c r="OW151" s="1"/>
      <c r="OX151" s="1"/>
      <c r="OY151" s="1"/>
      <c r="OZ151" s="1"/>
      <c r="PA151" s="1"/>
      <c r="PB151" s="1"/>
      <c r="PC151" s="1"/>
      <c r="PD151" s="1"/>
      <c r="PE151" s="1"/>
      <c r="PF151" s="1"/>
      <c r="PG151" s="1"/>
      <c r="PH151" s="1"/>
      <c r="PI151" s="1"/>
      <c r="PJ151" s="1"/>
      <c r="PK151" s="1"/>
      <c r="PL151" s="1"/>
      <c r="PM151" s="1"/>
      <c r="PN151" s="1"/>
      <c r="PO151" s="1"/>
      <c r="PP151" s="1"/>
      <c r="PQ151" s="1"/>
      <c r="PR151" s="1"/>
      <c r="PS151" s="1"/>
      <c r="PT151" s="1"/>
      <c r="PU151" s="1"/>
      <c r="PV151" s="1"/>
      <c r="PW151" s="1"/>
      <c r="PX151" s="1"/>
      <c r="PY151" s="1"/>
      <c r="PZ151" s="1"/>
      <c r="QA151" s="1"/>
      <c r="QB151" s="1"/>
      <c r="QC151" s="1"/>
      <c r="QD151" s="1"/>
      <c r="QE151" s="1"/>
      <c r="QF151" s="1"/>
      <c r="QG151" s="1"/>
      <c r="QH151" s="1"/>
      <c r="QI151" s="1"/>
      <c r="QJ151" s="1"/>
      <c r="QK151" s="1"/>
      <c r="QL151" s="1"/>
      <c r="QM151" s="1"/>
      <c r="QN151" s="1"/>
      <c r="QO151" s="1"/>
      <c r="QP151" s="1"/>
      <c r="QQ151" s="1"/>
      <c r="QR151" s="1"/>
      <c r="QS151" s="1"/>
      <c r="QT151" s="1"/>
      <c r="QU151" s="1"/>
      <c r="QV151" s="1"/>
      <c r="QW151" s="1"/>
      <c r="QX151" s="1"/>
      <c r="QY151" s="1"/>
      <c r="QZ151" s="1"/>
      <c r="RA151" s="1"/>
      <c r="RB151" s="1"/>
      <c r="RC151" s="1"/>
      <c r="RD151" s="1"/>
      <c r="RE151" s="1"/>
      <c r="RF151" s="1"/>
      <c r="RG151" s="1"/>
      <c r="RH151" s="1"/>
      <c r="RI151" s="1"/>
      <c r="RJ151" s="1"/>
      <c r="RK151" s="1"/>
      <c r="RL151" s="1"/>
      <c r="RM151" s="1"/>
      <c r="RN151" s="1"/>
      <c r="RO151" s="1"/>
      <c r="RP151" s="1"/>
      <c r="RQ151" s="1"/>
      <c r="RR151" s="1"/>
      <c r="RS151" s="1"/>
      <c r="RT151" s="1"/>
      <c r="RU151" s="1"/>
      <c r="RV151" s="1"/>
      <c r="RW151" s="1"/>
      <c r="RX151" s="1"/>
      <c r="RY151" s="1"/>
      <c r="RZ151" s="1"/>
      <c r="SA151" s="1"/>
      <c r="SB151" s="1"/>
      <c r="SC151" s="1"/>
      <c r="SD151" s="1"/>
      <c r="SE151" s="1"/>
      <c r="SF151" s="1"/>
      <c r="SG151" s="1"/>
      <c r="SH151" s="1"/>
      <c r="SI151" s="1"/>
      <c r="SJ151" s="1"/>
      <c r="SK151" s="1"/>
      <c r="SL151" s="1"/>
      <c r="SM151" s="1"/>
      <c r="SN151" s="1"/>
      <c r="SO151" s="1"/>
      <c r="SP151" s="1"/>
      <c r="SQ151" s="1"/>
      <c r="SR151" s="1"/>
      <c r="SS151" s="1"/>
      <c r="ST151" s="1"/>
      <c r="SU151" s="1"/>
      <c r="SV151" s="1"/>
      <c r="SW151" s="1"/>
      <c r="SX151" s="1"/>
      <c r="SY151" s="1"/>
      <c r="SZ151" s="1"/>
      <c r="TA151" s="1"/>
      <c r="TB151" s="1"/>
      <c r="TC151" s="1"/>
      <c r="TD151" s="1"/>
      <c r="TE151" s="1"/>
      <c r="TF151" s="1"/>
      <c r="TG151" s="1"/>
      <c r="TH151" s="1"/>
      <c r="TI151" s="1"/>
      <c r="TJ151" s="1"/>
      <c r="TK151" s="1"/>
      <c r="TL151" s="1"/>
      <c r="TM151" s="1"/>
      <c r="TN151" s="1"/>
      <c r="TO151" s="1"/>
      <c r="TP151" s="1"/>
      <c r="TQ151" s="1"/>
      <c r="TR151" s="1"/>
      <c r="TS151" s="1"/>
      <c r="TT151" s="1"/>
      <c r="TU151" s="1"/>
      <c r="TV151" s="1"/>
      <c r="TW151" s="1"/>
      <c r="TX151" s="1"/>
      <c r="TY151" s="1"/>
      <c r="TZ151" s="1"/>
      <c r="UA151" s="1"/>
      <c r="UB151" s="1"/>
      <c r="UC151" s="1"/>
      <c r="UD151" s="1"/>
      <c r="UE151" s="1"/>
      <c r="UF151" s="1"/>
      <c r="UG151" s="1"/>
      <c r="UH151" s="1"/>
      <c r="UI151" s="1"/>
      <c r="UJ151" s="1"/>
      <c r="UK151" s="1"/>
      <c r="UL151" s="1"/>
      <c r="UM151" s="1"/>
      <c r="UN151" s="1"/>
      <c r="UO151" s="1"/>
      <c r="UP151" s="1"/>
      <c r="UQ151" s="1"/>
      <c r="UR151" s="1"/>
      <c r="US151" s="1"/>
      <c r="UT151" s="1"/>
      <c r="UU151" s="1"/>
      <c r="UV151" s="1"/>
      <c r="UW151" s="1"/>
      <c r="UX151" s="1"/>
      <c r="UY151" s="1"/>
      <c r="UZ151" s="1"/>
      <c r="VA151" s="1"/>
      <c r="VB151" s="1"/>
      <c r="VC151" s="1"/>
      <c r="VD151" s="1"/>
      <c r="VE151" s="1"/>
      <c r="VF151" s="1"/>
      <c r="VG151" s="1"/>
      <c r="VH151" s="1"/>
      <c r="VI151" s="1"/>
      <c r="VJ151" s="1"/>
      <c r="VK151" s="1"/>
      <c r="VL151" s="1"/>
      <c r="VM151" s="1"/>
      <c r="VN151" s="1"/>
      <c r="VO151" s="1"/>
      <c r="VP151" s="1"/>
      <c r="VQ151" s="1"/>
      <c r="VR151" s="1"/>
      <c r="VS151" s="1"/>
      <c r="VT151" s="1"/>
      <c r="VU151" s="1"/>
      <c r="VV151" s="1"/>
      <c r="VW151" s="1"/>
      <c r="VX151" s="1"/>
      <c r="VY151" s="1"/>
      <c r="VZ151" s="1"/>
      <c r="WA151" s="1"/>
      <c r="WB151" s="1"/>
      <c r="WC151" s="1"/>
      <c r="WD151" s="1"/>
      <c r="WE151" s="1"/>
      <c r="WF151" s="1"/>
      <c r="WG151" s="1"/>
      <c r="WH151" s="1"/>
      <c r="WI151" s="1"/>
      <c r="WJ151" s="1"/>
      <c r="WK151" s="1"/>
      <c r="WL151" s="1"/>
      <c r="WM151" s="1"/>
      <c r="WN151" s="1"/>
      <c r="WO151" s="1"/>
      <c r="WP151" s="1"/>
      <c r="WQ151" s="1"/>
      <c r="WR151" s="1"/>
      <c r="WS151" s="1"/>
      <c r="WT151" s="1"/>
      <c r="WU151" s="1"/>
      <c r="WV151" s="1"/>
      <c r="WW151" s="1"/>
      <c r="WX151" s="1"/>
      <c r="WY151" s="1"/>
      <c r="WZ151" s="1"/>
      <c r="XA151" s="1"/>
      <c r="XB151" s="1"/>
      <c r="XC151" s="1"/>
      <c r="XD151" s="1"/>
      <c r="XE151" s="1"/>
      <c r="XF151" s="1"/>
      <c r="XG151" s="1"/>
      <c r="XH151" s="1"/>
      <c r="XI151" s="1"/>
      <c r="XJ151" s="1"/>
      <c r="XK151" s="1"/>
      <c r="XL151" s="1"/>
      <c r="XM151" s="1"/>
      <c r="XN151" s="1"/>
      <c r="XO151" s="1"/>
      <c r="XP151" s="1"/>
      <c r="XQ151" s="1"/>
      <c r="XR151" s="1"/>
      <c r="XS151" s="1"/>
      <c r="XT151" s="1"/>
      <c r="XU151" s="1"/>
      <c r="XV151" s="1"/>
      <c r="XW151" s="1"/>
      <c r="XX151" s="1"/>
      <c r="XY151" s="1"/>
      <c r="XZ151" s="1"/>
      <c r="YA151" s="1"/>
      <c r="YB151" s="1"/>
      <c r="YC151" s="1"/>
      <c r="YD151" s="1"/>
      <c r="YE151" s="1"/>
      <c r="YF151" s="1"/>
      <c r="YG151" s="1"/>
      <c r="YH151" s="1"/>
      <c r="YI151" s="1"/>
      <c r="YJ151" s="1"/>
      <c r="YK151" s="1"/>
      <c r="YL151" s="1"/>
      <c r="YM151" s="1"/>
      <c r="YN151" s="1"/>
      <c r="YO151" s="1"/>
      <c r="YP151" s="1"/>
      <c r="YQ151" s="1"/>
      <c r="YR151" s="1"/>
      <c r="YS151" s="1"/>
      <c r="YT151" s="1"/>
      <c r="YU151" s="1"/>
      <c r="YV151" s="1"/>
      <c r="YW151" s="1"/>
      <c r="YX151" s="1"/>
      <c r="YY151" s="1"/>
      <c r="YZ151" s="1"/>
      <c r="ZA151" s="1"/>
      <c r="ZB151" s="1"/>
      <c r="ZC151" s="1"/>
      <c r="ZD151" s="1"/>
      <c r="ZE151" s="1"/>
      <c r="ZF151" s="1"/>
      <c r="ZG151" s="1"/>
      <c r="ZH151" s="1"/>
      <c r="ZI151" s="1"/>
      <c r="ZJ151" s="1"/>
      <c r="ZK151" s="1"/>
      <c r="ZL151" s="1"/>
      <c r="ZM151" s="1"/>
      <c r="ZN151" s="1"/>
      <c r="ZO151" s="1"/>
      <c r="ZP151" s="1"/>
      <c r="ZQ151" s="1"/>
      <c r="ZR151" s="1"/>
      <c r="ZS151" s="1"/>
      <c r="ZT151" s="1"/>
      <c r="ZU151" s="1"/>
      <c r="ZV151" s="1"/>
      <c r="ZW151" s="1"/>
      <c r="ZX151" s="1"/>
      <c r="ZY151" s="1"/>
      <c r="ZZ151" s="1"/>
      <c r="AAA151" s="1"/>
      <c r="AAB151" s="1"/>
      <c r="AAC151" s="1"/>
      <c r="AAD151" s="1"/>
      <c r="AAE151" s="1"/>
      <c r="AAF151" s="1"/>
      <c r="AAG151" s="1"/>
      <c r="AAH151" s="1"/>
      <c r="AAI151" s="1"/>
      <c r="AAJ151" s="1"/>
      <c r="AAK151" s="1"/>
      <c r="AAL151" s="1"/>
      <c r="AAM151" s="1"/>
      <c r="AAN151" s="1"/>
      <c r="AAO151" s="1"/>
      <c r="AAP151" s="1"/>
      <c r="AAQ151" s="1"/>
      <c r="AAR151" s="1"/>
      <c r="AAS151" s="1"/>
      <c r="AAT151" s="1"/>
      <c r="AAU151" s="1"/>
      <c r="AAV151" s="1"/>
      <c r="AAW151" s="1"/>
      <c r="AAX151" s="1"/>
      <c r="AAY151" s="1"/>
      <c r="AAZ151" s="1"/>
      <c r="ABA151" s="1"/>
      <c r="ABB151" s="1"/>
      <c r="ABC151" s="1"/>
      <c r="ABD151" s="1"/>
      <c r="ABE151" s="1"/>
      <c r="ABF151" s="1"/>
      <c r="ABG151" s="1"/>
      <c r="ABH151" s="1"/>
      <c r="ABI151" s="1"/>
      <c r="ABJ151" s="1"/>
      <c r="ABK151" s="1"/>
      <c r="ABL151" s="1"/>
      <c r="ABM151" s="1"/>
      <c r="ABN151" s="1"/>
      <c r="ABO151" s="1"/>
      <c r="ABP151" s="1"/>
      <c r="ABQ151" s="1"/>
      <c r="ABR151" s="1"/>
      <c r="ABS151" s="1"/>
      <c r="ABT151" s="1"/>
      <c r="ABU151" s="1"/>
      <c r="ABV151" s="1"/>
      <c r="ABW151" s="1"/>
      <c r="ABX151" s="1"/>
      <c r="ABY151" s="1"/>
      <c r="ABZ151" s="1"/>
      <c r="ACA151" s="1"/>
      <c r="ACB151" s="1"/>
      <c r="ACC151" s="1"/>
      <c r="ACD151" s="1"/>
      <c r="ACE151" s="1"/>
      <c r="ACF151" s="1"/>
      <c r="ACG151" s="1"/>
      <c r="ACH151" s="1"/>
      <c r="ACI151" s="1"/>
      <c r="ACJ151" s="1"/>
      <c r="ACK151" s="1"/>
      <c r="ACL151" s="1"/>
      <c r="ACM151" s="1"/>
      <c r="ACN151" s="1"/>
      <c r="ACO151" s="1"/>
      <c r="ACP151" s="1"/>
      <c r="ACQ151" s="1"/>
      <c r="ACR151" s="1"/>
      <c r="ACS151" s="1"/>
      <c r="ACT151" s="1"/>
      <c r="ACU151" s="1"/>
      <c r="ACV151" s="1"/>
      <c r="ACW151" s="1"/>
      <c r="ACX151" s="1"/>
      <c r="ACY151" s="1"/>
      <c r="ACZ151" s="1"/>
      <c r="ADA151" s="1"/>
      <c r="ADB151" s="1"/>
      <c r="ADC151" s="1"/>
      <c r="ADD151" s="1"/>
      <c r="ADE151" s="1"/>
      <c r="ADF151" s="1"/>
      <c r="ADG151" s="1"/>
      <c r="ADH151" s="1"/>
      <c r="ADI151" s="1"/>
      <c r="ADJ151" s="1"/>
      <c r="ADK151" s="1"/>
      <c r="ADL151" s="1"/>
      <c r="ADM151" s="1"/>
      <c r="ADN151" s="1"/>
      <c r="ADO151" s="1"/>
      <c r="ADP151" s="1"/>
      <c r="ADQ151" s="1"/>
      <c r="ADR151" s="1"/>
      <c r="ADS151" s="1"/>
      <c r="ADT151" s="1"/>
      <c r="ADU151" s="1"/>
      <c r="ADV151" s="1"/>
      <c r="ADW151" s="1"/>
      <c r="ADX151" s="1"/>
      <c r="ADY151" s="1"/>
      <c r="ADZ151" s="1"/>
      <c r="AEA151" s="1"/>
      <c r="AEB151" s="1"/>
      <c r="AEC151" s="1"/>
      <c r="AED151" s="1"/>
      <c r="AEE151" s="1"/>
      <c r="AEF151" s="1"/>
      <c r="AEG151" s="1"/>
      <c r="AEH151" s="1"/>
      <c r="AEI151" s="1"/>
      <c r="AEJ151" s="1"/>
      <c r="AEK151" s="1"/>
      <c r="AEL151" s="1"/>
      <c r="AEM151" s="1"/>
      <c r="AEN151" s="1"/>
      <c r="AEO151" s="1"/>
      <c r="AEP151" s="1"/>
      <c r="AEQ151" s="1"/>
      <c r="AER151" s="1"/>
      <c r="AES151" s="1"/>
      <c r="AET151" s="1"/>
      <c r="AEU151" s="1"/>
      <c r="AEV151" s="1"/>
      <c r="AEW151" s="1"/>
      <c r="AEX151" s="1"/>
      <c r="AEY151" s="1"/>
      <c r="AEZ151" s="1"/>
      <c r="AFA151" s="1"/>
      <c r="AFB151" s="1"/>
      <c r="AFC151" s="1"/>
      <c r="AFD151" s="1"/>
      <c r="AFE151" s="1"/>
      <c r="AFF151" s="1"/>
      <c r="AFG151" s="1"/>
      <c r="AFH151" s="1"/>
      <c r="AFI151" s="1"/>
      <c r="AFJ151" s="1"/>
      <c r="AFK151" s="1"/>
      <c r="AFL151" s="1"/>
      <c r="AFM151" s="1"/>
      <c r="AFN151" s="1"/>
      <c r="AFO151" s="1"/>
      <c r="AFP151" s="1"/>
      <c r="AFQ151" s="1"/>
      <c r="AFR151" s="1"/>
      <c r="AFS151" s="1"/>
      <c r="AFT151" s="1"/>
      <c r="AFU151" s="1"/>
      <c r="AFV151" s="1"/>
      <c r="AFW151" s="1"/>
      <c r="AFX151" s="1"/>
      <c r="AFY151" s="1"/>
      <c r="AFZ151" s="1"/>
      <c r="AGA151" s="1"/>
      <c r="AGB151" s="1"/>
      <c r="AGC151" s="1"/>
      <c r="AGD151" s="1"/>
      <c r="AGE151" s="1"/>
      <c r="AGF151" s="1"/>
      <c r="AGG151" s="1"/>
      <c r="AGH151" s="1"/>
      <c r="AGI151" s="1"/>
      <c r="AGJ151" s="1"/>
      <c r="AGK151" s="1"/>
      <c r="AGL151" s="1"/>
      <c r="AGM151" s="1"/>
      <c r="AGN151" s="1"/>
      <c r="AGO151" s="1"/>
      <c r="AGP151" s="1"/>
      <c r="AGQ151" s="1"/>
      <c r="AGR151" s="1"/>
      <c r="AGS151" s="1"/>
      <c r="AGT151" s="1"/>
      <c r="AGU151" s="1"/>
      <c r="AGV151" s="1"/>
      <c r="AGW151" s="1"/>
      <c r="AGX151" s="1"/>
      <c r="AGY151" s="1"/>
      <c r="AGZ151" s="1"/>
      <c r="AHA151" s="1"/>
      <c r="AHB151" s="1"/>
      <c r="AHC151" s="1"/>
      <c r="AHD151" s="1"/>
      <c r="AHE151" s="1"/>
      <c r="AHF151" s="1"/>
      <c r="AHG151" s="1"/>
      <c r="AHH151" s="1"/>
      <c r="AHI151" s="1"/>
      <c r="AHJ151" s="1"/>
      <c r="AHK151" s="1"/>
      <c r="AHL151" s="1"/>
      <c r="AHM151" s="1"/>
      <c r="AHN151" s="1"/>
      <c r="AHO151" s="1"/>
      <c r="AHP151" s="1"/>
      <c r="AHQ151" s="1"/>
      <c r="AHR151" s="1"/>
      <c r="AHS151" s="1"/>
      <c r="AHT151" s="1"/>
      <c r="AHU151" s="1"/>
      <c r="AHV151" s="1"/>
      <c r="AHW151" s="1"/>
      <c r="AHX151" s="1"/>
      <c r="AHY151" s="1"/>
      <c r="AHZ151" s="1"/>
      <c r="AIA151" s="1"/>
      <c r="AIB151" s="1"/>
      <c r="AIC151" s="1"/>
      <c r="AID151" s="1"/>
      <c r="AIE151" s="1"/>
      <c r="AIF151" s="1"/>
      <c r="AIG151" s="1"/>
      <c r="AIH151" s="1"/>
      <c r="AII151" s="1"/>
      <c r="AIJ151" s="1"/>
      <c r="AIK151" s="1"/>
      <c r="AIL151" s="1"/>
      <c r="AIM151" s="1"/>
      <c r="AIN151" s="1"/>
      <c r="AIO151" s="1"/>
      <c r="AIP151" s="1"/>
      <c r="AIQ151" s="1"/>
      <c r="AIR151" s="1"/>
      <c r="AIS151" s="1"/>
      <c r="AIT151" s="1"/>
      <c r="AIU151" s="1"/>
      <c r="AIV151" s="1"/>
      <c r="AIW151" s="1"/>
      <c r="AIX151" s="1"/>
      <c r="AIY151" s="1"/>
      <c r="AIZ151" s="1"/>
      <c r="AJA151" s="1"/>
      <c r="AJB151" s="1"/>
      <c r="AJC151" s="1"/>
      <c r="AJD151" s="1"/>
      <c r="AJE151" s="1"/>
      <c r="AJF151" s="1"/>
      <c r="AJG151" s="1"/>
      <c r="AJH151" s="1"/>
      <c r="AJI151" s="1"/>
      <c r="AJJ151" s="1"/>
      <c r="AJK151" s="1"/>
      <c r="AJL151" s="1"/>
      <c r="AJM151" s="1"/>
      <c r="AJN151" s="1"/>
      <c r="AJO151" s="1"/>
      <c r="AJP151" s="1"/>
      <c r="AJQ151" s="1"/>
      <c r="AJR151" s="1"/>
      <c r="AJS151" s="1"/>
      <c r="AJT151" s="1"/>
      <c r="AJU151" s="1"/>
      <c r="AJV151" s="1"/>
      <c r="AJW151" s="1"/>
      <c r="AJX151" s="1"/>
      <c r="AJY151" s="1"/>
      <c r="AJZ151" s="1"/>
      <c r="AKA151" s="1"/>
      <c r="AKB151" s="1"/>
      <c r="AKC151" s="1"/>
      <c r="AKD151" s="1"/>
      <c r="AKE151" s="1"/>
      <c r="AKF151" s="1"/>
      <c r="AKG151" s="1"/>
      <c r="AKH151" s="1"/>
      <c r="AKI151" s="1"/>
      <c r="AKJ151" s="1"/>
      <c r="AKK151" s="1"/>
      <c r="AKL151" s="1"/>
      <c r="AKM151" s="1"/>
      <c r="AKN151" s="1"/>
      <c r="AKO151" s="1"/>
      <c r="AKP151" s="1"/>
      <c r="AKQ151" s="1"/>
      <c r="AKR151" s="1"/>
      <c r="AKS151" s="1"/>
      <c r="AKT151" s="1"/>
      <c r="AKU151" s="1"/>
      <c r="AKV151" s="1"/>
      <c r="AKW151" s="1"/>
      <c r="AKX151" s="1"/>
      <c r="AKY151" s="1"/>
      <c r="AKZ151" s="1"/>
      <c r="ALA151" s="1"/>
      <c r="ALB151" s="1"/>
      <c r="ALC151" s="1"/>
      <c r="ALD151" s="1"/>
      <c r="ALE151" s="1"/>
      <c r="ALF151" s="1"/>
      <c r="ALG151" s="1"/>
      <c r="ALH151" s="1"/>
      <c r="ALI151" s="1"/>
      <c r="ALJ151" s="1"/>
      <c r="ALK151" s="1"/>
      <c r="ALL151" s="1"/>
      <c r="ALM151" s="1"/>
      <c r="ALN151" s="1"/>
      <c r="ALO151" s="1"/>
      <c r="ALP151" s="1"/>
      <c r="ALQ151" s="1"/>
      <c r="ALR151" s="1"/>
      <c r="ALS151" s="1"/>
      <c r="ALT151" s="1"/>
      <c r="ALU151" s="1"/>
      <c r="ALV151" s="1"/>
      <c r="ALW151" s="1"/>
      <c r="ALX151" s="1"/>
      <c r="ALY151" s="1"/>
      <c r="ALZ151" s="1"/>
      <c r="AMA151" s="1"/>
      <c r="AMB151" s="1"/>
      <c r="AMC151" s="1"/>
      <c r="AMD151" s="1"/>
      <c r="AME151" s="1"/>
      <c r="AMF151" s="1"/>
      <c r="AMG151" s="1"/>
      <c r="AMH151" s="1"/>
      <c r="AMI151" s="1"/>
      <c r="AMJ151" s="1"/>
      <c r="AMK151" s="1"/>
      <c r="AML151" s="1"/>
      <c r="AMM151" s="1"/>
      <c r="AMN151" s="1"/>
    </row>
    <row r="152" spans="1:1029" x14ac:dyDescent="0.2">
      <c r="A152" s="3" t="str">
        <f t="shared" si="639"/>
        <v>opsd_human_4ZWJ</v>
      </c>
      <c r="B152" s="3" t="s">
        <v>339</v>
      </c>
      <c r="C152" s="3" t="s">
        <v>55</v>
      </c>
      <c r="D152" s="3" t="str">
        <f>IFERROR(MID(VLOOKUP($B152,Seqs!$A:$B,2,0),E152,1),"")</f>
        <v>P</v>
      </c>
      <c r="E152" s="3">
        <v>34</v>
      </c>
      <c r="F152" s="3" t="str">
        <f>IFERROR(MID(VLOOKUP($B152,Seqs!$A:$B,2,0),G152,1),"")</f>
        <v>H</v>
      </c>
      <c r="G152" s="3">
        <v>65</v>
      </c>
      <c r="H152" s="3" t="str">
        <f>IFERROR(MID(VLOOKUP($B152,Seqs!$A:$B,2,0),I152,1),"")</f>
        <v>K</v>
      </c>
      <c r="I152" s="23">
        <v>66</v>
      </c>
      <c r="J152" s="3" t="str">
        <f>IFERROR(MID(VLOOKUP($B152,Seqs!$A:$B,2,0),K152,1),"")</f>
        <v>R</v>
      </c>
      <c r="K152" s="23">
        <v>69</v>
      </c>
      <c r="L152" s="3" t="str">
        <f>IFERROR(MID(VLOOKUP($B152,Seqs!$A:$B,2,0),M152,1),"")</f>
        <v>T</v>
      </c>
      <c r="M152" s="3">
        <v>70</v>
      </c>
      <c r="N152" s="3" t="str">
        <f>IFERROR(MID(VLOOKUP($B152,Seqs!$A:$B,2,0),O152,1),"")</f>
        <v>H</v>
      </c>
      <c r="O152" s="3">
        <v>100</v>
      </c>
      <c r="P152" s="3" t="str">
        <f>IFERROR(MID(VLOOKUP($B152,Seqs!$A:$B,2,0),Q152,1),"")</f>
        <v>Y</v>
      </c>
      <c r="Q152" s="3">
        <v>102</v>
      </c>
      <c r="R152" s="3" t="str">
        <f>IFERROR(MID(VLOOKUP($B152,Seqs!$A:$B,2,0),S152,1),"")</f>
        <v>F</v>
      </c>
      <c r="S152" s="3">
        <v>105</v>
      </c>
      <c r="T152" s="3" t="str">
        <f>IFERROR(MID(VLOOKUP($B152,Seqs!$A:$B,2,0),U152,1),"")</f>
        <v>G</v>
      </c>
      <c r="U152" s="3">
        <v>106</v>
      </c>
      <c r="V152" s="3" t="str">
        <f>IFERROR(MID(VLOOKUP($B152,Seqs!$A:$B,2,0),W152,1),"")</f>
        <v>K</v>
      </c>
      <c r="W152" s="3">
        <v>141</v>
      </c>
      <c r="X152" s="3" t="str">
        <f>IFERROR(MID(VLOOKUP($B152,Seqs!$A:$B,2,0),Y152,1),"")</f>
        <v>P</v>
      </c>
      <c r="Y152" s="3">
        <v>142</v>
      </c>
      <c r="Z152" s="3" t="str">
        <f>IFERROR(MID(VLOOKUP($B152,Seqs!$A:$B,2,0),AA152,1),"")</f>
        <v>F</v>
      </c>
      <c r="AA152" s="3">
        <v>148</v>
      </c>
      <c r="AB152" s="3" t="str">
        <f>IFERROR(MID(VLOOKUP($B152,Seqs!$A:$B,2,0),AC152,1),"")</f>
        <v>G</v>
      </c>
      <c r="AC152" s="9">
        <v>149</v>
      </c>
      <c r="AD152" s="3" t="str">
        <f>IFERROR(MID(VLOOKUP($B152,Seqs!$A:$B,2,0),AE152,1),"")</f>
        <v>A</v>
      </c>
      <c r="AE152" s="3">
        <v>173</v>
      </c>
      <c r="AF152" s="3" t="str">
        <f>IFERROR(MID(VLOOKUP($B152,Seqs!$A:$B,2,0),AG152,1),"")</f>
        <v>C</v>
      </c>
      <c r="AG152" s="3">
        <v>187</v>
      </c>
      <c r="AH152" s="3" t="str">
        <f>IFERROR(MID(VLOOKUP($B152,Seqs!$A:$B,2,0),AI152,1),"")</f>
        <v>I</v>
      </c>
      <c r="AI152" s="3">
        <v>189</v>
      </c>
      <c r="AJ152" s="3" t="str">
        <f>IFERROR(MID(VLOOKUP($B152,Seqs!$A:$B,2,0),AK152,1),"")</f>
        <v>N</v>
      </c>
      <c r="AK152" s="3">
        <v>199</v>
      </c>
      <c r="AL152" s="3" t="str">
        <f>IFERROR(MID(VLOOKUP($B152,Seqs!$A:$B,2,0),AM152,1),"")</f>
        <v>Q</v>
      </c>
      <c r="AM152" s="3">
        <v>237</v>
      </c>
      <c r="AN152" s="3" t="str">
        <f>IFERROR(MID(VLOOKUP($B152,Seqs!$A:$B,2,0),AO152,1),"")</f>
        <v>A</v>
      </c>
      <c r="AO152" s="3">
        <v>241</v>
      </c>
      <c r="AP152" s="3" t="str">
        <f>IFERROR(MID(VLOOKUP($B152,Seqs!$A:$B,2,0),AQ152,1),"")</f>
        <v>H</v>
      </c>
      <c r="AQ152" s="3">
        <v>278</v>
      </c>
      <c r="AR152" s="3" t="str">
        <f>IFERROR(MID(VLOOKUP($B152,Seqs!$A:$B,2,0),AS152,1),"")</f>
        <v>G</v>
      </c>
      <c r="AS152" s="3">
        <v>284</v>
      </c>
      <c r="AT152" s="3" t="str">
        <f>IFERROR(MID(VLOOKUP($B152,Seqs!$A:$B,2,0),AU152,1),"")</f>
        <v>M</v>
      </c>
      <c r="AU152" s="3">
        <v>309</v>
      </c>
      <c r="AV152" s="3" t="str">
        <f>IFERROR(MID(VLOOKUP($B152,Seqs!$A:$B,2,0),AW152,1),"")</f>
        <v>N</v>
      </c>
      <c r="AW152" s="3">
        <v>310</v>
      </c>
      <c r="AX152" s="3" t="str">
        <f>IFERROR(MID(VLOOKUP($B152,Seqs!$A:$B,2,0),AY152,1),"")</f>
        <v>C</v>
      </c>
      <c r="AY152" s="3">
        <v>322</v>
      </c>
      <c r="AZ152" s="79" t="str">
        <f>VLOOKUP(B152,Classification!A:D,2,0)</f>
        <v>A</v>
      </c>
      <c r="BA152" s="97" t="str">
        <f>VLOOKUP(B152,Classification!A:D,4,0)</f>
        <v>Opsins</v>
      </c>
      <c r="BB152" s="27" t="b">
        <f t="shared" si="640"/>
        <v>1</v>
      </c>
      <c r="BC152" s="23">
        <f t="shared" si="613"/>
        <v>258</v>
      </c>
      <c r="BD152" s="2" t="s">
        <v>1383</v>
      </c>
      <c r="BE152" s="3" t="s">
        <v>1381</v>
      </c>
      <c r="BF152" s="50" t="s">
        <v>1384</v>
      </c>
      <c r="BG152" s="50" t="s">
        <v>1384</v>
      </c>
      <c r="BH152" s="1"/>
      <c r="BI152" s="72" t="s">
        <v>1293</v>
      </c>
      <c r="BJ152" s="58" t="s">
        <v>1293</v>
      </c>
      <c r="BK152" s="58" t="s">
        <v>1293</v>
      </c>
      <c r="BL152" s="58" t="s">
        <v>1293</v>
      </c>
      <c r="BM152" s="58" t="s">
        <v>1293</v>
      </c>
      <c r="BN152" s="58" t="s">
        <v>1293</v>
      </c>
      <c r="BO152" s="58" t="s">
        <v>1293</v>
      </c>
      <c r="BP152" s="58" t="s">
        <v>1293</v>
      </c>
      <c r="BQ152" s="58" t="s">
        <v>1293</v>
      </c>
      <c r="BR152" s="58" t="s">
        <v>1293</v>
      </c>
      <c r="BS152" s="58" t="s">
        <v>1293</v>
      </c>
      <c r="BT152" s="58" t="s">
        <v>1293</v>
      </c>
      <c r="BU152" s="72">
        <f t="shared" si="614"/>
        <v>34</v>
      </c>
      <c r="BV152" s="73">
        <f t="shared" si="615"/>
        <v>66</v>
      </c>
      <c r="BW152" s="74">
        <f t="shared" si="616"/>
        <v>70</v>
      </c>
      <c r="BX152" s="73">
        <f t="shared" si="617"/>
        <v>102</v>
      </c>
      <c r="BY152" s="74">
        <f t="shared" si="618"/>
        <v>106</v>
      </c>
      <c r="BZ152" s="73">
        <f t="shared" si="619"/>
        <v>142</v>
      </c>
      <c r="CA152" s="74">
        <f t="shared" si="620"/>
        <v>149</v>
      </c>
      <c r="CB152" s="73">
        <f t="shared" si="621"/>
        <v>187</v>
      </c>
      <c r="CC152" s="74">
        <f t="shared" si="622"/>
        <v>199</v>
      </c>
      <c r="CD152" s="73">
        <f t="shared" si="623"/>
        <v>241</v>
      </c>
      <c r="CE152" s="74">
        <f t="shared" si="624"/>
        <v>284</v>
      </c>
      <c r="CF152" s="73">
        <f t="shared" si="625"/>
        <v>310</v>
      </c>
      <c r="CG152" s="72">
        <f t="shared" si="626"/>
        <v>65</v>
      </c>
      <c r="CH152" s="73">
        <f t="shared" si="627"/>
        <v>69</v>
      </c>
      <c r="CI152" s="74">
        <f t="shared" si="628"/>
        <v>100</v>
      </c>
      <c r="CJ152" s="74">
        <f t="shared" si="629"/>
        <v>105</v>
      </c>
      <c r="CK152" s="74">
        <f t="shared" si="630"/>
        <v>141</v>
      </c>
      <c r="CL152" s="74">
        <f t="shared" si="631"/>
        <v>148</v>
      </c>
      <c r="CM152" s="74">
        <f t="shared" si="632"/>
        <v>173</v>
      </c>
      <c r="CN152" s="74">
        <f t="shared" si="633"/>
        <v>189</v>
      </c>
      <c r="CO152" s="74">
        <f t="shared" si="634"/>
        <v>237</v>
      </c>
      <c r="CP152" s="74">
        <f t="shared" si="635"/>
        <v>278</v>
      </c>
      <c r="CQ152" s="74">
        <f t="shared" si="636"/>
        <v>309</v>
      </c>
      <c r="CR152" s="74">
        <f t="shared" si="637"/>
        <v>322</v>
      </c>
      <c r="CS152" s="23">
        <f t="shared" si="638"/>
        <v>1</v>
      </c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  <c r="LI152" s="1"/>
      <c r="LJ152" s="1"/>
      <c r="LK152" s="1"/>
      <c r="LL152" s="1"/>
      <c r="LM152" s="1"/>
      <c r="LN152" s="1"/>
      <c r="LO152" s="1"/>
      <c r="LP152" s="1"/>
      <c r="LQ152" s="1"/>
      <c r="LR152" s="1"/>
      <c r="LS152" s="1"/>
      <c r="LT152" s="1"/>
      <c r="LU152" s="1"/>
      <c r="LV152" s="1"/>
      <c r="LW152" s="1"/>
      <c r="LX152" s="1"/>
      <c r="LY152" s="1"/>
      <c r="LZ152" s="1"/>
      <c r="MA152" s="1"/>
      <c r="MB152" s="1"/>
      <c r="MC152" s="1"/>
      <c r="MD152" s="1"/>
      <c r="ME152" s="1"/>
      <c r="MF152" s="1"/>
      <c r="MG152" s="1"/>
      <c r="MH152" s="1"/>
      <c r="MI152" s="1"/>
      <c r="MJ152" s="1"/>
      <c r="MK152" s="1"/>
      <c r="ML152" s="1"/>
      <c r="MM152" s="1"/>
      <c r="MN152" s="1"/>
      <c r="MO152" s="1"/>
      <c r="MP152" s="1"/>
      <c r="MQ152" s="1"/>
      <c r="MR152" s="1"/>
      <c r="MS152" s="1"/>
      <c r="MT152" s="1"/>
      <c r="MU152" s="1"/>
      <c r="MV152" s="1"/>
      <c r="MW152" s="1"/>
      <c r="MX152" s="1"/>
      <c r="MY152" s="1"/>
      <c r="MZ152" s="1"/>
      <c r="NA152" s="1"/>
      <c r="NB152" s="1"/>
      <c r="NC152" s="1"/>
      <c r="ND152" s="1"/>
      <c r="NE152" s="1"/>
      <c r="NF152" s="1"/>
      <c r="NG152" s="1"/>
      <c r="NH152" s="1"/>
      <c r="NI152" s="1"/>
      <c r="NJ152" s="1"/>
      <c r="NK152" s="1"/>
      <c r="NL152" s="1"/>
      <c r="NM152" s="1"/>
      <c r="NN152" s="1"/>
      <c r="NO152" s="1"/>
      <c r="NP152" s="1"/>
      <c r="NQ152" s="1"/>
      <c r="NR152" s="1"/>
      <c r="NS152" s="1"/>
      <c r="NT152" s="1"/>
      <c r="NU152" s="1"/>
      <c r="NV152" s="1"/>
      <c r="NW152" s="1"/>
      <c r="NX152" s="1"/>
      <c r="NY152" s="1"/>
      <c r="NZ152" s="1"/>
      <c r="OA152" s="1"/>
      <c r="OB152" s="1"/>
      <c r="OC152" s="1"/>
      <c r="OD152" s="1"/>
      <c r="OE152" s="1"/>
      <c r="OF152" s="1"/>
      <c r="OG152" s="1"/>
      <c r="OH152" s="1"/>
      <c r="OI152" s="1"/>
      <c r="OJ152" s="1"/>
      <c r="OK152" s="1"/>
      <c r="OL152" s="1"/>
      <c r="OM152" s="1"/>
      <c r="ON152" s="1"/>
      <c r="OO152" s="1"/>
      <c r="OP152" s="1"/>
      <c r="OQ152" s="1"/>
      <c r="OR152" s="1"/>
      <c r="OS152" s="1"/>
      <c r="OT152" s="1"/>
      <c r="OU152" s="1"/>
      <c r="OV152" s="1"/>
      <c r="OW152" s="1"/>
      <c r="OX152" s="1"/>
      <c r="OY152" s="1"/>
      <c r="OZ152" s="1"/>
      <c r="PA152" s="1"/>
      <c r="PB152" s="1"/>
      <c r="PC152" s="1"/>
      <c r="PD152" s="1"/>
      <c r="PE152" s="1"/>
      <c r="PF152" s="1"/>
      <c r="PG152" s="1"/>
      <c r="PH152" s="1"/>
      <c r="PI152" s="1"/>
      <c r="PJ152" s="1"/>
      <c r="PK152" s="1"/>
      <c r="PL152" s="1"/>
      <c r="PM152" s="1"/>
      <c r="PN152" s="1"/>
      <c r="PO152" s="1"/>
      <c r="PP152" s="1"/>
      <c r="PQ152" s="1"/>
      <c r="PR152" s="1"/>
      <c r="PS152" s="1"/>
      <c r="PT152" s="1"/>
      <c r="PU152" s="1"/>
      <c r="PV152" s="1"/>
      <c r="PW152" s="1"/>
      <c r="PX152" s="1"/>
      <c r="PY152" s="1"/>
      <c r="PZ152" s="1"/>
      <c r="QA152" s="1"/>
      <c r="QB152" s="1"/>
      <c r="QC152" s="1"/>
      <c r="QD152" s="1"/>
      <c r="QE152" s="1"/>
      <c r="QF152" s="1"/>
      <c r="QG152" s="1"/>
      <c r="QH152" s="1"/>
      <c r="QI152" s="1"/>
      <c r="QJ152" s="1"/>
      <c r="QK152" s="1"/>
      <c r="QL152" s="1"/>
      <c r="QM152" s="1"/>
      <c r="QN152" s="1"/>
      <c r="QO152" s="1"/>
      <c r="QP152" s="1"/>
      <c r="QQ152" s="1"/>
      <c r="QR152" s="1"/>
      <c r="QS152" s="1"/>
      <c r="QT152" s="1"/>
      <c r="QU152" s="1"/>
      <c r="QV152" s="1"/>
      <c r="QW152" s="1"/>
      <c r="QX152" s="1"/>
      <c r="QY152" s="1"/>
      <c r="QZ152" s="1"/>
      <c r="RA152" s="1"/>
      <c r="RB152" s="1"/>
      <c r="RC152" s="1"/>
      <c r="RD152" s="1"/>
      <c r="RE152" s="1"/>
      <c r="RF152" s="1"/>
      <c r="RG152" s="1"/>
      <c r="RH152" s="1"/>
      <c r="RI152" s="1"/>
      <c r="RJ152" s="1"/>
      <c r="RK152" s="1"/>
      <c r="RL152" s="1"/>
      <c r="RM152" s="1"/>
      <c r="RN152" s="1"/>
      <c r="RO152" s="1"/>
      <c r="RP152" s="1"/>
      <c r="RQ152" s="1"/>
      <c r="RR152" s="1"/>
      <c r="RS152" s="1"/>
      <c r="RT152" s="1"/>
      <c r="RU152" s="1"/>
      <c r="RV152" s="1"/>
      <c r="RW152" s="1"/>
      <c r="RX152" s="1"/>
      <c r="RY152" s="1"/>
      <c r="RZ152" s="1"/>
      <c r="SA152" s="1"/>
      <c r="SB152" s="1"/>
      <c r="SC152" s="1"/>
      <c r="SD152" s="1"/>
      <c r="SE152" s="1"/>
      <c r="SF152" s="1"/>
      <c r="SG152" s="1"/>
      <c r="SH152" s="1"/>
      <c r="SI152" s="1"/>
      <c r="SJ152" s="1"/>
      <c r="SK152" s="1"/>
      <c r="SL152" s="1"/>
      <c r="SM152" s="1"/>
      <c r="SN152" s="1"/>
      <c r="SO152" s="1"/>
      <c r="SP152" s="1"/>
      <c r="SQ152" s="1"/>
      <c r="SR152" s="1"/>
      <c r="SS152" s="1"/>
      <c r="ST152" s="1"/>
      <c r="SU152" s="1"/>
      <c r="SV152" s="1"/>
      <c r="SW152" s="1"/>
      <c r="SX152" s="1"/>
      <c r="SY152" s="1"/>
      <c r="SZ152" s="1"/>
      <c r="TA152" s="1"/>
      <c r="TB152" s="1"/>
      <c r="TC152" s="1"/>
      <c r="TD152" s="1"/>
      <c r="TE152" s="1"/>
      <c r="TF152" s="1"/>
      <c r="TG152" s="1"/>
      <c r="TH152" s="1"/>
      <c r="TI152" s="1"/>
      <c r="TJ152" s="1"/>
      <c r="TK152" s="1"/>
      <c r="TL152" s="1"/>
      <c r="TM152" s="1"/>
      <c r="TN152" s="1"/>
      <c r="TO152" s="1"/>
      <c r="TP152" s="1"/>
      <c r="TQ152" s="1"/>
      <c r="TR152" s="1"/>
      <c r="TS152" s="1"/>
      <c r="TT152" s="1"/>
      <c r="TU152" s="1"/>
      <c r="TV152" s="1"/>
      <c r="TW152" s="1"/>
      <c r="TX152" s="1"/>
      <c r="TY152" s="1"/>
      <c r="TZ152" s="1"/>
      <c r="UA152" s="1"/>
      <c r="UB152" s="1"/>
      <c r="UC152" s="1"/>
      <c r="UD152" s="1"/>
      <c r="UE152" s="1"/>
      <c r="UF152" s="1"/>
      <c r="UG152" s="1"/>
      <c r="UH152" s="1"/>
      <c r="UI152" s="1"/>
      <c r="UJ152" s="1"/>
      <c r="UK152" s="1"/>
      <c r="UL152" s="1"/>
      <c r="UM152" s="1"/>
      <c r="UN152" s="1"/>
      <c r="UO152" s="1"/>
      <c r="UP152" s="1"/>
      <c r="UQ152" s="1"/>
      <c r="UR152" s="1"/>
      <c r="US152" s="1"/>
      <c r="UT152" s="1"/>
      <c r="UU152" s="1"/>
      <c r="UV152" s="1"/>
      <c r="UW152" s="1"/>
      <c r="UX152" s="1"/>
      <c r="UY152" s="1"/>
      <c r="UZ152" s="1"/>
      <c r="VA152" s="1"/>
      <c r="VB152" s="1"/>
      <c r="VC152" s="1"/>
      <c r="VD152" s="1"/>
      <c r="VE152" s="1"/>
      <c r="VF152" s="1"/>
      <c r="VG152" s="1"/>
      <c r="VH152" s="1"/>
      <c r="VI152" s="1"/>
      <c r="VJ152" s="1"/>
      <c r="VK152" s="1"/>
      <c r="VL152" s="1"/>
      <c r="VM152" s="1"/>
      <c r="VN152" s="1"/>
      <c r="VO152" s="1"/>
      <c r="VP152" s="1"/>
      <c r="VQ152" s="1"/>
      <c r="VR152" s="1"/>
      <c r="VS152" s="1"/>
      <c r="VT152" s="1"/>
      <c r="VU152" s="1"/>
      <c r="VV152" s="1"/>
      <c r="VW152" s="1"/>
      <c r="VX152" s="1"/>
      <c r="VY152" s="1"/>
      <c r="VZ152" s="1"/>
      <c r="WA152" s="1"/>
      <c r="WB152" s="1"/>
      <c r="WC152" s="1"/>
      <c r="WD152" s="1"/>
      <c r="WE152" s="1"/>
      <c r="WF152" s="1"/>
      <c r="WG152" s="1"/>
      <c r="WH152" s="1"/>
      <c r="WI152" s="1"/>
      <c r="WJ152" s="1"/>
      <c r="WK152" s="1"/>
      <c r="WL152" s="1"/>
      <c r="WM152" s="1"/>
      <c r="WN152" s="1"/>
      <c r="WO152" s="1"/>
      <c r="WP152" s="1"/>
      <c r="WQ152" s="1"/>
      <c r="WR152" s="1"/>
      <c r="WS152" s="1"/>
      <c r="WT152" s="1"/>
      <c r="WU152" s="1"/>
      <c r="WV152" s="1"/>
      <c r="WW152" s="1"/>
      <c r="WX152" s="1"/>
      <c r="WY152" s="1"/>
      <c r="WZ152" s="1"/>
      <c r="XA152" s="1"/>
      <c r="XB152" s="1"/>
      <c r="XC152" s="1"/>
      <c r="XD152" s="1"/>
      <c r="XE152" s="1"/>
      <c r="XF152" s="1"/>
      <c r="XG152" s="1"/>
      <c r="XH152" s="1"/>
      <c r="XI152" s="1"/>
      <c r="XJ152" s="1"/>
      <c r="XK152" s="1"/>
      <c r="XL152" s="1"/>
      <c r="XM152" s="1"/>
      <c r="XN152" s="1"/>
      <c r="XO152" s="1"/>
      <c r="XP152" s="1"/>
      <c r="XQ152" s="1"/>
      <c r="XR152" s="1"/>
      <c r="XS152" s="1"/>
      <c r="XT152" s="1"/>
      <c r="XU152" s="1"/>
      <c r="XV152" s="1"/>
      <c r="XW152" s="1"/>
      <c r="XX152" s="1"/>
      <c r="XY152" s="1"/>
      <c r="XZ152" s="1"/>
      <c r="YA152" s="1"/>
      <c r="YB152" s="1"/>
      <c r="YC152" s="1"/>
      <c r="YD152" s="1"/>
      <c r="YE152" s="1"/>
      <c r="YF152" s="1"/>
      <c r="YG152" s="1"/>
      <c r="YH152" s="1"/>
      <c r="YI152" s="1"/>
      <c r="YJ152" s="1"/>
      <c r="YK152" s="1"/>
      <c r="YL152" s="1"/>
      <c r="YM152" s="1"/>
      <c r="YN152" s="1"/>
      <c r="YO152" s="1"/>
      <c r="YP152" s="1"/>
      <c r="YQ152" s="1"/>
      <c r="YR152" s="1"/>
      <c r="YS152" s="1"/>
      <c r="YT152" s="1"/>
      <c r="YU152" s="1"/>
      <c r="YV152" s="1"/>
      <c r="YW152" s="1"/>
      <c r="YX152" s="1"/>
      <c r="YY152" s="1"/>
      <c r="YZ152" s="1"/>
      <c r="ZA152" s="1"/>
      <c r="ZB152" s="1"/>
      <c r="ZC152" s="1"/>
      <c r="ZD152" s="1"/>
      <c r="ZE152" s="1"/>
      <c r="ZF152" s="1"/>
      <c r="ZG152" s="1"/>
      <c r="ZH152" s="1"/>
      <c r="ZI152" s="1"/>
      <c r="ZJ152" s="1"/>
      <c r="ZK152" s="1"/>
      <c r="ZL152" s="1"/>
      <c r="ZM152" s="1"/>
      <c r="ZN152" s="1"/>
      <c r="ZO152" s="1"/>
      <c r="ZP152" s="1"/>
      <c r="ZQ152" s="1"/>
      <c r="ZR152" s="1"/>
      <c r="ZS152" s="1"/>
      <c r="ZT152" s="1"/>
      <c r="ZU152" s="1"/>
      <c r="ZV152" s="1"/>
      <c r="ZW152" s="1"/>
      <c r="ZX152" s="1"/>
      <c r="ZY152" s="1"/>
      <c r="ZZ152" s="1"/>
      <c r="AAA152" s="1"/>
      <c r="AAB152" s="1"/>
      <c r="AAC152" s="1"/>
      <c r="AAD152" s="1"/>
      <c r="AAE152" s="1"/>
      <c r="AAF152" s="1"/>
      <c r="AAG152" s="1"/>
      <c r="AAH152" s="1"/>
      <c r="AAI152" s="1"/>
      <c r="AAJ152" s="1"/>
      <c r="AAK152" s="1"/>
      <c r="AAL152" s="1"/>
      <c r="AAM152" s="1"/>
      <c r="AAN152" s="1"/>
      <c r="AAO152" s="1"/>
      <c r="AAP152" s="1"/>
      <c r="AAQ152" s="1"/>
      <c r="AAR152" s="1"/>
      <c r="AAS152" s="1"/>
      <c r="AAT152" s="1"/>
      <c r="AAU152" s="1"/>
      <c r="AAV152" s="1"/>
      <c r="AAW152" s="1"/>
      <c r="AAX152" s="1"/>
      <c r="AAY152" s="1"/>
      <c r="AAZ152" s="1"/>
      <c r="ABA152" s="1"/>
      <c r="ABB152" s="1"/>
      <c r="ABC152" s="1"/>
      <c r="ABD152" s="1"/>
      <c r="ABE152" s="1"/>
      <c r="ABF152" s="1"/>
      <c r="ABG152" s="1"/>
      <c r="ABH152" s="1"/>
      <c r="ABI152" s="1"/>
      <c r="ABJ152" s="1"/>
      <c r="ABK152" s="1"/>
      <c r="ABL152" s="1"/>
      <c r="ABM152" s="1"/>
      <c r="ABN152" s="1"/>
      <c r="ABO152" s="1"/>
      <c r="ABP152" s="1"/>
      <c r="ABQ152" s="1"/>
      <c r="ABR152" s="1"/>
      <c r="ABS152" s="1"/>
      <c r="ABT152" s="1"/>
      <c r="ABU152" s="1"/>
      <c r="ABV152" s="1"/>
      <c r="ABW152" s="1"/>
      <c r="ABX152" s="1"/>
      <c r="ABY152" s="1"/>
      <c r="ABZ152" s="1"/>
      <c r="ACA152" s="1"/>
      <c r="ACB152" s="1"/>
      <c r="ACC152" s="1"/>
      <c r="ACD152" s="1"/>
      <c r="ACE152" s="1"/>
      <c r="ACF152" s="1"/>
      <c r="ACG152" s="1"/>
      <c r="ACH152" s="1"/>
      <c r="ACI152" s="1"/>
      <c r="ACJ152" s="1"/>
      <c r="ACK152" s="1"/>
      <c r="ACL152" s="1"/>
      <c r="ACM152" s="1"/>
      <c r="ACN152" s="1"/>
      <c r="ACO152" s="1"/>
      <c r="ACP152" s="1"/>
      <c r="ACQ152" s="1"/>
      <c r="ACR152" s="1"/>
      <c r="ACS152" s="1"/>
      <c r="ACT152" s="1"/>
      <c r="ACU152" s="1"/>
      <c r="ACV152" s="1"/>
      <c r="ACW152" s="1"/>
      <c r="ACX152" s="1"/>
      <c r="ACY152" s="1"/>
      <c r="ACZ152" s="1"/>
      <c r="ADA152" s="1"/>
      <c r="ADB152" s="1"/>
      <c r="ADC152" s="1"/>
      <c r="ADD152" s="1"/>
      <c r="ADE152" s="1"/>
      <c r="ADF152" s="1"/>
      <c r="ADG152" s="1"/>
      <c r="ADH152" s="1"/>
      <c r="ADI152" s="1"/>
      <c r="ADJ152" s="1"/>
      <c r="ADK152" s="1"/>
      <c r="ADL152" s="1"/>
      <c r="ADM152" s="1"/>
      <c r="ADN152" s="1"/>
      <c r="ADO152" s="1"/>
      <c r="ADP152" s="1"/>
      <c r="ADQ152" s="1"/>
      <c r="ADR152" s="1"/>
      <c r="ADS152" s="1"/>
      <c r="ADT152" s="1"/>
      <c r="ADU152" s="1"/>
      <c r="ADV152" s="1"/>
      <c r="ADW152" s="1"/>
      <c r="ADX152" s="1"/>
      <c r="ADY152" s="1"/>
      <c r="ADZ152" s="1"/>
      <c r="AEA152" s="1"/>
      <c r="AEB152" s="1"/>
      <c r="AEC152" s="1"/>
      <c r="AED152" s="1"/>
      <c r="AEE152" s="1"/>
      <c r="AEF152" s="1"/>
      <c r="AEG152" s="1"/>
      <c r="AEH152" s="1"/>
      <c r="AEI152" s="1"/>
      <c r="AEJ152" s="1"/>
      <c r="AEK152" s="1"/>
      <c r="AEL152" s="1"/>
      <c r="AEM152" s="1"/>
      <c r="AEN152" s="1"/>
      <c r="AEO152" s="1"/>
      <c r="AEP152" s="1"/>
      <c r="AEQ152" s="1"/>
      <c r="AER152" s="1"/>
      <c r="AES152" s="1"/>
      <c r="AET152" s="1"/>
      <c r="AEU152" s="1"/>
      <c r="AEV152" s="1"/>
      <c r="AEW152" s="1"/>
      <c r="AEX152" s="1"/>
      <c r="AEY152" s="1"/>
      <c r="AEZ152" s="1"/>
      <c r="AFA152" s="1"/>
      <c r="AFB152" s="1"/>
      <c r="AFC152" s="1"/>
      <c r="AFD152" s="1"/>
      <c r="AFE152" s="1"/>
      <c r="AFF152" s="1"/>
      <c r="AFG152" s="1"/>
      <c r="AFH152" s="1"/>
      <c r="AFI152" s="1"/>
      <c r="AFJ152" s="1"/>
      <c r="AFK152" s="1"/>
      <c r="AFL152" s="1"/>
      <c r="AFM152" s="1"/>
      <c r="AFN152" s="1"/>
      <c r="AFO152" s="1"/>
      <c r="AFP152" s="1"/>
      <c r="AFQ152" s="1"/>
      <c r="AFR152" s="1"/>
      <c r="AFS152" s="1"/>
      <c r="AFT152" s="1"/>
      <c r="AFU152" s="1"/>
      <c r="AFV152" s="1"/>
      <c r="AFW152" s="1"/>
      <c r="AFX152" s="1"/>
      <c r="AFY152" s="1"/>
      <c r="AFZ152" s="1"/>
      <c r="AGA152" s="1"/>
      <c r="AGB152" s="1"/>
      <c r="AGC152" s="1"/>
      <c r="AGD152" s="1"/>
      <c r="AGE152" s="1"/>
      <c r="AGF152" s="1"/>
      <c r="AGG152" s="1"/>
      <c r="AGH152" s="1"/>
      <c r="AGI152" s="1"/>
      <c r="AGJ152" s="1"/>
      <c r="AGK152" s="1"/>
      <c r="AGL152" s="1"/>
      <c r="AGM152" s="1"/>
      <c r="AGN152" s="1"/>
      <c r="AGO152" s="1"/>
      <c r="AGP152" s="1"/>
      <c r="AGQ152" s="1"/>
      <c r="AGR152" s="1"/>
      <c r="AGS152" s="1"/>
      <c r="AGT152" s="1"/>
      <c r="AGU152" s="1"/>
      <c r="AGV152" s="1"/>
      <c r="AGW152" s="1"/>
      <c r="AGX152" s="1"/>
      <c r="AGY152" s="1"/>
      <c r="AGZ152" s="1"/>
      <c r="AHA152" s="1"/>
      <c r="AHB152" s="1"/>
      <c r="AHC152" s="1"/>
      <c r="AHD152" s="1"/>
      <c r="AHE152" s="1"/>
      <c r="AHF152" s="1"/>
      <c r="AHG152" s="1"/>
      <c r="AHH152" s="1"/>
      <c r="AHI152" s="1"/>
      <c r="AHJ152" s="1"/>
      <c r="AHK152" s="1"/>
      <c r="AHL152" s="1"/>
      <c r="AHM152" s="1"/>
      <c r="AHN152" s="1"/>
      <c r="AHO152" s="1"/>
      <c r="AHP152" s="1"/>
      <c r="AHQ152" s="1"/>
      <c r="AHR152" s="1"/>
      <c r="AHS152" s="1"/>
      <c r="AHT152" s="1"/>
      <c r="AHU152" s="1"/>
      <c r="AHV152" s="1"/>
      <c r="AHW152" s="1"/>
      <c r="AHX152" s="1"/>
      <c r="AHY152" s="1"/>
      <c r="AHZ152" s="1"/>
      <c r="AIA152" s="1"/>
      <c r="AIB152" s="1"/>
      <c r="AIC152" s="1"/>
      <c r="AID152" s="1"/>
      <c r="AIE152" s="1"/>
      <c r="AIF152" s="1"/>
      <c r="AIG152" s="1"/>
      <c r="AIH152" s="1"/>
      <c r="AII152" s="1"/>
      <c r="AIJ152" s="1"/>
      <c r="AIK152" s="1"/>
      <c r="AIL152" s="1"/>
      <c r="AIM152" s="1"/>
      <c r="AIN152" s="1"/>
      <c r="AIO152" s="1"/>
      <c r="AIP152" s="1"/>
      <c r="AIQ152" s="1"/>
      <c r="AIR152" s="1"/>
      <c r="AIS152" s="1"/>
      <c r="AIT152" s="1"/>
      <c r="AIU152" s="1"/>
      <c r="AIV152" s="1"/>
      <c r="AIW152" s="1"/>
      <c r="AIX152" s="1"/>
      <c r="AIY152" s="1"/>
      <c r="AIZ152" s="1"/>
      <c r="AJA152" s="1"/>
      <c r="AJB152" s="1"/>
      <c r="AJC152" s="1"/>
      <c r="AJD152" s="1"/>
      <c r="AJE152" s="1"/>
      <c r="AJF152" s="1"/>
      <c r="AJG152" s="1"/>
      <c r="AJH152" s="1"/>
      <c r="AJI152" s="1"/>
      <c r="AJJ152" s="1"/>
      <c r="AJK152" s="1"/>
      <c r="AJL152" s="1"/>
      <c r="AJM152" s="1"/>
      <c r="AJN152" s="1"/>
      <c r="AJO152" s="1"/>
      <c r="AJP152" s="1"/>
      <c r="AJQ152" s="1"/>
      <c r="AJR152" s="1"/>
      <c r="AJS152" s="1"/>
      <c r="AJT152" s="1"/>
      <c r="AJU152" s="1"/>
      <c r="AJV152" s="1"/>
      <c r="AJW152" s="1"/>
      <c r="AJX152" s="1"/>
      <c r="AJY152" s="1"/>
      <c r="AJZ152" s="1"/>
      <c r="AKA152" s="1"/>
      <c r="AKB152" s="1"/>
      <c r="AKC152" s="1"/>
      <c r="AKD152" s="1"/>
      <c r="AKE152" s="1"/>
      <c r="AKF152" s="1"/>
      <c r="AKG152" s="1"/>
      <c r="AKH152" s="1"/>
      <c r="AKI152" s="1"/>
      <c r="AKJ152" s="1"/>
      <c r="AKK152" s="1"/>
      <c r="AKL152" s="1"/>
      <c r="AKM152" s="1"/>
      <c r="AKN152" s="1"/>
      <c r="AKO152" s="1"/>
      <c r="AKP152" s="1"/>
      <c r="AKQ152" s="1"/>
      <c r="AKR152" s="1"/>
      <c r="AKS152" s="1"/>
      <c r="AKT152" s="1"/>
      <c r="AKU152" s="1"/>
      <c r="AKV152" s="1"/>
      <c r="AKW152" s="1"/>
      <c r="AKX152" s="1"/>
      <c r="AKY152" s="1"/>
      <c r="AKZ152" s="1"/>
      <c r="ALA152" s="1"/>
      <c r="ALB152" s="1"/>
      <c r="ALC152" s="1"/>
      <c r="ALD152" s="1"/>
      <c r="ALE152" s="1"/>
      <c r="ALF152" s="1"/>
      <c r="ALG152" s="1"/>
      <c r="ALH152" s="1"/>
      <c r="ALI152" s="1"/>
      <c r="ALJ152" s="1"/>
      <c r="ALK152" s="1"/>
      <c r="ALL152" s="1"/>
      <c r="ALM152" s="1"/>
      <c r="ALN152" s="1"/>
      <c r="ALO152" s="1"/>
      <c r="ALP152" s="1"/>
      <c r="ALQ152" s="1"/>
      <c r="ALR152" s="1"/>
      <c r="ALS152" s="1"/>
      <c r="ALT152" s="1"/>
      <c r="ALU152" s="1"/>
      <c r="ALV152" s="1"/>
      <c r="ALW152" s="1"/>
      <c r="ALX152" s="1"/>
      <c r="ALY152" s="1"/>
      <c r="ALZ152" s="1"/>
      <c r="AMA152" s="1"/>
      <c r="AMB152" s="1"/>
      <c r="AMC152" s="1"/>
      <c r="AMD152" s="1"/>
      <c r="AME152" s="1"/>
      <c r="AMF152" s="1"/>
      <c r="AMG152" s="1"/>
      <c r="AMH152" s="1"/>
      <c r="AMI152" s="1"/>
      <c r="AMJ152" s="1"/>
      <c r="AMK152" s="1"/>
      <c r="AML152" s="1"/>
      <c r="AMM152" s="1"/>
      <c r="AMN152" s="1"/>
    </row>
    <row r="153" spans="1:1029" x14ac:dyDescent="0.2">
      <c r="A153" s="3" t="str">
        <f t="shared" si="639"/>
        <v>opsd_todpa__wt</v>
      </c>
      <c r="B153" s="3" t="s">
        <v>922</v>
      </c>
      <c r="C153" s="3" t="s">
        <v>100</v>
      </c>
      <c r="D153" s="3" t="str">
        <f>IFERROR(MID(VLOOKUP($B153,Seqs!$A:$B,2,0),E153,1),"")</f>
        <v>D</v>
      </c>
      <c r="E153" s="3">
        <v>31</v>
      </c>
      <c r="F153" s="3" t="str">
        <f>IFERROR(MID(VLOOKUP($B153,Seqs!$A:$B,2,0),G153,1),"")</f>
        <v>T</v>
      </c>
      <c r="G153" s="3">
        <v>62</v>
      </c>
      <c r="H153" s="3" t="str">
        <f>IFERROR(MID(VLOOKUP($B153,Seqs!$A:$B,2,0),I153,1),"")</f>
        <v>K</v>
      </c>
      <c r="I153" s="23">
        <v>63</v>
      </c>
      <c r="J153" s="3" t="str">
        <f>IFERROR(MID(VLOOKUP($B153,Seqs!$A:$B,2,0),K153,1),"")</f>
        <v>Q</v>
      </c>
      <c r="K153" s="23">
        <v>66</v>
      </c>
      <c r="L153" s="3" t="str">
        <f>IFERROR(MID(VLOOKUP($B153,Seqs!$A:$B,2,0),M153,1),"")</f>
        <v>T</v>
      </c>
      <c r="M153" s="3">
        <v>67</v>
      </c>
      <c r="N153" s="3" t="str">
        <f>IFERROR(MID(VLOOKUP($B153,Seqs!$A:$B,2,0),O153,1),"")</f>
        <v>K</v>
      </c>
      <c r="O153" s="3">
        <v>99</v>
      </c>
      <c r="P153" s="3" t="str">
        <f>IFERROR(MID(VLOOKUP($B153,Seqs!$A:$B,2,0),Q153,1),"")</f>
        <v>K</v>
      </c>
      <c r="Q153" s="3">
        <v>100</v>
      </c>
      <c r="R153" s="3" t="str">
        <f>IFERROR(MID(VLOOKUP($B153,Seqs!$A:$B,2,0),S153,1),"")</f>
        <v>F</v>
      </c>
      <c r="S153" s="3">
        <v>103</v>
      </c>
      <c r="T153" s="3" t="str">
        <f>IFERROR(MID(VLOOKUP($B153,Seqs!$A:$B,2,0),U153,1),"")</f>
        <v>G</v>
      </c>
      <c r="U153" s="3">
        <v>104</v>
      </c>
      <c r="V153" s="3" t="str">
        <f>IFERROR(MID(VLOOKUP($B153,Seqs!$A:$B,2,0),W153,1),"")</f>
        <v>R</v>
      </c>
      <c r="W153" s="3">
        <v>139</v>
      </c>
      <c r="X153" s="3" t="str">
        <f>IFERROR(MID(VLOOKUP($B153,Seqs!$A:$B,2,0),Y153,1),"")</f>
        <v>P</v>
      </c>
      <c r="Y153" s="3">
        <v>140</v>
      </c>
      <c r="Z153" s="3" t="str">
        <f>IFERROR(MID(VLOOKUP($B153,Seqs!$A:$B,2,0),AA153,1),"")</f>
        <v>M</v>
      </c>
      <c r="AA153" s="3">
        <v>147</v>
      </c>
      <c r="AB153" s="3" t="str">
        <f>IFERROR(MID(VLOOKUP($B153,Seqs!$A:$B,2,0),AC153,1),"")</f>
        <v>S</v>
      </c>
      <c r="AC153" s="9">
        <v>148</v>
      </c>
      <c r="AD153" s="3" t="str">
        <f>IFERROR(MID(VLOOKUP($B153,Seqs!$A:$B,2,0),AE153,1),"")</f>
        <v>F</v>
      </c>
      <c r="AE153" s="3">
        <v>172</v>
      </c>
      <c r="AF153" s="3" t="str">
        <f>IFERROR(MID(VLOOKUP($B153,Seqs!$A:$B,2,0),AG153,1),"")</f>
        <v>C</v>
      </c>
      <c r="AG153" s="3">
        <v>186</v>
      </c>
      <c r="AH153" s="3" t="str">
        <f>IFERROR(MID(VLOOKUP($B153,Seqs!$A:$B,2,0),AI153,1),"")</f>
        <v>F</v>
      </c>
      <c r="AI153" s="3">
        <v>188</v>
      </c>
      <c r="AJ153" s="3" t="str">
        <f>IFERROR(MID(VLOOKUP($B153,Seqs!$A:$B,2,0),AK153,1),"")</f>
        <v>D</v>
      </c>
      <c r="AK153" s="3">
        <v>194</v>
      </c>
      <c r="AL153" s="3" t="str">
        <f>IFERROR(MID(VLOOKUP($B153,Seqs!$A:$B,2,0),AM153,1),"")</f>
        <v>K</v>
      </c>
      <c r="AM153" s="3">
        <v>239</v>
      </c>
      <c r="AN153" s="3" t="str">
        <f>IFERROR(MID(VLOOKUP($B153,Seqs!$A:$B,2,0),AO153,1),"")</f>
        <v>K</v>
      </c>
      <c r="AO153" s="3">
        <v>244</v>
      </c>
      <c r="AP153" s="3" t="str">
        <f>IFERROR(MID(VLOOKUP($B153,Seqs!$A:$B,2,0),AQ153,1),"")</f>
        <v>G</v>
      </c>
      <c r="AQ153" s="3">
        <v>287</v>
      </c>
      <c r="AR153" s="3" t="str">
        <f>IFERROR(MID(VLOOKUP($B153,Seqs!$A:$B,2,0),AS153,1),"")</f>
        <v>T</v>
      </c>
      <c r="AS153" s="3">
        <v>293</v>
      </c>
      <c r="AT153" s="3" t="str">
        <f>IFERROR(MID(VLOOKUP($B153,Seqs!$A:$B,2,0),AU153,1),"")</f>
        <v>S</v>
      </c>
      <c r="AU153" s="3">
        <v>318</v>
      </c>
      <c r="AV153" s="3" t="str">
        <f>IFERROR(MID(VLOOKUP($B153,Seqs!$A:$B,2,0),AW153,1),"")</f>
        <v>H</v>
      </c>
      <c r="AW153" s="3">
        <v>319</v>
      </c>
      <c r="AX153" s="3" t="str">
        <f>IFERROR(MID(VLOOKUP($B153,Seqs!$A:$B,2,0),AY153,1),"")</f>
        <v>F</v>
      </c>
      <c r="AY153" s="3">
        <v>330</v>
      </c>
      <c r="AZ153" s="79" t="str">
        <f>VLOOKUP(B153,Classification!A:D,2,0)</f>
        <v>A</v>
      </c>
      <c r="BA153" s="97" t="str">
        <f>VLOOKUP(B153,Classification!A:D,4,0)</f>
        <v>Opsins</v>
      </c>
      <c r="BB153" s="27" t="b">
        <f t="shared" si="640"/>
        <v>1</v>
      </c>
      <c r="BC153" s="23">
        <f t="shared" si="613"/>
        <v>273</v>
      </c>
      <c r="BD153" s="57" t="s">
        <v>1379</v>
      </c>
      <c r="BE153" s="3" t="s">
        <v>1381</v>
      </c>
      <c r="BF153" s="50" t="s">
        <v>1379</v>
      </c>
      <c r="BG153" s="50" t="s">
        <v>1384</v>
      </c>
      <c r="BH153" s="1"/>
      <c r="BI153" s="72" t="s">
        <v>1293</v>
      </c>
      <c r="BJ153" s="58" t="s">
        <v>1293</v>
      </c>
      <c r="BK153" s="58" t="s">
        <v>1293</v>
      </c>
      <c r="BL153" s="58" t="s">
        <v>1293</v>
      </c>
      <c r="BM153" s="58" t="s">
        <v>1293</v>
      </c>
      <c r="BN153" s="58" t="s">
        <v>1293</v>
      </c>
      <c r="BO153" s="58" t="s">
        <v>1293</v>
      </c>
      <c r="BP153" s="58" t="s">
        <v>1293</v>
      </c>
      <c r="BQ153" s="58" t="s">
        <v>1293</v>
      </c>
      <c r="BR153" s="58" t="s">
        <v>1293</v>
      </c>
      <c r="BS153" s="58" t="s">
        <v>1293</v>
      </c>
      <c r="BT153" s="58" t="s">
        <v>1293</v>
      </c>
      <c r="BU153" s="72">
        <f t="shared" si="614"/>
        <v>31</v>
      </c>
      <c r="BV153" s="73">
        <f t="shared" si="615"/>
        <v>63</v>
      </c>
      <c r="BW153" s="74">
        <f t="shared" si="616"/>
        <v>67</v>
      </c>
      <c r="BX153" s="73">
        <f t="shared" si="617"/>
        <v>100</v>
      </c>
      <c r="BY153" s="74">
        <f t="shared" si="618"/>
        <v>104</v>
      </c>
      <c r="BZ153" s="73">
        <f t="shared" si="619"/>
        <v>140</v>
      </c>
      <c r="CA153" s="74">
        <f t="shared" si="620"/>
        <v>148</v>
      </c>
      <c r="CB153" s="73">
        <f t="shared" si="621"/>
        <v>186</v>
      </c>
      <c r="CC153" s="74">
        <f t="shared" si="622"/>
        <v>194</v>
      </c>
      <c r="CD153" s="73">
        <f t="shared" si="623"/>
        <v>244</v>
      </c>
      <c r="CE153" s="74">
        <f t="shared" si="624"/>
        <v>293</v>
      </c>
      <c r="CF153" s="73">
        <f t="shared" si="625"/>
        <v>319</v>
      </c>
      <c r="CG153" s="72">
        <f t="shared" si="626"/>
        <v>62</v>
      </c>
      <c r="CH153" s="73">
        <f t="shared" si="627"/>
        <v>66</v>
      </c>
      <c r="CI153" s="74">
        <f t="shared" si="628"/>
        <v>99</v>
      </c>
      <c r="CJ153" s="74">
        <f t="shared" si="629"/>
        <v>103</v>
      </c>
      <c r="CK153" s="74">
        <f t="shared" si="630"/>
        <v>139</v>
      </c>
      <c r="CL153" s="74">
        <f t="shared" si="631"/>
        <v>147</v>
      </c>
      <c r="CM153" s="74">
        <f t="shared" si="632"/>
        <v>172</v>
      </c>
      <c r="CN153" s="74">
        <f t="shared" si="633"/>
        <v>188</v>
      </c>
      <c r="CO153" s="74">
        <f t="shared" si="634"/>
        <v>239</v>
      </c>
      <c r="CP153" s="74">
        <f t="shared" si="635"/>
        <v>287</v>
      </c>
      <c r="CQ153" s="74">
        <f t="shared" si="636"/>
        <v>318</v>
      </c>
      <c r="CR153" s="74">
        <f t="shared" si="637"/>
        <v>330</v>
      </c>
      <c r="CS153" s="23">
        <f t="shared" si="638"/>
        <v>1</v>
      </c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  <c r="LI153" s="1"/>
      <c r="LJ153" s="1"/>
      <c r="LK153" s="1"/>
      <c r="LL153" s="1"/>
      <c r="LM153" s="1"/>
      <c r="LN153" s="1"/>
      <c r="LO153" s="1"/>
      <c r="LP153" s="1"/>
      <c r="LQ153" s="1"/>
      <c r="LR153" s="1"/>
      <c r="LS153" s="1"/>
      <c r="LT153" s="1"/>
      <c r="LU153" s="1"/>
      <c r="LV153" s="1"/>
      <c r="LW153" s="1"/>
      <c r="LX153" s="1"/>
      <c r="LY153" s="1"/>
      <c r="LZ153" s="1"/>
      <c r="MA153" s="1"/>
      <c r="MB153" s="1"/>
      <c r="MC153" s="1"/>
      <c r="MD153" s="1"/>
      <c r="ME153" s="1"/>
      <c r="MF153" s="1"/>
      <c r="MG153" s="1"/>
      <c r="MH153" s="1"/>
      <c r="MI153" s="1"/>
      <c r="MJ153" s="1"/>
      <c r="MK153" s="1"/>
      <c r="ML153" s="1"/>
      <c r="MM153" s="1"/>
      <c r="MN153" s="1"/>
      <c r="MO153" s="1"/>
      <c r="MP153" s="1"/>
      <c r="MQ153" s="1"/>
      <c r="MR153" s="1"/>
      <c r="MS153" s="1"/>
      <c r="MT153" s="1"/>
      <c r="MU153" s="1"/>
      <c r="MV153" s="1"/>
      <c r="MW153" s="1"/>
      <c r="MX153" s="1"/>
      <c r="MY153" s="1"/>
      <c r="MZ153" s="1"/>
      <c r="NA153" s="1"/>
      <c r="NB153" s="1"/>
      <c r="NC153" s="1"/>
      <c r="ND153" s="1"/>
      <c r="NE153" s="1"/>
      <c r="NF153" s="1"/>
      <c r="NG153" s="1"/>
      <c r="NH153" s="1"/>
      <c r="NI153" s="1"/>
      <c r="NJ153" s="1"/>
      <c r="NK153" s="1"/>
      <c r="NL153" s="1"/>
      <c r="NM153" s="1"/>
      <c r="NN153" s="1"/>
      <c r="NO153" s="1"/>
      <c r="NP153" s="1"/>
      <c r="NQ153" s="1"/>
      <c r="NR153" s="1"/>
      <c r="NS153" s="1"/>
      <c r="NT153" s="1"/>
      <c r="NU153" s="1"/>
      <c r="NV153" s="1"/>
      <c r="NW153" s="1"/>
      <c r="NX153" s="1"/>
      <c r="NY153" s="1"/>
      <c r="NZ153" s="1"/>
      <c r="OA153" s="1"/>
      <c r="OB153" s="1"/>
      <c r="OC153" s="1"/>
      <c r="OD153" s="1"/>
      <c r="OE153" s="1"/>
      <c r="OF153" s="1"/>
      <c r="OG153" s="1"/>
      <c r="OH153" s="1"/>
      <c r="OI153" s="1"/>
      <c r="OJ153" s="1"/>
      <c r="OK153" s="1"/>
      <c r="OL153" s="1"/>
      <c r="OM153" s="1"/>
      <c r="ON153" s="1"/>
      <c r="OO153" s="1"/>
      <c r="OP153" s="1"/>
      <c r="OQ153" s="1"/>
      <c r="OR153" s="1"/>
      <c r="OS153" s="1"/>
      <c r="OT153" s="1"/>
      <c r="OU153" s="1"/>
      <c r="OV153" s="1"/>
      <c r="OW153" s="1"/>
      <c r="OX153" s="1"/>
      <c r="OY153" s="1"/>
      <c r="OZ153" s="1"/>
      <c r="PA153" s="1"/>
      <c r="PB153" s="1"/>
      <c r="PC153" s="1"/>
      <c r="PD153" s="1"/>
      <c r="PE153" s="1"/>
      <c r="PF153" s="1"/>
      <c r="PG153" s="1"/>
      <c r="PH153" s="1"/>
      <c r="PI153" s="1"/>
      <c r="PJ153" s="1"/>
      <c r="PK153" s="1"/>
      <c r="PL153" s="1"/>
      <c r="PM153" s="1"/>
      <c r="PN153" s="1"/>
      <c r="PO153" s="1"/>
      <c r="PP153" s="1"/>
      <c r="PQ153" s="1"/>
      <c r="PR153" s="1"/>
      <c r="PS153" s="1"/>
      <c r="PT153" s="1"/>
      <c r="PU153" s="1"/>
      <c r="PV153" s="1"/>
      <c r="PW153" s="1"/>
      <c r="PX153" s="1"/>
      <c r="PY153" s="1"/>
      <c r="PZ153" s="1"/>
      <c r="QA153" s="1"/>
      <c r="QB153" s="1"/>
      <c r="QC153" s="1"/>
      <c r="QD153" s="1"/>
      <c r="QE153" s="1"/>
      <c r="QF153" s="1"/>
      <c r="QG153" s="1"/>
      <c r="QH153" s="1"/>
      <c r="QI153" s="1"/>
      <c r="QJ153" s="1"/>
      <c r="QK153" s="1"/>
      <c r="QL153" s="1"/>
      <c r="QM153" s="1"/>
      <c r="QN153" s="1"/>
      <c r="QO153" s="1"/>
      <c r="QP153" s="1"/>
      <c r="QQ153" s="1"/>
      <c r="QR153" s="1"/>
      <c r="QS153" s="1"/>
      <c r="QT153" s="1"/>
      <c r="QU153" s="1"/>
      <c r="QV153" s="1"/>
      <c r="QW153" s="1"/>
      <c r="QX153" s="1"/>
      <c r="QY153" s="1"/>
      <c r="QZ153" s="1"/>
      <c r="RA153" s="1"/>
      <c r="RB153" s="1"/>
      <c r="RC153" s="1"/>
      <c r="RD153" s="1"/>
      <c r="RE153" s="1"/>
      <c r="RF153" s="1"/>
      <c r="RG153" s="1"/>
      <c r="RH153" s="1"/>
      <c r="RI153" s="1"/>
      <c r="RJ153" s="1"/>
      <c r="RK153" s="1"/>
      <c r="RL153" s="1"/>
      <c r="RM153" s="1"/>
      <c r="RN153" s="1"/>
      <c r="RO153" s="1"/>
      <c r="RP153" s="1"/>
      <c r="RQ153" s="1"/>
      <c r="RR153" s="1"/>
      <c r="RS153" s="1"/>
      <c r="RT153" s="1"/>
      <c r="RU153" s="1"/>
      <c r="RV153" s="1"/>
      <c r="RW153" s="1"/>
      <c r="RX153" s="1"/>
      <c r="RY153" s="1"/>
      <c r="RZ153" s="1"/>
      <c r="SA153" s="1"/>
      <c r="SB153" s="1"/>
      <c r="SC153" s="1"/>
      <c r="SD153" s="1"/>
      <c r="SE153" s="1"/>
      <c r="SF153" s="1"/>
      <c r="SG153" s="1"/>
      <c r="SH153" s="1"/>
      <c r="SI153" s="1"/>
      <c r="SJ153" s="1"/>
      <c r="SK153" s="1"/>
      <c r="SL153" s="1"/>
      <c r="SM153" s="1"/>
      <c r="SN153" s="1"/>
      <c r="SO153" s="1"/>
      <c r="SP153" s="1"/>
      <c r="SQ153" s="1"/>
      <c r="SR153" s="1"/>
      <c r="SS153" s="1"/>
      <c r="ST153" s="1"/>
      <c r="SU153" s="1"/>
      <c r="SV153" s="1"/>
      <c r="SW153" s="1"/>
      <c r="SX153" s="1"/>
      <c r="SY153" s="1"/>
      <c r="SZ153" s="1"/>
      <c r="TA153" s="1"/>
      <c r="TB153" s="1"/>
      <c r="TC153" s="1"/>
      <c r="TD153" s="1"/>
      <c r="TE153" s="1"/>
      <c r="TF153" s="1"/>
      <c r="TG153" s="1"/>
      <c r="TH153" s="1"/>
      <c r="TI153" s="1"/>
      <c r="TJ153" s="1"/>
      <c r="TK153" s="1"/>
      <c r="TL153" s="1"/>
      <c r="TM153" s="1"/>
      <c r="TN153" s="1"/>
      <c r="TO153" s="1"/>
      <c r="TP153" s="1"/>
      <c r="TQ153" s="1"/>
      <c r="TR153" s="1"/>
      <c r="TS153" s="1"/>
      <c r="TT153" s="1"/>
      <c r="TU153" s="1"/>
      <c r="TV153" s="1"/>
      <c r="TW153" s="1"/>
      <c r="TX153" s="1"/>
      <c r="TY153" s="1"/>
      <c r="TZ153" s="1"/>
      <c r="UA153" s="1"/>
      <c r="UB153" s="1"/>
      <c r="UC153" s="1"/>
      <c r="UD153" s="1"/>
      <c r="UE153" s="1"/>
      <c r="UF153" s="1"/>
      <c r="UG153" s="1"/>
      <c r="UH153" s="1"/>
      <c r="UI153" s="1"/>
      <c r="UJ153" s="1"/>
      <c r="UK153" s="1"/>
      <c r="UL153" s="1"/>
      <c r="UM153" s="1"/>
      <c r="UN153" s="1"/>
      <c r="UO153" s="1"/>
      <c r="UP153" s="1"/>
      <c r="UQ153" s="1"/>
      <c r="UR153" s="1"/>
      <c r="US153" s="1"/>
      <c r="UT153" s="1"/>
      <c r="UU153" s="1"/>
      <c r="UV153" s="1"/>
      <c r="UW153" s="1"/>
      <c r="UX153" s="1"/>
      <c r="UY153" s="1"/>
      <c r="UZ153" s="1"/>
      <c r="VA153" s="1"/>
      <c r="VB153" s="1"/>
      <c r="VC153" s="1"/>
      <c r="VD153" s="1"/>
      <c r="VE153" s="1"/>
      <c r="VF153" s="1"/>
      <c r="VG153" s="1"/>
      <c r="VH153" s="1"/>
      <c r="VI153" s="1"/>
      <c r="VJ153" s="1"/>
      <c r="VK153" s="1"/>
      <c r="VL153" s="1"/>
      <c r="VM153" s="1"/>
      <c r="VN153" s="1"/>
      <c r="VO153" s="1"/>
      <c r="VP153" s="1"/>
      <c r="VQ153" s="1"/>
      <c r="VR153" s="1"/>
      <c r="VS153" s="1"/>
      <c r="VT153" s="1"/>
      <c r="VU153" s="1"/>
      <c r="VV153" s="1"/>
      <c r="VW153" s="1"/>
      <c r="VX153" s="1"/>
      <c r="VY153" s="1"/>
      <c r="VZ153" s="1"/>
      <c r="WA153" s="1"/>
      <c r="WB153" s="1"/>
      <c r="WC153" s="1"/>
      <c r="WD153" s="1"/>
      <c r="WE153" s="1"/>
      <c r="WF153" s="1"/>
      <c r="WG153" s="1"/>
      <c r="WH153" s="1"/>
      <c r="WI153" s="1"/>
      <c r="WJ153" s="1"/>
      <c r="WK153" s="1"/>
      <c r="WL153" s="1"/>
      <c r="WM153" s="1"/>
      <c r="WN153" s="1"/>
      <c r="WO153" s="1"/>
      <c r="WP153" s="1"/>
      <c r="WQ153" s="1"/>
      <c r="WR153" s="1"/>
      <c r="WS153" s="1"/>
      <c r="WT153" s="1"/>
      <c r="WU153" s="1"/>
      <c r="WV153" s="1"/>
      <c r="WW153" s="1"/>
      <c r="WX153" s="1"/>
      <c r="WY153" s="1"/>
      <c r="WZ153" s="1"/>
      <c r="XA153" s="1"/>
      <c r="XB153" s="1"/>
      <c r="XC153" s="1"/>
      <c r="XD153" s="1"/>
      <c r="XE153" s="1"/>
      <c r="XF153" s="1"/>
      <c r="XG153" s="1"/>
      <c r="XH153" s="1"/>
      <c r="XI153" s="1"/>
      <c r="XJ153" s="1"/>
      <c r="XK153" s="1"/>
      <c r="XL153" s="1"/>
      <c r="XM153" s="1"/>
      <c r="XN153" s="1"/>
      <c r="XO153" s="1"/>
      <c r="XP153" s="1"/>
      <c r="XQ153" s="1"/>
      <c r="XR153" s="1"/>
      <c r="XS153" s="1"/>
      <c r="XT153" s="1"/>
      <c r="XU153" s="1"/>
      <c r="XV153" s="1"/>
      <c r="XW153" s="1"/>
      <c r="XX153" s="1"/>
      <c r="XY153" s="1"/>
      <c r="XZ153" s="1"/>
      <c r="YA153" s="1"/>
      <c r="YB153" s="1"/>
      <c r="YC153" s="1"/>
      <c r="YD153" s="1"/>
      <c r="YE153" s="1"/>
      <c r="YF153" s="1"/>
      <c r="YG153" s="1"/>
      <c r="YH153" s="1"/>
      <c r="YI153" s="1"/>
      <c r="YJ153" s="1"/>
      <c r="YK153" s="1"/>
      <c r="YL153" s="1"/>
      <c r="YM153" s="1"/>
      <c r="YN153" s="1"/>
      <c r="YO153" s="1"/>
      <c r="YP153" s="1"/>
      <c r="YQ153" s="1"/>
      <c r="YR153" s="1"/>
      <c r="YS153" s="1"/>
      <c r="YT153" s="1"/>
      <c r="YU153" s="1"/>
      <c r="YV153" s="1"/>
      <c r="YW153" s="1"/>
      <c r="YX153" s="1"/>
      <c r="YY153" s="1"/>
      <c r="YZ153" s="1"/>
      <c r="ZA153" s="1"/>
      <c r="ZB153" s="1"/>
      <c r="ZC153" s="1"/>
      <c r="ZD153" s="1"/>
      <c r="ZE153" s="1"/>
      <c r="ZF153" s="1"/>
      <c r="ZG153" s="1"/>
      <c r="ZH153" s="1"/>
      <c r="ZI153" s="1"/>
      <c r="ZJ153" s="1"/>
      <c r="ZK153" s="1"/>
      <c r="ZL153" s="1"/>
      <c r="ZM153" s="1"/>
      <c r="ZN153" s="1"/>
      <c r="ZO153" s="1"/>
      <c r="ZP153" s="1"/>
      <c r="ZQ153" s="1"/>
      <c r="ZR153" s="1"/>
      <c r="ZS153" s="1"/>
      <c r="ZT153" s="1"/>
      <c r="ZU153" s="1"/>
      <c r="ZV153" s="1"/>
      <c r="ZW153" s="1"/>
      <c r="ZX153" s="1"/>
      <c r="ZY153" s="1"/>
      <c r="ZZ153" s="1"/>
      <c r="AAA153" s="1"/>
      <c r="AAB153" s="1"/>
      <c r="AAC153" s="1"/>
      <c r="AAD153" s="1"/>
      <c r="AAE153" s="1"/>
      <c r="AAF153" s="1"/>
      <c r="AAG153" s="1"/>
      <c r="AAH153" s="1"/>
      <c r="AAI153" s="1"/>
      <c r="AAJ153" s="1"/>
      <c r="AAK153" s="1"/>
      <c r="AAL153" s="1"/>
      <c r="AAM153" s="1"/>
      <c r="AAN153" s="1"/>
      <c r="AAO153" s="1"/>
      <c r="AAP153" s="1"/>
      <c r="AAQ153" s="1"/>
      <c r="AAR153" s="1"/>
      <c r="AAS153" s="1"/>
      <c r="AAT153" s="1"/>
      <c r="AAU153" s="1"/>
      <c r="AAV153" s="1"/>
      <c r="AAW153" s="1"/>
      <c r="AAX153" s="1"/>
      <c r="AAY153" s="1"/>
      <c r="AAZ153" s="1"/>
      <c r="ABA153" s="1"/>
      <c r="ABB153" s="1"/>
      <c r="ABC153" s="1"/>
      <c r="ABD153" s="1"/>
      <c r="ABE153" s="1"/>
      <c r="ABF153" s="1"/>
      <c r="ABG153" s="1"/>
      <c r="ABH153" s="1"/>
      <c r="ABI153" s="1"/>
      <c r="ABJ153" s="1"/>
      <c r="ABK153" s="1"/>
      <c r="ABL153" s="1"/>
      <c r="ABM153" s="1"/>
      <c r="ABN153" s="1"/>
      <c r="ABO153" s="1"/>
      <c r="ABP153" s="1"/>
      <c r="ABQ153" s="1"/>
      <c r="ABR153" s="1"/>
      <c r="ABS153" s="1"/>
      <c r="ABT153" s="1"/>
      <c r="ABU153" s="1"/>
      <c r="ABV153" s="1"/>
      <c r="ABW153" s="1"/>
      <c r="ABX153" s="1"/>
      <c r="ABY153" s="1"/>
      <c r="ABZ153" s="1"/>
      <c r="ACA153" s="1"/>
      <c r="ACB153" s="1"/>
      <c r="ACC153" s="1"/>
      <c r="ACD153" s="1"/>
      <c r="ACE153" s="1"/>
      <c r="ACF153" s="1"/>
      <c r="ACG153" s="1"/>
      <c r="ACH153" s="1"/>
      <c r="ACI153" s="1"/>
      <c r="ACJ153" s="1"/>
      <c r="ACK153" s="1"/>
      <c r="ACL153" s="1"/>
      <c r="ACM153" s="1"/>
      <c r="ACN153" s="1"/>
      <c r="ACO153" s="1"/>
      <c r="ACP153" s="1"/>
      <c r="ACQ153" s="1"/>
      <c r="ACR153" s="1"/>
      <c r="ACS153" s="1"/>
      <c r="ACT153" s="1"/>
      <c r="ACU153" s="1"/>
      <c r="ACV153" s="1"/>
      <c r="ACW153" s="1"/>
      <c r="ACX153" s="1"/>
      <c r="ACY153" s="1"/>
      <c r="ACZ153" s="1"/>
      <c r="ADA153" s="1"/>
      <c r="ADB153" s="1"/>
      <c r="ADC153" s="1"/>
      <c r="ADD153" s="1"/>
      <c r="ADE153" s="1"/>
      <c r="ADF153" s="1"/>
      <c r="ADG153" s="1"/>
      <c r="ADH153" s="1"/>
      <c r="ADI153" s="1"/>
      <c r="ADJ153" s="1"/>
      <c r="ADK153" s="1"/>
      <c r="ADL153" s="1"/>
      <c r="ADM153" s="1"/>
      <c r="ADN153" s="1"/>
      <c r="ADO153" s="1"/>
      <c r="ADP153" s="1"/>
      <c r="ADQ153" s="1"/>
      <c r="ADR153" s="1"/>
      <c r="ADS153" s="1"/>
      <c r="ADT153" s="1"/>
      <c r="ADU153" s="1"/>
      <c r="ADV153" s="1"/>
      <c r="ADW153" s="1"/>
      <c r="ADX153" s="1"/>
      <c r="ADY153" s="1"/>
      <c r="ADZ153" s="1"/>
      <c r="AEA153" s="1"/>
      <c r="AEB153" s="1"/>
      <c r="AEC153" s="1"/>
      <c r="AED153" s="1"/>
      <c r="AEE153" s="1"/>
      <c r="AEF153" s="1"/>
      <c r="AEG153" s="1"/>
      <c r="AEH153" s="1"/>
      <c r="AEI153" s="1"/>
      <c r="AEJ153" s="1"/>
      <c r="AEK153" s="1"/>
      <c r="AEL153" s="1"/>
      <c r="AEM153" s="1"/>
      <c r="AEN153" s="1"/>
      <c r="AEO153" s="1"/>
      <c r="AEP153" s="1"/>
      <c r="AEQ153" s="1"/>
      <c r="AER153" s="1"/>
      <c r="AES153" s="1"/>
      <c r="AET153" s="1"/>
      <c r="AEU153" s="1"/>
      <c r="AEV153" s="1"/>
      <c r="AEW153" s="1"/>
      <c r="AEX153" s="1"/>
      <c r="AEY153" s="1"/>
      <c r="AEZ153" s="1"/>
      <c r="AFA153" s="1"/>
      <c r="AFB153" s="1"/>
      <c r="AFC153" s="1"/>
      <c r="AFD153" s="1"/>
      <c r="AFE153" s="1"/>
      <c r="AFF153" s="1"/>
      <c r="AFG153" s="1"/>
      <c r="AFH153" s="1"/>
      <c r="AFI153" s="1"/>
      <c r="AFJ153" s="1"/>
      <c r="AFK153" s="1"/>
      <c r="AFL153" s="1"/>
      <c r="AFM153" s="1"/>
      <c r="AFN153" s="1"/>
      <c r="AFO153" s="1"/>
      <c r="AFP153" s="1"/>
      <c r="AFQ153" s="1"/>
      <c r="AFR153" s="1"/>
      <c r="AFS153" s="1"/>
      <c r="AFT153" s="1"/>
      <c r="AFU153" s="1"/>
      <c r="AFV153" s="1"/>
      <c r="AFW153" s="1"/>
      <c r="AFX153" s="1"/>
      <c r="AFY153" s="1"/>
      <c r="AFZ153" s="1"/>
      <c r="AGA153" s="1"/>
      <c r="AGB153" s="1"/>
      <c r="AGC153" s="1"/>
      <c r="AGD153" s="1"/>
      <c r="AGE153" s="1"/>
      <c r="AGF153" s="1"/>
      <c r="AGG153" s="1"/>
      <c r="AGH153" s="1"/>
      <c r="AGI153" s="1"/>
      <c r="AGJ153" s="1"/>
      <c r="AGK153" s="1"/>
      <c r="AGL153" s="1"/>
      <c r="AGM153" s="1"/>
      <c r="AGN153" s="1"/>
      <c r="AGO153" s="1"/>
      <c r="AGP153" s="1"/>
      <c r="AGQ153" s="1"/>
      <c r="AGR153" s="1"/>
      <c r="AGS153" s="1"/>
      <c r="AGT153" s="1"/>
      <c r="AGU153" s="1"/>
      <c r="AGV153" s="1"/>
      <c r="AGW153" s="1"/>
      <c r="AGX153" s="1"/>
      <c r="AGY153" s="1"/>
      <c r="AGZ153" s="1"/>
      <c r="AHA153" s="1"/>
      <c r="AHB153" s="1"/>
      <c r="AHC153" s="1"/>
      <c r="AHD153" s="1"/>
      <c r="AHE153" s="1"/>
      <c r="AHF153" s="1"/>
      <c r="AHG153" s="1"/>
      <c r="AHH153" s="1"/>
      <c r="AHI153" s="1"/>
      <c r="AHJ153" s="1"/>
      <c r="AHK153" s="1"/>
      <c r="AHL153" s="1"/>
      <c r="AHM153" s="1"/>
      <c r="AHN153" s="1"/>
      <c r="AHO153" s="1"/>
      <c r="AHP153" s="1"/>
      <c r="AHQ153" s="1"/>
      <c r="AHR153" s="1"/>
      <c r="AHS153" s="1"/>
      <c r="AHT153" s="1"/>
      <c r="AHU153" s="1"/>
      <c r="AHV153" s="1"/>
      <c r="AHW153" s="1"/>
      <c r="AHX153" s="1"/>
      <c r="AHY153" s="1"/>
      <c r="AHZ153" s="1"/>
      <c r="AIA153" s="1"/>
      <c r="AIB153" s="1"/>
      <c r="AIC153" s="1"/>
      <c r="AID153" s="1"/>
      <c r="AIE153" s="1"/>
      <c r="AIF153" s="1"/>
      <c r="AIG153" s="1"/>
      <c r="AIH153" s="1"/>
      <c r="AII153" s="1"/>
      <c r="AIJ153" s="1"/>
      <c r="AIK153" s="1"/>
      <c r="AIL153" s="1"/>
      <c r="AIM153" s="1"/>
      <c r="AIN153" s="1"/>
      <c r="AIO153" s="1"/>
      <c r="AIP153" s="1"/>
      <c r="AIQ153" s="1"/>
      <c r="AIR153" s="1"/>
      <c r="AIS153" s="1"/>
      <c r="AIT153" s="1"/>
      <c r="AIU153" s="1"/>
      <c r="AIV153" s="1"/>
      <c r="AIW153" s="1"/>
      <c r="AIX153" s="1"/>
      <c r="AIY153" s="1"/>
      <c r="AIZ153" s="1"/>
      <c r="AJA153" s="1"/>
      <c r="AJB153" s="1"/>
      <c r="AJC153" s="1"/>
      <c r="AJD153" s="1"/>
      <c r="AJE153" s="1"/>
      <c r="AJF153" s="1"/>
      <c r="AJG153" s="1"/>
      <c r="AJH153" s="1"/>
      <c r="AJI153" s="1"/>
      <c r="AJJ153" s="1"/>
      <c r="AJK153" s="1"/>
      <c r="AJL153" s="1"/>
      <c r="AJM153" s="1"/>
      <c r="AJN153" s="1"/>
      <c r="AJO153" s="1"/>
      <c r="AJP153" s="1"/>
      <c r="AJQ153" s="1"/>
      <c r="AJR153" s="1"/>
      <c r="AJS153" s="1"/>
      <c r="AJT153" s="1"/>
      <c r="AJU153" s="1"/>
      <c r="AJV153" s="1"/>
      <c r="AJW153" s="1"/>
      <c r="AJX153" s="1"/>
      <c r="AJY153" s="1"/>
      <c r="AJZ153" s="1"/>
      <c r="AKA153" s="1"/>
      <c r="AKB153" s="1"/>
      <c r="AKC153" s="1"/>
      <c r="AKD153" s="1"/>
      <c r="AKE153" s="1"/>
      <c r="AKF153" s="1"/>
      <c r="AKG153" s="1"/>
      <c r="AKH153" s="1"/>
      <c r="AKI153" s="1"/>
      <c r="AKJ153" s="1"/>
      <c r="AKK153" s="1"/>
      <c r="AKL153" s="1"/>
      <c r="AKM153" s="1"/>
      <c r="AKN153" s="1"/>
      <c r="AKO153" s="1"/>
      <c r="AKP153" s="1"/>
      <c r="AKQ153" s="1"/>
      <c r="AKR153" s="1"/>
      <c r="AKS153" s="1"/>
      <c r="AKT153" s="1"/>
      <c r="AKU153" s="1"/>
      <c r="AKV153" s="1"/>
      <c r="AKW153" s="1"/>
      <c r="AKX153" s="1"/>
      <c r="AKY153" s="1"/>
      <c r="AKZ153" s="1"/>
      <c r="ALA153" s="1"/>
      <c r="ALB153" s="1"/>
      <c r="ALC153" s="1"/>
      <c r="ALD153" s="1"/>
      <c r="ALE153" s="1"/>
      <c r="ALF153" s="1"/>
      <c r="ALG153" s="1"/>
      <c r="ALH153" s="1"/>
      <c r="ALI153" s="1"/>
      <c r="ALJ153" s="1"/>
      <c r="ALK153" s="1"/>
      <c r="ALL153" s="1"/>
      <c r="ALM153" s="1"/>
      <c r="ALN153" s="1"/>
      <c r="ALO153" s="1"/>
      <c r="ALP153" s="1"/>
      <c r="ALQ153" s="1"/>
      <c r="ALR153" s="1"/>
      <c r="ALS153" s="1"/>
      <c r="ALT153" s="1"/>
      <c r="ALU153" s="1"/>
      <c r="ALV153" s="1"/>
      <c r="ALW153" s="1"/>
      <c r="ALX153" s="1"/>
      <c r="ALY153" s="1"/>
      <c r="ALZ153" s="1"/>
      <c r="AMA153" s="1"/>
      <c r="AMB153" s="1"/>
      <c r="AMC153" s="1"/>
      <c r="AMD153" s="1"/>
      <c r="AME153" s="1"/>
      <c r="AMF153" s="1"/>
      <c r="AMG153" s="1"/>
      <c r="AMH153" s="1"/>
      <c r="AMI153" s="1"/>
      <c r="AMJ153" s="1"/>
      <c r="AMK153" s="1"/>
      <c r="AML153" s="1"/>
      <c r="AMM153" s="1"/>
      <c r="AMN153" s="1"/>
    </row>
    <row r="154" spans="1:1029" x14ac:dyDescent="0.2">
      <c r="A154" s="3" t="str">
        <f t="shared" si="639"/>
        <v>opsd_todpa_2Z73</v>
      </c>
      <c r="B154" s="3" t="s">
        <v>922</v>
      </c>
      <c r="C154" s="3" t="s">
        <v>97</v>
      </c>
      <c r="D154" s="3" t="str">
        <f>IFERROR(MID(VLOOKUP($B154,Seqs!$A:$B,2,0),E154,1),"")</f>
        <v>D</v>
      </c>
      <c r="E154" s="3">
        <v>31</v>
      </c>
      <c r="F154" s="3" t="str">
        <f>IFERROR(MID(VLOOKUP($B154,Seqs!$A:$B,2,0),G154,1),"")</f>
        <v>T</v>
      </c>
      <c r="G154" s="3">
        <v>62</v>
      </c>
      <c r="H154" s="3" t="str">
        <f>IFERROR(MID(VLOOKUP($B154,Seqs!$A:$B,2,0),I154,1),"")</f>
        <v>K</v>
      </c>
      <c r="I154" s="23">
        <v>63</v>
      </c>
      <c r="J154" s="3" t="str">
        <f>IFERROR(MID(VLOOKUP($B154,Seqs!$A:$B,2,0),K154,1),"")</f>
        <v>Q</v>
      </c>
      <c r="K154" s="23">
        <v>66</v>
      </c>
      <c r="L154" s="3" t="str">
        <f>IFERROR(MID(VLOOKUP($B154,Seqs!$A:$B,2,0),M154,1),"")</f>
        <v>T</v>
      </c>
      <c r="M154" s="3">
        <v>67</v>
      </c>
      <c r="N154" s="3" t="str">
        <f>IFERROR(MID(VLOOKUP($B154,Seqs!$A:$B,2,0),O154,1),"")</f>
        <v>K</v>
      </c>
      <c r="O154" s="3">
        <v>99</v>
      </c>
      <c r="P154" s="3" t="str">
        <f>IFERROR(MID(VLOOKUP($B154,Seqs!$A:$B,2,0),Q154,1),"")</f>
        <v>K</v>
      </c>
      <c r="Q154" s="3">
        <v>100</v>
      </c>
      <c r="R154" s="3" t="str">
        <f>IFERROR(MID(VLOOKUP($B154,Seqs!$A:$B,2,0),S154,1),"")</f>
        <v>F</v>
      </c>
      <c r="S154" s="3">
        <v>103</v>
      </c>
      <c r="T154" s="3" t="str">
        <f>IFERROR(MID(VLOOKUP($B154,Seqs!$A:$B,2,0),U154,1),"")</f>
        <v>G</v>
      </c>
      <c r="U154" s="3">
        <v>104</v>
      </c>
      <c r="V154" s="3" t="str">
        <f>IFERROR(MID(VLOOKUP($B154,Seqs!$A:$B,2,0),W154,1),"")</f>
        <v>R</v>
      </c>
      <c r="W154" s="3">
        <v>139</v>
      </c>
      <c r="X154" s="3" t="str">
        <f>IFERROR(MID(VLOOKUP($B154,Seqs!$A:$B,2,0),Y154,1),"")</f>
        <v/>
      </c>
      <c r="Y154" s="3" t="s">
        <v>23</v>
      </c>
      <c r="Z154" s="3" t="str">
        <f>IFERROR(MID(VLOOKUP($B154,Seqs!$A:$B,2,0),AA154,1),"")</f>
        <v/>
      </c>
      <c r="AA154" s="3" t="s">
        <v>23</v>
      </c>
      <c r="AB154" s="3" t="str">
        <f>IFERROR(MID(VLOOKUP($B154,Seqs!$A:$B,2,0),AC154,1),"")</f>
        <v>S</v>
      </c>
      <c r="AC154" s="9">
        <v>148</v>
      </c>
      <c r="AD154" s="3" t="str">
        <f>IFERROR(MID(VLOOKUP($B154,Seqs!$A:$B,2,0),AE154,1),"")</f>
        <v>F</v>
      </c>
      <c r="AE154" s="3">
        <v>172</v>
      </c>
      <c r="AF154" s="3" t="str">
        <f>IFERROR(MID(VLOOKUP($B154,Seqs!$A:$B,2,0),AG154,1),"")</f>
        <v>C</v>
      </c>
      <c r="AG154" s="3">
        <v>186</v>
      </c>
      <c r="AH154" s="3" t="str">
        <f>IFERROR(MID(VLOOKUP($B154,Seqs!$A:$B,2,0),AI154,1),"")</f>
        <v>F</v>
      </c>
      <c r="AI154" s="3">
        <v>188</v>
      </c>
      <c r="AJ154" s="3" t="str">
        <f>IFERROR(MID(VLOOKUP($B154,Seqs!$A:$B,2,0),AK154,1),"")</f>
        <v>D</v>
      </c>
      <c r="AK154" s="3">
        <v>194</v>
      </c>
      <c r="AL154" s="3" t="str">
        <f>IFERROR(MID(VLOOKUP($B154,Seqs!$A:$B,2,0),AM154,1),"")</f>
        <v>K</v>
      </c>
      <c r="AM154" s="3">
        <v>239</v>
      </c>
      <c r="AN154" s="3" t="str">
        <f>IFERROR(MID(VLOOKUP($B154,Seqs!$A:$B,2,0),AO154,1),"")</f>
        <v>K</v>
      </c>
      <c r="AO154" s="3">
        <v>244</v>
      </c>
      <c r="AP154" s="3" t="str">
        <f>IFERROR(MID(VLOOKUP($B154,Seqs!$A:$B,2,0),AQ154,1),"")</f>
        <v>G</v>
      </c>
      <c r="AQ154" s="3">
        <v>287</v>
      </c>
      <c r="AR154" s="3" t="str">
        <f>IFERROR(MID(VLOOKUP($B154,Seqs!$A:$B,2,0),AS154,1),"")</f>
        <v>T</v>
      </c>
      <c r="AS154" s="3">
        <v>293</v>
      </c>
      <c r="AT154" s="3" t="str">
        <f>IFERROR(MID(VLOOKUP($B154,Seqs!$A:$B,2,0),AU154,1),"")</f>
        <v>S</v>
      </c>
      <c r="AU154" s="3">
        <v>318</v>
      </c>
      <c r="AV154" s="3" t="str">
        <f>IFERROR(MID(VLOOKUP($B154,Seqs!$A:$B,2,0),AW154,1),"")</f>
        <v>H</v>
      </c>
      <c r="AW154" s="3">
        <v>319</v>
      </c>
      <c r="AX154" s="3" t="str">
        <f>IFERROR(MID(VLOOKUP($B154,Seqs!$A:$B,2,0),AY154,1),"")</f>
        <v>F</v>
      </c>
      <c r="AY154" s="3">
        <v>330</v>
      </c>
      <c r="AZ154" s="79" t="str">
        <f>VLOOKUP(B154,Classification!A:D,2,0)</f>
        <v>A</v>
      </c>
      <c r="BA154" s="97" t="str">
        <f>VLOOKUP(B154,Classification!A:D,4,0)</f>
        <v>Opsins</v>
      </c>
      <c r="BB154" s="27" t="b">
        <f t="shared" si="640"/>
        <v>1</v>
      </c>
      <c r="BC154" s="23">
        <f t="shared" si="613"/>
        <v>266</v>
      </c>
      <c r="BD154" s="2" t="s">
        <v>1383</v>
      </c>
      <c r="BE154" s="3" t="s">
        <v>1381</v>
      </c>
      <c r="BF154" s="50" t="s">
        <v>1384</v>
      </c>
      <c r="BG154" s="50" t="s">
        <v>1384</v>
      </c>
      <c r="BH154" s="1"/>
      <c r="BI154" s="72" t="s">
        <v>1293</v>
      </c>
      <c r="BJ154" s="58" t="s">
        <v>1293</v>
      </c>
      <c r="BK154" s="58" t="s">
        <v>1293</v>
      </c>
      <c r="BL154" s="58" t="s">
        <v>1293</v>
      </c>
      <c r="BM154" s="58" t="s">
        <v>1293</v>
      </c>
      <c r="BN154" s="58" t="s">
        <v>1293</v>
      </c>
      <c r="BO154" s="58" t="s">
        <v>1293</v>
      </c>
      <c r="BP154" s="58" t="s">
        <v>1293</v>
      </c>
      <c r="BQ154" s="58" t="s">
        <v>1293</v>
      </c>
      <c r="BR154" s="58" t="s">
        <v>1293</v>
      </c>
      <c r="BS154" s="58" t="s">
        <v>1293</v>
      </c>
      <c r="BT154" s="58" t="s">
        <v>1293</v>
      </c>
      <c r="BU154" s="72">
        <f t="shared" si="614"/>
        <v>31</v>
      </c>
      <c r="BV154" s="73">
        <f t="shared" si="615"/>
        <v>63</v>
      </c>
      <c r="BW154" s="74">
        <f t="shared" si="616"/>
        <v>67</v>
      </c>
      <c r="BX154" s="73">
        <f t="shared" si="617"/>
        <v>100</v>
      </c>
      <c r="BY154" s="74">
        <f t="shared" si="618"/>
        <v>104</v>
      </c>
      <c r="BZ154" s="73" t="str">
        <f t="shared" si="619"/>
        <v>-</v>
      </c>
      <c r="CA154" s="74">
        <f t="shared" si="620"/>
        <v>148</v>
      </c>
      <c r="CB154" s="73">
        <f t="shared" si="621"/>
        <v>186</v>
      </c>
      <c r="CC154" s="74">
        <f t="shared" si="622"/>
        <v>194</v>
      </c>
      <c r="CD154" s="73">
        <f t="shared" si="623"/>
        <v>244</v>
      </c>
      <c r="CE154" s="74">
        <f t="shared" si="624"/>
        <v>293</v>
      </c>
      <c r="CF154" s="73">
        <f t="shared" si="625"/>
        <v>319</v>
      </c>
      <c r="CG154" s="72">
        <f t="shared" si="626"/>
        <v>62</v>
      </c>
      <c r="CH154" s="73">
        <f t="shared" si="627"/>
        <v>66</v>
      </c>
      <c r="CI154" s="74">
        <f t="shared" si="628"/>
        <v>99</v>
      </c>
      <c r="CJ154" s="74">
        <f t="shared" si="629"/>
        <v>103</v>
      </c>
      <c r="CK154" s="74">
        <f t="shared" si="630"/>
        <v>139</v>
      </c>
      <c r="CL154" s="74" t="str">
        <f t="shared" si="631"/>
        <v>-</v>
      </c>
      <c r="CM154" s="74">
        <f t="shared" si="632"/>
        <v>172</v>
      </c>
      <c r="CN154" s="74">
        <f t="shared" si="633"/>
        <v>188</v>
      </c>
      <c r="CO154" s="74">
        <f t="shared" si="634"/>
        <v>239</v>
      </c>
      <c r="CP154" s="74">
        <f t="shared" si="635"/>
        <v>287</v>
      </c>
      <c r="CQ154" s="74">
        <f t="shared" si="636"/>
        <v>318</v>
      </c>
      <c r="CR154" s="74">
        <f t="shared" si="637"/>
        <v>330</v>
      </c>
      <c r="CS154" s="23">
        <f t="shared" si="638"/>
        <v>1</v>
      </c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1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1"/>
      <c r="KH154" s="1"/>
      <c r="KI154" s="1"/>
      <c r="KJ154" s="1"/>
      <c r="KK154" s="1"/>
      <c r="KL154" s="1"/>
      <c r="KM154" s="1"/>
      <c r="KN154" s="1"/>
      <c r="KO154" s="1"/>
      <c r="KP154" s="1"/>
      <c r="KQ154" s="1"/>
      <c r="KR154" s="1"/>
      <c r="KS154" s="1"/>
      <c r="KT154" s="1"/>
      <c r="KU154" s="1"/>
      <c r="KV154" s="1"/>
      <c r="KW154" s="1"/>
      <c r="KX154" s="1"/>
      <c r="KY154" s="1"/>
      <c r="KZ154" s="1"/>
      <c r="LA154" s="1"/>
      <c r="LB154" s="1"/>
      <c r="LC154" s="1"/>
      <c r="LD154" s="1"/>
      <c r="LE154" s="1"/>
      <c r="LF154" s="1"/>
      <c r="LG154" s="1"/>
      <c r="LH154" s="1"/>
      <c r="LI154" s="1"/>
      <c r="LJ154" s="1"/>
      <c r="LK154" s="1"/>
      <c r="LL154" s="1"/>
      <c r="LM154" s="1"/>
      <c r="LN154" s="1"/>
      <c r="LO154" s="1"/>
      <c r="LP154" s="1"/>
      <c r="LQ154" s="1"/>
      <c r="LR154" s="1"/>
      <c r="LS154" s="1"/>
      <c r="LT154" s="1"/>
      <c r="LU154" s="1"/>
      <c r="LV154" s="1"/>
      <c r="LW154" s="1"/>
      <c r="LX154" s="1"/>
      <c r="LY154" s="1"/>
      <c r="LZ154" s="1"/>
      <c r="MA154" s="1"/>
      <c r="MB154" s="1"/>
      <c r="MC154" s="1"/>
      <c r="MD154" s="1"/>
      <c r="ME154" s="1"/>
      <c r="MF154" s="1"/>
      <c r="MG154" s="1"/>
      <c r="MH154" s="1"/>
      <c r="MI154" s="1"/>
      <c r="MJ154" s="1"/>
      <c r="MK154" s="1"/>
      <c r="ML154" s="1"/>
      <c r="MM154" s="1"/>
      <c r="MN154" s="1"/>
      <c r="MO154" s="1"/>
      <c r="MP154" s="1"/>
      <c r="MQ154" s="1"/>
      <c r="MR154" s="1"/>
      <c r="MS154" s="1"/>
      <c r="MT154" s="1"/>
      <c r="MU154" s="1"/>
      <c r="MV154" s="1"/>
      <c r="MW154" s="1"/>
      <c r="MX154" s="1"/>
      <c r="MY154" s="1"/>
      <c r="MZ154" s="1"/>
      <c r="NA154" s="1"/>
      <c r="NB154" s="1"/>
      <c r="NC154" s="1"/>
      <c r="ND154" s="1"/>
      <c r="NE154" s="1"/>
      <c r="NF154" s="1"/>
      <c r="NG154" s="1"/>
      <c r="NH154" s="1"/>
      <c r="NI154" s="1"/>
      <c r="NJ154" s="1"/>
      <c r="NK154" s="1"/>
      <c r="NL154" s="1"/>
      <c r="NM154" s="1"/>
      <c r="NN154" s="1"/>
      <c r="NO154" s="1"/>
      <c r="NP154" s="1"/>
      <c r="NQ154" s="1"/>
      <c r="NR154" s="1"/>
      <c r="NS154" s="1"/>
      <c r="NT154" s="1"/>
      <c r="NU154" s="1"/>
      <c r="NV154" s="1"/>
      <c r="NW154" s="1"/>
      <c r="NX154" s="1"/>
      <c r="NY154" s="1"/>
      <c r="NZ154" s="1"/>
      <c r="OA154" s="1"/>
      <c r="OB154" s="1"/>
      <c r="OC154" s="1"/>
      <c r="OD154" s="1"/>
      <c r="OE154" s="1"/>
      <c r="OF154" s="1"/>
      <c r="OG154" s="1"/>
      <c r="OH154" s="1"/>
      <c r="OI154" s="1"/>
      <c r="OJ154" s="1"/>
      <c r="OK154" s="1"/>
      <c r="OL154" s="1"/>
      <c r="OM154" s="1"/>
      <c r="ON154" s="1"/>
      <c r="OO154" s="1"/>
      <c r="OP154" s="1"/>
      <c r="OQ154" s="1"/>
      <c r="OR154" s="1"/>
      <c r="OS154" s="1"/>
      <c r="OT154" s="1"/>
      <c r="OU154" s="1"/>
      <c r="OV154" s="1"/>
      <c r="OW154" s="1"/>
      <c r="OX154" s="1"/>
      <c r="OY154" s="1"/>
      <c r="OZ154" s="1"/>
      <c r="PA154" s="1"/>
      <c r="PB154" s="1"/>
      <c r="PC154" s="1"/>
      <c r="PD154" s="1"/>
      <c r="PE154" s="1"/>
      <c r="PF154" s="1"/>
      <c r="PG154" s="1"/>
      <c r="PH154" s="1"/>
      <c r="PI154" s="1"/>
      <c r="PJ154" s="1"/>
      <c r="PK154" s="1"/>
      <c r="PL154" s="1"/>
      <c r="PM154" s="1"/>
      <c r="PN154" s="1"/>
      <c r="PO154" s="1"/>
      <c r="PP154" s="1"/>
      <c r="PQ154" s="1"/>
      <c r="PR154" s="1"/>
      <c r="PS154" s="1"/>
      <c r="PT154" s="1"/>
      <c r="PU154" s="1"/>
      <c r="PV154" s="1"/>
      <c r="PW154" s="1"/>
      <c r="PX154" s="1"/>
      <c r="PY154" s="1"/>
      <c r="PZ154" s="1"/>
      <c r="QA154" s="1"/>
      <c r="QB154" s="1"/>
      <c r="QC154" s="1"/>
      <c r="QD154" s="1"/>
      <c r="QE154" s="1"/>
      <c r="QF154" s="1"/>
      <c r="QG154" s="1"/>
      <c r="QH154" s="1"/>
      <c r="QI154" s="1"/>
      <c r="QJ154" s="1"/>
      <c r="QK154" s="1"/>
      <c r="QL154" s="1"/>
      <c r="QM154" s="1"/>
      <c r="QN154" s="1"/>
      <c r="QO154" s="1"/>
      <c r="QP154" s="1"/>
      <c r="QQ154" s="1"/>
      <c r="QR154" s="1"/>
      <c r="QS154" s="1"/>
      <c r="QT154" s="1"/>
      <c r="QU154" s="1"/>
      <c r="QV154" s="1"/>
      <c r="QW154" s="1"/>
      <c r="QX154" s="1"/>
      <c r="QY154" s="1"/>
      <c r="QZ154" s="1"/>
      <c r="RA154" s="1"/>
      <c r="RB154" s="1"/>
      <c r="RC154" s="1"/>
      <c r="RD154" s="1"/>
      <c r="RE154" s="1"/>
      <c r="RF154" s="1"/>
      <c r="RG154" s="1"/>
      <c r="RH154" s="1"/>
      <c r="RI154" s="1"/>
      <c r="RJ154" s="1"/>
      <c r="RK154" s="1"/>
      <c r="RL154" s="1"/>
      <c r="RM154" s="1"/>
      <c r="RN154" s="1"/>
      <c r="RO154" s="1"/>
      <c r="RP154" s="1"/>
      <c r="RQ154" s="1"/>
      <c r="RR154" s="1"/>
      <c r="RS154" s="1"/>
      <c r="RT154" s="1"/>
      <c r="RU154" s="1"/>
      <c r="RV154" s="1"/>
      <c r="RW154" s="1"/>
      <c r="RX154" s="1"/>
      <c r="RY154" s="1"/>
      <c r="RZ154" s="1"/>
      <c r="SA154" s="1"/>
      <c r="SB154" s="1"/>
      <c r="SC154" s="1"/>
      <c r="SD154" s="1"/>
      <c r="SE154" s="1"/>
      <c r="SF154" s="1"/>
      <c r="SG154" s="1"/>
      <c r="SH154" s="1"/>
      <c r="SI154" s="1"/>
      <c r="SJ154" s="1"/>
      <c r="SK154" s="1"/>
      <c r="SL154" s="1"/>
      <c r="SM154" s="1"/>
      <c r="SN154" s="1"/>
      <c r="SO154" s="1"/>
      <c r="SP154" s="1"/>
      <c r="SQ154" s="1"/>
      <c r="SR154" s="1"/>
      <c r="SS154" s="1"/>
      <c r="ST154" s="1"/>
      <c r="SU154" s="1"/>
      <c r="SV154" s="1"/>
      <c r="SW154" s="1"/>
      <c r="SX154" s="1"/>
      <c r="SY154" s="1"/>
      <c r="SZ154" s="1"/>
      <c r="TA154" s="1"/>
      <c r="TB154" s="1"/>
      <c r="TC154" s="1"/>
      <c r="TD154" s="1"/>
      <c r="TE154" s="1"/>
      <c r="TF154" s="1"/>
      <c r="TG154" s="1"/>
      <c r="TH154" s="1"/>
      <c r="TI154" s="1"/>
      <c r="TJ154" s="1"/>
      <c r="TK154" s="1"/>
      <c r="TL154" s="1"/>
      <c r="TM154" s="1"/>
      <c r="TN154" s="1"/>
      <c r="TO154" s="1"/>
      <c r="TP154" s="1"/>
      <c r="TQ154" s="1"/>
      <c r="TR154" s="1"/>
      <c r="TS154" s="1"/>
      <c r="TT154" s="1"/>
      <c r="TU154" s="1"/>
      <c r="TV154" s="1"/>
      <c r="TW154" s="1"/>
      <c r="TX154" s="1"/>
      <c r="TY154" s="1"/>
      <c r="TZ154" s="1"/>
      <c r="UA154" s="1"/>
      <c r="UB154" s="1"/>
      <c r="UC154" s="1"/>
      <c r="UD154" s="1"/>
      <c r="UE154" s="1"/>
      <c r="UF154" s="1"/>
      <c r="UG154" s="1"/>
      <c r="UH154" s="1"/>
      <c r="UI154" s="1"/>
      <c r="UJ154" s="1"/>
      <c r="UK154" s="1"/>
      <c r="UL154" s="1"/>
      <c r="UM154" s="1"/>
      <c r="UN154" s="1"/>
      <c r="UO154" s="1"/>
      <c r="UP154" s="1"/>
      <c r="UQ154" s="1"/>
      <c r="UR154" s="1"/>
      <c r="US154" s="1"/>
      <c r="UT154" s="1"/>
      <c r="UU154" s="1"/>
      <c r="UV154" s="1"/>
      <c r="UW154" s="1"/>
      <c r="UX154" s="1"/>
      <c r="UY154" s="1"/>
      <c r="UZ154" s="1"/>
      <c r="VA154" s="1"/>
      <c r="VB154" s="1"/>
      <c r="VC154" s="1"/>
      <c r="VD154" s="1"/>
      <c r="VE154" s="1"/>
      <c r="VF154" s="1"/>
      <c r="VG154" s="1"/>
      <c r="VH154" s="1"/>
      <c r="VI154" s="1"/>
      <c r="VJ154" s="1"/>
      <c r="VK154" s="1"/>
      <c r="VL154" s="1"/>
      <c r="VM154" s="1"/>
      <c r="VN154" s="1"/>
      <c r="VO154" s="1"/>
      <c r="VP154" s="1"/>
      <c r="VQ154" s="1"/>
      <c r="VR154" s="1"/>
      <c r="VS154" s="1"/>
      <c r="VT154" s="1"/>
      <c r="VU154" s="1"/>
      <c r="VV154" s="1"/>
      <c r="VW154" s="1"/>
      <c r="VX154" s="1"/>
      <c r="VY154" s="1"/>
      <c r="VZ154" s="1"/>
      <c r="WA154" s="1"/>
      <c r="WB154" s="1"/>
      <c r="WC154" s="1"/>
      <c r="WD154" s="1"/>
      <c r="WE154" s="1"/>
      <c r="WF154" s="1"/>
      <c r="WG154" s="1"/>
      <c r="WH154" s="1"/>
      <c r="WI154" s="1"/>
      <c r="WJ154" s="1"/>
      <c r="WK154" s="1"/>
      <c r="WL154" s="1"/>
      <c r="WM154" s="1"/>
      <c r="WN154" s="1"/>
      <c r="WO154" s="1"/>
      <c r="WP154" s="1"/>
      <c r="WQ154" s="1"/>
      <c r="WR154" s="1"/>
      <c r="WS154" s="1"/>
      <c r="WT154" s="1"/>
      <c r="WU154" s="1"/>
      <c r="WV154" s="1"/>
      <c r="WW154" s="1"/>
      <c r="WX154" s="1"/>
      <c r="WY154" s="1"/>
      <c r="WZ154" s="1"/>
      <c r="XA154" s="1"/>
      <c r="XB154" s="1"/>
      <c r="XC154" s="1"/>
      <c r="XD154" s="1"/>
      <c r="XE154" s="1"/>
      <c r="XF154" s="1"/>
      <c r="XG154" s="1"/>
      <c r="XH154" s="1"/>
      <c r="XI154" s="1"/>
      <c r="XJ154" s="1"/>
      <c r="XK154" s="1"/>
      <c r="XL154" s="1"/>
      <c r="XM154" s="1"/>
      <c r="XN154" s="1"/>
      <c r="XO154" s="1"/>
      <c r="XP154" s="1"/>
      <c r="XQ154" s="1"/>
      <c r="XR154" s="1"/>
      <c r="XS154" s="1"/>
      <c r="XT154" s="1"/>
      <c r="XU154" s="1"/>
      <c r="XV154" s="1"/>
      <c r="XW154" s="1"/>
      <c r="XX154" s="1"/>
      <c r="XY154" s="1"/>
      <c r="XZ154" s="1"/>
      <c r="YA154" s="1"/>
      <c r="YB154" s="1"/>
      <c r="YC154" s="1"/>
      <c r="YD154" s="1"/>
      <c r="YE154" s="1"/>
      <c r="YF154" s="1"/>
      <c r="YG154" s="1"/>
      <c r="YH154" s="1"/>
      <c r="YI154" s="1"/>
      <c r="YJ154" s="1"/>
      <c r="YK154" s="1"/>
      <c r="YL154" s="1"/>
      <c r="YM154" s="1"/>
      <c r="YN154" s="1"/>
      <c r="YO154" s="1"/>
      <c r="YP154" s="1"/>
      <c r="YQ154" s="1"/>
      <c r="YR154" s="1"/>
      <c r="YS154" s="1"/>
      <c r="YT154" s="1"/>
      <c r="YU154" s="1"/>
      <c r="YV154" s="1"/>
      <c r="YW154" s="1"/>
      <c r="YX154" s="1"/>
      <c r="YY154" s="1"/>
      <c r="YZ154" s="1"/>
      <c r="ZA154" s="1"/>
      <c r="ZB154" s="1"/>
      <c r="ZC154" s="1"/>
      <c r="ZD154" s="1"/>
      <c r="ZE154" s="1"/>
      <c r="ZF154" s="1"/>
      <c r="ZG154" s="1"/>
      <c r="ZH154" s="1"/>
      <c r="ZI154" s="1"/>
      <c r="ZJ154" s="1"/>
      <c r="ZK154" s="1"/>
      <c r="ZL154" s="1"/>
      <c r="ZM154" s="1"/>
      <c r="ZN154" s="1"/>
      <c r="ZO154" s="1"/>
      <c r="ZP154" s="1"/>
      <c r="ZQ154" s="1"/>
      <c r="ZR154" s="1"/>
      <c r="ZS154" s="1"/>
      <c r="ZT154" s="1"/>
      <c r="ZU154" s="1"/>
      <c r="ZV154" s="1"/>
      <c r="ZW154" s="1"/>
      <c r="ZX154" s="1"/>
      <c r="ZY154" s="1"/>
      <c r="ZZ154" s="1"/>
      <c r="AAA154" s="1"/>
      <c r="AAB154" s="1"/>
      <c r="AAC154" s="1"/>
      <c r="AAD154" s="1"/>
      <c r="AAE154" s="1"/>
      <c r="AAF154" s="1"/>
      <c r="AAG154" s="1"/>
      <c r="AAH154" s="1"/>
      <c r="AAI154" s="1"/>
      <c r="AAJ154" s="1"/>
      <c r="AAK154" s="1"/>
      <c r="AAL154" s="1"/>
      <c r="AAM154" s="1"/>
      <c r="AAN154" s="1"/>
      <c r="AAO154" s="1"/>
      <c r="AAP154" s="1"/>
      <c r="AAQ154" s="1"/>
      <c r="AAR154" s="1"/>
      <c r="AAS154" s="1"/>
      <c r="AAT154" s="1"/>
      <c r="AAU154" s="1"/>
      <c r="AAV154" s="1"/>
      <c r="AAW154" s="1"/>
      <c r="AAX154" s="1"/>
      <c r="AAY154" s="1"/>
      <c r="AAZ154" s="1"/>
      <c r="ABA154" s="1"/>
      <c r="ABB154" s="1"/>
      <c r="ABC154" s="1"/>
      <c r="ABD154" s="1"/>
      <c r="ABE154" s="1"/>
      <c r="ABF154" s="1"/>
      <c r="ABG154" s="1"/>
      <c r="ABH154" s="1"/>
      <c r="ABI154" s="1"/>
      <c r="ABJ154" s="1"/>
      <c r="ABK154" s="1"/>
      <c r="ABL154" s="1"/>
      <c r="ABM154" s="1"/>
      <c r="ABN154" s="1"/>
      <c r="ABO154" s="1"/>
      <c r="ABP154" s="1"/>
      <c r="ABQ154" s="1"/>
      <c r="ABR154" s="1"/>
      <c r="ABS154" s="1"/>
      <c r="ABT154" s="1"/>
      <c r="ABU154" s="1"/>
      <c r="ABV154" s="1"/>
      <c r="ABW154" s="1"/>
      <c r="ABX154" s="1"/>
      <c r="ABY154" s="1"/>
      <c r="ABZ154" s="1"/>
      <c r="ACA154" s="1"/>
      <c r="ACB154" s="1"/>
      <c r="ACC154" s="1"/>
      <c r="ACD154" s="1"/>
      <c r="ACE154" s="1"/>
      <c r="ACF154" s="1"/>
      <c r="ACG154" s="1"/>
      <c r="ACH154" s="1"/>
      <c r="ACI154" s="1"/>
      <c r="ACJ154" s="1"/>
      <c r="ACK154" s="1"/>
      <c r="ACL154" s="1"/>
      <c r="ACM154" s="1"/>
      <c r="ACN154" s="1"/>
      <c r="ACO154" s="1"/>
      <c r="ACP154" s="1"/>
      <c r="ACQ154" s="1"/>
      <c r="ACR154" s="1"/>
      <c r="ACS154" s="1"/>
      <c r="ACT154" s="1"/>
      <c r="ACU154" s="1"/>
      <c r="ACV154" s="1"/>
      <c r="ACW154" s="1"/>
      <c r="ACX154" s="1"/>
      <c r="ACY154" s="1"/>
      <c r="ACZ154" s="1"/>
      <c r="ADA154" s="1"/>
      <c r="ADB154" s="1"/>
      <c r="ADC154" s="1"/>
      <c r="ADD154" s="1"/>
      <c r="ADE154" s="1"/>
      <c r="ADF154" s="1"/>
      <c r="ADG154" s="1"/>
      <c r="ADH154" s="1"/>
      <c r="ADI154" s="1"/>
      <c r="ADJ154" s="1"/>
      <c r="ADK154" s="1"/>
      <c r="ADL154" s="1"/>
      <c r="ADM154" s="1"/>
      <c r="ADN154" s="1"/>
      <c r="ADO154" s="1"/>
      <c r="ADP154" s="1"/>
      <c r="ADQ154" s="1"/>
      <c r="ADR154" s="1"/>
      <c r="ADS154" s="1"/>
      <c r="ADT154" s="1"/>
      <c r="ADU154" s="1"/>
      <c r="ADV154" s="1"/>
      <c r="ADW154" s="1"/>
      <c r="ADX154" s="1"/>
      <c r="ADY154" s="1"/>
      <c r="ADZ154" s="1"/>
      <c r="AEA154" s="1"/>
      <c r="AEB154" s="1"/>
      <c r="AEC154" s="1"/>
      <c r="AED154" s="1"/>
      <c r="AEE154" s="1"/>
      <c r="AEF154" s="1"/>
      <c r="AEG154" s="1"/>
      <c r="AEH154" s="1"/>
      <c r="AEI154" s="1"/>
      <c r="AEJ154" s="1"/>
      <c r="AEK154" s="1"/>
      <c r="AEL154" s="1"/>
      <c r="AEM154" s="1"/>
      <c r="AEN154" s="1"/>
      <c r="AEO154" s="1"/>
      <c r="AEP154" s="1"/>
      <c r="AEQ154" s="1"/>
      <c r="AER154" s="1"/>
      <c r="AES154" s="1"/>
      <c r="AET154" s="1"/>
      <c r="AEU154" s="1"/>
      <c r="AEV154" s="1"/>
      <c r="AEW154" s="1"/>
      <c r="AEX154" s="1"/>
      <c r="AEY154" s="1"/>
      <c r="AEZ154" s="1"/>
      <c r="AFA154" s="1"/>
      <c r="AFB154" s="1"/>
      <c r="AFC154" s="1"/>
      <c r="AFD154" s="1"/>
      <c r="AFE154" s="1"/>
      <c r="AFF154" s="1"/>
      <c r="AFG154" s="1"/>
      <c r="AFH154" s="1"/>
      <c r="AFI154" s="1"/>
      <c r="AFJ154" s="1"/>
      <c r="AFK154" s="1"/>
      <c r="AFL154" s="1"/>
      <c r="AFM154" s="1"/>
      <c r="AFN154" s="1"/>
      <c r="AFO154" s="1"/>
      <c r="AFP154" s="1"/>
      <c r="AFQ154" s="1"/>
      <c r="AFR154" s="1"/>
      <c r="AFS154" s="1"/>
      <c r="AFT154" s="1"/>
      <c r="AFU154" s="1"/>
      <c r="AFV154" s="1"/>
      <c r="AFW154" s="1"/>
      <c r="AFX154" s="1"/>
      <c r="AFY154" s="1"/>
      <c r="AFZ154" s="1"/>
      <c r="AGA154" s="1"/>
      <c r="AGB154" s="1"/>
      <c r="AGC154" s="1"/>
      <c r="AGD154" s="1"/>
      <c r="AGE154" s="1"/>
      <c r="AGF154" s="1"/>
      <c r="AGG154" s="1"/>
      <c r="AGH154" s="1"/>
      <c r="AGI154" s="1"/>
      <c r="AGJ154" s="1"/>
      <c r="AGK154" s="1"/>
      <c r="AGL154" s="1"/>
      <c r="AGM154" s="1"/>
      <c r="AGN154" s="1"/>
      <c r="AGO154" s="1"/>
      <c r="AGP154" s="1"/>
      <c r="AGQ154" s="1"/>
      <c r="AGR154" s="1"/>
      <c r="AGS154" s="1"/>
      <c r="AGT154" s="1"/>
      <c r="AGU154" s="1"/>
      <c r="AGV154" s="1"/>
      <c r="AGW154" s="1"/>
      <c r="AGX154" s="1"/>
      <c r="AGY154" s="1"/>
      <c r="AGZ154" s="1"/>
      <c r="AHA154" s="1"/>
      <c r="AHB154" s="1"/>
      <c r="AHC154" s="1"/>
      <c r="AHD154" s="1"/>
      <c r="AHE154" s="1"/>
      <c r="AHF154" s="1"/>
      <c r="AHG154" s="1"/>
      <c r="AHH154" s="1"/>
      <c r="AHI154" s="1"/>
      <c r="AHJ154" s="1"/>
      <c r="AHK154" s="1"/>
      <c r="AHL154" s="1"/>
      <c r="AHM154" s="1"/>
      <c r="AHN154" s="1"/>
      <c r="AHO154" s="1"/>
      <c r="AHP154" s="1"/>
      <c r="AHQ154" s="1"/>
      <c r="AHR154" s="1"/>
      <c r="AHS154" s="1"/>
      <c r="AHT154" s="1"/>
      <c r="AHU154" s="1"/>
      <c r="AHV154" s="1"/>
      <c r="AHW154" s="1"/>
      <c r="AHX154" s="1"/>
      <c r="AHY154" s="1"/>
      <c r="AHZ154" s="1"/>
      <c r="AIA154" s="1"/>
      <c r="AIB154" s="1"/>
      <c r="AIC154" s="1"/>
      <c r="AID154" s="1"/>
      <c r="AIE154" s="1"/>
      <c r="AIF154" s="1"/>
      <c r="AIG154" s="1"/>
      <c r="AIH154" s="1"/>
      <c r="AII154" s="1"/>
      <c r="AIJ154" s="1"/>
      <c r="AIK154" s="1"/>
      <c r="AIL154" s="1"/>
      <c r="AIM154" s="1"/>
      <c r="AIN154" s="1"/>
      <c r="AIO154" s="1"/>
      <c r="AIP154" s="1"/>
      <c r="AIQ154" s="1"/>
      <c r="AIR154" s="1"/>
      <c r="AIS154" s="1"/>
      <c r="AIT154" s="1"/>
      <c r="AIU154" s="1"/>
      <c r="AIV154" s="1"/>
      <c r="AIW154" s="1"/>
      <c r="AIX154" s="1"/>
      <c r="AIY154" s="1"/>
      <c r="AIZ154" s="1"/>
      <c r="AJA154" s="1"/>
      <c r="AJB154" s="1"/>
      <c r="AJC154" s="1"/>
      <c r="AJD154" s="1"/>
      <c r="AJE154" s="1"/>
      <c r="AJF154" s="1"/>
      <c r="AJG154" s="1"/>
      <c r="AJH154" s="1"/>
      <c r="AJI154" s="1"/>
      <c r="AJJ154" s="1"/>
      <c r="AJK154" s="1"/>
      <c r="AJL154" s="1"/>
      <c r="AJM154" s="1"/>
      <c r="AJN154" s="1"/>
      <c r="AJO154" s="1"/>
      <c r="AJP154" s="1"/>
      <c r="AJQ154" s="1"/>
      <c r="AJR154" s="1"/>
      <c r="AJS154" s="1"/>
      <c r="AJT154" s="1"/>
      <c r="AJU154" s="1"/>
      <c r="AJV154" s="1"/>
      <c r="AJW154" s="1"/>
      <c r="AJX154" s="1"/>
      <c r="AJY154" s="1"/>
      <c r="AJZ154" s="1"/>
      <c r="AKA154" s="1"/>
      <c r="AKB154" s="1"/>
      <c r="AKC154" s="1"/>
      <c r="AKD154" s="1"/>
      <c r="AKE154" s="1"/>
      <c r="AKF154" s="1"/>
      <c r="AKG154" s="1"/>
      <c r="AKH154" s="1"/>
      <c r="AKI154" s="1"/>
      <c r="AKJ154" s="1"/>
      <c r="AKK154" s="1"/>
      <c r="AKL154" s="1"/>
      <c r="AKM154" s="1"/>
      <c r="AKN154" s="1"/>
      <c r="AKO154" s="1"/>
      <c r="AKP154" s="1"/>
      <c r="AKQ154" s="1"/>
      <c r="AKR154" s="1"/>
      <c r="AKS154" s="1"/>
      <c r="AKT154" s="1"/>
      <c r="AKU154" s="1"/>
      <c r="AKV154" s="1"/>
      <c r="AKW154" s="1"/>
      <c r="AKX154" s="1"/>
      <c r="AKY154" s="1"/>
      <c r="AKZ154" s="1"/>
      <c r="ALA154" s="1"/>
      <c r="ALB154" s="1"/>
      <c r="ALC154" s="1"/>
      <c r="ALD154" s="1"/>
      <c r="ALE154" s="1"/>
      <c r="ALF154" s="1"/>
      <c r="ALG154" s="1"/>
      <c r="ALH154" s="1"/>
      <c r="ALI154" s="1"/>
      <c r="ALJ154" s="1"/>
      <c r="ALK154" s="1"/>
      <c r="ALL154" s="1"/>
      <c r="ALM154" s="1"/>
      <c r="ALN154" s="1"/>
      <c r="ALO154" s="1"/>
      <c r="ALP154" s="1"/>
      <c r="ALQ154" s="1"/>
      <c r="ALR154" s="1"/>
      <c r="ALS154" s="1"/>
      <c r="ALT154" s="1"/>
      <c r="ALU154" s="1"/>
      <c r="ALV154" s="1"/>
      <c r="ALW154" s="1"/>
      <c r="ALX154" s="1"/>
      <c r="ALY154" s="1"/>
      <c r="ALZ154" s="1"/>
      <c r="AMA154" s="1"/>
      <c r="AMB154" s="1"/>
      <c r="AMC154" s="1"/>
      <c r="AMD154" s="1"/>
      <c r="AME154" s="1"/>
      <c r="AMF154" s="1"/>
      <c r="AMG154" s="1"/>
      <c r="AMH154" s="1"/>
      <c r="AMI154" s="1"/>
      <c r="AMJ154" s="1"/>
      <c r="AMK154" s="1"/>
      <c r="AML154" s="1"/>
      <c r="AMM154" s="1"/>
      <c r="AMN154" s="1"/>
      <c r="AMO154" s="2"/>
    </row>
    <row r="155" spans="1:1029" x14ac:dyDescent="0.2">
      <c r="A155" s="3" t="str">
        <f t="shared" si="639"/>
        <v>ox1r_human__wt</v>
      </c>
      <c r="B155" s="3" t="s">
        <v>1175</v>
      </c>
      <c r="C155" s="3" t="s">
        <v>100</v>
      </c>
      <c r="D155" s="3" t="str">
        <f>IFERROR(MID(VLOOKUP($B155,Seqs!$A:$B,2,0),E155,1),"")</f>
        <v>E</v>
      </c>
      <c r="E155" s="3">
        <v>46</v>
      </c>
      <c r="F155" s="3" t="str">
        <f>IFERROR(MID(VLOOKUP($B155,Seqs!$A:$B,2,0),G155,1),"")</f>
        <v>N</v>
      </c>
      <c r="G155" s="3">
        <v>74</v>
      </c>
      <c r="H155" s="3" t="str">
        <f>IFERROR(MID(VLOOKUP($B155,Seqs!$A:$B,2,0),I155,1),"")</f>
        <v>H</v>
      </c>
      <c r="I155" s="23">
        <v>75</v>
      </c>
      <c r="J155" s="3" t="str">
        <f>IFERROR(MID(VLOOKUP($B155,Seqs!$A:$B,2,0),K155,1),"")</f>
        <v>R</v>
      </c>
      <c r="K155" s="23">
        <v>78</v>
      </c>
      <c r="L155" s="3" t="str">
        <f>IFERROR(MID(VLOOKUP($B155,Seqs!$A:$B,2,0),M155,1),"")</f>
        <v>T</v>
      </c>
      <c r="M155" s="3">
        <v>79</v>
      </c>
      <c r="N155" s="3" t="str">
        <f>IFERROR(MID(VLOOKUP($B155,Seqs!$A:$B,2,0),O155,1),"")</f>
        <v>T</v>
      </c>
      <c r="O155" s="3">
        <v>109</v>
      </c>
      <c r="P155" s="3" t="str">
        <f>IFERROR(MID(VLOOKUP($B155,Seqs!$A:$B,2,0),Q155,1),"")</f>
        <v>S</v>
      </c>
      <c r="Q155" s="3">
        <v>111</v>
      </c>
      <c r="R155" s="3" t="str">
        <f>IFERROR(MID(VLOOKUP($B155,Seqs!$A:$B,2,0),S155,1),"")</f>
        <v>F</v>
      </c>
      <c r="S155" s="3">
        <v>114</v>
      </c>
      <c r="T155" s="3" t="str">
        <f>IFERROR(MID(VLOOKUP($B155,Seqs!$A:$B,2,0),U155,1),"")</f>
        <v>G</v>
      </c>
      <c r="U155" s="3">
        <v>115</v>
      </c>
      <c r="V155" s="3" t="str">
        <f>IFERROR(MID(VLOOKUP($B155,Seqs!$A:$B,2,0),W155,1),"")</f>
        <v>H</v>
      </c>
      <c r="W155" s="3">
        <v>150</v>
      </c>
      <c r="X155" s="3" t="str">
        <f>IFERROR(MID(VLOOKUP($B155,Seqs!$A:$B,2,0),Y155,1),"")</f>
        <v>P</v>
      </c>
      <c r="Y155" s="3">
        <v>151</v>
      </c>
      <c r="Z155" s="3" t="str">
        <f>IFERROR(MID(VLOOKUP($B155,Seqs!$A:$B,2,0),AA155,1),"")</f>
        <v>F</v>
      </c>
      <c r="AA155" s="75">
        <v>154</v>
      </c>
      <c r="AB155" s="3" t="str">
        <f>IFERROR(MID(VLOOKUP($B155,Seqs!$A:$B,2,0),AC155,1),"")</f>
        <v>T</v>
      </c>
      <c r="AC155" s="9">
        <v>157</v>
      </c>
      <c r="AD155" s="3" t="str">
        <f>IFERROR(MID(VLOOKUP($B155,Seqs!$A:$B,2,0),AE155,1),"")</f>
        <v>M</v>
      </c>
      <c r="AE155" s="3">
        <v>183</v>
      </c>
      <c r="AF155" s="3" t="str">
        <f>IFERROR(MID(VLOOKUP($B155,Seqs!$A:$B,2,0),AG155,1),"")</f>
        <v>C</v>
      </c>
      <c r="AG155" s="3">
        <v>202</v>
      </c>
      <c r="AH155" s="3" t="str">
        <f>IFERROR(MID(VLOOKUP($B155,Seqs!$A:$B,2,0),AI155,1),"")</f>
        <v>E</v>
      </c>
      <c r="AI155" s="3">
        <v>204</v>
      </c>
      <c r="AJ155" s="3" t="str">
        <f>IFERROR(MID(VLOOKUP($B155,Seqs!$A:$B,2,0),AK155,1),"")</f>
        <v>D</v>
      </c>
      <c r="AK155" s="3">
        <v>209</v>
      </c>
      <c r="AL155" s="3" t="str">
        <f>IFERROR(MID(VLOOKUP($B155,Seqs!$A:$B,2,0),AM155,1),"")</f>
        <v>P</v>
      </c>
      <c r="AM155" s="3">
        <v>248</v>
      </c>
      <c r="AN155" s="3" t="str">
        <f>IFERROR(MID(VLOOKUP($B155,Seqs!$A:$B,2,0),AO155,1),"")</f>
        <v>F</v>
      </c>
      <c r="AO155" s="3">
        <v>283</v>
      </c>
      <c r="AP155" s="3" t="str">
        <f>IFERROR(MID(VLOOKUP($B155,Seqs!$A:$B,2,0),AQ155,1),"")</f>
        <v>F</v>
      </c>
      <c r="AQ155" s="3">
        <v>324</v>
      </c>
      <c r="AR155" s="3" t="str">
        <f>IFERROR(MID(VLOOKUP($B155,Seqs!$A:$B,2,0),AS155,1),"")</f>
        <v>R</v>
      </c>
      <c r="AS155" s="3">
        <v>333</v>
      </c>
      <c r="AT155" s="3" t="str">
        <f>IFERROR(MID(VLOOKUP($B155,Seqs!$A:$B,2,0),AU155,1),"")</f>
        <v>L</v>
      </c>
      <c r="AU155" s="3">
        <v>361</v>
      </c>
      <c r="AV155" s="3" t="str">
        <f>IFERROR(MID(VLOOKUP($B155,Seqs!$A:$B,2,0),AW155,1),"")</f>
        <v>S</v>
      </c>
      <c r="AW155" s="3">
        <v>362</v>
      </c>
      <c r="AX155" s="3" t="str">
        <f>IFERROR(MID(VLOOKUP($B155,Seqs!$A:$B,2,0),AY155,1),"")</f>
        <v>F</v>
      </c>
      <c r="AY155" s="3">
        <v>373</v>
      </c>
      <c r="AZ155" s="79" t="str">
        <f>VLOOKUP(B155,Classification!A:D,2,0)</f>
        <v>A</v>
      </c>
      <c r="BA155" s="97" t="str">
        <f>VLOOKUP(B155,Classification!A:D,4,0)</f>
        <v>Orexin</v>
      </c>
      <c r="BB155" s="27" t="b">
        <f t="shared" si="640"/>
        <v>1</v>
      </c>
      <c r="BC155" s="23">
        <f t="shared" si="613"/>
        <v>261</v>
      </c>
      <c r="BD155" s="57" t="s">
        <v>1379</v>
      </c>
      <c r="BE155" s="3" t="s">
        <v>1381</v>
      </c>
      <c r="BF155" s="50" t="s">
        <v>1379</v>
      </c>
      <c r="BG155" s="50" t="s">
        <v>1384</v>
      </c>
      <c r="BH155" s="1"/>
      <c r="BI155" s="72" t="s">
        <v>1293</v>
      </c>
      <c r="BJ155" s="58" t="s">
        <v>1293</v>
      </c>
      <c r="BK155" s="58" t="s">
        <v>1293</v>
      </c>
      <c r="BL155" s="58" t="s">
        <v>1293</v>
      </c>
      <c r="BM155" s="58" t="s">
        <v>1293</v>
      </c>
      <c r="BN155" s="58" t="s">
        <v>1293</v>
      </c>
      <c r="BO155" s="58" t="s">
        <v>1293</v>
      </c>
      <c r="BP155" s="58" t="s">
        <v>1293</v>
      </c>
      <c r="BQ155" s="58" t="s">
        <v>1293</v>
      </c>
      <c r="BR155" s="58" t="s">
        <v>1293</v>
      </c>
      <c r="BS155" s="58" t="s">
        <v>1293</v>
      </c>
      <c r="BT155" s="58" t="s">
        <v>1293</v>
      </c>
      <c r="BU155" s="72">
        <f t="shared" si="614"/>
        <v>46</v>
      </c>
      <c r="BV155" s="73">
        <f t="shared" si="615"/>
        <v>75</v>
      </c>
      <c r="BW155" s="74">
        <f t="shared" si="616"/>
        <v>79</v>
      </c>
      <c r="BX155" s="73">
        <f t="shared" si="617"/>
        <v>111</v>
      </c>
      <c r="BY155" s="74">
        <f t="shared" si="618"/>
        <v>115</v>
      </c>
      <c r="BZ155" s="73">
        <f t="shared" si="619"/>
        <v>151</v>
      </c>
      <c r="CA155" s="74">
        <f t="shared" si="620"/>
        <v>157</v>
      </c>
      <c r="CB155" s="73">
        <f t="shared" si="621"/>
        <v>202</v>
      </c>
      <c r="CC155" s="74">
        <f t="shared" si="622"/>
        <v>209</v>
      </c>
      <c r="CD155" s="73">
        <f t="shared" si="623"/>
        <v>283</v>
      </c>
      <c r="CE155" s="74">
        <f t="shared" si="624"/>
        <v>333</v>
      </c>
      <c r="CF155" s="73">
        <f t="shared" si="625"/>
        <v>362</v>
      </c>
      <c r="CG155" s="72">
        <f t="shared" si="626"/>
        <v>74</v>
      </c>
      <c r="CH155" s="73">
        <f t="shared" si="627"/>
        <v>78</v>
      </c>
      <c r="CI155" s="74">
        <f t="shared" si="628"/>
        <v>109</v>
      </c>
      <c r="CJ155" s="74">
        <f t="shared" si="629"/>
        <v>114</v>
      </c>
      <c r="CK155" s="74">
        <f t="shared" si="630"/>
        <v>150</v>
      </c>
      <c r="CL155" s="74">
        <f t="shared" si="631"/>
        <v>154</v>
      </c>
      <c r="CM155" s="74">
        <f t="shared" si="632"/>
        <v>183</v>
      </c>
      <c r="CN155" s="74">
        <f t="shared" si="633"/>
        <v>204</v>
      </c>
      <c r="CO155" s="74">
        <f t="shared" si="634"/>
        <v>248</v>
      </c>
      <c r="CP155" s="74">
        <f t="shared" si="635"/>
        <v>324</v>
      </c>
      <c r="CQ155" s="74">
        <f t="shared" si="636"/>
        <v>361</v>
      </c>
      <c r="CR155" s="74">
        <f t="shared" si="637"/>
        <v>373</v>
      </c>
      <c r="CS155" s="23">
        <f t="shared" si="638"/>
        <v>1</v>
      </c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/>
      <c r="JU155" s="1"/>
      <c r="JV155" s="1"/>
      <c r="JW155" s="1"/>
      <c r="JX155" s="1"/>
      <c r="JY155" s="1"/>
      <c r="JZ155" s="1"/>
      <c r="KA155" s="1"/>
      <c r="KB155" s="1"/>
      <c r="KC155" s="1"/>
      <c r="KD155" s="1"/>
      <c r="KE155" s="1"/>
      <c r="KF155" s="1"/>
      <c r="KG155" s="1"/>
      <c r="KH155" s="1"/>
      <c r="KI155" s="1"/>
      <c r="KJ155" s="1"/>
      <c r="KK155" s="1"/>
      <c r="KL155" s="1"/>
      <c r="KM155" s="1"/>
      <c r="KN155" s="1"/>
      <c r="KO155" s="1"/>
      <c r="KP155" s="1"/>
      <c r="KQ155" s="1"/>
      <c r="KR155" s="1"/>
      <c r="KS155" s="1"/>
      <c r="KT155" s="1"/>
      <c r="KU155" s="1"/>
      <c r="KV155" s="1"/>
      <c r="KW155" s="1"/>
      <c r="KX155" s="1"/>
      <c r="KY155" s="1"/>
      <c r="KZ155" s="1"/>
      <c r="LA155" s="1"/>
      <c r="LB155" s="1"/>
      <c r="LC155" s="1"/>
      <c r="LD155" s="1"/>
      <c r="LE155" s="1"/>
      <c r="LF155" s="1"/>
      <c r="LG155" s="1"/>
      <c r="LH155" s="1"/>
      <c r="LI155" s="1"/>
      <c r="LJ155" s="1"/>
      <c r="LK155" s="1"/>
      <c r="LL155" s="1"/>
      <c r="LM155" s="1"/>
      <c r="LN155" s="1"/>
      <c r="LO155" s="1"/>
      <c r="LP155" s="1"/>
      <c r="LQ155" s="1"/>
      <c r="LR155" s="1"/>
      <c r="LS155" s="1"/>
      <c r="LT155" s="1"/>
      <c r="LU155" s="1"/>
      <c r="LV155" s="1"/>
      <c r="LW155" s="1"/>
      <c r="LX155" s="1"/>
      <c r="LY155" s="1"/>
      <c r="LZ155" s="1"/>
      <c r="MA155" s="1"/>
      <c r="MB155" s="1"/>
      <c r="MC155" s="1"/>
      <c r="MD155" s="1"/>
      <c r="ME155" s="1"/>
      <c r="MF155" s="1"/>
      <c r="MG155" s="1"/>
      <c r="MH155" s="1"/>
      <c r="MI155" s="1"/>
      <c r="MJ155" s="1"/>
      <c r="MK155" s="1"/>
      <c r="ML155" s="1"/>
      <c r="MM155" s="1"/>
      <c r="MN155" s="1"/>
      <c r="MO155" s="1"/>
      <c r="MP155" s="1"/>
      <c r="MQ155" s="1"/>
      <c r="MR155" s="1"/>
      <c r="MS155" s="1"/>
      <c r="MT155" s="1"/>
      <c r="MU155" s="1"/>
      <c r="MV155" s="1"/>
      <c r="MW155" s="1"/>
      <c r="MX155" s="1"/>
      <c r="MY155" s="1"/>
      <c r="MZ155" s="1"/>
      <c r="NA155" s="1"/>
      <c r="NB155" s="1"/>
      <c r="NC155" s="1"/>
      <c r="ND155" s="1"/>
      <c r="NE155" s="1"/>
      <c r="NF155" s="1"/>
      <c r="NG155" s="1"/>
      <c r="NH155" s="1"/>
      <c r="NI155" s="1"/>
      <c r="NJ155" s="1"/>
      <c r="NK155" s="1"/>
      <c r="NL155" s="1"/>
      <c r="NM155" s="1"/>
      <c r="NN155" s="1"/>
      <c r="NO155" s="1"/>
      <c r="NP155" s="1"/>
      <c r="NQ155" s="1"/>
      <c r="NR155" s="1"/>
      <c r="NS155" s="1"/>
      <c r="NT155" s="1"/>
      <c r="NU155" s="1"/>
      <c r="NV155" s="1"/>
      <c r="NW155" s="1"/>
      <c r="NX155" s="1"/>
      <c r="NY155" s="1"/>
      <c r="NZ155" s="1"/>
      <c r="OA155" s="1"/>
      <c r="OB155" s="1"/>
      <c r="OC155" s="1"/>
      <c r="OD155" s="1"/>
      <c r="OE155" s="1"/>
      <c r="OF155" s="1"/>
      <c r="OG155" s="1"/>
      <c r="OH155" s="1"/>
      <c r="OI155" s="1"/>
      <c r="OJ155" s="1"/>
      <c r="OK155" s="1"/>
      <c r="OL155" s="1"/>
      <c r="OM155" s="1"/>
      <c r="ON155" s="1"/>
      <c r="OO155" s="1"/>
      <c r="OP155" s="1"/>
      <c r="OQ155" s="1"/>
      <c r="OR155" s="1"/>
      <c r="OS155" s="1"/>
      <c r="OT155" s="1"/>
      <c r="OU155" s="1"/>
      <c r="OV155" s="1"/>
      <c r="OW155" s="1"/>
      <c r="OX155" s="1"/>
      <c r="OY155" s="1"/>
      <c r="OZ155" s="1"/>
      <c r="PA155" s="1"/>
      <c r="PB155" s="1"/>
      <c r="PC155" s="1"/>
      <c r="PD155" s="1"/>
      <c r="PE155" s="1"/>
      <c r="PF155" s="1"/>
      <c r="PG155" s="1"/>
      <c r="PH155" s="1"/>
      <c r="PI155" s="1"/>
      <c r="PJ155" s="1"/>
      <c r="PK155" s="1"/>
      <c r="PL155" s="1"/>
      <c r="PM155" s="1"/>
      <c r="PN155" s="1"/>
      <c r="PO155" s="1"/>
      <c r="PP155" s="1"/>
      <c r="PQ155" s="1"/>
      <c r="PR155" s="1"/>
      <c r="PS155" s="1"/>
      <c r="PT155" s="1"/>
      <c r="PU155" s="1"/>
      <c r="PV155" s="1"/>
      <c r="PW155" s="1"/>
      <c r="PX155" s="1"/>
      <c r="PY155" s="1"/>
      <c r="PZ155" s="1"/>
      <c r="QA155" s="1"/>
      <c r="QB155" s="1"/>
      <c r="QC155" s="1"/>
      <c r="QD155" s="1"/>
      <c r="QE155" s="1"/>
      <c r="QF155" s="1"/>
      <c r="QG155" s="1"/>
      <c r="QH155" s="1"/>
      <c r="QI155" s="1"/>
      <c r="QJ155" s="1"/>
      <c r="QK155" s="1"/>
      <c r="QL155" s="1"/>
      <c r="QM155" s="1"/>
      <c r="QN155" s="1"/>
      <c r="QO155" s="1"/>
      <c r="QP155" s="1"/>
      <c r="QQ155" s="1"/>
      <c r="QR155" s="1"/>
      <c r="QS155" s="1"/>
      <c r="QT155" s="1"/>
      <c r="QU155" s="1"/>
      <c r="QV155" s="1"/>
      <c r="QW155" s="1"/>
      <c r="QX155" s="1"/>
      <c r="QY155" s="1"/>
      <c r="QZ155" s="1"/>
      <c r="RA155" s="1"/>
      <c r="RB155" s="1"/>
      <c r="RC155" s="1"/>
      <c r="RD155" s="1"/>
      <c r="RE155" s="1"/>
      <c r="RF155" s="1"/>
      <c r="RG155" s="1"/>
      <c r="RH155" s="1"/>
      <c r="RI155" s="1"/>
      <c r="RJ155" s="1"/>
      <c r="RK155" s="1"/>
      <c r="RL155" s="1"/>
      <c r="RM155" s="1"/>
      <c r="RN155" s="1"/>
      <c r="RO155" s="1"/>
      <c r="RP155" s="1"/>
      <c r="RQ155" s="1"/>
      <c r="RR155" s="1"/>
      <c r="RS155" s="1"/>
      <c r="RT155" s="1"/>
      <c r="RU155" s="1"/>
      <c r="RV155" s="1"/>
      <c r="RW155" s="1"/>
      <c r="RX155" s="1"/>
      <c r="RY155" s="1"/>
      <c r="RZ155" s="1"/>
      <c r="SA155" s="1"/>
      <c r="SB155" s="1"/>
      <c r="SC155" s="1"/>
      <c r="SD155" s="1"/>
      <c r="SE155" s="1"/>
      <c r="SF155" s="1"/>
      <c r="SG155" s="1"/>
      <c r="SH155" s="1"/>
      <c r="SI155" s="1"/>
      <c r="SJ155" s="1"/>
      <c r="SK155" s="1"/>
      <c r="SL155" s="1"/>
      <c r="SM155" s="1"/>
      <c r="SN155" s="1"/>
      <c r="SO155" s="1"/>
      <c r="SP155" s="1"/>
      <c r="SQ155" s="1"/>
      <c r="SR155" s="1"/>
      <c r="SS155" s="1"/>
      <c r="ST155" s="1"/>
      <c r="SU155" s="1"/>
      <c r="SV155" s="1"/>
      <c r="SW155" s="1"/>
      <c r="SX155" s="1"/>
      <c r="SY155" s="1"/>
      <c r="SZ155" s="1"/>
      <c r="TA155" s="1"/>
      <c r="TB155" s="1"/>
      <c r="TC155" s="1"/>
      <c r="TD155" s="1"/>
      <c r="TE155" s="1"/>
      <c r="TF155" s="1"/>
      <c r="TG155" s="1"/>
      <c r="TH155" s="1"/>
      <c r="TI155" s="1"/>
      <c r="TJ155" s="1"/>
      <c r="TK155" s="1"/>
      <c r="TL155" s="1"/>
      <c r="TM155" s="1"/>
      <c r="TN155" s="1"/>
      <c r="TO155" s="1"/>
      <c r="TP155" s="1"/>
      <c r="TQ155" s="1"/>
      <c r="TR155" s="1"/>
      <c r="TS155" s="1"/>
      <c r="TT155" s="1"/>
      <c r="TU155" s="1"/>
      <c r="TV155" s="1"/>
      <c r="TW155" s="1"/>
      <c r="TX155" s="1"/>
      <c r="TY155" s="1"/>
      <c r="TZ155" s="1"/>
      <c r="UA155" s="1"/>
      <c r="UB155" s="1"/>
      <c r="UC155" s="1"/>
      <c r="UD155" s="1"/>
      <c r="UE155" s="1"/>
      <c r="UF155" s="1"/>
      <c r="UG155" s="1"/>
      <c r="UH155" s="1"/>
      <c r="UI155" s="1"/>
      <c r="UJ155" s="1"/>
      <c r="UK155" s="1"/>
      <c r="UL155" s="1"/>
      <c r="UM155" s="1"/>
      <c r="UN155" s="1"/>
      <c r="UO155" s="1"/>
      <c r="UP155" s="1"/>
      <c r="UQ155" s="1"/>
      <c r="UR155" s="1"/>
      <c r="US155" s="1"/>
      <c r="UT155" s="1"/>
      <c r="UU155" s="1"/>
      <c r="UV155" s="1"/>
      <c r="UW155" s="1"/>
      <c r="UX155" s="1"/>
      <c r="UY155" s="1"/>
      <c r="UZ155" s="1"/>
      <c r="VA155" s="1"/>
      <c r="VB155" s="1"/>
      <c r="VC155" s="1"/>
      <c r="VD155" s="1"/>
      <c r="VE155" s="1"/>
      <c r="VF155" s="1"/>
      <c r="VG155" s="1"/>
      <c r="VH155" s="1"/>
      <c r="VI155" s="1"/>
      <c r="VJ155" s="1"/>
      <c r="VK155" s="1"/>
      <c r="VL155" s="1"/>
      <c r="VM155" s="1"/>
      <c r="VN155" s="1"/>
      <c r="VO155" s="1"/>
      <c r="VP155" s="1"/>
      <c r="VQ155" s="1"/>
      <c r="VR155" s="1"/>
      <c r="VS155" s="1"/>
      <c r="VT155" s="1"/>
      <c r="VU155" s="1"/>
      <c r="VV155" s="1"/>
      <c r="VW155" s="1"/>
      <c r="VX155" s="1"/>
      <c r="VY155" s="1"/>
      <c r="VZ155" s="1"/>
      <c r="WA155" s="1"/>
      <c r="WB155" s="1"/>
      <c r="WC155" s="1"/>
      <c r="WD155" s="1"/>
      <c r="WE155" s="1"/>
      <c r="WF155" s="1"/>
      <c r="WG155" s="1"/>
      <c r="WH155" s="1"/>
      <c r="WI155" s="1"/>
      <c r="WJ155" s="1"/>
      <c r="WK155" s="1"/>
      <c r="WL155" s="1"/>
      <c r="WM155" s="1"/>
      <c r="WN155" s="1"/>
      <c r="WO155" s="1"/>
      <c r="WP155" s="1"/>
      <c r="WQ155" s="1"/>
      <c r="WR155" s="1"/>
      <c r="WS155" s="1"/>
      <c r="WT155" s="1"/>
      <c r="WU155" s="1"/>
      <c r="WV155" s="1"/>
      <c r="WW155" s="1"/>
      <c r="WX155" s="1"/>
      <c r="WY155" s="1"/>
      <c r="WZ155" s="1"/>
      <c r="XA155" s="1"/>
      <c r="XB155" s="1"/>
      <c r="XC155" s="1"/>
      <c r="XD155" s="1"/>
      <c r="XE155" s="1"/>
      <c r="XF155" s="1"/>
      <c r="XG155" s="1"/>
      <c r="XH155" s="1"/>
      <c r="XI155" s="1"/>
      <c r="XJ155" s="1"/>
      <c r="XK155" s="1"/>
      <c r="XL155" s="1"/>
      <c r="XM155" s="1"/>
      <c r="XN155" s="1"/>
      <c r="XO155" s="1"/>
      <c r="XP155" s="1"/>
      <c r="XQ155" s="1"/>
      <c r="XR155" s="1"/>
      <c r="XS155" s="1"/>
      <c r="XT155" s="1"/>
      <c r="XU155" s="1"/>
      <c r="XV155" s="1"/>
      <c r="XW155" s="1"/>
      <c r="XX155" s="1"/>
      <c r="XY155" s="1"/>
      <c r="XZ155" s="1"/>
      <c r="YA155" s="1"/>
      <c r="YB155" s="1"/>
      <c r="YC155" s="1"/>
      <c r="YD155" s="1"/>
      <c r="YE155" s="1"/>
      <c r="YF155" s="1"/>
      <c r="YG155" s="1"/>
      <c r="YH155" s="1"/>
      <c r="YI155" s="1"/>
      <c r="YJ155" s="1"/>
      <c r="YK155" s="1"/>
      <c r="YL155" s="1"/>
      <c r="YM155" s="1"/>
      <c r="YN155" s="1"/>
      <c r="YO155" s="1"/>
      <c r="YP155" s="1"/>
      <c r="YQ155" s="1"/>
      <c r="YR155" s="1"/>
      <c r="YS155" s="1"/>
      <c r="YT155" s="1"/>
      <c r="YU155" s="1"/>
      <c r="YV155" s="1"/>
      <c r="YW155" s="1"/>
      <c r="YX155" s="1"/>
      <c r="YY155" s="1"/>
      <c r="YZ155" s="1"/>
      <c r="ZA155" s="1"/>
      <c r="ZB155" s="1"/>
      <c r="ZC155" s="1"/>
      <c r="ZD155" s="1"/>
      <c r="ZE155" s="1"/>
      <c r="ZF155" s="1"/>
      <c r="ZG155" s="1"/>
      <c r="ZH155" s="1"/>
      <c r="ZI155" s="1"/>
      <c r="ZJ155" s="1"/>
      <c r="ZK155" s="1"/>
      <c r="ZL155" s="1"/>
      <c r="ZM155" s="1"/>
      <c r="ZN155" s="1"/>
      <c r="ZO155" s="1"/>
      <c r="ZP155" s="1"/>
      <c r="ZQ155" s="1"/>
      <c r="ZR155" s="1"/>
      <c r="ZS155" s="1"/>
      <c r="ZT155" s="1"/>
      <c r="ZU155" s="1"/>
      <c r="ZV155" s="1"/>
      <c r="ZW155" s="1"/>
      <c r="ZX155" s="1"/>
      <c r="ZY155" s="1"/>
      <c r="ZZ155" s="1"/>
      <c r="AAA155" s="1"/>
      <c r="AAB155" s="1"/>
      <c r="AAC155" s="1"/>
      <c r="AAD155" s="1"/>
      <c r="AAE155" s="1"/>
      <c r="AAF155" s="1"/>
      <c r="AAG155" s="1"/>
      <c r="AAH155" s="1"/>
      <c r="AAI155" s="1"/>
      <c r="AAJ155" s="1"/>
      <c r="AAK155" s="1"/>
      <c r="AAL155" s="1"/>
      <c r="AAM155" s="1"/>
      <c r="AAN155" s="1"/>
      <c r="AAO155" s="1"/>
      <c r="AAP155" s="1"/>
      <c r="AAQ155" s="1"/>
      <c r="AAR155" s="1"/>
      <c r="AAS155" s="1"/>
      <c r="AAT155" s="1"/>
      <c r="AAU155" s="1"/>
      <c r="AAV155" s="1"/>
      <c r="AAW155" s="1"/>
      <c r="AAX155" s="1"/>
      <c r="AAY155" s="1"/>
      <c r="AAZ155" s="1"/>
      <c r="ABA155" s="1"/>
      <c r="ABB155" s="1"/>
      <c r="ABC155" s="1"/>
      <c r="ABD155" s="1"/>
      <c r="ABE155" s="1"/>
      <c r="ABF155" s="1"/>
      <c r="ABG155" s="1"/>
      <c r="ABH155" s="1"/>
      <c r="ABI155" s="1"/>
      <c r="ABJ155" s="1"/>
      <c r="ABK155" s="1"/>
      <c r="ABL155" s="1"/>
      <c r="ABM155" s="1"/>
      <c r="ABN155" s="1"/>
      <c r="ABO155" s="1"/>
      <c r="ABP155" s="1"/>
      <c r="ABQ155" s="1"/>
      <c r="ABR155" s="1"/>
      <c r="ABS155" s="1"/>
      <c r="ABT155" s="1"/>
      <c r="ABU155" s="1"/>
      <c r="ABV155" s="1"/>
      <c r="ABW155" s="1"/>
      <c r="ABX155" s="1"/>
      <c r="ABY155" s="1"/>
      <c r="ABZ155" s="1"/>
      <c r="ACA155" s="1"/>
      <c r="ACB155" s="1"/>
      <c r="ACC155" s="1"/>
      <c r="ACD155" s="1"/>
      <c r="ACE155" s="1"/>
      <c r="ACF155" s="1"/>
      <c r="ACG155" s="1"/>
      <c r="ACH155" s="1"/>
      <c r="ACI155" s="1"/>
      <c r="ACJ155" s="1"/>
      <c r="ACK155" s="1"/>
      <c r="ACL155" s="1"/>
      <c r="ACM155" s="1"/>
      <c r="ACN155" s="1"/>
      <c r="ACO155" s="1"/>
      <c r="ACP155" s="1"/>
      <c r="ACQ155" s="1"/>
      <c r="ACR155" s="1"/>
      <c r="ACS155" s="1"/>
      <c r="ACT155" s="1"/>
      <c r="ACU155" s="1"/>
      <c r="ACV155" s="1"/>
      <c r="ACW155" s="1"/>
      <c r="ACX155" s="1"/>
      <c r="ACY155" s="1"/>
      <c r="ACZ155" s="1"/>
      <c r="ADA155" s="1"/>
      <c r="ADB155" s="1"/>
      <c r="ADC155" s="1"/>
      <c r="ADD155" s="1"/>
      <c r="ADE155" s="1"/>
      <c r="ADF155" s="1"/>
      <c r="ADG155" s="1"/>
      <c r="ADH155" s="1"/>
      <c r="ADI155" s="1"/>
      <c r="ADJ155" s="1"/>
      <c r="ADK155" s="1"/>
      <c r="ADL155" s="1"/>
      <c r="ADM155" s="1"/>
      <c r="ADN155" s="1"/>
      <c r="ADO155" s="1"/>
      <c r="ADP155" s="1"/>
      <c r="ADQ155" s="1"/>
      <c r="ADR155" s="1"/>
      <c r="ADS155" s="1"/>
      <c r="ADT155" s="1"/>
      <c r="ADU155" s="1"/>
      <c r="ADV155" s="1"/>
      <c r="ADW155" s="1"/>
      <c r="ADX155" s="1"/>
      <c r="ADY155" s="1"/>
      <c r="ADZ155" s="1"/>
      <c r="AEA155" s="1"/>
      <c r="AEB155" s="1"/>
      <c r="AEC155" s="1"/>
      <c r="AED155" s="1"/>
      <c r="AEE155" s="1"/>
      <c r="AEF155" s="1"/>
      <c r="AEG155" s="1"/>
      <c r="AEH155" s="1"/>
      <c r="AEI155" s="1"/>
      <c r="AEJ155" s="1"/>
      <c r="AEK155" s="1"/>
      <c r="AEL155" s="1"/>
      <c r="AEM155" s="1"/>
      <c r="AEN155" s="1"/>
      <c r="AEO155" s="1"/>
      <c r="AEP155" s="1"/>
      <c r="AEQ155" s="1"/>
      <c r="AER155" s="1"/>
      <c r="AES155" s="1"/>
      <c r="AET155" s="1"/>
      <c r="AEU155" s="1"/>
      <c r="AEV155" s="1"/>
      <c r="AEW155" s="1"/>
      <c r="AEX155" s="1"/>
      <c r="AEY155" s="1"/>
      <c r="AEZ155" s="1"/>
      <c r="AFA155" s="1"/>
      <c r="AFB155" s="1"/>
      <c r="AFC155" s="1"/>
      <c r="AFD155" s="1"/>
      <c r="AFE155" s="1"/>
      <c r="AFF155" s="1"/>
      <c r="AFG155" s="1"/>
      <c r="AFH155" s="1"/>
      <c r="AFI155" s="1"/>
      <c r="AFJ155" s="1"/>
      <c r="AFK155" s="1"/>
      <c r="AFL155" s="1"/>
      <c r="AFM155" s="1"/>
      <c r="AFN155" s="1"/>
      <c r="AFO155" s="1"/>
      <c r="AFP155" s="1"/>
      <c r="AFQ155" s="1"/>
      <c r="AFR155" s="1"/>
      <c r="AFS155" s="1"/>
      <c r="AFT155" s="1"/>
      <c r="AFU155" s="1"/>
      <c r="AFV155" s="1"/>
      <c r="AFW155" s="1"/>
      <c r="AFX155" s="1"/>
      <c r="AFY155" s="1"/>
      <c r="AFZ155" s="1"/>
      <c r="AGA155" s="1"/>
      <c r="AGB155" s="1"/>
      <c r="AGC155" s="1"/>
      <c r="AGD155" s="1"/>
      <c r="AGE155" s="1"/>
      <c r="AGF155" s="1"/>
      <c r="AGG155" s="1"/>
      <c r="AGH155" s="1"/>
      <c r="AGI155" s="1"/>
      <c r="AGJ155" s="1"/>
      <c r="AGK155" s="1"/>
      <c r="AGL155" s="1"/>
      <c r="AGM155" s="1"/>
      <c r="AGN155" s="1"/>
      <c r="AGO155" s="1"/>
      <c r="AGP155" s="1"/>
      <c r="AGQ155" s="1"/>
      <c r="AGR155" s="1"/>
      <c r="AGS155" s="1"/>
      <c r="AGT155" s="1"/>
      <c r="AGU155" s="1"/>
      <c r="AGV155" s="1"/>
      <c r="AGW155" s="1"/>
      <c r="AGX155" s="1"/>
      <c r="AGY155" s="1"/>
      <c r="AGZ155" s="1"/>
      <c r="AHA155" s="1"/>
      <c r="AHB155" s="1"/>
      <c r="AHC155" s="1"/>
      <c r="AHD155" s="1"/>
      <c r="AHE155" s="1"/>
      <c r="AHF155" s="1"/>
      <c r="AHG155" s="1"/>
      <c r="AHH155" s="1"/>
      <c r="AHI155" s="1"/>
      <c r="AHJ155" s="1"/>
      <c r="AHK155" s="1"/>
      <c r="AHL155" s="1"/>
      <c r="AHM155" s="1"/>
      <c r="AHN155" s="1"/>
      <c r="AHO155" s="1"/>
      <c r="AHP155" s="1"/>
      <c r="AHQ155" s="1"/>
      <c r="AHR155" s="1"/>
      <c r="AHS155" s="1"/>
      <c r="AHT155" s="1"/>
      <c r="AHU155" s="1"/>
      <c r="AHV155" s="1"/>
      <c r="AHW155" s="1"/>
      <c r="AHX155" s="1"/>
      <c r="AHY155" s="1"/>
      <c r="AHZ155" s="1"/>
      <c r="AIA155" s="1"/>
      <c r="AIB155" s="1"/>
      <c r="AIC155" s="1"/>
      <c r="AID155" s="1"/>
      <c r="AIE155" s="1"/>
      <c r="AIF155" s="1"/>
      <c r="AIG155" s="1"/>
      <c r="AIH155" s="1"/>
      <c r="AII155" s="1"/>
      <c r="AIJ155" s="1"/>
      <c r="AIK155" s="1"/>
      <c r="AIL155" s="1"/>
      <c r="AIM155" s="1"/>
      <c r="AIN155" s="1"/>
      <c r="AIO155" s="1"/>
      <c r="AIP155" s="1"/>
      <c r="AIQ155" s="1"/>
      <c r="AIR155" s="1"/>
      <c r="AIS155" s="1"/>
      <c r="AIT155" s="1"/>
      <c r="AIU155" s="1"/>
      <c r="AIV155" s="1"/>
      <c r="AIW155" s="1"/>
      <c r="AIX155" s="1"/>
      <c r="AIY155" s="1"/>
      <c r="AIZ155" s="1"/>
      <c r="AJA155" s="1"/>
      <c r="AJB155" s="1"/>
      <c r="AJC155" s="1"/>
      <c r="AJD155" s="1"/>
      <c r="AJE155" s="1"/>
      <c r="AJF155" s="1"/>
      <c r="AJG155" s="1"/>
      <c r="AJH155" s="1"/>
      <c r="AJI155" s="1"/>
      <c r="AJJ155" s="1"/>
      <c r="AJK155" s="1"/>
      <c r="AJL155" s="1"/>
      <c r="AJM155" s="1"/>
      <c r="AJN155" s="1"/>
      <c r="AJO155" s="1"/>
      <c r="AJP155" s="1"/>
      <c r="AJQ155" s="1"/>
      <c r="AJR155" s="1"/>
      <c r="AJS155" s="1"/>
      <c r="AJT155" s="1"/>
      <c r="AJU155" s="1"/>
      <c r="AJV155" s="1"/>
      <c r="AJW155" s="1"/>
      <c r="AJX155" s="1"/>
      <c r="AJY155" s="1"/>
      <c r="AJZ155" s="1"/>
      <c r="AKA155" s="1"/>
      <c r="AKB155" s="1"/>
      <c r="AKC155" s="1"/>
      <c r="AKD155" s="1"/>
      <c r="AKE155" s="1"/>
      <c r="AKF155" s="1"/>
      <c r="AKG155" s="1"/>
      <c r="AKH155" s="1"/>
      <c r="AKI155" s="1"/>
      <c r="AKJ155" s="1"/>
      <c r="AKK155" s="1"/>
      <c r="AKL155" s="1"/>
      <c r="AKM155" s="1"/>
      <c r="AKN155" s="1"/>
      <c r="AKO155" s="1"/>
      <c r="AKP155" s="1"/>
      <c r="AKQ155" s="1"/>
      <c r="AKR155" s="1"/>
      <c r="AKS155" s="1"/>
      <c r="AKT155" s="1"/>
      <c r="AKU155" s="1"/>
      <c r="AKV155" s="1"/>
      <c r="AKW155" s="1"/>
      <c r="AKX155" s="1"/>
      <c r="AKY155" s="1"/>
      <c r="AKZ155" s="1"/>
      <c r="ALA155" s="1"/>
      <c r="ALB155" s="1"/>
      <c r="ALC155" s="1"/>
      <c r="ALD155" s="1"/>
      <c r="ALE155" s="1"/>
      <c r="ALF155" s="1"/>
      <c r="ALG155" s="1"/>
      <c r="ALH155" s="1"/>
      <c r="ALI155" s="1"/>
      <c r="ALJ155" s="1"/>
      <c r="ALK155" s="1"/>
      <c r="ALL155" s="1"/>
      <c r="ALM155" s="1"/>
      <c r="ALN155" s="1"/>
      <c r="ALO155" s="1"/>
      <c r="ALP155" s="1"/>
      <c r="ALQ155" s="1"/>
      <c r="ALR155" s="1"/>
      <c r="ALS155" s="1"/>
      <c r="ALT155" s="1"/>
      <c r="ALU155" s="1"/>
      <c r="ALV155" s="1"/>
      <c r="ALW155" s="1"/>
      <c r="ALX155" s="1"/>
      <c r="ALY155" s="1"/>
      <c r="ALZ155" s="1"/>
      <c r="AMA155" s="1"/>
      <c r="AMB155" s="1"/>
      <c r="AMC155" s="1"/>
      <c r="AMD155" s="1"/>
      <c r="AME155" s="1"/>
      <c r="AMF155" s="1"/>
      <c r="AMG155" s="1"/>
      <c r="AMH155" s="1"/>
      <c r="AMI155" s="1"/>
      <c r="AMJ155" s="1"/>
      <c r="AMK155" s="1"/>
      <c r="AML155" s="1"/>
      <c r="AMM155" s="1"/>
      <c r="AMN155" s="1"/>
    </row>
    <row r="156" spans="1:1029" x14ac:dyDescent="0.2">
      <c r="A156" s="3" t="str">
        <f t="shared" si="639"/>
        <v>ox1r_human_4ZJ8</v>
      </c>
      <c r="B156" s="3" t="s">
        <v>1175</v>
      </c>
      <c r="C156" s="3" t="s">
        <v>90</v>
      </c>
      <c r="D156" s="3" t="str">
        <f>IFERROR(MID(VLOOKUP($B156,Seqs!$A:$B,2,0),E156,1),"")</f>
        <v>E</v>
      </c>
      <c r="E156" s="3">
        <v>46</v>
      </c>
      <c r="F156" s="3" t="str">
        <f>IFERROR(MID(VLOOKUP($B156,Seqs!$A:$B,2,0),G156,1),"")</f>
        <v>N</v>
      </c>
      <c r="G156" s="3">
        <v>74</v>
      </c>
      <c r="H156" s="3" t="str">
        <f>IFERROR(MID(VLOOKUP($B156,Seqs!$A:$B,2,0),I156,1),"")</f>
        <v>H</v>
      </c>
      <c r="I156" s="23">
        <v>75</v>
      </c>
      <c r="J156" s="3" t="str">
        <f>IFERROR(MID(VLOOKUP($B156,Seqs!$A:$B,2,0),K156,1),"")</f>
        <v>R</v>
      </c>
      <c r="K156" s="23">
        <v>78</v>
      </c>
      <c r="L156" s="3" t="str">
        <f>IFERROR(MID(VLOOKUP($B156,Seqs!$A:$B,2,0),M156,1),"")</f>
        <v>T</v>
      </c>
      <c r="M156" s="3">
        <v>79</v>
      </c>
      <c r="N156" s="3" t="str">
        <f>IFERROR(MID(VLOOKUP($B156,Seqs!$A:$B,2,0),O156,1),"")</f>
        <v>T</v>
      </c>
      <c r="O156" s="3">
        <v>109</v>
      </c>
      <c r="P156" s="3" t="str">
        <f>IFERROR(MID(VLOOKUP($B156,Seqs!$A:$B,2,0),Q156,1),"")</f>
        <v>S</v>
      </c>
      <c r="Q156" s="3">
        <v>111</v>
      </c>
      <c r="R156" s="3" t="str">
        <f>IFERROR(MID(VLOOKUP($B156,Seqs!$A:$B,2,0),S156,1),"")</f>
        <v>F</v>
      </c>
      <c r="S156" s="3">
        <v>114</v>
      </c>
      <c r="T156" s="3" t="str">
        <f>IFERROR(MID(VLOOKUP($B156,Seqs!$A:$B,2,0),U156,1),"")</f>
        <v>G</v>
      </c>
      <c r="U156" s="3">
        <v>115</v>
      </c>
      <c r="V156" s="3" t="str">
        <f>IFERROR(MID(VLOOKUP($B156,Seqs!$A:$B,2,0),W156,1),"")</f>
        <v>H</v>
      </c>
      <c r="W156" s="3">
        <v>150</v>
      </c>
      <c r="X156" s="3" t="str">
        <f>IFERROR(MID(VLOOKUP($B156,Seqs!$A:$B,2,0),Y156,1),"")</f>
        <v>P</v>
      </c>
      <c r="Y156" s="3">
        <v>151</v>
      </c>
      <c r="Z156" s="3" t="str">
        <f>IFERROR(MID(VLOOKUP($B156,Seqs!$A:$B,2,0),AA156,1),"")</f>
        <v>F</v>
      </c>
      <c r="AA156" s="3">
        <v>154</v>
      </c>
      <c r="AB156" s="3" t="str">
        <f>IFERROR(MID(VLOOKUP($B156,Seqs!$A:$B,2,0),AC156,1),"")</f>
        <v>T</v>
      </c>
      <c r="AC156" s="9">
        <v>157</v>
      </c>
      <c r="AD156" s="3" t="str">
        <f>IFERROR(MID(VLOOKUP($B156,Seqs!$A:$B,2,0),AE156,1),"")</f>
        <v>M</v>
      </c>
      <c r="AE156" s="3">
        <v>183</v>
      </c>
      <c r="AF156" s="3" t="str">
        <f>IFERROR(MID(VLOOKUP($B156,Seqs!$A:$B,2,0),AG156,1),"")</f>
        <v>C</v>
      </c>
      <c r="AG156" s="3">
        <v>202</v>
      </c>
      <c r="AH156" s="3" t="str">
        <f>IFERROR(MID(VLOOKUP($B156,Seqs!$A:$B,2,0),AI156,1),"")</f>
        <v>E</v>
      </c>
      <c r="AI156" s="3">
        <v>204</v>
      </c>
      <c r="AJ156" s="3" t="str">
        <f>IFERROR(MID(VLOOKUP($B156,Seqs!$A:$B,2,0),AK156,1),"")</f>
        <v>D</v>
      </c>
      <c r="AK156" s="3">
        <v>209</v>
      </c>
      <c r="AL156" s="3" t="str">
        <f>IFERROR(MID(VLOOKUP($B156,Seqs!$A:$B,2,0),AM156,1),"")</f>
        <v>L</v>
      </c>
      <c r="AM156" s="3">
        <v>242</v>
      </c>
      <c r="AN156" s="3" t="str">
        <f>IFERROR(MID(VLOOKUP($B156,Seqs!$A:$B,2,0),AO156,1),"")</f>
        <v>K</v>
      </c>
      <c r="AO156" s="3">
        <v>288</v>
      </c>
      <c r="AP156" s="3" t="str">
        <f>IFERROR(MID(VLOOKUP($B156,Seqs!$A:$B,2,0),AQ156,1),"")</f>
        <v>F</v>
      </c>
      <c r="AQ156" s="3">
        <v>324</v>
      </c>
      <c r="AR156" s="3" t="str">
        <f>IFERROR(MID(VLOOKUP($B156,Seqs!$A:$B,2,0),AS156,1),"")</f>
        <v>R</v>
      </c>
      <c r="AS156" s="3">
        <v>333</v>
      </c>
      <c r="AT156" s="3" t="str">
        <f>IFERROR(MID(VLOOKUP($B156,Seqs!$A:$B,2,0),AU156,1),"")</f>
        <v>L</v>
      </c>
      <c r="AU156" s="3">
        <v>361</v>
      </c>
      <c r="AV156" s="3" t="str">
        <f>IFERROR(MID(VLOOKUP($B156,Seqs!$A:$B,2,0),AW156,1),"")</f>
        <v>S</v>
      </c>
      <c r="AW156" s="3">
        <v>362</v>
      </c>
      <c r="AX156" s="3" t="str">
        <f>IFERROR(MID(VLOOKUP($B156,Seqs!$A:$B,2,0),AY156,1),"")</f>
        <v>F</v>
      </c>
      <c r="AY156" s="3">
        <v>373</v>
      </c>
      <c r="AZ156" s="79" t="str">
        <f>VLOOKUP(B156,Classification!A:D,2,0)</f>
        <v>A</v>
      </c>
      <c r="BA156" s="97" t="str">
        <f>VLOOKUP(B156,Classification!A:D,4,0)</f>
        <v>Orexin</v>
      </c>
      <c r="BB156" s="27" t="b">
        <f t="shared" si="640"/>
        <v>1</v>
      </c>
      <c r="BC156" s="23">
        <f t="shared" si="613"/>
        <v>250</v>
      </c>
      <c r="BD156" s="4" t="s">
        <v>23</v>
      </c>
      <c r="BE156" s="3" t="s">
        <v>1381</v>
      </c>
      <c r="BF156" s="50" t="s">
        <v>1384</v>
      </c>
      <c r="BG156" s="50" t="s">
        <v>1384</v>
      </c>
      <c r="BH156" s="1"/>
      <c r="BI156" s="72" t="s">
        <v>1293</v>
      </c>
      <c r="BJ156" s="58" t="s">
        <v>1293</v>
      </c>
      <c r="BK156" s="58" t="s">
        <v>1293</v>
      </c>
      <c r="BL156" s="58" t="s">
        <v>1293</v>
      </c>
      <c r="BM156" s="58" t="s">
        <v>1293</v>
      </c>
      <c r="BN156" s="58" t="s">
        <v>1293</v>
      </c>
      <c r="BO156" s="58" t="s">
        <v>1293</v>
      </c>
      <c r="BP156" s="58" t="s">
        <v>1293</v>
      </c>
      <c r="BQ156" s="58" t="s">
        <v>1293</v>
      </c>
      <c r="BR156" s="58" t="s">
        <v>1293</v>
      </c>
      <c r="BS156" s="58" t="s">
        <v>1293</v>
      </c>
      <c r="BT156" s="58" t="s">
        <v>1293</v>
      </c>
      <c r="BU156" s="72">
        <f t="shared" si="614"/>
        <v>46</v>
      </c>
      <c r="BV156" s="73">
        <f t="shared" si="615"/>
        <v>75</v>
      </c>
      <c r="BW156" s="74">
        <f t="shared" si="616"/>
        <v>79</v>
      </c>
      <c r="BX156" s="73">
        <f t="shared" si="617"/>
        <v>111</v>
      </c>
      <c r="BY156" s="74">
        <f t="shared" si="618"/>
        <v>115</v>
      </c>
      <c r="BZ156" s="73">
        <f t="shared" si="619"/>
        <v>151</v>
      </c>
      <c r="CA156" s="74">
        <f t="shared" si="620"/>
        <v>157</v>
      </c>
      <c r="CB156" s="73">
        <f t="shared" si="621"/>
        <v>202</v>
      </c>
      <c r="CC156" s="74">
        <f t="shared" si="622"/>
        <v>209</v>
      </c>
      <c r="CD156" s="73">
        <f t="shared" si="623"/>
        <v>288</v>
      </c>
      <c r="CE156" s="74">
        <f t="shared" si="624"/>
        <v>333</v>
      </c>
      <c r="CF156" s="73">
        <f t="shared" si="625"/>
        <v>362</v>
      </c>
      <c r="CG156" s="72">
        <f t="shared" si="626"/>
        <v>74</v>
      </c>
      <c r="CH156" s="73">
        <f t="shared" si="627"/>
        <v>78</v>
      </c>
      <c r="CI156" s="74">
        <f t="shared" si="628"/>
        <v>109</v>
      </c>
      <c r="CJ156" s="74">
        <f t="shared" si="629"/>
        <v>114</v>
      </c>
      <c r="CK156" s="74">
        <f t="shared" si="630"/>
        <v>150</v>
      </c>
      <c r="CL156" s="74">
        <f t="shared" si="631"/>
        <v>154</v>
      </c>
      <c r="CM156" s="74">
        <f t="shared" si="632"/>
        <v>183</v>
      </c>
      <c r="CN156" s="74">
        <f t="shared" si="633"/>
        <v>204</v>
      </c>
      <c r="CO156" s="74">
        <f t="shared" si="634"/>
        <v>242</v>
      </c>
      <c r="CP156" s="74">
        <f t="shared" si="635"/>
        <v>324</v>
      </c>
      <c r="CQ156" s="74">
        <f t="shared" si="636"/>
        <v>361</v>
      </c>
      <c r="CR156" s="74">
        <f t="shared" si="637"/>
        <v>373</v>
      </c>
      <c r="CS156" s="23">
        <f t="shared" si="638"/>
        <v>1</v>
      </c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/>
      <c r="JU156" s="1"/>
      <c r="JV156" s="1"/>
      <c r="JW156" s="1"/>
      <c r="JX156" s="1"/>
      <c r="JY156" s="1"/>
      <c r="JZ156" s="1"/>
      <c r="KA156" s="1"/>
      <c r="KB156" s="1"/>
      <c r="KC156" s="1"/>
      <c r="KD156" s="1"/>
      <c r="KE156" s="1"/>
      <c r="KF156" s="1"/>
      <c r="KG156" s="1"/>
      <c r="KH156" s="1"/>
      <c r="KI156" s="1"/>
      <c r="KJ156" s="1"/>
      <c r="KK156" s="1"/>
      <c r="KL156" s="1"/>
      <c r="KM156" s="1"/>
      <c r="KN156" s="1"/>
      <c r="KO156" s="1"/>
      <c r="KP156" s="1"/>
      <c r="KQ156" s="1"/>
      <c r="KR156" s="1"/>
      <c r="KS156" s="1"/>
      <c r="KT156" s="1"/>
      <c r="KU156" s="1"/>
      <c r="KV156" s="1"/>
      <c r="KW156" s="1"/>
      <c r="KX156" s="1"/>
      <c r="KY156" s="1"/>
      <c r="KZ156" s="1"/>
      <c r="LA156" s="1"/>
      <c r="LB156" s="1"/>
      <c r="LC156" s="1"/>
      <c r="LD156" s="1"/>
      <c r="LE156" s="1"/>
      <c r="LF156" s="1"/>
      <c r="LG156" s="1"/>
      <c r="LH156" s="1"/>
      <c r="LI156" s="1"/>
      <c r="LJ156" s="1"/>
      <c r="LK156" s="1"/>
      <c r="LL156" s="1"/>
      <c r="LM156" s="1"/>
      <c r="LN156" s="1"/>
      <c r="LO156" s="1"/>
      <c r="LP156" s="1"/>
      <c r="LQ156" s="1"/>
      <c r="LR156" s="1"/>
      <c r="LS156" s="1"/>
      <c r="LT156" s="1"/>
      <c r="LU156" s="1"/>
      <c r="LV156" s="1"/>
      <c r="LW156" s="1"/>
      <c r="LX156" s="1"/>
      <c r="LY156" s="1"/>
      <c r="LZ156" s="1"/>
      <c r="MA156" s="1"/>
      <c r="MB156" s="1"/>
      <c r="MC156" s="1"/>
      <c r="MD156" s="1"/>
      <c r="ME156" s="1"/>
      <c r="MF156" s="1"/>
      <c r="MG156" s="1"/>
      <c r="MH156" s="1"/>
      <c r="MI156" s="1"/>
      <c r="MJ156" s="1"/>
      <c r="MK156" s="1"/>
      <c r="ML156" s="1"/>
      <c r="MM156" s="1"/>
      <c r="MN156" s="1"/>
      <c r="MO156" s="1"/>
      <c r="MP156" s="1"/>
      <c r="MQ156" s="1"/>
      <c r="MR156" s="1"/>
      <c r="MS156" s="1"/>
      <c r="MT156" s="1"/>
      <c r="MU156" s="1"/>
      <c r="MV156" s="1"/>
      <c r="MW156" s="1"/>
      <c r="MX156" s="1"/>
      <c r="MY156" s="1"/>
      <c r="MZ156" s="1"/>
      <c r="NA156" s="1"/>
      <c r="NB156" s="1"/>
      <c r="NC156" s="1"/>
      <c r="ND156" s="1"/>
      <c r="NE156" s="1"/>
      <c r="NF156" s="1"/>
      <c r="NG156" s="1"/>
      <c r="NH156" s="1"/>
      <c r="NI156" s="1"/>
      <c r="NJ156" s="1"/>
      <c r="NK156" s="1"/>
      <c r="NL156" s="1"/>
      <c r="NM156" s="1"/>
      <c r="NN156" s="1"/>
      <c r="NO156" s="1"/>
      <c r="NP156" s="1"/>
      <c r="NQ156" s="1"/>
      <c r="NR156" s="1"/>
      <c r="NS156" s="1"/>
      <c r="NT156" s="1"/>
      <c r="NU156" s="1"/>
      <c r="NV156" s="1"/>
      <c r="NW156" s="1"/>
      <c r="NX156" s="1"/>
      <c r="NY156" s="1"/>
      <c r="NZ156" s="1"/>
      <c r="OA156" s="1"/>
      <c r="OB156" s="1"/>
      <c r="OC156" s="1"/>
      <c r="OD156" s="1"/>
      <c r="OE156" s="1"/>
      <c r="OF156" s="1"/>
      <c r="OG156" s="1"/>
      <c r="OH156" s="1"/>
      <c r="OI156" s="1"/>
      <c r="OJ156" s="1"/>
      <c r="OK156" s="1"/>
      <c r="OL156" s="1"/>
      <c r="OM156" s="1"/>
      <c r="ON156" s="1"/>
      <c r="OO156" s="1"/>
      <c r="OP156" s="1"/>
      <c r="OQ156" s="1"/>
      <c r="OR156" s="1"/>
      <c r="OS156" s="1"/>
      <c r="OT156" s="1"/>
      <c r="OU156" s="1"/>
      <c r="OV156" s="1"/>
      <c r="OW156" s="1"/>
      <c r="OX156" s="1"/>
      <c r="OY156" s="1"/>
      <c r="OZ156" s="1"/>
      <c r="PA156" s="1"/>
      <c r="PB156" s="1"/>
      <c r="PC156" s="1"/>
      <c r="PD156" s="1"/>
      <c r="PE156" s="1"/>
      <c r="PF156" s="1"/>
      <c r="PG156" s="1"/>
      <c r="PH156" s="1"/>
      <c r="PI156" s="1"/>
      <c r="PJ156" s="1"/>
      <c r="PK156" s="1"/>
      <c r="PL156" s="1"/>
      <c r="PM156" s="1"/>
      <c r="PN156" s="1"/>
      <c r="PO156" s="1"/>
      <c r="PP156" s="1"/>
      <c r="PQ156" s="1"/>
      <c r="PR156" s="1"/>
      <c r="PS156" s="1"/>
      <c r="PT156" s="1"/>
      <c r="PU156" s="1"/>
      <c r="PV156" s="1"/>
      <c r="PW156" s="1"/>
      <c r="PX156" s="1"/>
      <c r="PY156" s="1"/>
      <c r="PZ156" s="1"/>
      <c r="QA156" s="1"/>
      <c r="QB156" s="1"/>
      <c r="QC156" s="1"/>
      <c r="QD156" s="1"/>
      <c r="QE156" s="1"/>
      <c r="QF156" s="1"/>
      <c r="QG156" s="1"/>
      <c r="QH156" s="1"/>
      <c r="QI156" s="1"/>
      <c r="QJ156" s="1"/>
      <c r="QK156" s="1"/>
      <c r="QL156" s="1"/>
      <c r="QM156" s="1"/>
      <c r="QN156" s="1"/>
      <c r="QO156" s="1"/>
      <c r="QP156" s="1"/>
      <c r="QQ156" s="1"/>
      <c r="QR156" s="1"/>
      <c r="QS156" s="1"/>
      <c r="QT156" s="1"/>
      <c r="QU156" s="1"/>
      <c r="QV156" s="1"/>
      <c r="QW156" s="1"/>
      <c r="QX156" s="1"/>
      <c r="QY156" s="1"/>
      <c r="QZ156" s="1"/>
      <c r="RA156" s="1"/>
      <c r="RB156" s="1"/>
      <c r="RC156" s="1"/>
      <c r="RD156" s="1"/>
      <c r="RE156" s="1"/>
      <c r="RF156" s="1"/>
      <c r="RG156" s="1"/>
      <c r="RH156" s="1"/>
      <c r="RI156" s="1"/>
      <c r="RJ156" s="1"/>
      <c r="RK156" s="1"/>
      <c r="RL156" s="1"/>
      <c r="RM156" s="1"/>
      <c r="RN156" s="1"/>
      <c r="RO156" s="1"/>
      <c r="RP156" s="1"/>
      <c r="RQ156" s="1"/>
      <c r="RR156" s="1"/>
      <c r="RS156" s="1"/>
      <c r="RT156" s="1"/>
      <c r="RU156" s="1"/>
      <c r="RV156" s="1"/>
      <c r="RW156" s="1"/>
      <c r="RX156" s="1"/>
      <c r="RY156" s="1"/>
      <c r="RZ156" s="1"/>
      <c r="SA156" s="1"/>
      <c r="SB156" s="1"/>
      <c r="SC156" s="1"/>
      <c r="SD156" s="1"/>
      <c r="SE156" s="1"/>
      <c r="SF156" s="1"/>
      <c r="SG156" s="1"/>
      <c r="SH156" s="1"/>
      <c r="SI156" s="1"/>
      <c r="SJ156" s="1"/>
      <c r="SK156" s="1"/>
      <c r="SL156" s="1"/>
      <c r="SM156" s="1"/>
      <c r="SN156" s="1"/>
      <c r="SO156" s="1"/>
      <c r="SP156" s="1"/>
      <c r="SQ156" s="1"/>
      <c r="SR156" s="1"/>
      <c r="SS156" s="1"/>
      <c r="ST156" s="1"/>
      <c r="SU156" s="1"/>
      <c r="SV156" s="1"/>
      <c r="SW156" s="1"/>
      <c r="SX156" s="1"/>
      <c r="SY156" s="1"/>
      <c r="SZ156" s="1"/>
      <c r="TA156" s="1"/>
      <c r="TB156" s="1"/>
      <c r="TC156" s="1"/>
      <c r="TD156" s="1"/>
      <c r="TE156" s="1"/>
      <c r="TF156" s="1"/>
      <c r="TG156" s="1"/>
      <c r="TH156" s="1"/>
      <c r="TI156" s="1"/>
      <c r="TJ156" s="1"/>
      <c r="TK156" s="1"/>
      <c r="TL156" s="1"/>
      <c r="TM156" s="1"/>
      <c r="TN156" s="1"/>
      <c r="TO156" s="1"/>
      <c r="TP156" s="1"/>
      <c r="TQ156" s="1"/>
      <c r="TR156" s="1"/>
      <c r="TS156" s="1"/>
      <c r="TT156" s="1"/>
      <c r="TU156" s="1"/>
      <c r="TV156" s="1"/>
      <c r="TW156" s="1"/>
      <c r="TX156" s="1"/>
      <c r="TY156" s="1"/>
      <c r="TZ156" s="1"/>
      <c r="UA156" s="1"/>
      <c r="UB156" s="1"/>
      <c r="UC156" s="1"/>
      <c r="UD156" s="1"/>
      <c r="UE156" s="1"/>
      <c r="UF156" s="1"/>
      <c r="UG156" s="1"/>
      <c r="UH156" s="1"/>
      <c r="UI156" s="1"/>
      <c r="UJ156" s="1"/>
      <c r="UK156" s="1"/>
      <c r="UL156" s="1"/>
      <c r="UM156" s="1"/>
      <c r="UN156" s="1"/>
      <c r="UO156" s="1"/>
      <c r="UP156" s="1"/>
      <c r="UQ156" s="1"/>
      <c r="UR156" s="1"/>
      <c r="US156" s="1"/>
      <c r="UT156" s="1"/>
      <c r="UU156" s="1"/>
      <c r="UV156" s="1"/>
      <c r="UW156" s="1"/>
      <c r="UX156" s="1"/>
      <c r="UY156" s="1"/>
      <c r="UZ156" s="1"/>
      <c r="VA156" s="1"/>
      <c r="VB156" s="1"/>
      <c r="VC156" s="1"/>
      <c r="VD156" s="1"/>
      <c r="VE156" s="1"/>
      <c r="VF156" s="1"/>
      <c r="VG156" s="1"/>
      <c r="VH156" s="1"/>
      <c r="VI156" s="1"/>
      <c r="VJ156" s="1"/>
      <c r="VK156" s="1"/>
      <c r="VL156" s="1"/>
      <c r="VM156" s="1"/>
      <c r="VN156" s="1"/>
      <c r="VO156" s="1"/>
      <c r="VP156" s="1"/>
      <c r="VQ156" s="1"/>
      <c r="VR156" s="1"/>
      <c r="VS156" s="1"/>
      <c r="VT156" s="1"/>
      <c r="VU156" s="1"/>
      <c r="VV156" s="1"/>
      <c r="VW156" s="1"/>
      <c r="VX156" s="1"/>
      <c r="VY156" s="1"/>
      <c r="VZ156" s="1"/>
      <c r="WA156" s="1"/>
      <c r="WB156" s="1"/>
      <c r="WC156" s="1"/>
      <c r="WD156" s="1"/>
      <c r="WE156" s="1"/>
      <c r="WF156" s="1"/>
      <c r="WG156" s="1"/>
      <c r="WH156" s="1"/>
      <c r="WI156" s="1"/>
      <c r="WJ156" s="1"/>
      <c r="WK156" s="1"/>
      <c r="WL156" s="1"/>
      <c r="WM156" s="1"/>
      <c r="WN156" s="1"/>
      <c r="WO156" s="1"/>
      <c r="WP156" s="1"/>
      <c r="WQ156" s="1"/>
      <c r="WR156" s="1"/>
      <c r="WS156" s="1"/>
      <c r="WT156" s="1"/>
      <c r="WU156" s="1"/>
      <c r="WV156" s="1"/>
      <c r="WW156" s="1"/>
      <c r="WX156" s="1"/>
      <c r="WY156" s="1"/>
      <c r="WZ156" s="1"/>
      <c r="XA156" s="1"/>
      <c r="XB156" s="1"/>
      <c r="XC156" s="1"/>
      <c r="XD156" s="1"/>
      <c r="XE156" s="1"/>
      <c r="XF156" s="1"/>
      <c r="XG156" s="1"/>
      <c r="XH156" s="1"/>
      <c r="XI156" s="1"/>
      <c r="XJ156" s="1"/>
      <c r="XK156" s="1"/>
      <c r="XL156" s="1"/>
      <c r="XM156" s="1"/>
      <c r="XN156" s="1"/>
      <c r="XO156" s="1"/>
      <c r="XP156" s="1"/>
      <c r="XQ156" s="1"/>
      <c r="XR156" s="1"/>
      <c r="XS156" s="1"/>
      <c r="XT156" s="1"/>
      <c r="XU156" s="1"/>
      <c r="XV156" s="1"/>
      <c r="XW156" s="1"/>
      <c r="XX156" s="1"/>
      <c r="XY156" s="1"/>
      <c r="XZ156" s="1"/>
      <c r="YA156" s="1"/>
      <c r="YB156" s="1"/>
      <c r="YC156" s="1"/>
      <c r="YD156" s="1"/>
      <c r="YE156" s="1"/>
      <c r="YF156" s="1"/>
      <c r="YG156" s="1"/>
      <c r="YH156" s="1"/>
      <c r="YI156" s="1"/>
      <c r="YJ156" s="1"/>
      <c r="YK156" s="1"/>
      <c r="YL156" s="1"/>
      <c r="YM156" s="1"/>
      <c r="YN156" s="1"/>
      <c r="YO156" s="1"/>
      <c r="YP156" s="1"/>
      <c r="YQ156" s="1"/>
      <c r="YR156" s="1"/>
      <c r="YS156" s="1"/>
      <c r="YT156" s="1"/>
      <c r="YU156" s="1"/>
      <c r="YV156" s="1"/>
      <c r="YW156" s="1"/>
      <c r="YX156" s="1"/>
      <c r="YY156" s="1"/>
      <c r="YZ156" s="1"/>
      <c r="ZA156" s="1"/>
      <c r="ZB156" s="1"/>
      <c r="ZC156" s="1"/>
      <c r="ZD156" s="1"/>
      <c r="ZE156" s="1"/>
      <c r="ZF156" s="1"/>
      <c r="ZG156" s="1"/>
      <c r="ZH156" s="1"/>
      <c r="ZI156" s="1"/>
      <c r="ZJ156" s="1"/>
      <c r="ZK156" s="1"/>
      <c r="ZL156" s="1"/>
      <c r="ZM156" s="1"/>
      <c r="ZN156" s="1"/>
      <c r="ZO156" s="1"/>
      <c r="ZP156" s="1"/>
      <c r="ZQ156" s="1"/>
      <c r="ZR156" s="1"/>
      <c r="ZS156" s="1"/>
      <c r="ZT156" s="1"/>
      <c r="ZU156" s="1"/>
      <c r="ZV156" s="1"/>
      <c r="ZW156" s="1"/>
      <c r="ZX156" s="1"/>
      <c r="ZY156" s="1"/>
      <c r="ZZ156" s="1"/>
      <c r="AAA156" s="1"/>
      <c r="AAB156" s="1"/>
      <c r="AAC156" s="1"/>
      <c r="AAD156" s="1"/>
      <c r="AAE156" s="1"/>
      <c r="AAF156" s="1"/>
      <c r="AAG156" s="1"/>
      <c r="AAH156" s="1"/>
      <c r="AAI156" s="1"/>
      <c r="AAJ156" s="1"/>
      <c r="AAK156" s="1"/>
      <c r="AAL156" s="1"/>
      <c r="AAM156" s="1"/>
      <c r="AAN156" s="1"/>
      <c r="AAO156" s="1"/>
      <c r="AAP156" s="1"/>
      <c r="AAQ156" s="1"/>
      <c r="AAR156" s="1"/>
      <c r="AAS156" s="1"/>
      <c r="AAT156" s="1"/>
      <c r="AAU156" s="1"/>
      <c r="AAV156" s="1"/>
      <c r="AAW156" s="1"/>
      <c r="AAX156" s="1"/>
      <c r="AAY156" s="1"/>
      <c r="AAZ156" s="1"/>
      <c r="ABA156" s="1"/>
      <c r="ABB156" s="1"/>
      <c r="ABC156" s="1"/>
      <c r="ABD156" s="1"/>
      <c r="ABE156" s="1"/>
      <c r="ABF156" s="1"/>
      <c r="ABG156" s="1"/>
      <c r="ABH156" s="1"/>
      <c r="ABI156" s="1"/>
      <c r="ABJ156" s="1"/>
      <c r="ABK156" s="1"/>
      <c r="ABL156" s="1"/>
      <c r="ABM156" s="1"/>
      <c r="ABN156" s="1"/>
      <c r="ABO156" s="1"/>
      <c r="ABP156" s="1"/>
      <c r="ABQ156" s="1"/>
      <c r="ABR156" s="1"/>
      <c r="ABS156" s="1"/>
      <c r="ABT156" s="1"/>
      <c r="ABU156" s="1"/>
      <c r="ABV156" s="1"/>
      <c r="ABW156" s="1"/>
      <c r="ABX156" s="1"/>
      <c r="ABY156" s="1"/>
      <c r="ABZ156" s="1"/>
      <c r="ACA156" s="1"/>
      <c r="ACB156" s="1"/>
      <c r="ACC156" s="1"/>
      <c r="ACD156" s="1"/>
      <c r="ACE156" s="1"/>
      <c r="ACF156" s="1"/>
      <c r="ACG156" s="1"/>
      <c r="ACH156" s="1"/>
      <c r="ACI156" s="1"/>
      <c r="ACJ156" s="1"/>
      <c r="ACK156" s="1"/>
      <c r="ACL156" s="1"/>
      <c r="ACM156" s="1"/>
      <c r="ACN156" s="1"/>
      <c r="ACO156" s="1"/>
      <c r="ACP156" s="1"/>
      <c r="ACQ156" s="1"/>
      <c r="ACR156" s="1"/>
      <c r="ACS156" s="1"/>
      <c r="ACT156" s="1"/>
      <c r="ACU156" s="1"/>
      <c r="ACV156" s="1"/>
      <c r="ACW156" s="1"/>
      <c r="ACX156" s="1"/>
      <c r="ACY156" s="1"/>
      <c r="ACZ156" s="1"/>
      <c r="ADA156" s="1"/>
      <c r="ADB156" s="1"/>
      <c r="ADC156" s="1"/>
      <c r="ADD156" s="1"/>
      <c r="ADE156" s="1"/>
      <c r="ADF156" s="1"/>
      <c r="ADG156" s="1"/>
      <c r="ADH156" s="1"/>
      <c r="ADI156" s="1"/>
      <c r="ADJ156" s="1"/>
      <c r="ADK156" s="1"/>
      <c r="ADL156" s="1"/>
      <c r="ADM156" s="1"/>
      <c r="ADN156" s="1"/>
      <c r="ADO156" s="1"/>
      <c r="ADP156" s="1"/>
      <c r="ADQ156" s="1"/>
      <c r="ADR156" s="1"/>
      <c r="ADS156" s="1"/>
      <c r="ADT156" s="1"/>
      <c r="ADU156" s="1"/>
      <c r="ADV156" s="1"/>
      <c r="ADW156" s="1"/>
      <c r="ADX156" s="1"/>
      <c r="ADY156" s="1"/>
      <c r="ADZ156" s="1"/>
      <c r="AEA156" s="1"/>
      <c r="AEB156" s="1"/>
      <c r="AEC156" s="1"/>
      <c r="AED156" s="1"/>
      <c r="AEE156" s="1"/>
      <c r="AEF156" s="1"/>
      <c r="AEG156" s="1"/>
      <c r="AEH156" s="1"/>
      <c r="AEI156" s="1"/>
      <c r="AEJ156" s="1"/>
      <c r="AEK156" s="1"/>
      <c r="AEL156" s="1"/>
      <c r="AEM156" s="1"/>
      <c r="AEN156" s="1"/>
      <c r="AEO156" s="1"/>
      <c r="AEP156" s="1"/>
      <c r="AEQ156" s="1"/>
      <c r="AER156" s="1"/>
      <c r="AES156" s="1"/>
      <c r="AET156" s="1"/>
      <c r="AEU156" s="1"/>
      <c r="AEV156" s="1"/>
      <c r="AEW156" s="1"/>
      <c r="AEX156" s="1"/>
      <c r="AEY156" s="1"/>
      <c r="AEZ156" s="1"/>
      <c r="AFA156" s="1"/>
      <c r="AFB156" s="1"/>
      <c r="AFC156" s="1"/>
      <c r="AFD156" s="1"/>
      <c r="AFE156" s="1"/>
      <c r="AFF156" s="1"/>
      <c r="AFG156" s="1"/>
      <c r="AFH156" s="1"/>
      <c r="AFI156" s="1"/>
      <c r="AFJ156" s="1"/>
      <c r="AFK156" s="1"/>
      <c r="AFL156" s="1"/>
      <c r="AFM156" s="1"/>
      <c r="AFN156" s="1"/>
      <c r="AFO156" s="1"/>
      <c r="AFP156" s="1"/>
      <c r="AFQ156" s="1"/>
      <c r="AFR156" s="1"/>
      <c r="AFS156" s="1"/>
      <c r="AFT156" s="1"/>
      <c r="AFU156" s="1"/>
      <c r="AFV156" s="1"/>
      <c r="AFW156" s="1"/>
      <c r="AFX156" s="1"/>
      <c r="AFY156" s="1"/>
      <c r="AFZ156" s="1"/>
      <c r="AGA156" s="1"/>
      <c r="AGB156" s="1"/>
      <c r="AGC156" s="1"/>
      <c r="AGD156" s="1"/>
      <c r="AGE156" s="1"/>
      <c r="AGF156" s="1"/>
      <c r="AGG156" s="1"/>
      <c r="AGH156" s="1"/>
      <c r="AGI156" s="1"/>
      <c r="AGJ156" s="1"/>
      <c r="AGK156" s="1"/>
      <c r="AGL156" s="1"/>
      <c r="AGM156" s="1"/>
      <c r="AGN156" s="1"/>
      <c r="AGO156" s="1"/>
      <c r="AGP156" s="1"/>
      <c r="AGQ156" s="1"/>
      <c r="AGR156" s="1"/>
      <c r="AGS156" s="1"/>
      <c r="AGT156" s="1"/>
      <c r="AGU156" s="1"/>
      <c r="AGV156" s="1"/>
      <c r="AGW156" s="1"/>
      <c r="AGX156" s="1"/>
      <c r="AGY156" s="1"/>
      <c r="AGZ156" s="1"/>
      <c r="AHA156" s="1"/>
      <c r="AHB156" s="1"/>
      <c r="AHC156" s="1"/>
      <c r="AHD156" s="1"/>
      <c r="AHE156" s="1"/>
      <c r="AHF156" s="1"/>
      <c r="AHG156" s="1"/>
      <c r="AHH156" s="1"/>
      <c r="AHI156" s="1"/>
      <c r="AHJ156" s="1"/>
      <c r="AHK156" s="1"/>
      <c r="AHL156" s="1"/>
      <c r="AHM156" s="1"/>
      <c r="AHN156" s="1"/>
      <c r="AHO156" s="1"/>
      <c r="AHP156" s="1"/>
      <c r="AHQ156" s="1"/>
      <c r="AHR156" s="1"/>
      <c r="AHS156" s="1"/>
      <c r="AHT156" s="1"/>
      <c r="AHU156" s="1"/>
      <c r="AHV156" s="1"/>
      <c r="AHW156" s="1"/>
      <c r="AHX156" s="1"/>
      <c r="AHY156" s="1"/>
      <c r="AHZ156" s="1"/>
      <c r="AIA156" s="1"/>
      <c r="AIB156" s="1"/>
      <c r="AIC156" s="1"/>
      <c r="AID156" s="1"/>
      <c r="AIE156" s="1"/>
      <c r="AIF156" s="1"/>
      <c r="AIG156" s="1"/>
      <c r="AIH156" s="1"/>
      <c r="AII156" s="1"/>
      <c r="AIJ156" s="1"/>
      <c r="AIK156" s="1"/>
      <c r="AIL156" s="1"/>
      <c r="AIM156" s="1"/>
      <c r="AIN156" s="1"/>
      <c r="AIO156" s="1"/>
      <c r="AIP156" s="1"/>
      <c r="AIQ156" s="1"/>
      <c r="AIR156" s="1"/>
      <c r="AIS156" s="1"/>
      <c r="AIT156" s="1"/>
      <c r="AIU156" s="1"/>
      <c r="AIV156" s="1"/>
      <c r="AIW156" s="1"/>
      <c r="AIX156" s="1"/>
      <c r="AIY156" s="1"/>
      <c r="AIZ156" s="1"/>
      <c r="AJA156" s="1"/>
      <c r="AJB156" s="1"/>
      <c r="AJC156" s="1"/>
      <c r="AJD156" s="1"/>
      <c r="AJE156" s="1"/>
      <c r="AJF156" s="1"/>
      <c r="AJG156" s="1"/>
      <c r="AJH156" s="1"/>
      <c r="AJI156" s="1"/>
      <c r="AJJ156" s="1"/>
      <c r="AJK156" s="1"/>
      <c r="AJL156" s="1"/>
      <c r="AJM156" s="1"/>
      <c r="AJN156" s="1"/>
      <c r="AJO156" s="1"/>
      <c r="AJP156" s="1"/>
      <c r="AJQ156" s="1"/>
      <c r="AJR156" s="1"/>
      <c r="AJS156" s="1"/>
      <c r="AJT156" s="1"/>
      <c r="AJU156" s="1"/>
      <c r="AJV156" s="1"/>
      <c r="AJW156" s="1"/>
      <c r="AJX156" s="1"/>
      <c r="AJY156" s="1"/>
      <c r="AJZ156" s="1"/>
      <c r="AKA156" s="1"/>
      <c r="AKB156" s="1"/>
      <c r="AKC156" s="1"/>
      <c r="AKD156" s="1"/>
      <c r="AKE156" s="1"/>
      <c r="AKF156" s="1"/>
      <c r="AKG156" s="1"/>
      <c r="AKH156" s="1"/>
      <c r="AKI156" s="1"/>
      <c r="AKJ156" s="1"/>
      <c r="AKK156" s="1"/>
      <c r="AKL156" s="1"/>
      <c r="AKM156" s="1"/>
      <c r="AKN156" s="1"/>
      <c r="AKO156" s="1"/>
      <c r="AKP156" s="1"/>
      <c r="AKQ156" s="1"/>
      <c r="AKR156" s="1"/>
      <c r="AKS156" s="1"/>
      <c r="AKT156" s="1"/>
      <c r="AKU156" s="1"/>
      <c r="AKV156" s="1"/>
      <c r="AKW156" s="1"/>
      <c r="AKX156" s="1"/>
      <c r="AKY156" s="1"/>
      <c r="AKZ156" s="1"/>
      <c r="ALA156" s="1"/>
      <c r="ALB156" s="1"/>
      <c r="ALC156" s="1"/>
      <c r="ALD156" s="1"/>
      <c r="ALE156" s="1"/>
      <c r="ALF156" s="1"/>
      <c r="ALG156" s="1"/>
      <c r="ALH156" s="1"/>
      <c r="ALI156" s="1"/>
      <c r="ALJ156" s="1"/>
      <c r="ALK156" s="1"/>
      <c r="ALL156" s="1"/>
      <c r="ALM156" s="1"/>
      <c r="ALN156" s="1"/>
      <c r="ALO156" s="1"/>
      <c r="ALP156" s="1"/>
      <c r="ALQ156" s="1"/>
      <c r="ALR156" s="1"/>
      <c r="ALS156" s="1"/>
      <c r="ALT156" s="1"/>
      <c r="ALU156" s="1"/>
      <c r="ALV156" s="1"/>
      <c r="ALW156" s="1"/>
      <c r="ALX156" s="1"/>
      <c r="ALY156" s="1"/>
      <c r="ALZ156" s="1"/>
      <c r="AMA156" s="1"/>
      <c r="AMB156" s="1"/>
      <c r="AMC156" s="1"/>
      <c r="AMD156" s="1"/>
      <c r="AME156" s="1"/>
      <c r="AMF156" s="1"/>
      <c r="AMG156" s="1"/>
      <c r="AMH156" s="1"/>
      <c r="AMI156" s="1"/>
      <c r="AMJ156" s="1"/>
      <c r="AMK156" s="1"/>
      <c r="AML156" s="1"/>
      <c r="AMM156" s="1"/>
      <c r="AMN156" s="1"/>
      <c r="AMO156" s="2"/>
    </row>
    <row r="157" spans="1:1029" x14ac:dyDescent="0.2">
      <c r="A157" s="3" t="str">
        <f t="shared" si="639"/>
        <v>ox1r_human_4ZJC</v>
      </c>
      <c r="B157" s="3" t="s">
        <v>1175</v>
      </c>
      <c r="C157" s="3" t="s">
        <v>91</v>
      </c>
      <c r="D157" s="3" t="str">
        <f>IFERROR(MID(VLOOKUP($B157,Seqs!$A:$B,2,0),E157,1),"")</f>
        <v>E</v>
      </c>
      <c r="E157" s="3">
        <v>46</v>
      </c>
      <c r="F157" s="3" t="str">
        <f>IFERROR(MID(VLOOKUP($B157,Seqs!$A:$B,2,0),G157,1),"")</f>
        <v>N</v>
      </c>
      <c r="G157" s="3">
        <v>74</v>
      </c>
      <c r="H157" s="3" t="str">
        <f>IFERROR(MID(VLOOKUP($B157,Seqs!$A:$B,2,0),I157,1),"")</f>
        <v>H</v>
      </c>
      <c r="I157" s="23">
        <v>75</v>
      </c>
      <c r="J157" s="3" t="str">
        <f>IFERROR(MID(VLOOKUP($B157,Seqs!$A:$B,2,0),K157,1),"")</f>
        <v>R</v>
      </c>
      <c r="K157" s="23">
        <v>78</v>
      </c>
      <c r="L157" s="3" t="str">
        <f>IFERROR(MID(VLOOKUP($B157,Seqs!$A:$B,2,0),M157,1),"")</f>
        <v>T</v>
      </c>
      <c r="M157" s="3">
        <v>79</v>
      </c>
      <c r="N157" s="3" t="str">
        <f>IFERROR(MID(VLOOKUP($B157,Seqs!$A:$B,2,0),O157,1),"")</f>
        <v>T</v>
      </c>
      <c r="O157" s="3">
        <v>109</v>
      </c>
      <c r="P157" s="3" t="str">
        <f>IFERROR(MID(VLOOKUP($B157,Seqs!$A:$B,2,0),Q157,1),"")</f>
        <v>S</v>
      </c>
      <c r="Q157" s="3">
        <v>111</v>
      </c>
      <c r="R157" s="3" t="str">
        <f>IFERROR(MID(VLOOKUP($B157,Seqs!$A:$B,2,0),S157,1),"")</f>
        <v>F</v>
      </c>
      <c r="S157" s="3">
        <v>114</v>
      </c>
      <c r="T157" s="3" t="str">
        <f>IFERROR(MID(VLOOKUP($B157,Seqs!$A:$B,2,0),U157,1),"")</f>
        <v>G</v>
      </c>
      <c r="U157" s="3">
        <v>115</v>
      </c>
      <c r="V157" s="3" t="str">
        <f>IFERROR(MID(VLOOKUP($B157,Seqs!$A:$B,2,0),W157,1),"")</f>
        <v>H</v>
      </c>
      <c r="W157" s="3">
        <v>150</v>
      </c>
      <c r="X157" s="3" t="str">
        <f>IFERROR(MID(VLOOKUP($B157,Seqs!$A:$B,2,0),Y157,1),"")</f>
        <v>P</v>
      </c>
      <c r="Y157" s="3">
        <v>151</v>
      </c>
      <c r="Z157" s="3" t="str">
        <f>IFERROR(MID(VLOOKUP($B157,Seqs!$A:$B,2,0),AA157,1),"")</f>
        <v>F</v>
      </c>
      <c r="AA157" s="3">
        <v>154</v>
      </c>
      <c r="AB157" s="3" t="str">
        <f>IFERROR(MID(VLOOKUP($B157,Seqs!$A:$B,2,0),AC157,1),"")</f>
        <v>T</v>
      </c>
      <c r="AC157" s="9">
        <v>157</v>
      </c>
      <c r="AD157" s="3" t="str">
        <f>IFERROR(MID(VLOOKUP($B157,Seqs!$A:$B,2,0),AE157,1),"")</f>
        <v>M</v>
      </c>
      <c r="AE157" s="3">
        <v>183</v>
      </c>
      <c r="AF157" s="3" t="str">
        <f>IFERROR(MID(VLOOKUP($B157,Seqs!$A:$B,2,0),AG157,1),"")</f>
        <v>C</v>
      </c>
      <c r="AG157" s="3">
        <v>202</v>
      </c>
      <c r="AH157" s="3" t="str">
        <f>IFERROR(MID(VLOOKUP($B157,Seqs!$A:$B,2,0),AI157,1),"")</f>
        <v>E</v>
      </c>
      <c r="AI157" s="3">
        <v>204</v>
      </c>
      <c r="AJ157" s="3" t="str">
        <f>IFERROR(MID(VLOOKUP($B157,Seqs!$A:$B,2,0),AK157,1),"")</f>
        <v>D</v>
      </c>
      <c r="AK157" s="3">
        <v>209</v>
      </c>
      <c r="AL157" s="3" t="str">
        <f>IFERROR(MID(VLOOKUP($B157,Seqs!$A:$B,2,0),AM157,1),"")</f>
        <v>L</v>
      </c>
      <c r="AM157" s="3">
        <v>242</v>
      </c>
      <c r="AN157" s="3" t="str">
        <f>IFERROR(MID(VLOOKUP($B157,Seqs!$A:$B,2,0),AO157,1),"")</f>
        <v>K</v>
      </c>
      <c r="AO157" s="3">
        <v>288</v>
      </c>
      <c r="AP157" s="3" t="str">
        <f>IFERROR(MID(VLOOKUP($B157,Seqs!$A:$B,2,0),AQ157,1),"")</f>
        <v>F</v>
      </c>
      <c r="AQ157" s="3">
        <v>324</v>
      </c>
      <c r="AR157" s="3" t="str">
        <f>IFERROR(MID(VLOOKUP($B157,Seqs!$A:$B,2,0),AS157,1),"")</f>
        <v>R</v>
      </c>
      <c r="AS157" s="3">
        <v>333</v>
      </c>
      <c r="AT157" s="3" t="str">
        <f>IFERROR(MID(VLOOKUP($B157,Seqs!$A:$B,2,0),AU157,1),"")</f>
        <v>L</v>
      </c>
      <c r="AU157" s="3">
        <v>361</v>
      </c>
      <c r="AV157" s="3" t="str">
        <f>IFERROR(MID(VLOOKUP($B157,Seqs!$A:$B,2,0),AW157,1),"")</f>
        <v>S</v>
      </c>
      <c r="AW157" s="3">
        <v>362</v>
      </c>
      <c r="AX157" s="3" t="str">
        <f>IFERROR(MID(VLOOKUP($B157,Seqs!$A:$B,2,0),AY157,1),"")</f>
        <v>F</v>
      </c>
      <c r="AY157" s="3">
        <v>373</v>
      </c>
      <c r="AZ157" s="79" t="str">
        <f>VLOOKUP(B157,Classification!A:D,2,0)</f>
        <v>A</v>
      </c>
      <c r="BA157" s="97" t="str">
        <f>VLOOKUP(B157,Classification!A:D,4,0)</f>
        <v>Orexin</v>
      </c>
      <c r="BB157" s="27" t="b">
        <f t="shared" si="640"/>
        <v>1</v>
      </c>
      <c r="BC157" s="23">
        <f t="shared" si="613"/>
        <v>250</v>
      </c>
      <c r="BD157" s="2" t="s">
        <v>1383</v>
      </c>
      <c r="BE157" s="3" t="s">
        <v>1381</v>
      </c>
      <c r="BF157" s="50" t="s">
        <v>1384</v>
      </c>
      <c r="BG157" s="50" t="s">
        <v>1384</v>
      </c>
      <c r="BH157" s="1"/>
      <c r="BI157" s="72" t="s">
        <v>1293</v>
      </c>
      <c r="BJ157" s="58" t="s">
        <v>1293</v>
      </c>
      <c r="BK157" s="58" t="s">
        <v>1293</v>
      </c>
      <c r="BL157" s="58" t="s">
        <v>1293</v>
      </c>
      <c r="BM157" s="58" t="s">
        <v>1293</v>
      </c>
      <c r="BN157" s="58" t="s">
        <v>1293</v>
      </c>
      <c r="BO157" s="58" t="s">
        <v>1293</v>
      </c>
      <c r="BP157" s="58" t="s">
        <v>1293</v>
      </c>
      <c r="BQ157" s="58" t="s">
        <v>1293</v>
      </c>
      <c r="BR157" s="58" t="s">
        <v>1293</v>
      </c>
      <c r="BS157" s="58" t="s">
        <v>1293</v>
      </c>
      <c r="BT157" s="58" t="s">
        <v>1293</v>
      </c>
      <c r="BU157" s="72">
        <f t="shared" si="614"/>
        <v>46</v>
      </c>
      <c r="BV157" s="73">
        <f t="shared" si="615"/>
        <v>75</v>
      </c>
      <c r="BW157" s="74">
        <f t="shared" si="616"/>
        <v>79</v>
      </c>
      <c r="BX157" s="73">
        <f t="shared" si="617"/>
        <v>111</v>
      </c>
      <c r="BY157" s="74">
        <f t="shared" si="618"/>
        <v>115</v>
      </c>
      <c r="BZ157" s="73">
        <f t="shared" si="619"/>
        <v>151</v>
      </c>
      <c r="CA157" s="74">
        <f t="shared" si="620"/>
        <v>157</v>
      </c>
      <c r="CB157" s="73">
        <f t="shared" si="621"/>
        <v>202</v>
      </c>
      <c r="CC157" s="74">
        <f t="shared" si="622"/>
        <v>209</v>
      </c>
      <c r="CD157" s="73">
        <f t="shared" si="623"/>
        <v>288</v>
      </c>
      <c r="CE157" s="74">
        <f t="shared" si="624"/>
        <v>333</v>
      </c>
      <c r="CF157" s="73">
        <f t="shared" si="625"/>
        <v>362</v>
      </c>
      <c r="CG157" s="72">
        <f t="shared" si="626"/>
        <v>74</v>
      </c>
      <c r="CH157" s="73">
        <f t="shared" si="627"/>
        <v>78</v>
      </c>
      <c r="CI157" s="74">
        <f t="shared" si="628"/>
        <v>109</v>
      </c>
      <c r="CJ157" s="74">
        <f t="shared" si="629"/>
        <v>114</v>
      </c>
      <c r="CK157" s="74">
        <f t="shared" si="630"/>
        <v>150</v>
      </c>
      <c r="CL157" s="74">
        <f t="shared" si="631"/>
        <v>154</v>
      </c>
      <c r="CM157" s="74">
        <f t="shared" si="632"/>
        <v>183</v>
      </c>
      <c r="CN157" s="74">
        <f t="shared" si="633"/>
        <v>204</v>
      </c>
      <c r="CO157" s="74">
        <f t="shared" si="634"/>
        <v>242</v>
      </c>
      <c r="CP157" s="74">
        <f t="shared" si="635"/>
        <v>324</v>
      </c>
      <c r="CQ157" s="74">
        <f t="shared" si="636"/>
        <v>361</v>
      </c>
      <c r="CR157" s="74">
        <f t="shared" si="637"/>
        <v>373</v>
      </c>
      <c r="CS157" s="23">
        <f t="shared" si="638"/>
        <v>1</v>
      </c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  <c r="JG157" s="1"/>
      <c r="JH157" s="1"/>
      <c r="JI157" s="1"/>
      <c r="JJ157" s="1"/>
      <c r="JK157" s="1"/>
      <c r="JL157" s="1"/>
      <c r="JM157" s="1"/>
      <c r="JN157" s="1"/>
      <c r="JO157" s="1"/>
      <c r="JP157" s="1"/>
      <c r="JQ157" s="1"/>
      <c r="JR157" s="1"/>
      <c r="JS157" s="1"/>
      <c r="JT157" s="1"/>
      <c r="JU157" s="1"/>
      <c r="JV157" s="1"/>
      <c r="JW157" s="1"/>
      <c r="JX157" s="1"/>
      <c r="JY157" s="1"/>
      <c r="JZ157" s="1"/>
      <c r="KA157" s="1"/>
      <c r="KB157" s="1"/>
      <c r="KC157" s="1"/>
      <c r="KD157" s="1"/>
      <c r="KE157" s="1"/>
      <c r="KF157" s="1"/>
      <c r="KG157" s="1"/>
      <c r="KH157" s="1"/>
      <c r="KI157" s="1"/>
      <c r="KJ157" s="1"/>
      <c r="KK157" s="1"/>
      <c r="KL157" s="1"/>
      <c r="KM157" s="1"/>
      <c r="KN157" s="1"/>
      <c r="KO157" s="1"/>
      <c r="KP157" s="1"/>
      <c r="KQ157" s="1"/>
      <c r="KR157" s="1"/>
      <c r="KS157" s="1"/>
      <c r="KT157" s="1"/>
      <c r="KU157" s="1"/>
      <c r="KV157" s="1"/>
      <c r="KW157" s="1"/>
      <c r="KX157" s="1"/>
      <c r="KY157" s="1"/>
      <c r="KZ157" s="1"/>
      <c r="LA157" s="1"/>
      <c r="LB157" s="1"/>
      <c r="LC157" s="1"/>
      <c r="LD157" s="1"/>
      <c r="LE157" s="1"/>
      <c r="LF157" s="1"/>
      <c r="LG157" s="1"/>
      <c r="LH157" s="1"/>
      <c r="LI157" s="1"/>
      <c r="LJ157" s="1"/>
      <c r="LK157" s="1"/>
      <c r="LL157" s="1"/>
      <c r="LM157" s="1"/>
      <c r="LN157" s="1"/>
      <c r="LO157" s="1"/>
      <c r="LP157" s="1"/>
      <c r="LQ157" s="1"/>
      <c r="LR157" s="1"/>
      <c r="LS157" s="1"/>
      <c r="LT157" s="1"/>
      <c r="LU157" s="1"/>
      <c r="LV157" s="1"/>
      <c r="LW157" s="1"/>
      <c r="LX157" s="1"/>
      <c r="LY157" s="1"/>
      <c r="LZ157" s="1"/>
      <c r="MA157" s="1"/>
      <c r="MB157" s="1"/>
      <c r="MC157" s="1"/>
      <c r="MD157" s="1"/>
      <c r="ME157" s="1"/>
      <c r="MF157" s="1"/>
      <c r="MG157" s="1"/>
      <c r="MH157" s="1"/>
      <c r="MI157" s="1"/>
      <c r="MJ157" s="1"/>
      <c r="MK157" s="1"/>
      <c r="ML157" s="1"/>
      <c r="MM157" s="1"/>
      <c r="MN157" s="1"/>
      <c r="MO157" s="1"/>
      <c r="MP157" s="1"/>
      <c r="MQ157" s="1"/>
      <c r="MR157" s="1"/>
      <c r="MS157" s="1"/>
      <c r="MT157" s="1"/>
      <c r="MU157" s="1"/>
      <c r="MV157" s="1"/>
      <c r="MW157" s="1"/>
      <c r="MX157" s="1"/>
      <c r="MY157" s="1"/>
      <c r="MZ157" s="1"/>
      <c r="NA157" s="1"/>
      <c r="NB157" s="1"/>
      <c r="NC157" s="1"/>
      <c r="ND157" s="1"/>
      <c r="NE157" s="1"/>
      <c r="NF157" s="1"/>
      <c r="NG157" s="1"/>
      <c r="NH157" s="1"/>
      <c r="NI157" s="1"/>
      <c r="NJ157" s="1"/>
      <c r="NK157" s="1"/>
      <c r="NL157" s="1"/>
      <c r="NM157" s="1"/>
      <c r="NN157" s="1"/>
      <c r="NO157" s="1"/>
      <c r="NP157" s="1"/>
      <c r="NQ157" s="1"/>
      <c r="NR157" s="1"/>
      <c r="NS157" s="1"/>
      <c r="NT157" s="1"/>
      <c r="NU157" s="1"/>
      <c r="NV157" s="1"/>
      <c r="NW157" s="1"/>
      <c r="NX157" s="1"/>
      <c r="NY157" s="1"/>
      <c r="NZ157" s="1"/>
      <c r="OA157" s="1"/>
      <c r="OB157" s="1"/>
      <c r="OC157" s="1"/>
      <c r="OD157" s="1"/>
      <c r="OE157" s="1"/>
      <c r="OF157" s="1"/>
      <c r="OG157" s="1"/>
      <c r="OH157" s="1"/>
      <c r="OI157" s="1"/>
      <c r="OJ157" s="1"/>
      <c r="OK157" s="1"/>
      <c r="OL157" s="1"/>
      <c r="OM157" s="1"/>
      <c r="ON157" s="1"/>
      <c r="OO157" s="1"/>
      <c r="OP157" s="1"/>
      <c r="OQ157" s="1"/>
      <c r="OR157" s="1"/>
      <c r="OS157" s="1"/>
      <c r="OT157" s="1"/>
      <c r="OU157" s="1"/>
      <c r="OV157" s="1"/>
      <c r="OW157" s="1"/>
      <c r="OX157" s="1"/>
      <c r="OY157" s="1"/>
      <c r="OZ157" s="1"/>
      <c r="PA157" s="1"/>
      <c r="PB157" s="1"/>
      <c r="PC157" s="1"/>
      <c r="PD157" s="1"/>
      <c r="PE157" s="1"/>
      <c r="PF157" s="1"/>
      <c r="PG157" s="1"/>
      <c r="PH157" s="1"/>
      <c r="PI157" s="1"/>
      <c r="PJ157" s="1"/>
      <c r="PK157" s="1"/>
      <c r="PL157" s="1"/>
      <c r="PM157" s="1"/>
      <c r="PN157" s="1"/>
      <c r="PO157" s="1"/>
      <c r="PP157" s="1"/>
      <c r="PQ157" s="1"/>
      <c r="PR157" s="1"/>
      <c r="PS157" s="1"/>
      <c r="PT157" s="1"/>
      <c r="PU157" s="1"/>
      <c r="PV157" s="1"/>
      <c r="PW157" s="1"/>
      <c r="PX157" s="1"/>
      <c r="PY157" s="1"/>
      <c r="PZ157" s="1"/>
      <c r="QA157" s="1"/>
      <c r="QB157" s="1"/>
      <c r="QC157" s="1"/>
      <c r="QD157" s="1"/>
      <c r="QE157" s="1"/>
      <c r="QF157" s="1"/>
      <c r="QG157" s="1"/>
      <c r="QH157" s="1"/>
      <c r="QI157" s="1"/>
      <c r="QJ157" s="1"/>
      <c r="QK157" s="1"/>
      <c r="QL157" s="1"/>
      <c r="QM157" s="1"/>
      <c r="QN157" s="1"/>
      <c r="QO157" s="1"/>
      <c r="QP157" s="1"/>
      <c r="QQ157" s="1"/>
      <c r="QR157" s="1"/>
      <c r="QS157" s="1"/>
      <c r="QT157" s="1"/>
      <c r="QU157" s="1"/>
      <c r="QV157" s="1"/>
      <c r="QW157" s="1"/>
      <c r="QX157" s="1"/>
      <c r="QY157" s="1"/>
      <c r="QZ157" s="1"/>
      <c r="RA157" s="1"/>
      <c r="RB157" s="1"/>
      <c r="RC157" s="1"/>
      <c r="RD157" s="1"/>
      <c r="RE157" s="1"/>
      <c r="RF157" s="1"/>
      <c r="RG157" s="1"/>
      <c r="RH157" s="1"/>
      <c r="RI157" s="1"/>
      <c r="RJ157" s="1"/>
      <c r="RK157" s="1"/>
      <c r="RL157" s="1"/>
      <c r="RM157" s="1"/>
      <c r="RN157" s="1"/>
      <c r="RO157" s="1"/>
      <c r="RP157" s="1"/>
      <c r="RQ157" s="1"/>
      <c r="RR157" s="1"/>
      <c r="RS157" s="1"/>
      <c r="RT157" s="1"/>
      <c r="RU157" s="1"/>
      <c r="RV157" s="1"/>
      <c r="RW157" s="1"/>
      <c r="RX157" s="1"/>
      <c r="RY157" s="1"/>
      <c r="RZ157" s="1"/>
      <c r="SA157" s="1"/>
      <c r="SB157" s="1"/>
      <c r="SC157" s="1"/>
      <c r="SD157" s="1"/>
      <c r="SE157" s="1"/>
      <c r="SF157" s="1"/>
      <c r="SG157" s="1"/>
      <c r="SH157" s="1"/>
      <c r="SI157" s="1"/>
      <c r="SJ157" s="1"/>
      <c r="SK157" s="1"/>
      <c r="SL157" s="1"/>
      <c r="SM157" s="1"/>
      <c r="SN157" s="1"/>
      <c r="SO157" s="1"/>
      <c r="SP157" s="1"/>
      <c r="SQ157" s="1"/>
      <c r="SR157" s="1"/>
      <c r="SS157" s="1"/>
      <c r="ST157" s="1"/>
      <c r="SU157" s="1"/>
      <c r="SV157" s="1"/>
      <c r="SW157" s="1"/>
      <c r="SX157" s="1"/>
      <c r="SY157" s="1"/>
      <c r="SZ157" s="1"/>
      <c r="TA157" s="1"/>
      <c r="TB157" s="1"/>
      <c r="TC157" s="1"/>
      <c r="TD157" s="1"/>
      <c r="TE157" s="1"/>
      <c r="TF157" s="1"/>
      <c r="TG157" s="1"/>
      <c r="TH157" s="1"/>
      <c r="TI157" s="1"/>
      <c r="TJ157" s="1"/>
      <c r="TK157" s="1"/>
      <c r="TL157" s="1"/>
      <c r="TM157" s="1"/>
      <c r="TN157" s="1"/>
      <c r="TO157" s="1"/>
      <c r="TP157" s="1"/>
      <c r="TQ157" s="1"/>
      <c r="TR157" s="1"/>
      <c r="TS157" s="1"/>
      <c r="TT157" s="1"/>
      <c r="TU157" s="1"/>
      <c r="TV157" s="1"/>
      <c r="TW157" s="1"/>
      <c r="TX157" s="1"/>
      <c r="TY157" s="1"/>
      <c r="TZ157" s="1"/>
      <c r="UA157" s="1"/>
      <c r="UB157" s="1"/>
      <c r="UC157" s="1"/>
      <c r="UD157" s="1"/>
      <c r="UE157" s="1"/>
      <c r="UF157" s="1"/>
      <c r="UG157" s="1"/>
      <c r="UH157" s="1"/>
      <c r="UI157" s="1"/>
      <c r="UJ157" s="1"/>
      <c r="UK157" s="1"/>
      <c r="UL157" s="1"/>
      <c r="UM157" s="1"/>
      <c r="UN157" s="1"/>
      <c r="UO157" s="1"/>
      <c r="UP157" s="1"/>
      <c r="UQ157" s="1"/>
      <c r="UR157" s="1"/>
      <c r="US157" s="1"/>
      <c r="UT157" s="1"/>
      <c r="UU157" s="1"/>
      <c r="UV157" s="1"/>
      <c r="UW157" s="1"/>
      <c r="UX157" s="1"/>
      <c r="UY157" s="1"/>
      <c r="UZ157" s="1"/>
      <c r="VA157" s="1"/>
      <c r="VB157" s="1"/>
      <c r="VC157" s="1"/>
      <c r="VD157" s="1"/>
      <c r="VE157" s="1"/>
      <c r="VF157" s="1"/>
      <c r="VG157" s="1"/>
      <c r="VH157" s="1"/>
      <c r="VI157" s="1"/>
      <c r="VJ157" s="1"/>
      <c r="VK157" s="1"/>
      <c r="VL157" s="1"/>
      <c r="VM157" s="1"/>
      <c r="VN157" s="1"/>
      <c r="VO157" s="1"/>
      <c r="VP157" s="1"/>
      <c r="VQ157" s="1"/>
      <c r="VR157" s="1"/>
      <c r="VS157" s="1"/>
      <c r="VT157" s="1"/>
      <c r="VU157" s="1"/>
      <c r="VV157" s="1"/>
      <c r="VW157" s="1"/>
      <c r="VX157" s="1"/>
      <c r="VY157" s="1"/>
      <c r="VZ157" s="1"/>
      <c r="WA157" s="1"/>
      <c r="WB157" s="1"/>
      <c r="WC157" s="1"/>
      <c r="WD157" s="1"/>
      <c r="WE157" s="1"/>
      <c r="WF157" s="1"/>
      <c r="WG157" s="1"/>
      <c r="WH157" s="1"/>
      <c r="WI157" s="1"/>
      <c r="WJ157" s="1"/>
      <c r="WK157" s="1"/>
      <c r="WL157" s="1"/>
      <c r="WM157" s="1"/>
      <c r="WN157" s="1"/>
      <c r="WO157" s="1"/>
      <c r="WP157" s="1"/>
      <c r="WQ157" s="1"/>
      <c r="WR157" s="1"/>
      <c r="WS157" s="1"/>
      <c r="WT157" s="1"/>
      <c r="WU157" s="1"/>
      <c r="WV157" s="1"/>
      <c r="WW157" s="1"/>
      <c r="WX157" s="1"/>
      <c r="WY157" s="1"/>
      <c r="WZ157" s="1"/>
      <c r="XA157" s="1"/>
      <c r="XB157" s="1"/>
      <c r="XC157" s="1"/>
      <c r="XD157" s="1"/>
      <c r="XE157" s="1"/>
      <c r="XF157" s="1"/>
      <c r="XG157" s="1"/>
      <c r="XH157" s="1"/>
      <c r="XI157" s="1"/>
      <c r="XJ157" s="1"/>
      <c r="XK157" s="1"/>
      <c r="XL157" s="1"/>
      <c r="XM157" s="1"/>
      <c r="XN157" s="1"/>
      <c r="XO157" s="1"/>
      <c r="XP157" s="1"/>
      <c r="XQ157" s="1"/>
      <c r="XR157" s="1"/>
      <c r="XS157" s="1"/>
      <c r="XT157" s="1"/>
      <c r="XU157" s="1"/>
      <c r="XV157" s="1"/>
      <c r="XW157" s="1"/>
      <c r="XX157" s="1"/>
      <c r="XY157" s="1"/>
      <c r="XZ157" s="1"/>
      <c r="YA157" s="1"/>
      <c r="YB157" s="1"/>
      <c r="YC157" s="1"/>
      <c r="YD157" s="1"/>
      <c r="YE157" s="1"/>
      <c r="YF157" s="1"/>
      <c r="YG157" s="1"/>
      <c r="YH157" s="1"/>
      <c r="YI157" s="1"/>
      <c r="YJ157" s="1"/>
      <c r="YK157" s="1"/>
      <c r="YL157" s="1"/>
      <c r="YM157" s="1"/>
      <c r="YN157" s="1"/>
      <c r="YO157" s="1"/>
      <c r="YP157" s="1"/>
      <c r="YQ157" s="1"/>
      <c r="YR157" s="1"/>
      <c r="YS157" s="1"/>
      <c r="YT157" s="1"/>
      <c r="YU157" s="1"/>
      <c r="YV157" s="1"/>
      <c r="YW157" s="1"/>
      <c r="YX157" s="1"/>
      <c r="YY157" s="1"/>
      <c r="YZ157" s="1"/>
      <c r="ZA157" s="1"/>
      <c r="ZB157" s="1"/>
      <c r="ZC157" s="1"/>
      <c r="ZD157" s="1"/>
      <c r="ZE157" s="1"/>
      <c r="ZF157" s="1"/>
      <c r="ZG157" s="1"/>
      <c r="ZH157" s="1"/>
      <c r="ZI157" s="1"/>
      <c r="ZJ157" s="1"/>
      <c r="ZK157" s="1"/>
      <c r="ZL157" s="1"/>
      <c r="ZM157" s="1"/>
      <c r="ZN157" s="1"/>
      <c r="ZO157" s="1"/>
      <c r="ZP157" s="1"/>
      <c r="ZQ157" s="1"/>
      <c r="ZR157" s="1"/>
      <c r="ZS157" s="1"/>
      <c r="ZT157" s="1"/>
      <c r="ZU157" s="1"/>
      <c r="ZV157" s="1"/>
      <c r="ZW157" s="1"/>
      <c r="ZX157" s="1"/>
      <c r="ZY157" s="1"/>
      <c r="ZZ157" s="1"/>
      <c r="AAA157" s="1"/>
      <c r="AAB157" s="1"/>
      <c r="AAC157" s="1"/>
      <c r="AAD157" s="1"/>
      <c r="AAE157" s="1"/>
      <c r="AAF157" s="1"/>
      <c r="AAG157" s="1"/>
      <c r="AAH157" s="1"/>
      <c r="AAI157" s="1"/>
      <c r="AAJ157" s="1"/>
      <c r="AAK157" s="1"/>
      <c r="AAL157" s="1"/>
      <c r="AAM157" s="1"/>
      <c r="AAN157" s="1"/>
      <c r="AAO157" s="1"/>
      <c r="AAP157" s="1"/>
      <c r="AAQ157" s="1"/>
      <c r="AAR157" s="1"/>
      <c r="AAS157" s="1"/>
      <c r="AAT157" s="1"/>
      <c r="AAU157" s="1"/>
      <c r="AAV157" s="1"/>
      <c r="AAW157" s="1"/>
      <c r="AAX157" s="1"/>
      <c r="AAY157" s="1"/>
      <c r="AAZ157" s="1"/>
      <c r="ABA157" s="1"/>
      <c r="ABB157" s="1"/>
      <c r="ABC157" s="1"/>
      <c r="ABD157" s="1"/>
      <c r="ABE157" s="1"/>
      <c r="ABF157" s="1"/>
      <c r="ABG157" s="1"/>
      <c r="ABH157" s="1"/>
      <c r="ABI157" s="1"/>
      <c r="ABJ157" s="1"/>
      <c r="ABK157" s="1"/>
      <c r="ABL157" s="1"/>
      <c r="ABM157" s="1"/>
      <c r="ABN157" s="1"/>
      <c r="ABO157" s="1"/>
      <c r="ABP157" s="1"/>
      <c r="ABQ157" s="1"/>
      <c r="ABR157" s="1"/>
      <c r="ABS157" s="1"/>
      <c r="ABT157" s="1"/>
      <c r="ABU157" s="1"/>
      <c r="ABV157" s="1"/>
      <c r="ABW157" s="1"/>
      <c r="ABX157" s="1"/>
      <c r="ABY157" s="1"/>
      <c r="ABZ157" s="1"/>
      <c r="ACA157" s="1"/>
      <c r="ACB157" s="1"/>
      <c r="ACC157" s="1"/>
      <c r="ACD157" s="1"/>
      <c r="ACE157" s="1"/>
      <c r="ACF157" s="1"/>
      <c r="ACG157" s="1"/>
      <c r="ACH157" s="1"/>
      <c r="ACI157" s="1"/>
      <c r="ACJ157" s="1"/>
      <c r="ACK157" s="1"/>
      <c r="ACL157" s="1"/>
      <c r="ACM157" s="1"/>
      <c r="ACN157" s="1"/>
      <c r="ACO157" s="1"/>
      <c r="ACP157" s="1"/>
      <c r="ACQ157" s="1"/>
      <c r="ACR157" s="1"/>
      <c r="ACS157" s="1"/>
      <c r="ACT157" s="1"/>
      <c r="ACU157" s="1"/>
      <c r="ACV157" s="1"/>
      <c r="ACW157" s="1"/>
      <c r="ACX157" s="1"/>
      <c r="ACY157" s="1"/>
      <c r="ACZ157" s="1"/>
      <c r="ADA157" s="1"/>
      <c r="ADB157" s="1"/>
      <c r="ADC157" s="1"/>
      <c r="ADD157" s="1"/>
      <c r="ADE157" s="1"/>
      <c r="ADF157" s="1"/>
      <c r="ADG157" s="1"/>
      <c r="ADH157" s="1"/>
      <c r="ADI157" s="1"/>
      <c r="ADJ157" s="1"/>
      <c r="ADK157" s="1"/>
      <c r="ADL157" s="1"/>
      <c r="ADM157" s="1"/>
      <c r="ADN157" s="1"/>
      <c r="ADO157" s="1"/>
      <c r="ADP157" s="1"/>
      <c r="ADQ157" s="1"/>
      <c r="ADR157" s="1"/>
      <c r="ADS157" s="1"/>
      <c r="ADT157" s="1"/>
      <c r="ADU157" s="1"/>
      <c r="ADV157" s="1"/>
      <c r="ADW157" s="1"/>
      <c r="ADX157" s="1"/>
      <c r="ADY157" s="1"/>
      <c r="ADZ157" s="1"/>
      <c r="AEA157" s="1"/>
      <c r="AEB157" s="1"/>
      <c r="AEC157" s="1"/>
      <c r="AED157" s="1"/>
      <c r="AEE157" s="1"/>
      <c r="AEF157" s="1"/>
      <c r="AEG157" s="1"/>
      <c r="AEH157" s="1"/>
      <c r="AEI157" s="1"/>
      <c r="AEJ157" s="1"/>
      <c r="AEK157" s="1"/>
      <c r="AEL157" s="1"/>
      <c r="AEM157" s="1"/>
      <c r="AEN157" s="1"/>
      <c r="AEO157" s="1"/>
      <c r="AEP157" s="1"/>
      <c r="AEQ157" s="1"/>
      <c r="AER157" s="1"/>
      <c r="AES157" s="1"/>
      <c r="AET157" s="1"/>
      <c r="AEU157" s="1"/>
      <c r="AEV157" s="1"/>
      <c r="AEW157" s="1"/>
      <c r="AEX157" s="1"/>
      <c r="AEY157" s="1"/>
      <c r="AEZ157" s="1"/>
      <c r="AFA157" s="1"/>
      <c r="AFB157" s="1"/>
      <c r="AFC157" s="1"/>
      <c r="AFD157" s="1"/>
      <c r="AFE157" s="1"/>
      <c r="AFF157" s="1"/>
      <c r="AFG157" s="1"/>
      <c r="AFH157" s="1"/>
      <c r="AFI157" s="1"/>
      <c r="AFJ157" s="1"/>
      <c r="AFK157" s="1"/>
      <c r="AFL157" s="1"/>
      <c r="AFM157" s="1"/>
      <c r="AFN157" s="1"/>
      <c r="AFO157" s="1"/>
      <c r="AFP157" s="1"/>
      <c r="AFQ157" s="1"/>
      <c r="AFR157" s="1"/>
      <c r="AFS157" s="1"/>
      <c r="AFT157" s="1"/>
      <c r="AFU157" s="1"/>
      <c r="AFV157" s="1"/>
      <c r="AFW157" s="1"/>
      <c r="AFX157" s="1"/>
      <c r="AFY157" s="1"/>
      <c r="AFZ157" s="1"/>
      <c r="AGA157" s="1"/>
      <c r="AGB157" s="1"/>
      <c r="AGC157" s="1"/>
      <c r="AGD157" s="1"/>
      <c r="AGE157" s="1"/>
      <c r="AGF157" s="1"/>
      <c r="AGG157" s="1"/>
      <c r="AGH157" s="1"/>
      <c r="AGI157" s="1"/>
      <c r="AGJ157" s="1"/>
      <c r="AGK157" s="1"/>
      <c r="AGL157" s="1"/>
      <c r="AGM157" s="1"/>
      <c r="AGN157" s="1"/>
      <c r="AGO157" s="1"/>
      <c r="AGP157" s="1"/>
      <c r="AGQ157" s="1"/>
      <c r="AGR157" s="1"/>
      <c r="AGS157" s="1"/>
      <c r="AGT157" s="1"/>
      <c r="AGU157" s="1"/>
      <c r="AGV157" s="1"/>
      <c r="AGW157" s="1"/>
      <c r="AGX157" s="1"/>
      <c r="AGY157" s="1"/>
      <c r="AGZ157" s="1"/>
      <c r="AHA157" s="1"/>
      <c r="AHB157" s="1"/>
      <c r="AHC157" s="1"/>
      <c r="AHD157" s="1"/>
      <c r="AHE157" s="1"/>
      <c r="AHF157" s="1"/>
      <c r="AHG157" s="1"/>
      <c r="AHH157" s="1"/>
      <c r="AHI157" s="1"/>
      <c r="AHJ157" s="1"/>
      <c r="AHK157" s="1"/>
      <c r="AHL157" s="1"/>
      <c r="AHM157" s="1"/>
      <c r="AHN157" s="1"/>
      <c r="AHO157" s="1"/>
      <c r="AHP157" s="1"/>
      <c r="AHQ157" s="1"/>
      <c r="AHR157" s="1"/>
      <c r="AHS157" s="1"/>
      <c r="AHT157" s="1"/>
      <c r="AHU157" s="1"/>
      <c r="AHV157" s="1"/>
      <c r="AHW157" s="1"/>
      <c r="AHX157" s="1"/>
      <c r="AHY157" s="1"/>
      <c r="AHZ157" s="1"/>
      <c r="AIA157" s="1"/>
      <c r="AIB157" s="1"/>
      <c r="AIC157" s="1"/>
      <c r="AID157" s="1"/>
      <c r="AIE157" s="1"/>
      <c r="AIF157" s="1"/>
      <c r="AIG157" s="1"/>
      <c r="AIH157" s="1"/>
      <c r="AII157" s="1"/>
      <c r="AIJ157" s="1"/>
      <c r="AIK157" s="1"/>
      <c r="AIL157" s="1"/>
      <c r="AIM157" s="1"/>
      <c r="AIN157" s="1"/>
      <c r="AIO157" s="1"/>
      <c r="AIP157" s="1"/>
      <c r="AIQ157" s="1"/>
      <c r="AIR157" s="1"/>
      <c r="AIS157" s="1"/>
      <c r="AIT157" s="1"/>
      <c r="AIU157" s="1"/>
      <c r="AIV157" s="1"/>
      <c r="AIW157" s="1"/>
      <c r="AIX157" s="1"/>
      <c r="AIY157" s="1"/>
      <c r="AIZ157" s="1"/>
      <c r="AJA157" s="1"/>
      <c r="AJB157" s="1"/>
      <c r="AJC157" s="1"/>
      <c r="AJD157" s="1"/>
      <c r="AJE157" s="1"/>
      <c r="AJF157" s="1"/>
      <c r="AJG157" s="1"/>
      <c r="AJH157" s="1"/>
      <c r="AJI157" s="1"/>
      <c r="AJJ157" s="1"/>
      <c r="AJK157" s="1"/>
      <c r="AJL157" s="1"/>
      <c r="AJM157" s="1"/>
      <c r="AJN157" s="1"/>
      <c r="AJO157" s="1"/>
      <c r="AJP157" s="1"/>
      <c r="AJQ157" s="1"/>
      <c r="AJR157" s="1"/>
      <c r="AJS157" s="1"/>
      <c r="AJT157" s="1"/>
      <c r="AJU157" s="1"/>
      <c r="AJV157" s="1"/>
      <c r="AJW157" s="1"/>
      <c r="AJX157" s="1"/>
      <c r="AJY157" s="1"/>
      <c r="AJZ157" s="1"/>
      <c r="AKA157" s="1"/>
      <c r="AKB157" s="1"/>
      <c r="AKC157" s="1"/>
      <c r="AKD157" s="1"/>
      <c r="AKE157" s="1"/>
      <c r="AKF157" s="1"/>
      <c r="AKG157" s="1"/>
      <c r="AKH157" s="1"/>
      <c r="AKI157" s="1"/>
      <c r="AKJ157" s="1"/>
      <c r="AKK157" s="1"/>
      <c r="AKL157" s="1"/>
      <c r="AKM157" s="1"/>
      <c r="AKN157" s="1"/>
      <c r="AKO157" s="1"/>
      <c r="AKP157" s="1"/>
      <c r="AKQ157" s="1"/>
      <c r="AKR157" s="1"/>
      <c r="AKS157" s="1"/>
      <c r="AKT157" s="1"/>
      <c r="AKU157" s="1"/>
      <c r="AKV157" s="1"/>
      <c r="AKW157" s="1"/>
      <c r="AKX157" s="1"/>
      <c r="AKY157" s="1"/>
      <c r="AKZ157" s="1"/>
      <c r="ALA157" s="1"/>
      <c r="ALB157" s="1"/>
      <c r="ALC157" s="1"/>
      <c r="ALD157" s="1"/>
      <c r="ALE157" s="1"/>
      <c r="ALF157" s="1"/>
      <c r="ALG157" s="1"/>
      <c r="ALH157" s="1"/>
      <c r="ALI157" s="1"/>
      <c r="ALJ157" s="1"/>
      <c r="ALK157" s="1"/>
      <c r="ALL157" s="1"/>
      <c r="ALM157" s="1"/>
      <c r="ALN157" s="1"/>
      <c r="ALO157" s="1"/>
      <c r="ALP157" s="1"/>
      <c r="ALQ157" s="1"/>
      <c r="ALR157" s="1"/>
      <c r="ALS157" s="1"/>
      <c r="ALT157" s="1"/>
      <c r="ALU157" s="1"/>
      <c r="ALV157" s="1"/>
      <c r="ALW157" s="1"/>
      <c r="ALX157" s="1"/>
      <c r="ALY157" s="1"/>
      <c r="ALZ157" s="1"/>
      <c r="AMA157" s="1"/>
      <c r="AMB157" s="1"/>
      <c r="AMC157" s="1"/>
      <c r="AMD157" s="1"/>
      <c r="AME157" s="1"/>
      <c r="AMF157" s="1"/>
      <c r="AMG157" s="1"/>
      <c r="AMH157" s="1"/>
      <c r="AMI157" s="1"/>
      <c r="AMJ157" s="1"/>
      <c r="AMK157" s="1"/>
      <c r="AML157" s="1"/>
      <c r="AMM157" s="1"/>
      <c r="AMN157" s="1"/>
      <c r="AMO157" s="2"/>
    </row>
    <row r="158" spans="1:1029" x14ac:dyDescent="0.2">
      <c r="A158" s="3" t="str">
        <f t="shared" si="639"/>
        <v>ox2r_human__wt</v>
      </c>
      <c r="B158" s="3" t="s">
        <v>1176</v>
      </c>
      <c r="C158" s="3" t="s">
        <v>100</v>
      </c>
      <c r="D158" s="3" t="str">
        <f>IFERROR(MID(VLOOKUP($B158,Seqs!$A:$B,2,0),E158,1),"")</f>
        <v>Y</v>
      </c>
      <c r="E158" s="3">
        <v>53</v>
      </c>
      <c r="F158" s="3" t="str">
        <f>IFERROR(MID(VLOOKUP($B158,Seqs!$A:$B,2,0),G158,1),"")</f>
        <v>N</v>
      </c>
      <c r="G158" s="3">
        <v>82</v>
      </c>
      <c r="H158" s="3" t="str">
        <f>IFERROR(MID(VLOOKUP($B158,Seqs!$A:$B,2,0),I158,1),"")</f>
        <v>H</v>
      </c>
      <c r="I158" s="23">
        <v>83</v>
      </c>
      <c r="J158" s="3" t="str">
        <f>IFERROR(MID(VLOOKUP($B158,Seqs!$A:$B,2,0),K158,1),"")</f>
        <v>R</v>
      </c>
      <c r="K158" s="23">
        <v>86</v>
      </c>
      <c r="L158" s="3" t="str">
        <f>IFERROR(MID(VLOOKUP($B158,Seqs!$A:$B,2,0),M158,1),"")</f>
        <v>T</v>
      </c>
      <c r="M158" s="3">
        <v>87</v>
      </c>
      <c r="N158" s="3" t="str">
        <f>IFERROR(MID(VLOOKUP($B158,Seqs!$A:$B,2,0),O158,1),"")</f>
        <v>T</v>
      </c>
      <c r="O158" s="3">
        <v>117</v>
      </c>
      <c r="P158" s="3" t="str">
        <f>IFERROR(MID(VLOOKUP($B158,Seqs!$A:$B,2,0),Q158,1),"")</f>
        <v>T</v>
      </c>
      <c r="Q158" s="3">
        <v>119</v>
      </c>
      <c r="R158" s="3" t="str">
        <f>IFERROR(MID(VLOOKUP($B158,Seqs!$A:$B,2,0),S158,1),"")</f>
        <v>F</v>
      </c>
      <c r="S158" s="3">
        <v>122</v>
      </c>
      <c r="T158" s="3" t="str">
        <f>IFERROR(MID(VLOOKUP($B158,Seqs!$A:$B,2,0),U158,1),"")</f>
        <v>G</v>
      </c>
      <c r="U158" s="3">
        <v>123</v>
      </c>
      <c r="V158" s="3" t="str">
        <f>IFERROR(MID(VLOOKUP($B158,Seqs!$A:$B,2,0),W158,1),"")</f>
        <v>H</v>
      </c>
      <c r="W158" s="3">
        <v>158</v>
      </c>
      <c r="X158" s="3" t="str">
        <f>IFERROR(MID(VLOOKUP($B158,Seqs!$A:$B,2,0),Y158,1),"")</f>
        <v>P</v>
      </c>
      <c r="Y158" s="3">
        <v>159</v>
      </c>
      <c r="Z158" s="3" t="str">
        <f>IFERROR(MID(VLOOKUP($B158,Seqs!$A:$B,2,0),AA158,1),"")</f>
        <v>F</v>
      </c>
      <c r="AA158" s="75">
        <v>162</v>
      </c>
      <c r="AB158" s="3" t="str">
        <f>IFERROR(MID(VLOOKUP($B158,Seqs!$A:$B,2,0),AC158,1),"")</f>
        <v>T</v>
      </c>
      <c r="AC158" s="9">
        <v>165</v>
      </c>
      <c r="AD158" s="3" t="str">
        <f>IFERROR(MID(VLOOKUP($B158,Seqs!$A:$B,2,0),AE158,1),"")</f>
        <v>M</v>
      </c>
      <c r="AE158" s="3">
        <v>191</v>
      </c>
      <c r="AF158" s="3" t="str">
        <f>IFERROR(MID(VLOOKUP($B158,Seqs!$A:$B,2,0),AG158,1),"")</f>
        <v>C</v>
      </c>
      <c r="AG158" s="3">
        <v>210</v>
      </c>
      <c r="AH158" s="3" t="str">
        <f>IFERROR(MID(VLOOKUP($B158,Seqs!$A:$B,2,0),AI158,1),"")</f>
        <v>E</v>
      </c>
      <c r="AI158" s="3">
        <v>212</v>
      </c>
      <c r="AJ158" s="3" t="str">
        <f>IFERROR(MID(VLOOKUP($B158,Seqs!$A:$B,2,0),AK158,1),"")</f>
        <v>E</v>
      </c>
      <c r="AK158" s="3">
        <v>217</v>
      </c>
      <c r="AL158" s="3" t="str">
        <f>IFERROR(MID(VLOOKUP($B158,Seqs!$A:$B,2,0),AM158,1),"")</f>
        <v>P</v>
      </c>
      <c r="AM158" s="3">
        <v>256</v>
      </c>
      <c r="AN158" s="3" t="str">
        <f>IFERROR(MID(VLOOKUP($B158,Seqs!$A:$B,2,0),AO158,1),"")</f>
        <v>V</v>
      </c>
      <c r="AO158" s="3">
        <v>289</v>
      </c>
      <c r="AP158" s="3" t="str">
        <f>IFERROR(MID(VLOOKUP($B158,Seqs!$A:$B,2,0),AQ158,1),"")</f>
        <v>F</v>
      </c>
      <c r="AQ158" s="3">
        <v>330</v>
      </c>
      <c r="AR158" s="3" t="str">
        <f>IFERROR(MID(VLOOKUP($B158,Seqs!$A:$B,2,0),AS158,1),"")</f>
        <v>R</v>
      </c>
      <c r="AS158" s="3">
        <v>339</v>
      </c>
      <c r="AT158" s="3" t="str">
        <f>IFERROR(MID(VLOOKUP($B158,Seqs!$A:$B,2,0),AU158,1),"")</f>
        <v>L</v>
      </c>
      <c r="AU158" s="3">
        <v>367</v>
      </c>
      <c r="AV158" s="3" t="str">
        <f>IFERROR(MID(VLOOKUP($B158,Seqs!$A:$B,2,0),AW158,1),"")</f>
        <v>S</v>
      </c>
      <c r="AW158" s="3">
        <v>368</v>
      </c>
      <c r="AX158" s="3" t="str">
        <f>IFERROR(MID(VLOOKUP($B158,Seqs!$A:$B,2,0),AY158,1),"")</f>
        <v>F</v>
      </c>
      <c r="AY158" s="3">
        <v>379</v>
      </c>
      <c r="AZ158" s="79" t="str">
        <f>VLOOKUP(B158,Classification!A:D,2,0)</f>
        <v>A</v>
      </c>
      <c r="BA158" s="97" t="str">
        <f>VLOOKUP(B158,Classification!A:D,4,0)</f>
        <v>Orexin</v>
      </c>
      <c r="BB158" s="27" t="b">
        <f t="shared" si="640"/>
        <v>1</v>
      </c>
      <c r="BC158" s="23">
        <f t="shared" si="613"/>
        <v>262</v>
      </c>
      <c r="BD158" s="57" t="s">
        <v>1379</v>
      </c>
      <c r="BE158" s="3" t="s">
        <v>1381</v>
      </c>
      <c r="BF158" s="50" t="s">
        <v>1379</v>
      </c>
      <c r="BG158" s="50" t="s">
        <v>1384</v>
      </c>
      <c r="BH158" s="1"/>
      <c r="BI158" s="72" t="s">
        <v>1293</v>
      </c>
      <c r="BJ158" s="58" t="s">
        <v>1293</v>
      </c>
      <c r="BK158" s="58" t="s">
        <v>1293</v>
      </c>
      <c r="BL158" s="58" t="s">
        <v>1293</v>
      </c>
      <c r="BM158" s="58" t="s">
        <v>1293</v>
      </c>
      <c r="BN158" s="58" t="s">
        <v>1293</v>
      </c>
      <c r="BO158" s="58" t="s">
        <v>1293</v>
      </c>
      <c r="BP158" s="58" t="s">
        <v>1293</v>
      </c>
      <c r="BQ158" s="58" t="s">
        <v>1293</v>
      </c>
      <c r="BR158" s="58" t="s">
        <v>1293</v>
      </c>
      <c r="BS158" s="58" t="s">
        <v>1293</v>
      </c>
      <c r="BT158" s="58" t="s">
        <v>1293</v>
      </c>
      <c r="BU158" s="72">
        <f t="shared" si="614"/>
        <v>53</v>
      </c>
      <c r="BV158" s="73">
        <f t="shared" si="615"/>
        <v>83</v>
      </c>
      <c r="BW158" s="74">
        <f t="shared" si="616"/>
        <v>87</v>
      </c>
      <c r="BX158" s="73">
        <f t="shared" si="617"/>
        <v>119</v>
      </c>
      <c r="BY158" s="74">
        <f t="shared" si="618"/>
        <v>123</v>
      </c>
      <c r="BZ158" s="73">
        <f t="shared" si="619"/>
        <v>159</v>
      </c>
      <c r="CA158" s="74">
        <f t="shared" si="620"/>
        <v>165</v>
      </c>
      <c r="CB158" s="73">
        <f t="shared" si="621"/>
        <v>210</v>
      </c>
      <c r="CC158" s="74">
        <f t="shared" si="622"/>
        <v>217</v>
      </c>
      <c r="CD158" s="73">
        <f t="shared" si="623"/>
        <v>289</v>
      </c>
      <c r="CE158" s="74">
        <f t="shared" si="624"/>
        <v>339</v>
      </c>
      <c r="CF158" s="73">
        <f t="shared" si="625"/>
        <v>368</v>
      </c>
      <c r="CG158" s="72">
        <f t="shared" si="626"/>
        <v>82</v>
      </c>
      <c r="CH158" s="73">
        <f t="shared" si="627"/>
        <v>86</v>
      </c>
      <c r="CI158" s="74">
        <f t="shared" si="628"/>
        <v>117</v>
      </c>
      <c r="CJ158" s="74">
        <f t="shared" si="629"/>
        <v>122</v>
      </c>
      <c r="CK158" s="74">
        <f t="shared" si="630"/>
        <v>158</v>
      </c>
      <c r="CL158" s="74">
        <f t="shared" si="631"/>
        <v>162</v>
      </c>
      <c r="CM158" s="74">
        <f t="shared" si="632"/>
        <v>191</v>
      </c>
      <c r="CN158" s="74">
        <f t="shared" si="633"/>
        <v>212</v>
      </c>
      <c r="CO158" s="74">
        <f t="shared" si="634"/>
        <v>256</v>
      </c>
      <c r="CP158" s="74">
        <f t="shared" si="635"/>
        <v>330</v>
      </c>
      <c r="CQ158" s="74">
        <f t="shared" si="636"/>
        <v>367</v>
      </c>
      <c r="CR158" s="74">
        <f t="shared" si="637"/>
        <v>379</v>
      </c>
      <c r="CS158" s="23">
        <f t="shared" si="638"/>
        <v>1</v>
      </c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/>
      <c r="JK158" s="1"/>
      <c r="JL158" s="1"/>
      <c r="JM158" s="1"/>
      <c r="JN158" s="1"/>
      <c r="JO158" s="1"/>
      <c r="JP158" s="1"/>
      <c r="JQ158" s="1"/>
      <c r="JR158" s="1"/>
      <c r="JS158" s="1"/>
      <c r="JT158" s="1"/>
      <c r="JU158" s="1"/>
      <c r="JV158" s="1"/>
      <c r="JW158" s="1"/>
      <c r="JX158" s="1"/>
      <c r="JY158" s="1"/>
      <c r="JZ158" s="1"/>
      <c r="KA158" s="1"/>
      <c r="KB158" s="1"/>
      <c r="KC158" s="1"/>
      <c r="KD158" s="1"/>
      <c r="KE158" s="1"/>
      <c r="KF158" s="1"/>
      <c r="KG158" s="1"/>
      <c r="KH158" s="1"/>
      <c r="KI158" s="1"/>
      <c r="KJ158" s="1"/>
      <c r="KK158" s="1"/>
      <c r="KL158" s="1"/>
      <c r="KM158" s="1"/>
      <c r="KN158" s="1"/>
      <c r="KO158" s="1"/>
      <c r="KP158" s="1"/>
      <c r="KQ158" s="1"/>
      <c r="KR158" s="1"/>
      <c r="KS158" s="1"/>
      <c r="KT158" s="1"/>
      <c r="KU158" s="1"/>
      <c r="KV158" s="1"/>
      <c r="KW158" s="1"/>
      <c r="KX158" s="1"/>
      <c r="KY158" s="1"/>
      <c r="KZ158" s="1"/>
      <c r="LA158" s="1"/>
      <c r="LB158" s="1"/>
      <c r="LC158" s="1"/>
      <c r="LD158" s="1"/>
      <c r="LE158" s="1"/>
      <c r="LF158" s="1"/>
      <c r="LG158" s="1"/>
      <c r="LH158" s="1"/>
      <c r="LI158" s="1"/>
      <c r="LJ158" s="1"/>
      <c r="LK158" s="1"/>
      <c r="LL158" s="1"/>
      <c r="LM158" s="1"/>
      <c r="LN158" s="1"/>
      <c r="LO158" s="1"/>
      <c r="LP158" s="1"/>
      <c r="LQ158" s="1"/>
      <c r="LR158" s="1"/>
      <c r="LS158" s="1"/>
      <c r="LT158" s="1"/>
      <c r="LU158" s="1"/>
      <c r="LV158" s="1"/>
      <c r="LW158" s="1"/>
      <c r="LX158" s="1"/>
      <c r="LY158" s="1"/>
      <c r="LZ158" s="1"/>
      <c r="MA158" s="1"/>
      <c r="MB158" s="1"/>
      <c r="MC158" s="1"/>
      <c r="MD158" s="1"/>
      <c r="ME158" s="1"/>
      <c r="MF158" s="1"/>
      <c r="MG158" s="1"/>
      <c r="MH158" s="1"/>
      <c r="MI158" s="1"/>
      <c r="MJ158" s="1"/>
      <c r="MK158" s="1"/>
      <c r="ML158" s="1"/>
      <c r="MM158" s="1"/>
      <c r="MN158" s="1"/>
      <c r="MO158" s="1"/>
      <c r="MP158" s="1"/>
      <c r="MQ158" s="1"/>
      <c r="MR158" s="1"/>
      <c r="MS158" s="1"/>
      <c r="MT158" s="1"/>
      <c r="MU158" s="1"/>
      <c r="MV158" s="1"/>
      <c r="MW158" s="1"/>
      <c r="MX158" s="1"/>
      <c r="MY158" s="1"/>
      <c r="MZ158" s="1"/>
      <c r="NA158" s="1"/>
      <c r="NB158" s="1"/>
      <c r="NC158" s="1"/>
      <c r="ND158" s="1"/>
      <c r="NE158" s="1"/>
      <c r="NF158" s="1"/>
      <c r="NG158" s="1"/>
      <c r="NH158" s="1"/>
      <c r="NI158" s="1"/>
      <c r="NJ158" s="1"/>
      <c r="NK158" s="1"/>
      <c r="NL158" s="1"/>
      <c r="NM158" s="1"/>
      <c r="NN158" s="1"/>
      <c r="NO158" s="1"/>
      <c r="NP158" s="1"/>
      <c r="NQ158" s="1"/>
      <c r="NR158" s="1"/>
      <c r="NS158" s="1"/>
      <c r="NT158" s="1"/>
      <c r="NU158" s="1"/>
      <c r="NV158" s="1"/>
      <c r="NW158" s="1"/>
      <c r="NX158" s="1"/>
      <c r="NY158" s="1"/>
      <c r="NZ158" s="1"/>
      <c r="OA158" s="1"/>
      <c r="OB158" s="1"/>
      <c r="OC158" s="1"/>
      <c r="OD158" s="1"/>
      <c r="OE158" s="1"/>
      <c r="OF158" s="1"/>
      <c r="OG158" s="1"/>
      <c r="OH158" s="1"/>
      <c r="OI158" s="1"/>
      <c r="OJ158" s="1"/>
      <c r="OK158" s="1"/>
      <c r="OL158" s="1"/>
      <c r="OM158" s="1"/>
      <c r="ON158" s="1"/>
      <c r="OO158" s="1"/>
      <c r="OP158" s="1"/>
      <c r="OQ158" s="1"/>
      <c r="OR158" s="1"/>
      <c r="OS158" s="1"/>
      <c r="OT158" s="1"/>
      <c r="OU158" s="1"/>
      <c r="OV158" s="1"/>
      <c r="OW158" s="1"/>
      <c r="OX158" s="1"/>
      <c r="OY158" s="1"/>
      <c r="OZ158" s="1"/>
      <c r="PA158" s="1"/>
      <c r="PB158" s="1"/>
      <c r="PC158" s="1"/>
      <c r="PD158" s="1"/>
      <c r="PE158" s="1"/>
      <c r="PF158" s="1"/>
      <c r="PG158" s="1"/>
      <c r="PH158" s="1"/>
      <c r="PI158" s="1"/>
      <c r="PJ158" s="1"/>
      <c r="PK158" s="1"/>
      <c r="PL158" s="1"/>
      <c r="PM158" s="1"/>
      <c r="PN158" s="1"/>
      <c r="PO158" s="1"/>
      <c r="PP158" s="1"/>
      <c r="PQ158" s="1"/>
      <c r="PR158" s="1"/>
      <c r="PS158" s="1"/>
      <c r="PT158" s="1"/>
      <c r="PU158" s="1"/>
      <c r="PV158" s="1"/>
      <c r="PW158" s="1"/>
      <c r="PX158" s="1"/>
      <c r="PY158" s="1"/>
      <c r="PZ158" s="1"/>
      <c r="QA158" s="1"/>
      <c r="QB158" s="1"/>
      <c r="QC158" s="1"/>
      <c r="QD158" s="1"/>
      <c r="QE158" s="1"/>
      <c r="QF158" s="1"/>
      <c r="QG158" s="1"/>
      <c r="QH158" s="1"/>
      <c r="QI158" s="1"/>
      <c r="QJ158" s="1"/>
      <c r="QK158" s="1"/>
      <c r="QL158" s="1"/>
      <c r="QM158" s="1"/>
      <c r="QN158" s="1"/>
      <c r="QO158" s="1"/>
      <c r="QP158" s="1"/>
      <c r="QQ158" s="1"/>
      <c r="QR158" s="1"/>
      <c r="QS158" s="1"/>
      <c r="QT158" s="1"/>
      <c r="QU158" s="1"/>
      <c r="QV158" s="1"/>
      <c r="QW158" s="1"/>
      <c r="QX158" s="1"/>
      <c r="QY158" s="1"/>
      <c r="QZ158" s="1"/>
      <c r="RA158" s="1"/>
      <c r="RB158" s="1"/>
      <c r="RC158" s="1"/>
      <c r="RD158" s="1"/>
      <c r="RE158" s="1"/>
      <c r="RF158" s="1"/>
      <c r="RG158" s="1"/>
      <c r="RH158" s="1"/>
      <c r="RI158" s="1"/>
      <c r="RJ158" s="1"/>
      <c r="RK158" s="1"/>
      <c r="RL158" s="1"/>
      <c r="RM158" s="1"/>
      <c r="RN158" s="1"/>
      <c r="RO158" s="1"/>
      <c r="RP158" s="1"/>
      <c r="RQ158" s="1"/>
      <c r="RR158" s="1"/>
      <c r="RS158" s="1"/>
      <c r="RT158" s="1"/>
      <c r="RU158" s="1"/>
      <c r="RV158" s="1"/>
      <c r="RW158" s="1"/>
      <c r="RX158" s="1"/>
      <c r="RY158" s="1"/>
      <c r="RZ158" s="1"/>
      <c r="SA158" s="1"/>
      <c r="SB158" s="1"/>
      <c r="SC158" s="1"/>
      <c r="SD158" s="1"/>
      <c r="SE158" s="1"/>
      <c r="SF158" s="1"/>
      <c r="SG158" s="1"/>
      <c r="SH158" s="1"/>
      <c r="SI158" s="1"/>
      <c r="SJ158" s="1"/>
      <c r="SK158" s="1"/>
      <c r="SL158" s="1"/>
      <c r="SM158" s="1"/>
      <c r="SN158" s="1"/>
      <c r="SO158" s="1"/>
      <c r="SP158" s="1"/>
      <c r="SQ158" s="1"/>
      <c r="SR158" s="1"/>
      <c r="SS158" s="1"/>
      <c r="ST158" s="1"/>
      <c r="SU158" s="1"/>
      <c r="SV158" s="1"/>
      <c r="SW158" s="1"/>
      <c r="SX158" s="1"/>
      <c r="SY158" s="1"/>
      <c r="SZ158" s="1"/>
      <c r="TA158" s="1"/>
      <c r="TB158" s="1"/>
      <c r="TC158" s="1"/>
      <c r="TD158" s="1"/>
      <c r="TE158" s="1"/>
      <c r="TF158" s="1"/>
      <c r="TG158" s="1"/>
      <c r="TH158" s="1"/>
      <c r="TI158" s="1"/>
      <c r="TJ158" s="1"/>
      <c r="TK158" s="1"/>
      <c r="TL158" s="1"/>
      <c r="TM158" s="1"/>
      <c r="TN158" s="1"/>
      <c r="TO158" s="1"/>
      <c r="TP158" s="1"/>
      <c r="TQ158" s="1"/>
      <c r="TR158" s="1"/>
      <c r="TS158" s="1"/>
      <c r="TT158" s="1"/>
      <c r="TU158" s="1"/>
      <c r="TV158" s="1"/>
      <c r="TW158" s="1"/>
      <c r="TX158" s="1"/>
      <c r="TY158" s="1"/>
      <c r="TZ158" s="1"/>
      <c r="UA158" s="1"/>
      <c r="UB158" s="1"/>
      <c r="UC158" s="1"/>
      <c r="UD158" s="1"/>
      <c r="UE158" s="1"/>
      <c r="UF158" s="1"/>
      <c r="UG158" s="1"/>
      <c r="UH158" s="1"/>
      <c r="UI158" s="1"/>
      <c r="UJ158" s="1"/>
      <c r="UK158" s="1"/>
      <c r="UL158" s="1"/>
      <c r="UM158" s="1"/>
      <c r="UN158" s="1"/>
      <c r="UO158" s="1"/>
      <c r="UP158" s="1"/>
      <c r="UQ158" s="1"/>
      <c r="UR158" s="1"/>
      <c r="US158" s="1"/>
      <c r="UT158" s="1"/>
      <c r="UU158" s="1"/>
      <c r="UV158" s="1"/>
      <c r="UW158" s="1"/>
      <c r="UX158" s="1"/>
      <c r="UY158" s="1"/>
      <c r="UZ158" s="1"/>
      <c r="VA158" s="1"/>
      <c r="VB158" s="1"/>
      <c r="VC158" s="1"/>
      <c r="VD158" s="1"/>
      <c r="VE158" s="1"/>
      <c r="VF158" s="1"/>
      <c r="VG158" s="1"/>
      <c r="VH158" s="1"/>
      <c r="VI158" s="1"/>
      <c r="VJ158" s="1"/>
      <c r="VK158" s="1"/>
      <c r="VL158" s="1"/>
      <c r="VM158" s="1"/>
      <c r="VN158" s="1"/>
      <c r="VO158" s="1"/>
      <c r="VP158" s="1"/>
      <c r="VQ158" s="1"/>
      <c r="VR158" s="1"/>
      <c r="VS158" s="1"/>
      <c r="VT158" s="1"/>
      <c r="VU158" s="1"/>
      <c r="VV158" s="1"/>
      <c r="VW158" s="1"/>
      <c r="VX158" s="1"/>
      <c r="VY158" s="1"/>
      <c r="VZ158" s="1"/>
      <c r="WA158" s="1"/>
      <c r="WB158" s="1"/>
      <c r="WC158" s="1"/>
      <c r="WD158" s="1"/>
      <c r="WE158" s="1"/>
      <c r="WF158" s="1"/>
      <c r="WG158" s="1"/>
      <c r="WH158" s="1"/>
      <c r="WI158" s="1"/>
      <c r="WJ158" s="1"/>
      <c r="WK158" s="1"/>
      <c r="WL158" s="1"/>
      <c r="WM158" s="1"/>
      <c r="WN158" s="1"/>
      <c r="WO158" s="1"/>
      <c r="WP158" s="1"/>
      <c r="WQ158" s="1"/>
      <c r="WR158" s="1"/>
      <c r="WS158" s="1"/>
      <c r="WT158" s="1"/>
      <c r="WU158" s="1"/>
      <c r="WV158" s="1"/>
      <c r="WW158" s="1"/>
      <c r="WX158" s="1"/>
      <c r="WY158" s="1"/>
      <c r="WZ158" s="1"/>
      <c r="XA158" s="1"/>
      <c r="XB158" s="1"/>
      <c r="XC158" s="1"/>
      <c r="XD158" s="1"/>
      <c r="XE158" s="1"/>
      <c r="XF158" s="1"/>
      <c r="XG158" s="1"/>
      <c r="XH158" s="1"/>
      <c r="XI158" s="1"/>
      <c r="XJ158" s="1"/>
      <c r="XK158" s="1"/>
      <c r="XL158" s="1"/>
      <c r="XM158" s="1"/>
      <c r="XN158" s="1"/>
      <c r="XO158" s="1"/>
      <c r="XP158" s="1"/>
      <c r="XQ158" s="1"/>
      <c r="XR158" s="1"/>
      <c r="XS158" s="1"/>
      <c r="XT158" s="1"/>
      <c r="XU158" s="1"/>
      <c r="XV158" s="1"/>
      <c r="XW158" s="1"/>
      <c r="XX158" s="1"/>
      <c r="XY158" s="1"/>
      <c r="XZ158" s="1"/>
      <c r="YA158" s="1"/>
      <c r="YB158" s="1"/>
      <c r="YC158" s="1"/>
      <c r="YD158" s="1"/>
      <c r="YE158" s="1"/>
      <c r="YF158" s="1"/>
      <c r="YG158" s="1"/>
      <c r="YH158" s="1"/>
      <c r="YI158" s="1"/>
      <c r="YJ158" s="1"/>
      <c r="YK158" s="1"/>
      <c r="YL158" s="1"/>
      <c r="YM158" s="1"/>
      <c r="YN158" s="1"/>
      <c r="YO158" s="1"/>
      <c r="YP158" s="1"/>
      <c r="YQ158" s="1"/>
      <c r="YR158" s="1"/>
      <c r="YS158" s="1"/>
      <c r="YT158" s="1"/>
      <c r="YU158" s="1"/>
      <c r="YV158" s="1"/>
      <c r="YW158" s="1"/>
      <c r="YX158" s="1"/>
      <c r="YY158" s="1"/>
      <c r="YZ158" s="1"/>
      <c r="ZA158" s="1"/>
      <c r="ZB158" s="1"/>
      <c r="ZC158" s="1"/>
      <c r="ZD158" s="1"/>
      <c r="ZE158" s="1"/>
      <c r="ZF158" s="1"/>
      <c r="ZG158" s="1"/>
      <c r="ZH158" s="1"/>
      <c r="ZI158" s="1"/>
      <c r="ZJ158" s="1"/>
      <c r="ZK158" s="1"/>
      <c r="ZL158" s="1"/>
      <c r="ZM158" s="1"/>
      <c r="ZN158" s="1"/>
      <c r="ZO158" s="1"/>
      <c r="ZP158" s="1"/>
      <c r="ZQ158" s="1"/>
      <c r="ZR158" s="1"/>
      <c r="ZS158" s="1"/>
      <c r="ZT158" s="1"/>
      <c r="ZU158" s="1"/>
      <c r="ZV158" s="1"/>
      <c r="ZW158" s="1"/>
      <c r="ZX158" s="1"/>
      <c r="ZY158" s="1"/>
      <c r="ZZ158" s="1"/>
      <c r="AAA158" s="1"/>
      <c r="AAB158" s="1"/>
      <c r="AAC158" s="1"/>
      <c r="AAD158" s="1"/>
      <c r="AAE158" s="1"/>
      <c r="AAF158" s="1"/>
      <c r="AAG158" s="1"/>
      <c r="AAH158" s="1"/>
      <c r="AAI158" s="1"/>
      <c r="AAJ158" s="1"/>
      <c r="AAK158" s="1"/>
      <c r="AAL158" s="1"/>
      <c r="AAM158" s="1"/>
      <c r="AAN158" s="1"/>
      <c r="AAO158" s="1"/>
      <c r="AAP158" s="1"/>
      <c r="AAQ158" s="1"/>
      <c r="AAR158" s="1"/>
      <c r="AAS158" s="1"/>
      <c r="AAT158" s="1"/>
      <c r="AAU158" s="1"/>
      <c r="AAV158" s="1"/>
      <c r="AAW158" s="1"/>
      <c r="AAX158" s="1"/>
      <c r="AAY158" s="1"/>
      <c r="AAZ158" s="1"/>
      <c r="ABA158" s="1"/>
      <c r="ABB158" s="1"/>
      <c r="ABC158" s="1"/>
      <c r="ABD158" s="1"/>
      <c r="ABE158" s="1"/>
      <c r="ABF158" s="1"/>
      <c r="ABG158" s="1"/>
      <c r="ABH158" s="1"/>
      <c r="ABI158" s="1"/>
      <c r="ABJ158" s="1"/>
      <c r="ABK158" s="1"/>
      <c r="ABL158" s="1"/>
      <c r="ABM158" s="1"/>
      <c r="ABN158" s="1"/>
      <c r="ABO158" s="1"/>
      <c r="ABP158" s="1"/>
      <c r="ABQ158" s="1"/>
      <c r="ABR158" s="1"/>
      <c r="ABS158" s="1"/>
      <c r="ABT158" s="1"/>
      <c r="ABU158" s="1"/>
      <c r="ABV158" s="1"/>
      <c r="ABW158" s="1"/>
      <c r="ABX158" s="1"/>
      <c r="ABY158" s="1"/>
      <c r="ABZ158" s="1"/>
      <c r="ACA158" s="1"/>
      <c r="ACB158" s="1"/>
      <c r="ACC158" s="1"/>
      <c r="ACD158" s="1"/>
      <c r="ACE158" s="1"/>
      <c r="ACF158" s="1"/>
      <c r="ACG158" s="1"/>
      <c r="ACH158" s="1"/>
      <c r="ACI158" s="1"/>
      <c r="ACJ158" s="1"/>
      <c r="ACK158" s="1"/>
      <c r="ACL158" s="1"/>
      <c r="ACM158" s="1"/>
      <c r="ACN158" s="1"/>
      <c r="ACO158" s="1"/>
      <c r="ACP158" s="1"/>
      <c r="ACQ158" s="1"/>
      <c r="ACR158" s="1"/>
      <c r="ACS158" s="1"/>
      <c r="ACT158" s="1"/>
      <c r="ACU158" s="1"/>
      <c r="ACV158" s="1"/>
      <c r="ACW158" s="1"/>
      <c r="ACX158" s="1"/>
      <c r="ACY158" s="1"/>
      <c r="ACZ158" s="1"/>
      <c r="ADA158" s="1"/>
      <c r="ADB158" s="1"/>
      <c r="ADC158" s="1"/>
      <c r="ADD158" s="1"/>
      <c r="ADE158" s="1"/>
      <c r="ADF158" s="1"/>
      <c r="ADG158" s="1"/>
      <c r="ADH158" s="1"/>
      <c r="ADI158" s="1"/>
      <c r="ADJ158" s="1"/>
      <c r="ADK158" s="1"/>
      <c r="ADL158" s="1"/>
      <c r="ADM158" s="1"/>
      <c r="ADN158" s="1"/>
      <c r="ADO158" s="1"/>
      <c r="ADP158" s="1"/>
      <c r="ADQ158" s="1"/>
      <c r="ADR158" s="1"/>
      <c r="ADS158" s="1"/>
      <c r="ADT158" s="1"/>
      <c r="ADU158" s="1"/>
      <c r="ADV158" s="1"/>
      <c r="ADW158" s="1"/>
      <c r="ADX158" s="1"/>
      <c r="ADY158" s="1"/>
      <c r="ADZ158" s="1"/>
      <c r="AEA158" s="1"/>
      <c r="AEB158" s="1"/>
      <c r="AEC158" s="1"/>
      <c r="AED158" s="1"/>
      <c r="AEE158" s="1"/>
      <c r="AEF158" s="1"/>
      <c r="AEG158" s="1"/>
      <c r="AEH158" s="1"/>
      <c r="AEI158" s="1"/>
      <c r="AEJ158" s="1"/>
      <c r="AEK158" s="1"/>
      <c r="AEL158" s="1"/>
      <c r="AEM158" s="1"/>
      <c r="AEN158" s="1"/>
      <c r="AEO158" s="1"/>
      <c r="AEP158" s="1"/>
      <c r="AEQ158" s="1"/>
      <c r="AER158" s="1"/>
      <c r="AES158" s="1"/>
      <c r="AET158" s="1"/>
      <c r="AEU158" s="1"/>
      <c r="AEV158" s="1"/>
      <c r="AEW158" s="1"/>
      <c r="AEX158" s="1"/>
      <c r="AEY158" s="1"/>
      <c r="AEZ158" s="1"/>
      <c r="AFA158" s="1"/>
      <c r="AFB158" s="1"/>
      <c r="AFC158" s="1"/>
      <c r="AFD158" s="1"/>
      <c r="AFE158" s="1"/>
      <c r="AFF158" s="1"/>
      <c r="AFG158" s="1"/>
      <c r="AFH158" s="1"/>
      <c r="AFI158" s="1"/>
      <c r="AFJ158" s="1"/>
      <c r="AFK158" s="1"/>
      <c r="AFL158" s="1"/>
      <c r="AFM158" s="1"/>
      <c r="AFN158" s="1"/>
      <c r="AFO158" s="1"/>
      <c r="AFP158" s="1"/>
      <c r="AFQ158" s="1"/>
      <c r="AFR158" s="1"/>
      <c r="AFS158" s="1"/>
      <c r="AFT158" s="1"/>
      <c r="AFU158" s="1"/>
      <c r="AFV158" s="1"/>
      <c r="AFW158" s="1"/>
      <c r="AFX158" s="1"/>
      <c r="AFY158" s="1"/>
      <c r="AFZ158" s="1"/>
      <c r="AGA158" s="1"/>
      <c r="AGB158" s="1"/>
      <c r="AGC158" s="1"/>
      <c r="AGD158" s="1"/>
      <c r="AGE158" s="1"/>
      <c r="AGF158" s="1"/>
      <c r="AGG158" s="1"/>
      <c r="AGH158" s="1"/>
      <c r="AGI158" s="1"/>
      <c r="AGJ158" s="1"/>
      <c r="AGK158" s="1"/>
      <c r="AGL158" s="1"/>
      <c r="AGM158" s="1"/>
      <c r="AGN158" s="1"/>
      <c r="AGO158" s="1"/>
      <c r="AGP158" s="1"/>
      <c r="AGQ158" s="1"/>
      <c r="AGR158" s="1"/>
      <c r="AGS158" s="1"/>
      <c r="AGT158" s="1"/>
      <c r="AGU158" s="1"/>
      <c r="AGV158" s="1"/>
      <c r="AGW158" s="1"/>
      <c r="AGX158" s="1"/>
      <c r="AGY158" s="1"/>
      <c r="AGZ158" s="1"/>
      <c r="AHA158" s="1"/>
      <c r="AHB158" s="1"/>
      <c r="AHC158" s="1"/>
      <c r="AHD158" s="1"/>
      <c r="AHE158" s="1"/>
      <c r="AHF158" s="1"/>
      <c r="AHG158" s="1"/>
      <c r="AHH158" s="1"/>
      <c r="AHI158" s="1"/>
      <c r="AHJ158" s="1"/>
      <c r="AHK158" s="1"/>
      <c r="AHL158" s="1"/>
      <c r="AHM158" s="1"/>
      <c r="AHN158" s="1"/>
      <c r="AHO158" s="1"/>
      <c r="AHP158" s="1"/>
      <c r="AHQ158" s="1"/>
      <c r="AHR158" s="1"/>
      <c r="AHS158" s="1"/>
      <c r="AHT158" s="1"/>
      <c r="AHU158" s="1"/>
      <c r="AHV158" s="1"/>
      <c r="AHW158" s="1"/>
      <c r="AHX158" s="1"/>
      <c r="AHY158" s="1"/>
      <c r="AHZ158" s="1"/>
      <c r="AIA158" s="1"/>
      <c r="AIB158" s="1"/>
      <c r="AIC158" s="1"/>
      <c r="AID158" s="1"/>
      <c r="AIE158" s="1"/>
      <c r="AIF158" s="1"/>
      <c r="AIG158" s="1"/>
      <c r="AIH158" s="1"/>
      <c r="AII158" s="1"/>
      <c r="AIJ158" s="1"/>
      <c r="AIK158" s="1"/>
      <c r="AIL158" s="1"/>
      <c r="AIM158" s="1"/>
      <c r="AIN158" s="1"/>
      <c r="AIO158" s="1"/>
      <c r="AIP158" s="1"/>
      <c r="AIQ158" s="1"/>
      <c r="AIR158" s="1"/>
      <c r="AIS158" s="1"/>
      <c r="AIT158" s="1"/>
      <c r="AIU158" s="1"/>
      <c r="AIV158" s="1"/>
      <c r="AIW158" s="1"/>
      <c r="AIX158" s="1"/>
      <c r="AIY158" s="1"/>
      <c r="AIZ158" s="1"/>
      <c r="AJA158" s="1"/>
      <c r="AJB158" s="1"/>
      <c r="AJC158" s="1"/>
      <c r="AJD158" s="1"/>
      <c r="AJE158" s="1"/>
      <c r="AJF158" s="1"/>
      <c r="AJG158" s="1"/>
      <c r="AJH158" s="1"/>
      <c r="AJI158" s="1"/>
      <c r="AJJ158" s="1"/>
      <c r="AJK158" s="1"/>
      <c r="AJL158" s="1"/>
      <c r="AJM158" s="1"/>
      <c r="AJN158" s="1"/>
      <c r="AJO158" s="1"/>
      <c r="AJP158" s="1"/>
      <c r="AJQ158" s="1"/>
      <c r="AJR158" s="1"/>
      <c r="AJS158" s="1"/>
      <c r="AJT158" s="1"/>
      <c r="AJU158" s="1"/>
      <c r="AJV158" s="1"/>
      <c r="AJW158" s="1"/>
      <c r="AJX158" s="1"/>
      <c r="AJY158" s="1"/>
      <c r="AJZ158" s="1"/>
      <c r="AKA158" s="1"/>
      <c r="AKB158" s="1"/>
      <c r="AKC158" s="1"/>
      <c r="AKD158" s="1"/>
      <c r="AKE158" s="1"/>
      <c r="AKF158" s="1"/>
      <c r="AKG158" s="1"/>
      <c r="AKH158" s="1"/>
      <c r="AKI158" s="1"/>
      <c r="AKJ158" s="1"/>
      <c r="AKK158" s="1"/>
      <c r="AKL158" s="1"/>
      <c r="AKM158" s="1"/>
      <c r="AKN158" s="1"/>
      <c r="AKO158" s="1"/>
      <c r="AKP158" s="1"/>
      <c r="AKQ158" s="1"/>
      <c r="AKR158" s="1"/>
      <c r="AKS158" s="1"/>
      <c r="AKT158" s="1"/>
      <c r="AKU158" s="1"/>
      <c r="AKV158" s="1"/>
      <c r="AKW158" s="1"/>
      <c r="AKX158" s="1"/>
      <c r="AKY158" s="1"/>
      <c r="AKZ158" s="1"/>
      <c r="ALA158" s="1"/>
      <c r="ALB158" s="1"/>
      <c r="ALC158" s="1"/>
      <c r="ALD158" s="1"/>
      <c r="ALE158" s="1"/>
      <c r="ALF158" s="1"/>
      <c r="ALG158" s="1"/>
      <c r="ALH158" s="1"/>
      <c r="ALI158" s="1"/>
      <c r="ALJ158" s="1"/>
      <c r="ALK158" s="1"/>
      <c r="ALL158" s="1"/>
      <c r="ALM158" s="1"/>
      <c r="ALN158" s="1"/>
      <c r="ALO158" s="1"/>
      <c r="ALP158" s="1"/>
      <c r="ALQ158" s="1"/>
      <c r="ALR158" s="1"/>
      <c r="ALS158" s="1"/>
      <c r="ALT158" s="1"/>
      <c r="ALU158" s="1"/>
      <c r="ALV158" s="1"/>
      <c r="ALW158" s="1"/>
      <c r="ALX158" s="1"/>
      <c r="ALY158" s="1"/>
      <c r="ALZ158" s="1"/>
      <c r="AMA158" s="1"/>
      <c r="AMB158" s="1"/>
      <c r="AMC158" s="1"/>
      <c r="AMD158" s="1"/>
      <c r="AME158" s="1"/>
      <c r="AMF158" s="1"/>
      <c r="AMG158" s="1"/>
      <c r="AMH158" s="1"/>
      <c r="AMI158" s="1"/>
      <c r="AMJ158" s="1"/>
      <c r="AMK158" s="1"/>
      <c r="AML158" s="1"/>
      <c r="AMM158" s="1"/>
      <c r="AMN158" s="1"/>
    </row>
    <row r="159" spans="1:1029" x14ac:dyDescent="0.2">
      <c r="A159" s="3" t="str">
        <f t="shared" si="639"/>
        <v>ox2r_human_4S0V</v>
      </c>
      <c r="B159" s="3" t="s">
        <v>1176</v>
      </c>
      <c r="C159" s="3" t="s">
        <v>92</v>
      </c>
      <c r="D159" s="3" t="str">
        <f>IFERROR(MID(VLOOKUP($B159,Seqs!$A:$B,2,0),E159,1),"")</f>
        <v>Y</v>
      </c>
      <c r="E159" s="3">
        <v>53</v>
      </c>
      <c r="F159" s="3" t="str">
        <f>IFERROR(MID(VLOOKUP($B159,Seqs!$A:$B,2,0),G159,1),"")</f>
        <v>N</v>
      </c>
      <c r="G159" s="3">
        <v>82</v>
      </c>
      <c r="H159" s="3" t="str">
        <f>IFERROR(MID(VLOOKUP($B159,Seqs!$A:$B,2,0),I159,1),"")</f>
        <v>H</v>
      </c>
      <c r="I159" s="23">
        <v>83</v>
      </c>
      <c r="J159" s="3" t="str">
        <f>IFERROR(MID(VLOOKUP($B159,Seqs!$A:$B,2,0),K159,1),"")</f>
        <v>R</v>
      </c>
      <c r="K159" s="23">
        <v>86</v>
      </c>
      <c r="L159" s="3" t="str">
        <f>IFERROR(MID(VLOOKUP($B159,Seqs!$A:$B,2,0),M159,1),"")</f>
        <v>T</v>
      </c>
      <c r="M159" s="3">
        <v>87</v>
      </c>
      <c r="N159" s="3" t="str">
        <f>IFERROR(MID(VLOOKUP($B159,Seqs!$A:$B,2,0),O159,1),"")</f>
        <v>T</v>
      </c>
      <c r="O159" s="3">
        <v>117</v>
      </c>
      <c r="P159" s="3" t="str">
        <f>IFERROR(MID(VLOOKUP($B159,Seqs!$A:$B,2,0),Q159,1),"")</f>
        <v>T</v>
      </c>
      <c r="Q159" s="3">
        <v>119</v>
      </c>
      <c r="R159" s="3" t="str">
        <f>IFERROR(MID(VLOOKUP($B159,Seqs!$A:$B,2,0),S159,1),"")</f>
        <v>F</v>
      </c>
      <c r="S159" s="3">
        <v>122</v>
      </c>
      <c r="T159" s="3" t="str">
        <f>IFERROR(MID(VLOOKUP($B159,Seqs!$A:$B,2,0),U159,1),"")</f>
        <v>G</v>
      </c>
      <c r="U159" s="3">
        <v>123</v>
      </c>
      <c r="V159" s="3" t="str">
        <f>IFERROR(MID(VLOOKUP($B159,Seqs!$A:$B,2,0),W159,1),"")</f>
        <v>H</v>
      </c>
      <c r="W159" s="3">
        <v>158</v>
      </c>
      <c r="X159" s="3" t="str">
        <f>IFERROR(MID(VLOOKUP($B159,Seqs!$A:$B,2,0),Y159,1),"")</f>
        <v/>
      </c>
      <c r="Y159" s="3" t="s">
        <v>23</v>
      </c>
      <c r="Z159" s="3" t="str">
        <f>IFERROR(MID(VLOOKUP($B159,Seqs!$A:$B,2,0),AA159,1),"")</f>
        <v/>
      </c>
      <c r="AA159" s="3" t="s">
        <v>23</v>
      </c>
      <c r="AB159" s="3" t="str">
        <f>IFERROR(MID(VLOOKUP($B159,Seqs!$A:$B,2,0),AC159,1),"")</f>
        <v>T</v>
      </c>
      <c r="AC159" s="9">
        <v>165</v>
      </c>
      <c r="AD159" s="3" t="str">
        <f>IFERROR(MID(VLOOKUP($B159,Seqs!$A:$B,2,0),AE159,1),"")</f>
        <v>M</v>
      </c>
      <c r="AE159" s="3">
        <v>191</v>
      </c>
      <c r="AF159" s="3" t="str">
        <f>IFERROR(MID(VLOOKUP($B159,Seqs!$A:$B,2,0),AG159,1),"")</f>
        <v>C</v>
      </c>
      <c r="AG159" s="3">
        <v>210</v>
      </c>
      <c r="AH159" s="3" t="str">
        <f>IFERROR(MID(VLOOKUP($B159,Seqs!$A:$B,2,0),AI159,1),"")</f>
        <v>E</v>
      </c>
      <c r="AI159" s="3">
        <v>212</v>
      </c>
      <c r="AJ159" s="3" t="str">
        <f>IFERROR(MID(VLOOKUP($B159,Seqs!$A:$B,2,0),AK159,1),"")</f>
        <v>E</v>
      </c>
      <c r="AK159" s="3">
        <v>217</v>
      </c>
      <c r="AL159" s="3" t="str">
        <f>IFERROR(MID(VLOOKUP($B159,Seqs!$A:$B,2,0),AM159,1),"")</f>
        <v>Q</v>
      </c>
      <c r="AM159" s="3">
        <v>254</v>
      </c>
      <c r="AN159" s="3" t="str">
        <f>IFERROR(MID(VLOOKUP($B159,Seqs!$A:$B,2,0),AO159,1),"")</f>
        <v>K</v>
      </c>
      <c r="AO159" s="3">
        <v>294</v>
      </c>
      <c r="AP159" s="3" t="str">
        <f>IFERROR(MID(VLOOKUP($B159,Seqs!$A:$B,2,0),AQ159,1),"")</f>
        <v>F</v>
      </c>
      <c r="AQ159" s="3">
        <v>330</v>
      </c>
      <c r="AR159" s="3" t="str">
        <f>IFERROR(MID(VLOOKUP($B159,Seqs!$A:$B,2,0),AS159,1),"")</f>
        <v>R</v>
      </c>
      <c r="AS159" s="3">
        <v>339</v>
      </c>
      <c r="AT159" s="3" t="str">
        <f>IFERROR(MID(VLOOKUP($B159,Seqs!$A:$B,2,0),AU159,1),"")</f>
        <v>L</v>
      </c>
      <c r="AU159" s="3">
        <v>367</v>
      </c>
      <c r="AV159" s="3" t="str">
        <f>IFERROR(MID(VLOOKUP($B159,Seqs!$A:$B,2,0),AW159,1),"")</f>
        <v>S</v>
      </c>
      <c r="AW159" s="3">
        <v>368</v>
      </c>
      <c r="AX159" s="3" t="str">
        <f>IFERROR(MID(VLOOKUP($B159,Seqs!$A:$B,2,0),AY159,1),"")</f>
        <v>F</v>
      </c>
      <c r="AY159" s="3">
        <v>379</v>
      </c>
      <c r="AZ159" s="79" t="str">
        <f>VLOOKUP(B159,Classification!A:D,2,0)</f>
        <v>A</v>
      </c>
      <c r="BA159" s="97" t="str">
        <f>VLOOKUP(B159,Classification!A:D,4,0)</f>
        <v>Orexin</v>
      </c>
      <c r="BB159" s="27" t="b">
        <f t="shared" si="640"/>
        <v>1</v>
      </c>
      <c r="BC159" s="23">
        <f t="shared" si="613"/>
        <v>252</v>
      </c>
      <c r="BD159" s="2" t="s">
        <v>1383</v>
      </c>
      <c r="BE159" s="3" t="s">
        <v>1381</v>
      </c>
      <c r="BF159" s="50" t="s">
        <v>1384</v>
      </c>
      <c r="BG159" s="50" t="s">
        <v>1384</v>
      </c>
      <c r="BH159" s="1"/>
      <c r="BI159" s="72" t="s">
        <v>1293</v>
      </c>
      <c r="BJ159" s="58" t="s">
        <v>1293</v>
      </c>
      <c r="BK159" s="58" t="s">
        <v>1293</v>
      </c>
      <c r="BL159" s="58" t="s">
        <v>1293</v>
      </c>
      <c r="BM159" s="58" t="s">
        <v>1293</v>
      </c>
      <c r="BN159" s="58" t="s">
        <v>1293</v>
      </c>
      <c r="BO159" s="58" t="s">
        <v>1293</v>
      </c>
      <c r="BP159" s="58" t="s">
        <v>1293</v>
      </c>
      <c r="BQ159" s="58" t="s">
        <v>1293</v>
      </c>
      <c r="BR159" s="58" t="s">
        <v>1293</v>
      </c>
      <c r="BS159" s="58" t="s">
        <v>1293</v>
      </c>
      <c r="BT159" s="58" t="s">
        <v>1293</v>
      </c>
      <c r="BU159" s="72">
        <f t="shared" si="614"/>
        <v>53</v>
      </c>
      <c r="BV159" s="73">
        <f t="shared" si="615"/>
        <v>83</v>
      </c>
      <c r="BW159" s="74">
        <f t="shared" si="616"/>
        <v>87</v>
      </c>
      <c r="BX159" s="73">
        <f t="shared" si="617"/>
        <v>119</v>
      </c>
      <c r="BY159" s="74">
        <f t="shared" si="618"/>
        <v>123</v>
      </c>
      <c r="BZ159" s="73" t="str">
        <f t="shared" si="619"/>
        <v>-</v>
      </c>
      <c r="CA159" s="74">
        <f t="shared" si="620"/>
        <v>165</v>
      </c>
      <c r="CB159" s="73">
        <f t="shared" si="621"/>
        <v>210</v>
      </c>
      <c r="CC159" s="74">
        <f t="shared" si="622"/>
        <v>217</v>
      </c>
      <c r="CD159" s="73">
        <f t="shared" si="623"/>
        <v>294</v>
      </c>
      <c r="CE159" s="74">
        <f t="shared" si="624"/>
        <v>339</v>
      </c>
      <c r="CF159" s="73">
        <f t="shared" si="625"/>
        <v>368</v>
      </c>
      <c r="CG159" s="72">
        <f t="shared" si="626"/>
        <v>82</v>
      </c>
      <c r="CH159" s="73">
        <f t="shared" si="627"/>
        <v>86</v>
      </c>
      <c r="CI159" s="74">
        <f t="shared" si="628"/>
        <v>117</v>
      </c>
      <c r="CJ159" s="74">
        <f t="shared" si="629"/>
        <v>122</v>
      </c>
      <c r="CK159" s="74">
        <f t="shared" si="630"/>
        <v>158</v>
      </c>
      <c r="CL159" s="74" t="str">
        <f t="shared" si="631"/>
        <v>-</v>
      </c>
      <c r="CM159" s="74">
        <f t="shared" si="632"/>
        <v>191</v>
      </c>
      <c r="CN159" s="74">
        <f t="shared" si="633"/>
        <v>212</v>
      </c>
      <c r="CO159" s="74">
        <f t="shared" si="634"/>
        <v>254</v>
      </c>
      <c r="CP159" s="74">
        <f t="shared" si="635"/>
        <v>330</v>
      </c>
      <c r="CQ159" s="74">
        <f t="shared" si="636"/>
        <v>367</v>
      </c>
      <c r="CR159" s="74">
        <f t="shared" si="637"/>
        <v>379</v>
      </c>
      <c r="CS159" s="23">
        <f t="shared" si="638"/>
        <v>1</v>
      </c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1"/>
      <c r="KH159" s="1"/>
      <c r="KI159" s="1"/>
      <c r="KJ159" s="1"/>
      <c r="KK159" s="1"/>
      <c r="KL159" s="1"/>
      <c r="KM159" s="1"/>
      <c r="KN159" s="1"/>
      <c r="KO159" s="1"/>
      <c r="KP159" s="1"/>
      <c r="KQ159" s="1"/>
      <c r="KR159" s="1"/>
      <c r="KS159" s="1"/>
      <c r="KT159" s="1"/>
      <c r="KU159" s="1"/>
      <c r="KV159" s="1"/>
      <c r="KW159" s="1"/>
      <c r="KX159" s="1"/>
      <c r="KY159" s="1"/>
      <c r="KZ159" s="1"/>
      <c r="LA159" s="1"/>
      <c r="LB159" s="1"/>
      <c r="LC159" s="1"/>
      <c r="LD159" s="1"/>
      <c r="LE159" s="1"/>
      <c r="LF159" s="1"/>
      <c r="LG159" s="1"/>
      <c r="LH159" s="1"/>
      <c r="LI159" s="1"/>
      <c r="LJ159" s="1"/>
      <c r="LK159" s="1"/>
      <c r="LL159" s="1"/>
      <c r="LM159" s="1"/>
      <c r="LN159" s="1"/>
      <c r="LO159" s="1"/>
      <c r="LP159" s="1"/>
      <c r="LQ159" s="1"/>
      <c r="LR159" s="1"/>
      <c r="LS159" s="1"/>
      <c r="LT159" s="1"/>
      <c r="LU159" s="1"/>
      <c r="LV159" s="1"/>
      <c r="LW159" s="1"/>
      <c r="LX159" s="1"/>
      <c r="LY159" s="1"/>
      <c r="LZ159" s="1"/>
      <c r="MA159" s="1"/>
      <c r="MB159" s="1"/>
      <c r="MC159" s="1"/>
      <c r="MD159" s="1"/>
      <c r="ME159" s="1"/>
      <c r="MF159" s="1"/>
      <c r="MG159" s="1"/>
      <c r="MH159" s="1"/>
      <c r="MI159" s="1"/>
      <c r="MJ159" s="1"/>
      <c r="MK159" s="1"/>
      <c r="ML159" s="1"/>
      <c r="MM159" s="1"/>
      <c r="MN159" s="1"/>
      <c r="MO159" s="1"/>
      <c r="MP159" s="1"/>
      <c r="MQ159" s="1"/>
      <c r="MR159" s="1"/>
      <c r="MS159" s="1"/>
      <c r="MT159" s="1"/>
      <c r="MU159" s="1"/>
      <c r="MV159" s="1"/>
      <c r="MW159" s="1"/>
      <c r="MX159" s="1"/>
      <c r="MY159" s="1"/>
      <c r="MZ159" s="1"/>
      <c r="NA159" s="1"/>
      <c r="NB159" s="1"/>
      <c r="NC159" s="1"/>
      <c r="ND159" s="1"/>
      <c r="NE159" s="1"/>
      <c r="NF159" s="1"/>
      <c r="NG159" s="1"/>
      <c r="NH159" s="1"/>
      <c r="NI159" s="1"/>
      <c r="NJ159" s="1"/>
      <c r="NK159" s="1"/>
      <c r="NL159" s="1"/>
      <c r="NM159" s="1"/>
      <c r="NN159" s="1"/>
      <c r="NO159" s="1"/>
      <c r="NP159" s="1"/>
      <c r="NQ159" s="1"/>
      <c r="NR159" s="1"/>
      <c r="NS159" s="1"/>
      <c r="NT159" s="1"/>
      <c r="NU159" s="1"/>
      <c r="NV159" s="1"/>
      <c r="NW159" s="1"/>
      <c r="NX159" s="1"/>
      <c r="NY159" s="1"/>
      <c r="NZ159" s="1"/>
      <c r="OA159" s="1"/>
      <c r="OB159" s="1"/>
      <c r="OC159" s="1"/>
      <c r="OD159" s="1"/>
      <c r="OE159" s="1"/>
      <c r="OF159" s="1"/>
      <c r="OG159" s="1"/>
      <c r="OH159" s="1"/>
      <c r="OI159" s="1"/>
      <c r="OJ159" s="1"/>
      <c r="OK159" s="1"/>
      <c r="OL159" s="1"/>
      <c r="OM159" s="1"/>
      <c r="ON159" s="1"/>
      <c r="OO159" s="1"/>
      <c r="OP159" s="1"/>
      <c r="OQ159" s="1"/>
      <c r="OR159" s="1"/>
      <c r="OS159" s="1"/>
      <c r="OT159" s="1"/>
      <c r="OU159" s="1"/>
      <c r="OV159" s="1"/>
      <c r="OW159" s="1"/>
      <c r="OX159" s="1"/>
      <c r="OY159" s="1"/>
      <c r="OZ159" s="1"/>
      <c r="PA159" s="1"/>
      <c r="PB159" s="1"/>
      <c r="PC159" s="1"/>
      <c r="PD159" s="1"/>
      <c r="PE159" s="1"/>
      <c r="PF159" s="1"/>
      <c r="PG159" s="1"/>
      <c r="PH159" s="1"/>
      <c r="PI159" s="1"/>
      <c r="PJ159" s="1"/>
      <c r="PK159" s="1"/>
      <c r="PL159" s="1"/>
      <c r="PM159" s="1"/>
      <c r="PN159" s="1"/>
      <c r="PO159" s="1"/>
      <c r="PP159" s="1"/>
      <c r="PQ159" s="1"/>
      <c r="PR159" s="1"/>
      <c r="PS159" s="1"/>
      <c r="PT159" s="1"/>
      <c r="PU159" s="1"/>
      <c r="PV159" s="1"/>
      <c r="PW159" s="1"/>
      <c r="PX159" s="1"/>
      <c r="PY159" s="1"/>
      <c r="PZ159" s="1"/>
      <c r="QA159" s="1"/>
      <c r="QB159" s="1"/>
      <c r="QC159" s="1"/>
      <c r="QD159" s="1"/>
      <c r="QE159" s="1"/>
      <c r="QF159" s="1"/>
      <c r="QG159" s="1"/>
      <c r="QH159" s="1"/>
      <c r="QI159" s="1"/>
      <c r="QJ159" s="1"/>
      <c r="QK159" s="1"/>
      <c r="QL159" s="1"/>
      <c r="QM159" s="1"/>
      <c r="QN159" s="1"/>
      <c r="QO159" s="1"/>
      <c r="QP159" s="1"/>
      <c r="QQ159" s="1"/>
      <c r="QR159" s="1"/>
      <c r="QS159" s="1"/>
      <c r="QT159" s="1"/>
      <c r="QU159" s="1"/>
      <c r="QV159" s="1"/>
      <c r="QW159" s="1"/>
      <c r="QX159" s="1"/>
      <c r="QY159" s="1"/>
      <c r="QZ159" s="1"/>
      <c r="RA159" s="1"/>
      <c r="RB159" s="1"/>
      <c r="RC159" s="1"/>
      <c r="RD159" s="1"/>
      <c r="RE159" s="1"/>
      <c r="RF159" s="1"/>
      <c r="RG159" s="1"/>
      <c r="RH159" s="1"/>
      <c r="RI159" s="1"/>
      <c r="RJ159" s="1"/>
      <c r="RK159" s="1"/>
      <c r="RL159" s="1"/>
      <c r="RM159" s="1"/>
      <c r="RN159" s="1"/>
      <c r="RO159" s="1"/>
      <c r="RP159" s="1"/>
      <c r="RQ159" s="1"/>
      <c r="RR159" s="1"/>
      <c r="RS159" s="1"/>
      <c r="RT159" s="1"/>
      <c r="RU159" s="1"/>
      <c r="RV159" s="1"/>
      <c r="RW159" s="1"/>
      <c r="RX159" s="1"/>
      <c r="RY159" s="1"/>
      <c r="RZ159" s="1"/>
      <c r="SA159" s="1"/>
      <c r="SB159" s="1"/>
      <c r="SC159" s="1"/>
      <c r="SD159" s="1"/>
      <c r="SE159" s="1"/>
      <c r="SF159" s="1"/>
      <c r="SG159" s="1"/>
      <c r="SH159" s="1"/>
      <c r="SI159" s="1"/>
      <c r="SJ159" s="1"/>
      <c r="SK159" s="1"/>
      <c r="SL159" s="1"/>
      <c r="SM159" s="1"/>
      <c r="SN159" s="1"/>
      <c r="SO159" s="1"/>
      <c r="SP159" s="1"/>
      <c r="SQ159" s="1"/>
      <c r="SR159" s="1"/>
      <c r="SS159" s="1"/>
      <c r="ST159" s="1"/>
      <c r="SU159" s="1"/>
      <c r="SV159" s="1"/>
      <c r="SW159" s="1"/>
      <c r="SX159" s="1"/>
      <c r="SY159" s="1"/>
      <c r="SZ159" s="1"/>
      <c r="TA159" s="1"/>
      <c r="TB159" s="1"/>
      <c r="TC159" s="1"/>
      <c r="TD159" s="1"/>
      <c r="TE159" s="1"/>
      <c r="TF159" s="1"/>
      <c r="TG159" s="1"/>
      <c r="TH159" s="1"/>
      <c r="TI159" s="1"/>
      <c r="TJ159" s="1"/>
      <c r="TK159" s="1"/>
      <c r="TL159" s="1"/>
      <c r="TM159" s="1"/>
      <c r="TN159" s="1"/>
      <c r="TO159" s="1"/>
      <c r="TP159" s="1"/>
      <c r="TQ159" s="1"/>
      <c r="TR159" s="1"/>
      <c r="TS159" s="1"/>
      <c r="TT159" s="1"/>
      <c r="TU159" s="1"/>
      <c r="TV159" s="1"/>
      <c r="TW159" s="1"/>
      <c r="TX159" s="1"/>
      <c r="TY159" s="1"/>
      <c r="TZ159" s="1"/>
      <c r="UA159" s="1"/>
      <c r="UB159" s="1"/>
      <c r="UC159" s="1"/>
      <c r="UD159" s="1"/>
      <c r="UE159" s="1"/>
      <c r="UF159" s="1"/>
      <c r="UG159" s="1"/>
      <c r="UH159" s="1"/>
      <c r="UI159" s="1"/>
      <c r="UJ159" s="1"/>
      <c r="UK159" s="1"/>
      <c r="UL159" s="1"/>
      <c r="UM159" s="1"/>
      <c r="UN159" s="1"/>
      <c r="UO159" s="1"/>
      <c r="UP159" s="1"/>
      <c r="UQ159" s="1"/>
      <c r="UR159" s="1"/>
      <c r="US159" s="1"/>
      <c r="UT159" s="1"/>
      <c r="UU159" s="1"/>
      <c r="UV159" s="1"/>
      <c r="UW159" s="1"/>
      <c r="UX159" s="1"/>
      <c r="UY159" s="1"/>
      <c r="UZ159" s="1"/>
      <c r="VA159" s="1"/>
      <c r="VB159" s="1"/>
      <c r="VC159" s="1"/>
      <c r="VD159" s="1"/>
      <c r="VE159" s="1"/>
      <c r="VF159" s="1"/>
      <c r="VG159" s="1"/>
      <c r="VH159" s="1"/>
      <c r="VI159" s="1"/>
      <c r="VJ159" s="1"/>
      <c r="VK159" s="1"/>
      <c r="VL159" s="1"/>
      <c r="VM159" s="1"/>
      <c r="VN159" s="1"/>
      <c r="VO159" s="1"/>
      <c r="VP159" s="1"/>
      <c r="VQ159" s="1"/>
      <c r="VR159" s="1"/>
      <c r="VS159" s="1"/>
      <c r="VT159" s="1"/>
      <c r="VU159" s="1"/>
      <c r="VV159" s="1"/>
      <c r="VW159" s="1"/>
      <c r="VX159" s="1"/>
      <c r="VY159" s="1"/>
      <c r="VZ159" s="1"/>
      <c r="WA159" s="1"/>
      <c r="WB159" s="1"/>
      <c r="WC159" s="1"/>
      <c r="WD159" s="1"/>
      <c r="WE159" s="1"/>
      <c r="WF159" s="1"/>
      <c r="WG159" s="1"/>
      <c r="WH159" s="1"/>
      <c r="WI159" s="1"/>
      <c r="WJ159" s="1"/>
      <c r="WK159" s="1"/>
      <c r="WL159" s="1"/>
      <c r="WM159" s="1"/>
      <c r="WN159" s="1"/>
      <c r="WO159" s="1"/>
      <c r="WP159" s="1"/>
      <c r="WQ159" s="1"/>
      <c r="WR159" s="1"/>
      <c r="WS159" s="1"/>
      <c r="WT159" s="1"/>
      <c r="WU159" s="1"/>
      <c r="WV159" s="1"/>
      <c r="WW159" s="1"/>
      <c r="WX159" s="1"/>
      <c r="WY159" s="1"/>
      <c r="WZ159" s="1"/>
      <c r="XA159" s="1"/>
      <c r="XB159" s="1"/>
      <c r="XC159" s="1"/>
      <c r="XD159" s="1"/>
      <c r="XE159" s="1"/>
      <c r="XF159" s="1"/>
      <c r="XG159" s="1"/>
      <c r="XH159" s="1"/>
      <c r="XI159" s="1"/>
      <c r="XJ159" s="1"/>
      <c r="XK159" s="1"/>
      <c r="XL159" s="1"/>
      <c r="XM159" s="1"/>
      <c r="XN159" s="1"/>
      <c r="XO159" s="1"/>
      <c r="XP159" s="1"/>
      <c r="XQ159" s="1"/>
      <c r="XR159" s="1"/>
      <c r="XS159" s="1"/>
      <c r="XT159" s="1"/>
      <c r="XU159" s="1"/>
      <c r="XV159" s="1"/>
      <c r="XW159" s="1"/>
      <c r="XX159" s="1"/>
      <c r="XY159" s="1"/>
      <c r="XZ159" s="1"/>
      <c r="YA159" s="1"/>
      <c r="YB159" s="1"/>
      <c r="YC159" s="1"/>
      <c r="YD159" s="1"/>
      <c r="YE159" s="1"/>
      <c r="YF159" s="1"/>
      <c r="YG159" s="1"/>
      <c r="YH159" s="1"/>
      <c r="YI159" s="1"/>
      <c r="YJ159" s="1"/>
      <c r="YK159" s="1"/>
      <c r="YL159" s="1"/>
      <c r="YM159" s="1"/>
      <c r="YN159" s="1"/>
      <c r="YO159" s="1"/>
      <c r="YP159" s="1"/>
      <c r="YQ159" s="1"/>
      <c r="YR159" s="1"/>
      <c r="YS159" s="1"/>
      <c r="YT159" s="1"/>
      <c r="YU159" s="1"/>
      <c r="YV159" s="1"/>
      <c r="YW159" s="1"/>
      <c r="YX159" s="1"/>
      <c r="YY159" s="1"/>
      <c r="YZ159" s="1"/>
      <c r="ZA159" s="1"/>
      <c r="ZB159" s="1"/>
      <c r="ZC159" s="1"/>
      <c r="ZD159" s="1"/>
      <c r="ZE159" s="1"/>
      <c r="ZF159" s="1"/>
      <c r="ZG159" s="1"/>
      <c r="ZH159" s="1"/>
      <c r="ZI159" s="1"/>
      <c r="ZJ159" s="1"/>
      <c r="ZK159" s="1"/>
      <c r="ZL159" s="1"/>
      <c r="ZM159" s="1"/>
      <c r="ZN159" s="1"/>
      <c r="ZO159" s="1"/>
      <c r="ZP159" s="1"/>
      <c r="ZQ159" s="1"/>
      <c r="ZR159" s="1"/>
      <c r="ZS159" s="1"/>
      <c r="ZT159" s="1"/>
      <c r="ZU159" s="1"/>
      <c r="ZV159" s="1"/>
      <c r="ZW159" s="1"/>
      <c r="ZX159" s="1"/>
      <c r="ZY159" s="1"/>
      <c r="ZZ159" s="1"/>
      <c r="AAA159" s="1"/>
      <c r="AAB159" s="1"/>
      <c r="AAC159" s="1"/>
      <c r="AAD159" s="1"/>
      <c r="AAE159" s="1"/>
      <c r="AAF159" s="1"/>
      <c r="AAG159" s="1"/>
      <c r="AAH159" s="1"/>
      <c r="AAI159" s="1"/>
      <c r="AAJ159" s="1"/>
      <c r="AAK159" s="1"/>
      <c r="AAL159" s="1"/>
      <c r="AAM159" s="1"/>
      <c r="AAN159" s="1"/>
      <c r="AAO159" s="1"/>
      <c r="AAP159" s="1"/>
      <c r="AAQ159" s="1"/>
      <c r="AAR159" s="1"/>
      <c r="AAS159" s="1"/>
      <c r="AAT159" s="1"/>
      <c r="AAU159" s="1"/>
      <c r="AAV159" s="1"/>
      <c r="AAW159" s="1"/>
      <c r="AAX159" s="1"/>
      <c r="AAY159" s="1"/>
      <c r="AAZ159" s="1"/>
      <c r="ABA159" s="1"/>
      <c r="ABB159" s="1"/>
      <c r="ABC159" s="1"/>
      <c r="ABD159" s="1"/>
      <c r="ABE159" s="1"/>
      <c r="ABF159" s="1"/>
      <c r="ABG159" s="1"/>
      <c r="ABH159" s="1"/>
      <c r="ABI159" s="1"/>
      <c r="ABJ159" s="1"/>
      <c r="ABK159" s="1"/>
      <c r="ABL159" s="1"/>
      <c r="ABM159" s="1"/>
      <c r="ABN159" s="1"/>
      <c r="ABO159" s="1"/>
      <c r="ABP159" s="1"/>
      <c r="ABQ159" s="1"/>
      <c r="ABR159" s="1"/>
      <c r="ABS159" s="1"/>
      <c r="ABT159" s="1"/>
      <c r="ABU159" s="1"/>
      <c r="ABV159" s="1"/>
      <c r="ABW159" s="1"/>
      <c r="ABX159" s="1"/>
      <c r="ABY159" s="1"/>
      <c r="ABZ159" s="1"/>
      <c r="ACA159" s="1"/>
      <c r="ACB159" s="1"/>
      <c r="ACC159" s="1"/>
      <c r="ACD159" s="1"/>
      <c r="ACE159" s="1"/>
      <c r="ACF159" s="1"/>
      <c r="ACG159" s="1"/>
      <c r="ACH159" s="1"/>
      <c r="ACI159" s="1"/>
      <c r="ACJ159" s="1"/>
      <c r="ACK159" s="1"/>
      <c r="ACL159" s="1"/>
      <c r="ACM159" s="1"/>
      <c r="ACN159" s="1"/>
      <c r="ACO159" s="1"/>
      <c r="ACP159" s="1"/>
      <c r="ACQ159" s="1"/>
      <c r="ACR159" s="1"/>
      <c r="ACS159" s="1"/>
      <c r="ACT159" s="1"/>
      <c r="ACU159" s="1"/>
      <c r="ACV159" s="1"/>
      <c r="ACW159" s="1"/>
      <c r="ACX159" s="1"/>
      <c r="ACY159" s="1"/>
      <c r="ACZ159" s="1"/>
      <c r="ADA159" s="1"/>
      <c r="ADB159" s="1"/>
      <c r="ADC159" s="1"/>
      <c r="ADD159" s="1"/>
      <c r="ADE159" s="1"/>
      <c r="ADF159" s="1"/>
      <c r="ADG159" s="1"/>
      <c r="ADH159" s="1"/>
      <c r="ADI159" s="1"/>
      <c r="ADJ159" s="1"/>
      <c r="ADK159" s="1"/>
      <c r="ADL159" s="1"/>
      <c r="ADM159" s="1"/>
      <c r="ADN159" s="1"/>
      <c r="ADO159" s="1"/>
      <c r="ADP159" s="1"/>
      <c r="ADQ159" s="1"/>
      <c r="ADR159" s="1"/>
      <c r="ADS159" s="1"/>
      <c r="ADT159" s="1"/>
      <c r="ADU159" s="1"/>
      <c r="ADV159" s="1"/>
      <c r="ADW159" s="1"/>
      <c r="ADX159" s="1"/>
      <c r="ADY159" s="1"/>
      <c r="ADZ159" s="1"/>
      <c r="AEA159" s="1"/>
      <c r="AEB159" s="1"/>
      <c r="AEC159" s="1"/>
      <c r="AED159" s="1"/>
      <c r="AEE159" s="1"/>
      <c r="AEF159" s="1"/>
      <c r="AEG159" s="1"/>
      <c r="AEH159" s="1"/>
      <c r="AEI159" s="1"/>
      <c r="AEJ159" s="1"/>
      <c r="AEK159" s="1"/>
      <c r="AEL159" s="1"/>
      <c r="AEM159" s="1"/>
      <c r="AEN159" s="1"/>
      <c r="AEO159" s="1"/>
      <c r="AEP159" s="1"/>
      <c r="AEQ159" s="1"/>
      <c r="AER159" s="1"/>
      <c r="AES159" s="1"/>
      <c r="AET159" s="1"/>
      <c r="AEU159" s="1"/>
      <c r="AEV159" s="1"/>
      <c r="AEW159" s="1"/>
      <c r="AEX159" s="1"/>
      <c r="AEY159" s="1"/>
      <c r="AEZ159" s="1"/>
      <c r="AFA159" s="1"/>
      <c r="AFB159" s="1"/>
      <c r="AFC159" s="1"/>
      <c r="AFD159" s="1"/>
      <c r="AFE159" s="1"/>
      <c r="AFF159" s="1"/>
      <c r="AFG159" s="1"/>
      <c r="AFH159" s="1"/>
      <c r="AFI159" s="1"/>
      <c r="AFJ159" s="1"/>
      <c r="AFK159" s="1"/>
      <c r="AFL159" s="1"/>
      <c r="AFM159" s="1"/>
      <c r="AFN159" s="1"/>
      <c r="AFO159" s="1"/>
      <c r="AFP159" s="1"/>
      <c r="AFQ159" s="1"/>
      <c r="AFR159" s="1"/>
      <c r="AFS159" s="1"/>
      <c r="AFT159" s="1"/>
      <c r="AFU159" s="1"/>
      <c r="AFV159" s="1"/>
      <c r="AFW159" s="1"/>
      <c r="AFX159" s="1"/>
      <c r="AFY159" s="1"/>
      <c r="AFZ159" s="1"/>
      <c r="AGA159" s="1"/>
      <c r="AGB159" s="1"/>
      <c r="AGC159" s="1"/>
      <c r="AGD159" s="1"/>
      <c r="AGE159" s="1"/>
      <c r="AGF159" s="1"/>
      <c r="AGG159" s="1"/>
      <c r="AGH159" s="1"/>
      <c r="AGI159" s="1"/>
      <c r="AGJ159" s="1"/>
      <c r="AGK159" s="1"/>
      <c r="AGL159" s="1"/>
      <c r="AGM159" s="1"/>
      <c r="AGN159" s="1"/>
      <c r="AGO159" s="1"/>
      <c r="AGP159" s="1"/>
      <c r="AGQ159" s="1"/>
      <c r="AGR159" s="1"/>
      <c r="AGS159" s="1"/>
      <c r="AGT159" s="1"/>
      <c r="AGU159" s="1"/>
      <c r="AGV159" s="1"/>
      <c r="AGW159" s="1"/>
      <c r="AGX159" s="1"/>
      <c r="AGY159" s="1"/>
      <c r="AGZ159" s="1"/>
      <c r="AHA159" s="1"/>
      <c r="AHB159" s="1"/>
      <c r="AHC159" s="1"/>
      <c r="AHD159" s="1"/>
      <c r="AHE159" s="1"/>
      <c r="AHF159" s="1"/>
      <c r="AHG159" s="1"/>
      <c r="AHH159" s="1"/>
      <c r="AHI159" s="1"/>
      <c r="AHJ159" s="1"/>
      <c r="AHK159" s="1"/>
      <c r="AHL159" s="1"/>
      <c r="AHM159" s="1"/>
      <c r="AHN159" s="1"/>
      <c r="AHO159" s="1"/>
      <c r="AHP159" s="1"/>
      <c r="AHQ159" s="1"/>
      <c r="AHR159" s="1"/>
      <c r="AHS159" s="1"/>
      <c r="AHT159" s="1"/>
      <c r="AHU159" s="1"/>
      <c r="AHV159" s="1"/>
      <c r="AHW159" s="1"/>
      <c r="AHX159" s="1"/>
      <c r="AHY159" s="1"/>
      <c r="AHZ159" s="1"/>
      <c r="AIA159" s="1"/>
      <c r="AIB159" s="1"/>
      <c r="AIC159" s="1"/>
      <c r="AID159" s="1"/>
      <c r="AIE159" s="1"/>
      <c r="AIF159" s="1"/>
      <c r="AIG159" s="1"/>
      <c r="AIH159" s="1"/>
      <c r="AII159" s="1"/>
      <c r="AIJ159" s="1"/>
      <c r="AIK159" s="1"/>
      <c r="AIL159" s="1"/>
      <c r="AIM159" s="1"/>
      <c r="AIN159" s="1"/>
      <c r="AIO159" s="1"/>
      <c r="AIP159" s="1"/>
      <c r="AIQ159" s="1"/>
      <c r="AIR159" s="1"/>
      <c r="AIS159" s="1"/>
      <c r="AIT159" s="1"/>
      <c r="AIU159" s="1"/>
      <c r="AIV159" s="1"/>
      <c r="AIW159" s="1"/>
      <c r="AIX159" s="1"/>
      <c r="AIY159" s="1"/>
      <c r="AIZ159" s="1"/>
      <c r="AJA159" s="1"/>
      <c r="AJB159" s="1"/>
      <c r="AJC159" s="1"/>
      <c r="AJD159" s="1"/>
      <c r="AJE159" s="1"/>
      <c r="AJF159" s="1"/>
      <c r="AJG159" s="1"/>
      <c r="AJH159" s="1"/>
      <c r="AJI159" s="1"/>
      <c r="AJJ159" s="1"/>
      <c r="AJK159" s="1"/>
      <c r="AJL159" s="1"/>
      <c r="AJM159" s="1"/>
      <c r="AJN159" s="1"/>
      <c r="AJO159" s="1"/>
      <c r="AJP159" s="1"/>
      <c r="AJQ159" s="1"/>
      <c r="AJR159" s="1"/>
      <c r="AJS159" s="1"/>
      <c r="AJT159" s="1"/>
      <c r="AJU159" s="1"/>
      <c r="AJV159" s="1"/>
      <c r="AJW159" s="1"/>
      <c r="AJX159" s="1"/>
      <c r="AJY159" s="1"/>
      <c r="AJZ159" s="1"/>
      <c r="AKA159" s="1"/>
      <c r="AKB159" s="1"/>
      <c r="AKC159" s="1"/>
      <c r="AKD159" s="1"/>
      <c r="AKE159" s="1"/>
      <c r="AKF159" s="1"/>
      <c r="AKG159" s="1"/>
      <c r="AKH159" s="1"/>
      <c r="AKI159" s="1"/>
      <c r="AKJ159" s="1"/>
      <c r="AKK159" s="1"/>
      <c r="AKL159" s="1"/>
      <c r="AKM159" s="1"/>
      <c r="AKN159" s="1"/>
      <c r="AKO159" s="1"/>
      <c r="AKP159" s="1"/>
      <c r="AKQ159" s="1"/>
      <c r="AKR159" s="1"/>
      <c r="AKS159" s="1"/>
      <c r="AKT159" s="1"/>
      <c r="AKU159" s="1"/>
      <c r="AKV159" s="1"/>
      <c r="AKW159" s="1"/>
      <c r="AKX159" s="1"/>
      <c r="AKY159" s="1"/>
      <c r="AKZ159" s="1"/>
      <c r="ALA159" s="1"/>
      <c r="ALB159" s="1"/>
      <c r="ALC159" s="1"/>
      <c r="ALD159" s="1"/>
      <c r="ALE159" s="1"/>
      <c r="ALF159" s="1"/>
      <c r="ALG159" s="1"/>
      <c r="ALH159" s="1"/>
      <c r="ALI159" s="1"/>
      <c r="ALJ159" s="1"/>
      <c r="ALK159" s="1"/>
      <c r="ALL159" s="1"/>
      <c r="ALM159" s="1"/>
      <c r="ALN159" s="1"/>
      <c r="ALO159" s="1"/>
      <c r="ALP159" s="1"/>
      <c r="ALQ159" s="1"/>
      <c r="ALR159" s="1"/>
      <c r="ALS159" s="1"/>
      <c r="ALT159" s="1"/>
      <c r="ALU159" s="1"/>
      <c r="ALV159" s="1"/>
      <c r="ALW159" s="1"/>
      <c r="ALX159" s="1"/>
      <c r="ALY159" s="1"/>
      <c r="ALZ159" s="1"/>
      <c r="AMA159" s="1"/>
      <c r="AMB159" s="1"/>
      <c r="AMC159" s="1"/>
      <c r="AMD159" s="1"/>
      <c r="AME159" s="1"/>
      <c r="AMF159" s="1"/>
      <c r="AMG159" s="1"/>
      <c r="AMH159" s="1"/>
      <c r="AMI159" s="1"/>
      <c r="AMJ159" s="1"/>
      <c r="AMK159" s="1"/>
      <c r="AML159" s="1"/>
      <c r="AMM159" s="1"/>
      <c r="AMN159" s="1"/>
    </row>
    <row r="160" spans="1:1029" x14ac:dyDescent="0.2">
      <c r="A160" s="3" t="str">
        <f t="shared" si="639"/>
        <v>p2ry1_human__wt</v>
      </c>
      <c r="B160" s="3" t="s">
        <v>345</v>
      </c>
      <c r="C160" s="3" t="s">
        <v>100</v>
      </c>
      <c r="D160" s="3" t="str">
        <f>IFERROR(MID(VLOOKUP($B160,Seqs!$A:$B,2,0),E160,1),"")</f>
        <v>F</v>
      </c>
      <c r="E160" s="3">
        <v>49</v>
      </c>
      <c r="F160" s="3" t="str">
        <f>IFERROR(MID(VLOOKUP($B160,Seqs!$A:$B,2,0),G160,1),"")</f>
        <v>H</v>
      </c>
      <c r="G160" s="3">
        <v>79</v>
      </c>
      <c r="H160" s="3" t="str">
        <f>IFERROR(MID(VLOOKUP($B160,Seqs!$A:$B,2,0),I160,1),"")</f>
        <v/>
      </c>
      <c r="I160" s="23" t="s">
        <v>23</v>
      </c>
      <c r="J160" s="3" t="str">
        <f>IFERROR(MID(VLOOKUP($B160,Seqs!$A:$B,2,0),K160,1),"")</f>
        <v/>
      </c>
      <c r="K160" s="23" t="s">
        <v>23</v>
      </c>
      <c r="L160" s="3" t="str">
        <f>IFERROR(MID(VLOOKUP($B160,Seqs!$A:$B,2,0),M160,1),"")</f>
        <v>S</v>
      </c>
      <c r="M160" s="3">
        <v>84</v>
      </c>
      <c r="N160" s="3" t="str">
        <f>IFERROR(MID(VLOOKUP($B160,Seqs!$A:$B,2,0),O160,1),"")</f>
        <v>N</v>
      </c>
      <c r="O160" s="3">
        <v>113</v>
      </c>
      <c r="P160" s="3" t="str">
        <f>IFERROR(MID(VLOOKUP($B160,Seqs!$A:$B,2,0),Q160,1),"")</f>
        <v>D</v>
      </c>
      <c r="Q160" s="3">
        <v>116</v>
      </c>
      <c r="R160" s="3" t="str">
        <f>IFERROR(MID(VLOOKUP($B160,Seqs!$A:$B,2,0),S160,1),"")</f>
        <v>F</v>
      </c>
      <c r="S160" s="3">
        <v>119</v>
      </c>
      <c r="T160" s="3" t="str">
        <f>IFERROR(MID(VLOOKUP($B160,Seqs!$A:$B,2,0),U160,1),"")</f>
        <v>G</v>
      </c>
      <c r="U160" s="3">
        <v>120</v>
      </c>
      <c r="V160" s="3" t="str">
        <f>IFERROR(MID(VLOOKUP($B160,Seqs!$A:$B,2,0),W160,1),"")</f>
        <v>Y</v>
      </c>
      <c r="W160" s="3">
        <v>155</v>
      </c>
      <c r="X160" s="3" t="str">
        <f>IFERROR(MID(VLOOKUP($B160,Seqs!$A:$B,2,0),Y160,1),"")</f>
        <v>P</v>
      </c>
      <c r="Y160" s="3">
        <v>156</v>
      </c>
      <c r="Z160" s="3" t="str">
        <f>IFERROR(MID(VLOOKUP($B160,Seqs!$A:$B,2,0),AA160,1),"")</f>
        <v>L</v>
      </c>
      <c r="AA160" s="3">
        <v>163</v>
      </c>
      <c r="AB160" s="3" t="str">
        <f>IFERROR(MID(VLOOKUP($B160,Seqs!$A:$B,2,0),AC160,1),"")</f>
        <v>K</v>
      </c>
      <c r="AC160" s="9">
        <v>164</v>
      </c>
      <c r="AD160" s="3" t="str">
        <f>IFERROR(MID(VLOOKUP($B160,Seqs!$A:$B,2,0),AE160,1),"")</f>
        <v>S</v>
      </c>
      <c r="AE160" s="3">
        <v>190</v>
      </c>
      <c r="AF160" s="3" t="str">
        <f>IFERROR(MID(VLOOKUP($B160,Seqs!$A:$B,2,0),AG160,1),"")</f>
        <v>C</v>
      </c>
      <c r="AG160" s="3">
        <v>202</v>
      </c>
      <c r="AH160" s="3" t="str">
        <f>IFERROR(MID(VLOOKUP($B160,Seqs!$A:$B,2,0),AI160,1),"")</f>
        <v>D</v>
      </c>
      <c r="AI160" s="3">
        <v>204</v>
      </c>
      <c r="AJ160" s="3" t="str">
        <f>IFERROR(MID(VLOOKUP($B160,Seqs!$A:$B,2,0),AK160,1),"")</f>
        <v>L</v>
      </c>
      <c r="AK160" s="3">
        <v>211</v>
      </c>
      <c r="AL160" s="3" t="str">
        <f>IFERROR(MID(VLOOKUP($B160,Seqs!$A:$B,2,0),AM160,1),"")</f>
        <v>K</v>
      </c>
      <c r="AM160" s="3">
        <v>247</v>
      </c>
      <c r="AN160" s="3" t="str">
        <f>IFERROR(MID(VLOOKUP($B160,Seqs!$A:$B,2,0),AO160,1),"")</f>
        <v>P</v>
      </c>
      <c r="AO160" s="3">
        <v>253</v>
      </c>
      <c r="AP160" s="3" t="str">
        <f>IFERROR(MID(VLOOKUP($B160,Seqs!$A:$B,2,0),AQ160,1),"")</f>
        <v>D</v>
      </c>
      <c r="AQ160" s="3">
        <v>289</v>
      </c>
      <c r="AR160" s="3" t="str">
        <f>IFERROR(MID(VLOOKUP($B160,Seqs!$A:$B,2,0),AS160,1),"")</f>
        <v>M</v>
      </c>
      <c r="AS160" s="3">
        <v>295</v>
      </c>
      <c r="AT160" s="3" t="str">
        <f>IFERROR(MID(VLOOKUP($B160,Seqs!$A:$B,2,0),AU160,1),"")</f>
        <v>A</v>
      </c>
      <c r="AU160" s="3">
        <v>327</v>
      </c>
      <c r="AV160" s="3" t="str">
        <f>IFERROR(MID(VLOOKUP($B160,Seqs!$A:$B,2,0),AW160,1),"")</f>
        <v>G</v>
      </c>
      <c r="AW160" s="3">
        <v>328</v>
      </c>
      <c r="AX160" s="3" t="str">
        <f>IFERROR(MID(VLOOKUP($B160,Seqs!$A:$B,2,0),AY160,1),"")</f>
        <v>R</v>
      </c>
      <c r="AY160" s="3">
        <v>340</v>
      </c>
      <c r="AZ160" s="79" t="str">
        <f>VLOOKUP(B160,Classification!A:D,2,0)</f>
        <v>A</v>
      </c>
      <c r="BA160" s="97" t="str">
        <f>VLOOKUP(B160,Classification!A:D,4,0)</f>
        <v>P2Y</v>
      </c>
      <c r="BB160" s="27" t="b">
        <f t="shared" si="640"/>
        <v>1</v>
      </c>
      <c r="BC160" s="23">
        <f t="shared" si="613"/>
        <v>260</v>
      </c>
      <c r="BD160" s="57" t="s">
        <v>1379</v>
      </c>
      <c r="BE160" s="3" t="s">
        <v>1381</v>
      </c>
      <c r="BF160" s="50" t="s">
        <v>1379</v>
      </c>
      <c r="BG160" s="50" t="s">
        <v>1384</v>
      </c>
      <c r="BH160" s="1"/>
      <c r="BI160" s="72" t="s">
        <v>1293</v>
      </c>
      <c r="BJ160" s="58" t="s">
        <v>1293</v>
      </c>
      <c r="BK160" s="58" t="s">
        <v>1293</v>
      </c>
      <c r="BL160" s="58" t="s">
        <v>1293</v>
      </c>
      <c r="BM160" s="58" t="s">
        <v>1293</v>
      </c>
      <c r="BN160" s="58" t="s">
        <v>1293</v>
      </c>
      <c r="BO160" s="58" t="s">
        <v>1293</v>
      </c>
      <c r="BP160" s="58" t="s">
        <v>1293</v>
      </c>
      <c r="BQ160" s="58" t="s">
        <v>1293</v>
      </c>
      <c r="BR160" s="58" t="s">
        <v>1293</v>
      </c>
      <c r="BS160" s="58" t="s">
        <v>1293</v>
      </c>
      <c r="BT160" s="58" t="s">
        <v>1293</v>
      </c>
      <c r="BU160" s="72">
        <f t="shared" si="614"/>
        <v>49</v>
      </c>
      <c r="BV160" s="73" t="str">
        <f t="shared" si="615"/>
        <v>-</v>
      </c>
      <c r="BW160" s="74">
        <f t="shared" si="616"/>
        <v>84</v>
      </c>
      <c r="BX160" s="73">
        <f t="shared" si="617"/>
        <v>116</v>
      </c>
      <c r="BY160" s="74">
        <f t="shared" si="618"/>
        <v>120</v>
      </c>
      <c r="BZ160" s="73">
        <f t="shared" si="619"/>
        <v>156</v>
      </c>
      <c r="CA160" s="74">
        <f t="shared" si="620"/>
        <v>164</v>
      </c>
      <c r="CB160" s="73">
        <f t="shared" si="621"/>
        <v>202</v>
      </c>
      <c r="CC160" s="74">
        <f t="shared" si="622"/>
        <v>211</v>
      </c>
      <c r="CD160" s="73">
        <f t="shared" si="623"/>
        <v>253</v>
      </c>
      <c r="CE160" s="74">
        <f t="shared" si="624"/>
        <v>295</v>
      </c>
      <c r="CF160" s="73">
        <f t="shared" si="625"/>
        <v>328</v>
      </c>
      <c r="CG160" s="72">
        <f t="shared" si="626"/>
        <v>79</v>
      </c>
      <c r="CH160" s="73" t="str">
        <f t="shared" si="627"/>
        <v>-</v>
      </c>
      <c r="CI160" s="74">
        <f t="shared" si="628"/>
        <v>113</v>
      </c>
      <c r="CJ160" s="74">
        <f t="shared" si="629"/>
        <v>119</v>
      </c>
      <c r="CK160" s="74">
        <f t="shared" si="630"/>
        <v>155</v>
      </c>
      <c r="CL160" s="74">
        <f t="shared" si="631"/>
        <v>163</v>
      </c>
      <c r="CM160" s="74">
        <f t="shared" si="632"/>
        <v>190</v>
      </c>
      <c r="CN160" s="74">
        <f t="shared" si="633"/>
        <v>204</v>
      </c>
      <c r="CO160" s="74">
        <f t="shared" si="634"/>
        <v>247</v>
      </c>
      <c r="CP160" s="74">
        <f t="shared" si="635"/>
        <v>289</v>
      </c>
      <c r="CQ160" s="74">
        <f t="shared" si="636"/>
        <v>327</v>
      </c>
      <c r="CR160" s="74">
        <f t="shared" si="637"/>
        <v>340</v>
      </c>
      <c r="CS160" s="23" t="e">
        <f t="shared" si="638"/>
        <v>#VALUE!</v>
      </c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/>
      <c r="JK160" s="1"/>
      <c r="JL160" s="1"/>
      <c r="JM160" s="1"/>
      <c r="JN160" s="1"/>
      <c r="JO160" s="1"/>
      <c r="JP160" s="1"/>
      <c r="JQ160" s="1"/>
      <c r="JR160" s="1"/>
      <c r="JS160" s="1"/>
      <c r="JT160" s="1"/>
      <c r="JU160" s="1"/>
      <c r="JV160" s="1"/>
      <c r="JW160" s="1"/>
      <c r="JX160" s="1"/>
      <c r="JY160" s="1"/>
      <c r="JZ160" s="1"/>
      <c r="KA160" s="1"/>
      <c r="KB160" s="1"/>
      <c r="KC160" s="1"/>
      <c r="KD160" s="1"/>
      <c r="KE160" s="1"/>
      <c r="KF160" s="1"/>
      <c r="KG160" s="1"/>
      <c r="KH160" s="1"/>
      <c r="KI160" s="1"/>
      <c r="KJ160" s="1"/>
      <c r="KK160" s="1"/>
      <c r="KL160" s="1"/>
      <c r="KM160" s="1"/>
      <c r="KN160" s="1"/>
      <c r="KO160" s="1"/>
      <c r="KP160" s="1"/>
      <c r="KQ160" s="1"/>
      <c r="KR160" s="1"/>
      <c r="KS160" s="1"/>
      <c r="KT160" s="1"/>
      <c r="KU160" s="1"/>
      <c r="KV160" s="1"/>
      <c r="KW160" s="1"/>
      <c r="KX160" s="1"/>
      <c r="KY160" s="1"/>
      <c r="KZ160" s="1"/>
      <c r="LA160" s="1"/>
      <c r="LB160" s="1"/>
      <c r="LC160" s="1"/>
      <c r="LD160" s="1"/>
      <c r="LE160" s="1"/>
      <c r="LF160" s="1"/>
      <c r="LG160" s="1"/>
      <c r="LH160" s="1"/>
      <c r="LI160" s="1"/>
      <c r="LJ160" s="1"/>
      <c r="LK160" s="1"/>
      <c r="LL160" s="1"/>
      <c r="LM160" s="1"/>
      <c r="LN160" s="1"/>
      <c r="LO160" s="1"/>
      <c r="LP160" s="1"/>
      <c r="LQ160" s="1"/>
      <c r="LR160" s="1"/>
      <c r="LS160" s="1"/>
      <c r="LT160" s="1"/>
      <c r="LU160" s="1"/>
      <c r="LV160" s="1"/>
      <c r="LW160" s="1"/>
      <c r="LX160" s="1"/>
      <c r="LY160" s="1"/>
      <c r="LZ160" s="1"/>
      <c r="MA160" s="1"/>
      <c r="MB160" s="1"/>
      <c r="MC160" s="1"/>
      <c r="MD160" s="1"/>
      <c r="ME160" s="1"/>
      <c r="MF160" s="1"/>
      <c r="MG160" s="1"/>
      <c r="MH160" s="1"/>
      <c r="MI160" s="1"/>
      <c r="MJ160" s="1"/>
      <c r="MK160" s="1"/>
      <c r="ML160" s="1"/>
      <c r="MM160" s="1"/>
      <c r="MN160" s="1"/>
      <c r="MO160" s="1"/>
      <c r="MP160" s="1"/>
      <c r="MQ160" s="1"/>
      <c r="MR160" s="1"/>
      <c r="MS160" s="1"/>
      <c r="MT160" s="1"/>
      <c r="MU160" s="1"/>
      <c r="MV160" s="1"/>
      <c r="MW160" s="1"/>
      <c r="MX160" s="1"/>
      <c r="MY160" s="1"/>
      <c r="MZ160" s="1"/>
      <c r="NA160" s="1"/>
      <c r="NB160" s="1"/>
      <c r="NC160" s="1"/>
      <c r="ND160" s="1"/>
      <c r="NE160" s="1"/>
      <c r="NF160" s="1"/>
      <c r="NG160" s="1"/>
      <c r="NH160" s="1"/>
      <c r="NI160" s="1"/>
      <c r="NJ160" s="1"/>
      <c r="NK160" s="1"/>
      <c r="NL160" s="1"/>
      <c r="NM160" s="1"/>
      <c r="NN160" s="1"/>
      <c r="NO160" s="1"/>
      <c r="NP160" s="1"/>
      <c r="NQ160" s="1"/>
      <c r="NR160" s="1"/>
      <c r="NS160" s="1"/>
      <c r="NT160" s="1"/>
      <c r="NU160" s="1"/>
      <c r="NV160" s="1"/>
      <c r="NW160" s="1"/>
      <c r="NX160" s="1"/>
      <c r="NY160" s="1"/>
      <c r="NZ160" s="1"/>
      <c r="OA160" s="1"/>
      <c r="OB160" s="1"/>
      <c r="OC160" s="1"/>
      <c r="OD160" s="1"/>
      <c r="OE160" s="1"/>
      <c r="OF160" s="1"/>
      <c r="OG160" s="1"/>
      <c r="OH160" s="1"/>
      <c r="OI160" s="1"/>
      <c r="OJ160" s="1"/>
      <c r="OK160" s="1"/>
      <c r="OL160" s="1"/>
      <c r="OM160" s="1"/>
      <c r="ON160" s="1"/>
      <c r="OO160" s="1"/>
      <c r="OP160" s="1"/>
      <c r="OQ160" s="1"/>
      <c r="OR160" s="1"/>
      <c r="OS160" s="1"/>
      <c r="OT160" s="1"/>
      <c r="OU160" s="1"/>
      <c r="OV160" s="1"/>
      <c r="OW160" s="1"/>
      <c r="OX160" s="1"/>
      <c r="OY160" s="1"/>
      <c r="OZ160" s="1"/>
      <c r="PA160" s="1"/>
      <c r="PB160" s="1"/>
      <c r="PC160" s="1"/>
      <c r="PD160" s="1"/>
      <c r="PE160" s="1"/>
      <c r="PF160" s="1"/>
      <c r="PG160" s="1"/>
      <c r="PH160" s="1"/>
      <c r="PI160" s="1"/>
      <c r="PJ160" s="1"/>
      <c r="PK160" s="1"/>
      <c r="PL160" s="1"/>
      <c r="PM160" s="1"/>
      <c r="PN160" s="1"/>
      <c r="PO160" s="1"/>
      <c r="PP160" s="1"/>
      <c r="PQ160" s="1"/>
      <c r="PR160" s="1"/>
      <c r="PS160" s="1"/>
      <c r="PT160" s="1"/>
      <c r="PU160" s="1"/>
      <c r="PV160" s="1"/>
      <c r="PW160" s="1"/>
      <c r="PX160" s="1"/>
      <c r="PY160" s="1"/>
      <c r="PZ160" s="1"/>
      <c r="QA160" s="1"/>
      <c r="QB160" s="1"/>
      <c r="QC160" s="1"/>
      <c r="QD160" s="1"/>
      <c r="QE160" s="1"/>
      <c r="QF160" s="1"/>
      <c r="QG160" s="1"/>
      <c r="QH160" s="1"/>
      <c r="QI160" s="1"/>
      <c r="QJ160" s="1"/>
      <c r="QK160" s="1"/>
      <c r="QL160" s="1"/>
      <c r="QM160" s="1"/>
      <c r="QN160" s="1"/>
      <c r="QO160" s="1"/>
      <c r="QP160" s="1"/>
      <c r="QQ160" s="1"/>
      <c r="QR160" s="1"/>
      <c r="QS160" s="1"/>
      <c r="QT160" s="1"/>
      <c r="QU160" s="1"/>
      <c r="QV160" s="1"/>
      <c r="QW160" s="1"/>
      <c r="QX160" s="1"/>
      <c r="QY160" s="1"/>
      <c r="QZ160" s="1"/>
      <c r="RA160" s="1"/>
      <c r="RB160" s="1"/>
      <c r="RC160" s="1"/>
      <c r="RD160" s="1"/>
      <c r="RE160" s="1"/>
      <c r="RF160" s="1"/>
      <c r="RG160" s="1"/>
      <c r="RH160" s="1"/>
      <c r="RI160" s="1"/>
      <c r="RJ160" s="1"/>
      <c r="RK160" s="1"/>
      <c r="RL160" s="1"/>
      <c r="RM160" s="1"/>
      <c r="RN160" s="1"/>
      <c r="RO160" s="1"/>
      <c r="RP160" s="1"/>
      <c r="RQ160" s="1"/>
      <c r="RR160" s="1"/>
      <c r="RS160" s="1"/>
      <c r="RT160" s="1"/>
      <c r="RU160" s="1"/>
      <c r="RV160" s="1"/>
      <c r="RW160" s="1"/>
      <c r="RX160" s="1"/>
      <c r="RY160" s="1"/>
      <c r="RZ160" s="1"/>
      <c r="SA160" s="1"/>
      <c r="SB160" s="1"/>
      <c r="SC160" s="1"/>
      <c r="SD160" s="1"/>
      <c r="SE160" s="1"/>
      <c r="SF160" s="1"/>
      <c r="SG160" s="1"/>
      <c r="SH160" s="1"/>
      <c r="SI160" s="1"/>
      <c r="SJ160" s="1"/>
      <c r="SK160" s="1"/>
      <c r="SL160" s="1"/>
      <c r="SM160" s="1"/>
      <c r="SN160" s="1"/>
      <c r="SO160" s="1"/>
      <c r="SP160" s="1"/>
      <c r="SQ160" s="1"/>
      <c r="SR160" s="1"/>
      <c r="SS160" s="1"/>
      <c r="ST160" s="1"/>
      <c r="SU160" s="1"/>
      <c r="SV160" s="1"/>
      <c r="SW160" s="1"/>
      <c r="SX160" s="1"/>
      <c r="SY160" s="1"/>
      <c r="SZ160" s="1"/>
      <c r="TA160" s="1"/>
      <c r="TB160" s="1"/>
      <c r="TC160" s="1"/>
      <c r="TD160" s="1"/>
      <c r="TE160" s="1"/>
      <c r="TF160" s="1"/>
      <c r="TG160" s="1"/>
      <c r="TH160" s="1"/>
      <c r="TI160" s="1"/>
      <c r="TJ160" s="1"/>
      <c r="TK160" s="1"/>
      <c r="TL160" s="1"/>
      <c r="TM160" s="1"/>
      <c r="TN160" s="1"/>
      <c r="TO160" s="1"/>
      <c r="TP160" s="1"/>
      <c r="TQ160" s="1"/>
      <c r="TR160" s="1"/>
      <c r="TS160" s="1"/>
      <c r="TT160" s="1"/>
      <c r="TU160" s="1"/>
      <c r="TV160" s="1"/>
      <c r="TW160" s="1"/>
      <c r="TX160" s="1"/>
      <c r="TY160" s="1"/>
      <c r="TZ160" s="1"/>
      <c r="UA160" s="1"/>
      <c r="UB160" s="1"/>
      <c r="UC160" s="1"/>
      <c r="UD160" s="1"/>
      <c r="UE160" s="1"/>
      <c r="UF160" s="1"/>
      <c r="UG160" s="1"/>
      <c r="UH160" s="1"/>
      <c r="UI160" s="1"/>
      <c r="UJ160" s="1"/>
      <c r="UK160" s="1"/>
      <c r="UL160" s="1"/>
      <c r="UM160" s="1"/>
      <c r="UN160" s="1"/>
      <c r="UO160" s="1"/>
      <c r="UP160" s="1"/>
      <c r="UQ160" s="1"/>
      <c r="UR160" s="1"/>
      <c r="US160" s="1"/>
      <c r="UT160" s="1"/>
      <c r="UU160" s="1"/>
      <c r="UV160" s="1"/>
      <c r="UW160" s="1"/>
      <c r="UX160" s="1"/>
      <c r="UY160" s="1"/>
      <c r="UZ160" s="1"/>
      <c r="VA160" s="1"/>
      <c r="VB160" s="1"/>
      <c r="VC160" s="1"/>
      <c r="VD160" s="1"/>
      <c r="VE160" s="1"/>
      <c r="VF160" s="1"/>
      <c r="VG160" s="1"/>
      <c r="VH160" s="1"/>
      <c r="VI160" s="1"/>
      <c r="VJ160" s="1"/>
      <c r="VK160" s="1"/>
      <c r="VL160" s="1"/>
      <c r="VM160" s="1"/>
      <c r="VN160" s="1"/>
      <c r="VO160" s="1"/>
      <c r="VP160" s="1"/>
      <c r="VQ160" s="1"/>
      <c r="VR160" s="1"/>
      <c r="VS160" s="1"/>
      <c r="VT160" s="1"/>
      <c r="VU160" s="1"/>
      <c r="VV160" s="1"/>
      <c r="VW160" s="1"/>
      <c r="VX160" s="1"/>
      <c r="VY160" s="1"/>
      <c r="VZ160" s="1"/>
      <c r="WA160" s="1"/>
      <c r="WB160" s="1"/>
      <c r="WC160" s="1"/>
      <c r="WD160" s="1"/>
      <c r="WE160" s="1"/>
      <c r="WF160" s="1"/>
      <c r="WG160" s="1"/>
      <c r="WH160" s="1"/>
      <c r="WI160" s="1"/>
      <c r="WJ160" s="1"/>
      <c r="WK160" s="1"/>
      <c r="WL160" s="1"/>
      <c r="WM160" s="1"/>
      <c r="WN160" s="1"/>
      <c r="WO160" s="1"/>
      <c r="WP160" s="1"/>
      <c r="WQ160" s="1"/>
      <c r="WR160" s="1"/>
      <c r="WS160" s="1"/>
      <c r="WT160" s="1"/>
      <c r="WU160" s="1"/>
      <c r="WV160" s="1"/>
      <c r="WW160" s="1"/>
      <c r="WX160" s="1"/>
      <c r="WY160" s="1"/>
      <c r="WZ160" s="1"/>
      <c r="XA160" s="1"/>
      <c r="XB160" s="1"/>
      <c r="XC160" s="1"/>
      <c r="XD160" s="1"/>
      <c r="XE160" s="1"/>
      <c r="XF160" s="1"/>
      <c r="XG160" s="1"/>
      <c r="XH160" s="1"/>
      <c r="XI160" s="1"/>
      <c r="XJ160" s="1"/>
      <c r="XK160" s="1"/>
      <c r="XL160" s="1"/>
      <c r="XM160" s="1"/>
      <c r="XN160" s="1"/>
      <c r="XO160" s="1"/>
      <c r="XP160" s="1"/>
      <c r="XQ160" s="1"/>
      <c r="XR160" s="1"/>
      <c r="XS160" s="1"/>
      <c r="XT160" s="1"/>
      <c r="XU160" s="1"/>
      <c r="XV160" s="1"/>
      <c r="XW160" s="1"/>
      <c r="XX160" s="1"/>
      <c r="XY160" s="1"/>
      <c r="XZ160" s="1"/>
      <c r="YA160" s="1"/>
      <c r="YB160" s="1"/>
      <c r="YC160" s="1"/>
      <c r="YD160" s="1"/>
      <c r="YE160" s="1"/>
      <c r="YF160" s="1"/>
      <c r="YG160" s="1"/>
      <c r="YH160" s="1"/>
      <c r="YI160" s="1"/>
      <c r="YJ160" s="1"/>
      <c r="YK160" s="1"/>
      <c r="YL160" s="1"/>
      <c r="YM160" s="1"/>
      <c r="YN160" s="1"/>
      <c r="YO160" s="1"/>
      <c r="YP160" s="1"/>
      <c r="YQ160" s="1"/>
      <c r="YR160" s="1"/>
      <c r="YS160" s="1"/>
      <c r="YT160" s="1"/>
      <c r="YU160" s="1"/>
      <c r="YV160" s="1"/>
      <c r="YW160" s="1"/>
      <c r="YX160" s="1"/>
      <c r="YY160" s="1"/>
      <c r="YZ160" s="1"/>
      <c r="ZA160" s="1"/>
      <c r="ZB160" s="1"/>
      <c r="ZC160" s="1"/>
      <c r="ZD160" s="1"/>
      <c r="ZE160" s="1"/>
      <c r="ZF160" s="1"/>
      <c r="ZG160" s="1"/>
      <c r="ZH160" s="1"/>
      <c r="ZI160" s="1"/>
      <c r="ZJ160" s="1"/>
      <c r="ZK160" s="1"/>
      <c r="ZL160" s="1"/>
      <c r="ZM160" s="1"/>
      <c r="ZN160" s="1"/>
      <c r="ZO160" s="1"/>
      <c r="ZP160" s="1"/>
      <c r="ZQ160" s="1"/>
      <c r="ZR160" s="1"/>
      <c r="ZS160" s="1"/>
      <c r="ZT160" s="1"/>
      <c r="ZU160" s="1"/>
      <c r="ZV160" s="1"/>
      <c r="ZW160" s="1"/>
      <c r="ZX160" s="1"/>
      <c r="ZY160" s="1"/>
      <c r="ZZ160" s="1"/>
      <c r="AAA160" s="1"/>
      <c r="AAB160" s="1"/>
      <c r="AAC160" s="1"/>
      <c r="AAD160" s="1"/>
      <c r="AAE160" s="1"/>
      <c r="AAF160" s="1"/>
      <c r="AAG160" s="1"/>
      <c r="AAH160" s="1"/>
      <c r="AAI160" s="1"/>
      <c r="AAJ160" s="1"/>
      <c r="AAK160" s="1"/>
      <c r="AAL160" s="1"/>
      <c r="AAM160" s="1"/>
      <c r="AAN160" s="1"/>
      <c r="AAO160" s="1"/>
      <c r="AAP160" s="1"/>
      <c r="AAQ160" s="1"/>
      <c r="AAR160" s="1"/>
      <c r="AAS160" s="1"/>
      <c r="AAT160" s="1"/>
      <c r="AAU160" s="1"/>
      <c r="AAV160" s="1"/>
      <c r="AAW160" s="1"/>
      <c r="AAX160" s="1"/>
      <c r="AAY160" s="1"/>
      <c r="AAZ160" s="1"/>
      <c r="ABA160" s="1"/>
      <c r="ABB160" s="1"/>
      <c r="ABC160" s="1"/>
      <c r="ABD160" s="1"/>
      <c r="ABE160" s="1"/>
      <c r="ABF160" s="1"/>
      <c r="ABG160" s="1"/>
      <c r="ABH160" s="1"/>
      <c r="ABI160" s="1"/>
      <c r="ABJ160" s="1"/>
      <c r="ABK160" s="1"/>
      <c r="ABL160" s="1"/>
      <c r="ABM160" s="1"/>
      <c r="ABN160" s="1"/>
      <c r="ABO160" s="1"/>
      <c r="ABP160" s="1"/>
      <c r="ABQ160" s="1"/>
      <c r="ABR160" s="1"/>
      <c r="ABS160" s="1"/>
      <c r="ABT160" s="1"/>
      <c r="ABU160" s="1"/>
      <c r="ABV160" s="1"/>
      <c r="ABW160" s="1"/>
      <c r="ABX160" s="1"/>
      <c r="ABY160" s="1"/>
      <c r="ABZ160" s="1"/>
      <c r="ACA160" s="1"/>
      <c r="ACB160" s="1"/>
      <c r="ACC160" s="1"/>
      <c r="ACD160" s="1"/>
      <c r="ACE160" s="1"/>
      <c r="ACF160" s="1"/>
      <c r="ACG160" s="1"/>
      <c r="ACH160" s="1"/>
      <c r="ACI160" s="1"/>
      <c r="ACJ160" s="1"/>
      <c r="ACK160" s="1"/>
      <c r="ACL160" s="1"/>
      <c r="ACM160" s="1"/>
      <c r="ACN160" s="1"/>
      <c r="ACO160" s="1"/>
      <c r="ACP160" s="1"/>
      <c r="ACQ160" s="1"/>
      <c r="ACR160" s="1"/>
      <c r="ACS160" s="1"/>
      <c r="ACT160" s="1"/>
      <c r="ACU160" s="1"/>
      <c r="ACV160" s="1"/>
      <c r="ACW160" s="1"/>
      <c r="ACX160" s="1"/>
      <c r="ACY160" s="1"/>
      <c r="ACZ160" s="1"/>
      <c r="ADA160" s="1"/>
      <c r="ADB160" s="1"/>
      <c r="ADC160" s="1"/>
      <c r="ADD160" s="1"/>
      <c r="ADE160" s="1"/>
      <c r="ADF160" s="1"/>
      <c r="ADG160" s="1"/>
      <c r="ADH160" s="1"/>
      <c r="ADI160" s="1"/>
      <c r="ADJ160" s="1"/>
      <c r="ADK160" s="1"/>
      <c r="ADL160" s="1"/>
      <c r="ADM160" s="1"/>
      <c r="ADN160" s="1"/>
      <c r="ADO160" s="1"/>
      <c r="ADP160" s="1"/>
      <c r="ADQ160" s="1"/>
      <c r="ADR160" s="1"/>
      <c r="ADS160" s="1"/>
      <c r="ADT160" s="1"/>
      <c r="ADU160" s="1"/>
      <c r="ADV160" s="1"/>
      <c r="ADW160" s="1"/>
      <c r="ADX160" s="1"/>
      <c r="ADY160" s="1"/>
      <c r="ADZ160" s="1"/>
      <c r="AEA160" s="1"/>
      <c r="AEB160" s="1"/>
      <c r="AEC160" s="1"/>
      <c r="AED160" s="1"/>
      <c r="AEE160" s="1"/>
      <c r="AEF160" s="1"/>
      <c r="AEG160" s="1"/>
      <c r="AEH160" s="1"/>
      <c r="AEI160" s="1"/>
      <c r="AEJ160" s="1"/>
      <c r="AEK160" s="1"/>
      <c r="AEL160" s="1"/>
      <c r="AEM160" s="1"/>
      <c r="AEN160" s="1"/>
      <c r="AEO160" s="1"/>
      <c r="AEP160" s="1"/>
      <c r="AEQ160" s="1"/>
      <c r="AER160" s="1"/>
      <c r="AES160" s="1"/>
      <c r="AET160" s="1"/>
      <c r="AEU160" s="1"/>
      <c r="AEV160" s="1"/>
      <c r="AEW160" s="1"/>
      <c r="AEX160" s="1"/>
      <c r="AEY160" s="1"/>
      <c r="AEZ160" s="1"/>
      <c r="AFA160" s="1"/>
      <c r="AFB160" s="1"/>
      <c r="AFC160" s="1"/>
      <c r="AFD160" s="1"/>
      <c r="AFE160" s="1"/>
      <c r="AFF160" s="1"/>
      <c r="AFG160" s="1"/>
      <c r="AFH160" s="1"/>
      <c r="AFI160" s="1"/>
      <c r="AFJ160" s="1"/>
      <c r="AFK160" s="1"/>
      <c r="AFL160" s="1"/>
      <c r="AFM160" s="1"/>
      <c r="AFN160" s="1"/>
      <c r="AFO160" s="1"/>
      <c r="AFP160" s="1"/>
      <c r="AFQ160" s="1"/>
      <c r="AFR160" s="1"/>
      <c r="AFS160" s="1"/>
      <c r="AFT160" s="1"/>
      <c r="AFU160" s="1"/>
      <c r="AFV160" s="1"/>
      <c r="AFW160" s="1"/>
      <c r="AFX160" s="1"/>
      <c r="AFY160" s="1"/>
      <c r="AFZ160" s="1"/>
      <c r="AGA160" s="1"/>
      <c r="AGB160" s="1"/>
      <c r="AGC160" s="1"/>
      <c r="AGD160" s="1"/>
      <c r="AGE160" s="1"/>
      <c r="AGF160" s="1"/>
      <c r="AGG160" s="1"/>
      <c r="AGH160" s="1"/>
      <c r="AGI160" s="1"/>
      <c r="AGJ160" s="1"/>
      <c r="AGK160" s="1"/>
      <c r="AGL160" s="1"/>
      <c r="AGM160" s="1"/>
      <c r="AGN160" s="1"/>
      <c r="AGO160" s="1"/>
      <c r="AGP160" s="1"/>
      <c r="AGQ160" s="1"/>
      <c r="AGR160" s="1"/>
      <c r="AGS160" s="1"/>
      <c r="AGT160" s="1"/>
      <c r="AGU160" s="1"/>
      <c r="AGV160" s="1"/>
      <c r="AGW160" s="1"/>
      <c r="AGX160" s="1"/>
      <c r="AGY160" s="1"/>
      <c r="AGZ160" s="1"/>
      <c r="AHA160" s="1"/>
      <c r="AHB160" s="1"/>
      <c r="AHC160" s="1"/>
      <c r="AHD160" s="1"/>
      <c r="AHE160" s="1"/>
      <c r="AHF160" s="1"/>
      <c r="AHG160" s="1"/>
      <c r="AHH160" s="1"/>
      <c r="AHI160" s="1"/>
      <c r="AHJ160" s="1"/>
      <c r="AHK160" s="1"/>
      <c r="AHL160" s="1"/>
      <c r="AHM160" s="1"/>
      <c r="AHN160" s="1"/>
      <c r="AHO160" s="1"/>
      <c r="AHP160" s="1"/>
      <c r="AHQ160" s="1"/>
      <c r="AHR160" s="1"/>
      <c r="AHS160" s="1"/>
      <c r="AHT160" s="1"/>
      <c r="AHU160" s="1"/>
      <c r="AHV160" s="1"/>
      <c r="AHW160" s="1"/>
      <c r="AHX160" s="1"/>
      <c r="AHY160" s="1"/>
      <c r="AHZ160" s="1"/>
      <c r="AIA160" s="1"/>
      <c r="AIB160" s="1"/>
      <c r="AIC160" s="1"/>
      <c r="AID160" s="1"/>
      <c r="AIE160" s="1"/>
      <c r="AIF160" s="1"/>
      <c r="AIG160" s="1"/>
      <c r="AIH160" s="1"/>
      <c r="AII160" s="1"/>
      <c r="AIJ160" s="1"/>
      <c r="AIK160" s="1"/>
      <c r="AIL160" s="1"/>
      <c r="AIM160" s="1"/>
      <c r="AIN160" s="1"/>
      <c r="AIO160" s="1"/>
      <c r="AIP160" s="1"/>
      <c r="AIQ160" s="1"/>
      <c r="AIR160" s="1"/>
      <c r="AIS160" s="1"/>
      <c r="AIT160" s="1"/>
      <c r="AIU160" s="1"/>
      <c r="AIV160" s="1"/>
      <c r="AIW160" s="1"/>
      <c r="AIX160" s="1"/>
      <c r="AIY160" s="1"/>
      <c r="AIZ160" s="1"/>
      <c r="AJA160" s="1"/>
      <c r="AJB160" s="1"/>
      <c r="AJC160" s="1"/>
      <c r="AJD160" s="1"/>
      <c r="AJE160" s="1"/>
      <c r="AJF160" s="1"/>
      <c r="AJG160" s="1"/>
      <c r="AJH160" s="1"/>
      <c r="AJI160" s="1"/>
      <c r="AJJ160" s="1"/>
      <c r="AJK160" s="1"/>
      <c r="AJL160" s="1"/>
      <c r="AJM160" s="1"/>
      <c r="AJN160" s="1"/>
      <c r="AJO160" s="1"/>
      <c r="AJP160" s="1"/>
      <c r="AJQ160" s="1"/>
      <c r="AJR160" s="1"/>
      <c r="AJS160" s="1"/>
      <c r="AJT160" s="1"/>
      <c r="AJU160" s="1"/>
      <c r="AJV160" s="1"/>
      <c r="AJW160" s="1"/>
      <c r="AJX160" s="1"/>
      <c r="AJY160" s="1"/>
      <c r="AJZ160" s="1"/>
      <c r="AKA160" s="1"/>
      <c r="AKB160" s="1"/>
      <c r="AKC160" s="1"/>
      <c r="AKD160" s="1"/>
      <c r="AKE160" s="1"/>
      <c r="AKF160" s="1"/>
      <c r="AKG160" s="1"/>
      <c r="AKH160" s="1"/>
      <c r="AKI160" s="1"/>
      <c r="AKJ160" s="1"/>
      <c r="AKK160" s="1"/>
      <c r="AKL160" s="1"/>
      <c r="AKM160" s="1"/>
      <c r="AKN160" s="1"/>
      <c r="AKO160" s="1"/>
      <c r="AKP160" s="1"/>
      <c r="AKQ160" s="1"/>
      <c r="AKR160" s="1"/>
      <c r="AKS160" s="1"/>
      <c r="AKT160" s="1"/>
      <c r="AKU160" s="1"/>
      <c r="AKV160" s="1"/>
      <c r="AKW160" s="1"/>
      <c r="AKX160" s="1"/>
      <c r="AKY160" s="1"/>
      <c r="AKZ160" s="1"/>
      <c r="ALA160" s="1"/>
      <c r="ALB160" s="1"/>
      <c r="ALC160" s="1"/>
      <c r="ALD160" s="1"/>
      <c r="ALE160" s="1"/>
      <c r="ALF160" s="1"/>
      <c r="ALG160" s="1"/>
      <c r="ALH160" s="1"/>
      <c r="ALI160" s="1"/>
      <c r="ALJ160" s="1"/>
      <c r="ALK160" s="1"/>
      <c r="ALL160" s="1"/>
      <c r="ALM160" s="1"/>
      <c r="ALN160" s="1"/>
      <c r="ALO160" s="1"/>
      <c r="ALP160" s="1"/>
      <c r="ALQ160" s="1"/>
      <c r="ALR160" s="1"/>
      <c r="ALS160" s="1"/>
      <c r="ALT160" s="1"/>
      <c r="ALU160" s="1"/>
      <c r="ALV160" s="1"/>
      <c r="ALW160" s="1"/>
      <c r="ALX160" s="1"/>
      <c r="ALY160" s="1"/>
      <c r="ALZ160" s="1"/>
      <c r="AMA160" s="1"/>
      <c r="AMB160" s="1"/>
      <c r="AMC160" s="1"/>
      <c r="AMD160" s="1"/>
      <c r="AME160" s="1"/>
      <c r="AMF160" s="1"/>
      <c r="AMG160" s="1"/>
      <c r="AMH160" s="1"/>
      <c r="AMI160" s="1"/>
      <c r="AMJ160" s="1"/>
      <c r="AMK160" s="1"/>
      <c r="AML160" s="1"/>
      <c r="AMM160" s="1"/>
      <c r="AMN160" s="1"/>
    </row>
    <row r="161" spans="1:1028" x14ac:dyDescent="0.2">
      <c r="A161" s="3" t="str">
        <f t="shared" si="639"/>
        <v>p2ry1_human_4XNV</v>
      </c>
      <c r="B161" s="3" t="s">
        <v>345</v>
      </c>
      <c r="C161" s="3" t="s">
        <v>1152</v>
      </c>
      <c r="D161" s="3" t="str">
        <f>IFERROR(MID(VLOOKUP($B161,Seqs!$A:$B,2,0),E161,1),"")</f>
        <v>F</v>
      </c>
      <c r="E161" s="3">
        <v>49</v>
      </c>
      <c r="F161" s="3" t="str">
        <f>IFERROR(MID(VLOOKUP($B161,Seqs!$A:$B,2,0),G161,1),"")</f>
        <v>H</v>
      </c>
      <c r="G161" s="3">
        <v>79</v>
      </c>
      <c r="H161" s="3" t="str">
        <f>IFERROR(MID(VLOOKUP($B161,Seqs!$A:$B,2,0),I161,1),"")</f>
        <v/>
      </c>
      <c r="I161" s="23" t="s">
        <v>23</v>
      </c>
      <c r="J161" s="3" t="str">
        <f>IFERROR(MID(VLOOKUP($B161,Seqs!$A:$B,2,0),K161,1),"")</f>
        <v/>
      </c>
      <c r="K161" s="23" t="s">
        <v>23</v>
      </c>
      <c r="L161" s="3" t="str">
        <f>IFERROR(MID(VLOOKUP($B161,Seqs!$A:$B,2,0),M161,1),"")</f>
        <v>S</v>
      </c>
      <c r="M161" s="3">
        <v>84</v>
      </c>
      <c r="N161" s="3" t="str">
        <f>IFERROR(MID(VLOOKUP($B161,Seqs!$A:$B,2,0),O161,1),"")</f>
        <v>N</v>
      </c>
      <c r="O161" s="3">
        <v>113</v>
      </c>
      <c r="P161" s="3" t="str">
        <f>IFERROR(MID(VLOOKUP($B161,Seqs!$A:$B,2,0),Q161,1),"")</f>
        <v>D</v>
      </c>
      <c r="Q161" s="3">
        <v>116</v>
      </c>
      <c r="R161" s="3" t="str">
        <f>IFERROR(MID(VLOOKUP($B161,Seqs!$A:$B,2,0),S161,1),"")</f>
        <v>F</v>
      </c>
      <c r="S161" s="3">
        <v>119</v>
      </c>
      <c r="T161" s="3" t="str">
        <f>IFERROR(MID(VLOOKUP($B161,Seqs!$A:$B,2,0),U161,1),"")</f>
        <v>G</v>
      </c>
      <c r="U161" s="3">
        <v>120</v>
      </c>
      <c r="V161" s="3" t="str">
        <f>IFERROR(MID(VLOOKUP($B161,Seqs!$A:$B,2,0),W161,1),"")</f>
        <v>Y</v>
      </c>
      <c r="W161" s="3">
        <v>155</v>
      </c>
      <c r="X161" s="3" t="str">
        <f>IFERROR(MID(VLOOKUP($B161,Seqs!$A:$B,2,0),Y161,1),"")</f>
        <v/>
      </c>
      <c r="Y161" s="3" t="s">
        <v>23</v>
      </c>
      <c r="Z161" s="3" t="str">
        <f>IFERROR(MID(VLOOKUP($B161,Seqs!$A:$B,2,0),AA161,1),"")</f>
        <v/>
      </c>
      <c r="AA161" s="3" t="s">
        <v>23</v>
      </c>
      <c r="AB161" s="3" t="str">
        <f>IFERROR(MID(VLOOKUP($B161,Seqs!$A:$B,2,0),AC161,1),"")</f>
        <v>G</v>
      </c>
      <c r="AC161" s="9">
        <v>161</v>
      </c>
      <c r="AD161" s="3" t="str">
        <f>IFERROR(MID(VLOOKUP($B161,Seqs!$A:$B,2,0),AE161,1),"")</f>
        <v>S</v>
      </c>
      <c r="AE161" s="3">
        <v>190</v>
      </c>
      <c r="AF161" s="3" t="str">
        <f>IFERROR(MID(VLOOKUP($B161,Seqs!$A:$B,2,0),AG161,1),"")</f>
        <v>C</v>
      </c>
      <c r="AG161" s="3">
        <v>202</v>
      </c>
      <c r="AH161" s="3" t="str">
        <f>IFERROR(MID(VLOOKUP($B161,Seqs!$A:$B,2,0),AI161,1),"")</f>
        <v>D</v>
      </c>
      <c r="AI161" s="3">
        <v>204</v>
      </c>
      <c r="AJ161" s="3" t="str">
        <f>IFERROR(MID(VLOOKUP($B161,Seqs!$A:$B,2,0),AK161,1),"")</f>
        <v>L</v>
      </c>
      <c r="AK161" s="3">
        <v>211</v>
      </c>
      <c r="AL161" s="3" t="str">
        <f>IFERROR(MID(VLOOKUP($B161,Seqs!$A:$B,2,0),AM161,1),"")</f>
        <v>K</v>
      </c>
      <c r="AM161" s="3">
        <v>247</v>
      </c>
      <c r="AN161" s="3" t="str">
        <f>IFERROR(MID(VLOOKUP($B161,Seqs!$A:$B,2,0),AO161,1),"")</f>
        <v>P</v>
      </c>
      <c r="AO161" s="3">
        <v>253</v>
      </c>
      <c r="AP161" s="3" t="str">
        <f>IFERROR(MID(VLOOKUP($B161,Seqs!$A:$B,2,0),AQ161,1),"")</f>
        <v>D</v>
      </c>
      <c r="AQ161" s="3">
        <v>289</v>
      </c>
      <c r="AR161" s="3" t="str">
        <f>IFERROR(MID(VLOOKUP($B161,Seqs!$A:$B,2,0),AS161,1),"")</f>
        <v>M</v>
      </c>
      <c r="AS161" s="3">
        <v>295</v>
      </c>
      <c r="AT161" s="3" t="str">
        <f>IFERROR(MID(VLOOKUP($B161,Seqs!$A:$B,2,0),AU161,1),"")</f>
        <v>L</v>
      </c>
      <c r="AU161" s="3">
        <v>326</v>
      </c>
      <c r="AV161" s="3" t="str">
        <f>IFERROR(MID(VLOOKUP($B161,Seqs!$A:$B,2,0),AW161,1),"")</f>
        <v/>
      </c>
      <c r="AW161" s="3" t="s">
        <v>23</v>
      </c>
      <c r="AX161" s="3" t="str">
        <f>IFERROR(MID(VLOOKUP($B161,Seqs!$A:$B,2,0),AY161,1),"")</f>
        <v/>
      </c>
      <c r="AY161" s="3" t="s">
        <v>23</v>
      </c>
      <c r="AZ161" s="79" t="str">
        <f>VLOOKUP(B161,Classification!A:D,2,0)</f>
        <v>A</v>
      </c>
      <c r="BA161" s="97" t="str">
        <f>VLOOKUP(B161,Classification!A:D,4,0)</f>
        <v>P2Y</v>
      </c>
      <c r="BB161" s="27" t="b">
        <f t="shared" si="640"/>
        <v>1</v>
      </c>
      <c r="BC161" s="23">
        <f t="shared" si="613"/>
        <v>243</v>
      </c>
      <c r="BD161" s="4" t="s">
        <v>23</v>
      </c>
      <c r="BE161" s="3" t="s">
        <v>1381</v>
      </c>
      <c r="BF161" s="50" t="s">
        <v>1384</v>
      </c>
      <c r="BG161" s="50" t="s">
        <v>1384</v>
      </c>
      <c r="BH161" s="3" t="s">
        <v>1169</v>
      </c>
      <c r="BI161" s="72" t="s">
        <v>1293</v>
      </c>
      <c r="BJ161" s="58" t="s">
        <v>1293</v>
      </c>
      <c r="BK161" s="58" t="s">
        <v>1293</v>
      </c>
      <c r="BL161" s="58" t="s">
        <v>1293</v>
      </c>
      <c r="BM161" s="58" t="s">
        <v>1293</v>
      </c>
      <c r="BN161" s="58" t="s">
        <v>1293</v>
      </c>
      <c r="BO161" s="58" t="s">
        <v>1293</v>
      </c>
      <c r="BP161" s="58" t="s">
        <v>1293</v>
      </c>
      <c r="BQ161" s="58" t="s">
        <v>1293</v>
      </c>
      <c r="BR161" s="58" t="s">
        <v>1293</v>
      </c>
      <c r="BS161" s="58" t="s">
        <v>1293</v>
      </c>
      <c r="BT161" s="58" t="s">
        <v>1293</v>
      </c>
      <c r="BU161" s="72">
        <f t="shared" si="614"/>
        <v>49</v>
      </c>
      <c r="BV161" s="73" t="str">
        <f t="shared" si="615"/>
        <v>-</v>
      </c>
      <c r="BW161" s="74">
        <f t="shared" si="616"/>
        <v>84</v>
      </c>
      <c r="BX161" s="73">
        <f t="shared" si="617"/>
        <v>116</v>
      </c>
      <c r="BY161" s="74">
        <f t="shared" si="618"/>
        <v>120</v>
      </c>
      <c r="BZ161" s="73" t="str">
        <f t="shared" si="619"/>
        <v>-</v>
      </c>
      <c r="CA161" s="74">
        <f t="shared" si="620"/>
        <v>161</v>
      </c>
      <c r="CB161" s="73">
        <f t="shared" si="621"/>
        <v>202</v>
      </c>
      <c r="CC161" s="74">
        <f t="shared" si="622"/>
        <v>211</v>
      </c>
      <c r="CD161" s="73">
        <f t="shared" si="623"/>
        <v>253</v>
      </c>
      <c r="CE161" s="74">
        <f t="shared" si="624"/>
        <v>295</v>
      </c>
      <c r="CF161" s="73" t="str">
        <f t="shared" si="625"/>
        <v>-</v>
      </c>
      <c r="CG161" s="72">
        <f t="shared" si="626"/>
        <v>79</v>
      </c>
      <c r="CH161" s="73" t="str">
        <f t="shared" si="627"/>
        <v>-</v>
      </c>
      <c r="CI161" s="74">
        <f t="shared" si="628"/>
        <v>113</v>
      </c>
      <c r="CJ161" s="74">
        <f t="shared" si="629"/>
        <v>119</v>
      </c>
      <c r="CK161" s="74">
        <f t="shared" si="630"/>
        <v>155</v>
      </c>
      <c r="CL161" s="74" t="str">
        <f t="shared" si="631"/>
        <v>-</v>
      </c>
      <c r="CM161" s="74">
        <f t="shared" si="632"/>
        <v>190</v>
      </c>
      <c r="CN161" s="74">
        <f t="shared" si="633"/>
        <v>204</v>
      </c>
      <c r="CO161" s="74">
        <f t="shared" si="634"/>
        <v>247</v>
      </c>
      <c r="CP161" s="74">
        <f t="shared" si="635"/>
        <v>289</v>
      </c>
      <c r="CQ161" s="74">
        <f t="shared" si="636"/>
        <v>326</v>
      </c>
      <c r="CR161" s="74" t="str">
        <f t="shared" si="637"/>
        <v>-</v>
      </c>
      <c r="CS161" s="23" t="e">
        <f t="shared" si="638"/>
        <v>#VALUE!</v>
      </c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/>
      <c r="JH161" s="1"/>
      <c r="JI161" s="1"/>
      <c r="JJ161" s="1"/>
      <c r="JK161" s="1"/>
      <c r="JL161" s="1"/>
      <c r="JM161" s="1"/>
      <c r="JN161" s="1"/>
      <c r="JO161" s="1"/>
      <c r="JP161" s="1"/>
      <c r="JQ161" s="1"/>
      <c r="JR161" s="1"/>
      <c r="JS161" s="1"/>
      <c r="JT161" s="1"/>
      <c r="JU161" s="1"/>
      <c r="JV161" s="1"/>
      <c r="JW161" s="1"/>
      <c r="JX161" s="1"/>
      <c r="JY161" s="1"/>
      <c r="JZ161" s="1"/>
      <c r="KA161" s="1"/>
      <c r="KB161" s="1"/>
      <c r="KC161" s="1"/>
      <c r="KD161" s="1"/>
      <c r="KE161" s="1"/>
      <c r="KF161" s="1"/>
      <c r="KG161" s="1"/>
      <c r="KH161" s="1"/>
      <c r="KI161" s="1"/>
      <c r="KJ161" s="1"/>
      <c r="KK161" s="1"/>
      <c r="KL161" s="1"/>
      <c r="KM161" s="1"/>
      <c r="KN161" s="1"/>
      <c r="KO161" s="1"/>
      <c r="KP161" s="1"/>
      <c r="KQ161" s="1"/>
      <c r="KR161" s="1"/>
      <c r="KS161" s="1"/>
      <c r="KT161" s="1"/>
      <c r="KU161" s="1"/>
      <c r="KV161" s="1"/>
      <c r="KW161" s="1"/>
      <c r="KX161" s="1"/>
      <c r="KY161" s="1"/>
      <c r="KZ161" s="1"/>
      <c r="LA161" s="1"/>
      <c r="LB161" s="1"/>
      <c r="LC161" s="1"/>
      <c r="LD161" s="1"/>
      <c r="LE161" s="1"/>
      <c r="LF161" s="1"/>
      <c r="LG161" s="1"/>
      <c r="LH161" s="1"/>
      <c r="LI161" s="1"/>
      <c r="LJ161" s="1"/>
      <c r="LK161" s="1"/>
      <c r="LL161" s="1"/>
      <c r="LM161" s="1"/>
      <c r="LN161" s="1"/>
      <c r="LO161" s="1"/>
      <c r="LP161" s="1"/>
      <c r="LQ161" s="1"/>
      <c r="LR161" s="1"/>
      <c r="LS161" s="1"/>
      <c r="LT161" s="1"/>
      <c r="LU161" s="1"/>
      <c r="LV161" s="1"/>
      <c r="LW161" s="1"/>
      <c r="LX161" s="1"/>
      <c r="LY161" s="1"/>
      <c r="LZ161" s="1"/>
      <c r="MA161" s="1"/>
      <c r="MB161" s="1"/>
      <c r="MC161" s="1"/>
      <c r="MD161" s="1"/>
      <c r="ME161" s="1"/>
      <c r="MF161" s="1"/>
      <c r="MG161" s="1"/>
      <c r="MH161" s="1"/>
      <c r="MI161" s="1"/>
      <c r="MJ161" s="1"/>
      <c r="MK161" s="1"/>
      <c r="ML161" s="1"/>
      <c r="MM161" s="1"/>
      <c r="MN161" s="1"/>
      <c r="MO161" s="1"/>
      <c r="MP161" s="1"/>
      <c r="MQ161" s="1"/>
      <c r="MR161" s="1"/>
      <c r="MS161" s="1"/>
      <c r="MT161" s="1"/>
      <c r="MU161" s="1"/>
      <c r="MV161" s="1"/>
      <c r="MW161" s="1"/>
      <c r="MX161" s="1"/>
      <c r="MY161" s="1"/>
      <c r="MZ161" s="1"/>
      <c r="NA161" s="1"/>
      <c r="NB161" s="1"/>
      <c r="NC161" s="1"/>
      <c r="ND161" s="1"/>
      <c r="NE161" s="1"/>
      <c r="NF161" s="1"/>
      <c r="NG161" s="1"/>
      <c r="NH161" s="1"/>
      <c r="NI161" s="1"/>
      <c r="NJ161" s="1"/>
      <c r="NK161" s="1"/>
      <c r="NL161" s="1"/>
      <c r="NM161" s="1"/>
      <c r="NN161" s="1"/>
      <c r="NO161" s="1"/>
      <c r="NP161" s="1"/>
      <c r="NQ161" s="1"/>
      <c r="NR161" s="1"/>
      <c r="NS161" s="1"/>
      <c r="NT161" s="1"/>
      <c r="NU161" s="1"/>
      <c r="NV161" s="1"/>
      <c r="NW161" s="1"/>
      <c r="NX161" s="1"/>
      <c r="NY161" s="1"/>
      <c r="NZ161" s="1"/>
      <c r="OA161" s="1"/>
      <c r="OB161" s="1"/>
      <c r="OC161" s="1"/>
      <c r="OD161" s="1"/>
      <c r="OE161" s="1"/>
      <c r="OF161" s="1"/>
      <c r="OG161" s="1"/>
      <c r="OH161" s="1"/>
      <c r="OI161" s="1"/>
      <c r="OJ161" s="1"/>
      <c r="OK161" s="1"/>
      <c r="OL161" s="1"/>
      <c r="OM161" s="1"/>
      <c r="ON161" s="1"/>
      <c r="OO161" s="1"/>
      <c r="OP161" s="1"/>
      <c r="OQ161" s="1"/>
      <c r="OR161" s="1"/>
      <c r="OS161" s="1"/>
      <c r="OT161" s="1"/>
      <c r="OU161" s="1"/>
      <c r="OV161" s="1"/>
      <c r="OW161" s="1"/>
      <c r="OX161" s="1"/>
      <c r="OY161" s="1"/>
      <c r="OZ161" s="1"/>
      <c r="PA161" s="1"/>
      <c r="PB161" s="1"/>
      <c r="PC161" s="1"/>
      <c r="PD161" s="1"/>
      <c r="PE161" s="1"/>
      <c r="PF161" s="1"/>
      <c r="PG161" s="1"/>
      <c r="PH161" s="1"/>
      <c r="PI161" s="1"/>
      <c r="PJ161" s="1"/>
      <c r="PK161" s="1"/>
      <c r="PL161" s="1"/>
      <c r="PM161" s="1"/>
      <c r="PN161" s="1"/>
      <c r="PO161" s="1"/>
      <c r="PP161" s="1"/>
      <c r="PQ161" s="1"/>
      <c r="PR161" s="1"/>
      <c r="PS161" s="1"/>
      <c r="PT161" s="1"/>
      <c r="PU161" s="1"/>
      <c r="PV161" s="1"/>
      <c r="PW161" s="1"/>
      <c r="PX161" s="1"/>
      <c r="PY161" s="1"/>
      <c r="PZ161" s="1"/>
      <c r="QA161" s="1"/>
      <c r="QB161" s="1"/>
      <c r="QC161" s="1"/>
      <c r="QD161" s="1"/>
      <c r="QE161" s="1"/>
      <c r="QF161" s="1"/>
      <c r="QG161" s="1"/>
      <c r="QH161" s="1"/>
      <c r="QI161" s="1"/>
      <c r="QJ161" s="1"/>
      <c r="QK161" s="1"/>
      <c r="QL161" s="1"/>
      <c r="QM161" s="1"/>
      <c r="QN161" s="1"/>
      <c r="QO161" s="1"/>
      <c r="QP161" s="1"/>
      <c r="QQ161" s="1"/>
      <c r="QR161" s="1"/>
      <c r="QS161" s="1"/>
      <c r="QT161" s="1"/>
      <c r="QU161" s="1"/>
      <c r="QV161" s="1"/>
      <c r="QW161" s="1"/>
      <c r="QX161" s="1"/>
      <c r="QY161" s="1"/>
      <c r="QZ161" s="1"/>
      <c r="RA161" s="1"/>
      <c r="RB161" s="1"/>
      <c r="RC161" s="1"/>
      <c r="RD161" s="1"/>
      <c r="RE161" s="1"/>
      <c r="RF161" s="1"/>
      <c r="RG161" s="1"/>
      <c r="RH161" s="1"/>
      <c r="RI161" s="1"/>
      <c r="RJ161" s="1"/>
      <c r="RK161" s="1"/>
      <c r="RL161" s="1"/>
      <c r="RM161" s="1"/>
      <c r="RN161" s="1"/>
      <c r="RO161" s="1"/>
      <c r="RP161" s="1"/>
      <c r="RQ161" s="1"/>
      <c r="RR161" s="1"/>
      <c r="RS161" s="1"/>
      <c r="RT161" s="1"/>
      <c r="RU161" s="1"/>
      <c r="RV161" s="1"/>
      <c r="RW161" s="1"/>
      <c r="RX161" s="1"/>
      <c r="RY161" s="1"/>
      <c r="RZ161" s="1"/>
      <c r="SA161" s="1"/>
      <c r="SB161" s="1"/>
      <c r="SC161" s="1"/>
      <c r="SD161" s="1"/>
      <c r="SE161" s="1"/>
      <c r="SF161" s="1"/>
      <c r="SG161" s="1"/>
      <c r="SH161" s="1"/>
      <c r="SI161" s="1"/>
      <c r="SJ161" s="1"/>
      <c r="SK161" s="1"/>
      <c r="SL161" s="1"/>
      <c r="SM161" s="1"/>
      <c r="SN161" s="1"/>
      <c r="SO161" s="1"/>
      <c r="SP161" s="1"/>
      <c r="SQ161" s="1"/>
      <c r="SR161" s="1"/>
      <c r="SS161" s="1"/>
      <c r="ST161" s="1"/>
      <c r="SU161" s="1"/>
      <c r="SV161" s="1"/>
      <c r="SW161" s="1"/>
      <c r="SX161" s="1"/>
      <c r="SY161" s="1"/>
      <c r="SZ161" s="1"/>
      <c r="TA161" s="1"/>
      <c r="TB161" s="1"/>
      <c r="TC161" s="1"/>
      <c r="TD161" s="1"/>
      <c r="TE161" s="1"/>
      <c r="TF161" s="1"/>
      <c r="TG161" s="1"/>
      <c r="TH161" s="1"/>
      <c r="TI161" s="1"/>
      <c r="TJ161" s="1"/>
      <c r="TK161" s="1"/>
      <c r="TL161" s="1"/>
      <c r="TM161" s="1"/>
      <c r="TN161" s="1"/>
      <c r="TO161" s="1"/>
      <c r="TP161" s="1"/>
      <c r="TQ161" s="1"/>
      <c r="TR161" s="1"/>
      <c r="TS161" s="1"/>
      <c r="TT161" s="1"/>
      <c r="TU161" s="1"/>
      <c r="TV161" s="1"/>
      <c r="TW161" s="1"/>
      <c r="TX161" s="1"/>
      <c r="TY161" s="1"/>
      <c r="TZ161" s="1"/>
      <c r="UA161" s="1"/>
      <c r="UB161" s="1"/>
      <c r="UC161" s="1"/>
      <c r="UD161" s="1"/>
      <c r="UE161" s="1"/>
      <c r="UF161" s="1"/>
      <c r="UG161" s="1"/>
      <c r="UH161" s="1"/>
      <c r="UI161" s="1"/>
      <c r="UJ161" s="1"/>
      <c r="UK161" s="1"/>
      <c r="UL161" s="1"/>
      <c r="UM161" s="1"/>
      <c r="UN161" s="1"/>
      <c r="UO161" s="1"/>
      <c r="UP161" s="1"/>
      <c r="UQ161" s="1"/>
      <c r="UR161" s="1"/>
      <c r="US161" s="1"/>
      <c r="UT161" s="1"/>
      <c r="UU161" s="1"/>
      <c r="UV161" s="1"/>
      <c r="UW161" s="1"/>
      <c r="UX161" s="1"/>
      <c r="UY161" s="1"/>
      <c r="UZ161" s="1"/>
      <c r="VA161" s="1"/>
      <c r="VB161" s="1"/>
      <c r="VC161" s="1"/>
      <c r="VD161" s="1"/>
      <c r="VE161" s="1"/>
      <c r="VF161" s="1"/>
      <c r="VG161" s="1"/>
      <c r="VH161" s="1"/>
      <c r="VI161" s="1"/>
      <c r="VJ161" s="1"/>
      <c r="VK161" s="1"/>
      <c r="VL161" s="1"/>
      <c r="VM161" s="1"/>
      <c r="VN161" s="1"/>
      <c r="VO161" s="1"/>
      <c r="VP161" s="1"/>
      <c r="VQ161" s="1"/>
      <c r="VR161" s="1"/>
      <c r="VS161" s="1"/>
      <c r="VT161" s="1"/>
      <c r="VU161" s="1"/>
      <c r="VV161" s="1"/>
      <c r="VW161" s="1"/>
      <c r="VX161" s="1"/>
      <c r="VY161" s="1"/>
      <c r="VZ161" s="1"/>
      <c r="WA161" s="1"/>
      <c r="WB161" s="1"/>
      <c r="WC161" s="1"/>
      <c r="WD161" s="1"/>
      <c r="WE161" s="1"/>
      <c r="WF161" s="1"/>
      <c r="WG161" s="1"/>
      <c r="WH161" s="1"/>
      <c r="WI161" s="1"/>
      <c r="WJ161" s="1"/>
      <c r="WK161" s="1"/>
      <c r="WL161" s="1"/>
      <c r="WM161" s="1"/>
      <c r="WN161" s="1"/>
      <c r="WO161" s="1"/>
      <c r="WP161" s="1"/>
      <c r="WQ161" s="1"/>
      <c r="WR161" s="1"/>
      <c r="WS161" s="1"/>
      <c r="WT161" s="1"/>
      <c r="WU161" s="1"/>
      <c r="WV161" s="1"/>
      <c r="WW161" s="1"/>
      <c r="WX161" s="1"/>
      <c r="WY161" s="1"/>
      <c r="WZ161" s="1"/>
      <c r="XA161" s="1"/>
      <c r="XB161" s="1"/>
      <c r="XC161" s="1"/>
      <c r="XD161" s="1"/>
      <c r="XE161" s="1"/>
      <c r="XF161" s="1"/>
      <c r="XG161" s="1"/>
      <c r="XH161" s="1"/>
      <c r="XI161" s="1"/>
      <c r="XJ161" s="1"/>
      <c r="XK161" s="1"/>
      <c r="XL161" s="1"/>
      <c r="XM161" s="1"/>
      <c r="XN161" s="1"/>
      <c r="XO161" s="1"/>
      <c r="XP161" s="1"/>
      <c r="XQ161" s="1"/>
      <c r="XR161" s="1"/>
      <c r="XS161" s="1"/>
      <c r="XT161" s="1"/>
      <c r="XU161" s="1"/>
      <c r="XV161" s="1"/>
      <c r="XW161" s="1"/>
      <c r="XX161" s="1"/>
      <c r="XY161" s="1"/>
      <c r="XZ161" s="1"/>
      <c r="YA161" s="1"/>
      <c r="YB161" s="1"/>
      <c r="YC161" s="1"/>
      <c r="YD161" s="1"/>
      <c r="YE161" s="1"/>
      <c r="YF161" s="1"/>
      <c r="YG161" s="1"/>
      <c r="YH161" s="1"/>
      <c r="YI161" s="1"/>
      <c r="YJ161" s="1"/>
      <c r="YK161" s="1"/>
      <c r="YL161" s="1"/>
      <c r="YM161" s="1"/>
      <c r="YN161" s="1"/>
      <c r="YO161" s="1"/>
      <c r="YP161" s="1"/>
      <c r="YQ161" s="1"/>
      <c r="YR161" s="1"/>
      <c r="YS161" s="1"/>
      <c r="YT161" s="1"/>
      <c r="YU161" s="1"/>
      <c r="YV161" s="1"/>
      <c r="YW161" s="1"/>
      <c r="YX161" s="1"/>
      <c r="YY161" s="1"/>
      <c r="YZ161" s="1"/>
      <c r="ZA161" s="1"/>
      <c r="ZB161" s="1"/>
      <c r="ZC161" s="1"/>
      <c r="ZD161" s="1"/>
      <c r="ZE161" s="1"/>
      <c r="ZF161" s="1"/>
      <c r="ZG161" s="1"/>
      <c r="ZH161" s="1"/>
      <c r="ZI161" s="1"/>
      <c r="ZJ161" s="1"/>
      <c r="ZK161" s="1"/>
      <c r="ZL161" s="1"/>
      <c r="ZM161" s="1"/>
      <c r="ZN161" s="1"/>
      <c r="ZO161" s="1"/>
      <c r="ZP161" s="1"/>
      <c r="ZQ161" s="1"/>
      <c r="ZR161" s="1"/>
      <c r="ZS161" s="1"/>
      <c r="ZT161" s="1"/>
      <c r="ZU161" s="1"/>
      <c r="ZV161" s="1"/>
      <c r="ZW161" s="1"/>
      <c r="ZX161" s="1"/>
      <c r="ZY161" s="1"/>
      <c r="ZZ161" s="1"/>
      <c r="AAA161" s="1"/>
      <c r="AAB161" s="1"/>
      <c r="AAC161" s="1"/>
      <c r="AAD161" s="1"/>
      <c r="AAE161" s="1"/>
      <c r="AAF161" s="1"/>
      <c r="AAG161" s="1"/>
      <c r="AAH161" s="1"/>
      <c r="AAI161" s="1"/>
      <c r="AAJ161" s="1"/>
      <c r="AAK161" s="1"/>
      <c r="AAL161" s="1"/>
      <c r="AAM161" s="1"/>
      <c r="AAN161" s="1"/>
      <c r="AAO161" s="1"/>
      <c r="AAP161" s="1"/>
      <c r="AAQ161" s="1"/>
      <c r="AAR161" s="1"/>
      <c r="AAS161" s="1"/>
      <c r="AAT161" s="1"/>
      <c r="AAU161" s="1"/>
      <c r="AAV161" s="1"/>
      <c r="AAW161" s="1"/>
      <c r="AAX161" s="1"/>
      <c r="AAY161" s="1"/>
      <c r="AAZ161" s="1"/>
      <c r="ABA161" s="1"/>
      <c r="ABB161" s="1"/>
      <c r="ABC161" s="1"/>
      <c r="ABD161" s="1"/>
      <c r="ABE161" s="1"/>
      <c r="ABF161" s="1"/>
      <c r="ABG161" s="1"/>
      <c r="ABH161" s="1"/>
      <c r="ABI161" s="1"/>
      <c r="ABJ161" s="1"/>
      <c r="ABK161" s="1"/>
      <c r="ABL161" s="1"/>
      <c r="ABM161" s="1"/>
      <c r="ABN161" s="1"/>
      <c r="ABO161" s="1"/>
      <c r="ABP161" s="1"/>
      <c r="ABQ161" s="1"/>
      <c r="ABR161" s="1"/>
      <c r="ABS161" s="1"/>
      <c r="ABT161" s="1"/>
      <c r="ABU161" s="1"/>
      <c r="ABV161" s="1"/>
      <c r="ABW161" s="1"/>
      <c r="ABX161" s="1"/>
      <c r="ABY161" s="1"/>
      <c r="ABZ161" s="1"/>
      <c r="ACA161" s="1"/>
      <c r="ACB161" s="1"/>
      <c r="ACC161" s="1"/>
      <c r="ACD161" s="1"/>
      <c r="ACE161" s="1"/>
      <c r="ACF161" s="1"/>
      <c r="ACG161" s="1"/>
      <c r="ACH161" s="1"/>
      <c r="ACI161" s="1"/>
      <c r="ACJ161" s="1"/>
      <c r="ACK161" s="1"/>
      <c r="ACL161" s="1"/>
      <c r="ACM161" s="1"/>
      <c r="ACN161" s="1"/>
      <c r="ACO161" s="1"/>
      <c r="ACP161" s="1"/>
      <c r="ACQ161" s="1"/>
      <c r="ACR161" s="1"/>
      <c r="ACS161" s="1"/>
      <c r="ACT161" s="1"/>
      <c r="ACU161" s="1"/>
      <c r="ACV161" s="1"/>
      <c r="ACW161" s="1"/>
      <c r="ACX161" s="1"/>
      <c r="ACY161" s="1"/>
      <c r="ACZ161" s="1"/>
      <c r="ADA161" s="1"/>
      <c r="ADB161" s="1"/>
      <c r="ADC161" s="1"/>
      <c r="ADD161" s="1"/>
      <c r="ADE161" s="1"/>
      <c r="ADF161" s="1"/>
      <c r="ADG161" s="1"/>
      <c r="ADH161" s="1"/>
      <c r="ADI161" s="1"/>
      <c r="ADJ161" s="1"/>
      <c r="ADK161" s="1"/>
      <c r="ADL161" s="1"/>
      <c r="ADM161" s="1"/>
      <c r="ADN161" s="1"/>
      <c r="ADO161" s="1"/>
      <c r="ADP161" s="1"/>
      <c r="ADQ161" s="1"/>
      <c r="ADR161" s="1"/>
      <c r="ADS161" s="1"/>
      <c r="ADT161" s="1"/>
      <c r="ADU161" s="1"/>
      <c r="ADV161" s="1"/>
      <c r="ADW161" s="1"/>
      <c r="ADX161" s="1"/>
      <c r="ADY161" s="1"/>
      <c r="ADZ161" s="1"/>
      <c r="AEA161" s="1"/>
      <c r="AEB161" s="1"/>
      <c r="AEC161" s="1"/>
      <c r="AED161" s="1"/>
      <c r="AEE161" s="1"/>
      <c r="AEF161" s="1"/>
      <c r="AEG161" s="1"/>
      <c r="AEH161" s="1"/>
      <c r="AEI161" s="1"/>
      <c r="AEJ161" s="1"/>
      <c r="AEK161" s="1"/>
      <c r="AEL161" s="1"/>
      <c r="AEM161" s="1"/>
      <c r="AEN161" s="1"/>
      <c r="AEO161" s="1"/>
      <c r="AEP161" s="1"/>
      <c r="AEQ161" s="1"/>
      <c r="AER161" s="1"/>
      <c r="AES161" s="1"/>
      <c r="AET161" s="1"/>
      <c r="AEU161" s="1"/>
      <c r="AEV161" s="1"/>
      <c r="AEW161" s="1"/>
      <c r="AEX161" s="1"/>
      <c r="AEY161" s="1"/>
      <c r="AEZ161" s="1"/>
      <c r="AFA161" s="1"/>
      <c r="AFB161" s="1"/>
      <c r="AFC161" s="1"/>
      <c r="AFD161" s="1"/>
      <c r="AFE161" s="1"/>
      <c r="AFF161" s="1"/>
      <c r="AFG161" s="1"/>
      <c r="AFH161" s="1"/>
      <c r="AFI161" s="1"/>
      <c r="AFJ161" s="1"/>
      <c r="AFK161" s="1"/>
      <c r="AFL161" s="1"/>
      <c r="AFM161" s="1"/>
      <c r="AFN161" s="1"/>
      <c r="AFO161" s="1"/>
      <c r="AFP161" s="1"/>
      <c r="AFQ161" s="1"/>
      <c r="AFR161" s="1"/>
      <c r="AFS161" s="1"/>
      <c r="AFT161" s="1"/>
      <c r="AFU161" s="1"/>
      <c r="AFV161" s="1"/>
      <c r="AFW161" s="1"/>
      <c r="AFX161" s="1"/>
      <c r="AFY161" s="1"/>
      <c r="AFZ161" s="1"/>
      <c r="AGA161" s="1"/>
      <c r="AGB161" s="1"/>
      <c r="AGC161" s="1"/>
      <c r="AGD161" s="1"/>
      <c r="AGE161" s="1"/>
      <c r="AGF161" s="1"/>
      <c r="AGG161" s="1"/>
      <c r="AGH161" s="1"/>
      <c r="AGI161" s="1"/>
      <c r="AGJ161" s="1"/>
      <c r="AGK161" s="1"/>
      <c r="AGL161" s="1"/>
      <c r="AGM161" s="1"/>
      <c r="AGN161" s="1"/>
      <c r="AGO161" s="1"/>
      <c r="AGP161" s="1"/>
      <c r="AGQ161" s="1"/>
      <c r="AGR161" s="1"/>
      <c r="AGS161" s="1"/>
      <c r="AGT161" s="1"/>
      <c r="AGU161" s="1"/>
      <c r="AGV161" s="1"/>
      <c r="AGW161" s="1"/>
      <c r="AGX161" s="1"/>
      <c r="AGY161" s="1"/>
      <c r="AGZ161" s="1"/>
      <c r="AHA161" s="1"/>
      <c r="AHB161" s="1"/>
      <c r="AHC161" s="1"/>
      <c r="AHD161" s="1"/>
      <c r="AHE161" s="1"/>
      <c r="AHF161" s="1"/>
      <c r="AHG161" s="1"/>
      <c r="AHH161" s="1"/>
      <c r="AHI161" s="1"/>
      <c r="AHJ161" s="1"/>
      <c r="AHK161" s="1"/>
      <c r="AHL161" s="1"/>
      <c r="AHM161" s="1"/>
      <c r="AHN161" s="1"/>
      <c r="AHO161" s="1"/>
      <c r="AHP161" s="1"/>
      <c r="AHQ161" s="1"/>
      <c r="AHR161" s="1"/>
      <c r="AHS161" s="1"/>
      <c r="AHT161" s="1"/>
      <c r="AHU161" s="1"/>
      <c r="AHV161" s="1"/>
      <c r="AHW161" s="1"/>
      <c r="AHX161" s="1"/>
      <c r="AHY161" s="1"/>
      <c r="AHZ161" s="1"/>
      <c r="AIA161" s="1"/>
      <c r="AIB161" s="1"/>
      <c r="AIC161" s="1"/>
      <c r="AID161" s="1"/>
      <c r="AIE161" s="1"/>
      <c r="AIF161" s="1"/>
      <c r="AIG161" s="1"/>
      <c r="AIH161" s="1"/>
      <c r="AII161" s="1"/>
      <c r="AIJ161" s="1"/>
      <c r="AIK161" s="1"/>
      <c r="AIL161" s="1"/>
      <c r="AIM161" s="1"/>
      <c r="AIN161" s="1"/>
      <c r="AIO161" s="1"/>
      <c r="AIP161" s="1"/>
      <c r="AIQ161" s="1"/>
      <c r="AIR161" s="1"/>
      <c r="AIS161" s="1"/>
      <c r="AIT161" s="1"/>
      <c r="AIU161" s="1"/>
      <c r="AIV161" s="1"/>
      <c r="AIW161" s="1"/>
      <c r="AIX161" s="1"/>
      <c r="AIY161" s="1"/>
      <c r="AIZ161" s="1"/>
      <c r="AJA161" s="1"/>
      <c r="AJB161" s="1"/>
      <c r="AJC161" s="1"/>
      <c r="AJD161" s="1"/>
      <c r="AJE161" s="1"/>
      <c r="AJF161" s="1"/>
      <c r="AJG161" s="1"/>
      <c r="AJH161" s="1"/>
      <c r="AJI161" s="1"/>
      <c r="AJJ161" s="1"/>
      <c r="AJK161" s="1"/>
      <c r="AJL161" s="1"/>
      <c r="AJM161" s="1"/>
      <c r="AJN161" s="1"/>
      <c r="AJO161" s="1"/>
      <c r="AJP161" s="1"/>
      <c r="AJQ161" s="1"/>
      <c r="AJR161" s="1"/>
      <c r="AJS161" s="1"/>
      <c r="AJT161" s="1"/>
      <c r="AJU161" s="1"/>
      <c r="AJV161" s="1"/>
      <c r="AJW161" s="1"/>
      <c r="AJX161" s="1"/>
      <c r="AJY161" s="1"/>
      <c r="AJZ161" s="1"/>
      <c r="AKA161" s="1"/>
      <c r="AKB161" s="1"/>
      <c r="AKC161" s="1"/>
      <c r="AKD161" s="1"/>
      <c r="AKE161" s="1"/>
      <c r="AKF161" s="1"/>
      <c r="AKG161" s="1"/>
      <c r="AKH161" s="1"/>
      <c r="AKI161" s="1"/>
      <c r="AKJ161" s="1"/>
      <c r="AKK161" s="1"/>
      <c r="AKL161" s="1"/>
      <c r="AKM161" s="1"/>
      <c r="AKN161" s="1"/>
      <c r="AKO161" s="1"/>
      <c r="AKP161" s="1"/>
      <c r="AKQ161" s="1"/>
      <c r="AKR161" s="1"/>
      <c r="AKS161" s="1"/>
      <c r="AKT161" s="1"/>
      <c r="AKU161" s="1"/>
      <c r="AKV161" s="1"/>
      <c r="AKW161" s="1"/>
      <c r="AKX161" s="1"/>
      <c r="AKY161" s="1"/>
      <c r="AKZ161" s="1"/>
      <c r="ALA161" s="1"/>
      <c r="ALB161" s="1"/>
      <c r="ALC161" s="1"/>
      <c r="ALD161" s="1"/>
      <c r="ALE161" s="1"/>
      <c r="ALF161" s="1"/>
      <c r="ALG161" s="1"/>
      <c r="ALH161" s="1"/>
      <c r="ALI161" s="1"/>
      <c r="ALJ161" s="1"/>
      <c r="ALK161" s="1"/>
      <c r="ALL161" s="1"/>
      <c r="ALM161" s="1"/>
      <c r="ALN161" s="1"/>
      <c r="ALO161" s="1"/>
      <c r="ALP161" s="1"/>
      <c r="ALQ161" s="1"/>
      <c r="ALR161" s="1"/>
      <c r="ALS161" s="1"/>
      <c r="ALT161" s="1"/>
      <c r="ALU161" s="1"/>
      <c r="ALV161" s="1"/>
      <c r="ALW161" s="1"/>
      <c r="ALX161" s="1"/>
      <c r="ALY161" s="1"/>
      <c r="ALZ161" s="1"/>
      <c r="AMA161" s="1"/>
      <c r="AMB161" s="1"/>
      <c r="AMC161" s="1"/>
      <c r="AMD161" s="1"/>
      <c r="AME161" s="1"/>
      <c r="AMF161" s="1"/>
      <c r="AMG161" s="1"/>
      <c r="AMH161" s="1"/>
      <c r="AMI161" s="1"/>
      <c r="AMJ161" s="1"/>
      <c r="AMK161" s="1"/>
      <c r="AML161" s="1"/>
      <c r="AMM161" s="1"/>
      <c r="AMN161" s="1"/>
    </row>
    <row r="162" spans="1:1028" x14ac:dyDescent="0.2">
      <c r="A162" s="3" t="str">
        <f t="shared" si="639"/>
        <v>p2ry1_human_4XNW</v>
      </c>
      <c r="B162" s="3" t="s">
        <v>345</v>
      </c>
      <c r="C162" s="3" t="s">
        <v>1056</v>
      </c>
      <c r="D162" s="3" t="str">
        <f>IFERROR(MID(VLOOKUP($B162,Seqs!$A:$B,2,0),E162,1),"")</f>
        <v>F</v>
      </c>
      <c r="E162" s="3">
        <v>49</v>
      </c>
      <c r="F162" s="3" t="str">
        <f>IFERROR(MID(VLOOKUP($B162,Seqs!$A:$B,2,0),G162,1),"")</f>
        <v>H</v>
      </c>
      <c r="G162" s="3">
        <v>79</v>
      </c>
      <c r="H162" s="3" t="str">
        <f>IFERROR(MID(VLOOKUP($B162,Seqs!$A:$B,2,0),I162,1),"")</f>
        <v/>
      </c>
      <c r="I162" s="23" t="s">
        <v>23</v>
      </c>
      <c r="J162" s="3" t="str">
        <f>IFERROR(MID(VLOOKUP($B162,Seqs!$A:$B,2,0),K162,1),"")</f>
        <v/>
      </c>
      <c r="K162" s="23" t="s">
        <v>23</v>
      </c>
      <c r="L162" s="3" t="str">
        <f>IFERROR(MID(VLOOKUP($B162,Seqs!$A:$B,2,0),M162,1),"")</f>
        <v>S</v>
      </c>
      <c r="M162" s="3">
        <v>84</v>
      </c>
      <c r="N162" s="3" t="str">
        <f>IFERROR(MID(VLOOKUP($B162,Seqs!$A:$B,2,0),O162,1),"")</f>
        <v>N</v>
      </c>
      <c r="O162" s="3">
        <v>113</v>
      </c>
      <c r="P162" s="3" t="str">
        <f>IFERROR(MID(VLOOKUP($B162,Seqs!$A:$B,2,0),Q162,1),"")</f>
        <v>D</v>
      </c>
      <c r="Q162" s="3">
        <v>116</v>
      </c>
      <c r="R162" s="3" t="str">
        <f>IFERROR(MID(VLOOKUP($B162,Seqs!$A:$B,2,0),S162,1),"")</f>
        <v>F</v>
      </c>
      <c r="S162" s="3">
        <v>119</v>
      </c>
      <c r="T162" s="3" t="str">
        <f>IFERROR(MID(VLOOKUP($B162,Seqs!$A:$B,2,0),U162,1),"")</f>
        <v>G</v>
      </c>
      <c r="U162" s="3">
        <v>120</v>
      </c>
      <c r="V162" s="3" t="str">
        <f>IFERROR(MID(VLOOKUP($B162,Seqs!$A:$B,2,0),W162,1),"")</f>
        <v>Y</v>
      </c>
      <c r="W162" s="3">
        <v>155</v>
      </c>
      <c r="X162" s="3" t="str">
        <f>IFERROR(MID(VLOOKUP($B162,Seqs!$A:$B,2,0),Y162,1),"")</f>
        <v>P</v>
      </c>
      <c r="Y162" s="3">
        <v>156</v>
      </c>
      <c r="Z162" s="3" t="str">
        <f>IFERROR(MID(VLOOKUP($B162,Seqs!$A:$B,2,0),AA162,1),"")</f>
        <v>L</v>
      </c>
      <c r="AA162" s="3">
        <v>163</v>
      </c>
      <c r="AB162" s="3" t="str">
        <f>IFERROR(MID(VLOOKUP($B162,Seqs!$A:$B,2,0),AC162,1),"")</f>
        <v>K</v>
      </c>
      <c r="AC162" s="9">
        <v>164</v>
      </c>
      <c r="AD162" s="3" t="str">
        <f>IFERROR(MID(VLOOKUP($B162,Seqs!$A:$B,2,0),AE162,1),"")</f>
        <v>S</v>
      </c>
      <c r="AE162" s="3">
        <v>190</v>
      </c>
      <c r="AF162" s="3" t="str">
        <f>IFERROR(MID(VLOOKUP($B162,Seqs!$A:$B,2,0),AG162,1),"")</f>
        <v>C</v>
      </c>
      <c r="AG162" s="3">
        <v>202</v>
      </c>
      <c r="AH162" s="3" t="str">
        <f>IFERROR(MID(VLOOKUP($B162,Seqs!$A:$B,2,0),AI162,1),"")</f>
        <v>D</v>
      </c>
      <c r="AI162" s="3">
        <v>204</v>
      </c>
      <c r="AJ162" s="3" t="str">
        <f>IFERROR(MID(VLOOKUP($B162,Seqs!$A:$B,2,0),AK162,1),"")</f>
        <v>L</v>
      </c>
      <c r="AK162" s="3">
        <v>211</v>
      </c>
      <c r="AL162" s="3" t="str">
        <f>IFERROR(MID(VLOOKUP($B162,Seqs!$A:$B,2,0),AM162,1),"")</f>
        <v>K</v>
      </c>
      <c r="AM162" s="3">
        <v>247</v>
      </c>
      <c r="AN162" s="3" t="str">
        <f>IFERROR(MID(VLOOKUP($B162,Seqs!$A:$B,2,0),AO162,1),"")</f>
        <v>P</v>
      </c>
      <c r="AO162" s="3">
        <v>253</v>
      </c>
      <c r="AP162" s="3" t="str">
        <f>IFERROR(MID(VLOOKUP($B162,Seqs!$A:$B,2,0),AQ162,1),"")</f>
        <v>D</v>
      </c>
      <c r="AQ162" s="3">
        <v>289</v>
      </c>
      <c r="AR162" s="3" t="str">
        <f>IFERROR(MID(VLOOKUP($B162,Seqs!$A:$B,2,0),AS162,1),"")</f>
        <v>M</v>
      </c>
      <c r="AS162" s="3">
        <v>295</v>
      </c>
      <c r="AT162" s="3" t="str">
        <f>IFERROR(MID(VLOOKUP($B162,Seqs!$A:$B,2,0),AU162,1),"")</f>
        <v>L</v>
      </c>
      <c r="AU162" s="3">
        <v>326</v>
      </c>
      <c r="AV162" s="3" t="str">
        <f>IFERROR(MID(VLOOKUP($B162,Seqs!$A:$B,2,0),AW162,1),"")</f>
        <v/>
      </c>
      <c r="AW162" s="3" t="s">
        <v>23</v>
      </c>
      <c r="AX162" s="3" t="str">
        <f>IFERROR(MID(VLOOKUP($B162,Seqs!$A:$B,2,0),AY162,1),"")</f>
        <v/>
      </c>
      <c r="AY162" s="3" t="s">
        <v>23</v>
      </c>
      <c r="AZ162" s="79" t="str">
        <f>VLOOKUP(B162,Classification!A:D,2,0)</f>
        <v>A</v>
      </c>
      <c r="BA162" s="97" t="str">
        <f>VLOOKUP(B162,Classification!A:D,4,0)</f>
        <v>P2Y</v>
      </c>
      <c r="BB162" s="27" t="b">
        <f t="shared" si="640"/>
        <v>1</v>
      </c>
      <c r="BC162" s="23">
        <f t="shared" si="613"/>
        <v>247</v>
      </c>
      <c r="BD162" s="2" t="s">
        <v>1383</v>
      </c>
      <c r="BE162" s="3" t="s">
        <v>1381</v>
      </c>
      <c r="BF162" s="50" t="s">
        <v>1384</v>
      </c>
      <c r="BG162" s="50" t="s">
        <v>1384</v>
      </c>
      <c r="BH162" s="1"/>
      <c r="BI162" s="72" t="s">
        <v>1293</v>
      </c>
      <c r="BJ162" s="58" t="s">
        <v>1293</v>
      </c>
      <c r="BK162" s="58" t="s">
        <v>1293</v>
      </c>
      <c r="BL162" s="58" t="s">
        <v>1293</v>
      </c>
      <c r="BM162" s="58" t="s">
        <v>1293</v>
      </c>
      <c r="BN162" s="58" t="s">
        <v>1293</v>
      </c>
      <c r="BO162" s="58" t="s">
        <v>1293</v>
      </c>
      <c r="BP162" s="58" t="s">
        <v>1293</v>
      </c>
      <c r="BQ162" s="58" t="s">
        <v>1293</v>
      </c>
      <c r="BR162" s="58" t="s">
        <v>1293</v>
      </c>
      <c r="BS162" s="58" t="s">
        <v>1293</v>
      </c>
      <c r="BT162" s="58" t="s">
        <v>1293</v>
      </c>
      <c r="BU162" s="72">
        <f t="shared" si="614"/>
        <v>49</v>
      </c>
      <c r="BV162" s="73" t="str">
        <f t="shared" si="615"/>
        <v>-</v>
      </c>
      <c r="BW162" s="74">
        <f t="shared" si="616"/>
        <v>84</v>
      </c>
      <c r="BX162" s="73">
        <f t="shared" si="617"/>
        <v>116</v>
      </c>
      <c r="BY162" s="74">
        <f t="shared" si="618"/>
        <v>120</v>
      </c>
      <c r="BZ162" s="73">
        <f t="shared" si="619"/>
        <v>156</v>
      </c>
      <c r="CA162" s="74">
        <f t="shared" si="620"/>
        <v>164</v>
      </c>
      <c r="CB162" s="73">
        <f t="shared" si="621"/>
        <v>202</v>
      </c>
      <c r="CC162" s="74">
        <f t="shared" si="622"/>
        <v>211</v>
      </c>
      <c r="CD162" s="73">
        <f t="shared" si="623"/>
        <v>253</v>
      </c>
      <c r="CE162" s="74">
        <f t="shared" si="624"/>
        <v>295</v>
      </c>
      <c r="CF162" s="73" t="str">
        <f t="shared" si="625"/>
        <v>-</v>
      </c>
      <c r="CG162" s="72">
        <f t="shared" si="626"/>
        <v>79</v>
      </c>
      <c r="CH162" s="73" t="str">
        <f t="shared" si="627"/>
        <v>-</v>
      </c>
      <c r="CI162" s="74">
        <f t="shared" si="628"/>
        <v>113</v>
      </c>
      <c r="CJ162" s="74">
        <f t="shared" si="629"/>
        <v>119</v>
      </c>
      <c r="CK162" s="74">
        <f t="shared" si="630"/>
        <v>155</v>
      </c>
      <c r="CL162" s="74">
        <f t="shared" si="631"/>
        <v>163</v>
      </c>
      <c r="CM162" s="74">
        <f t="shared" si="632"/>
        <v>190</v>
      </c>
      <c r="CN162" s="74">
        <f t="shared" si="633"/>
        <v>204</v>
      </c>
      <c r="CO162" s="74">
        <f t="shared" si="634"/>
        <v>247</v>
      </c>
      <c r="CP162" s="74">
        <f t="shared" si="635"/>
        <v>289</v>
      </c>
      <c r="CQ162" s="74">
        <f t="shared" si="636"/>
        <v>326</v>
      </c>
      <c r="CR162" s="74" t="str">
        <f t="shared" si="637"/>
        <v>-</v>
      </c>
      <c r="CS162" s="23" t="e">
        <f t="shared" si="638"/>
        <v>#VALUE!</v>
      </c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/>
      <c r="JG162" s="1"/>
      <c r="JH162" s="1"/>
      <c r="JI162" s="1"/>
      <c r="JJ162" s="1"/>
      <c r="JK162" s="1"/>
      <c r="JL162" s="1"/>
      <c r="JM162" s="1"/>
      <c r="JN162" s="1"/>
      <c r="JO162" s="1"/>
      <c r="JP162" s="1"/>
      <c r="JQ162" s="1"/>
      <c r="JR162" s="1"/>
      <c r="JS162" s="1"/>
      <c r="JT162" s="1"/>
      <c r="JU162" s="1"/>
      <c r="JV162" s="1"/>
      <c r="JW162" s="1"/>
      <c r="JX162" s="1"/>
      <c r="JY162" s="1"/>
      <c r="JZ162" s="1"/>
      <c r="KA162" s="1"/>
      <c r="KB162" s="1"/>
      <c r="KC162" s="1"/>
      <c r="KD162" s="1"/>
      <c r="KE162" s="1"/>
      <c r="KF162" s="1"/>
      <c r="KG162" s="1"/>
      <c r="KH162" s="1"/>
      <c r="KI162" s="1"/>
      <c r="KJ162" s="1"/>
      <c r="KK162" s="1"/>
      <c r="KL162" s="1"/>
      <c r="KM162" s="1"/>
      <c r="KN162" s="1"/>
      <c r="KO162" s="1"/>
      <c r="KP162" s="1"/>
      <c r="KQ162" s="1"/>
      <c r="KR162" s="1"/>
      <c r="KS162" s="1"/>
      <c r="KT162" s="1"/>
      <c r="KU162" s="1"/>
      <c r="KV162" s="1"/>
      <c r="KW162" s="1"/>
      <c r="KX162" s="1"/>
      <c r="KY162" s="1"/>
      <c r="KZ162" s="1"/>
      <c r="LA162" s="1"/>
      <c r="LB162" s="1"/>
      <c r="LC162" s="1"/>
      <c r="LD162" s="1"/>
      <c r="LE162" s="1"/>
      <c r="LF162" s="1"/>
      <c r="LG162" s="1"/>
      <c r="LH162" s="1"/>
      <c r="LI162" s="1"/>
      <c r="LJ162" s="1"/>
      <c r="LK162" s="1"/>
      <c r="LL162" s="1"/>
      <c r="LM162" s="1"/>
      <c r="LN162" s="1"/>
      <c r="LO162" s="1"/>
      <c r="LP162" s="1"/>
      <c r="LQ162" s="1"/>
      <c r="LR162" s="1"/>
      <c r="LS162" s="1"/>
      <c r="LT162" s="1"/>
      <c r="LU162" s="1"/>
      <c r="LV162" s="1"/>
      <c r="LW162" s="1"/>
      <c r="LX162" s="1"/>
      <c r="LY162" s="1"/>
      <c r="LZ162" s="1"/>
      <c r="MA162" s="1"/>
      <c r="MB162" s="1"/>
      <c r="MC162" s="1"/>
      <c r="MD162" s="1"/>
      <c r="ME162" s="1"/>
      <c r="MF162" s="1"/>
      <c r="MG162" s="1"/>
      <c r="MH162" s="1"/>
      <c r="MI162" s="1"/>
      <c r="MJ162" s="1"/>
      <c r="MK162" s="1"/>
      <c r="ML162" s="1"/>
      <c r="MM162" s="1"/>
      <c r="MN162" s="1"/>
      <c r="MO162" s="1"/>
      <c r="MP162" s="1"/>
      <c r="MQ162" s="1"/>
      <c r="MR162" s="1"/>
      <c r="MS162" s="1"/>
      <c r="MT162" s="1"/>
      <c r="MU162" s="1"/>
      <c r="MV162" s="1"/>
      <c r="MW162" s="1"/>
      <c r="MX162" s="1"/>
      <c r="MY162" s="1"/>
      <c r="MZ162" s="1"/>
      <c r="NA162" s="1"/>
      <c r="NB162" s="1"/>
      <c r="NC162" s="1"/>
      <c r="ND162" s="1"/>
      <c r="NE162" s="1"/>
      <c r="NF162" s="1"/>
      <c r="NG162" s="1"/>
      <c r="NH162" s="1"/>
      <c r="NI162" s="1"/>
      <c r="NJ162" s="1"/>
      <c r="NK162" s="1"/>
      <c r="NL162" s="1"/>
      <c r="NM162" s="1"/>
      <c r="NN162" s="1"/>
      <c r="NO162" s="1"/>
      <c r="NP162" s="1"/>
      <c r="NQ162" s="1"/>
      <c r="NR162" s="1"/>
      <c r="NS162" s="1"/>
      <c r="NT162" s="1"/>
      <c r="NU162" s="1"/>
      <c r="NV162" s="1"/>
      <c r="NW162" s="1"/>
      <c r="NX162" s="1"/>
      <c r="NY162" s="1"/>
      <c r="NZ162" s="1"/>
      <c r="OA162" s="1"/>
      <c r="OB162" s="1"/>
      <c r="OC162" s="1"/>
      <c r="OD162" s="1"/>
      <c r="OE162" s="1"/>
      <c r="OF162" s="1"/>
      <c r="OG162" s="1"/>
      <c r="OH162" s="1"/>
      <c r="OI162" s="1"/>
      <c r="OJ162" s="1"/>
      <c r="OK162" s="1"/>
      <c r="OL162" s="1"/>
      <c r="OM162" s="1"/>
      <c r="ON162" s="1"/>
      <c r="OO162" s="1"/>
      <c r="OP162" s="1"/>
      <c r="OQ162" s="1"/>
      <c r="OR162" s="1"/>
      <c r="OS162" s="1"/>
      <c r="OT162" s="1"/>
      <c r="OU162" s="1"/>
      <c r="OV162" s="1"/>
      <c r="OW162" s="1"/>
      <c r="OX162" s="1"/>
      <c r="OY162" s="1"/>
      <c r="OZ162" s="1"/>
      <c r="PA162" s="1"/>
      <c r="PB162" s="1"/>
      <c r="PC162" s="1"/>
      <c r="PD162" s="1"/>
      <c r="PE162" s="1"/>
      <c r="PF162" s="1"/>
      <c r="PG162" s="1"/>
      <c r="PH162" s="1"/>
      <c r="PI162" s="1"/>
      <c r="PJ162" s="1"/>
      <c r="PK162" s="1"/>
      <c r="PL162" s="1"/>
      <c r="PM162" s="1"/>
      <c r="PN162" s="1"/>
      <c r="PO162" s="1"/>
      <c r="PP162" s="1"/>
      <c r="PQ162" s="1"/>
      <c r="PR162" s="1"/>
      <c r="PS162" s="1"/>
      <c r="PT162" s="1"/>
      <c r="PU162" s="1"/>
      <c r="PV162" s="1"/>
      <c r="PW162" s="1"/>
      <c r="PX162" s="1"/>
      <c r="PY162" s="1"/>
      <c r="PZ162" s="1"/>
      <c r="QA162" s="1"/>
      <c r="QB162" s="1"/>
      <c r="QC162" s="1"/>
      <c r="QD162" s="1"/>
      <c r="QE162" s="1"/>
      <c r="QF162" s="1"/>
      <c r="QG162" s="1"/>
      <c r="QH162" s="1"/>
      <c r="QI162" s="1"/>
      <c r="QJ162" s="1"/>
      <c r="QK162" s="1"/>
      <c r="QL162" s="1"/>
      <c r="QM162" s="1"/>
      <c r="QN162" s="1"/>
      <c r="QO162" s="1"/>
      <c r="QP162" s="1"/>
      <c r="QQ162" s="1"/>
      <c r="QR162" s="1"/>
      <c r="QS162" s="1"/>
      <c r="QT162" s="1"/>
      <c r="QU162" s="1"/>
      <c r="QV162" s="1"/>
      <c r="QW162" s="1"/>
      <c r="QX162" s="1"/>
      <c r="QY162" s="1"/>
      <c r="QZ162" s="1"/>
      <c r="RA162" s="1"/>
      <c r="RB162" s="1"/>
      <c r="RC162" s="1"/>
      <c r="RD162" s="1"/>
      <c r="RE162" s="1"/>
      <c r="RF162" s="1"/>
      <c r="RG162" s="1"/>
      <c r="RH162" s="1"/>
      <c r="RI162" s="1"/>
      <c r="RJ162" s="1"/>
      <c r="RK162" s="1"/>
      <c r="RL162" s="1"/>
      <c r="RM162" s="1"/>
      <c r="RN162" s="1"/>
      <c r="RO162" s="1"/>
      <c r="RP162" s="1"/>
      <c r="RQ162" s="1"/>
      <c r="RR162" s="1"/>
      <c r="RS162" s="1"/>
      <c r="RT162" s="1"/>
      <c r="RU162" s="1"/>
      <c r="RV162" s="1"/>
      <c r="RW162" s="1"/>
      <c r="RX162" s="1"/>
      <c r="RY162" s="1"/>
      <c r="RZ162" s="1"/>
      <c r="SA162" s="1"/>
      <c r="SB162" s="1"/>
      <c r="SC162" s="1"/>
      <c r="SD162" s="1"/>
      <c r="SE162" s="1"/>
      <c r="SF162" s="1"/>
      <c r="SG162" s="1"/>
      <c r="SH162" s="1"/>
      <c r="SI162" s="1"/>
      <c r="SJ162" s="1"/>
      <c r="SK162" s="1"/>
      <c r="SL162" s="1"/>
      <c r="SM162" s="1"/>
      <c r="SN162" s="1"/>
      <c r="SO162" s="1"/>
      <c r="SP162" s="1"/>
      <c r="SQ162" s="1"/>
      <c r="SR162" s="1"/>
      <c r="SS162" s="1"/>
      <c r="ST162" s="1"/>
      <c r="SU162" s="1"/>
      <c r="SV162" s="1"/>
      <c r="SW162" s="1"/>
      <c r="SX162" s="1"/>
      <c r="SY162" s="1"/>
      <c r="SZ162" s="1"/>
      <c r="TA162" s="1"/>
      <c r="TB162" s="1"/>
      <c r="TC162" s="1"/>
      <c r="TD162" s="1"/>
      <c r="TE162" s="1"/>
      <c r="TF162" s="1"/>
      <c r="TG162" s="1"/>
      <c r="TH162" s="1"/>
      <c r="TI162" s="1"/>
      <c r="TJ162" s="1"/>
      <c r="TK162" s="1"/>
      <c r="TL162" s="1"/>
      <c r="TM162" s="1"/>
      <c r="TN162" s="1"/>
      <c r="TO162" s="1"/>
      <c r="TP162" s="1"/>
      <c r="TQ162" s="1"/>
      <c r="TR162" s="1"/>
      <c r="TS162" s="1"/>
      <c r="TT162" s="1"/>
      <c r="TU162" s="1"/>
      <c r="TV162" s="1"/>
      <c r="TW162" s="1"/>
      <c r="TX162" s="1"/>
      <c r="TY162" s="1"/>
      <c r="TZ162" s="1"/>
      <c r="UA162" s="1"/>
      <c r="UB162" s="1"/>
      <c r="UC162" s="1"/>
      <c r="UD162" s="1"/>
      <c r="UE162" s="1"/>
      <c r="UF162" s="1"/>
      <c r="UG162" s="1"/>
      <c r="UH162" s="1"/>
      <c r="UI162" s="1"/>
      <c r="UJ162" s="1"/>
      <c r="UK162" s="1"/>
      <c r="UL162" s="1"/>
      <c r="UM162" s="1"/>
      <c r="UN162" s="1"/>
      <c r="UO162" s="1"/>
      <c r="UP162" s="1"/>
      <c r="UQ162" s="1"/>
      <c r="UR162" s="1"/>
      <c r="US162" s="1"/>
      <c r="UT162" s="1"/>
      <c r="UU162" s="1"/>
      <c r="UV162" s="1"/>
      <c r="UW162" s="1"/>
      <c r="UX162" s="1"/>
      <c r="UY162" s="1"/>
      <c r="UZ162" s="1"/>
      <c r="VA162" s="1"/>
      <c r="VB162" s="1"/>
      <c r="VC162" s="1"/>
      <c r="VD162" s="1"/>
      <c r="VE162" s="1"/>
      <c r="VF162" s="1"/>
      <c r="VG162" s="1"/>
      <c r="VH162" s="1"/>
      <c r="VI162" s="1"/>
      <c r="VJ162" s="1"/>
      <c r="VK162" s="1"/>
      <c r="VL162" s="1"/>
      <c r="VM162" s="1"/>
      <c r="VN162" s="1"/>
      <c r="VO162" s="1"/>
      <c r="VP162" s="1"/>
      <c r="VQ162" s="1"/>
      <c r="VR162" s="1"/>
      <c r="VS162" s="1"/>
      <c r="VT162" s="1"/>
      <c r="VU162" s="1"/>
      <c r="VV162" s="1"/>
      <c r="VW162" s="1"/>
      <c r="VX162" s="1"/>
      <c r="VY162" s="1"/>
      <c r="VZ162" s="1"/>
      <c r="WA162" s="1"/>
      <c r="WB162" s="1"/>
      <c r="WC162" s="1"/>
      <c r="WD162" s="1"/>
      <c r="WE162" s="1"/>
      <c r="WF162" s="1"/>
      <c r="WG162" s="1"/>
      <c r="WH162" s="1"/>
      <c r="WI162" s="1"/>
      <c r="WJ162" s="1"/>
      <c r="WK162" s="1"/>
      <c r="WL162" s="1"/>
      <c r="WM162" s="1"/>
      <c r="WN162" s="1"/>
      <c r="WO162" s="1"/>
      <c r="WP162" s="1"/>
      <c r="WQ162" s="1"/>
      <c r="WR162" s="1"/>
      <c r="WS162" s="1"/>
      <c r="WT162" s="1"/>
      <c r="WU162" s="1"/>
      <c r="WV162" s="1"/>
      <c r="WW162" s="1"/>
      <c r="WX162" s="1"/>
      <c r="WY162" s="1"/>
      <c r="WZ162" s="1"/>
      <c r="XA162" s="1"/>
      <c r="XB162" s="1"/>
      <c r="XC162" s="1"/>
      <c r="XD162" s="1"/>
      <c r="XE162" s="1"/>
      <c r="XF162" s="1"/>
      <c r="XG162" s="1"/>
      <c r="XH162" s="1"/>
      <c r="XI162" s="1"/>
      <c r="XJ162" s="1"/>
      <c r="XK162" s="1"/>
      <c r="XL162" s="1"/>
      <c r="XM162" s="1"/>
      <c r="XN162" s="1"/>
      <c r="XO162" s="1"/>
      <c r="XP162" s="1"/>
      <c r="XQ162" s="1"/>
      <c r="XR162" s="1"/>
      <c r="XS162" s="1"/>
      <c r="XT162" s="1"/>
      <c r="XU162" s="1"/>
      <c r="XV162" s="1"/>
      <c r="XW162" s="1"/>
      <c r="XX162" s="1"/>
      <c r="XY162" s="1"/>
      <c r="XZ162" s="1"/>
      <c r="YA162" s="1"/>
      <c r="YB162" s="1"/>
      <c r="YC162" s="1"/>
      <c r="YD162" s="1"/>
      <c r="YE162" s="1"/>
      <c r="YF162" s="1"/>
      <c r="YG162" s="1"/>
      <c r="YH162" s="1"/>
      <c r="YI162" s="1"/>
      <c r="YJ162" s="1"/>
      <c r="YK162" s="1"/>
      <c r="YL162" s="1"/>
      <c r="YM162" s="1"/>
      <c r="YN162" s="1"/>
      <c r="YO162" s="1"/>
      <c r="YP162" s="1"/>
      <c r="YQ162" s="1"/>
      <c r="YR162" s="1"/>
      <c r="YS162" s="1"/>
      <c r="YT162" s="1"/>
      <c r="YU162" s="1"/>
      <c r="YV162" s="1"/>
      <c r="YW162" s="1"/>
      <c r="YX162" s="1"/>
      <c r="YY162" s="1"/>
      <c r="YZ162" s="1"/>
      <c r="ZA162" s="1"/>
      <c r="ZB162" s="1"/>
      <c r="ZC162" s="1"/>
      <c r="ZD162" s="1"/>
      <c r="ZE162" s="1"/>
      <c r="ZF162" s="1"/>
      <c r="ZG162" s="1"/>
      <c r="ZH162" s="1"/>
      <c r="ZI162" s="1"/>
      <c r="ZJ162" s="1"/>
      <c r="ZK162" s="1"/>
      <c r="ZL162" s="1"/>
      <c r="ZM162" s="1"/>
      <c r="ZN162" s="1"/>
      <c r="ZO162" s="1"/>
      <c r="ZP162" s="1"/>
      <c r="ZQ162" s="1"/>
      <c r="ZR162" s="1"/>
      <c r="ZS162" s="1"/>
      <c r="ZT162" s="1"/>
      <c r="ZU162" s="1"/>
      <c r="ZV162" s="1"/>
      <c r="ZW162" s="1"/>
      <c r="ZX162" s="1"/>
      <c r="ZY162" s="1"/>
      <c r="ZZ162" s="1"/>
      <c r="AAA162" s="1"/>
      <c r="AAB162" s="1"/>
      <c r="AAC162" s="1"/>
      <c r="AAD162" s="1"/>
      <c r="AAE162" s="1"/>
      <c r="AAF162" s="1"/>
      <c r="AAG162" s="1"/>
      <c r="AAH162" s="1"/>
      <c r="AAI162" s="1"/>
      <c r="AAJ162" s="1"/>
      <c r="AAK162" s="1"/>
      <c r="AAL162" s="1"/>
      <c r="AAM162" s="1"/>
      <c r="AAN162" s="1"/>
      <c r="AAO162" s="1"/>
      <c r="AAP162" s="1"/>
      <c r="AAQ162" s="1"/>
      <c r="AAR162" s="1"/>
      <c r="AAS162" s="1"/>
      <c r="AAT162" s="1"/>
      <c r="AAU162" s="1"/>
      <c r="AAV162" s="1"/>
      <c r="AAW162" s="1"/>
      <c r="AAX162" s="1"/>
      <c r="AAY162" s="1"/>
      <c r="AAZ162" s="1"/>
      <c r="ABA162" s="1"/>
      <c r="ABB162" s="1"/>
      <c r="ABC162" s="1"/>
      <c r="ABD162" s="1"/>
      <c r="ABE162" s="1"/>
      <c r="ABF162" s="1"/>
      <c r="ABG162" s="1"/>
      <c r="ABH162" s="1"/>
      <c r="ABI162" s="1"/>
      <c r="ABJ162" s="1"/>
      <c r="ABK162" s="1"/>
      <c r="ABL162" s="1"/>
      <c r="ABM162" s="1"/>
      <c r="ABN162" s="1"/>
      <c r="ABO162" s="1"/>
      <c r="ABP162" s="1"/>
      <c r="ABQ162" s="1"/>
      <c r="ABR162" s="1"/>
      <c r="ABS162" s="1"/>
      <c r="ABT162" s="1"/>
      <c r="ABU162" s="1"/>
      <c r="ABV162" s="1"/>
      <c r="ABW162" s="1"/>
      <c r="ABX162" s="1"/>
      <c r="ABY162" s="1"/>
      <c r="ABZ162" s="1"/>
      <c r="ACA162" s="1"/>
      <c r="ACB162" s="1"/>
      <c r="ACC162" s="1"/>
      <c r="ACD162" s="1"/>
      <c r="ACE162" s="1"/>
      <c r="ACF162" s="1"/>
      <c r="ACG162" s="1"/>
      <c r="ACH162" s="1"/>
      <c r="ACI162" s="1"/>
      <c r="ACJ162" s="1"/>
      <c r="ACK162" s="1"/>
      <c r="ACL162" s="1"/>
      <c r="ACM162" s="1"/>
      <c r="ACN162" s="1"/>
      <c r="ACO162" s="1"/>
      <c r="ACP162" s="1"/>
      <c r="ACQ162" s="1"/>
      <c r="ACR162" s="1"/>
      <c r="ACS162" s="1"/>
      <c r="ACT162" s="1"/>
      <c r="ACU162" s="1"/>
      <c r="ACV162" s="1"/>
      <c r="ACW162" s="1"/>
      <c r="ACX162" s="1"/>
      <c r="ACY162" s="1"/>
      <c r="ACZ162" s="1"/>
      <c r="ADA162" s="1"/>
      <c r="ADB162" s="1"/>
      <c r="ADC162" s="1"/>
      <c r="ADD162" s="1"/>
      <c r="ADE162" s="1"/>
      <c r="ADF162" s="1"/>
      <c r="ADG162" s="1"/>
      <c r="ADH162" s="1"/>
      <c r="ADI162" s="1"/>
      <c r="ADJ162" s="1"/>
      <c r="ADK162" s="1"/>
      <c r="ADL162" s="1"/>
      <c r="ADM162" s="1"/>
      <c r="ADN162" s="1"/>
      <c r="ADO162" s="1"/>
      <c r="ADP162" s="1"/>
      <c r="ADQ162" s="1"/>
      <c r="ADR162" s="1"/>
      <c r="ADS162" s="1"/>
      <c r="ADT162" s="1"/>
      <c r="ADU162" s="1"/>
      <c r="ADV162" s="1"/>
      <c r="ADW162" s="1"/>
      <c r="ADX162" s="1"/>
      <c r="ADY162" s="1"/>
      <c r="ADZ162" s="1"/>
      <c r="AEA162" s="1"/>
      <c r="AEB162" s="1"/>
      <c r="AEC162" s="1"/>
      <c r="AED162" s="1"/>
      <c r="AEE162" s="1"/>
      <c r="AEF162" s="1"/>
      <c r="AEG162" s="1"/>
      <c r="AEH162" s="1"/>
      <c r="AEI162" s="1"/>
      <c r="AEJ162" s="1"/>
      <c r="AEK162" s="1"/>
      <c r="AEL162" s="1"/>
      <c r="AEM162" s="1"/>
      <c r="AEN162" s="1"/>
      <c r="AEO162" s="1"/>
      <c r="AEP162" s="1"/>
      <c r="AEQ162" s="1"/>
      <c r="AER162" s="1"/>
      <c r="AES162" s="1"/>
      <c r="AET162" s="1"/>
      <c r="AEU162" s="1"/>
      <c r="AEV162" s="1"/>
      <c r="AEW162" s="1"/>
      <c r="AEX162" s="1"/>
      <c r="AEY162" s="1"/>
      <c r="AEZ162" s="1"/>
      <c r="AFA162" s="1"/>
      <c r="AFB162" s="1"/>
      <c r="AFC162" s="1"/>
      <c r="AFD162" s="1"/>
      <c r="AFE162" s="1"/>
      <c r="AFF162" s="1"/>
      <c r="AFG162" s="1"/>
      <c r="AFH162" s="1"/>
      <c r="AFI162" s="1"/>
      <c r="AFJ162" s="1"/>
      <c r="AFK162" s="1"/>
      <c r="AFL162" s="1"/>
      <c r="AFM162" s="1"/>
      <c r="AFN162" s="1"/>
      <c r="AFO162" s="1"/>
      <c r="AFP162" s="1"/>
      <c r="AFQ162" s="1"/>
      <c r="AFR162" s="1"/>
      <c r="AFS162" s="1"/>
      <c r="AFT162" s="1"/>
      <c r="AFU162" s="1"/>
      <c r="AFV162" s="1"/>
      <c r="AFW162" s="1"/>
      <c r="AFX162" s="1"/>
      <c r="AFY162" s="1"/>
      <c r="AFZ162" s="1"/>
      <c r="AGA162" s="1"/>
      <c r="AGB162" s="1"/>
      <c r="AGC162" s="1"/>
      <c r="AGD162" s="1"/>
      <c r="AGE162" s="1"/>
      <c r="AGF162" s="1"/>
      <c r="AGG162" s="1"/>
      <c r="AGH162" s="1"/>
      <c r="AGI162" s="1"/>
      <c r="AGJ162" s="1"/>
      <c r="AGK162" s="1"/>
      <c r="AGL162" s="1"/>
      <c r="AGM162" s="1"/>
      <c r="AGN162" s="1"/>
      <c r="AGO162" s="1"/>
      <c r="AGP162" s="1"/>
      <c r="AGQ162" s="1"/>
      <c r="AGR162" s="1"/>
      <c r="AGS162" s="1"/>
      <c r="AGT162" s="1"/>
      <c r="AGU162" s="1"/>
      <c r="AGV162" s="1"/>
      <c r="AGW162" s="1"/>
      <c r="AGX162" s="1"/>
      <c r="AGY162" s="1"/>
      <c r="AGZ162" s="1"/>
      <c r="AHA162" s="1"/>
      <c r="AHB162" s="1"/>
      <c r="AHC162" s="1"/>
      <c r="AHD162" s="1"/>
      <c r="AHE162" s="1"/>
      <c r="AHF162" s="1"/>
      <c r="AHG162" s="1"/>
      <c r="AHH162" s="1"/>
      <c r="AHI162" s="1"/>
      <c r="AHJ162" s="1"/>
      <c r="AHK162" s="1"/>
      <c r="AHL162" s="1"/>
      <c r="AHM162" s="1"/>
      <c r="AHN162" s="1"/>
      <c r="AHO162" s="1"/>
      <c r="AHP162" s="1"/>
      <c r="AHQ162" s="1"/>
      <c r="AHR162" s="1"/>
      <c r="AHS162" s="1"/>
      <c r="AHT162" s="1"/>
      <c r="AHU162" s="1"/>
      <c r="AHV162" s="1"/>
      <c r="AHW162" s="1"/>
      <c r="AHX162" s="1"/>
      <c r="AHY162" s="1"/>
      <c r="AHZ162" s="1"/>
      <c r="AIA162" s="1"/>
      <c r="AIB162" s="1"/>
      <c r="AIC162" s="1"/>
      <c r="AID162" s="1"/>
      <c r="AIE162" s="1"/>
      <c r="AIF162" s="1"/>
      <c r="AIG162" s="1"/>
      <c r="AIH162" s="1"/>
      <c r="AII162" s="1"/>
      <c r="AIJ162" s="1"/>
      <c r="AIK162" s="1"/>
      <c r="AIL162" s="1"/>
      <c r="AIM162" s="1"/>
      <c r="AIN162" s="1"/>
      <c r="AIO162" s="1"/>
      <c r="AIP162" s="1"/>
      <c r="AIQ162" s="1"/>
      <c r="AIR162" s="1"/>
      <c r="AIS162" s="1"/>
      <c r="AIT162" s="1"/>
      <c r="AIU162" s="1"/>
      <c r="AIV162" s="1"/>
      <c r="AIW162" s="1"/>
      <c r="AIX162" s="1"/>
      <c r="AIY162" s="1"/>
      <c r="AIZ162" s="1"/>
      <c r="AJA162" s="1"/>
      <c r="AJB162" s="1"/>
      <c r="AJC162" s="1"/>
      <c r="AJD162" s="1"/>
      <c r="AJE162" s="1"/>
      <c r="AJF162" s="1"/>
      <c r="AJG162" s="1"/>
      <c r="AJH162" s="1"/>
      <c r="AJI162" s="1"/>
      <c r="AJJ162" s="1"/>
      <c r="AJK162" s="1"/>
      <c r="AJL162" s="1"/>
      <c r="AJM162" s="1"/>
      <c r="AJN162" s="1"/>
      <c r="AJO162" s="1"/>
      <c r="AJP162" s="1"/>
      <c r="AJQ162" s="1"/>
      <c r="AJR162" s="1"/>
      <c r="AJS162" s="1"/>
      <c r="AJT162" s="1"/>
      <c r="AJU162" s="1"/>
      <c r="AJV162" s="1"/>
      <c r="AJW162" s="1"/>
      <c r="AJX162" s="1"/>
      <c r="AJY162" s="1"/>
      <c r="AJZ162" s="1"/>
      <c r="AKA162" s="1"/>
      <c r="AKB162" s="1"/>
      <c r="AKC162" s="1"/>
      <c r="AKD162" s="1"/>
      <c r="AKE162" s="1"/>
      <c r="AKF162" s="1"/>
      <c r="AKG162" s="1"/>
      <c r="AKH162" s="1"/>
      <c r="AKI162" s="1"/>
      <c r="AKJ162" s="1"/>
      <c r="AKK162" s="1"/>
      <c r="AKL162" s="1"/>
      <c r="AKM162" s="1"/>
      <c r="AKN162" s="1"/>
      <c r="AKO162" s="1"/>
      <c r="AKP162" s="1"/>
      <c r="AKQ162" s="1"/>
      <c r="AKR162" s="1"/>
      <c r="AKS162" s="1"/>
      <c r="AKT162" s="1"/>
      <c r="AKU162" s="1"/>
      <c r="AKV162" s="1"/>
      <c r="AKW162" s="1"/>
      <c r="AKX162" s="1"/>
      <c r="AKY162" s="1"/>
      <c r="AKZ162" s="1"/>
      <c r="ALA162" s="1"/>
      <c r="ALB162" s="1"/>
      <c r="ALC162" s="1"/>
      <c r="ALD162" s="1"/>
      <c r="ALE162" s="1"/>
      <c r="ALF162" s="1"/>
      <c r="ALG162" s="1"/>
      <c r="ALH162" s="1"/>
      <c r="ALI162" s="1"/>
      <c r="ALJ162" s="1"/>
      <c r="ALK162" s="1"/>
      <c r="ALL162" s="1"/>
      <c r="ALM162" s="1"/>
      <c r="ALN162" s="1"/>
      <c r="ALO162" s="1"/>
      <c r="ALP162" s="1"/>
      <c r="ALQ162" s="1"/>
      <c r="ALR162" s="1"/>
      <c r="ALS162" s="1"/>
      <c r="ALT162" s="1"/>
      <c r="ALU162" s="1"/>
      <c r="ALV162" s="1"/>
      <c r="ALW162" s="1"/>
      <c r="ALX162" s="1"/>
      <c r="ALY162" s="1"/>
      <c r="ALZ162" s="1"/>
      <c r="AMA162" s="1"/>
      <c r="AMB162" s="1"/>
      <c r="AMC162" s="1"/>
      <c r="AMD162" s="1"/>
      <c r="AME162" s="1"/>
      <c r="AMF162" s="1"/>
      <c r="AMG162" s="1"/>
      <c r="AMH162" s="1"/>
      <c r="AMI162" s="1"/>
      <c r="AMJ162" s="1"/>
      <c r="AMK162" s="1"/>
      <c r="AML162" s="1"/>
      <c r="AMM162" s="1"/>
      <c r="AMN162" s="1"/>
    </row>
    <row r="163" spans="1:1028" x14ac:dyDescent="0.2">
      <c r="A163" s="3" t="str">
        <f t="shared" si="639"/>
        <v>p2y12_human__wt</v>
      </c>
      <c r="B163" s="3" t="s">
        <v>352</v>
      </c>
      <c r="C163" s="3" t="s">
        <v>100</v>
      </c>
      <c r="D163" s="3" t="str">
        <f>IFERROR(MID(VLOOKUP($B163,Seqs!$A:$B,2,0),E163,1),"")</f>
        <v>Y</v>
      </c>
      <c r="E163" s="3">
        <v>21</v>
      </c>
      <c r="F163" s="3" t="str">
        <f>IFERROR(MID(VLOOKUP($B163,Seqs!$A:$B,2,0),G163,1),"")</f>
        <v>I</v>
      </c>
      <c r="G163" s="3">
        <v>53</v>
      </c>
      <c r="H163" s="3" t="str">
        <f>IFERROR(MID(VLOOKUP($B163,Seqs!$A:$B,2,0),I163,1),"")</f>
        <v/>
      </c>
      <c r="I163" s="23" t="s">
        <v>23</v>
      </c>
      <c r="J163" s="3" t="str">
        <f>IFERROR(MID(VLOOKUP($B163,Seqs!$A:$B,2,0),K163,1),"")</f>
        <v/>
      </c>
      <c r="K163" s="23" t="s">
        <v>23</v>
      </c>
      <c r="L163" s="3" t="str">
        <f>IFERROR(MID(VLOOKUP($B163,Seqs!$A:$B,2,0),M163,1),"")</f>
        <v>S</v>
      </c>
      <c r="M163" s="3">
        <v>57</v>
      </c>
      <c r="N163" s="3" t="str">
        <f>IFERROR(MID(VLOOKUP($B163,Seqs!$A:$B,2,0),O163,1),"")</f>
        <v>K</v>
      </c>
      <c r="O163" s="3">
        <v>86</v>
      </c>
      <c r="P163" s="3" t="str">
        <f>IFERROR(MID(VLOOKUP($B163,Seqs!$A:$B,2,0),Q163,1),"")</f>
        <v/>
      </c>
      <c r="Q163" s="3" t="s">
        <v>23</v>
      </c>
      <c r="R163" s="3" t="str">
        <f>IFERROR(MID(VLOOKUP($B163,Seqs!$A:$B,2,0),S163,1),"")</f>
        <v/>
      </c>
      <c r="S163" s="3" t="s">
        <v>23</v>
      </c>
      <c r="T163" s="3" t="str">
        <f>IFERROR(MID(VLOOKUP($B163,Seqs!$A:$B,2,0),U163,1),"")</f>
        <v>G</v>
      </c>
      <c r="U163" s="3">
        <v>90</v>
      </c>
      <c r="V163" s="3" t="str">
        <f>IFERROR(MID(VLOOKUP($B163,Seqs!$A:$B,2,0),W163,1),"")</f>
        <v>R</v>
      </c>
      <c r="W163" s="3">
        <v>128</v>
      </c>
      <c r="X163" s="3" t="str">
        <f>IFERROR(MID(VLOOKUP($B163,Seqs!$A:$B,2,0),Y163,1),"")</f>
        <v>P</v>
      </c>
      <c r="Y163" s="3">
        <v>129</v>
      </c>
      <c r="Z163" s="3" t="str">
        <f>IFERROR(MID(VLOOKUP($B163,Seqs!$A:$B,2,0),AA163,1),"")</f>
        <v>K</v>
      </c>
      <c r="AA163" s="75">
        <v>136</v>
      </c>
      <c r="AB163" s="3" t="str">
        <f>IFERROR(MID(VLOOKUP($B163,Seqs!$A:$B,2,0),AC163,1),"")</f>
        <v>N</v>
      </c>
      <c r="AC163" s="9">
        <v>137</v>
      </c>
      <c r="AD163" s="3" t="str">
        <f>IFERROR(MID(VLOOKUP($B163,Seqs!$A:$B,2,0),AE163,1),"")</f>
        <v>T</v>
      </c>
      <c r="AE163" s="3">
        <v>163</v>
      </c>
      <c r="AF163" s="3" t="str">
        <f>IFERROR(MID(VLOOKUP($B163,Seqs!$A:$B,2,0),AG163,1),"")</f>
        <v>C</v>
      </c>
      <c r="AG163" s="3">
        <v>175</v>
      </c>
      <c r="AH163" s="3" t="str">
        <f>IFERROR(MID(VLOOKUP($B163,Seqs!$A:$B,2,0),AI163,1),"")</f>
        <v>F</v>
      </c>
      <c r="AI163" s="3">
        <v>177</v>
      </c>
      <c r="AJ163" s="3" t="str">
        <f>IFERROR(MID(VLOOKUP($B163,Seqs!$A:$B,2,0),AK163,1),"")</f>
        <v>E</v>
      </c>
      <c r="AK163" s="3">
        <v>181</v>
      </c>
      <c r="AL163" s="3" t="str">
        <f>IFERROR(MID(VLOOKUP($B163,Seqs!$A:$B,2,0),AM163,1),"")</f>
        <v>T</v>
      </c>
      <c r="AM163" s="3">
        <v>223</v>
      </c>
      <c r="AN163" s="3" t="str">
        <f>IFERROR(MID(VLOOKUP($B163,Seqs!$A:$B,2,0),AO163,1),"")</f>
        <v>P</v>
      </c>
      <c r="AO163" s="3">
        <v>230</v>
      </c>
      <c r="AP163" s="3" t="str">
        <f>IFERROR(MID(VLOOKUP($B163,Seqs!$A:$B,2,0),AQ163,1),"")</f>
        <v>R</v>
      </c>
      <c r="AQ163" s="3">
        <v>265</v>
      </c>
      <c r="AR163" s="3" t="str">
        <f>IFERROR(MID(VLOOKUP($B163,Seqs!$A:$B,2,0),AS163,1),"")</f>
        <v>D</v>
      </c>
      <c r="AS163" s="3">
        <v>269</v>
      </c>
      <c r="AT163" s="3" t="str">
        <f>IFERROR(MID(VLOOKUP($B163,Seqs!$A:$B,2,0),AU163,1),"")</f>
        <v>L</v>
      </c>
      <c r="AU163" s="3">
        <v>301</v>
      </c>
      <c r="AV163" s="3" t="str">
        <f>IFERROR(MID(VLOOKUP($B163,Seqs!$A:$B,2,0),AW163,1),"")</f>
        <v>C</v>
      </c>
      <c r="AW163" s="3">
        <v>302</v>
      </c>
      <c r="AX163" s="3" t="str">
        <f>IFERROR(MID(VLOOKUP($B163,Seqs!$A:$B,2,0),AY163,1),"")</f>
        <v>M</v>
      </c>
      <c r="AY163" s="3">
        <v>312</v>
      </c>
      <c r="AZ163" s="79" t="str">
        <f>VLOOKUP(B163,Classification!A:D,2,0)</f>
        <v>A</v>
      </c>
      <c r="BA163" s="97" t="str">
        <f>VLOOKUP(B163,Classification!A:D,4,0)</f>
        <v>P2Y</v>
      </c>
      <c r="BB163" s="27" t="b">
        <f t="shared" si="640"/>
        <v>1</v>
      </c>
      <c r="BC163" s="23">
        <f t="shared" si="613"/>
        <v>265</v>
      </c>
      <c r="BD163" s="57" t="s">
        <v>1379</v>
      </c>
      <c r="BE163" s="3" t="s">
        <v>1381</v>
      </c>
      <c r="BF163" s="50" t="s">
        <v>1379</v>
      </c>
      <c r="BG163" s="50" t="s">
        <v>1384</v>
      </c>
      <c r="BH163" s="1"/>
      <c r="BI163" s="72" t="s">
        <v>1293</v>
      </c>
      <c r="BJ163" s="58" t="s">
        <v>1293</v>
      </c>
      <c r="BK163" s="58" t="s">
        <v>1293</v>
      </c>
      <c r="BL163" s="58" t="s">
        <v>1293</v>
      </c>
      <c r="BM163" s="58" t="s">
        <v>1293</v>
      </c>
      <c r="BN163" s="58" t="s">
        <v>1293</v>
      </c>
      <c r="BO163" s="58" t="s">
        <v>1293</v>
      </c>
      <c r="BP163" s="58" t="s">
        <v>1293</v>
      </c>
      <c r="BQ163" s="58" t="s">
        <v>1293</v>
      </c>
      <c r="BR163" s="58" t="s">
        <v>1293</v>
      </c>
      <c r="BS163" s="58" t="s">
        <v>1293</v>
      </c>
      <c r="BT163" s="58" t="s">
        <v>1293</v>
      </c>
      <c r="BU163" s="72">
        <f t="shared" si="614"/>
        <v>21</v>
      </c>
      <c r="BV163" s="73" t="str">
        <f t="shared" si="615"/>
        <v>-</v>
      </c>
      <c r="BW163" s="74">
        <f t="shared" si="616"/>
        <v>57</v>
      </c>
      <c r="BX163" s="73" t="str">
        <f t="shared" si="617"/>
        <v>-</v>
      </c>
      <c r="BY163" s="74">
        <f t="shared" si="618"/>
        <v>90</v>
      </c>
      <c r="BZ163" s="73">
        <f t="shared" si="619"/>
        <v>129</v>
      </c>
      <c r="CA163" s="74">
        <f t="shared" si="620"/>
        <v>137</v>
      </c>
      <c r="CB163" s="73">
        <f t="shared" si="621"/>
        <v>175</v>
      </c>
      <c r="CC163" s="74">
        <f t="shared" si="622"/>
        <v>181</v>
      </c>
      <c r="CD163" s="73">
        <f t="shared" si="623"/>
        <v>230</v>
      </c>
      <c r="CE163" s="74">
        <f t="shared" si="624"/>
        <v>269</v>
      </c>
      <c r="CF163" s="73">
        <f t="shared" si="625"/>
        <v>302</v>
      </c>
      <c r="CG163" s="72">
        <f t="shared" si="626"/>
        <v>53</v>
      </c>
      <c r="CH163" s="73" t="str">
        <f t="shared" si="627"/>
        <v>-</v>
      </c>
      <c r="CI163" s="74">
        <f t="shared" si="628"/>
        <v>86</v>
      </c>
      <c r="CJ163" s="74" t="str">
        <f t="shared" si="629"/>
        <v>-</v>
      </c>
      <c r="CK163" s="74">
        <f t="shared" si="630"/>
        <v>128</v>
      </c>
      <c r="CL163" s="74">
        <f t="shared" si="631"/>
        <v>136</v>
      </c>
      <c r="CM163" s="74">
        <f t="shared" si="632"/>
        <v>163</v>
      </c>
      <c r="CN163" s="74">
        <f t="shared" si="633"/>
        <v>177</v>
      </c>
      <c r="CO163" s="74">
        <f t="shared" si="634"/>
        <v>223</v>
      </c>
      <c r="CP163" s="74">
        <f t="shared" si="635"/>
        <v>265</v>
      </c>
      <c r="CQ163" s="74">
        <f t="shared" si="636"/>
        <v>301</v>
      </c>
      <c r="CR163" s="74">
        <f t="shared" si="637"/>
        <v>312</v>
      </c>
      <c r="CS163" s="23" t="e">
        <f t="shared" si="638"/>
        <v>#VALUE!</v>
      </c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  <c r="JD163" s="1"/>
      <c r="JE163" s="1"/>
      <c r="JF163" s="1"/>
      <c r="JG163" s="1"/>
      <c r="JH163" s="1"/>
      <c r="JI163" s="1"/>
      <c r="JJ163" s="1"/>
      <c r="JK163" s="1"/>
      <c r="JL163" s="1"/>
      <c r="JM163" s="1"/>
      <c r="JN163" s="1"/>
      <c r="JO163" s="1"/>
      <c r="JP163" s="1"/>
      <c r="JQ163" s="1"/>
      <c r="JR163" s="1"/>
      <c r="JS163" s="1"/>
      <c r="JT163" s="1"/>
      <c r="JU163" s="1"/>
      <c r="JV163" s="1"/>
      <c r="JW163" s="1"/>
      <c r="JX163" s="1"/>
      <c r="JY163" s="1"/>
      <c r="JZ163" s="1"/>
      <c r="KA163" s="1"/>
      <c r="KB163" s="1"/>
      <c r="KC163" s="1"/>
      <c r="KD163" s="1"/>
      <c r="KE163" s="1"/>
      <c r="KF163" s="1"/>
      <c r="KG163" s="1"/>
      <c r="KH163" s="1"/>
      <c r="KI163" s="1"/>
      <c r="KJ163" s="1"/>
      <c r="KK163" s="1"/>
      <c r="KL163" s="1"/>
      <c r="KM163" s="1"/>
      <c r="KN163" s="1"/>
      <c r="KO163" s="1"/>
      <c r="KP163" s="1"/>
      <c r="KQ163" s="1"/>
      <c r="KR163" s="1"/>
      <c r="KS163" s="1"/>
      <c r="KT163" s="1"/>
      <c r="KU163" s="1"/>
      <c r="KV163" s="1"/>
      <c r="KW163" s="1"/>
      <c r="KX163" s="1"/>
      <c r="KY163" s="1"/>
      <c r="KZ163" s="1"/>
      <c r="LA163" s="1"/>
      <c r="LB163" s="1"/>
      <c r="LC163" s="1"/>
      <c r="LD163" s="1"/>
      <c r="LE163" s="1"/>
      <c r="LF163" s="1"/>
      <c r="LG163" s="1"/>
      <c r="LH163" s="1"/>
      <c r="LI163" s="1"/>
      <c r="LJ163" s="1"/>
      <c r="LK163" s="1"/>
      <c r="LL163" s="1"/>
      <c r="LM163" s="1"/>
      <c r="LN163" s="1"/>
      <c r="LO163" s="1"/>
      <c r="LP163" s="1"/>
      <c r="LQ163" s="1"/>
      <c r="LR163" s="1"/>
      <c r="LS163" s="1"/>
      <c r="LT163" s="1"/>
      <c r="LU163" s="1"/>
      <c r="LV163" s="1"/>
      <c r="LW163" s="1"/>
      <c r="LX163" s="1"/>
      <c r="LY163" s="1"/>
      <c r="LZ163" s="1"/>
      <c r="MA163" s="1"/>
      <c r="MB163" s="1"/>
      <c r="MC163" s="1"/>
      <c r="MD163" s="1"/>
      <c r="ME163" s="1"/>
      <c r="MF163" s="1"/>
      <c r="MG163" s="1"/>
      <c r="MH163" s="1"/>
      <c r="MI163" s="1"/>
      <c r="MJ163" s="1"/>
      <c r="MK163" s="1"/>
      <c r="ML163" s="1"/>
      <c r="MM163" s="1"/>
      <c r="MN163" s="1"/>
      <c r="MO163" s="1"/>
      <c r="MP163" s="1"/>
      <c r="MQ163" s="1"/>
      <c r="MR163" s="1"/>
      <c r="MS163" s="1"/>
      <c r="MT163" s="1"/>
      <c r="MU163" s="1"/>
      <c r="MV163" s="1"/>
      <c r="MW163" s="1"/>
      <c r="MX163" s="1"/>
      <c r="MY163" s="1"/>
      <c r="MZ163" s="1"/>
      <c r="NA163" s="1"/>
      <c r="NB163" s="1"/>
      <c r="NC163" s="1"/>
      <c r="ND163" s="1"/>
      <c r="NE163" s="1"/>
      <c r="NF163" s="1"/>
      <c r="NG163" s="1"/>
      <c r="NH163" s="1"/>
      <c r="NI163" s="1"/>
      <c r="NJ163" s="1"/>
      <c r="NK163" s="1"/>
      <c r="NL163" s="1"/>
      <c r="NM163" s="1"/>
      <c r="NN163" s="1"/>
      <c r="NO163" s="1"/>
      <c r="NP163" s="1"/>
      <c r="NQ163" s="1"/>
      <c r="NR163" s="1"/>
      <c r="NS163" s="1"/>
      <c r="NT163" s="1"/>
      <c r="NU163" s="1"/>
      <c r="NV163" s="1"/>
      <c r="NW163" s="1"/>
      <c r="NX163" s="1"/>
      <c r="NY163" s="1"/>
      <c r="NZ163" s="1"/>
      <c r="OA163" s="1"/>
      <c r="OB163" s="1"/>
      <c r="OC163" s="1"/>
      <c r="OD163" s="1"/>
      <c r="OE163" s="1"/>
      <c r="OF163" s="1"/>
      <c r="OG163" s="1"/>
      <c r="OH163" s="1"/>
      <c r="OI163" s="1"/>
      <c r="OJ163" s="1"/>
      <c r="OK163" s="1"/>
      <c r="OL163" s="1"/>
      <c r="OM163" s="1"/>
      <c r="ON163" s="1"/>
      <c r="OO163" s="1"/>
      <c r="OP163" s="1"/>
      <c r="OQ163" s="1"/>
      <c r="OR163" s="1"/>
      <c r="OS163" s="1"/>
      <c r="OT163" s="1"/>
      <c r="OU163" s="1"/>
      <c r="OV163" s="1"/>
      <c r="OW163" s="1"/>
      <c r="OX163" s="1"/>
      <c r="OY163" s="1"/>
      <c r="OZ163" s="1"/>
      <c r="PA163" s="1"/>
      <c r="PB163" s="1"/>
      <c r="PC163" s="1"/>
      <c r="PD163" s="1"/>
      <c r="PE163" s="1"/>
      <c r="PF163" s="1"/>
      <c r="PG163" s="1"/>
      <c r="PH163" s="1"/>
      <c r="PI163" s="1"/>
      <c r="PJ163" s="1"/>
      <c r="PK163" s="1"/>
      <c r="PL163" s="1"/>
      <c r="PM163" s="1"/>
      <c r="PN163" s="1"/>
      <c r="PO163" s="1"/>
      <c r="PP163" s="1"/>
      <c r="PQ163" s="1"/>
      <c r="PR163" s="1"/>
      <c r="PS163" s="1"/>
      <c r="PT163" s="1"/>
      <c r="PU163" s="1"/>
      <c r="PV163" s="1"/>
      <c r="PW163" s="1"/>
      <c r="PX163" s="1"/>
      <c r="PY163" s="1"/>
      <c r="PZ163" s="1"/>
      <c r="QA163" s="1"/>
      <c r="QB163" s="1"/>
      <c r="QC163" s="1"/>
      <c r="QD163" s="1"/>
      <c r="QE163" s="1"/>
      <c r="QF163" s="1"/>
      <c r="QG163" s="1"/>
      <c r="QH163" s="1"/>
      <c r="QI163" s="1"/>
      <c r="QJ163" s="1"/>
      <c r="QK163" s="1"/>
      <c r="QL163" s="1"/>
      <c r="QM163" s="1"/>
      <c r="QN163" s="1"/>
      <c r="QO163" s="1"/>
      <c r="QP163" s="1"/>
      <c r="QQ163" s="1"/>
      <c r="QR163" s="1"/>
      <c r="QS163" s="1"/>
      <c r="QT163" s="1"/>
      <c r="QU163" s="1"/>
      <c r="QV163" s="1"/>
      <c r="QW163" s="1"/>
      <c r="QX163" s="1"/>
      <c r="QY163" s="1"/>
      <c r="QZ163" s="1"/>
      <c r="RA163" s="1"/>
      <c r="RB163" s="1"/>
      <c r="RC163" s="1"/>
      <c r="RD163" s="1"/>
      <c r="RE163" s="1"/>
      <c r="RF163" s="1"/>
      <c r="RG163" s="1"/>
      <c r="RH163" s="1"/>
      <c r="RI163" s="1"/>
      <c r="RJ163" s="1"/>
      <c r="RK163" s="1"/>
      <c r="RL163" s="1"/>
      <c r="RM163" s="1"/>
      <c r="RN163" s="1"/>
      <c r="RO163" s="1"/>
      <c r="RP163" s="1"/>
      <c r="RQ163" s="1"/>
      <c r="RR163" s="1"/>
      <c r="RS163" s="1"/>
      <c r="RT163" s="1"/>
      <c r="RU163" s="1"/>
      <c r="RV163" s="1"/>
      <c r="RW163" s="1"/>
      <c r="RX163" s="1"/>
      <c r="RY163" s="1"/>
      <c r="RZ163" s="1"/>
      <c r="SA163" s="1"/>
      <c r="SB163" s="1"/>
      <c r="SC163" s="1"/>
      <c r="SD163" s="1"/>
      <c r="SE163" s="1"/>
      <c r="SF163" s="1"/>
      <c r="SG163" s="1"/>
      <c r="SH163" s="1"/>
      <c r="SI163" s="1"/>
      <c r="SJ163" s="1"/>
      <c r="SK163" s="1"/>
      <c r="SL163" s="1"/>
      <c r="SM163" s="1"/>
      <c r="SN163" s="1"/>
      <c r="SO163" s="1"/>
      <c r="SP163" s="1"/>
      <c r="SQ163" s="1"/>
      <c r="SR163" s="1"/>
      <c r="SS163" s="1"/>
      <c r="ST163" s="1"/>
      <c r="SU163" s="1"/>
      <c r="SV163" s="1"/>
      <c r="SW163" s="1"/>
      <c r="SX163" s="1"/>
      <c r="SY163" s="1"/>
      <c r="SZ163" s="1"/>
      <c r="TA163" s="1"/>
      <c r="TB163" s="1"/>
      <c r="TC163" s="1"/>
      <c r="TD163" s="1"/>
      <c r="TE163" s="1"/>
      <c r="TF163" s="1"/>
      <c r="TG163" s="1"/>
      <c r="TH163" s="1"/>
      <c r="TI163" s="1"/>
      <c r="TJ163" s="1"/>
      <c r="TK163" s="1"/>
      <c r="TL163" s="1"/>
      <c r="TM163" s="1"/>
      <c r="TN163" s="1"/>
      <c r="TO163" s="1"/>
      <c r="TP163" s="1"/>
      <c r="TQ163" s="1"/>
      <c r="TR163" s="1"/>
      <c r="TS163" s="1"/>
      <c r="TT163" s="1"/>
      <c r="TU163" s="1"/>
      <c r="TV163" s="1"/>
      <c r="TW163" s="1"/>
      <c r="TX163" s="1"/>
      <c r="TY163" s="1"/>
      <c r="TZ163" s="1"/>
      <c r="UA163" s="1"/>
      <c r="UB163" s="1"/>
      <c r="UC163" s="1"/>
      <c r="UD163" s="1"/>
      <c r="UE163" s="1"/>
      <c r="UF163" s="1"/>
      <c r="UG163" s="1"/>
      <c r="UH163" s="1"/>
      <c r="UI163" s="1"/>
      <c r="UJ163" s="1"/>
      <c r="UK163" s="1"/>
      <c r="UL163" s="1"/>
      <c r="UM163" s="1"/>
      <c r="UN163" s="1"/>
      <c r="UO163" s="1"/>
      <c r="UP163" s="1"/>
      <c r="UQ163" s="1"/>
      <c r="UR163" s="1"/>
      <c r="US163" s="1"/>
      <c r="UT163" s="1"/>
      <c r="UU163" s="1"/>
      <c r="UV163" s="1"/>
      <c r="UW163" s="1"/>
      <c r="UX163" s="1"/>
      <c r="UY163" s="1"/>
      <c r="UZ163" s="1"/>
      <c r="VA163" s="1"/>
      <c r="VB163" s="1"/>
      <c r="VC163" s="1"/>
      <c r="VD163" s="1"/>
      <c r="VE163" s="1"/>
      <c r="VF163" s="1"/>
      <c r="VG163" s="1"/>
      <c r="VH163" s="1"/>
      <c r="VI163" s="1"/>
      <c r="VJ163" s="1"/>
      <c r="VK163" s="1"/>
      <c r="VL163" s="1"/>
      <c r="VM163" s="1"/>
      <c r="VN163" s="1"/>
      <c r="VO163" s="1"/>
      <c r="VP163" s="1"/>
      <c r="VQ163" s="1"/>
      <c r="VR163" s="1"/>
      <c r="VS163" s="1"/>
      <c r="VT163" s="1"/>
      <c r="VU163" s="1"/>
      <c r="VV163" s="1"/>
      <c r="VW163" s="1"/>
      <c r="VX163" s="1"/>
      <c r="VY163" s="1"/>
      <c r="VZ163" s="1"/>
      <c r="WA163" s="1"/>
      <c r="WB163" s="1"/>
      <c r="WC163" s="1"/>
      <c r="WD163" s="1"/>
      <c r="WE163" s="1"/>
      <c r="WF163" s="1"/>
      <c r="WG163" s="1"/>
      <c r="WH163" s="1"/>
      <c r="WI163" s="1"/>
      <c r="WJ163" s="1"/>
      <c r="WK163" s="1"/>
      <c r="WL163" s="1"/>
      <c r="WM163" s="1"/>
      <c r="WN163" s="1"/>
      <c r="WO163" s="1"/>
      <c r="WP163" s="1"/>
      <c r="WQ163" s="1"/>
      <c r="WR163" s="1"/>
      <c r="WS163" s="1"/>
      <c r="WT163" s="1"/>
      <c r="WU163" s="1"/>
      <c r="WV163" s="1"/>
      <c r="WW163" s="1"/>
      <c r="WX163" s="1"/>
      <c r="WY163" s="1"/>
      <c r="WZ163" s="1"/>
      <c r="XA163" s="1"/>
      <c r="XB163" s="1"/>
      <c r="XC163" s="1"/>
      <c r="XD163" s="1"/>
      <c r="XE163" s="1"/>
      <c r="XF163" s="1"/>
      <c r="XG163" s="1"/>
      <c r="XH163" s="1"/>
      <c r="XI163" s="1"/>
      <c r="XJ163" s="1"/>
      <c r="XK163" s="1"/>
      <c r="XL163" s="1"/>
      <c r="XM163" s="1"/>
      <c r="XN163" s="1"/>
      <c r="XO163" s="1"/>
      <c r="XP163" s="1"/>
      <c r="XQ163" s="1"/>
      <c r="XR163" s="1"/>
      <c r="XS163" s="1"/>
      <c r="XT163" s="1"/>
      <c r="XU163" s="1"/>
      <c r="XV163" s="1"/>
      <c r="XW163" s="1"/>
      <c r="XX163" s="1"/>
      <c r="XY163" s="1"/>
      <c r="XZ163" s="1"/>
      <c r="YA163" s="1"/>
      <c r="YB163" s="1"/>
      <c r="YC163" s="1"/>
      <c r="YD163" s="1"/>
      <c r="YE163" s="1"/>
      <c r="YF163" s="1"/>
      <c r="YG163" s="1"/>
      <c r="YH163" s="1"/>
      <c r="YI163" s="1"/>
      <c r="YJ163" s="1"/>
      <c r="YK163" s="1"/>
      <c r="YL163" s="1"/>
      <c r="YM163" s="1"/>
      <c r="YN163" s="1"/>
      <c r="YO163" s="1"/>
      <c r="YP163" s="1"/>
      <c r="YQ163" s="1"/>
      <c r="YR163" s="1"/>
      <c r="YS163" s="1"/>
      <c r="YT163" s="1"/>
      <c r="YU163" s="1"/>
      <c r="YV163" s="1"/>
      <c r="YW163" s="1"/>
      <c r="YX163" s="1"/>
      <c r="YY163" s="1"/>
      <c r="YZ163" s="1"/>
      <c r="ZA163" s="1"/>
      <c r="ZB163" s="1"/>
      <c r="ZC163" s="1"/>
      <c r="ZD163" s="1"/>
      <c r="ZE163" s="1"/>
      <c r="ZF163" s="1"/>
      <c r="ZG163" s="1"/>
      <c r="ZH163" s="1"/>
      <c r="ZI163" s="1"/>
      <c r="ZJ163" s="1"/>
      <c r="ZK163" s="1"/>
      <c r="ZL163" s="1"/>
      <c r="ZM163" s="1"/>
      <c r="ZN163" s="1"/>
      <c r="ZO163" s="1"/>
      <c r="ZP163" s="1"/>
      <c r="ZQ163" s="1"/>
      <c r="ZR163" s="1"/>
      <c r="ZS163" s="1"/>
      <c r="ZT163" s="1"/>
      <c r="ZU163" s="1"/>
      <c r="ZV163" s="1"/>
      <c r="ZW163" s="1"/>
      <c r="ZX163" s="1"/>
      <c r="ZY163" s="1"/>
      <c r="ZZ163" s="1"/>
      <c r="AAA163" s="1"/>
      <c r="AAB163" s="1"/>
      <c r="AAC163" s="1"/>
      <c r="AAD163" s="1"/>
      <c r="AAE163" s="1"/>
      <c r="AAF163" s="1"/>
      <c r="AAG163" s="1"/>
      <c r="AAH163" s="1"/>
      <c r="AAI163" s="1"/>
      <c r="AAJ163" s="1"/>
      <c r="AAK163" s="1"/>
      <c r="AAL163" s="1"/>
      <c r="AAM163" s="1"/>
      <c r="AAN163" s="1"/>
      <c r="AAO163" s="1"/>
      <c r="AAP163" s="1"/>
      <c r="AAQ163" s="1"/>
      <c r="AAR163" s="1"/>
      <c r="AAS163" s="1"/>
      <c r="AAT163" s="1"/>
      <c r="AAU163" s="1"/>
      <c r="AAV163" s="1"/>
      <c r="AAW163" s="1"/>
      <c r="AAX163" s="1"/>
      <c r="AAY163" s="1"/>
      <c r="AAZ163" s="1"/>
      <c r="ABA163" s="1"/>
      <c r="ABB163" s="1"/>
      <c r="ABC163" s="1"/>
      <c r="ABD163" s="1"/>
      <c r="ABE163" s="1"/>
      <c r="ABF163" s="1"/>
      <c r="ABG163" s="1"/>
      <c r="ABH163" s="1"/>
      <c r="ABI163" s="1"/>
      <c r="ABJ163" s="1"/>
      <c r="ABK163" s="1"/>
      <c r="ABL163" s="1"/>
      <c r="ABM163" s="1"/>
      <c r="ABN163" s="1"/>
      <c r="ABO163" s="1"/>
      <c r="ABP163" s="1"/>
      <c r="ABQ163" s="1"/>
      <c r="ABR163" s="1"/>
      <c r="ABS163" s="1"/>
      <c r="ABT163" s="1"/>
      <c r="ABU163" s="1"/>
      <c r="ABV163" s="1"/>
      <c r="ABW163" s="1"/>
      <c r="ABX163" s="1"/>
      <c r="ABY163" s="1"/>
      <c r="ABZ163" s="1"/>
      <c r="ACA163" s="1"/>
      <c r="ACB163" s="1"/>
      <c r="ACC163" s="1"/>
      <c r="ACD163" s="1"/>
      <c r="ACE163" s="1"/>
      <c r="ACF163" s="1"/>
      <c r="ACG163" s="1"/>
      <c r="ACH163" s="1"/>
      <c r="ACI163" s="1"/>
      <c r="ACJ163" s="1"/>
      <c r="ACK163" s="1"/>
      <c r="ACL163" s="1"/>
      <c r="ACM163" s="1"/>
      <c r="ACN163" s="1"/>
      <c r="ACO163" s="1"/>
      <c r="ACP163" s="1"/>
      <c r="ACQ163" s="1"/>
      <c r="ACR163" s="1"/>
      <c r="ACS163" s="1"/>
      <c r="ACT163" s="1"/>
      <c r="ACU163" s="1"/>
      <c r="ACV163" s="1"/>
      <c r="ACW163" s="1"/>
      <c r="ACX163" s="1"/>
      <c r="ACY163" s="1"/>
      <c r="ACZ163" s="1"/>
      <c r="ADA163" s="1"/>
      <c r="ADB163" s="1"/>
      <c r="ADC163" s="1"/>
      <c r="ADD163" s="1"/>
      <c r="ADE163" s="1"/>
      <c r="ADF163" s="1"/>
      <c r="ADG163" s="1"/>
      <c r="ADH163" s="1"/>
      <c r="ADI163" s="1"/>
      <c r="ADJ163" s="1"/>
      <c r="ADK163" s="1"/>
      <c r="ADL163" s="1"/>
      <c r="ADM163" s="1"/>
      <c r="ADN163" s="1"/>
      <c r="ADO163" s="1"/>
      <c r="ADP163" s="1"/>
      <c r="ADQ163" s="1"/>
      <c r="ADR163" s="1"/>
      <c r="ADS163" s="1"/>
      <c r="ADT163" s="1"/>
      <c r="ADU163" s="1"/>
      <c r="ADV163" s="1"/>
      <c r="ADW163" s="1"/>
      <c r="ADX163" s="1"/>
      <c r="ADY163" s="1"/>
      <c r="ADZ163" s="1"/>
      <c r="AEA163" s="1"/>
      <c r="AEB163" s="1"/>
      <c r="AEC163" s="1"/>
      <c r="AED163" s="1"/>
      <c r="AEE163" s="1"/>
      <c r="AEF163" s="1"/>
      <c r="AEG163" s="1"/>
      <c r="AEH163" s="1"/>
      <c r="AEI163" s="1"/>
      <c r="AEJ163" s="1"/>
      <c r="AEK163" s="1"/>
      <c r="AEL163" s="1"/>
      <c r="AEM163" s="1"/>
      <c r="AEN163" s="1"/>
      <c r="AEO163" s="1"/>
      <c r="AEP163" s="1"/>
      <c r="AEQ163" s="1"/>
      <c r="AER163" s="1"/>
      <c r="AES163" s="1"/>
      <c r="AET163" s="1"/>
      <c r="AEU163" s="1"/>
      <c r="AEV163" s="1"/>
      <c r="AEW163" s="1"/>
      <c r="AEX163" s="1"/>
      <c r="AEY163" s="1"/>
      <c r="AEZ163" s="1"/>
      <c r="AFA163" s="1"/>
      <c r="AFB163" s="1"/>
      <c r="AFC163" s="1"/>
      <c r="AFD163" s="1"/>
      <c r="AFE163" s="1"/>
      <c r="AFF163" s="1"/>
      <c r="AFG163" s="1"/>
      <c r="AFH163" s="1"/>
      <c r="AFI163" s="1"/>
      <c r="AFJ163" s="1"/>
      <c r="AFK163" s="1"/>
      <c r="AFL163" s="1"/>
      <c r="AFM163" s="1"/>
      <c r="AFN163" s="1"/>
      <c r="AFO163" s="1"/>
      <c r="AFP163" s="1"/>
      <c r="AFQ163" s="1"/>
      <c r="AFR163" s="1"/>
      <c r="AFS163" s="1"/>
      <c r="AFT163" s="1"/>
      <c r="AFU163" s="1"/>
      <c r="AFV163" s="1"/>
      <c r="AFW163" s="1"/>
      <c r="AFX163" s="1"/>
      <c r="AFY163" s="1"/>
      <c r="AFZ163" s="1"/>
      <c r="AGA163" s="1"/>
      <c r="AGB163" s="1"/>
      <c r="AGC163" s="1"/>
      <c r="AGD163" s="1"/>
      <c r="AGE163" s="1"/>
      <c r="AGF163" s="1"/>
      <c r="AGG163" s="1"/>
      <c r="AGH163" s="1"/>
      <c r="AGI163" s="1"/>
      <c r="AGJ163" s="1"/>
      <c r="AGK163" s="1"/>
      <c r="AGL163" s="1"/>
      <c r="AGM163" s="1"/>
      <c r="AGN163" s="1"/>
      <c r="AGO163" s="1"/>
      <c r="AGP163" s="1"/>
      <c r="AGQ163" s="1"/>
      <c r="AGR163" s="1"/>
      <c r="AGS163" s="1"/>
      <c r="AGT163" s="1"/>
      <c r="AGU163" s="1"/>
      <c r="AGV163" s="1"/>
      <c r="AGW163" s="1"/>
      <c r="AGX163" s="1"/>
      <c r="AGY163" s="1"/>
      <c r="AGZ163" s="1"/>
      <c r="AHA163" s="1"/>
      <c r="AHB163" s="1"/>
      <c r="AHC163" s="1"/>
      <c r="AHD163" s="1"/>
      <c r="AHE163" s="1"/>
      <c r="AHF163" s="1"/>
      <c r="AHG163" s="1"/>
      <c r="AHH163" s="1"/>
      <c r="AHI163" s="1"/>
      <c r="AHJ163" s="1"/>
      <c r="AHK163" s="1"/>
      <c r="AHL163" s="1"/>
      <c r="AHM163" s="1"/>
      <c r="AHN163" s="1"/>
      <c r="AHO163" s="1"/>
      <c r="AHP163" s="1"/>
      <c r="AHQ163" s="1"/>
      <c r="AHR163" s="1"/>
      <c r="AHS163" s="1"/>
      <c r="AHT163" s="1"/>
      <c r="AHU163" s="1"/>
      <c r="AHV163" s="1"/>
      <c r="AHW163" s="1"/>
      <c r="AHX163" s="1"/>
      <c r="AHY163" s="1"/>
      <c r="AHZ163" s="1"/>
      <c r="AIA163" s="1"/>
      <c r="AIB163" s="1"/>
      <c r="AIC163" s="1"/>
      <c r="AID163" s="1"/>
      <c r="AIE163" s="1"/>
      <c r="AIF163" s="1"/>
      <c r="AIG163" s="1"/>
      <c r="AIH163" s="1"/>
      <c r="AII163" s="1"/>
      <c r="AIJ163" s="1"/>
      <c r="AIK163" s="1"/>
      <c r="AIL163" s="1"/>
      <c r="AIM163" s="1"/>
      <c r="AIN163" s="1"/>
      <c r="AIO163" s="1"/>
      <c r="AIP163" s="1"/>
      <c r="AIQ163" s="1"/>
      <c r="AIR163" s="1"/>
      <c r="AIS163" s="1"/>
      <c r="AIT163" s="1"/>
      <c r="AIU163" s="1"/>
      <c r="AIV163" s="1"/>
      <c r="AIW163" s="1"/>
      <c r="AIX163" s="1"/>
      <c r="AIY163" s="1"/>
      <c r="AIZ163" s="1"/>
      <c r="AJA163" s="1"/>
      <c r="AJB163" s="1"/>
      <c r="AJC163" s="1"/>
      <c r="AJD163" s="1"/>
      <c r="AJE163" s="1"/>
      <c r="AJF163" s="1"/>
      <c r="AJG163" s="1"/>
      <c r="AJH163" s="1"/>
      <c r="AJI163" s="1"/>
      <c r="AJJ163" s="1"/>
      <c r="AJK163" s="1"/>
      <c r="AJL163" s="1"/>
      <c r="AJM163" s="1"/>
      <c r="AJN163" s="1"/>
      <c r="AJO163" s="1"/>
      <c r="AJP163" s="1"/>
      <c r="AJQ163" s="1"/>
      <c r="AJR163" s="1"/>
      <c r="AJS163" s="1"/>
      <c r="AJT163" s="1"/>
      <c r="AJU163" s="1"/>
      <c r="AJV163" s="1"/>
      <c r="AJW163" s="1"/>
      <c r="AJX163" s="1"/>
      <c r="AJY163" s="1"/>
      <c r="AJZ163" s="1"/>
      <c r="AKA163" s="1"/>
      <c r="AKB163" s="1"/>
      <c r="AKC163" s="1"/>
      <c r="AKD163" s="1"/>
      <c r="AKE163" s="1"/>
      <c r="AKF163" s="1"/>
      <c r="AKG163" s="1"/>
      <c r="AKH163" s="1"/>
      <c r="AKI163" s="1"/>
      <c r="AKJ163" s="1"/>
      <c r="AKK163" s="1"/>
      <c r="AKL163" s="1"/>
      <c r="AKM163" s="1"/>
      <c r="AKN163" s="1"/>
      <c r="AKO163" s="1"/>
      <c r="AKP163" s="1"/>
      <c r="AKQ163" s="1"/>
      <c r="AKR163" s="1"/>
      <c r="AKS163" s="1"/>
      <c r="AKT163" s="1"/>
      <c r="AKU163" s="1"/>
      <c r="AKV163" s="1"/>
      <c r="AKW163" s="1"/>
      <c r="AKX163" s="1"/>
      <c r="AKY163" s="1"/>
      <c r="AKZ163" s="1"/>
      <c r="ALA163" s="1"/>
      <c r="ALB163" s="1"/>
      <c r="ALC163" s="1"/>
      <c r="ALD163" s="1"/>
      <c r="ALE163" s="1"/>
      <c r="ALF163" s="1"/>
      <c r="ALG163" s="1"/>
      <c r="ALH163" s="1"/>
      <c r="ALI163" s="1"/>
      <c r="ALJ163" s="1"/>
      <c r="ALK163" s="1"/>
      <c r="ALL163" s="1"/>
      <c r="ALM163" s="1"/>
      <c r="ALN163" s="1"/>
      <c r="ALO163" s="1"/>
      <c r="ALP163" s="1"/>
      <c r="ALQ163" s="1"/>
      <c r="ALR163" s="1"/>
      <c r="ALS163" s="1"/>
      <c r="ALT163" s="1"/>
      <c r="ALU163" s="1"/>
      <c r="ALV163" s="1"/>
      <c r="ALW163" s="1"/>
      <c r="ALX163" s="1"/>
      <c r="ALY163" s="1"/>
      <c r="ALZ163" s="1"/>
      <c r="AMA163" s="1"/>
      <c r="AMB163" s="1"/>
      <c r="AMC163" s="1"/>
      <c r="AMD163" s="1"/>
      <c r="AME163" s="1"/>
      <c r="AMF163" s="1"/>
      <c r="AMG163" s="1"/>
      <c r="AMH163" s="1"/>
      <c r="AMI163" s="1"/>
      <c r="AMJ163" s="1"/>
      <c r="AMK163" s="1"/>
      <c r="AML163" s="1"/>
      <c r="AMM163" s="1"/>
      <c r="AMN163" s="1"/>
    </row>
    <row r="164" spans="1:1028" x14ac:dyDescent="0.2">
      <c r="A164" s="3" t="str">
        <f t="shared" si="639"/>
        <v>p2y12_human_4NTJ</v>
      </c>
      <c r="B164" s="3" t="s">
        <v>352</v>
      </c>
      <c r="C164" s="3" t="s">
        <v>1049</v>
      </c>
      <c r="D164" s="3" t="str">
        <f>IFERROR(MID(VLOOKUP($B164,Seqs!$A:$B,2,0),E164,1),"")</f>
        <v>Y</v>
      </c>
      <c r="E164" s="3">
        <v>21</v>
      </c>
      <c r="F164" s="3" t="str">
        <f>IFERROR(MID(VLOOKUP($B164,Seqs!$A:$B,2,0),G164,1),"")</f>
        <v>I</v>
      </c>
      <c r="G164" s="3">
        <v>53</v>
      </c>
      <c r="H164" s="3" t="str">
        <f>IFERROR(MID(VLOOKUP($B164,Seqs!$A:$B,2,0),I164,1),"")</f>
        <v/>
      </c>
      <c r="I164" s="23" t="s">
        <v>23</v>
      </c>
      <c r="J164" s="3" t="str">
        <f>IFERROR(MID(VLOOKUP($B164,Seqs!$A:$B,2,0),K164,1),"")</f>
        <v/>
      </c>
      <c r="K164" s="23" t="s">
        <v>23</v>
      </c>
      <c r="L164" s="3" t="str">
        <f>IFERROR(MID(VLOOKUP($B164,Seqs!$A:$B,2,0),M164,1),"")</f>
        <v>S</v>
      </c>
      <c r="M164" s="3">
        <v>57</v>
      </c>
      <c r="N164" s="3" t="str">
        <f>IFERROR(MID(VLOOKUP($B164,Seqs!$A:$B,2,0),O164,1),"")</f>
        <v>K</v>
      </c>
      <c r="O164" s="3">
        <v>86</v>
      </c>
      <c r="P164" s="3" t="str">
        <f>IFERROR(MID(VLOOKUP($B164,Seqs!$A:$B,2,0),Q164,1),"")</f>
        <v/>
      </c>
      <c r="Q164" s="3" t="s">
        <v>23</v>
      </c>
      <c r="R164" s="3" t="str">
        <f>IFERROR(MID(VLOOKUP($B164,Seqs!$A:$B,2,0),S164,1),"")</f>
        <v/>
      </c>
      <c r="S164" s="3" t="s">
        <v>23</v>
      </c>
      <c r="T164" s="3" t="str">
        <f>IFERROR(MID(VLOOKUP($B164,Seqs!$A:$B,2,0),U164,1),"")</f>
        <v>L</v>
      </c>
      <c r="U164" s="3">
        <v>92</v>
      </c>
      <c r="V164" s="3" t="str">
        <f>IFERROR(MID(VLOOKUP($B164,Seqs!$A:$B,2,0),W164,1),"")</f>
        <v>R</v>
      </c>
      <c r="W164" s="3">
        <v>128</v>
      </c>
      <c r="X164" s="3" t="str">
        <f>IFERROR(MID(VLOOKUP($B164,Seqs!$A:$B,2,0),Y164,1),"")</f>
        <v/>
      </c>
      <c r="Y164" s="3" t="s">
        <v>23</v>
      </c>
      <c r="Z164" s="3" t="str">
        <f>IFERROR(MID(VLOOKUP($B164,Seqs!$A:$B,2,0),AA164,1),"")</f>
        <v/>
      </c>
      <c r="AA164" s="3" t="s">
        <v>23</v>
      </c>
      <c r="AB164" s="3" t="str">
        <f>IFERROR(MID(VLOOKUP($B164,Seqs!$A:$B,2,0),AC164,1),"")</f>
        <v>N</v>
      </c>
      <c r="AC164" s="9">
        <v>137</v>
      </c>
      <c r="AD164" s="3" t="str">
        <f>IFERROR(MID(VLOOKUP($B164,Seqs!$A:$B,2,0),AE164,1),"")</f>
        <v>L</v>
      </c>
      <c r="AE164" s="3">
        <v>162</v>
      </c>
      <c r="AF164" s="3" t="str">
        <f>IFERROR(MID(VLOOKUP($B164,Seqs!$A:$B,2,0),AG164,1),"")</f>
        <v>C</v>
      </c>
      <c r="AG164" s="3">
        <v>175</v>
      </c>
      <c r="AH164" s="3" t="str">
        <f>IFERROR(MID(VLOOKUP($B164,Seqs!$A:$B,2,0),AI164,1),"")</f>
        <v>F</v>
      </c>
      <c r="AI164" s="3">
        <v>177</v>
      </c>
      <c r="AJ164" s="3" t="str">
        <f>IFERROR(MID(VLOOKUP($B164,Seqs!$A:$B,2,0),AK164,1),"")</f>
        <v>E</v>
      </c>
      <c r="AK164" s="3">
        <v>181</v>
      </c>
      <c r="AL164" s="3" t="str">
        <f>IFERROR(MID(VLOOKUP($B164,Seqs!$A:$B,2,0),AM164,1),"")</f>
        <v>T</v>
      </c>
      <c r="AM164" s="3">
        <v>223</v>
      </c>
      <c r="AN164" s="3" t="str">
        <f>IFERROR(MID(VLOOKUP($B164,Seqs!$A:$B,2,0),AO164,1),"")</f>
        <v>I</v>
      </c>
      <c r="AO164" s="3">
        <v>240</v>
      </c>
      <c r="AP164" s="3" t="str">
        <f>IFERROR(MID(VLOOKUP($B164,Seqs!$A:$B,2,0),AQ164,1),"")</f>
        <v>L</v>
      </c>
      <c r="AQ164" s="3">
        <v>261</v>
      </c>
      <c r="AR164" s="3" t="str">
        <f>IFERROR(MID(VLOOKUP($B164,Seqs!$A:$B,2,0),AS164,1),"")</f>
        <v>D</v>
      </c>
      <c r="AS164" s="3">
        <v>269</v>
      </c>
      <c r="AT164" s="3" t="str">
        <f>IFERROR(MID(VLOOKUP($B164,Seqs!$A:$B,2,0),AU164,1),"")</f>
        <v>L</v>
      </c>
      <c r="AU164" s="3">
        <v>301</v>
      </c>
      <c r="AV164" s="3" t="str">
        <f>IFERROR(MID(VLOOKUP($B164,Seqs!$A:$B,2,0),AW164,1),"")</f>
        <v>C</v>
      </c>
      <c r="AW164" s="3">
        <v>302</v>
      </c>
      <c r="AX164" s="3" t="str">
        <f>IFERROR(MID(VLOOKUP($B164,Seqs!$A:$B,2,0),AY164,1),"")</f>
        <v>M</v>
      </c>
      <c r="AY164" s="3">
        <v>312</v>
      </c>
      <c r="AZ164" s="79" t="str">
        <f>VLOOKUP(B164,Classification!A:D,2,0)</f>
        <v>A</v>
      </c>
      <c r="BA164" s="97" t="str">
        <f>VLOOKUP(B164,Classification!A:D,4,0)</f>
        <v>P2Y</v>
      </c>
      <c r="BB164" s="27" t="b">
        <f t="shared" si="640"/>
        <v>1</v>
      </c>
      <c r="BC164" s="23">
        <f t="shared" si="613"/>
        <v>241</v>
      </c>
      <c r="BD164" s="2" t="s">
        <v>1383</v>
      </c>
      <c r="BE164" s="3" t="s">
        <v>1381</v>
      </c>
      <c r="BF164" s="50" t="s">
        <v>1384</v>
      </c>
      <c r="BG164" s="50" t="s">
        <v>1384</v>
      </c>
      <c r="BH164" s="3" t="s">
        <v>1171</v>
      </c>
      <c r="BI164" s="72" t="s">
        <v>1293</v>
      </c>
      <c r="BJ164" s="58" t="s">
        <v>1293</v>
      </c>
      <c r="BK164" s="58" t="s">
        <v>1293</v>
      </c>
      <c r="BL164" s="58" t="s">
        <v>1293</v>
      </c>
      <c r="BM164" s="58" t="s">
        <v>1293</v>
      </c>
      <c r="BN164" s="58" t="s">
        <v>1293</v>
      </c>
      <c r="BO164" s="58" t="s">
        <v>1293</v>
      </c>
      <c r="BP164" s="58" t="s">
        <v>1293</v>
      </c>
      <c r="BQ164" s="58" t="s">
        <v>1293</v>
      </c>
      <c r="BR164" s="58" t="s">
        <v>1293</v>
      </c>
      <c r="BS164" s="58" t="s">
        <v>1293</v>
      </c>
      <c r="BT164" s="58" t="s">
        <v>1293</v>
      </c>
      <c r="BU164" s="72">
        <f t="shared" si="614"/>
        <v>21</v>
      </c>
      <c r="BV164" s="73" t="str">
        <f t="shared" si="615"/>
        <v>-</v>
      </c>
      <c r="BW164" s="74">
        <f t="shared" si="616"/>
        <v>57</v>
      </c>
      <c r="BX164" s="73" t="str">
        <f t="shared" si="617"/>
        <v>-</v>
      </c>
      <c r="BY164" s="74">
        <f t="shared" si="618"/>
        <v>92</v>
      </c>
      <c r="BZ164" s="73" t="str">
        <f t="shared" si="619"/>
        <v>-</v>
      </c>
      <c r="CA164" s="74">
        <f t="shared" si="620"/>
        <v>137</v>
      </c>
      <c r="CB164" s="73">
        <f t="shared" si="621"/>
        <v>175</v>
      </c>
      <c r="CC164" s="74">
        <f t="shared" si="622"/>
        <v>181</v>
      </c>
      <c r="CD164" s="73">
        <f t="shared" si="623"/>
        <v>240</v>
      </c>
      <c r="CE164" s="74">
        <f t="shared" si="624"/>
        <v>269</v>
      </c>
      <c r="CF164" s="73">
        <f t="shared" si="625"/>
        <v>302</v>
      </c>
      <c r="CG164" s="72">
        <f t="shared" si="626"/>
        <v>53</v>
      </c>
      <c r="CH164" s="73" t="str">
        <f t="shared" si="627"/>
        <v>-</v>
      </c>
      <c r="CI164" s="74">
        <f t="shared" si="628"/>
        <v>86</v>
      </c>
      <c r="CJ164" s="74" t="str">
        <f t="shared" si="629"/>
        <v>-</v>
      </c>
      <c r="CK164" s="74">
        <f t="shared" si="630"/>
        <v>128</v>
      </c>
      <c r="CL164" s="74" t="str">
        <f t="shared" si="631"/>
        <v>-</v>
      </c>
      <c r="CM164" s="74">
        <f t="shared" si="632"/>
        <v>162</v>
      </c>
      <c r="CN164" s="74">
        <f t="shared" si="633"/>
        <v>177</v>
      </c>
      <c r="CO164" s="74">
        <f t="shared" si="634"/>
        <v>223</v>
      </c>
      <c r="CP164" s="74">
        <f t="shared" si="635"/>
        <v>261</v>
      </c>
      <c r="CQ164" s="74">
        <f t="shared" si="636"/>
        <v>301</v>
      </c>
      <c r="CR164" s="74">
        <f t="shared" si="637"/>
        <v>312</v>
      </c>
      <c r="CS164" s="23" t="e">
        <f t="shared" si="638"/>
        <v>#VALUE!</v>
      </c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/>
      <c r="JH164" s="1"/>
      <c r="JI164" s="1"/>
      <c r="JJ164" s="1"/>
      <c r="JK164" s="1"/>
      <c r="JL164" s="1"/>
      <c r="JM164" s="1"/>
      <c r="JN164" s="1"/>
      <c r="JO164" s="1"/>
      <c r="JP164" s="1"/>
      <c r="JQ164" s="1"/>
      <c r="JR164" s="1"/>
      <c r="JS164" s="1"/>
      <c r="JT164" s="1"/>
      <c r="JU164" s="1"/>
      <c r="JV164" s="1"/>
      <c r="JW164" s="1"/>
      <c r="JX164" s="1"/>
      <c r="JY164" s="1"/>
      <c r="JZ164" s="1"/>
      <c r="KA164" s="1"/>
      <c r="KB164" s="1"/>
      <c r="KC164" s="1"/>
      <c r="KD164" s="1"/>
      <c r="KE164" s="1"/>
      <c r="KF164" s="1"/>
      <c r="KG164" s="1"/>
      <c r="KH164" s="1"/>
      <c r="KI164" s="1"/>
      <c r="KJ164" s="1"/>
      <c r="KK164" s="1"/>
      <c r="KL164" s="1"/>
      <c r="KM164" s="1"/>
      <c r="KN164" s="1"/>
      <c r="KO164" s="1"/>
      <c r="KP164" s="1"/>
      <c r="KQ164" s="1"/>
      <c r="KR164" s="1"/>
      <c r="KS164" s="1"/>
      <c r="KT164" s="1"/>
      <c r="KU164" s="1"/>
      <c r="KV164" s="1"/>
      <c r="KW164" s="1"/>
      <c r="KX164" s="1"/>
      <c r="KY164" s="1"/>
      <c r="KZ164" s="1"/>
      <c r="LA164" s="1"/>
      <c r="LB164" s="1"/>
      <c r="LC164" s="1"/>
      <c r="LD164" s="1"/>
      <c r="LE164" s="1"/>
      <c r="LF164" s="1"/>
      <c r="LG164" s="1"/>
      <c r="LH164" s="1"/>
      <c r="LI164" s="1"/>
      <c r="LJ164" s="1"/>
      <c r="LK164" s="1"/>
      <c r="LL164" s="1"/>
      <c r="LM164" s="1"/>
      <c r="LN164" s="1"/>
      <c r="LO164" s="1"/>
      <c r="LP164" s="1"/>
      <c r="LQ164" s="1"/>
      <c r="LR164" s="1"/>
      <c r="LS164" s="1"/>
      <c r="LT164" s="1"/>
      <c r="LU164" s="1"/>
      <c r="LV164" s="1"/>
      <c r="LW164" s="1"/>
      <c r="LX164" s="1"/>
      <c r="LY164" s="1"/>
      <c r="LZ164" s="1"/>
      <c r="MA164" s="1"/>
      <c r="MB164" s="1"/>
      <c r="MC164" s="1"/>
      <c r="MD164" s="1"/>
      <c r="ME164" s="1"/>
      <c r="MF164" s="1"/>
      <c r="MG164" s="1"/>
      <c r="MH164" s="1"/>
      <c r="MI164" s="1"/>
      <c r="MJ164" s="1"/>
      <c r="MK164" s="1"/>
      <c r="ML164" s="1"/>
      <c r="MM164" s="1"/>
      <c r="MN164" s="1"/>
      <c r="MO164" s="1"/>
      <c r="MP164" s="1"/>
      <c r="MQ164" s="1"/>
      <c r="MR164" s="1"/>
      <c r="MS164" s="1"/>
      <c r="MT164" s="1"/>
      <c r="MU164" s="1"/>
      <c r="MV164" s="1"/>
      <c r="MW164" s="1"/>
      <c r="MX164" s="1"/>
      <c r="MY164" s="1"/>
      <c r="MZ164" s="1"/>
      <c r="NA164" s="1"/>
      <c r="NB164" s="1"/>
      <c r="NC164" s="1"/>
      <c r="ND164" s="1"/>
      <c r="NE164" s="1"/>
      <c r="NF164" s="1"/>
      <c r="NG164" s="1"/>
      <c r="NH164" s="1"/>
      <c r="NI164" s="1"/>
      <c r="NJ164" s="1"/>
      <c r="NK164" s="1"/>
      <c r="NL164" s="1"/>
      <c r="NM164" s="1"/>
      <c r="NN164" s="1"/>
      <c r="NO164" s="1"/>
      <c r="NP164" s="1"/>
      <c r="NQ164" s="1"/>
      <c r="NR164" s="1"/>
      <c r="NS164" s="1"/>
      <c r="NT164" s="1"/>
      <c r="NU164" s="1"/>
      <c r="NV164" s="1"/>
      <c r="NW164" s="1"/>
      <c r="NX164" s="1"/>
      <c r="NY164" s="1"/>
      <c r="NZ164" s="1"/>
      <c r="OA164" s="1"/>
      <c r="OB164" s="1"/>
      <c r="OC164" s="1"/>
      <c r="OD164" s="1"/>
      <c r="OE164" s="1"/>
      <c r="OF164" s="1"/>
      <c r="OG164" s="1"/>
      <c r="OH164" s="1"/>
      <c r="OI164" s="1"/>
      <c r="OJ164" s="1"/>
      <c r="OK164" s="1"/>
      <c r="OL164" s="1"/>
      <c r="OM164" s="1"/>
      <c r="ON164" s="1"/>
      <c r="OO164" s="1"/>
      <c r="OP164" s="1"/>
      <c r="OQ164" s="1"/>
      <c r="OR164" s="1"/>
      <c r="OS164" s="1"/>
      <c r="OT164" s="1"/>
      <c r="OU164" s="1"/>
      <c r="OV164" s="1"/>
      <c r="OW164" s="1"/>
      <c r="OX164" s="1"/>
      <c r="OY164" s="1"/>
      <c r="OZ164" s="1"/>
      <c r="PA164" s="1"/>
      <c r="PB164" s="1"/>
      <c r="PC164" s="1"/>
      <c r="PD164" s="1"/>
      <c r="PE164" s="1"/>
      <c r="PF164" s="1"/>
      <c r="PG164" s="1"/>
      <c r="PH164" s="1"/>
      <c r="PI164" s="1"/>
      <c r="PJ164" s="1"/>
      <c r="PK164" s="1"/>
      <c r="PL164" s="1"/>
      <c r="PM164" s="1"/>
      <c r="PN164" s="1"/>
      <c r="PO164" s="1"/>
      <c r="PP164" s="1"/>
      <c r="PQ164" s="1"/>
      <c r="PR164" s="1"/>
      <c r="PS164" s="1"/>
      <c r="PT164" s="1"/>
      <c r="PU164" s="1"/>
      <c r="PV164" s="1"/>
      <c r="PW164" s="1"/>
      <c r="PX164" s="1"/>
      <c r="PY164" s="1"/>
      <c r="PZ164" s="1"/>
      <c r="QA164" s="1"/>
      <c r="QB164" s="1"/>
      <c r="QC164" s="1"/>
      <c r="QD164" s="1"/>
      <c r="QE164" s="1"/>
      <c r="QF164" s="1"/>
      <c r="QG164" s="1"/>
      <c r="QH164" s="1"/>
      <c r="QI164" s="1"/>
      <c r="QJ164" s="1"/>
      <c r="QK164" s="1"/>
      <c r="QL164" s="1"/>
      <c r="QM164" s="1"/>
      <c r="QN164" s="1"/>
      <c r="QO164" s="1"/>
      <c r="QP164" s="1"/>
      <c r="QQ164" s="1"/>
      <c r="QR164" s="1"/>
      <c r="QS164" s="1"/>
      <c r="QT164" s="1"/>
      <c r="QU164" s="1"/>
      <c r="QV164" s="1"/>
      <c r="QW164" s="1"/>
      <c r="QX164" s="1"/>
      <c r="QY164" s="1"/>
      <c r="QZ164" s="1"/>
      <c r="RA164" s="1"/>
      <c r="RB164" s="1"/>
      <c r="RC164" s="1"/>
      <c r="RD164" s="1"/>
      <c r="RE164" s="1"/>
      <c r="RF164" s="1"/>
      <c r="RG164" s="1"/>
      <c r="RH164" s="1"/>
      <c r="RI164" s="1"/>
      <c r="RJ164" s="1"/>
      <c r="RK164" s="1"/>
      <c r="RL164" s="1"/>
      <c r="RM164" s="1"/>
      <c r="RN164" s="1"/>
      <c r="RO164" s="1"/>
      <c r="RP164" s="1"/>
      <c r="RQ164" s="1"/>
      <c r="RR164" s="1"/>
      <c r="RS164" s="1"/>
      <c r="RT164" s="1"/>
      <c r="RU164" s="1"/>
      <c r="RV164" s="1"/>
      <c r="RW164" s="1"/>
      <c r="RX164" s="1"/>
      <c r="RY164" s="1"/>
      <c r="RZ164" s="1"/>
      <c r="SA164" s="1"/>
      <c r="SB164" s="1"/>
      <c r="SC164" s="1"/>
      <c r="SD164" s="1"/>
      <c r="SE164" s="1"/>
      <c r="SF164" s="1"/>
      <c r="SG164" s="1"/>
      <c r="SH164" s="1"/>
      <c r="SI164" s="1"/>
      <c r="SJ164" s="1"/>
      <c r="SK164" s="1"/>
      <c r="SL164" s="1"/>
      <c r="SM164" s="1"/>
      <c r="SN164" s="1"/>
      <c r="SO164" s="1"/>
      <c r="SP164" s="1"/>
      <c r="SQ164" s="1"/>
      <c r="SR164" s="1"/>
      <c r="SS164" s="1"/>
      <c r="ST164" s="1"/>
      <c r="SU164" s="1"/>
      <c r="SV164" s="1"/>
      <c r="SW164" s="1"/>
      <c r="SX164" s="1"/>
      <c r="SY164" s="1"/>
      <c r="SZ164" s="1"/>
      <c r="TA164" s="1"/>
      <c r="TB164" s="1"/>
      <c r="TC164" s="1"/>
      <c r="TD164" s="1"/>
      <c r="TE164" s="1"/>
      <c r="TF164" s="1"/>
      <c r="TG164" s="1"/>
      <c r="TH164" s="1"/>
      <c r="TI164" s="1"/>
      <c r="TJ164" s="1"/>
      <c r="TK164" s="1"/>
      <c r="TL164" s="1"/>
      <c r="TM164" s="1"/>
      <c r="TN164" s="1"/>
      <c r="TO164" s="1"/>
      <c r="TP164" s="1"/>
      <c r="TQ164" s="1"/>
      <c r="TR164" s="1"/>
      <c r="TS164" s="1"/>
      <c r="TT164" s="1"/>
      <c r="TU164" s="1"/>
      <c r="TV164" s="1"/>
      <c r="TW164" s="1"/>
      <c r="TX164" s="1"/>
      <c r="TY164" s="1"/>
      <c r="TZ164" s="1"/>
      <c r="UA164" s="1"/>
      <c r="UB164" s="1"/>
      <c r="UC164" s="1"/>
      <c r="UD164" s="1"/>
      <c r="UE164" s="1"/>
      <c r="UF164" s="1"/>
      <c r="UG164" s="1"/>
      <c r="UH164" s="1"/>
      <c r="UI164" s="1"/>
      <c r="UJ164" s="1"/>
      <c r="UK164" s="1"/>
      <c r="UL164" s="1"/>
      <c r="UM164" s="1"/>
      <c r="UN164" s="1"/>
      <c r="UO164" s="1"/>
      <c r="UP164" s="1"/>
      <c r="UQ164" s="1"/>
      <c r="UR164" s="1"/>
      <c r="US164" s="1"/>
      <c r="UT164" s="1"/>
      <c r="UU164" s="1"/>
      <c r="UV164" s="1"/>
      <c r="UW164" s="1"/>
      <c r="UX164" s="1"/>
      <c r="UY164" s="1"/>
      <c r="UZ164" s="1"/>
      <c r="VA164" s="1"/>
      <c r="VB164" s="1"/>
      <c r="VC164" s="1"/>
      <c r="VD164" s="1"/>
      <c r="VE164" s="1"/>
      <c r="VF164" s="1"/>
      <c r="VG164" s="1"/>
      <c r="VH164" s="1"/>
      <c r="VI164" s="1"/>
      <c r="VJ164" s="1"/>
      <c r="VK164" s="1"/>
      <c r="VL164" s="1"/>
      <c r="VM164" s="1"/>
      <c r="VN164" s="1"/>
      <c r="VO164" s="1"/>
      <c r="VP164" s="1"/>
      <c r="VQ164" s="1"/>
      <c r="VR164" s="1"/>
      <c r="VS164" s="1"/>
      <c r="VT164" s="1"/>
      <c r="VU164" s="1"/>
      <c r="VV164" s="1"/>
      <c r="VW164" s="1"/>
      <c r="VX164" s="1"/>
      <c r="VY164" s="1"/>
      <c r="VZ164" s="1"/>
      <c r="WA164" s="1"/>
      <c r="WB164" s="1"/>
      <c r="WC164" s="1"/>
      <c r="WD164" s="1"/>
      <c r="WE164" s="1"/>
      <c r="WF164" s="1"/>
      <c r="WG164" s="1"/>
      <c r="WH164" s="1"/>
      <c r="WI164" s="1"/>
      <c r="WJ164" s="1"/>
      <c r="WK164" s="1"/>
      <c r="WL164" s="1"/>
      <c r="WM164" s="1"/>
      <c r="WN164" s="1"/>
      <c r="WO164" s="1"/>
      <c r="WP164" s="1"/>
      <c r="WQ164" s="1"/>
      <c r="WR164" s="1"/>
      <c r="WS164" s="1"/>
      <c r="WT164" s="1"/>
      <c r="WU164" s="1"/>
      <c r="WV164" s="1"/>
      <c r="WW164" s="1"/>
      <c r="WX164" s="1"/>
      <c r="WY164" s="1"/>
      <c r="WZ164" s="1"/>
      <c r="XA164" s="1"/>
      <c r="XB164" s="1"/>
      <c r="XC164" s="1"/>
      <c r="XD164" s="1"/>
      <c r="XE164" s="1"/>
      <c r="XF164" s="1"/>
      <c r="XG164" s="1"/>
      <c r="XH164" s="1"/>
      <c r="XI164" s="1"/>
      <c r="XJ164" s="1"/>
      <c r="XK164" s="1"/>
      <c r="XL164" s="1"/>
      <c r="XM164" s="1"/>
      <c r="XN164" s="1"/>
      <c r="XO164" s="1"/>
      <c r="XP164" s="1"/>
      <c r="XQ164" s="1"/>
      <c r="XR164" s="1"/>
      <c r="XS164" s="1"/>
      <c r="XT164" s="1"/>
      <c r="XU164" s="1"/>
      <c r="XV164" s="1"/>
      <c r="XW164" s="1"/>
      <c r="XX164" s="1"/>
      <c r="XY164" s="1"/>
      <c r="XZ164" s="1"/>
      <c r="YA164" s="1"/>
      <c r="YB164" s="1"/>
      <c r="YC164" s="1"/>
      <c r="YD164" s="1"/>
      <c r="YE164" s="1"/>
      <c r="YF164" s="1"/>
      <c r="YG164" s="1"/>
      <c r="YH164" s="1"/>
      <c r="YI164" s="1"/>
      <c r="YJ164" s="1"/>
      <c r="YK164" s="1"/>
      <c r="YL164" s="1"/>
      <c r="YM164" s="1"/>
      <c r="YN164" s="1"/>
      <c r="YO164" s="1"/>
      <c r="YP164" s="1"/>
      <c r="YQ164" s="1"/>
      <c r="YR164" s="1"/>
      <c r="YS164" s="1"/>
      <c r="YT164" s="1"/>
      <c r="YU164" s="1"/>
      <c r="YV164" s="1"/>
      <c r="YW164" s="1"/>
      <c r="YX164" s="1"/>
      <c r="YY164" s="1"/>
      <c r="YZ164" s="1"/>
      <c r="ZA164" s="1"/>
      <c r="ZB164" s="1"/>
      <c r="ZC164" s="1"/>
      <c r="ZD164" s="1"/>
      <c r="ZE164" s="1"/>
      <c r="ZF164" s="1"/>
      <c r="ZG164" s="1"/>
      <c r="ZH164" s="1"/>
      <c r="ZI164" s="1"/>
      <c r="ZJ164" s="1"/>
      <c r="ZK164" s="1"/>
      <c r="ZL164" s="1"/>
      <c r="ZM164" s="1"/>
      <c r="ZN164" s="1"/>
      <c r="ZO164" s="1"/>
      <c r="ZP164" s="1"/>
      <c r="ZQ164" s="1"/>
      <c r="ZR164" s="1"/>
      <c r="ZS164" s="1"/>
      <c r="ZT164" s="1"/>
      <c r="ZU164" s="1"/>
      <c r="ZV164" s="1"/>
      <c r="ZW164" s="1"/>
      <c r="ZX164" s="1"/>
      <c r="ZY164" s="1"/>
      <c r="ZZ164" s="1"/>
      <c r="AAA164" s="1"/>
      <c r="AAB164" s="1"/>
      <c r="AAC164" s="1"/>
      <c r="AAD164" s="1"/>
      <c r="AAE164" s="1"/>
      <c r="AAF164" s="1"/>
      <c r="AAG164" s="1"/>
      <c r="AAH164" s="1"/>
      <c r="AAI164" s="1"/>
      <c r="AAJ164" s="1"/>
      <c r="AAK164" s="1"/>
      <c r="AAL164" s="1"/>
      <c r="AAM164" s="1"/>
      <c r="AAN164" s="1"/>
      <c r="AAO164" s="1"/>
      <c r="AAP164" s="1"/>
      <c r="AAQ164" s="1"/>
      <c r="AAR164" s="1"/>
      <c r="AAS164" s="1"/>
      <c r="AAT164" s="1"/>
      <c r="AAU164" s="1"/>
      <c r="AAV164" s="1"/>
      <c r="AAW164" s="1"/>
      <c r="AAX164" s="1"/>
      <c r="AAY164" s="1"/>
      <c r="AAZ164" s="1"/>
      <c r="ABA164" s="1"/>
      <c r="ABB164" s="1"/>
      <c r="ABC164" s="1"/>
      <c r="ABD164" s="1"/>
      <c r="ABE164" s="1"/>
      <c r="ABF164" s="1"/>
      <c r="ABG164" s="1"/>
      <c r="ABH164" s="1"/>
      <c r="ABI164" s="1"/>
      <c r="ABJ164" s="1"/>
      <c r="ABK164" s="1"/>
      <c r="ABL164" s="1"/>
      <c r="ABM164" s="1"/>
      <c r="ABN164" s="1"/>
      <c r="ABO164" s="1"/>
      <c r="ABP164" s="1"/>
      <c r="ABQ164" s="1"/>
      <c r="ABR164" s="1"/>
      <c r="ABS164" s="1"/>
      <c r="ABT164" s="1"/>
      <c r="ABU164" s="1"/>
      <c r="ABV164" s="1"/>
      <c r="ABW164" s="1"/>
      <c r="ABX164" s="1"/>
      <c r="ABY164" s="1"/>
      <c r="ABZ164" s="1"/>
      <c r="ACA164" s="1"/>
      <c r="ACB164" s="1"/>
      <c r="ACC164" s="1"/>
      <c r="ACD164" s="1"/>
      <c r="ACE164" s="1"/>
      <c r="ACF164" s="1"/>
      <c r="ACG164" s="1"/>
      <c r="ACH164" s="1"/>
      <c r="ACI164" s="1"/>
      <c r="ACJ164" s="1"/>
      <c r="ACK164" s="1"/>
      <c r="ACL164" s="1"/>
      <c r="ACM164" s="1"/>
      <c r="ACN164" s="1"/>
      <c r="ACO164" s="1"/>
      <c r="ACP164" s="1"/>
      <c r="ACQ164" s="1"/>
      <c r="ACR164" s="1"/>
      <c r="ACS164" s="1"/>
      <c r="ACT164" s="1"/>
      <c r="ACU164" s="1"/>
      <c r="ACV164" s="1"/>
      <c r="ACW164" s="1"/>
      <c r="ACX164" s="1"/>
      <c r="ACY164" s="1"/>
      <c r="ACZ164" s="1"/>
      <c r="ADA164" s="1"/>
      <c r="ADB164" s="1"/>
      <c r="ADC164" s="1"/>
      <c r="ADD164" s="1"/>
      <c r="ADE164" s="1"/>
      <c r="ADF164" s="1"/>
      <c r="ADG164" s="1"/>
      <c r="ADH164" s="1"/>
      <c r="ADI164" s="1"/>
      <c r="ADJ164" s="1"/>
      <c r="ADK164" s="1"/>
      <c r="ADL164" s="1"/>
      <c r="ADM164" s="1"/>
      <c r="ADN164" s="1"/>
      <c r="ADO164" s="1"/>
      <c r="ADP164" s="1"/>
      <c r="ADQ164" s="1"/>
      <c r="ADR164" s="1"/>
      <c r="ADS164" s="1"/>
      <c r="ADT164" s="1"/>
      <c r="ADU164" s="1"/>
      <c r="ADV164" s="1"/>
      <c r="ADW164" s="1"/>
      <c r="ADX164" s="1"/>
      <c r="ADY164" s="1"/>
      <c r="ADZ164" s="1"/>
      <c r="AEA164" s="1"/>
      <c r="AEB164" s="1"/>
      <c r="AEC164" s="1"/>
      <c r="AED164" s="1"/>
      <c r="AEE164" s="1"/>
      <c r="AEF164" s="1"/>
      <c r="AEG164" s="1"/>
      <c r="AEH164" s="1"/>
      <c r="AEI164" s="1"/>
      <c r="AEJ164" s="1"/>
      <c r="AEK164" s="1"/>
      <c r="AEL164" s="1"/>
      <c r="AEM164" s="1"/>
      <c r="AEN164" s="1"/>
      <c r="AEO164" s="1"/>
      <c r="AEP164" s="1"/>
      <c r="AEQ164" s="1"/>
      <c r="AER164" s="1"/>
      <c r="AES164" s="1"/>
      <c r="AET164" s="1"/>
      <c r="AEU164" s="1"/>
      <c r="AEV164" s="1"/>
      <c r="AEW164" s="1"/>
      <c r="AEX164" s="1"/>
      <c r="AEY164" s="1"/>
      <c r="AEZ164" s="1"/>
      <c r="AFA164" s="1"/>
      <c r="AFB164" s="1"/>
      <c r="AFC164" s="1"/>
      <c r="AFD164" s="1"/>
      <c r="AFE164" s="1"/>
      <c r="AFF164" s="1"/>
      <c r="AFG164" s="1"/>
      <c r="AFH164" s="1"/>
      <c r="AFI164" s="1"/>
      <c r="AFJ164" s="1"/>
      <c r="AFK164" s="1"/>
      <c r="AFL164" s="1"/>
      <c r="AFM164" s="1"/>
      <c r="AFN164" s="1"/>
      <c r="AFO164" s="1"/>
      <c r="AFP164" s="1"/>
      <c r="AFQ164" s="1"/>
      <c r="AFR164" s="1"/>
      <c r="AFS164" s="1"/>
      <c r="AFT164" s="1"/>
      <c r="AFU164" s="1"/>
      <c r="AFV164" s="1"/>
      <c r="AFW164" s="1"/>
      <c r="AFX164" s="1"/>
      <c r="AFY164" s="1"/>
      <c r="AFZ164" s="1"/>
      <c r="AGA164" s="1"/>
      <c r="AGB164" s="1"/>
      <c r="AGC164" s="1"/>
      <c r="AGD164" s="1"/>
      <c r="AGE164" s="1"/>
      <c r="AGF164" s="1"/>
      <c r="AGG164" s="1"/>
      <c r="AGH164" s="1"/>
      <c r="AGI164" s="1"/>
      <c r="AGJ164" s="1"/>
      <c r="AGK164" s="1"/>
      <c r="AGL164" s="1"/>
      <c r="AGM164" s="1"/>
      <c r="AGN164" s="1"/>
      <c r="AGO164" s="1"/>
      <c r="AGP164" s="1"/>
      <c r="AGQ164" s="1"/>
      <c r="AGR164" s="1"/>
      <c r="AGS164" s="1"/>
      <c r="AGT164" s="1"/>
      <c r="AGU164" s="1"/>
      <c r="AGV164" s="1"/>
      <c r="AGW164" s="1"/>
      <c r="AGX164" s="1"/>
      <c r="AGY164" s="1"/>
      <c r="AGZ164" s="1"/>
      <c r="AHA164" s="1"/>
      <c r="AHB164" s="1"/>
      <c r="AHC164" s="1"/>
      <c r="AHD164" s="1"/>
      <c r="AHE164" s="1"/>
      <c r="AHF164" s="1"/>
      <c r="AHG164" s="1"/>
      <c r="AHH164" s="1"/>
      <c r="AHI164" s="1"/>
      <c r="AHJ164" s="1"/>
      <c r="AHK164" s="1"/>
      <c r="AHL164" s="1"/>
      <c r="AHM164" s="1"/>
      <c r="AHN164" s="1"/>
      <c r="AHO164" s="1"/>
      <c r="AHP164" s="1"/>
      <c r="AHQ164" s="1"/>
      <c r="AHR164" s="1"/>
      <c r="AHS164" s="1"/>
      <c r="AHT164" s="1"/>
      <c r="AHU164" s="1"/>
      <c r="AHV164" s="1"/>
      <c r="AHW164" s="1"/>
      <c r="AHX164" s="1"/>
      <c r="AHY164" s="1"/>
      <c r="AHZ164" s="1"/>
      <c r="AIA164" s="1"/>
      <c r="AIB164" s="1"/>
      <c r="AIC164" s="1"/>
      <c r="AID164" s="1"/>
      <c r="AIE164" s="1"/>
      <c r="AIF164" s="1"/>
      <c r="AIG164" s="1"/>
      <c r="AIH164" s="1"/>
      <c r="AII164" s="1"/>
      <c r="AIJ164" s="1"/>
      <c r="AIK164" s="1"/>
      <c r="AIL164" s="1"/>
      <c r="AIM164" s="1"/>
      <c r="AIN164" s="1"/>
      <c r="AIO164" s="1"/>
      <c r="AIP164" s="1"/>
      <c r="AIQ164" s="1"/>
      <c r="AIR164" s="1"/>
      <c r="AIS164" s="1"/>
      <c r="AIT164" s="1"/>
      <c r="AIU164" s="1"/>
      <c r="AIV164" s="1"/>
      <c r="AIW164" s="1"/>
      <c r="AIX164" s="1"/>
      <c r="AIY164" s="1"/>
      <c r="AIZ164" s="1"/>
      <c r="AJA164" s="1"/>
      <c r="AJB164" s="1"/>
      <c r="AJC164" s="1"/>
      <c r="AJD164" s="1"/>
      <c r="AJE164" s="1"/>
      <c r="AJF164" s="1"/>
      <c r="AJG164" s="1"/>
      <c r="AJH164" s="1"/>
      <c r="AJI164" s="1"/>
      <c r="AJJ164" s="1"/>
      <c r="AJK164" s="1"/>
      <c r="AJL164" s="1"/>
      <c r="AJM164" s="1"/>
      <c r="AJN164" s="1"/>
      <c r="AJO164" s="1"/>
      <c r="AJP164" s="1"/>
      <c r="AJQ164" s="1"/>
      <c r="AJR164" s="1"/>
      <c r="AJS164" s="1"/>
      <c r="AJT164" s="1"/>
      <c r="AJU164" s="1"/>
      <c r="AJV164" s="1"/>
      <c r="AJW164" s="1"/>
      <c r="AJX164" s="1"/>
      <c r="AJY164" s="1"/>
      <c r="AJZ164" s="1"/>
      <c r="AKA164" s="1"/>
      <c r="AKB164" s="1"/>
      <c r="AKC164" s="1"/>
      <c r="AKD164" s="1"/>
      <c r="AKE164" s="1"/>
      <c r="AKF164" s="1"/>
      <c r="AKG164" s="1"/>
      <c r="AKH164" s="1"/>
      <c r="AKI164" s="1"/>
      <c r="AKJ164" s="1"/>
      <c r="AKK164" s="1"/>
      <c r="AKL164" s="1"/>
      <c r="AKM164" s="1"/>
      <c r="AKN164" s="1"/>
      <c r="AKO164" s="1"/>
      <c r="AKP164" s="1"/>
      <c r="AKQ164" s="1"/>
      <c r="AKR164" s="1"/>
      <c r="AKS164" s="1"/>
      <c r="AKT164" s="1"/>
      <c r="AKU164" s="1"/>
      <c r="AKV164" s="1"/>
      <c r="AKW164" s="1"/>
      <c r="AKX164" s="1"/>
      <c r="AKY164" s="1"/>
      <c r="AKZ164" s="1"/>
      <c r="ALA164" s="1"/>
      <c r="ALB164" s="1"/>
      <c r="ALC164" s="1"/>
      <c r="ALD164" s="1"/>
      <c r="ALE164" s="1"/>
      <c r="ALF164" s="1"/>
      <c r="ALG164" s="1"/>
      <c r="ALH164" s="1"/>
      <c r="ALI164" s="1"/>
      <c r="ALJ164" s="1"/>
      <c r="ALK164" s="1"/>
      <c r="ALL164" s="1"/>
      <c r="ALM164" s="1"/>
      <c r="ALN164" s="1"/>
      <c r="ALO164" s="1"/>
      <c r="ALP164" s="1"/>
      <c r="ALQ164" s="1"/>
      <c r="ALR164" s="1"/>
      <c r="ALS164" s="1"/>
      <c r="ALT164" s="1"/>
      <c r="ALU164" s="1"/>
      <c r="ALV164" s="1"/>
      <c r="ALW164" s="1"/>
      <c r="ALX164" s="1"/>
      <c r="ALY164" s="1"/>
      <c r="ALZ164" s="1"/>
      <c r="AMA164" s="1"/>
      <c r="AMB164" s="1"/>
      <c r="AMC164" s="1"/>
      <c r="AMD164" s="1"/>
      <c r="AME164" s="1"/>
      <c r="AMF164" s="1"/>
      <c r="AMG164" s="1"/>
      <c r="AMH164" s="1"/>
      <c r="AMI164" s="1"/>
      <c r="AMJ164" s="1"/>
      <c r="AMK164" s="1"/>
      <c r="AML164" s="1"/>
      <c r="AMM164" s="1"/>
      <c r="AMN164" s="1"/>
    </row>
    <row r="165" spans="1:1028" x14ac:dyDescent="0.2">
      <c r="A165" s="3" t="str">
        <f t="shared" si="639"/>
        <v>p2y12_human_4PXZ</v>
      </c>
      <c r="B165" s="3" t="s">
        <v>352</v>
      </c>
      <c r="C165" s="3" t="s">
        <v>1153</v>
      </c>
      <c r="D165" s="3" t="str">
        <f>IFERROR(MID(VLOOKUP($B165,Seqs!$A:$B,2,0),E165,1),"")</f>
        <v>I</v>
      </c>
      <c r="E165" s="3">
        <v>23</v>
      </c>
      <c r="F165" s="3" t="str">
        <f>IFERROR(MID(VLOOKUP($B165,Seqs!$A:$B,2,0),G165,1),"")</f>
        <v>I</v>
      </c>
      <c r="G165" s="3">
        <v>53</v>
      </c>
      <c r="H165" s="3" t="str">
        <f>IFERROR(MID(VLOOKUP($B165,Seqs!$A:$B,2,0),I165,1),"")</f>
        <v/>
      </c>
      <c r="I165" s="23" t="s">
        <v>23</v>
      </c>
      <c r="J165" s="3" t="str">
        <f>IFERROR(MID(VLOOKUP($B165,Seqs!$A:$B,2,0),K165,1),"")</f>
        <v/>
      </c>
      <c r="K165" s="23" t="s">
        <v>23</v>
      </c>
      <c r="L165" s="3" t="str">
        <f>IFERROR(MID(VLOOKUP($B165,Seqs!$A:$B,2,0),M165,1),"")</f>
        <v>S</v>
      </c>
      <c r="M165" s="3">
        <v>57</v>
      </c>
      <c r="N165" s="3" t="str">
        <f>IFERROR(MID(VLOOKUP($B165,Seqs!$A:$B,2,0),O165,1),"")</f>
        <v>K</v>
      </c>
      <c r="O165" s="3">
        <v>86</v>
      </c>
      <c r="P165" s="3" t="str">
        <f>IFERROR(MID(VLOOKUP($B165,Seqs!$A:$B,2,0),Q165,1),"")</f>
        <v/>
      </c>
      <c r="Q165" s="3" t="s">
        <v>23</v>
      </c>
      <c r="R165" s="3" t="str">
        <f>IFERROR(MID(VLOOKUP($B165,Seqs!$A:$B,2,0),S165,1),"")</f>
        <v/>
      </c>
      <c r="S165" s="3" t="s">
        <v>23</v>
      </c>
      <c r="T165" s="3" t="str">
        <f>IFERROR(MID(VLOOKUP($B165,Seqs!$A:$B,2,0),U165,1),"")</f>
        <v>G</v>
      </c>
      <c r="U165" s="3">
        <v>90</v>
      </c>
      <c r="V165" s="3" t="str">
        <f>IFERROR(MID(VLOOKUP($B165,Seqs!$A:$B,2,0),W165,1),"")</f>
        <v>R</v>
      </c>
      <c r="W165" s="3">
        <v>128</v>
      </c>
      <c r="X165" s="3" t="str">
        <f>IFERROR(MID(VLOOKUP($B165,Seqs!$A:$B,2,0),Y165,1),"")</f>
        <v/>
      </c>
      <c r="Y165" s="3" t="s">
        <v>23</v>
      </c>
      <c r="Z165" s="3" t="str">
        <f>IFERROR(MID(VLOOKUP($B165,Seqs!$A:$B,2,0),AA165,1),"")</f>
        <v/>
      </c>
      <c r="AA165" s="3" t="s">
        <v>23</v>
      </c>
      <c r="AB165" s="3" t="str">
        <f>IFERROR(MID(VLOOKUP($B165,Seqs!$A:$B,2,0),AC165,1),"")</f>
        <v>N</v>
      </c>
      <c r="AC165" s="9">
        <v>137</v>
      </c>
      <c r="AD165" s="3" t="str">
        <f>IFERROR(MID(VLOOKUP($B165,Seqs!$A:$B,2,0),AE165,1),"")</f>
        <v>T</v>
      </c>
      <c r="AE165" s="3">
        <v>163</v>
      </c>
      <c r="AF165" s="3" t="str">
        <f>IFERROR(MID(VLOOKUP($B165,Seqs!$A:$B,2,0),AG165,1),"")</f>
        <v>C</v>
      </c>
      <c r="AG165" s="3">
        <v>175</v>
      </c>
      <c r="AH165" s="3" t="str">
        <f>IFERROR(MID(VLOOKUP($B165,Seqs!$A:$B,2,0),AI165,1),"")</f>
        <v>F</v>
      </c>
      <c r="AI165" s="3">
        <v>177</v>
      </c>
      <c r="AJ165" s="3" t="str">
        <f>IFERROR(MID(VLOOKUP($B165,Seqs!$A:$B,2,0),AK165,1),"")</f>
        <v>E</v>
      </c>
      <c r="AK165" s="3">
        <v>181</v>
      </c>
      <c r="AL165" s="3" t="str">
        <f>IFERROR(MID(VLOOKUP($B165,Seqs!$A:$B,2,0),AM165,1),"")</f>
        <v>S</v>
      </c>
      <c r="AM165" s="3">
        <v>219</v>
      </c>
      <c r="AN165" s="3" t="str">
        <f>IFERROR(MID(VLOOKUP($B165,Seqs!$A:$B,2,0),AO165,1),"")</f>
        <v>V</v>
      </c>
      <c r="AO165" s="3">
        <v>236</v>
      </c>
      <c r="AP165" s="3" t="str">
        <f>IFERROR(MID(VLOOKUP($B165,Seqs!$A:$B,2,0),AQ165,1),"")</f>
        <v>R</v>
      </c>
      <c r="AQ165" s="3">
        <v>265</v>
      </c>
      <c r="AR165" s="3" t="str">
        <f>IFERROR(MID(VLOOKUP($B165,Seqs!$A:$B,2,0),AS165,1),"")</f>
        <v>D</v>
      </c>
      <c r="AS165" s="3">
        <v>269</v>
      </c>
      <c r="AT165" s="3" t="str">
        <f>IFERROR(MID(VLOOKUP($B165,Seqs!$A:$B,2,0),AU165,1),"")</f>
        <v>C</v>
      </c>
      <c r="AU165" s="3">
        <v>292</v>
      </c>
      <c r="AV165" s="3" t="str">
        <f>IFERROR(MID(VLOOKUP($B165,Seqs!$A:$B,2,0),AW165,1),"")</f>
        <v/>
      </c>
      <c r="AW165" s="3" t="s">
        <v>23</v>
      </c>
      <c r="AX165" s="3" t="str">
        <f>IFERROR(MID(VLOOKUP($B165,Seqs!$A:$B,2,0),AY165,1),"")</f>
        <v/>
      </c>
      <c r="AY165" s="3" t="s">
        <v>23</v>
      </c>
      <c r="AZ165" s="79" t="str">
        <f>VLOOKUP(B165,Classification!A:D,2,0)</f>
        <v>A</v>
      </c>
      <c r="BA165" s="97" t="str">
        <f>VLOOKUP(B165,Classification!A:D,4,0)</f>
        <v>P2Y</v>
      </c>
      <c r="BB165" s="27" t="b">
        <f t="shared" si="640"/>
        <v>1</v>
      </c>
      <c r="BC165" s="23">
        <f t="shared" si="613"/>
        <v>227</v>
      </c>
      <c r="BD165" s="4" t="s">
        <v>23</v>
      </c>
      <c r="BE165" s="3" t="s">
        <v>1381</v>
      </c>
      <c r="BF165" s="50" t="s">
        <v>1384</v>
      </c>
      <c r="BG165" s="50" t="s">
        <v>1384</v>
      </c>
      <c r="BH165" s="1"/>
      <c r="BI165" s="72" t="s">
        <v>1293</v>
      </c>
      <c r="BJ165" s="58" t="s">
        <v>1293</v>
      </c>
      <c r="BK165" s="58" t="s">
        <v>1293</v>
      </c>
      <c r="BL165" s="58" t="s">
        <v>1293</v>
      </c>
      <c r="BM165" s="58" t="s">
        <v>1293</v>
      </c>
      <c r="BN165" s="58" t="s">
        <v>1293</v>
      </c>
      <c r="BO165" s="58" t="s">
        <v>1293</v>
      </c>
      <c r="BP165" s="58" t="s">
        <v>1293</v>
      </c>
      <c r="BQ165" s="58" t="s">
        <v>1293</v>
      </c>
      <c r="BR165" s="58" t="s">
        <v>1293</v>
      </c>
      <c r="BS165" s="58" t="s">
        <v>1293</v>
      </c>
      <c r="BT165" s="58" t="s">
        <v>1293</v>
      </c>
      <c r="BU165" s="72">
        <f t="shared" si="614"/>
        <v>23</v>
      </c>
      <c r="BV165" s="73" t="str">
        <f t="shared" si="615"/>
        <v>-</v>
      </c>
      <c r="BW165" s="74">
        <f t="shared" si="616"/>
        <v>57</v>
      </c>
      <c r="BX165" s="73" t="str">
        <f t="shared" si="617"/>
        <v>-</v>
      </c>
      <c r="BY165" s="74">
        <f t="shared" si="618"/>
        <v>90</v>
      </c>
      <c r="BZ165" s="73" t="str">
        <f t="shared" si="619"/>
        <v>-</v>
      </c>
      <c r="CA165" s="74">
        <f t="shared" si="620"/>
        <v>137</v>
      </c>
      <c r="CB165" s="73">
        <f t="shared" si="621"/>
        <v>175</v>
      </c>
      <c r="CC165" s="74">
        <f t="shared" si="622"/>
        <v>181</v>
      </c>
      <c r="CD165" s="73">
        <f t="shared" si="623"/>
        <v>236</v>
      </c>
      <c r="CE165" s="74">
        <f t="shared" si="624"/>
        <v>269</v>
      </c>
      <c r="CF165" s="73" t="str">
        <f t="shared" si="625"/>
        <v>-</v>
      </c>
      <c r="CG165" s="72">
        <f t="shared" si="626"/>
        <v>53</v>
      </c>
      <c r="CH165" s="73" t="str">
        <f t="shared" si="627"/>
        <v>-</v>
      </c>
      <c r="CI165" s="74">
        <f t="shared" si="628"/>
        <v>86</v>
      </c>
      <c r="CJ165" s="74" t="str">
        <f t="shared" si="629"/>
        <v>-</v>
      </c>
      <c r="CK165" s="74">
        <f t="shared" si="630"/>
        <v>128</v>
      </c>
      <c r="CL165" s="74" t="str">
        <f t="shared" si="631"/>
        <v>-</v>
      </c>
      <c r="CM165" s="74">
        <f t="shared" si="632"/>
        <v>163</v>
      </c>
      <c r="CN165" s="74">
        <f t="shared" si="633"/>
        <v>177</v>
      </c>
      <c r="CO165" s="74">
        <f t="shared" si="634"/>
        <v>219</v>
      </c>
      <c r="CP165" s="74">
        <f t="shared" si="635"/>
        <v>265</v>
      </c>
      <c r="CQ165" s="74">
        <f t="shared" si="636"/>
        <v>292</v>
      </c>
      <c r="CR165" s="74" t="str">
        <f t="shared" si="637"/>
        <v>-</v>
      </c>
      <c r="CS165" s="23" t="e">
        <f t="shared" si="638"/>
        <v>#VALUE!</v>
      </c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  <c r="JQ165" s="1"/>
      <c r="JR165" s="1"/>
      <c r="JS165" s="1"/>
      <c r="JT165" s="1"/>
      <c r="JU165" s="1"/>
      <c r="JV165" s="1"/>
      <c r="JW165" s="1"/>
      <c r="JX165" s="1"/>
      <c r="JY165" s="1"/>
      <c r="JZ165" s="1"/>
      <c r="KA165" s="1"/>
      <c r="KB165" s="1"/>
      <c r="KC165" s="1"/>
      <c r="KD165" s="1"/>
      <c r="KE165" s="1"/>
      <c r="KF165" s="1"/>
      <c r="KG165" s="1"/>
      <c r="KH165" s="1"/>
      <c r="KI165" s="1"/>
      <c r="KJ165" s="1"/>
      <c r="KK165" s="1"/>
      <c r="KL165" s="1"/>
      <c r="KM165" s="1"/>
      <c r="KN165" s="1"/>
      <c r="KO165" s="1"/>
      <c r="KP165" s="1"/>
      <c r="KQ165" s="1"/>
      <c r="KR165" s="1"/>
      <c r="KS165" s="1"/>
      <c r="KT165" s="1"/>
      <c r="KU165" s="1"/>
      <c r="KV165" s="1"/>
      <c r="KW165" s="1"/>
      <c r="KX165" s="1"/>
      <c r="KY165" s="1"/>
      <c r="KZ165" s="1"/>
      <c r="LA165" s="1"/>
      <c r="LB165" s="1"/>
      <c r="LC165" s="1"/>
      <c r="LD165" s="1"/>
      <c r="LE165" s="1"/>
      <c r="LF165" s="1"/>
      <c r="LG165" s="1"/>
      <c r="LH165" s="1"/>
      <c r="LI165" s="1"/>
      <c r="LJ165" s="1"/>
      <c r="LK165" s="1"/>
      <c r="LL165" s="1"/>
      <c r="LM165" s="1"/>
      <c r="LN165" s="1"/>
      <c r="LO165" s="1"/>
      <c r="LP165" s="1"/>
      <c r="LQ165" s="1"/>
      <c r="LR165" s="1"/>
      <c r="LS165" s="1"/>
      <c r="LT165" s="1"/>
      <c r="LU165" s="1"/>
      <c r="LV165" s="1"/>
      <c r="LW165" s="1"/>
      <c r="LX165" s="1"/>
      <c r="LY165" s="1"/>
      <c r="LZ165" s="1"/>
      <c r="MA165" s="1"/>
      <c r="MB165" s="1"/>
      <c r="MC165" s="1"/>
      <c r="MD165" s="1"/>
      <c r="ME165" s="1"/>
      <c r="MF165" s="1"/>
      <c r="MG165" s="1"/>
      <c r="MH165" s="1"/>
      <c r="MI165" s="1"/>
      <c r="MJ165" s="1"/>
      <c r="MK165" s="1"/>
      <c r="ML165" s="1"/>
      <c r="MM165" s="1"/>
      <c r="MN165" s="1"/>
      <c r="MO165" s="1"/>
      <c r="MP165" s="1"/>
      <c r="MQ165" s="1"/>
      <c r="MR165" s="1"/>
      <c r="MS165" s="1"/>
      <c r="MT165" s="1"/>
      <c r="MU165" s="1"/>
      <c r="MV165" s="1"/>
      <c r="MW165" s="1"/>
      <c r="MX165" s="1"/>
      <c r="MY165" s="1"/>
      <c r="MZ165" s="1"/>
      <c r="NA165" s="1"/>
      <c r="NB165" s="1"/>
      <c r="NC165" s="1"/>
      <c r="ND165" s="1"/>
      <c r="NE165" s="1"/>
      <c r="NF165" s="1"/>
      <c r="NG165" s="1"/>
      <c r="NH165" s="1"/>
      <c r="NI165" s="1"/>
      <c r="NJ165" s="1"/>
      <c r="NK165" s="1"/>
      <c r="NL165" s="1"/>
      <c r="NM165" s="1"/>
      <c r="NN165" s="1"/>
      <c r="NO165" s="1"/>
      <c r="NP165" s="1"/>
      <c r="NQ165" s="1"/>
      <c r="NR165" s="1"/>
      <c r="NS165" s="1"/>
      <c r="NT165" s="1"/>
      <c r="NU165" s="1"/>
      <c r="NV165" s="1"/>
      <c r="NW165" s="1"/>
      <c r="NX165" s="1"/>
      <c r="NY165" s="1"/>
      <c r="NZ165" s="1"/>
      <c r="OA165" s="1"/>
      <c r="OB165" s="1"/>
      <c r="OC165" s="1"/>
      <c r="OD165" s="1"/>
      <c r="OE165" s="1"/>
      <c r="OF165" s="1"/>
      <c r="OG165" s="1"/>
      <c r="OH165" s="1"/>
      <c r="OI165" s="1"/>
      <c r="OJ165" s="1"/>
      <c r="OK165" s="1"/>
      <c r="OL165" s="1"/>
      <c r="OM165" s="1"/>
      <c r="ON165" s="1"/>
      <c r="OO165" s="1"/>
      <c r="OP165" s="1"/>
      <c r="OQ165" s="1"/>
      <c r="OR165" s="1"/>
      <c r="OS165" s="1"/>
      <c r="OT165" s="1"/>
      <c r="OU165" s="1"/>
      <c r="OV165" s="1"/>
      <c r="OW165" s="1"/>
      <c r="OX165" s="1"/>
      <c r="OY165" s="1"/>
      <c r="OZ165" s="1"/>
      <c r="PA165" s="1"/>
      <c r="PB165" s="1"/>
      <c r="PC165" s="1"/>
      <c r="PD165" s="1"/>
      <c r="PE165" s="1"/>
      <c r="PF165" s="1"/>
      <c r="PG165" s="1"/>
      <c r="PH165" s="1"/>
      <c r="PI165" s="1"/>
      <c r="PJ165" s="1"/>
      <c r="PK165" s="1"/>
      <c r="PL165" s="1"/>
      <c r="PM165" s="1"/>
      <c r="PN165" s="1"/>
      <c r="PO165" s="1"/>
      <c r="PP165" s="1"/>
      <c r="PQ165" s="1"/>
      <c r="PR165" s="1"/>
      <c r="PS165" s="1"/>
      <c r="PT165" s="1"/>
      <c r="PU165" s="1"/>
      <c r="PV165" s="1"/>
      <c r="PW165" s="1"/>
      <c r="PX165" s="1"/>
      <c r="PY165" s="1"/>
      <c r="PZ165" s="1"/>
      <c r="QA165" s="1"/>
      <c r="QB165" s="1"/>
      <c r="QC165" s="1"/>
      <c r="QD165" s="1"/>
      <c r="QE165" s="1"/>
      <c r="QF165" s="1"/>
      <c r="QG165" s="1"/>
      <c r="QH165" s="1"/>
      <c r="QI165" s="1"/>
      <c r="QJ165" s="1"/>
      <c r="QK165" s="1"/>
      <c r="QL165" s="1"/>
      <c r="QM165" s="1"/>
      <c r="QN165" s="1"/>
      <c r="QO165" s="1"/>
      <c r="QP165" s="1"/>
      <c r="QQ165" s="1"/>
      <c r="QR165" s="1"/>
      <c r="QS165" s="1"/>
      <c r="QT165" s="1"/>
      <c r="QU165" s="1"/>
      <c r="QV165" s="1"/>
      <c r="QW165" s="1"/>
      <c r="QX165" s="1"/>
      <c r="QY165" s="1"/>
      <c r="QZ165" s="1"/>
      <c r="RA165" s="1"/>
      <c r="RB165" s="1"/>
      <c r="RC165" s="1"/>
      <c r="RD165" s="1"/>
      <c r="RE165" s="1"/>
      <c r="RF165" s="1"/>
      <c r="RG165" s="1"/>
      <c r="RH165" s="1"/>
      <c r="RI165" s="1"/>
      <c r="RJ165" s="1"/>
      <c r="RK165" s="1"/>
      <c r="RL165" s="1"/>
      <c r="RM165" s="1"/>
      <c r="RN165" s="1"/>
      <c r="RO165" s="1"/>
      <c r="RP165" s="1"/>
      <c r="RQ165" s="1"/>
      <c r="RR165" s="1"/>
      <c r="RS165" s="1"/>
      <c r="RT165" s="1"/>
      <c r="RU165" s="1"/>
      <c r="RV165" s="1"/>
      <c r="RW165" s="1"/>
      <c r="RX165" s="1"/>
      <c r="RY165" s="1"/>
      <c r="RZ165" s="1"/>
      <c r="SA165" s="1"/>
      <c r="SB165" s="1"/>
      <c r="SC165" s="1"/>
      <c r="SD165" s="1"/>
      <c r="SE165" s="1"/>
      <c r="SF165" s="1"/>
      <c r="SG165" s="1"/>
      <c r="SH165" s="1"/>
      <c r="SI165" s="1"/>
      <c r="SJ165" s="1"/>
      <c r="SK165" s="1"/>
      <c r="SL165" s="1"/>
      <c r="SM165" s="1"/>
      <c r="SN165" s="1"/>
      <c r="SO165" s="1"/>
      <c r="SP165" s="1"/>
      <c r="SQ165" s="1"/>
      <c r="SR165" s="1"/>
      <c r="SS165" s="1"/>
      <c r="ST165" s="1"/>
      <c r="SU165" s="1"/>
      <c r="SV165" s="1"/>
      <c r="SW165" s="1"/>
      <c r="SX165" s="1"/>
      <c r="SY165" s="1"/>
      <c r="SZ165" s="1"/>
      <c r="TA165" s="1"/>
      <c r="TB165" s="1"/>
      <c r="TC165" s="1"/>
      <c r="TD165" s="1"/>
      <c r="TE165" s="1"/>
      <c r="TF165" s="1"/>
      <c r="TG165" s="1"/>
      <c r="TH165" s="1"/>
      <c r="TI165" s="1"/>
      <c r="TJ165" s="1"/>
      <c r="TK165" s="1"/>
      <c r="TL165" s="1"/>
      <c r="TM165" s="1"/>
      <c r="TN165" s="1"/>
      <c r="TO165" s="1"/>
      <c r="TP165" s="1"/>
      <c r="TQ165" s="1"/>
      <c r="TR165" s="1"/>
      <c r="TS165" s="1"/>
      <c r="TT165" s="1"/>
      <c r="TU165" s="1"/>
      <c r="TV165" s="1"/>
      <c r="TW165" s="1"/>
      <c r="TX165" s="1"/>
      <c r="TY165" s="1"/>
      <c r="TZ165" s="1"/>
      <c r="UA165" s="1"/>
      <c r="UB165" s="1"/>
      <c r="UC165" s="1"/>
      <c r="UD165" s="1"/>
      <c r="UE165" s="1"/>
      <c r="UF165" s="1"/>
      <c r="UG165" s="1"/>
      <c r="UH165" s="1"/>
      <c r="UI165" s="1"/>
      <c r="UJ165" s="1"/>
      <c r="UK165" s="1"/>
      <c r="UL165" s="1"/>
      <c r="UM165" s="1"/>
      <c r="UN165" s="1"/>
      <c r="UO165" s="1"/>
      <c r="UP165" s="1"/>
      <c r="UQ165" s="1"/>
      <c r="UR165" s="1"/>
      <c r="US165" s="1"/>
      <c r="UT165" s="1"/>
      <c r="UU165" s="1"/>
      <c r="UV165" s="1"/>
      <c r="UW165" s="1"/>
      <c r="UX165" s="1"/>
      <c r="UY165" s="1"/>
      <c r="UZ165" s="1"/>
      <c r="VA165" s="1"/>
      <c r="VB165" s="1"/>
      <c r="VC165" s="1"/>
      <c r="VD165" s="1"/>
      <c r="VE165" s="1"/>
      <c r="VF165" s="1"/>
      <c r="VG165" s="1"/>
      <c r="VH165" s="1"/>
      <c r="VI165" s="1"/>
      <c r="VJ165" s="1"/>
      <c r="VK165" s="1"/>
      <c r="VL165" s="1"/>
      <c r="VM165" s="1"/>
      <c r="VN165" s="1"/>
      <c r="VO165" s="1"/>
      <c r="VP165" s="1"/>
      <c r="VQ165" s="1"/>
      <c r="VR165" s="1"/>
      <c r="VS165" s="1"/>
      <c r="VT165" s="1"/>
      <c r="VU165" s="1"/>
      <c r="VV165" s="1"/>
      <c r="VW165" s="1"/>
      <c r="VX165" s="1"/>
      <c r="VY165" s="1"/>
      <c r="VZ165" s="1"/>
      <c r="WA165" s="1"/>
      <c r="WB165" s="1"/>
      <c r="WC165" s="1"/>
      <c r="WD165" s="1"/>
      <c r="WE165" s="1"/>
      <c r="WF165" s="1"/>
      <c r="WG165" s="1"/>
      <c r="WH165" s="1"/>
      <c r="WI165" s="1"/>
      <c r="WJ165" s="1"/>
      <c r="WK165" s="1"/>
      <c r="WL165" s="1"/>
      <c r="WM165" s="1"/>
      <c r="WN165" s="1"/>
      <c r="WO165" s="1"/>
      <c r="WP165" s="1"/>
      <c r="WQ165" s="1"/>
      <c r="WR165" s="1"/>
      <c r="WS165" s="1"/>
      <c r="WT165" s="1"/>
      <c r="WU165" s="1"/>
      <c r="WV165" s="1"/>
      <c r="WW165" s="1"/>
      <c r="WX165" s="1"/>
      <c r="WY165" s="1"/>
      <c r="WZ165" s="1"/>
      <c r="XA165" s="1"/>
      <c r="XB165" s="1"/>
      <c r="XC165" s="1"/>
      <c r="XD165" s="1"/>
      <c r="XE165" s="1"/>
      <c r="XF165" s="1"/>
      <c r="XG165" s="1"/>
      <c r="XH165" s="1"/>
      <c r="XI165" s="1"/>
      <c r="XJ165" s="1"/>
      <c r="XK165" s="1"/>
      <c r="XL165" s="1"/>
      <c r="XM165" s="1"/>
      <c r="XN165" s="1"/>
      <c r="XO165" s="1"/>
      <c r="XP165" s="1"/>
      <c r="XQ165" s="1"/>
      <c r="XR165" s="1"/>
      <c r="XS165" s="1"/>
      <c r="XT165" s="1"/>
      <c r="XU165" s="1"/>
      <c r="XV165" s="1"/>
      <c r="XW165" s="1"/>
      <c r="XX165" s="1"/>
      <c r="XY165" s="1"/>
      <c r="XZ165" s="1"/>
      <c r="YA165" s="1"/>
      <c r="YB165" s="1"/>
      <c r="YC165" s="1"/>
      <c r="YD165" s="1"/>
      <c r="YE165" s="1"/>
      <c r="YF165" s="1"/>
      <c r="YG165" s="1"/>
      <c r="YH165" s="1"/>
      <c r="YI165" s="1"/>
      <c r="YJ165" s="1"/>
      <c r="YK165" s="1"/>
      <c r="YL165" s="1"/>
      <c r="YM165" s="1"/>
      <c r="YN165" s="1"/>
      <c r="YO165" s="1"/>
      <c r="YP165" s="1"/>
      <c r="YQ165" s="1"/>
      <c r="YR165" s="1"/>
      <c r="YS165" s="1"/>
      <c r="YT165" s="1"/>
      <c r="YU165" s="1"/>
      <c r="YV165" s="1"/>
      <c r="YW165" s="1"/>
      <c r="YX165" s="1"/>
      <c r="YY165" s="1"/>
      <c r="YZ165" s="1"/>
      <c r="ZA165" s="1"/>
      <c r="ZB165" s="1"/>
      <c r="ZC165" s="1"/>
      <c r="ZD165" s="1"/>
      <c r="ZE165" s="1"/>
      <c r="ZF165" s="1"/>
      <c r="ZG165" s="1"/>
      <c r="ZH165" s="1"/>
      <c r="ZI165" s="1"/>
      <c r="ZJ165" s="1"/>
      <c r="ZK165" s="1"/>
      <c r="ZL165" s="1"/>
      <c r="ZM165" s="1"/>
      <c r="ZN165" s="1"/>
      <c r="ZO165" s="1"/>
      <c r="ZP165" s="1"/>
      <c r="ZQ165" s="1"/>
      <c r="ZR165" s="1"/>
      <c r="ZS165" s="1"/>
      <c r="ZT165" s="1"/>
      <c r="ZU165" s="1"/>
      <c r="ZV165" s="1"/>
      <c r="ZW165" s="1"/>
      <c r="ZX165" s="1"/>
      <c r="ZY165" s="1"/>
      <c r="ZZ165" s="1"/>
      <c r="AAA165" s="1"/>
      <c r="AAB165" s="1"/>
      <c r="AAC165" s="1"/>
      <c r="AAD165" s="1"/>
      <c r="AAE165" s="1"/>
      <c r="AAF165" s="1"/>
      <c r="AAG165" s="1"/>
      <c r="AAH165" s="1"/>
      <c r="AAI165" s="1"/>
      <c r="AAJ165" s="1"/>
      <c r="AAK165" s="1"/>
      <c r="AAL165" s="1"/>
      <c r="AAM165" s="1"/>
      <c r="AAN165" s="1"/>
      <c r="AAO165" s="1"/>
      <c r="AAP165" s="1"/>
      <c r="AAQ165" s="1"/>
      <c r="AAR165" s="1"/>
      <c r="AAS165" s="1"/>
      <c r="AAT165" s="1"/>
      <c r="AAU165" s="1"/>
      <c r="AAV165" s="1"/>
      <c r="AAW165" s="1"/>
      <c r="AAX165" s="1"/>
      <c r="AAY165" s="1"/>
      <c r="AAZ165" s="1"/>
      <c r="ABA165" s="1"/>
      <c r="ABB165" s="1"/>
      <c r="ABC165" s="1"/>
      <c r="ABD165" s="1"/>
      <c r="ABE165" s="1"/>
      <c r="ABF165" s="1"/>
      <c r="ABG165" s="1"/>
      <c r="ABH165" s="1"/>
      <c r="ABI165" s="1"/>
      <c r="ABJ165" s="1"/>
      <c r="ABK165" s="1"/>
      <c r="ABL165" s="1"/>
      <c r="ABM165" s="1"/>
      <c r="ABN165" s="1"/>
      <c r="ABO165" s="1"/>
      <c r="ABP165" s="1"/>
      <c r="ABQ165" s="1"/>
      <c r="ABR165" s="1"/>
      <c r="ABS165" s="1"/>
      <c r="ABT165" s="1"/>
      <c r="ABU165" s="1"/>
      <c r="ABV165" s="1"/>
      <c r="ABW165" s="1"/>
      <c r="ABX165" s="1"/>
      <c r="ABY165" s="1"/>
      <c r="ABZ165" s="1"/>
      <c r="ACA165" s="1"/>
      <c r="ACB165" s="1"/>
      <c r="ACC165" s="1"/>
      <c r="ACD165" s="1"/>
      <c r="ACE165" s="1"/>
      <c r="ACF165" s="1"/>
      <c r="ACG165" s="1"/>
      <c r="ACH165" s="1"/>
      <c r="ACI165" s="1"/>
      <c r="ACJ165" s="1"/>
      <c r="ACK165" s="1"/>
      <c r="ACL165" s="1"/>
      <c r="ACM165" s="1"/>
      <c r="ACN165" s="1"/>
      <c r="ACO165" s="1"/>
      <c r="ACP165" s="1"/>
      <c r="ACQ165" s="1"/>
      <c r="ACR165" s="1"/>
      <c r="ACS165" s="1"/>
      <c r="ACT165" s="1"/>
      <c r="ACU165" s="1"/>
      <c r="ACV165" s="1"/>
      <c r="ACW165" s="1"/>
      <c r="ACX165" s="1"/>
      <c r="ACY165" s="1"/>
      <c r="ACZ165" s="1"/>
      <c r="ADA165" s="1"/>
      <c r="ADB165" s="1"/>
      <c r="ADC165" s="1"/>
      <c r="ADD165" s="1"/>
      <c r="ADE165" s="1"/>
      <c r="ADF165" s="1"/>
      <c r="ADG165" s="1"/>
      <c r="ADH165" s="1"/>
      <c r="ADI165" s="1"/>
      <c r="ADJ165" s="1"/>
      <c r="ADK165" s="1"/>
      <c r="ADL165" s="1"/>
      <c r="ADM165" s="1"/>
      <c r="ADN165" s="1"/>
      <c r="ADO165" s="1"/>
      <c r="ADP165" s="1"/>
      <c r="ADQ165" s="1"/>
      <c r="ADR165" s="1"/>
      <c r="ADS165" s="1"/>
      <c r="ADT165" s="1"/>
      <c r="ADU165" s="1"/>
      <c r="ADV165" s="1"/>
      <c r="ADW165" s="1"/>
      <c r="ADX165" s="1"/>
      <c r="ADY165" s="1"/>
      <c r="ADZ165" s="1"/>
      <c r="AEA165" s="1"/>
      <c r="AEB165" s="1"/>
      <c r="AEC165" s="1"/>
      <c r="AED165" s="1"/>
      <c r="AEE165" s="1"/>
      <c r="AEF165" s="1"/>
      <c r="AEG165" s="1"/>
      <c r="AEH165" s="1"/>
      <c r="AEI165" s="1"/>
      <c r="AEJ165" s="1"/>
      <c r="AEK165" s="1"/>
      <c r="AEL165" s="1"/>
      <c r="AEM165" s="1"/>
      <c r="AEN165" s="1"/>
      <c r="AEO165" s="1"/>
      <c r="AEP165" s="1"/>
      <c r="AEQ165" s="1"/>
      <c r="AER165" s="1"/>
      <c r="AES165" s="1"/>
      <c r="AET165" s="1"/>
      <c r="AEU165" s="1"/>
      <c r="AEV165" s="1"/>
      <c r="AEW165" s="1"/>
      <c r="AEX165" s="1"/>
      <c r="AEY165" s="1"/>
      <c r="AEZ165" s="1"/>
      <c r="AFA165" s="1"/>
      <c r="AFB165" s="1"/>
      <c r="AFC165" s="1"/>
      <c r="AFD165" s="1"/>
      <c r="AFE165" s="1"/>
      <c r="AFF165" s="1"/>
      <c r="AFG165" s="1"/>
      <c r="AFH165" s="1"/>
      <c r="AFI165" s="1"/>
      <c r="AFJ165" s="1"/>
      <c r="AFK165" s="1"/>
      <c r="AFL165" s="1"/>
      <c r="AFM165" s="1"/>
      <c r="AFN165" s="1"/>
      <c r="AFO165" s="1"/>
      <c r="AFP165" s="1"/>
      <c r="AFQ165" s="1"/>
      <c r="AFR165" s="1"/>
      <c r="AFS165" s="1"/>
      <c r="AFT165" s="1"/>
      <c r="AFU165" s="1"/>
      <c r="AFV165" s="1"/>
      <c r="AFW165" s="1"/>
      <c r="AFX165" s="1"/>
      <c r="AFY165" s="1"/>
      <c r="AFZ165" s="1"/>
      <c r="AGA165" s="1"/>
      <c r="AGB165" s="1"/>
      <c r="AGC165" s="1"/>
      <c r="AGD165" s="1"/>
      <c r="AGE165" s="1"/>
      <c r="AGF165" s="1"/>
      <c r="AGG165" s="1"/>
      <c r="AGH165" s="1"/>
      <c r="AGI165" s="1"/>
      <c r="AGJ165" s="1"/>
      <c r="AGK165" s="1"/>
      <c r="AGL165" s="1"/>
      <c r="AGM165" s="1"/>
      <c r="AGN165" s="1"/>
      <c r="AGO165" s="1"/>
      <c r="AGP165" s="1"/>
      <c r="AGQ165" s="1"/>
      <c r="AGR165" s="1"/>
      <c r="AGS165" s="1"/>
      <c r="AGT165" s="1"/>
      <c r="AGU165" s="1"/>
      <c r="AGV165" s="1"/>
      <c r="AGW165" s="1"/>
      <c r="AGX165" s="1"/>
      <c r="AGY165" s="1"/>
      <c r="AGZ165" s="1"/>
      <c r="AHA165" s="1"/>
      <c r="AHB165" s="1"/>
      <c r="AHC165" s="1"/>
      <c r="AHD165" s="1"/>
      <c r="AHE165" s="1"/>
      <c r="AHF165" s="1"/>
      <c r="AHG165" s="1"/>
      <c r="AHH165" s="1"/>
      <c r="AHI165" s="1"/>
      <c r="AHJ165" s="1"/>
      <c r="AHK165" s="1"/>
      <c r="AHL165" s="1"/>
      <c r="AHM165" s="1"/>
      <c r="AHN165" s="1"/>
      <c r="AHO165" s="1"/>
      <c r="AHP165" s="1"/>
      <c r="AHQ165" s="1"/>
      <c r="AHR165" s="1"/>
      <c r="AHS165" s="1"/>
      <c r="AHT165" s="1"/>
      <c r="AHU165" s="1"/>
      <c r="AHV165" s="1"/>
      <c r="AHW165" s="1"/>
      <c r="AHX165" s="1"/>
      <c r="AHY165" s="1"/>
      <c r="AHZ165" s="1"/>
      <c r="AIA165" s="1"/>
      <c r="AIB165" s="1"/>
      <c r="AIC165" s="1"/>
      <c r="AID165" s="1"/>
      <c r="AIE165" s="1"/>
      <c r="AIF165" s="1"/>
      <c r="AIG165" s="1"/>
      <c r="AIH165" s="1"/>
      <c r="AII165" s="1"/>
      <c r="AIJ165" s="1"/>
      <c r="AIK165" s="1"/>
      <c r="AIL165" s="1"/>
      <c r="AIM165" s="1"/>
      <c r="AIN165" s="1"/>
      <c r="AIO165" s="1"/>
      <c r="AIP165" s="1"/>
      <c r="AIQ165" s="1"/>
      <c r="AIR165" s="1"/>
      <c r="AIS165" s="1"/>
      <c r="AIT165" s="1"/>
      <c r="AIU165" s="1"/>
      <c r="AIV165" s="1"/>
      <c r="AIW165" s="1"/>
      <c r="AIX165" s="1"/>
      <c r="AIY165" s="1"/>
      <c r="AIZ165" s="1"/>
      <c r="AJA165" s="1"/>
      <c r="AJB165" s="1"/>
      <c r="AJC165" s="1"/>
      <c r="AJD165" s="1"/>
      <c r="AJE165" s="1"/>
      <c r="AJF165" s="1"/>
      <c r="AJG165" s="1"/>
      <c r="AJH165" s="1"/>
      <c r="AJI165" s="1"/>
      <c r="AJJ165" s="1"/>
      <c r="AJK165" s="1"/>
      <c r="AJL165" s="1"/>
      <c r="AJM165" s="1"/>
      <c r="AJN165" s="1"/>
      <c r="AJO165" s="1"/>
      <c r="AJP165" s="1"/>
      <c r="AJQ165" s="1"/>
      <c r="AJR165" s="1"/>
      <c r="AJS165" s="1"/>
      <c r="AJT165" s="1"/>
      <c r="AJU165" s="1"/>
      <c r="AJV165" s="1"/>
      <c r="AJW165" s="1"/>
      <c r="AJX165" s="1"/>
      <c r="AJY165" s="1"/>
      <c r="AJZ165" s="1"/>
      <c r="AKA165" s="1"/>
      <c r="AKB165" s="1"/>
      <c r="AKC165" s="1"/>
      <c r="AKD165" s="1"/>
      <c r="AKE165" s="1"/>
      <c r="AKF165" s="1"/>
      <c r="AKG165" s="1"/>
      <c r="AKH165" s="1"/>
      <c r="AKI165" s="1"/>
      <c r="AKJ165" s="1"/>
      <c r="AKK165" s="1"/>
      <c r="AKL165" s="1"/>
      <c r="AKM165" s="1"/>
      <c r="AKN165" s="1"/>
      <c r="AKO165" s="1"/>
      <c r="AKP165" s="1"/>
      <c r="AKQ165" s="1"/>
      <c r="AKR165" s="1"/>
      <c r="AKS165" s="1"/>
      <c r="AKT165" s="1"/>
      <c r="AKU165" s="1"/>
      <c r="AKV165" s="1"/>
      <c r="AKW165" s="1"/>
      <c r="AKX165" s="1"/>
      <c r="AKY165" s="1"/>
      <c r="AKZ165" s="1"/>
      <c r="ALA165" s="1"/>
      <c r="ALB165" s="1"/>
      <c r="ALC165" s="1"/>
      <c r="ALD165" s="1"/>
      <c r="ALE165" s="1"/>
      <c r="ALF165" s="1"/>
      <c r="ALG165" s="1"/>
      <c r="ALH165" s="1"/>
      <c r="ALI165" s="1"/>
      <c r="ALJ165" s="1"/>
      <c r="ALK165" s="1"/>
      <c r="ALL165" s="1"/>
      <c r="ALM165" s="1"/>
      <c r="ALN165" s="1"/>
      <c r="ALO165" s="1"/>
      <c r="ALP165" s="1"/>
      <c r="ALQ165" s="1"/>
      <c r="ALR165" s="1"/>
      <c r="ALS165" s="1"/>
      <c r="ALT165" s="1"/>
      <c r="ALU165" s="1"/>
      <c r="ALV165" s="1"/>
      <c r="ALW165" s="1"/>
      <c r="ALX165" s="1"/>
      <c r="ALY165" s="1"/>
      <c r="ALZ165" s="1"/>
      <c r="AMA165" s="1"/>
      <c r="AMB165" s="1"/>
      <c r="AMC165" s="1"/>
      <c r="AMD165" s="1"/>
      <c r="AME165" s="1"/>
      <c r="AMF165" s="1"/>
      <c r="AMG165" s="1"/>
      <c r="AMH165" s="1"/>
      <c r="AMI165" s="1"/>
      <c r="AMJ165" s="1"/>
      <c r="AMK165" s="1"/>
      <c r="AML165" s="1"/>
      <c r="AMM165" s="1"/>
      <c r="AMN165" s="1"/>
    </row>
    <row r="166" spans="1:1028" x14ac:dyDescent="0.2">
      <c r="A166" s="3" t="str">
        <f t="shared" si="639"/>
        <v>p2y12_human_4PY0</v>
      </c>
      <c r="B166" s="3" t="s">
        <v>352</v>
      </c>
      <c r="C166" s="3" t="s">
        <v>1051</v>
      </c>
      <c r="D166" s="3" t="str">
        <f>IFERROR(MID(VLOOKUP($B166,Seqs!$A:$B,2,0),E166,1),"")</f>
        <v>I</v>
      </c>
      <c r="E166" s="3">
        <v>23</v>
      </c>
      <c r="F166" s="3" t="str">
        <f>IFERROR(MID(VLOOKUP($B166,Seqs!$A:$B,2,0),G166,1),"")</f>
        <v>I</v>
      </c>
      <c r="G166" s="3">
        <v>53</v>
      </c>
      <c r="H166" s="3" t="str">
        <f>IFERROR(MID(VLOOKUP($B166,Seqs!$A:$B,2,0),I166,1),"")</f>
        <v/>
      </c>
      <c r="I166" s="23" t="s">
        <v>23</v>
      </c>
      <c r="J166" s="3" t="str">
        <f>IFERROR(MID(VLOOKUP($B166,Seqs!$A:$B,2,0),K166,1),"")</f>
        <v/>
      </c>
      <c r="K166" s="23" t="s">
        <v>23</v>
      </c>
      <c r="L166" s="3" t="str">
        <f>IFERROR(MID(VLOOKUP($B166,Seqs!$A:$B,2,0),M166,1),"")</f>
        <v>S</v>
      </c>
      <c r="M166" s="3">
        <v>57</v>
      </c>
      <c r="N166" s="3" t="str">
        <f>IFERROR(MID(VLOOKUP($B166,Seqs!$A:$B,2,0),O166,1),"")</f>
        <v>K</v>
      </c>
      <c r="O166" s="3">
        <v>86</v>
      </c>
      <c r="P166" s="3" t="str">
        <f>IFERROR(MID(VLOOKUP($B166,Seqs!$A:$B,2,0),Q166,1),"")</f>
        <v/>
      </c>
      <c r="Q166" s="3" t="s">
        <v>23</v>
      </c>
      <c r="R166" s="3" t="str">
        <f>IFERROR(MID(VLOOKUP($B166,Seqs!$A:$B,2,0),S166,1),"")</f>
        <v/>
      </c>
      <c r="S166" s="3" t="s">
        <v>23</v>
      </c>
      <c r="T166" s="3" t="str">
        <f>IFERROR(MID(VLOOKUP($B166,Seqs!$A:$B,2,0),U166,1),"")</f>
        <v>G</v>
      </c>
      <c r="U166" s="3">
        <v>90</v>
      </c>
      <c r="V166" s="3" t="str">
        <f>IFERROR(MID(VLOOKUP($B166,Seqs!$A:$B,2,0),W166,1),"")</f>
        <v>R</v>
      </c>
      <c r="W166" s="3">
        <v>128</v>
      </c>
      <c r="X166" s="3" t="str">
        <f>IFERROR(MID(VLOOKUP($B166,Seqs!$A:$B,2,0),Y166,1),"")</f>
        <v/>
      </c>
      <c r="Y166" s="3" t="s">
        <v>23</v>
      </c>
      <c r="Z166" s="3" t="str">
        <f>IFERROR(MID(VLOOKUP($B166,Seqs!$A:$B,2,0),AA166,1),"")</f>
        <v/>
      </c>
      <c r="AA166" s="3" t="s">
        <v>23</v>
      </c>
      <c r="AB166" s="3" t="str">
        <f>IFERROR(MID(VLOOKUP($B166,Seqs!$A:$B,2,0),AC166,1),"")</f>
        <v>N</v>
      </c>
      <c r="AC166" s="9">
        <v>137</v>
      </c>
      <c r="AD166" s="3" t="str">
        <f>IFERROR(MID(VLOOKUP($B166,Seqs!$A:$B,2,0),AE166,1),"")</f>
        <v>T</v>
      </c>
      <c r="AE166" s="3">
        <v>163</v>
      </c>
      <c r="AF166" s="3" t="str">
        <f>IFERROR(MID(VLOOKUP($B166,Seqs!$A:$B,2,0),AG166,1),"")</f>
        <v>C</v>
      </c>
      <c r="AG166" s="3">
        <v>175</v>
      </c>
      <c r="AH166" s="3" t="str">
        <f>IFERROR(MID(VLOOKUP($B166,Seqs!$A:$B,2,0),AI166,1),"")</f>
        <v>F</v>
      </c>
      <c r="AI166" s="3">
        <v>177</v>
      </c>
      <c r="AJ166" s="3" t="str">
        <f>IFERROR(MID(VLOOKUP($B166,Seqs!$A:$B,2,0),AK166,1),"")</f>
        <v>E</v>
      </c>
      <c r="AK166" s="3">
        <v>181</v>
      </c>
      <c r="AL166" s="3" t="str">
        <f>IFERROR(MID(VLOOKUP($B166,Seqs!$A:$B,2,0),AM166,1),"")</f>
        <v>S</v>
      </c>
      <c r="AM166" s="3">
        <v>219</v>
      </c>
      <c r="AN166" s="3" t="str">
        <f>IFERROR(MID(VLOOKUP($B166,Seqs!$A:$B,2,0),AO166,1),"")</f>
        <v>V</v>
      </c>
      <c r="AO166" s="3">
        <v>236</v>
      </c>
      <c r="AP166" s="3" t="str">
        <f>IFERROR(MID(VLOOKUP($B166,Seqs!$A:$B,2,0),AQ166,1),"")</f>
        <v>R</v>
      </c>
      <c r="AQ166" s="3">
        <v>265</v>
      </c>
      <c r="AR166" s="3" t="str">
        <f>IFERROR(MID(VLOOKUP($B166,Seqs!$A:$B,2,0),AS166,1),"")</f>
        <v>D</v>
      </c>
      <c r="AS166" s="3">
        <v>269</v>
      </c>
      <c r="AT166" s="3" t="str">
        <f>IFERROR(MID(VLOOKUP($B166,Seqs!$A:$B,2,0),AU166,1),"")</f>
        <v>C</v>
      </c>
      <c r="AU166" s="3">
        <v>292</v>
      </c>
      <c r="AV166" s="3" t="str">
        <f>IFERROR(MID(VLOOKUP($B166,Seqs!$A:$B,2,0),AW166,1),"")</f>
        <v/>
      </c>
      <c r="AW166" s="3" t="s">
        <v>23</v>
      </c>
      <c r="AX166" s="3" t="str">
        <f>IFERROR(MID(VLOOKUP($B166,Seqs!$A:$B,2,0),AY166,1),"")</f>
        <v/>
      </c>
      <c r="AY166" s="3" t="s">
        <v>23</v>
      </c>
      <c r="AZ166" s="79" t="str">
        <f>VLOOKUP(B166,Classification!A:D,2,0)</f>
        <v>A</v>
      </c>
      <c r="BA166" s="97" t="str">
        <f>VLOOKUP(B166,Classification!A:D,4,0)</f>
        <v>P2Y</v>
      </c>
      <c r="BB166" s="27" t="b">
        <f t="shared" si="640"/>
        <v>1</v>
      </c>
      <c r="BC166" s="23">
        <f t="shared" si="613"/>
        <v>227</v>
      </c>
      <c r="BD166" s="4" t="s">
        <v>23</v>
      </c>
      <c r="BE166" s="3" t="s">
        <v>1381</v>
      </c>
      <c r="BF166" s="50" t="s">
        <v>1384</v>
      </c>
      <c r="BG166" s="50" t="s">
        <v>1384</v>
      </c>
      <c r="BH166" s="1"/>
      <c r="BI166" s="72" t="s">
        <v>1293</v>
      </c>
      <c r="BJ166" s="58" t="s">
        <v>1293</v>
      </c>
      <c r="BK166" s="58" t="s">
        <v>1293</v>
      </c>
      <c r="BL166" s="58" t="s">
        <v>1293</v>
      </c>
      <c r="BM166" s="58" t="s">
        <v>1293</v>
      </c>
      <c r="BN166" s="58" t="s">
        <v>1293</v>
      </c>
      <c r="BO166" s="58" t="s">
        <v>1293</v>
      </c>
      <c r="BP166" s="58" t="s">
        <v>1293</v>
      </c>
      <c r="BQ166" s="58" t="s">
        <v>1293</v>
      </c>
      <c r="BR166" s="58" t="s">
        <v>1293</v>
      </c>
      <c r="BS166" s="58" t="s">
        <v>1293</v>
      </c>
      <c r="BT166" s="58" t="s">
        <v>1293</v>
      </c>
      <c r="BU166" s="72">
        <f t="shared" si="614"/>
        <v>23</v>
      </c>
      <c r="BV166" s="73" t="str">
        <f t="shared" si="615"/>
        <v>-</v>
      </c>
      <c r="BW166" s="74">
        <f t="shared" si="616"/>
        <v>57</v>
      </c>
      <c r="BX166" s="73" t="str">
        <f t="shared" si="617"/>
        <v>-</v>
      </c>
      <c r="BY166" s="74">
        <f t="shared" si="618"/>
        <v>90</v>
      </c>
      <c r="BZ166" s="73" t="str">
        <f t="shared" si="619"/>
        <v>-</v>
      </c>
      <c r="CA166" s="74">
        <f t="shared" si="620"/>
        <v>137</v>
      </c>
      <c r="CB166" s="73">
        <f t="shared" si="621"/>
        <v>175</v>
      </c>
      <c r="CC166" s="74">
        <f t="shared" si="622"/>
        <v>181</v>
      </c>
      <c r="CD166" s="73">
        <f t="shared" si="623"/>
        <v>236</v>
      </c>
      <c r="CE166" s="74">
        <f t="shared" si="624"/>
        <v>269</v>
      </c>
      <c r="CF166" s="73" t="str">
        <f t="shared" si="625"/>
        <v>-</v>
      </c>
      <c r="CG166" s="72">
        <f t="shared" si="626"/>
        <v>53</v>
      </c>
      <c r="CH166" s="73" t="str">
        <f t="shared" si="627"/>
        <v>-</v>
      </c>
      <c r="CI166" s="74">
        <f t="shared" si="628"/>
        <v>86</v>
      </c>
      <c r="CJ166" s="74" t="str">
        <f t="shared" si="629"/>
        <v>-</v>
      </c>
      <c r="CK166" s="74">
        <f t="shared" si="630"/>
        <v>128</v>
      </c>
      <c r="CL166" s="74" t="str">
        <f t="shared" si="631"/>
        <v>-</v>
      </c>
      <c r="CM166" s="74">
        <f t="shared" si="632"/>
        <v>163</v>
      </c>
      <c r="CN166" s="74">
        <f t="shared" si="633"/>
        <v>177</v>
      </c>
      <c r="CO166" s="74">
        <f t="shared" si="634"/>
        <v>219</v>
      </c>
      <c r="CP166" s="74">
        <f t="shared" si="635"/>
        <v>265</v>
      </c>
      <c r="CQ166" s="74">
        <f t="shared" si="636"/>
        <v>292</v>
      </c>
      <c r="CR166" s="74" t="str">
        <f t="shared" si="637"/>
        <v>-</v>
      </c>
      <c r="CS166" s="23" t="e">
        <f t="shared" si="638"/>
        <v>#VALUE!</v>
      </c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  <c r="JD166" s="1"/>
      <c r="JE166" s="1"/>
      <c r="JF166" s="1"/>
      <c r="JG166" s="1"/>
      <c r="JH166" s="1"/>
      <c r="JI166" s="1"/>
      <c r="JJ166" s="1"/>
      <c r="JK166" s="1"/>
      <c r="JL166" s="1"/>
      <c r="JM166" s="1"/>
      <c r="JN166" s="1"/>
      <c r="JO166" s="1"/>
      <c r="JP166" s="1"/>
      <c r="JQ166" s="1"/>
      <c r="JR166" s="1"/>
      <c r="JS166" s="1"/>
      <c r="JT166" s="1"/>
      <c r="JU166" s="1"/>
      <c r="JV166" s="1"/>
      <c r="JW166" s="1"/>
      <c r="JX166" s="1"/>
      <c r="JY166" s="1"/>
      <c r="JZ166" s="1"/>
      <c r="KA166" s="1"/>
      <c r="KB166" s="1"/>
      <c r="KC166" s="1"/>
      <c r="KD166" s="1"/>
      <c r="KE166" s="1"/>
      <c r="KF166" s="1"/>
      <c r="KG166" s="1"/>
      <c r="KH166" s="1"/>
      <c r="KI166" s="1"/>
      <c r="KJ166" s="1"/>
      <c r="KK166" s="1"/>
      <c r="KL166" s="1"/>
      <c r="KM166" s="1"/>
      <c r="KN166" s="1"/>
      <c r="KO166" s="1"/>
      <c r="KP166" s="1"/>
      <c r="KQ166" s="1"/>
      <c r="KR166" s="1"/>
      <c r="KS166" s="1"/>
      <c r="KT166" s="1"/>
      <c r="KU166" s="1"/>
      <c r="KV166" s="1"/>
      <c r="KW166" s="1"/>
      <c r="KX166" s="1"/>
      <c r="KY166" s="1"/>
      <c r="KZ166" s="1"/>
      <c r="LA166" s="1"/>
      <c r="LB166" s="1"/>
      <c r="LC166" s="1"/>
      <c r="LD166" s="1"/>
      <c r="LE166" s="1"/>
      <c r="LF166" s="1"/>
      <c r="LG166" s="1"/>
      <c r="LH166" s="1"/>
      <c r="LI166" s="1"/>
      <c r="LJ166" s="1"/>
      <c r="LK166" s="1"/>
      <c r="LL166" s="1"/>
      <c r="LM166" s="1"/>
      <c r="LN166" s="1"/>
      <c r="LO166" s="1"/>
      <c r="LP166" s="1"/>
      <c r="LQ166" s="1"/>
      <c r="LR166" s="1"/>
      <c r="LS166" s="1"/>
      <c r="LT166" s="1"/>
      <c r="LU166" s="1"/>
      <c r="LV166" s="1"/>
      <c r="LW166" s="1"/>
      <c r="LX166" s="1"/>
      <c r="LY166" s="1"/>
      <c r="LZ166" s="1"/>
      <c r="MA166" s="1"/>
      <c r="MB166" s="1"/>
      <c r="MC166" s="1"/>
      <c r="MD166" s="1"/>
      <c r="ME166" s="1"/>
      <c r="MF166" s="1"/>
      <c r="MG166" s="1"/>
      <c r="MH166" s="1"/>
      <c r="MI166" s="1"/>
      <c r="MJ166" s="1"/>
      <c r="MK166" s="1"/>
      <c r="ML166" s="1"/>
      <c r="MM166" s="1"/>
      <c r="MN166" s="1"/>
      <c r="MO166" s="1"/>
      <c r="MP166" s="1"/>
      <c r="MQ166" s="1"/>
      <c r="MR166" s="1"/>
      <c r="MS166" s="1"/>
      <c r="MT166" s="1"/>
      <c r="MU166" s="1"/>
      <c r="MV166" s="1"/>
      <c r="MW166" s="1"/>
      <c r="MX166" s="1"/>
      <c r="MY166" s="1"/>
      <c r="MZ166" s="1"/>
      <c r="NA166" s="1"/>
      <c r="NB166" s="1"/>
      <c r="NC166" s="1"/>
      <c r="ND166" s="1"/>
      <c r="NE166" s="1"/>
      <c r="NF166" s="1"/>
      <c r="NG166" s="1"/>
      <c r="NH166" s="1"/>
      <c r="NI166" s="1"/>
      <c r="NJ166" s="1"/>
      <c r="NK166" s="1"/>
      <c r="NL166" s="1"/>
      <c r="NM166" s="1"/>
      <c r="NN166" s="1"/>
      <c r="NO166" s="1"/>
      <c r="NP166" s="1"/>
      <c r="NQ166" s="1"/>
      <c r="NR166" s="1"/>
      <c r="NS166" s="1"/>
      <c r="NT166" s="1"/>
      <c r="NU166" s="1"/>
      <c r="NV166" s="1"/>
      <c r="NW166" s="1"/>
      <c r="NX166" s="1"/>
      <c r="NY166" s="1"/>
      <c r="NZ166" s="1"/>
      <c r="OA166" s="1"/>
      <c r="OB166" s="1"/>
      <c r="OC166" s="1"/>
      <c r="OD166" s="1"/>
      <c r="OE166" s="1"/>
      <c r="OF166" s="1"/>
      <c r="OG166" s="1"/>
      <c r="OH166" s="1"/>
      <c r="OI166" s="1"/>
      <c r="OJ166" s="1"/>
      <c r="OK166" s="1"/>
      <c r="OL166" s="1"/>
      <c r="OM166" s="1"/>
      <c r="ON166" s="1"/>
      <c r="OO166" s="1"/>
      <c r="OP166" s="1"/>
      <c r="OQ166" s="1"/>
      <c r="OR166" s="1"/>
      <c r="OS166" s="1"/>
      <c r="OT166" s="1"/>
      <c r="OU166" s="1"/>
      <c r="OV166" s="1"/>
      <c r="OW166" s="1"/>
      <c r="OX166" s="1"/>
      <c r="OY166" s="1"/>
      <c r="OZ166" s="1"/>
      <c r="PA166" s="1"/>
      <c r="PB166" s="1"/>
      <c r="PC166" s="1"/>
      <c r="PD166" s="1"/>
      <c r="PE166" s="1"/>
      <c r="PF166" s="1"/>
      <c r="PG166" s="1"/>
      <c r="PH166" s="1"/>
      <c r="PI166" s="1"/>
      <c r="PJ166" s="1"/>
      <c r="PK166" s="1"/>
      <c r="PL166" s="1"/>
      <c r="PM166" s="1"/>
      <c r="PN166" s="1"/>
      <c r="PO166" s="1"/>
      <c r="PP166" s="1"/>
      <c r="PQ166" s="1"/>
      <c r="PR166" s="1"/>
      <c r="PS166" s="1"/>
      <c r="PT166" s="1"/>
      <c r="PU166" s="1"/>
      <c r="PV166" s="1"/>
      <c r="PW166" s="1"/>
      <c r="PX166" s="1"/>
      <c r="PY166" s="1"/>
      <c r="PZ166" s="1"/>
      <c r="QA166" s="1"/>
      <c r="QB166" s="1"/>
      <c r="QC166" s="1"/>
      <c r="QD166" s="1"/>
      <c r="QE166" s="1"/>
      <c r="QF166" s="1"/>
      <c r="QG166" s="1"/>
      <c r="QH166" s="1"/>
      <c r="QI166" s="1"/>
      <c r="QJ166" s="1"/>
      <c r="QK166" s="1"/>
      <c r="QL166" s="1"/>
      <c r="QM166" s="1"/>
      <c r="QN166" s="1"/>
      <c r="QO166" s="1"/>
      <c r="QP166" s="1"/>
      <c r="QQ166" s="1"/>
      <c r="QR166" s="1"/>
      <c r="QS166" s="1"/>
      <c r="QT166" s="1"/>
      <c r="QU166" s="1"/>
      <c r="QV166" s="1"/>
      <c r="QW166" s="1"/>
      <c r="QX166" s="1"/>
      <c r="QY166" s="1"/>
      <c r="QZ166" s="1"/>
      <c r="RA166" s="1"/>
      <c r="RB166" s="1"/>
      <c r="RC166" s="1"/>
      <c r="RD166" s="1"/>
      <c r="RE166" s="1"/>
      <c r="RF166" s="1"/>
      <c r="RG166" s="1"/>
      <c r="RH166" s="1"/>
      <c r="RI166" s="1"/>
      <c r="RJ166" s="1"/>
      <c r="RK166" s="1"/>
      <c r="RL166" s="1"/>
      <c r="RM166" s="1"/>
      <c r="RN166" s="1"/>
      <c r="RO166" s="1"/>
      <c r="RP166" s="1"/>
      <c r="RQ166" s="1"/>
      <c r="RR166" s="1"/>
      <c r="RS166" s="1"/>
      <c r="RT166" s="1"/>
      <c r="RU166" s="1"/>
      <c r="RV166" s="1"/>
      <c r="RW166" s="1"/>
      <c r="RX166" s="1"/>
      <c r="RY166" s="1"/>
      <c r="RZ166" s="1"/>
      <c r="SA166" s="1"/>
      <c r="SB166" s="1"/>
      <c r="SC166" s="1"/>
      <c r="SD166" s="1"/>
      <c r="SE166" s="1"/>
      <c r="SF166" s="1"/>
      <c r="SG166" s="1"/>
      <c r="SH166" s="1"/>
      <c r="SI166" s="1"/>
      <c r="SJ166" s="1"/>
      <c r="SK166" s="1"/>
      <c r="SL166" s="1"/>
      <c r="SM166" s="1"/>
      <c r="SN166" s="1"/>
      <c r="SO166" s="1"/>
      <c r="SP166" s="1"/>
      <c r="SQ166" s="1"/>
      <c r="SR166" s="1"/>
      <c r="SS166" s="1"/>
      <c r="ST166" s="1"/>
      <c r="SU166" s="1"/>
      <c r="SV166" s="1"/>
      <c r="SW166" s="1"/>
      <c r="SX166" s="1"/>
      <c r="SY166" s="1"/>
      <c r="SZ166" s="1"/>
      <c r="TA166" s="1"/>
      <c r="TB166" s="1"/>
      <c r="TC166" s="1"/>
      <c r="TD166" s="1"/>
      <c r="TE166" s="1"/>
      <c r="TF166" s="1"/>
      <c r="TG166" s="1"/>
      <c r="TH166" s="1"/>
      <c r="TI166" s="1"/>
      <c r="TJ166" s="1"/>
      <c r="TK166" s="1"/>
      <c r="TL166" s="1"/>
      <c r="TM166" s="1"/>
      <c r="TN166" s="1"/>
      <c r="TO166" s="1"/>
      <c r="TP166" s="1"/>
      <c r="TQ166" s="1"/>
      <c r="TR166" s="1"/>
      <c r="TS166" s="1"/>
      <c r="TT166" s="1"/>
      <c r="TU166" s="1"/>
      <c r="TV166" s="1"/>
      <c r="TW166" s="1"/>
      <c r="TX166" s="1"/>
      <c r="TY166" s="1"/>
      <c r="TZ166" s="1"/>
      <c r="UA166" s="1"/>
      <c r="UB166" s="1"/>
      <c r="UC166" s="1"/>
      <c r="UD166" s="1"/>
      <c r="UE166" s="1"/>
      <c r="UF166" s="1"/>
      <c r="UG166" s="1"/>
      <c r="UH166" s="1"/>
      <c r="UI166" s="1"/>
      <c r="UJ166" s="1"/>
      <c r="UK166" s="1"/>
      <c r="UL166" s="1"/>
      <c r="UM166" s="1"/>
      <c r="UN166" s="1"/>
      <c r="UO166" s="1"/>
      <c r="UP166" s="1"/>
      <c r="UQ166" s="1"/>
      <c r="UR166" s="1"/>
      <c r="US166" s="1"/>
      <c r="UT166" s="1"/>
      <c r="UU166" s="1"/>
      <c r="UV166" s="1"/>
      <c r="UW166" s="1"/>
      <c r="UX166" s="1"/>
      <c r="UY166" s="1"/>
      <c r="UZ166" s="1"/>
      <c r="VA166" s="1"/>
      <c r="VB166" s="1"/>
      <c r="VC166" s="1"/>
      <c r="VD166" s="1"/>
      <c r="VE166" s="1"/>
      <c r="VF166" s="1"/>
      <c r="VG166" s="1"/>
      <c r="VH166" s="1"/>
      <c r="VI166" s="1"/>
      <c r="VJ166" s="1"/>
      <c r="VK166" s="1"/>
      <c r="VL166" s="1"/>
      <c r="VM166" s="1"/>
      <c r="VN166" s="1"/>
      <c r="VO166" s="1"/>
      <c r="VP166" s="1"/>
      <c r="VQ166" s="1"/>
      <c r="VR166" s="1"/>
      <c r="VS166" s="1"/>
      <c r="VT166" s="1"/>
      <c r="VU166" s="1"/>
      <c r="VV166" s="1"/>
      <c r="VW166" s="1"/>
      <c r="VX166" s="1"/>
      <c r="VY166" s="1"/>
      <c r="VZ166" s="1"/>
      <c r="WA166" s="1"/>
      <c r="WB166" s="1"/>
      <c r="WC166" s="1"/>
      <c r="WD166" s="1"/>
      <c r="WE166" s="1"/>
      <c r="WF166" s="1"/>
      <c r="WG166" s="1"/>
      <c r="WH166" s="1"/>
      <c r="WI166" s="1"/>
      <c r="WJ166" s="1"/>
      <c r="WK166" s="1"/>
      <c r="WL166" s="1"/>
      <c r="WM166" s="1"/>
      <c r="WN166" s="1"/>
      <c r="WO166" s="1"/>
      <c r="WP166" s="1"/>
      <c r="WQ166" s="1"/>
      <c r="WR166" s="1"/>
      <c r="WS166" s="1"/>
      <c r="WT166" s="1"/>
      <c r="WU166" s="1"/>
      <c r="WV166" s="1"/>
      <c r="WW166" s="1"/>
      <c r="WX166" s="1"/>
      <c r="WY166" s="1"/>
      <c r="WZ166" s="1"/>
      <c r="XA166" s="1"/>
      <c r="XB166" s="1"/>
      <c r="XC166" s="1"/>
      <c r="XD166" s="1"/>
      <c r="XE166" s="1"/>
      <c r="XF166" s="1"/>
      <c r="XG166" s="1"/>
      <c r="XH166" s="1"/>
      <c r="XI166" s="1"/>
      <c r="XJ166" s="1"/>
      <c r="XK166" s="1"/>
      <c r="XL166" s="1"/>
      <c r="XM166" s="1"/>
      <c r="XN166" s="1"/>
      <c r="XO166" s="1"/>
      <c r="XP166" s="1"/>
      <c r="XQ166" s="1"/>
      <c r="XR166" s="1"/>
      <c r="XS166" s="1"/>
      <c r="XT166" s="1"/>
      <c r="XU166" s="1"/>
      <c r="XV166" s="1"/>
      <c r="XW166" s="1"/>
      <c r="XX166" s="1"/>
      <c r="XY166" s="1"/>
      <c r="XZ166" s="1"/>
      <c r="YA166" s="1"/>
      <c r="YB166" s="1"/>
      <c r="YC166" s="1"/>
      <c r="YD166" s="1"/>
      <c r="YE166" s="1"/>
      <c r="YF166" s="1"/>
      <c r="YG166" s="1"/>
      <c r="YH166" s="1"/>
      <c r="YI166" s="1"/>
      <c r="YJ166" s="1"/>
      <c r="YK166" s="1"/>
      <c r="YL166" s="1"/>
      <c r="YM166" s="1"/>
      <c r="YN166" s="1"/>
      <c r="YO166" s="1"/>
      <c r="YP166" s="1"/>
      <c r="YQ166" s="1"/>
      <c r="YR166" s="1"/>
      <c r="YS166" s="1"/>
      <c r="YT166" s="1"/>
      <c r="YU166" s="1"/>
      <c r="YV166" s="1"/>
      <c r="YW166" s="1"/>
      <c r="YX166" s="1"/>
      <c r="YY166" s="1"/>
      <c r="YZ166" s="1"/>
      <c r="ZA166" s="1"/>
      <c r="ZB166" s="1"/>
      <c r="ZC166" s="1"/>
      <c r="ZD166" s="1"/>
      <c r="ZE166" s="1"/>
      <c r="ZF166" s="1"/>
      <c r="ZG166" s="1"/>
      <c r="ZH166" s="1"/>
      <c r="ZI166" s="1"/>
      <c r="ZJ166" s="1"/>
      <c r="ZK166" s="1"/>
      <c r="ZL166" s="1"/>
      <c r="ZM166" s="1"/>
      <c r="ZN166" s="1"/>
      <c r="ZO166" s="1"/>
      <c r="ZP166" s="1"/>
      <c r="ZQ166" s="1"/>
      <c r="ZR166" s="1"/>
      <c r="ZS166" s="1"/>
      <c r="ZT166" s="1"/>
      <c r="ZU166" s="1"/>
      <c r="ZV166" s="1"/>
      <c r="ZW166" s="1"/>
      <c r="ZX166" s="1"/>
      <c r="ZY166" s="1"/>
      <c r="ZZ166" s="1"/>
      <c r="AAA166" s="1"/>
      <c r="AAB166" s="1"/>
      <c r="AAC166" s="1"/>
      <c r="AAD166" s="1"/>
      <c r="AAE166" s="1"/>
      <c r="AAF166" s="1"/>
      <c r="AAG166" s="1"/>
      <c r="AAH166" s="1"/>
      <c r="AAI166" s="1"/>
      <c r="AAJ166" s="1"/>
      <c r="AAK166" s="1"/>
      <c r="AAL166" s="1"/>
      <c r="AAM166" s="1"/>
      <c r="AAN166" s="1"/>
      <c r="AAO166" s="1"/>
      <c r="AAP166" s="1"/>
      <c r="AAQ166" s="1"/>
      <c r="AAR166" s="1"/>
      <c r="AAS166" s="1"/>
      <c r="AAT166" s="1"/>
      <c r="AAU166" s="1"/>
      <c r="AAV166" s="1"/>
      <c r="AAW166" s="1"/>
      <c r="AAX166" s="1"/>
      <c r="AAY166" s="1"/>
      <c r="AAZ166" s="1"/>
      <c r="ABA166" s="1"/>
      <c r="ABB166" s="1"/>
      <c r="ABC166" s="1"/>
      <c r="ABD166" s="1"/>
      <c r="ABE166" s="1"/>
      <c r="ABF166" s="1"/>
      <c r="ABG166" s="1"/>
      <c r="ABH166" s="1"/>
      <c r="ABI166" s="1"/>
      <c r="ABJ166" s="1"/>
      <c r="ABK166" s="1"/>
      <c r="ABL166" s="1"/>
      <c r="ABM166" s="1"/>
      <c r="ABN166" s="1"/>
      <c r="ABO166" s="1"/>
      <c r="ABP166" s="1"/>
      <c r="ABQ166" s="1"/>
      <c r="ABR166" s="1"/>
      <c r="ABS166" s="1"/>
      <c r="ABT166" s="1"/>
      <c r="ABU166" s="1"/>
      <c r="ABV166" s="1"/>
      <c r="ABW166" s="1"/>
      <c r="ABX166" s="1"/>
      <c r="ABY166" s="1"/>
      <c r="ABZ166" s="1"/>
      <c r="ACA166" s="1"/>
      <c r="ACB166" s="1"/>
      <c r="ACC166" s="1"/>
      <c r="ACD166" s="1"/>
      <c r="ACE166" s="1"/>
      <c r="ACF166" s="1"/>
      <c r="ACG166" s="1"/>
      <c r="ACH166" s="1"/>
      <c r="ACI166" s="1"/>
      <c r="ACJ166" s="1"/>
      <c r="ACK166" s="1"/>
      <c r="ACL166" s="1"/>
      <c r="ACM166" s="1"/>
      <c r="ACN166" s="1"/>
      <c r="ACO166" s="1"/>
      <c r="ACP166" s="1"/>
      <c r="ACQ166" s="1"/>
      <c r="ACR166" s="1"/>
      <c r="ACS166" s="1"/>
      <c r="ACT166" s="1"/>
      <c r="ACU166" s="1"/>
      <c r="ACV166" s="1"/>
      <c r="ACW166" s="1"/>
      <c r="ACX166" s="1"/>
      <c r="ACY166" s="1"/>
      <c r="ACZ166" s="1"/>
      <c r="ADA166" s="1"/>
      <c r="ADB166" s="1"/>
      <c r="ADC166" s="1"/>
      <c r="ADD166" s="1"/>
      <c r="ADE166" s="1"/>
      <c r="ADF166" s="1"/>
      <c r="ADG166" s="1"/>
      <c r="ADH166" s="1"/>
      <c r="ADI166" s="1"/>
      <c r="ADJ166" s="1"/>
      <c r="ADK166" s="1"/>
      <c r="ADL166" s="1"/>
      <c r="ADM166" s="1"/>
      <c r="ADN166" s="1"/>
      <c r="ADO166" s="1"/>
      <c r="ADP166" s="1"/>
      <c r="ADQ166" s="1"/>
      <c r="ADR166" s="1"/>
      <c r="ADS166" s="1"/>
      <c r="ADT166" s="1"/>
      <c r="ADU166" s="1"/>
      <c r="ADV166" s="1"/>
      <c r="ADW166" s="1"/>
      <c r="ADX166" s="1"/>
      <c r="ADY166" s="1"/>
      <c r="ADZ166" s="1"/>
      <c r="AEA166" s="1"/>
      <c r="AEB166" s="1"/>
      <c r="AEC166" s="1"/>
      <c r="AED166" s="1"/>
      <c r="AEE166" s="1"/>
      <c r="AEF166" s="1"/>
      <c r="AEG166" s="1"/>
      <c r="AEH166" s="1"/>
      <c r="AEI166" s="1"/>
      <c r="AEJ166" s="1"/>
      <c r="AEK166" s="1"/>
      <c r="AEL166" s="1"/>
      <c r="AEM166" s="1"/>
      <c r="AEN166" s="1"/>
      <c r="AEO166" s="1"/>
      <c r="AEP166" s="1"/>
      <c r="AEQ166" s="1"/>
      <c r="AER166" s="1"/>
      <c r="AES166" s="1"/>
      <c r="AET166" s="1"/>
      <c r="AEU166" s="1"/>
      <c r="AEV166" s="1"/>
      <c r="AEW166" s="1"/>
      <c r="AEX166" s="1"/>
      <c r="AEY166" s="1"/>
      <c r="AEZ166" s="1"/>
      <c r="AFA166" s="1"/>
      <c r="AFB166" s="1"/>
      <c r="AFC166" s="1"/>
      <c r="AFD166" s="1"/>
      <c r="AFE166" s="1"/>
      <c r="AFF166" s="1"/>
      <c r="AFG166" s="1"/>
      <c r="AFH166" s="1"/>
      <c r="AFI166" s="1"/>
      <c r="AFJ166" s="1"/>
      <c r="AFK166" s="1"/>
      <c r="AFL166" s="1"/>
      <c r="AFM166" s="1"/>
      <c r="AFN166" s="1"/>
      <c r="AFO166" s="1"/>
      <c r="AFP166" s="1"/>
      <c r="AFQ166" s="1"/>
      <c r="AFR166" s="1"/>
      <c r="AFS166" s="1"/>
      <c r="AFT166" s="1"/>
      <c r="AFU166" s="1"/>
      <c r="AFV166" s="1"/>
      <c r="AFW166" s="1"/>
      <c r="AFX166" s="1"/>
      <c r="AFY166" s="1"/>
      <c r="AFZ166" s="1"/>
      <c r="AGA166" s="1"/>
      <c r="AGB166" s="1"/>
      <c r="AGC166" s="1"/>
      <c r="AGD166" s="1"/>
      <c r="AGE166" s="1"/>
      <c r="AGF166" s="1"/>
      <c r="AGG166" s="1"/>
      <c r="AGH166" s="1"/>
      <c r="AGI166" s="1"/>
      <c r="AGJ166" s="1"/>
      <c r="AGK166" s="1"/>
      <c r="AGL166" s="1"/>
      <c r="AGM166" s="1"/>
      <c r="AGN166" s="1"/>
      <c r="AGO166" s="1"/>
      <c r="AGP166" s="1"/>
      <c r="AGQ166" s="1"/>
      <c r="AGR166" s="1"/>
      <c r="AGS166" s="1"/>
      <c r="AGT166" s="1"/>
      <c r="AGU166" s="1"/>
      <c r="AGV166" s="1"/>
      <c r="AGW166" s="1"/>
      <c r="AGX166" s="1"/>
      <c r="AGY166" s="1"/>
      <c r="AGZ166" s="1"/>
      <c r="AHA166" s="1"/>
      <c r="AHB166" s="1"/>
      <c r="AHC166" s="1"/>
      <c r="AHD166" s="1"/>
      <c r="AHE166" s="1"/>
      <c r="AHF166" s="1"/>
      <c r="AHG166" s="1"/>
      <c r="AHH166" s="1"/>
      <c r="AHI166" s="1"/>
      <c r="AHJ166" s="1"/>
      <c r="AHK166" s="1"/>
      <c r="AHL166" s="1"/>
      <c r="AHM166" s="1"/>
      <c r="AHN166" s="1"/>
      <c r="AHO166" s="1"/>
      <c r="AHP166" s="1"/>
      <c r="AHQ166" s="1"/>
      <c r="AHR166" s="1"/>
      <c r="AHS166" s="1"/>
      <c r="AHT166" s="1"/>
      <c r="AHU166" s="1"/>
      <c r="AHV166" s="1"/>
      <c r="AHW166" s="1"/>
      <c r="AHX166" s="1"/>
      <c r="AHY166" s="1"/>
      <c r="AHZ166" s="1"/>
      <c r="AIA166" s="1"/>
      <c r="AIB166" s="1"/>
      <c r="AIC166" s="1"/>
      <c r="AID166" s="1"/>
      <c r="AIE166" s="1"/>
      <c r="AIF166" s="1"/>
      <c r="AIG166" s="1"/>
      <c r="AIH166" s="1"/>
      <c r="AII166" s="1"/>
      <c r="AIJ166" s="1"/>
      <c r="AIK166" s="1"/>
      <c r="AIL166" s="1"/>
      <c r="AIM166" s="1"/>
      <c r="AIN166" s="1"/>
      <c r="AIO166" s="1"/>
      <c r="AIP166" s="1"/>
      <c r="AIQ166" s="1"/>
      <c r="AIR166" s="1"/>
      <c r="AIS166" s="1"/>
      <c r="AIT166" s="1"/>
      <c r="AIU166" s="1"/>
      <c r="AIV166" s="1"/>
      <c r="AIW166" s="1"/>
      <c r="AIX166" s="1"/>
      <c r="AIY166" s="1"/>
      <c r="AIZ166" s="1"/>
      <c r="AJA166" s="1"/>
      <c r="AJB166" s="1"/>
      <c r="AJC166" s="1"/>
      <c r="AJD166" s="1"/>
      <c r="AJE166" s="1"/>
      <c r="AJF166" s="1"/>
      <c r="AJG166" s="1"/>
      <c r="AJH166" s="1"/>
      <c r="AJI166" s="1"/>
      <c r="AJJ166" s="1"/>
      <c r="AJK166" s="1"/>
      <c r="AJL166" s="1"/>
      <c r="AJM166" s="1"/>
      <c r="AJN166" s="1"/>
      <c r="AJO166" s="1"/>
      <c r="AJP166" s="1"/>
      <c r="AJQ166" s="1"/>
      <c r="AJR166" s="1"/>
      <c r="AJS166" s="1"/>
      <c r="AJT166" s="1"/>
      <c r="AJU166" s="1"/>
      <c r="AJV166" s="1"/>
      <c r="AJW166" s="1"/>
      <c r="AJX166" s="1"/>
      <c r="AJY166" s="1"/>
      <c r="AJZ166" s="1"/>
      <c r="AKA166" s="1"/>
      <c r="AKB166" s="1"/>
      <c r="AKC166" s="1"/>
      <c r="AKD166" s="1"/>
      <c r="AKE166" s="1"/>
      <c r="AKF166" s="1"/>
      <c r="AKG166" s="1"/>
      <c r="AKH166" s="1"/>
      <c r="AKI166" s="1"/>
      <c r="AKJ166" s="1"/>
      <c r="AKK166" s="1"/>
      <c r="AKL166" s="1"/>
      <c r="AKM166" s="1"/>
      <c r="AKN166" s="1"/>
      <c r="AKO166" s="1"/>
      <c r="AKP166" s="1"/>
      <c r="AKQ166" s="1"/>
      <c r="AKR166" s="1"/>
      <c r="AKS166" s="1"/>
      <c r="AKT166" s="1"/>
      <c r="AKU166" s="1"/>
      <c r="AKV166" s="1"/>
      <c r="AKW166" s="1"/>
      <c r="AKX166" s="1"/>
      <c r="AKY166" s="1"/>
      <c r="AKZ166" s="1"/>
      <c r="ALA166" s="1"/>
      <c r="ALB166" s="1"/>
      <c r="ALC166" s="1"/>
      <c r="ALD166" s="1"/>
      <c r="ALE166" s="1"/>
      <c r="ALF166" s="1"/>
      <c r="ALG166" s="1"/>
      <c r="ALH166" s="1"/>
      <c r="ALI166" s="1"/>
      <c r="ALJ166" s="1"/>
      <c r="ALK166" s="1"/>
      <c r="ALL166" s="1"/>
      <c r="ALM166" s="1"/>
      <c r="ALN166" s="1"/>
      <c r="ALO166" s="1"/>
      <c r="ALP166" s="1"/>
      <c r="ALQ166" s="1"/>
      <c r="ALR166" s="1"/>
      <c r="ALS166" s="1"/>
      <c r="ALT166" s="1"/>
      <c r="ALU166" s="1"/>
      <c r="ALV166" s="1"/>
      <c r="ALW166" s="1"/>
      <c r="ALX166" s="1"/>
      <c r="ALY166" s="1"/>
      <c r="ALZ166" s="1"/>
      <c r="AMA166" s="1"/>
      <c r="AMB166" s="1"/>
      <c r="AMC166" s="1"/>
      <c r="AMD166" s="1"/>
      <c r="AME166" s="1"/>
      <c r="AMF166" s="1"/>
      <c r="AMG166" s="1"/>
      <c r="AMH166" s="1"/>
      <c r="AMI166" s="1"/>
      <c r="AMJ166" s="1"/>
      <c r="AMK166" s="1"/>
      <c r="AML166" s="1"/>
      <c r="AMM166" s="1"/>
      <c r="AMN166" s="1"/>
    </row>
    <row r="167" spans="1:1028" x14ac:dyDescent="0.2">
      <c r="A167" s="3" t="str">
        <f t="shared" si="639"/>
        <v>par1_human__wt</v>
      </c>
      <c r="B167" s="3" t="s">
        <v>355</v>
      </c>
      <c r="C167" s="3" t="s">
        <v>100</v>
      </c>
      <c r="D167" s="3" t="str">
        <f>IFERROR(MID(VLOOKUP($B167,Seqs!$A:$B,2,0),E167,1),"")</f>
        <v>S</v>
      </c>
      <c r="E167" s="3">
        <v>99</v>
      </c>
      <c r="F167" s="3" t="str">
        <f>IFERROR(MID(VLOOKUP($B167,Seqs!$A:$B,2,0),G167,1),"")</f>
        <v>K</v>
      </c>
      <c r="G167" s="3">
        <v>130</v>
      </c>
      <c r="H167" s="3" t="str">
        <f>IFERROR(MID(VLOOKUP($B167,Seqs!$A:$B,2,0),I167,1),"")</f>
        <v>M</v>
      </c>
      <c r="I167" s="23">
        <v>131</v>
      </c>
      <c r="J167" s="3" t="str">
        <f>IFERROR(MID(VLOOKUP($B167,Seqs!$A:$B,2,0),K167,1),"")</f>
        <v>K</v>
      </c>
      <c r="K167" s="23">
        <v>134</v>
      </c>
      <c r="L167" s="3" t="str">
        <f>IFERROR(MID(VLOOKUP($B167,Seqs!$A:$B,2,0),M167,1),"")</f>
        <v>K</v>
      </c>
      <c r="M167" s="3">
        <v>135</v>
      </c>
      <c r="N167" s="3" t="str">
        <f>IFERROR(MID(VLOOKUP($B167,Seqs!$A:$B,2,0),O167,1),"")</f>
        <v>S</v>
      </c>
      <c r="O167" s="3">
        <v>164</v>
      </c>
      <c r="P167" s="3" t="str">
        <f>IFERROR(MID(VLOOKUP($B167,Seqs!$A:$B,2,0),Q167,1),"")</f>
        <v>D</v>
      </c>
      <c r="Q167" s="3">
        <v>167</v>
      </c>
      <c r="R167" s="3" t="str">
        <f>IFERROR(MID(VLOOKUP($B167,Seqs!$A:$B,2,0),S167,1),"")</f>
        <v>F</v>
      </c>
      <c r="S167" s="3">
        <v>170</v>
      </c>
      <c r="T167" s="3" t="str">
        <f>IFERROR(MID(VLOOKUP($B167,Seqs!$A:$B,2,0),U167,1),"")</f>
        <v>G</v>
      </c>
      <c r="U167" s="3">
        <v>171</v>
      </c>
      <c r="V167" s="3" t="str">
        <f>IFERROR(MID(VLOOKUP($B167,Seqs!$A:$B,2,0),W167,1),"")</f>
        <v>Y</v>
      </c>
      <c r="W167" s="3">
        <v>206</v>
      </c>
      <c r="X167" s="3" t="str">
        <f>IFERROR(MID(VLOOKUP($B167,Seqs!$A:$B,2,0),Y167,1),"")</f>
        <v>P</v>
      </c>
      <c r="Y167" s="3">
        <v>207</v>
      </c>
      <c r="Z167" s="3" t="str">
        <f>IFERROR(MID(VLOOKUP($B167,Seqs!$A:$B,2,0),AA167,1),"")</f>
        <v>R</v>
      </c>
      <c r="AA167" s="3">
        <v>214</v>
      </c>
      <c r="AB167" s="3" t="str">
        <f>IFERROR(MID(VLOOKUP($B167,Seqs!$A:$B,2,0),AC167,1),"")</f>
        <v>T</v>
      </c>
      <c r="AC167" s="9">
        <v>215</v>
      </c>
      <c r="AD167" s="3" t="str">
        <f>IFERROR(MID(VLOOKUP($B167,Seqs!$A:$B,2,0),AE167,1),"")</f>
        <v>K</v>
      </c>
      <c r="AE167" s="3">
        <v>240</v>
      </c>
      <c r="AF167" s="3" t="str">
        <f>IFERROR(MID(VLOOKUP($B167,Seqs!$A:$B,2,0),AG167,1),"")</f>
        <v>C</v>
      </c>
      <c r="AG167" s="3">
        <v>254</v>
      </c>
      <c r="AH167" s="3" t="str">
        <f>IFERROR(MID(VLOOKUP($B167,Seqs!$A:$B,2,0),AI167,1),"")</f>
        <v>D</v>
      </c>
      <c r="AI167" s="3">
        <v>256</v>
      </c>
      <c r="AJ167" s="3" t="str">
        <f>IFERROR(MID(VLOOKUP($B167,Seqs!$A:$B,2,0),AK167,1),"")</f>
        <v>E</v>
      </c>
      <c r="AK167" s="3">
        <v>264</v>
      </c>
      <c r="AL167" s="3" t="str">
        <f>IFERROR(MID(VLOOKUP($B167,Seqs!$A:$B,2,0),AM167,1),"")</f>
        <v>S</v>
      </c>
      <c r="AM167" s="3">
        <v>299</v>
      </c>
      <c r="AN167" s="3" t="str">
        <f>IFERROR(MID(VLOOKUP($B167,Seqs!$A:$B,2,0),AO167,1),"")</f>
        <v>N</v>
      </c>
      <c r="AO167" s="3">
        <v>304</v>
      </c>
      <c r="AP167" s="3" t="str">
        <f>IFERROR(MID(VLOOKUP($B167,Seqs!$A:$B,2,0),AQ167,1),"")</f>
        <v>L</v>
      </c>
      <c r="AQ167" s="3">
        <v>340</v>
      </c>
      <c r="AR167" s="3" t="str">
        <f>IFERROR(MID(VLOOKUP($B167,Seqs!$A:$B,2,0),AS167,1),"")</f>
        <v>T</v>
      </c>
      <c r="AS167" s="3">
        <v>346</v>
      </c>
      <c r="AT167" s="3" t="str">
        <f>IFERROR(MID(VLOOKUP($B167,Seqs!$A:$B,2,0),AU167,1),"")</f>
        <v>A</v>
      </c>
      <c r="AU167" s="3">
        <v>374</v>
      </c>
      <c r="AV167" s="3" t="str">
        <f>IFERROR(MID(VLOOKUP($B167,Seqs!$A:$B,2,0),AW167,1),"")</f>
        <v>S</v>
      </c>
      <c r="AW167" s="3">
        <v>375</v>
      </c>
      <c r="AX167" s="3" t="str">
        <f>IFERROR(MID(VLOOKUP($B167,Seqs!$A:$B,2,0),AY167,1),"")</f>
        <v>K</v>
      </c>
      <c r="AY167" s="3">
        <v>389</v>
      </c>
      <c r="AZ167" s="79" t="str">
        <f>VLOOKUP(B167,Classification!A:D,2,0)</f>
        <v>A</v>
      </c>
      <c r="BA167" s="97" t="str">
        <f>VLOOKUP(B167,Classification!A:D,4,0)</f>
        <v>Proteinase-activated</v>
      </c>
      <c r="BB167" s="27" t="b">
        <f t="shared" si="640"/>
        <v>1</v>
      </c>
      <c r="BC167" s="23">
        <f t="shared" si="613"/>
        <v>260</v>
      </c>
      <c r="BD167" s="57" t="s">
        <v>1379</v>
      </c>
      <c r="BE167" s="3" t="s">
        <v>1381</v>
      </c>
      <c r="BF167" s="50" t="s">
        <v>1379</v>
      </c>
      <c r="BG167" s="50" t="s">
        <v>1384</v>
      </c>
      <c r="BH167" s="1"/>
      <c r="BI167" s="72" t="s">
        <v>1293</v>
      </c>
      <c r="BJ167" s="58" t="s">
        <v>1293</v>
      </c>
      <c r="BK167" s="58" t="s">
        <v>1293</v>
      </c>
      <c r="BL167" s="58" t="s">
        <v>1293</v>
      </c>
      <c r="BM167" s="58" t="s">
        <v>1293</v>
      </c>
      <c r="BN167" s="58" t="s">
        <v>1293</v>
      </c>
      <c r="BO167" s="58" t="s">
        <v>1293</v>
      </c>
      <c r="BP167" s="58" t="s">
        <v>1293</v>
      </c>
      <c r="BQ167" s="58" t="s">
        <v>1293</v>
      </c>
      <c r="BR167" s="58" t="s">
        <v>1293</v>
      </c>
      <c r="BS167" s="58" t="s">
        <v>1293</v>
      </c>
      <c r="BT167" s="58" t="s">
        <v>1293</v>
      </c>
      <c r="BU167" s="72">
        <f t="shared" si="614"/>
        <v>99</v>
      </c>
      <c r="BV167" s="73">
        <f t="shared" si="615"/>
        <v>131</v>
      </c>
      <c r="BW167" s="74">
        <f t="shared" si="616"/>
        <v>135</v>
      </c>
      <c r="BX167" s="73">
        <f t="shared" si="617"/>
        <v>167</v>
      </c>
      <c r="BY167" s="74">
        <f t="shared" si="618"/>
        <v>171</v>
      </c>
      <c r="BZ167" s="73">
        <f t="shared" si="619"/>
        <v>207</v>
      </c>
      <c r="CA167" s="74">
        <f t="shared" si="620"/>
        <v>215</v>
      </c>
      <c r="CB167" s="73">
        <f t="shared" si="621"/>
        <v>254</v>
      </c>
      <c r="CC167" s="74">
        <f t="shared" si="622"/>
        <v>264</v>
      </c>
      <c r="CD167" s="73">
        <f t="shared" si="623"/>
        <v>304</v>
      </c>
      <c r="CE167" s="74">
        <f t="shared" si="624"/>
        <v>346</v>
      </c>
      <c r="CF167" s="73">
        <f t="shared" si="625"/>
        <v>375</v>
      </c>
      <c r="CG167" s="72">
        <f t="shared" si="626"/>
        <v>130</v>
      </c>
      <c r="CH167" s="73">
        <f t="shared" si="627"/>
        <v>134</v>
      </c>
      <c r="CI167" s="74">
        <f t="shared" si="628"/>
        <v>164</v>
      </c>
      <c r="CJ167" s="74">
        <f t="shared" si="629"/>
        <v>170</v>
      </c>
      <c r="CK167" s="74">
        <f t="shared" si="630"/>
        <v>206</v>
      </c>
      <c r="CL167" s="74">
        <f t="shared" si="631"/>
        <v>214</v>
      </c>
      <c r="CM167" s="74">
        <f t="shared" si="632"/>
        <v>240</v>
      </c>
      <c r="CN167" s="74">
        <f t="shared" si="633"/>
        <v>256</v>
      </c>
      <c r="CO167" s="74">
        <f t="shared" si="634"/>
        <v>299</v>
      </c>
      <c r="CP167" s="74">
        <f t="shared" si="635"/>
        <v>340</v>
      </c>
      <c r="CQ167" s="74">
        <f t="shared" si="636"/>
        <v>374</v>
      </c>
      <c r="CR167" s="74">
        <f t="shared" si="637"/>
        <v>389</v>
      </c>
      <c r="CS167" s="23">
        <f t="shared" si="638"/>
        <v>1</v>
      </c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/>
      <c r="JR167" s="1"/>
      <c r="JS167" s="1"/>
      <c r="JT167" s="1"/>
      <c r="JU167" s="1"/>
      <c r="JV167" s="1"/>
      <c r="JW167" s="1"/>
      <c r="JX167" s="1"/>
      <c r="JY167" s="1"/>
      <c r="JZ167" s="1"/>
      <c r="KA167" s="1"/>
      <c r="KB167" s="1"/>
      <c r="KC167" s="1"/>
      <c r="KD167" s="1"/>
      <c r="KE167" s="1"/>
      <c r="KF167" s="1"/>
      <c r="KG167" s="1"/>
      <c r="KH167" s="1"/>
      <c r="KI167" s="1"/>
      <c r="KJ167" s="1"/>
      <c r="KK167" s="1"/>
      <c r="KL167" s="1"/>
      <c r="KM167" s="1"/>
      <c r="KN167" s="1"/>
      <c r="KO167" s="1"/>
      <c r="KP167" s="1"/>
      <c r="KQ167" s="1"/>
      <c r="KR167" s="1"/>
      <c r="KS167" s="1"/>
      <c r="KT167" s="1"/>
      <c r="KU167" s="1"/>
      <c r="KV167" s="1"/>
      <c r="KW167" s="1"/>
      <c r="KX167" s="1"/>
      <c r="KY167" s="1"/>
      <c r="KZ167" s="1"/>
      <c r="LA167" s="1"/>
      <c r="LB167" s="1"/>
      <c r="LC167" s="1"/>
      <c r="LD167" s="1"/>
      <c r="LE167" s="1"/>
      <c r="LF167" s="1"/>
      <c r="LG167" s="1"/>
      <c r="LH167" s="1"/>
      <c r="LI167" s="1"/>
      <c r="LJ167" s="1"/>
      <c r="LK167" s="1"/>
      <c r="LL167" s="1"/>
      <c r="LM167" s="1"/>
      <c r="LN167" s="1"/>
      <c r="LO167" s="1"/>
      <c r="LP167" s="1"/>
      <c r="LQ167" s="1"/>
      <c r="LR167" s="1"/>
      <c r="LS167" s="1"/>
      <c r="LT167" s="1"/>
      <c r="LU167" s="1"/>
      <c r="LV167" s="1"/>
      <c r="LW167" s="1"/>
      <c r="LX167" s="1"/>
      <c r="LY167" s="1"/>
      <c r="LZ167" s="1"/>
      <c r="MA167" s="1"/>
      <c r="MB167" s="1"/>
      <c r="MC167" s="1"/>
      <c r="MD167" s="1"/>
      <c r="ME167" s="1"/>
      <c r="MF167" s="1"/>
      <c r="MG167" s="1"/>
      <c r="MH167" s="1"/>
      <c r="MI167" s="1"/>
      <c r="MJ167" s="1"/>
      <c r="MK167" s="1"/>
      <c r="ML167" s="1"/>
      <c r="MM167" s="1"/>
      <c r="MN167" s="1"/>
      <c r="MO167" s="1"/>
      <c r="MP167" s="1"/>
      <c r="MQ167" s="1"/>
      <c r="MR167" s="1"/>
      <c r="MS167" s="1"/>
      <c r="MT167" s="1"/>
      <c r="MU167" s="1"/>
      <c r="MV167" s="1"/>
      <c r="MW167" s="1"/>
      <c r="MX167" s="1"/>
      <c r="MY167" s="1"/>
      <c r="MZ167" s="1"/>
      <c r="NA167" s="1"/>
      <c r="NB167" s="1"/>
      <c r="NC167" s="1"/>
      <c r="ND167" s="1"/>
      <c r="NE167" s="1"/>
      <c r="NF167" s="1"/>
      <c r="NG167" s="1"/>
      <c r="NH167" s="1"/>
      <c r="NI167" s="1"/>
      <c r="NJ167" s="1"/>
      <c r="NK167" s="1"/>
      <c r="NL167" s="1"/>
      <c r="NM167" s="1"/>
      <c r="NN167" s="1"/>
      <c r="NO167" s="1"/>
      <c r="NP167" s="1"/>
      <c r="NQ167" s="1"/>
      <c r="NR167" s="1"/>
      <c r="NS167" s="1"/>
      <c r="NT167" s="1"/>
      <c r="NU167" s="1"/>
      <c r="NV167" s="1"/>
      <c r="NW167" s="1"/>
      <c r="NX167" s="1"/>
      <c r="NY167" s="1"/>
      <c r="NZ167" s="1"/>
      <c r="OA167" s="1"/>
      <c r="OB167" s="1"/>
      <c r="OC167" s="1"/>
      <c r="OD167" s="1"/>
      <c r="OE167" s="1"/>
      <c r="OF167" s="1"/>
      <c r="OG167" s="1"/>
      <c r="OH167" s="1"/>
      <c r="OI167" s="1"/>
      <c r="OJ167" s="1"/>
      <c r="OK167" s="1"/>
      <c r="OL167" s="1"/>
      <c r="OM167" s="1"/>
      <c r="ON167" s="1"/>
      <c r="OO167" s="1"/>
      <c r="OP167" s="1"/>
      <c r="OQ167" s="1"/>
      <c r="OR167" s="1"/>
      <c r="OS167" s="1"/>
      <c r="OT167" s="1"/>
      <c r="OU167" s="1"/>
      <c r="OV167" s="1"/>
      <c r="OW167" s="1"/>
      <c r="OX167" s="1"/>
      <c r="OY167" s="1"/>
      <c r="OZ167" s="1"/>
      <c r="PA167" s="1"/>
      <c r="PB167" s="1"/>
      <c r="PC167" s="1"/>
      <c r="PD167" s="1"/>
      <c r="PE167" s="1"/>
      <c r="PF167" s="1"/>
      <c r="PG167" s="1"/>
      <c r="PH167" s="1"/>
      <c r="PI167" s="1"/>
      <c r="PJ167" s="1"/>
      <c r="PK167" s="1"/>
      <c r="PL167" s="1"/>
      <c r="PM167" s="1"/>
      <c r="PN167" s="1"/>
      <c r="PO167" s="1"/>
      <c r="PP167" s="1"/>
      <c r="PQ167" s="1"/>
      <c r="PR167" s="1"/>
      <c r="PS167" s="1"/>
      <c r="PT167" s="1"/>
      <c r="PU167" s="1"/>
      <c r="PV167" s="1"/>
      <c r="PW167" s="1"/>
      <c r="PX167" s="1"/>
      <c r="PY167" s="1"/>
      <c r="PZ167" s="1"/>
      <c r="QA167" s="1"/>
      <c r="QB167" s="1"/>
      <c r="QC167" s="1"/>
      <c r="QD167" s="1"/>
      <c r="QE167" s="1"/>
      <c r="QF167" s="1"/>
      <c r="QG167" s="1"/>
      <c r="QH167" s="1"/>
      <c r="QI167" s="1"/>
      <c r="QJ167" s="1"/>
      <c r="QK167" s="1"/>
      <c r="QL167" s="1"/>
      <c r="QM167" s="1"/>
      <c r="QN167" s="1"/>
      <c r="QO167" s="1"/>
      <c r="QP167" s="1"/>
      <c r="QQ167" s="1"/>
      <c r="QR167" s="1"/>
      <c r="QS167" s="1"/>
      <c r="QT167" s="1"/>
      <c r="QU167" s="1"/>
      <c r="QV167" s="1"/>
      <c r="QW167" s="1"/>
      <c r="QX167" s="1"/>
      <c r="QY167" s="1"/>
      <c r="QZ167" s="1"/>
      <c r="RA167" s="1"/>
      <c r="RB167" s="1"/>
      <c r="RC167" s="1"/>
      <c r="RD167" s="1"/>
      <c r="RE167" s="1"/>
      <c r="RF167" s="1"/>
      <c r="RG167" s="1"/>
      <c r="RH167" s="1"/>
      <c r="RI167" s="1"/>
      <c r="RJ167" s="1"/>
      <c r="RK167" s="1"/>
      <c r="RL167" s="1"/>
      <c r="RM167" s="1"/>
      <c r="RN167" s="1"/>
      <c r="RO167" s="1"/>
      <c r="RP167" s="1"/>
      <c r="RQ167" s="1"/>
      <c r="RR167" s="1"/>
      <c r="RS167" s="1"/>
      <c r="RT167" s="1"/>
      <c r="RU167" s="1"/>
      <c r="RV167" s="1"/>
      <c r="RW167" s="1"/>
      <c r="RX167" s="1"/>
      <c r="RY167" s="1"/>
      <c r="RZ167" s="1"/>
      <c r="SA167" s="1"/>
      <c r="SB167" s="1"/>
      <c r="SC167" s="1"/>
      <c r="SD167" s="1"/>
      <c r="SE167" s="1"/>
      <c r="SF167" s="1"/>
      <c r="SG167" s="1"/>
      <c r="SH167" s="1"/>
      <c r="SI167" s="1"/>
      <c r="SJ167" s="1"/>
      <c r="SK167" s="1"/>
      <c r="SL167" s="1"/>
      <c r="SM167" s="1"/>
      <c r="SN167" s="1"/>
      <c r="SO167" s="1"/>
      <c r="SP167" s="1"/>
      <c r="SQ167" s="1"/>
      <c r="SR167" s="1"/>
      <c r="SS167" s="1"/>
      <c r="ST167" s="1"/>
      <c r="SU167" s="1"/>
      <c r="SV167" s="1"/>
      <c r="SW167" s="1"/>
      <c r="SX167" s="1"/>
      <c r="SY167" s="1"/>
      <c r="SZ167" s="1"/>
      <c r="TA167" s="1"/>
      <c r="TB167" s="1"/>
      <c r="TC167" s="1"/>
      <c r="TD167" s="1"/>
      <c r="TE167" s="1"/>
      <c r="TF167" s="1"/>
      <c r="TG167" s="1"/>
      <c r="TH167" s="1"/>
      <c r="TI167" s="1"/>
      <c r="TJ167" s="1"/>
      <c r="TK167" s="1"/>
      <c r="TL167" s="1"/>
      <c r="TM167" s="1"/>
      <c r="TN167" s="1"/>
      <c r="TO167" s="1"/>
      <c r="TP167" s="1"/>
      <c r="TQ167" s="1"/>
      <c r="TR167" s="1"/>
      <c r="TS167" s="1"/>
      <c r="TT167" s="1"/>
      <c r="TU167" s="1"/>
      <c r="TV167" s="1"/>
      <c r="TW167" s="1"/>
      <c r="TX167" s="1"/>
      <c r="TY167" s="1"/>
      <c r="TZ167" s="1"/>
      <c r="UA167" s="1"/>
      <c r="UB167" s="1"/>
      <c r="UC167" s="1"/>
      <c r="UD167" s="1"/>
      <c r="UE167" s="1"/>
      <c r="UF167" s="1"/>
      <c r="UG167" s="1"/>
      <c r="UH167" s="1"/>
      <c r="UI167" s="1"/>
      <c r="UJ167" s="1"/>
      <c r="UK167" s="1"/>
      <c r="UL167" s="1"/>
      <c r="UM167" s="1"/>
      <c r="UN167" s="1"/>
      <c r="UO167" s="1"/>
      <c r="UP167" s="1"/>
      <c r="UQ167" s="1"/>
      <c r="UR167" s="1"/>
      <c r="US167" s="1"/>
      <c r="UT167" s="1"/>
      <c r="UU167" s="1"/>
      <c r="UV167" s="1"/>
      <c r="UW167" s="1"/>
      <c r="UX167" s="1"/>
      <c r="UY167" s="1"/>
      <c r="UZ167" s="1"/>
      <c r="VA167" s="1"/>
      <c r="VB167" s="1"/>
      <c r="VC167" s="1"/>
      <c r="VD167" s="1"/>
      <c r="VE167" s="1"/>
      <c r="VF167" s="1"/>
      <c r="VG167" s="1"/>
      <c r="VH167" s="1"/>
      <c r="VI167" s="1"/>
      <c r="VJ167" s="1"/>
      <c r="VK167" s="1"/>
      <c r="VL167" s="1"/>
      <c r="VM167" s="1"/>
      <c r="VN167" s="1"/>
      <c r="VO167" s="1"/>
      <c r="VP167" s="1"/>
      <c r="VQ167" s="1"/>
      <c r="VR167" s="1"/>
      <c r="VS167" s="1"/>
      <c r="VT167" s="1"/>
      <c r="VU167" s="1"/>
      <c r="VV167" s="1"/>
      <c r="VW167" s="1"/>
      <c r="VX167" s="1"/>
      <c r="VY167" s="1"/>
      <c r="VZ167" s="1"/>
      <c r="WA167" s="1"/>
      <c r="WB167" s="1"/>
      <c r="WC167" s="1"/>
      <c r="WD167" s="1"/>
      <c r="WE167" s="1"/>
      <c r="WF167" s="1"/>
      <c r="WG167" s="1"/>
      <c r="WH167" s="1"/>
      <c r="WI167" s="1"/>
      <c r="WJ167" s="1"/>
      <c r="WK167" s="1"/>
      <c r="WL167" s="1"/>
      <c r="WM167" s="1"/>
      <c r="WN167" s="1"/>
      <c r="WO167" s="1"/>
      <c r="WP167" s="1"/>
      <c r="WQ167" s="1"/>
      <c r="WR167" s="1"/>
      <c r="WS167" s="1"/>
      <c r="WT167" s="1"/>
      <c r="WU167" s="1"/>
      <c r="WV167" s="1"/>
      <c r="WW167" s="1"/>
      <c r="WX167" s="1"/>
      <c r="WY167" s="1"/>
      <c r="WZ167" s="1"/>
      <c r="XA167" s="1"/>
      <c r="XB167" s="1"/>
      <c r="XC167" s="1"/>
      <c r="XD167" s="1"/>
      <c r="XE167" s="1"/>
      <c r="XF167" s="1"/>
      <c r="XG167" s="1"/>
      <c r="XH167" s="1"/>
      <c r="XI167" s="1"/>
      <c r="XJ167" s="1"/>
      <c r="XK167" s="1"/>
      <c r="XL167" s="1"/>
      <c r="XM167" s="1"/>
      <c r="XN167" s="1"/>
      <c r="XO167" s="1"/>
      <c r="XP167" s="1"/>
      <c r="XQ167" s="1"/>
      <c r="XR167" s="1"/>
      <c r="XS167" s="1"/>
      <c r="XT167" s="1"/>
      <c r="XU167" s="1"/>
      <c r="XV167" s="1"/>
      <c r="XW167" s="1"/>
      <c r="XX167" s="1"/>
      <c r="XY167" s="1"/>
      <c r="XZ167" s="1"/>
      <c r="YA167" s="1"/>
      <c r="YB167" s="1"/>
      <c r="YC167" s="1"/>
      <c r="YD167" s="1"/>
      <c r="YE167" s="1"/>
      <c r="YF167" s="1"/>
      <c r="YG167" s="1"/>
      <c r="YH167" s="1"/>
      <c r="YI167" s="1"/>
      <c r="YJ167" s="1"/>
      <c r="YK167" s="1"/>
      <c r="YL167" s="1"/>
      <c r="YM167" s="1"/>
      <c r="YN167" s="1"/>
      <c r="YO167" s="1"/>
      <c r="YP167" s="1"/>
      <c r="YQ167" s="1"/>
      <c r="YR167" s="1"/>
      <c r="YS167" s="1"/>
      <c r="YT167" s="1"/>
      <c r="YU167" s="1"/>
      <c r="YV167" s="1"/>
      <c r="YW167" s="1"/>
      <c r="YX167" s="1"/>
      <c r="YY167" s="1"/>
      <c r="YZ167" s="1"/>
      <c r="ZA167" s="1"/>
      <c r="ZB167" s="1"/>
      <c r="ZC167" s="1"/>
      <c r="ZD167" s="1"/>
      <c r="ZE167" s="1"/>
      <c r="ZF167" s="1"/>
      <c r="ZG167" s="1"/>
      <c r="ZH167" s="1"/>
      <c r="ZI167" s="1"/>
      <c r="ZJ167" s="1"/>
      <c r="ZK167" s="1"/>
      <c r="ZL167" s="1"/>
      <c r="ZM167" s="1"/>
      <c r="ZN167" s="1"/>
      <c r="ZO167" s="1"/>
      <c r="ZP167" s="1"/>
      <c r="ZQ167" s="1"/>
      <c r="ZR167" s="1"/>
      <c r="ZS167" s="1"/>
      <c r="ZT167" s="1"/>
      <c r="ZU167" s="1"/>
      <c r="ZV167" s="1"/>
      <c r="ZW167" s="1"/>
      <c r="ZX167" s="1"/>
      <c r="ZY167" s="1"/>
      <c r="ZZ167" s="1"/>
      <c r="AAA167" s="1"/>
      <c r="AAB167" s="1"/>
      <c r="AAC167" s="1"/>
      <c r="AAD167" s="1"/>
      <c r="AAE167" s="1"/>
      <c r="AAF167" s="1"/>
      <c r="AAG167" s="1"/>
      <c r="AAH167" s="1"/>
      <c r="AAI167" s="1"/>
      <c r="AAJ167" s="1"/>
      <c r="AAK167" s="1"/>
      <c r="AAL167" s="1"/>
      <c r="AAM167" s="1"/>
      <c r="AAN167" s="1"/>
      <c r="AAO167" s="1"/>
      <c r="AAP167" s="1"/>
      <c r="AAQ167" s="1"/>
      <c r="AAR167" s="1"/>
      <c r="AAS167" s="1"/>
      <c r="AAT167" s="1"/>
      <c r="AAU167" s="1"/>
      <c r="AAV167" s="1"/>
      <c r="AAW167" s="1"/>
      <c r="AAX167" s="1"/>
      <c r="AAY167" s="1"/>
      <c r="AAZ167" s="1"/>
      <c r="ABA167" s="1"/>
      <c r="ABB167" s="1"/>
      <c r="ABC167" s="1"/>
      <c r="ABD167" s="1"/>
      <c r="ABE167" s="1"/>
      <c r="ABF167" s="1"/>
      <c r="ABG167" s="1"/>
      <c r="ABH167" s="1"/>
      <c r="ABI167" s="1"/>
      <c r="ABJ167" s="1"/>
      <c r="ABK167" s="1"/>
      <c r="ABL167" s="1"/>
      <c r="ABM167" s="1"/>
      <c r="ABN167" s="1"/>
      <c r="ABO167" s="1"/>
      <c r="ABP167" s="1"/>
      <c r="ABQ167" s="1"/>
      <c r="ABR167" s="1"/>
      <c r="ABS167" s="1"/>
      <c r="ABT167" s="1"/>
      <c r="ABU167" s="1"/>
      <c r="ABV167" s="1"/>
      <c r="ABW167" s="1"/>
      <c r="ABX167" s="1"/>
      <c r="ABY167" s="1"/>
      <c r="ABZ167" s="1"/>
      <c r="ACA167" s="1"/>
      <c r="ACB167" s="1"/>
      <c r="ACC167" s="1"/>
      <c r="ACD167" s="1"/>
      <c r="ACE167" s="1"/>
      <c r="ACF167" s="1"/>
      <c r="ACG167" s="1"/>
      <c r="ACH167" s="1"/>
      <c r="ACI167" s="1"/>
      <c r="ACJ167" s="1"/>
      <c r="ACK167" s="1"/>
      <c r="ACL167" s="1"/>
      <c r="ACM167" s="1"/>
      <c r="ACN167" s="1"/>
      <c r="ACO167" s="1"/>
      <c r="ACP167" s="1"/>
      <c r="ACQ167" s="1"/>
      <c r="ACR167" s="1"/>
      <c r="ACS167" s="1"/>
      <c r="ACT167" s="1"/>
      <c r="ACU167" s="1"/>
      <c r="ACV167" s="1"/>
      <c r="ACW167" s="1"/>
      <c r="ACX167" s="1"/>
      <c r="ACY167" s="1"/>
      <c r="ACZ167" s="1"/>
      <c r="ADA167" s="1"/>
      <c r="ADB167" s="1"/>
      <c r="ADC167" s="1"/>
      <c r="ADD167" s="1"/>
      <c r="ADE167" s="1"/>
      <c r="ADF167" s="1"/>
      <c r="ADG167" s="1"/>
      <c r="ADH167" s="1"/>
      <c r="ADI167" s="1"/>
      <c r="ADJ167" s="1"/>
      <c r="ADK167" s="1"/>
      <c r="ADL167" s="1"/>
      <c r="ADM167" s="1"/>
      <c r="ADN167" s="1"/>
      <c r="ADO167" s="1"/>
      <c r="ADP167" s="1"/>
      <c r="ADQ167" s="1"/>
      <c r="ADR167" s="1"/>
      <c r="ADS167" s="1"/>
      <c r="ADT167" s="1"/>
      <c r="ADU167" s="1"/>
      <c r="ADV167" s="1"/>
      <c r="ADW167" s="1"/>
      <c r="ADX167" s="1"/>
      <c r="ADY167" s="1"/>
      <c r="ADZ167" s="1"/>
      <c r="AEA167" s="1"/>
      <c r="AEB167" s="1"/>
      <c r="AEC167" s="1"/>
      <c r="AED167" s="1"/>
      <c r="AEE167" s="1"/>
      <c r="AEF167" s="1"/>
      <c r="AEG167" s="1"/>
      <c r="AEH167" s="1"/>
      <c r="AEI167" s="1"/>
      <c r="AEJ167" s="1"/>
      <c r="AEK167" s="1"/>
      <c r="AEL167" s="1"/>
      <c r="AEM167" s="1"/>
      <c r="AEN167" s="1"/>
      <c r="AEO167" s="1"/>
      <c r="AEP167" s="1"/>
      <c r="AEQ167" s="1"/>
      <c r="AER167" s="1"/>
      <c r="AES167" s="1"/>
      <c r="AET167" s="1"/>
      <c r="AEU167" s="1"/>
      <c r="AEV167" s="1"/>
      <c r="AEW167" s="1"/>
      <c r="AEX167" s="1"/>
      <c r="AEY167" s="1"/>
      <c r="AEZ167" s="1"/>
      <c r="AFA167" s="1"/>
      <c r="AFB167" s="1"/>
      <c r="AFC167" s="1"/>
      <c r="AFD167" s="1"/>
      <c r="AFE167" s="1"/>
      <c r="AFF167" s="1"/>
      <c r="AFG167" s="1"/>
      <c r="AFH167" s="1"/>
      <c r="AFI167" s="1"/>
      <c r="AFJ167" s="1"/>
      <c r="AFK167" s="1"/>
      <c r="AFL167" s="1"/>
      <c r="AFM167" s="1"/>
      <c r="AFN167" s="1"/>
      <c r="AFO167" s="1"/>
      <c r="AFP167" s="1"/>
      <c r="AFQ167" s="1"/>
      <c r="AFR167" s="1"/>
      <c r="AFS167" s="1"/>
      <c r="AFT167" s="1"/>
      <c r="AFU167" s="1"/>
      <c r="AFV167" s="1"/>
      <c r="AFW167" s="1"/>
      <c r="AFX167" s="1"/>
      <c r="AFY167" s="1"/>
      <c r="AFZ167" s="1"/>
      <c r="AGA167" s="1"/>
      <c r="AGB167" s="1"/>
      <c r="AGC167" s="1"/>
      <c r="AGD167" s="1"/>
      <c r="AGE167" s="1"/>
      <c r="AGF167" s="1"/>
      <c r="AGG167" s="1"/>
      <c r="AGH167" s="1"/>
      <c r="AGI167" s="1"/>
      <c r="AGJ167" s="1"/>
      <c r="AGK167" s="1"/>
      <c r="AGL167" s="1"/>
      <c r="AGM167" s="1"/>
      <c r="AGN167" s="1"/>
      <c r="AGO167" s="1"/>
      <c r="AGP167" s="1"/>
      <c r="AGQ167" s="1"/>
      <c r="AGR167" s="1"/>
      <c r="AGS167" s="1"/>
      <c r="AGT167" s="1"/>
      <c r="AGU167" s="1"/>
      <c r="AGV167" s="1"/>
      <c r="AGW167" s="1"/>
      <c r="AGX167" s="1"/>
      <c r="AGY167" s="1"/>
      <c r="AGZ167" s="1"/>
      <c r="AHA167" s="1"/>
      <c r="AHB167" s="1"/>
      <c r="AHC167" s="1"/>
      <c r="AHD167" s="1"/>
      <c r="AHE167" s="1"/>
      <c r="AHF167" s="1"/>
      <c r="AHG167" s="1"/>
      <c r="AHH167" s="1"/>
      <c r="AHI167" s="1"/>
      <c r="AHJ167" s="1"/>
      <c r="AHK167" s="1"/>
      <c r="AHL167" s="1"/>
      <c r="AHM167" s="1"/>
      <c r="AHN167" s="1"/>
      <c r="AHO167" s="1"/>
      <c r="AHP167" s="1"/>
      <c r="AHQ167" s="1"/>
      <c r="AHR167" s="1"/>
      <c r="AHS167" s="1"/>
      <c r="AHT167" s="1"/>
      <c r="AHU167" s="1"/>
      <c r="AHV167" s="1"/>
      <c r="AHW167" s="1"/>
      <c r="AHX167" s="1"/>
      <c r="AHY167" s="1"/>
      <c r="AHZ167" s="1"/>
      <c r="AIA167" s="1"/>
      <c r="AIB167" s="1"/>
      <c r="AIC167" s="1"/>
      <c r="AID167" s="1"/>
      <c r="AIE167" s="1"/>
      <c r="AIF167" s="1"/>
      <c r="AIG167" s="1"/>
      <c r="AIH167" s="1"/>
      <c r="AII167" s="1"/>
      <c r="AIJ167" s="1"/>
      <c r="AIK167" s="1"/>
      <c r="AIL167" s="1"/>
      <c r="AIM167" s="1"/>
      <c r="AIN167" s="1"/>
      <c r="AIO167" s="1"/>
      <c r="AIP167" s="1"/>
      <c r="AIQ167" s="1"/>
      <c r="AIR167" s="1"/>
      <c r="AIS167" s="1"/>
      <c r="AIT167" s="1"/>
      <c r="AIU167" s="1"/>
      <c r="AIV167" s="1"/>
      <c r="AIW167" s="1"/>
      <c r="AIX167" s="1"/>
      <c r="AIY167" s="1"/>
      <c r="AIZ167" s="1"/>
      <c r="AJA167" s="1"/>
      <c r="AJB167" s="1"/>
      <c r="AJC167" s="1"/>
      <c r="AJD167" s="1"/>
      <c r="AJE167" s="1"/>
      <c r="AJF167" s="1"/>
      <c r="AJG167" s="1"/>
      <c r="AJH167" s="1"/>
      <c r="AJI167" s="1"/>
      <c r="AJJ167" s="1"/>
      <c r="AJK167" s="1"/>
      <c r="AJL167" s="1"/>
      <c r="AJM167" s="1"/>
      <c r="AJN167" s="1"/>
      <c r="AJO167" s="1"/>
      <c r="AJP167" s="1"/>
      <c r="AJQ167" s="1"/>
      <c r="AJR167" s="1"/>
      <c r="AJS167" s="1"/>
      <c r="AJT167" s="1"/>
      <c r="AJU167" s="1"/>
      <c r="AJV167" s="1"/>
      <c r="AJW167" s="1"/>
      <c r="AJX167" s="1"/>
      <c r="AJY167" s="1"/>
      <c r="AJZ167" s="1"/>
      <c r="AKA167" s="1"/>
      <c r="AKB167" s="1"/>
      <c r="AKC167" s="1"/>
      <c r="AKD167" s="1"/>
      <c r="AKE167" s="1"/>
      <c r="AKF167" s="1"/>
      <c r="AKG167" s="1"/>
      <c r="AKH167" s="1"/>
      <c r="AKI167" s="1"/>
      <c r="AKJ167" s="1"/>
      <c r="AKK167" s="1"/>
      <c r="AKL167" s="1"/>
      <c r="AKM167" s="1"/>
      <c r="AKN167" s="1"/>
      <c r="AKO167" s="1"/>
      <c r="AKP167" s="1"/>
      <c r="AKQ167" s="1"/>
      <c r="AKR167" s="1"/>
      <c r="AKS167" s="1"/>
      <c r="AKT167" s="1"/>
      <c r="AKU167" s="1"/>
      <c r="AKV167" s="1"/>
      <c r="AKW167" s="1"/>
      <c r="AKX167" s="1"/>
      <c r="AKY167" s="1"/>
      <c r="AKZ167" s="1"/>
      <c r="ALA167" s="1"/>
      <c r="ALB167" s="1"/>
      <c r="ALC167" s="1"/>
      <c r="ALD167" s="1"/>
      <c r="ALE167" s="1"/>
      <c r="ALF167" s="1"/>
      <c r="ALG167" s="1"/>
      <c r="ALH167" s="1"/>
      <c r="ALI167" s="1"/>
      <c r="ALJ167" s="1"/>
      <c r="ALK167" s="1"/>
      <c r="ALL167" s="1"/>
      <c r="ALM167" s="1"/>
      <c r="ALN167" s="1"/>
      <c r="ALO167" s="1"/>
      <c r="ALP167" s="1"/>
      <c r="ALQ167" s="1"/>
      <c r="ALR167" s="1"/>
      <c r="ALS167" s="1"/>
      <c r="ALT167" s="1"/>
      <c r="ALU167" s="1"/>
      <c r="ALV167" s="1"/>
      <c r="ALW167" s="1"/>
      <c r="ALX167" s="1"/>
      <c r="ALY167" s="1"/>
      <c r="ALZ167" s="1"/>
      <c r="AMA167" s="1"/>
      <c r="AMB167" s="1"/>
      <c r="AMC167" s="1"/>
      <c r="AMD167" s="1"/>
      <c r="AME167" s="1"/>
      <c r="AMF167" s="1"/>
      <c r="AMG167" s="1"/>
      <c r="AMH167" s="1"/>
      <c r="AMI167" s="1"/>
      <c r="AMJ167" s="1"/>
      <c r="AMK167" s="1"/>
      <c r="AML167" s="1"/>
      <c r="AMM167" s="1"/>
      <c r="AMN167" s="1"/>
    </row>
    <row r="168" spans="1:1028" x14ac:dyDescent="0.2">
      <c r="A168" s="3" t="str">
        <f t="shared" si="639"/>
        <v>par1_human_3VW7</v>
      </c>
      <c r="B168" s="3" t="s">
        <v>355</v>
      </c>
      <c r="C168" s="3" t="s">
        <v>93</v>
      </c>
      <c r="D168" s="3" t="str">
        <f>IFERROR(MID(VLOOKUP($B168,Seqs!$A:$B,2,0),E168,1),"")</f>
        <v>S</v>
      </c>
      <c r="E168" s="3">
        <v>99</v>
      </c>
      <c r="F168" s="3" t="str">
        <f>IFERROR(MID(VLOOKUP($B168,Seqs!$A:$B,2,0),G168,1),"")</f>
        <v>K</v>
      </c>
      <c r="G168" s="3">
        <v>130</v>
      </c>
      <c r="H168" s="3" t="str">
        <f>IFERROR(MID(VLOOKUP($B168,Seqs!$A:$B,2,0),I168,1),"")</f>
        <v/>
      </c>
      <c r="I168" s="23" t="s">
        <v>23</v>
      </c>
      <c r="J168" s="3" t="str">
        <f>IFERROR(MID(VLOOKUP($B168,Seqs!$A:$B,2,0),K168,1),"")</f>
        <v/>
      </c>
      <c r="K168" s="23" t="s">
        <v>23</v>
      </c>
      <c r="L168" s="3" t="str">
        <f>IFERROR(MID(VLOOKUP($B168,Seqs!$A:$B,2,0),M168,1),"")</f>
        <v>K</v>
      </c>
      <c r="M168" s="3">
        <v>135</v>
      </c>
      <c r="N168" s="3" t="str">
        <f>IFERROR(MID(VLOOKUP($B168,Seqs!$A:$B,2,0),O168,1),"")</f>
        <v>S</v>
      </c>
      <c r="O168" s="3">
        <v>164</v>
      </c>
      <c r="P168" s="3" t="str">
        <f>IFERROR(MID(VLOOKUP($B168,Seqs!$A:$B,2,0),Q168,1),"")</f>
        <v>D</v>
      </c>
      <c r="Q168" s="3">
        <v>167</v>
      </c>
      <c r="R168" s="3" t="str">
        <f>IFERROR(MID(VLOOKUP($B168,Seqs!$A:$B,2,0),S168,1),"")</f>
        <v>F</v>
      </c>
      <c r="S168" s="3">
        <v>170</v>
      </c>
      <c r="T168" s="3" t="str">
        <f>IFERROR(MID(VLOOKUP($B168,Seqs!$A:$B,2,0),U168,1),"")</f>
        <v>G</v>
      </c>
      <c r="U168" s="3">
        <v>171</v>
      </c>
      <c r="V168" s="3" t="str">
        <f>IFERROR(MID(VLOOKUP($B168,Seqs!$A:$B,2,0),W168,1),"")</f>
        <v>Y</v>
      </c>
      <c r="W168" s="3">
        <v>206</v>
      </c>
      <c r="X168" s="3" t="str">
        <f>IFERROR(MID(VLOOKUP($B168,Seqs!$A:$B,2,0),Y168,1),"")</f>
        <v/>
      </c>
      <c r="Y168" s="3" t="s">
        <v>23</v>
      </c>
      <c r="Z168" s="3" t="str">
        <f>IFERROR(MID(VLOOKUP($B168,Seqs!$A:$B,2,0),AA168,1),"")</f>
        <v/>
      </c>
      <c r="AA168" s="3" t="s">
        <v>23</v>
      </c>
      <c r="AB168" s="3" t="str">
        <f>IFERROR(MID(VLOOKUP($B168,Seqs!$A:$B,2,0),AC168,1),"")</f>
        <v>T</v>
      </c>
      <c r="AC168" s="9">
        <v>215</v>
      </c>
      <c r="AD168" s="3" t="str">
        <f>IFERROR(MID(VLOOKUP($B168,Seqs!$A:$B,2,0),AE168,1),"")</f>
        <v>K</v>
      </c>
      <c r="AE168" s="3">
        <v>240</v>
      </c>
      <c r="AF168" s="3" t="str">
        <f>IFERROR(MID(VLOOKUP($B168,Seqs!$A:$B,2,0),AG168,1),"")</f>
        <v>C</v>
      </c>
      <c r="AG168" s="3">
        <v>254</v>
      </c>
      <c r="AH168" s="3" t="str">
        <f>IFERROR(MID(VLOOKUP($B168,Seqs!$A:$B,2,0),AI168,1),"")</f>
        <v>D</v>
      </c>
      <c r="AI168" s="3">
        <v>256</v>
      </c>
      <c r="AJ168" s="3" t="str">
        <f>IFERROR(MID(VLOOKUP($B168,Seqs!$A:$B,2,0),AK168,1),"")</f>
        <v>E</v>
      </c>
      <c r="AK168" s="3">
        <v>264</v>
      </c>
      <c r="AL168" s="3" t="str">
        <f>IFERROR(MID(VLOOKUP($B168,Seqs!$A:$B,2,0),AM168,1),"")</f>
        <v>S</v>
      </c>
      <c r="AM168" s="3">
        <v>300</v>
      </c>
      <c r="AN168" s="3" t="str">
        <f>IFERROR(MID(VLOOKUP($B168,Seqs!$A:$B,2,0),AO168,1),"")</f>
        <v>N</v>
      </c>
      <c r="AO168" s="3">
        <v>304</v>
      </c>
      <c r="AP168" s="3" t="str">
        <f>IFERROR(MID(VLOOKUP($B168,Seqs!$A:$B,2,0),AQ168,1),"")</f>
        <v>L</v>
      </c>
      <c r="AQ168" s="3">
        <v>340</v>
      </c>
      <c r="AR168" s="3" t="str">
        <f>IFERROR(MID(VLOOKUP($B168,Seqs!$A:$B,2,0),AS168,1),"")</f>
        <v>T</v>
      </c>
      <c r="AS168" s="3">
        <v>346</v>
      </c>
      <c r="AT168" s="3" t="str">
        <f>IFERROR(MID(VLOOKUP($B168,Seqs!$A:$B,2,0),AU168,1),"")</f>
        <v>Y</v>
      </c>
      <c r="AU168" s="3">
        <v>372</v>
      </c>
      <c r="AV168" s="3" t="str">
        <f>IFERROR(MID(VLOOKUP($B168,Seqs!$A:$B,2,0),AW168,1),"")</f>
        <v/>
      </c>
      <c r="AW168" s="3" t="s">
        <v>23</v>
      </c>
      <c r="AX168" s="3" t="str">
        <f>IFERROR(MID(VLOOKUP($B168,Seqs!$A:$B,2,0),AY168,1),"")</f>
        <v/>
      </c>
      <c r="AY168" s="3" t="s">
        <v>23</v>
      </c>
      <c r="AZ168" s="79" t="str">
        <f>VLOOKUP(B168,Classification!A:D,2,0)</f>
        <v>A</v>
      </c>
      <c r="BA168" s="97" t="str">
        <f>VLOOKUP(B168,Classification!A:D,4,0)</f>
        <v>Proteinase-activated</v>
      </c>
      <c r="BB168" s="27" t="b">
        <f t="shared" si="640"/>
        <v>1</v>
      </c>
      <c r="BC168" s="23">
        <f t="shared" si="613"/>
        <v>235</v>
      </c>
      <c r="BD168" s="2" t="s">
        <v>1383</v>
      </c>
      <c r="BE168" s="3" t="s">
        <v>1381</v>
      </c>
      <c r="BF168" s="50" t="s">
        <v>1384</v>
      </c>
      <c r="BG168" s="50" t="s">
        <v>1384</v>
      </c>
      <c r="BH168" s="1"/>
      <c r="BI168" s="72" t="s">
        <v>1293</v>
      </c>
      <c r="BJ168" s="58" t="s">
        <v>1293</v>
      </c>
      <c r="BK168" s="58" t="s">
        <v>1293</v>
      </c>
      <c r="BL168" s="58" t="s">
        <v>1293</v>
      </c>
      <c r="BM168" s="58" t="s">
        <v>1293</v>
      </c>
      <c r="BN168" s="58" t="s">
        <v>1293</v>
      </c>
      <c r="BO168" s="58" t="s">
        <v>1293</v>
      </c>
      <c r="BP168" s="58" t="s">
        <v>1293</v>
      </c>
      <c r="BQ168" s="58" t="s">
        <v>1293</v>
      </c>
      <c r="BR168" s="58" t="s">
        <v>1293</v>
      </c>
      <c r="BS168" s="58" t="s">
        <v>1293</v>
      </c>
      <c r="BT168" s="58" t="s">
        <v>1293</v>
      </c>
      <c r="BU168" s="72">
        <f t="shared" si="614"/>
        <v>99</v>
      </c>
      <c r="BV168" s="73" t="str">
        <f t="shared" si="615"/>
        <v>-</v>
      </c>
      <c r="BW168" s="74">
        <f t="shared" si="616"/>
        <v>135</v>
      </c>
      <c r="BX168" s="73">
        <f t="shared" si="617"/>
        <v>167</v>
      </c>
      <c r="BY168" s="74">
        <f t="shared" si="618"/>
        <v>171</v>
      </c>
      <c r="BZ168" s="73" t="str">
        <f t="shared" si="619"/>
        <v>-</v>
      </c>
      <c r="CA168" s="74">
        <f t="shared" si="620"/>
        <v>215</v>
      </c>
      <c r="CB168" s="73">
        <f t="shared" si="621"/>
        <v>254</v>
      </c>
      <c r="CC168" s="74">
        <f t="shared" si="622"/>
        <v>264</v>
      </c>
      <c r="CD168" s="73">
        <f t="shared" si="623"/>
        <v>304</v>
      </c>
      <c r="CE168" s="74">
        <f t="shared" si="624"/>
        <v>346</v>
      </c>
      <c r="CF168" s="73" t="str">
        <f t="shared" si="625"/>
        <v>-</v>
      </c>
      <c r="CG168" s="72">
        <f t="shared" si="626"/>
        <v>130</v>
      </c>
      <c r="CH168" s="73" t="str">
        <f t="shared" si="627"/>
        <v>-</v>
      </c>
      <c r="CI168" s="74">
        <f t="shared" si="628"/>
        <v>164</v>
      </c>
      <c r="CJ168" s="74">
        <f t="shared" si="629"/>
        <v>170</v>
      </c>
      <c r="CK168" s="74">
        <f t="shared" si="630"/>
        <v>206</v>
      </c>
      <c r="CL168" s="74" t="str">
        <f t="shared" si="631"/>
        <v>-</v>
      </c>
      <c r="CM168" s="74">
        <f t="shared" si="632"/>
        <v>240</v>
      </c>
      <c r="CN168" s="74">
        <f t="shared" si="633"/>
        <v>256</v>
      </c>
      <c r="CO168" s="74">
        <f t="shared" si="634"/>
        <v>300</v>
      </c>
      <c r="CP168" s="74">
        <f t="shared" si="635"/>
        <v>340</v>
      </c>
      <c r="CQ168" s="74">
        <f t="shared" si="636"/>
        <v>372</v>
      </c>
      <c r="CR168" s="74" t="str">
        <f t="shared" si="637"/>
        <v>-</v>
      </c>
      <c r="CS168" s="23" t="e">
        <f t="shared" si="638"/>
        <v>#VALUE!</v>
      </c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  <c r="JE168" s="1"/>
      <c r="JF168" s="1"/>
      <c r="JG168" s="1"/>
      <c r="JH168" s="1"/>
      <c r="JI168" s="1"/>
      <c r="JJ168" s="1"/>
      <c r="JK168" s="1"/>
      <c r="JL168" s="1"/>
      <c r="JM168" s="1"/>
      <c r="JN168" s="1"/>
      <c r="JO168" s="1"/>
      <c r="JP168" s="1"/>
      <c r="JQ168" s="1"/>
      <c r="JR168" s="1"/>
      <c r="JS168" s="1"/>
      <c r="JT168" s="1"/>
      <c r="JU168" s="1"/>
      <c r="JV168" s="1"/>
      <c r="JW168" s="1"/>
      <c r="JX168" s="1"/>
      <c r="JY168" s="1"/>
      <c r="JZ168" s="1"/>
      <c r="KA168" s="1"/>
      <c r="KB168" s="1"/>
      <c r="KC168" s="1"/>
      <c r="KD168" s="1"/>
      <c r="KE168" s="1"/>
      <c r="KF168" s="1"/>
      <c r="KG168" s="1"/>
      <c r="KH168" s="1"/>
      <c r="KI168" s="1"/>
      <c r="KJ168" s="1"/>
      <c r="KK168" s="1"/>
      <c r="KL168" s="1"/>
      <c r="KM168" s="1"/>
      <c r="KN168" s="1"/>
      <c r="KO168" s="1"/>
      <c r="KP168" s="1"/>
      <c r="KQ168" s="1"/>
      <c r="KR168" s="1"/>
      <c r="KS168" s="1"/>
      <c r="KT168" s="1"/>
      <c r="KU168" s="1"/>
      <c r="KV168" s="1"/>
      <c r="KW168" s="1"/>
      <c r="KX168" s="1"/>
      <c r="KY168" s="1"/>
      <c r="KZ168" s="1"/>
      <c r="LA168" s="1"/>
      <c r="LB168" s="1"/>
      <c r="LC168" s="1"/>
      <c r="LD168" s="1"/>
      <c r="LE168" s="1"/>
      <c r="LF168" s="1"/>
      <c r="LG168" s="1"/>
      <c r="LH168" s="1"/>
      <c r="LI168" s="1"/>
      <c r="LJ168" s="1"/>
      <c r="LK168" s="1"/>
      <c r="LL168" s="1"/>
      <c r="LM168" s="1"/>
      <c r="LN168" s="1"/>
      <c r="LO168" s="1"/>
      <c r="LP168" s="1"/>
      <c r="LQ168" s="1"/>
      <c r="LR168" s="1"/>
      <c r="LS168" s="1"/>
      <c r="LT168" s="1"/>
      <c r="LU168" s="1"/>
      <c r="LV168" s="1"/>
      <c r="LW168" s="1"/>
      <c r="LX168" s="1"/>
      <c r="LY168" s="1"/>
      <c r="LZ168" s="1"/>
      <c r="MA168" s="1"/>
      <c r="MB168" s="1"/>
      <c r="MC168" s="1"/>
      <c r="MD168" s="1"/>
      <c r="ME168" s="1"/>
      <c r="MF168" s="1"/>
      <c r="MG168" s="1"/>
      <c r="MH168" s="1"/>
      <c r="MI168" s="1"/>
      <c r="MJ168" s="1"/>
      <c r="MK168" s="1"/>
      <c r="ML168" s="1"/>
      <c r="MM168" s="1"/>
      <c r="MN168" s="1"/>
      <c r="MO168" s="1"/>
      <c r="MP168" s="1"/>
      <c r="MQ168" s="1"/>
      <c r="MR168" s="1"/>
      <c r="MS168" s="1"/>
      <c r="MT168" s="1"/>
      <c r="MU168" s="1"/>
      <c r="MV168" s="1"/>
      <c r="MW168" s="1"/>
      <c r="MX168" s="1"/>
      <c r="MY168" s="1"/>
      <c r="MZ168" s="1"/>
      <c r="NA168" s="1"/>
      <c r="NB168" s="1"/>
      <c r="NC168" s="1"/>
      <c r="ND168" s="1"/>
      <c r="NE168" s="1"/>
      <c r="NF168" s="1"/>
      <c r="NG168" s="1"/>
      <c r="NH168" s="1"/>
      <c r="NI168" s="1"/>
      <c r="NJ168" s="1"/>
      <c r="NK168" s="1"/>
      <c r="NL168" s="1"/>
      <c r="NM168" s="1"/>
      <c r="NN168" s="1"/>
      <c r="NO168" s="1"/>
      <c r="NP168" s="1"/>
      <c r="NQ168" s="1"/>
      <c r="NR168" s="1"/>
      <c r="NS168" s="1"/>
      <c r="NT168" s="1"/>
      <c r="NU168" s="1"/>
      <c r="NV168" s="1"/>
      <c r="NW168" s="1"/>
      <c r="NX168" s="1"/>
      <c r="NY168" s="1"/>
      <c r="NZ168" s="1"/>
      <c r="OA168" s="1"/>
      <c r="OB168" s="1"/>
      <c r="OC168" s="1"/>
      <c r="OD168" s="1"/>
      <c r="OE168" s="1"/>
      <c r="OF168" s="1"/>
      <c r="OG168" s="1"/>
      <c r="OH168" s="1"/>
      <c r="OI168" s="1"/>
      <c r="OJ168" s="1"/>
      <c r="OK168" s="1"/>
      <c r="OL168" s="1"/>
      <c r="OM168" s="1"/>
      <c r="ON168" s="1"/>
      <c r="OO168" s="1"/>
      <c r="OP168" s="1"/>
      <c r="OQ168" s="1"/>
      <c r="OR168" s="1"/>
      <c r="OS168" s="1"/>
      <c r="OT168" s="1"/>
      <c r="OU168" s="1"/>
      <c r="OV168" s="1"/>
      <c r="OW168" s="1"/>
      <c r="OX168" s="1"/>
      <c r="OY168" s="1"/>
      <c r="OZ168" s="1"/>
      <c r="PA168" s="1"/>
      <c r="PB168" s="1"/>
      <c r="PC168" s="1"/>
      <c r="PD168" s="1"/>
      <c r="PE168" s="1"/>
      <c r="PF168" s="1"/>
      <c r="PG168" s="1"/>
      <c r="PH168" s="1"/>
      <c r="PI168" s="1"/>
      <c r="PJ168" s="1"/>
      <c r="PK168" s="1"/>
      <c r="PL168" s="1"/>
      <c r="PM168" s="1"/>
      <c r="PN168" s="1"/>
      <c r="PO168" s="1"/>
      <c r="PP168" s="1"/>
      <c r="PQ168" s="1"/>
      <c r="PR168" s="1"/>
      <c r="PS168" s="1"/>
      <c r="PT168" s="1"/>
      <c r="PU168" s="1"/>
      <c r="PV168" s="1"/>
      <c r="PW168" s="1"/>
      <c r="PX168" s="1"/>
      <c r="PY168" s="1"/>
      <c r="PZ168" s="1"/>
      <c r="QA168" s="1"/>
      <c r="QB168" s="1"/>
      <c r="QC168" s="1"/>
      <c r="QD168" s="1"/>
      <c r="QE168" s="1"/>
      <c r="QF168" s="1"/>
      <c r="QG168" s="1"/>
      <c r="QH168" s="1"/>
      <c r="QI168" s="1"/>
      <c r="QJ168" s="1"/>
      <c r="QK168" s="1"/>
      <c r="QL168" s="1"/>
      <c r="QM168" s="1"/>
      <c r="QN168" s="1"/>
      <c r="QO168" s="1"/>
      <c r="QP168" s="1"/>
      <c r="QQ168" s="1"/>
      <c r="QR168" s="1"/>
      <c r="QS168" s="1"/>
      <c r="QT168" s="1"/>
      <c r="QU168" s="1"/>
      <c r="QV168" s="1"/>
      <c r="QW168" s="1"/>
      <c r="QX168" s="1"/>
      <c r="QY168" s="1"/>
      <c r="QZ168" s="1"/>
      <c r="RA168" s="1"/>
      <c r="RB168" s="1"/>
      <c r="RC168" s="1"/>
      <c r="RD168" s="1"/>
      <c r="RE168" s="1"/>
      <c r="RF168" s="1"/>
      <c r="RG168" s="1"/>
      <c r="RH168" s="1"/>
      <c r="RI168" s="1"/>
      <c r="RJ168" s="1"/>
      <c r="RK168" s="1"/>
      <c r="RL168" s="1"/>
      <c r="RM168" s="1"/>
      <c r="RN168" s="1"/>
      <c r="RO168" s="1"/>
      <c r="RP168" s="1"/>
      <c r="RQ168" s="1"/>
      <c r="RR168" s="1"/>
      <c r="RS168" s="1"/>
      <c r="RT168" s="1"/>
      <c r="RU168" s="1"/>
      <c r="RV168" s="1"/>
      <c r="RW168" s="1"/>
      <c r="RX168" s="1"/>
      <c r="RY168" s="1"/>
      <c r="RZ168" s="1"/>
      <c r="SA168" s="1"/>
      <c r="SB168" s="1"/>
      <c r="SC168" s="1"/>
      <c r="SD168" s="1"/>
      <c r="SE168" s="1"/>
      <c r="SF168" s="1"/>
      <c r="SG168" s="1"/>
      <c r="SH168" s="1"/>
      <c r="SI168" s="1"/>
      <c r="SJ168" s="1"/>
      <c r="SK168" s="1"/>
      <c r="SL168" s="1"/>
      <c r="SM168" s="1"/>
      <c r="SN168" s="1"/>
      <c r="SO168" s="1"/>
      <c r="SP168" s="1"/>
      <c r="SQ168" s="1"/>
      <c r="SR168" s="1"/>
      <c r="SS168" s="1"/>
      <c r="ST168" s="1"/>
      <c r="SU168" s="1"/>
      <c r="SV168" s="1"/>
      <c r="SW168" s="1"/>
      <c r="SX168" s="1"/>
      <c r="SY168" s="1"/>
      <c r="SZ168" s="1"/>
      <c r="TA168" s="1"/>
      <c r="TB168" s="1"/>
      <c r="TC168" s="1"/>
      <c r="TD168" s="1"/>
      <c r="TE168" s="1"/>
      <c r="TF168" s="1"/>
      <c r="TG168" s="1"/>
      <c r="TH168" s="1"/>
      <c r="TI168" s="1"/>
      <c r="TJ168" s="1"/>
      <c r="TK168" s="1"/>
      <c r="TL168" s="1"/>
      <c r="TM168" s="1"/>
      <c r="TN168" s="1"/>
      <c r="TO168" s="1"/>
      <c r="TP168" s="1"/>
      <c r="TQ168" s="1"/>
      <c r="TR168" s="1"/>
      <c r="TS168" s="1"/>
      <c r="TT168" s="1"/>
      <c r="TU168" s="1"/>
      <c r="TV168" s="1"/>
      <c r="TW168" s="1"/>
      <c r="TX168" s="1"/>
      <c r="TY168" s="1"/>
      <c r="TZ168" s="1"/>
      <c r="UA168" s="1"/>
      <c r="UB168" s="1"/>
      <c r="UC168" s="1"/>
      <c r="UD168" s="1"/>
      <c r="UE168" s="1"/>
      <c r="UF168" s="1"/>
      <c r="UG168" s="1"/>
      <c r="UH168" s="1"/>
      <c r="UI168" s="1"/>
      <c r="UJ168" s="1"/>
      <c r="UK168" s="1"/>
      <c r="UL168" s="1"/>
      <c r="UM168" s="1"/>
      <c r="UN168" s="1"/>
      <c r="UO168" s="1"/>
      <c r="UP168" s="1"/>
      <c r="UQ168" s="1"/>
      <c r="UR168" s="1"/>
      <c r="US168" s="1"/>
      <c r="UT168" s="1"/>
      <c r="UU168" s="1"/>
      <c r="UV168" s="1"/>
      <c r="UW168" s="1"/>
      <c r="UX168" s="1"/>
      <c r="UY168" s="1"/>
      <c r="UZ168" s="1"/>
      <c r="VA168" s="1"/>
      <c r="VB168" s="1"/>
      <c r="VC168" s="1"/>
      <c r="VD168" s="1"/>
      <c r="VE168" s="1"/>
      <c r="VF168" s="1"/>
      <c r="VG168" s="1"/>
      <c r="VH168" s="1"/>
      <c r="VI168" s="1"/>
      <c r="VJ168" s="1"/>
      <c r="VK168" s="1"/>
      <c r="VL168" s="1"/>
      <c r="VM168" s="1"/>
      <c r="VN168" s="1"/>
      <c r="VO168" s="1"/>
      <c r="VP168" s="1"/>
      <c r="VQ168" s="1"/>
      <c r="VR168" s="1"/>
      <c r="VS168" s="1"/>
      <c r="VT168" s="1"/>
      <c r="VU168" s="1"/>
      <c r="VV168" s="1"/>
      <c r="VW168" s="1"/>
      <c r="VX168" s="1"/>
      <c r="VY168" s="1"/>
      <c r="VZ168" s="1"/>
      <c r="WA168" s="1"/>
      <c r="WB168" s="1"/>
      <c r="WC168" s="1"/>
      <c r="WD168" s="1"/>
      <c r="WE168" s="1"/>
      <c r="WF168" s="1"/>
      <c r="WG168" s="1"/>
      <c r="WH168" s="1"/>
      <c r="WI168" s="1"/>
      <c r="WJ168" s="1"/>
      <c r="WK168" s="1"/>
      <c r="WL168" s="1"/>
      <c r="WM168" s="1"/>
      <c r="WN168" s="1"/>
      <c r="WO168" s="1"/>
      <c r="WP168" s="1"/>
      <c r="WQ168" s="1"/>
      <c r="WR168" s="1"/>
      <c r="WS168" s="1"/>
      <c r="WT168" s="1"/>
      <c r="WU168" s="1"/>
      <c r="WV168" s="1"/>
      <c r="WW168" s="1"/>
      <c r="WX168" s="1"/>
      <c r="WY168" s="1"/>
      <c r="WZ168" s="1"/>
      <c r="XA168" s="1"/>
      <c r="XB168" s="1"/>
      <c r="XC168" s="1"/>
      <c r="XD168" s="1"/>
      <c r="XE168" s="1"/>
      <c r="XF168" s="1"/>
      <c r="XG168" s="1"/>
      <c r="XH168" s="1"/>
      <c r="XI168" s="1"/>
      <c r="XJ168" s="1"/>
      <c r="XK168" s="1"/>
      <c r="XL168" s="1"/>
      <c r="XM168" s="1"/>
      <c r="XN168" s="1"/>
      <c r="XO168" s="1"/>
      <c r="XP168" s="1"/>
      <c r="XQ168" s="1"/>
      <c r="XR168" s="1"/>
      <c r="XS168" s="1"/>
      <c r="XT168" s="1"/>
      <c r="XU168" s="1"/>
      <c r="XV168" s="1"/>
      <c r="XW168" s="1"/>
      <c r="XX168" s="1"/>
      <c r="XY168" s="1"/>
      <c r="XZ168" s="1"/>
      <c r="YA168" s="1"/>
      <c r="YB168" s="1"/>
      <c r="YC168" s="1"/>
      <c r="YD168" s="1"/>
      <c r="YE168" s="1"/>
      <c r="YF168" s="1"/>
      <c r="YG168" s="1"/>
      <c r="YH168" s="1"/>
      <c r="YI168" s="1"/>
      <c r="YJ168" s="1"/>
      <c r="YK168" s="1"/>
      <c r="YL168" s="1"/>
      <c r="YM168" s="1"/>
      <c r="YN168" s="1"/>
      <c r="YO168" s="1"/>
      <c r="YP168" s="1"/>
      <c r="YQ168" s="1"/>
      <c r="YR168" s="1"/>
      <c r="YS168" s="1"/>
      <c r="YT168" s="1"/>
      <c r="YU168" s="1"/>
      <c r="YV168" s="1"/>
      <c r="YW168" s="1"/>
      <c r="YX168" s="1"/>
      <c r="YY168" s="1"/>
      <c r="YZ168" s="1"/>
      <c r="ZA168" s="1"/>
      <c r="ZB168" s="1"/>
      <c r="ZC168" s="1"/>
      <c r="ZD168" s="1"/>
      <c r="ZE168" s="1"/>
      <c r="ZF168" s="1"/>
      <c r="ZG168" s="1"/>
      <c r="ZH168" s="1"/>
      <c r="ZI168" s="1"/>
      <c r="ZJ168" s="1"/>
      <c r="ZK168" s="1"/>
      <c r="ZL168" s="1"/>
      <c r="ZM168" s="1"/>
      <c r="ZN168" s="1"/>
      <c r="ZO168" s="1"/>
      <c r="ZP168" s="1"/>
      <c r="ZQ168" s="1"/>
      <c r="ZR168" s="1"/>
      <c r="ZS168" s="1"/>
      <c r="ZT168" s="1"/>
      <c r="ZU168" s="1"/>
      <c r="ZV168" s="1"/>
      <c r="ZW168" s="1"/>
      <c r="ZX168" s="1"/>
      <c r="ZY168" s="1"/>
      <c r="ZZ168" s="1"/>
      <c r="AAA168" s="1"/>
      <c r="AAB168" s="1"/>
      <c r="AAC168" s="1"/>
      <c r="AAD168" s="1"/>
      <c r="AAE168" s="1"/>
      <c r="AAF168" s="1"/>
      <c r="AAG168" s="1"/>
      <c r="AAH168" s="1"/>
      <c r="AAI168" s="1"/>
      <c r="AAJ168" s="1"/>
      <c r="AAK168" s="1"/>
      <c r="AAL168" s="1"/>
      <c r="AAM168" s="1"/>
      <c r="AAN168" s="1"/>
      <c r="AAO168" s="1"/>
      <c r="AAP168" s="1"/>
      <c r="AAQ168" s="1"/>
      <c r="AAR168" s="1"/>
      <c r="AAS168" s="1"/>
      <c r="AAT168" s="1"/>
      <c r="AAU168" s="1"/>
      <c r="AAV168" s="1"/>
      <c r="AAW168" s="1"/>
      <c r="AAX168" s="1"/>
      <c r="AAY168" s="1"/>
      <c r="AAZ168" s="1"/>
      <c r="ABA168" s="1"/>
      <c r="ABB168" s="1"/>
      <c r="ABC168" s="1"/>
      <c r="ABD168" s="1"/>
      <c r="ABE168" s="1"/>
      <c r="ABF168" s="1"/>
      <c r="ABG168" s="1"/>
      <c r="ABH168" s="1"/>
      <c r="ABI168" s="1"/>
      <c r="ABJ168" s="1"/>
      <c r="ABK168" s="1"/>
      <c r="ABL168" s="1"/>
      <c r="ABM168" s="1"/>
      <c r="ABN168" s="1"/>
      <c r="ABO168" s="1"/>
      <c r="ABP168" s="1"/>
      <c r="ABQ168" s="1"/>
      <c r="ABR168" s="1"/>
      <c r="ABS168" s="1"/>
      <c r="ABT168" s="1"/>
      <c r="ABU168" s="1"/>
      <c r="ABV168" s="1"/>
      <c r="ABW168" s="1"/>
      <c r="ABX168" s="1"/>
      <c r="ABY168" s="1"/>
      <c r="ABZ168" s="1"/>
      <c r="ACA168" s="1"/>
      <c r="ACB168" s="1"/>
      <c r="ACC168" s="1"/>
      <c r="ACD168" s="1"/>
      <c r="ACE168" s="1"/>
      <c r="ACF168" s="1"/>
      <c r="ACG168" s="1"/>
      <c r="ACH168" s="1"/>
      <c r="ACI168" s="1"/>
      <c r="ACJ168" s="1"/>
      <c r="ACK168" s="1"/>
      <c r="ACL168" s="1"/>
      <c r="ACM168" s="1"/>
      <c r="ACN168" s="1"/>
      <c r="ACO168" s="1"/>
      <c r="ACP168" s="1"/>
      <c r="ACQ168" s="1"/>
      <c r="ACR168" s="1"/>
      <c r="ACS168" s="1"/>
      <c r="ACT168" s="1"/>
      <c r="ACU168" s="1"/>
      <c r="ACV168" s="1"/>
      <c r="ACW168" s="1"/>
      <c r="ACX168" s="1"/>
      <c r="ACY168" s="1"/>
      <c r="ACZ168" s="1"/>
      <c r="ADA168" s="1"/>
      <c r="ADB168" s="1"/>
      <c r="ADC168" s="1"/>
      <c r="ADD168" s="1"/>
      <c r="ADE168" s="1"/>
      <c r="ADF168" s="1"/>
      <c r="ADG168" s="1"/>
      <c r="ADH168" s="1"/>
      <c r="ADI168" s="1"/>
      <c r="ADJ168" s="1"/>
      <c r="ADK168" s="1"/>
      <c r="ADL168" s="1"/>
      <c r="ADM168" s="1"/>
      <c r="ADN168" s="1"/>
      <c r="ADO168" s="1"/>
      <c r="ADP168" s="1"/>
      <c r="ADQ168" s="1"/>
      <c r="ADR168" s="1"/>
      <c r="ADS168" s="1"/>
      <c r="ADT168" s="1"/>
      <c r="ADU168" s="1"/>
      <c r="ADV168" s="1"/>
      <c r="ADW168" s="1"/>
      <c r="ADX168" s="1"/>
      <c r="ADY168" s="1"/>
      <c r="ADZ168" s="1"/>
      <c r="AEA168" s="1"/>
      <c r="AEB168" s="1"/>
      <c r="AEC168" s="1"/>
      <c r="AED168" s="1"/>
      <c r="AEE168" s="1"/>
      <c r="AEF168" s="1"/>
      <c r="AEG168" s="1"/>
      <c r="AEH168" s="1"/>
      <c r="AEI168" s="1"/>
      <c r="AEJ168" s="1"/>
      <c r="AEK168" s="1"/>
      <c r="AEL168" s="1"/>
      <c r="AEM168" s="1"/>
      <c r="AEN168" s="1"/>
      <c r="AEO168" s="1"/>
      <c r="AEP168" s="1"/>
      <c r="AEQ168" s="1"/>
      <c r="AER168" s="1"/>
      <c r="AES168" s="1"/>
      <c r="AET168" s="1"/>
      <c r="AEU168" s="1"/>
      <c r="AEV168" s="1"/>
      <c r="AEW168" s="1"/>
      <c r="AEX168" s="1"/>
      <c r="AEY168" s="1"/>
      <c r="AEZ168" s="1"/>
      <c r="AFA168" s="1"/>
      <c r="AFB168" s="1"/>
      <c r="AFC168" s="1"/>
      <c r="AFD168" s="1"/>
      <c r="AFE168" s="1"/>
      <c r="AFF168" s="1"/>
      <c r="AFG168" s="1"/>
      <c r="AFH168" s="1"/>
      <c r="AFI168" s="1"/>
      <c r="AFJ168" s="1"/>
      <c r="AFK168" s="1"/>
      <c r="AFL168" s="1"/>
      <c r="AFM168" s="1"/>
      <c r="AFN168" s="1"/>
      <c r="AFO168" s="1"/>
      <c r="AFP168" s="1"/>
      <c r="AFQ168" s="1"/>
      <c r="AFR168" s="1"/>
      <c r="AFS168" s="1"/>
      <c r="AFT168" s="1"/>
      <c r="AFU168" s="1"/>
      <c r="AFV168" s="1"/>
      <c r="AFW168" s="1"/>
      <c r="AFX168" s="1"/>
      <c r="AFY168" s="1"/>
      <c r="AFZ168" s="1"/>
      <c r="AGA168" s="1"/>
      <c r="AGB168" s="1"/>
      <c r="AGC168" s="1"/>
      <c r="AGD168" s="1"/>
      <c r="AGE168" s="1"/>
      <c r="AGF168" s="1"/>
      <c r="AGG168" s="1"/>
      <c r="AGH168" s="1"/>
      <c r="AGI168" s="1"/>
      <c r="AGJ168" s="1"/>
      <c r="AGK168" s="1"/>
      <c r="AGL168" s="1"/>
      <c r="AGM168" s="1"/>
      <c r="AGN168" s="1"/>
      <c r="AGO168" s="1"/>
      <c r="AGP168" s="1"/>
      <c r="AGQ168" s="1"/>
      <c r="AGR168" s="1"/>
      <c r="AGS168" s="1"/>
      <c r="AGT168" s="1"/>
      <c r="AGU168" s="1"/>
      <c r="AGV168" s="1"/>
      <c r="AGW168" s="1"/>
      <c r="AGX168" s="1"/>
      <c r="AGY168" s="1"/>
      <c r="AGZ168" s="1"/>
      <c r="AHA168" s="1"/>
      <c r="AHB168" s="1"/>
      <c r="AHC168" s="1"/>
      <c r="AHD168" s="1"/>
      <c r="AHE168" s="1"/>
      <c r="AHF168" s="1"/>
      <c r="AHG168" s="1"/>
      <c r="AHH168" s="1"/>
      <c r="AHI168" s="1"/>
      <c r="AHJ168" s="1"/>
      <c r="AHK168" s="1"/>
      <c r="AHL168" s="1"/>
      <c r="AHM168" s="1"/>
      <c r="AHN168" s="1"/>
      <c r="AHO168" s="1"/>
      <c r="AHP168" s="1"/>
      <c r="AHQ168" s="1"/>
      <c r="AHR168" s="1"/>
      <c r="AHS168" s="1"/>
      <c r="AHT168" s="1"/>
      <c r="AHU168" s="1"/>
      <c r="AHV168" s="1"/>
      <c r="AHW168" s="1"/>
      <c r="AHX168" s="1"/>
      <c r="AHY168" s="1"/>
      <c r="AHZ168" s="1"/>
      <c r="AIA168" s="1"/>
      <c r="AIB168" s="1"/>
      <c r="AIC168" s="1"/>
      <c r="AID168" s="1"/>
      <c r="AIE168" s="1"/>
      <c r="AIF168" s="1"/>
      <c r="AIG168" s="1"/>
      <c r="AIH168" s="1"/>
      <c r="AII168" s="1"/>
      <c r="AIJ168" s="1"/>
      <c r="AIK168" s="1"/>
      <c r="AIL168" s="1"/>
      <c r="AIM168" s="1"/>
      <c r="AIN168" s="1"/>
      <c r="AIO168" s="1"/>
      <c r="AIP168" s="1"/>
      <c r="AIQ168" s="1"/>
      <c r="AIR168" s="1"/>
      <c r="AIS168" s="1"/>
      <c r="AIT168" s="1"/>
      <c r="AIU168" s="1"/>
      <c r="AIV168" s="1"/>
      <c r="AIW168" s="1"/>
      <c r="AIX168" s="1"/>
      <c r="AIY168" s="1"/>
      <c r="AIZ168" s="1"/>
      <c r="AJA168" s="1"/>
      <c r="AJB168" s="1"/>
      <c r="AJC168" s="1"/>
      <c r="AJD168" s="1"/>
      <c r="AJE168" s="1"/>
      <c r="AJF168" s="1"/>
      <c r="AJG168" s="1"/>
      <c r="AJH168" s="1"/>
      <c r="AJI168" s="1"/>
      <c r="AJJ168" s="1"/>
      <c r="AJK168" s="1"/>
      <c r="AJL168" s="1"/>
      <c r="AJM168" s="1"/>
      <c r="AJN168" s="1"/>
      <c r="AJO168" s="1"/>
      <c r="AJP168" s="1"/>
      <c r="AJQ168" s="1"/>
      <c r="AJR168" s="1"/>
      <c r="AJS168" s="1"/>
      <c r="AJT168" s="1"/>
      <c r="AJU168" s="1"/>
      <c r="AJV168" s="1"/>
      <c r="AJW168" s="1"/>
      <c r="AJX168" s="1"/>
      <c r="AJY168" s="1"/>
      <c r="AJZ168" s="1"/>
      <c r="AKA168" s="1"/>
      <c r="AKB168" s="1"/>
      <c r="AKC168" s="1"/>
      <c r="AKD168" s="1"/>
      <c r="AKE168" s="1"/>
      <c r="AKF168" s="1"/>
      <c r="AKG168" s="1"/>
      <c r="AKH168" s="1"/>
      <c r="AKI168" s="1"/>
      <c r="AKJ168" s="1"/>
      <c r="AKK168" s="1"/>
      <c r="AKL168" s="1"/>
      <c r="AKM168" s="1"/>
      <c r="AKN168" s="1"/>
      <c r="AKO168" s="1"/>
      <c r="AKP168" s="1"/>
      <c r="AKQ168" s="1"/>
      <c r="AKR168" s="1"/>
      <c r="AKS168" s="1"/>
      <c r="AKT168" s="1"/>
      <c r="AKU168" s="1"/>
      <c r="AKV168" s="1"/>
      <c r="AKW168" s="1"/>
      <c r="AKX168" s="1"/>
      <c r="AKY168" s="1"/>
      <c r="AKZ168" s="1"/>
      <c r="ALA168" s="1"/>
      <c r="ALB168" s="1"/>
      <c r="ALC168" s="1"/>
      <c r="ALD168" s="1"/>
      <c r="ALE168" s="1"/>
      <c r="ALF168" s="1"/>
      <c r="ALG168" s="1"/>
      <c r="ALH168" s="1"/>
      <c r="ALI168" s="1"/>
      <c r="ALJ168" s="1"/>
      <c r="ALK168" s="1"/>
      <c r="ALL168" s="1"/>
      <c r="ALM168" s="1"/>
      <c r="ALN168" s="1"/>
      <c r="ALO168" s="1"/>
      <c r="ALP168" s="1"/>
      <c r="ALQ168" s="1"/>
      <c r="ALR168" s="1"/>
      <c r="ALS168" s="1"/>
      <c r="ALT168" s="1"/>
      <c r="ALU168" s="1"/>
      <c r="ALV168" s="1"/>
      <c r="ALW168" s="1"/>
      <c r="ALX168" s="1"/>
      <c r="ALY168" s="1"/>
      <c r="ALZ168" s="1"/>
      <c r="AMA168" s="1"/>
      <c r="AMB168" s="1"/>
      <c r="AMC168" s="1"/>
      <c r="AMD168" s="1"/>
      <c r="AME168" s="1"/>
      <c r="AMF168" s="1"/>
      <c r="AMG168" s="1"/>
      <c r="AMH168" s="1"/>
      <c r="AMI168" s="1"/>
      <c r="AMJ168" s="1"/>
      <c r="AMK168" s="1"/>
      <c r="AML168" s="1"/>
      <c r="AMM168" s="1"/>
      <c r="AMN168" s="1"/>
    </row>
    <row r="169" spans="1:1028" s="12" customFormat="1" x14ac:dyDescent="0.2">
      <c r="A169" s="9" t="str">
        <f t="shared" ref="A169:A170" si="697">CONCATENATE(B169,"_",C169)</f>
        <v>par2_human__wt</v>
      </c>
      <c r="B169" s="9" t="s">
        <v>356</v>
      </c>
      <c r="C169" s="9" t="s">
        <v>100</v>
      </c>
      <c r="D169" s="9" t="str">
        <f>IFERROR(MID(VLOOKUP($B169,Seqs!$A:$B,2,0),E169,1),"")</f>
        <v>G</v>
      </c>
      <c r="E169" s="9">
        <v>71</v>
      </c>
      <c r="F169" s="9" t="str">
        <f>IFERROR(MID(VLOOKUP($B169,Seqs!$A:$B,2,0),G169,1),"")</f>
        <v>R</v>
      </c>
      <c r="G169" s="9">
        <v>103</v>
      </c>
      <c r="H169" s="9" t="str">
        <f>IFERROR(MID(VLOOKUP($B169,Seqs!$A:$B,2,0),I169,1),"")</f>
        <v/>
      </c>
      <c r="I169" s="112" t="s">
        <v>23</v>
      </c>
      <c r="J169" s="9" t="str">
        <f>IFERROR(MID(VLOOKUP($B169,Seqs!$A:$B,2,0),K169,1),"")</f>
        <v/>
      </c>
      <c r="K169" s="112" t="s">
        <v>23</v>
      </c>
      <c r="L169" s="9" t="str">
        <f>IFERROR(MID(VLOOKUP($B169,Seqs!$A:$B,2,0),M169,1),"")</f>
        <v>H</v>
      </c>
      <c r="M169" s="9">
        <v>108</v>
      </c>
      <c r="N169" s="9" t="str">
        <f>IFERROR(MID(VLOOKUP($B169,Seqs!$A:$B,2,0),O169,1),"")</f>
        <v>H</v>
      </c>
      <c r="O169" s="9">
        <v>137</v>
      </c>
      <c r="P169" s="9" t="str">
        <f>IFERROR(MID(VLOOKUP($B169,Seqs!$A:$B,2,0),Q169,1),"")</f>
        <v>G</v>
      </c>
      <c r="Q169" s="9">
        <v>138</v>
      </c>
      <c r="R169" s="9" t="str">
        <f>IFERROR(MID(VLOOKUP($B169,Seqs!$A:$B,2,0),S169,1),"")</f>
        <v>Y</v>
      </c>
      <c r="S169" s="9">
        <v>143</v>
      </c>
      <c r="T169" s="9" t="str">
        <f>IFERROR(MID(VLOOKUP($B169,Seqs!$A:$B,2,0),U169,1),"")</f>
        <v>G</v>
      </c>
      <c r="U169" s="9">
        <v>144</v>
      </c>
      <c r="V169" s="9" t="str">
        <f>IFERROR(MID(VLOOKUP($B169,Seqs!$A:$B,2,0),W169,1),"")</f>
        <v>N</v>
      </c>
      <c r="W169" s="9">
        <v>179</v>
      </c>
      <c r="X169" s="9" t="str">
        <f>IFERROR(MID(VLOOKUP($B169,Seqs!$A:$B,2,0),Y169,1),"")</f>
        <v>P</v>
      </c>
      <c r="Y169" s="9">
        <v>180</v>
      </c>
      <c r="Z169" s="9" t="str">
        <f>IFERROR(MID(VLOOKUP($B169,Seqs!$A:$B,2,0),AA169,1),"")</f>
        <v>K</v>
      </c>
      <c r="AA169" s="9">
        <v>186</v>
      </c>
      <c r="AB169" s="9" t="str">
        <f>IFERROR(MID(VLOOKUP($B169,Seqs!$A:$B,2,0),AC169,1),"")</f>
        <v>K</v>
      </c>
      <c r="AC169" s="9">
        <v>187</v>
      </c>
      <c r="AD169" s="9" t="str">
        <f>IFERROR(MID(VLOOKUP($B169,Seqs!$A:$B,2,0),AE169,1),"")</f>
        <v>V</v>
      </c>
      <c r="AE169" s="9">
        <v>211</v>
      </c>
      <c r="AF169" s="9" t="str">
        <f>IFERROR(MID(VLOOKUP($B169,Seqs!$A:$B,2,0),AG169,1),"")</f>
        <v>C</v>
      </c>
      <c r="AG169" s="9">
        <v>226</v>
      </c>
      <c r="AH169" s="9" t="str">
        <f>IFERROR(MID(VLOOKUP($B169,Seqs!$A:$B,2,0),AI169,1),"")</f>
        <v>D</v>
      </c>
      <c r="AI169" s="9">
        <v>228</v>
      </c>
      <c r="AJ169" s="9" t="str">
        <f>IFERROR(MID(VLOOKUP($B169,Seqs!$A:$B,2,0),AK169,1),"")</f>
        <v>L</v>
      </c>
      <c r="AK169" s="9">
        <v>235</v>
      </c>
      <c r="AL169" s="9" t="str">
        <f>IFERROR(MID(VLOOKUP($B169,Seqs!$A:$B,2,0),AM169,1),"")</f>
        <v>S</v>
      </c>
      <c r="AM169" s="9">
        <v>272</v>
      </c>
      <c r="AN169" s="9" t="str">
        <f>IFERROR(MID(VLOOKUP($B169,Seqs!$A:$B,2,0),AO169,1),"")</f>
        <v>S</v>
      </c>
      <c r="AO169" s="9">
        <v>278</v>
      </c>
      <c r="AP169" s="9" t="str">
        <f>IFERROR(MID(VLOOKUP($B169,Seqs!$A:$B,2,0),AQ169,1),"")</f>
        <v>Q</v>
      </c>
      <c r="AQ169" s="9">
        <v>317</v>
      </c>
      <c r="AR169" s="9" t="str">
        <f>IFERROR(MID(VLOOKUP($B169,Seqs!$A:$B,2,0),AS169,1),"")</f>
        <v>V</v>
      </c>
      <c r="AS169" s="9">
        <v>322</v>
      </c>
      <c r="AT169" s="9" t="str">
        <f>IFERROR(MID(VLOOKUP($B169,Seqs!$A:$B,2,0),AU169,1),"")</f>
        <v>V</v>
      </c>
      <c r="AU169" s="9">
        <v>347</v>
      </c>
      <c r="AV169" s="9" t="str">
        <f>IFERROR(MID(VLOOKUP($B169,Seqs!$A:$B,2,0),AW169,1),"")</f>
        <v>S</v>
      </c>
      <c r="AW169" s="9">
        <v>348</v>
      </c>
      <c r="AX169" s="9" t="str">
        <f>IFERROR(MID(VLOOKUP($B169,Seqs!$A:$B,2,0),AY169,1),"")</f>
        <v>R</v>
      </c>
      <c r="AY169" s="9">
        <v>362</v>
      </c>
      <c r="AZ169" s="113" t="str">
        <f>VLOOKUP(B169,Classification!A:D,2,0)</f>
        <v>A</v>
      </c>
      <c r="BA169" s="101" t="str">
        <f>VLOOKUP(B169,Classification!A:D,4,0)</f>
        <v>Proteinase-activated</v>
      </c>
      <c r="BB169" s="37" t="b">
        <f t="shared" ref="BB169:BB170" si="698">AND(E169&lt;G169,OR(G169&lt;I169,I169="-"),OR(I169&lt;K169,I169="-"),OR(K169&lt;M169,K169="-"),M169&lt;O169,OR(O169&lt;Q169,Q169="-"),OR(Q169&lt;S169,Q169="-"),OR(S169&lt;U169,S169="-"),U169&lt;W169,OR(W169&lt;Y169,Y169="-"),OR(Y169&lt;AA169,Y169="-"),OR(AA169&lt;AC169,AA169="-"),AC169&lt;AE169,OR(AE169&lt;AG169,AG169="-"),OR(AG169&lt;AI169,AG169="-"),OR(AI169&lt;AK169,AI169="-"),AK169&lt;AM169,AM169&lt;AO169,AO169&lt;AQ169,AQ169&lt;AS169,AS169&lt;AU169,OR(AU169&lt;AW169,AW169="-"),OR(AW169&lt;AY169,AW169="-"))</f>
        <v>1</v>
      </c>
      <c r="BC169" s="112">
        <f t="shared" ref="BC169:BC170" si="699">_xlfn.AGGREGATE(9,6,CG169:CR169)-_xlfn.AGGREGATE(9,6,BU169:CF169)+12</f>
        <v>260</v>
      </c>
      <c r="BD169" s="41" t="s">
        <v>23</v>
      </c>
      <c r="BE169" s="9" t="s">
        <v>1381</v>
      </c>
      <c r="BF169" s="52" t="s">
        <v>1384</v>
      </c>
      <c r="BG169" s="52" t="s">
        <v>1384</v>
      </c>
      <c r="BI169" s="114" t="s">
        <v>1293</v>
      </c>
      <c r="BJ169" s="115" t="s">
        <v>1293</v>
      </c>
      <c r="BK169" s="115" t="s">
        <v>1293</v>
      </c>
      <c r="BL169" s="115" t="s">
        <v>1293</v>
      </c>
      <c r="BM169" s="115" t="s">
        <v>1293</v>
      </c>
      <c r="BN169" s="115" t="s">
        <v>1293</v>
      </c>
      <c r="BO169" s="115" t="s">
        <v>1293</v>
      </c>
      <c r="BP169" s="115" t="s">
        <v>1293</v>
      </c>
      <c r="BQ169" s="115" t="s">
        <v>1293</v>
      </c>
      <c r="BR169" s="115" t="s">
        <v>1293</v>
      </c>
      <c r="BS169" s="115" t="s">
        <v>1293</v>
      </c>
      <c r="BT169" s="115" t="s">
        <v>1293</v>
      </c>
      <c r="BU169" s="114">
        <f t="shared" ref="BU169:BU170" si="700">E169</f>
        <v>71</v>
      </c>
      <c r="BV169" s="116" t="str">
        <f t="shared" ref="BV169:BV170" si="701">I169</f>
        <v>-</v>
      </c>
      <c r="BW169" s="117">
        <f t="shared" ref="BW169:BW170" si="702">M169</f>
        <v>108</v>
      </c>
      <c r="BX169" s="116">
        <f t="shared" ref="BX169:BX170" si="703">Q169</f>
        <v>138</v>
      </c>
      <c r="BY169" s="117">
        <f t="shared" ref="BY169:BY170" si="704">U169</f>
        <v>144</v>
      </c>
      <c r="BZ169" s="116">
        <f t="shared" ref="BZ169:BZ170" si="705">Y169</f>
        <v>180</v>
      </c>
      <c r="CA169" s="117">
        <f t="shared" ref="CA169:CA170" si="706">AC169</f>
        <v>187</v>
      </c>
      <c r="CB169" s="116">
        <f t="shared" ref="CB169:CB170" si="707">AG169</f>
        <v>226</v>
      </c>
      <c r="CC169" s="117">
        <f t="shared" ref="CC169:CC170" si="708">AK169</f>
        <v>235</v>
      </c>
      <c r="CD169" s="116">
        <f t="shared" ref="CD169:CD170" si="709">AO169</f>
        <v>278</v>
      </c>
      <c r="CE169" s="117">
        <f t="shared" ref="CE169:CE170" si="710">AS169</f>
        <v>322</v>
      </c>
      <c r="CF169" s="116">
        <f t="shared" ref="CF169:CF170" si="711">AW169</f>
        <v>348</v>
      </c>
      <c r="CG169" s="114">
        <f t="shared" ref="CG169:CG170" si="712">G169</f>
        <v>103</v>
      </c>
      <c r="CH169" s="116" t="str">
        <f t="shared" ref="CH169:CH170" si="713">K169</f>
        <v>-</v>
      </c>
      <c r="CI169" s="117">
        <f t="shared" ref="CI169:CI170" si="714">O169</f>
        <v>137</v>
      </c>
      <c r="CJ169" s="117">
        <f t="shared" ref="CJ169:CJ170" si="715">S169</f>
        <v>143</v>
      </c>
      <c r="CK169" s="117">
        <f t="shared" ref="CK169:CK170" si="716">W169</f>
        <v>179</v>
      </c>
      <c r="CL169" s="117">
        <f t="shared" ref="CL169:CL170" si="717">AA169</f>
        <v>186</v>
      </c>
      <c r="CM169" s="117">
        <f t="shared" ref="CM169:CM170" si="718">AE169</f>
        <v>211</v>
      </c>
      <c r="CN169" s="117">
        <f t="shared" ref="CN169:CN170" si="719">AI169</f>
        <v>228</v>
      </c>
      <c r="CO169" s="117">
        <f t="shared" ref="CO169:CO170" si="720">AM169</f>
        <v>272</v>
      </c>
      <c r="CP169" s="117">
        <f t="shared" ref="CP169:CP170" si="721">AQ169</f>
        <v>317</v>
      </c>
      <c r="CQ169" s="117">
        <f t="shared" ref="CQ169:CQ170" si="722">AU169</f>
        <v>347</v>
      </c>
      <c r="CR169" s="117">
        <f t="shared" ref="CR169:CR170" si="723">AY169</f>
        <v>362</v>
      </c>
      <c r="CS169" s="112" t="e">
        <f t="shared" ref="CS169:CS170" si="724">M169-K169</f>
        <v>#VALUE!</v>
      </c>
    </row>
    <row r="170" spans="1:1028" s="12" customFormat="1" x14ac:dyDescent="0.2">
      <c r="A170" s="9" t="str">
        <f t="shared" si="697"/>
        <v>par2_human_5NDD</v>
      </c>
      <c r="B170" s="9" t="s">
        <v>356</v>
      </c>
      <c r="C170" s="9" t="s">
        <v>1403</v>
      </c>
      <c r="D170" s="9" t="str">
        <f>IFERROR(MID(VLOOKUP($B170,Seqs!$A:$B,2,0),E170,1),"")</f>
        <v>G</v>
      </c>
      <c r="E170" s="9">
        <v>71</v>
      </c>
      <c r="F170" s="9" t="str">
        <f>IFERROR(MID(VLOOKUP($B170,Seqs!$A:$B,2,0),G170,1),"")</f>
        <v>R</v>
      </c>
      <c r="G170" s="9">
        <v>103</v>
      </c>
      <c r="H170" s="9" t="str">
        <f>IFERROR(MID(VLOOKUP($B170,Seqs!$A:$B,2,0),I170,1),"")</f>
        <v/>
      </c>
      <c r="I170" s="112" t="s">
        <v>23</v>
      </c>
      <c r="J170" s="9" t="str">
        <f>IFERROR(MID(VLOOKUP($B170,Seqs!$A:$B,2,0),K170,1),"")</f>
        <v/>
      </c>
      <c r="K170" s="112" t="s">
        <v>23</v>
      </c>
      <c r="L170" s="9" t="str">
        <f>IFERROR(MID(VLOOKUP($B170,Seqs!$A:$B,2,0),M170,1),"")</f>
        <v>H</v>
      </c>
      <c r="M170" s="9">
        <v>108</v>
      </c>
      <c r="N170" s="9" t="str">
        <f>IFERROR(MID(VLOOKUP($B170,Seqs!$A:$B,2,0),O170,1),"")</f>
        <v>H</v>
      </c>
      <c r="O170" s="9">
        <v>137</v>
      </c>
      <c r="P170" s="9" t="str">
        <f>IFERROR(MID(VLOOKUP($B170,Seqs!$A:$B,2,0),Q170,1),"")</f>
        <v>G</v>
      </c>
      <c r="Q170" s="9">
        <v>138</v>
      </c>
      <c r="R170" s="9" t="str">
        <f>IFERROR(MID(VLOOKUP($B170,Seqs!$A:$B,2,0),S170,1),"")</f>
        <v>Y</v>
      </c>
      <c r="S170" s="9">
        <v>143</v>
      </c>
      <c r="T170" s="9" t="str">
        <f>IFERROR(MID(VLOOKUP($B170,Seqs!$A:$B,2,0),U170,1),"")</f>
        <v>G</v>
      </c>
      <c r="U170" s="9">
        <v>144</v>
      </c>
      <c r="V170" s="9" t="str">
        <f>IFERROR(MID(VLOOKUP($B170,Seqs!$A:$B,2,0),W170,1),"")</f>
        <v>N</v>
      </c>
      <c r="W170" s="9">
        <v>179</v>
      </c>
      <c r="X170" s="9" t="str">
        <f>IFERROR(MID(VLOOKUP($B170,Seqs!$A:$B,2,0),Y170,1),"")</f>
        <v/>
      </c>
      <c r="Y170" s="9" t="s">
        <v>23</v>
      </c>
      <c r="Z170" s="9" t="str">
        <f>IFERROR(MID(VLOOKUP($B170,Seqs!$A:$B,2,0),AA170,1),"")</f>
        <v/>
      </c>
      <c r="AA170" s="9" t="s">
        <v>23</v>
      </c>
      <c r="AB170" s="9" t="str">
        <f>IFERROR(MID(VLOOKUP($B170,Seqs!$A:$B,2,0),AC170,1),"")</f>
        <v>H</v>
      </c>
      <c r="AC170" s="9">
        <v>183</v>
      </c>
      <c r="AD170" s="9" t="str">
        <f>IFERROR(MID(VLOOKUP($B170,Seqs!$A:$B,2,0),AE170,1),"")</f>
        <v>V</v>
      </c>
      <c r="AE170" s="9">
        <v>211</v>
      </c>
      <c r="AF170" s="9" t="str">
        <f>IFERROR(MID(VLOOKUP($B170,Seqs!$A:$B,2,0),AG170,1),"")</f>
        <v>C</v>
      </c>
      <c r="AG170" s="9">
        <v>226</v>
      </c>
      <c r="AH170" s="9" t="str">
        <f>IFERROR(MID(VLOOKUP($B170,Seqs!$A:$B,2,0),AI170,1),"")</f>
        <v>D</v>
      </c>
      <c r="AI170" s="9">
        <v>228</v>
      </c>
      <c r="AJ170" s="9" t="str">
        <f>IFERROR(MID(VLOOKUP($B170,Seqs!$A:$B,2,0),AK170,1),"")</f>
        <v>L</v>
      </c>
      <c r="AK170" s="9">
        <v>235</v>
      </c>
      <c r="AL170" s="9" t="str">
        <f>IFERROR(MID(VLOOKUP($B170,Seqs!$A:$B,2,0),AM170,1),"")</f>
        <v>L</v>
      </c>
      <c r="AM170" s="9">
        <v>269</v>
      </c>
      <c r="AN170" s="9" t="str">
        <f>IFERROR(MID(VLOOKUP($B170,Seqs!$A:$B,2,0),AO170,1),"")</f>
        <v>S</v>
      </c>
      <c r="AO170" s="9">
        <v>278</v>
      </c>
      <c r="AP170" s="9" t="str">
        <f>IFERROR(MID(VLOOKUP($B170,Seqs!$A:$B,2,0),AQ170,1),"")</f>
        <v>Q</v>
      </c>
      <c r="AQ170" s="9">
        <v>317</v>
      </c>
      <c r="AR170" s="9" t="str">
        <f>IFERROR(MID(VLOOKUP($B170,Seqs!$A:$B,2,0),AS170,1),"")</f>
        <v>V</v>
      </c>
      <c r="AS170" s="9">
        <v>322</v>
      </c>
      <c r="AT170" s="9" t="str">
        <f>IFERROR(MID(VLOOKUP($B170,Seqs!$A:$B,2,0),AU170,1),"")</f>
        <v>V</v>
      </c>
      <c r="AU170" s="9">
        <v>347</v>
      </c>
      <c r="AV170" s="9" t="str">
        <f>IFERROR(MID(VLOOKUP($B170,Seqs!$A:$B,2,0),AW170,1),"")</f>
        <v>S</v>
      </c>
      <c r="AW170" s="9">
        <v>348</v>
      </c>
      <c r="AX170" s="9" t="str">
        <f>IFERROR(MID(VLOOKUP($B170,Seqs!$A:$B,2,0),AY170,1),"")</f>
        <v>L</v>
      </c>
      <c r="AY170" s="9">
        <v>359</v>
      </c>
      <c r="AZ170" s="113" t="str">
        <f>VLOOKUP(B170,Classification!A:D,2,0)</f>
        <v>A</v>
      </c>
      <c r="BA170" s="101" t="str">
        <f>VLOOKUP(B170,Classification!A:D,4,0)</f>
        <v>Proteinase-activated</v>
      </c>
      <c r="BB170" s="37" t="b">
        <f t="shared" si="698"/>
        <v>1</v>
      </c>
      <c r="BC170" s="112">
        <f t="shared" si="699"/>
        <v>252</v>
      </c>
      <c r="BD170" s="41" t="s">
        <v>1383</v>
      </c>
      <c r="BE170" s="9" t="s">
        <v>1381</v>
      </c>
      <c r="BF170" s="52" t="s">
        <v>1</v>
      </c>
      <c r="BG170" s="52" t="s">
        <v>1384</v>
      </c>
      <c r="BI170" s="114" t="s">
        <v>1293</v>
      </c>
      <c r="BJ170" s="115" t="s">
        <v>1293</v>
      </c>
      <c r="BK170" s="115" t="s">
        <v>1293</v>
      </c>
      <c r="BL170" s="115" t="s">
        <v>1293</v>
      </c>
      <c r="BM170" s="115" t="s">
        <v>1293</v>
      </c>
      <c r="BN170" s="115" t="s">
        <v>1293</v>
      </c>
      <c r="BO170" s="115" t="s">
        <v>1293</v>
      </c>
      <c r="BP170" s="115" t="s">
        <v>1293</v>
      </c>
      <c r="BQ170" s="115" t="s">
        <v>1293</v>
      </c>
      <c r="BR170" s="115" t="s">
        <v>1293</v>
      </c>
      <c r="BS170" s="115" t="s">
        <v>1293</v>
      </c>
      <c r="BT170" s="115" t="s">
        <v>1293</v>
      </c>
      <c r="BU170" s="114">
        <f t="shared" si="700"/>
        <v>71</v>
      </c>
      <c r="BV170" s="116" t="str">
        <f t="shared" si="701"/>
        <v>-</v>
      </c>
      <c r="BW170" s="117">
        <f t="shared" si="702"/>
        <v>108</v>
      </c>
      <c r="BX170" s="116">
        <f t="shared" si="703"/>
        <v>138</v>
      </c>
      <c r="BY170" s="117">
        <f t="shared" si="704"/>
        <v>144</v>
      </c>
      <c r="BZ170" s="116" t="str">
        <f t="shared" si="705"/>
        <v>-</v>
      </c>
      <c r="CA170" s="117">
        <f t="shared" si="706"/>
        <v>183</v>
      </c>
      <c r="CB170" s="116">
        <f t="shared" si="707"/>
        <v>226</v>
      </c>
      <c r="CC170" s="117">
        <f t="shared" si="708"/>
        <v>235</v>
      </c>
      <c r="CD170" s="116">
        <f t="shared" si="709"/>
        <v>278</v>
      </c>
      <c r="CE170" s="117">
        <f t="shared" si="710"/>
        <v>322</v>
      </c>
      <c r="CF170" s="116">
        <f t="shared" si="711"/>
        <v>348</v>
      </c>
      <c r="CG170" s="114">
        <f t="shared" si="712"/>
        <v>103</v>
      </c>
      <c r="CH170" s="116" t="str">
        <f t="shared" si="713"/>
        <v>-</v>
      </c>
      <c r="CI170" s="117">
        <f t="shared" si="714"/>
        <v>137</v>
      </c>
      <c r="CJ170" s="117">
        <f t="shared" si="715"/>
        <v>143</v>
      </c>
      <c r="CK170" s="117">
        <f t="shared" si="716"/>
        <v>179</v>
      </c>
      <c r="CL170" s="117" t="str">
        <f t="shared" si="717"/>
        <v>-</v>
      </c>
      <c r="CM170" s="117">
        <f t="shared" si="718"/>
        <v>211</v>
      </c>
      <c r="CN170" s="117">
        <f t="shared" si="719"/>
        <v>228</v>
      </c>
      <c r="CO170" s="117">
        <f t="shared" si="720"/>
        <v>269</v>
      </c>
      <c r="CP170" s="117">
        <f t="shared" si="721"/>
        <v>317</v>
      </c>
      <c r="CQ170" s="117">
        <f t="shared" si="722"/>
        <v>347</v>
      </c>
      <c r="CR170" s="117">
        <f t="shared" si="723"/>
        <v>359</v>
      </c>
      <c r="CS170" s="112" t="e">
        <f t="shared" si="724"/>
        <v>#VALUE!</v>
      </c>
    </row>
    <row r="171" spans="1:1028" s="12" customFormat="1" x14ac:dyDescent="0.2">
      <c r="A171" s="9" t="str">
        <f t="shared" ref="A171" si="725">CONCATENATE(B171,"_",C171)</f>
        <v>par2_human_5NDZ</v>
      </c>
      <c r="B171" s="9" t="s">
        <v>356</v>
      </c>
      <c r="C171" s="9" t="s">
        <v>1404</v>
      </c>
      <c r="D171" s="9" t="str">
        <f>IFERROR(MID(VLOOKUP($B171,Seqs!$A:$B,2,0),E171,1),"")</f>
        <v>G</v>
      </c>
      <c r="E171" s="9">
        <v>71</v>
      </c>
      <c r="F171" s="9" t="str">
        <f>IFERROR(MID(VLOOKUP($B171,Seqs!$A:$B,2,0),G171,1),"")</f>
        <v>R</v>
      </c>
      <c r="G171" s="9">
        <v>103</v>
      </c>
      <c r="H171" s="9" t="str">
        <f>IFERROR(MID(VLOOKUP($B171,Seqs!$A:$B,2,0),I171,1),"")</f>
        <v/>
      </c>
      <c r="I171" s="112" t="s">
        <v>23</v>
      </c>
      <c r="J171" s="9" t="str">
        <f>IFERROR(MID(VLOOKUP($B171,Seqs!$A:$B,2,0),K171,1),"")</f>
        <v/>
      </c>
      <c r="K171" s="112" t="s">
        <v>23</v>
      </c>
      <c r="L171" s="9" t="str">
        <f>IFERROR(MID(VLOOKUP($B171,Seqs!$A:$B,2,0),M171,1),"")</f>
        <v>H</v>
      </c>
      <c r="M171" s="9">
        <v>108</v>
      </c>
      <c r="N171" s="9" t="str">
        <f>IFERROR(MID(VLOOKUP($B171,Seqs!$A:$B,2,0),O171,1),"")</f>
        <v>H</v>
      </c>
      <c r="O171" s="9">
        <v>137</v>
      </c>
      <c r="P171" s="9" t="str">
        <f>IFERROR(MID(VLOOKUP($B171,Seqs!$A:$B,2,0),Q171,1),"")</f>
        <v>G</v>
      </c>
      <c r="Q171" s="9">
        <v>138</v>
      </c>
      <c r="R171" s="9" t="str">
        <f>IFERROR(MID(VLOOKUP($B171,Seqs!$A:$B,2,0),S171,1),"")</f>
        <v>Y</v>
      </c>
      <c r="S171" s="9">
        <v>143</v>
      </c>
      <c r="T171" s="9" t="str">
        <f>IFERROR(MID(VLOOKUP($B171,Seqs!$A:$B,2,0),U171,1),"")</f>
        <v>G</v>
      </c>
      <c r="U171" s="9">
        <v>144</v>
      </c>
      <c r="V171" s="9" t="str">
        <f>IFERROR(MID(VLOOKUP($B171,Seqs!$A:$B,2,0),W171,1),"")</f>
        <v>N</v>
      </c>
      <c r="W171" s="9">
        <v>179</v>
      </c>
      <c r="X171" s="9" t="str">
        <f>IFERROR(MID(VLOOKUP($B171,Seqs!$A:$B,2,0),Y171,1),"")</f>
        <v/>
      </c>
      <c r="Y171" s="9" t="s">
        <v>23</v>
      </c>
      <c r="Z171" s="9" t="str">
        <f>IFERROR(MID(VLOOKUP($B171,Seqs!$A:$B,2,0),AA171,1),"")</f>
        <v/>
      </c>
      <c r="AA171" s="9" t="s">
        <v>23</v>
      </c>
      <c r="AB171" s="9" t="str">
        <f>IFERROR(MID(VLOOKUP($B171,Seqs!$A:$B,2,0),AC171,1),"")</f>
        <v>H</v>
      </c>
      <c r="AC171" s="9">
        <v>183</v>
      </c>
      <c r="AD171" s="9" t="str">
        <f>IFERROR(MID(VLOOKUP($B171,Seqs!$A:$B,2,0),AE171,1),"")</f>
        <v>V</v>
      </c>
      <c r="AE171" s="9">
        <v>211</v>
      </c>
      <c r="AF171" s="9" t="str">
        <f>IFERROR(MID(VLOOKUP($B171,Seqs!$A:$B,2,0),AG171,1),"")</f>
        <v>C</v>
      </c>
      <c r="AG171" s="9">
        <v>226</v>
      </c>
      <c r="AH171" s="9" t="str">
        <f>IFERROR(MID(VLOOKUP($B171,Seqs!$A:$B,2,0),AI171,1),"")</f>
        <v>D</v>
      </c>
      <c r="AI171" s="9">
        <v>228</v>
      </c>
      <c r="AJ171" s="9" t="str">
        <f>IFERROR(MID(VLOOKUP($B171,Seqs!$A:$B,2,0),AK171,1),"")</f>
        <v>L</v>
      </c>
      <c r="AK171" s="9">
        <v>235</v>
      </c>
      <c r="AL171" s="9" t="str">
        <f>IFERROR(MID(VLOOKUP($B171,Seqs!$A:$B,2,0),AM171,1),"")</f>
        <v>L</v>
      </c>
      <c r="AM171" s="9">
        <v>269</v>
      </c>
      <c r="AN171" s="9" t="str">
        <f>IFERROR(MID(VLOOKUP($B171,Seqs!$A:$B,2,0),AO171,1),"")</f>
        <v>S</v>
      </c>
      <c r="AO171" s="9">
        <v>278</v>
      </c>
      <c r="AP171" s="9" t="str">
        <f>IFERROR(MID(VLOOKUP($B171,Seqs!$A:$B,2,0),AQ171,1),"")</f>
        <v>Q</v>
      </c>
      <c r="AQ171" s="9">
        <v>317</v>
      </c>
      <c r="AR171" s="9" t="str">
        <f>IFERROR(MID(VLOOKUP($B171,Seqs!$A:$B,2,0),AS171,1),"")</f>
        <v>V</v>
      </c>
      <c r="AS171" s="9">
        <v>322</v>
      </c>
      <c r="AT171" s="9" t="str">
        <f>IFERROR(MID(VLOOKUP($B171,Seqs!$A:$B,2,0),AU171,1),"")</f>
        <v>S</v>
      </c>
      <c r="AU171" s="9">
        <v>348</v>
      </c>
      <c r="AV171" s="9" t="str">
        <f>IFERROR(MID(VLOOKUP($B171,Seqs!$A:$B,2,0),AW171,1),"")</f>
        <v>H</v>
      </c>
      <c r="AW171" s="9">
        <v>349</v>
      </c>
      <c r="AX171" s="9" t="str">
        <f>IFERROR(MID(VLOOKUP($B171,Seqs!$A:$B,2,0),AY171,1),"")</f>
        <v>L</v>
      </c>
      <c r="AY171" s="9">
        <v>359</v>
      </c>
      <c r="AZ171" s="113" t="str">
        <f>VLOOKUP(B171,Classification!A:D,2,0)</f>
        <v>A</v>
      </c>
      <c r="BA171" s="101" t="str">
        <f>VLOOKUP(B171,Classification!A:D,4,0)</f>
        <v>Proteinase-activated</v>
      </c>
      <c r="BB171" s="37" t="b">
        <f t="shared" ref="BB171" si="726">AND(E171&lt;G171,OR(G171&lt;I171,I171="-"),OR(I171&lt;K171,I171="-"),OR(K171&lt;M171,K171="-"),M171&lt;O171,OR(O171&lt;Q171,Q171="-"),OR(Q171&lt;S171,Q171="-"),OR(S171&lt;U171,S171="-"),U171&lt;W171,OR(W171&lt;Y171,Y171="-"),OR(Y171&lt;AA171,Y171="-"),OR(AA171&lt;AC171,AA171="-"),AC171&lt;AE171,OR(AE171&lt;AG171,AG171="-"),OR(AG171&lt;AI171,AG171="-"),OR(AI171&lt;AK171,AI171="-"),AK171&lt;AM171,AM171&lt;AO171,AO171&lt;AQ171,AQ171&lt;AS171,AS171&lt;AU171,OR(AU171&lt;AW171,AW171="-"),OR(AW171&lt;AY171,AW171="-"))</f>
        <v>1</v>
      </c>
      <c r="BC171" s="112">
        <f t="shared" ref="BC171" si="727">_xlfn.AGGREGATE(9,6,CG171:CR171)-_xlfn.AGGREGATE(9,6,BU171:CF171)+12</f>
        <v>252</v>
      </c>
      <c r="BD171" s="41" t="s">
        <v>23</v>
      </c>
      <c r="BE171" s="9" t="s">
        <v>1381</v>
      </c>
      <c r="BF171" s="52" t="s">
        <v>1</v>
      </c>
      <c r="BG171" s="52" t="s">
        <v>1384</v>
      </c>
      <c r="BI171" s="114" t="s">
        <v>1293</v>
      </c>
      <c r="BJ171" s="115" t="s">
        <v>1293</v>
      </c>
      <c r="BK171" s="115" t="s">
        <v>1293</v>
      </c>
      <c r="BL171" s="115" t="s">
        <v>1293</v>
      </c>
      <c r="BM171" s="115" t="s">
        <v>1293</v>
      </c>
      <c r="BN171" s="115" t="s">
        <v>1293</v>
      </c>
      <c r="BO171" s="115" t="s">
        <v>1293</v>
      </c>
      <c r="BP171" s="115" t="s">
        <v>1293</v>
      </c>
      <c r="BQ171" s="115" t="s">
        <v>1293</v>
      </c>
      <c r="BR171" s="115" t="s">
        <v>1293</v>
      </c>
      <c r="BS171" s="115" t="s">
        <v>1293</v>
      </c>
      <c r="BT171" s="115" t="s">
        <v>1293</v>
      </c>
      <c r="BU171" s="114">
        <f t="shared" ref="BU171" si="728">E171</f>
        <v>71</v>
      </c>
      <c r="BV171" s="116" t="str">
        <f t="shared" ref="BV171" si="729">I171</f>
        <v>-</v>
      </c>
      <c r="BW171" s="117">
        <f t="shared" ref="BW171" si="730">M171</f>
        <v>108</v>
      </c>
      <c r="BX171" s="116">
        <f t="shared" ref="BX171" si="731">Q171</f>
        <v>138</v>
      </c>
      <c r="BY171" s="117">
        <f t="shared" ref="BY171" si="732">U171</f>
        <v>144</v>
      </c>
      <c r="BZ171" s="116" t="str">
        <f t="shared" ref="BZ171" si="733">Y171</f>
        <v>-</v>
      </c>
      <c r="CA171" s="117">
        <f t="shared" ref="CA171" si="734">AC171</f>
        <v>183</v>
      </c>
      <c r="CB171" s="116">
        <f t="shared" ref="CB171" si="735">AG171</f>
        <v>226</v>
      </c>
      <c r="CC171" s="117">
        <f t="shared" ref="CC171" si="736">AK171</f>
        <v>235</v>
      </c>
      <c r="CD171" s="116">
        <f t="shared" ref="CD171" si="737">AO171</f>
        <v>278</v>
      </c>
      <c r="CE171" s="117">
        <f t="shared" ref="CE171" si="738">AS171</f>
        <v>322</v>
      </c>
      <c r="CF171" s="116">
        <f t="shared" ref="CF171" si="739">AW171</f>
        <v>349</v>
      </c>
      <c r="CG171" s="114">
        <f t="shared" ref="CG171" si="740">G171</f>
        <v>103</v>
      </c>
      <c r="CH171" s="116" t="str">
        <f t="shared" ref="CH171" si="741">K171</f>
        <v>-</v>
      </c>
      <c r="CI171" s="117">
        <f t="shared" ref="CI171" si="742">O171</f>
        <v>137</v>
      </c>
      <c r="CJ171" s="117">
        <f t="shared" ref="CJ171" si="743">S171</f>
        <v>143</v>
      </c>
      <c r="CK171" s="117">
        <f t="shared" ref="CK171" si="744">W171</f>
        <v>179</v>
      </c>
      <c r="CL171" s="117" t="str">
        <f t="shared" ref="CL171" si="745">AA171</f>
        <v>-</v>
      </c>
      <c r="CM171" s="117">
        <f t="shared" ref="CM171" si="746">AE171</f>
        <v>211</v>
      </c>
      <c r="CN171" s="117">
        <f t="shared" ref="CN171" si="747">AI171</f>
        <v>228</v>
      </c>
      <c r="CO171" s="117">
        <f t="shared" ref="CO171" si="748">AM171</f>
        <v>269</v>
      </c>
      <c r="CP171" s="117">
        <f t="shared" ref="CP171" si="749">AQ171</f>
        <v>317</v>
      </c>
      <c r="CQ171" s="117">
        <f t="shared" ref="CQ171" si="750">AU171</f>
        <v>348</v>
      </c>
      <c r="CR171" s="117">
        <f t="shared" ref="CR171" si="751">AY171</f>
        <v>359</v>
      </c>
      <c r="CS171" s="112" t="e">
        <f t="shared" ref="CS171" si="752">M171-K171</f>
        <v>#VALUE!</v>
      </c>
    </row>
    <row r="172" spans="1:1028" s="12" customFormat="1" x14ac:dyDescent="0.2">
      <c r="A172" s="9" t="str">
        <f t="shared" ref="A172" si="753">CONCATENATE(B172,"_",C172)</f>
        <v>par2_human_5NJ6</v>
      </c>
      <c r="B172" s="9" t="s">
        <v>356</v>
      </c>
      <c r="C172" s="9" t="s">
        <v>1406</v>
      </c>
      <c r="D172" s="9" t="str">
        <f>IFERROR(MID(VLOOKUP($B172,Seqs!$A:$B,2,0),E172,1),"")</f>
        <v>G</v>
      </c>
      <c r="E172" s="9">
        <v>71</v>
      </c>
      <c r="F172" s="9" t="str">
        <f>IFERROR(MID(VLOOKUP($B172,Seqs!$A:$B,2,0),G172,1),"")</f>
        <v>R</v>
      </c>
      <c r="G172" s="9">
        <v>103</v>
      </c>
      <c r="H172" s="9" t="str">
        <f>IFERROR(MID(VLOOKUP($B172,Seqs!$A:$B,2,0),I172,1),"")</f>
        <v/>
      </c>
      <c r="I172" s="112" t="s">
        <v>23</v>
      </c>
      <c r="J172" s="9" t="str">
        <f>IFERROR(MID(VLOOKUP($B172,Seqs!$A:$B,2,0),K172,1),"")</f>
        <v/>
      </c>
      <c r="K172" s="112" t="s">
        <v>23</v>
      </c>
      <c r="L172" s="9" t="str">
        <f>IFERROR(MID(VLOOKUP($B172,Seqs!$A:$B,2,0),M172,1),"")</f>
        <v>H</v>
      </c>
      <c r="M172" s="9">
        <v>108</v>
      </c>
      <c r="N172" s="9" t="str">
        <f>IFERROR(MID(VLOOKUP($B172,Seqs!$A:$B,2,0),O172,1),"")</f>
        <v>H</v>
      </c>
      <c r="O172" s="9">
        <v>137</v>
      </c>
      <c r="P172" s="9" t="str">
        <f>IFERROR(MID(VLOOKUP($B172,Seqs!$A:$B,2,0),Q172,1),"")</f>
        <v>G</v>
      </c>
      <c r="Q172" s="9">
        <v>138</v>
      </c>
      <c r="R172" s="9" t="str">
        <f>IFERROR(MID(VLOOKUP($B172,Seqs!$A:$B,2,0),S172,1),"")</f>
        <v>Y</v>
      </c>
      <c r="S172" s="9">
        <v>143</v>
      </c>
      <c r="T172" s="9" t="str">
        <f>IFERROR(MID(VLOOKUP($B172,Seqs!$A:$B,2,0),U172,1),"")</f>
        <v>G</v>
      </c>
      <c r="U172" s="9">
        <v>144</v>
      </c>
      <c r="V172" s="9" t="str">
        <f>IFERROR(MID(VLOOKUP($B172,Seqs!$A:$B,2,0),W172,1),"")</f>
        <v>N</v>
      </c>
      <c r="W172" s="9">
        <v>179</v>
      </c>
      <c r="X172" s="9" t="str">
        <f>IFERROR(MID(VLOOKUP($B172,Seqs!$A:$B,2,0),Y172,1),"")</f>
        <v/>
      </c>
      <c r="Y172" s="9" t="s">
        <v>23</v>
      </c>
      <c r="Z172" s="9" t="str">
        <f>IFERROR(MID(VLOOKUP($B172,Seqs!$A:$B,2,0),AA172,1),"")</f>
        <v/>
      </c>
      <c r="AA172" s="9" t="s">
        <v>23</v>
      </c>
      <c r="AB172" s="9" t="str">
        <f>IFERROR(MID(VLOOKUP($B172,Seqs!$A:$B,2,0),AC172,1),"")</f>
        <v>H</v>
      </c>
      <c r="AC172" s="9">
        <v>183</v>
      </c>
      <c r="AD172" s="9" t="str">
        <f>IFERROR(MID(VLOOKUP($B172,Seqs!$A:$B,2,0),AE172,1),"")</f>
        <v>V</v>
      </c>
      <c r="AE172" s="9">
        <v>211</v>
      </c>
      <c r="AF172" s="9" t="str">
        <f>IFERROR(MID(VLOOKUP($B172,Seqs!$A:$B,2,0),AG172,1),"")</f>
        <v>C</v>
      </c>
      <c r="AG172" s="9">
        <v>226</v>
      </c>
      <c r="AH172" s="9" t="str">
        <f>IFERROR(MID(VLOOKUP($B172,Seqs!$A:$B,2,0),AI172,1),"")</f>
        <v>D</v>
      </c>
      <c r="AI172" s="9">
        <v>228</v>
      </c>
      <c r="AJ172" s="9" t="str">
        <f>IFERROR(MID(VLOOKUP($B172,Seqs!$A:$B,2,0),AK172,1),"")</f>
        <v>L</v>
      </c>
      <c r="AK172" s="9">
        <v>235</v>
      </c>
      <c r="AL172" s="9" t="str">
        <f>IFERROR(MID(VLOOKUP($B172,Seqs!$A:$B,2,0),AM172,1),"")</f>
        <v>L</v>
      </c>
      <c r="AM172" s="9">
        <v>269</v>
      </c>
      <c r="AN172" s="9" t="str">
        <f>IFERROR(MID(VLOOKUP($B172,Seqs!$A:$B,2,0),AO172,1),"")</f>
        <v>S</v>
      </c>
      <c r="AO172" s="9">
        <v>278</v>
      </c>
      <c r="AP172" s="9" t="str">
        <f>IFERROR(MID(VLOOKUP($B172,Seqs!$A:$B,2,0),AQ172,1),"")</f>
        <v>Q</v>
      </c>
      <c r="AQ172" s="9">
        <v>317</v>
      </c>
      <c r="AR172" s="9" t="str">
        <f>IFERROR(MID(VLOOKUP($B172,Seqs!$A:$B,2,0),AS172,1),"")</f>
        <v>V</v>
      </c>
      <c r="AS172" s="9">
        <v>322</v>
      </c>
      <c r="AT172" s="9" t="str">
        <f>IFERROR(MID(VLOOKUP($B172,Seqs!$A:$B,2,0),AU172,1),"")</f>
        <v>S</v>
      </c>
      <c r="AU172" s="9">
        <v>348</v>
      </c>
      <c r="AV172" s="9" t="str">
        <f>IFERROR(MID(VLOOKUP($B172,Seqs!$A:$B,2,0),AW172,1),"")</f>
        <v>H</v>
      </c>
      <c r="AW172" s="9">
        <v>349</v>
      </c>
      <c r="AX172" s="9" t="str">
        <f>IFERROR(MID(VLOOKUP($B172,Seqs!$A:$B,2,0),AY172,1),"")</f>
        <v>L</v>
      </c>
      <c r="AY172" s="9">
        <v>359</v>
      </c>
      <c r="AZ172" s="113" t="str">
        <f>VLOOKUP(B172,Classification!A:D,2,0)</f>
        <v>A</v>
      </c>
      <c r="BA172" s="101" t="str">
        <f>VLOOKUP(B172,Classification!A:D,4,0)</f>
        <v>Proteinase-activated</v>
      </c>
      <c r="BB172" s="37" t="b">
        <f t="shared" ref="BB172" si="754">AND(E172&lt;G172,OR(G172&lt;I172,I172="-"),OR(I172&lt;K172,I172="-"),OR(K172&lt;M172,K172="-"),M172&lt;O172,OR(O172&lt;Q172,Q172="-"),OR(Q172&lt;S172,Q172="-"),OR(S172&lt;U172,S172="-"),U172&lt;W172,OR(W172&lt;Y172,Y172="-"),OR(Y172&lt;AA172,Y172="-"),OR(AA172&lt;AC172,AA172="-"),AC172&lt;AE172,OR(AE172&lt;AG172,AG172="-"),OR(AG172&lt;AI172,AG172="-"),OR(AI172&lt;AK172,AI172="-"),AK172&lt;AM172,AM172&lt;AO172,AO172&lt;AQ172,AQ172&lt;AS172,AS172&lt;AU172,OR(AU172&lt;AW172,AW172="-"),OR(AW172&lt;AY172,AW172="-"))</f>
        <v>1</v>
      </c>
      <c r="BC172" s="112">
        <f t="shared" ref="BC172" si="755">_xlfn.AGGREGATE(9,6,CG172:CR172)-_xlfn.AGGREGATE(9,6,BU172:CF172)+12</f>
        <v>252</v>
      </c>
      <c r="BD172" s="41" t="s">
        <v>23</v>
      </c>
      <c r="BE172" s="9" t="s">
        <v>1381</v>
      </c>
      <c r="BF172" s="52" t="s">
        <v>1</v>
      </c>
      <c r="BG172" s="52" t="s">
        <v>1384</v>
      </c>
      <c r="BI172" s="114" t="s">
        <v>1293</v>
      </c>
      <c r="BJ172" s="115" t="s">
        <v>1293</v>
      </c>
      <c r="BK172" s="115" t="s">
        <v>1293</v>
      </c>
      <c r="BL172" s="115" t="s">
        <v>1293</v>
      </c>
      <c r="BM172" s="115" t="s">
        <v>1293</v>
      </c>
      <c r="BN172" s="115" t="s">
        <v>1293</v>
      </c>
      <c r="BO172" s="115" t="s">
        <v>1293</v>
      </c>
      <c r="BP172" s="115" t="s">
        <v>1293</v>
      </c>
      <c r="BQ172" s="115" t="s">
        <v>1293</v>
      </c>
      <c r="BR172" s="115" t="s">
        <v>1293</v>
      </c>
      <c r="BS172" s="115" t="s">
        <v>1293</v>
      </c>
      <c r="BT172" s="115" t="s">
        <v>1293</v>
      </c>
      <c r="BU172" s="114">
        <f t="shared" ref="BU172" si="756">E172</f>
        <v>71</v>
      </c>
      <c r="BV172" s="116" t="str">
        <f t="shared" ref="BV172" si="757">I172</f>
        <v>-</v>
      </c>
      <c r="BW172" s="117">
        <f t="shared" ref="BW172" si="758">M172</f>
        <v>108</v>
      </c>
      <c r="BX172" s="116">
        <f t="shared" ref="BX172" si="759">Q172</f>
        <v>138</v>
      </c>
      <c r="BY172" s="117">
        <f t="shared" ref="BY172" si="760">U172</f>
        <v>144</v>
      </c>
      <c r="BZ172" s="116" t="str">
        <f t="shared" ref="BZ172" si="761">Y172</f>
        <v>-</v>
      </c>
      <c r="CA172" s="117">
        <f t="shared" ref="CA172" si="762">AC172</f>
        <v>183</v>
      </c>
      <c r="CB172" s="116">
        <f t="shared" ref="CB172" si="763">AG172</f>
        <v>226</v>
      </c>
      <c r="CC172" s="117">
        <f t="shared" ref="CC172" si="764">AK172</f>
        <v>235</v>
      </c>
      <c r="CD172" s="116">
        <f t="shared" ref="CD172" si="765">AO172</f>
        <v>278</v>
      </c>
      <c r="CE172" s="117">
        <f t="shared" ref="CE172" si="766">AS172</f>
        <v>322</v>
      </c>
      <c r="CF172" s="116">
        <f t="shared" ref="CF172" si="767">AW172</f>
        <v>349</v>
      </c>
      <c r="CG172" s="114">
        <f t="shared" ref="CG172" si="768">G172</f>
        <v>103</v>
      </c>
      <c r="CH172" s="116" t="str">
        <f t="shared" ref="CH172" si="769">K172</f>
        <v>-</v>
      </c>
      <c r="CI172" s="117">
        <f t="shared" ref="CI172" si="770">O172</f>
        <v>137</v>
      </c>
      <c r="CJ172" s="117">
        <f t="shared" ref="CJ172" si="771">S172</f>
        <v>143</v>
      </c>
      <c r="CK172" s="117">
        <f t="shared" ref="CK172" si="772">W172</f>
        <v>179</v>
      </c>
      <c r="CL172" s="117" t="str">
        <f t="shared" ref="CL172" si="773">AA172</f>
        <v>-</v>
      </c>
      <c r="CM172" s="117">
        <f t="shared" ref="CM172" si="774">AE172</f>
        <v>211</v>
      </c>
      <c r="CN172" s="117">
        <f t="shared" ref="CN172" si="775">AI172</f>
        <v>228</v>
      </c>
      <c r="CO172" s="117">
        <f t="shared" ref="CO172" si="776">AM172</f>
        <v>269</v>
      </c>
      <c r="CP172" s="117">
        <f t="shared" ref="CP172" si="777">AQ172</f>
        <v>317</v>
      </c>
      <c r="CQ172" s="117">
        <f t="shared" ref="CQ172" si="778">AU172</f>
        <v>348</v>
      </c>
      <c r="CR172" s="117">
        <f t="shared" ref="CR172" si="779">AY172</f>
        <v>359</v>
      </c>
      <c r="CS172" s="112" t="e">
        <f t="shared" ref="CS172" si="780">M172-K172</f>
        <v>#VALUE!</v>
      </c>
    </row>
    <row r="173" spans="1:1028" x14ac:dyDescent="0.2">
      <c r="A173" s="3" t="str">
        <f t="shared" si="639"/>
        <v>s1pr1_human__wt</v>
      </c>
      <c r="B173" s="3" t="s">
        <v>104</v>
      </c>
      <c r="C173" s="3" t="s">
        <v>100</v>
      </c>
      <c r="D173" s="3" t="str">
        <f>IFERROR(MID(VLOOKUP($B173,Seqs!$A:$B,2,0),E173,1),"")</f>
        <v>E</v>
      </c>
      <c r="E173" s="3">
        <v>42</v>
      </c>
      <c r="F173" s="3" t="str">
        <f>IFERROR(MID(VLOOKUP($B173,Seqs!$A:$B,2,0),G173,1),"")</f>
        <v>T</v>
      </c>
      <c r="G173" s="3">
        <v>73</v>
      </c>
      <c r="H173" s="3" t="str">
        <f>IFERROR(MID(VLOOKUP($B173,Seqs!$A:$B,2,0),I173,1),"")</f>
        <v>K</v>
      </c>
      <c r="I173" s="23">
        <v>74</v>
      </c>
      <c r="J173" s="3" t="str">
        <f>IFERROR(MID(VLOOKUP($B173,Seqs!$A:$B,2,0),K173,1),"")</f>
        <v>H</v>
      </c>
      <c r="K173" s="23">
        <v>77</v>
      </c>
      <c r="L173" s="3" t="str">
        <f>IFERROR(MID(VLOOKUP($B173,Seqs!$A:$B,2,0),M173,1),"")</f>
        <v>R</v>
      </c>
      <c r="M173" s="3">
        <v>78</v>
      </c>
      <c r="N173" s="3" t="str">
        <f>IFERROR(MID(VLOOKUP($B173,Seqs!$A:$B,2,0),O173,1),"")</f>
        <v>L</v>
      </c>
      <c r="O173" s="3">
        <v>104</v>
      </c>
      <c r="P173" s="3" t="str">
        <f>IFERROR(MID(VLOOKUP($B173,Seqs!$A:$B,2,0),Q173,1),"")</f>
        <v>G</v>
      </c>
      <c r="Q173" s="3">
        <v>106</v>
      </c>
      <c r="R173" s="3" t="str">
        <f>IFERROR(MID(VLOOKUP($B173,Seqs!$A:$B,2,0),S173,1),"")</f>
        <v>L</v>
      </c>
      <c r="S173" s="3">
        <v>112</v>
      </c>
      <c r="T173" s="3" t="str">
        <f>IFERROR(MID(VLOOKUP($B173,Seqs!$A:$B,2,0),U173,1),"")</f>
        <v>T</v>
      </c>
      <c r="U173" s="3">
        <v>113</v>
      </c>
      <c r="V173" s="3" t="str">
        <f>IFERROR(MID(VLOOKUP($B173,Seqs!$A:$B,2,0),W173,1),"")</f>
        <v>K</v>
      </c>
      <c r="W173" s="108">
        <v>148</v>
      </c>
      <c r="X173" s="3" t="str">
        <f>IFERROR(MID(VLOOKUP($B173,Seqs!$A:$B,2,0),Y173,1),"")</f>
        <v>M</v>
      </c>
      <c r="Y173" s="108">
        <v>149</v>
      </c>
      <c r="Z173" s="3" t="str">
        <f>IFERROR(MID(VLOOKUP($B173,Seqs!$A:$B,2,0),AA173,1),"")</f>
        <v>S</v>
      </c>
      <c r="AA173" s="108">
        <v>155</v>
      </c>
      <c r="AB173" s="3" t="str">
        <f>IFERROR(MID(VLOOKUP($B173,Seqs!$A:$B,2,0),AC173,1),"")</f>
        <v>N</v>
      </c>
      <c r="AC173" s="108">
        <v>156</v>
      </c>
      <c r="AD173" s="3" t="str">
        <f>IFERROR(MID(VLOOKUP($B173,Seqs!$A:$B,2,0),AE173,1),"")</f>
        <v>G</v>
      </c>
      <c r="AE173" s="3">
        <v>181</v>
      </c>
      <c r="AF173" s="3" t="str">
        <f>IFERROR(MID(VLOOKUP($B173,Seqs!$A:$B,2,0),AG173,1),"")</f>
        <v/>
      </c>
      <c r="AG173" s="3" t="s">
        <v>23</v>
      </c>
      <c r="AH173" s="3" t="str">
        <f>IFERROR(MID(VLOOKUP($B173,Seqs!$A:$B,2,0),AI173,1),"")</f>
        <v/>
      </c>
      <c r="AI173" s="3" t="s">
        <v>23</v>
      </c>
      <c r="AJ173" s="3" t="str">
        <f>IFERROR(MID(VLOOKUP($B173,Seqs!$A:$B,2,0),AK173,1),"")</f>
        <v>H</v>
      </c>
      <c r="AK173" s="3">
        <v>199</v>
      </c>
      <c r="AL173" s="3" t="str">
        <f>IFERROR(MID(VLOOKUP($B173,Seqs!$A:$B,2,0),AM173,1),"")</f>
        <v>T</v>
      </c>
      <c r="AM173" s="3">
        <v>236</v>
      </c>
      <c r="AN173" s="3" t="str">
        <f>IFERROR(MID(VLOOKUP($B173,Seqs!$A:$B,2,0),AO173,1),"")</f>
        <v>S</v>
      </c>
      <c r="AO173" s="3">
        <v>245</v>
      </c>
      <c r="AP173" s="3" t="str">
        <f>IFERROR(MID(VLOOKUP($B173,Seqs!$A:$B,2,0),AQ173,1),"")</f>
        <v>C</v>
      </c>
      <c r="AQ173" s="3">
        <v>282</v>
      </c>
      <c r="AR173" s="3" t="str">
        <f>IFERROR(MID(VLOOKUP($B173,Seqs!$A:$B,2,0),AS173,1),"")</f>
        <v>D</v>
      </c>
      <c r="AS173" s="3">
        <v>288</v>
      </c>
      <c r="AT173" s="3" t="str">
        <f>IFERROR(MID(VLOOKUP($B173,Seqs!$A:$B,2,0),AU173,1),"")</f>
        <v>T</v>
      </c>
      <c r="AU173" s="3">
        <v>314</v>
      </c>
      <c r="AV173" s="3" t="str">
        <f>IFERROR(MID(VLOOKUP($B173,Seqs!$A:$B,2,0),AW173,1),"")</f>
        <v>N</v>
      </c>
      <c r="AW173" s="3">
        <v>315</v>
      </c>
      <c r="AX173" s="3" t="str">
        <f>IFERROR(MID(VLOOKUP($B173,Seqs!$A:$B,2,0),AY173,1),"")</f>
        <v>S</v>
      </c>
      <c r="AY173" s="3">
        <v>327</v>
      </c>
      <c r="AZ173" s="79" t="str">
        <f>VLOOKUP(B173,Classification!A:D,2,0)</f>
        <v>A</v>
      </c>
      <c r="BA173" s="97" t="str">
        <f>VLOOKUP(B173,Classification!A:D,4,0)</f>
        <v>Lysophospholipid(S1P)</v>
      </c>
      <c r="BB173" s="27" t="b">
        <f t="shared" si="640"/>
        <v>1</v>
      </c>
      <c r="BC173" s="23">
        <f t="shared" si="613"/>
        <v>256</v>
      </c>
      <c r="BD173" s="57" t="s">
        <v>1379</v>
      </c>
      <c r="BE173" s="3" t="s">
        <v>1381</v>
      </c>
      <c r="BF173" s="50" t="s">
        <v>1379</v>
      </c>
      <c r="BG173" s="50" t="s">
        <v>1384</v>
      </c>
      <c r="BH173" s="1"/>
      <c r="BI173" s="72" t="s">
        <v>1293</v>
      </c>
      <c r="BJ173" s="58" t="s">
        <v>1293</v>
      </c>
      <c r="BK173" s="58" t="s">
        <v>1293</v>
      </c>
      <c r="BL173" s="58" t="s">
        <v>1293</v>
      </c>
      <c r="BM173" s="58" t="s">
        <v>1293</v>
      </c>
      <c r="BN173" s="58" t="s">
        <v>1293</v>
      </c>
      <c r="BO173" s="58" t="s">
        <v>1293</v>
      </c>
      <c r="BP173" s="58" t="s">
        <v>1293</v>
      </c>
      <c r="BQ173" s="58" t="s">
        <v>1293</v>
      </c>
      <c r="BR173" s="58" t="s">
        <v>1293</v>
      </c>
      <c r="BS173" s="58" t="s">
        <v>1293</v>
      </c>
      <c r="BT173" s="58" t="s">
        <v>1293</v>
      </c>
      <c r="BU173" s="72">
        <f t="shared" si="614"/>
        <v>42</v>
      </c>
      <c r="BV173" s="73">
        <f t="shared" si="615"/>
        <v>74</v>
      </c>
      <c r="BW173" s="74">
        <f t="shared" si="616"/>
        <v>78</v>
      </c>
      <c r="BX173" s="73">
        <f t="shared" si="617"/>
        <v>106</v>
      </c>
      <c r="BY173" s="74">
        <f t="shared" si="618"/>
        <v>113</v>
      </c>
      <c r="BZ173" s="73">
        <f t="shared" si="619"/>
        <v>149</v>
      </c>
      <c r="CA173" s="74">
        <f t="shared" si="620"/>
        <v>156</v>
      </c>
      <c r="CB173" s="73" t="str">
        <f t="shared" si="621"/>
        <v>-</v>
      </c>
      <c r="CC173" s="74">
        <f t="shared" si="622"/>
        <v>199</v>
      </c>
      <c r="CD173" s="73">
        <f t="shared" si="623"/>
        <v>245</v>
      </c>
      <c r="CE173" s="74">
        <f t="shared" si="624"/>
        <v>288</v>
      </c>
      <c r="CF173" s="73">
        <f t="shared" si="625"/>
        <v>315</v>
      </c>
      <c r="CG173" s="72">
        <f t="shared" si="626"/>
        <v>73</v>
      </c>
      <c r="CH173" s="73">
        <f t="shared" si="627"/>
        <v>77</v>
      </c>
      <c r="CI173" s="74">
        <f t="shared" si="628"/>
        <v>104</v>
      </c>
      <c r="CJ173" s="74">
        <f t="shared" si="629"/>
        <v>112</v>
      </c>
      <c r="CK173" s="74">
        <f t="shared" si="630"/>
        <v>148</v>
      </c>
      <c r="CL173" s="74">
        <f t="shared" si="631"/>
        <v>155</v>
      </c>
      <c r="CM173" s="74">
        <f t="shared" si="632"/>
        <v>181</v>
      </c>
      <c r="CN173" s="74" t="str">
        <f t="shared" si="633"/>
        <v>-</v>
      </c>
      <c r="CO173" s="74">
        <f t="shared" si="634"/>
        <v>236</v>
      </c>
      <c r="CP173" s="74">
        <f t="shared" si="635"/>
        <v>282</v>
      </c>
      <c r="CQ173" s="74">
        <f t="shared" si="636"/>
        <v>314</v>
      </c>
      <c r="CR173" s="74">
        <f t="shared" si="637"/>
        <v>327</v>
      </c>
      <c r="CS173" s="23">
        <f t="shared" si="638"/>
        <v>1</v>
      </c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/>
      <c r="KH173" s="1"/>
      <c r="KI173" s="1"/>
      <c r="KJ173" s="1"/>
      <c r="KK173" s="1"/>
      <c r="KL173" s="1"/>
      <c r="KM173" s="1"/>
      <c r="KN173" s="1"/>
      <c r="KO173" s="1"/>
      <c r="KP173" s="1"/>
      <c r="KQ173" s="1"/>
      <c r="KR173" s="1"/>
      <c r="KS173" s="1"/>
      <c r="KT173" s="1"/>
      <c r="KU173" s="1"/>
      <c r="KV173" s="1"/>
      <c r="KW173" s="1"/>
      <c r="KX173" s="1"/>
      <c r="KY173" s="1"/>
      <c r="KZ173" s="1"/>
      <c r="LA173" s="1"/>
      <c r="LB173" s="1"/>
      <c r="LC173" s="1"/>
      <c r="LD173" s="1"/>
      <c r="LE173" s="1"/>
      <c r="LF173" s="1"/>
      <c r="LG173" s="1"/>
      <c r="LH173" s="1"/>
      <c r="LI173" s="1"/>
      <c r="LJ173" s="1"/>
      <c r="LK173" s="1"/>
      <c r="LL173" s="1"/>
      <c r="LM173" s="1"/>
      <c r="LN173" s="1"/>
      <c r="LO173" s="1"/>
      <c r="LP173" s="1"/>
      <c r="LQ173" s="1"/>
      <c r="LR173" s="1"/>
      <c r="LS173" s="1"/>
      <c r="LT173" s="1"/>
      <c r="LU173" s="1"/>
      <c r="LV173" s="1"/>
      <c r="LW173" s="1"/>
      <c r="LX173" s="1"/>
      <c r="LY173" s="1"/>
      <c r="LZ173" s="1"/>
      <c r="MA173" s="1"/>
      <c r="MB173" s="1"/>
      <c r="MC173" s="1"/>
      <c r="MD173" s="1"/>
      <c r="ME173" s="1"/>
      <c r="MF173" s="1"/>
      <c r="MG173" s="1"/>
      <c r="MH173" s="1"/>
      <c r="MI173" s="1"/>
      <c r="MJ173" s="1"/>
      <c r="MK173" s="1"/>
      <c r="ML173" s="1"/>
      <c r="MM173" s="1"/>
      <c r="MN173" s="1"/>
      <c r="MO173" s="1"/>
      <c r="MP173" s="1"/>
      <c r="MQ173" s="1"/>
      <c r="MR173" s="1"/>
      <c r="MS173" s="1"/>
      <c r="MT173" s="1"/>
      <c r="MU173" s="1"/>
      <c r="MV173" s="1"/>
      <c r="MW173" s="1"/>
      <c r="MX173" s="1"/>
      <c r="MY173" s="1"/>
      <c r="MZ173" s="1"/>
      <c r="NA173" s="1"/>
      <c r="NB173" s="1"/>
      <c r="NC173" s="1"/>
      <c r="ND173" s="1"/>
      <c r="NE173" s="1"/>
      <c r="NF173" s="1"/>
      <c r="NG173" s="1"/>
      <c r="NH173" s="1"/>
      <c r="NI173" s="1"/>
      <c r="NJ173" s="1"/>
      <c r="NK173" s="1"/>
      <c r="NL173" s="1"/>
      <c r="NM173" s="1"/>
      <c r="NN173" s="1"/>
      <c r="NO173" s="1"/>
      <c r="NP173" s="1"/>
      <c r="NQ173" s="1"/>
      <c r="NR173" s="1"/>
      <c r="NS173" s="1"/>
      <c r="NT173" s="1"/>
      <c r="NU173" s="1"/>
      <c r="NV173" s="1"/>
      <c r="NW173" s="1"/>
      <c r="NX173" s="1"/>
      <c r="NY173" s="1"/>
      <c r="NZ173" s="1"/>
      <c r="OA173" s="1"/>
      <c r="OB173" s="1"/>
      <c r="OC173" s="1"/>
      <c r="OD173" s="1"/>
      <c r="OE173" s="1"/>
      <c r="OF173" s="1"/>
      <c r="OG173" s="1"/>
      <c r="OH173" s="1"/>
      <c r="OI173" s="1"/>
      <c r="OJ173" s="1"/>
      <c r="OK173" s="1"/>
      <c r="OL173" s="1"/>
      <c r="OM173" s="1"/>
      <c r="ON173" s="1"/>
      <c r="OO173" s="1"/>
      <c r="OP173" s="1"/>
      <c r="OQ173" s="1"/>
      <c r="OR173" s="1"/>
      <c r="OS173" s="1"/>
      <c r="OT173" s="1"/>
      <c r="OU173" s="1"/>
      <c r="OV173" s="1"/>
      <c r="OW173" s="1"/>
      <c r="OX173" s="1"/>
      <c r="OY173" s="1"/>
      <c r="OZ173" s="1"/>
      <c r="PA173" s="1"/>
      <c r="PB173" s="1"/>
      <c r="PC173" s="1"/>
      <c r="PD173" s="1"/>
      <c r="PE173" s="1"/>
      <c r="PF173" s="1"/>
      <c r="PG173" s="1"/>
      <c r="PH173" s="1"/>
      <c r="PI173" s="1"/>
      <c r="PJ173" s="1"/>
      <c r="PK173" s="1"/>
      <c r="PL173" s="1"/>
      <c r="PM173" s="1"/>
      <c r="PN173" s="1"/>
      <c r="PO173" s="1"/>
      <c r="PP173" s="1"/>
      <c r="PQ173" s="1"/>
      <c r="PR173" s="1"/>
      <c r="PS173" s="1"/>
      <c r="PT173" s="1"/>
      <c r="PU173" s="1"/>
      <c r="PV173" s="1"/>
      <c r="PW173" s="1"/>
      <c r="PX173" s="1"/>
      <c r="PY173" s="1"/>
      <c r="PZ173" s="1"/>
      <c r="QA173" s="1"/>
      <c r="QB173" s="1"/>
      <c r="QC173" s="1"/>
      <c r="QD173" s="1"/>
      <c r="QE173" s="1"/>
      <c r="QF173" s="1"/>
      <c r="QG173" s="1"/>
      <c r="QH173" s="1"/>
      <c r="QI173" s="1"/>
      <c r="QJ173" s="1"/>
      <c r="QK173" s="1"/>
      <c r="QL173" s="1"/>
      <c r="QM173" s="1"/>
      <c r="QN173" s="1"/>
      <c r="QO173" s="1"/>
      <c r="QP173" s="1"/>
      <c r="QQ173" s="1"/>
      <c r="QR173" s="1"/>
      <c r="QS173" s="1"/>
      <c r="QT173" s="1"/>
      <c r="QU173" s="1"/>
      <c r="QV173" s="1"/>
      <c r="QW173" s="1"/>
      <c r="QX173" s="1"/>
      <c r="QY173" s="1"/>
      <c r="QZ173" s="1"/>
      <c r="RA173" s="1"/>
      <c r="RB173" s="1"/>
      <c r="RC173" s="1"/>
      <c r="RD173" s="1"/>
      <c r="RE173" s="1"/>
      <c r="RF173" s="1"/>
      <c r="RG173" s="1"/>
      <c r="RH173" s="1"/>
      <c r="RI173" s="1"/>
      <c r="RJ173" s="1"/>
      <c r="RK173" s="1"/>
      <c r="RL173" s="1"/>
      <c r="RM173" s="1"/>
      <c r="RN173" s="1"/>
      <c r="RO173" s="1"/>
      <c r="RP173" s="1"/>
      <c r="RQ173" s="1"/>
      <c r="RR173" s="1"/>
      <c r="RS173" s="1"/>
      <c r="RT173" s="1"/>
      <c r="RU173" s="1"/>
      <c r="RV173" s="1"/>
      <c r="RW173" s="1"/>
      <c r="RX173" s="1"/>
      <c r="RY173" s="1"/>
      <c r="RZ173" s="1"/>
      <c r="SA173" s="1"/>
      <c r="SB173" s="1"/>
      <c r="SC173" s="1"/>
      <c r="SD173" s="1"/>
      <c r="SE173" s="1"/>
      <c r="SF173" s="1"/>
      <c r="SG173" s="1"/>
      <c r="SH173" s="1"/>
      <c r="SI173" s="1"/>
      <c r="SJ173" s="1"/>
      <c r="SK173" s="1"/>
      <c r="SL173" s="1"/>
      <c r="SM173" s="1"/>
      <c r="SN173" s="1"/>
      <c r="SO173" s="1"/>
      <c r="SP173" s="1"/>
      <c r="SQ173" s="1"/>
      <c r="SR173" s="1"/>
      <c r="SS173" s="1"/>
      <c r="ST173" s="1"/>
      <c r="SU173" s="1"/>
      <c r="SV173" s="1"/>
      <c r="SW173" s="1"/>
      <c r="SX173" s="1"/>
      <c r="SY173" s="1"/>
      <c r="SZ173" s="1"/>
      <c r="TA173" s="1"/>
      <c r="TB173" s="1"/>
      <c r="TC173" s="1"/>
      <c r="TD173" s="1"/>
      <c r="TE173" s="1"/>
      <c r="TF173" s="1"/>
      <c r="TG173" s="1"/>
      <c r="TH173" s="1"/>
      <c r="TI173" s="1"/>
      <c r="TJ173" s="1"/>
      <c r="TK173" s="1"/>
      <c r="TL173" s="1"/>
      <c r="TM173" s="1"/>
      <c r="TN173" s="1"/>
      <c r="TO173" s="1"/>
      <c r="TP173" s="1"/>
      <c r="TQ173" s="1"/>
      <c r="TR173" s="1"/>
      <c r="TS173" s="1"/>
      <c r="TT173" s="1"/>
      <c r="TU173" s="1"/>
      <c r="TV173" s="1"/>
      <c r="TW173" s="1"/>
      <c r="TX173" s="1"/>
      <c r="TY173" s="1"/>
      <c r="TZ173" s="1"/>
      <c r="UA173" s="1"/>
      <c r="UB173" s="1"/>
      <c r="UC173" s="1"/>
      <c r="UD173" s="1"/>
      <c r="UE173" s="1"/>
      <c r="UF173" s="1"/>
      <c r="UG173" s="1"/>
      <c r="UH173" s="1"/>
      <c r="UI173" s="1"/>
      <c r="UJ173" s="1"/>
      <c r="UK173" s="1"/>
      <c r="UL173" s="1"/>
      <c r="UM173" s="1"/>
      <c r="UN173" s="1"/>
      <c r="UO173" s="1"/>
      <c r="UP173" s="1"/>
      <c r="UQ173" s="1"/>
      <c r="UR173" s="1"/>
      <c r="US173" s="1"/>
      <c r="UT173" s="1"/>
      <c r="UU173" s="1"/>
      <c r="UV173" s="1"/>
      <c r="UW173" s="1"/>
      <c r="UX173" s="1"/>
      <c r="UY173" s="1"/>
      <c r="UZ173" s="1"/>
      <c r="VA173" s="1"/>
      <c r="VB173" s="1"/>
      <c r="VC173" s="1"/>
      <c r="VD173" s="1"/>
      <c r="VE173" s="1"/>
      <c r="VF173" s="1"/>
      <c r="VG173" s="1"/>
      <c r="VH173" s="1"/>
      <c r="VI173" s="1"/>
      <c r="VJ173" s="1"/>
      <c r="VK173" s="1"/>
      <c r="VL173" s="1"/>
      <c r="VM173" s="1"/>
      <c r="VN173" s="1"/>
      <c r="VO173" s="1"/>
      <c r="VP173" s="1"/>
      <c r="VQ173" s="1"/>
      <c r="VR173" s="1"/>
      <c r="VS173" s="1"/>
      <c r="VT173" s="1"/>
      <c r="VU173" s="1"/>
      <c r="VV173" s="1"/>
      <c r="VW173" s="1"/>
      <c r="VX173" s="1"/>
      <c r="VY173" s="1"/>
      <c r="VZ173" s="1"/>
      <c r="WA173" s="1"/>
      <c r="WB173" s="1"/>
      <c r="WC173" s="1"/>
      <c r="WD173" s="1"/>
      <c r="WE173" s="1"/>
      <c r="WF173" s="1"/>
      <c r="WG173" s="1"/>
      <c r="WH173" s="1"/>
      <c r="WI173" s="1"/>
      <c r="WJ173" s="1"/>
      <c r="WK173" s="1"/>
      <c r="WL173" s="1"/>
      <c r="WM173" s="1"/>
      <c r="WN173" s="1"/>
      <c r="WO173" s="1"/>
      <c r="WP173" s="1"/>
      <c r="WQ173" s="1"/>
      <c r="WR173" s="1"/>
      <c r="WS173" s="1"/>
      <c r="WT173" s="1"/>
      <c r="WU173" s="1"/>
      <c r="WV173" s="1"/>
      <c r="WW173" s="1"/>
      <c r="WX173" s="1"/>
      <c r="WY173" s="1"/>
      <c r="WZ173" s="1"/>
      <c r="XA173" s="1"/>
      <c r="XB173" s="1"/>
      <c r="XC173" s="1"/>
      <c r="XD173" s="1"/>
      <c r="XE173" s="1"/>
      <c r="XF173" s="1"/>
      <c r="XG173" s="1"/>
      <c r="XH173" s="1"/>
      <c r="XI173" s="1"/>
      <c r="XJ173" s="1"/>
      <c r="XK173" s="1"/>
      <c r="XL173" s="1"/>
      <c r="XM173" s="1"/>
      <c r="XN173" s="1"/>
      <c r="XO173" s="1"/>
      <c r="XP173" s="1"/>
      <c r="XQ173" s="1"/>
      <c r="XR173" s="1"/>
      <c r="XS173" s="1"/>
      <c r="XT173" s="1"/>
      <c r="XU173" s="1"/>
      <c r="XV173" s="1"/>
      <c r="XW173" s="1"/>
      <c r="XX173" s="1"/>
      <c r="XY173" s="1"/>
      <c r="XZ173" s="1"/>
      <c r="YA173" s="1"/>
      <c r="YB173" s="1"/>
      <c r="YC173" s="1"/>
      <c r="YD173" s="1"/>
      <c r="YE173" s="1"/>
      <c r="YF173" s="1"/>
      <c r="YG173" s="1"/>
      <c r="YH173" s="1"/>
      <c r="YI173" s="1"/>
      <c r="YJ173" s="1"/>
      <c r="YK173" s="1"/>
      <c r="YL173" s="1"/>
      <c r="YM173" s="1"/>
      <c r="YN173" s="1"/>
      <c r="YO173" s="1"/>
      <c r="YP173" s="1"/>
      <c r="YQ173" s="1"/>
      <c r="YR173" s="1"/>
      <c r="YS173" s="1"/>
      <c r="YT173" s="1"/>
      <c r="YU173" s="1"/>
      <c r="YV173" s="1"/>
      <c r="YW173" s="1"/>
      <c r="YX173" s="1"/>
      <c r="YY173" s="1"/>
      <c r="YZ173" s="1"/>
      <c r="ZA173" s="1"/>
      <c r="ZB173" s="1"/>
      <c r="ZC173" s="1"/>
      <c r="ZD173" s="1"/>
      <c r="ZE173" s="1"/>
      <c r="ZF173" s="1"/>
      <c r="ZG173" s="1"/>
      <c r="ZH173" s="1"/>
      <c r="ZI173" s="1"/>
      <c r="ZJ173" s="1"/>
      <c r="ZK173" s="1"/>
      <c r="ZL173" s="1"/>
      <c r="ZM173" s="1"/>
      <c r="ZN173" s="1"/>
      <c r="ZO173" s="1"/>
      <c r="ZP173" s="1"/>
      <c r="ZQ173" s="1"/>
      <c r="ZR173" s="1"/>
      <c r="ZS173" s="1"/>
      <c r="ZT173" s="1"/>
      <c r="ZU173" s="1"/>
      <c r="ZV173" s="1"/>
      <c r="ZW173" s="1"/>
      <c r="ZX173" s="1"/>
      <c r="ZY173" s="1"/>
      <c r="ZZ173" s="1"/>
      <c r="AAA173" s="1"/>
      <c r="AAB173" s="1"/>
      <c r="AAC173" s="1"/>
      <c r="AAD173" s="1"/>
      <c r="AAE173" s="1"/>
      <c r="AAF173" s="1"/>
      <c r="AAG173" s="1"/>
      <c r="AAH173" s="1"/>
      <c r="AAI173" s="1"/>
      <c r="AAJ173" s="1"/>
      <c r="AAK173" s="1"/>
      <c r="AAL173" s="1"/>
      <c r="AAM173" s="1"/>
      <c r="AAN173" s="1"/>
      <c r="AAO173" s="1"/>
      <c r="AAP173" s="1"/>
      <c r="AAQ173" s="1"/>
      <c r="AAR173" s="1"/>
      <c r="AAS173" s="1"/>
      <c r="AAT173" s="1"/>
      <c r="AAU173" s="1"/>
      <c r="AAV173" s="1"/>
      <c r="AAW173" s="1"/>
      <c r="AAX173" s="1"/>
      <c r="AAY173" s="1"/>
      <c r="AAZ173" s="1"/>
      <c r="ABA173" s="1"/>
      <c r="ABB173" s="1"/>
      <c r="ABC173" s="1"/>
      <c r="ABD173" s="1"/>
      <c r="ABE173" s="1"/>
      <c r="ABF173" s="1"/>
      <c r="ABG173" s="1"/>
      <c r="ABH173" s="1"/>
      <c r="ABI173" s="1"/>
      <c r="ABJ173" s="1"/>
      <c r="ABK173" s="1"/>
      <c r="ABL173" s="1"/>
      <c r="ABM173" s="1"/>
      <c r="ABN173" s="1"/>
      <c r="ABO173" s="1"/>
      <c r="ABP173" s="1"/>
      <c r="ABQ173" s="1"/>
      <c r="ABR173" s="1"/>
      <c r="ABS173" s="1"/>
      <c r="ABT173" s="1"/>
      <c r="ABU173" s="1"/>
      <c r="ABV173" s="1"/>
      <c r="ABW173" s="1"/>
      <c r="ABX173" s="1"/>
      <c r="ABY173" s="1"/>
      <c r="ABZ173" s="1"/>
      <c r="ACA173" s="1"/>
      <c r="ACB173" s="1"/>
      <c r="ACC173" s="1"/>
      <c r="ACD173" s="1"/>
      <c r="ACE173" s="1"/>
      <c r="ACF173" s="1"/>
      <c r="ACG173" s="1"/>
      <c r="ACH173" s="1"/>
      <c r="ACI173" s="1"/>
      <c r="ACJ173" s="1"/>
      <c r="ACK173" s="1"/>
      <c r="ACL173" s="1"/>
      <c r="ACM173" s="1"/>
      <c r="ACN173" s="1"/>
      <c r="ACO173" s="1"/>
      <c r="ACP173" s="1"/>
      <c r="ACQ173" s="1"/>
      <c r="ACR173" s="1"/>
      <c r="ACS173" s="1"/>
      <c r="ACT173" s="1"/>
      <c r="ACU173" s="1"/>
      <c r="ACV173" s="1"/>
      <c r="ACW173" s="1"/>
      <c r="ACX173" s="1"/>
      <c r="ACY173" s="1"/>
      <c r="ACZ173" s="1"/>
      <c r="ADA173" s="1"/>
      <c r="ADB173" s="1"/>
      <c r="ADC173" s="1"/>
      <c r="ADD173" s="1"/>
      <c r="ADE173" s="1"/>
      <c r="ADF173" s="1"/>
      <c r="ADG173" s="1"/>
      <c r="ADH173" s="1"/>
      <c r="ADI173" s="1"/>
      <c r="ADJ173" s="1"/>
      <c r="ADK173" s="1"/>
      <c r="ADL173" s="1"/>
      <c r="ADM173" s="1"/>
      <c r="ADN173" s="1"/>
      <c r="ADO173" s="1"/>
      <c r="ADP173" s="1"/>
      <c r="ADQ173" s="1"/>
      <c r="ADR173" s="1"/>
      <c r="ADS173" s="1"/>
      <c r="ADT173" s="1"/>
      <c r="ADU173" s="1"/>
      <c r="ADV173" s="1"/>
      <c r="ADW173" s="1"/>
      <c r="ADX173" s="1"/>
      <c r="ADY173" s="1"/>
      <c r="ADZ173" s="1"/>
      <c r="AEA173" s="1"/>
      <c r="AEB173" s="1"/>
      <c r="AEC173" s="1"/>
      <c r="AED173" s="1"/>
      <c r="AEE173" s="1"/>
      <c r="AEF173" s="1"/>
      <c r="AEG173" s="1"/>
      <c r="AEH173" s="1"/>
      <c r="AEI173" s="1"/>
      <c r="AEJ173" s="1"/>
      <c r="AEK173" s="1"/>
      <c r="AEL173" s="1"/>
      <c r="AEM173" s="1"/>
      <c r="AEN173" s="1"/>
      <c r="AEO173" s="1"/>
      <c r="AEP173" s="1"/>
      <c r="AEQ173" s="1"/>
      <c r="AER173" s="1"/>
      <c r="AES173" s="1"/>
      <c r="AET173" s="1"/>
      <c r="AEU173" s="1"/>
      <c r="AEV173" s="1"/>
      <c r="AEW173" s="1"/>
      <c r="AEX173" s="1"/>
      <c r="AEY173" s="1"/>
      <c r="AEZ173" s="1"/>
      <c r="AFA173" s="1"/>
      <c r="AFB173" s="1"/>
      <c r="AFC173" s="1"/>
      <c r="AFD173" s="1"/>
      <c r="AFE173" s="1"/>
      <c r="AFF173" s="1"/>
      <c r="AFG173" s="1"/>
      <c r="AFH173" s="1"/>
      <c r="AFI173" s="1"/>
      <c r="AFJ173" s="1"/>
      <c r="AFK173" s="1"/>
      <c r="AFL173" s="1"/>
      <c r="AFM173" s="1"/>
      <c r="AFN173" s="1"/>
      <c r="AFO173" s="1"/>
      <c r="AFP173" s="1"/>
      <c r="AFQ173" s="1"/>
      <c r="AFR173" s="1"/>
      <c r="AFS173" s="1"/>
      <c r="AFT173" s="1"/>
      <c r="AFU173" s="1"/>
      <c r="AFV173" s="1"/>
      <c r="AFW173" s="1"/>
      <c r="AFX173" s="1"/>
      <c r="AFY173" s="1"/>
      <c r="AFZ173" s="1"/>
      <c r="AGA173" s="1"/>
      <c r="AGB173" s="1"/>
      <c r="AGC173" s="1"/>
      <c r="AGD173" s="1"/>
      <c r="AGE173" s="1"/>
      <c r="AGF173" s="1"/>
      <c r="AGG173" s="1"/>
      <c r="AGH173" s="1"/>
      <c r="AGI173" s="1"/>
      <c r="AGJ173" s="1"/>
      <c r="AGK173" s="1"/>
      <c r="AGL173" s="1"/>
      <c r="AGM173" s="1"/>
      <c r="AGN173" s="1"/>
      <c r="AGO173" s="1"/>
      <c r="AGP173" s="1"/>
      <c r="AGQ173" s="1"/>
      <c r="AGR173" s="1"/>
      <c r="AGS173" s="1"/>
      <c r="AGT173" s="1"/>
      <c r="AGU173" s="1"/>
      <c r="AGV173" s="1"/>
      <c r="AGW173" s="1"/>
      <c r="AGX173" s="1"/>
      <c r="AGY173" s="1"/>
      <c r="AGZ173" s="1"/>
      <c r="AHA173" s="1"/>
      <c r="AHB173" s="1"/>
      <c r="AHC173" s="1"/>
      <c r="AHD173" s="1"/>
      <c r="AHE173" s="1"/>
      <c r="AHF173" s="1"/>
      <c r="AHG173" s="1"/>
      <c r="AHH173" s="1"/>
      <c r="AHI173" s="1"/>
      <c r="AHJ173" s="1"/>
      <c r="AHK173" s="1"/>
      <c r="AHL173" s="1"/>
      <c r="AHM173" s="1"/>
      <c r="AHN173" s="1"/>
      <c r="AHO173" s="1"/>
      <c r="AHP173" s="1"/>
      <c r="AHQ173" s="1"/>
      <c r="AHR173" s="1"/>
      <c r="AHS173" s="1"/>
      <c r="AHT173" s="1"/>
      <c r="AHU173" s="1"/>
      <c r="AHV173" s="1"/>
      <c r="AHW173" s="1"/>
      <c r="AHX173" s="1"/>
      <c r="AHY173" s="1"/>
      <c r="AHZ173" s="1"/>
      <c r="AIA173" s="1"/>
      <c r="AIB173" s="1"/>
      <c r="AIC173" s="1"/>
      <c r="AID173" s="1"/>
      <c r="AIE173" s="1"/>
      <c r="AIF173" s="1"/>
      <c r="AIG173" s="1"/>
      <c r="AIH173" s="1"/>
      <c r="AII173" s="1"/>
      <c r="AIJ173" s="1"/>
      <c r="AIK173" s="1"/>
      <c r="AIL173" s="1"/>
      <c r="AIM173" s="1"/>
      <c r="AIN173" s="1"/>
      <c r="AIO173" s="1"/>
      <c r="AIP173" s="1"/>
      <c r="AIQ173" s="1"/>
      <c r="AIR173" s="1"/>
      <c r="AIS173" s="1"/>
      <c r="AIT173" s="1"/>
      <c r="AIU173" s="1"/>
      <c r="AIV173" s="1"/>
      <c r="AIW173" s="1"/>
      <c r="AIX173" s="1"/>
      <c r="AIY173" s="1"/>
      <c r="AIZ173" s="1"/>
      <c r="AJA173" s="1"/>
      <c r="AJB173" s="1"/>
      <c r="AJC173" s="1"/>
      <c r="AJD173" s="1"/>
      <c r="AJE173" s="1"/>
      <c r="AJF173" s="1"/>
      <c r="AJG173" s="1"/>
      <c r="AJH173" s="1"/>
      <c r="AJI173" s="1"/>
      <c r="AJJ173" s="1"/>
      <c r="AJK173" s="1"/>
      <c r="AJL173" s="1"/>
      <c r="AJM173" s="1"/>
      <c r="AJN173" s="1"/>
      <c r="AJO173" s="1"/>
      <c r="AJP173" s="1"/>
      <c r="AJQ173" s="1"/>
      <c r="AJR173" s="1"/>
      <c r="AJS173" s="1"/>
      <c r="AJT173" s="1"/>
      <c r="AJU173" s="1"/>
      <c r="AJV173" s="1"/>
      <c r="AJW173" s="1"/>
      <c r="AJX173" s="1"/>
      <c r="AJY173" s="1"/>
      <c r="AJZ173" s="1"/>
      <c r="AKA173" s="1"/>
      <c r="AKB173" s="1"/>
      <c r="AKC173" s="1"/>
      <c r="AKD173" s="1"/>
      <c r="AKE173" s="1"/>
      <c r="AKF173" s="1"/>
      <c r="AKG173" s="1"/>
      <c r="AKH173" s="1"/>
      <c r="AKI173" s="1"/>
      <c r="AKJ173" s="1"/>
      <c r="AKK173" s="1"/>
      <c r="AKL173" s="1"/>
      <c r="AKM173" s="1"/>
      <c r="AKN173" s="1"/>
      <c r="AKO173" s="1"/>
      <c r="AKP173" s="1"/>
      <c r="AKQ173" s="1"/>
      <c r="AKR173" s="1"/>
      <c r="AKS173" s="1"/>
      <c r="AKT173" s="1"/>
      <c r="AKU173" s="1"/>
      <c r="AKV173" s="1"/>
      <c r="AKW173" s="1"/>
      <c r="AKX173" s="1"/>
      <c r="AKY173" s="1"/>
      <c r="AKZ173" s="1"/>
      <c r="ALA173" s="1"/>
      <c r="ALB173" s="1"/>
      <c r="ALC173" s="1"/>
      <c r="ALD173" s="1"/>
      <c r="ALE173" s="1"/>
      <c r="ALF173" s="1"/>
      <c r="ALG173" s="1"/>
      <c r="ALH173" s="1"/>
      <c r="ALI173" s="1"/>
      <c r="ALJ173" s="1"/>
      <c r="ALK173" s="1"/>
      <c r="ALL173" s="1"/>
      <c r="ALM173" s="1"/>
      <c r="ALN173" s="1"/>
      <c r="ALO173" s="1"/>
      <c r="ALP173" s="1"/>
      <c r="ALQ173" s="1"/>
      <c r="ALR173" s="1"/>
      <c r="ALS173" s="1"/>
      <c r="ALT173" s="1"/>
      <c r="ALU173" s="1"/>
      <c r="ALV173" s="1"/>
      <c r="ALW173" s="1"/>
      <c r="ALX173" s="1"/>
      <c r="ALY173" s="1"/>
      <c r="ALZ173" s="1"/>
      <c r="AMA173" s="1"/>
      <c r="AMB173" s="1"/>
      <c r="AMC173" s="1"/>
      <c r="AMD173" s="1"/>
      <c r="AME173" s="1"/>
      <c r="AMF173" s="1"/>
      <c r="AMG173" s="1"/>
      <c r="AMH173" s="1"/>
      <c r="AMI173" s="1"/>
      <c r="AMJ173" s="1"/>
      <c r="AMK173" s="1"/>
      <c r="AML173" s="1"/>
      <c r="AMM173" s="1"/>
      <c r="AMN173" s="1"/>
    </row>
    <row r="174" spans="1:1028" x14ac:dyDescent="0.2">
      <c r="A174" s="3" t="str">
        <f t="shared" si="639"/>
        <v>s1pr1_human_3V2Y</v>
      </c>
      <c r="B174" s="3" t="s">
        <v>104</v>
      </c>
      <c r="C174" s="3" t="s">
        <v>94</v>
      </c>
      <c r="D174" s="3" t="str">
        <f>IFERROR(MID(VLOOKUP($B174,Seqs!$A:$B,2,0),E174,1),"")</f>
        <v>E</v>
      </c>
      <c r="E174" s="3">
        <v>42</v>
      </c>
      <c r="F174" s="3" t="str">
        <f>IFERROR(MID(VLOOKUP($B174,Seqs!$A:$B,2,0),G174,1),"")</f>
        <v>T</v>
      </c>
      <c r="G174" s="3">
        <v>73</v>
      </c>
      <c r="H174" s="3" t="str">
        <f>IFERROR(MID(VLOOKUP($B174,Seqs!$A:$B,2,0),I174,1),"")</f>
        <v>K</v>
      </c>
      <c r="I174" s="23">
        <v>74</v>
      </c>
      <c r="J174" s="3" t="str">
        <f>IFERROR(MID(VLOOKUP($B174,Seqs!$A:$B,2,0),K174,1),"")</f>
        <v>H</v>
      </c>
      <c r="K174" s="23">
        <v>77</v>
      </c>
      <c r="L174" s="3" t="str">
        <f>IFERROR(MID(VLOOKUP($B174,Seqs!$A:$B,2,0),M174,1),"")</f>
        <v>R</v>
      </c>
      <c r="M174" s="3">
        <v>78</v>
      </c>
      <c r="N174" s="3" t="str">
        <f>IFERROR(MID(VLOOKUP($B174,Seqs!$A:$B,2,0),O174,1),"")</f>
        <v>L</v>
      </c>
      <c r="O174" s="3">
        <v>104</v>
      </c>
      <c r="P174" s="3" t="str">
        <f>IFERROR(MID(VLOOKUP($B174,Seqs!$A:$B,2,0),Q174,1),"")</f>
        <v>G</v>
      </c>
      <c r="Q174" s="3">
        <v>106</v>
      </c>
      <c r="R174" s="3" t="str">
        <f>IFERROR(MID(VLOOKUP($B174,Seqs!$A:$B,2,0),S174,1),"")</f>
        <v>L</v>
      </c>
      <c r="S174" s="3">
        <v>112</v>
      </c>
      <c r="T174" s="3" t="str">
        <f>IFERROR(MID(VLOOKUP($B174,Seqs!$A:$B,2,0),U174,1),"")</f>
        <v>T</v>
      </c>
      <c r="U174" s="3">
        <v>113</v>
      </c>
      <c r="V174" s="3" t="str">
        <f>IFERROR(MID(VLOOKUP($B174,Seqs!$A:$B,2,0),W174,1),"")</f>
        <v>T</v>
      </c>
      <c r="W174" s="108">
        <v>145</v>
      </c>
      <c r="X174" s="3" t="str">
        <f>IFERROR(MID(VLOOKUP($B174,Seqs!$A:$B,2,0),Y174,1),"")</f>
        <v/>
      </c>
      <c r="Y174" s="3" t="s">
        <v>23</v>
      </c>
      <c r="Z174" s="3" t="str">
        <f>IFERROR(MID(VLOOKUP($B174,Seqs!$A:$B,2,0),AA174,1),"")</f>
        <v/>
      </c>
      <c r="AA174" s="3" t="s">
        <v>23</v>
      </c>
      <c r="AB174" s="3" t="str">
        <f>IFERROR(MID(VLOOKUP($B174,Seqs!$A:$B,2,0),AC174,1),"")</f>
        <v>N</v>
      </c>
      <c r="AC174" s="108">
        <v>156</v>
      </c>
      <c r="AD174" s="3" t="str">
        <f>IFERROR(MID(VLOOKUP($B174,Seqs!$A:$B,2,0),AE174,1),"")</f>
        <v>G</v>
      </c>
      <c r="AE174" s="3">
        <v>181</v>
      </c>
      <c r="AF174" s="3" t="str">
        <f>IFERROR(MID(VLOOKUP($B174,Seqs!$A:$B,2,0),AG174,1),"")</f>
        <v/>
      </c>
      <c r="AG174" s="3" t="s">
        <v>23</v>
      </c>
      <c r="AH174" s="3" t="str">
        <f>IFERROR(MID(VLOOKUP($B174,Seqs!$A:$B,2,0),AI174,1),"")</f>
        <v/>
      </c>
      <c r="AI174" s="3" t="s">
        <v>23</v>
      </c>
      <c r="AJ174" s="3" t="str">
        <f>IFERROR(MID(VLOOKUP($B174,Seqs!$A:$B,2,0),AK174,1),"")</f>
        <v>H</v>
      </c>
      <c r="AK174" s="3">
        <v>199</v>
      </c>
      <c r="AL174" s="3" t="str">
        <f>IFERROR(MID(VLOOKUP($B174,Seqs!$A:$B,2,0),AM174,1),"")</f>
        <v>R</v>
      </c>
      <c r="AM174" s="3">
        <v>231</v>
      </c>
      <c r="AN174" s="3" t="str">
        <f>IFERROR(MID(VLOOKUP($B174,Seqs!$A:$B,2,0),AO174,1),"")</f>
        <v>S</v>
      </c>
      <c r="AO174" s="3">
        <v>251</v>
      </c>
      <c r="AP174" s="3" t="str">
        <f>IFERROR(MID(VLOOKUP($B174,Seqs!$A:$B,2,0),AQ174,1),"")</f>
        <v>C</v>
      </c>
      <c r="AQ174" s="3">
        <v>282</v>
      </c>
      <c r="AR174" s="3" t="str">
        <f>IFERROR(MID(VLOOKUP($B174,Seqs!$A:$B,2,0),AS174,1),"")</f>
        <v>D</v>
      </c>
      <c r="AS174" s="3">
        <v>288</v>
      </c>
      <c r="AT174" s="3" t="str">
        <f>IFERROR(MID(VLOOKUP($B174,Seqs!$A:$B,2,0),AU174,1),"")</f>
        <v>T</v>
      </c>
      <c r="AU174" s="3">
        <v>314</v>
      </c>
      <c r="AV174" s="3" t="str">
        <f>IFERROR(MID(VLOOKUP($B174,Seqs!$A:$B,2,0),AW174,1),"")</f>
        <v>N</v>
      </c>
      <c r="AW174" s="3">
        <v>315</v>
      </c>
      <c r="AX174" s="3" t="str">
        <f>IFERROR(MID(VLOOKUP($B174,Seqs!$A:$B,2,0),AY174,1),"")</f>
        <v>I</v>
      </c>
      <c r="AY174" s="3">
        <v>323</v>
      </c>
      <c r="AZ174" s="79" t="str">
        <f>VLOOKUP(B174,Classification!A:D,2,0)</f>
        <v>A</v>
      </c>
      <c r="BA174" s="97" t="str">
        <f>VLOOKUP(B174,Classification!A:D,4,0)</f>
        <v>Lysophospholipid(S1P)</v>
      </c>
      <c r="BB174" s="27" t="b">
        <f t="shared" si="640"/>
        <v>1</v>
      </c>
      <c r="BC174" s="23">
        <f t="shared" si="613"/>
        <v>232</v>
      </c>
      <c r="BD174" s="2" t="s">
        <v>1383</v>
      </c>
      <c r="BE174" s="3" t="s">
        <v>1381</v>
      </c>
      <c r="BF174" s="50" t="s">
        <v>1384</v>
      </c>
      <c r="BG174" s="50" t="s">
        <v>1384</v>
      </c>
      <c r="BH174" s="1"/>
      <c r="BI174" s="72" t="s">
        <v>1293</v>
      </c>
      <c r="BJ174" s="58" t="s">
        <v>1293</v>
      </c>
      <c r="BK174" s="58" t="s">
        <v>1293</v>
      </c>
      <c r="BL174" s="58" t="s">
        <v>1293</v>
      </c>
      <c r="BM174" s="58" t="s">
        <v>1293</v>
      </c>
      <c r="BN174" s="58" t="s">
        <v>1293</v>
      </c>
      <c r="BO174" s="58" t="s">
        <v>1293</v>
      </c>
      <c r="BP174" s="58" t="s">
        <v>1293</v>
      </c>
      <c r="BQ174" s="58" t="s">
        <v>1293</v>
      </c>
      <c r="BR174" s="58" t="s">
        <v>1293</v>
      </c>
      <c r="BS174" s="58" t="s">
        <v>1293</v>
      </c>
      <c r="BT174" s="58" t="s">
        <v>1293</v>
      </c>
      <c r="BU174" s="72">
        <f t="shared" si="614"/>
        <v>42</v>
      </c>
      <c r="BV174" s="73">
        <f t="shared" si="615"/>
        <v>74</v>
      </c>
      <c r="BW174" s="74">
        <f t="shared" si="616"/>
        <v>78</v>
      </c>
      <c r="BX174" s="73">
        <f t="shared" si="617"/>
        <v>106</v>
      </c>
      <c r="BY174" s="74">
        <f t="shared" si="618"/>
        <v>113</v>
      </c>
      <c r="BZ174" s="73" t="str">
        <f t="shared" si="619"/>
        <v>-</v>
      </c>
      <c r="CA174" s="74">
        <f t="shared" si="620"/>
        <v>156</v>
      </c>
      <c r="CB174" s="73" t="str">
        <f t="shared" si="621"/>
        <v>-</v>
      </c>
      <c r="CC174" s="74">
        <f t="shared" si="622"/>
        <v>199</v>
      </c>
      <c r="CD174" s="73">
        <f t="shared" si="623"/>
        <v>251</v>
      </c>
      <c r="CE174" s="74">
        <f t="shared" si="624"/>
        <v>288</v>
      </c>
      <c r="CF174" s="73">
        <f t="shared" si="625"/>
        <v>315</v>
      </c>
      <c r="CG174" s="72">
        <f t="shared" si="626"/>
        <v>73</v>
      </c>
      <c r="CH174" s="73">
        <f t="shared" si="627"/>
        <v>77</v>
      </c>
      <c r="CI174" s="74">
        <f t="shared" si="628"/>
        <v>104</v>
      </c>
      <c r="CJ174" s="74">
        <f t="shared" si="629"/>
        <v>112</v>
      </c>
      <c r="CK174" s="74">
        <f t="shared" si="630"/>
        <v>145</v>
      </c>
      <c r="CL174" s="74" t="str">
        <f t="shared" si="631"/>
        <v>-</v>
      </c>
      <c r="CM174" s="74">
        <f t="shared" si="632"/>
        <v>181</v>
      </c>
      <c r="CN174" s="74" t="str">
        <f t="shared" si="633"/>
        <v>-</v>
      </c>
      <c r="CO174" s="74">
        <f t="shared" si="634"/>
        <v>231</v>
      </c>
      <c r="CP174" s="74">
        <f t="shared" si="635"/>
        <v>282</v>
      </c>
      <c r="CQ174" s="74">
        <f t="shared" si="636"/>
        <v>314</v>
      </c>
      <c r="CR174" s="74">
        <f t="shared" si="637"/>
        <v>323</v>
      </c>
      <c r="CS174" s="23">
        <f t="shared" si="638"/>
        <v>1</v>
      </c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/>
      <c r="JL174" s="1"/>
      <c r="JM174" s="1"/>
      <c r="JN174" s="1"/>
      <c r="JO174" s="1"/>
      <c r="JP174" s="1"/>
      <c r="JQ174" s="1"/>
      <c r="JR174" s="1"/>
      <c r="JS174" s="1"/>
      <c r="JT174" s="1"/>
      <c r="JU174" s="1"/>
      <c r="JV174" s="1"/>
      <c r="JW174" s="1"/>
      <c r="JX174" s="1"/>
      <c r="JY174" s="1"/>
      <c r="JZ174" s="1"/>
      <c r="KA174" s="1"/>
      <c r="KB174" s="1"/>
      <c r="KC174" s="1"/>
      <c r="KD174" s="1"/>
      <c r="KE174" s="1"/>
      <c r="KF174" s="1"/>
      <c r="KG174" s="1"/>
      <c r="KH174" s="1"/>
      <c r="KI174" s="1"/>
      <c r="KJ174" s="1"/>
      <c r="KK174" s="1"/>
      <c r="KL174" s="1"/>
      <c r="KM174" s="1"/>
      <c r="KN174" s="1"/>
      <c r="KO174" s="1"/>
      <c r="KP174" s="1"/>
      <c r="KQ174" s="1"/>
      <c r="KR174" s="1"/>
      <c r="KS174" s="1"/>
      <c r="KT174" s="1"/>
      <c r="KU174" s="1"/>
      <c r="KV174" s="1"/>
      <c r="KW174" s="1"/>
      <c r="KX174" s="1"/>
      <c r="KY174" s="1"/>
      <c r="KZ174" s="1"/>
      <c r="LA174" s="1"/>
      <c r="LB174" s="1"/>
      <c r="LC174" s="1"/>
      <c r="LD174" s="1"/>
      <c r="LE174" s="1"/>
      <c r="LF174" s="1"/>
      <c r="LG174" s="1"/>
      <c r="LH174" s="1"/>
      <c r="LI174" s="1"/>
      <c r="LJ174" s="1"/>
      <c r="LK174" s="1"/>
      <c r="LL174" s="1"/>
      <c r="LM174" s="1"/>
      <c r="LN174" s="1"/>
      <c r="LO174" s="1"/>
      <c r="LP174" s="1"/>
      <c r="LQ174" s="1"/>
      <c r="LR174" s="1"/>
      <c r="LS174" s="1"/>
      <c r="LT174" s="1"/>
      <c r="LU174" s="1"/>
      <c r="LV174" s="1"/>
      <c r="LW174" s="1"/>
      <c r="LX174" s="1"/>
      <c r="LY174" s="1"/>
      <c r="LZ174" s="1"/>
      <c r="MA174" s="1"/>
      <c r="MB174" s="1"/>
      <c r="MC174" s="1"/>
      <c r="MD174" s="1"/>
      <c r="ME174" s="1"/>
      <c r="MF174" s="1"/>
      <c r="MG174" s="1"/>
      <c r="MH174" s="1"/>
      <c r="MI174" s="1"/>
      <c r="MJ174" s="1"/>
      <c r="MK174" s="1"/>
      <c r="ML174" s="1"/>
      <c r="MM174" s="1"/>
      <c r="MN174" s="1"/>
      <c r="MO174" s="1"/>
      <c r="MP174" s="1"/>
      <c r="MQ174" s="1"/>
      <c r="MR174" s="1"/>
      <c r="MS174" s="1"/>
      <c r="MT174" s="1"/>
      <c r="MU174" s="1"/>
      <c r="MV174" s="1"/>
      <c r="MW174" s="1"/>
      <c r="MX174" s="1"/>
      <c r="MY174" s="1"/>
      <c r="MZ174" s="1"/>
      <c r="NA174" s="1"/>
      <c r="NB174" s="1"/>
      <c r="NC174" s="1"/>
      <c r="ND174" s="1"/>
      <c r="NE174" s="1"/>
      <c r="NF174" s="1"/>
      <c r="NG174" s="1"/>
      <c r="NH174" s="1"/>
      <c r="NI174" s="1"/>
      <c r="NJ174" s="1"/>
      <c r="NK174" s="1"/>
      <c r="NL174" s="1"/>
      <c r="NM174" s="1"/>
      <c r="NN174" s="1"/>
      <c r="NO174" s="1"/>
      <c r="NP174" s="1"/>
      <c r="NQ174" s="1"/>
      <c r="NR174" s="1"/>
      <c r="NS174" s="1"/>
      <c r="NT174" s="1"/>
      <c r="NU174" s="1"/>
      <c r="NV174" s="1"/>
      <c r="NW174" s="1"/>
      <c r="NX174" s="1"/>
      <c r="NY174" s="1"/>
      <c r="NZ174" s="1"/>
      <c r="OA174" s="1"/>
      <c r="OB174" s="1"/>
      <c r="OC174" s="1"/>
      <c r="OD174" s="1"/>
      <c r="OE174" s="1"/>
      <c r="OF174" s="1"/>
      <c r="OG174" s="1"/>
      <c r="OH174" s="1"/>
      <c r="OI174" s="1"/>
      <c r="OJ174" s="1"/>
      <c r="OK174" s="1"/>
      <c r="OL174" s="1"/>
      <c r="OM174" s="1"/>
      <c r="ON174" s="1"/>
      <c r="OO174" s="1"/>
      <c r="OP174" s="1"/>
      <c r="OQ174" s="1"/>
      <c r="OR174" s="1"/>
      <c r="OS174" s="1"/>
      <c r="OT174" s="1"/>
      <c r="OU174" s="1"/>
      <c r="OV174" s="1"/>
      <c r="OW174" s="1"/>
      <c r="OX174" s="1"/>
      <c r="OY174" s="1"/>
      <c r="OZ174" s="1"/>
      <c r="PA174" s="1"/>
      <c r="PB174" s="1"/>
      <c r="PC174" s="1"/>
      <c r="PD174" s="1"/>
      <c r="PE174" s="1"/>
      <c r="PF174" s="1"/>
      <c r="PG174" s="1"/>
      <c r="PH174" s="1"/>
      <c r="PI174" s="1"/>
      <c r="PJ174" s="1"/>
      <c r="PK174" s="1"/>
      <c r="PL174" s="1"/>
      <c r="PM174" s="1"/>
      <c r="PN174" s="1"/>
      <c r="PO174" s="1"/>
      <c r="PP174" s="1"/>
      <c r="PQ174" s="1"/>
      <c r="PR174" s="1"/>
      <c r="PS174" s="1"/>
      <c r="PT174" s="1"/>
      <c r="PU174" s="1"/>
      <c r="PV174" s="1"/>
      <c r="PW174" s="1"/>
      <c r="PX174" s="1"/>
      <c r="PY174" s="1"/>
      <c r="PZ174" s="1"/>
      <c r="QA174" s="1"/>
      <c r="QB174" s="1"/>
      <c r="QC174" s="1"/>
      <c r="QD174" s="1"/>
      <c r="QE174" s="1"/>
      <c r="QF174" s="1"/>
      <c r="QG174" s="1"/>
      <c r="QH174" s="1"/>
      <c r="QI174" s="1"/>
      <c r="QJ174" s="1"/>
      <c r="QK174" s="1"/>
      <c r="QL174" s="1"/>
      <c r="QM174" s="1"/>
      <c r="QN174" s="1"/>
      <c r="QO174" s="1"/>
      <c r="QP174" s="1"/>
      <c r="QQ174" s="1"/>
      <c r="QR174" s="1"/>
      <c r="QS174" s="1"/>
      <c r="QT174" s="1"/>
      <c r="QU174" s="1"/>
      <c r="QV174" s="1"/>
      <c r="QW174" s="1"/>
      <c r="QX174" s="1"/>
      <c r="QY174" s="1"/>
      <c r="QZ174" s="1"/>
      <c r="RA174" s="1"/>
      <c r="RB174" s="1"/>
      <c r="RC174" s="1"/>
      <c r="RD174" s="1"/>
      <c r="RE174" s="1"/>
      <c r="RF174" s="1"/>
      <c r="RG174" s="1"/>
      <c r="RH174" s="1"/>
      <c r="RI174" s="1"/>
      <c r="RJ174" s="1"/>
      <c r="RK174" s="1"/>
      <c r="RL174" s="1"/>
      <c r="RM174" s="1"/>
      <c r="RN174" s="1"/>
      <c r="RO174" s="1"/>
      <c r="RP174" s="1"/>
      <c r="RQ174" s="1"/>
      <c r="RR174" s="1"/>
      <c r="RS174" s="1"/>
      <c r="RT174" s="1"/>
      <c r="RU174" s="1"/>
      <c r="RV174" s="1"/>
      <c r="RW174" s="1"/>
      <c r="RX174" s="1"/>
      <c r="RY174" s="1"/>
      <c r="RZ174" s="1"/>
      <c r="SA174" s="1"/>
      <c r="SB174" s="1"/>
      <c r="SC174" s="1"/>
      <c r="SD174" s="1"/>
      <c r="SE174" s="1"/>
      <c r="SF174" s="1"/>
      <c r="SG174" s="1"/>
      <c r="SH174" s="1"/>
      <c r="SI174" s="1"/>
      <c r="SJ174" s="1"/>
      <c r="SK174" s="1"/>
      <c r="SL174" s="1"/>
      <c r="SM174" s="1"/>
      <c r="SN174" s="1"/>
      <c r="SO174" s="1"/>
      <c r="SP174" s="1"/>
      <c r="SQ174" s="1"/>
      <c r="SR174" s="1"/>
      <c r="SS174" s="1"/>
      <c r="ST174" s="1"/>
      <c r="SU174" s="1"/>
      <c r="SV174" s="1"/>
      <c r="SW174" s="1"/>
      <c r="SX174" s="1"/>
      <c r="SY174" s="1"/>
      <c r="SZ174" s="1"/>
      <c r="TA174" s="1"/>
      <c r="TB174" s="1"/>
      <c r="TC174" s="1"/>
      <c r="TD174" s="1"/>
      <c r="TE174" s="1"/>
      <c r="TF174" s="1"/>
      <c r="TG174" s="1"/>
      <c r="TH174" s="1"/>
      <c r="TI174" s="1"/>
      <c r="TJ174" s="1"/>
      <c r="TK174" s="1"/>
      <c r="TL174" s="1"/>
      <c r="TM174" s="1"/>
      <c r="TN174" s="1"/>
      <c r="TO174" s="1"/>
      <c r="TP174" s="1"/>
      <c r="TQ174" s="1"/>
      <c r="TR174" s="1"/>
      <c r="TS174" s="1"/>
      <c r="TT174" s="1"/>
      <c r="TU174" s="1"/>
      <c r="TV174" s="1"/>
      <c r="TW174" s="1"/>
      <c r="TX174" s="1"/>
      <c r="TY174" s="1"/>
      <c r="TZ174" s="1"/>
      <c r="UA174" s="1"/>
      <c r="UB174" s="1"/>
      <c r="UC174" s="1"/>
      <c r="UD174" s="1"/>
      <c r="UE174" s="1"/>
      <c r="UF174" s="1"/>
      <c r="UG174" s="1"/>
      <c r="UH174" s="1"/>
      <c r="UI174" s="1"/>
      <c r="UJ174" s="1"/>
      <c r="UK174" s="1"/>
      <c r="UL174" s="1"/>
      <c r="UM174" s="1"/>
      <c r="UN174" s="1"/>
      <c r="UO174" s="1"/>
      <c r="UP174" s="1"/>
      <c r="UQ174" s="1"/>
      <c r="UR174" s="1"/>
      <c r="US174" s="1"/>
      <c r="UT174" s="1"/>
      <c r="UU174" s="1"/>
      <c r="UV174" s="1"/>
      <c r="UW174" s="1"/>
      <c r="UX174" s="1"/>
      <c r="UY174" s="1"/>
      <c r="UZ174" s="1"/>
      <c r="VA174" s="1"/>
      <c r="VB174" s="1"/>
      <c r="VC174" s="1"/>
      <c r="VD174" s="1"/>
      <c r="VE174" s="1"/>
      <c r="VF174" s="1"/>
      <c r="VG174" s="1"/>
      <c r="VH174" s="1"/>
      <c r="VI174" s="1"/>
      <c r="VJ174" s="1"/>
      <c r="VK174" s="1"/>
      <c r="VL174" s="1"/>
      <c r="VM174" s="1"/>
      <c r="VN174" s="1"/>
      <c r="VO174" s="1"/>
      <c r="VP174" s="1"/>
      <c r="VQ174" s="1"/>
      <c r="VR174" s="1"/>
      <c r="VS174" s="1"/>
      <c r="VT174" s="1"/>
      <c r="VU174" s="1"/>
      <c r="VV174" s="1"/>
      <c r="VW174" s="1"/>
      <c r="VX174" s="1"/>
      <c r="VY174" s="1"/>
      <c r="VZ174" s="1"/>
      <c r="WA174" s="1"/>
      <c r="WB174" s="1"/>
      <c r="WC174" s="1"/>
      <c r="WD174" s="1"/>
      <c r="WE174" s="1"/>
      <c r="WF174" s="1"/>
      <c r="WG174" s="1"/>
      <c r="WH174" s="1"/>
      <c r="WI174" s="1"/>
      <c r="WJ174" s="1"/>
      <c r="WK174" s="1"/>
      <c r="WL174" s="1"/>
      <c r="WM174" s="1"/>
      <c r="WN174" s="1"/>
      <c r="WO174" s="1"/>
      <c r="WP174" s="1"/>
      <c r="WQ174" s="1"/>
      <c r="WR174" s="1"/>
      <c r="WS174" s="1"/>
      <c r="WT174" s="1"/>
      <c r="WU174" s="1"/>
      <c r="WV174" s="1"/>
      <c r="WW174" s="1"/>
      <c r="WX174" s="1"/>
      <c r="WY174" s="1"/>
      <c r="WZ174" s="1"/>
      <c r="XA174" s="1"/>
      <c r="XB174" s="1"/>
      <c r="XC174" s="1"/>
      <c r="XD174" s="1"/>
      <c r="XE174" s="1"/>
      <c r="XF174" s="1"/>
      <c r="XG174" s="1"/>
      <c r="XH174" s="1"/>
      <c r="XI174" s="1"/>
      <c r="XJ174" s="1"/>
      <c r="XK174" s="1"/>
      <c r="XL174" s="1"/>
      <c r="XM174" s="1"/>
      <c r="XN174" s="1"/>
      <c r="XO174" s="1"/>
      <c r="XP174" s="1"/>
      <c r="XQ174" s="1"/>
      <c r="XR174" s="1"/>
      <c r="XS174" s="1"/>
      <c r="XT174" s="1"/>
      <c r="XU174" s="1"/>
      <c r="XV174" s="1"/>
      <c r="XW174" s="1"/>
      <c r="XX174" s="1"/>
      <c r="XY174" s="1"/>
      <c r="XZ174" s="1"/>
      <c r="YA174" s="1"/>
      <c r="YB174" s="1"/>
      <c r="YC174" s="1"/>
      <c r="YD174" s="1"/>
      <c r="YE174" s="1"/>
      <c r="YF174" s="1"/>
      <c r="YG174" s="1"/>
      <c r="YH174" s="1"/>
      <c r="YI174" s="1"/>
      <c r="YJ174" s="1"/>
      <c r="YK174" s="1"/>
      <c r="YL174" s="1"/>
      <c r="YM174" s="1"/>
      <c r="YN174" s="1"/>
      <c r="YO174" s="1"/>
      <c r="YP174" s="1"/>
      <c r="YQ174" s="1"/>
      <c r="YR174" s="1"/>
      <c r="YS174" s="1"/>
      <c r="YT174" s="1"/>
      <c r="YU174" s="1"/>
      <c r="YV174" s="1"/>
      <c r="YW174" s="1"/>
      <c r="YX174" s="1"/>
      <c r="YY174" s="1"/>
      <c r="YZ174" s="1"/>
      <c r="ZA174" s="1"/>
      <c r="ZB174" s="1"/>
      <c r="ZC174" s="1"/>
      <c r="ZD174" s="1"/>
      <c r="ZE174" s="1"/>
      <c r="ZF174" s="1"/>
      <c r="ZG174" s="1"/>
      <c r="ZH174" s="1"/>
      <c r="ZI174" s="1"/>
      <c r="ZJ174" s="1"/>
      <c r="ZK174" s="1"/>
      <c r="ZL174" s="1"/>
      <c r="ZM174" s="1"/>
      <c r="ZN174" s="1"/>
      <c r="ZO174" s="1"/>
      <c r="ZP174" s="1"/>
      <c r="ZQ174" s="1"/>
      <c r="ZR174" s="1"/>
      <c r="ZS174" s="1"/>
      <c r="ZT174" s="1"/>
      <c r="ZU174" s="1"/>
      <c r="ZV174" s="1"/>
      <c r="ZW174" s="1"/>
      <c r="ZX174" s="1"/>
      <c r="ZY174" s="1"/>
      <c r="ZZ174" s="1"/>
      <c r="AAA174" s="1"/>
      <c r="AAB174" s="1"/>
      <c r="AAC174" s="1"/>
      <c r="AAD174" s="1"/>
      <c r="AAE174" s="1"/>
      <c r="AAF174" s="1"/>
      <c r="AAG174" s="1"/>
      <c r="AAH174" s="1"/>
      <c r="AAI174" s="1"/>
      <c r="AAJ174" s="1"/>
      <c r="AAK174" s="1"/>
      <c r="AAL174" s="1"/>
      <c r="AAM174" s="1"/>
      <c r="AAN174" s="1"/>
      <c r="AAO174" s="1"/>
      <c r="AAP174" s="1"/>
      <c r="AAQ174" s="1"/>
      <c r="AAR174" s="1"/>
      <c r="AAS174" s="1"/>
      <c r="AAT174" s="1"/>
      <c r="AAU174" s="1"/>
      <c r="AAV174" s="1"/>
      <c r="AAW174" s="1"/>
      <c r="AAX174" s="1"/>
      <c r="AAY174" s="1"/>
      <c r="AAZ174" s="1"/>
      <c r="ABA174" s="1"/>
      <c r="ABB174" s="1"/>
      <c r="ABC174" s="1"/>
      <c r="ABD174" s="1"/>
      <c r="ABE174" s="1"/>
      <c r="ABF174" s="1"/>
      <c r="ABG174" s="1"/>
      <c r="ABH174" s="1"/>
      <c r="ABI174" s="1"/>
      <c r="ABJ174" s="1"/>
      <c r="ABK174" s="1"/>
      <c r="ABL174" s="1"/>
      <c r="ABM174" s="1"/>
      <c r="ABN174" s="1"/>
      <c r="ABO174" s="1"/>
      <c r="ABP174" s="1"/>
      <c r="ABQ174" s="1"/>
      <c r="ABR174" s="1"/>
      <c r="ABS174" s="1"/>
      <c r="ABT174" s="1"/>
      <c r="ABU174" s="1"/>
      <c r="ABV174" s="1"/>
      <c r="ABW174" s="1"/>
      <c r="ABX174" s="1"/>
      <c r="ABY174" s="1"/>
      <c r="ABZ174" s="1"/>
      <c r="ACA174" s="1"/>
      <c r="ACB174" s="1"/>
      <c r="ACC174" s="1"/>
      <c r="ACD174" s="1"/>
      <c r="ACE174" s="1"/>
      <c r="ACF174" s="1"/>
      <c r="ACG174" s="1"/>
      <c r="ACH174" s="1"/>
      <c r="ACI174" s="1"/>
      <c r="ACJ174" s="1"/>
      <c r="ACK174" s="1"/>
      <c r="ACL174" s="1"/>
      <c r="ACM174" s="1"/>
      <c r="ACN174" s="1"/>
      <c r="ACO174" s="1"/>
      <c r="ACP174" s="1"/>
      <c r="ACQ174" s="1"/>
      <c r="ACR174" s="1"/>
      <c r="ACS174" s="1"/>
      <c r="ACT174" s="1"/>
      <c r="ACU174" s="1"/>
      <c r="ACV174" s="1"/>
      <c r="ACW174" s="1"/>
      <c r="ACX174" s="1"/>
      <c r="ACY174" s="1"/>
      <c r="ACZ174" s="1"/>
      <c r="ADA174" s="1"/>
      <c r="ADB174" s="1"/>
      <c r="ADC174" s="1"/>
      <c r="ADD174" s="1"/>
      <c r="ADE174" s="1"/>
      <c r="ADF174" s="1"/>
      <c r="ADG174" s="1"/>
      <c r="ADH174" s="1"/>
      <c r="ADI174" s="1"/>
      <c r="ADJ174" s="1"/>
      <c r="ADK174" s="1"/>
      <c r="ADL174" s="1"/>
      <c r="ADM174" s="1"/>
      <c r="ADN174" s="1"/>
      <c r="ADO174" s="1"/>
      <c r="ADP174" s="1"/>
      <c r="ADQ174" s="1"/>
      <c r="ADR174" s="1"/>
      <c r="ADS174" s="1"/>
      <c r="ADT174" s="1"/>
      <c r="ADU174" s="1"/>
      <c r="ADV174" s="1"/>
      <c r="ADW174" s="1"/>
      <c r="ADX174" s="1"/>
      <c r="ADY174" s="1"/>
      <c r="ADZ174" s="1"/>
      <c r="AEA174" s="1"/>
      <c r="AEB174" s="1"/>
      <c r="AEC174" s="1"/>
      <c r="AED174" s="1"/>
      <c r="AEE174" s="1"/>
      <c r="AEF174" s="1"/>
      <c r="AEG174" s="1"/>
      <c r="AEH174" s="1"/>
      <c r="AEI174" s="1"/>
      <c r="AEJ174" s="1"/>
      <c r="AEK174" s="1"/>
      <c r="AEL174" s="1"/>
      <c r="AEM174" s="1"/>
      <c r="AEN174" s="1"/>
      <c r="AEO174" s="1"/>
      <c r="AEP174" s="1"/>
      <c r="AEQ174" s="1"/>
      <c r="AER174" s="1"/>
      <c r="AES174" s="1"/>
      <c r="AET174" s="1"/>
      <c r="AEU174" s="1"/>
      <c r="AEV174" s="1"/>
      <c r="AEW174" s="1"/>
      <c r="AEX174" s="1"/>
      <c r="AEY174" s="1"/>
      <c r="AEZ174" s="1"/>
      <c r="AFA174" s="1"/>
      <c r="AFB174" s="1"/>
      <c r="AFC174" s="1"/>
      <c r="AFD174" s="1"/>
      <c r="AFE174" s="1"/>
      <c r="AFF174" s="1"/>
      <c r="AFG174" s="1"/>
      <c r="AFH174" s="1"/>
      <c r="AFI174" s="1"/>
      <c r="AFJ174" s="1"/>
      <c r="AFK174" s="1"/>
      <c r="AFL174" s="1"/>
      <c r="AFM174" s="1"/>
      <c r="AFN174" s="1"/>
      <c r="AFO174" s="1"/>
      <c r="AFP174" s="1"/>
      <c r="AFQ174" s="1"/>
      <c r="AFR174" s="1"/>
      <c r="AFS174" s="1"/>
      <c r="AFT174" s="1"/>
      <c r="AFU174" s="1"/>
      <c r="AFV174" s="1"/>
      <c r="AFW174" s="1"/>
      <c r="AFX174" s="1"/>
      <c r="AFY174" s="1"/>
      <c r="AFZ174" s="1"/>
      <c r="AGA174" s="1"/>
      <c r="AGB174" s="1"/>
      <c r="AGC174" s="1"/>
      <c r="AGD174" s="1"/>
      <c r="AGE174" s="1"/>
      <c r="AGF174" s="1"/>
      <c r="AGG174" s="1"/>
      <c r="AGH174" s="1"/>
      <c r="AGI174" s="1"/>
      <c r="AGJ174" s="1"/>
      <c r="AGK174" s="1"/>
      <c r="AGL174" s="1"/>
      <c r="AGM174" s="1"/>
      <c r="AGN174" s="1"/>
      <c r="AGO174" s="1"/>
      <c r="AGP174" s="1"/>
      <c r="AGQ174" s="1"/>
      <c r="AGR174" s="1"/>
      <c r="AGS174" s="1"/>
      <c r="AGT174" s="1"/>
      <c r="AGU174" s="1"/>
      <c r="AGV174" s="1"/>
      <c r="AGW174" s="1"/>
      <c r="AGX174" s="1"/>
      <c r="AGY174" s="1"/>
      <c r="AGZ174" s="1"/>
      <c r="AHA174" s="1"/>
      <c r="AHB174" s="1"/>
      <c r="AHC174" s="1"/>
      <c r="AHD174" s="1"/>
      <c r="AHE174" s="1"/>
      <c r="AHF174" s="1"/>
      <c r="AHG174" s="1"/>
      <c r="AHH174" s="1"/>
      <c r="AHI174" s="1"/>
      <c r="AHJ174" s="1"/>
      <c r="AHK174" s="1"/>
      <c r="AHL174" s="1"/>
      <c r="AHM174" s="1"/>
      <c r="AHN174" s="1"/>
      <c r="AHO174" s="1"/>
      <c r="AHP174" s="1"/>
      <c r="AHQ174" s="1"/>
      <c r="AHR174" s="1"/>
      <c r="AHS174" s="1"/>
      <c r="AHT174" s="1"/>
      <c r="AHU174" s="1"/>
      <c r="AHV174" s="1"/>
      <c r="AHW174" s="1"/>
      <c r="AHX174" s="1"/>
      <c r="AHY174" s="1"/>
      <c r="AHZ174" s="1"/>
      <c r="AIA174" s="1"/>
      <c r="AIB174" s="1"/>
      <c r="AIC174" s="1"/>
      <c r="AID174" s="1"/>
      <c r="AIE174" s="1"/>
      <c r="AIF174" s="1"/>
      <c r="AIG174" s="1"/>
      <c r="AIH174" s="1"/>
      <c r="AII174" s="1"/>
      <c r="AIJ174" s="1"/>
      <c r="AIK174" s="1"/>
      <c r="AIL174" s="1"/>
      <c r="AIM174" s="1"/>
      <c r="AIN174" s="1"/>
      <c r="AIO174" s="1"/>
      <c r="AIP174" s="1"/>
      <c r="AIQ174" s="1"/>
      <c r="AIR174" s="1"/>
      <c r="AIS174" s="1"/>
      <c r="AIT174" s="1"/>
      <c r="AIU174" s="1"/>
      <c r="AIV174" s="1"/>
      <c r="AIW174" s="1"/>
      <c r="AIX174" s="1"/>
      <c r="AIY174" s="1"/>
      <c r="AIZ174" s="1"/>
      <c r="AJA174" s="1"/>
      <c r="AJB174" s="1"/>
      <c r="AJC174" s="1"/>
      <c r="AJD174" s="1"/>
      <c r="AJE174" s="1"/>
      <c r="AJF174" s="1"/>
      <c r="AJG174" s="1"/>
      <c r="AJH174" s="1"/>
      <c r="AJI174" s="1"/>
      <c r="AJJ174" s="1"/>
      <c r="AJK174" s="1"/>
      <c r="AJL174" s="1"/>
      <c r="AJM174" s="1"/>
      <c r="AJN174" s="1"/>
      <c r="AJO174" s="1"/>
      <c r="AJP174" s="1"/>
      <c r="AJQ174" s="1"/>
      <c r="AJR174" s="1"/>
      <c r="AJS174" s="1"/>
      <c r="AJT174" s="1"/>
      <c r="AJU174" s="1"/>
      <c r="AJV174" s="1"/>
      <c r="AJW174" s="1"/>
      <c r="AJX174" s="1"/>
      <c r="AJY174" s="1"/>
      <c r="AJZ174" s="1"/>
      <c r="AKA174" s="1"/>
      <c r="AKB174" s="1"/>
      <c r="AKC174" s="1"/>
      <c r="AKD174" s="1"/>
      <c r="AKE174" s="1"/>
      <c r="AKF174" s="1"/>
      <c r="AKG174" s="1"/>
      <c r="AKH174" s="1"/>
      <c r="AKI174" s="1"/>
      <c r="AKJ174" s="1"/>
      <c r="AKK174" s="1"/>
      <c r="AKL174" s="1"/>
      <c r="AKM174" s="1"/>
      <c r="AKN174" s="1"/>
      <c r="AKO174" s="1"/>
      <c r="AKP174" s="1"/>
      <c r="AKQ174" s="1"/>
      <c r="AKR174" s="1"/>
      <c r="AKS174" s="1"/>
      <c r="AKT174" s="1"/>
      <c r="AKU174" s="1"/>
      <c r="AKV174" s="1"/>
      <c r="AKW174" s="1"/>
      <c r="AKX174" s="1"/>
      <c r="AKY174" s="1"/>
      <c r="AKZ174" s="1"/>
      <c r="ALA174" s="1"/>
      <c r="ALB174" s="1"/>
      <c r="ALC174" s="1"/>
      <c r="ALD174" s="1"/>
      <c r="ALE174" s="1"/>
      <c r="ALF174" s="1"/>
      <c r="ALG174" s="1"/>
      <c r="ALH174" s="1"/>
      <c r="ALI174" s="1"/>
      <c r="ALJ174" s="1"/>
      <c r="ALK174" s="1"/>
      <c r="ALL174" s="1"/>
      <c r="ALM174" s="1"/>
      <c r="ALN174" s="1"/>
      <c r="ALO174" s="1"/>
      <c r="ALP174" s="1"/>
      <c r="ALQ174" s="1"/>
      <c r="ALR174" s="1"/>
      <c r="ALS174" s="1"/>
      <c r="ALT174" s="1"/>
      <c r="ALU174" s="1"/>
      <c r="ALV174" s="1"/>
      <c r="ALW174" s="1"/>
      <c r="ALX174" s="1"/>
      <c r="ALY174" s="1"/>
      <c r="ALZ174" s="1"/>
      <c r="AMA174" s="1"/>
      <c r="AMB174" s="1"/>
      <c r="AMC174" s="1"/>
      <c r="AMD174" s="1"/>
      <c r="AME174" s="1"/>
      <c r="AMF174" s="1"/>
      <c r="AMG174" s="1"/>
      <c r="AMH174" s="1"/>
      <c r="AMI174" s="1"/>
      <c r="AMJ174" s="1"/>
      <c r="AMK174" s="1"/>
      <c r="AML174" s="1"/>
      <c r="AMM174" s="1"/>
      <c r="AMN174" s="1"/>
    </row>
    <row r="175" spans="1:1028" x14ac:dyDescent="0.2">
      <c r="A175" s="3" t="str">
        <f t="shared" si="639"/>
        <v>us28_hcmva__wt</v>
      </c>
      <c r="B175" s="3" t="s">
        <v>924</v>
      </c>
      <c r="C175" s="3" t="s">
        <v>100</v>
      </c>
      <c r="D175" s="3" t="str">
        <f>IFERROR(MID(VLOOKUP($B175,Seqs!$A:$B,2,0),E175,1),"")</f>
        <v>T</v>
      </c>
      <c r="E175" s="3">
        <v>26</v>
      </c>
      <c r="F175" s="3" t="str">
        <f>IFERROR(MID(VLOOKUP($B175,Seqs!$A:$B,2,0),G175,1),"")</f>
        <v>R</v>
      </c>
      <c r="G175" s="3">
        <v>61</v>
      </c>
      <c r="H175" s="3" t="str">
        <f>IFERROR(MID(VLOOKUP($B175,Seqs!$A:$B,2,0),I175,1),"")</f>
        <v>R</v>
      </c>
      <c r="I175" s="23">
        <v>62</v>
      </c>
      <c r="J175" s="3" t="str">
        <f>IFERROR(MID(VLOOKUP($B175,Seqs!$A:$B,2,0),K175,1),"")</f>
        <v>Q</v>
      </c>
      <c r="K175" s="23">
        <v>65</v>
      </c>
      <c r="L175" s="3" t="str">
        <f>IFERROR(MID(VLOOKUP($B175,Seqs!$A:$B,2,0),M175,1),"")</f>
        <v>C</v>
      </c>
      <c r="M175" s="3">
        <v>66</v>
      </c>
      <c r="N175" s="3" t="str">
        <f>IFERROR(MID(VLOOKUP($B175,Seqs!$A:$B,2,0),O175,1),"")</f>
        <v>D</v>
      </c>
      <c r="O175" s="3">
        <v>95</v>
      </c>
      <c r="P175" s="3" t="str">
        <f>IFERROR(MID(VLOOKUP($B175,Seqs!$A:$B,2,0),Q175,1),"")</f>
        <v/>
      </c>
      <c r="Q175" s="3" t="s">
        <v>23</v>
      </c>
      <c r="R175" s="3" t="str">
        <f>IFERROR(MID(VLOOKUP($B175,Seqs!$A:$B,2,0),S175,1),"")</f>
        <v/>
      </c>
      <c r="S175" s="3" t="s">
        <v>23</v>
      </c>
      <c r="T175" s="3" t="str">
        <f>IFERROR(MID(VLOOKUP($B175,Seqs!$A:$B,2,0),U175,1),"")</f>
        <v>P</v>
      </c>
      <c r="U175" s="3">
        <v>103</v>
      </c>
      <c r="V175" s="3" t="str">
        <f>IFERROR(MID(VLOOKUP($B175,Seqs!$A:$B,2,0),W175,1),"")</f>
        <v>Y</v>
      </c>
      <c r="W175" s="3">
        <v>135</v>
      </c>
      <c r="X175" s="3" t="str">
        <f>IFERROR(MID(VLOOKUP($B175,Seqs!$A:$B,2,0),Y175,1),"")</f>
        <v/>
      </c>
      <c r="Y175" s="3" t="s">
        <v>23</v>
      </c>
      <c r="Z175" s="3" t="str">
        <f>IFERROR(MID(VLOOKUP($B175,Seqs!$A:$B,2,0),AA175,1),"")</f>
        <v/>
      </c>
      <c r="AA175" s="3" t="s">
        <v>23</v>
      </c>
      <c r="AB175" s="3" t="str">
        <f>IFERROR(MID(VLOOKUP($B175,Seqs!$A:$B,2,0),AC175,1),"")</f>
        <v>P</v>
      </c>
      <c r="AC175" s="9">
        <v>140</v>
      </c>
      <c r="AD175" s="3" t="str">
        <f>IFERROR(MID(VLOOKUP($B175,Seqs!$A:$B,2,0),AE175,1),"")</f>
        <v>V</v>
      </c>
      <c r="AE175" s="3">
        <v>165</v>
      </c>
      <c r="AF175" s="3" t="str">
        <f>IFERROR(MID(VLOOKUP($B175,Seqs!$A:$B,2,0),AG175,1),"")</f>
        <v>C</v>
      </c>
      <c r="AG175" s="3">
        <v>173</v>
      </c>
      <c r="AH175" s="3" t="str">
        <f>IFERROR(MID(VLOOKUP($B175,Seqs!$A:$B,2,0),AI175,1),"")</f>
        <v>T</v>
      </c>
      <c r="AI175" s="3">
        <v>175</v>
      </c>
      <c r="AJ175" s="3" t="str">
        <f>IFERROR(MID(VLOOKUP($B175,Seqs!$A:$B,2,0),AK175,1),"")</f>
        <v>V</v>
      </c>
      <c r="AK175" s="3">
        <v>182</v>
      </c>
      <c r="AL175" s="3" t="str">
        <f>IFERROR(MID(VLOOKUP($B175,Seqs!$A:$B,2,0),AM175,1),"")</f>
        <v>S</v>
      </c>
      <c r="AM175" s="3">
        <v>218</v>
      </c>
      <c r="AN175" s="3" t="str">
        <f>IFERROR(MID(VLOOKUP($B175,Seqs!$A:$B,2,0),AO175,1),"")</f>
        <v>H</v>
      </c>
      <c r="AO175" s="3">
        <v>222</v>
      </c>
      <c r="AP175" s="3" t="str">
        <f>IFERROR(MID(VLOOKUP($B175,Seqs!$A:$B,2,0),AQ175,1),"")</f>
        <v>K</v>
      </c>
      <c r="AQ175" s="3">
        <v>257</v>
      </c>
      <c r="AR175" s="3" t="str">
        <f>IFERROR(MID(VLOOKUP($B175,Seqs!$A:$B,2,0),AS175,1),"")</f>
        <v>S</v>
      </c>
      <c r="AS175" s="3">
        <v>262</v>
      </c>
      <c r="AT175" s="3" t="str">
        <f>IFERROR(MID(VLOOKUP($B175,Seqs!$A:$B,2,0),AU175,1),"")</f>
        <v>V</v>
      </c>
      <c r="AU175" s="3">
        <v>294</v>
      </c>
      <c r="AV175" s="3" t="str">
        <f>IFERROR(MID(VLOOKUP($B175,Seqs!$A:$B,2,0),AW175,1),"")</f>
        <v>G</v>
      </c>
      <c r="AW175" s="3">
        <v>295</v>
      </c>
      <c r="AX175" s="3" t="str">
        <f>IFERROR(MID(VLOOKUP($B175,Seqs!$A:$B,2,0),AY175,1),"")</f>
        <v>R</v>
      </c>
      <c r="AY175" s="3">
        <v>310</v>
      </c>
      <c r="AZ175" s="79" t="str">
        <f>VLOOKUP(B175,Classification!A:D,2,0)</f>
        <v>A</v>
      </c>
      <c r="BA175" s="97" t="str">
        <f>VLOOKUP(B175,Classification!A:D,4,0)</f>
        <v>Chemokine</v>
      </c>
      <c r="BB175" s="27" t="b">
        <f t="shared" si="640"/>
        <v>1</v>
      </c>
      <c r="BC175" s="23">
        <f t="shared" si="613"/>
        <v>256</v>
      </c>
      <c r="BD175" s="57" t="s">
        <v>1379</v>
      </c>
      <c r="BE175" s="3" t="s">
        <v>1381</v>
      </c>
      <c r="BF175" s="50" t="s">
        <v>1379</v>
      </c>
      <c r="BG175" s="50" t="s">
        <v>1384</v>
      </c>
      <c r="BH175" s="1"/>
      <c r="BI175" s="72" t="s">
        <v>1293</v>
      </c>
      <c r="BJ175" s="58" t="s">
        <v>1293</v>
      </c>
      <c r="BK175" s="58" t="s">
        <v>1293</v>
      </c>
      <c r="BL175" s="58" t="s">
        <v>1293</v>
      </c>
      <c r="BM175" s="58" t="s">
        <v>1293</v>
      </c>
      <c r="BN175" s="58" t="s">
        <v>1293</v>
      </c>
      <c r="BO175" s="58" t="s">
        <v>1293</v>
      </c>
      <c r="BP175" s="58" t="s">
        <v>1293</v>
      </c>
      <c r="BQ175" s="58" t="s">
        <v>1293</v>
      </c>
      <c r="BR175" s="58" t="s">
        <v>1293</v>
      </c>
      <c r="BS175" s="58" t="s">
        <v>1293</v>
      </c>
      <c r="BT175" s="58" t="s">
        <v>1293</v>
      </c>
      <c r="BU175" s="72">
        <f t="shared" si="614"/>
        <v>26</v>
      </c>
      <c r="BV175" s="73">
        <f t="shared" si="615"/>
        <v>62</v>
      </c>
      <c r="BW175" s="74">
        <f t="shared" si="616"/>
        <v>66</v>
      </c>
      <c r="BX175" s="73" t="str">
        <f t="shared" si="617"/>
        <v>-</v>
      </c>
      <c r="BY175" s="74">
        <f t="shared" si="618"/>
        <v>103</v>
      </c>
      <c r="BZ175" s="73" t="str">
        <f t="shared" si="619"/>
        <v>-</v>
      </c>
      <c r="CA175" s="74">
        <f t="shared" si="620"/>
        <v>140</v>
      </c>
      <c r="CB175" s="73">
        <f t="shared" si="621"/>
        <v>173</v>
      </c>
      <c r="CC175" s="74">
        <f t="shared" si="622"/>
        <v>182</v>
      </c>
      <c r="CD175" s="73">
        <f t="shared" si="623"/>
        <v>222</v>
      </c>
      <c r="CE175" s="74">
        <f t="shared" si="624"/>
        <v>262</v>
      </c>
      <c r="CF175" s="73">
        <f t="shared" si="625"/>
        <v>295</v>
      </c>
      <c r="CG175" s="72">
        <f t="shared" si="626"/>
        <v>61</v>
      </c>
      <c r="CH175" s="73">
        <f t="shared" si="627"/>
        <v>65</v>
      </c>
      <c r="CI175" s="74">
        <f t="shared" si="628"/>
        <v>95</v>
      </c>
      <c r="CJ175" s="74" t="str">
        <f t="shared" si="629"/>
        <v>-</v>
      </c>
      <c r="CK175" s="74">
        <f t="shared" si="630"/>
        <v>135</v>
      </c>
      <c r="CL175" s="74" t="str">
        <f t="shared" si="631"/>
        <v>-</v>
      </c>
      <c r="CM175" s="74">
        <f t="shared" si="632"/>
        <v>165</v>
      </c>
      <c r="CN175" s="74">
        <f t="shared" si="633"/>
        <v>175</v>
      </c>
      <c r="CO175" s="74">
        <f t="shared" si="634"/>
        <v>218</v>
      </c>
      <c r="CP175" s="74">
        <f t="shared" si="635"/>
        <v>257</v>
      </c>
      <c r="CQ175" s="74">
        <f t="shared" si="636"/>
        <v>294</v>
      </c>
      <c r="CR175" s="74">
        <f t="shared" si="637"/>
        <v>310</v>
      </c>
      <c r="CS175" s="23">
        <f t="shared" si="638"/>
        <v>1</v>
      </c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/>
      <c r="KH175" s="1"/>
      <c r="KI175" s="1"/>
      <c r="KJ175" s="1"/>
      <c r="KK175" s="1"/>
      <c r="KL175" s="1"/>
      <c r="KM175" s="1"/>
      <c r="KN175" s="1"/>
      <c r="KO175" s="1"/>
      <c r="KP175" s="1"/>
      <c r="KQ175" s="1"/>
      <c r="KR175" s="1"/>
      <c r="KS175" s="1"/>
      <c r="KT175" s="1"/>
      <c r="KU175" s="1"/>
      <c r="KV175" s="1"/>
      <c r="KW175" s="1"/>
      <c r="KX175" s="1"/>
      <c r="KY175" s="1"/>
      <c r="KZ175" s="1"/>
      <c r="LA175" s="1"/>
      <c r="LB175" s="1"/>
      <c r="LC175" s="1"/>
      <c r="LD175" s="1"/>
      <c r="LE175" s="1"/>
      <c r="LF175" s="1"/>
      <c r="LG175" s="1"/>
      <c r="LH175" s="1"/>
      <c r="LI175" s="1"/>
      <c r="LJ175" s="1"/>
      <c r="LK175" s="1"/>
      <c r="LL175" s="1"/>
      <c r="LM175" s="1"/>
      <c r="LN175" s="1"/>
      <c r="LO175" s="1"/>
      <c r="LP175" s="1"/>
      <c r="LQ175" s="1"/>
      <c r="LR175" s="1"/>
      <c r="LS175" s="1"/>
      <c r="LT175" s="1"/>
      <c r="LU175" s="1"/>
      <c r="LV175" s="1"/>
      <c r="LW175" s="1"/>
      <c r="LX175" s="1"/>
      <c r="LY175" s="1"/>
      <c r="LZ175" s="1"/>
      <c r="MA175" s="1"/>
      <c r="MB175" s="1"/>
      <c r="MC175" s="1"/>
      <c r="MD175" s="1"/>
      <c r="ME175" s="1"/>
      <c r="MF175" s="1"/>
      <c r="MG175" s="1"/>
      <c r="MH175" s="1"/>
      <c r="MI175" s="1"/>
      <c r="MJ175" s="1"/>
      <c r="MK175" s="1"/>
      <c r="ML175" s="1"/>
      <c r="MM175" s="1"/>
      <c r="MN175" s="1"/>
      <c r="MO175" s="1"/>
      <c r="MP175" s="1"/>
      <c r="MQ175" s="1"/>
      <c r="MR175" s="1"/>
      <c r="MS175" s="1"/>
      <c r="MT175" s="1"/>
      <c r="MU175" s="1"/>
      <c r="MV175" s="1"/>
      <c r="MW175" s="1"/>
      <c r="MX175" s="1"/>
      <c r="MY175" s="1"/>
      <c r="MZ175" s="1"/>
      <c r="NA175" s="1"/>
      <c r="NB175" s="1"/>
      <c r="NC175" s="1"/>
      <c r="ND175" s="1"/>
      <c r="NE175" s="1"/>
      <c r="NF175" s="1"/>
      <c r="NG175" s="1"/>
      <c r="NH175" s="1"/>
      <c r="NI175" s="1"/>
      <c r="NJ175" s="1"/>
      <c r="NK175" s="1"/>
      <c r="NL175" s="1"/>
      <c r="NM175" s="1"/>
      <c r="NN175" s="1"/>
      <c r="NO175" s="1"/>
      <c r="NP175" s="1"/>
      <c r="NQ175" s="1"/>
      <c r="NR175" s="1"/>
      <c r="NS175" s="1"/>
      <c r="NT175" s="1"/>
      <c r="NU175" s="1"/>
      <c r="NV175" s="1"/>
      <c r="NW175" s="1"/>
      <c r="NX175" s="1"/>
      <c r="NY175" s="1"/>
      <c r="NZ175" s="1"/>
      <c r="OA175" s="1"/>
      <c r="OB175" s="1"/>
      <c r="OC175" s="1"/>
      <c r="OD175" s="1"/>
      <c r="OE175" s="1"/>
      <c r="OF175" s="1"/>
      <c r="OG175" s="1"/>
      <c r="OH175" s="1"/>
      <c r="OI175" s="1"/>
      <c r="OJ175" s="1"/>
      <c r="OK175" s="1"/>
      <c r="OL175" s="1"/>
      <c r="OM175" s="1"/>
      <c r="ON175" s="1"/>
      <c r="OO175" s="1"/>
      <c r="OP175" s="1"/>
      <c r="OQ175" s="1"/>
      <c r="OR175" s="1"/>
      <c r="OS175" s="1"/>
      <c r="OT175" s="1"/>
      <c r="OU175" s="1"/>
      <c r="OV175" s="1"/>
      <c r="OW175" s="1"/>
      <c r="OX175" s="1"/>
      <c r="OY175" s="1"/>
      <c r="OZ175" s="1"/>
      <c r="PA175" s="1"/>
      <c r="PB175" s="1"/>
      <c r="PC175" s="1"/>
      <c r="PD175" s="1"/>
      <c r="PE175" s="1"/>
      <c r="PF175" s="1"/>
      <c r="PG175" s="1"/>
      <c r="PH175" s="1"/>
      <c r="PI175" s="1"/>
      <c r="PJ175" s="1"/>
      <c r="PK175" s="1"/>
      <c r="PL175" s="1"/>
      <c r="PM175" s="1"/>
      <c r="PN175" s="1"/>
      <c r="PO175" s="1"/>
      <c r="PP175" s="1"/>
      <c r="PQ175" s="1"/>
      <c r="PR175" s="1"/>
      <c r="PS175" s="1"/>
      <c r="PT175" s="1"/>
      <c r="PU175" s="1"/>
      <c r="PV175" s="1"/>
      <c r="PW175" s="1"/>
      <c r="PX175" s="1"/>
      <c r="PY175" s="1"/>
      <c r="PZ175" s="1"/>
      <c r="QA175" s="1"/>
      <c r="QB175" s="1"/>
      <c r="QC175" s="1"/>
      <c r="QD175" s="1"/>
      <c r="QE175" s="1"/>
      <c r="QF175" s="1"/>
      <c r="QG175" s="1"/>
      <c r="QH175" s="1"/>
      <c r="QI175" s="1"/>
      <c r="QJ175" s="1"/>
      <c r="QK175" s="1"/>
      <c r="QL175" s="1"/>
      <c r="QM175" s="1"/>
      <c r="QN175" s="1"/>
      <c r="QO175" s="1"/>
      <c r="QP175" s="1"/>
      <c r="QQ175" s="1"/>
      <c r="QR175" s="1"/>
      <c r="QS175" s="1"/>
      <c r="QT175" s="1"/>
      <c r="QU175" s="1"/>
      <c r="QV175" s="1"/>
      <c r="QW175" s="1"/>
      <c r="QX175" s="1"/>
      <c r="QY175" s="1"/>
      <c r="QZ175" s="1"/>
      <c r="RA175" s="1"/>
      <c r="RB175" s="1"/>
      <c r="RC175" s="1"/>
      <c r="RD175" s="1"/>
      <c r="RE175" s="1"/>
      <c r="RF175" s="1"/>
      <c r="RG175" s="1"/>
      <c r="RH175" s="1"/>
      <c r="RI175" s="1"/>
      <c r="RJ175" s="1"/>
      <c r="RK175" s="1"/>
      <c r="RL175" s="1"/>
      <c r="RM175" s="1"/>
      <c r="RN175" s="1"/>
      <c r="RO175" s="1"/>
      <c r="RP175" s="1"/>
      <c r="RQ175" s="1"/>
      <c r="RR175" s="1"/>
      <c r="RS175" s="1"/>
      <c r="RT175" s="1"/>
      <c r="RU175" s="1"/>
      <c r="RV175" s="1"/>
      <c r="RW175" s="1"/>
      <c r="RX175" s="1"/>
      <c r="RY175" s="1"/>
      <c r="RZ175" s="1"/>
      <c r="SA175" s="1"/>
      <c r="SB175" s="1"/>
      <c r="SC175" s="1"/>
      <c r="SD175" s="1"/>
      <c r="SE175" s="1"/>
      <c r="SF175" s="1"/>
      <c r="SG175" s="1"/>
      <c r="SH175" s="1"/>
      <c r="SI175" s="1"/>
      <c r="SJ175" s="1"/>
      <c r="SK175" s="1"/>
      <c r="SL175" s="1"/>
      <c r="SM175" s="1"/>
      <c r="SN175" s="1"/>
      <c r="SO175" s="1"/>
      <c r="SP175" s="1"/>
      <c r="SQ175" s="1"/>
      <c r="SR175" s="1"/>
      <c r="SS175" s="1"/>
      <c r="ST175" s="1"/>
      <c r="SU175" s="1"/>
      <c r="SV175" s="1"/>
      <c r="SW175" s="1"/>
      <c r="SX175" s="1"/>
      <c r="SY175" s="1"/>
      <c r="SZ175" s="1"/>
      <c r="TA175" s="1"/>
      <c r="TB175" s="1"/>
      <c r="TC175" s="1"/>
      <c r="TD175" s="1"/>
      <c r="TE175" s="1"/>
      <c r="TF175" s="1"/>
      <c r="TG175" s="1"/>
      <c r="TH175" s="1"/>
      <c r="TI175" s="1"/>
      <c r="TJ175" s="1"/>
      <c r="TK175" s="1"/>
      <c r="TL175" s="1"/>
      <c r="TM175" s="1"/>
      <c r="TN175" s="1"/>
      <c r="TO175" s="1"/>
      <c r="TP175" s="1"/>
      <c r="TQ175" s="1"/>
      <c r="TR175" s="1"/>
      <c r="TS175" s="1"/>
      <c r="TT175" s="1"/>
      <c r="TU175" s="1"/>
      <c r="TV175" s="1"/>
      <c r="TW175" s="1"/>
      <c r="TX175" s="1"/>
      <c r="TY175" s="1"/>
      <c r="TZ175" s="1"/>
      <c r="UA175" s="1"/>
      <c r="UB175" s="1"/>
      <c r="UC175" s="1"/>
      <c r="UD175" s="1"/>
      <c r="UE175" s="1"/>
      <c r="UF175" s="1"/>
      <c r="UG175" s="1"/>
      <c r="UH175" s="1"/>
      <c r="UI175" s="1"/>
      <c r="UJ175" s="1"/>
      <c r="UK175" s="1"/>
      <c r="UL175" s="1"/>
      <c r="UM175" s="1"/>
      <c r="UN175" s="1"/>
      <c r="UO175" s="1"/>
      <c r="UP175" s="1"/>
      <c r="UQ175" s="1"/>
      <c r="UR175" s="1"/>
      <c r="US175" s="1"/>
      <c r="UT175" s="1"/>
      <c r="UU175" s="1"/>
      <c r="UV175" s="1"/>
      <c r="UW175" s="1"/>
      <c r="UX175" s="1"/>
      <c r="UY175" s="1"/>
      <c r="UZ175" s="1"/>
      <c r="VA175" s="1"/>
      <c r="VB175" s="1"/>
      <c r="VC175" s="1"/>
      <c r="VD175" s="1"/>
      <c r="VE175" s="1"/>
      <c r="VF175" s="1"/>
      <c r="VG175" s="1"/>
      <c r="VH175" s="1"/>
      <c r="VI175" s="1"/>
      <c r="VJ175" s="1"/>
      <c r="VK175" s="1"/>
      <c r="VL175" s="1"/>
      <c r="VM175" s="1"/>
      <c r="VN175" s="1"/>
      <c r="VO175" s="1"/>
      <c r="VP175" s="1"/>
      <c r="VQ175" s="1"/>
      <c r="VR175" s="1"/>
      <c r="VS175" s="1"/>
      <c r="VT175" s="1"/>
      <c r="VU175" s="1"/>
      <c r="VV175" s="1"/>
      <c r="VW175" s="1"/>
      <c r="VX175" s="1"/>
      <c r="VY175" s="1"/>
      <c r="VZ175" s="1"/>
      <c r="WA175" s="1"/>
      <c r="WB175" s="1"/>
      <c r="WC175" s="1"/>
      <c r="WD175" s="1"/>
      <c r="WE175" s="1"/>
      <c r="WF175" s="1"/>
      <c r="WG175" s="1"/>
      <c r="WH175" s="1"/>
      <c r="WI175" s="1"/>
      <c r="WJ175" s="1"/>
      <c r="WK175" s="1"/>
      <c r="WL175" s="1"/>
      <c r="WM175" s="1"/>
      <c r="WN175" s="1"/>
      <c r="WO175" s="1"/>
      <c r="WP175" s="1"/>
      <c r="WQ175" s="1"/>
      <c r="WR175" s="1"/>
      <c r="WS175" s="1"/>
      <c r="WT175" s="1"/>
      <c r="WU175" s="1"/>
      <c r="WV175" s="1"/>
      <c r="WW175" s="1"/>
      <c r="WX175" s="1"/>
      <c r="WY175" s="1"/>
      <c r="WZ175" s="1"/>
      <c r="XA175" s="1"/>
      <c r="XB175" s="1"/>
      <c r="XC175" s="1"/>
      <c r="XD175" s="1"/>
      <c r="XE175" s="1"/>
      <c r="XF175" s="1"/>
      <c r="XG175" s="1"/>
      <c r="XH175" s="1"/>
      <c r="XI175" s="1"/>
      <c r="XJ175" s="1"/>
      <c r="XK175" s="1"/>
      <c r="XL175" s="1"/>
      <c r="XM175" s="1"/>
      <c r="XN175" s="1"/>
      <c r="XO175" s="1"/>
      <c r="XP175" s="1"/>
      <c r="XQ175" s="1"/>
      <c r="XR175" s="1"/>
      <c r="XS175" s="1"/>
      <c r="XT175" s="1"/>
      <c r="XU175" s="1"/>
      <c r="XV175" s="1"/>
      <c r="XW175" s="1"/>
      <c r="XX175" s="1"/>
      <c r="XY175" s="1"/>
      <c r="XZ175" s="1"/>
      <c r="YA175" s="1"/>
      <c r="YB175" s="1"/>
      <c r="YC175" s="1"/>
      <c r="YD175" s="1"/>
      <c r="YE175" s="1"/>
      <c r="YF175" s="1"/>
      <c r="YG175" s="1"/>
      <c r="YH175" s="1"/>
      <c r="YI175" s="1"/>
      <c r="YJ175" s="1"/>
      <c r="YK175" s="1"/>
      <c r="YL175" s="1"/>
      <c r="YM175" s="1"/>
      <c r="YN175" s="1"/>
      <c r="YO175" s="1"/>
      <c r="YP175" s="1"/>
      <c r="YQ175" s="1"/>
      <c r="YR175" s="1"/>
      <c r="YS175" s="1"/>
      <c r="YT175" s="1"/>
      <c r="YU175" s="1"/>
      <c r="YV175" s="1"/>
      <c r="YW175" s="1"/>
      <c r="YX175" s="1"/>
      <c r="YY175" s="1"/>
      <c r="YZ175" s="1"/>
      <c r="ZA175" s="1"/>
      <c r="ZB175" s="1"/>
      <c r="ZC175" s="1"/>
      <c r="ZD175" s="1"/>
      <c r="ZE175" s="1"/>
      <c r="ZF175" s="1"/>
      <c r="ZG175" s="1"/>
      <c r="ZH175" s="1"/>
      <c r="ZI175" s="1"/>
      <c r="ZJ175" s="1"/>
      <c r="ZK175" s="1"/>
      <c r="ZL175" s="1"/>
      <c r="ZM175" s="1"/>
      <c r="ZN175" s="1"/>
      <c r="ZO175" s="1"/>
      <c r="ZP175" s="1"/>
      <c r="ZQ175" s="1"/>
      <c r="ZR175" s="1"/>
      <c r="ZS175" s="1"/>
      <c r="ZT175" s="1"/>
      <c r="ZU175" s="1"/>
      <c r="ZV175" s="1"/>
      <c r="ZW175" s="1"/>
      <c r="ZX175" s="1"/>
      <c r="ZY175" s="1"/>
      <c r="ZZ175" s="1"/>
      <c r="AAA175" s="1"/>
      <c r="AAB175" s="1"/>
      <c r="AAC175" s="1"/>
      <c r="AAD175" s="1"/>
      <c r="AAE175" s="1"/>
      <c r="AAF175" s="1"/>
      <c r="AAG175" s="1"/>
      <c r="AAH175" s="1"/>
      <c r="AAI175" s="1"/>
      <c r="AAJ175" s="1"/>
      <c r="AAK175" s="1"/>
      <c r="AAL175" s="1"/>
      <c r="AAM175" s="1"/>
      <c r="AAN175" s="1"/>
      <c r="AAO175" s="1"/>
      <c r="AAP175" s="1"/>
      <c r="AAQ175" s="1"/>
      <c r="AAR175" s="1"/>
      <c r="AAS175" s="1"/>
      <c r="AAT175" s="1"/>
      <c r="AAU175" s="1"/>
      <c r="AAV175" s="1"/>
      <c r="AAW175" s="1"/>
      <c r="AAX175" s="1"/>
      <c r="AAY175" s="1"/>
      <c r="AAZ175" s="1"/>
      <c r="ABA175" s="1"/>
      <c r="ABB175" s="1"/>
      <c r="ABC175" s="1"/>
      <c r="ABD175" s="1"/>
      <c r="ABE175" s="1"/>
      <c r="ABF175" s="1"/>
      <c r="ABG175" s="1"/>
      <c r="ABH175" s="1"/>
      <c r="ABI175" s="1"/>
      <c r="ABJ175" s="1"/>
      <c r="ABK175" s="1"/>
      <c r="ABL175" s="1"/>
      <c r="ABM175" s="1"/>
      <c r="ABN175" s="1"/>
      <c r="ABO175" s="1"/>
      <c r="ABP175" s="1"/>
      <c r="ABQ175" s="1"/>
      <c r="ABR175" s="1"/>
      <c r="ABS175" s="1"/>
      <c r="ABT175" s="1"/>
      <c r="ABU175" s="1"/>
      <c r="ABV175" s="1"/>
      <c r="ABW175" s="1"/>
      <c r="ABX175" s="1"/>
      <c r="ABY175" s="1"/>
      <c r="ABZ175" s="1"/>
      <c r="ACA175" s="1"/>
      <c r="ACB175" s="1"/>
      <c r="ACC175" s="1"/>
      <c r="ACD175" s="1"/>
      <c r="ACE175" s="1"/>
      <c r="ACF175" s="1"/>
      <c r="ACG175" s="1"/>
      <c r="ACH175" s="1"/>
      <c r="ACI175" s="1"/>
      <c r="ACJ175" s="1"/>
      <c r="ACK175" s="1"/>
      <c r="ACL175" s="1"/>
      <c r="ACM175" s="1"/>
      <c r="ACN175" s="1"/>
      <c r="ACO175" s="1"/>
      <c r="ACP175" s="1"/>
      <c r="ACQ175" s="1"/>
      <c r="ACR175" s="1"/>
      <c r="ACS175" s="1"/>
      <c r="ACT175" s="1"/>
      <c r="ACU175" s="1"/>
      <c r="ACV175" s="1"/>
      <c r="ACW175" s="1"/>
      <c r="ACX175" s="1"/>
      <c r="ACY175" s="1"/>
      <c r="ACZ175" s="1"/>
      <c r="ADA175" s="1"/>
      <c r="ADB175" s="1"/>
      <c r="ADC175" s="1"/>
      <c r="ADD175" s="1"/>
      <c r="ADE175" s="1"/>
      <c r="ADF175" s="1"/>
      <c r="ADG175" s="1"/>
      <c r="ADH175" s="1"/>
      <c r="ADI175" s="1"/>
      <c r="ADJ175" s="1"/>
      <c r="ADK175" s="1"/>
      <c r="ADL175" s="1"/>
      <c r="ADM175" s="1"/>
      <c r="ADN175" s="1"/>
      <c r="ADO175" s="1"/>
      <c r="ADP175" s="1"/>
      <c r="ADQ175" s="1"/>
      <c r="ADR175" s="1"/>
      <c r="ADS175" s="1"/>
      <c r="ADT175" s="1"/>
      <c r="ADU175" s="1"/>
      <c r="ADV175" s="1"/>
      <c r="ADW175" s="1"/>
      <c r="ADX175" s="1"/>
      <c r="ADY175" s="1"/>
      <c r="ADZ175" s="1"/>
      <c r="AEA175" s="1"/>
      <c r="AEB175" s="1"/>
      <c r="AEC175" s="1"/>
      <c r="AED175" s="1"/>
      <c r="AEE175" s="1"/>
      <c r="AEF175" s="1"/>
      <c r="AEG175" s="1"/>
      <c r="AEH175" s="1"/>
      <c r="AEI175" s="1"/>
      <c r="AEJ175" s="1"/>
      <c r="AEK175" s="1"/>
      <c r="AEL175" s="1"/>
      <c r="AEM175" s="1"/>
      <c r="AEN175" s="1"/>
      <c r="AEO175" s="1"/>
      <c r="AEP175" s="1"/>
      <c r="AEQ175" s="1"/>
      <c r="AER175" s="1"/>
      <c r="AES175" s="1"/>
      <c r="AET175" s="1"/>
      <c r="AEU175" s="1"/>
      <c r="AEV175" s="1"/>
      <c r="AEW175" s="1"/>
      <c r="AEX175" s="1"/>
      <c r="AEY175" s="1"/>
      <c r="AEZ175" s="1"/>
      <c r="AFA175" s="1"/>
      <c r="AFB175" s="1"/>
      <c r="AFC175" s="1"/>
      <c r="AFD175" s="1"/>
      <c r="AFE175" s="1"/>
      <c r="AFF175" s="1"/>
      <c r="AFG175" s="1"/>
      <c r="AFH175" s="1"/>
      <c r="AFI175" s="1"/>
      <c r="AFJ175" s="1"/>
      <c r="AFK175" s="1"/>
      <c r="AFL175" s="1"/>
      <c r="AFM175" s="1"/>
      <c r="AFN175" s="1"/>
      <c r="AFO175" s="1"/>
      <c r="AFP175" s="1"/>
      <c r="AFQ175" s="1"/>
      <c r="AFR175" s="1"/>
      <c r="AFS175" s="1"/>
      <c r="AFT175" s="1"/>
      <c r="AFU175" s="1"/>
      <c r="AFV175" s="1"/>
      <c r="AFW175" s="1"/>
      <c r="AFX175" s="1"/>
      <c r="AFY175" s="1"/>
      <c r="AFZ175" s="1"/>
      <c r="AGA175" s="1"/>
      <c r="AGB175" s="1"/>
      <c r="AGC175" s="1"/>
      <c r="AGD175" s="1"/>
      <c r="AGE175" s="1"/>
      <c r="AGF175" s="1"/>
      <c r="AGG175" s="1"/>
      <c r="AGH175" s="1"/>
      <c r="AGI175" s="1"/>
      <c r="AGJ175" s="1"/>
      <c r="AGK175" s="1"/>
      <c r="AGL175" s="1"/>
      <c r="AGM175" s="1"/>
      <c r="AGN175" s="1"/>
      <c r="AGO175" s="1"/>
      <c r="AGP175" s="1"/>
      <c r="AGQ175" s="1"/>
      <c r="AGR175" s="1"/>
      <c r="AGS175" s="1"/>
      <c r="AGT175" s="1"/>
      <c r="AGU175" s="1"/>
      <c r="AGV175" s="1"/>
      <c r="AGW175" s="1"/>
      <c r="AGX175" s="1"/>
      <c r="AGY175" s="1"/>
      <c r="AGZ175" s="1"/>
      <c r="AHA175" s="1"/>
      <c r="AHB175" s="1"/>
      <c r="AHC175" s="1"/>
      <c r="AHD175" s="1"/>
      <c r="AHE175" s="1"/>
      <c r="AHF175" s="1"/>
      <c r="AHG175" s="1"/>
      <c r="AHH175" s="1"/>
      <c r="AHI175" s="1"/>
      <c r="AHJ175" s="1"/>
      <c r="AHK175" s="1"/>
      <c r="AHL175" s="1"/>
      <c r="AHM175" s="1"/>
      <c r="AHN175" s="1"/>
      <c r="AHO175" s="1"/>
      <c r="AHP175" s="1"/>
      <c r="AHQ175" s="1"/>
      <c r="AHR175" s="1"/>
      <c r="AHS175" s="1"/>
      <c r="AHT175" s="1"/>
      <c r="AHU175" s="1"/>
      <c r="AHV175" s="1"/>
      <c r="AHW175" s="1"/>
      <c r="AHX175" s="1"/>
      <c r="AHY175" s="1"/>
      <c r="AHZ175" s="1"/>
      <c r="AIA175" s="1"/>
      <c r="AIB175" s="1"/>
      <c r="AIC175" s="1"/>
      <c r="AID175" s="1"/>
      <c r="AIE175" s="1"/>
      <c r="AIF175" s="1"/>
      <c r="AIG175" s="1"/>
      <c r="AIH175" s="1"/>
      <c r="AII175" s="1"/>
      <c r="AIJ175" s="1"/>
      <c r="AIK175" s="1"/>
      <c r="AIL175" s="1"/>
      <c r="AIM175" s="1"/>
      <c r="AIN175" s="1"/>
      <c r="AIO175" s="1"/>
      <c r="AIP175" s="1"/>
      <c r="AIQ175" s="1"/>
      <c r="AIR175" s="1"/>
      <c r="AIS175" s="1"/>
      <c r="AIT175" s="1"/>
      <c r="AIU175" s="1"/>
      <c r="AIV175" s="1"/>
      <c r="AIW175" s="1"/>
      <c r="AIX175" s="1"/>
      <c r="AIY175" s="1"/>
      <c r="AIZ175" s="1"/>
      <c r="AJA175" s="1"/>
      <c r="AJB175" s="1"/>
      <c r="AJC175" s="1"/>
      <c r="AJD175" s="1"/>
      <c r="AJE175" s="1"/>
      <c r="AJF175" s="1"/>
      <c r="AJG175" s="1"/>
      <c r="AJH175" s="1"/>
      <c r="AJI175" s="1"/>
      <c r="AJJ175" s="1"/>
      <c r="AJK175" s="1"/>
      <c r="AJL175" s="1"/>
      <c r="AJM175" s="1"/>
      <c r="AJN175" s="1"/>
      <c r="AJO175" s="1"/>
      <c r="AJP175" s="1"/>
      <c r="AJQ175" s="1"/>
      <c r="AJR175" s="1"/>
      <c r="AJS175" s="1"/>
      <c r="AJT175" s="1"/>
      <c r="AJU175" s="1"/>
      <c r="AJV175" s="1"/>
      <c r="AJW175" s="1"/>
      <c r="AJX175" s="1"/>
      <c r="AJY175" s="1"/>
      <c r="AJZ175" s="1"/>
      <c r="AKA175" s="1"/>
      <c r="AKB175" s="1"/>
      <c r="AKC175" s="1"/>
      <c r="AKD175" s="1"/>
      <c r="AKE175" s="1"/>
      <c r="AKF175" s="1"/>
      <c r="AKG175" s="1"/>
      <c r="AKH175" s="1"/>
      <c r="AKI175" s="1"/>
      <c r="AKJ175" s="1"/>
      <c r="AKK175" s="1"/>
      <c r="AKL175" s="1"/>
      <c r="AKM175" s="1"/>
      <c r="AKN175" s="1"/>
      <c r="AKO175" s="1"/>
      <c r="AKP175" s="1"/>
      <c r="AKQ175" s="1"/>
      <c r="AKR175" s="1"/>
      <c r="AKS175" s="1"/>
      <c r="AKT175" s="1"/>
      <c r="AKU175" s="1"/>
      <c r="AKV175" s="1"/>
      <c r="AKW175" s="1"/>
      <c r="AKX175" s="1"/>
      <c r="AKY175" s="1"/>
      <c r="AKZ175" s="1"/>
      <c r="ALA175" s="1"/>
      <c r="ALB175" s="1"/>
      <c r="ALC175" s="1"/>
      <c r="ALD175" s="1"/>
      <c r="ALE175" s="1"/>
      <c r="ALF175" s="1"/>
      <c r="ALG175" s="1"/>
      <c r="ALH175" s="1"/>
      <c r="ALI175" s="1"/>
      <c r="ALJ175" s="1"/>
      <c r="ALK175" s="1"/>
      <c r="ALL175" s="1"/>
      <c r="ALM175" s="1"/>
      <c r="ALN175" s="1"/>
      <c r="ALO175" s="1"/>
      <c r="ALP175" s="1"/>
      <c r="ALQ175" s="1"/>
      <c r="ALR175" s="1"/>
      <c r="ALS175" s="1"/>
      <c r="ALT175" s="1"/>
      <c r="ALU175" s="1"/>
      <c r="ALV175" s="1"/>
      <c r="ALW175" s="1"/>
      <c r="ALX175" s="1"/>
      <c r="ALY175" s="1"/>
      <c r="ALZ175" s="1"/>
      <c r="AMA175" s="1"/>
      <c r="AMB175" s="1"/>
      <c r="AMC175" s="1"/>
      <c r="AMD175" s="1"/>
      <c r="AME175" s="1"/>
      <c r="AMF175" s="1"/>
      <c r="AMG175" s="1"/>
      <c r="AMH175" s="1"/>
      <c r="AMI175" s="1"/>
      <c r="AMJ175" s="1"/>
      <c r="AMK175" s="1"/>
      <c r="AML175" s="1"/>
      <c r="AMM175" s="1"/>
      <c r="AMN175" s="1"/>
    </row>
    <row r="176" spans="1:1028" x14ac:dyDescent="0.2">
      <c r="A176" s="3" t="str">
        <f t="shared" si="639"/>
        <v>us28_hcmva_4XT1</v>
      </c>
      <c r="B176" s="3" t="s">
        <v>924</v>
      </c>
      <c r="C176" s="3" t="s">
        <v>1124</v>
      </c>
      <c r="D176" s="3" t="str">
        <f>IFERROR(MID(VLOOKUP($B176,Seqs!$A:$B,2,0),E176,1),"")</f>
        <v>T</v>
      </c>
      <c r="E176" s="3">
        <v>26</v>
      </c>
      <c r="F176" s="3" t="str">
        <f>IFERROR(MID(VLOOKUP($B176,Seqs!$A:$B,2,0),G176,1),"")</f>
        <v>R</v>
      </c>
      <c r="G176" s="3">
        <v>61</v>
      </c>
      <c r="H176" s="3" t="str">
        <f>IFERROR(MID(VLOOKUP($B176,Seqs!$A:$B,2,0),I176,1),"")</f>
        <v/>
      </c>
      <c r="I176" s="23" t="s">
        <v>23</v>
      </c>
      <c r="J176" s="3" t="str">
        <f>IFERROR(MID(VLOOKUP($B176,Seqs!$A:$B,2,0),K176,1),"")</f>
        <v/>
      </c>
      <c r="K176" s="23" t="s">
        <v>23</v>
      </c>
      <c r="L176" s="3" t="str">
        <f>IFERROR(MID(VLOOKUP($B176,Seqs!$A:$B,2,0),M176,1),"")</f>
        <v>C</v>
      </c>
      <c r="M176" s="3">
        <v>66</v>
      </c>
      <c r="N176" s="3" t="str">
        <f>IFERROR(MID(VLOOKUP($B176,Seqs!$A:$B,2,0),O176,1),"")</f>
        <v>D</v>
      </c>
      <c r="O176" s="3">
        <v>95</v>
      </c>
      <c r="P176" s="3" t="str">
        <f>IFERROR(MID(VLOOKUP($B176,Seqs!$A:$B,2,0),Q176,1),"")</f>
        <v/>
      </c>
      <c r="Q176" s="3" t="s">
        <v>23</v>
      </c>
      <c r="R176" s="3" t="str">
        <f>IFERROR(MID(VLOOKUP($B176,Seqs!$A:$B,2,0),S176,1),"")</f>
        <v/>
      </c>
      <c r="S176" s="3" t="s">
        <v>23</v>
      </c>
      <c r="T176" s="3" t="str">
        <f>IFERROR(MID(VLOOKUP($B176,Seqs!$A:$B,2,0),U176,1),"")</f>
        <v>P</v>
      </c>
      <c r="U176" s="3">
        <v>103</v>
      </c>
      <c r="V176" s="3" t="str">
        <f>IFERROR(MID(VLOOKUP($B176,Seqs!$A:$B,2,0),W176,1),"")</f>
        <v>Y</v>
      </c>
      <c r="W176" s="3">
        <v>135</v>
      </c>
      <c r="X176" s="3" t="str">
        <f>IFERROR(MID(VLOOKUP($B176,Seqs!$A:$B,2,0),Y176,1),"")</f>
        <v/>
      </c>
      <c r="Y176" s="3" t="s">
        <v>23</v>
      </c>
      <c r="Z176" s="3" t="str">
        <f>IFERROR(MID(VLOOKUP($B176,Seqs!$A:$B,2,0),AA176,1),"")</f>
        <v/>
      </c>
      <c r="AA176" s="3" t="s">
        <v>23</v>
      </c>
      <c r="AB176" s="3" t="str">
        <f>IFERROR(MID(VLOOKUP($B176,Seqs!$A:$B,2,0),AC176,1),"")</f>
        <v>P</v>
      </c>
      <c r="AC176" s="9">
        <v>140</v>
      </c>
      <c r="AD176" s="3" t="str">
        <f>IFERROR(MID(VLOOKUP($B176,Seqs!$A:$B,2,0),AE176,1),"")</f>
        <v>V</v>
      </c>
      <c r="AE176" s="3">
        <v>165</v>
      </c>
      <c r="AF176" s="3" t="str">
        <f>IFERROR(MID(VLOOKUP($B176,Seqs!$A:$B,2,0),AG176,1),"")</f>
        <v>C</v>
      </c>
      <c r="AG176" s="3">
        <v>173</v>
      </c>
      <c r="AH176" s="3" t="str">
        <f>IFERROR(MID(VLOOKUP($B176,Seqs!$A:$B,2,0),AI176,1),"")</f>
        <v>T</v>
      </c>
      <c r="AI176" s="3">
        <v>175</v>
      </c>
      <c r="AJ176" s="3" t="str">
        <f>IFERROR(MID(VLOOKUP($B176,Seqs!$A:$B,2,0),AK176,1),"")</f>
        <v>V</v>
      </c>
      <c r="AK176" s="3">
        <v>182</v>
      </c>
      <c r="AL176" s="3" t="str">
        <f>IFERROR(MID(VLOOKUP($B176,Seqs!$A:$B,2,0),AM176,1),"")</f>
        <v>S</v>
      </c>
      <c r="AM176" s="3">
        <v>218</v>
      </c>
      <c r="AN176" s="3" t="str">
        <f>IFERROR(MID(VLOOKUP($B176,Seqs!$A:$B,2,0),AO176,1),"")</f>
        <v>H</v>
      </c>
      <c r="AO176" s="3">
        <v>222</v>
      </c>
      <c r="AP176" s="3" t="str">
        <f>IFERROR(MID(VLOOKUP($B176,Seqs!$A:$B,2,0),AQ176,1),"")</f>
        <v>K</v>
      </c>
      <c r="AQ176" s="3">
        <v>257</v>
      </c>
      <c r="AR176" s="3" t="str">
        <f>IFERROR(MID(VLOOKUP($B176,Seqs!$A:$B,2,0),AS176,1),"")</f>
        <v>C</v>
      </c>
      <c r="AS176" s="3">
        <v>263</v>
      </c>
      <c r="AT176" s="3" t="str">
        <f>IFERROR(MID(VLOOKUP($B176,Seqs!$A:$B,2,0),AU176,1),"")</f>
        <v>V</v>
      </c>
      <c r="AU176" s="3">
        <v>294</v>
      </c>
      <c r="AV176" s="3" t="str">
        <f>IFERROR(MID(VLOOKUP($B176,Seqs!$A:$B,2,0),AW176,1),"")</f>
        <v>G</v>
      </c>
      <c r="AW176" s="3">
        <v>295</v>
      </c>
      <c r="AX176" s="3" t="str">
        <f>IFERROR(MID(VLOOKUP($B176,Seqs!$A:$B,2,0),AY176,1),"")</f>
        <v>R</v>
      </c>
      <c r="AY176" s="3">
        <v>310</v>
      </c>
      <c r="AZ176" s="79" t="str">
        <f>VLOOKUP(B176,Classification!A:D,2,0)</f>
        <v>A</v>
      </c>
      <c r="BA176" s="97" t="str">
        <f>VLOOKUP(B176,Classification!A:D,4,0)</f>
        <v>Chemokine</v>
      </c>
      <c r="BB176" s="27" t="b">
        <f t="shared" si="640"/>
        <v>1</v>
      </c>
      <c r="BC176" s="23">
        <f t="shared" si="613"/>
        <v>252</v>
      </c>
      <c r="BD176" s="4" t="s">
        <v>1382</v>
      </c>
      <c r="BE176" s="3" t="s">
        <v>1297</v>
      </c>
      <c r="BF176" s="50" t="s">
        <v>1384</v>
      </c>
      <c r="BG176" s="50" t="s">
        <v>1384</v>
      </c>
      <c r="BH176" s="1"/>
      <c r="BI176" s="72" t="s">
        <v>1293</v>
      </c>
      <c r="BJ176" s="58" t="s">
        <v>1293</v>
      </c>
      <c r="BK176" s="58" t="s">
        <v>1293</v>
      </c>
      <c r="BL176" s="58" t="s">
        <v>1293</v>
      </c>
      <c r="BM176" s="58" t="s">
        <v>1293</v>
      </c>
      <c r="BN176" s="58" t="s">
        <v>1293</v>
      </c>
      <c r="BO176" s="58" t="s">
        <v>1293</v>
      </c>
      <c r="BP176" s="58" t="s">
        <v>1293</v>
      </c>
      <c r="BQ176" s="58" t="s">
        <v>1293</v>
      </c>
      <c r="BR176" s="58" t="s">
        <v>1293</v>
      </c>
      <c r="BS176" s="58" t="s">
        <v>1293</v>
      </c>
      <c r="BT176" s="58" t="s">
        <v>1293</v>
      </c>
      <c r="BU176" s="72">
        <f t="shared" si="614"/>
        <v>26</v>
      </c>
      <c r="BV176" s="73" t="str">
        <f t="shared" si="615"/>
        <v>-</v>
      </c>
      <c r="BW176" s="74">
        <f t="shared" si="616"/>
        <v>66</v>
      </c>
      <c r="BX176" s="73" t="str">
        <f t="shared" si="617"/>
        <v>-</v>
      </c>
      <c r="BY176" s="74">
        <f t="shared" si="618"/>
        <v>103</v>
      </c>
      <c r="BZ176" s="73" t="str">
        <f t="shared" si="619"/>
        <v>-</v>
      </c>
      <c r="CA176" s="74">
        <f t="shared" si="620"/>
        <v>140</v>
      </c>
      <c r="CB176" s="73">
        <f t="shared" si="621"/>
        <v>173</v>
      </c>
      <c r="CC176" s="74">
        <f t="shared" si="622"/>
        <v>182</v>
      </c>
      <c r="CD176" s="73">
        <f t="shared" si="623"/>
        <v>222</v>
      </c>
      <c r="CE176" s="74">
        <f t="shared" si="624"/>
        <v>263</v>
      </c>
      <c r="CF176" s="73">
        <f t="shared" si="625"/>
        <v>295</v>
      </c>
      <c r="CG176" s="72">
        <f t="shared" si="626"/>
        <v>61</v>
      </c>
      <c r="CH176" s="73" t="str">
        <f t="shared" si="627"/>
        <v>-</v>
      </c>
      <c r="CI176" s="74">
        <f t="shared" si="628"/>
        <v>95</v>
      </c>
      <c r="CJ176" s="74" t="str">
        <f t="shared" si="629"/>
        <v>-</v>
      </c>
      <c r="CK176" s="74">
        <f t="shared" si="630"/>
        <v>135</v>
      </c>
      <c r="CL176" s="74" t="str">
        <f t="shared" si="631"/>
        <v>-</v>
      </c>
      <c r="CM176" s="74">
        <f t="shared" si="632"/>
        <v>165</v>
      </c>
      <c r="CN176" s="74">
        <f t="shared" si="633"/>
        <v>175</v>
      </c>
      <c r="CO176" s="74">
        <f t="shared" si="634"/>
        <v>218</v>
      </c>
      <c r="CP176" s="74">
        <f t="shared" si="635"/>
        <v>257</v>
      </c>
      <c r="CQ176" s="74">
        <f t="shared" si="636"/>
        <v>294</v>
      </c>
      <c r="CR176" s="74">
        <f t="shared" si="637"/>
        <v>310</v>
      </c>
      <c r="CS176" s="23" t="e">
        <f t="shared" si="638"/>
        <v>#VALUE!</v>
      </c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/>
      <c r="KG176" s="1"/>
      <c r="KH176" s="1"/>
      <c r="KI176" s="1"/>
      <c r="KJ176" s="1"/>
      <c r="KK176" s="1"/>
      <c r="KL176" s="1"/>
      <c r="KM176" s="1"/>
      <c r="KN176" s="1"/>
      <c r="KO176" s="1"/>
      <c r="KP176" s="1"/>
      <c r="KQ176" s="1"/>
      <c r="KR176" s="1"/>
      <c r="KS176" s="1"/>
      <c r="KT176" s="1"/>
      <c r="KU176" s="1"/>
      <c r="KV176" s="1"/>
      <c r="KW176" s="1"/>
      <c r="KX176" s="1"/>
      <c r="KY176" s="1"/>
      <c r="KZ176" s="1"/>
      <c r="LA176" s="1"/>
      <c r="LB176" s="1"/>
      <c r="LC176" s="1"/>
      <c r="LD176" s="1"/>
      <c r="LE176" s="1"/>
      <c r="LF176" s="1"/>
      <c r="LG176" s="1"/>
      <c r="LH176" s="1"/>
      <c r="LI176" s="1"/>
      <c r="LJ176" s="1"/>
      <c r="LK176" s="1"/>
      <c r="LL176" s="1"/>
      <c r="LM176" s="1"/>
      <c r="LN176" s="1"/>
      <c r="LO176" s="1"/>
      <c r="LP176" s="1"/>
      <c r="LQ176" s="1"/>
      <c r="LR176" s="1"/>
      <c r="LS176" s="1"/>
      <c r="LT176" s="1"/>
      <c r="LU176" s="1"/>
      <c r="LV176" s="1"/>
      <c r="LW176" s="1"/>
      <c r="LX176" s="1"/>
      <c r="LY176" s="1"/>
      <c r="LZ176" s="1"/>
      <c r="MA176" s="1"/>
      <c r="MB176" s="1"/>
      <c r="MC176" s="1"/>
      <c r="MD176" s="1"/>
      <c r="ME176" s="1"/>
      <c r="MF176" s="1"/>
      <c r="MG176" s="1"/>
      <c r="MH176" s="1"/>
      <c r="MI176" s="1"/>
      <c r="MJ176" s="1"/>
      <c r="MK176" s="1"/>
      <c r="ML176" s="1"/>
      <c r="MM176" s="1"/>
      <c r="MN176" s="1"/>
      <c r="MO176" s="1"/>
      <c r="MP176" s="1"/>
      <c r="MQ176" s="1"/>
      <c r="MR176" s="1"/>
      <c r="MS176" s="1"/>
      <c r="MT176" s="1"/>
      <c r="MU176" s="1"/>
      <c r="MV176" s="1"/>
      <c r="MW176" s="1"/>
      <c r="MX176" s="1"/>
      <c r="MY176" s="1"/>
      <c r="MZ176" s="1"/>
      <c r="NA176" s="1"/>
      <c r="NB176" s="1"/>
      <c r="NC176" s="1"/>
      <c r="ND176" s="1"/>
      <c r="NE176" s="1"/>
      <c r="NF176" s="1"/>
      <c r="NG176" s="1"/>
      <c r="NH176" s="1"/>
      <c r="NI176" s="1"/>
      <c r="NJ176" s="1"/>
      <c r="NK176" s="1"/>
      <c r="NL176" s="1"/>
      <c r="NM176" s="1"/>
      <c r="NN176" s="1"/>
      <c r="NO176" s="1"/>
      <c r="NP176" s="1"/>
      <c r="NQ176" s="1"/>
      <c r="NR176" s="1"/>
      <c r="NS176" s="1"/>
      <c r="NT176" s="1"/>
      <c r="NU176" s="1"/>
      <c r="NV176" s="1"/>
      <c r="NW176" s="1"/>
      <c r="NX176" s="1"/>
      <c r="NY176" s="1"/>
      <c r="NZ176" s="1"/>
      <c r="OA176" s="1"/>
      <c r="OB176" s="1"/>
      <c r="OC176" s="1"/>
      <c r="OD176" s="1"/>
      <c r="OE176" s="1"/>
      <c r="OF176" s="1"/>
      <c r="OG176" s="1"/>
      <c r="OH176" s="1"/>
      <c r="OI176" s="1"/>
      <c r="OJ176" s="1"/>
      <c r="OK176" s="1"/>
      <c r="OL176" s="1"/>
      <c r="OM176" s="1"/>
      <c r="ON176" s="1"/>
      <c r="OO176" s="1"/>
      <c r="OP176" s="1"/>
      <c r="OQ176" s="1"/>
      <c r="OR176" s="1"/>
      <c r="OS176" s="1"/>
      <c r="OT176" s="1"/>
      <c r="OU176" s="1"/>
      <c r="OV176" s="1"/>
      <c r="OW176" s="1"/>
      <c r="OX176" s="1"/>
      <c r="OY176" s="1"/>
      <c r="OZ176" s="1"/>
      <c r="PA176" s="1"/>
      <c r="PB176" s="1"/>
      <c r="PC176" s="1"/>
      <c r="PD176" s="1"/>
      <c r="PE176" s="1"/>
      <c r="PF176" s="1"/>
      <c r="PG176" s="1"/>
      <c r="PH176" s="1"/>
      <c r="PI176" s="1"/>
      <c r="PJ176" s="1"/>
      <c r="PK176" s="1"/>
      <c r="PL176" s="1"/>
      <c r="PM176" s="1"/>
      <c r="PN176" s="1"/>
      <c r="PO176" s="1"/>
      <c r="PP176" s="1"/>
      <c r="PQ176" s="1"/>
      <c r="PR176" s="1"/>
      <c r="PS176" s="1"/>
      <c r="PT176" s="1"/>
      <c r="PU176" s="1"/>
      <c r="PV176" s="1"/>
      <c r="PW176" s="1"/>
      <c r="PX176" s="1"/>
      <c r="PY176" s="1"/>
      <c r="PZ176" s="1"/>
      <c r="QA176" s="1"/>
      <c r="QB176" s="1"/>
      <c r="QC176" s="1"/>
      <c r="QD176" s="1"/>
      <c r="QE176" s="1"/>
      <c r="QF176" s="1"/>
      <c r="QG176" s="1"/>
      <c r="QH176" s="1"/>
      <c r="QI176" s="1"/>
      <c r="QJ176" s="1"/>
      <c r="QK176" s="1"/>
      <c r="QL176" s="1"/>
      <c r="QM176" s="1"/>
      <c r="QN176" s="1"/>
      <c r="QO176" s="1"/>
      <c r="QP176" s="1"/>
      <c r="QQ176" s="1"/>
      <c r="QR176" s="1"/>
      <c r="QS176" s="1"/>
      <c r="QT176" s="1"/>
      <c r="QU176" s="1"/>
      <c r="QV176" s="1"/>
      <c r="QW176" s="1"/>
      <c r="QX176" s="1"/>
      <c r="QY176" s="1"/>
      <c r="QZ176" s="1"/>
      <c r="RA176" s="1"/>
      <c r="RB176" s="1"/>
      <c r="RC176" s="1"/>
      <c r="RD176" s="1"/>
      <c r="RE176" s="1"/>
      <c r="RF176" s="1"/>
      <c r="RG176" s="1"/>
      <c r="RH176" s="1"/>
      <c r="RI176" s="1"/>
      <c r="RJ176" s="1"/>
      <c r="RK176" s="1"/>
      <c r="RL176" s="1"/>
      <c r="RM176" s="1"/>
      <c r="RN176" s="1"/>
      <c r="RO176" s="1"/>
      <c r="RP176" s="1"/>
      <c r="RQ176" s="1"/>
      <c r="RR176" s="1"/>
      <c r="RS176" s="1"/>
      <c r="RT176" s="1"/>
      <c r="RU176" s="1"/>
      <c r="RV176" s="1"/>
      <c r="RW176" s="1"/>
      <c r="RX176" s="1"/>
      <c r="RY176" s="1"/>
      <c r="RZ176" s="1"/>
      <c r="SA176" s="1"/>
      <c r="SB176" s="1"/>
      <c r="SC176" s="1"/>
      <c r="SD176" s="1"/>
      <c r="SE176" s="1"/>
      <c r="SF176" s="1"/>
      <c r="SG176" s="1"/>
      <c r="SH176" s="1"/>
      <c r="SI176" s="1"/>
      <c r="SJ176" s="1"/>
      <c r="SK176" s="1"/>
      <c r="SL176" s="1"/>
      <c r="SM176" s="1"/>
      <c r="SN176" s="1"/>
      <c r="SO176" s="1"/>
      <c r="SP176" s="1"/>
      <c r="SQ176" s="1"/>
      <c r="SR176" s="1"/>
      <c r="SS176" s="1"/>
      <c r="ST176" s="1"/>
      <c r="SU176" s="1"/>
      <c r="SV176" s="1"/>
      <c r="SW176" s="1"/>
      <c r="SX176" s="1"/>
      <c r="SY176" s="1"/>
      <c r="SZ176" s="1"/>
      <c r="TA176" s="1"/>
      <c r="TB176" s="1"/>
      <c r="TC176" s="1"/>
      <c r="TD176" s="1"/>
      <c r="TE176" s="1"/>
      <c r="TF176" s="1"/>
      <c r="TG176" s="1"/>
      <c r="TH176" s="1"/>
      <c r="TI176" s="1"/>
      <c r="TJ176" s="1"/>
      <c r="TK176" s="1"/>
      <c r="TL176" s="1"/>
      <c r="TM176" s="1"/>
      <c r="TN176" s="1"/>
      <c r="TO176" s="1"/>
      <c r="TP176" s="1"/>
      <c r="TQ176" s="1"/>
      <c r="TR176" s="1"/>
      <c r="TS176" s="1"/>
      <c r="TT176" s="1"/>
      <c r="TU176" s="1"/>
      <c r="TV176" s="1"/>
      <c r="TW176" s="1"/>
      <c r="TX176" s="1"/>
      <c r="TY176" s="1"/>
      <c r="TZ176" s="1"/>
      <c r="UA176" s="1"/>
      <c r="UB176" s="1"/>
      <c r="UC176" s="1"/>
      <c r="UD176" s="1"/>
      <c r="UE176" s="1"/>
      <c r="UF176" s="1"/>
      <c r="UG176" s="1"/>
      <c r="UH176" s="1"/>
      <c r="UI176" s="1"/>
      <c r="UJ176" s="1"/>
      <c r="UK176" s="1"/>
      <c r="UL176" s="1"/>
      <c r="UM176" s="1"/>
      <c r="UN176" s="1"/>
      <c r="UO176" s="1"/>
      <c r="UP176" s="1"/>
      <c r="UQ176" s="1"/>
      <c r="UR176" s="1"/>
      <c r="US176" s="1"/>
      <c r="UT176" s="1"/>
      <c r="UU176" s="1"/>
      <c r="UV176" s="1"/>
      <c r="UW176" s="1"/>
      <c r="UX176" s="1"/>
      <c r="UY176" s="1"/>
      <c r="UZ176" s="1"/>
      <c r="VA176" s="1"/>
      <c r="VB176" s="1"/>
      <c r="VC176" s="1"/>
      <c r="VD176" s="1"/>
      <c r="VE176" s="1"/>
      <c r="VF176" s="1"/>
      <c r="VG176" s="1"/>
      <c r="VH176" s="1"/>
      <c r="VI176" s="1"/>
      <c r="VJ176" s="1"/>
      <c r="VK176" s="1"/>
      <c r="VL176" s="1"/>
      <c r="VM176" s="1"/>
      <c r="VN176" s="1"/>
      <c r="VO176" s="1"/>
      <c r="VP176" s="1"/>
      <c r="VQ176" s="1"/>
      <c r="VR176" s="1"/>
      <c r="VS176" s="1"/>
      <c r="VT176" s="1"/>
      <c r="VU176" s="1"/>
      <c r="VV176" s="1"/>
      <c r="VW176" s="1"/>
      <c r="VX176" s="1"/>
      <c r="VY176" s="1"/>
      <c r="VZ176" s="1"/>
      <c r="WA176" s="1"/>
      <c r="WB176" s="1"/>
      <c r="WC176" s="1"/>
      <c r="WD176" s="1"/>
      <c r="WE176" s="1"/>
      <c r="WF176" s="1"/>
      <c r="WG176" s="1"/>
      <c r="WH176" s="1"/>
      <c r="WI176" s="1"/>
      <c r="WJ176" s="1"/>
      <c r="WK176" s="1"/>
      <c r="WL176" s="1"/>
      <c r="WM176" s="1"/>
      <c r="WN176" s="1"/>
      <c r="WO176" s="1"/>
      <c r="WP176" s="1"/>
      <c r="WQ176" s="1"/>
      <c r="WR176" s="1"/>
      <c r="WS176" s="1"/>
      <c r="WT176" s="1"/>
      <c r="WU176" s="1"/>
      <c r="WV176" s="1"/>
      <c r="WW176" s="1"/>
      <c r="WX176" s="1"/>
      <c r="WY176" s="1"/>
      <c r="WZ176" s="1"/>
      <c r="XA176" s="1"/>
      <c r="XB176" s="1"/>
      <c r="XC176" s="1"/>
      <c r="XD176" s="1"/>
      <c r="XE176" s="1"/>
      <c r="XF176" s="1"/>
      <c r="XG176" s="1"/>
      <c r="XH176" s="1"/>
      <c r="XI176" s="1"/>
      <c r="XJ176" s="1"/>
      <c r="XK176" s="1"/>
      <c r="XL176" s="1"/>
      <c r="XM176" s="1"/>
      <c r="XN176" s="1"/>
      <c r="XO176" s="1"/>
      <c r="XP176" s="1"/>
      <c r="XQ176" s="1"/>
      <c r="XR176" s="1"/>
      <c r="XS176" s="1"/>
      <c r="XT176" s="1"/>
      <c r="XU176" s="1"/>
      <c r="XV176" s="1"/>
      <c r="XW176" s="1"/>
      <c r="XX176" s="1"/>
      <c r="XY176" s="1"/>
      <c r="XZ176" s="1"/>
      <c r="YA176" s="1"/>
      <c r="YB176" s="1"/>
      <c r="YC176" s="1"/>
      <c r="YD176" s="1"/>
      <c r="YE176" s="1"/>
      <c r="YF176" s="1"/>
      <c r="YG176" s="1"/>
      <c r="YH176" s="1"/>
      <c r="YI176" s="1"/>
      <c r="YJ176" s="1"/>
      <c r="YK176" s="1"/>
      <c r="YL176" s="1"/>
      <c r="YM176" s="1"/>
      <c r="YN176" s="1"/>
      <c r="YO176" s="1"/>
      <c r="YP176" s="1"/>
      <c r="YQ176" s="1"/>
      <c r="YR176" s="1"/>
      <c r="YS176" s="1"/>
      <c r="YT176" s="1"/>
      <c r="YU176" s="1"/>
      <c r="YV176" s="1"/>
      <c r="YW176" s="1"/>
      <c r="YX176" s="1"/>
      <c r="YY176" s="1"/>
      <c r="YZ176" s="1"/>
      <c r="ZA176" s="1"/>
      <c r="ZB176" s="1"/>
      <c r="ZC176" s="1"/>
      <c r="ZD176" s="1"/>
      <c r="ZE176" s="1"/>
      <c r="ZF176" s="1"/>
      <c r="ZG176" s="1"/>
      <c r="ZH176" s="1"/>
      <c r="ZI176" s="1"/>
      <c r="ZJ176" s="1"/>
      <c r="ZK176" s="1"/>
      <c r="ZL176" s="1"/>
      <c r="ZM176" s="1"/>
      <c r="ZN176" s="1"/>
      <c r="ZO176" s="1"/>
      <c r="ZP176" s="1"/>
      <c r="ZQ176" s="1"/>
      <c r="ZR176" s="1"/>
      <c r="ZS176" s="1"/>
      <c r="ZT176" s="1"/>
      <c r="ZU176" s="1"/>
      <c r="ZV176" s="1"/>
      <c r="ZW176" s="1"/>
      <c r="ZX176" s="1"/>
      <c r="ZY176" s="1"/>
      <c r="ZZ176" s="1"/>
      <c r="AAA176" s="1"/>
      <c r="AAB176" s="1"/>
      <c r="AAC176" s="1"/>
      <c r="AAD176" s="1"/>
      <c r="AAE176" s="1"/>
      <c r="AAF176" s="1"/>
      <c r="AAG176" s="1"/>
      <c r="AAH176" s="1"/>
      <c r="AAI176" s="1"/>
      <c r="AAJ176" s="1"/>
      <c r="AAK176" s="1"/>
      <c r="AAL176" s="1"/>
      <c r="AAM176" s="1"/>
      <c r="AAN176" s="1"/>
      <c r="AAO176" s="1"/>
      <c r="AAP176" s="1"/>
      <c r="AAQ176" s="1"/>
      <c r="AAR176" s="1"/>
      <c r="AAS176" s="1"/>
      <c r="AAT176" s="1"/>
      <c r="AAU176" s="1"/>
      <c r="AAV176" s="1"/>
      <c r="AAW176" s="1"/>
      <c r="AAX176" s="1"/>
      <c r="AAY176" s="1"/>
      <c r="AAZ176" s="1"/>
      <c r="ABA176" s="1"/>
      <c r="ABB176" s="1"/>
      <c r="ABC176" s="1"/>
      <c r="ABD176" s="1"/>
      <c r="ABE176" s="1"/>
      <c r="ABF176" s="1"/>
      <c r="ABG176" s="1"/>
      <c r="ABH176" s="1"/>
      <c r="ABI176" s="1"/>
      <c r="ABJ176" s="1"/>
      <c r="ABK176" s="1"/>
      <c r="ABL176" s="1"/>
      <c r="ABM176" s="1"/>
      <c r="ABN176" s="1"/>
      <c r="ABO176" s="1"/>
      <c r="ABP176" s="1"/>
      <c r="ABQ176" s="1"/>
      <c r="ABR176" s="1"/>
      <c r="ABS176" s="1"/>
      <c r="ABT176" s="1"/>
      <c r="ABU176" s="1"/>
      <c r="ABV176" s="1"/>
      <c r="ABW176" s="1"/>
      <c r="ABX176" s="1"/>
      <c r="ABY176" s="1"/>
      <c r="ABZ176" s="1"/>
      <c r="ACA176" s="1"/>
      <c r="ACB176" s="1"/>
      <c r="ACC176" s="1"/>
      <c r="ACD176" s="1"/>
      <c r="ACE176" s="1"/>
      <c r="ACF176" s="1"/>
      <c r="ACG176" s="1"/>
      <c r="ACH176" s="1"/>
      <c r="ACI176" s="1"/>
      <c r="ACJ176" s="1"/>
      <c r="ACK176" s="1"/>
      <c r="ACL176" s="1"/>
      <c r="ACM176" s="1"/>
      <c r="ACN176" s="1"/>
      <c r="ACO176" s="1"/>
      <c r="ACP176" s="1"/>
      <c r="ACQ176" s="1"/>
      <c r="ACR176" s="1"/>
      <c r="ACS176" s="1"/>
      <c r="ACT176" s="1"/>
      <c r="ACU176" s="1"/>
      <c r="ACV176" s="1"/>
      <c r="ACW176" s="1"/>
      <c r="ACX176" s="1"/>
      <c r="ACY176" s="1"/>
      <c r="ACZ176" s="1"/>
      <c r="ADA176" s="1"/>
      <c r="ADB176" s="1"/>
      <c r="ADC176" s="1"/>
      <c r="ADD176" s="1"/>
      <c r="ADE176" s="1"/>
      <c r="ADF176" s="1"/>
      <c r="ADG176" s="1"/>
      <c r="ADH176" s="1"/>
      <c r="ADI176" s="1"/>
      <c r="ADJ176" s="1"/>
      <c r="ADK176" s="1"/>
      <c r="ADL176" s="1"/>
      <c r="ADM176" s="1"/>
      <c r="ADN176" s="1"/>
      <c r="ADO176" s="1"/>
      <c r="ADP176" s="1"/>
      <c r="ADQ176" s="1"/>
      <c r="ADR176" s="1"/>
      <c r="ADS176" s="1"/>
      <c r="ADT176" s="1"/>
      <c r="ADU176" s="1"/>
      <c r="ADV176" s="1"/>
      <c r="ADW176" s="1"/>
      <c r="ADX176" s="1"/>
      <c r="ADY176" s="1"/>
      <c r="ADZ176" s="1"/>
      <c r="AEA176" s="1"/>
      <c r="AEB176" s="1"/>
      <c r="AEC176" s="1"/>
      <c r="AED176" s="1"/>
      <c r="AEE176" s="1"/>
      <c r="AEF176" s="1"/>
      <c r="AEG176" s="1"/>
      <c r="AEH176" s="1"/>
      <c r="AEI176" s="1"/>
      <c r="AEJ176" s="1"/>
      <c r="AEK176" s="1"/>
      <c r="AEL176" s="1"/>
      <c r="AEM176" s="1"/>
      <c r="AEN176" s="1"/>
      <c r="AEO176" s="1"/>
      <c r="AEP176" s="1"/>
      <c r="AEQ176" s="1"/>
      <c r="AER176" s="1"/>
      <c r="AES176" s="1"/>
      <c r="AET176" s="1"/>
      <c r="AEU176" s="1"/>
      <c r="AEV176" s="1"/>
      <c r="AEW176" s="1"/>
      <c r="AEX176" s="1"/>
      <c r="AEY176" s="1"/>
      <c r="AEZ176" s="1"/>
      <c r="AFA176" s="1"/>
      <c r="AFB176" s="1"/>
      <c r="AFC176" s="1"/>
      <c r="AFD176" s="1"/>
      <c r="AFE176" s="1"/>
      <c r="AFF176" s="1"/>
      <c r="AFG176" s="1"/>
      <c r="AFH176" s="1"/>
      <c r="AFI176" s="1"/>
      <c r="AFJ176" s="1"/>
      <c r="AFK176" s="1"/>
      <c r="AFL176" s="1"/>
      <c r="AFM176" s="1"/>
      <c r="AFN176" s="1"/>
      <c r="AFO176" s="1"/>
      <c r="AFP176" s="1"/>
      <c r="AFQ176" s="1"/>
      <c r="AFR176" s="1"/>
      <c r="AFS176" s="1"/>
      <c r="AFT176" s="1"/>
      <c r="AFU176" s="1"/>
      <c r="AFV176" s="1"/>
      <c r="AFW176" s="1"/>
      <c r="AFX176" s="1"/>
      <c r="AFY176" s="1"/>
      <c r="AFZ176" s="1"/>
      <c r="AGA176" s="1"/>
      <c r="AGB176" s="1"/>
      <c r="AGC176" s="1"/>
      <c r="AGD176" s="1"/>
      <c r="AGE176" s="1"/>
      <c r="AGF176" s="1"/>
      <c r="AGG176" s="1"/>
      <c r="AGH176" s="1"/>
      <c r="AGI176" s="1"/>
      <c r="AGJ176" s="1"/>
      <c r="AGK176" s="1"/>
      <c r="AGL176" s="1"/>
      <c r="AGM176" s="1"/>
      <c r="AGN176" s="1"/>
      <c r="AGO176" s="1"/>
      <c r="AGP176" s="1"/>
      <c r="AGQ176" s="1"/>
      <c r="AGR176" s="1"/>
      <c r="AGS176" s="1"/>
      <c r="AGT176" s="1"/>
      <c r="AGU176" s="1"/>
      <c r="AGV176" s="1"/>
      <c r="AGW176" s="1"/>
      <c r="AGX176" s="1"/>
      <c r="AGY176" s="1"/>
      <c r="AGZ176" s="1"/>
      <c r="AHA176" s="1"/>
      <c r="AHB176" s="1"/>
      <c r="AHC176" s="1"/>
      <c r="AHD176" s="1"/>
      <c r="AHE176" s="1"/>
      <c r="AHF176" s="1"/>
      <c r="AHG176" s="1"/>
      <c r="AHH176" s="1"/>
      <c r="AHI176" s="1"/>
      <c r="AHJ176" s="1"/>
      <c r="AHK176" s="1"/>
      <c r="AHL176" s="1"/>
      <c r="AHM176" s="1"/>
      <c r="AHN176" s="1"/>
      <c r="AHO176" s="1"/>
      <c r="AHP176" s="1"/>
      <c r="AHQ176" s="1"/>
      <c r="AHR176" s="1"/>
      <c r="AHS176" s="1"/>
      <c r="AHT176" s="1"/>
      <c r="AHU176" s="1"/>
      <c r="AHV176" s="1"/>
      <c r="AHW176" s="1"/>
      <c r="AHX176" s="1"/>
      <c r="AHY176" s="1"/>
      <c r="AHZ176" s="1"/>
      <c r="AIA176" s="1"/>
      <c r="AIB176" s="1"/>
      <c r="AIC176" s="1"/>
      <c r="AID176" s="1"/>
      <c r="AIE176" s="1"/>
      <c r="AIF176" s="1"/>
      <c r="AIG176" s="1"/>
      <c r="AIH176" s="1"/>
      <c r="AII176" s="1"/>
      <c r="AIJ176" s="1"/>
      <c r="AIK176" s="1"/>
      <c r="AIL176" s="1"/>
      <c r="AIM176" s="1"/>
      <c r="AIN176" s="1"/>
      <c r="AIO176" s="1"/>
      <c r="AIP176" s="1"/>
      <c r="AIQ176" s="1"/>
      <c r="AIR176" s="1"/>
      <c r="AIS176" s="1"/>
      <c r="AIT176" s="1"/>
      <c r="AIU176" s="1"/>
      <c r="AIV176" s="1"/>
      <c r="AIW176" s="1"/>
      <c r="AIX176" s="1"/>
      <c r="AIY176" s="1"/>
      <c r="AIZ176" s="1"/>
      <c r="AJA176" s="1"/>
      <c r="AJB176" s="1"/>
      <c r="AJC176" s="1"/>
      <c r="AJD176" s="1"/>
      <c r="AJE176" s="1"/>
      <c r="AJF176" s="1"/>
      <c r="AJG176" s="1"/>
      <c r="AJH176" s="1"/>
      <c r="AJI176" s="1"/>
      <c r="AJJ176" s="1"/>
      <c r="AJK176" s="1"/>
      <c r="AJL176" s="1"/>
      <c r="AJM176" s="1"/>
      <c r="AJN176" s="1"/>
      <c r="AJO176" s="1"/>
      <c r="AJP176" s="1"/>
      <c r="AJQ176" s="1"/>
      <c r="AJR176" s="1"/>
      <c r="AJS176" s="1"/>
      <c r="AJT176" s="1"/>
      <c r="AJU176" s="1"/>
      <c r="AJV176" s="1"/>
      <c r="AJW176" s="1"/>
      <c r="AJX176" s="1"/>
      <c r="AJY176" s="1"/>
      <c r="AJZ176" s="1"/>
      <c r="AKA176" s="1"/>
      <c r="AKB176" s="1"/>
      <c r="AKC176" s="1"/>
      <c r="AKD176" s="1"/>
      <c r="AKE176" s="1"/>
      <c r="AKF176" s="1"/>
      <c r="AKG176" s="1"/>
      <c r="AKH176" s="1"/>
      <c r="AKI176" s="1"/>
      <c r="AKJ176" s="1"/>
      <c r="AKK176" s="1"/>
      <c r="AKL176" s="1"/>
      <c r="AKM176" s="1"/>
      <c r="AKN176" s="1"/>
      <c r="AKO176" s="1"/>
      <c r="AKP176" s="1"/>
      <c r="AKQ176" s="1"/>
      <c r="AKR176" s="1"/>
      <c r="AKS176" s="1"/>
      <c r="AKT176" s="1"/>
      <c r="AKU176" s="1"/>
      <c r="AKV176" s="1"/>
      <c r="AKW176" s="1"/>
      <c r="AKX176" s="1"/>
      <c r="AKY176" s="1"/>
      <c r="AKZ176" s="1"/>
      <c r="ALA176" s="1"/>
      <c r="ALB176" s="1"/>
      <c r="ALC176" s="1"/>
      <c r="ALD176" s="1"/>
      <c r="ALE176" s="1"/>
      <c r="ALF176" s="1"/>
      <c r="ALG176" s="1"/>
      <c r="ALH176" s="1"/>
      <c r="ALI176" s="1"/>
      <c r="ALJ176" s="1"/>
      <c r="ALK176" s="1"/>
      <c r="ALL176" s="1"/>
      <c r="ALM176" s="1"/>
      <c r="ALN176" s="1"/>
      <c r="ALO176" s="1"/>
      <c r="ALP176" s="1"/>
      <c r="ALQ176" s="1"/>
      <c r="ALR176" s="1"/>
      <c r="ALS176" s="1"/>
      <c r="ALT176" s="1"/>
      <c r="ALU176" s="1"/>
      <c r="ALV176" s="1"/>
      <c r="ALW176" s="1"/>
      <c r="ALX176" s="1"/>
      <c r="ALY176" s="1"/>
      <c r="ALZ176" s="1"/>
      <c r="AMA176" s="1"/>
      <c r="AMB176" s="1"/>
      <c r="AMC176" s="1"/>
      <c r="AMD176" s="1"/>
      <c r="AME176" s="1"/>
      <c r="AMF176" s="1"/>
      <c r="AMG176" s="1"/>
      <c r="AMH176" s="1"/>
      <c r="AMI176" s="1"/>
      <c r="AMJ176" s="1"/>
      <c r="AMK176" s="1"/>
      <c r="AML176" s="1"/>
      <c r="AMM176" s="1"/>
      <c r="AMN176" s="1"/>
    </row>
    <row r="177" spans="1:1029" x14ac:dyDescent="0.2">
      <c r="A177" s="3" t="str">
        <f t="shared" si="639"/>
        <v>us28_hcmva_4XT3</v>
      </c>
      <c r="B177" s="2" t="s">
        <v>924</v>
      </c>
      <c r="C177" s="3" t="s">
        <v>1378</v>
      </c>
      <c r="D177" s="3" t="str">
        <f>IFERROR(MID(VLOOKUP($B177,Seqs!$A:$B,2,0),E177,1),"")</f>
        <v>T</v>
      </c>
      <c r="E177" s="3">
        <v>26</v>
      </c>
      <c r="F177" s="3" t="str">
        <f>IFERROR(MID(VLOOKUP($B177,Seqs!$A:$B,2,0),G177,1),"")</f>
        <v>R</v>
      </c>
      <c r="G177" s="108">
        <v>62</v>
      </c>
      <c r="H177" s="3" t="str">
        <f>IFERROR(MID(VLOOKUP($B177,Seqs!$A:$B,2,0),I177,1),"")</f>
        <v/>
      </c>
      <c r="I177" s="23" t="s">
        <v>23</v>
      </c>
      <c r="J177" s="3" t="str">
        <f>IFERROR(MID(VLOOKUP($B177,Seqs!$A:$B,2,0),K177,1),"")</f>
        <v/>
      </c>
      <c r="K177" s="23" t="s">
        <v>23</v>
      </c>
      <c r="L177" s="3" t="str">
        <f>IFERROR(MID(VLOOKUP($B177,Seqs!$A:$B,2,0),M177,1),"")</f>
        <v>C</v>
      </c>
      <c r="M177" s="3">
        <v>66</v>
      </c>
      <c r="N177" s="3" t="str">
        <f>IFERROR(MID(VLOOKUP($B177,Seqs!$A:$B,2,0),O177,1),"")</f>
        <v>D</v>
      </c>
      <c r="O177" s="3">
        <v>95</v>
      </c>
      <c r="P177" s="3" t="str">
        <f>IFERROR(MID(VLOOKUP($B177,Seqs!$A:$B,2,0),Q177,1),"")</f>
        <v/>
      </c>
      <c r="Q177" s="3" t="s">
        <v>23</v>
      </c>
      <c r="R177" s="3" t="str">
        <f>IFERROR(MID(VLOOKUP($B177,Seqs!$A:$B,2,0),S177,1),"")</f>
        <v/>
      </c>
      <c r="S177" s="3" t="s">
        <v>23</v>
      </c>
      <c r="T177" s="3" t="str">
        <f>IFERROR(MID(VLOOKUP($B177,Seqs!$A:$B,2,0),U177,1),"")</f>
        <v>P</v>
      </c>
      <c r="U177" s="3">
        <v>103</v>
      </c>
      <c r="V177" s="3" t="str">
        <f>IFERROR(MID(VLOOKUP($B177,Seqs!$A:$B,2,0),W177,1),"")</f>
        <v>Y</v>
      </c>
      <c r="W177" s="3">
        <v>135</v>
      </c>
      <c r="X177" s="3" t="str">
        <f>IFERROR(MID(VLOOKUP($B177,Seqs!$A:$B,2,0),Y177,1),"")</f>
        <v/>
      </c>
      <c r="Y177" s="3" t="s">
        <v>23</v>
      </c>
      <c r="Z177" s="3" t="str">
        <f>IFERROR(MID(VLOOKUP($B177,Seqs!$A:$B,2,0),AA177,1),"")</f>
        <v/>
      </c>
      <c r="AA177" s="3" t="s">
        <v>23</v>
      </c>
      <c r="AB177" s="3" t="str">
        <f>IFERROR(MID(VLOOKUP($B177,Seqs!$A:$B,2,0),AC177,1),"")</f>
        <v>P</v>
      </c>
      <c r="AC177" s="9">
        <v>140</v>
      </c>
      <c r="AD177" s="3" t="str">
        <f>IFERROR(MID(VLOOKUP($B177,Seqs!$A:$B,2,0),AE177,1),"")</f>
        <v>V</v>
      </c>
      <c r="AE177" s="3">
        <v>165</v>
      </c>
      <c r="AF177" s="3" t="str">
        <f>IFERROR(MID(VLOOKUP($B177,Seqs!$A:$B,2,0),AG177,1),"")</f>
        <v>C</v>
      </c>
      <c r="AG177" s="3">
        <v>173</v>
      </c>
      <c r="AH177" s="3" t="str">
        <f>IFERROR(MID(VLOOKUP($B177,Seqs!$A:$B,2,0),AI177,1),"")</f>
        <v>T</v>
      </c>
      <c r="AI177" s="3">
        <v>175</v>
      </c>
      <c r="AJ177" s="3" t="str">
        <f>IFERROR(MID(VLOOKUP($B177,Seqs!$A:$B,2,0),AK177,1),"")</f>
        <v>V</v>
      </c>
      <c r="AK177" s="3">
        <v>182</v>
      </c>
      <c r="AL177" s="3" t="str">
        <f>IFERROR(MID(VLOOKUP($B177,Seqs!$A:$B,2,0),AM177,1),"")</f>
        <v>S</v>
      </c>
      <c r="AM177" s="3">
        <v>218</v>
      </c>
      <c r="AN177" s="3" t="str">
        <f>IFERROR(MID(VLOOKUP($B177,Seqs!$A:$B,2,0),AO177,1),"")</f>
        <v>H</v>
      </c>
      <c r="AO177" s="3">
        <v>222</v>
      </c>
      <c r="AP177" s="3" t="str">
        <f>IFERROR(MID(VLOOKUP($B177,Seqs!$A:$B,2,0),AQ177,1),"")</f>
        <v>K</v>
      </c>
      <c r="AQ177" s="3">
        <v>257</v>
      </c>
      <c r="AR177" s="3" t="str">
        <f>IFERROR(MID(VLOOKUP($B177,Seqs!$A:$B,2,0),AS177,1),"")</f>
        <v>C</v>
      </c>
      <c r="AS177" s="3">
        <v>263</v>
      </c>
      <c r="AT177" s="3" t="str">
        <f>IFERROR(MID(VLOOKUP($B177,Seqs!$A:$B,2,0),AU177,1),"")</f>
        <v>V</v>
      </c>
      <c r="AU177" s="3">
        <v>294</v>
      </c>
      <c r="AV177" s="3" t="str">
        <f>IFERROR(MID(VLOOKUP($B177,Seqs!$A:$B,2,0),AW177,1),"")</f>
        <v/>
      </c>
      <c r="AW177" s="3" t="s">
        <v>23</v>
      </c>
      <c r="AX177" s="3" t="str">
        <f>IFERROR(MID(VLOOKUP($B177,Seqs!$A:$B,2,0),AY177,1),"")</f>
        <v/>
      </c>
      <c r="AY177" s="3" t="s">
        <v>23</v>
      </c>
      <c r="AZ177" s="79" t="str">
        <f>VLOOKUP(B177,Classification!A:D,2,0)</f>
        <v>A</v>
      </c>
      <c r="BA177" s="97" t="str">
        <f>VLOOKUP(B177,Classification!A:D,4,0)</f>
        <v>Chemokine</v>
      </c>
      <c r="BB177" s="27" t="b">
        <f t="shared" ref="BB177" si="781">AND(E177&lt;G177,OR(G177&lt;I177,I177="-"),OR(I177&lt;K177,I177="-"),OR(K177&lt;M177,K177="-"),M177&lt;O177,OR(O177&lt;Q177,Q177="-"),OR(Q177&lt;S177,Q177="-"),OR(S177&lt;U177,S177="-"),U177&lt;W177,OR(W177&lt;Y177,Y177="-"),OR(Y177&lt;AA177,Y177="-"),OR(AA177&lt;AC177,AA177="-"),AC177&lt;AE177,OR(AE177&lt;AG177,AG177="-"),OR(AG177&lt;AI177,AG177="-"),OR(AI177&lt;AK177,AI177="-"),AK177&lt;AM177,AM177&lt;AO177,AO177&lt;AQ177,AQ177&lt;AS177,AS177&lt;AU177,OR(AU177&lt;AW177,AW177="-"),OR(AW177&lt;AY177,AW177="-"))</f>
        <v>1</v>
      </c>
      <c r="BC177" s="23">
        <f t="shared" ref="BC177" si="782">_xlfn.AGGREGATE(9,6,CG177:CR177)-_xlfn.AGGREGATE(9,6,BU177:CF177)+12</f>
        <v>238</v>
      </c>
      <c r="BD177" s="4" t="s">
        <v>1382</v>
      </c>
      <c r="BE177" s="3" t="s">
        <v>1297</v>
      </c>
      <c r="BF177" s="50" t="s">
        <v>1384</v>
      </c>
      <c r="BG177" s="50" t="s">
        <v>1384</v>
      </c>
      <c r="BH177" s="1"/>
      <c r="BI177" s="72" t="s">
        <v>1293</v>
      </c>
      <c r="BJ177" s="58" t="s">
        <v>1293</v>
      </c>
      <c r="BK177" s="58" t="s">
        <v>1293</v>
      </c>
      <c r="BL177" s="58" t="s">
        <v>1293</v>
      </c>
      <c r="BM177" s="58" t="s">
        <v>1293</v>
      </c>
      <c r="BN177" s="58" t="s">
        <v>1293</v>
      </c>
      <c r="BO177" s="58" t="s">
        <v>1293</v>
      </c>
      <c r="BP177" s="58" t="s">
        <v>1293</v>
      </c>
      <c r="BQ177" s="58" t="s">
        <v>1293</v>
      </c>
      <c r="BR177" s="58" t="s">
        <v>1293</v>
      </c>
      <c r="BS177" s="58" t="s">
        <v>1293</v>
      </c>
      <c r="BT177" s="58" t="s">
        <v>1293</v>
      </c>
      <c r="BU177" s="72">
        <f t="shared" ref="BU177" si="783">E177</f>
        <v>26</v>
      </c>
      <c r="BV177" s="73" t="str">
        <f t="shared" ref="BV177" si="784">I177</f>
        <v>-</v>
      </c>
      <c r="BW177" s="74">
        <f t="shared" ref="BW177" si="785">M177</f>
        <v>66</v>
      </c>
      <c r="BX177" s="73" t="str">
        <f t="shared" ref="BX177" si="786">Q177</f>
        <v>-</v>
      </c>
      <c r="BY177" s="74">
        <f t="shared" ref="BY177" si="787">U177</f>
        <v>103</v>
      </c>
      <c r="BZ177" s="73" t="str">
        <f t="shared" ref="BZ177" si="788">Y177</f>
        <v>-</v>
      </c>
      <c r="CA177" s="74">
        <f t="shared" ref="CA177" si="789">AC177</f>
        <v>140</v>
      </c>
      <c r="CB177" s="73">
        <f t="shared" ref="CB177" si="790">AG177</f>
        <v>173</v>
      </c>
      <c r="CC177" s="74">
        <f t="shared" ref="CC177" si="791">AK177</f>
        <v>182</v>
      </c>
      <c r="CD177" s="73">
        <f t="shared" ref="CD177" si="792">AO177</f>
        <v>222</v>
      </c>
      <c r="CE177" s="74">
        <f t="shared" ref="CE177" si="793">AS177</f>
        <v>263</v>
      </c>
      <c r="CF177" s="73" t="str">
        <f t="shared" ref="CF177" si="794">AW177</f>
        <v>-</v>
      </c>
      <c r="CG177" s="72">
        <f t="shared" ref="CG177" si="795">G177</f>
        <v>62</v>
      </c>
      <c r="CH177" s="73" t="str">
        <f t="shared" ref="CH177" si="796">K177</f>
        <v>-</v>
      </c>
      <c r="CI177" s="74">
        <f t="shared" ref="CI177" si="797">O177</f>
        <v>95</v>
      </c>
      <c r="CJ177" s="74" t="str">
        <f t="shared" ref="CJ177" si="798">S177</f>
        <v>-</v>
      </c>
      <c r="CK177" s="74">
        <f t="shared" ref="CK177" si="799">W177</f>
        <v>135</v>
      </c>
      <c r="CL177" s="74" t="str">
        <f t="shared" ref="CL177" si="800">AA177</f>
        <v>-</v>
      </c>
      <c r="CM177" s="74">
        <f t="shared" ref="CM177" si="801">AE177</f>
        <v>165</v>
      </c>
      <c r="CN177" s="74">
        <f t="shared" ref="CN177" si="802">AI177</f>
        <v>175</v>
      </c>
      <c r="CO177" s="74">
        <f t="shared" ref="CO177" si="803">AM177</f>
        <v>218</v>
      </c>
      <c r="CP177" s="74">
        <f t="shared" ref="CP177" si="804">AQ177</f>
        <v>257</v>
      </c>
      <c r="CQ177" s="74">
        <f t="shared" ref="CQ177" si="805">AU177</f>
        <v>294</v>
      </c>
      <c r="CR177" s="74" t="str">
        <f t="shared" ref="CR177" si="806">AY177</f>
        <v>-</v>
      </c>
      <c r="CS177" s="23" t="e">
        <f t="shared" ref="CS177" si="807">M177-K177</f>
        <v>#VALUE!</v>
      </c>
      <c r="CT177" s="6"/>
      <c r="CU177" s="6"/>
      <c r="CV177" s="6"/>
      <c r="CW177" s="6"/>
      <c r="CX177" s="6"/>
      <c r="CY177" s="6"/>
      <c r="CZ177" s="6"/>
      <c r="DA177" s="6"/>
      <c r="DB177" s="6"/>
      <c r="DC177" s="6"/>
      <c r="DD177" s="6"/>
      <c r="DE177" s="6"/>
      <c r="DF177" s="6"/>
      <c r="DG177" s="6"/>
      <c r="DH177" s="6"/>
      <c r="DI177" s="6"/>
      <c r="DJ177" s="6"/>
      <c r="DK177" s="6"/>
      <c r="DL177" s="6"/>
      <c r="DM177" s="6"/>
      <c r="DN177" s="6"/>
      <c r="DO177" s="6"/>
      <c r="DP177" s="6"/>
      <c r="DQ177" s="6"/>
      <c r="DR177" s="6"/>
      <c r="DS177" s="6"/>
      <c r="DT177" s="6"/>
      <c r="DU177" s="6"/>
      <c r="DV177" s="6"/>
      <c r="DW177" s="6"/>
      <c r="DX177" s="6"/>
      <c r="DY177" s="6"/>
      <c r="DZ177" s="6"/>
      <c r="EA177" s="6"/>
      <c r="EB177" s="6"/>
      <c r="EC177" s="6"/>
      <c r="ED177" s="6"/>
      <c r="EE177" s="6"/>
      <c r="EF177" s="6"/>
      <c r="EG177" s="6"/>
      <c r="EH177" s="6"/>
      <c r="EI177" s="6"/>
      <c r="EJ177" s="6"/>
      <c r="EK177" s="6"/>
      <c r="EL177" s="6"/>
      <c r="EM177" s="6"/>
      <c r="EN177" s="6"/>
      <c r="EO177" s="6"/>
      <c r="EP177" s="6"/>
      <c r="EQ177" s="6"/>
      <c r="ER177" s="6"/>
      <c r="ES177" s="6"/>
      <c r="ET177" s="6"/>
      <c r="EU177" s="6"/>
      <c r="EV177" s="6"/>
      <c r="EW177" s="6"/>
      <c r="EX177" s="6"/>
      <c r="EY177" s="6"/>
      <c r="EZ177" s="6"/>
      <c r="FA177" s="6"/>
      <c r="FB177" s="6"/>
      <c r="FC177" s="6"/>
      <c r="FD177" s="6"/>
      <c r="FE177" s="6"/>
      <c r="FF177" s="6"/>
      <c r="FG177" s="6"/>
      <c r="FH177" s="6"/>
      <c r="FI177" s="6"/>
      <c r="FJ177" s="6"/>
      <c r="FK177" s="6"/>
      <c r="FL177" s="6"/>
      <c r="FM177" s="6"/>
      <c r="FN177" s="6"/>
      <c r="FO177" s="6"/>
      <c r="FP177" s="6"/>
      <c r="FQ177" s="6"/>
      <c r="FR177" s="6"/>
      <c r="FS177" s="6"/>
      <c r="FT177" s="6"/>
      <c r="FU177" s="6"/>
      <c r="FV177" s="6"/>
      <c r="FW177" s="6"/>
      <c r="FX177" s="6"/>
      <c r="FY177" s="6"/>
      <c r="FZ177" s="6"/>
      <c r="GA177" s="6"/>
      <c r="GB177" s="6"/>
      <c r="GC177" s="6"/>
      <c r="GD177" s="6"/>
      <c r="GE177" s="6"/>
      <c r="GF177" s="6"/>
      <c r="GG177" s="6"/>
      <c r="GH177" s="6"/>
      <c r="GI177" s="6"/>
      <c r="GJ177" s="6"/>
      <c r="GK177" s="6"/>
      <c r="GL177" s="6"/>
      <c r="GM177" s="6"/>
      <c r="GN177" s="6"/>
      <c r="GO177" s="6"/>
      <c r="GP177" s="6"/>
      <c r="GQ177" s="6"/>
      <c r="GR177" s="6"/>
      <c r="GS177" s="6"/>
      <c r="GT177" s="6"/>
      <c r="GU177" s="6"/>
      <c r="GV177" s="6"/>
      <c r="GW177" s="6"/>
      <c r="GX177" s="6"/>
      <c r="GY177" s="6"/>
      <c r="GZ177" s="6"/>
      <c r="HA177" s="6"/>
      <c r="HB177" s="6"/>
      <c r="HC177" s="6"/>
      <c r="HD177" s="6"/>
      <c r="HE177" s="6"/>
      <c r="HF177" s="6"/>
      <c r="HG177" s="6"/>
      <c r="HH177" s="6"/>
      <c r="HI177" s="6"/>
      <c r="HJ177" s="6"/>
      <c r="HK177" s="6"/>
      <c r="HL177" s="6"/>
      <c r="HM177" s="6"/>
      <c r="HN177" s="6"/>
      <c r="HO177" s="6"/>
      <c r="HP177" s="6"/>
      <c r="HQ177" s="6"/>
      <c r="HR177" s="6"/>
      <c r="HS177" s="6"/>
      <c r="HT177" s="6"/>
      <c r="HU177" s="6"/>
      <c r="HV177" s="6"/>
      <c r="HW177" s="6"/>
      <c r="HX177" s="6"/>
      <c r="HY177" s="6"/>
      <c r="HZ177" s="6"/>
      <c r="IA177" s="6"/>
      <c r="IB177" s="6"/>
      <c r="IC177" s="6"/>
      <c r="ID177" s="6"/>
      <c r="IE177" s="6"/>
      <c r="IF177" s="6"/>
      <c r="IG177" s="6"/>
      <c r="IH177" s="6"/>
      <c r="II177" s="6"/>
      <c r="IJ177" s="6"/>
      <c r="IK177" s="6"/>
      <c r="IL177" s="6"/>
      <c r="IM177" s="6"/>
      <c r="IN177" s="6"/>
      <c r="IO177" s="6"/>
      <c r="IP177" s="6"/>
      <c r="IQ177" s="6"/>
      <c r="IR177" s="6"/>
      <c r="IS177" s="6"/>
      <c r="IT177" s="6"/>
      <c r="IU177" s="6"/>
      <c r="IV177" s="6"/>
      <c r="IW177" s="6"/>
      <c r="IX177" s="6"/>
      <c r="IY177" s="6"/>
      <c r="IZ177" s="6"/>
      <c r="JA177" s="6"/>
      <c r="JB177" s="6"/>
      <c r="JC177" s="6"/>
      <c r="JD177" s="6"/>
      <c r="JE177" s="6"/>
      <c r="JF177" s="6"/>
      <c r="JG177" s="6"/>
      <c r="JH177" s="6"/>
      <c r="JI177" s="6"/>
      <c r="JJ177" s="6"/>
      <c r="JK177" s="6"/>
      <c r="JL177" s="6"/>
      <c r="JM177" s="6"/>
      <c r="JN177" s="6"/>
      <c r="JO177" s="6"/>
      <c r="JP177" s="6"/>
      <c r="JQ177" s="6"/>
      <c r="JR177" s="6"/>
      <c r="JS177" s="6"/>
      <c r="JT177" s="6"/>
      <c r="JU177" s="6"/>
      <c r="JV177" s="6"/>
      <c r="JW177" s="6"/>
      <c r="JX177" s="6"/>
      <c r="JY177" s="6"/>
      <c r="JZ177" s="6"/>
      <c r="KA177" s="6"/>
      <c r="KB177" s="6"/>
      <c r="KC177" s="6"/>
      <c r="KD177" s="6"/>
      <c r="KE177" s="6"/>
      <c r="KF177" s="6"/>
      <c r="KG177" s="6"/>
      <c r="KH177" s="6"/>
      <c r="KI177" s="6"/>
      <c r="KJ177" s="6"/>
      <c r="KK177" s="6"/>
      <c r="KL177" s="6"/>
      <c r="KM177" s="6"/>
      <c r="KN177" s="6"/>
      <c r="KO177" s="6"/>
      <c r="KP177" s="6"/>
      <c r="KQ177" s="6"/>
      <c r="KR177" s="6"/>
      <c r="KS177" s="6"/>
      <c r="KT177" s="6"/>
      <c r="KU177" s="6"/>
      <c r="KV177" s="6"/>
      <c r="KW177" s="6"/>
      <c r="KX177" s="6"/>
      <c r="KY177" s="6"/>
      <c r="KZ177" s="6"/>
      <c r="LA177" s="6"/>
      <c r="LB177" s="6"/>
      <c r="LC177" s="6"/>
      <c r="LD177" s="6"/>
      <c r="LE177" s="6"/>
      <c r="LF177" s="6"/>
      <c r="LG177" s="6"/>
      <c r="LH177" s="6"/>
      <c r="LI177" s="6"/>
      <c r="LJ177" s="6"/>
      <c r="LK177" s="6"/>
      <c r="LL177" s="6"/>
      <c r="LM177" s="6"/>
      <c r="LN177" s="6"/>
      <c r="LO177" s="6"/>
      <c r="LP177" s="6"/>
      <c r="LQ177" s="6"/>
      <c r="LR177" s="6"/>
      <c r="LS177" s="6"/>
      <c r="LT177" s="6"/>
      <c r="LU177" s="6"/>
      <c r="LV177" s="6"/>
      <c r="LW177" s="6"/>
      <c r="LX177" s="6"/>
      <c r="LY177" s="6"/>
      <c r="LZ177" s="6"/>
      <c r="MA177" s="6"/>
      <c r="MB177" s="6"/>
      <c r="MC177" s="6"/>
      <c r="MD177" s="6"/>
      <c r="ME177" s="6"/>
      <c r="MF177" s="6"/>
      <c r="MG177" s="6"/>
      <c r="MH177" s="6"/>
      <c r="MI177" s="6"/>
      <c r="MJ177" s="6"/>
      <c r="MK177" s="6"/>
      <c r="ML177" s="6"/>
      <c r="MM177" s="6"/>
      <c r="MN177" s="6"/>
      <c r="MO177" s="6"/>
      <c r="MP177" s="6"/>
      <c r="MQ177" s="6"/>
      <c r="MR177" s="6"/>
      <c r="MS177" s="6"/>
      <c r="MT177" s="6"/>
      <c r="MU177" s="6"/>
      <c r="MV177" s="6"/>
      <c r="MW177" s="6"/>
      <c r="MX177" s="6"/>
      <c r="MY177" s="6"/>
      <c r="MZ177" s="6"/>
      <c r="NA177" s="6"/>
      <c r="NB177" s="6"/>
      <c r="NC177" s="6"/>
      <c r="ND177" s="6"/>
      <c r="NE177" s="6"/>
      <c r="NF177" s="6"/>
      <c r="NG177" s="6"/>
      <c r="NH177" s="6"/>
      <c r="NI177" s="6"/>
      <c r="NJ177" s="6"/>
      <c r="NK177" s="6"/>
      <c r="NL177" s="6"/>
      <c r="NM177" s="6"/>
      <c r="NN177" s="6"/>
      <c r="NO177" s="6"/>
      <c r="NP177" s="6"/>
      <c r="NQ177" s="6"/>
      <c r="NR177" s="6"/>
      <c r="NS177" s="6"/>
      <c r="NT177" s="6"/>
      <c r="NU177" s="6"/>
      <c r="NV177" s="6"/>
      <c r="NW177" s="6"/>
      <c r="NX177" s="6"/>
      <c r="NY177" s="6"/>
      <c r="NZ177" s="6"/>
      <c r="OA177" s="6"/>
      <c r="OB177" s="6"/>
      <c r="OC177" s="6"/>
      <c r="OD177" s="6"/>
      <c r="OE177" s="6"/>
      <c r="OF177" s="6"/>
      <c r="OG177" s="6"/>
      <c r="OH177" s="6"/>
      <c r="OI177" s="6"/>
      <c r="OJ177" s="6"/>
      <c r="OK177" s="6"/>
      <c r="OL177" s="6"/>
      <c r="OM177" s="6"/>
      <c r="ON177" s="6"/>
      <c r="OO177" s="6"/>
      <c r="OP177" s="6"/>
      <c r="OQ177" s="6"/>
      <c r="OR177" s="6"/>
      <c r="OS177" s="6"/>
      <c r="OT177" s="6"/>
      <c r="OU177" s="6"/>
      <c r="OV177" s="6"/>
      <c r="OW177" s="6"/>
      <c r="OX177" s="6"/>
      <c r="OY177" s="6"/>
      <c r="OZ177" s="6"/>
      <c r="PA177" s="6"/>
      <c r="PB177" s="6"/>
      <c r="PC177" s="6"/>
      <c r="PD177" s="6"/>
      <c r="PE177" s="6"/>
      <c r="PF177" s="6"/>
      <c r="PG177" s="6"/>
      <c r="PH177" s="6"/>
      <c r="PI177" s="6"/>
      <c r="PJ177" s="6"/>
      <c r="PK177" s="6"/>
      <c r="PL177" s="6"/>
      <c r="PM177" s="6"/>
      <c r="PN177" s="6"/>
      <c r="PO177" s="6"/>
      <c r="PP177" s="6"/>
      <c r="PQ177" s="6"/>
      <c r="PR177" s="6"/>
      <c r="PS177" s="6"/>
      <c r="PT177" s="6"/>
      <c r="PU177" s="6"/>
      <c r="PV177" s="6"/>
      <c r="PW177" s="6"/>
      <c r="PX177" s="6"/>
      <c r="PY177" s="6"/>
      <c r="PZ177" s="6"/>
      <c r="QA177" s="6"/>
      <c r="QB177" s="6"/>
      <c r="QC177" s="6"/>
      <c r="QD177" s="6"/>
      <c r="QE177" s="6"/>
      <c r="QF177" s="6"/>
      <c r="QG177" s="6"/>
      <c r="QH177" s="6"/>
      <c r="QI177" s="6"/>
      <c r="QJ177" s="6"/>
      <c r="QK177" s="6"/>
      <c r="QL177" s="6"/>
      <c r="QM177" s="6"/>
      <c r="QN177" s="6"/>
      <c r="QO177" s="6"/>
      <c r="QP177" s="6"/>
      <c r="QQ177" s="6"/>
      <c r="QR177" s="6"/>
      <c r="QS177" s="6"/>
      <c r="QT177" s="6"/>
      <c r="QU177" s="6"/>
      <c r="QV177" s="6"/>
      <c r="QW177" s="6"/>
      <c r="QX177" s="6"/>
      <c r="QY177" s="6"/>
      <c r="QZ177" s="6"/>
      <c r="RA177" s="6"/>
      <c r="RB177" s="6"/>
      <c r="RC177" s="6"/>
      <c r="RD177" s="6"/>
      <c r="RE177" s="6"/>
      <c r="RF177" s="6"/>
      <c r="RG177" s="6"/>
      <c r="RH177" s="6"/>
      <c r="RI177" s="6"/>
      <c r="RJ177" s="6"/>
      <c r="RK177" s="6"/>
      <c r="RL177" s="6"/>
      <c r="RM177" s="6"/>
      <c r="RN177" s="6"/>
      <c r="RO177" s="6"/>
      <c r="RP177" s="6"/>
      <c r="RQ177" s="6"/>
      <c r="RR177" s="6"/>
      <c r="RS177" s="6"/>
      <c r="RT177" s="6"/>
      <c r="RU177" s="6"/>
      <c r="RV177" s="6"/>
      <c r="RW177" s="6"/>
      <c r="RX177" s="6"/>
      <c r="RY177" s="6"/>
      <c r="RZ177" s="6"/>
      <c r="SA177" s="6"/>
      <c r="SB177" s="6"/>
      <c r="SC177" s="6"/>
      <c r="SD177" s="6"/>
      <c r="SE177" s="6"/>
      <c r="SF177" s="6"/>
      <c r="SG177" s="6"/>
      <c r="SH177" s="6"/>
      <c r="SI177" s="6"/>
      <c r="SJ177" s="6"/>
      <c r="SK177" s="6"/>
      <c r="SL177" s="6"/>
      <c r="SM177" s="6"/>
      <c r="SN177" s="6"/>
      <c r="SO177" s="6"/>
      <c r="SP177" s="6"/>
      <c r="SQ177" s="6"/>
      <c r="SR177" s="6"/>
      <c r="SS177" s="6"/>
      <c r="ST177" s="6"/>
      <c r="SU177" s="6"/>
      <c r="SV177" s="6"/>
      <c r="SW177" s="6"/>
      <c r="SX177" s="6"/>
      <c r="SY177" s="6"/>
      <c r="SZ177" s="6"/>
      <c r="TA177" s="6"/>
      <c r="TB177" s="6"/>
      <c r="TC177" s="6"/>
      <c r="TD177" s="6"/>
      <c r="TE177" s="6"/>
      <c r="TF177" s="6"/>
      <c r="TG177" s="6"/>
      <c r="TH177" s="6"/>
      <c r="TI177" s="6"/>
      <c r="TJ177" s="6"/>
      <c r="TK177" s="6"/>
      <c r="TL177" s="6"/>
      <c r="TM177" s="6"/>
      <c r="TN177" s="6"/>
      <c r="TO177" s="6"/>
      <c r="TP177" s="6"/>
      <c r="TQ177" s="6"/>
      <c r="TR177" s="6"/>
      <c r="TS177" s="6"/>
      <c r="TT177" s="6"/>
      <c r="TU177" s="6"/>
      <c r="TV177" s="6"/>
      <c r="TW177" s="6"/>
      <c r="TX177" s="6"/>
      <c r="TY177" s="6"/>
      <c r="TZ177" s="6"/>
      <c r="UA177" s="6"/>
      <c r="UB177" s="6"/>
      <c r="UC177" s="6"/>
      <c r="UD177" s="6"/>
      <c r="UE177" s="6"/>
      <c r="UF177" s="6"/>
      <c r="UG177" s="6"/>
      <c r="UH177" s="6"/>
      <c r="UI177" s="6"/>
      <c r="UJ177" s="6"/>
      <c r="UK177" s="6"/>
      <c r="UL177" s="6"/>
      <c r="UM177" s="6"/>
      <c r="UN177" s="6"/>
      <c r="UO177" s="6"/>
      <c r="UP177" s="6"/>
      <c r="UQ177" s="6"/>
      <c r="UR177" s="6"/>
      <c r="US177" s="6"/>
      <c r="UT177" s="6"/>
      <c r="UU177" s="6"/>
      <c r="UV177" s="6"/>
      <c r="UW177" s="6"/>
      <c r="UX177" s="6"/>
      <c r="UY177" s="6"/>
      <c r="UZ177" s="6"/>
      <c r="VA177" s="6"/>
      <c r="VB177" s="6"/>
      <c r="VC177" s="6"/>
      <c r="VD177" s="6"/>
      <c r="VE177" s="6"/>
      <c r="VF177" s="6"/>
      <c r="VG177" s="6"/>
      <c r="VH177" s="6"/>
      <c r="VI177" s="6"/>
      <c r="VJ177" s="6"/>
      <c r="VK177" s="6"/>
      <c r="VL177" s="6"/>
      <c r="VM177" s="6"/>
      <c r="VN177" s="6"/>
      <c r="VO177" s="6"/>
      <c r="VP177" s="6"/>
      <c r="VQ177" s="6"/>
      <c r="VR177" s="6"/>
      <c r="VS177" s="6"/>
      <c r="VT177" s="6"/>
      <c r="VU177" s="6"/>
      <c r="VV177" s="6"/>
      <c r="VW177" s="6"/>
      <c r="VX177" s="6"/>
      <c r="VY177" s="6"/>
      <c r="VZ177" s="6"/>
      <c r="WA177" s="6"/>
      <c r="WB177" s="6"/>
      <c r="WC177" s="6"/>
      <c r="WD177" s="6"/>
      <c r="WE177" s="6"/>
      <c r="WF177" s="6"/>
      <c r="WG177" s="6"/>
      <c r="WH177" s="6"/>
      <c r="WI177" s="6"/>
      <c r="WJ177" s="6"/>
      <c r="WK177" s="6"/>
      <c r="WL177" s="6"/>
      <c r="WM177" s="6"/>
      <c r="WN177" s="6"/>
      <c r="WO177" s="6"/>
      <c r="WP177" s="6"/>
      <c r="WQ177" s="6"/>
      <c r="WR177" s="6"/>
      <c r="WS177" s="6"/>
      <c r="WT177" s="6"/>
      <c r="WU177" s="6"/>
      <c r="WV177" s="6"/>
      <c r="WW177" s="6"/>
      <c r="WX177" s="6"/>
      <c r="WY177" s="6"/>
      <c r="WZ177" s="6"/>
      <c r="XA177" s="6"/>
      <c r="XB177" s="6"/>
      <c r="XC177" s="6"/>
      <c r="XD177" s="6"/>
      <c r="XE177" s="6"/>
      <c r="XF177" s="6"/>
      <c r="XG177" s="6"/>
      <c r="XH177" s="6"/>
      <c r="XI177" s="6"/>
      <c r="XJ177" s="6"/>
      <c r="XK177" s="6"/>
      <c r="XL177" s="6"/>
      <c r="XM177" s="6"/>
      <c r="XN177" s="6"/>
      <c r="XO177" s="6"/>
      <c r="XP177" s="6"/>
      <c r="XQ177" s="6"/>
      <c r="XR177" s="6"/>
      <c r="XS177" s="6"/>
      <c r="XT177" s="6"/>
      <c r="XU177" s="6"/>
      <c r="XV177" s="6"/>
      <c r="XW177" s="6"/>
      <c r="XX177" s="6"/>
      <c r="XY177" s="6"/>
      <c r="XZ177" s="6"/>
      <c r="YA177" s="6"/>
      <c r="YB177" s="6"/>
      <c r="YC177" s="6"/>
      <c r="YD177" s="6"/>
      <c r="YE177" s="6"/>
      <c r="YF177" s="6"/>
      <c r="YG177" s="6"/>
      <c r="YH177" s="6"/>
      <c r="YI177" s="6"/>
      <c r="YJ177" s="6"/>
      <c r="YK177" s="6"/>
      <c r="YL177" s="6"/>
      <c r="YM177" s="6"/>
      <c r="YN177" s="6"/>
      <c r="YO177" s="6"/>
      <c r="YP177" s="6"/>
      <c r="YQ177" s="6"/>
      <c r="YR177" s="6"/>
      <c r="YS177" s="6"/>
      <c r="YT177" s="6"/>
      <c r="YU177" s="6"/>
      <c r="YV177" s="6"/>
      <c r="YW177" s="6"/>
      <c r="YX177" s="6"/>
      <c r="YY177" s="6"/>
      <c r="YZ177" s="6"/>
      <c r="ZA177" s="6"/>
      <c r="ZB177" s="6"/>
      <c r="ZC177" s="6"/>
      <c r="ZD177" s="6"/>
      <c r="ZE177" s="6"/>
      <c r="ZF177" s="6"/>
      <c r="ZG177" s="6"/>
      <c r="ZH177" s="6"/>
      <c r="ZI177" s="6"/>
      <c r="ZJ177" s="6"/>
      <c r="ZK177" s="6"/>
      <c r="ZL177" s="6"/>
      <c r="ZM177" s="6"/>
      <c r="ZN177" s="6"/>
      <c r="ZO177" s="6"/>
      <c r="ZP177" s="6"/>
      <c r="ZQ177" s="6"/>
      <c r="ZR177" s="6"/>
      <c r="ZS177" s="6"/>
      <c r="ZT177" s="6"/>
      <c r="ZU177" s="6"/>
      <c r="ZV177" s="6"/>
      <c r="ZW177" s="6"/>
      <c r="ZX177" s="6"/>
      <c r="ZY177" s="6"/>
      <c r="ZZ177" s="6"/>
      <c r="AAA177" s="6"/>
      <c r="AAB177" s="6"/>
      <c r="AAC177" s="6"/>
      <c r="AAD177" s="6"/>
      <c r="AAE177" s="6"/>
      <c r="AAF177" s="6"/>
      <c r="AAG177" s="6"/>
      <c r="AAH177" s="6"/>
      <c r="AAI177" s="6"/>
      <c r="AAJ177" s="6"/>
      <c r="AAK177" s="6"/>
      <c r="AAL177" s="6"/>
      <c r="AAM177" s="6"/>
      <c r="AAN177" s="6"/>
      <c r="AAO177" s="6"/>
      <c r="AAP177" s="6"/>
      <c r="AAQ177" s="6"/>
      <c r="AAR177" s="6"/>
      <c r="AAS177" s="6"/>
      <c r="AAT177" s="6"/>
      <c r="AAU177" s="6"/>
      <c r="AAV177" s="6"/>
      <c r="AAW177" s="6"/>
      <c r="AAX177" s="6"/>
      <c r="AAY177" s="6"/>
      <c r="AAZ177" s="6"/>
      <c r="ABA177" s="6"/>
      <c r="ABB177" s="6"/>
      <c r="ABC177" s="6"/>
      <c r="ABD177" s="6"/>
      <c r="ABE177" s="6"/>
      <c r="ABF177" s="6"/>
      <c r="ABG177" s="6"/>
      <c r="ABH177" s="6"/>
      <c r="ABI177" s="6"/>
      <c r="ABJ177" s="6"/>
      <c r="ABK177" s="6"/>
      <c r="ABL177" s="6"/>
      <c r="ABM177" s="6"/>
      <c r="ABN177" s="6"/>
      <c r="ABO177" s="6"/>
      <c r="ABP177" s="6"/>
      <c r="ABQ177" s="6"/>
      <c r="ABR177" s="6"/>
      <c r="ABS177" s="6"/>
      <c r="ABT177" s="6"/>
      <c r="ABU177" s="6"/>
      <c r="ABV177" s="6"/>
      <c r="ABW177" s="6"/>
      <c r="ABX177" s="6"/>
      <c r="ABY177" s="6"/>
      <c r="ABZ177" s="6"/>
      <c r="ACA177" s="6"/>
      <c r="ACB177" s="6"/>
      <c r="ACC177" s="6"/>
      <c r="ACD177" s="6"/>
      <c r="ACE177" s="6"/>
      <c r="ACF177" s="6"/>
      <c r="ACG177" s="6"/>
      <c r="ACH177" s="6"/>
      <c r="ACI177" s="6"/>
      <c r="ACJ177" s="6"/>
      <c r="ACK177" s="6"/>
      <c r="ACL177" s="6"/>
      <c r="ACM177" s="6"/>
      <c r="ACN177" s="6"/>
      <c r="ACO177" s="6"/>
      <c r="ACP177" s="6"/>
      <c r="ACQ177" s="6"/>
      <c r="ACR177" s="6"/>
      <c r="ACS177" s="6"/>
      <c r="ACT177" s="6"/>
      <c r="ACU177" s="6"/>
      <c r="ACV177" s="6"/>
      <c r="ACW177" s="6"/>
      <c r="ACX177" s="6"/>
      <c r="ACY177" s="6"/>
      <c r="ACZ177" s="6"/>
      <c r="ADA177" s="6"/>
      <c r="ADB177" s="6"/>
      <c r="ADC177" s="6"/>
      <c r="ADD177" s="6"/>
      <c r="ADE177" s="6"/>
      <c r="ADF177" s="6"/>
      <c r="ADG177" s="6"/>
      <c r="ADH177" s="6"/>
      <c r="ADI177" s="6"/>
      <c r="ADJ177" s="6"/>
      <c r="ADK177" s="6"/>
      <c r="ADL177" s="6"/>
      <c r="ADM177" s="6"/>
      <c r="ADN177" s="6"/>
      <c r="ADO177" s="6"/>
      <c r="ADP177" s="6"/>
      <c r="ADQ177" s="6"/>
      <c r="ADR177" s="6"/>
      <c r="ADS177" s="6"/>
      <c r="ADT177" s="6"/>
      <c r="ADU177" s="6"/>
      <c r="ADV177" s="6"/>
      <c r="ADW177" s="6"/>
      <c r="ADX177" s="6"/>
      <c r="ADY177" s="6"/>
      <c r="ADZ177" s="6"/>
      <c r="AEA177" s="6"/>
      <c r="AEB177" s="6"/>
      <c r="AEC177" s="6"/>
      <c r="AED177" s="6"/>
      <c r="AEE177" s="6"/>
      <c r="AEF177" s="6"/>
      <c r="AEG177" s="6"/>
      <c r="AEH177" s="6"/>
      <c r="AEI177" s="6"/>
      <c r="AEJ177" s="6"/>
      <c r="AEK177" s="6"/>
      <c r="AEL177" s="6"/>
      <c r="AEM177" s="6"/>
      <c r="AEN177" s="6"/>
      <c r="AEO177" s="6"/>
      <c r="AEP177" s="6"/>
      <c r="AEQ177" s="6"/>
      <c r="AER177" s="6"/>
      <c r="AES177" s="6"/>
      <c r="AET177" s="6"/>
      <c r="AEU177" s="6"/>
      <c r="AEV177" s="6"/>
      <c r="AEW177" s="6"/>
      <c r="AEX177" s="6"/>
      <c r="AEY177" s="6"/>
      <c r="AEZ177" s="6"/>
      <c r="AFA177" s="6"/>
      <c r="AFB177" s="6"/>
      <c r="AFC177" s="6"/>
      <c r="AFD177" s="6"/>
      <c r="AFE177" s="6"/>
      <c r="AFF177" s="6"/>
      <c r="AFG177" s="6"/>
      <c r="AFH177" s="6"/>
      <c r="AFI177" s="6"/>
      <c r="AFJ177" s="6"/>
      <c r="AFK177" s="6"/>
      <c r="AFL177" s="6"/>
      <c r="AFM177" s="6"/>
      <c r="AFN177" s="6"/>
      <c r="AFO177" s="6"/>
      <c r="AFP177" s="6"/>
      <c r="AFQ177" s="6"/>
      <c r="AFR177" s="6"/>
      <c r="AFS177" s="6"/>
      <c r="AFT177" s="6"/>
      <c r="AFU177" s="6"/>
      <c r="AFV177" s="6"/>
      <c r="AFW177" s="6"/>
      <c r="AFX177" s="6"/>
      <c r="AFY177" s="6"/>
      <c r="AFZ177" s="6"/>
      <c r="AGA177" s="6"/>
      <c r="AGB177" s="6"/>
      <c r="AGC177" s="6"/>
      <c r="AGD177" s="6"/>
      <c r="AGE177" s="6"/>
      <c r="AGF177" s="6"/>
      <c r="AGG177" s="6"/>
      <c r="AGH177" s="6"/>
      <c r="AGI177" s="6"/>
      <c r="AGJ177" s="6"/>
      <c r="AGK177" s="6"/>
      <c r="AGL177" s="6"/>
      <c r="AGM177" s="6"/>
      <c r="AGN177" s="6"/>
      <c r="AGO177" s="6"/>
      <c r="AGP177" s="6"/>
      <c r="AGQ177" s="6"/>
      <c r="AGR177" s="6"/>
      <c r="AGS177" s="6"/>
      <c r="AGT177" s="6"/>
      <c r="AGU177" s="6"/>
      <c r="AGV177" s="6"/>
      <c r="AGW177" s="6"/>
      <c r="AGX177" s="6"/>
      <c r="AGY177" s="6"/>
      <c r="AGZ177" s="6"/>
      <c r="AHA177" s="6"/>
      <c r="AHB177" s="6"/>
      <c r="AHC177" s="6"/>
      <c r="AHD177" s="6"/>
      <c r="AHE177" s="6"/>
      <c r="AHF177" s="6"/>
      <c r="AHG177" s="6"/>
      <c r="AHH177" s="6"/>
      <c r="AHI177" s="6"/>
      <c r="AHJ177" s="6"/>
      <c r="AHK177" s="6"/>
      <c r="AHL177" s="6"/>
      <c r="AHM177" s="6"/>
      <c r="AHN177" s="6"/>
      <c r="AHO177" s="6"/>
      <c r="AHP177" s="6"/>
      <c r="AHQ177" s="6"/>
      <c r="AHR177" s="6"/>
      <c r="AHS177" s="6"/>
      <c r="AHT177" s="6"/>
      <c r="AHU177" s="6"/>
      <c r="AHV177" s="6"/>
      <c r="AHW177" s="6"/>
      <c r="AHX177" s="6"/>
      <c r="AHY177" s="6"/>
      <c r="AHZ177" s="6"/>
      <c r="AIA177" s="6"/>
      <c r="AIB177" s="6"/>
      <c r="AIC177" s="6"/>
      <c r="AID177" s="6"/>
      <c r="AIE177" s="6"/>
      <c r="AIF177" s="6"/>
      <c r="AIG177" s="6"/>
      <c r="AIH177" s="6"/>
      <c r="AII177" s="6"/>
      <c r="AIJ177" s="6"/>
      <c r="AIK177" s="6"/>
      <c r="AIL177" s="6"/>
      <c r="AIM177" s="6"/>
      <c r="AIN177" s="6"/>
      <c r="AIO177" s="6"/>
      <c r="AIP177" s="6"/>
      <c r="AIQ177" s="6"/>
      <c r="AIR177" s="6"/>
      <c r="AIS177" s="6"/>
      <c r="AIT177" s="6"/>
      <c r="AIU177" s="6"/>
      <c r="AIV177" s="6"/>
      <c r="AIW177" s="6"/>
      <c r="AIX177" s="6"/>
      <c r="AIY177" s="6"/>
      <c r="AIZ177" s="6"/>
      <c r="AJA177" s="6"/>
      <c r="AJB177" s="6"/>
      <c r="AJC177" s="6"/>
      <c r="AJD177" s="6"/>
      <c r="AJE177" s="6"/>
      <c r="AJF177" s="6"/>
      <c r="AJG177" s="6"/>
      <c r="AJH177" s="6"/>
      <c r="AJI177" s="6"/>
      <c r="AJJ177" s="6"/>
      <c r="AJK177" s="6"/>
      <c r="AJL177" s="6"/>
      <c r="AJM177" s="6"/>
      <c r="AJN177" s="6"/>
      <c r="AJO177" s="6"/>
      <c r="AJP177" s="6"/>
      <c r="AJQ177" s="6"/>
      <c r="AJR177" s="6"/>
      <c r="AJS177" s="6"/>
      <c r="AJT177" s="6"/>
      <c r="AJU177" s="6"/>
      <c r="AJV177" s="6"/>
      <c r="AJW177" s="6"/>
      <c r="AJX177" s="6"/>
      <c r="AJY177" s="6"/>
      <c r="AJZ177" s="6"/>
      <c r="AKA177" s="6"/>
      <c r="AKB177" s="6"/>
      <c r="AKC177" s="6"/>
      <c r="AKD177" s="6"/>
      <c r="AKE177" s="6"/>
      <c r="AKF177" s="6"/>
      <c r="AKG177" s="6"/>
      <c r="AKH177" s="6"/>
      <c r="AKI177" s="6"/>
      <c r="AKJ177" s="6"/>
      <c r="AKK177" s="6"/>
      <c r="AKL177" s="6"/>
      <c r="AKM177" s="6"/>
      <c r="AKN177" s="6"/>
      <c r="AKO177" s="6"/>
      <c r="AKP177" s="6"/>
      <c r="AKQ177" s="6"/>
      <c r="AKR177" s="6"/>
      <c r="AKS177" s="6"/>
      <c r="AKT177" s="6"/>
      <c r="AKU177" s="6"/>
      <c r="AKV177" s="6"/>
      <c r="AKW177" s="6"/>
      <c r="AKX177" s="6"/>
      <c r="AKY177" s="6"/>
      <c r="AKZ177" s="6"/>
      <c r="ALA177" s="6"/>
      <c r="ALB177" s="6"/>
      <c r="ALC177" s="6"/>
      <c r="ALD177" s="6"/>
      <c r="ALE177" s="6"/>
      <c r="ALF177" s="6"/>
      <c r="ALG177" s="6"/>
      <c r="ALH177" s="6"/>
      <c r="ALI177" s="6"/>
      <c r="ALJ177" s="6"/>
      <c r="ALK177" s="6"/>
      <c r="ALL177" s="6"/>
      <c r="ALM177" s="6"/>
      <c r="ALN177" s="6"/>
      <c r="ALO177" s="6"/>
      <c r="ALP177" s="6"/>
      <c r="ALQ177" s="6"/>
      <c r="ALR177" s="6"/>
      <c r="ALS177" s="6"/>
      <c r="ALT177" s="6"/>
      <c r="ALU177" s="6"/>
      <c r="ALV177" s="6"/>
      <c r="ALW177" s="6"/>
      <c r="ALX177" s="6"/>
      <c r="ALY177" s="6"/>
      <c r="ALZ177" s="6"/>
      <c r="AMA177" s="6"/>
      <c r="AMB177" s="6"/>
      <c r="AMC177" s="6"/>
      <c r="AMD177" s="6"/>
      <c r="AME177" s="6"/>
      <c r="AMF177" s="6"/>
      <c r="AMG177" s="6"/>
      <c r="AMH177" s="6"/>
      <c r="AMI177" s="6"/>
      <c r="AMJ177" s="6"/>
      <c r="AMK177" s="6"/>
      <c r="AML177" s="6"/>
      <c r="AMM177" s="6"/>
      <c r="AMN177" s="6"/>
      <c r="AMO177" s="6"/>
    </row>
    <row r="178" spans="1:1029" s="12" customFormat="1" x14ac:dyDescent="0.2">
      <c r="A178" s="9" t="str">
        <f t="shared" ref="A178:A179" si="808">CONCATENATE(B178,"_",C178)</f>
        <v>calcr_human__wt</v>
      </c>
      <c r="B178" s="41" t="s">
        <v>401</v>
      </c>
      <c r="C178" s="9" t="s">
        <v>100</v>
      </c>
      <c r="D178" s="9" t="str">
        <f>IFERROR(MID(VLOOKUP($B178,Seqs!$A:$B,2,0),E178,1),"")</f>
        <v>T</v>
      </c>
      <c r="E178" s="9">
        <v>132</v>
      </c>
      <c r="F178" s="9" t="str">
        <f>IFERROR(MID(VLOOKUP($B178,Seqs!$A:$B,2,0),G178,1),"")</f>
        <v>F</v>
      </c>
      <c r="G178" s="9">
        <v>173</v>
      </c>
      <c r="H178" s="9" t="str">
        <f>IFERROR(MID(VLOOKUP($B178,Seqs!$A:$B,2,0),I178,1),"")</f>
        <v>R</v>
      </c>
      <c r="I178" s="112">
        <v>174</v>
      </c>
      <c r="J178" s="9" t="str">
        <f>IFERROR(MID(VLOOKUP($B178,Seqs!$A:$B,2,0),K178,1),"")</f>
        <v>G</v>
      </c>
      <c r="K178" s="112">
        <v>177</v>
      </c>
      <c r="L178" s="9" t="str">
        <f>IFERROR(MID(VLOOKUP($B178,Seqs!$A:$B,2,0),M178,1),"")</f>
        <v>C</v>
      </c>
      <c r="M178" s="9">
        <v>178</v>
      </c>
      <c r="N178" s="9" t="str">
        <f>IFERROR(MID(VLOOKUP($B178,Seqs!$A:$B,2,0),O178,1),"")</f>
        <v>V</v>
      </c>
      <c r="O178" s="9">
        <v>205</v>
      </c>
      <c r="P178" s="9" t="str">
        <f>IFERROR(MID(VLOOKUP($B178,Seqs!$A:$B,2,0),Q178,1),"")</f>
        <v/>
      </c>
      <c r="Q178" s="9" t="s">
        <v>23</v>
      </c>
      <c r="R178" s="9" t="str">
        <f>IFERROR(MID(VLOOKUP($B178,Seqs!$A:$B,2,0),S178,1),"")</f>
        <v/>
      </c>
      <c r="S178" s="9" t="s">
        <v>23</v>
      </c>
      <c r="T178" s="9" t="str">
        <f>IFERROR(MID(VLOOKUP($B178,Seqs!$A:$B,2,0),U178,1),"")</f>
        <v>D</v>
      </c>
      <c r="U178" s="9">
        <v>215</v>
      </c>
      <c r="V178" s="9" t="str">
        <f>IFERROR(MID(VLOOKUP($B178,Seqs!$A:$B,2,0),W178,1),"")</f>
        <v>V</v>
      </c>
      <c r="W178" s="9">
        <v>250</v>
      </c>
      <c r="X178" s="9" t="str">
        <f>IFERROR(MID(VLOOKUP($B178,Seqs!$A:$B,2,0),Y178,1),"")</f>
        <v/>
      </c>
      <c r="Y178" s="9" t="s">
        <v>23</v>
      </c>
      <c r="Z178" s="9" t="str">
        <f>IFERROR(MID(VLOOKUP($B178,Seqs!$A:$B,2,0),AA178,1),"")</f>
        <v/>
      </c>
      <c r="AA178" s="9" t="s">
        <v>23</v>
      </c>
      <c r="AB178" s="9" t="str">
        <f>IFERROR(MID(VLOOKUP($B178,Seqs!$A:$B,2,0),AC178,1),"")</f>
        <v>R</v>
      </c>
      <c r="AC178" s="9">
        <v>258</v>
      </c>
      <c r="AD178" s="9" t="str">
        <f>IFERROR(MID(VLOOKUP($B178,Seqs!$A:$B,2,0),AE178,1),"")</f>
        <v>F</v>
      </c>
      <c r="AE178" s="9">
        <v>285</v>
      </c>
      <c r="AF178" s="9" t="str">
        <f>IFERROR(MID(VLOOKUP($B178,Seqs!$A:$B,2,0),AG178,1),"")</f>
        <v>C</v>
      </c>
      <c r="AG178" s="9">
        <v>289</v>
      </c>
      <c r="AH178" s="9" t="str">
        <f>IFERROR(MID(VLOOKUP($B178,Seqs!$A:$B,2,0),AI178,1),"")</f>
        <v>L</v>
      </c>
      <c r="AI178" s="9">
        <v>291</v>
      </c>
      <c r="AJ178" s="9" t="str">
        <f>IFERROR(MID(VLOOKUP($B178,Seqs!$A:$B,2,0),AK178,1),"")</f>
        <v>L</v>
      </c>
      <c r="AK178" s="9">
        <v>298</v>
      </c>
      <c r="AL178" s="9" t="str">
        <f>IFERROR(MID(VLOOKUP($B178,Seqs!$A:$B,2,0),AM178,1),"")</f>
        <v>R</v>
      </c>
      <c r="AM178" s="9">
        <v>328</v>
      </c>
      <c r="AN178" s="9" t="str">
        <f>IFERROR(MID(VLOOKUP($B178,Seqs!$A:$B,2,0),AO178,1),"")</f>
        <v>Y</v>
      </c>
      <c r="AO178" s="9">
        <v>338</v>
      </c>
      <c r="AP178" s="9" t="str">
        <f>IFERROR(MID(VLOOKUP($B178,Seqs!$A:$B,2,0),AQ178,1),"")</f>
        <v>W</v>
      </c>
      <c r="AQ178" s="9">
        <v>361</v>
      </c>
      <c r="AR178" s="9" t="str">
        <f>IFERROR(MID(VLOOKUP($B178,Seqs!$A:$B,2,0),AS178,1),"")</f>
        <v>K</v>
      </c>
      <c r="AS178" s="9">
        <v>366</v>
      </c>
      <c r="AT178" s="9" t="str">
        <f>IFERROR(MID(VLOOKUP($B178,Seqs!$A:$B,2,0),AU178,1),"")</f>
        <v>C</v>
      </c>
      <c r="AU178" s="9">
        <v>394</v>
      </c>
      <c r="AV178" s="9" t="str">
        <f>IFERROR(MID(VLOOKUP($B178,Seqs!$A:$B,2,0),AW178,1),"")</f>
        <v>N</v>
      </c>
      <c r="AW178" s="9">
        <v>395</v>
      </c>
      <c r="AX178" s="9" t="str">
        <f>IFERROR(MID(VLOOKUP($B178,Seqs!$A:$B,2,0),AY178,1),"")</f>
        <v>R</v>
      </c>
      <c r="AY178" s="9">
        <v>420</v>
      </c>
      <c r="AZ178" s="113" t="str">
        <f>VLOOKUP(B178,Classification!A:D,2,0)</f>
        <v>B1</v>
      </c>
      <c r="BA178" s="101" t="str">
        <f>VLOOKUP(B178,Classification!A:D,4,0)</f>
        <v>Calcitonin</v>
      </c>
      <c r="BB178" s="37" t="b">
        <f t="shared" ref="BB178:BB179" si="809">AND(E178&lt;G178,OR(G178&lt;I178,I178="-"),OR(I178&lt;K178,I178="-"),OR(K178&lt;M178,K178="-"),M178&lt;O178,OR(O178&lt;Q178,Q178="-"),OR(Q178&lt;S178,Q178="-"),OR(S178&lt;U178,S178="-"),U178&lt;W178,OR(W178&lt;Y178,Y178="-"),OR(Y178&lt;AA178,Y178="-"),OR(AA178&lt;AC178,AA178="-"),AC178&lt;AE178,OR(AE178&lt;AG178,AG178="-"),OR(AG178&lt;AI178,AG178="-"),OR(AI178&lt;AK178,AI178="-"),AK178&lt;AM178,AM178&lt;AO178,AO178&lt;AQ178,AQ178&lt;AS178,AS178&lt;AU178,OR(AU178&lt;AW178,AW178="-"),OR(AW178&lt;AY178,AW178="-"))</f>
        <v>1</v>
      </c>
      <c r="BC178" s="112">
        <f t="shared" ref="BC178:BC179" si="810">_xlfn.AGGREGATE(9,6,CG178:CR178)-_xlfn.AGGREGATE(9,6,BU178:CF178)+12</f>
        <v>253</v>
      </c>
      <c r="BD178" s="11" t="s">
        <v>23</v>
      </c>
      <c r="BE178" s="9" t="s">
        <v>1297</v>
      </c>
      <c r="BF178" s="52" t="s">
        <v>1384</v>
      </c>
      <c r="BG178" s="52" t="s">
        <v>1384</v>
      </c>
      <c r="BI178" s="114" t="s">
        <v>1293</v>
      </c>
      <c r="BJ178" s="115" t="s">
        <v>1293</v>
      </c>
      <c r="BK178" s="115" t="s">
        <v>1293</v>
      </c>
      <c r="BL178" s="115" t="s">
        <v>1293</v>
      </c>
      <c r="BM178" s="115" t="s">
        <v>1293</v>
      </c>
      <c r="BN178" s="115" t="s">
        <v>1293</v>
      </c>
      <c r="BO178" s="115" t="s">
        <v>1293</v>
      </c>
      <c r="BP178" s="115" t="s">
        <v>1293</v>
      </c>
      <c r="BQ178" s="115" t="s">
        <v>1293</v>
      </c>
      <c r="BR178" s="115" t="s">
        <v>1293</v>
      </c>
      <c r="BS178" s="115" t="s">
        <v>1293</v>
      </c>
      <c r="BT178" s="115" t="s">
        <v>1293</v>
      </c>
      <c r="BU178" s="114">
        <f t="shared" ref="BU178:BU179" si="811">E178</f>
        <v>132</v>
      </c>
      <c r="BV178" s="116">
        <f t="shared" ref="BV178:BV179" si="812">I178</f>
        <v>174</v>
      </c>
      <c r="BW178" s="117">
        <f t="shared" ref="BW178:BW179" si="813">M178</f>
        <v>178</v>
      </c>
      <c r="BX178" s="116" t="str">
        <f t="shared" ref="BX178:BX179" si="814">Q178</f>
        <v>-</v>
      </c>
      <c r="BY178" s="117">
        <f t="shared" ref="BY178:BY179" si="815">U178</f>
        <v>215</v>
      </c>
      <c r="BZ178" s="116" t="str">
        <f t="shared" ref="BZ178:BZ179" si="816">Y178</f>
        <v>-</v>
      </c>
      <c r="CA178" s="117">
        <f t="shared" ref="CA178:CA179" si="817">AC178</f>
        <v>258</v>
      </c>
      <c r="CB178" s="116">
        <f t="shared" ref="CB178:CB179" si="818">AG178</f>
        <v>289</v>
      </c>
      <c r="CC178" s="117">
        <f t="shared" ref="CC178:CC179" si="819">AK178</f>
        <v>298</v>
      </c>
      <c r="CD178" s="116">
        <f t="shared" ref="CD178:CD179" si="820">AO178</f>
        <v>338</v>
      </c>
      <c r="CE178" s="117">
        <f t="shared" ref="CE178:CE179" si="821">AS178</f>
        <v>366</v>
      </c>
      <c r="CF178" s="116">
        <f t="shared" ref="CF178:CF179" si="822">AW178</f>
        <v>395</v>
      </c>
      <c r="CG178" s="114">
        <f t="shared" ref="CG178:CG179" si="823">G178</f>
        <v>173</v>
      </c>
      <c r="CH178" s="116">
        <f t="shared" ref="CH178:CH179" si="824">K178</f>
        <v>177</v>
      </c>
      <c r="CI178" s="117">
        <f t="shared" ref="CI178:CI179" si="825">O178</f>
        <v>205</v>
      </c>
      <c r="CJ178" s="117" t="str">
        <f t="shared" ref="CJ178:CJ179" si="826">S178</f>
        <v>-</v>
      </c>
      <c r="CK178" s="117">
        <f t="shared" ref="CK178:CK179" si="827">W178</f>
        <v>250</v>
      </c>
      <c r="CL178" s="117" t="str">
        <f t="shared" ref="CL178:CL179" si="828">AA178</f>
        <v>-</v>
      </c>
      <c r="CM178" s="117">
        <f t="shared" ref="CM178:CM179" si="829">AE178</f>
        <v>285</v>
      </c>
      <c r="CN178" s="117">
        <f t="shared" ref="CN178:CN179" si="830">AI178</f>
        <v>291</v>
      </c>
      <c r="CO178" s="117">
        <f t="shared" ref="CO178:CO179" si="831">AM178</f>
        <v>328</v>
      </c>
      <c r="CP178" s="117">
        <f t="shared" ref="CP178:CP179" si="832">AQ178</f>
        <v>361</v>
      </c>
      <c r="CQ178" s="117">
        <f t="shared" ref="CQ178:CQ179" si="833">AU178</f>
        <v>394</v>
      </c>
      <c r="CR178" s="117">
        <f t="shared" ref="CR178:CR179" si="834">AY178</f>
        <v>420</v>
      </c>
      <c r="CS178" s="112">
        <f t="shared" ref="CS178:CS179" si="835">M178-K178</f>
        <v>1</v>
      </c>
      <c r="CT178" s="118"/>
      <c r="CU178" s="118"/>
      <c r="CV178" s="118"/>
      <c r="CW178" s="118"/>
      <c r="CX178" s="118"/>
      <c r="CY178" s="118"/>
      <c r="CZ178" s="118"/>
      <c r="DA178" s="118"/>
      <c r="DB178" s="118"/>
      <c r="DC178" s="118"/>
      <c r="DD178" s="118"/>
      <c r="DE178" s="118"/>
      <c r="DF178" s="118"/>
      <c r="DG178" s="118"/>
      <c r="DH178" s="118"/>
      <c r="DI178" s="118"/>
      <c r="DJ178" s="118"/>
      <c r="DK178" s="118"/>
      <c r="DL178" s="118"/>
      <c r="DM178" s="118"/>
      <c r="DN178" s="118"/>
      <c r="DO178" s="118"/>
      <c r="DP178" s="118"/>
      <c r="DQ178" s="118"/>
      <c r="DR178" s="118"/>
      <c r="DS178" s="118"/>
      <c r="DT178" s="118"/>
      <c r="DU178" s="118"/>
      <c r="DV178" s="118"/>
      <c r="DW178" s="118"/>
      <c r="DX178" s="118"/>
      <c r="DY178" s="118"/>
      <c r="DZ178" s="118"/>
      <c r="EA178" s="118"/>
      <c r="EB178" s="118"/>
      <c r="EC178" s="118"/>
      <c r="ED178" s="118"/>
      <c r="EE178" s="118"/>
      <c r="EF178" s="118"/>
      <c r="EG178" s="118"/>
      <c r="EH178" s="118"/>
      <c r="EI178" s="118"/>
      <c r="EJ178" s="118"/>
      <c r="EK178" s="118"/>
      <c r="EL178" s="118"/>
      <c r="EM178" s="118"/>
      <c r="EN178" s="118"/>
      <c r="EO178" s="118"/>
      <c r="EP178" s="118"/>
      <c r="EQ178" s="118"/>
      <c r="ER178" s="118"/>
      <c r="ES178" s="118"/>
      <c r="ET178" s="118"/>
      <c r="EU178" s="118"/>
      <c r="EV178" s="118"/>
      <c r="EW178" s="118"/>
      <c r="EX178" s="118"/>
      <c r="EY178" s="118"/>
      <c r="EZ178" s="118"/>
      <c r="FA178" s="118"/>
      <c r="FB178" s="118"/>
      <c r="FC178" s="118"/>
      <c r="FD178" s="118"/>
      <c r="FE178" s="118"/>
      <c r="FF178" s="118"/>
      <c r="FG178" s="118"/>
      <c r="FH178" s="118"/>
      <c r="FI178" s="118"/>
      <c r="FJ178" s="118"/>
      <c r="FK178" s="118"/>
      <c r="FL178" s="118"/>
      <c r="FM178" s="118"/>
      <c r="FN178" s="118"/>
      <c r="FO178" s="118"/>
      <c r="FP178" s="118"/>
      <c r="FQ178" s="118"/>
      <c r="FR178" s="118"/>
      <c r="FS178" s="118"/>
      <c r="FT178" s="118"/>
      <c r="FU178" s="118"/>
      <c r="FV178" s="118"/>
      <c r="FW178" s="118"/>
      <c r="FX178" s="118"/>
      <c r="FY178" s="118"/>
      <c r="FZ178" s="118"/>
      <c r="GA178" s="118"/>
      <c r="GB178" s="118"/>
      <c r="GC178" s="118"/>
      <c r="GD178" s="118"/>
      <c r="GE178" s="118"/>
      <c r="GF178" s="118"/>
      <c r="GG178" s="118"/>
      <c r="GH178" s="118"/>
      <c r="GI178" s="118"/>
      <c r="GJ178" s="118"/>
      <c r="GK178" s="118"/>
      <c r="GL178" s="118"/>
      <c r="GM178" s="118"/>
      <c r="GN178" s="118"/>
      <c r="GO178" s="118"/>
      <c r="GP178" s="118"/>
      <c r="GQ178" s="118"/>
      <c r="GR178" s="118"/>
      <c r="GS178" s="118"/>
      <c r="GT178" s="118"/>
      <c r="GU178" s="118"/>
      <c r="GV178" s="118"/>
      <c r="GW178" s="118"/>
      <c r="GX178" s="118"/>
      <c r="GY178" s="118"/>
      <c r="GZ178" s="118"/>
      <c r="HA178" s="118"/>
      <c r="HB178" s="118"/>
      <c r="HC178" s="118"/>
      <c r="HD178" s="118"/>
      <c r="HE178" s="118"/>
      <c r="HF178" s="118"/>
      <c r="HG178" s="118"/>
      <c r="HH178" s="118"/>
      <c r="HI178" s="118"/>
      <c r="HJ178" s="118"/>
      <c r="HK178" s="118"/>
      <c r="HL178" s="118"/>
      <c r="HM178" s="118"/>
      <c r="HN178" s="118"/>
      <c r="HO178" s="118"/>
      <c r="HP178" s="118"/>
      <c r="HQ178" s="118"/>
      <c r="HR178" s="118"/>
      <c r="HS178" s="118"/>
      <c r="HT178" s="118"/>
      <c r="HU178" s="118"/>
      <c r="HV178" s="118"/>
      <c r="HW178" s="118"/>
      <c r="HX178" s="118"/>
      <c r="HY178" s="118"/>
      <c r="HZ178" s="118"/>
      <c r="IA178" s="118"/>
      <c r="IB178" s="118"/>
      <c r="IC178" s="118"/>
      <c r="ID178" s="118"/>
      <c r="IE178" s="118"/>
      <c r="IF178" s="118"/>
      <c r="IG178" s="118"/>
      <c r="IH178" s="118"/>
      <c r="II178" s="118"/>
      <c r="IJ178" s="118"/>
      <c r="IK178" s="118"/>
      <c r="IL178" s="118"/>
      <c r="IM178" s="118"/>
      <c r="IN178" s="118"/>
      <c r="IO178" s="118"/>
      <c r="IP178" s="118"/>
      <c r="IQ178" s="118"/>
      <c r="IR178" s="118"/>
      <c r="IS178" s="118"/>
      <c r="IT178" s="118"/>
      <c r="IU178" s="118"/>
      <c r="IV178" s="118"/>
      <c r="IW178" s="118"/>
      <c r="IX178" s="118"/>
      <c r="IY178" s="118"/>
      <c r="IZ178" s="118"/>
      <c r="JA178" s="118"/>
      <c r="JB178" s="118"/>
      <c r="JC178" s="118"/>
      <c r="JD178" s="118"/>
      <c r="JE178" s="118"/>
      <c r="JF178" s="118"/>
      <c r="JG178" s="118"/>
      <c r="JH178" s="118"/>
      <c r="JI178" s="118"/>
      <c r="JJ178" s="118"/>
      <c r="JK178" s="118"/>
      <c r="JL178" s="118"/>
      <c r="JM178" s="118"/>
      <c r="JN178" s="118"/>
      <c r="JO178" s="118"/>
      <c r="JP178" s="118"/>
      <c r="JQ178" s="118"/>
      <c r="JR178" s="118"/>
      <c r="JS178" s="118"/>
      <c r="JT178" s="118"/>
      <c r="JU178" s="118"/>
      <c r="JV178" s="118"/>
      <c r="JW178" s="118"/>
      <c r="JX178" s="118"/>
      <c r="JY178" s="118"/>
      <c r="JZ178" s="118"/>
      <c r="KA178" s="118"/>
      <c r="KB178" s="118"/>
      <c r="KC178" s="118"/>
      <c r="KD178" s="118"/>
      <c r="KE178" s="118"/>
      <c r="KF178" s="118"/>
      <c r="KG178" s="118"/>
      <c r="KH178" s="118"/>
      <c r="KI178" s="118"/>
      <c r="KJ178" s="118"/>
      <c r="KK178" s="118"/>
      <c r="KL178" s="118"/>
      <c r="KM178" s="118"/>
      <c r="KN178" s="118"/>
      <c r="KO178" s="118"/>
      <c r="KP178" s="118"/>
      <c r="KQ178" s="118"/>
      <c r="KR178" s="118"/>
      <c r="KS178" s="118"/>
      <c r="KT178" s="118"/>
      <c r="KU178" s="118"/>
      <c r="KV178" s="118"/>
      <c r="KW178" s="118"/>
      <c r="KX178" s="118"/>
      <c r="KY178" s="118"/>
      <c r="KZ178" s="118"/>
      <c r="LA178" s="118"/>
      <c r="LB178" s="118"/>
      <c r="LC178" s="118"/>
      <c r="LD178" s="118"/>
      <c r="LE178" s="118"/>
      <c r="LF178" s="118"/>
      <c r="LG178" s="118"/>
      <c r="LH178" s="118"/>
      <c r="LI178" s="118"/>
      <c r="LJ178" s="118"/>
      <c r="LK178" s="118"/>
      <c r="LL178" s="118"/>
      <c r="LM178" s="118"/>
      <c r="LN178" s="118"/>
      <c r="LO178" s="118"/>
      <c r="LP178" s="118"/>
      <c r="LQ178" s="118"/>
      <c r="LR178" s="118"/>
      <c r="LS178" s="118"/>
      <c r="LT178" s="118"/>
      <c r="LU178" s="118"/>
      <c r="LV178" s="118"/>
      <c r="LW178" s="118"/>
      <c r="LX178" s="118"/>
      <c r="LY178" s="118"/>
      <c r="LZ178" s="118"/>
      <c r="MA178" s="118"/>
      <c r="MB178" s="118"/>
      <c r="MC178" s="118"/>
      <c r="MD178" s="118"/>
      <c r="ME178" s="118"/>
      <c r="MF178" s="118"/>
      <c r="MG178" s="118"/>
      <c r="MH178" s="118"/>
      <c r="MI178" s="118"/>
      <c r="MJ178" s="118"/>
      <c r="MK178" s="118"/>
      <c r="ML178" s="118"/>
      <c r="MM178" s="118"/>
      <c r="MN178" s="118"/>
      <c r="MO178" s="118"/>
      <c r="MP178" s="118"/>
      <c r="MQ178" s="118"/>
      <c r="MR178" s="118"/>
      <c r="MS178" s="118"/>
      <c r="MT178" s="118"/>
      <c r="MU178" s="118"/>
      <c r="MV178" s="118"/>
      <c r="MW178" s="118"/>
      <c r="MX178" s="118"/>
      <c r="MY178" s="118"/>
      <c r="MZ178" s="118"/>
      <c r="NA178" s="118"/>
      <c r="NB178" s="118"/>
      <c r="NC178" s="118"/>
      <c r="ND178" s="118"/>
      <c r="NE178" s="118"/>
      <c r="NF178" s="118"/>
      <c r="NG178" s="118"/>
      <c r="NH178" s="118"/>
      <c r="NI178" s="118"/>
      <c r="NJ178" s="118"/>
      <c r="NK178" s="118"/>
      <c r="NL178" s="118"/>
      <c r="NM178" s="118"/>
      <c r="NN178" s="118"/>
      <c r="NO178" s="118"/>
      <c r="NP178" s="118"/>
      <c r="NQ178" s="118"/>
      <c r="NR178" s="118"/>
      <c r="NS178" s="118"/>
      <c r="NT178" s="118"/>
      <c r="NU178" s="118"/>
      <c r="NV178" s="118"/>
      <c r="NW178" s="118"/>
      <c r="NX178" s="118"/>
      <c r="NY178" s="118"/>
      <c r="NZ178" s="118"/>
      <c r="OA178" s="118"/>
      <c r="OB178" s="118"/>
      <c r="OC178" s="118"/>
      <c r="OD178" s="118"/>
      <c r="OE178" s="118"/>
      <c r="OF178" s="118"/>
      <c r="OG178" s="118"/>
      <c r="OH178" s="118"/>
      <c r="OI178" s="118"/>
      <c r="OJ178" s="118"/>
      <c r="OK178" s="118"/>
      <c r="OL178" s="118"/>
      <c r="OM178" s="118"/>
      <c r="ON178" s="118"/>
      <c r="OO178" s="118"/>
      <c r="OP178" s="118"/>
      <c r="OQ178" s="118"/>
      <c r="OR178" s="118"/>
      <c r="OS178" s="118"/>
      <c r="OT178" s="118"/>
      <c r="OU178" s="118"/>
      <c r="OV178" s="118"/>
      <c r="OW178" s="118"/>
      <c r="OX178" s="118"/>
      <c r="OY178" s="118"/>
      <c r="OZ178" s="118"/>
      <c r="PA178" s="118"/>
      <c r="PB178" s="118"/>
      <c r="PC178" s="118"/>
      <c r="PD178" s="118"/>
      <c r="PE178" s="118"/>
      <c r="PF178" s="118"/>
      <c r="PG178" s="118"/>
      <c r="PH178" s="118"/>
      <c r="PI178" s="118"/>
      <c r="PJ178" s="118"/>
      <c r="PK178" s="118"/>
      <c r="PL178" s="118"/>
      <c r="PM178" s="118"/>
      <c r="PN178" s="118"/>
      <c r="PO178" s="118"/>
      <c r="PP178" s="118"/>
      <c r="PQ178" s="118"/>
      <c r="PR178" s="118"/>
      <c r="PS178" s="118"/>
      <c r="PT178" s="118"/>
      <c r="PU178" s="118"/>
      <c r="PV178" s="118"/>
      <c r="PW178" s="118"/>
      <c r="PX178" s="118"/>
      <c r="PY178" s="118"/>
      <c r="PZ178" s="118"/>
      <c r="QA178" s="118"/>
      <c r="QB178" s="118"/>
      <c r="QC178" s="118"/>
      <c r="QD178" s="118"/>
      <c r="QE178" s="118"/>
      <c r="QF178" s="118"/>
      <c r="QG178" s="118"/>
      <c r="QH178" s="118"/>
      <c r="QI178" s="118"/>
      <c r="QJ178" s="118"/>
      <c r="QK178" s="118"/>
      <c r="QL178" s="118"/>
      <c r="QM178" s="118"/>
      <c r="QN178" s="118"/>
      <c r="QO178" s="118"/>
      <c r="QP178" s="118"/>
      <c r="QQ178" s="118"/>
      <c r="QR178" s="118"/>
      <c r="QS178" s="118"/>
      <c r="QT178" s="118"/>
      <c r="QU178" s="118"/>
      <c r="QV178" s="118"/>
      <c r="QW178" s="118"/>
      <c r="QX178" s="118"/>
      <c r="QY178" s="118"/>
      <c r="QZ178" s="118"/>
      <c r="RA178" s="118"/>
      <c r="RB178" s="118"/>
      <c r="RC178" s="118"/>
      <c r="RD178" s="118"/>
      <c r="RE178" s="118"/>
      <c r="RF178" s="118"/>
      <c r="RG178" s="118"/>
      <c r="RH178" s="118"/>
      <c r="RI178" s="118"/>
      <c r="RJ178" s="118"/>
      <c r="RK178" s="118"/>
      <c r="RL178" s="118"/>
      <c r="RM178" s="118"/>
      <c r="RN178" s="118"/>
      <c r="RO178" s="118"/>
      <c r="RP178" s="118"/>
      <c r="RQ178" s="118"/>
      <c r="RR178" s="118"/>
      <c r="RS178" s="118"/>
      <c r="RT178" s="118"/>
      <c r="RU178" s="118"/>
      <c r="RV178" s="118"/>
      <c r="RW178" s="118"/>
      <c r="RX178" s="118"/>
      <c r="RY178" s="118"/>
      <c r="RZ178" s="118"/>
      <c r="SA178" s="118"/>
      <c r="SB178" s="118"/>
      <c r="SC178" s="118"/>
      <c r="SD178" s="118"/>
      <c r="SE178" s="118"/>
      <c r="SF178" s="118"/>
      <c r="SG178" s="118"/>
      <c r="SH178" s="118"/>
      <c r="SI178" s="118"/>
      <c r="SJ178" s="118"/>
      <c r="SK178" s="118"/>
      <c r="SL178" s="118"/>
      <c r="SM178" s="118"/>
      <c r="SN178" s="118"/>
      <c r="SO178" s="118"/>
      <c r="SP178" s="118"/>
      <c r="SQ178" s="118"/>
      <c r="SR178" s="118"/>
      <c r="SS178" s="118"/>
      <c r="ST178" s="118"/>
      <c r="SU178" s="118"/>
      <c r="SV178" s="118"/>
      <c r="SW178" s="118"/>
      <c r="SX178" s="118"/>
      <c r="SY178" s="118"/>
      <c r="SZ178" s="118"/>
      <c r="TA178" s="118"/>
      <c r="TB178" s="118"/>
      <c r="TC178" s="118"/>
      <c r="TD178" s="118"/>
      <c r="TE178" s="118"/>
      <c r="TF178" s="118"/>
      <c r="TG178" s="118"/>
      <c r="TH178" s="118"/>
      <c r="TI178" s="118"/>
      <c r="TJ178" s="118"/>
      <c r="TK178" s="118"/>
      <c r="TL178" s="118"/>
      <c r="TM178" s="118"/>
      <c r="TN178" s="118"/>
      <c r="TO178" s="118"/>
      <c r="TP178" s="118"/>
      <c r="TQ178" s="118"/>
      <c r="TR178" s="118"/>
      <c r="TS178" s="118"/>
      <c r="TT178" s="118"/>
      <c r="TU178" s="118"/>
      <c r="TV178" s="118"/>
      <c r="TW178" s="118"/>
      <c r="TX178" s="118"/>
      <c r="TY178" s="118"/>
      <c r="TZ178" s="118"/>
      <c r="UA178" s="118"/>
      <c r="UB178" s="118"/>
      <c r="UC178" s="118"/>
      <c r="UD178" s="118"/>
      <c r="UE178" s="118"/>
      <c r="UF178" s="118"/>
      <c r="UG178" s="118"/>
      <c r="UH178" s="118"/>
      <c r="UI178" s="118"/>
      <c r="UJ178" s="118"/>
      <c r="UK178" s="118"/>
      <c r="UL178" s="118"/>
      <c r="UM178" s="118"/>
      <c r="UN178" s="118"/>
      <c r="UO178" s="118"/>
      <c r="UP178" s="118"/>
      <c r="UQ178" s="118"/>
      <c r="UR178" s="118"/>
      <c r="US178" s="118"/>
      <c r="UT178" s="118"/>
      <c r="UU178" s="118"/>
      <c r="UV178" s="118"/>
      <c r="UW178" s="118"/>
      <c r="UX178" s="118"/>
      <c r="UY178" s="118"/>
      <c r="UZ178" s="118"/>
      <c r="VA178" s="118"/>
      <c r="VB178" s="118"/>
      <c r="VC178" s="118"/>
      <c r="VD178" s="118"/>
      <c r="VE178" s="118"/>
      <c r="VF178" s="118"/>
      <c r="VG178" s="118"/>
      <c r="VH178" s="118"/>
      <c r="VI178" s="118"/>
      <c r="VJ178" s="118"/>
      <c r="VK178" s="118"/>
      <c r="VL178" s="118"/>
      <c r="VM178" s="118"/>
      <c r="VN178" s="118"/>
      <c r="VO178" s="118"/>
      <c r="VP178" s="118"/>
      <c r="VQ178" s="118"/>
      <c r="VR178" s="118"/>
      <c r="VS178" s="118"/>
      <c r="VT178" s="118"/>
      <c r="VU178" s="118"/>
      <c r="VV178" s="118"/>
      <c r="VW178" s="118"/>
      <c r="VX178" s="118"/>
      <c r="VY178" s="118"/>
      <c r="VZ178" s="118"/>
      <c r="WA178" s="118"/>
      <c r="WB178" s="118"/>
      <c r="WC178" s="118"/>
      <c r="WD178" s="118"/>
      <c r="WE178" s="118"/>
      <c r="WF178" s="118"/>
      <c r="WG178" s="118"/>
      <c r="WH178" s="118"/>
      <c r="WI178" s="118"/>
      <c r="WJ178" s="118"/>
      <c r="WK178" s="118"/>
      <c r="WL178" s="118"/>
      <c r="WM178" s="118"/>
      <c r="WN178" s="118"/>
      <c r="WO178" s="118"/>
      <c r="WP178" s="118"/>
      <c r="WQ178" s="118"/>
      <c r="WR178" s="118"/>
      <c r="WS178" s="118"/>
      <c r="WT178" s="118"/>
      <c r="WU178" s="118"/>
      <c r="WV178" s="118"/>
      <c r="WW178" s="118"/>
      <c r="WX178" s="118"/>
      <c r="WY178" s="118"/>
      <c r="WZ178" s="118"/>
      <c r="XA178" s="118"/>
      <c r="XB178" s="118"/>
      <c r="XC178" s="118"/>
      <c r="XD178" s="118"/>
      <c r="XE178" s="118"/>
      <c r="XF178" s="118"/>
      <c r="XG178" s="118"/>
      <c r="XH178" s="118"/>
      <c r="XI178" s="118"/>
      <c r="XJ178" s="118"/>
      <c r="XK178" s="118"/>
      <c r="XL178" s="118"/>
      <c r="XM178" s="118"/>
      <c r="XN178" s="118"/>
      <c r="XO178" s="118"/>
      <c r="XP178" s="118"/>
      <c r="XQ178" s="118"/>
      <c r="XR178" s="118"/>
      <c r="XS178" s="118"/>
      <c r="XT178" s="118"/>
      <c r="XU178" s="118"/>
      <c r="XV178" s="118"/>
      <c r="XW178" s="118"/>
      <c r="XX178" s="118"/>
      <c r="XY178" s="118"/>
      <c r="XZ178" s="118"/>
      <c r="YA178" s="118"/>
      <c r="YB178" s="118"/>
      <c r="YC178" s="118"/>
      <c r="YD178" s="118"/>
      <c r="YE178" s="118"/>
      <c r="YF178" s="118"/>
      <c r="YG178" s="118"/>
      <c r="YH178" s="118"/>
      <c r="YI178" s="118"/>
      <c r="YJ178" s="118"/>
      <c r="YK178" s="118"/>
      <c r="YL178" s="118"/>
      <c r="YM178" s="118"/>
      <c r="YN178" s="118"/>
      <c r="YO178" s="118"/>
      <c r="YP178" s="118"/>
      <c r="YQ178" s="118"/>
      <c r="YR178" s="118"/>
      <c r="YS178" s="118"/>
      <c r="YT178" s="118"/>
      <c r="YU178" s="118"/>
      <c r="YV178" s="118"/>
      <c r="YW178" s="118"/>
      <c r="YX178" s="118"/>
      <c r="YY178" s="118"/>
      <c r="YZ178" s="118"/>
      <c r="ZA178" s="118"/>
      <c r="ZB178" s="118"/>
      <c r="ZC178" s="118"/>
      <c r="ZD178" s="118"/>
      <c r="ZE178" s="118"/>
      <c r="ZF178" s="118"/>
      <c r="ZG178" s="118"/>
      <c r="ZH178" s="118"/>
      <c r="ZI178" s="118"/>
      <c r="ZJ178" s="118"/>
      <c r="ZK178" s="118"/>
      <c r="ZL178" s="118"/>
      <c r="ZM178" s="118"/>
      <c r="ZN178" s="118"/>
      <c r="ZO178" s="118"/>
      <c r="ZP178" s="118"/>
      <c r="ZQ178" s="118"/>
      <c r="ZR178" s="118"/>
      <c r="ZS178" s="118"/>
      <c r="ZT178" s="118"/>
      <c r="ZU178" s="118"/>
      <c r="ZV178" s="118"/>
      <c r="ZW178" s="118"/>
      <c r="ZX178" s="118"/>
      <c r="ZY178" s="118"/>
      <c r="ZZ178" s="118"/>
      <c r="AAA178" s="118"/>
      <c r="AAB178" s="118"/>
      <c r="AAC178" s="118"/>
      <c r="AAD178" s="118"/>
      <c r="AAE178" s="118"/>
      <c r="AAF178" s="118"/>
      <c r="AAG178" s="118"/>
      <c r="AAH178" s="118"/>
      <c r="AAI178" s="118"/>
      <c r="AAJ178" s="118"/>
      <c r="AAK178" s="118"/>
      <c r="AAL178" s="118"/>
      <c r="AAM178" s="118"/>
      <c r="AAN178" s="118"/>
      <c r="AAO178" s="118"/>
      <c r="AAP178" s="118"/>
      <c r="AAQ178" s="118"/>
      <c r="AAR178" s="118"/>
      <c r="AAS178" s="118"/>
      <c r="AAT178" s="118"/>
      <c r="AAU178" s="118"/>
      <c r="AAV178" s="118"/>
      <c r="AAW178" s="118"/>
      <c r="AAX178" s="118"/>
      <c r="AAY178" s="118"/>
      <c r="AAZ178" s="118"/>
      <c r="ABA178" s="118"/>
      <c r="ABB178" s="118"/>
      <c r="ABC178" s="118"/>
      <c r="ABD178" s="118"/>
      <c r="ABE178" s="118"/>
      <c r="ABF178" s="118"/>
      <c r="ABG178" s="118"/>
      <c r="ABH178" s="118"/>
      <c r="ABI178" s="118"/>
      <c r="ABJ178" s="118"/>
      <c r="ABK178" s="118"/>
      <c r="ABL178" s="118"/>
      <c r="ABM178" s="118"/>
      <c r="ABN178" s="118"/>
      <c r="ABO178" s="118"/>
      <c r="ABP178" s="118"/>
      <c r="ABQ178" s="118"/>
      <c r="ABR178" s="118"/>
      <c r="ABS178" s="118"/>
      <c r="ABT178" s="118"/>
      <c r="ABU178" s="118"/>
      <c r="ABV178" s="118"/>
      <c r="ABW178" s="118"/>
      <c r="ABX178" s="118"/>
      <c r="ABY178" s="118"/>
      <c r="ABZ178" s="118"/>
      <c r="ACA178" s="118"/>
      <c r="ACB178" s="118"/>
      <c r="ACC178" s="118"/>
      <c r="ACD178" s="118"/>
      <c r="ACE178" s="118"/>
      <c r="ACF178" s="118"/>
      <c r="ACG178" s="118"/>
      <c r="ACH178" s="118"/>
      <c r="ACI178" s="118"/>
      <c r="ACJ178" s="118"/>
      <c r="ACK178" s="118"/>
      <c r="ACL178" s="118"/>
      <c r="ACM178" s="118"/>
      <c r="ACN178" s="118"/>
      <c r="ACO178" s="118"/>
      <c r="ACP178" s="118"/>
      <c r="ACQ178" s="118"/>
      <c r="ACR178" s="118"/>
      <c r="ACS178" s="118"/>
      <c r="ACT178" s="118"/>
      <c r="ACU178" s="118"/>
      <c r="ACV178" s="118"/>
      <c r="ACW178" s="118"/>
      <c r="ACX178" s="118"/>
      <c r="ACY178" s="118"/>
      <c r="ACZ178" s="118"/>
      <c r="ADA178" s="118"/>
      <c r="ADB178" s="118"/>
      <c r="ADC178" s="118"/>
      <c r="ADD178" s="118"/>
      <c r="ADE178" s="118"/>
      <c r="ADF178" s="118"/>
      <c r="ADG178" s="118"/>
      <c r="ADH178" s="118"/>
      <c r="ADI178" s="118"/>
      <c r="ADJ178" s="118"/>
      <c r="ADK178" s="118"/>
      <c r="ADL178" s="118"/>
      <c r="ADM178" s="118"/>
      <c r="ADN178" s="118"/>
      <c r="ADO178" s="118"/>
      <c r="ADP178" s="118"/>
      <c r="ADQ178" s="118"/>
      <c r="ADR178" s="118"/>
      <c r="ADS178" s="118"/>
      <c r="ADT178" s="118"/>
      <c r="ADU178" s="118"/>
      <c r="ADV178" s="118"/>
      <c r="ADW178" s="118"/>
      <c r="ADX178" s="118"/>
      <c r="ADY178" s="118"/>
      <c r="ADZ178" s="118"/>
      <c r="AEA178" s="118"/>
      <c r="AEB178" s="118"/>
      <c r="AEC178" s="118"/>
      <c r="AED178" s="118"/>
      <c r="AEE178" s="118"/>
      <c r="AEF178" s="118"/>
      <c r="AEG178" s="118"/>
      <c r="AEH178" s="118"/>
      <c r="AEI178" s="118"/>
      <c r="AEJ178" s="118"/>
      <c r="AEK178" s="118"/>
      <c r="AEL178" s="118"/>
      <c r="AEM178" s="118"/>
      <c r="AEN178" s="118"/>
      <c r="AEO178" s="118"/>
      <c r="AEP178" s="118"/>
      <c r="AEQ178" s="118"/>
      <c r="AER178" s="118"/>
      <c r="AES178" s="118"/>
      <c r="AET178" s="118"/>
      <c r="AEU178" s="118"/>
      <c r="AEV178" s="118"/>
      <c r="AEW178" s="118"/>
      <c r="AEX178" s="118"/>
      <c r="AEY178" s="118"/>
      <c r="AEZ178" s="118"/>
      <c r="AFA178" s="118"/>
      <c r="AFB178" s="118"/>
      <c r="AFC178" s="118"/>
      <c r="AFD178" s="118"/>
      <c r="AFE178" s="118"/>
      <c r="AFF178" s="118"/>
      <c r="AFG178" s="118"/>
      <c r="AFH178" s="118"/>
      <c r="AFI178" s="118"/>
      <c r="AFJ178" s="118"/>
      <c r="AFK178" s="118"/>
      <c r="AFL178" s="118"/>
      <c r="AFM178" s="118"/>
      <c r="AFN178" s="118"/>
      <c r="AFO178" s="118"/>
      <c r="AFP178" s="118"/>
      <c r="AFQ178" s="118"/>
      <c r="AFR178" s="118"/>
      <c r="AFS178" s="118"/>
      <c r="AFT178" s="118"/>
      <c r="AFU178" s="118"/>
      <c r="AFV178" s="118"/>
      <c r="AFW178" s="118"/>
      <c r="AFX178" s="118"/>
      <c r="AFY178" s="118"/>
      <c r="AFZ178" s="118"/>
      <c r="AGA178" s="118"/>
      <c r="AGB178" s="118"/>
      <c r="AGC178" s="118"/>
      <c r="AGD178" s="118"/>
      <c r="AGE178" s="118"/>
      <c r="AGF178" s="118"/>
      <c r="AGG178" s="118"/>
      <c r="AGH178" s="118"/>
      <c r="AGI178" s="118"/>
      <c r="AGJ178" s="118"/>
      <c r="AGK178" s="118"/>
      <c r="AGL178" s="118"/>
      <c r="AGM178" s="118"/>
      <c r="AGN178" s="118"/>
      <c r="AGO178" s="118"/>
      <c r="AGP178" s="118"/>
      <c r="AGQ178" s="118"/>
      <c r="AGR178" s="118"/>
      <c r="AGS178" s="118"/>
      <c r="AGT178" s="118"/>
      <c r="AGU178" s="118"/>
      <c r="AGV178" s="118"/>
      <c r="AGW178" s="118"/>
      <c r="AGX178" s="118"/>
      <c r="AGY178" s="118"/>
      <c r="AGZ178" s="118"/>
      <c r="AHA178" s="118"/>
      <c r="AHB178" s="118"/>
      <c r="AHC178" s="118"/>
      <c r="AHD178" s="118"/>
      <c r="AHE178" s="118"/>
      <c r="AHF178" s="118"/>
      <c r="AHG178" s="118"/>
      <c r="AHH178" s="118"/>
      <c r="AHI178" s="118"/>
      <c r="AHJ178" s="118"/>
      <c r="AHK178" s="118"/>
      <c r="AHL178" s="118"/>
      <c r="AHM178" s="118"/>
      <c r="AHN178" s="118"/>
      <c r="AHO178" s="118"/>
      <c r="AHP178" s="118"/>
      <c r="AHQ178" s="118"/>
      <c r="AHR178" s="118"/>
      <c r="AHS178" s="118"/>
      <c r="AHT178" s="118"/>
      <c r="AHU178" s="118"/>
      <c r="AHV178" s="118"/>
      <c r="AHW178" s="118"/>
      <c r="AHX178" s="118"/>
      <c r="AHY178" s="118"/>
      <c r="AHZ178" s="118"/>
      <c r="AIA178" s="118"/>
      <c r="AIB178" s="118"/>
      <c r="AIC178" s="118"/>
      <c r="AID178" s="118"/>
      <c r="AIE178" s="118"/>
      <c r="AIF178" s="118"/>
      <c r="AIG178" s="118"/>
      <c r="AIH178" s="118"/>
      <c r="AII178" s="118"/>
      <c r="AIJ178" s="118"/>
      <c r="AIK178" s="118"/>
      <c r="AIL178" s="118"/>
      <c r="AIM178" s="118"/>
      <c r="AIN178" s="118"/>
      <c r="AIO178" s="118"/>
      <c r="AIP178" s="118"/>
      <c r="AIQ178" s="118"/>
      <c r="AIR178" s="118"/>
      <c r="AIS178" s="118"/>
      <c r="AIT178" s="118"/>
      <c r="AIU178" s="118"/>
      <c r="AIV178" s="118"/>
      <c r="AIW178" s="118"/>
      <c r="AIX178" s="118"/>
      <c r="AIY178" s="118"/>
      <c r="AIZ178" s="118"/>
      <c r="AJA178" s="118"/>
      <c r="AJB178" s="118"/>
      <c r="AJC178" s="118"/>
      <c r="AJD178" s="118"/>
      <c r="AJE178" s="118"/>
      <c r="AJF178" s="118"/>
      <c r="AJG178" s="118"/>
      <c r="AJH178" s="118"/>
      <c r="AJI178" s="118"/>
      <c r="AJJ178" s="118"/>
      <c r="AJK178" s="118"/>
      <c r="AJL178" s="118"/>
      <c r="AJM178" s="118"/>
      <c r="AJN178" s="118"/>
      <c r="AJO178" s="118"/>
      <c r="AJP178" s="118"/>
      <c r="AJQ178" s="118"/>
      <c r="AJR178" s="118"/>
      <c r="AJS178" s="118"/>
      <c r="AJT178" s="118"/>
      <c r="AJU178" s="118"/>
      <c r="AJV178" s="118"/>
      <c r="AJW178" s="118"/>
      <c r="AJX178" s="118"/>
      <c r="AJY178" s="118"/>
      <c r="AJZ178" s="118"/>
      <c r="AKA178" s="118"/>
      <c r="AKB178" s="118"/>
      <c r="AKC178" s="118"/>
      <c r="AKD178" s="118"/>
      <c r="AKE178" s="118"/>
      <c r="AKF178" s="118"/>
      <c r="AKG178" s="118"/>
      <c r="AKH178" s="118"/>
      <c r="AKI178" s="118"/>
      <c r="AKJ178" s="118"/>
      <c r="AKK178" s="118"/>
      <c r="AKL178" s="118"/>
      <c r="AKM178" s="118"/>
      <c r="AKN178" s="118"/>
      <c r="AKO178" s="118"/>
      <c r="AKP178" s="118"/>
      <c r="AKQ178" s="118"/>
      <c r="AKR178" s="118"/>
      <c r="AKS178" s="118"/>
      <c r="AKT178" s="118"/>
      <c r="AKU178" s="118"/>
      <c r="AKV178" s="118"/>
      <c r="AKW178" s="118"/>
      <c r="AKX178" s="118"/>
      <c r="AKY178" s="118"/>
      <c r="AKZ178" s="118"/>
      <c r="ALA178" s="118"/>
      <c r="ALB178" s="118"/>
      <c r="ALC178" s="118"/>
      <c r="ALD178" s="118"/>
      <c r="ALE178" s="118"/>
      <c r="ALF178" s="118"/>
      <c r="ALG178" s="118"/>
      <c r="ALH178" s="118"/>
      <c r="ALI178" s="118"/>
      <c r="ALJ178" s="118"/>
      <c r="ALK178" s="118"/>
      <c r="ALL178" s="118"/>
      <c r="ALM178" s="118"/>
      <c r="ALN178" s="118"/>
      <c r="ALO178" s="118"/>
      <c r="ALP178" s="118"/>
      <c r="ALQ178" s="118"/>
      <c r="ALR178" s="118"/>
      <c r="ALS178" s="118"/>
      <c r="ALT178" s="118"/>
      <c r="ALU178" s="118"/>
      <c r="ALV178" s="118"/>
      <c r="ALW178" s="118"/>
      <c r="ALX178" s="118"/>
      <c r="ALY178" s="118"/>
      <c r="ALZ178" s="118"/>
      <c r="AMA178" s="118"/>
      <c r="AMB178" s="118"/>
      <c r="AMC178" s="118"/>
      <c r="AMD178" s="118"/>
      <c r="AME178" s="118"/>
      <c r="AMF178" s="118"/>
      <c r="AMG178" s="118"/>
      <c r="AMH178" s="118"/>
      <c r="AMI178" s="118"/>
      <c r="AMJ178" s="118"/>
      <c r="AMK178" s="118"/>
      <c r="AML178" s="118"/>
      <c r="AMM178" s="118"/>
      <c r="AMN178" s="118"/>
      <c r="AMO178" s="118"/>
    </row>
    <row r="179" spans="1:1029" s="12" customFormat="1" x14ac:dyDescent="0.2">
      <c r="A179" s="9" t="str">
        <f t="shared" si="808"/>
        <v>calcr_human_5UZ7</v>
      </c>
      <c r="B179" s="41" t="s">
        <v>401</v>
      </c>
      <c r="C179" s="9" t="s">
        <v>1409</v>
      </c>
      <c r="D179" s="9" t="str">
        <f>IFERROR(MID(VLOOKUP($B179,Seqs!$A:$B,2,0),E179,1),"")</f>
        <v>A</v>
      </c>
      <c r="E179" s="9">
        <v>136</v>
      </c>
      <c r="F179" s="9" t="str">
        <f>IFERROR(MID(VLOOKUP($B179,Seqs!$A:$B,2,0),G179,1),"")</f>
        <v>F</v>
      </c>
      <c r="G179" s="9">
        <v>173</v>
      </c>
      <c r="H179" s="9" t="str">
        <f>IFERROR(MID(VLOOKUP($B179,Seqs!$A:$B,2,0),I179,1),"")</f>
        <v>R</v>
      </c>
      <c r="I179" s="112">
        <v>174</v>
      </c>
      <c r="J179" s="9" t="str">
        <f>IFERROR(MID(VLOOKUP($B179,Seqs!$A:$B,2,0),K179,1),"")</f>
        <v>G</v>
      </c>
      <c r="K179" s="112">
        <v>177</v>
      </c>
      <c r="L179" s="9" t="str">
        <f>IFERROR(MID(VLOOKUP($B179,Seqs!$A:$B,2,0),M179,1),"")</f>
        <v>C</v>
      </c>
      <c r="M179" s="9">
        <v>178</v>
      </c>
      <c r="N179" s="9" t="str">
        <f>IFERROR(MID(VLOOKUP($B179,Seqs!$A:$B,2,0),O179,1),"")</f>
        <v>V</v>
      </c>
      <c r="O179" s="9">
        <v>205</v>
      </c>
      <c r="P179" s="9" t="str">
        <f>IFERROR(MID(VLOOKUP($B179,Seqs!$A:$B,2,0),Q179,1),"")</f>
        <v/>
      </c>
      <c r="Q179" s="9" t="s">
        <v>23</v>
      </c>
      <c r="R179" s="9" t="str">
        <f>IFERROR(MID(VLOOKUP($B179,Seqs!$A:$B,2,0),S179,1),"")</f>
        <v/>
      </c>
      <c r="S179" s="9" t="s">
        <v>23</v>
      </c>
      <c r="T179" s="9" t="str">
        <f>IFERROR(MID(VLOOKUP($B179,Seqs!$A:$B,2,0),U179,1),"")</f>
        <v>D</v>
      </c>
      <c r="U179" s="9">
        <v>215</v>
      </c>
      <c r="V179" s="9" t="str">
        <f>IFERROR(MID(VLOOKUP($B179,Seqs!$A:$B,2,0),W179,1),"")</f>
        <v>V</v>
      </c>
      <c r="W179" s="9">
        <v>250</v>
      </c>
      <c r="X179" s="9" t="str">
        <f>IFERROR(MID(VLOOKUP($B179,Seqs!$A:$B,2,0),Y179,1),"")</f>
        <v/>
      </c>
      <c r="Y179" s="9" t="s">
        <v>23</v>
      </c>
      <c r="Z179" s="9" t="str">
        <f>IFERROR(MID(VLOOKUP($B179,Seqs!$A:$B,2,0),AA179,1),"")</f>
        <v/>
      </c>
      <c r="AA179" s="9" t="s">
        <v>23</v>
      </c>
      <c r="AB179" s="9" t="str">
        <f>IFERROR(MID(VLOOKUP($B179,Seqs!$A:$B,2,0),AC179,1),"")</f>
        <v>R</v>
      </c>
      <c r="AC179" s="9">
        <v>258</v>
      </c>
      <c r="AD179" s="9" t="str">
        <f>IFERROR(MID(VLOOKUP($B179,Seqs!$A:$B,2,0),AE179,1),"")</f>
        <v>F</v>
      </c>
      <c r="AE179" s="9">
        <v>285</v>
      </c>
      <c r="AF179" s="9" t="str">
        <f>IFERROR(MID(VLOOKUP($B179,Seqs!$A:$B,2,0),AG179,1),"")</f>
        <v>C</v>
      </c>
      <c r="AG179" s="9">
        <v>289</v>
      </c>
      <c r="AH179" s="9" t="str">
        <f>IFERROR(MID(VLOOKUP($B179,Seqs!$A:$B,2,0),AI179,1),"")</f>
        <v>L</v>
      </c>
      <c r="AI179" s="9">
        <v>291</v>
      </c>
      <c r="AJ179" s="9" t="str">
        <f>IFERROR(MID(VLOOKUP($B179,Seqs!$A:$B,2,0),AK179,1),"")</f>
        <v>L</v>
      </c>
      <c r="AK179" s="9">
        <v>298</v>
      </c>
      <c r="AL179" s="9" t="str">
        <f>IFERROR(MID(VLOOKUP($B179,Seqs!$A:$B,2,0),AM179,1),"")</f>
        <v>R</v>
      </c>
      <c r="AM179" s="9">
        <v>328</v>
      </c>
      <c r="AN179" s="9" t="str">
        <f>IFERROR(MID(VLOOKUP($B179,Seqs!$A:$B,2,0),AO179,1),"")</f>
        <v>Y</v>
      </c>
      <c r="AO179" s="9">
        <v>338</v>
      </c>
      <c r="AP179" s="9" t="str">
        <f>IFERROR(MID(VLOOKUP($B179,Seqs!$A:$B,2,0),AQ179,1),"")</f>
        <v>P</v>
      </c>
      <c r="AQ179" s="9">
        <v>360</v>
      </c>
      <c r="AR179" s="9" t="str">
        <f>IFERROR(MID(VLOOKUP($B179,Seqs!$A:$B,2,0),AS179,1),"")</f>
        <v>K</v>
      </c>
      <c r="AS179" s="9">
        <v>366</v>
      </c>
      <c r="AT179" s="9" t="str">
        <f>IFERROR(MID(VLOOKUP($B179,Seqs!$A:$B,2,0),AU179,1),"")</f>
        <v>C</v>
      </c>
      <c r="AU179" s="9">
        <v>394</v>
      </c>
      <c r="AV179" s="9" t="str">
        <f>IFERROR(MID(VLOOKUP($B179,Seqs!$A:$B,2,0),AW179,1),"")</f>
        <v>N</v>
      </c>
      <c r="AW179" s="9">
        <v>395</v>
      </c>
      <c r="AX179" s="9" t="str">
        <f>IFERROR(MID(VLOOKUP($B179,Seqs!$A:$B,2,0),AY179,1),"")</f>
        <v>G</v>
      </c>
      <c r="AY179" s="9">
        <v>418</v>
      </c>
      <c r="AZ179" s="113" t="str">
        <f>VLOOKUP(B179,Classification!A:D,2,0)</f>
        <v>B1</v>
      </c>
      <c r="BA179" s="101" t="str">
        <f>VLOOKUP(B179,Classification!A:D,4,0)</f>
        <v>Calcitonin</v>
      </c>
      <c r="BB179" s="37" t="b">
        <f t="shared" si="809"/>
        <v>1</v>
      </c>
      <c r="BC179" s="112">
        <f t="shared" si="810"/>
        <v>246</v>
      </c>
      <c r="BD179" s="11" t="s">
        <v>1382</v>
      </c>
      <c r="BE179" s="9" t="s">
        <v>1297</v>
      </c>
      <c r="BF179" s="52" t="s">
        <v>1384</v>
      </c>
      <c r="BG179" s="52" t="s">
        <v>1384</v>
      </c>
      <c r="BI179" s="114" t="s">
        <v>1293</v>
      </c>
      <c r="BJ179" s="115" t="s">
        <v>1293</v>
      </c>
      <c r="BK179" s="115" t="s">
        <v>1293</v>
      </c>
      <c r="BL179" s="115" t="s">
        <v>1293</v>
      </c>
      <c r="BM179" s="115" t="s">
        <v>1293</v>
      </c>
      <c r="BN179" s="115" t="s">
        <v>1293</v>
      </c>
      <c r="BO179" s="115" t="s">
        <v>1293</v>
      </c>
      <c r="BP179" s="115" t="s">
        <v>1293</v>
      </c>
      <c r="BQ179" s="115" t="s">
        <v>1293</v>
      </c>
      <c r="BR179" s="115" t="s">
        <v>1293</v>
      </c>
      <c r="BS179" s="115" t="s">
        <v>1293</v>
      </c>
      <c r="BT179" s="115" t="s">
        <v>1293</v>
      </c>
      <c r="BU179" s="114">
        <f t="shared" si="811"/>
        <v>136</v>
      </c>
      <c r="BV179" s="116">
        <f t="shared" si="812"/>
        <v>174</v>
      </c>
      <c r="BW179" s="117">
        <f t="shared" si="813"/>
        <v>178</v>
      </c>
      <c r="BX179" s="116" t="str">
        <f t="shared" si="814"/>
        <v>-</v>
      </c>
      <c r="BY179" s="117">
        <f t="shared" si="815"/>
        <v>215</v>
      </c>
      <c r="BZ179" s="116" t="str">
        <f t="shared" si="816"/>
        <v>-</v>
      </c>
      <c r="CA179" s="117">
        <f t="shared" si="817"/>
        <v>258</v>
      </c>
      <c r="CB179" s="116">
        <f t="shared" si="818"/>
        <v>289</v>
      </c>
      <c r="CC179" s="117">
        <f t="shared" si="819"/>
        <v>298</v>
      </c>
      <c r="CD179" s="116">
        <f t="shared" si="820"/>
        <v>338</v>
      </c>
      <c r="CE179" s="117">
        <f t="shared" si="821"/>
        <v>366</v>
      </c>
      <c r="CF179" s="116">
        <f t="shared" si="822"/>
        <v>395</v>
      </c>
      <c r="CG179" s="114">
        <f t="shared" si="823"/>
        <v>173</v>
      </c>
      <c r="CH179" s="116">
        <f t="shared" si="824"/>
        <v>177</v>
      </c>
      <c r="CI179" s="117">
        <f t="shared" si="825"/>
        <v>205</v>
      </c>
      <c r="CJ179" s="117" t="str">
        <f t="shared" si="826"/>
        <v>-</v>
      </c>
      <c r="CK179" s="117">
        <f t="shared" si="827"/>
        <v>250</v>
      </c>
      <c r="CL179" s="117" t="str">
        <f t="shared" si="828"/>
        <v>-</v>
      </c>
      <c r="CM179" s="117">
        <f t="shared" si="829"/>
        <v>285</v>
      </c>
      <c r="CN179" s="117">
        <f t="shared" si="830"/>
        <v>291</v>
      </c>
      <c r="CO179" s="117">
        <f t="shared" si="831"/>
        <v>328</v>
      </c>
      <c r="CP179" s="117">
        <f t="shared" si="832"/>
        <v>360</v>
      </c>
      <c r="CQ179" s="117">
        <f t="shared" si="833"/>
        <v>394</v>
      </c>
      <c r="CR179" s="117">
        <f t="shared" si="834"/>
        <v>418</v>
      </c>
      <c r="CS179" s="112">
        <f t="shared" si="835"/>
        <v>1</v>
      </c>
      <c r="CT179" s="118"/>
      <c r="CU179" s="118"/>
      <c r="CV179" s="118"/>
      <c r="CW179" s="118"/>
      <c r="CX179" s="118"/>
      <c r="CY179" s="118"/>
      <c r="CZ179" s="118"/>
      <c r="DA179" s="118"/>
      <c r="DB179" s="118"/>
      <c r="DC179" s="118"/>
      <c r="DD179" s="118"/>
      <c r="DE179" s="118"/>
      <c r="DF179" s="118"/>
      <c r="DG179" s="118"/>
      <c r="DH179" s="118"/>
      <c r="DI179" s="118"/>
      <c r="DJ179" s="118"/>
      <c r="DK179" s="118"/>
      <c r="DL179" s="118"/>
      <c r="DM179" s="118"/>
      <c r="DN179" s="118"/>
      <c r="DO179" s="118"/>
      <c r="DP179" s="118"/>
      <c r="DQ179" s="118"/>
      <c r="DR179" s="118"/>
      <c r="DS179" s="118"/>
      <c r="DT179" s="118"/>
      <c r="DU179" s="118"/>
      <c r="DV179" s="118"/>
      <c r="DW179" s="118"/>
      <c r="DX179" s="118"/>
      <c r="DY179" s="118"/>
      <c r="DZ179" s="118"/>
      <c r="EA179" s="118"/>
      <c r="EB179" s="118"/>
      <c r="EC179" s="118"/>
      <c r="ED179" s="118"/>
      <c r="EE179" s="118"/>
      <c r="EF179" s="118"/>
      <c r="EG179" s="118"/>
      <c r="EH179" s="118"/>
      <c r="EI179" s="118"/>
      <c r="EJ179" s="118"/>
      <c r="EK179" s="118"/>
      <c r="EL179" s="118"/>
      <c r="EM179" s="118"/>
      <c r="EN179" s="118"/>
      <c r="EO179" s="118"/>
      <c r="EP179" s="118"/>
      <c r="EQ179" s="118"/>
      <c r="ER179" s="118"/>
      <c r="ES179" s="118"/>
      <c r="ET179" s="118"/>
      <c r="EU179" s="118"/>
      <c r="EV179" s="118"/>
      <c r="EW179" s="118"/>
      <c r="EX179" s="118"/>
      <c r="EY179" s="118"/>
      <c r="EZ179" s="118"/>
      <c r="FA179" s="118"/>
      <c r="FB179" s="118"/>
      <c r="FC179" s="118"/>
      <c r="FD179" s="118"/>
      <c r="FE179" s="118"/>
      <c r="FF179" s="118"/>
      <c r="FG179" s="118"/>
      <c r="FH179" s="118"/>
      <c r="FI179" s="118"/>
      <c r="FJ179" s="118"/>
      <c r="FK179" s="118"/>
      <c r="FL179" s="118"/>
      <c r="FM179" s="118"/>
      <c r="FN179" s="118"/>
      <c r="FO179" s="118"/>
      <c r="FP179" s="118"/>
      <c r="FQ179" s="118"/>
      <c r="FR179" s="118"/>
      <c r="FS179" s="118"/>
      <c r="FT179" s="118"/>
      <c r="FU179" s="118"/>
      <c r="FV179" s="118"/>
      <c r="FW179" s="118"/>
      <c r="FX179" s="118"/>
      <c r="FY179" s="118"/>
      <c r="FZ179" s="118"/>
      <c r="GA179" s="118"/>
      <c r="GB179" s="118"/>
      <c r="GC179" s="118"/>
      <c r="GD179" s="118"/>
      <c r="GE179" s="118"/>
      <c r="GF179" s="118"/>
      <c r="GG179" s="118"/>
      <c r="GH179" s="118"/>
      <c r="GI179" s="118"/>
      <c r="GJ179" s="118"/>
      <c r="GK179" s="118"/>
      <c r="GL179" s="118"/>
      <c r="GM179" s="118"/>
      <c r="GN179" s="118"/>
      <c r="GO179" s="118"/>
      <c r="GP179" s="118"/>
      <c r="GQ179" s="118"/>
      <c r="GR179" s="118"/>
      <c r="GS179" s="118"/>
      <c r="GT179" s="118"/>
      <c r="GU179" s="118"/>
      <c r="GV179" s="118"/>
      <c r="GW179" s="118"/>
      <c r="GX179" s="118"/>
      <c r="GY179" s="118"/>
      <c r="GZ179" s="118"/>
      <c r="HA179" s="118"/>
      <c r="HB179" s="118"/>
      <c r="HC179" s="118"/>
      <c r="HD179" s="118"/>
      <c r="HE179" s="118"/>
      <c r="HF179" s="118"/>
      <c r="HG179" s="118"/>
      <c r="HH179" s="118"/>
      <c r="HI179" s="118"/>
      <c r="HJ179" s="118"/>
      <c r="HK179" s="118"/>
      <c r="HL179" s="118"/>
      <c r="HM179" s="118"/>
      <c r="HN179" s="118"/>
      <c r="HO179" s="118"/>
      <c r="HP179" s="118"/>
      <c r="HQ179" s="118"/>
      <c r="HR179" s="118"/>
      <c r="HS179" s="118"/>
      <c r="HT179" s="118"/>
      <c r="HU179" s="118"/>
      <c r="HV179" s="118"/>
      <c r="HW179" s="118"/>
      <c r="HX179" s="118"/>
      <c r="HY179" s="118"/>
      <c r="HZ179" s="118"/>
      <c r="IA179" s="118"/>
      <c r="IB179" s="118"/>
      <c r="IC179" s="118"/>
      <c r="ID179" s="118"/>
      <c r="IE179" s="118"/>
      <c r="IF179" s="118"/>
      <c r="IG179" s="118"/>
      <c r="IH179" s="118"/>
      <c r="II179" s="118"/>
      <c r="IJ179" s="118"/>
      <c r="IK179" s="118"/>
      <c r="IL179" s="118"/>
      <c r="IM179" s="118"/>
      <c r="IN179" s="118"/>
      <c r="IO179" s="118"/>
      <c r="IP179" s="118"/>
      <c r="IQ179" s="118"/>
      <c r="IR179" s="118"/>
      <c r="IS179" s="118"/>
      <c r="IT179" s="118"/>
      <c r="IU179" s="118"/>
      <c r="IV179" s="118"/>
      <c r="IW179" s="118"/>
      <c r="IX179" s="118"/>
      <c r="IY179" s="118"/>
      <c r="IZ179" s="118"/>
      <c r="JA179" s="118"/>
      <c r="JB179" s="118"/>
      <c r="JC179" s="118"/>
      <c r="JD179" s="118"/>
      <c r="JE179" s="118"/>
      <c r="JF179" s="118"/>
      <c r="JG179" s="118"/>
      <c r="JH179" s="118"/>
      <c r="JI179" s="118"/>
      <c r="JJ179" s="118"/>
      <c r="JK179" s="118"/>
      <c r="JL179" s="118"/>
      <c r="JM179" s="118"/>
      <c r="JN179" s="118"/>
      <c r="JO179" s="118"/>
      <c r="JP179" s="118"/>
      <c r="JQ179" s="118"/>
      <c r="JR179" s="118"/>
      <c r="JS179" s="118"/>
      <c r="JT179" s="118"/>
      <c r="JU179" s="118"/>
      <c r="JV179" s="118"/>
      <c r="JW179" s="118"/>
      <c r="JX179" s="118"/>
      <c r="JY179" s="118"/>
      <c r="JZ179" s="118"/>
      <c r="KA179" s="118"/>
      <c r="KB179" s="118"/>
      <c r="KC179" s="118"/>
      <c r="KD179" s="118"/>
      <c r="KE179" s="118"/>
      <c r="KF179" s="118"/>
      <c r="KG179" s="118"/>
      <c r="KH179" s="118"/>
      <c r="KI179" s="118"/>
      <c r="KJ179" s="118"/>
      <c r="KK179" s="118"/>
      <c r="KL179" s="118"/>
      <c r="KM179" s="118"/>
      <c r="KN179" s="118"/>
      <c r="KO179" s="118"/>
      <c r="KP179" s="118"/>
      <c r="KQ179" s="118"/>
      <c r="KR179" s="118"/>
      <c r="KS179" s="118"/>
      <c r="KT179" s="118"/>
      <c r="KU179" s="118"/>
      <c r="KV179" s="118"/>
      <c r="KW179" s="118"/>
      <c r="KX179" s="118"/>
      <c r="KY179" s="118"/>
      <c r="KZ179" s="118"/>
      <c r="LA179" s="118"/>
      <c r="LB179" s="118"/>
      <c r="LC179" s="118"/>
      <c r="LD179" s="118"/>
      <c r="LE179" s="118"/>
      <c r="LF179" s="118"/>
      <c r="LG179" s="118"/>
      <c r="LH179" s="118"/>
      <c r="LI179" s="118"/>
      <c r="LJ179" s="118"/>
      <c r="LK179" s="118"/>
      <c r="LL179" s="118"/>
      <c r="LM179" s="118"/>
      <c r="LN179" s="118"/>
      <c r="LO179" s="118"/>
      <c r="LP179" s="118"/>
      <c r="LQ179" s="118"/>
      <c r="LR179" s="118"/>
      <c r="LS179" s="118"/>
      <c r="LT179" s="118"/>
      <c r="LU179" s="118"/>
      <c r="LV179" s="118"/>
      <c r="LW179" s="118"/>
      <c r="LX179" s="118"/>
      <c r="LY179" s="118"/>
      <c r="LZ179" s="118"/>
      <c r="MA179" s="118"/>
      <c r="MB179" s="118"/>
      <c r="MC179" s="118"/>
      <c r="MD179" s="118"/>
      <c r="ME179" s="118"/>
      <c r="MF179" s="118"/>
      <c r="MG179" s="118"/>
      <c r="MH179" s="118"/>
      <c r="MI179" s="118"/>
      <c r="MJ179" s="118"/>
      <c r="MK179" s="118"/>
      <c r="ML179" s="118"/>
      <c r="MM179" s="118"/>
      <c r="MN179" s="118"/>
      <c r="MO179" s="118"/>
      <c r="MP179" s="118"/>
      <c r="MQ179" s="118"/>
      <c r="MR179" s="118"/>
      <c r="MS179" s="118"/>
      <c r="MT179" s="118"/>
      <c r="MU179" s="118"/>
      <c r="MV179" s="118"/>
      <c r="MW179" s="118"/>
      <c r="MX179" s="118"/>
      <c r="MY179" s="118"/>
      <c r="MZ179" s="118"/>
      <c r="NA179" s="118"/>
      <c r="NB179" s="118"/>
      <c r="NC179" s="118"/>
      <c r="ND179" s="118"/>
      <c r="NE179" s="118"/>
      <c r="NF179" s="118"/>
      <c r="NG179" s="118"/>
      <c r="NH179" s="118"/>
      <c r="NI179" s="118"/>
      <c r="NJ179" s="118"/>
      <c r="NK179" s="118"/>
      <c r="NL179" s="118"/>
      <c r="NM179" s="118"/>
      <c r="NN179" s="118"/>
      <c r="NO179" s="118"/>
      <c r="NP179" s="118"/>
      <c r="NQ179" s="118"/>
      <c r="NR179" s="118"/>
      <c r="NS179" s="118"/>
      <c r="NT179" s="118"/>
      <c r="NU179" s="118"/>
      <c r="NV179" s="118"/>
      <c r="NW179" s="118"/>
      <c r="NX179" s="118"/>
      <c r="NY179" s="118"/>
      <c r="NZ179" s="118"/>
      <c r="OA179" s="118"/>
      <c r="OB179" s="118"/>
      <c r="OC179" s="118"/>
      <c r="OD179" s="118"/>
      <c r="OE179" s="118"/>
      <c r="OF179" s="118"/>
      <c r="OG179" s="118"/>
      <c r="OH179" s="118"/>
      <c r="OI179" s="118"/>
      <c r="OJ179" s="118"/>
      <c r="OK179" s="118"/>
      <c r="OL179" s="118"/>
      <c r="OM179" s="118"/>
      <c r="ON179" s="118"/>
      <c r="OO179" s="118"/>
      <c r="OP179" s="118"/>
      <c r="OQ179" s="118"/>
      <c r="OR179" s="118"/>
      <c r="OS179" s="118"/>
      <c r="OT179" s="118"/>
      <c r="OU179" s="118"/>
      <c r="OV179" s="118"/>
      <c r="OW179" s="118"/>
      <c r="OX179" s="118"/>
      <c r="OY179" s="118"/>
      <c r="OZ179" s="118"/>
      <c r="PA179" s="118"/>
      <c r="PB179" s="118"/>
      <c r="PC179" s="118"/>
      <c r="PD179" s="118"/>
      <c r="PE179" s="118"/>
      <c r="PF179" s="118"/>
      <c r="PG179" s="118"/>
      <c r="PH179" s="118"/>
      <c r="PI179" s="118"/>
      <c r="PJ179" s="118"/>
      <c r="PK179" s="118"/>
      <c r="PL179" s="118"/>
      <c r="PM179" s="118"/>
      <c r="PN179" s="118"/>
      <c r="PO179" s="118"/>
      <c r="PP179" s="118"/>
      <c r="PQ179" s="118"/>
      <c r="PR179" s="118"/>
      <c r="PS179" s="118"/>
      <c r="PT179" s="118"/>
      <c r="PU179" s="118"/>
      <c r="PV179" s="118"/>
      <c r="PW179" s="118"/>
      <c r="PX179" s="118"/>
      <c r="PY179" s="118"/>
      <c r="PZ179" s="118"/>
      <c r="QA179" s="118"/>
      <c r="QB179" s="118"/>
      <c r="QC179" s="118"/>
      <c r="QD179" s="118"/>
      <c r="QE179" s="118"/>
      <c r="QF179" s="118"/>
      <c r="QG179" s="118"/>
      <c r="QH179" s="118"/>
      <c r="QI179" s="118"/>
      <c r="QJ179" s="118"/>
      <c r="QK179" s="118"/>
      <c r="QL179" s="118"/>
      <c r="QM179" s="118"/>
      <c r="QN179" s="118"/>
      <c r="QO179" s="118"/>
      <c r="QP179" s="118"/>
      <c r="QQ179" s="118"/>
      <c r="QR179" s="118"/>
      <c r="QS179" s="118"/>
      <c r="QT179" s="118"/>
      <c r="QU179" s="118"/>
      <c r="QV179" s="118"/>
      <c r="QW179" s="118"/>
      <c r="QX179" s="118"/>
      <c r="QY179" s="118"/>
      <c r="QZ179" s="118"/>
      <c r="RA179" s="118"/>
      <c r="RB179" s="118"/>
      <c r="RC179" s="118"/>
      <c r="RD179" s="118"/>
      <c r="RE179" s="118"/>
      <c r="RF179" s="118"/>
      <c r="RG179" s="118"/>
      <c r="RH179" s="118"/>
      <c r="RI179" s="118"/>
      <c r="RJ179" s="118"/>
      <c r="RK179" s="118"/>
      <c r="RL179" s="118"/>
      <c r="RM179" s="118"/>
      <c r="RN179" s="118"/>
      <c r="RO179" s="118"/>
      <c r="RP179" s="118"/>
      <c r="RQ179" s="118"/>
      <c r="RR179" s="118"/>
      <c r="RS179" s="118"/>
      <c r="RT179" s="118"/>
      <c r="RU179" s="118"/>
      <c r="RV179" s="118"/>
      <c r="RW179" s="118"/>
      <c r="RX179" s="118"/>
      <c r="RY179" s="118"/>
      <c r="RZ179" s="118"/>
      <c r="SA179" s="118"/>
      <c r="SB179" s="118"/>
      <c r="SC179" s="118"/>
      <c r="SD179" s="118"/>
      <c r="SE179" s="118"/>
      <c r="SF179" s="118"/>
      <c r="SG179" s="118"/>
      <c r="SH179" s="118"/>
      <c r="SI179" s="118"/>
      <c r="SJ179" s="118"/>
      <c r="SK179" s="118"/>
      <c r="SL179" s="118"/>
      <c r="SM179" s="118"/>
      <c r="SN179" s="118"/>
      <c r="SO179" s="118"/>
      <c r="SP179" s="118"/>
      <c r="SQ179" s="118"/>
      <c r="SR179" s="118"/>
      <c r="SS179" s="118"/>
      <c r="ST179" s="118"/>
      <c r="SU179" s="118"/>
      <c r="SV179" s="118"/>
      <c r="SW179" s="118"/>
      <c r="SX179" s="118"/>
      <c r="SY179" s="118"/>
      <c r="SZ179" s="118"/>
      <c r="TA179" s="118"/>
      <c r="TB179" s="118"/>
      <c r="TC179" s="118"/>
      <c r="TD179" s="118"/>
      <c r="TE179" s="118"/>
      <c r="TF179" s="118"/>
      <c r="TG179" s="118"/>
      <c r="TH179" s="118"/>
      <c r="TI179" s="118"/>
      <c r="TJ179" s="118"/>
      <c r="TK179" s="118"/>
      <c r="TL179" s="118"/>
      <c r="TM179" s="118"/>
      <c r="TN179" s="118"/>
      <c r="TO179" s="118"/>
      <c r="TP179" s="118"/>
      <c r="TQ179" s="118"/>
      <c r="TR179" s="118"/>
      <c r="TS179" s="118"/>
      <c r="TT179" s="118"/>
      <c r="TU179" s="118"/>
      <c r="TV179" s="118"/>
      <c r="TW179" s="118"/>
      <c r="TX179" s="118"/>
      <c r="TY179" s="118"/>
      <c r="TZ179" s="118"/>
      <c r="UA179" s="118"/>
      <c r="UB179" s="118"/>
      <c r="UC179" s="118"/>
      <c r="UD179" s="118"/>
      <c r="UE179" s="118"/>
      <c r="UF179" s="118"/>
      <c r="UG179" s="118"/>
      <c r="UH179" s="118"/>
      <c r="UI179" s="118"/>
      <c r="UJ179" s="118"/>
      <c r="UK179" s="118"/>
      <c r="UL179" s="118"/>
      <c r="UM179" s="118"/>
      <c r="UN179" s="118"/>
      <c r="UO179" s="118"/>
      <c r="UP179" s="118"/>
      <c r="UQ179" s="118"/>
      <c r="UR179" s="118"/>
      <c r="US179" s="118"/>
      <c r="UT179" s="118"/>
      <c r="UU179" s="118"/>
      <c r="UV179" s="118"/>
      <c r="UW179" s="118"/>
      <c r="UX179" s="118"/>
      <c r="UY179" s="118"/>
      <c r="UZ179" s="118"/>
      <c r="VA179" s="118"/>
      <c r="VB179" s="118"/>
      <c r="VC179" s="118"/>
      <c r="VD179" s="118"/>
      <c r="VE179" s="118"/>
      <c r="VF179" s="118"/>
      <c r="VG179" s="118"/>
      <c r="VH179" s="118"/>
      <c r="VI179" s="118"/>
      <c r="VJ179" s="118"/>
      <c r="VK179" s="118"/>
      <c r="VL179" s="118"/>
      <c r="VM179" s="118"/>
      <c r="VN179" s="118"/>
      <c r="VO179" s="118"/>
      <c r="VP179" s="118"/>
      <c r="VQ179" s="118"/>
      <c r="VR179" s="118"/>
      <c r="VS179" s="118"/>
      <c r="VT179" s="118"/>
      <c r="VU179" s="118"/>
      <c r="VV179" s="118"/>
      <c r="VW179" s="118"/>
      <c r="VX179" s="118"/>
      <c r="VY179" s="118"/>
      <c r="VZ179" s="118"/>
      <c r="WA179" s="118"/>
      <c r="WB179" s="118"/>
      <c r="WC179" s="118"/>
      <c r="WD179" s="118"/>
      <c r="WE179" s="118"/>
      <c r="WF179" s="118"/>
      <c r="WG179" s="118"/>
      <c r="WH179" s="118"/>
      <c r="WI179" s="118"/>
      <c r="WJ179" s="118"/>
      <c r="WK179" s="118"/>
      <c r="WL179" s="118"/>
      <c r="WM179" s="118"/>
      <c r="WN179" s="118"/>
      <c r="WO179" s="118"/>
      <c r="WP179" s="118"/>
      <c r="WQ179" s="118"/>
      <c r="WR179" s="118"/>
      <c r="WS179" s="118"/>
      <c r="WT179" s="118"/>
      <c r="WU179" s="118"/>
      <c r="WV179" s="118"/>
      <c r="WW179" s="118"/>
      <c r="WX179" s="118"/>
      <c r="WY179" s="118"/>
      <c r="WZ179" s="118"/>
      <c r="XA179" s="118"/>
      <c r="XB179" s="118"/>
      <c r="XC179" s="118"/>
      <c r="XD179" s="118"/>
      <c r="XE179" s="118"/>
      <c r="XF179" s="118"/>
      <c r="XG179" s="118"/>
      <c r="XH179" s="118"/>
      <c r="XI179" s="118"/>
      <c r="XJ179" s="118"/>
      <c r="XK179" s="118"/>
      <c r="XL179" s="118"/>
      <c r="XM179" s="118"/>
      <c r="XN179" s="118"/>
      <c r="XO179" s="118"/>
      <c r="XP179" s="118"/>
      <c r="XQ179" s="118"/>
      <c r="XR179" s="118"/>
      <c r="XS179" s="118"/>
      <c r="XT179" s="118"/>
      <c r="XU179" s="118"/>
      <c r="XV179" s="118"/>
      <c r="XW179" s="118"/>
      <c r="XX179" s="118"/>
      <c r="XY179" s="118"/>
      <c r="XZ179" s="118"/>
      <c r="YA179" s="118"/>
      <c r="YB179" s="118"/>
      <c r="YC179" s="118"/>
      <c r="YD179" s="118"/>
      <c r="YE179" s="118"/>
      <c r="YF179" s="118"/>
      <c r="YG179" s="118"/>
      <c r="YH179" s="118"/>
      <c r="YI179" s="118"/>
      <c r="YJ179" s="118"/>
      <c r="YK179" s="118"/>
      <c r="YL179" s="118"/>
      <c r="YM179" s="118"/>
      <c r="YN179" s="118"/>
      <c r="YO179" s="118"/>
      <c r="YP179" s="118"/>
      <c r="YQ179" s="118"/>
      <c r="YR179" s="118"/>
      <c r="YS179" s="118"/>
      <c r="YT179" s="118"/>
      <c r="YU179" s="118"/>
      <c r="YV179" s="118"/>
      <c r="YW179" s="118"/>
      <c r="YX179" s="118"/>
      <c r="YY179" s="118"/>
      <c r="YZ179" s="118"/>
      <c r="ZA179" s="118"/>
      <c r="ZB179" s="118"/>
      <c r="ZC179" s="118"/>
      <c r="ZD179" s="118"/>
      <c r="ZE179" s="118"/>
      <c r="ZF179" s="118"/>
      <c r="ZG179" s="118"/>
      <c r="ZH179" s="118"/>
      <c r="ZI179" s="118"/>
      <c r="ZJ179" s="118"/>
      <c r="ZK179" s="118"/>
      <c r="ZL179" s="118"/>
      <c r="ZM179" s="118"/>
      <c r="ZN179" s="118"/>
      <c r="ZO179" s="118"/>
      <c r="ZP179" s="118"/>
      <c r="ZQ179" s="118"/>
      <c r="ZR179" s="118"/>
      <c r="ZS179" s="118"/>
      <c r="ZT179" s="118"/>
      <c r="ZU179" s="118"/>
      <c r="ZV179" s="118"/>
      <c r="ZW179" s="118"/>
      <c r="ZX179" s="118"/>
      <c r="ZY179" s="118"/>
      <c r="ZZ179" s="118"/>
      <c r="AAA179" s="118"/>
      <c r="AAB179" s="118"/>
      <c r="AAC179" s="118"/>
      <c r="AAD179" s="118"/>
      <c r="AAE179" s="118"/>
      <c r="AAF179" s="118"/>
      <c r="AAG179" s="118"/>
      <c r="AAH179" s="118"/>
      <c r="AAI179" s="118"/>
      <c r="AAJ179" s="118"/>
      <c r="AAK179" s="118"/>
      <c r="AAL179" s="118"/>
      <c r="AAM179" s="118"/>
      <c r="AAN179" s="118"/>
      <c r="AAO179" s="118"/>
      <c r="AAP179" s="118"/>
      <c r="AAQ179" s="118"/>
      <c r="AAR179" s="118"/>
      <c r="AAS179" s="118"/>
      <c r="AAT179" s="118"/>
      <c r="AAU179" s="118"/>
      <c r="AAV179" s="118"/>
      <c r="AAW179" s="118"/>
      <c r="AAX179" s="118"/>
      <c r="AAY179" s="118"/>
      <c r="AAZ179" s="118"/>
      <c r="ABA179" s="118"/>
      <c r="ABB179" s="118"/>
      <c r="ABC179" s="118"/>
      <c r="ABD179" s="118"/>
      <c r="ABE179" s="118"/>
      <c r="ABF179" s="118"/>
      <c r="ABG179" s="118"/>
      <c r="ABH179" s="118"/>
      <c r="ABI179" s="118"/>
      <c r="ABJ179" s="118"/>
      <c r="ABK179" s="118"/>
      <c r="ABL179" s="118"/>
      <c r="ABM179" s="118"/>
      <c r="ABN179" s="118"/>
      <c r="ABO179" s="118"/>
      <c r="ABP179" s="118"/>
      <c r="ABQ179" s="118"/>
      <c r="ABR179" s="118"/>
      <c r="ABS179" s="118"/>
      <c r="ABT179" s="118"/>
      <c r="ABU179" s="118"/>
      <c r="ABV179" s="118"/>
      <c r="ABW179" s="118"/>
      <c r="ABX179" s="118"/>
      <c r="ABY179" s="118"/>
      <c r="ABZ179" s="118"/>
      <c r="ACA179" s="118"/>
      <c r="ACB179" s="118"/>
      <c r="ACC179" s="118"/>
      <c r="ACD179" s="118"/>
      <c r="ACE179" s="118"/>
      <c r="ACF179" s="118"/>
      <c r="ACG179" s="118"/>
      <c r="ACH179" s="118"/>
      <c r="ACI179" s="118"/>
      <c r="ACJ179" s="118"/>
      <c r="ACK179" s="118"/>
      <c r="ACL179" s="118"/>
      <c r="ACM179" s="118"/>
      <c r="ACN179" s="118"/>
      <c r="ACO179" s="118"/>
      <c r="ACP179" s="118"/>
      <c r="ACQ179" s="118"/>
      <c r="ACR179" s="118"/>
      <c r="ACS179" s="118"/>
      <c r="ACT179" s="118"/>
      <c r="ACU179" s="118"/>
      <c r="ACV179" s="118"/>
      <c r="ACW179" s="118"/>
      <c r="ACX179" s="118"/>
      <c r="ACY179" s="118"/>
      <c r="ACZ179" s="118"/>
      <c r="ADA179" s="118"/>
      <c r="ADB179" s="118"/>
      <c r="ADC179" s="118"/>
      <c r="ADD179" s="118"/>
      <c r="ADE179" s="118"/>
      <c r="ADF179" s="118"/>
      <c r="ADG179" s="118"/>
      <c r="ADH179" s="118"/>
      <c r="ADI179" s="118"/>
      <c r="ADJ179" s="118"/>
      <c r="ADK179" s="118"/>
      <c r="ADL179" s="118"/>
      <c r="ADM179" s="118"/>
      <c r="ADN179" s="118"/>
      <c r="ADO179" s="118"/>
      <c r="ADP179" s="118"/>
      <c r="ADQ179" s="118"/>
      <c r="ADR179" s="118"/>
      <c r="ADS179" s="118"/>
      <c r="ADT179" s="118"/>
      <c r="ADU179" s="118"/>
      <c r="ADV179" s="118"/>
      <c r="ADW179" s="118"/>
      <c r="ADX179" s="118"/>
      <c r="ADY179" s="118"/>
      <c r="ADZ179" s="118"/>
      <c r="AEA179" s="118"/>
      <c r="AEB179" s="118"/>
      <c r="AEC179" s="118"/>
      <c r="AED179" s="118"/>
      <c r="AEE179" s="118"/>
      <c r="AEF179" s="118"/>
      <c r="AEG179" s="118"/>
      <c r="AEH179" s="118"/>
      <c r="AEI179" s="118"/>
      <c r="AEJ179" s="118"/>
      <c r="AEK179" s="118"/>
      <c r="AEL179" s="118"/>
      <c r="AEM179" s="118"/>
      <c r="AEN179" s="118"/>
      <c r="AEO179" s="118"/>
      <c r="AEP179" s="118"/>
      <c r="AEQ179" s="118"/>
      <c r="AER179" s="118"/>
      <c r="AES179" s="118"/>
      <c r="AET179" s="118"/>
      <c r="AEU179" s="118"/>
      <c r="AEV179" s="118"/>
      <c r="AEW179" s="118"/>
      <c r="AEX179" s="118"/>
      <c r="AEY179" s="118"/>
      <c r="AEZ179" s="118"/>
      <c r="AFA179" s="118"/>
      <c r="AFB179" s="118"/>
      <c r="AFC179" s="118"/>
      <c r="AFD179" s="118"/>
      <c r="AFE179" s="118"/>
      <c r="AFF179" s="118"/>
      <c r="AFG179" s="118"/>
      <c r="AFH179" s="118"/>
      <c r="AFI179" s="118"/>
      <c r="AFJ179" s="118"/>
      <c r="AFK179" s="118"/>
      <c r="AFL179" s="118"/>
      <c r="AFM179" s="118"/>
      <c r="AFN179" s="118"/>
      <c r="AFO179" s="118"/>
      <c r="AFP179" s="118"/>
      <c r="AFQ179" s="118"/>
      <c r="AFR179" s="118"/>
      <c r="AFS179" s="118"/>
      <c r="AFT179" s="118"/>
      <c r="AFU179" s="118"/>
      <c r="AFV179" s="118"/>
      <c r="AFW179" s="118"/>
      <c r="AFX179" s="118"/>
      <c r="AFY179" s="118"/>
      <c r="AFZ179" s="118"/>
      <c r="AGA179" s="118"/>
      <c r="AGB179" s="118"/>
      <c r="AGC179" s="118"/>
      <c r="AGD179" s="118"/>
      <c r="AGE179" s="118"/>
      <c r="AGF179" s="118"/>
      <c r="AGG179" s="118"/>
      <c r="AGH179" s="118"/>
      <c r="AGI179" s="118"/>
      <c r="AGJ179" s="118"/>
      <c r="AGK179" s="118"/>
      <c r="AGL179" s="118"/>
      <c r="AGM179" s="118"/>
      <c r="AGN179" s="118"/>
      <c r="AGO179" s="118"/>
      <c r="AGP179" s="118"/>
      <c r="AGQ179" s="118"/>
      <c r="AGR179" s="118"/>
      <c r="AGS179" s="118"/>
      <c r="AGT179" s="118"/>
      <c r="AGU179" s="118"/>
      <c r="AGV179" s="118"/>
      <c r="AGW179" s="118"/>
      <c r="AGX179" s="118"/>
      <c r="AGY179" s="118"/>
      <c r="AGZ179" s="118"/>
      <c r="AHA179" s="118"/>
      <c r="AHB179" s="118"/>
      <c r="AHC179" s="118"/>
      <c r="AHD179" s="118"/>
      <c r="AHE179" s="118"/>
      <c r="AHF179" s="118"/>
      <c r="AHG179" s="118"/>
      <c r="AHH179" s="118"/>
      <c r="AHI179" s="118"/>
      <c r="AHJ179" s="118"/>
      <c r="AHK179" s="118"/>
      <c r="AHL179" s="118"/>
      <c r="AHM179" s="118"/>
      <c r="AHN179" s="118"/>
      <c r="AHO179" s="118"/>
      <c r="AHP179" s="118"/>
      <c r="AHQ179" s="118"/>
      <c r="AHR179" s="118"/>
      <c r="AHS179" s="118"/>
      <c r="AHT179" s="118"/>
      <c r="AHU179" s="118"/>
      <c r="AHV179" s="118"/>
      <c r="AHW179" s="118"/>
      <c r="AHX179" s="118"/>
      <c r="AHY179" s="118"/>
      <c r="AHZ179" s="118"/>
      <c r="AIA179" s="118"/>
      <c r="AIB179" s="118"/>
      <c r="AIC179" s="118"/>
      <c r="AID179" s="118"/>
      <c r="AIE179" s="118"/>
      <c r="AIF179" s="118"/>
      <c r="AIG179" s="118"/>
      <c r="AIH179" s="118"/>
      <c r="AII179" s="118"/>
      <c r="AIJ179" s="118"/>
      <c r="AIK179" s="118"/>
      <c r="AIL179" s="118"/>
      <c r="AIM179" s="118"/>
      <c r="AIN179" s="118"/>
      <c r="AIO179" s="118"/>
      <c r="AIP179" s="118"/>
      <c r="AIQ179" s="118"/>
      <c r="AIR179" s="118"/>
      <c r="AIS179" s="118"/>
      <c r="AIT179" s="118"/>
      <c r="AIU179" s="118"/>
      <c r="AIV179" s="118"/>
      <c r="AIW179" s="118"/>
      <c r="AIX179" s="118"/>
      <c r="AIY179" s="118"/>
      <c r="AIZ179" s="118"/>
      <c r="AJA179" s="118"/>
      <c r="AJB179" s="118"/>
      <c r="AJC179" s="118"/>
      <c r="AJD179" s="118"/>
      <c r="AJE179" s="118"/>
      <c r="AJF179" s="118"/>
      <c r="AJG179" s="118"/>
      <c r="AJH179" s="118"/>
      <c r="AJI179" s="118"/>
      <c r="AJJ179" s="118"/>
      <c r="AJK179" s="118"/>
      <c r="AJL179" s="118"/>
      <c r="AJM179" s="118"/>
      <c r="AJN179" s="118"/>
      <c r="AJO179" s="118"/>
      <c r="AJP179" s="118"/>
      <c r="AJQ179" s="118"/>
      <c r="AJR179" s="118"/>
      <c r="AJS179" s="118"/>
      <c r="AJT179" s="118"/>
      <c r="AJU179" s="118"/>
      <c r="AJV179" s="118"/>
      <c r="AJW179" s="118"/>
      <c r="AJX179" s="118"/>
      <c r="AJY179" s="118"/>
      <c r="AJZ179" s="118"/>
      <c r="AKA179" s="118"/>
      <c r="AKB179" s="118"/>
      <c r="AKC179" s="118"/>
      <c r="AKD179" s="118"/>
      <c r="AKE179" s="118"/>
      <c r="AKF179" s="118"/>
      <c r="AKG179" s="118"/>
      <c r="AKH179" s="118"/>
      <c r="AKI179" s="118"/>
      <c r="AKJ179" s="118"/>
      <c r="AKK179" s="118"/>
      <c r="AKL179" s="118"/>
      <c r="AKM179" s="118"/>
      <c r="AKN179" s="118"/>
      <c r="AKO179" s="118"/>
      <c r="AKP179" s="118"/>
      <c r="AKQ179" s="118"/>
      <c r="AKR179" s="118"/>
      <c r="AKS179" s="118"/>
      <c r="AKT179" s="118"/>
      <c r="AKU179" s="118"/>
      <c r="AKV179" s="118"/>
      <c r="AKW179" s="118"/>
      <c r="AKX179" s="118"/>
      <c r="AKY179" s="118"/>
      <c r="AKZ179" s="118"/>
      <c r="ALA179" s="118"/>
      <c r="ALB179" s="118"/>
      <c r="ALC179" s="118"/>
      <c r="ALD179" s="118"/>
      <c r="ALE179" s="118"/>
      <c r="ALF179" s="118"/>
      <c r="ALG179" s="118"/>
      <c r="ALH179" s="118"/>
      <c r="ALI179" s="118"/>
      <c r="ALJ179" s="118"/>
      <c r="ALK179" s="118"/>
      <c r="ALL179" s="118"/>
      <c r="ALM179" s="118"/>
      <c r="ALN179" s="118"/>
      <c r="ALO179" s="118"/>
      <c r="ALP179" s="118"/>
      <c r="ALQ179" s="118"/>
      <c r="ALR179" s="118"/>
      <c r="ALS179" s="118"/>
      <c r="ALT179" s="118"/>
      <c r="ALU179" s="118"/>
      <c r="ALV179" s="118"/>
      <c r="ALW179" s="118"/>
      <c r="ALX179" s="118"/>
      <c r="ALY179" s="118"/>
      <c r="ALZ179" s="118"/>
      <c r="AMA179" s="118"/>
      <c r="AMB179" s="118"/>
      <c r="AMC179" s="118"/>
      <c r="AMD179" s="118"/>
      <c r="AME179" s="118"/>
      <c r="AMF179" s="118"/>
      <c r="AMG179" s="118"/>
      <c r="AMH179" s="118"/>
      <c r="AMI179" s="118"/>
      <c r="AMJ179" s="118"/>
      <c r="AMK179" s="118"/>
      <c r="AML179" s="118"/>
      <c r="AMM179" s="118"/>
      <c r="AMN179" s="118"/>
      <c r="AMO179" s="118"/>
    </row>
    <row r="180" spans="1:1029" x14ac:dyDescent="0.2">
      <c r="A180" s="3" t="str">
        <f t="shared" si="639"/>
        <v>crfr1_human__wt</v>
      </c>
      <c r="B180" s="3" t="s">
        <v>38</v>
      </c>
      <c r="C180" s="3" t="s">
        <v>100</v>
      </c>
      <c r="D180" s="3" t="str">
        <f>IFERROR(MID(VLOOKUP($B180,Seqs!$A:$B,2,0),E180,1),"")</f>
        <v>Q</v>
      </c>
      <c r="E180" s="3">
        <v>103</v>
      </c>
      <c r="F180" s="3" t="str">
        <f>IFERROR(MID(VLOOKUP($B180,Seqs!$A:$B,2,0),G180,1),"")</f>
        <v>L</v>
      </c>
      <c r="G180" s="3">
        <v>144</v>
      </c>
      <c r="H180" s="3" t="str">
        <f>IFERROR(MID(VLOOKUP($B180,Seqs!$A:$B,2,0),I180,1),"")</f>
        <v>R</v>
      </c>
      <c r="I180" s="23">
        <v>145</v>
      </c>
      <c r="J180" s="3" t="str">
        <f>IFERROR(MID(VLOOKUP($B180,Seqs!$A:$B,2,0),K180,1),"")</f>
        <v>R</v>
      </c>
      <c r="K180" s="23">
        <v>148</v>
      </c>
      <c r="L180" s="3" t="str">
        <f>IFERROR(MID(VLOOKUP($B180,Seqs!$A:$B,2,0),M180,1),"")</f>
        <v>C</v>
      </c>
      <c r="M180" s="23">
        <v>149</v>
      </c>
      <c r="N180" s="3" t="str">
        <f>IFERROR(MID(VLOOKUP($B180,Seqs!$A:$B,2,0),O180,1),"")</f>
        <v>T</v>
      </c>
      <c r="O180" s="3">
        <v>175</v>
      </c>
      <c r="P180" s="3" t="str">
        <f>IFERROR(MID(VLOOKUP($B180,Seqs!$A:$B,2,0),Q180,1),"")</f>
        <v/>
      </c>
      <c r="Q180" s="3" t="s">
        <v>23</v>
      </c>
      <c r="R180" s="3" t="str">
        <f>IFERROR(MID(VLOOKUP($B180,Seqs!$A:$B,2,0),S180,1),"")</f>
        <v/>
      </c>
      <c r="S180" s="3" t="s">
        <v>23</v>
      </c>
      <c r="T180" s="3" t="str">
        <f>IFERROR(MID(VLOOKUP($B180,Seqs!$A:$B,2,0),U180,1),"")</f>
        <v>V</v>
      </c>
      <c r="U180" s="3">
        <v>185</v>
      </c>
      <c r="V180" s="3" t="str">
        <f>IFERROR(MID(VLOOKUP($B180,Seqs!$A:$B,2,0),W180,1),"")</f>
        <v>L</v>
      </c>
      <c r="W180" s="3">
        <v>219</v>
      </c>
      <c r="X180" s="3" t="str">
        <f>IFERROR(MID(VLOOKUP($B180,Seqs!$A:$B,2,0),Y180,1),"")</f>
        <v/>
      </c>
      <c r="Y180" s="3" t="s">
        <v>23</v>
      </c>
      <c r="Z180" s="3" t="str">
        <f>IFERROR(MID(VLOOKUP($B180,Seqs!$A:$B,2,0),AA180,1),"")</f>
        <v/>
      </c>
      <c r="AA180" s="3" t="s">
        <v>23</v>
      </c>
      <c r="AB180" s="3" t="str">
        <f>IFERROR(MID(VLOOKUP($B180,Seqs!$A:$B,2,0),AC180,1),"")</f>
        <v>L</v>
      </c>
      <c r="AC180" s="9">
        <v>226</v>
      </c>
      <c r="AD180" s="3" t="str">
        <f>IFERROR(MID(VLOOKUP($B180,Seqs!$A:$B,2,0),AE180,1),"")</f>
        <v>D</v>
      </c>
      <c r="AE180" s="3">
        <v>254</v>
      </c>
      <c r="AF180" s="3" t="str">
        <f>IFERROR(MID(VLOOKUP($B180,Seqs!$A:$B,2,0),AG180,1),"")</f>
        <v>C</v>
      </c>
      <c r="AG180" s="3">
        <v>258</v>
      </c>
      <c r="AH180" s="3" t="str">
        <f>IFERROR(MID(VLOOKUP($B180,Seqs!$A:$B,2,0),AI180,1),"")</f>
        <v>F</v>
      </c>
      <c r="AI180" s="3">
        <v>260</v>
      </c>
      <c r="AJ180" s="3" t="str">
        <f>IFERROR(MID(VLOOKUP($B180,Seqs!$A:$B,2,0),AK180,1),"")</f>
        <v>T</v>
      </c>
      <c r="AK180" s="3">
        <v>268</v>
      </c>
      <c r="AL180" s="3" t="str">
        <f>IFERROR(MID(VLOOKUP($B180,Seqs!$A:$B,2,0),AM180,1),"")</f>
        <v>L</v>
      </c>
      <c r="AM180" s="3">
        <v>298</v>
      </c>
      <c r="AN180" s="3" t="str">
        <f>IFERROR(MID(VLOOKUP($B180,Seqs!$A:$B,2,0),AO180,1),"")</f>
        <v>S</v>
      </c>
      <c r="AO180" s="3">
        <v>304</v>
      </c>
      <c r="AP180" s="3" t="str">
        <f>IFERROR(MID(VLOOKUP($B180,Seqs!$A:$B,2,0),AQ180,1),"")</f>
        <v>V</v>
      </c>
      <c r="AQ180" s="3">
        <v>332</v>
      </c>
      <c r="AR180" s="3" t="str">
        <f>IFERROR(MID(VLOOKUP($B180,Seqs!$A:$B,2,0),AS180,1),"")</f>
        <v>V</v>
      </c>
      <c r="AS180" s="3">
        <v>339</v>
      </c>
      <c r="AT180" s="3" t="str">
        <f>IFERROR(MID(VLOOKUP($B180,Seqs!$A:$B,2,0),AU180,1),"")</f>
        <v>L</v>
      </c>
      <c r="AU180" s="3">
        <v>366</v>
      </c>
      <c r="AV180" s="3" t="str">
        <f>IFERROR(MID(VLOOKUP($B180,Seqs!$A:$B,2,0),AW180,1),"")</f>
        <v>N</v>
      </c>
      <c r="AW180" s="3">
        <v>367</v>
      </c>
      <c r="AX180" s="3" t="str">
        <f>IFERROR(MID(VLOOKUP($B180,Seqs!$A:$B,2,0),AY180,1),"")</f>
        <v>A</v>
      </c>
      <c r="AY180" s="3">
        <v>392</v>
      </c>
      <c r="AZ180" s="79" t="str">
        <f>VLOOKUP(B180,Classification!A:D,2,0)</f>
        <v>B1</v>
      </c>
      <c r="BA180" s="97" t="str">
        <f>VLOOKUP(B180,Classification!A:D,4,0)</f>
        <v>Corticotropin-releasingfact</v>
      </c>
      <c r="BB180" s="27" t="b">
        <f t="shared" si="640"/>
        <v>1</v>
      </c>
      <c r="BC180" s="23">
        <f t="shared" ref="BC180:BC210" si="836">_xlfn.AGGREGATE(9,6,CG180:CR180)-_xlfn.AGGREGATE(9,6,BU180:CF180)+12</f>
        <v>256</v>
      </c>
      <c r="BD180" s="57" t="s">
        <v>1379</v>
      </c>
      <c r="BE180" s="3" t="s">
        <v>1381</v>
      </c>
      <c r="BF180" s="50" t="s">
        <v>1379</v>
      </c>
      <c r="BG180" s="50" t="s">
        <v>1384</v>
      </c>
      <c r="BH180" s="1"/>
      <c r="BI180" s="72" t="s">
        <v>1293</v>
      </c>
      <c r="BJ180" s="58" t="s">
        <v>1293</v>
      </c>
      <c r="BK180" s="58" t="s">
        <v>1293</v>
      </c>
      <c r="BL180" s="58" t="s">
        <v>1293</v>
      </c>
      <c r="BM180" s="58" t="s">
        <v>1293</v>
      </c>
      <c r="BN180" s="58" t="s">
        <v>1293</v>
      </c>
      <c r="BO180" s="58" t="s">
        <v>1293</v>
      </c>
      <c r="BP180" s="58" t="s">
        <v>1293</v>
      </c>
      <c r="BQ180" s="58" t="s">
        <v>1293</v>
      </c>
      <c r="BR180" s="58" t="s">
        <v>1293</v>
      </c>
      <c r="BS180" s="58" t="s">
        <v>1293</v>
      </c>
      <c r="BT180" s="58" t="s">
        <v>1293</v>
      </c>
      <c r="BU180" s="72">
        <f t="shared" ref="BU180:BU210" si="837">E180</f>
        <v>103</v>
      </c>
      <c r="BV180" s="73">
        <f t="shared" ref="BV180:BV210" si="838">I180</f>
        <v>145</v>
      </c>
      <c r="BW180" s="74">
        <f t="shared" ref="BW180:BW210" si="839">M180</f>
        <v>149</v>
      </c>
      <c r="BX180" s="73" t="str">
        <f t="shared" ref="BX180:BX210" si="840">Q180</f>
        <v>-</v>
      </c>
      <c r="BY180" s="74">
        <f t="shared" ref="BY180:BY210" si="841">U180</f>
        <v>185</v>
      </c>
      <c r="BZ180" s="73" t="str">
        <f t="shared" ref="BZ180:BZ210" si="842">Y180</f>
        <v>-</v>
      </c>
      <c r="CA180" s="74">
        <f t="shared" ref="CA180:CA210" si="843">AC180</f>
        <v>226</v>
      </c>
      <c r="CB180" s="73">
        <f t="shared" ref="CB180:CB210" si="844">AG180</f>
        <v>258</v>
      </c>
      <c r="CC180" s="74">
        <f t="shared" ref="CC180:CC210" si="845">AK180</f>
        <v>268</v>
      </c>
      <c r="CD180" s="73">
        <f t="shared" ref="CD180:CD210" si="846">AO180</f>
        <v>304</v>
      </c>
      <c r="CE180" s="74">
        <f t="shared" ref="CE180:CE210" si="847">AS180</f>
        <v>339</v>
      </c>
      <c r="CF180" s="73">
        <f t="shared" ref="CF180:CF210" si="848">AW180</f>
        <v>367</v>
      </c>
      <c r="CG180" s="72">
        <f t="shared" ref="CG180:CG210" si="849">G180</f>
        <v>144</v>
      </c>
      <c r="CH180" s="73">
        <f t="shared" ref="CH180:CH210" si="850">K180</f>
        <v>148</v>
      </c>
      <c r="CI180" s="74">
        <f t="shared" ref="CI180:CI210" si="851">O180</f>
        <v>175</v>
      </c>
      <c r="CJ180" s="74" t="str">
        <f t="shared" ref="CJ180:CJ210" si="852">S180</f>
        <v>-</v>
      </c>
      <c r="CK180" s="74">
        <f t="shared" ref="CK180:CK210" si="853">W180</f>
        <v>219</v>
      </c>
      <c r="CL180" s="74" t="str">
        <f t="shared" ref="CL180:CL210" si="854">AA180</f>
        <v>-</v>
      </c>
      <c r="CM180" s="74">
        <f t="shared" ref="CM180:CM210" si="855">AE180</f>
        <v>254</v>
      </c>
      <c r="CN180" s="74">
        <f t="shared" ref="CN180:CN210" si="856">AI180</f>
        <v>260</v>
      </c>
      <c r="CO180" s="74">
        <f t="shared" ref="CO180:CO210" si="857">AM180</f>
        <v>298</v>
      </c>
      <c r="CP180" s="74">
        <f t="shared" ref="CP180:CP210" si="858">AQ180</f>
        <v>332</v>
      </c>
      <c r="CQ180" s="74">
        <f t="shared" ref="CQ180:CQ210" si="859">AU180</f>
        <v>366</v>
      </c>
      <c r="CR180" s="74">
        <f t="shared" ref="CR180:CR210" si="860">AY180</f>
        <v>392</v>
      </c>
      <c r="CS180" s="23">
        <f t="shared" ref="CS180:CS210" si="861">M180-K180</f>
        <v>1</v>
      </c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  <c r="JD180" s="1"/>
      <c r="JE180" s="1"/>
      <c r="JF180" s="1"/>
      <c r="JG180" s="1"/>
      <c r="JH180" s="1"/>
      <c r="JI180" s="1"/>
      <c r="JJ180" s="1"/>
      <c r="JK180" s="1"/>
      <c r="JL180" s="1"/>
      <c r="JM180" s="1"/>
      <c r="JN180" s="1"/>
      <c r="JO180" s="1"/>
      <c r="JP180" s="1"/>
      <c r="JQ180" s="1"/>
      <c r="JR180" s="1"/>
      <c r="JS180" s="1"/>
      <c r="JT180" s="1"/>
      <c r="JU180" s="1"/>
      <c r="JV180" s="1"/>
      <c r="JW180" s="1"/>
      <c r="JX180" s="1"/>
      <c r="JY180" s="1"/>
      <c r="JZ180" s="1"/>
      <c r="KA180" s="1"/>
      <c r="KB180" s="1"/>
      <c r="KC180" s="1"/>
      <c r="KD180" s="1"/>
      <c r="KE180" s="1"/>
      <c r="KF180" s="1"/>
      <c r="KG180" s="1"/>
      <c r="KH180" s="1"/>
      <c r="KI180" s="1"/>
      <c r="KJ180" s="1"/>
      <c r="KK180" s="1"/>
      <c r="KL180" s="1"/>
      <c r="KM180" s="1"/>
      <c r="KN180" s="1"/>
      <c r="KO180" s="1"/>
      <c r="KP180" s="1"/>
      <c r="KQ180" s="1"/>
      <c r="KR180" s="1"/>
      <c r="KS180" s="1"/>
      <c r="KT180" s="1"/>
      <c r="KU180" s="1"/>
      <c r="KV180" s="1"/>
      <c r="KW180" s="1"/>
      <c r="KX180" s="1"/>
      <c r="KY180" s="1"/>
      <c r="KZ180" s="1"/>
      <c r="LA180" s="1"/>
      <c r="LB180" s="1"/>
      <c r="LC180" s="1"/>
      <c r="LD180" s="1"/>
      <c r="LE180" s="1"/>
      <c r="LF180" s="1"/>
      <c r="LG180" s="1"/>
      <c r="LH180" s="1"/>
      <c r="LI180" s="1"/>
      <c r="LJ180" s="1"/>
      <c r="LK180" s="1"/>
      <c r="LL180" s="1"/>
      <c r="LM180" s="1"/>
      <c r="LN180" s="1"/>
      <c r="LO180" s="1"/>
      <c r="LP180" s="1"/>
      <c r="LQ180" s="1"/>
      <c r="LR180" s="1"/>
      <c r="LS180" s="1"/>
      <c r="LT180" s="1"/>
      <c r="LU180" s="1"/>
      <c r="LV180" s="1"/>
      <c r="LW180" s="1"/>
      <c r="LX180" s="1"/>
      <c r="LY180" s="1"/>
      <c r="LZ180" s="1"/>
      <c r="MA180" s="1"/>
      <c r="MB180" s="1"/>
      <c r="MC180" s="1"/>
      <c r="MD180" s="1"/>
      <c r="ME180" s="1"/>
      <c r="MF180" s="1"/>
      <c r="MG180" s="1"/>
      <c r="MH180" s="1"/>
      <c r="MI180" s="1"/>
      <c r="MJ180" s="1"/>
      <c r="MK180" s="1"/>
      <c r="ML180" s="1"/>
      <c r="MM180" s="1"/>
      <c r="MN180" s="1"/>
      <c r="MO180" s="1"/>
      <c r="MP180" s="1"/>
      <c r="MQ180" s="1"/>
      <c r="MR180" s="1"/>
      <c r="MS180" s="1"/>
      <c r="MT180" s="1"/>
      <c r="MU180" s="1"/>
      <c r="MV180" s="1"/>
      <c r="MW180" s="1"/>
      <c r="MX180" s="1"/>
      <c r="MY180" s="1"/>
      <c r="MZ180" s="1"/>
      <c r="NA180" s="1"/>
      <c r="NB180" s="1"/>
      <c r="NC180" s="1"/>
      <c r="ND180" s="1"/>
      <c r="NE180" s="1"/>
      <c r="NF180" s="1"/>
      <c r="NG180" s="1"/>
      <c r="NH180" s="1"/>
      <c r="NI180" s="1"/>
      <c r="NJ180" s="1"/>
      <c r="NK180" s="1"/>
      <c r="NL180" s="1"/>
      <c r="NM180" s="1"/>
      <c r="NN180" s="1"/>
      <c r="NO180" s="1"/>
      <c r="NP180" s="1"/>
      <c r="NQ180" s="1"/>
      <c r="NR180" s="1"/>
      <c r="NS180" s="1"/>
      <c r="NT180" s="1"/>
      <c r="NU180" s="1"/>
      <c r="NV180" s="1"/>
      <c r="NW180" s="1"/>
      <c r="NX180" s="1"/>
      <c r="NY180" s="1"/>
      <c r="NZ180" s="1"/>
      <c r="OA180" s="1"/>
      <c r="OB180" s="1"/>
      <c r="OC180" s="1"/>
      <c r="OD180" s="1"/>
      <c r="OE180" s="1"/>
      <c r="OF180" s="1"/>
      <c r="OG180" s="1"/>
      <c r="OH180" s="1"/>
      <c r="OI180" s="1"/>
      <c r="OJ180" s="1"/>
      <c r="OK180" s="1"/>
      <c r="OL180" s="1"/>
      <c r="OM180" s="1"/>
      <c r="ON180" s="1"/>
      <c r="OO180" s="1"/>
      <c r="OP180" s="1"/>
      <c r="OQ180" s="1"/>
      <c r="OR180" s="1"/>
      <c r="OS180" s="1"/>
      <c r="OT180" s="1"/>
      <c r="OU180" s="1"/>
      <c r="OV180" s="1"/>
      <c r="OW180" s="1"/>
      <c r="OX180" s="1"/>
      <c r="OY180" s="1"/>
      <c r="OZ180" s="1"/>
      <c r="PA180" s="1"/>
      <c r="PB180" s="1"/>
      <c r="PC180" s="1"/>
      <c r="PD180" s="1"/>
      <c r="PE180" s="1"/>
      <c r="PF180" s="1"/>
      <c r="PG180" s="1"/>
      <c r="PH180" s="1"/>
      <c r="PI180" s="1"/>
      <c r="PJ180" s="1"/>
      <c r="PK180" s="1"/>
      <c r="PL180" s="1"/>
      <c r="PM180" s="1"/>
      <c r="PN180" s="1"/>
      <c r="PO180" s="1"/>
      <c r="PP180" s="1"/>
      <c r="PQ180" s="1"/>
      <c r="PR180" s="1"/>
      <c r="PS180" s="1"/>
      <c r="PT180" s="1"/>
      <c r="PU180" s="1"/>
      <c r="PV180" s="1"/>
      <c r="PW180" s="1"/>
      <c r="PX180" s="1"/>
      <c r="PY180" s="1"/>
      <c r="PZ180" s="1"/>
      <c r="QA180" s="1"/>
      <c r="QB180" s="1"/>
      <c r="QC180" s="1"/>
      <c r="QD180" s="1"/>
      <c r="QE180" s="1"/>
      <c r="QF180" s="1"/>
      <c r="QG180" s="1"/>
      <c r="QH180" s="1"/>
      <c r="QI180" s="1"/>
      <c r="QJ180" s="1"/>
      <c r="QK180" s="1"/>
      <c r="QL180" s="1"/>
      <c r="QM180" s="1"/>
      <c r="QN180" s="1"/>
      <c r="QO180" s="1"/>
      <c r="QP180" s="1"/>
      <c r="QQ180" s="1"/>
      <c r="QR180" s="1"/>
      <c r="QS180" s="1"/>
      <c r="QT180" s="1"/>
      <c r="QU180" s="1"/>
      <c r="QV180" s="1"/>
      <c r="QW180" s="1"/>
      <c r="QX180" s="1"/>
      <c r="QY180" s="1"/>
      <c r="QZ180" s="1"/>
      <c r="RA180" s="1"/>
      <c r="RB180" s="1"/>
      <c r="RC180" s="1"/>
      <c r="RD180" s="1"/>
      <c r="RE180" s="1"/>
      <c r="RF180" s="1"/>
      <c r="RG180" s="1"/>
      <c r="RH180" s="1"/>
      <c r="RI180" s="1"/>
      <c r="RJ180" s="1"/>
      <c r="RK180" s="1"/>
      <c r="RL180" s="1"/>
      <c r="RM180" s="1"/>
      <c r="RN180" s="1"/>
      <c r="RO180" s="1"/>
      <c r="RP180" s="1"/>
      <c r="RQ180" s="1"/>
      <c r="RR180" s="1"/>
      <c r="RS180" s="1"/>
      <c r="RT180" s="1"/>
      <c r="RU180" s="1"/>
      <c r="RV180" s="1"/>
      <c r="RW180" s="1"/>
      <c r="RX180" s="1"/>
      <c r="RY180" s="1"/>
      <c r="RZ180" s="1"/>
      <c r="SA180" s="1"/>
      <c r="SB180" s="1"/>
      <c r="SC180" s="1"/>
      <c r="SD180" s="1"/>
      <c r="SE180" s="1"/>
      <c r="SF180" s="1"/>
      <c r="SG180" s="1"/>
      <c r="SH180" s="1"/>
      <c r="SI180" s="1"/>
      <c r="SJ180" s="1"/>
      <c r="SK180" s="1"/>
      <c r="SL180" s="1"/>
      <c r="SM180" s="1"/>
      <c r="SN180" s="1"/>
      <c r="SO180" s="1"/>
      <c r="SP180" s="1"/>
      <c r="SQ180" s="1"/>
      <c r="SR180" s="1"/>
      <c r="SS180" s="1"/>
      <c r="ST180" s="1"/>
      <c r="SU180" s="1"/>
      <c r="SV180" s="1"/>
      <c r="SW180" s="1"/>
      <c r="SX180" s="1"/>
      <c r="SY180" s="1"/>
      <c r="SZ180" s="1"/>
      <c r="TA180" s="1"/>
      <c r="TB180" s="1"/>
      <c r="TC180" s="1"/>
      <c r="TD180" s="1"/>
      <c r="TE180" s="1"/>
      <c r="TF180" s="1"/>
      <c r="TG180" s="1"/>
      <c r="TH180" s="1"/>
      <c r="TI180" s="1"/>
      <c r="TJ180" s="1"/>
      <c r="TK180" s="1"/>
      <c r="TL180" s="1"/>
      <c r="TM180" s="1"/>
      <c r="TN180" s="1"/>
      <c r="TO180" s="1"/>
      <c r="TP180" s="1"/>
      <c r="TQ180" s="1"/>
      <c r="TR180" s="1"/>
      <c r="TS180" s="1"/>
      <c r="TT180" s="1"/>
      <c r="TU180" s="1"/>
      <c r="TV180" s="1"/>
      <c r="TW180" s="1"/>
      <c r="TX180" s="1"/>
      <c r="TY180" s="1"/>
      <c r="TZ180" s="1"/>
      <c r="UA180" s="1"/>
      <c r="UB180" s="1"/>
      <c r="UC180" s="1"/>
      <c r="UD180" s="1"/>
      <c r="UE180" s="1"/>
      <c r="UF180" s="1"/>
      <c r="UG180" s="1"/>
      <c r="UH180" s="1"/>
      <c r="UI180" s="1"/>
      <c r="UJ180" s="1"/>
      <c r="UK180" s="1"/>
      <c r="UL180" s="1"/>
      <c r="UM180" s="1"/>
      <c r="UN180" s="1"/>
      <c r="UO180" s="1"/>
      <c r="UP180" s="1"/>
      <c r="UQ180" s="1"/>
      <c r="UR180" s="1"/>
      <c r="US180" s="1"/>
      <c r="UT180" s="1"/>
      <c r="UU180" s="1"/>
      <c r="UV180" s="1"/>
      <c r="UW180" s="1"/>
      <c r="UX180" s="1"/>
      <c r="UY180" s="1"/>
      <c r="UZ180" s="1"/>
      <c r="VA180" s="1"/>
      <c r="VB180" s="1"/>
      <c r="VC180" s="1"/>
      <c r="VD180" s="1"/>
      <c r="VE180" s="1"/>
      <c r="VF180" s="1"/>
      <c r="VG180" s="1"/>
      <c r="VH180" s="1"/>
      <c r="VI180" s="1"/>
      <c r="VJ180" s="1"/>
      <c r="VK180" s="1"/>
      <c r="VL180" s="1"/>
      <c r="VM180" s="1"/>
      <c r="VN180" s="1"/>
      <c r="VO180" s="1"/>
      <c r="VP180" s="1"/>
      <c r="VQ180" s="1"/>
      <c r="VR180" s="1"/>
      <c r="VS180" s="1"/>
      <c r="VT180" s="1"/>
      <c r="VU180" s="1"/>
      <c r="VV180" s="1"/>
      <c r="VW180" s="1"/>
      <c r="VX180" s="1"/>
      <c r="VY180" s="1"/>
      <c r="VZ180" s="1"/>
      <c r="WA180" s="1"/>
      <c r="WB180" s="1"/>
      <c r="WC180" s="1"/>
      <c r="WD180" s="1"/>
      <c r="WE180" s="1"/>
      <c r="WF180" s="1"/>
      <c r="WG180" s="1"/>
      <c r="WH180" s="1"/>
      <c r="WI180" s="1"/>
      <c r="WJ180" s="1"/>
      <c r="WK180" s="1"/>
      <c r="WL180" s="1"/>
      <c r="WM180" s="1"/>
      <c r="WN180" s="1"/>
      <c r="WO180" s="1"/>
      <c r="WP180" s="1"/>
      <c r="WQ180" s="1"/>
      <c r="WR180" s="1"/>
      <c r="WS180" s="1"/>
      <c r="WT180" s="1"/>
      <c r="WU180" s="1"/>
      <c r="WV180" s="1"/>
      <c r="WW180" s="1"/>
      <c r="WX180" s="1"/>
      <c r="WY180" s="1"/>
      <c r="WZ180" s="1"/>
      <c r="XA180" s="1"/>
      <c r="XB180" s="1"/>
      <c r="XC180" s="1"/>
      <c r="XD180" s="1"/>
      <c r="XE180" s="1"/>
      <c r="XF180" s="1"/>
      <c r="XG180" s="1"/>
      <c r="XH180" s="1"/>
      <c r="XI180" s="1"/>
      <c r="XJ180" s="1"/>
      <c r="XK180" s="1"/>
      <c r="XL180" s="1"/>
      <c r="XM180" s="1"/>
      <c r="XN180" s="1"/>
      <c r="XO180" s="1"/>
      <c r="XP180" s="1"/>
      <c r="XQ180" s="1"/>
      <c r="XR180" s="1"/>
      <c r="XS180" s="1"/>
      <c r="XT180" s="1"/>
      <c r="XU180" s="1"/>
      <c r="XV180" s="1"/>
      <c r="XW180" s="1"/>
      <c r="XX180" s="1"/>
      <c r="XY180" s="1"/>
      <c r="XZ180" s="1"/>
      <c r="YA180" s="1"/>
      <c r="YB180" s="1"/>
      <c r="YC180" s="1"/>
      <c r="YD180" s="1"/>
      <c r="YE180" s="1"/>
      <c r="YF180" s="1"/>
      <c r="YG180" s="1"/>
      <c r="YH180" s="1"/>
      <c r="YI180" s="1"/>
      <c r="YJ180" s="1"/>
      <c r="YK180" s="1"/>
      <c r="YL180" s="1"/>
      <c r="YM180" s="1"/>
      <c r="YN180" s="1"/>
      <c r="YO180" s="1"/>
      <c r="YP180" s="1"/>
      <c r="YQ180" s="1"/>
      <c r="YR180" s="1"/>
      <c r="YS180" s="1"/>
      <c r="YT180" s="1"/>
      <c r="YU180" s="1"/>
      <c r="YV180" s="1"/>
      <c r="YW180" s="1"/>
      <c r="YX180" s="1"/>
      <c r="YY180" s="1"/>
      <c r="YZ180" s="1"/>
      <c r="ZA180" s="1"/>
      <c r="ZB180" s="1"/>
      <c r="ZC180" s="1"/>
      <c r="ZD180" s="1"/>
      <c r="ZE180" s="1"/>
      <c r="ZF180" s="1"/>
      <c r="ZG180" s="1"/>
      <c r="ZH180" s="1"/>
      <c r="ZI180" s="1"/>
      <c r="ZJ180" s="1"/>
      <c r="ZK180" s="1"/>
      <c r="ZL180" s="1"/>
      <c r="ZM180" s="1"/>
      <c r="ZN180" s="1"/>
      <c r="ZO180" s="1"/>
      <c r="ZP180" s="1"/>
      <c r="ZQ180" s="1"/>
      <c r="ZR180" s="1"/>
      <c r="ZS180" s="1"/>
      <c r="ZT180" s="1"/>
      <c r="ZU180" s="1"/>
      <c r="ZV180" s="1"/>
      <c r="ZW180" s="1"/>
      <c r="ZX180" s="1"/>
      <c r="ZY180" s="1"/>
      <c r="ZZ180" s="1"/>
      <c r="AAA180" s="1"/>
      <c r="AAB180" s="1"/>
      <c r="AAC180" s="1"/>
      <c r="AAD180" s="1"/>
      <c r="AAE180" s="1"/>
      <c r="AAF180" s="1"/>
      <c r="AAG180" s="1"/>
      <c r="AAH180" s="1"/>
      <c r="AAI180" s="1"/>
      <c r="AAJ180" s="1"/>
      <c r="AAK180" s="1"/>
      <c r="AAL180" s="1"/>
      <c r="AAM180" s="1"/>
      <c r="AAN180" s="1"/>
      <c r="AAO180" s="1"/>
      <c r="AAP180" s="1"/>
      <c r="AAQ180" s="1"/>
      <c r="AAR180" s="1"/>
      <c r="AAS180" s="1"/>
      <c r="AAT180" s="1"/>
      <c r="AAU180" s="1"/>
      <c r="AAV180" s="1"/>
      <c r="AAW180" s="1"/>
      <c r="AAX180" s="1"/>
      <c r="AAY180" s="1"/>
      <c r="AAZ180" s="1"/>
      <c r="ABA180" s="1"/>
      <c r="ABB180" s="1"/>
      <c r="ABC180" s="1"/>
      <c r="ABD180" s="1"/>
      <c r="ABE180" s="1"/>
      <c r="ABF180" s="1"/>
      <c r="ABG180" s="1"/>
      <c r="ABH180" s="1"/>
      <c r="ABI180" s="1"/>
      <c r="ABJ180" s="1"/>
      <c r="ABK180" s="1"/>
      <c r="ABL180" s="1"/>
      <c r="ABM180" s="1"/>
      <c r="ABN180" s="1"/>
      <c r="ABO180" s="1"/>
      <c r="ABP180" s="1"/>
      <c r="ABQ180" s="1"/>
      <c r="ABR180" s="1"/>
      <c r="ABS180" s="1"/>
      <c r="ABT180" s="1"/>
      <c r="ABU180" s="1"/>
      <c r="ABV180" s="1"/>
      <c r="ABW180" s="1"/>
      <c r="ABX180" s="1"/>
      <c r="ABY180" s="1"/>
      <c r="ABZ180" s="1"/>
      <c r="ACA180" s="1"/>
      <c r="ACB180" s="1"/>
      <c r="ACC180" s="1"/>
      <c r="ACD180" s="1"/>
      <c r="ACE180" s="1"/>
      <c r="ACF180" s="1"/>
      <c r="ACG180" s="1"/>
      <c r="ACH180" s="1"/>
      <c r="ACI180" s="1"/>
      <c r="ACJ180" s="1"/>
      <c r="ACK180" s="1"/>
      <c r="ACL180" s="1"/>
      <c r="ACM180" s="1"/>
      <c r="ACN180" s="1"/>
      <c r="ACO180" s="1"/>
      <c r="ACP180" s="1"/>
      <c r="ACQ180" s="1"/>
      <c r="ACR180" s="1"/>
      <c r="ACS180" s="1"/>
      <c r="ACT180" s="1"/>
      <c r="ACU180" s="1"/>
      <c r="ACV180" s="1"/>
      <c r="ACW180" s="1"/>
      <c r="ACX180" s="1"/>
      <c r="ACY180" s="1"/>
      <c r="ACZ180" s="1"/>
      <c r="ADA180" s="1"/>
      <c r="ADB180" s="1"/>
      <c r="ADC180" s="1"/>
      <c r="ADD180" s="1"/>
      <c r="ADE180" s="1"/>
      <c r="ADF180" s="1"/>
      <c r="ADG180" s="1"/>
      <c r="ADH180" s="1"/>
      <c r="ADI180" s="1"/>
      <c r="ADJ180" s="1"/>
      <c r="ADK180" s="1"/>
      <c r="ADL180" s="1"/>
      <c r="ADM180" s="1"/>
      <c r="ADN180" s="1"/>
      <c r="ADO180" s="1"/>
      <c r="ADP180" s="1"/>
      <c r="ADQ180" s="1"/>
      <c r="ADR180" s="1"/>
      <c r="ADS180" s="1"/>
      <c r="ADT180" s="1"/>
      <c r="ADU180" s="1"/>
      <c r="ADV180" s="1"/>
      <c r="ADW180" s="1"/>
      <c r="ADX180" s="1"/>
      <c r="ADY180" s="1"/>
      <c r="ADZ180" s="1"/>
      <c r="AEA180" s="1"/>
      <c r="AEB180" s="1"/>
      <c r="AEC180" s="1"/>
      <c r="AED180" s="1"/>
      <c r="AEE180" s="1"/>
      <c r="AEF180" s="1"/>
      <c r="AEG180" s="1"/>
      <c r="AEH180" s="1"/>
      <c r="AEI180" s="1"/>
      <c r="AEJ180" s="1"/>
      <c r="AEK180" s="1"/>
      <c r="AEL180" s="1"/>
      <c r="AEM180" s="1"/>
      <c r="AEN180" s="1"/>
      <c r="AEO180" s="1"/>
      <c r="AEP180" s="1"/>
      <c r="AEQ180" s="1"/>
      <c r="AER180" s="1"/>
      <c r="AES180" s="1"/>
      <c r="AET180" s="1"/>
      <c r="AEU180" s="1"/>
      <c r="AEV180" s="1"/>
      <c r="AEW180" s="1"/>
      <c r="AEX180" s="1"/>
      <c r="AEY180" s="1"/>
      <c r="AEZ180" s="1"/>
      <c r="AFA180" s="1"/>
      <c r="AFB180" s="1"/>
      <c r="AFC180" s="1"/>
      <c r="AFD180" s="1"/>
      <c r="AFE180" s="1"/>
      <c r="AFF180" s="1"/>
      <c r="AFG180" s="1"/>
      <c r="AFH180" s="1"/>
      <c r="AFI180" s="1"/>
      <c r="AFJ180" s="1"/>
      <c r="AFK180" s="1"/>
      <c r="AFL180" s="1"/>
      <c r="AFM180" s="1"/>
      <c r="AFN180" s="1"/>
      <c r="AFO180" s="1"/>
      <c r="AFP180" s="1"/>
      <c r="AFQ180" s="1"/>
      <c r="AFR180" s="1"/>
      <c r="AFS180" s="1"/>
      <c r="AFT180" s="1"/>
      <c r="AFU180" s="1"/>
      <c r="AFV180" s="1"/>
      <c r="AFW180" s="1"/>
      <c r="AFX180" s="1"/>
      <c r="AFY180" s="1"/>
      <c r="AFZ180" s="1"/>
      <c r="AGA180" s="1"/>
      <c r="AGB180" s="1"/>
      <c r="AGC180" s="1"/>
      <c r="AGD180" s="1"/>
      <c r="AGE180" s="1"/>
      <c r="AGF180" s="1"/>
      <c r="AGG180" s="1"/>
      <c r="AGH180" s="1"/>
      <c r="AGI180" s="1"/>
      <c r="AGJ180" s="1"/>
      <c r="AGK180" s="1"/>
      <c r="AGL180" s="1"/>
      <c r="AGM180" s="1"/>
      <c r="AGN180" s="1"/>
      <c r="AGO180" s="1"/>
      <c r="AGP180" s="1"/>
      <c r="AGQ180" s="1"/>
      <c r="AGR180" s="1"/>
      <c r="AGS180" s="1"/>
      <c r="AGT180" s="1"/>
      <c r="AGU180" s="1"/>
      <c r="AGV180" s="1"/>
      <c r="AGW180" s="1"/>
      <c r="AGX180" s="1"/>
      <c r="AGY180" s="1"/>
      <c r="AGZ180" s="1"/>
      <c r="AHA180" s="1"/>
      <c r="AHB180" s="1"/>
      <c r="AHC180" s="1"/>
      <c r="AHD180" s="1"/>
      <c r="AHE180" s="1"/>
      <c r="AHF180" s="1"/>
      <c r="AHG180" s="1"/>
      <c r="AHH180" s="1"/>
      <c r="AHI180" s="1"/>
      <c r="AHJ180" s="1"/>
      <c r="AHK180" s="1"/>
      <c r="AHL180" s="1"/>
      <c r="AHM180" s="1"/>
      <c r="AHN180" s="1"/>
      <c r="AHO180" s="1"/>
      <c r="AHP180" s="1"/>
      <c r="AHQ180" s="1"/>
      <c r="AHR180" s="1"/>
      <c r="AHS180" s="1"/>
      <c r="AHT180" s="1"/>
      <c r="AHU180" s="1"/>
      <c r="AHV180" s="1"/>
      <c r="AHW180" s="1"/>
      <c r="AHX180" s="1"/>
      <c r="AHY180" s="1"/>
      <c r="AHZ180" s="1"/>
      <c r="AIA180" s="1"/>
      <c r="AIB180" s="1"/>
      <c r="AIC180" s="1"/>
      <c r="AID180" s="1"/>
      <c r="AIE180" s="1"/>
      <c r="AIF180" s="1"/>
      <c r="AIG180" s="1"/>
      <c r="AIH180" s="1"/>
      <c r="AII180" s="1"/>
      <c r="AIJ180" s="1"/>
      <c r="AIK180" s="1"/>
      <c r="AIL180" s="1"/>
      <c r="AIM180" s="1"/>
      <c r="AIN180" s="1"/>
      <c r="AIO180" s="1"/>
      <c r="AIP180" s="1"/>
      <c r="AIQ180" s="1"/>
      <c r="AIR180" s="1"/>
      <c r="AIS180" s="1"/>
      <c r="AIT180" s="1"/>
      <c r="AIU180" s="1"/>
      <c r="AIV180" s="1"/>
      <c r="AIW180" s="1"/>
      <c r="AIX180" s="1"/>
      <c r="AIY180" s="1"/>
      <c r="AIZ180" s="1"/>
      <c r="AJA180" s="1"/>
      <c r="AJB180" s="1"/>
      <c r="AJC180" s="1"/>
      <c r="AJD180" s="1"/>
      <c r="AJE180" s="1"/>
      <c r="AJF180" s="1"/>
      <c r="AJG180" s="1"/>
      <c r="AJH180" s="1"/>
      <c r="AJI180" s="1"/>
      <c r="AJJ180" s="1"/>
      <c r="AJK180" s="1"/>
      <c r="AJL180" s="1"/>
      <c r="AJM180" s="1"/>
      <c r="AJN180" s="1"/>
      <c r="AJO180" s="1"/>
      <c r="AJP180" s="1"/>
      <c r="AJQ180" s="1"/>
      <c r="AJR180" s="1"/>
      <c r="AJS180" s="1"/>
      <c r="AJT180" s="1"/>
      <c r="AJU180" s="1"/>
      <c r="AJV180" s="1"/>
      <c r="AJW180" s="1"/>
      <c r="AJX180" s="1"/>
      <c r="AJY180" s="1"/>
      <c r="AJZ180" s="1"/>
      <c r="AKA180" s="1"/>
      <c r="AKB180" s="1"/>
      <c r="AKC180" s="1"/>
      <c r="AKD180" s="1"/>
      <c r="AKE180" s="1"/>
      <c r="AKF180" s="1"/>
      <c r="AKG180" s="1"/>
      <c r="AKH180" s="1"/>
      <c r="AKI180" s="1"/>
      <c r="AKJ180" s="1"/>
      <c r="AKK180" s="1"/>
      <c r="AKL180" s="1"/>
      <c r="AKM180" s="1"/>
      <c r="AKN180" s="1"/>
      <c r="AKO180" s="1"/>
      <c r="AKP180" s="1"/>
      <c r="AKQ180" s="1"/>
      <c r="AKR180" s="1"/>
      <c r="AKS180" s="1"/>
      <c r="AKT180" s="1"/>
      <c r="AKU180" s="1"/>
      <c r="AKV180" s="1"/>
      <c r="AKW180" s="1"/>
      <c r="AKX180" s="1"/>
      <c r="AKY180" s="1"/>
      <c r="AKZ180" s="1"/>
      <c r="ALA180" s="1"/>
      <c r="ALB180" s="1"/>
      <c r="ALC180" s="1"/>
      <c r="ALD180" s="1"/>
      <c r="ALE180" s="1"/>
      <c r="ALF180" s="1"/>
      <c r="ALG180" s="1"/>
      <c r="ALH180" s="1"/>
      <c r="ALI180" s="1"/>
      <c r="ALJ180" s="1"/>
      <c r="ALK180" s="1"/>
      <c r="ALL180" s="1"/>
      <c r="ALM180" s="1"/>
      <c r="ALN180" s="1"/>
      <c r="ALO180" s="1"/>
      <c r="ALP180" s="1"/>
      <c r="ALQ180" s="1"/>
      <c r="ALR180" s="1"/>
      <c r="ALS180" s="1"/>
      <c r="ALT180" s="1"/>
      <c r="ALU180" s="1"/>
      <c r="ALV180" s="1"/>
      <c r="ALW180" s="1"/>
      <c r="ALX180" s="1"/>
      <c r="ALY180" s="1"/>
      <c r="ALZ180" s="1"/>
      <c r="AMA180" s="1"/>
      <c r="AMB180" s="1"/>
      <c r="AMC180" s="1"/>
      <c r="AMD180" s="1"/>
      <c r="AME180" s="1"/>
      <c r="AMF180" s="1"/>
      <c r="AMG180" s="1"/>
      <c r="AMH180" s="1"/>
      <c r="AMI180" s="1"/>
      <c r="AMJ180" s="1"/>
      <c r="AMK180" s="1"/>
      <c r="AML180" s="1"/>
      <c r="AMM180" s="1"/>
      <c r="AMN180" s="1"/>
    </row>
    <row r="181" spans="1:1029" x14ac:dyDescent="0.2">
      <c r="A181" s="3" t="str">
        <f t="shared" si="639"/>
        <v>crfr1_human_4K5Y</v>
      </c>
      <c r="B181" s="3" t="s">
        <v>38</v>
      </c>
      <c r="C181" s="3" t="s">
        <v>95</v>
      </c>
      <c r="D181" s="3" t="str">
        <f>IFERROR(MID(VLOOKUP($B181,Seqs!$A:$B,2,0),E181,1),"")</f>
        <v>H</v>
      </c>
      <c r="E181" s="3">
        <v>117</v>
      </c>
      <c r="F181" s="3" t="str">
        <f>IFERROR(MID(VLOOKUP($B181,Seqs!$A:$B,2,0),G181,1),"")</f>
        <v>L</v>
      </c>
      <c r="G181" s="3">
        <v>144</v>
      </c>
      <c r="H181" s="3" t="str">
        <f>IFERROR(MID(VLOOKUP($B181,Seqs!$A:$B,2,0),I181,1),"")</f>
        <v>R</v>
      </c>
      <c r="I181" s="23">
        <v>145</v>
      </c>
      <c r="J181" s="3" t="str">
        <f>IFERROR(MID(VLOOKUP($B181,Seqs!$A:$B,2,0),K181,1),"")</f>
        <v>R</v>
      </c>
      <c r="K181" s="23">
        <v>148</v>
      </c>
      <c r="L181" s="3" t="str">
        <f>IFERROR(MID(VLOOKUP($B181,Seqs!$A:$B,2,0),M181,1),"")</f>
        <v>C</v>
      </c>
      <c r="M181" s="23">
        <v>149</v>
      </c>
      <c r="N181" s="3" t="str">
        <f>IFERROR(MID(VLOOKUP($B181,Seqs!$A:$B,2,0),O181,1),"")</f>
        <v>T</v>
      </c>
      <c r="O181" s="3">
        <v>175</v>
      </c>
      <c r="P181" s="3" t="str">
        <f>IFERROR(MID(VLOOKUP($B181,Seqs!$A:$B,2,0),Q181,1),"")</f>
        <v/>
      </c>
      <c r="Q181" s="3" t="s">
        <v>23</v>
      </c>
      <c r="R181" s="3" t="str">
        <f>IFERROR(MID(VLOOKUP($B181,Seqs!$A:$B,2,0),S181,1),"")</f>
        <v/>
      </c>
      <c r="S181" s="3" t="s">
        <v>23</v>
      </c>
      <c r="T181" s="3" t="str">
        <f>IFERROR(MID(VLOOKUP($B181,Seqs!$A:$B,2,0),U181,1),"")</f>
        <v>V</v>
      </c>
      <c r="U181" s="3">
        <v>185</v>
      </c>
      <c r="V181" s="3" t="str">
        <f>IFERROR(MID(VLOOKUP($B181,Seqs!$A:$B,2,0),W181,1),"")</f>
        <v>L</v>
      </c>
      <c r="W181" s="3">
        <v>219</v>
      </c>
      <c r="X181" s="3" t="str">
        <f>IFERROR(MID(VLOOKUP($B181,Seqs!$A:$B,2,0),Y181,1),"")</f>
        <v/>
      </c>
      <c r="Y181" s="3" t="s">
        <v>23</v>
      </c>
      <c r="Z181" s="3" t="str">
        <f>IFERROR(MID(VLOOKUP($B181,Seqs!$A:$B,2,0),AA181,1),"")</f>
        <v/>
      </c>
      <c r="AA181" s="3" t="s">
        <v>23</v>
      </c>
      <c r="AB181" s="3" t="str">
        <f>IFERROR(MID(VLOOKUP($B181,Seqs!$A:$B,2,0),AC181,1),"")</f>
        <v>L</v>
      </c>
      <c r="AC181" s="9">
        <v>226</v>
      </c>
      <c r="AD181" s="3" t="str">
        <f>IFERROR(MID(VLOOKUP($B181,Seqs!$A:$B,2,0),AE181,1),"")</f>
        <v>D</v>
      </c>
      <c r="AE181" s="3">
        <v>254</v>
      </c>
      <c r="AF181" s="3" t="str">
        <f>IFERROR(MID(VLOOKUP($B181,Seqs!$A:$B,2,0),AG181,1),"")</f>
        <v>C</v>
      </c>
      <c r="AG181" s="3">
        <v>258</v>
      </c>
      <c r="AH181" s="3" t="str">
        <f>IFERROR(MID(VLOOKUP($B181,Seqs!$A:$B,2,0),AI181,1),"")</f>
        <v>F</v>
      </c>
      <c r="AI181" s="3">
        <v>260</v>
      </c>
      <c r="AJ181" s="3" t="str">
        <f>IFERROR(MID(VLOOKUP($B181,Seqs!$A:$B,2,0),AK181,1),"")</f>
        <v>T</v>
      </c>
      <c r="AK181" s="3">
        <v>268</v>
      </c>
      <c r="AL181" s="3" t="str">
        <f>IFERROR(MID(VLOOKUP($B181,Seqs!$A:$B,2,0),AM181,1),"")</f>
        <v>L</v>
      </c>
      <c r="AM181" s="3">
        <v>298</v>
      </c>
      <c r="AN181" s="3" t="str">
        <f>IFERROR(MID(VLOOKUP($B181,Seqs!$A:$B,2,0),AO181,1),"")</f>
        <v>S</v>
      </c>
      <c r="AO181" s="3">
        <v>304</v>
      </c>
      <c r="AP181" s="3" t="str">
        <f>IFERROR(MID(VLOOKUP($B181,Seqs!$A:$B,2,0),AQ181,1),"")</f>
        <v>V</v>
      </c>
      <c r="AQ181" s="3">
        <v>332</v>
      </c>
      <c r="AR181" s="3" t="str">
        <f>IFERROR(MID(VLOOKUP($B181,Seqs!$A:$B,2,0),AS181,1),"")</f>
        <v>V</v>
      </c>
      <c r="AS181" s="3">
        <v>339</v>
      </c>
      <c r="AT181" s="3" t="str">
        <f>IFERROR(MID(VLOOKUP($B181,Seqs!$A:$B,2,0),AU181,1),"")</f>
        <v>F</v>
      </c>
      <c r="AU181" s="3">
        <v>362</v>
      </c>
      <c r="AV181" s="3" t="str">
        <f>IFERROR(MID(VLOOKUP($B181,Seqs!$A:$B,2,0),AW181,1),"")</f>
        <v/>
      </c>
      <c r="AW181" s="3" t="s">
        <v>23</v>
      </c>
      <c r="AX181" s="3" t="str">
        <f>IFERROR(MID(VLOOKUP($B181,Seqs!$A:$B,2,0),AY181,1),"")</f>
        <v/>
      </c>
      <c r="AY181" s="3" t="s">
        <v>23</v>
      </c>
      <c r="AZ181" s="79" t="str">
        <f>VLOOKUP(B181,Classification!A:D,2,0)</f>
        <v>B1</v>
      </c>
      <c r="BA181" s="97" t="str">
        <f>VLOOKUP(B181,Classification!A:D,4,0)</f>
        <v>Corticotropin-releasingfact</v>
      </c>
      <c r="BB181" s="27" t="b">
        <f t="shared" si="640"/>
        <v>1</v>
      </c>
      <c r="BC181" s="23">
        <f t="shared" si="836"/>
        <v>213</v>
      </c>
      <c r="BD181" s="4" t="s">
        <v>23</v>
      </c>
      <c r="BE181" s="3" t="s">
        <v>1381</v>
      </c>
      <c r="BF181" s="50" t="s">
        <v>1384</v>
      </c>
      <c r="BG181" s="50" t="s">
        <v>1384</v>
      </c>
      <c r="BH181" s="1"/>
      <c r="BI181" s="72" t="s">
        <v>1293</v>
      </c>
      <c r="BJ181" s="58" t="s">
        <v>1293</v>
      </c>
      <c r="BK181" s="58" t="s">
        <v>1293</v>
      </c>
      <c r="BL181" s="58" t="s">
        <v>1293</v>
      </c>
      <c r="BM181" s="58" t="s">
        <v>1293</v>
      </c>
      <c r="BN181" s="58" t="s">
        <v>1293</v>
      </c>
      <c r="BO181" s="58" t="s">
        <v>1293</v>
      </c>
      <c r="BP181" s="58" t="s">
        <v>1293</v>
      </c>
      <c r="BQ181" s="58" t="s">
        <v>1293</v>
      </c>
      <c r="BR181" s="58" t="s">
        <v>1293</v>
      </c>
      <c r="BS181" s="58" t="s">
        <v>1293</v>
      </c>
      <c r="BT181" s="58" t="s">
        <v>1293</v>
      </c>
      <c r="BU181" s="72">
        <f t="shared" si="837"/>
        <v>117</v>
      </c>
      <c r="BV181" s="73">
        <f t="shared" si="838"/>
        <v>145</v>
      </c>
      <c r="BW181" s="74">
        <f t="shared" si="839"/>
        <v>149</v>
      </c>
      <c r="BX181" s="73" t="str">
        <f t="shared" si="840"/>
        <v>-</v>
      </c>
      <c r="BY181" s="74">
        <f t="shared" si="841"/>
        <v>185</v>
      </c>
      <c r="BZ181" s="73" t="str">
        <f t="shared" si="842"/>
        <v>-</v>
      </c>
      <c r="CA181" s="74">
        <f t="shared" si="843"/>
        <v>226</v>
      </c>
      <c r="CB181" s="73">
        <f t="shared" si="844"/>
        <v>258</v>
      </c>
      <c r="CC181" s="74">
        <f t="shared" si="845"/>
        <v>268</v>
      </c>
      <c r="CD181" s="73">
        <f t="shared" si="846"/>
        <v>304</v>
      </c>
      <c r="CE181" s="74">
        <f t="shared" si="847"/>
        <v>339</v>
      </c>
      <c r="CF181" s="73" t="str">
        <f t="shared" si="848"/>
        <v>-</v>
      </c>
      <c r="CG181" s="72">
        <f t="shared" si="849"/>
        <v>144</v>
      </c>
      <c r="CH181" s="73">
        <f t="shared" si="850"/>
        <v>148</v>
      </c>
      <c r="CI181" s="74">
        <f t="shared" si="851"/>
        <v>175</v>
      </c>
      <c r="CJ181" s="74" t="str">
        <f t="shared" si="852"/>
        <v>-</v>
      </c>
      <c r="CK181" s="74">
        <f t="shared" si="853"/>
        <v>219</v>
      </c>
      <c r="CL181" s="74" t="str">
        <f t="shared" si="854"/>
        <v>-</v>
      </c>
      <c r="CM181" s="74">
        <f t="shared" si="855"/>
        <v>254</v>
      </c>
      <c r="CN181" s="74">
        <f t="shared" si="856"/>
        <v>260</v>
      </c>
      <c r="CO181" s="74">
        <f t="shared" si="857"/>
        <v>298</v>
      </c>
      <c r="CP181" s="74">
        <f t="shared" si="858"/>
        <v>332</v>
      </c>
      <c r="CQ181" s="74">
        <f t="shared" si="859"/>
        <v>362</v>
      </c>
      <c r="CR181" s="74" t="str">
        <f t="shared" si="860"/>
        <v>-</v>
      </c>
      <c r="CS181" s="23">
        <f t="shared" si="861"/>
        <v>1</v>
      </c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/>
      <c r="JJ181" s="1"/>
      <c r="JK181" s="1"/>
      <c r="JL181" s="1"/>
      <c r="JM181" s="1"/>
      <c r="JN181" s="1"/>
      <c r="JO181" s="1"/>
      <c r="JP181" s="1"/>
      <c r="JQ181" s="1"/>
      <c r="JR181" s="1"/>
      <c r="JS181" s="1"/>
      <c r="JT181" s="1"/>
      <c r="JU181" s="1"/>
      <c r="JV181" s="1"/>
      <c r="JW181" s="1"/>
      <c r="JX181" s="1"/>
      <c r="JY181" s="1"/>
      <c r="JZ181" s="1"/>
      <c r="KA181" s="1"/>
      <c r="KB181" s="1"/>
      <c r="KC181" s="1"/>
      <c r="KD181" s="1"/>
      <c r="KE181" s="1"/>
      <c r="KF181" s="1"/>
      <c r="KG181" s="1"/>
      <c r="KH181" s="1"/>
      <c r="KI181" s="1"/>
      <c r="KJ181" s="1"/>
      <c r="KK181" s="1"/>
      <c r="KL181" s="1"/>
      <c r="KM181" s="1"/>
      <c r="KN181" s="1"/>
      <c r="KO181" s="1"/>
      <c r="KP181" s="1"/>
      <c r="KQ181" s="1"/>
      <c r="KR181" s="1"/>
      <c r="KS181" s="1"/>
      <c r="KT181" s="1"/>
      <c r="KU181" s="1"/>
      <c r="KV181" s="1"/>
      <c r="KW181" s="1"/>
      <c r="KX181" s="1"/>
      <c r="KY181" s="1"/>
      <c r="KZ181" s="1"/>
      <c r="LA181" s="1"/>
      <c r="LB181" s="1"/>
      <c r="LC181" s="1"/>
      <c r="LD181" s="1"/>
      <c r="LE181" s="1"/>
      <c r="LF181" s="1"/>
      <c r="LG181" s="1"/>
      <c r="LH181" s="1"/>
      <c r="LI181" s="1"/>
      <c r="LJ181" s="1"/>
      <c r="LK181" s="1"/>
      <c r="LL181" s="1"/>
      <c r="LM181" s="1"/>
      <c r="LN181" s="1"/>
      <c r="LO181" s="1"/>
      <c r="LP181" s="1"/>
      <c r="LQ181" s="1"/>
      <c r="LR181" s="1"/>
      <c r="LS181" s="1"/>
      <c r="LT181" s="1"/>
      <c r="LU181" s="1"/>
      <c r="LV181" s="1"/>
      <c r="LW181" s="1"/>
      <c r="LX181" s="1"/>
      <c r="LY181" s="1"/>
      <c r="LZ181" s="1"/>
      <c r="MA181" s="1"/>
      <c r="MB181" s="1"/>
      <c r="MC181" s="1"/>
      <c r="MD181" s="1"/>
      <c r="ME181" s="1"/>
      <c r="MF181" s="1"/>
      <c r="MG181" s="1"/>
      <c r="MH181" s="1"/>
      <c r="MI181" s="1"/>
      <c r="MJ181" s="1"/>
      <c r="MK181" s="1"/>
      <c r="ML181" s="1"/>
      <c r="MM181" s="1"/>
      <c r="MN181" s="1"/>
      <c r="MO181" s="1"/>
      <c r="MP181" s="1"/>
      <c r="MQ181" s="1"/>
      <c r="MR181" s="1"/>
      <c r="MS181" s="1"/>
      <c r="MT181" s="1"/>
      <c r="MU181" s="1"/>
      <c r="MV181" s="1"/>
      <c r="MW181" s="1"/>
      <c r="MX181" s="1"/>
      <c r="MY181" s="1"/>
      <c r="MZ181" s="1"/>
      <c r="NA181" s="1"/>
      <c r="NB181" s="1"/>
      <c r="NC181" s="1"/>
      <c r="ND181" s="1"/>
      <c r="NE181" s="1"/>
      <c r="NF181" s="1"/>
      <c r="NG181" s="1"/>
      <c r="NH181" s="1"/>
      <c r="NI181" s="1"/>
      <c r="NJ181" s="1"/>
      <c r="NK181" s="1"/>
      <c r="NL181" s="1"/>
      <c r="NM181" s="1"/>
      <c r="NN181" s="1"/>
      <c r="NO181" s="1"/>
      <c r="NP181" s="1"/>
      <c r="NQ181" s="1"/>
      <c r="NR181" s="1"/>
      <c r="NS181" s="1"/>
      <c r="NT181" s="1"/>
      <c r="NU181" s="1"/>
      <c r="NV181" s="1"/>
      <c r="NW181" s="1"/>
      <c r="NX181" s="1"/>
      <c r="NY181" s="1"/>
      <c r="NZ181" s="1"/>
      <c r="OA181" s="1"/>
      <c r="OB181" s="1"/>
      <c r="OC181" s="1"/>
      <c r="OD181" s="1"/>
      <c r="OE181" s="1"/>
      <c r="OF181" s="1"/>
      <c r="OG181" s="1"/>
      <c r="OH181" s="1"/>
      <c r="OI181" s="1"/>
      <c r="OJ181" s="1"/>
      <c r="OK181" s="1"/>
      <c r="OL181" s="1"/>
      <c r="OM181" s="1"/>
      <c r="ON181" s="1"/>
      <c r="OO181" s="1"/>
      <c r="OP181" s="1"/>
      <c r="OQ181" s="1"/>
      <c r="OR181" s="1"/>
      <c r="OS181" s="1"/>
      <c r="OT181" s="1"/>
      <c r="OU181" s="1"/>
      <c r="OV181" s="1"/>
      <c r="OW181" s="1"/>
      <c r="OX181" s="1"/>
      <c r="OY181" s="1"/>
      <c r="OZ181" s="1"/>
      <c r="PA181" s="1"/>
      <c r="PB181" s="1"/>
      <c r="PC181" s="1"/>
      <c r="PD181" s="1"/>
      <c r="PE181" s="1"/>
      <c r="PF181" s="1"/>
      <c r="PG181" s="1"/>
      <c r="PH181" s="1"/>
      <c r="PI181" s="1"/>
      <c r="PJ181" s="1"/>
      <c r="PK181" s="1"/>
      <c r="PL181" s="1"/>
      <c r="PM181" s="1"/>
      <c r="PN181" s="1"/>
      <c r="PO181" s="1"/>
      <c r="PP181" s="1"/>
      <c r="PQ181" s="1"/>
      <c r="PR181" s="1"/>
      <c r="PS181" s="1"/>
      <c r="PT181" s="1"/>
      <c r="PU181" s="1"/>
      <c r="PV181" s="1"/>
      <c r="PW181" s="1"/>
      <c r="PX181" s="1"/>
      <c r="PY181" s="1"/>
      <c r="PZ181" s="1"/>
      <c r="QA181" s="1"/>
      <c r="QB181" s="1"/>
      <c r="QC181" s="1"/>
      <c r="QD181" s="1"/>
      <c r="QE181" s="1"/>
      <c r="QF181" s="1"/>
      <c r="QG181" s="1"/>
      <c r="QH181" s="1"/>
      <c r="QI181" s="1"/>
      <c r="QJ181" s="1"/>
      <c r="QK181" s="1"/>
      <c r="QL181" s="1"/>
      <c r="QM181" s="1"/>
      <c r="QN181" s="1"/>
      <c r="QO181" s="1"/>
      <c r="QP181" s="1"/>
      <c r="QQ181" s="1"/>
      <c r="QR181" s="1"/>
      <c r="QS181" s="1"/>
      <c r="QT181" s="1"/>
      <c r="QU181" s="1"/>
      <c r="QV181" s="1"/>
      <c r="QW181" s="1"/>
      <c r="QX181" s="1"/>
      <c r="QY181" s="1"/>
      <c r="QZ181" s="1"/>
      <c r="RA181" s="1"/>
      <c r="RB181" s="1"/>
      <c r="RC181" s="1"/>
      <c r="RD181" s="1"/>
      <c r="RE181" s="1"/>
      <c r="RF181" s="1"/>
      <c r="RG181" s="1"/>
      <c r="RH181" s="1"/>
      <c r="RI181" s="1"/>
      <c r="RJ181" s="1"/>
      <c r="RK181" s="1"/>
      <c r="RL181" s="1"/>
      <c r="RM181" s="1"/>
      <c r="RN181" s="1"/>
      <c r="RO181" s="1"/>
      <c r="RP181" s="1"/>
      <c r="RQ181" s="1"/>
      <c r="RR181" s="1"/>
      <c r="RS181" s="1"/>
      <c r="RT181" s="1"/>
      <c r="RU181" s="1"/>
      <c r="RV181" s="1"/>
      <c r="RW181" s="1"/>
      <c r="RX181" s="1"/>
      <c r="RY181" s="1"/>
      <c r="RZ181" s="1"/>
      <c r="SA181" s="1"/>
      <c r="SB181" s="1"/>
      <c r="SC181" s="1"/>
      <c r="SD181" s="1"/>
      <c r="SE181" s="1"/>
      <c r="SF181" s="1"/>
      <c r="SG181" s="1"/>
      <c r="SH181" s="1"/>
      <c r="SI181" s="1"/>
      <c r="SJ181" s="1"/>
      <c r="SK181" s="1"/>
      <c r="SL181" s="1"/>
      <c r="SM181" s="1"/>
      <c r="SN181" s="1"/>
      <c r="SO181" s="1"/>
      <c r="SP181" s="1"/>
      <c r="SQ181" s="1"/>
      <c r="SR181" s="1"/>
      <c r="SS181" s="1"/>
      <c r="ST181" s="1"/>
      <c r="SU181" s="1"/>
      <c r="SV181" s="1"/>
      <c r="SW181" s="1"/>
      <c r="SX181" s="1"/>
      <c r="SY181" s="1"/>
      <c r="SZ181" s="1"/>
      <c r="TA181" s="1"/>
      <c r="TB181" s="1"/>
      <c r="TC181" s="1"/>
      <c r="TD181" s="1"/>
      <c r="TE181" s="1"/>
      <c r="TF181" s="1"/>
      <c r="TG181" s="1"/>
      <c r="TH181" s="1"/>
      <c r="TI181" s="1"/>
      <c r="TJ181" s="1"/>
      <c r="TK181" s="1"/>
      <c r="TL181" s="1"/>
      <c r="TM181" s="1"/>
      <c r="TN181" s="1"/>
      <c r="TO181" s="1"/>
      <c r="TP181" s="1"/>
      <c r="TQ181" s="1"/>
      <c r="TR181" s="1"/>
      <c r="TS181" s="1"/>
      <c r="TT181" s="1"/>
      <c r="TU181" s="1"/>
      <c r="TV181" s="1"/>
      <c r="TW181" s="1"/>
      <c r="TX181" s="1"/>
      <c r="TY181" s="1"/>
      <c r="TZ181" s="1"/>
      <c r="UA181" s="1"/>
      <c r="UB181" s="1"/>
      <c r="UC181" s="1"/>
      <c r="UD181" s="1"/>
      <c r="UE181" s="1"/>
      <c r="UF181" s="1"/>
      <c r="UG181" s="1"/>
      <c r="UH181" s="1"/>
      <c r="UI181" s="1"/>
      <c r="UJ181" s="1"/>
      <c r="UK181" s="1"/>
      <c r="UL181" s="1"/>
      <c r="UM181" s="1"/>
      <c r="UN181" s="1"/>
      <c r="UO181" s="1"/>
      <c r="UP181" s="1"/>
      <c r="UQ181" s="1"/>
      <c r="UR181" s="1"/>
      <c r="US181" s="1"/>
      <c r="UT181" s="1"/>
      <c r="UU181" s="1"/>
      <c r="UV181" s="1"/>
      <c r="UW181" s="1"/>
      <c r="UX181" s="1"/>
      <c r="UY181" s="1"/>
      <c r="UZ181" s="1"/>
      <c r="VA181" s="1"/>
      <c r="VB181" s="1"/>
      <c r="VC181" s="1"/>
      <c r="VD181" s="1"/>
      <c r="VE181" s="1"/>
      <c r="VF181" s="1"/>
      <c r="VG181" s="1"/>
      <c r="VH181" s="1"/>
      <c r="VI181" s="1"/>
      <c r="VJ181" s="1"/>
      <c r="VK181" s="1"/>
      <c r="VL181" s="1"/>
      <c r="VM181" s="1"/>
      <c r="VN181" s="1"/>
      <c r="VO181" s="1"/>
      <c r="VP181" s="1"/>
      <c r="VQ181" s="1"/>
      <c r="VR181" s="1"/>
      <c r="VS181" s="1"/>
      <c r="VT181" s="1"/>
      <c r="VU181" s="1"/>
      <c r="VV181" s="1"/>
      <c r="VW181" s="1"/>
      <c r="VX181" s="1"/>
      <c r="VY181" s="1"/>
      <c r="VZ181" s="1"/>
      <c r="WA181" s="1"/>
      <c r="WB181" s="1"/>
      <c r="WC181" s="1"/>
      <c r="WD181" s="1"/>
      <c r="WE181" s="1"/>
      <c r="WF181" s="1"/>
      <c r="WG181" s="1"/>
      <c r="WH181" s="1"/>
      <c r="WI181" s="1"/>
      <c r="WJ181" s="1"/>
      <c r="WK181" s="1"/>
      <c r="WL181" s="1"/>
      <c r="WM181" s="1"/>
      <c r="WN181" s="1"/>
      <c r="WO181" s="1"/>
      <c r="WP181" s="1"/>
      <c r="WQ181" s="1"/>
      <c r="WR181" s="1"/>
      <c r="WS181" s="1"/>
      <c r="WT181" s="1"/>
      <c r="WU181" s="1"/>
      <c r="WV181" s="1"/>
      <c r="WW181" s="1"/>
      <c r="WX181" s="1"/>
      <c r="WY181" s="1"/>
      <c r="WZ181" s="1"/>
      <c r="XA181" s="1"/>
      <c r="XB181" s="1"/>
      <c r="XC181" s="1"/>
      <c r="XD181" s="1"/>
      <c r="XE181" s="1"/>
      <c r="XF181" s="1"/>
      <c r="XG181" s="1"/>
      <c r="XH181" s="1"/>
      <c r="XI181" s="1"/>
      <c r="XJ181" s="1"/>
      <c r="XK181" s="1"/>
      <c r="XL181" s="1"/>
      <c r="XM181" s="1"/>
      <c r="XN181" s="1"/>
      <c r="XO181" s="1"/>
      <c r="XP181" s="1"/>
      <c r="XQ181" s="1"/>
      <c r="XR181" s="1"/>
      <c r="XS181" s="1"/>
      <c r="XT181" s="1"/>
      <c r="XU181" s="1"/>
      <c r="XV181" s="1"/>
      <c r="XW181" s="1"/>
      <c r="XX181" s="1"/>
      <c r="XY181" s="1"/>
      <c r="XZ181" s="1"/>
      <c r="YA181" s="1"/>
      <c r="YB181" s="1"/>
      <c r="YC181" s="1"/>
      <c r="YD181" s="1"/>
      <c r="YE181" s="1"/>
      <c r="YF181" s="1"/>
      <c r="YG181" s="1"/>
      <c r="YH181" s="1"/>
      <c r="YI181" s="1"/>
      <c r="YJ181" s="1"/>
      <c r="YK181" s="1"/>
      <c r="YL181" s="1"/>
      <c r="YM181" s="1"/>
      <c r="YN181" s="1"/>
      <c r="YO181" s="1"/>
      <c r="YP181" s="1"/>
      <c r="YQ181" s="1"/>
      <c r="YR181" s="1"/>
      <c r="YS181" s="1"/>
      <c r="YT181" s="1"/>
      <c r="YU181" s="1"/>
      <c r="YV181" s="1"/>
      <c r="YW181" s="1"/>
      <c r="YX181" s="1"/>
      <c r="YY181" s="1"/>
      <c r="YZ181" s="1"/>
      <c r="ZA181" s="1"/>
      <c r="ZB181" s="1"/>
      <c r="ZC181" s="1"/>
      <c r="ZD181" s="1"/>
      <c r="ZE181" s="1"/>
      <c r="ZF181" s="1"/>
      <c r="ZG181" s="1"/>
      <c r="ZH181" s="1"/>
      <c r="ZI181" s="1"/>
      <c r="ZJ181" s="1"/>
      <c r="ZK181" s="1"/>
      <c r="ZL181" s="1"/>
      <c r="ZM181" s="1"/>
      <c r="ZN181" s="1"/>
      <c r="ZO181" s="1"/>
      <c r="ZP181" s="1"/>
      <c r="ZQ181" s="1"/>
      <c r="ZR181" s="1"/>
      <c r="ZS181" s="1"/>
      <c r="ZT181" s="1"/>
      <c r="ZU181" s="1"/>
      <c r="ZV181" s="1"/>
      <c r="ZW181" s="1"/>
      <c r="ZX181" s="1"/>
      <c r="ZY181" s="1"/>
      <c r="ZZ181" s="1"/>
      <c r="AAA181" s="1"/>
      <c r="AAB181" s="1"/>
      <c r="AAC181" s="1"/>
      <c r="AAD181" s="1"/>
      <c r="AAE181" s="1"/>
      <c r="AAF181" s="1"/>
      <c r="AAG181" s="1"/>
      <c r="AAH181" s="1"/>
      <c r="AAI181" s="1"/>
      <c r="AAJ181" s="1"/>
      <c r="AAK181" s="1"/>
      <c r="AAL181" s="1"/>
      <c r="AAM181" s="1"/>
      <c r="AAN181" s="1"/>
      <c r="AAO181" s="1"/>
      <c r="AAP181" s="1"/>
      <c r="AAQ181" s="1"/>
      <c r="AAR181" s="1"/>
      <c r="AAS181" s="1"/>
      <c r="AAT181" s="1"/>
      <c r="AAU181" s="1"/>
      <c r="AAV181" s="1"/>
      <c r="AAW181" s="1"/>
      <c r="AAX181" s="1"/>
      <c r="AAY181" s="1"/>
      <c r="AAZ181" s="1"/>
      <c r="ABA181" s="1"/>
      <c r="ABB181" s="1"/>
      <c r="ABC181" s="1"/>
      <c r="ABD181" s="1"/>
      <c r="ABE181" s="1"/>
      <c r="ABF181" s="1"/>
      <c r="ABG181" s="1"/>
      <c r="ABH181" s="1"/>
      <c r="ABI181" s="1"/>
      <c r="ABJ181" s="1"/>
      <c r="ABK181" s="1"/>
      <c r="ABL181" s="1"/>
      <c r="ABM181" s="1"/>
      <c r="ABN181" s="1"/>
      <c r="ABO181" s="1"/>
      <c r="ABP181" s="1"/>
      <c r="ABQ181" s="1"/>
      <c r="ABR181" s="1"/>
      <c r="ABS181" s="1"/>
      <c r="ABT181" s="1"/>
      <c r="ABU181" s="1"/>
      <c r="ABV181" s="1"/>
      <c r="ABW181" s="1"/>
      <c r="ABX181" s="1"/>
      <c r="ABY181" s="1"/>
      <c r="ABZ181" s="1"/>
      <c r="ACA181" s="1"/>
      <c r="ACB181" s="1"/>
      <c r="ACC181" s="1"/>
      <c r="ACD181" s="1"/>
      <c r="ACE181" s="1"/>
      <c r="ACF181" s="1"/>
      <c r="ACG181" s="1"/>
      <c r="ACH181" s="1"/>
      <c r="ACI181" s="1"/>
      <c r="ACJ181" s="1"/>
      <c r="ACK181" s="1"/>
      <c r="ACL181" s="1"/>
      <c r="ACM181" s="1"/>
      <c r="ACN181" s="1"/>
      <c r="ACO181" s="1"/>
      <c r="ACP181" s="1"/>
      <c r="ACQ181" s="1"/>
      <c r="ACR181" s="1"/>
      <c r="ACS181" s="1"/>
      <c r="ACT181" s="1"/>
      <c r="ACU181" s="1"/>
      <c r="ACV181" s="1"/>
      <c r="ACW181" s="1"/>
      <c r="ACX181" s="1"/>
      <c r="ACY181" s="1"/>
      <c r="ACZ181" s="1"/>
      <c r="ADA181" s="1"/>
      <c r="ADB181" s="1"/>
      <c r="ADC181" s="1"/>
      <c r="ADD181" s="1"/>
      <c r="ADE181" s="1"/>
      <c r="ADF181" s="1"/>
      <c r="ADG181" s="1"/>
      <c r="ADH181" s="1"/>
      <c r="ADI181" s="1"/>
      <c r="ADJ181" s="1"/>
      <c r="ADK181" s="1"/>
      <c r="ADL181" s="1"/>
      <c r="ADM181" s="1"/>
      <c r="ADN181" s="1"/>
      <c r="ADO181" s="1"/>
      <c r="ADP181" s="1"/>
      <c r="ADQ181" s="1"/>
      <c r="ADR181" s="1"/>
      <c r="ADS181" s="1"/>
      <c r="ADT181" s="1"/>
      <c r="ADU181" s="1"/>
      <c r="ADV181" s="1"/>
      <c r="ADW181" s="1"/>
      <c r="ADX181" s="1"/>
      <c r="ADY181" s="1"/>
      <c r="ADZ181" s="1"/>
      <c r="AEA181" s="1"/>
      <c r="AEB181" s="1"/>
      <c r="AEC181" s="1"/>
      <c r="AED181" s="1"/>
      <c r="AEE181" s="1"/>
      <c r="AEF181" s="1"/>
      <c r="AEG181" s="1"/>
      <c r="AEH181" s="1"/>
      <c r="AEI181" s="1"/>
      <c r="AEJ181" s="1"/>
      <c r="AEK181" s="1"/>
      <c r="AEL181" s="1"/>
      <c r="AEM181" s="1"/>
      <c r="AEN181" s="1"/>
      <c r="AEO181" s="1"/>
      <c r="AEP181" s="1"/>
      <c r="AEQ181" s="1"/>
      <c r="AER181" s="1"/>
      <c r="AES181" s="1"/>
      <c r="AET181" s="1"/>
      <c r="AEU181" s="1"/>
      <c r="AEV181" s="1"/>
      <c r="AEW181" s="1"/>
      <c r="AEX181" s="1"/>
      <c r="AEY181" s="1"/>
      <c r="AEZ181" s="1"/>
      <c r="AFA181" s="1"/>
      <c r="AFB181" s="1"/>
      <c r="AFC181" s="1"/>
      <c r="AFD181" s="1"/>
      <c r="AFE181" s="1"/>
      <c r="AFF181" s="1"/>
      <c r="AFG181" s="1"/>
      <c r="AFH181" s="1"/>
      <c r="AFI181" s="1"/>
      <c r="AFJ181" s="1"/>
      <c r="AFK181" s="1"/>
      <c r="AFL181" s="1"/>
      <c r="AFM181" s="1"/>
      <c r="AFN181" s="1"/>
      <c r="AFO181" s="1"/>
      <c r="AFP181" s="1"/>
      <c r="AFQ181" s="1"/>
      <c r="AFR181" s="1"/>
      <c r="AFS181" s="1"/>
      <c r="AFT181" s="1"/>
      <c r="AFU181" s="1"/>
      <c r="AFV181" s="1"/>
      <c r="AFW181" s="1"/>
      <c r="AFX181" s="1"/>
      <c r="AFY181" s="1"/>
      <c r="AFZ181" s="1"/>
      <c r="AGA181" s="1"/>
      <c r="AGB181" s="1"/>
      <c r="AGC181" s="1"/>
      <c r="AGD181" s="1"/>
      <c r="AGE181" s="1"/>
      <c r="AGF181" s="1"/>
      <c r="AGG181" s="1"/>
      <c r="AGH181" s="1"/>
      <c r="AGI181" s="1"/>
      <c r="AGJ181" s="1"/>
      <c r="AGK181" s="1"/>
      <c r="AGL181" s="1"/>
      <c r="AGM181" s="1"/>
      <c r="AGN181" s="1"/>
      <c r="AGO181" s="1"/>
      <c r="AGP181" s="1"/>
      <c r="AGQ181" s="1"/>
      <c r="AGR181" s="1"/>
      <c r="AGS181" s="1"/>
      <c r="AGT181" s="1"/>
      <c r="AGU181" s="1"/>
      <c r="AGV181" s="1"/>
      <c r="AGW181" s="1"/>
      <c r="AGX181" s="1"/>
      <c r="AGY181" s="1"/>
      <c r="AGZ181" s="1"/>
      <c r="AHA181" s="1"/>
      <c r="AHB181" s="1"/>
      <c r="AHC181" s="1"/>
      <c r="AHD181" s="1"/>
      <c r="AHE181" s="1"/>
      <c r="AHF181" s="1"/>
      <c r="AHG181" s="1"/>
      <c r="AHH181" s="1"/>
      <c r="AHI181" s="1"/>
      <c r="AHJ181" s="1"/>
      <c r="AHK181" s="1"/>
      <c r="AHL181" s="1"/>
      <c r="AHM181" s="1"/>
      <c r="AHN181" s="1"/>
      <c r="AHO181" s="1"/>
      <c r="AHP181" s="1"/>
      <c r="AHQ181" s="1"/>
      <c r="AHR181" s="1"/>
      <c r="AHS181" s="1"/>
      <c r="AHT181" s="1"/>
      <c r="AHU181" s="1"/>
      <c r="AHV181" s="1"/>
      <c r="AHW181" s="1"/>
      <c r="AHX181" s="1"/>
      <c r="AHY181" s="1"/>
      <c r="AHZ181" s="1"/>
      <c r="AIA181" s="1"/>
      <c r="AIB181" s="1"/>
      <c r="AIC181" s="1"/>
      <c r="AID181" s="1"/>
      <c r="AIE181" s="1"/>
      <c r="AIF181" s="1"/>
      <c r="AIG181" s="1"/>
      <c r="AIH181" s="1"/>
      <c r="AII181" s="1"/>
      <c r="AIJ181" s="1"/>
      <c r="AIK181" s="1"/>
      <c r="AIL181" s="1"/>
      <c r="AIM181" s="1"/>
      <c r="AIN181" s="1"/>
      <c r="AIO181" s="1"/>
      <c r="AIP181" s="1"/>
      <c r="AIQ181" s="1"/>
      <c r="AIR181" s="1"/>
      <c r="AIS181" s="1"/>
      <c r="AIT181" s="1"/>
      <c r="AIU181" s="1"/>
      <c r="AIV181" s="1"/>
      <c r="AIW181" s="1"/>
      <c r="AIX181" s="1"/>
      <c r="AIY181" s="1"/>
      <c r="AIZ181" s="1"/>
      <c r="AJA181" s="1"/>
      <c r="AJB181" s="1"/>
      <c r="AJC181" s="1"/>
      <c r="AJD181" s="1"/>
      <c r="AJE181" s="1"/>
      <c r="AJF181" s="1"/>
      <c r="AJG181" s="1"/>
      <c r="AJH181" s="1"/>
      <c r="AJI181" s="1"/>
      <c r="AJJ181" s="1"/>
      <c r="AJK181" s="1"/>
      <c r="AJL181" s="1"/>
      <c r="AJM181" s="1"/>
      <c r="AJN181" s="1"/>
      <c r="AJO181" s="1"/>
      <c r="AJP181" s="1"/>
      <c r="AJQ181" s="1"/>
      <c r="AJR181" s="1"/>
      <c r="AJS181" s="1"/>
      <c r="AJT181" s="1"/>
      <c r="AJU181" s="1"/>
      <c r="AJV181" s="1"/>
      <c r="AJW181" s="1"/>
      <c r="AJX181" s="1"/>
      <c r="AJY181" s="1"/>
      <c r="AJZ181" s="1"/>
      <c r="AKA181" s="1"/>
      <c r="AKB181" s="1"/>
      <c r="AKC181" s="1"/>
      <c r="AKD181" s="1"/>
      <c r="AKE181" s="1"/>
      <c r="AKF181" s="1"/>
      <c r="AKG181" s="1"/>
      <c r="AKH181" s="1"/>
      <c r="AKI181" s="1"/>
      <c r="AKJ181" s="1"/>
      <c r="AKK181" s="1"/>
      <c r="AKL181" s="1"/>
      <c r="AKM181" s="1"/>
      <c r="AKN181" s="1"/>
      <c r="AKO181" s="1"/>
      <c r="AKP181" s="1"/>
      <c r="AKQ181" s="1"/>
      <c r="AKR181" s="1"/>
      <c r="AKS181" s="1"/>
      <c r="AKT181" s="1"/>
      <c r="AKU181" s="1"/>
      <c r="AKV181" s="1"/>
      <c r="AKW181" s="1"/>
      <c r="AKX181" s="1"/>
      <c r="AKY181" s="1"/>
      <c r="AKZ181" s="1"/>
      <c r="ALA181" s="1"/>
      <c r="ALB181" s="1"/>
      <c r="ALC181" s="1"/>
      <c r="ALD181" s="1"/>
      <c r="ALE181" s="1"/>
      <c r="ALF181" s="1"/>
      <c r="ALG181" s="1"/>
      <c r="ALH181" s="1"/>
      <c r="ALI181" s="1"/>
      <c r="ALJ181" s="1"/>
      <c r="ALK181" s="1"/>
      <c r="ALL181" s="1"/>
      <c r="ALM181" s="1"/>
      <c r="ALN181" s="1"/>
      <c r="ALO181" s="1"/>
      <c r="ALP181" s="1"/>
      <c r="ALQ181" s="1"/>
      <c r="ALR181" s="1"/>
      <c r="ALS181" s="1"/>
      <c r="ALT181" s="1"/>
      <c r="ALU181" s="1"/>
      <c r="ALV181" s="1"/>
      <c r="ALW181" s="1"/>
      <c r="ALX181" s="1"/>
      <c r="ALY181" s="1"/>
      <c r="ALZ181" s="1"/>
      <c r="AMA181" s="1"/>
      <c r="AMB181" s="1"/>
      <c r="AMC181" s="1"/>
      <c r="AMD181" s="1"/>
      <c r="AME181" s="1"/>
      <c r="AMF181" s="1"/>
      <c r="AMG181" s="1"/>
      <c r="AMH181" s="1"/>
      <c r="AMI181" s="1"/>
      <c r="AMJ181" s="1"/>
      <c r="AMK181" s="1"/>
      <c r="AML181" s="1"/>
      <c r="AMM181" s="1"/>
      <c r="AMN181" s="1"/>
    </row>
    <row r="182" spans="1:1029" x14ac:dyDescent="0.2">
      <c r="A182" s="3" t="str">
        <f t="shared" si="639"/>
        <v>crfr1_human_4K5Y_dist</v>
      </c>
      <c r="B182" s="3" t="s">
        <v>38</v>
      </c>
      <c r="C182" s="3" t="s">
        <v>1161</v>
      </c>
      <c r="D182" s="3" t="str">
        <f>IFERROR(MID(VLOOKUP($B182,Seqs!$A:$B,2,0),E182,1),"")</f>
        <v>H</v>
      </c>
      <c r="E182" s="3">
        <v>117</v>
      </c>
      <c r="F182" s="3" t="str">
        <f>IFERROR(MID(VLOOKUP($B182,Seqs!$A:$B,2,0),G182,1),"")</f>
        <v>L</v>
      </c>
      <c r="G182" s="3">
        <v>144</v>
      </c>
      <c r="H182" s="3" t="str">
        <f>IFERROR(MID(VLOOKUP($B182,Seqs!$A:$B,2,0),I182,1),"")</f>
        <v>R</v>
      </c>
      <c r="I182" s="23">
        <v>145</v>
      </c>
      <c r="J182" s="3" t="str">
        <f>IFERROR(MID(VLOOKUP($B182,Seqs!$A:$B,2,0),K182,1),"")</f>
        <v>R</v>
      </c>
      <c r="K182" s="23">
        <v>148</v>
      </c>
      <c r="L182" s="3" t="str">
        <f>IFERROR(MID(VLOOKUP($B182,Seqs!$A:$B,2,0),M182,1),"")</f>
        <v>C</v>
      </c>
      <c r="M182" s="23">
        <v>149</v>
      </c>
      <c r="N182" s="3" t="str">
        <f>IFERROR(MID(VLOOKUP($B182,Seqs!$A:$B,2,0),O182,1),"")</f>
        <v>T</v>
      </c>
      <c r="O182" s="3">
        <v>175</v>
      </c>
      <c r="P182" s="3" t="str">
        <f>IFERROR(MID(VLOOKUP($B182,Seqs!$A:$B,2,0),Q182,1),"")</f>
        <v/>
      </c>
      <c r="Q182" s="3" t="s">
        <v>23</v>
      </c>
      <c r="R182" s="3" t="str">
        <f>IFERROR(MID(VLOOKUP($B182,Seqs!$A:$B,2,0),S182,1),"")</f>
        <v/>
      </c>
      <c r="S182" s="3" t="s">
        <v>23</v>
      </c>
      <c r="T182" s="3" t="str">
        <f>IFERROR(MID(VLOOKUP($B182,Seqs!$A:$B,2,0),U182,1),"")</f>
        <v>V</v>
      </c>
      <c r="U182" s="3">
        <v>185</v>
      </c>
      <c r="V182" s="3" t="str">
        <f>IFERROR(MID(VLOOKUP($B182,Seqs!$A:$B,2,0),W182,1),"")</f>
        <v>L</v>
      </c>
      <c r="W182" s="3">
        <v>219</v>
      </c>
      <c r="X182" s="3" t="str">
        <f>IFERROR(MID(VLOOKUP($B182,Seqs!$A:$B,2,0),Y182,1),"")</f>
        <v/>
      </c>
      <c r="Y182" s="3" t="s">
        <v>23</v>
      </c>
      <c r="Z182" s="3" t="str">
        <f>IFERROR(MID(VLOOKUP($B182,Seqs!$A:$B,2,0),AA182,1),"")</f>
        <v/>
      </c>
      <c r="AA182" s="3" t="s">
        <v>23</v>
      </c>
      <c r="AB182" s="3" t="str">
        <f>IFERROR(MID(VLOOKUP($B182,Seqs!$A:$B,2,0),AC182,1),"")</f>
        <v>L</v>
      </c>
      <c r="AC182" s="9">
        <v>226</v>
      </c>
      <c r="AD182" s="3" t="str">
        <f>IFERROR(MID(VLOOKUP($B182,Seqs!$A:$B,2,0),AE182,1),"")</f>
        <v>D</v>
      </c>
      <c r="AE182" s="3">
        <v>254</v>
      </c>
      <c r="AF182" s="3" t="str">
        <f>IFERROR(MID(VLOOKUP($B182,Seqs!$A:$B,2,0),AG182,1),"")</f>
        <v>C</v>
      </c>
      <c r="AG182" s="3">
        <v>258</v>
      </c>
      <c r="AH182" s="3" t="str">
        <f>IFERROR(MID(VLOOKUP($B182,Seqs!$A:$B,2,0),AI182,1),"")</f>
        <v>F</v>
      </c>
      <c r="AI182" s="3">
        <v>260</v>
      </c>
      <c r="AJ182" s="3" t="str">
        <f>IFERROR(MID(VLOOKUP($B182,Seqs!$A:$B,2,0),AK182,1),"")</f>
        <v>T</v>
      </c>
      <c r="AK182" s="3">
        <v>268</v>
      </c>
      <c r="AL182" s="3" t="str">
        <f>IFERROR(MID(VLOOKUP($B182,Seqs!$A:$B,2,0),AM182,1),"")</f>
        <v>L</v>
      </c>
      <c r="AM182" s="3">
        <v>298</v>
      </c>
      <c r="AN182" s="3" t="str">
        <f>IFERROR(MID(VLOOKUP($B182,Seqs!$A:$B,2,0),AO182,1),"")</f>
        <v>S</v>
      </c>
      <c r="AO182" s="3">
        <v>304</v>
      </c>
      <c r="AP182" s="3" t="str">
        <f>IFERROR(MID(VLOOKUP($B182,Seqs!$A:$B,2,0),AQ182,1),"")</f>
        <v>V</v>
      </c>
      <c r="AQ182" s="3">
        <v>332</v>
      </c>
      <c r="AR182" s="3" t="str">
        <f>IFERROR(MID(VLOOKUP($B182,Seqs!$A:$B,2,0),AS182,1),"")</f>
        <v>V</v>
      </c>
      <c r="AS182" s="3">
        <v>339</v>
      </c>
      <c r="AT182" s="3" t="str">
        <f>IFERROR(MID(VLOOKUP($B182,Seqs!$A:$B,2,0),AU182,1),"")</f>
        <v>L</v>
      </c>
      <c r="AU182" s="3">
        <v>366</v>
      </c>
      <c r="AV182" s="3" t="str">
        <f>IFERROR(MID(VLOOKUP($B182,Seqs!$A:$B,2,0),AW182,1),"")</f>
        <v/>
      </c>
      <c r="AW182" s="3" t="s">
        <v>23</v>
      </c>
      <c r="AX182" s="3" t="str">
        <f>IFERROR(MID(VLOOKUP($B182,Seqs!$A:$B,2,0),AY182,1),"")</f>
        <v/>
      </c>
      <c r="AY182" s="3" t="s">
        <v>23</v>
      </c>
      <c r="AZ182" s="79" t="str">
        <f>VLOOKUP(B182,Classification!A:D,2,0)</f>
        <v>B1</v>
      </c>
      <c r="BA182" s="97" t="str">
        <f>VLOOKUP(B182,Classification!A:D,4,0)</f>
        <v>Corticotropin-releasingfact</v>
      </c>
      <c r="BB182" s="27" t="b">
        <f t="shared" si="640"/>
        <v>1</v>
      </c>
      <c r="BC182" s="23">
        <f t="shared" si="836"/>
        <v>217</v>
      </c>
      <c r="BD182" s="57" t="s">
        <v>1379</v>
      </c>
      <c r="BE182" s="3" t="s">
        <v>1381</v>
      </c>
      <c r="BF182" s="50" t="s">
        <v>1384</v>
      </c>
      <c r="BG182" s="50" t="s">
        <v>1384</v>
      </c>
      <c r="BH182" s="3" t="s">
        <v>1163</v>
      </c>
      <c r="BI182" s="72" t="s">
        <v>1293</v>
      </c>
      <c r="BJ182" s="58" t="s">
        <v>1293</v>
      </c>
      <c r="BK182" s="58" t="s">
        <v>1293</v>
      </c>
      <c r="BL182" s="58" t="s">
        <v>1293</v>
      </c>
      <c r="BM182" s="58" t="s">
        <v>1293</v>
      </c>
      <c r="BN182" s="58" t="s">
        <v>1293</v>
      </c>
      <c r="BO182" s="58" t="s">
        <v>1293</v>
      </c>
      <c r="BP182" s="58" t="s">
        <v>1293</v>
      </c>
      <c r="BQ182" s="58" t="s">
        <v>1293</v>
      </c>
      <c r="BR182" s="58" t="s">
        <v>1293</v>
      </c>
      <c r="BS182" s="58" t="s">
        <v>1293</v>
      </c>
      <c r="BT182" s="58" t="s">
        <v>1293</v>
      </c>
      <c r="BU182" s="72">
        <f t="shared" si="837"/>
        <v>117</v>
      </c>
      <c r="BV182" s="73">
        <f t="shared" si="838"/>
        <v>145</v>
      </c>
      <c r="BW182" s="74">
        <f t="shared" si="839"/>
        <v>149</v>
      </c>
      <c r="BX182" s="73" t="str">
        <f t="shared" si="840"/>
        <v>-</v>
      </c>
      <c r="BY182" s="74">
        <f t="shared" si="841"/>
        <v>185</v>
      </c>
      <c r="BZ182" s="73" t="str">
        <f t="shared" si="842"/>
        <v>-</v>
      </c>
      <c r="CA182" s="74">
        <f t="shared" si="843"/>
        <v>226</v>
      </c>
      <c r="CB182" s="73">
        <f t="shared" si="844"/>
        <v>258</v>
      </c>
      <c r="CC182" s="74">
        <f t="shared" si="845"/>
        <v>268</v>
      </c>
      <c r="CD182" s="73">
        <f t="shared" si="846"/>
        <v>304</v>
      </c>
      <c r="CE182" s="74">
        <f t="shared" si="847"/>
        <v>339</v>
      </c>
      <c r="CF182" s="73" t="str">
        <f t="shared" si="848"/>
        <v>-</v>
      </c>
      <c r="CG182" s="72">
        <f t="shared" si="849"/>
        <v>144</v>
      </c>
      <c r="CH182" s="73">
        <f t="shared" si="850"/>
        <v>148</v>
      </c>
      <c r="CI182" s="74">
        <f t="shared" si="851"/>
        <v>175</v>
      </c>
      <c r="CJ182" s="74" t="str">
        <f t="shared" si="852"/>
        <v>-</v>
      </c>
      <c r="CK182" s="74">
        <f t="shared" si="853"/>
        <v>219</v>
      </c>
      <c r="CL182" s="74" t="str">
        <f t="shared" si="854"/>
        <v>-</v>
      </c>
      <c r="CM182" s="74">
        <f t="shared" si="855"/>
        <v>254</v>
      </c>
      <c r="CN182" s="74">
        <f t="shared" si="856"/>
        <v>260</v>
      </c>
      <c r="CO182" s="74">
        <f t="shared" si="857"/>
        <v>298</v>
      </c>
      <c r="CP182" s="74">
        <f t="shared" si="858"/>
        <v>332</v>
      </c>
      <c r="CQ182" s="74">
        <f t="shared" si="859"/>
        <v>366</v>
      </c>
      <c r="CR182" s="74" t="str">
        <f t="shared" si="860"/>
        <v>-</v>
      </c>
      <c r="CS182" s="23">
        <f t="shared" si="861"/>
        <v>1</v>
      </c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  <c r="JE182" s="1"/>
      <c r="JF182" s="1"/>
      <c r="JG182" s="1"/>
      <c r="JH182" s="1"/>
      <c r="JI182" s="1"/>
      <c r="JJ182" s="1"/>
      <c r="JK182" s="1"/>
      <c r="JL182" s="1"/>
      <c r="JM182" s="1"/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/>
      <c r="KE182" s="1"/>
      <c r="KF182" s="1"/>
      <c r="KG182" s="1"/>
      <c r="KH182" s="1"/>
      <c r="KI182" s="1"/>
      <c r="KJ182" s="1"/>
      <c r="KK182" s="1"/>
      <c r="KL182" s="1"/>
      <c r="KM182" s="1"/>
      <c r="KN182" s="1"/>
      <c r="KO182" s="1"/>
      <c r="KP182" s="1"/>
      <c r="KQ182" s="1"/>
      <c r="KR182" s="1"/>
      <c r="KS182" s="1"/>
      <c r="KT182" s="1"/>
      <c r="KU182" s="1"/>
      <c r="KV182" s="1"/>
      <c r="KW182" s="1"/>
      <c r="KX182" s="1"/>
      <c r="KY182" s="1"/>
      <c r="KZ182" s="1"/>
      <c r="LA182" s="1"/>
      <c r="LB182" s="1"/>
      <c r="LC182" s="1"/>
      <c r="LD182" s="1"/>
      <c r="LE182" s="1"/>
      <c r="LF182" s="1"/>
      <c r="LG182" s="1"/>
      <c r="LH182" s="1"/>
      <c r="LI182" s="1"/>
      <c r="LJ182" s="1"/>
      <c r="LK182" s="1"/>
      <c r="LL182" s="1"/>
      <c r="LM182" s="1"/>
      <c r="LN182" s="1"/>
      <c r="LO182" s="1"/>
      <c r="LP182" s="1"/>
      <c r="LQ182" s="1"/>
      <c r="LR182" s="1"/>
      <c r="LS182" s="1"/>
      <c r="LT182" s="1"/>
      <c r="LU182" s="1"/>
      <c r="LV182" s="1"/>
      <c r="LW182" s="1"/>
      <c r="LX182" s="1"/>
      <c r="LY182" s="1"/>
      <c r="LZ182" s="1"/>
      <c r="MA182" s="1"/>
      <c r="MB182" s="1"/>
      <c r="MC182" s="1"/>
      <c r="MD182" s="1"/>
      <c r="ME182" s="1"/>
      <c r="MF182" s="1"/>
      <c r="MG182" s="1"/>
      <c r="MH182" s="1"/>
      <c r="MI182" s="1"/>
      <c r="MJ182" s="1"/>
      <c r="MK182" s="1"/>
      <c r="ML182" s="1"/>
      <c r="MM182" s="1"/>
      <c r="MN182" s="1"/>
      <c r="MO182" s="1"/>
      <c r="MP182" s="1"/>
      <c r="MQ182" s="1"/>
      <c r="MR182" s="1"/>
      <c r="MS182" s="1"/>
      <c r="MT182" s="1"/>
      <c r="MU182" s="1"/>
      <c r="MV182" s="1"/>
      <c r="MW182" s="1"/>
      <c r="MX182" s="1"/>
      <c r="MY182" s="1"/>
      <c r="MZ182" s="1"/>
      <c r="NA182" s="1"/>
      <c r="NB182" s="1"/>
      <c r="NC182" s="1"/>
      <c r="ND182" s="1"/>
      <c r="NE182" s="1"/>
      <c r="NF182" s="1"/>
      <c r="NG182" s="1"/>
      <c r="NH182" s="1"/>
      <c r="NI182" s="1"/>
      <c r="NJ182" s="1"/>
      <c r="NK182" s="1"/>
      <c r="NL182" s="1"/>
      <c r="NM182" s="1"/>
      <c r="NN182" s="1"/>
      <c r="NO182" s="1"/>
      <c r="NP182" s="1"/>
      <c r="NQ182" s="1"/>
      <c r="NR182" s="1"/>
      <c r="NS182" s="1"/>
      <c r="NT182" s="1"/>
      <c r="NU182" s="1"/>
      <c r="NV182" s="1"/>
      <c r="NW182" s="1"/>
      <c r="NX182" s="1"/>
      <c r="NY182" s="1"/>
      <c r="NZ182" s="1"/>
      <c r="OA182" s="1"/>
      <c r="OB182" s="1"/>
      <c r="OC182" s="1"/>
      <c r="OD182" s="1"/>
      <c r="OE182" s="1"/>
      <c r="OF182" s="1"/>
      <c r="OG182" s="1"/>
      <c r="OH182" s="1"/>
      <c r="OI182" s="1"/>
      <c r="OJ182" s="1"/>
      <c r="OK182" s="1"/>
      <c r="OL182" s="1"/>
      <c r="OM182" s="1"/>
      <c r="ON182" s="1"/>
      <c r="OO182" s="1"/>
      <c r="OP182" s="1"/>
      <c r="OQ182" s="1"/>
      <c r="OR182" s="1"/>
      <c r="OS182" s="1"/>
      <c r="OT182" s="1"/>
      <c r="OU182" s="1"/>
      <c r="OV182" s="1"/>
      <c r="OW182" s="1"/>
      <c r="OX182" s="1"/>
      <c r="OY182" s="1"/>
      <c r="OZ182" s="1"/>
      <c r="PA182" s="1"/>
      <c r="PB182" s="1"/>
      <c r="PC182" s="1"/>
      <c r="PD182" s="1"/>
      <c r="PE182" s="1"/>
      <c r="PF182" s="1"/>
      <c r="PG182" s="1"/>
      <c r="PH182" s="1"/>
      <c r="PI182" s="1"/>
      <c r="PJ182" s="1"/>
      <c r="PK182" s="1"/>
      <c r="PL182" s="1"/>
      <c r="PM182" s="1"/>
      <c r="PN182" s="1"/>
      <c r="PO182" s="1"/>
      <c r="PP182" s="1"/>
      <c r="PQ182" s="1"/>
      <c r="PR182" s="1"/>
      <c r="PS182" s="1"/>
      <c r="PT182" s="1"/>
      <c r="PU182" s="1"/>
      <c r="PV182" s="1"/>
      <c r="PW182" s="1"/>
      <c r="PX182" s="1"/>
      <c r="PY182" s="1"/>
      <c r="PZ182" s="1"/>
      <c r="QA182" s="1"/>
      <c r="QB182" s="1"/>
      <c r="QC182" s="1"/>
      <c r="QD182" s="1"/>
      <c r="QE182" s="1"/>
      <c r="QF182" s="1"/>
      <c r="QG182" s="1"/>
      <c r="QH182" s="1"/>
      <c r="QI182" s="1"/>
      <c r="QJ182" s="1"/>
      <c r="QK182" s="1"/>
      <c r="QL182" s="1"/>
      <c r="QM182" s="1"/>
      <c r="QN182" s="1"/>
      <c r="QO182" s="1"/>
      <c r="QP182" s="1"/>
      <c r="QQ182" s="1"/>
      <c r="QR182" s="1"/>
      <c r="QS182" s="1"/>
      <c r="QT182" s="1"/>
      <c r="QU182" s="1"/>
      <c r="QV182" s="1"/>
      <c r="QW182" s="1"/>
      <c r="QX182" s="1"/>
      <c r="QY182" s="1"/>
      <c r="QZ182" s="1"/>
      <c r="RA182" s="1"/>
      <c r="RB182" s="1"/>
      <c r="RC182" s="1"/>
      <c r="RD182" s="1"/>
      <c r="RE182" s="1"/>
      <c r="RF182" s="1"/>
      <c r="RG182" s="1"/>
      <c r="RH182" s="1"/>
      <c r="RI182" s="1"/>
      <c r="RJ182" s="1"/>
      <c r="RK182" s="1"/>
      <c r="RL182" s="1"/>
      <c r="RM182" s="1"/>
      <c r="RN182" s="1"/>
      <c r="RO182" s="1"/>
      <c r="RP182" s="1"/>
      <c r="RQ182" s="1"/>
      <c r="RR182" s="1"/>
      <c r="RS182" s="1"/>
      <c r="RT182" s="1"/>
      <c r="RU182" s="1"/>
      <c r="RV182" s="1"/>
      <c r="RW182" s="1"/>
      <c r="RX182" s="1"/>
      <c r="RY182" s="1"/>
      <c r="RZ182" s="1"/>
      <c r="SA182" s="1"/>
      <c r="SB182" s="1"/>
      <c r="SC182" s="1"/>
      <c r="SD182" s="1"/>
      <c r="SE182" s="1"/>
      <c r="SF182" s="1"/>
      <c r="SG182" s="1"/>
      <c r="SH182" s="1"/>
      <c r="SI182" s="1"/>
      <c r="SJ182" s="1"/>
      <c r="SK182" s="1"/>
      <c r="SL182" s="1"/>
      <c r="SM182" s="1"/>
      <c r="SN182" s="1"/>
      <c r="SO182" s="1"/>
      <c r="SP182" s="1"/>
      <c r="SQ182" s="1"/>
      <c r="SR182" s="1"/>
      <c r="SS182" s="1"/>
      <c r="ST182" s="1"/>
      <c r="SU182" s="1"/>
      <c r="SV182" s="1"/>
      <c r="SW182" s="1"/>
      <c r="SX182" s="1"/>
      <c r="SY182" s="1"/>
      <c r="SZ182" s="1"/>
      <c r="TA182" s="1"/>
      <c r="TB182" s="1"/>
      <c r="TC182" s="1"/>
      <c r="TD182" s="1"/>
      <c r="TE182" s="1"/>
      <c r="TF182" s="1"/>
      <c r="TG182" s="1"/>
      <c r="TH182" s="1"/>
      <c r="TI182" s="1"/>
      <c r="TJ182" s="1"/>
      <c r="TK182" s="1"/>
      <c r="TL182" s="1"/>
      <c r="TM182" s="1"/>
      <c r="TN182" s="1"/>
      <c r="TO182" s="1"/>
      <c r="TP182" s="1"/>
      <c r="TQ182" s="1"/>
      <c r="TR182" s="1"/>
      <c r="TS182" s="1"/>
      <c r="TT182" s="1"/>
      <c r="TU182" s="1"/>
      <c r="TV182" s="1"/>
      <c r="TW182" s="1"/>
      <c r="TX182" s="1"/>
      <c r="TY182" s="1"/>
      <c r="TZ182" s="1"/>
      <c r="UA182" s="1"/>
      <c r="UB182" s="1"/>
      <c r="UC182" s="1"/>
      <c r="UD182" s="1"/>
      <c r="UE182" s="1"/>
      <c r="UF182" s="1"/>
      <c r="UG182" s="1"/>
      <c r="UH182" s="1"/>
      <c r="UI182" s="1"/>
      <c r="UJ182" s="1"/>
      <c r="UK182" s="1"/>
      <c r="UL182" s="1"/>
      <c r="UM182" s="1"/>
      <c r="UN182" s="1"/>
      <c r="UO182" s="1"/>
      <c r="UP182" s="1"/>
      <c r="UQ182" s="1"/>
      <c r="UR182" s="1"/>
      <c r="US182" s="1"/>
      <c r="UT182" s="1"/>
      <c r="UU182" s="1"/>
      <c r="UV182" s="1"/>
      <c r="UW182" s="1"/>
      <c r="UX182" s="1"/>
      <c r="UY182" s="1"/>
      <c r="UZ182" s="1"/>
      <c r="VA182" s="1"/>
      <c r="VB182" s="1"/>
      <c r="VC182" s="1"/>
      <c r="VD182" s="1"/>
      <c r="VE182" s="1"/>
      <c r="VF182" s="1"/>
      <c r="VG182" s="1"/>
      <c r="VH182" s="1"/>
      <c r="VI182" s="1"/>
      <c r="VJ182" s="1"/>
      <c r="VK182" s="1"/>
      <c r="VL182" s="1"/>
      <c r="VM182" s="1"/>
      <c r="VN182" s="1"/>
      <c r="VO182" s="1"/>
      <c r="VP182" s="1"/>
      <c r="VQ182" s="1"/>
      <c r="VR182" s="1"/>
      <c r="VS182" s="1"/>
      <c r="VT182" s="1"/>
      <c r="VU182" s="1"/>
      <c r="VV182" s="1"/>
      <c r="VW182" s="1"/>
      <c r="VX182" s="1"/>
      <c r="VY182" s="1"/>
      <c r="VZ182" s="1"/>
      <c r="WA182" s="1"/>
      <c r="WB182" s="1"/>
      <c r="WC182" s="1"/>
      <c r="WD182" s="1"/>
      <c r="WE182" s="1"/>
      <c r="WF182" s="1"/>
      <c r="WG182" s="1"/>
      <c r="WH182" s="1"/>
      <c r="WI182" s="1"/>
      <c r="WJ182" s="1"/>
      <c r="WK182" s="1"/>
      <c r="WL182" s="1"/>
      <c r="WM182" s="1"/>
      <c r="WN182" s="1"/>
      <c r="WO182" s="1"/>
      <c r="WP182" s="1"/>
      <c r="WQ182" s="1"/>
      <c r="WR182" s="1"/>
      <c r="WS182" s="1"/>
      <c r="WT182" s="1"/>
      <c r="WU182" s="1"/>
      <c r="WV182" s="1"/>
      <c r="WW182" s="1"/>
      <c r="WX182" s="1"/>
      <c r="WY182" s="1"/>
      <c r="WZ182" s="1"/>
      <c r="XA182" s="1"/>
      <c r="XB182" s="1"/>
      <c r="XC182" s="1"/>
      <c r="XD182" s="1"/>
      <c r="XE182" s="1"/>
      <c r="XF182" s="1"/>
      <c r="XG182" s="1"/>
      <c r="XH182" s="1"/>
      <c r="XI182" s="1"/>
      <c r="XJ182" s="1"/>
      <c r="XK182" s="1"/>
      <c r="XL182" s="1"/>
      <c r="XM182" s="1"/>
      <c r="XN182" s="1"/>
      <c r="XO182" s="1"/>
      <c r="XP182" s="1"/>
      <c r="XQ182" s="1"/>
      <c r="XR182" s="1"/>
      <c r="XS182" s="1"/>
      <c r="XT182" s="1"/>
      <c r="XU182" s="1"/>
      <c r="XV182" s="1"/>
      <c r="XW182" s="1"/>
      <c r="XX182" s="1"/>
      <c r="XY182" s="1"/>
      <c r="XZ182" s="1"/>
      <c r="YA182" s="1"/>
      <c r="YB182" s="1"/>
      <c r="YC182" s="1"/>
      <c r="YD182" s="1"/>
      <c r="YE182" s="1"/>
      <c r="YF182" s="1"/>
      <c r="YG182" s="1"/>
      <c r="YH182" s="1"/>
      <c r="YI182" s="1"/>
      <c r="YJ182" s="1"/>
      <c r="YK182" s="1"/>
      <c r="YL182" s="1"/>
      <c r="YM182" s="1"/>
      <c r="YN182" s="1"/>
      <c r="YO182" s="1"/>
      <c r="YP182" s="1"/>
      <c r="YQ182" s="1"/>
      <c r="YR182" s="1"/>
      <c r="YS182" s="1"/>
      <c r="YT182" s="1"/>
      <c r="YU182" s="1"/>
      <c r="YV182" s="1"/>
      <c r="YW182" s="1"/>
      <c r="YX182" s="1"/>
      <c r="YY182" s="1"/>
      <c r="YZ182" s="1"/>
      <c r="ZA182" s="1"/>
      <c r="ZB182" s="1"/>
      <c r="ZC182" s="1"/>
      <c r="ZD182" s="1"/>
      <c r="ZE182" s="1"/>
      <c r="ZF182" s="1"/>
      <c r="ZG182" s="1"/>
      <c r="ZH182" s="1"/>
      <c r="ZI182" s="1"/>
      <c r="ZJ182" s="1"/>
      <c r="ZK182" s="1"/>
      <c r="ZL182" s="1"/>
      <c r="ZM182" s="1"/>
      <c r="ZN182" s="1"/>
      <c r="ZO182" s="1"/>
      <c r="ZP182" s="1"/>
      <c r="ZQ182" s="1"/>
      <c r="ZR182" s="1"/>
      <c r="ZS182" s="1"/>
      <c r="ZT182" s="1"/>
      <c r="ZU182" s="1"/>
      <c r="ZV182" s="1"/>
      <c r="ZW182" s="1"/>
      <c r="ZX182" s="1"/>
      <c r="ZY182" s="1"/>
      <c r="ZZ182" s="1"/>
      <c r="AAA182" s="1"/>
      <c r="AAB182" s="1"/>
      <c r="AAC182" s="1"/>
      <c r="AAD182" s="1"/>
      <c r="AAE182" s="1"/>
      <c r="AAF182" s="1"/>
      <c r="AAG182" s="1"/>
      <c r="AAH182" s="1"/>
      <c r="AAI182" s="1"/>
      <c r="AAJ182" s="1"/>
      <c r="AAK182" s="1"/>
      <c r="AAL182" s="1"/>
      <c r="AAM182" s="1"/>
      <c r="AAN182" s="1"/>
      <c r="AAO182" s="1"/>
      <c r="AAP182" s="1"/>
      <c r="AAQ182" s="1"/>
      <c r="AAR182" s="1"/>
      <c r="AAS182" s="1"/>
      <c r="AAT182" s="1"/>
      <c r="AAU182" s="1"/>
      <c r="AAV182" s="1"/>
      <c r="AAW182" s="1"/>
      <c r="AAX182" s="1"/>
      <c r="AAY182" s="1"/>
      <c r="AAZ182" s="1"/>
      <c r="ABA182" s="1"/>
      <c r="ABB182" s="1"/>
      <c r="ABC182" s="1"/>
      <c r="ABD182" s="1"/>
      <c r="ABE182" s="1"/>
      <c r="ABF182" s="1"/>
      <c r="ABG182" s="1"/>
      <c r="ABH182" s="1"/>
      <c r="ABI182" s="1"/>
      <c r="ABJ182" s="1"/>
      <c r="ABK182" s="1"/>
      <c r="ABL182" s="1"/>
      <c r="ABM182" s="1"/>
      <c r="ABN182" s="1"/>
      <c r="ABO182" s="1"/>
      <c r="ABP182" s="1"/>
      <c r="ABQ182" s="1"/>
      <c r="ABR182" s="1"/>
      <c r="ABS182" s="1"/>
      <c r="ABT182" s="1"/>
      <c r="ABU182" s="1"/>
      <c r="ABV182" s="1"/>
      <c r="ABW182" s="1"/>
      <c r="ABX182" s="1"/>
      <c r="ABY182" s="1"/>
      <c r="ABZ182" s="1"/>
      <c r="ACA182" s="1"/>
      <c r="ACB182" s="1"/>
      <c r="ACC182" s="1"/>
      <c r="ACD182" s="1"/>
      <c r="ACE182" s="1"/>
      <c r="ACF182" s="1"/>
      <c r="ACG182" s="1"/>
      <c r="ACH182" s="1"/>
      <c r="ACI182" s="1"/>
      <c r="ACJ182" s="1"/>
      <c r="ACK182" s="1"/>
      <c r="ACL182" s="1"/>
      <c r="ACM182" s="1"/>
      <c r="ACN182" s="1"/>
      <c r="ACO182" s="1"/>
      <c r="ACP182" s="1"/>
      <c r="ACQ182" s="1"/>
      <c r="ACR182" s="1"/>
      <c r="ACS182" s="1"/>
      <c r="ACT182" s="1"/>
      <c r="ACU182" s="1"/>
      <c r="ACV182" s="1"/>
      <c r="ACW182" s="1"/>
      <c r="ACX182" s="1"/>
      <c r="ACY182" s="1"/>
      <c r="ACZ182" s="1"/>
      <c r="ADA182" s="1"/>
      <c r="ADB182" s="1"/>
      <c r="ADC182" s="1"/>
      <c r="ADD182" s="1"/>
      <c r="ADE182" s="1"/>
      <c r="ADF182" s="1"/>
      <c r="ADG182" s="1"/>
      <c r="ADH182" s="1"/>
      <c r="ADI182" s="1"/>
      <c r="ADJ182" s="1"/>
      <c r="ADK182" s="1"/>
      <c r="ADL182" s="1"/>
      <c r="ADM182" s="1"/>
      <c r="ADN182" s="1"/>
      <c r="ADO182" s="1"/>
      <c r="ADP182" s="1"/>
      <c r="ADQ182" s="1"/>
      <c r="ADR182" s="1"/>
      <c r="ADS182" s="1"/>
      <c r="ADT182" s="1"/>
      <c r="ADU182" s="1"/>
      <c r="ADV182" s="1"/>
      <c r="ADW182" s="1"/>
      <c r="ADX182" s="1"/>
      <c r="ADY182" s="1"/>
      <c r="ADZ182" s="1"/>
      <c r="AEA182" s="1"/>
      <c r="AEB182" s="1"/>
      <c r="AEC182" s="1"/>
      <c r="AED182" s="1"/>
      <c r="AEE182" s="1"/>
      <c r="AEF182" s="1"/>
      <c r="AEG182" s="1"/>
      <c r="AEH182" s="1"/>
      <c r="AEI182" s="1"/>
      <c r="AEJ182" s="1"/>
      <c r="AEK182" s="1"/>
      <c r="AEL182" s="1"/>
      <c r="AEM182" s="1"/>
      <c r="AEN182" s="1"/>
      <c r="AEO182" s="1"/>
      <c r="AEP182" s="1"/>
      <c r="AEQ182" s="1"/>
      <c r="AER182" s="1"/>
      <c r="AES182" s="1"/>
      <c r="AET182" s="1"/>
      <c r="AEU182" s="1"/>
      <c r="AEV182" s="1"/>
      <c r="AEW182" s="1"/>
      <c r="AEX182" s="1"/>
      <c r="AEY182" s="1"/>
      <c r="AEZ182" s="1"/>
      <c r="AFA182" s="1"/>
      <c r="AFB182" s="1"/>
      <c r="AFC182" s="1"/>
      <c r="AFD182" s="1"/>
      <c r="AFE182" s="1"/>
      <c r="AFF182" s="1"/>
      <c r="AFG182" s="1"/>
      <c r="AFH182" s="1"/>
      <c r="AFI182" s="1"/>
      <c r="AFJ182" s="1"/>
      <c r="AFK182" s="1"/>
      <c r="AFL182" s="1"/>
      <c r="AFM182" s="1"/>
      <c r="AFN182" s="1"/>
      <c r="AFO182" s="1"/>
      <c r="AFP182" s="1"/>
      <c r="AFQ182" s="1"/>
      <c r="AFR182" s="1"/>
      <c r="AFS182" s="1"/>
      <c r="AFT182" s="1"/>
      <c r="AFU182" s="1"/>
      <c r="AFV182" s="1"/>
      <c r="AFW182" s="1"/>
      <c r="AFX182" s="1"/>
      <c r="AFY182" s="1"/>
      <c r="AFZ182" s="1"/>
      <c r="AGA182" s="1"/>
      <c r="AGB182" s="1"/>
      <c r="AGC182" s="1"/>
      <c r="AGD182" s="1"/>
      <c r="AGE182" s="1"/>
      <c r="AGF182" s="1"/>
      <c r="AGG182" s="1"/>
      <c r="AGH182" s="1"/>
      <c r="AGI182" s="1"/>
      <c r="AGJ182" s="1"/>
      <c r="AGK182" s="1"/>
      <c r="AGL182" s="1"/>
      <c r="AGM182" s="1"/>
      <c r="AGN182" s="1"/>
      <c r="AGO182" s="1"/>
      <c r="AGP182" s="1"/>
      <c r="AGQ182" s="1"/>
      <c r="AGR182" s="1"/>
      <c r="AGS182" s="1"/>
      <c r="AGT182" s="1"/>
      <c r="AGU182" s="1"/>
      <c r="AGV182" s="1"/>
      <c r="AGW182" s="1"/>
      <c r="AGX182" s="1"/>
      <c r="AGY182" s="1"/>
      <c r="AGZ182" s="1"/>
      <c r="AHA182" s="1"/>
      <c r="AHB182" s="1"/>
      <c r="AHC182" s="1"/>
      <c r="AHD182" s="1"/>
      <c r="AHE182" s="1"/>
      <c r="AHF182" s="1"/>
      <c r="AHG182" s="1"/>
      <c r="AHH182" s="1"/>
      <c r="AHI182" s="1"/>
      <c r="AHJ182" s="1"/>
      <c r="AHK182" s="1"/>
      <c r="AHL182" s="1"/>
      <c r="AHM182" s="1"/>
      <c r="AHN182" s="1"/>
      <c r="AHO182" s="1"/>
      <c r="AHP182" s="1"/>
      <c r="AHQ182" s="1"/>
      <c r="AHR182" s="1"/>
      <c r="AHS182" s="1"/>
      <c r="AHT182" s="1"/>
      <c r="AHU182" s="1"/>
      <c r="AHV182" s="1"/>
      <c r="AHW182" s="1"/>
      <c r="AHX182" s="1"/>
      <c r="AHY182" s="1"/>
      <c r="AHZ182" s="1"/>
      <c r="AIA182" s="1"/>
      <c r="AIB182" s="1"/>
      <c r="AIC182" s="1"/>
      <c r="AID182" s="1"/>
      <c r="AIE182" s="1"/>
      <c r="AIF182" s="1"/>
      <c r="AIG182" s="1"/>
      <c r="AIH182" s="1"/>
      <c r="AII182" s="1"/>
      <c r="AIJ182" s="1"/>
      <c r="AIK182" s="1"/>
      <c r="AIL182" s="1"/>
      <c r="AIM182" s="1"/>
      <c r="AIN182" s="1"/>
      <c r="AIO182" s="1"/>
      <c r="AIP182" s="1"/>
      <c r="AIQ182" s="1"/>
      <c r="AIR182" s="1"/>
      <c r="AIS182" s="1"/>
      <c r="AIT182" s="1"/>
      <c r="AIU182" s="1"/>
      <c r="AIV182" s="1"/>
      <c r="AIW182" s="1"/>
      <c r="AIX182" s="1"/>
      <c r="AIY182" s="1"/>
      <c r="AIZ182" s="1"/>
      <c r="AJA182" s="1"/>
      <c r="AJB182" s="1"/>
      <c r="AJC182" s="1"/>
      <c r="AJD182" s="1"/>
      <c r="AJE182" s="1"/>
      <c r="AJF182" s="1"/>
      <c r="AJG182" s="1"/>
      <c r="AJH182" s="1"/>
      <c r="AJI182" s="1"/>
      <c r="AJJ182" s="1"/>
      <c r="AJK182" s="1"/>
      <c r="AJL182" s="1"/>
      <c r="AJM182" s="1"/>
      <c r="AJN182" s="1"/>
      <c r="AJO182" s="1"/>
      <c r="AJP182" s="1"/>
      <c r="AJQ182" s="1"/>
      <c r="AJR182" s="1"/>
      <c r="AJS182" s="1"/>
      <c r="AJT182" s="1"/>
      <c r="AJU182" s="1"/>
      <c r="AJV182" s="1"/>
      <c r="AJW182" s="1"/>
      <c r="AJX182" s="1"/>
      <c r="AJY182" s="1"/>
      <c r="AJZ182" s="1"/>
      <c r="AKA182" s="1"/>
      <c r="AKB182" s="1"/>
      <c r="AKC182" s="1"/>
      <c r="AKD182" s="1"/>
      <c r="AKE182" s="1"/>
      <c r="AKF182" s="1"/>
      <c r="AKG182" s="1"/>
      <c r="AKH182" s="1"/>
      <c r="AKI182" s="1"/>
      <c r="AKJ182" s="1"/>
      <c r="AKK182" s="1"/>
      <c r="AKL182" s="1"/>
      <c r="AKM182" s="1"/>
      <c r="AKN182" s="1"/>
      <c r="AKO182" s="1"/>
      <c r="AKP182" s="1"/>
      <c r="AKQ182" s="1"/>
      <c r="AKR182" s="1"/>
      <c r="AKS182" s="1"/>
      <c r="AKT182" s="1"/>
      <c r="AKU182" s="1"/>
      <c r="AKV182" s="1"/>
      <c r="AKW182" s="1"/>
      <c r="AKX182" s="1"/>
      <c r="AKY182" s="1"/>
      <c r="AKZ182" s="1"/>
      <c r="ALA182" s="1"/>
      <c r="ALB182" s="1"/>
      <c r="ALC182" s="1"/>
      <c r="ALD182" s="1"/>
      <c r="ALE182" s="1"/>
      <c r="ALF182" s="1"/>
      <c r="ALG182" s="1"/>
      <c r="ALH182" s="1"/>
      <c r="ALI182" s="1"/>
      <c r="ALJ182" s="1"/>
      <c r="ALK182" s="1"/>
      <c r="ALL182" s="1"/>
      <c r="ALM182" s="1"/>
      <c r="ALN182" s="1"/>
      <c r="ALO182" s="1"/>
      <c r="ALP182" s="1"/>
      <c r="ALQ182" s="1"/>
      <c r="ALR182" s="1"/>
      <c r="ALS182" s="1"/>
      <c r="ALT182" s="1"/>
      <c r="ALU182" s="1"/>
      <c r="ALV182" s="1"/>
      <c r="ALW182" s="1"/>
      <c r="ALX182" s="1"/>
      <c r="ALY182" s="1"/>
      <c r="ALZ182" s="1"/>
      <c r="AMA182" s="1"/>
      <c r="AMB182" s="1"/>
      <c r="AMC182" s="1"/>
      <c r="AMD182" s="1"/>
      <c r="AME182" s="1"/>
      <c r="AMF182" s="1"/>
      <c r="AMG182" s="1"/>
      <c r="AMH182" s="1"/>
      <c r="AMI182" s="1"/>
      <c r="AMJ182" s="1"/>
      <c r="AMK182" s="1"/>
      <c r="AML182" s="1"/>
      <c r="AMM182" s="1"/>
      <c r="AMN182" s="1"/>
    </row>
    <row r="183" spans="1:1029" x14ac:dyDescent="0.2">
      <c r="A183" s="3" t="str">
        <f t="shared" si="639"/>
        <v>crfr1_human_4Z9G</v>
      </c>
      <c r="B183" s="3" t="s">
        <v>38</v>
      </c>
      <c r="C183" s="3" t="s">
        <v>1060</v>
      </c>
      <c r="D183" s="3" t="str">
        <f>IFERROR(MID(VLOOKUP($B183,Seqs!$A:$B,2,0),E183,1),"")</f>
        <v>S</v>
      </c>
      <c r="E183" s="3">
        <v>112</v>
      </c>
      <c r="F183" s="3" t="str">
        <f>IFERROR(MID(VLOOKUP($B183,Seqs!$A:$B,2,0),G183,1),"")</f>
        <v>L</v>
      </c>
      <c r="G183" s="3">
        <v>144</v>
      </c>
      <c r="H183" s="3" t="str">
        <f>IFERROR(MID(VLOOKUP($B183,Seqs!$A:$B,2,0),I183,1),"")</f>
        <v>R</v>
      </c>
      <c r="I183" s="23">
        <v>145</v>
      </c>
      <c r="J183" s="3" t="str">
        <f>IFERROR(MID(VLOOKUP($B183,Seqs!$A:$B,2,0),K183,1),"")</f>
        <v>R</v>
      </c>
      <c r="K183" s="23">
        <v>148</v>
      </c>
      <c r="L183" s="3" t="str">
        <f>IFERROR(MID(VLOOKUP($B183,Seqs!$A:$B,2,0),M183,1),"")</f>
        <v>C</v>
      </c>
      <c r="M183" s="23">
        <v>149</v>
      </c>
      <c r="N183" s="3" t="str">
        <f>IFERROR(MID(VLOOKUP($B183,Seqs!$A:$B,2,0),O183,1),"")</f>
        <v>T</v>
      </c>
      <c r="O183" s="3">
        <v>175</v>
      </c>
      <c r="P183" s="3" t="str">
        <f>IFERROR(MID(VLOOKUP($B183,Seqs!$A:$B,2,0),Q183,1),"")</f>
        <v/>
      </c>
      <c r="Q183" s="3" t="s">
        <v>23</v>
      </c>
      <c r="R183" s="3" t="str">
        <f>IFERROR(MID(VLOOKUP($B183,Seqs!$A:$B,2,0),S183,1),"")</f>
        <v/>
      </c>
      <c r="S183" s="3" t="s">
        <v>23</v>
      </c>
      <c r="T183" s="3" t="str">
        <f>IFERROR(MID(VLOOKUP($B183,Seqs!$A:$B,2,0),U183,1),"")</f>
        <v>V</v>
      </c>
      <c r="U183" s="3">
        <v>185</v>
      </c>
      <c r="V183" s="3" t="str">
        <f>IFERROR(MID(VLOOKUP($B183,Seqs!$A:$B,2,0),W183,1),"")</f>
        <v>L</v>
      </c>
      <c r="W183" s="3">
        <v>219</v>
      </c>
      <c r="X183" s="3" t="str">
        <f>IFERROR(MID(VLOOKUP($B183,Seqs!$A:$B,2,0),Y183,1),"")</f>
        <v/>
      </c>
      <c r="Y183" s="3" t="s">
        <v>23</v>
      </c>
      <c r="Z183" s="3" t="str">
        <f>IFERROR(MID(VLOOKUP($B183,Seqs!$A:$B,2,0),AA183,1),"")</f>
        <v/>
      </c>
      <c r="AA183" s="3" t="s">
        <v>23</v>
      </c>
      <c r="AB183" s="3" t="str">
        <f>IFERROR(MID(VLOOKUP($B183,Seqs!$A:$B,2,0),AC183,1),"")</f>
        <v>L</v>
      </c>
      <c r="AC183" s="9">
        <v>226</v>
      </c>
      <c r="AD183" s="3" t="str">
        <f>IFERROR(MID(VLOOKUP($B183,Seqs!$A:$B,2,0),AE183,1),"")</f>
        <v>D</v>
      </c>
      <c r="AE183" s="3">
        <v>254</v>
      </c>
      <c r="AF183" s="3" t="str">
        <f>IFERROR(MID(VLOOKUP($B183,Seqs!$A:$B,2,0),AG183,1),"")</f>
        <v>C</v>
      </c>
      <c r="AG183" s="3">
        <v>258</v>
      </c>
      <c r="AH183" s="3" t="str">
        <f>IFERROR(MID(VLOOKUP($B183,Seqs!$A:$B,2,0),AI183,1),"")</f>
        <v>F</v>
      </c>
      <c r="AI183" s="3">
        <v>260</v>
      </c>
      <c r="AJ183" s="3" t="str">
        <f>IFERROR(MID(VLOOKUP($B183,Seqs!$A:$B,2,0),AK183,1),"")</f>
        <v>T</v>
      </c>
      <c r="AK183" s="3">
        <v>268</v>
      </c>
      <c r="AL183" s="3" t="str">
        <f>IFERROR(MID(VLOOKUP($B183,Seqs!$A:$B,2,0),AM183,1),"")</f>
        <v>L</v>
      </c>
      <c r="AM183" s="3">
        <v>298</v>
      </c>
      <c r="AN183" s="3" t="str">
        <f>IFERROR(MID(VLOOKUP($B183,Seqs!$A:$B,2,0),AO183,1),"")</f>
        <v>S</v>
      </c>
      <c r="AO183" s="3">
        <v>304</v>
      </c>
      <c r="AP183" s="3" t="str">
        <f>IFERROR(MID(VLOOKUP($B183,Seqs!$A:$B,2,0),AQ183,1),"")</f>
        <v>V</v>
      </c>
      <c r="AQ183" s="3">
        <v>332</v>
      </c>
      <c r="AR183" s="3" t="str">
        <f>IFERROR(MID(VLOOKUP($B183,Seqs!$A:$B,2,0),AS183,1),"")</f>
        <v>V</v>
      </c>
      <c r="AS183" s="3">
        <v>339</v>
      </c>
      <c r="AT183" s="3" t="str">
        <f>IFERROR(MID(VLOOKUP($B183,Seqs!$A:$B,2,0),AU183,1),"")</f>
        <v>F</v>
      </c>
      <c r="AU183" s="3">
        <v>362</v>
      </c>
      <c r="AV183" s="3" t="str">
        <f>IFERROR(MID(VLOOKUP($B183,Seqs!$A:$B,2,0),AW183,1),"")</f>
        <v/>
      </c>
      <c r="AW183" s="3" t="s">
        <v>23</v>
      </c>
      <c r="AX183" s="3" t="str">
        <f>IFERROR(MID(VLOOKUP($B183,Seqs!$A:$B,2,0),AY183,1),"")</f>
        <v/>
      </c>
      <c r="AY183" s="3" t="s">
        <v>23</v>
      </c>
      <c r="AZ183" s="79" t="str">
        <f>VLOOKUP(B183,Classification!A:D,2,0)</f>
        <v>B1</v>
      </c>
      <c r="BA183" s="97" t="str">
        <f>VLOOKUP(B183,Classification!A:D,4,0)</f>
        <v>Corticotropin-releasingfact</v>
      </c>
      <c r="BB183" s="27" t="b">
        <f t="shared" si="640"/>
        <v>1</v>
      </c>
      <c r="BC183" s="23">
        <f t="shared" si="836"/>
        <v>218</v>
      </c>
      <c r="BD183" s="2" t="s">
        <v>1383</v>
      </c>
      <c r="BE183" s="3" t="s">
        <v>1381</v>
      </c>
      <c r="BF183" s="50" t="s">
        <v>1384</v>
      </c>
      <c r="BG183" s="50" t="s">
        <v>1384</v>
      </c>
      <c r="BH183" s="1"/>
      <c r="BI183" s="72" t="s">
        <v>1293</v>
      </c>
      <c r="BJ183" s="58" t="s">
        <v>1293</v>
      </c>
      <c r="BK183" s="58" t="s">
        <v>1293</v>
      </c>
      <c r="BL183" s="58" t="s">
        <v>1293</v>
      </c>
      <c r="BM183" s="58" t="s">
        <v>1293</v>
      </c>
      <c r="BN183" s="58" t="s">
        <v>1293</v>
      </c>
      <c r="BO183" s="58" t="s">
        <v>1293</v>
      </c>
      <c r="BP183" s="58" t="s">
        <v>1293</v>
      </c>
      <c r="BQ183" s="58" t="s">
        <v>1293</v>
      </c>
      <c r="BR183" s="58" t="s">
        <v>1293</v>
      </c>
      <c r="BS183" s="58" t="s">
        <v>1293</v>
      </c>
      <c r="BT183" s="58" t="s">
        <v>1293</v>
      </c>
      <c r="BU183" s="72">
        <f t="shared" si="837"/>
        <v>112</v>
      </c>
      <c r="BV183" s="73">
        <f t="shared" si="838"/>
        <v>145</v>
      </c>
      <c r="BW183" s="74">
        <f t="shared" si="839"/>
        <v>149</v>
      </c>
      <c r="BX183" s="73" t="str">
        <f t="shared" si="840"/>
        <v>-</v>
      </c>
      <c r="BY183" s="74">
        <f t="shared" si="841"/>
        <v>185</v>
      </c>
      <c r="BZ183" s="73" t="str">
        <f t="shared" si="842"/>
        <v>-</v>
      </c>
      <c r="CA183" s="74">
        <f t="shared" si="843"/>
        <v>226</v>
      </c>
      <c r="CB183" s="73">
        <f t="shared" si="844"/>
        <v>258</v>
      </c>
      <c r="CC183" s="74">
        <f t="shared" si="845"/>
        <v>268</v>
      </c>
      <c r="CD183" s="73">
        <f t="shared" si="846"/>
        <v>304</v>
      </c>
      <c r="CE183" s="74">
        <f t="shared" si="847"/>
        <v>339</v>
      </c>
      <c r="CF183" s="73" t="str">
        <f t="shared" si="848"/>
        <v>-</v>
      </c>
      <c r="CG183" s="72">
        <f t="shared" si="849"/>
        <v>144</v>
      </c>
      <c r="CH183" s="73">
        <f t="shared" si="850"/>
        <v>148</v>
      </c>
      <c r="CI183" s="74">
        <f t="shared" si="851"/>
        <v>175</v>
      </c>
      <c r="CJ183" s="74" t="str">
        <f t="shared" si="852"/>
        <v>-</v>
      </c>
      <c r="CK183" s="74">
        <f t="shared" si="853"/>
        <v>219</v>
      </c>
      <c r="CL183" s="74" t="str">
        <f t="shared" si="854"/>
        <v>-</v>
      </c>
      <c r="CM183" s="74">
        <f t="shared" si="855"/>
        <v>254</v>
      </c>
      <c r="CN183" s="74">
        <f t="shared" si="856"/>
        <v>260</v>
      </c>
      <c r="CO183" s="74">
        <f t="shared" si="857"/>
        <v>298</v>
      </c>
      <c r="CP183" s="74">
        <f t="shared" si="858"/>
        <v>332</v>
      </c>
      <c r="CQ183" s="74">
        <f t="shared" si="859"/>
        <v>362</v>
      </c>
      <c r="CR183" s="74" t="str">
        <f t="shared" si="860"/>
        <v>-</v>
      </c>
      <c r="CS183" s="23">
        <f t="shared" si="861"/>
        <v>1</v>
      </c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  <c r="JD183" s="1"/>
      <c r="JE183" s="1"/>
      <c r="JF183" s="1"/>
      <c r="JG183" s="1"/>
      <c r="JH183" s="1"/>
      <c r="JI183" s="1"/>
      <c r="JJ183" s="1"/>
      <c r="JK183" s="1"/>
      <c r="JL183" s="1"/>
      <c r="JM183" s="1"/>
      <c r="JN183" s="1"/>
      <c r="JO183" s="1"/>
      <c r="JP183" s="1"/>
      <c r="JQ183" s="1"/>
      <c r="JR183" s="1"/>
      <c r="JS183" s="1"/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/>
      <c r="KE183" s="1"/>
      <c r="KF183" s="1"/>
      <c r="KG183" s="1"/>
      <c r="KH183" s="1"/>
      <c r="KI183" s="1"/>
      <c r="KJ183" s="1"/>
      <c r="KK183" s="1"/>
      <c r="KL183" s="1"/>
      <c r="KM183" s="1"/>
      <c r="KN183" s="1"/>
      <c r="KO183" s="1"/>
      <c r="KP183" s="1"/>
      <c r="KQ183" s="1"/>
      <c r="KR183" s="1"/>
      <c r="KS183" s="1"/>
      <c r="KT183" s="1"/>
      <c r="KU183" s="1"/>
      <c r="KV183" s="1"/>
      <c r="KW183" s="1"/>
      <c r="KX183" s="1"/>
      <c r="KY183" s="1"/>
      <c r="KZ183" s="1"/>
      <c r="LA183" s="1"/>
      <c r="LB183" s="1"/>
      <c r="LC183" s="1"/>
      <c r="LD183" s="1"/>
      <c r="LE183" s="1"/>
      <c r="LF183" s="1"/>
      <c r="LG183" s="1"/>
      <c r="LH183" s="1"/>
      <c r="LI183" s="1"/>
      <c r="LJ183" s="1"/>
      <c r="LK183" s="1"/>
      <c r="LL183" s="1"/>
      <c r="LM183" s="1"/>
      <c r="LN183" s="1"/>
      <c r="LO183" s="1"/>
      <c r="LP183" s="1"/>
      <c r="LQ183" s="1"/>
      <c r="LR183" s="1"/>
      <c r="LS183" s="1"/>
      <c r="LT183" s="1"/>
      <c r="LU183" s="1"/>
      <c r="LV183" s="1"/>
      <c r="LW183" s="1"/>
      <c r="LX183" s="1"/>
      <c r="LY183" s="1"/>
      <c r="LZ183" s="1"/>
      <c r="MA183" s="1"/>
      <c r="MB183" s="1"/>
      <c r="MC183" s="1"/>
      <c r="MD183" s="1"/>
      <c r="ME183" s="1"/>
      <c r="MF183" s="1"/>
      <c r="MG183" s="1"/>
      <c r="MH183" s="1"/>
      <c r="MI183" s="1"/>
      <c r="MJ183" s="1"/>
      <c r="MK183" s="1"/>
      <c r="ML183" s="1"/>
      <c r="MM183" s="1"/>
      <c r="MN183" s="1"/>
      <c r="MO183" s="1"/>
      <c r="MP183" s="1"/>
      <c r="MQ183" s="1"/>
      <c r="MR183" s="1"/>
      <c r="MS183" s="1"/>
      <c r="MT183" s="1"/>
      <c r="MU183" s="1"/>
      <c r="MV183" s="1"/>
      <c r="MW183" s="1"/>
      <c r="MX183" s="1"/>
      <c r="MY183" s="1"/>
      <c r="MZ183" s="1"/>
      <c r="NA183" s="1"/>
      <c r="NB183" s="1"/>
      <c r="NC183" s="1"/>
      <c r="ND183" s="1"/>
      <c r="NE183" s="1"/>
      <c r="NF183" s="1"/>
      <c r="NG183" s="1"/>
      <c r="NH183" s="1"/>
      <c r="NI183" s="1"/>
      <c r="NJ183" s="1"/>
      <c r="NK183" s="1"/>
      <c r="NL183" s="1"/>
      <c r="NM183" s="1"/>
      <c r="NN183" s="1"/>
      <c r="NO183" s="1"/>
      <c r="NP183" s="1"/>
      <c r="NQ183" s="1"/>
      <c r="NR183" s="1"/>
      <c r="NS183" s="1"/>
      <c r="NT183" s="1"/>
      <c r="NU183" s="1"/>
      <c r="NV183" s="1"/>
      <c r="NW183" s="1"/>
      <c r="NX183" s="1"/>
      <c r="NY183" s="1"/>
      <c r="NZ183" s="1"/>
      <c r="OA183" s="1"/>
      <c r="OB183" s="1"/>
      <c r="OC183" s="1"/>
      <c r="OD183" s="1"/>
      <c r="OE183" s="1"/>
      <c r="OF183" s="1"/>
      <c r="OG183" s="1"/>
      <c r="OH183" s="1"/>
      <c r="OI183" s="1"/>
      <c r="OJ183" s="1"/>
      <c r="OK183" s="1"/>
      <c r="OL183" s="1"/>
      <c r="OM183" s="1"/>
      <c r="ON183" s="1"/>
      <c r="OO183" s="1"/>
      <c r="OP183" s="1"/>
      <c r="OQ183" s="1"/>
      <c r="OR183" s="1"/>
      <c r="OS183" s="1"/>
      <c r="OT183" s="1"/>
      <c r="OU183" s="1"/>
      <c r="OV183" s="1"/>
      <c r="OW183" s="1"/>
      <c r="OX183" s="1"/>
      <c r="OY183" s="1"/>
      <c r="OZ183" s="1"/>
      <c r="PA183" s="1"/>
      <c r="PB183" s="1"/>
      <c r="PC183" s="1"/>
      <c r="PD183" s="1"/>
      <c r="PE183" s="1"/>
      <c r="PF183" s="1"/>
      <c r="PG183" s="1"/>
      <c r="PH183" s="1"/>
      <c r="PI183" s="1"/>
      <c r="PJ183" s="1"/>
      <c r="PK183" s="1"/>
      <c r="PL183" s="1"/>
      <c r="PM183" s="1"/>
      <c r="PN183" s="1"/>
      <c r="PO183" s="1"/>
      <c r="PP183" s="1"/>
      <c r="PQ183" s="1"/>
      <c r="PR183" s="1"/>
      <c r="PS183" s="1"/>
      <c r="PT183" s="1"/>
      <c r="PU183" s="1"/>
      <c r="PV183" s="1"/>
      <c r="PW183" s="1"/>
      <c r="PX183" s="1"/>
      <c r="PY183" s="1"/>
      <c r="PZ183" s="1"/>
      <c r="QA183" s="1"/>
      <c r="QB183" s="1"/>
      <c r="QC183" s="1"/>
      <c r="QD183" s="1"/>
      <c r="QE183" s="1"/>
      <c r="QF183" s="1"/>
      <c r="QG183" s="1"/>
      <c r="QH183" s="1"/>
      <c r="QI183" s="1"/>
      <c r="QJ183" s="1"/>
      <c r="QK183" s="1"/>
      <c r="QL183" s="1"/>
      <c r="QM183" s="1"/>
      <c r="QN183" s="1"/>
      <c r="QO183" s="1"/>
      <c r="QP183" s="1"/>
      <c r="QQ183" s="1"/>
      <c r="QR183" s="1"/>
      <c r="QS183" s="1"/>
      <c r="QT183" s="1"/>
      <c r="QU183" s="1"/>
      <c r="QV183" s="1"/>
      <c r="QW183" s="1"/>
      <c r="QX183" s="1"/>
      <c r="QY183" s="1"/>
      <c r="QZ183" s="1"/>
      <c r="RA183" s="1"/>
      <c r="RB183" s="1"/>
      <c r="RC183" s="1"/>
      <c r="RD183" s="1"/>
      <c r="RE183" s="1"/>
      <c r="RF183" s="1"/>
      <c r="RG183" s="1"/>
      <c r="RH183" s="1"/>
      <c r="RI183" s="1"/>
      <c r="RJ183" s="1"/>
      <c r="RK183" s="1"/>
      <c r="RL183" s="1"/>
      <c r="RM183" s="1"/>
      <c r="RN183" s="1"/>
      <c r="RO183" s="1"/>
      <c r="RP183" s="1"/>
      <c r="RQ183" s="1"/>
      <c r="RR183" s="1"/>
      <c r="RS183" s="1"/>
      <c r="RT183" s="1"/>
      <c r="RU183" s="1"/>
      <c r="RV183" s="1"/>
      <c r="RW183" s="1"/>
      <c r="RX183" s="1"/>
      <c r="RY183" s="1"/>
      <c r="RZ183" s="1"/>
      <c r="SA183" s="1"/>
      <c r="SB183" s="1"/>
      <c r="SC183" s="1"/>
      <c r="SD183" s="1"/>
      <c r="SE183" s="1"/>
      <c r="SF183" s="1"/>
      <c r="SG183" s="1"/>
      <c r="SH183" s="1"/>
      <c r="SI183" s="1"/>
      <c r="SJ183" s="1"/>
      <c r="SK183" s="1"/>
      <c r="SL183" s="1"/>
      <c r="SM183" s="1"/>
      <c r="SN183" s="1"/>
      <c r="SO183" s="1"/>
      <c r="SP183" s="1"/>
      <c r="SQ183" s="1"/>
      <c r="SR183" s="1"/>
      <c r="SS183" s="1"/>
      <c r="ST183" s="1"/>
      <c r="SU183" s="1"/>
      <c r="SV183" s="1"/>
      <c r="SW183" s="1"/>
      <c r="SX183" s="1"/>
      <c r="SY183" s="1"/>
      <c r="SZ183" s="1"/>
      <c r="TA183" s="1"/>
      <c r="TB183" s="1"/>
      <c r="TC183" s="1"/>
      <c r="TD183" s="1"/>
      <c r="TE183" s="1"/>
      <c r="TF183" s="1"/>
      <c r="TG183" s="1"/>
      <c r="TH183" s="1"/>
      <c r="TI183" s="1"/>
      <c r="TJ183" s="1"/>
      <c r="TK183" s="1"/>
      <c r="TL183" s="1"/>
      <c r="TM183" s="1"/>
      <c r="TN183" s="1"/>
      <c r="TO183" s="1"/>
      <c r="TP183" s="1"/>
      <c r="TQ183" s="1"/>
      <c r="TR183" s="1"/>
      <c r="TS183" s="1"/>
      <c r="TT183" s="1"/>
      <c r="TU183" s="1"/>
      <c r="TV183" s="1"/>
      <c r="TW183" s="1"/>
      <c r="TX183" s="1"/>
      <c r="TY183" s="1"/>
      <c r="TZ183" s="1"/>
      <c r="UA183" s="1"/>
      <c r="UB183" s="1"/>
      <c r="UC183" s="1"/>
      <c r="UD183" s="1"/>
      <c r="UE183" s="1"/>
      <c r="UF183" s="1"/>
      <c r="UG183" s="1"/>
      <c r="UH183" s="1"/>
      <c r="UI183" s="1"/>
      <c r="UJ183" s="1"/>
      <c r="UK183" s="1"/>
      <c r="UL183" s="1"/>
      <c r="UM183" s="1"/>
      <c r="UN183" s="1"/>
      <c r="UO183" s="1"/>
      <c r="UP183" s="1"/>
      <c r="UQ183" s="1"/>
      <c r="UR183" s="1"/>
      <c r="US183" s="1"/>
      <c r="UT183" s="1"/>
      <c r="UU183" s="1"/>
      <c r="UV183" s="1"/>
      <c r="UW183" s="1"/>
      <c r="UX183" s="1"/>
      <c r="UY183" s="1"/>
      <c r="UZ183" s="1"/>
      <c r="VA183" s="1"/>
      <c r="VB183" s="1"/>
      <c r="VC183" s="1"/>
      <c r="VD183" s="1"/>
      <c r="VE183" s="1"/>
      <c r="VF183" s="1"/>
      <c r="VG183" s="1"/>
      <c r="VH183" s="1"/>
      <c r="VI183" s="1"/>
      <c r="VJ183" s="1"/>
      <c r="VK183" s="1"/>
      <c r="VL183" s="1"/>
      <c r="VM183" s="1"/>
      <c r="VN183" s="1"/>
      <c r="VO183" s="1"/>
      <c r="VP183" s="1"/>
      <c r="VQ183" s="1"/>
      <c r="VR183" s="1"/>
      <c r="VS183" s="1"/>
      <c r="VT183" s="1"/>
      <c r="VU183" s="1"/>
      <c r="VV183" s="1"/>
      <c r="VW183" s="1"/>
      <c r="VX183" s="1"/>
      <c r="VY183" s="1"/>
      <c r="VZ183" s="1"/>
      <c r="WA183" s="1"/>
      <c r="WB183" s="1"/>
      <c r="WC183" s="1"/>
      <c r="WD183" s="1"/>
      <c r="WE183" s="1"/>
      <c r="WF183" s="1"/>
      <c r="WG183" s="1"/>
      <c r="WH183" s="1"/>
      <c r="WI183" s="1"/>
      <c r="WJ183" s="1"/>
      <c r="WK183" s="1"/>
      <c r="WL183" s="1"/>
      <c r="WM183" s="1"/>
      <c r="WN183" s="1"/>
      <c r="WO183" s="1"/>
      <c r="WP183" s="1"/>
      <c r="WQ183" s="1"/>
      <c r="WR183" s="1"/>
      <c r="WS183" s="1"/>
      <c r="WT183" s="1"/>
      <c r="WU183" s="1"/>
      <c r="WV183" s="1"/>
      <c r="WW183" s="1"/>
      <c r="WX183" s="1"/>
      <c r="WY183" s="1"/>
      <c r="WZ183" s="1"/>
      <c r="XA183" s="1"/>
      <c r="XB183" s="1"/>
      <c r="XC183" s="1"/>
      <c r="XD183" s="1"/>
      <c r="XE183" s="1"/>
      <c r="XF183" s="1"/>
      <c r="XG183" s="1"/>
      <c r="XH183" s="1"/>
      <c r="XI183" s="1"/>
      <c r="XJ183" s="1"/>
      <c r="XK183" s="1"/>
      <c r="XL183" s="1"/>
      <c r="XM183" s="1"/>
      <c r="XN183" s="1"/>
      <c r="XO183" s="1"/>
      <c r="XP183" s="1"/>
      <c r="XQ183" s="1"/>
      <c r="XR183" s="1"/>
      <c r="XS183" s="1"/>
      <c r="XT183" s="1"/>
      <c r="XU183" s="1"/>
      <c r="XV183" s="1"/>
      <c r="XW183" s="1"/>
      <c r="XX183" s="1"/>
      <c r="XY183" s="1"/>
      <c r="XZ183" s="1"/>
      <c r="YA183" s="1"/>
      <c r="YB183" s="1"/>
      <c r="YC183" s="1"/>
      <c r="YD183" s="1"/>
      <c r="YE183" s="1"/>
      <c r="YF183" s="1"/>
      <c r="YG183" s="1"/>
      <c r="YH183" s="1"/>
      <c r="YI183" s="1"/>
      <c r="YJ183" s="1"/>
      <c r="YK183" s="1"/>
      <c r="YL183" s="1"/>
      <c r="YM183" s="1"/>
      <c r="YN183" s="1"/>
      <c r="YO183" s="1"/>
      <c r="YP183" s="1"/>
      <c r="YQ183" s="1"/>
      <c r="YR183" s="1"/>
      <c r="YS183" s="1"/>
      <c r="YT183" s="1"/>
      <c r="YU183" s="1"/>
      <c r="YV183" s="1"/>
      <c r="YW183" s="1"/>
      <c r="YX183" s="1"/>
      <c r="YY183" s="1"/>
      <c r="YZ183" s="1"/>
      <c r="ZA183" s="1"/>
      <c r="ZB183" s="1"/>
      <c r="ZC183" s="1"/>
      <c r="ZD183" s="1"/>
      <c r="ZE183" s="1"/>
      <c r="ZF183" s="1"/>
      <c r="ZG183" s="1"/>
      <c r="ZH183" s="1"/>
      <c r="ZI183" s="1"/>
      <c r="ZJ183" s="1"/>
      <c r="ZK183" s="1"/>
      <c r="ZL183" s="1"/>
      <c r="ZM183" s="1"/>
      <c r="ZN183" s="1"/>
      <c r="ZO183" s="1"/>
      <c r="ZP183" s="1"/>
      <c r="ZQ183" s="1"/>
      <c r="ZR183" s="1"/>
      <c r="ZS183" s="1"/>
      <c r="ZT183" s="1"/>
      <c r="ZU183" s="1"/>
      <c r="ZV183" s="1"/>
      <c r="ZW183" s="1"/>
      <c r="ZX183" s="1"/>
      <c r="ZY183" s="1"/>
      <c r="ZZ183" s="1"/>
      <c r="AAA183" s="1"/>
      <c r="AAB183" s="1"/>
      <c r="AAC183" s="1"/>
      <c r="AAD183" s="1"/>
      <c r="AAE183" s="1"/>
      <c r="AAF183" s="1"/>
      <c r="AAG183" s="1"/>
      <c r="AAH183" s="1"/>
      <c r="AAI183" s="1"/>
      <c r="AAJ183" s="1"/>
      <c r="AAK183" s="1"/>
      <c r="AAL183" s="1"/>
      <c r="AAM183" s="1"/>
      <c r="AAN183" s="1"/>
      <c r="AAO183" s="1"/>
      <c r="AAP183" s="1"/>
      <c r="AAQ183" s="1"/>
      <c r="AAR183" s="1"/>
      <c r="AAS183" s="1"/>
      <c r="AAT183" s="1"/>
      <c r="AAU183" s="1"/>
      <c r="AAV183" s="1"/>
      <c r="AAW183" s="1"/>
      <c r="AAX183" s="1"/>
      <c r="AAY183" s="1"/>
      <c r="AAZ183" s="1"/>
      <c r="ABA183" s="1"/>
      <c r="ABB183" s="1"/>
      <c r="ABC183" s="1"/>
      <c r="ABD183" s="1"/>
      <c r="ABE183" s="1"/>
      <c r="ABF183" s="1"/>
      <c r="ABG183" s="1"/>
      <c r="ABH183" s="1"/>
      <c r="ABI183" s="1"/>
      <c r="ABJ183" s="1"/>
      <c r="ABK183" s="1"/>
      <c r="ABL183" s="1"/>
      <c r="ABM183" s="1"/>
      <c r="ABN183" s="1"/>
      <c r="ABO183" s="1"/>
      <c r="ABP183" s="1"/>
      <c r="ABQ183" s="1"/>
      <c r="ABR183" s="1"/>
      <c r="ABS183" s="1"/>
      <c r="ABT183" s="1"/>
      <c r="ABU183" s="1"/>
      <c r="ABV183" s="1"/>
      <c r="ABW183" s="1"/>
      <c r="ABX183" s="1"/>
      <c r="ABY183" s="1"/>
      <c r="ABZ183" s="1"/>
      <c r="ACA183" s="1"/>
      <c r="ACB183" s="1"/>
      <c r="ACC183" s="1"/>
      <c r="ACD183" s="1"/>
      <c r="ACE183" s="1"/>
      <c r="ACF183" s="1"/>
      <c r="ACG183" s="1"/>
      <c r="ACH183" s="1"/>
      <c r="ACI183" s="1"/>
      <c r="ACJ183" s="1"/>
      <c r="ACK183" s="1"/>
      <c r="ACL183" s="1"/>
      <c r="ACM183" s="1"/>
      <c r="ACN183" s="1"/>
      <c r="ACO183" s="1"/>
      <c r="ACP183" s="1"/>
      <c r="ACQ183" s="1"/>
      <c r="ACR183" s="1"/>
      <c r="ACS183" s="1"/>
      <c r="ACT183" s="1"/>
      <c r="ACU183" s="1"/>
      <c r="ACV183" s="1"/>
      <c r="ACW183" s="1"/>
      <c r="ACX183" s="1"/>
      <c r="ACY183" s="1"/>
      <c r="ACZ183" s="1"/>
      <c r="ADA183" s="1"/>
      <c r="ADB183" s="1"/>
      <c r="ADC183" s="1"/>
      <c r="ADD183" s="1"/>
      <c r="ADE183" s="1"/>
      <c r="ADF183" s="1"/>
      <c r="ADG183" s="1"/>
      <c r="ADH183" s="1"/>
      <c r="ADI183" s="1"/>
      <c r="ADJ183" s="1"/>
      <c r="ADK183" s="1"/>
      <c r="ADL183" s="1"/>
      <c r="ADM183" s="1"/>
      <c r="ADN183" s="1"/>
      <c r="ADO183" s="1"/>
      <c r="ADP183" s="1"/>
      <c r="ADQ183" s="1"/>
      <c r="ADR183" s="1"/>
      <c r="ADS183" s="1"/>
      <c r="ADT183" s="1"/>
      <c r="ADU183" s="1"/>
      <c r="ADV183" s="1"/>
      <c r="ADW183" s="1"/>
      <c r="ADX183" s="1"/>
      <c r="ADY183" s="1"/>
      <c r="ADZ183" s="1"/>
      <c r="AEA183" s="1"/>
      <c r="AEB183" s="1"/>
      <c r="AEC183" s="1"/>
      <c r="AED183" s="1"/>
      <c r="AEE183" s="1"/>
      <c r="AEF183" s="1"/>
      <c r="AEG183" s="1"/>
      <c r="AEH183" s="1"/>
      <c r="AEI183" s="1"/>
      <c r="AEJ183" s="1"/>
      <c r="AEK183" s="1"/>
      <c r="AEL183" s="1"/>
      <c r="AEM183" s="1"/>
      <c r="AEN183" s="1"/>
      <c r="AEO183" s="1"/>
      <c r="AEP183" s="1"/>
      <c r="AEQ183" s="1"/>
      <c r="AER183" s="1"/>
      <c r="AES183" s="1"/>
      <c r="AET183" s="1"/>
      <c r="AEU183" s="1"/>
      <c r="AEV183" s="1"/>
      <c r="AEW183" s="1"/>
      <c r="AEX183" s="1"/>
      <c r="AEY183" s="1"/>
      <c r="AEZ183" s="1"/>
      <c r="AFA183" s="1"/>
      <c r="AFB183" s="1"/>
      <c r="AFC183" s="1"/>
      <c r="AFD183" s="1"/>
      <c r="AFE183" s="1"/>
      <c r="AFF183" s="1"/>
      <c r="AFG183" s="1"/>
      <c r="AFH183" s="1"/>
      <c r="AFI183" s="1"/>
      <c r="AFJ183" s="1"/>
      <c r="AFK183" s="1"/>
      <c r="AFL183" s="1"/>
      <c r="AFM183" s="1"/>
      <c r="AFN183" s="1"/>
      <c r="AFO183" s="1"/>
      <c r="AFP183" s="1"/>
      <c r="AFQ183" s="1"/>
      <c r="AFR183" s="1"/>
      <c r="AFS183" s="1"/>
      <c r="AFT183" s="1"/>
      <c r="AFU183" s="1"/>
      <c r="AFV183" s="1"/>
      <c r="AFW183" s="1"/>
      <c r="AFX183" s="1"/>
      <c r="AFY183" s="1"/>
      <c r="AFZ183" s="1"/>
      <c r="AGA183" s="1"/>
      <c r="AGB183" s="1"/>
      <c r="AGC183" s="1"/>
      <c r="AGD183" s="1"/>
      <c r="AGE183" s="1"/>
      <c r="AGF183" s="1"/>
      <c r="AGG183" s="1"/>
      <c r="AGH183" s="1"/>
      <c r="AGI183" s="1"/>
      <c r="AGJ183" s="1"/>
      <c r="AGK183" s="1"/>
      <c r="AGL183" s="1"/>
      <c r="AGM183" s="1"/>
      <c r="AGN183" s="1"/>
      <c r="AGO183" s="1"/>
      <c r="AGP183" s="1"/>
      <c r="AGQ183" s="1"/>
      <c r="AGR183" s="1"/>
      <c r="AGS183" s="1"/>
      <c r="AGT183" s="1"/>
      <c r="AGU183" s="1"/>
      <c r="AGV183" s="1"/>
      <c r="AGW183" s="1"/>
      <c r="AGX183" s="1"/>
      <c r="AGY183" s="1"/>
      <c r="AGZ183" s="1"/>
      <c r="AHA183" s="1"/>
      <c r="AHB183" s="1"/>
      <c r="AHC183" s="1"/>
      <c r="AHD183" s="1"/>
      <c r="AHE183" s="1"/>
      <c r="AHF183" s="1"/>
      <c r="AHG183" s="1"/>
      <c r="AHH183" s="1"/>
      <c r="AHI183" s="1"/>
      <c r="AHJ183" s="1"/>
      <c r="AHK183" s="1"/>
      <c r="AHL183" s="1"/>
      <c r="AHM183" s="1"/>
      <c r="AHN183" s="1"/>
      <c r="AHO183" s="1"/>
      <c r="AHP183" s="1"/>
      <c r="AHQ183" s="1"/>
      <c r="AHR183" s="1"/>
      <c r="AHS183" s="1"/>
      <c r="AHT183" s="1"/>
      <c r="AHU183" s="1"/>
      <c r="AHV183" s="1"/>
      <c r="AHW183" s="1"/>
      <c r="AHX183" s="1"/>
      <c r="AHY183" s="1"/>
      <c r="AHZ183" s="1"/>
      <c r="AIA183" s="1"/>
      <c r="AIB183" s="1"/>
      <c r="AIC183" s="1"/>
      <c r="AID183" s="1"/>
      <c r="AIE183" s="1"/>
      <c r="AIF183" s="1"/>
      <c r="AIG183" s="1"/>
      <c r="AIH183" s="1"/>
      <c r="AII183" s="1"/>
      <c r="AIJ183" s="1"/>
      <c r="AIK183" s="1"/>
      <c r="AIL183" s="1"/>
      <c r="AIM183" s="1"/>
      <c r="AIN183" s="1"/>
      <c r="AIO183" s="1"/>
      <c r="AIP183" s="1"/>
      <c r="AIQ183" s="1"/>
      <c r="AIR183" s="1"/>
      <c r="AIS183" s="1"/>
      <c r="AIT183" s="1"/>
      <c r="AIU183" s="1"/>
      <c r="AIV183" s="1"/>
      <c r="AIW183" s="1"/>
      <c r="AIX183" s="1"/>
      <c r="AIY183" s="1"/>
      <c r="AIZ183" s="1"/>
      <c r="AJA183" s="1"/>
      <c r="AJB183" s="1"/>
      <c r="AJC183" s="1"/>
      <c r="AJD183" s="1"/>
      <c r="AJE183" s="1"/>
      <c r="AJF183" s="1"/>
      <c r="AJG183" s="1"/>
      <c r="AJH183" s="1"/>
      <c r="AJI183" s="1"/>
      <c r="AJJ183" s="1"/>
      <c r="AJK183" s="1"/>
      <c r="AJL183" s="1"/>
      <c r="AJM183" s="1"/>
      <c r="AJN183" s="1"/>
      <c r="AJO183" s="1"/>
      <c r="AJP183" s="1"/>
      <c r="AJQ183" s="1"/>
      <c r="AJR183" s="1"/>
      <c r="AJS183" s="1"/>
      <c r="AJT183" s="1"/>
      <c r="AJU183" s="1"/>
      <c r="AJV183" s="1"/>
      <c r="AJW183" s="1"/>
      <c r="AJX183" s="1"/>
      <c r="AJY183" s="1"/>
      <c r="AJZ183" s="1"/>
      <c r="AKA183" s="1"/>
      <c r="AKB183" s="1"/>
      <c r="AKC183" s="1"/>
      <c r="AKD183" s="1"/>
      <c r="AKE183" s="1"/>
      <c r="AKF183" s="1"/>
      <c r="AKG183" s="1"/>
      <c r="AKH183" s="1"/>
      <c r="AKI183" s="1"/>
      <c r="AKJ183" s="1"/>
      <c r="AKK183" s="1"/>
      <c r="AKL183" s="1"/>
      <c r="AKM183" s="1"/>
      <c r="AKN183" s="1"/>
      <c r="AKO183" s="1"/>
      <c r="AKP183" s="1"/>
      <c r="AKQ183" s="1"/>
      <c r="AKR183" s="1"/>
      <c r="AKS183" s="1"/>
      <c r="AKT183" s="1"/>
      <c r="AKU183" s="1"/>
      <c r="AKV183" s="1"/>
      <c r="AKW183" s="1"/>
      <c r="AKX183" s="1"/>
      <c r="AKY183" s="1"/>
      <c r="AKZ183" s="1"/>
      <c r="ALA183" s="1"/>
      <c r="ALB183" s="1"/>
      <c r="ALC183" s="1"/>
      <c r="ALD183" s="1"/>
      <c r="ALE183" s="1"/>
      <c r="ALF183" s="1"/>
      <c r="ALG183" s="1"/>
      <c r="ALH183" s="1"/>
      <c r="ALI183" s="1"/>
      <c r="ALJ183" s="1"/>
      <c r="ALK183" s="1"/>
      <c r="ALL183" s="1"/>
      <c r="ALM183" s="1"/>
      <c r="ALN183" s="1"/>
      <c r="ALO183" s="1"/>
      <c r="ALP183" s="1"/>
      <c r="ALQ183" s="1"/>
      <c r="ALR183" s="1"/>
      <c r="ALS183" s="1"/>
      <c r="ALT183" s="1"/>
      <c r="ALU183" s="1"/>
      <c r="ALV183" s="1"/>
      <c r="ALW183" s="1"/>
      <c r="ALX183" s="1"/>
      <c r="ALY183" s="1"/>
      <c r="ALZ183" s="1"/>
      <c r="AMA183" s="1"/>
      <c r="AMB183" s="1"/>
      <c r="AMC183" s="1"/>
      <c r="AMD183" s="1"/>
      <c r="AME183" s="1"/>
      <c r="AMF183" s="1"/>
      <c r="AMG183" s="1"/>
      <c r="AMH183" s="1"/>
      <c r="AMI183" s="1"/>
      <c r="AMJ183" s="1"/>
      <c r="AMK183" s="1"/>
      <c r="AML183" s="1"/>
      <c r="AMM183" s="1"/>
      <c r="AMN183" s="1"/>
    </row>
    <row r="184" spans="1:1029" x14ac:dyDescent="0.2">
      <c r="A184" s="3" t="str">
        <f t="shared" si="639"/>
        <v>crfr1_human_4Z9G_dist</v>
      </c>
      <c r="B184" s="3" t="s">
        <v>38</v>
      </c>
      <c r="C184" s="3" t="s">
        <v>1162</v>
      </c>
      <c r="D184" s="3" t="str">
        <f>IFERROR(MID(VLOOKUP($B184,Seqs!$A:$B,2,0),E184,1),"")</f>
        <v>S</v>
      </c>
      <c r="E184" s="3">
        <v>112</v>
      </c>
      <c r="F184" s="3" t="str">
        <f>IFERROR(MID(VLOOKUP($B184,Seqs!$A:$B,2,0),G184,1),"")</f>
        <v>L</v>
      </c>
      <c r="G184" s="3">
        <v>144</v>
      </c>
      <c r="H184" s="3" t="str">
        <f>IFERROR(MID(VLOOKUP($B184,Seqs!$A:$B,2,0),I184,1),"")</f>
        <v>R</v>
      </c>
      <c r="I184" s="23">
        <v>145</v>
      </c>
      <c r="J184" s="3" t="str">
        <f>IFERROR(MID(VLOOKUP($B184,Seqs!$A:$B,2,0),K184,1),"")</f>
        <v>R</v>
      </c>
      <c r="K184" s="23">
        <v>148</v>
      </c>
      <c r="L184" s="3" t="str">
        <f>IFERROR(MID(VLOOKUP($B184,Seqs!$A:$B,2,0),M184,1),"")</f>
        <v>C</v>
      </c>
      <c r="M184" s="23">
        <v>149</v>
      </c>
      <c r="N184" s="3" t="str">
        <f>IFERROR(MID(VLOOKUP($B184,Seqs!$A:$B,2,0),O184,1),"")</f>
        <v>T</v>
      </c>
      <c r="O184" s="3">
        <v>175</v>
      </c>
      <c r="P184" s="3" t="str">
        <f>IFERROR(MID(VLOOKUP($B184,Seqs!$A:$B,2,0),Q184,1),"")</f>
        <v/>
      </c>
      <c r="Q184" s="3" t="s">
        <v>23</v>
      </c>
      <c r="R184" s="3" t="str">
        <f>IFERROR(MID(VLOOKUP($B184,Seqs!$A:$B,2,0),S184,1),"")</f>
        <v/>
      </c>
      <c r="S184" s="3" t="s">
        <v>23</v>
      </c>
      <c r="T184" s="3" t="str">
        <f>IFERROR(MID(VLOOKUP($B184,Seqs!$A:$B,2,0),U184,1),"")</f>
        <v>V</v>
      </c>
      <c r="U184" s="3">
        <v>185</v>
      </c>
      <c r="V184" s="3" t="str">
        <f>IFERROR(MID(VLOOKUP($B184,Seqs!$A:$B,2,0),W184,1),"")</f>
        <v>L</v>
      </c>
      <c r="W184" s="3">
        <v>219</v>
      </c>
      <c r="X184" s="3" t="str">
        <f>IFERROR(MID(VLOOKUP($B184,Seqs!$A:$B,2,0),Y184,1),"")</f>
        <v/>
      </c>
      <c r="Y184" s="3" t="s">
        <v>23</v>
      </c>
      <c r="Z184" s="3" t="str">
        <f>IFERROR(MID(VLOOKUP($B184,Seqs!$A:$B,2,0),AA184,1),"")</f>
        <v/>
      </c>
      <c r="AA184" s="3" t="s">
        <v>23</v>
      </c>
      <c r="AB184" s="3" t="str">
        <f>IFERROR(MID(VLOOKUP($B184,Seqs!$A:$B,2,0),AC184,1),"")</f>
        <v>L</v>
      </c>
      <c r="AC184" s="9">
        <v>226</v>
      </c>
      <c r="AD184" s="3" t="str">
        <f>IFERROR(MID(VLOOKUP($B184,Seqs!$A:$B,2,0),AE184,1),"")</f>
        <v>D</v>
      </c>
      <c r="AE184" s="3">
        <v>254</v>
      </c>
      <c r="AF184" s="3" t="str">
        <f>IFERROR(MID(VLOOKUP($B184,Seqs!$A:$B,2,0),AG184,1),"")</f>
        <v>C</v>
      </c>
      <c r="AG184" s="3">
        <v>258</v>
      </c>
      <c r="AH184" s="3" t="str">
        <f>IFERROR(MID(VLOOKUP($B184,Seqs!$A:$B,2,0),AI184,1),"")</f>
        <v>F</v>
      </c>
      <c r="AI184" s="3">
        <v>260</v>
      </c>
      <c r="AJ184" s="3" t="str">
        <f>IFERROR(MID(VLOOKUP($B184,Seqs!$A:$B,2,0),AK184,1),"")</f>
        <v>T</v>
      </c>
      <c r="AK184" s="3">
        <v>268</v>
      </c>
      <c r="AL184" s="3" t="str">
        <f>IFERROR(MID(VLOOKUP($B184,Seqs!$A:$B,2,0),AM184,1),"")</f>
        <v>L</v>
      </c>
      <c r="AM184" s="3">
        <v>298</v>
      </c>
      <c r="AN184" s="3" t="str">
        <f>IFERROR(MID(VLOOKUP($B184,Seqs!$A:$B,2,0),AO184,1),"")</f>
        <v>S</v>
      </c>
      <c r="AO184" s="3">
        <v>304</v>
      </c>
      <c r="AP184" s="3" t="str">
        <f>IFERROR(MID(VLOOKUP($B184,Seqs!$A:$B,2,0),AQ184,1),"")</f>
        <v>V</v>
      </c>
      <c r="AQ184" s="3">
        <v>332</v>
      </c>
      <c r="AR184" s="3" t="str">
        <f>IFERROR(MID(VLOOKUP($B184,Seqs!$A:$B,2,0),AS184,1),"")</f>
        <v>V</v>
      </c>
      <c r="AS184" s="3">
        <v>339</v>
      </c>
      <c r="AT184" s="3" t="str">
        <f>IFERROR(MID(VLOOKUP($B184,Seqs!$A:$B,2,0),AU184,1),"")</f>
        <v>E</v>
      </c>
      <c r="AU184" s="3">
        <v>369</v>
      </c>
      <c r="AV184" s="3" t="str">
        <f>IFERROR(MID(VLOOKUP($B184,Seqs!$A:$B,2,0),AW184,1),"")</f>
        <v/>
      </c>
      <c r="AW184" s="3" t="s">
        <v>23</v>
      </c>
      <c r="AX184" s="3" t="str">
        <f>IFERROR(MID(VLOOKUP($B184,Seqs!$A:$B,2,0),AY184,1),"")</f>
        <v/>
      </c>
      <c r="AY184" s="3" t="s">
        <v>23</v>
      </c>
      <c r="AZ184" s="79" t="str">
        <f>VLOOKUP(B184,Classification!A:D,2,0)</f>
        <v>B1</v>
      </c>
      <c r="BA184" s="97" t="str">
        <f>VLOOKUP(B184,Classification!A:D,4,0)</f>
        <v>Corticotropin-releasingfact</v>
      </c>
      <c r="BB184" s="27" t="b">
        <f t="shared" si="640"/>
        <v>1</v>
      </c>
      <c r="BC184" s="23">
        <f t="shared" si="836"/>
        <v>225</v>
      </c>
      <c r="BD184" s="57" t="s">
        <v>1379</v>
      </c>
      <c r="BE184" s="3" t="s">
        <v>1381</v>
      </c>
      <c r="BF184" s="50" t="s">
        <v>1384</v>
      </c>
      <c r="BG184" s="50" t="s">
        <v>1384</v>
      </c>
      <c r="BH184" s="3" t="s">
        <v>1163</v>
      </c>
      <c r="BI184" s="72" t="s">
        <v>1293</v>
      </c>
      <c r="BJ184" s="58" t="s">
        <v>1293</v>
      </c>
      <c r="BK184" s="58" t="s">
        <v>1293</v>
      </c>
      <c r="BL184" s="58" t="s">
        <v>1293</v>
      </c>
      <c r="BM184" s="58" t="s">
        <v>1293</v>
      </c>
      <c r="BN184" s="58" t="s">
        <v>1293</v>
      </c>
      <c r="BO184" s="58" t="s">
        <v>1293</v>
      </c>
      <c r="BP184" s="58" t="s">
        <v>1293</v>
      </c>
      <c r="BQ184" s="58" t="s">
        <v>1293</v>
      </c>
      <c r="BR184" s="58" t="s">
        <v>1293</v>
      </c>
      <c r="BS184" s="58" t="s">
        <v>1293</v>
      </c>
      <c r="BT184" s="58" t="s">
        <v>1293</v>
      </c>
      <c r="BU184" s="72">
        <f t="shared" si="837"/>
        <v>112</v>
      </c>
      <c r="BV184" s="73">
        <f t="shared" si="838"/>
        <v>145</v>
      </c>
      <c r="BW184" s="74">
        <f t="shared" si="839"/>
        <v>149</v>
      </c>
      <c r="BX184" s="73" t="str">
        <f t="shared" si="840"/>
        <v>-</v>
      </c>
      <c r="BY184" s="74">
        <f t="shared" si="841"/>
        <v>185</v>
      </c>
      <c r="BZ184" s="73" t="str">
        <f t="shared" si="842"/>
        <v>-</v>
      </c>
      <c r="CA184" s="74">
        <f t="shared" si="843"/>
        <v>226</v>
      </c>
      <c r="CB184" s="73">
        <f t="shared" si="844"/>
        <v>258</v>
      </c>
      <c r="CC184" s="74">
        <f t="shared" si="845"/>
        <v>268</v>
      </c>
      <c r="CD184" s="73">
        <f t="shared" si="846"/>
        <v>304</v>
      </c>
      <c r="CE184" s="74">
        <f t="shared" si="847"/>
        <v>339</v>
      </c>
      <c r="CF184" s="73" t="str">
        <f t="shared" si="848"/>
        <v>-</v>
      </c>
      <c r="CG184" s="72">
        <f t="shared" si="849"/>
        <v>144</v>
      </c>
      <c r="CH184" s="73">
        <f t="shared" si="850"/>
        <v>148</v>
      </c>
      <c r="CI184" s="74">
        <f t="shared" si="851"/>
        <v>175</v>
      </c>
      <c r="CJ184" s="74" t="str">
        <f t="shared" si="852"/>
        <v>-</v>
      </c>
      <c r="CK184" s="74">
        <f t="shared" si="853"/>
        <v>219</v>
      </c>
      <c r="CL184" s="74" t="str">
        <f t="shared" si="854"/>
        <v>-</v>
      </c>
      <c r="CM184" s="74">
        <f t="shared" si="855"/>
        <v>254</v>
      </c>
      <c r="CN184" s="74">
        <f t="shared" si="856"/>
        <v>260</v>
      </c>
      <c r="CO184" s="74">
        <f t="shared" si="857"/>
        <v>298</v>
      </c>
      <c r="CP184" s="74">
        <f t="shared" si="858"/>
        <v>332</v>
      </c>
      <c r="CQ184" s="74">
        <f t="shared" si="859"/>
        <v>369</v>
      </c>
      <c r="CR184" s="74" t="str">
        <f t="shared" si="860"/>
        <v>-</v>
      </c>
      <c r="CS184" s="23">
        <f t="shared" si="861"/>
        <v>1</v>
      </c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  <c r="JD184" s="1"/>
      <c r="JE184" s="1"/>
      <c r="JF184" s="1"/>
      <c r="JG184" s="1"/>
      <c r="JH184" s="1"/>
      <c r="JI184" s="1"/>
      <c r="JJ184" s="1"/>
      <c r="JK184" s="1"/>
      <c r="JL184" s="1"/>
      <c r="JM184" s="1"/>
      <c r="JN184" s="1"/>
      <c r="JO184" s="1"/>
      <c r="JP184" s="1"/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/>
      <c r="KE184" s="1"/>
      <c r="KF184" s="1"/>
      <c r="KG184" s="1"/>
      <c r="KH184" s="1"/>
      <c r="KI184" s="1"/>
      <c r="KJ184" s="1"/>
      <c r="KK184" s="1"/>
      <c r="KL184" s="1"/>
      <c r="KM184" s="1"/>
      <c r="KN184" s="1"/>
      <c r="KO184" s="1"/>
      <c r="KP184" s="1"/>
      <c r="KQ184" s="1"/>
      <c r="KR184" s="1"/>
      <c r="KS184" s="1"/>
      <c r="KT184" s="1"/>
      <c r="KU184" s="1"/>
      <c r="KV184" s="1"/>
      <c r="KW184" s="1"/>
      <c r="KX184" s="1"/>
      <c r="KY184" s="1"/>
      <c r="KZ184" s="1"/>
      <c r="LA184" s="1"/>
      <c r="LB184" s="1"/>
      <c r="LC184" s="1"/>
      <c r="LD184" s="1"/>
      <c r="LE184" s="1"/>
      <c r="LF184" s="1"/>
      <c r="LG184" s="1"/>
      <c r="LH184" s="1"/>
      <c r="LI184" s="1"/>
      <c r="LJ184" s="1"/>
      <c r="LK184" s="1"/>
      <c r="LL184" s="1"/>
      <c r="LM184" s="1"/>
      <c r="LN184" s="1"/>
      <c r="LO184" s="1"/>
      <c r="LP184" s="1"/>
      <c r="LQ184" s="1"/>
      <c r="LR184" s="1"/>
      <c r="LS184" s="1"/>
      <c r="LT184" s="1"/>
      <c r="LU184" s="1"/>
      <c r="LV184" s="1"/>
      <c r="LW184" s="1"/>
      <c r="LX184" s="1"/>
      <c r="LY184" s="1"/>
      <c r="LZ184" s="1"/>
      <c r="MA184" s="1"/>
      <c r="MB184" s="1"/>
      <c r="MC184" s="1"/>
      <c r="MD184" s="1"/>
      <c r="ME184" s="1"/>
      <c r="MF184" s="1"/>
      <c r="MG184" s="1"/>
      <c r="MH184" s="1"/>
      <c r="MI184" s="1"/>
      <c r="MJ184" s="1"/>
      <c r="MK184" s="1"/>
      <c r="ML184" s="1"/>
      <c r="MM184" s="1"/>
      <c r="MN184" s="1"/>
      <c r="MO184" s="1"/>
      <c r="MP184" s="1"/>
      <c r="MQ184" s="1"/>
      <c r="MR184" s="1"/>
      <c r="MS184" s="1"/>
      <c r="MT184" s="1"/>
      <c r="MU184" s="1"/>
      <c r="MV184" s="1"/>
      <c r="MW184" s="1"/>
      <c r="MX184" s="1"/>
      <c r="MY184" s="1"/>
      <c r="MZ184" s="1"/>
      <c r="NA184" s="1"/>
      <c r="NB184" s="1"/>
      <c r="NC184" s="1"/>
      <c r="ND184" s="1"/>
      <c r="NE184" s="1"/>
      <c r="NF184" s="1"/>
      <c r="NG184" s="1"/>
      <c r="NH184" s="1"/>
      <c r="NI184" s="1"/>
      <c r="NJ184" s="1"/>
      <c r="NK184" s="1"/>
      <c r="NL184" s="1"/>
      <c r="NM184" s="1"/>
      <c r="NN184" s="1"/>
      <c r="NO184" s="1"/>
      <c r="NP184" s="1"/>
      <c r="NQ184" s="1"/>
      <c r="NR184" s="1"/>
      <c r="NS184" s="1"/>
      <c r="NT184" s="1"/>
      <c r="NU184" s="1"/>
      <c r="NV184" s="1"/>
      <c r="NW184" s="1"/>
      <c r="NX184" s="1"/>
      <c r="NY184" s="1"/>
      <c r="NZ184" s="1"/>
      <c r="OA184" s="1"/>
      <c r="OB184" s="1"/>
      <c r="OC184" s="1"/>
      <c r="OD184" s="1"/>
      <c r="OE184" s="1"/>
      <c r="OF184" s="1"/>
      <c r="OG184" s="1"/>
      <c r="OH184" s="1"/>
      <c r="OI184" s="1"/>
      <c r="OJ184" s="1"/>
      <c r="OK184" s="1"/>
      <c r="OL184" s="1"/>
      <c r="OM184" s="1"/>
      <c r="ON184" s="1"/>
      <c r="OO184" s="1"/>
      <c r="OP184" s="1"/>
      <c r="OQ184" s="1"/>
      <c r="OR184" s="1"/>
      <c r="OS184" s="1"/>
      <c r="OT184" s="1"/>
      <c r="OU184" s="1"/>
      <c r="OV184" s="1"/>
      <c r="OW184" s="1"/>
      <c r="OX184" s="1"/>
      <c r="OY184" s="1"/>
      <c r="OZ184" s="1"/>
      <c r="PA184" s="1"/>
      <c r="PB184" s="1"/>
      <c r="PC184" s="1"/>
      <c r="PD184" s="1"/>
      <c r="PE184" s="1"/>
      <c r="PF184" s="1"/>
      <c r="PG184" s="1"/>
      <c r="PH184" s="1"/>
      <c r="PI184" s="1"/>
      <c r="PJ184" s="1"/>
      <c r="PK184" s="1"/>
      <c r="PL184" s="1"/>
      <c r="PM184" s="1"/>
      <c r="PN184" s="1"/>
      <c r="PO184" s="1"/>
      <c r="PP184" s="1"/>
      <c r="PQ184" s="1"/>
      <c r="PR184" s="1"/>
      <c r="PS184" s="1"/>
      <c r="PT184" s="1"/>
      <c r="PU184" s="1"/>
      <c r="PV184" s="1"/>
      <c r="PW184" s="1"/>
      <c r="PX184" s="1"/>
      <c r="PY184" s="1"/>
      <c r="PZ184" s="1"/>
      <c r="QA184" s="1"/>
      <c r="QB184" s="1"/>
      <c r="QC184" s="1"/>
      <c r="QD184" s="1"/>
      <c r="QE184" s="1"/>
      <c r="QF184" s="1"/>
      <c r="QG184" s="1"/>
      <c r="QH184" s="1"/>
      <c r="QI184" s="1"/>
      <c r="QJ184" s="1"/>
      <c r="QK184" s="1"/>
      <c r="QL184" s="1"/>
      <c r="QM184" s="1"/>
      <c r="QN184" s="1"/>
      <c r="QO184" s="1"/>
      <c r="QP184" s="1"/>
      <c r="QQ184" s="1"/>
      <c r="QR184" s="1"/>
      <c r="QS184" s="1"/>
      <c r="QT184" s="1"/>
      <c r="QU184" s="1"/>
      <c r="QV184" s="1"/>
      <c r="QW184" s="1"/>
      <c r="QX184" s="1"/>
      <c r="QY184" s="1"/>
      <c r="QZ184" s="1"/>
      <c r="RA184" s="1"/>
      <c r="RB184" s="1"/>
      <c r="RC184" s="1"/>
      <c r="RD184" s="1"/>
      <c r="RE184" s="1"/>
      <c r="RF184" s="1"/>
      <c r="RG184" s="1"/>
      <c r="RH184" s="1"/>
      <c r="RI184" s="1"/>
      <c r="RJ184" s="1"/>
      <c r="RK184" s="1"/>
      <c r="RL184" s="1"/>
      <c r="RM184" s="1"/>
      <c r="RN184" s="1"/>
      <c r="RO184" s="1"/>
      <c r="RP184" s="1"/>
      <c r="RQ184" s="1"/>
      <c r="RR184" s="1"/>
      <c r="RS184" s="1"/>
      <c r="RT184" s="1"/>
      <c r="RU184" s="1"/>
      <c r="RV184" s="1"/>
      <c r="RW184" s="1"/>
      <c r="RX184" s="1"/>
      <c r="RY184" s="1"/>
      <c r="RZ184" s="1"/>
      <c r="SA184" s="1"/>
      <c r="SB184" s="1"/>
      <c r="SC184" s="1"/>
      <c r="SD184" s="1"/>
      <c r="SE184" s="1"/>
      <c r="SF184" s="1"/>
      <c r="SG184" s="1"/>
      <c r="SH184" s="1"/>
      <c r="SI184" s="1"/>
      <c r="SJ184" s="1"/>
      <c r="SK184" s="1"/>
      <c r="SL184" s="1"/>
      <c r="SM184" s="1"/>
      <c r="SN184" s="1"/>
      <c r="SO184" s="1"/>
      <c r="SP184" s="1"/>
      <c r="SQ184" s="1"/>
      <c r="SR184" s="1"/>
      <c r="SS184" s="1"/>
      <c r="ST184" s="1"/>
      <c r="SU184" s="1"/>
      <c r="SV184" s="1"/>
      <c r="SW184" s="1"/>
      <c r="SX184" s="1"/>
      <c r="SY184" s="1"/>
      <c r="SZ184" s="1"/>
      <c r="TA184" s="1"/>
      <c r="TB184" s="1"/>
      <c r="TC184" s="1"/>
      <c r="TD184" s="1"/>
      <c r="TE184" s="1"/>
      <c r="TF184" s="1"/>
      <c r="TG184" s="1"/>
      <c r="TH184" s="1"/>
      <c r="TI184" s="1"/>
      <c r="TJ184" s="1"/>
      <c r="TK184" s="1"/>
      <c r="TL184" s="1"/>
      <c r="TM184" s="1"/>
      <c r="TN184" s="1"/>
      <c r="TO184" s="1"/>
      <c r="TP184" s="1"/>
      <c r="TQ184" s="1"/>
      <c r="TR184" s="1"/>
      <c r="TS184" s="1"/>
      <c r="TT184" s="1"/>
      <c r="TU184" s="1"/>
      <c r="TV184" s="1"/>
      <c r="TW184" s="1"/>
      <c r="TX184" s="1"/>
      <c r="TY184" s="1"/>
      <c r="TZ184" s="1"/>
      <c r="UA184" s="1"/>
      <c r="UB184" s="1"/>
      <c r="UC184" s="1"/>
      <c r="UD184" s="1"/>
      <c r="UE184" s="1"/>
      <c r="UF184" s="1"/>
      <c r="UG184" s="1"/>
      <c r="UH184" s="1"/>
      <c r="UI184" s="1"/>
      <c r="UJ184" s="1"/>
      <c r="UK184" s="1"/>
      <c r="UL184" s="1"/>
      <c r="UM184" s="1"/>
      <c r="UN184" s="1"/>
      <c r="UO184" s="1"/>
      <c r="UP184" s="1"/>
      <c r="UQ184" s="1"/>
      <c r="UR184" s="1"/>
      <c r="US184" s="1"/>
      <c r="UT184" s="1"/>
      <c r="UU184" s="1"/>
      <c r="UV184" s="1"/>
      <c r="UW184" s="1"/>
      <c r="UX184" s="1"/>
      <c r="UY184" s="1"/>
      <c r="UZ184" s="1"/>
      <c r="VA184" s="1"/>
      <c r="VB184" s="1"/>
      <c r="VC184" s="1"/>
      <c r="VD184" s="1"/>
      <c r="VE184" s="1"/>
      <c r="VF184" s="1"/>
      <c r="VG184" s="1"/>
      <c r="VH184" s="1"/>
      <c r="VI184" s="1"/>
      <c r="VJ184" s="1"/>
      <c r="VK184" s="1"/>
      <c r="VL184" s="1"/>
      <c r="VM184" s="1"/>
      <c r="VN184" s="1"/>
      <c r="VO184" s="1"/>
      <c r="VP184" s="1"/>
      <c r="VQ184" s="1"/>
      <c r="VR184" s="1"/>
      <c r="VS184" s="1"/>
      <c r="VT184" s="1"/>
      <c r="VU184" s="1"/>
      <c r="VV184" s="1"/>
      <c r="VW184" s="1"/>
      <c r="VX184" s="1"/>
      <c r="VY184" s="1"/>
      <c r="VZ184" s="1"/>
      <c r="WA184" s="1"/>
      <c r="WB184" s="1"/>
      <c r="WC184" s="1"/>
      <c r="WD184" s="1"/>
      <c r="WE184" s="1"/>
      <c r="WF184" s="1"/>
      <c r="WG184" s="1"/>
      <c r="WH184" s="1"/>
      <c r="WI184" s="1"/>
      <c r="WJ184" s="1"/>
      <c r="WK184" s="1"/>
      <c r="WL184" s="1"/>
      <c r="WM184" s="1"/>
      <c r="WN184" s="1"/>
      <c r="WO184" s="1"/>
      <c r="WP184" s="1"/>
      <c r="WQ184" s="1"/>
      <c r="WR184" s="1"/>
      <c r="WS184" s="1"/>
      <c r="WT184" s="1"/>
      <c r="WU184" s="1"/>
      <c r="WV184" s="1"/>
      <c r="WW184" s="1"/>
      <c r="WX184" s="1"/>
      <c r="WY184" s="1"/>
      <c r="WZ184" s="1"/>
      <c r="XA184" s="1"/>
      <c r="XB184" s="1"/>
      <c r="XC184" s="1"/>
      <c r="XD184" s="1"/>
      <c r="XE184" s="1"/>
      <c r="XF184" s="1"/>
      <c r="XG184" s="1"/>
      <c r="XH184" s="1"/>
      <c r="XI184" s="1"/>
      <c r="XJ184" s="1"/>
      <c r="XK184" s="1"/>
      <c r="XL184" s="1"/>
      <c r="XM184" s="1"/>
      <c r="XN184" s="1"/>
      <c r="XO184" s="1"/>
      <c r="XP184" s="1"/>
      <c r="XQ184" s="1"/>
      <c r="XR184" s="1"/>
      <c r="XS184" s="1"/>
      <c r="XT184" s="1"/>
      <c r="XU184" s="1"/>
      <c r="XV184" s="1"/>
      <c r="XW184" s="1"/>
      <c r="XX184" s="1"/>
      <c r="XY184" s="1"/>
      <c r="XZ184" s="1"/>
      <c r="YA184" s="1"/>
      <c r="YB184" s="1"/>
      <c r="YC184" s="1"/>
      <c r="YD184" s="1"/>
      <c r="YE184" s="1"/>
      <c r="YF184" s="1"/>
      <c r="YG184" s="1"/>
      <c r="YH184" s="1"/>
      <c r="YI184" s="1"/>
      <c r="YJ184" s="1"/>
      <c r="YK184" s="1"/>
      <c r="YL184" s="1"/>
      <c r="YM184" s="1"/>
      <c r="YN184" s="1"/>
      <c r="YO184" s="1"/>
      <c r="YP184" s="1"/>
      <c r="YQ184" s="1"/>
      <c r="YR184" s="1"/>
      <c r="YS184" s="1"/>
      <c r="YT184" s="1"/>
      <c r="YU184" s="1"/>
      <c r="YV184" s="1"/>
      <c r="YW184" s="1"/>
      <c r="YX184" s="1"/>
      <c r="YY184" s="1"/>
      <c r="YZ184" s="1"/>
      <c r="ZA184" s="1"/>
      <c r="ZB184" s="1"/>
      <c r="ZC184" s="1"/>
      <c r="ZD184" s="1"/>
      <c r="ZE184" s="1"/>
      <c r="ZF184" s="1"/>
      <c r="ZG184" s="1"/>
      <c r="ZH184" s="1"/>
      <c r="ZI184" s="1"/>
      <c r="ZJ184" s="1"/>
      <c r="ZK184" s="1"/>
      <c r="ZL184" s="1"/>
      <c r="ZM184" s="1"/>
      <c r="ZN184" s="1"/>
      <c r="ZO184" s="1"/>
      <c r="ZP184" s="1"/>
      <c r="ZQ184" s="1"/>
      <c r="ZR184" s="1"/>
      <c r="ZS184" s="1"/>
      <c r="ZT184" s="1"/>
      <c r="ZU184" s="1"/>
      <c r="ZV184" s="1"/>
      <c r="ZW184" s="1"/>
      <c r="ZX184" s="1"/>
      <c r="ZY184" s="1"/>
      <c r="ZZ184" s="1"/>
      <c r="AAA184" s="1"/>
      <c r="AAB184" s="1"/>
      <c r="AAC184" s="1"/>
      <c r="AAD184" s="1"/>
      <c r="AAE184" s="1"/>
      <c r="AAF184" s="1"/>
      <c r="AAG184" s="1"/>
      <c r="AAH184" s="1"/>
      <c r="AAI184" s="1"/>
      <c r="AAJ184" s="1"/>
      <c r="AAK184" s="1"/>
      <c r="AAL184" s="1"/>
      <c r="AAM184" s="1"/>
      <c r="AAN184" s="1"/>
      <c r="AAO184" s="1"/>
      <c r="AAP184" s="1"/>
      <c r="AAQ184" s="1"/>
      <c r="AAR184" s="1"/>
      <c r="AAS184" s="1"/>
      <c r="AAT184" s="1"/>
      <c r="AAU184" s="1"/>
      <c r="AAV184" s="1"/>
      <c r="AAW184" s="1"/>
      <c r="AAX184" s="1"/>
      <c r="AAY184" s="1"/>
      <c r="AAZ184" s="1"/>
      <c r="ABA184" s="1"/>
      <c r="ABB184" s="1"/>
      <c r="ABC184" s="1"/>
      <c r="ABD184" s="1"/>
      <c r="ABE184" s="1"/>
      <c r="ABF184" s="1"/>
      <c r="ABG184" s="1"/>
      <c r="ABH184" s="1"/>
      <c r="ABI184" s="1"/>
      <c r="ABJ184" s="1"/>
      <c r="ABK184" s="1"/>
      <c r="ABL184" s="1"/>
      <c r="ABM184" s="1"/>
      <c r="ABN184" s="1"/>
      <c r="ABO184" s="1"/>
      <c r="ABP184" s="1"/>
      <c r="ABQ184" s="1"/>
      <c r="ABR184" s="1"/>
      <c r="ABS184" s="1"/>
      <c r="ABT184" s="1"/>
      <c r="ABU184" s="1"/>
      <c r="ABV184" s="1"/>
      <c r="ABW184" s="1"/>
      <c r="ABX184" s="1"/>
      <c r="ABY184" s="1"/>
      <c r="ABZ184" s="1"/>
      <c r="ACA184" s="1"/>
      <c r="ACB184" s="1"/>
      <c r="ACC184" s="1"/>
      <c r="ACD184" s="1"/>
      <c r="ACE184" s="1"/>
      <c r="ACF184" s="1"/>
      <c r="ACG184" s="1"/>
      <c r="ACH184" s="1"/>
      <c r="ACI184" s="1"/>
      <c r="ACJ184" s="1"/>
      <c r="ACK184" s="1"/>
      <c r="ACL184" s="1"/>
      <c r="ACM184" s="1"/>
      <c r="ACN184" s="1"/>
      <c r="ACO184" s="1"/>
      <c r="ACP184" s="1"/>
      <c r="ACQ184" s="1"/>
      <c r="ACR184" s="1"/>
      <c r="ACS184" s="1"/>
      <c r="ACT184" s="1"/>
      <c r="ACU184" s="1"/>
      <c r="ACV184" s="1"/>
      <c r="ACW184" s="1"/>
      <c r="ACX184" s="1"/>
      <c r="ACY184" s="1"/>
      <c r="ACZ184" s="1"/>
      <c r="ADA184" s="1"/>
      <c r="ADB184" s="1"/>
      <c r="ADC184" s="1"/>
      <c r="ADD184" s="1"/>
      <c r="ADE184" s="1"/>
      <c r="ADF184" s="1"/>
      <c r="ADG184" s="1"/>
      <c r="ADH184" s="1"/>
      <c r="ADI184" s="1"/>
      <c r="ADJ184" s="1"/>
      <c r="ADK184" s="1"/>
      <c r="ADL184" s="1"/>
      <c r="ADM184" s="1"/>
      <c r="ADN184" s="1"/>
      <c r="ADO184" s="1"/>
      <c r="ADP184" s="1"/>
      <c r="ADQ184" s="1"/>
      <c r="ADR184" s="1"/>
      <c r="ADS184" s="1"/>
      <c r="ADT184" s="1"/>
      <c r="ADU184" s="1"/>
      <c r="ADV184" s="1"/>
      <c r="ADW184" s="1"/>
      <c r="ADX184" s="1"/>
      <c r="ADY184" s="1"/>
      <c r="ADZ184" s="1"/>
      <c r="AEA184" s="1"/>
      <c r="AEB184" s="1"/>
      <c r="AEC184" s="1"/>
      <c r="AED184" s="1"/>
      <c r="AEE184" s="1"/>
      <c r="AEF184" s="1"/>
      <c r="AEG184" s="1"/>
      <c r="AEH184" s="1"/>
      <c r="AEI184" s="1"/>
      <c r="AEJ184" s="1"/>
      <c r="AEK184" s="1"/>
      <c r="AEL184" s="1"/>
      <c r="AEM184" s="1"/>
      <c r="AEN184" s="1"/>
      <c r="AEO184" s="1"/>
      <c r="AEP184" s="1"/>
      <c r="AEQ184" s="1"/>
      <c r="AER184" s="1"/>
      <c r="AES184" s="1"/>
      <c r="AET184" s="1"/>
      <c r="AEU184" s="1"/>
      <c r="AEV184" s="1"/>
      <c r="AEW184" s="1"/>
      <c r="AEX184" s="1"/>
      <c r="AEY184" s="1"/>
      <c r="AEZ184" s="1"/>
      <c r="AFA184" s="1"/>
      <c r="AFB184" s="1"/>
      <c r="AFC184" s="1"/>
      <c r="AFD184" s="1"/>
      <c r="AFE184" s="1"/>
      <c r="AFF184" s="1"/>
      <c r="AFG184" s="1"/>
      <c r="AFH184" s="1"/>
      <c r="AFI184" s="1"/>
      <c r="AFJ184" s="1"/>
      <c r="AFK184" s="1"/>
      <c r="AFL184" s="1"/>
      <c r="AFM184" s="1"/>
      <c r="AFN184" s="1"/>
      <c r="AFO184" s="1"/>
      <c r="AFP184" s="1"/>
      <c r="AFQ184" s="1"/>
      <c r="AFR184" s="1"/>
      <c r="AFS184" s="1"/>
      <c r="AFT184" s="1"/>
      <c r="AFU184" s="1"/>
      <c r="AFV184" s="1"/>
      <c r="AFW184" s="1"/>
      <c r="AFX184" s="1"/>
      <c r="AFY184" s="1"/>
      <c r="AFZ184" s="1"/>
      <c r="AGA184" s="1"/>
      <c r="AGB184" s="1"/>
      <c r="AGC184" s="1"/>
      <c r="AGD184" s="1"/>
      <c r="AGE184" s="1"/>
      <c r="AGF184" s="1"/>
      <c r="AGG184" s="1"/>
      <c r="AGH184" s="1"/>
      <c r="AGI184" s="1"/>
      <c r="AGJ184" s="1"/>
      <c r="AGK184" s="1"/>
      <c r="AGL184" s="1"/>
      <c r="AGM184" s="1"/>
      <c r="AGN184" s="1"/>
      <c r="AGO184" s="1"/>
      <c r="AGP184" s="1"/>
      <c r="AGQ184" s="1"/>
      <c r="AGR184" s="1"/>
      <c r="AGS184" s="1"/>
      <c r="AGT184" s="1"/>
      <c r="AGU184" s="1"/>
      <c r="AGV184" s="1"/>
      <c r="AGW184" s="1"/>
      <c r="AGX184" s="1"/>
      <c r="AGY184" s="1"/>
      <c r="AGZ184" s="1"/>
      <c r="AHA184" s="1"/>
      <c r="AHB184" s="1"/>
      <c r="AHC184" s="1"/>
      <c r="AHD184" s="1"/>
      <c r="AHE184" s="1"/>
      <c r="AHF184" s="1"/>
      <c r="AHG184" s="1"/>
      <c r="AHH184" s="1"/>
      <c r="AHI184" s="1"/>
      <c r="AHJ184" s="1"/>
      <c r="AHK184" s="1"/>
      <c r="AHL184" s="1"/>
      <c r="AHM184" s="1"/>
      <c r="AHN184" s="1"/>
      <c r="AHO184" s="1"/>
      <c r="AHP184" s="1"/>
      <c r="AHQ184" s="1"/>
      <c r="AHR184" s="1"/>
      <c r="AHS184" s="1"/>
      <c r="AHT184" s="1"/>
      <c r="AHU184" s="1"/>
      <c r="AHV184" s="1"/>
      <c r="AHW184" s="1"/>
      <c r="AHX184" s="1"/>
      <c r="AHY184" s="1"/>
      <c r="AHZ184" s="1"/>
      <c r="AIA184" s="1"/>
      <c r="AIB184" s="1"/>
      <c r="AIC184" s="1"/>
      <c r="AID184" s="1"/>
      <c r="AIE184" s="1"/>
      <c r="AIF184" s="1"/>
      <c r="AIG184" s="1"/>
      <c r="AIH184" s="1"/>
      <c r="AII184" s="1"/>
      <c r="AIJ184" s="1"/>
      <c r="AIK184" s="1"/>
      <c r="AIL184" s="1"/>
      <c r="AIM184" s="1"/>
      <c r="AIN184" s="1"/>
      <c r="AIO184" s="1"/>
      <c r="AIP184" s="1"/>
      <c r="AIQ184" s="1"/>
      <c r="AIR184" s="1"/>
      <c r="AIS184" s="1"/>
      <c r="AIT184" s="1"/>
      <c r="AIU184" s="1"/>
      <c r="AIV184" s="1"/>
      <c r="AIW184" s="1"/>
      <c r="AIX184" s="1"/>
      <c r="AIY184" s="1"/>
      <c r="AIZ184" s="1"/>
      <c r="AJA184" s="1"/>
      <c r="AJB184" s="1"/>
      <c r="AJC184" s="1"/>
      <c r="AJD184" s="1"/>
      <c r="AJE184" s="1"/>
      <c r="AJF184" s="1"/>
      <c r="AJG184" s="1"/>
      <c r="AJH184" s="1"/>
      <c r="AJI184" s="1"/>
      <c r="AJJ184" s="1"/>
      <c r="AJK184" s="1"/>
      <c r="AJL184" s="1"/>
      <c r="AJM184" s="1"/>
      <c r="AJN184" s="1"/>
      <c r="AJO184" s="1"/>
      <c r="AJP184" s="1"/>
      <c r="AJQ184" s="1"/>
      <c r="AJR184" s="1"/>
      <c r="AJS184" s="1"/>
      <c r="AJT184" s="1"/>
      <c r="AJU184" s="1"/>
      <c r="AJV184" s="1"/>
      <c r="AJW184" s="1"/>
      <c r="AJX184" s="1"/>
      <c r="AJY184" s="1"/>
      <c r="AJZ184" s="1"/>
      <c r="AKA184" s="1"/>
      <c r="AKB184" s="1"/>
      <c r="AKC184" s="1"/>
      <c r="AKD184" s="1"/>
      <c r="AKE184" s="1"/>
      <c r="AKF184" s="1"/>
      <c r="AKG184" s="1"/>
      <c r="AKH184" s="1"/>
      <c r="AKI184" s="1"/>
      <c r="AKJ184" s="1"/>
      <c r="AKK184" s="1"/>
      <c r="AKL184" s="1"/>
      <c r="AKM184" s="1"/>
      <c r="AKN184" s="1"/>
      <c r="AKO184" s="1"/>
      <c r="AKP184" s="1"/>
      <c r="AKQ184" s="1"/>
      <c r="AKR184" s="1"/>
      <c r="AKS184" s="1"/>
      <c r="AKT184" s="1"/>
      <c r="AKU184" s="1"/>
      <c r="AKV184" s="1"/>
      <c r="AKW184" s="1"/>
      <c r="AKX184" s="1"/>
      <c r="AKY184" s="1"/>
      <c r="AKZ184" s="1"/>
      <c r="ALA184" s="1"/>
      <c r="ALB184" s="1"/>
      <c r="ALC184" s="1"/>
      <c r="ALD184" s="1"/>
      <c r="ALE184" s="1"/>
      <c r="ALF184" s="1"/>
      <c r="ALG184" s="1"/>
      <c r="ALH184" s="1"/>
      <c r="ALI184" s="1"/>
      <c r="ALJ184" s="1"/>
      <c r="ALK184" s="1"/>
      <c r="ALL184" s="1"/>
      <c r="ALM184" s="1"/>
      <c r="ALN184" s="1"/>
      <c r="ALO184" s="1"/>
      <c r="ALP184" s="1"/>
      <c r="ALQ184" s="1"/>
      <c r="ALR184" s="1"/>
      <c r="ALS184" s="1"/>
      <c r="ALT184" s="1"/>
      <c r="ALU184" s="1"/>
      <c r="ALV184" s="1"/>
      <c r="ALW184" s="1"/>
      <c r="ALX184" s="1"/>
      <c r="ALY184" s="1"/>
      <c r="ALZ184" s="1"/>
      <c r="AMA184" s="1"/>
      <c r="AMB184" s="1"/>
      <c r="AMC184" s="1"/>
      <c r="AMD184" s="1"/>
      <c r="AME184" s="1"/>
      <c r="AMF184" s="1"/>
      <c r="AMG184" s="1"/>
      <c r="AMH184" s="1"/>
      <c r="AMI184" s="1"/>
      <c r="AMJ184" s="1"/>
      <c r="AMK184" s="1"/>
      <c r="AML184" s="1"/>
      <c r="AMM184" s="1"/>
      <c r="AMN184" s="1"/>
    </row>
    <row r="185" spans="1:1029" x14ac:dyDescent="0.2">
      <c r="A185" s="3" t="str">
        <f t="shared" si="639"/>
        <v>glr_human__wt</v>
      </c>
      <c r="B185" s="3" t="s">
        <v>32</v>
      </c>
      <c r="C185" s="3" t="s">
        <v>100</v>
      </c>
      <c r="D185" s="3" t="str">
        <f>IFERROR(MID(VLOOKUP($B185,Seqs!$A:$B,2,0),E185,1),"")</f>
        <v>Q</v>
      </c>
      <c r="E185" s="108">
        <v>131</v>
      </c>
      <c r="F185" s="3" t="str">
        <f>IFERROR(MID(VLOOKUP($B185,Seqs!$A:$B,2,0),G185,1),"")</f>
        <v>L</v>
      </c>
      <c r="G185" s="3">
        <v>166</v>
      </c>
      <c r="H185" s="3" t="str">
        <f>IFERROR(MID(VLOOKUP($B185,Seqs!$A:$B,2,0),I185,1),"")</f>
        <v>S</v>
      </c>
      <c r="I185" s="23">
        <v>167</v>
      </c>
      <c r="J185" s="3" t="str">
        <f>IFERROR(MID(VLOOKUP($B185,Seqs!$A:$B,2,0),K185,1),"")</f>
        <v>H</v>
      </c>
      <c r="K185" s="23">
        <v>170</v>
      </c>
      <c r="L185" s="3" t="str">
        <f>IFERROR(MID(VLOOKUP($B185,Seqs!$A:$B,2,0),M185,1),"")</f>
        <v>C</v>
      </c>
      <c r="M185" s="23">
        <v>171</v>
      </c>
      <c r="N185" s="3" t="str">
        <f>IFERROR(MID(VLOOKUP($B185,Seqs!$A:$B,2,0),O185,1),"")</f>
        <v>R</v>
      </c>
      <c r="O185" s="108">
        <v>201</v>
      </c>
      <c r="P185" s="3" t="str">
        <f>IFERROR(MID(VLOOKUP($B185,Seqs!$A:$B,2,0),Q185,1),"")</f>
        <v/>
      </c>
      <c r="Q185" s="3" t="s">
        <v>23</v>
      </c>
      <c r="R185" s="3" t="str">
        <f>IFERROR(MID(VLOOKUP($B185,Seqs!$A:$B,2,0),S185,1),"")</f>
        <v/>
      </c>
      <c r="S185" s="3" t="s">
        <v>23</v>
      </c>
      <c r="T185" s="3" t="str">
        <f>IFERROR(MID(VLOOKUP($B185,Seqs!$A:$B,2,0),U185,1),"")</f>
        <v>S</v>
      </c>
      <c r="U185" s="3">
        <v>217</v>
      </c>
      <c r="V185" s="3" t="str">
        <f>IFERROR(MID(VLOOKUP($B185,Seqs!$A:$B,2,0),W185,1),"")</f>
        <v>L</v>
      </c>
      <c r="W185" s="3">
        <v>255</v>
      </c>
      <c r="X185" s="3" t="str">
        <f>IFERROR(MID(VLOOKUP($B185,Seqs!$A:$B,2,0),Y185,1),"")</f>
        <v/>
      </c>
      <c r="Y185" s="3" t="s">
        <v>23</v>
      </c>
      <c r="Z185" s="3" t="str">
        <f>IFERROR(MID(VLOOKUP($B185,Seqs!$A:$B,2,0),AA185,1),"")</f>
        <v/>
      </c>
      <c r="AA185" s="3" t="s">
        <v>23</v>
      </c>
      <c r="AB185" s="3" t="str">
        <f>IFERROR(MID(VLOOKUP($B185,Seqs!$A:$B,2,0),AC185,1),"")</f>
        <v>S</v>
      </c>
      <c r="AC185" s="9">
        <v>262</v>
      </c>
      <c r="AD185" s="3" t="str">
        <f>IFERROR(MID(VLOOKUP($B185,Seqs!$A:$B,2,0),AE185,1),"")</f>
        <v>E</v>
      </c>
      <c r="AE185" s="3">
        <v>290</v>
      </c>
      <c r="AF185" s="3" t="str">
        <f>IFERROR(MID(VLOOKUP($B185,Seqs!$A:$B,2,0),AG185,1),"")</f>
        <v>C</v>
      </c>
      <c r="AG185" s="3">
        <v>294</v>
      </c>
      <c r="AH185" s="3" t="str">
        <f>IFERROR(MID(VLOOKUP($B185,Seqs!$A:$B,2,0),AI185,1),"")</f>
        <v>T</v>
      </c>
      <c r="AI185" s="3">
        <v>296</v>
      </c>
      <c r="AJ185" s="3" t="str">
        <f>IFERROR(MID(VLOOKUP($B185,Seqs!$A:$B,2,0),AK185,1),"")</f>
        <v>N</v>
      </c>
      <c r="AK185" s="3">
        <v>300</v>
      </c>
      <c r="AL185" s="3" t="str">
        <f>IFERROR(MID(VLOOKUP($B185,Seqs!$A:$B,2,0),AM185,1),"")</f>
        <v>A</v>
      </c>
      <c r="AM185" s="3">
        <v>335</v>
      </c>
      <c r="AN185" s="3" t="str">
        <f>IFERROR(MID(VLOOKUP($B185,Seqs!$A:$B,2,0),AO185,1),"")</f>
        <v>Y</v>
      </c>
      <c r="AO185" s="3">
        <v>343</v>
      </c>
      <c r="AP185" s="3" t="str">
        <f>IFERROR(MID(VLOOKUP($B185,Seqs!$A:$B,2,0),AQ185,1),"")</f>
        <v>F</v>
      </c>
      <c r="AQ185" s="3">
        <v>367</v>
      </c>
      <c r="AR185" s="3" t="str">
        <f>IFERROR(MID(VLOOKUP($B185,Seqs!$A:$B,2,0),AS185,1),"")</f>
        <v>Q</v>
      </c>
      <c r="AS185" s="3">
        <v>374</v>
      </c>
      <c r="AT185" s="3" t="str">
        <f>IFERROR(MID(VLOOKUP($B185,Seqs!$A:$B,2,0),AU185,1),"")</f>
        <v>L</v>
      </c>
      <c r="AU185" s="3">
        <v>403</v>
      </c>
      <c r="AV185" s="3" t="str">
        <f>IFERROR(MID(VLOOKUP($B185,Seqs!$A:$B,2,0),AW185,1),"")</f>
        <v>N</v>
      </c>
      <c r="AW185" s="3">
        <v>404</v>
      </c>
      <c r="AX185" s="3" t="str">
        <f>IFERROR(MID(VLOOKUP($B185,Seqs!$A:$B,2,0),AY185,1),"")</f>
        <v>N</v>
      </c>
      <c r="AY185" s="3">
        <v>429</v>
      </c>
      <c r="AZ185" s="79" t="str">
        <f>VLOOKUP(B185,Classification!A:D,2,0)</f>
        <v>B1</v>
      </c>
      <c r="BA185" s="97" t="str">
        <f>VLOOKUP(B185,Classification!A:D,4,0)</f>
        <v>Glucagonreceptorfamily</v>
      </c>
      <c r="BB185" s="27" t="b">
        <f t="shared" si="640"/>
        <v>1</v>
      </c>
      <c r="BC185" s="23">
        <f t="shared" si="836"/>
        <v>261</v>
      </c>
      <c r="BD185" s="57" t="s">
        <v>1379</v>
      </c>
      <c r="BE185" s="3" t="s">
        <v>1381</v>
      </c>
      <c r="BF185" s="50" t="s">
        <v>1379</v>
      </c>
      <c r="BG185" s="50" t="s">
        <v>1384</v>
      </c>
      <c r="BH185" s="1"/>
      <c r="BI185" s="72" t="s">
        <v>1293</v>
      </c>
      <c r="BJ185" s="58" t="s">
        <v>1293</v>
      </c>
      <c r="BK185" s="58" t="s">
        <v>1293</v>
      </c>
      <c r="BL185" s="58" t="s">
        <v>1293</v>
      </c>
      <c r="BM185" s="58" t="s">
        <v>1293</v>
      </c>
      <c r="BN185" s="58" t="s">
        <v>1293</v>
      </c>
      <c r="BO185" s="58" t="s">
        <v>1293</v>
      </c>
      <c r="BP185" s="58" t="s">
        <v>1293</v>
      </c>
      <c r="BQ185" s="58" t="s">
        <v>1293</v>
      </c>
      <c r="BR185" s="58" t="s">
        <v>1293</v>
      </c>
      <c r="BS185" s="58" t="s">
        <v>1293</v>
      </c>
      <c r="BT185" s="58" t="s">
        <v>1293</v>
      </c>
      <c r="BU185" s="72">
        <f t="shared" si="837"/>
        <v>131</v>
      </c>
      <c r="BV185" s="73">
        <f t="shared" si="838"/>
        <v>167</v>
      </c>
      <c r="BW185" s="74">
        <f t="shared" si="839"/>
        <v>171</v>
      </c>
      <c r="BX185" s="73" t="str">
        <f t="shared" si="840"/>
        <v>-</v>
      </c>
      <c r="BY185" s="74">
        <f t="shared" si="841"/>
        <v>217</v>
      </c>
      <c r="BZ185" s="73" t="str">
        <f t="shared" si="842"/>
        <v>-</v>
      </c>
      <c r="CA185" s="74">
        <f t="shared" si="843"/>
        <v>262</v>
      </c>
      <c r="CB185" s="73">
        <f t="shared" si="844"/>
        <v>294</v>
      </c>
      <c r="CC185" s="74">
        <f t="shared" si="845"/>
        <v>300</v>
      </c>
      <c r="CD185" s="73">
        <f t="shared" si="846"/>
        <v>343</v>
      </c>
      <c r="CE185" s="74">
        <f t="shared" si="847"/>
        <v>374</v>
      </c>
      <c r="CF185" s="73">
        <f t="shared" si="848"/>
        <v>404</v>
      </c>
      <c r="CG185" s="72">
        <f t="shared" si="849"/>
        <v>166</v>
      </c>
      <c r="CH185" s="73">
        <f t="shared" si="850"/>
        <v>170</v>
      </c>
      <c r="CI185" s="74">
        <f t="shared" si="851"/>
        <v>201</v>
      </c>
      <c r="CJ185" s="74" t="str">
        <f t="shared" si="852"/>
        <v>-</v>
      </c>
      <c r="CK185" s="74">
        <f t="shared" si="853"/>
        <v>255</v>
      </c>
      <c r="CL185" s="74" t="str">
        <f t="shared" si="854"/>
        <v>-</v>
      </c>
      <c r="CM185" s="74">
        <f t="shared" si="855"/>
        <v>290</v>
      </c>
      <c r="CN185" s="74">
        <f t="shared" si="856"/>
        <v>296</v>
      </c>
      <c r="CO185" s="74">
        <f t="shared" si="857"/>
        <v>335</v>
      </c>
      <c r="CP185" s="74">
        <f t="shared" si="858"/>
        <v>367</v>
      </c>
      <c r="CQ185" s="74">
        <f t="shared" si="859"/>
        <v>403</v>
      </c>
      <c r="CR185" s="74">
        <f t="shared" si="860"/>
        <v>429</v>
      </c>
      <c r="CS185" s="23">
        <f t="shared" si="861"/>
        <v>1</v>
      </c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  <c r="JD185" s="1"/>
      <c r="JE185" s="1"/>
      <c r="JF185" s="1"/>
      <c r="JG185" s="1"/>
      <c r="JH185" s="1"/>
      <c r="JI185" s="1"/>
      <c r="JJ185" s="1"/>
      <c r="JK185" s="1"/>
      <c r="JL185" s="1"/>
      <c r="JM185" s="1"/>
      <c r="JN185" s="1"/>
      <c r="JO185" s="1"/>
      <c r="JP185" s="1"/>
      <c r="JQ185" s="1"/>
      <c r="JR185" s="1"/>
      <c r="JS185" s="1"/>
      <c r="JT185" s="1"/>
      <c r="JU185" s="1"/>
      <c r="JV185" s="1"/>
      <c r="JW185" s="1"/>
      <c r="JX185" s="1"/>
      <c r="JY185" s="1"/>
      <c r="JZ185" s="1"/>
      <c r="KA185" s="1"/>
      <c r="KB185" s="1"/>
      <c r="KC185" s="1"/>
      <c r="KD185" s="1"/>
      <c r="KE185" s="1"/>
      <c r="KF185" s="1"/>
      <c r="KG185" s="1"/>
      <c r="KH185" s="1"/>
      <c r="KI185" s="1"/>
      <c r="KJ185" s="1"/>
      <c r="KK185" s="1"/>
      <c r="KL185" s="1"/>
      <c r="KM185" s="1"/>
      <c r="KN185" s="1"/>
      <c r="KO185" s="1"/>
      <c r="KP185" s="1"/>
      <c r="KQ185" s="1"/>
      <c r="KR185" s="1"/>
      <c r="KS185" s="1"/>
      <c r="KT185" s="1"/>
      <c r="KU185" s="1"/>
      <c r="KV185" s="1"/>
      <c r="KW185" s="1"/>
      <c r="KX185" s="1"/>
      <c r="KY185" s="1"/>
      <c r="KZ185" s="1"/>
      <c r="LA185" s="1"/>
      <c r="LB185" s="1"/>
      <c r="LC185" s="1"/>
      <c r="LD185" s="1"/>
      <c r="LE185" s="1"/>
      <c r="LF185" s="1"/>
      <c r="LG185" s="1"/>
      <c r="LH185" s="1"/>
      <c r="LI185" s="1"/>
      <c r="LJ185" s="1"/>
      <c r="LK185" s="1"/>
      <c r="LL185" s="1"/>
      <c r="LM185" s="1"/>
      <c r="LN185" s="1"/>
      <c r="LO185" s="1"/>
      <c r="LP185" s="1"/>
      <c r="LQ185" s="1"/>
      <c r="LR185" s="1"/>
      <c r="LS185" s="1"/>
      <c r="LT185" s="1"/>
      <c r="LU185" s="1"/>
      <c r="LV185" s="1"/>
      <c r="LW185" s="1"/>
      <c r="LX185" s="1"/>
      <c r="LY185" s="1"/>
      <c r="LZ185" s="1"/>
      <c r="MA185" s="1"/>
      <c r="MB185" s="1"/>
      <c r="MC185" s="1"/>
      <c r="MD185" s="1"/>
      <c r="ME185" s="1"/>
      <c r="MF185" s="1"/>
      <c r="MG185" s="1"/>
      <c r="MH185" s="1"/>
      <c r="MI185" s="1"/>
      <c r="MJ185" s="1"/>
      <c r="MK185" s="1"/>
      <c r="ML185" s="1"/>
      <c r="MM185" s="1"/>
      <c r="MN185" s="1"/>
      <c r="MO185" s="1"/>
      <c r="MP185" s="1"/>
      <c r="MQ185" s="1"/>
      <c r="MR185" s="1"/>
      <c r="MS185" s="1"/>
      <c r="MT185" s="1"/>
      <c r="MU185" s="1"/>
      <c r="MV185" s="1"/>
      <c r="MW185" s="1"/>
      <c r="MX185" s="1"/>
      <c r="MY185" s="1"/>
      <c r="MZ185" s="1"/>
      <c r="NA185" s="1"/>
      <c r="NB185" s="1"/>
      <c r="NC185" s="1"/>
      <c r="ND185" s="1"/>
      <c r="NE185" s="1"/>
      <c r="NF185" s="1"/>
      <c r="NG185" s="1"/>
      <c r="NH185" s="1"/>
      <c r="NI185" s="1"/>
      <c r="NJ185" s="1"/>
      <c r="NK185" s="1"/>
      <c r="NL185" s="1"/>
      <c r="NM185" s="1"/>
      <c r="NN185" s="1"/>
      <c r="NO185" s="1"/>
      <c r="NP185" s="1"/>
      <c r="NQ185" s="1"/>
      <c r="NR185" s="1"/>
      <c r="NS185" s="1"/>
      <c r="NT185" s="1"/>
      <c r="NU185" s="1"/>
      <c r="NV185" s="1"/>
      <c r="NW185" s="1"/>
      <c r="NX185" s="1"/>
      <c r="NY185" s="1"/>
      <c r="NZ185" s="1"/>
      <c r="OA185" s="1"/>
      <c r="OB185" s="1"/>
      <c r="OC185" s="1"/>
      <c r="OD185" s="1"/>
      <c r="OE185" s="1"/>
      <c r="OF185" s="1"/>
      <c r="OG185" s="1"/>
      <c r="OH185" s="1"/>
      <c r="OI185" s="1"/>
      <c r="OJ185" s="1"/>
      <c r="OK185" s="1"/>
      <c r="OL185" s="1"/>
      <c r="OM185" s="1"/>
      <c r="ON185" s="1"/>
      <c r="OO185" s="1"/>
      <c r="OP185" s="1"/>
      <c r="OQ185" s="1"/>
      <c r="OR185" s="1"/>
      <c r="OS185" s="1"/>
      <c r="OT185" s="1"/>
      <c r="OU185" s="1"/>
      <c r="OV185" s="1"/>
      <c r="OW185" s="1"/>
      <c r="OX185" s="1"/>
      <c r="OY185" s="1"/>
      <c r="OZ185" s="1"/>
      <c r="PA185" s="1"/>
      <c r="PB185" s="1"/>
      <c r="PC185" s="1"/>
      <c r="PD185" s="1"/>
      <c r="PE185" s="1"/>
      <c r="PF185" s="1"/>
      <c r="PG185" s="1"/>
      <c r="PH185" s="1"/>
      <c r="PI185" s="1"/>
      <c r="PJ185" s="1"/>
      <c r="PK185" s="1"/>
      <c r="PL185" s="1"/>
      <c r="PM185" s="1"/>
      <c r="PN185" s="1"/>
      <c r="PO185" s="1"/>
      <c r="PP185" s="1"/>
      <c r="PQ185" s="1"/>
      <c r="PR185" s="1"/>
      <c r="PS185" s="1"/>
      <c r="PT185" s="1"/>
      <c r="PU185" s="1"/>
      <c r="PV185" s="1"/>
      <c r="PW185" s="1"/>
      <c r="PX185" s="1"/>
      <c r="PY185" s="1"/>
      <c r="PZ185" s="1"/>
      <c r="QA185" s="1"/>
      <c r="QB185" s="1"/>
      <c r="QC185" s="1"/>
      <c r="QD185" s="1"/>
      <c r="QE185" s="1"/>
      <c r="QF185" s="1"/>
      <c r="QG185" s="1"/>
      <c r="QH185" s="1"/>
      <c r="QI185" s="1"/>
      <c r="QJ185" s="1"/>
      <c r="QK185" s="1"/>
      <c r="QL185" s="1"/>
      <c r="QM185" s="1"/>
      <c r="QN185" s="1"/>
      <c r="QO185" s="1"/>
      <c r="QP185" s="1"/>
      <c r="QQ185" s="1"/>
      <c r="QR185" s="1"/>
      <c r="QS185" s="1"/>
      <c r="QT185" s="1"/>
      <c r="QU185" s="1"/>
      <c r="QV185" s="1"/>
      <c r="QW185" s="1"/>
      <c r="QX185" s="1"/>
      <c r="QY185" s="1"/>
      <c r="QZ185" s="1"/>
      <c r="RA185" s="1"/>
      <c r="RB185" s="1"/>
      <c r="RC185" s="1"/>
      <c r="RD185" s="1"/>
      <c r="RE185" s="1"/>
      <c r="RF185" s="1"/>
      <c r="RG185" s="1"/>
      <c r="RH185" s="1"/>
      <c r="RI185" s="1"/>
      <c r="RJ185" s="1"/>
      <c r="RK185" s="1"/>
      <c r="RL185" s="1"/>
      <c r="RM185" s="1"/>
      <c r="RN185" s="1"/>
      <c r="RO185" s="1"/>
      <c r="RP185" s="1"/>
      <c r="RQ185" s="1"/>
      <c r="RR185" s="1"/>
      <c r="RS185" s="1"/>
      <c r="RT185" s="1"/>
      <c r="RU185" s="1"/>
      <c r="RV185" s="1"/>
      <c r="RW185" s="1"/>
      <c r="RX185" s="1"/>
      <c r="RY185" s="1"/>
      <c r="RZ185" s="1"/>
      <c r="SA185" s="1"/>
      <c r="SB185" s="1"/>
      <c r="SC185" s="1"/>
      <c r="SD185" s="1"/>
      <c r="SE185" s="1"/>
      <c r="SF185" s="1"/>
      <c r="SG185" s="1"/>
      <c r="SH185" s="1"/>
      <c r="SI185" s="1"/>
      <c r="SJ185" s="1"/>
      <c r="SK185" s="1"/>
      <c r="SL185" s="1"/>
      <c r="SM185" s="1"/>
      <c r="SN185" s="1"/>
      <c r="SO185" s="1"/>
      <c r="SP185" s="1"/>
      <c r="SQ185" s="1"/>
      <c r="SR185" s="1"/>
      <c r="SS185" s="1"/>
      <c r="ST185" s="1"/>
      <c r="SU185" s="1"/>
      <c r="SV185" s="1"/>
      <c r="SW185" s="1"/>
      <c r="SX185" s="1"/>
      <c r="SY185" s="1"/>
      <c r="SZ185" s="1"/>
      <c r="TA185" s="1"/>
      <c r="TB185" s="1"/>
      <c r="TC185" s="1"/>
      <c r="TD185" s="1"/>
      <c r="TE185" s="1"/>
      <c r="TF185" s="1"/>
      <c r="TG185" s="1"/>
      <c r="TH185" s="1"/>
      <c r="TI185" s="1"/>
      <c r="TJ185" s="1"/>
      <c r="TK185" s="1"/>
      <c r="TL185" s="1"/>
      <c r="TM185" s="1"/>
      <c r="TN185" s="1"/>
      <c r="TO185" s="1"/>
      <c r="TP185" s="1"/>
      <c r="TQ185" s="1"/>
      <c r="TR185" s="1"/>
      <c r="TS185" s="1"/>
      <c r="TT185" s="1"/>
      <c r="TU185" s="1"/>
      <c r="TV185" s="1"/>
      <c r="TW185" s="1"/>
      <c r="TX185" s="1"/>
      <c r="TY185" s="1"/>
      <c r="TZ185" s="1"/>
      <c r="UA185" s="1"/>
      <c r="UB185" s="1"/>
      <c r="UC185" s="1"/>
      <c r="UD185" s="1"/>
      <c r="UE185" s="1"/>
      <c r="UF185" s="1"/>
      <c r="UG185" s="1"/>
      <c r="UH185" s="1"/>
      <c r="UI185" s="1"/>
      <c r="UJ185" s="1"/>
      <c r="UK185" s="1"/>
      <c r="UL185" s="1"/>
      <c r="UM185" s="1"/>
      <c r="UN185" s="1"/>
      <c r="UO185" s="1"/>
      <c r="UP185" s="1"/>
      <c r="UQ185" s="1"/>
      <c r="UR185" s="1"/>
      <c r="US185" s="1"/>
      <c r="UT185" s="1"/>
      <c r="UU185" s="1"/>
      <c r="UV185" s="1"/>
      <c r="UW185" s="1"/>
      <c r="UX185" s="1"/>
      <c r="UY185" s="1"/>
      <c r="UZ185" s="1"/>
      <c r="VA185" s="1"/>
      <c r="VB185" s="1"/>
      <c r="VC185" s="1"/>
      <c r="VD185" s="1"/>
      <c r="VE185" s="1"/>
      <c r="VF185" s="1"/>
      <c r="VG185" s="1"/>
      <c r="VH185" s="1"/>
      <c r="VI185" s="1"/>
      <c r="VJ185" s="1"/>
      <c r="VK185" s="1"/>
      <c r="VL185" s="1"/>
      <c r="VM185" s="1"/>
      <c r="VN185" s="1"/>
      <c r="VO185" s="1"/>
      <c r="VP185" s="1"/>
      <c r="VQ185" s="1"/>
      <c r="VR185" s="1"/>
      <c r="VS185" s="1"/>
      <c r="VT185" s="1"/>
      <c r="VU185" s="1"/>
      <c r="VV185" s="1"/>
      <c r="VW185" s="1"/>
      <c r="VX185" s="1"/>
      <c r="VY185" s="1"/>
      <c r="VZ185" s="1"/>
      <c r="WA185" s="1"/>
      <c r="WB185" s="1"/>
      <c r="WC185" s="1"/>
      <c r="WD185" s="1"/>
      <c r="WE185" s="1"/>
      <c r="WF185" s="1"/>
      <c r="WG185" s="1"/>
      <c r="WH185" s="1"/>
      <c r="WI185" s="1"/>
      <c r="WJ185" s="1"/>
      <c r="WK185" s="1"/>
      <c r="WL185" s="1"/>
      <c r="WM185" s="1"/>
      <c r="WN185" s="1"/>
      <c r="WO185" s="1"/>
      <c r="WP185" s="1"/>
      <c r="WQ185" s="1"/>
      <c r="WR185" s="1"/>
      <c r="WS185" s="1"/>
      <c r="WT185" s="1"/>
      <c r="WU185" s="1"/>
      <c r="WV185" s="1"/>
      <c r="WW185" s="1"/>
      <c r="WX185" s="1"/>
      <c r="WY185" s="1"/>
      <c r="WZ185" s="1"/>
      <c r="XA185" s="1"/>
      <c r="XB185" s="1"/>
      <c r="XC185" s="1"/>
      <c r="XD185" s="1"/>
      <c r="XE185" s="1"/>
      <c r="XF185" s="1"/>
      <c r="XG185" s="1"/>
      <c r="XH185" s="1"/>
      <c r="XI185" s="1"/>
      <c r="XJ185" s="1"/>
      <c r="XK185" s="1"/>
      <c r="XL185" s="1"/>
      <c r="XM185" s="1"/>
      <c r="XN185" s="1"/>
      <c r="XO185" s="1"/>
      <c r="XP185" s="1"/>
      <c r="XQ185" s="1"/>
      <c r="XR185" s="1"/>
      <c r="XS185" s="1"/>
      <c r="XT185" s="1"/>
      <c r="XU185" s="1"/>
      <c r="XV185" s="1"/>
      <c r="XW185" s="1"/>
      <c r="XX185" s="1"/>
      <c r="XY185" s="1"/>
      <c r="XZ185" s="1"/>
      <c r="YA185" s="1"/>
      <c r="YB185" s="1"/>
      <c r="YC185" s="1"/>
      <c r="YD185" s="1"/>
      <c r="YE185" s="1"/>
      <c r="YF185" s="1"/>
      <c r="YG185" s="1"/>
      <c r="YH185" s="1"/>
      <c r="YI185" s="1"/>
      <c r="YJ185" s="1"/>
      <c r="YK185" s="1"/>
      <c r="YL185" s="1"/>
      <c r="YM185" s="1"/>
      <c r="YN185" s="1"/>
      <c r="YO185" s="1"/>
      <c r="YP185" s="1"/>
      <c r="YQ185" s="1"/>
      <c r="YR185" s="1"/>
      <c r="YS185" s="1"/>
      <c r="YT185" s="1"/>
      <c r="YU185" s="1"/>
      <c r="YV185" s="1"/>
      <c r="YW185" s="1"/>
      <c r="YX185" s="1"/>
      <c r="YY185" s="1"/>
      <c r="YZ185" s="1"/>
      <c r="ZA185" s="1"/>
      <c r="ZB185" s="1"/>
      <c r="ZC185" s="1"/>
      <c r="ZD185" s="1"/>
      <c r="ZE185" s="1"/>
      <c r="ZF185" s="1"/>
      <c r="ZG185" s="1"/>
      <c r="ZH185" s="1"/>
      <c r="ZI185" s="1"/>
      <c r="ZJ185" s="1"/>
      <c r="ZK185" s="1"/>
      <c r="ZL185" s="1"/>
      <c r="ZM185" s="1"/>
      <c r="ZN185" s="1"/>
      <c r="ZO185" s="1"/>
      <c r="ZP185" s="1"/>
      <c r="ZQ185" s="1"/>
      <c r="ZR185" s="1"/>
      <c r="ZS185" s="1"/>
      <c r="ZT185" s="1"/>
      <c r="ZU185" s="1"/>
      <c r="ZV185" s="1"/>
      <c r="ZW185" s="1"/>
      <c r="ZX185" s="1"/>
      <c r="ZY185" s="1"/>
      <c r="ZZ185" s="1"/>
      <c r="AAA185" s="1"/>
      <c r="AAB185" s="1"/>
      <c r="AAC185" s="1"/>
      <c r="AAD185" s="1"/>
      <c r="AAE185" s="1"/>
      <c r="AAF185" s="1"/>
      <c r="AAG185" s="1"/>
      <c r="AAH185" s="1"/>
      <c r="AAI185" s="1"/>
      <c r="AAJ185" s="1"/>
      <c r="AAK185" s="1"/>
      <c r="AAL185" s="1"/>
      <c r="AAM185" s="1"/>
      <c r="AAN185" s="1"/>
      <c r="AAO185" s="1"/>
      <c r="AAP185" s="1"/>
      <c r="AAQ185" s="1"/>
      <c r="AAR185" s="1"/>
      <c r="AAS185" s="1"/>
      <c r="AAT185" s="1"/>
      <c r="AAU185" s="1"/>
      <c r="AAV185" s="1"/>
      <c r="AAW185" s="1"/>
      <c r="AAX185" s="1"/>
      <c r="AAY185" s="1"/>
      <c r="AAZ185" s="1"/>
      <c r="ABA185" s="1"/>
      <c r="ABB185" s="1"/>
      <c r="ABC185" s="1"/>
      <c r="ABD185" s="1"/>
      <c r="ABE185" s="1"/>
      <c r="ABF185" s="1"/>
      <c r="ABG185" s="1"/>
      <c r="ABH185" s="1"/>
      <c r="ABI185" s="1"/>
      <c r="ABJ185" s="1"/>
      <c r="ABK185" s="1"/>
      <c r="ABL185" s="1"/>
      <c r="ABM185" s="1"/>
      <c r="ABN185" s="1"/>
      <c r="ABO185" s="1"/>
      <c r="ABP185" s="1"/>
      <c r="ABQ185" s="1"/>
      <c r="ABR185" s="1"/>
      <c r="ABS185" s="1"/>
      <c r="ABT185" s="1"/>
      <c r="ABU185" s="1"/>
      <c r="ABV185" s="1"/>
      <c r="ABW185" s="1"/>
      <c r="ABX185" s="1"/>
      <c r="ABY185" s="1"/>
      <c r="ABZ185" s="1"/>
      <c r="ACA185" s="1"/>
      <c r="ACB185" s="1"/>
      <c r="ACC185" s="1"/>
      <c r="ACD185" s="1"/>
      <c r="ACE185" s="1"/>
      <c r="ACF185" s="1"/>
      <c r="ACG185" s="1"/>
      <c r="ACH185" s="1"/>
      <c r="ACI185" s="1"/>
      <c r="ACJ185" s="1"/>
      <c r="ACK185" s="1"/>
      <c r="ACL185" s="1"/>
      <c r="ACM185" s="1"/>
      <c r="ACN185" s="1"/>
      <c r="ACO185" s="1"/>
      <c r="ACP185" s="1"/>
      <c r="ACQ185" s="1"/>
      <c r="ACR185" s="1"/>
      <c r="ACS185" s="1"/>
      <c r="ACT185" s="1"/>
      <c r="ACU185" s="1"/>
      <c r="ACV185" s="1"/>
      <c r="ACW185" s="1"/>
      <c r="ACX185" s="1"/>
      <c r="ACY185" s="1"/>
      <c r="ACZ185" s="1"/>
      <c r="ADA185" s="1"/>
      <c r="ADB185" s="1"/>
      <c r="ADC185" s="1"/>
      <c r="ADD185" s="1"/>
      <c r="ADE185" s="1"/>
      <c r="ADF185" s="1"/>
      <c r="ADG185" s="1"/>
      <c r="ADH185" s="1"/>
      <c r="ADI185" s="1"/>
      <c r="ADJ185" s="1"/>
      <c r="ADK185" s="1"/>
      <c r="ADL185" s="1"/>
      <c r="ADM185" s="1"/>
      <c r="ADN185" s="1"/>
      <c r="ADO185" s="1"/>
      <c r="ADP185" s="1"/>
      <c r="ADQ185" s="1"/>
      <c r="ADR185" s="1"/>
      <c r="ADS185" s="1"/>
      <c r="ADT185" s="1"/>
      <c r="ADU185" s="1"/>
      <c r="ADV185" s="1"/>
      <c r="ADW185" s="1"/>
      <c r="ADX185" s="1"/>
      <c r="ADY185" s="1"/>
      <c r="ADZ185" s="1"/>
      <c r="AEA185" s="1"/>
      <c r="AEB185" s="1"/>
      <c r="AEC185" s="1"/>
      <c r="AED185" s="1"/>
      <c r="AEE185" s="1"/>
      <c r="AEF185" s="1"/>
      <c r="AEG185" s="1"/>
      <c r="AEH185" s="1"/>
      <c r="AEI185" s="1"/>
      <c r="AEJ185" s="1"/>
      <c r="AEK185" s="1"/>
      <c r="AEL185" s="1"/>
      <c r="AEM185" s="1"/>
      <c r="AEN185" s="1"/>
      <c r="AEO185" s="1"/>
      <c r="AEP185" s="1"/>
      <c r="AEQ185" s="1"/>
      <c r="AER185" s="1"/>
      <c r="AES185" s="1"/>
      <c r="AET185" s="1"/>
      <c r="AEU185" s="1"/>
      <c r="AEV185" s="1"/>
      <c r="AEW185" s="1"/>
      <c r="AEX185" s="1"/>
      <c r="AEY185" s="1"/>
      <c r="AEZ185" s="1"/>
      <c r="AFA185" s="1"/>
      <c r="AFB185" s="1"/>
      <c r="AFC185" s="1"/>
      <c r="AFD185" s="1"/>
      <c r="AFE185" s="1"/>
      <c r="AFF185" s="1"/>
      <c r="AFG185" s="1"/>
      <c r="AFH185" s="1"/>
      <c r="AFI185" s="1"/>
      <c r="AFJ185" s="1"/>
      <c r="AFK185" s="1"/>
      <c r="AFL185" s="1"/>
      <c r="AFM185" s="1"/>
      <c r="AFN185" s="1"/>
      <c r="AFO185" s="1"/>
      <c r="AFP185" s="1"/>
      <c r="AFQ185" s="1"/>
      <c r="AFR185" s="1"/>
      <c r="AFS185" s="1"/>
      <c r="AFT185" s="1"/>
      <c r="AFU185" s="1"/>
      <c r="AFV185" s="1"/>
      <c r="AFW185" s="1"/>
      <c r="AFX185" s="1"/>
      <c r="AFY185" s="1"/>
      <c r="AFZ185" s="1"/>
      <c r="AGA185" s="1"/>
      <c r="AGB185" s="1"/>
      <c r="AGC185" s="1"/>
      <c r="AGD185" s="1"/>
      <c r="AGE185" s="1"/>
      <c r="AGF185" s="1"/>
      <c r="AGG185" s="1"/>
      <c r="AGH185" s="1"/>
      <c r="AGI185" s="1"/>
      <c r="AGJ185" s="1"/>
      <c r="AGK185" s="1"/>
      <c r="AGL185" s="1"/>
      <c r="AGM185" s="1"/>
      <c r="AGN185" s="1"/>
      <c r="AGO185" s="1"/>
      <c r="AGP185" s="1"/>
      <c r="AGQ185" s="1"/>
      <c r="AGR185" s="1"/>
      <c r="AGS185" s="1"/>
      <c r="AGT185" s="1"/>
      <c r="AGU185" s="1"/>
      <c r="AGV185" s="1"/>
      <c r="AGW185" s="1"/>
      <c r="AGX185" s="1"/>
      <c r="AGY185" s="1"/>
      <c r="AGZ185" s="1"/>
      <c r="AHA185" s="1"/>
      <c r="AHB185" s="1"/>
      <c r="AHC185" s="1"/>
      <c r="AHD185" s="1"/>
      <c r="AHE185" s="1"/>
      <c r="AHF185" s="1"/>
      <c r="AHG185" s="1"/>
      <c r="AHH185" s="1"/>
      <c r="AHI185" s="1"/>
      <c r="AHJ185" s="1"/>
      <c r="AHK185" s="1"/>
      <c r="AHL185" s="1"/>
      <c r="AHM185" s="1"/>
      <c r="AHN185" s="1"/>
      <c r="AHO185" s="1"/>
      <c r="AHP185" s="1"/>
      <c r="AHQ185" s="1"/>
      <c r="AHR185" s="1"/>
      <c r="AHS185" s="1"/>
      <c r="AHT185" s="1"/>
      <c r="AHU185" s="1"/>
      <c r="AHV185" s="1"/>
      <c r="AHW185" s="1"/>
      <c r="AHX185" s="1"/>
      <c r="AHY185" s="1"/>
      <c r="AHZ185" s="1"/>
      <c r="AIA185" s="1"/>
      <c r="AIB185" s="1"/>
      <c r="AIC185" s="1"/>
      <c r="AID185" s="1"/>
      <c r="AIE185" s="1"/>
      <c r="AIF185" s="1"/>
      <c r="AIG185" s="1"/>
      <c r="AIH185" s="1"/>
      <c r="AII185" s="1"/>
      <c r="AIJ185" s="1"/>
      <c r="AIK185" s="1"/>
      <c r="AIL185" s="1"/>
      <c r="AIM185" s="1"/>
      <c r="AIN185" s="1"/>
      <c r="AIO185" s="1"/>
      <c r="AIP185" s="1"/>
      <c r="AIQ185" s="1"/>
      <c r="AIR185" s="1"/>
      <c r="AIS185" s="1"/>
      <c r="AIT185" s="1"/>
      <c r="AIU185" s="1"/>
      <c r="AIV185" s="1"/>
      <c r="AIW185" s="1"/>
      <c r="AIX185" s="1"/>
      <c r="AIY185" s="1"/>
      <c r="AIZ185" s="1"/>
      <c r="AJA185" s="1"/>
      <c r="AJB185" s="1"/>
      <c r="AJC185" s="1"/>
      <c r="AJD185" s="1"/>
      <c r="AJE185" s="1"/>
      <c r="AJF185" s="1"/>
      <c r="AJG185" s="1"/>
      <c r="AJH185" s="1"/>
      <c r="AJI185" s="1"/>
      <c r="AJJ185" s="1"/>
      <c r="AJK185" s="1"/>
      <c r="AJL185" s="1"/>
      <c r="AJM185" s="1"/>
      <c r="AJN185" s="1"/>
      <c r="AJO185" s="1"/>
      <c r="AJP185" s="1"/>
      <c r="AJQ185" s="1"/>
      <c r="AJR185" s="1"/>
      <c r="AJS185" s="1"/>
      <c r="AJT185" s="1"/>
      <c r="AJU185" s="1"/>
      <c r="AJV185" s="1"/>
      <c r="AJW185" s="1"/>
      <c r="AJX185" s="1"/>
      <c r="AJY185" s="1"/>
      <c r="AJZ185" s="1"/>
      <c r="AKA185" s="1"/>
      <c r="AKB185" s="1"/>
      <c r="AKC185" s="1"/>
      <c r="AKD185" s="1"/>
      <c r="AKE185" s="1"/>
      <c r="AKF185" s="1"/>
      <c r="AKG185" s="1"/>
      <c r="AKH185" s="1"/>
      <c r="AKI185" s="1"/>
      <c r="AKJ185" s="1"/>
      <c r="AKK185" s="1"/>
      <c r="AKL185" s="1"/>
      <c r="AKM185" s="1"/>
      <c r="AKN185" s="1"/>
      <c r="AKO185" s="1"/>
      <c r="AKP185" s="1"/>
      <c r="AKQ185" s="1"/>
      <c r="AKR185" s="1"/>
      <c r="AKS185" s="1"/>
      <c r="AKT185" s="1"/>
      <c r="AKU185" s="1"/>
      <c r="AKV185" s="1"/>
      <c r="AKW185" s="1"/>
      <c r="AKX185" s="1"/>
      <c r="AKY185" s="1"/>
      <c r="AKZ185" s="1"/>
      <c r="ALA185" s="1"/>
      <c r="ALB185" s="1"/>
      <c r="ALC185" s="1"/>
      <c r="ALD185" s="1"/>
      <c r="ALE185" s="1"/>
      <c r="ALF185" s="1"/>
      <c r="ALG185" s="1"/>
      <c r="ALH185" s="1"/>
      <c r="ALI185" s="1"/>
      <c r="ALJ185" s="1"/>
      <c r="ALK185" s="1"/>
      <c r="ALL185" s="1"/>
      <c r="ALM185" s="1"/>
      <c r="ALN185" s="1"/>
      <c r="ALO185" s="1"/>
      <c r="ALP185" s="1"/>
      <c r="ALQ185" s="1"/>
      <c r="ALR185" s="1"/>
      <c r="ALS185" s="1"/>
      <c r="ALT185" s="1"/>
      <c r="ALU185" s="1"/>
      <c r="ALV185" s="1"/>
      <c r="ALW185" s="1"/>
      <c r="ALX185" s="1"/>
      <c r="ALY185" s="1"/>
      <c r="ALZ185" s="1"/>
      <c r="AMA185" s="1"/>
      <c r="AMB185" s="1"/>
      <c r="AMC185" s="1"/>
      <c r="AMD185" s="1"/>
      <c r="AME185" s="1"/>
      <c r="AMF185" s="1"/>
      <c r="AMG185" s="1"/>
      <c r="AMH185" s="1"/>
      <c r="AMI185" s="1"/>
      <c r="AMJ185" s="1"/>
      <c r="AMK185" s="1"/>
      <c r="AML185" s="1"/>
      <c r="AMM185" s="1"/>
      <c r="AMN185" s="1"/>
    </row>
    <row r="186" spans="1:1029" x14ac:dyDescent="0.2">
      <c r="A186" s="3" t="str">
        <f t="shared" si="639"/>
        <v>glr_human_4L6R</v>
      </c>
      <c r="B186" s="3" t="s">
        <v>32</v>
      </c>
      <c r="C186" s="3" t="s">
        <v>51</v>
      </c>
      <c r="D186" s="3" t="str">
        <f>IFERROR(MID(VLOOKUP($B186,Seqs!$A:$B,2,0),E186,1),"")</f>
        <v>G</v>
      </c>
      <c r="E186" s="3">
        <v>125</v>
      </c>
      <c r="F186" s="3" t="str">
        <f>IFERROR(MID(VLOOKUP($B186,Seqs!$A:$B,2,0),G186,1),"")</f>
        <v>G</v>
      </c>
      <c r="G186" s="3">
        <v>164</v>
      </c>
      <c r="H186" s="3" t="str">
        <f>IFERROR(MID(VLOOKUP($B186,Seqs!$A:$B,2,0),I186,1),"")</f>
        <v>S</v>
      </c>
      <c r="I186" s="23">
        <v>167</v>
      </c>
      <c r="J186" s="3" t="str">
        <f>IFERROR(MID(VLOOKUP($B186,Seqs!$A:$B,2,0),K186,1),"")</f>
        <v>H</v>
      </c>
      <c r="K186" s="23">
        <v>170</v>
      </c>
      <c r="L186" s="3" t="str">
        <f>IFERROR(MID(VLOOKUP($B186,Seqs!$A:$B,2,0),M186,1),"")</f>
        <v>C</v>
      </c>
      <c r="M186" s="23">
        <v>171</v>
      </c>
      <c r="N186" s="3" t="str">
        <f>IFERROR(MID(VLOOKUP($B186,Seqs!$A:$B,2,0),O186,1),"")</f>
        <v>R</v>
      </c>
      <c r="O186" s="3">
        <v>199</v>
      </c>
      <c r="P186" s="3" t="str">
        <f>IFERROR(MID(VLOOKUP($B186,Seqs!$A:$B,2,0),Q186,1),"")</f>
        <v/>
      </c>
      <c r="Q186" s="3" t="s">
        <v>23</v>
      </c>
      <c r="R186" s="3" t="str">
        <f>IFERROR(MID(VLOOKUP($B186,Seqs!$A:$B,2,0),S186,1),"")</f>
        <v/>
      </c>
      <c r="S186" s="3" t="s">
        <v>23</v>
      </c>
      <c r="T186" s="3" t="str">
        <f>IFERROR(MID(VLOOKUP($B186,Seqs!$A:$B,2,0),U186,1),"")</f>
        <v>S</v>
      </c>
      <c r="U186" s="3">
        <v>217</v>
      </c>
      <c r="V186" s="3" t="str">
        <f>IFERROR(MID(VLOOKUP($B186,Seqs!$A:$B,2,0),W186,1),"")</f>
        <v>L</v>
      </c>
      <c r="W186" s="3">
        <v>255</v>
      </c>
      <c r="X186" s="3" t="str">
        <f>IFERROR(MID(VLOOKUP($B186,Seqs!$A:$B,2,0),Y186,1),"")</f>
        <v/>
      </c>
      <c r="Y186" s="3" t="s">
        <v>23</v>
      </c>
      <c r="Z186" s="3" t="str">
        <f>IFERROR(MID(VLOOKUP($B186,Seqs!$A:$B,2,0),AA186,1),"")</f>
        <v/>
      </c>
      <c r="AA186" s="3" t="s">
        <v>23</v>
      </c>
      <c r="AB186" s="3" t="str">
        <f>IFERROR(MID(VLOOKUP($B186,Seqs!$A:$B,2,0),AC186,1),"")</f>
        <v>A</v>
      </c>
      <c r="AC186" s="9">
        <v>274</v>
      </c>
      <c r="AD186" s="3" t="str">
        <f>IFERROR(MID(VLOOKUP($B186,Seqs!$A:$B,2,0),AE186,1),"")</f>
        <v>E</v>
      </c>
      <c r="AE186" s="3">
        <v>290</v>
      </c>
      <c r="AF186" s="3" t="str">
        <f>IFERROR(MID(VLOOKUP($B186,Seqs!$A:$B,2,0),AG186,1),"")</f>
        <v>C</v>
      </c>
      <c r="AG186" s="3">
        <v>294</v>
      </c>
      <c r="AH186" s="3" t="str">
        <f>IFERROR(MID(VLOOKUP($B186,Seqs!$A:$B,2,0),AI186,1),"")</f>
        <v>T</v>
      </c>
      <c r="AI186" s="3">
        <v>296</v>
      </c>
      <c r="AJ186" s="3" t="str">
        <f>IFERROR(MID(VLOOKUP($B186,Seqs!$A:$B,2,0),AK186,1),"")</f>
        <v>N</v>
      </c>
      <c r="AK186" s="3">
        <v>300</v>
      </c>
      <c r="AL186" s="3" t="str">
        <f>IFERROR(MID(VLOOKUP($B186,Seqs!$A:$B,2,0),AM186,1),"")</f>
        <v>A</v>
      </c>
      <c r="AM186" s="3">
        <v>335</v>
      </c>
      <c r="AN186" s="3" t="str">
        <f>IFERROR(MID(VLOOKUP($B186,Seqs!$A:$B,2,0),AO186,1),"")</f>
        <v>Y</v>
      </c>
      <c r="AO186" s="3">
        <v>343</v>
      </c>
      <c r="AP186" s="3" t="str">
        <f>IFERROR(MID(VLOOKUP($B186,Seqs!$A:$B,2,0),AQ186,1),"")</f>
        <v>F</v>
      </c>
      <c r="AQ186" s="3">
        <v>367</v>
      </c>
      <c r="AR186" s="3" t="str">
        <f>IFERROR(MID(VLOOKUP($B186,Seqs!$A:$B,2,0),AS186,1),"")</f>
        <v>Q</v>
      </c>
      <c r="AS186" s="3">
        <v>374</v>
      </c>
      <c r="AT186" s="3" t="str">
        <f>IFERROR(MID(VLOOKUP($B186,Seqs!$A:$B,2,0),AU186,1),"")</f>
        <v>L</v>
      </c>
      <c r="AU186" s="3">
        <v>403</v>
      </c>
      <c r="AV186" s="3" t="str">
        <f>IFERROR(MID(VLOOKUP($B186,Seqs!$A:$B,2,0),AW186,1),"")</f>
        <v>N</v>
      </c>
      <c r="AW186" s="3">
        <v>404</v>
      </c>
      <c r="AX186" s="3" t="str">
        <f>IFERROR(MID(VLOOKUP($B186,Seqs!$A:$B,2,0),AY186,1),"")</f>
        <v>N</v>
      </c>
      <c r="AY186" s="3">
        <v>429</v>
      </c>
      <c r="AZ186" s="79" t="str">
        <f>VLOOKUP(B186,Classification!A:D,2,0)</f>
        <v>B1</v>
      </c>
      <c r="BA186" s="97" t="str">
        <f>VLOOKUP(B186,Classification!A:D,4,0)</f>
        <v>Glucagonreceptorfamily</v>
      </c>
      <c r="BB186" s="27" t="b">
        <f t="shared" si="640"/>
        <v>1</v>
      </c>
      <c r="BC186" s="23">
        <f t="shared" si="836"/>
        <v>251</v>
      </c>
      <c r="BD186" s="2" t="s">
        <v>23</v>
      </c>
      <c r="BE186" s="3" t="s">
        <v>1381</v>
      </c>
      <c r="BF186" s="50" t="s">
        <v>1384</v>
      </c>
      <c r="BG186" s="50" t="s">
        <v>1384</v>
      </c>
      <c r="BH186" s="1"/>
      <c r="BI186" s="72" t="s">
        <v>1293</v>
      </c>
      <c r="BJ186" s="58" t="s">
        <v>1293</v>
      </c>
      <c r="BK186" s="58" t="s">
        <v>1293</v>
      </c>
      <c r="BL186" s="58" t="s">
        <v>1293</v>
      </c>
      <c r="BM186" s="58" t="s">
        <v>1293</v>
      </c>
      <c r="BN186" s="58" t="s">
        <v>1293</v>
      </c>
      <c r="BO186" s="58" t="s">
        <v>1293</v>
      </c>
      <c r="BP186" s="58" t="s">
        <v>1293</v>
      </c>
      <c r="BQ186" s="58" t="s">
        <v>1293</v>
      </c>
      <c r="BR186" s="58" t="s">
        <v>1293</v>
      </c>
      <c r="BS186" s="58" t="s">
        <v>1293</v>
      </c>
      <c r="BT186" s="58" t="s">
        <v>1293</v>
      </c>
      <c r="BU186" s="72">
        <f t="shared" si="837"/>
        <v>125</v>
      </c>
      <c r="BV186" s="73">
        <f t="shared" si="838"/>
        <v>167</v>
      </c>
      <c r="BW186" s="74">
        <f t="shared" si="839"/>
        <v>171</v>
      </c>
      <c r="BX186" s="73" t="str">
        <f t="shared" si="840"/>
        <v>-</v>
      </c>
      <c r="BY186" s="74">
        <f t="shared" si="841"/>
        <v>217</v>
      </c>
      <c r="BZ186" s="73" t="str">
        <f t="shared" si="842"/>
        <v>-</v>
      </c>
      <c r="CA186" s="74">
        <f t="shared" si="843"/>
        <v>274</v>
      </c>
      <c r="CB186" s="73">
        <f t="shared" si="844"/>
        <v>294</v>
      </c>
      <c r="CC186" s="74">
        <f t="shared" si="845"/>
        <v>300</v>
      </c>
      <c r="CD186" s="73">
        <f t="shared" si="846"/>
        <v>343</v>
      </c>
      <c r="CE186" s="74">
        <f t="shared" si="847"/>
        <v>374</v>
      </c>
      <c r="CF186" s="73">
        <f t="shared" si="848"/>
        <v>404</v>
      </c>
      <c r="CG186" s="72">
        <f t="shared" si="849"/>
        <v>164</v>
      </c>
      <c r="CH186" s="73">
        <f t="shared" si="850"/>
        <v>170</v>
      </c>
      <c r="CI186" s="74">
        <f t="shared" si="851"/>
        <v>199</v>
      </c>
      <c r="CJ186" s="74" t="str">
        <f t="shared" si="852"/>
        <v>-</v>
      </c>
      <c r="CK186" s="74">
        <f t="shared" si="853"/>
        <v>255</v>
      </c>
      <c r="CL186" s="74" t="str">
        <f t="shared" si="854"/>
        <v>-</v>
      </c>
      <c r="CM186" s="74">
        <f t="shared" si="855"/>
        <v>290</v>
      </c>
      <c r="CN186" s="74">
        <f t="shared" si="856"/>
        <v>296</v>
      </c>
      <c r="CO186" s="74">
        <f t="shared" si="857"/>
        <v>335</v>
      </c>
      <c r="CP186" s="74">
        <f t="shared" si="858"/>
        <v>367</v>
      </c>
      <c r="CQ186" s="74">
        <f t="shared" si="859"/>
        <v>403</v>
      </c>
      <c r="CR186" s="74">
        <f t="shared" si="860"/>
        <v>429</v>
      </c>
      <c r="CS186" s="23">
        <f t="shared" si="861"/>
        <v>1</v>
      </c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  <c r="JD186" s="1"/>
      <c r="JE186" s="1"/>
      <c r="JF186" s="1"/>
      <c r="JG186" s="1"/>
      <c r="JH186" s="1"/>
      <c r="JI186" s="1"/>
      <c r="JJ186" s="1"/>
      <c r="JK186" s="1"/>
      <c r="JL186" s="1"/>
      <c r="JM186" s="1"/>
      <c r="JN186" s="1"/>
      <c r="JO186" s="1"/>
      <c r="JP186" s="1"/>
      <c r="JQ186" s="1"/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/>
      <c r="KI186" s="1"/>
      <c r="KJ186" s="1"/>
      <c r="KK186" s="1"/>
      <c r="KL186" s="1"/>
      <c r="KM186" s="1"/>
      <c r="KN186" s="1"/>
      <c r="KO186" s="1"/>
      <c r="KP186" s="1"/>
      <c r="KQ186" s="1"/>
      <c r="KR186" s="1"/>
      <c r="KS186" s="1"/>
      <c r="KT186" s="1"/>
      <c r="KU186" s="1"/>
      <c r="KV186" s="1"/>
      <c r="KW186" s="1"/>
      <c r="KX186" s="1"/>
      <c r="KY186" s="1"/>
      <c r="KZ186" s="1"/>
      <c r="LA186" s="1"/>
      <c r="LB186" s="1"/>
      <c r="LC186" s="1"/>
      <c r="LD186" s="1"/>
      <c r="LE186" s="1"/>
      <c r="LF186" s="1"/>
      <c r="LG186" s="1"/>
      <c r="LH186" s="1"/>
      <c r="LI186" s="1"/>
      <c r="LJ186" s="1"/>
      <c r="LK186" s="1"/>
      <c r="LL186" s="1"/>
      <c r="LM186" s="1"/>
      <c r="LN186" s="1"/>
      <c r="LO186" s="1"/>
      <c r="LP186" s="1"/>
      <c r="LQ186" s="1"/>
      <c r="LR186" s="1"/>
      <c r="LS186" s="1"/>
      <c r="LT186" s="1"/>
      <c r="LU186" s="1"/>
      <c r="LV186" s="1"/>
      <c r="LW186" s="1"/>
      <c r="LX186" s="1"/>
      <c r="LY186" s="1"/>
      <c r="LZ186" s="1"/>
      <c r="MA186" s="1"/>
      <c r="MB186" s="1"/>
      <c r="MC186" s="1"/>
      <c r="MD186" s="1"/>
      <c r="ME186" s="1"/>
      <c r="MF186" s="1"/>
      <c r="MG186" s="1"/>
      <c r="MH186" s="1"/>
      <c r="MI186" s="1"/>
      <c r="MJ186" s="1"/>
      <c r="MK186" s="1"/>
      <c r="ML186" s="1"/>
      <c r="MM186" s="1"/>
      <c r="MN186" s="1"/>
      <c r="MO186" s="1"/>
      <c r="MP186" s="1"/>
      <c r="MQ186" s="1"/>
      <c r="MR186" s="1"/>
      <c r="MS186" s="1"/>
      <c r="MT186" s="1"/>
      <c r="MU186" s="1"/>
      <c r="MV186" s="1"/>
      <c r="MW186" s="1"/>
      <c r="MX186" s="1"/>
      <c r="MY186" s="1"/>
      <c r="MZ186" s="1"/>
      <c r="NA186" s="1"/>
      <c r="NB186" s="1"/>
      <c r="NC186" s="1"/>
      <c r="ND186" s="1"/>
      <c r="NE186" s="1"/>
      <c r="NF186" s="1"/>
      <c r="NG186" s="1"/>
      <c r="NH186" s="1"/>
      <c r="NI186" s="1"/>
      <c r="NJ186" s="1"/>
      <c r="NK186" s="1"/>
      <c r="NL186" s="1"/>
      <c r="NM186" s="1"/>
      <c r="NN186" s="1"/>
      <c r="NO186" s="1"/>
      <c r="NP186" s="1"/>
      <c r="NQ186" s="1"/>
      <c r="NR186" s="1"/>
      <c r="NS186" s="1"/>
      <c r="NT186" s="1"/>
      <c r="NU186" s="1"/>
      <c r="NV186" s="1"/>
      <c r="NW186" s="1"/>
      <c r="NX186" s="1"/>
      <c r="NY186" s="1"/>
      <c r="NZ186" s="1"/>
      <c r="OA186" s="1"/>
      <c r="OB186" s="1"/>
      <c r="OC186" s="1"/>
      <c r="OD186" s="1"/>
      <c r="OE186" s="1"/>
      <c r="OF186" s="1"/>
      <c r="OG186" s="1"/>
      <c r="OH186" s="1"/>
      <c r="OI186" s="1"/>
      <c r="OJ186" s="1"/>
      <c r="OK186" s="1"/>
      <c r="OL186" s="1"/>
      <c r="OM186" s="1"/>
      <c r="ON186" s="1"/>
      <c r="OO186" s="1"/>
      <c r="OP186" s="1"/>
      <c r="OQ186" s="1"/>
      <c r="OR186" s="1"/>
      <c r="OS186" s="1"/>
      <c r="OT186" s="1"/>
      <c r="OU186" s="1"/>
      <c r="OV186" s="1"/>
      <c r="OW186" s="1"/>
      <c r="OX186" s="1"/>
      <c r="OY186" s="1"/>
      <c r="OZ186" s="1"/>
      <c r="PA186" s="1"/>
      <c r="PB186" s="1"/>
      <c r="PC186" s="1"/>
      <c r="PD186" s="1"/>
      <c r="PE186" s="1"/>
      <c r="PF186" s="1"/>
      <c r="PG186" s="1"/>
      <c r="PH186" s="1"/>
      <c r="PI186" s="1"/>
      <c r="PJ186" s="1"/>
      <c r="PK186" s="1"/>
      <c r="PL186" s="1"/>
      <c r="PM186" s="1"/>
      <c r="PN186" s="1"/>
      <c r="PO186" s="1"/>
      <c r="PP186" s="1"/>
      <c r="PQ186" s="1"/>
      <c r="PR186" s="1"/>
      <c r="PS186" s="1"/>
      <c r="PT186" s="1"/>
      <c r="PU186" s="1"/>
      <c r="PV186" s="1"/>
      <c r="PW186" s="1"/>
      <c r="PX186" s="1"/>
      <c r="PY186" s="1"/>
      <c r="PZ186" s="1"/>
      <c r="QA186" s="1"/>
      <c r="QB186" s="1"/>
      <c r="QC186" s="1"/>
      <c r="QD186" s="1"/>
      <c r="QE186" s="1"/>
      <c r="QF186" s="1"/>
      <c r="QG186" s="1"/>
      <c r="QH186" s="1"/>
      <c r="QI186" s="1"/>
      <c r="QJ186" s="1"/>
      <c r="QK186" s="1"/>
      <c r="QL186" s="1"/>
      <c r="QM186" s="1"/>
      <c r="QN186" s="1"/>
      <c r="QO186" s="1"/>
      <c r="QP186" s="1"/>
      <c r="QQ186" s="1"/>
      <c r="QR186" s="1"/>
      <c r="QS186" s="1"/>
      <c r="QT186" s="1"/>
      <c r="QU186" s="1"/>
      <c r="QV186" s="1"/>
      <c r="QW186" s="1"/>
      <c r="QX186" s="1"/>
      <c r="QY186" s="1"/>
      <c r="QZ186" s="1"/>
      <c r="RA186" s="1"/>
      <c r="RB186" s="1"/>
      <c r="RC186" s="1"/>
      <c r="RD186" s="1"/>
      <c r="RE186" s="1"/>
      <c r="RF186" s="1"/>
      <c r="RG186" s="1"/>
      <c r="RH186" s="1"/>
      <c r="RI186" s="1"/>
      <c r="RJ186" s="1"/>
      <c r="RK186" s="1"/>
      <c r="RL186" s="1"/>
      <c r="RM186" s="1"/>
      <c r="RN186" s="1"/>
      <c r="RO186" s="1"/>
      <c r="RP186" s="1"/>
      <c r="RQ186" s="1"/>
      <c r="RR186" s="1"/>
      <c r="RS186" s="1"/>
      <c r="RT186" s="1"/>
      <c r="RU186" s="1"/>
      <c r="RV186" s="1"/>
      <c r="RW186" s="1"/>
      <c r="RX186" s="1"/>
      <c r="RY186" s="1"/>
      <c r="RZ186" s="1"/>
      <c r="SA186" s="1"/>
      <c r="SB186" s="1"/>
      <c r="SC186" s="1"/>
      <c r="SD186" s="1"/>
      <c r="SE186" s="1"/>
      <c r="SF186" s="1"/>
      <c r="SG186" s="1"/>
      <c r="SH186" s="1"/>
      <c r="SI186" s="1"/>
      <c r="SJ186" s="1"/>
      <c r="SK186" s="1"/>
      <c r="SL186" s="1"/>
      <c r="SM186" s="1"/>
      <c r="SN186" s="1"/>
      <c r="SO186" s="1"/>
      <c r="SP186" s="1"/>
      <c r="SQ186" s="1"/>
      <c r="SR186" s="1"/>
      <c r="SS186" s="1"/>
      <c r="ST186" s="1"/>
      <c r="SU186" s="1"/>
      <c r="SV186" s="1"/>
      <c r="SW186" s="1"/>
      <c r="SX186" s="1"/>
      <c r="SY186" s="1"/>
      <c r="SZ186" s="1"/>
      <c r="TA186" s="1"/>
      <c r="TB186" s="1"/>
      <c r="TC186" s="1"/>
      <c r="TD186" s="1"/>
      <c r="TE186" s="1"/>
      <c r="TF186" s="1"/>
      <c r="TG186" s="1"/>
      <c r="TH186" s="1"/>
      <c r="TI186" s="1"/>
      <c r="TJ186" s="1"/>
      <c r="TK186" s="1"/>
      <c r="TL186" s="1"/>
      <c r="TM186" s="1"/>
      <c r="TN186" s="1"/>
      <c r="TO186" s="1"/>
      <c r="TP186" s="1"/>
      <c r="TQ186" s="1"/>
      <c r="TR186" s="1"/>
      <c r="TS186" s="1"/>
      <c r="TT186" s="1"/>
      <c r="TU186" s="1"/>
      <c r="TV186" s="1"/>
      <c r="TW186" s="1"/>
      <c r="TX186" s="1"/>
      <c r="TY186" s="1"/>
      <c r="TZ186" s="1"/>
      <c r="UA186" s="1"/>
      <c r="UB186" s="1"/>
      <c r="UC186" s="1"/>
      <c r="UD186" s="1"/>
      <c r="UE186" s="1"/>
      <c r="UF186" s="1"/>
      <c r="UG186" s="1"/>
      <c r="UH186" s="1"/>
      <c r="UI186" s="1"/>
      <c r="UJ186" s="1"/>
      <c r="UK186" s="1"/>
      <c r="UL186" s="1"/>
      <c r="UM186" s="1"/>
      <c r="UN186" s="1"/>
      <c r="UO186" s="1"/>
      <c r="UP186" s="1"/>
      <c r="UQ186" s="1"/>
      <c r="UR186" s="1"/>
      <c r="US186" s="1"/>
      <c r="UT186" s="1"/>
      <c r="UU186" s="1"/>
      <c r="UV186" s="1"/>
      <c r="UW186" s="1"/>
      <c r="UX186" s="1"/>
      <c r="UY186" s="1"/>
      <c r="UZ186" s="1"/>
      <c r="VA186" s="1"/>
      <c r="VB186" s="1"/>
      <c r="VC186" s="1"/>
      <c r="VD186" s="1"/>
      <c r="VE186" s="1"/>
      <c r="VF186" s="1"/>
      <c r="VG186" s="1"/>
      <c r="VH186" s="1"/>
      <c r="VI186" s="1"/>
      <c r="VJ186" s="1"/>
      <c r="VK186" s="1"/>
      <c r="VL186" s="1"/>
      <c r="VM186" s="1"/>
      <c r="VN186" s="1"/>
      <c r="VO186" s="1"/>
      <c r="VP186" s="1"/>
      <c r="VQ186" s="1"/>
      <c r="VR186" s="1"/>
      <c r="VS186" s="1"/>
      <c r="VT186" s="1"/>
      <c r="VU186" s="1"/>
      <c r="VV186" s="1"/>
      <c r="VW186" s="1"/>
      <c r="VX186" s="1"/>
      <c r="VY186" s="1"/>
      <c r="VZ186" s="1"/>
      <c r="WA186" s="1"/>
      <c r="WB186" s="1"/>
      <c r="WC186" s="1"/>
      <c r="WD186" s="1"/>
      <c r="WE186" s="1"/>
      <c r="WF186" s="1"/>
      <c r="WG186" s="1"/>
      <c r="WH186" s="1"/>
      <c r="WI186" s="1"/>
      <c r="WJ186" s="1"/>
      <c r="WK186" s="1"/>
      <c r="WL186" s="1"/>
      <c r="WM186" s="1"/>
      <c r="WN186" s="1"/>
      <c r="WO186" s="1"/>
      <c r="WP186" s="1"/>
      <c r="WQ186" s="1"/>
      <c r="WR186" s="1"/>
      <c r="WS186" s="1"/>
      <c r="WT186" s="1"/>
      <c r="WU186" s="1"/>
      <c r="WV186" s="1"/>
      <c r="WW186" s="1"/>
      <c r="WX186" s="1"/>
      <c r="WY186" s="1"/>
      <c r="WZ186" s="1"/>
      <c r="XA186" s="1"/>
      <c r="XB186" s="1"/>
      <c r="XC186" s="1"/>
      <c r="XD186" s="1"/>
      <c r="XE186" s="1"/>
      <c r="XF186" s="1"/>
      <c r="XG186" s="1"/>
      <c r="XH186" s="1"/>
      <c r="XI186" s="1"/>
      <c r="XJ186" s="1"/>
      <c r="XK186" s="1"/>
      <c r="XL186" s="1"/>
      <c r="XM186" s="1"/>
      <c r="XN186" s="1"/>
      <c r="XO186" s="1"/>
      <c r="XP186" s="1"/>
      <c r="XQ186" s="1"/>
      <c r="XR186" s="1"/>
      <c r="XS186" s="1"/>
      <c r="XT186" s="1"/>
      <c r="XU186" s="1"/>
      <c r="XV186" s="1"/>
      <c r="XW186" s="1"/>
      <c r="XX186" s="1"/>
      <c r="XY186" s="1"/>
      <c r="XZ186" s="1"/>
      <c r="YA186" s="1"/>
      <c r="YB186" s="1"/>
      <c r="YC186" s="1"/>
      <c r="YD186" s="1"/>
      <c r="YE186" s="1"/>
      <c r="YF186" s="1"/>
      <c r="YG186" s="1"/>
      <c r="YH186" s="1"/>
      <c r="YI186" s="1"/>
      <c r="YJ186" s="1"/>
      <c r="YK186" s="1"/>
      <c r="YL186" s="1"/>
      <c r="YM186" s="1"/>
      <c r="YN186" s="1"/>
      <c r="YO186" s="1"/>
      <c r="YP186" s="1"/>
      <c r="YQ186" s="1"/>
      <c r="YR186" s="1"/>
      <c r="YS186" s="1"/>
      <c r="YT186" s="1"/>
      <c r="YU186" s="1"/>
      <c r="YV186" s="1"/>
      <c r="YW186" s="1"/>
      <c r="YX186" s="1"/>
      <c r="YY186" s="1"/>
      <c r="YZ186" s="1"/>
      <c r="ZA186" s="1"/>
      <c r="ZB186" s="1"/>
      <c r="ZC186" s="1"/>
      <c r="ZD186" s="1"/>
      <c r="ZE186" s="1"/>
      <c r="ZF186" s="1"/>
      <c r="ZG186" s="1"/>
      <c r="ZH186" s="1"/>
      <c r="ZI186" s="1"/>
      <c r="ZJ186" s="1"/>
      <c r="ZK186" s="1"/>
      <c r="ZL186" s="1"/>
      <c r="ZM186" s="1"/>
      <c r="ZN186" s="1"/>
      <c r="ZO186" s="1"/>
      <c r="ZP186" s="1"/>
      <c r="ZQ186" s="1"/>
      <c r="ZR186" s="1"/>
      <c r="ZS186" s="1"/>
      <c r="ZT186" s="1"/>
      <c r="ZU186" s="1"/>
      <c r="ZV186" s="1"/>
      <c r="ZW186" s="1"/>
      <c r="ZX186" s="1"/>
      <c r="ZY186" s="1"/>
      <c r="ZZ186" s="1"/>
      <c r="AAA186" s="1"/>
      <c r="AAB186" s="1"/>
      <c r="AAC186" s="1"/>
      <c r="AAD186" s="1"/>
      <c r="AAE186" s="1"/>
      <c r="AAF186" s="1"/>
      <c r="AAG186" s="1"/>
      <c r="AAH186" s="1"/>
      <c r="AAI186" s="1"/>
      <c r="AAJ186" s="1"/>
      <c r="AAK186" s="1"/>
      <c r="AAL186" s="1"/>
      <c r="AAM186" s="1"/>
      <c r="AAN186" s="1"/>
      <c r="AAO186" s="1"/>
      <c r="AAP186" s="1"/>
      <c r="AAQ186" s="1"/>
      <c r="AAR186" s="1"/>
      <c r="AAS186" s="1"/>
      <c r="AAT186" s="1"/>
      <c r="AAU186" s="1"/>
      <c r="AAV186" s="1"/>
      <c r="AAW186" s="1"/>
      <c r="AAX186" s="1"/>
      <c r="AAY186" s="1"/>
      <c r="AAZ186" s="1"/>
      <c r="ABA186" s="1"/>
      <c r="ABB186" s="1"/>
      <c r="ABC186" s="1"/>
      <c r="ABD186" s="1"/>
      <c r="ABE186" s="1"/>
      <c r="ABF186" s="1"/>
      <c r="ABG186" s="1"/>
      <c r="ABH186" s="1"/>
      <c r="ABI186" s="1"/>
      <c r="ABJ186" s="1"/>
      <c r="ABK186" s="1"/>
      <c r="ABL186" s="1"/>
      <c r="ABM186" s="1"/>
      <c r="ABN186" s="1"/>
      <c r="ABO186" s="1"/>
      <c r="ABP186" s="1"/>
      <c r="ABQ186" s="1"/>
      <c r="ABR186" s="1"/>
      <c r="ABS186" s="1"/>
      <c r="ABT186" s="1"/>
      <c r="ABU186" s="1"/>
      <c r="ABV186" s="1"/>
      <c r="ABW186" s="1"/>
      <c r="ABX186" s="1"/>
      <c r="ABY186" s="1"/>
      <c r="ABZ186" s="1"/>
      <c r="ACA186" s="1"/>
      <c r="ACB186" s="1"/>
      <c r="ACC186" s="1"/>
      <c r="ACD186" s="1"/>
      <c r="ACE186" s="1"/>
      <c r="ACF186" s="1"/>
      <c r="ACG186" s="1"/>
      <c r="ACH186" s="1"/>
      <c r="ACI186" s="1"/>
      <c r="ACJ186" s="1"/>
      <c r="ACK186" s="1"/>
      <c r="ACL186" s="1"/>
      <c r="ACM186" s="1"/>
      <c r="ACN186" s="1"/>
      <c r="ACO186" s="1"/>
      <c r="ACP186" s="1"/>
      <c r="ACQ186" s="1"/>
      <c r="ACR186" s="1"/>
      <c r="ACS186" s="1"/>
      <c r="ACT186" s="1"/>
      <c r="ACU186" s="1"/>
      <c r="ACV186" s="1"/>
      <c r="ACW186" s="1"/>
      <c r="ACX186" s="1"/>
      <c r="ACY186" s="1"/>
      <c r="ACZ186" s="1"/>
      <c r="ADA186" s="1"/>
      <c r="ADB186" s="1"/>
      <c r="ADC186" s="1"/>
      <c r="ADD186" s="1"/>
      <c r="ADE186" s="1"/>
      <c r="ADF186" s="1"/>
      <c r="ADG186" s="1"/>
      <c r="ADH186" s="1"/>
      <c r="ADI186" s="1"/>
      <c r="ADJ186" s="1"/>
      <c r="ADK186" s="1"/>
      <c r="ADL186" s="1"/>
      <c r="ADM186" s="1"/>
      <c r="ADN186" s="1"/>
      <c r="ADO186" s="1"/>
      <c r="ADP186" s="1"/>
      <c r="ADQ186" s="1"/>
      <c r="ADR186" s="1"/>
      <c r="ADS186" s="1"/>
      <c r="ADT186" s="1"/>
      <c r="ADU186" s="1"/>
      <c r="ADV186" s="1"/>
      <c r="ADW186" s="1"/>
      <c r="ADX186" s="1"/>
      <c r="ADY186" s="1"/>
      <c r="ADZ186" s="1"/>
      <c r="AEA186" s="1"/>
      <c r="AEB186" s="1"/>
      <c r="AEC186" s="1"/>
      <c r="AED186" s="1"/>
      <c r="AEE186" s="1"/>
      <c r="AEF186" s="1"/>
      <c r="AEG186" s="1"/>
      <c r="AEH186" s="1"/>
      <c r="AEI186" s="1"/>
      <c r="AEJ186" s="1"/>
      <c r="AEK186" s="1"/>
      <c r="AEL186" s="1"/>
      <c r="AEM186" s="1"/>
      <c r="AEN186" s="1"/>
      <c r="AEO186" s="1"/>
      <c r="AEP186" s="1"/>
      <c r="AEQ186" s="1"/>
      <c r="AER186" s="1"/>
      <c r="AES186" s="1"/>
      <c r="AET186" s="1"/>
      <c r="AEU186" s="1"/>
      <c r="AEV186" s="1"/>
      <c r="AEW186" s="1"/>
      <c r="AEX186" s="1"/>
      <c r="AEY186" s="1"/>
      <c r="AEZ186" s="1"/>
      <c r="AFA186" s="1"/>
      <c r="AFB186" s="1"/>
      <c r="AFC186" s="1"/>
      <c r="AFD186" s="1"/>
      <c r="AFE186" s="1"/>
      <c r="AFF186" s="1"/>
      <c r="AFG186" s="1"/>
      <c r="AFH186" s="1"/>
      <c r="AFI186" s="1"/>
      <c r="AFJ186" s="1"/>
      <c r="AFK186" s="1"/>
      <c r="AFL186" s="1"/>
      <c r="AFM186" s="1"/>
      <c r="AFN186" s="1"/>
      <c r="AFO186" s="1"/>
      <c r="AFP186" s="1"/>
      <c r="AFQ186" s="1"/>
      <c r="AFR186" s="1"/>
      <c r="AFS186" s="1"/>
      <c r="AFT186" s="1"/>
      <c r="AFU186" s="1"/>
      <c r="AFV186" s="1"/>
      <c r="AFW186" s="1"/>
      <c r="AFX186" s="1"/>
      <c r="AFY186" s="1"/>
      <c r="AFZ186" s="1"/>
      <c r="AGA186" s="1"/>
      <c r="AGB186" s="1"/>
      <c r="AGC186" s="1"/>
      <c r="AGD186" s="1"/>
      <c r="AGE186" s="1"/>
      <c r="AGF186" s="1"/>
      <c r="AGG186" s="1"/>
      <c r="AGH186" s="1"/>
      <c r="AGI186" s="1"/>
      <c r="AGJ186" s="1"/>
      <c r="AGK186" s="1"/>
      <c r="AGL186" s="1"/>
      <c r="AGM186" s="1"/>
      <c r="AGN186" s="1"/>
      <c r="AGO186" s="1"/>
      <c r="AGP186" s="1"/>
      <c r="AGQ186" s="1"/>
      <c r="AGR186" s="1"/>
      <c r="AGS186" s="1"/>
      <c r="AGT186" s="1"/>
      <c r="AGU186" s="1"/>
      <c r="AGV186" s="1"/>
      <c r="AGW186" s="1"/>
      <c r="AGX186" s="1"/>
      <c r="AGY186" s="1"/>
      <c r="AGZ186" s="1"/>
      <c r="AHA186" s="1"/>
      <c r="AHB186" s="1"/>
      <c r="AHC186" s="1"/>
      <c r="AHD186" s="1"/>
      <c r="AHE186" s="1"/>
      <c r="AHF186" s="1"/>
      <c r="AHG186" s="1"/>
      <c r="AHH186" s="1"/>
      <c r="AHI186" s="1"/>
      <c r="AHJ186" s="1"/>
      <c r="AHK186" s="1"/>
      <c r="AHL186" s="1"/>
      <c r="AHM186" s="1"/>
      <c r="AHN186" s="1"/>
      <c r="AHO186" s="1"/>
      <c r="AHP186" s="1"/>
      <c r="AHQ186" s="1"/>
      <c r="AHR186" s="1"/>
      <c r="AHS186" s="1"/>
      <c r="AHT186" s="1"/>
      <c r="AHU186" s="1"/>
      <c r="AHV186" s="1"/>
      <c r="AHW186" s="1"/>
      <c r="AHX186" s="1"/>
      <c r="AHY186" s="1"/>
      <c r="AHZ186" s="1"/>
      <c r="AIA186" s="1"/>
      <c r="AIB186" s="1"/>
      <c r="AIC186" s="1"/>
      <c r="AID186" s="1"/>
      <c r="AIE186" s="1"/>
      <c r="AIF186" s="1"/>
      <c r="AIG186" s="1"/>
      <c r="AIH186" s="1"/>
      <c r="AII186" s="1"/>
      <c r="AIJ186" s="1"/>
      <c r="AIK186" s="1"/>
      <c r="AIL186" s="1"/>
      <c r="AIM186" s="1"/>
      <c r="AIN186" s="1"/>
      <c r="AIO186" s="1"/>
      <c r="AIP186" s="1"/>
      <c r="AIQ186" s="1"/>
      <c r="AIR186" s="1"/>
      <c r="AIS186" s="1"/>
      <c r="AIT186" s="1"/>
      <c r="AIU186" s="1"/>
      <c r="AIV186" s="1"/>
      <c r="AIW186" s="1"/>
      <c r="AIX186" s="1"/>
      <c r="AIY186" s="1"/>
      <c r="AIZ186" s="1"/>
      <c r="AJA186" s="1"/>
      <c r="AJB186" s="1"/>
      <c r="AJC186" s="1"/>
      <c r="AJD186" s="1"/>
      <c r="AJE186" s="1"/>
      <c r="AJF186" s="1"/>
      <c r="AJG186" s="1"/>
      <c r="AJH186" s="1"/>
      <c r="AJI186" s="1"/>
      <c r="AJJ186" s="1"/>
      <c r="AJK186" s="1"/>
      <c r="AJL186" s="1"/>
      <c r="AJM186" s="1"/>
      <c r="AJN186" s="1"/>
      <c r="AJO186" s="1"/>
      <c r="AJP186" s="1"/>
      <c r="AJQ186" s="1"/>
      <c r="AJR186" s="1"/>
      <c r="AJS186" s="1"/>
      <c r="AJT186" s="1"/>
      <c r="AJU186" s="1"/>
      <c r="AJV186" s="1"/>
      <c r="AJW186" s="1"/>
      <c r="AJX186" s="1"/>
      <c r="AJY186" s="1"/>
      <c r="AJZ186" s="1"/>
      <c r="AKA186" s="1"/>
      <c r="AKB186" s="1"/>
      <c r="AKC186" s="1"/>
      <c r="AKD186" s="1"/>
      <c r="AKE186" s="1"/>
      <c r="AKF186" s="1"/>
      <c r="AKG186" s="1"/>
      <c r="AKH186" s="1"/>
      <c r="AKI186" s="1"/>
      <c r="AKJ186" s="1"/>
      <c r="AKK186" s="1"/>
      <c r="AKL186" s="1"/>
      <c r="AKM186" s="1"/>
      <c r="AKN186" s="1"/>
      <c r="AKO186" s="1"/>
      <c r="AKP186" s="1"/>
      <c r="AKQ186" s="1"/>
      <c r="AKR186" s="1"/>
      <c r="AKS186" s="1"/>
      <c r="AKT186" s="1"/>
      <c r="AKU186" s="1"/>
      <c r="AKV186" s="1"/>
      <c r="AKW186" s="1"/>
      <c r="AKX186" s="1"/>
      <c r="AKY186" s="1"/>
      <c r="AKZ186" s="1"/>
      <c r="ALA186" s="1"/>
      <c r="ALB186" s="1"/>
      <c r="ALC186" s="1"/>
      <c r="ALD186" s="1"/>
      <c r="ALE186" s="1"/>
      <c r="ALF186" s="1"/>
      <c r="ALG186" s="1"/>
      <c r="ALH186" s="1"/>
      <c r="ALI186" s="1"/>
      <c r="ALJ186" s="1"/>
      <c r="ALK186" s="1"/>
      <c r="ALL186" s="1"/>
      <c r="ALM186" s="1"/>
      <c r="ALN186" s="1"/>
      <c r="ALO186" s="1"/>
      <c r="ALP186" s="1"/>
      <c r="ALQ186" s="1"/>
      <c r="ALR186" s="1"/>
      <c r="ALS186" s="1"/>
      <c r="ALT186" s="1"/>
      <c r="ALU186" s="1"/>
      <c r="ALV186" s="1"/>
      <c r="ALW186" s="1"/>
      <c r="ALX186" s="1"/>
      <c r="ALY186" s="1"/>
      <c r="ALZ186" s="1"/>
      <c r="AMA186" s="1"/>
      <c r="AMB186" s="1"/>
      <c r="AMC186" s="1"/>
      <c r="AMD186" s="1"/>
      <c r="AME186" s="1"/>
      <c r="AMF186" s="1"/>
      <c r="AMG186" s="1"/>
      <c r="AMH186" s="1"/>
      <c r="AMI186" s="1"/>
      <c r="AMJ186" s="1"/>
      <c r="AMK186" s="1"/>
      <c r="AML186" s="1"/>
      <c r="AMM186" s="1"/>
      <c r="AMN186" s="1"/>
    </row>
    <row r="187" spans="1:1029" x14ac:dyDescent="0.2">
      <c r="A187" s="3" t="str">
        <f t="shared" si="639"/>
        <v>glr_human_4L6R_dist</v>
      </c>
      <c r="B187" s="3" t="s">
        <v>32</v>
      </c>
      <c r="C187" s="3" t="s">
        <v>1282</v>
      </c>
      <c r="D187" s="3" t="str">
        <f>IFERROR(MID(VLOOKUP($B187,Seqs!$A:$B,2,0),E187,1),"")</f>
        <v>G</v>
      </c>
      <c r="E187" s="3">
        <v>125</v>
      </c>
      <c r="F187" s="3" t="str">
        <f>IFERROR(MID(VLOOKUP($B187,Seqs!$A:$B,2,0),G187,1),"")</f>
        <v>G</v>
      </c>
      <c r="G187" s="3">
        <v>164</v>
      </c>
      <c r="H187" s="3" t="str">
        <f>IFERROR(MID(VLOOKUP($B187,Seqs!$A:$B,2,0),I187,1),"")</f>
        <v>S</v>
      </c>
      <c r="I187" s="23">
        <v>167</v>
      </c>
      <c r="J187" s="3" t="str">
        <f>IFERROR(MID(VLOOKUP($B187,Seqs!$A:$B,2,0),K187,1),"")</f>
        <v>H</v>
      </c>
      <c r="K187" s="23">
        <v>170</v>
      </c>
      <c r="L187" s="3" t="str">
        <f>IFERROR(MID(VLOOKUP($B187,Seqs!$A:$B,2,0),M187,1),"")</f>
        <v>C</v>
      </c>
      <c r="M187" s="23">
        <v>171</v>
      </c>
      <c r="N187" s="3" t="str">
        <f>IFERROR(MID(VLOOKUP($B187,Seqs!$A:$B,2,0),O187,1),"")</f>
        <v>R</v>
      </c>
      <c r="O187" s="3">
        <v>199</v>
      </c>
      <c r="P187" s="3" t="str">
        <f>IFERROR(MID(VLOOKUP($B187,Seqs!$A:$B,2,0),Q187,1),"")</f>
        <v/>
      </c>
      <c r="Q187" s="3" t="s">
        <v>23</v>
      </c>
      <c r="R187" s="3" t="str">
        <f>IFERROR(MID(VLOOKUP($B187,Seqs!$A:$B,2,0),S187,1),"")</f>
        <v/>
      </c>
      <c r="S187" s="3" t="s">
        <v>23</v>
      </c>
      <c r="T187" s="3" t="str">
        <f>IFERROR(MID(VLOOKUP($B187,Seqs!$A:$B,2,0),U187,1),"")</f>
        <v>S</v>
      </c>
      <c r="U187" s="3">
        <v>217</v>
      </c>
      <c r="V187" s="3" t="str">
        <f>IFERROR(MID(VLOOKUP($B187,Seqs!$A:$B,2,0),W187,1),"")</f>
        <v>L</v>
      </c>
      <c r="W187" s="3">
        <v>255</v>
      </c>
      <c r="X187" s="3" t="str">
        <f>IFERROR(MID(VLOOKUP($B187,Seqs!$A:$B,2,0),Y187,1),"")</f>
        <v/>
      </c>
      <c r="Y187" s="3" t="s">
        <v>23</v>
      </c>
      <c r="Z187" s="3" t="str">
        <f>IFERROR(MID(VLOOKUP($B187,Seqs!$A:$B,2,0),AA187,1),"")</f>
        <v/>
      </c>
      <c r="AA187" s="3" t="s">
        <v>23</v>
      </c>
      <c r="AB187" s="3" t="str">
        <f>IFERROR(MID(VLOOKUP($B187,Seqs!$A:$B,2,0),AC187,1),"")</f>
        <v>S</v>
      </c>
      <c r="AC187" s="9">
        <v>262</v>
      </c>
      <c r="AD187" s="3" t="str">
        <f>IFERROR(MID(VLOOKUP($B187,Seqs!$A:$B,2,0),AE187,1),"")</f>
        <v>E</v>
      </c>
      <c r="AE187" s="3">
        <v>290</v>
      </c>
      <c r="AF187" s="3" t="str">
        <f>IFERROR(MID(VLOOKUP($B187,Seqs!$A:$B,2,0),AG187,1),"")</f>
        <v>C</v>
      </c>
      <c r="AG187" s="3">
        <v>294</v>
      </c>
      <c r="AH187" s="3" t="str">
        <f>IFERROR(MID(VLOOKUP($B187,Seqs!$A:$B,2,0),AI187,1),"")</f>
        <v>T</v>
      </c>
      <c r="AI187" s="3">
        <v>296</v>
      </c>
      <c r="AJ187" s="3" t="str">
        <f>IFERROR(MID(VLOOKUP($B187,Seqs!$A:$B,2,0),AK187,1),"")</f>
        <v>N</v>
      </c>
      <c r="AK187" s="3">
        <v>300</v>
      </c>
      <c r="AL187" s="3" t="str">
        <f>IFERROR(MID(VLOOKUP($B187,Seqs!$A:$B,2,0),AM187,1),"")</f>
        <v>A</v>
      </c>
      <c r="AM187" s="3">
        <v>335</v>
      </c>
      <c r="AN187" s="3" t="str">
        <f>IFERROR(MID(VLOOKUP($B187,Seqs!$A:$B,2,0),AO187,1),"")</f>
        <v>Y</v>
      </c>
      <c r="AO187" s="3">
        <v>343</v>
      </c>
      <c r="AP187" s="3" t="str">
        <f>IFERROR(MID(VLOOKUP($B187,Seqs!$A:$B,2,0),AQ187,1),"")</f>
        <v>F</v>
      </c>
      <c r="AQ187" s="3">
        <v>367</v>
      </c>
      <c r="AR187" s="3" t="str">
        <f>IFERROR(MID(VLOOKUP($B187,Seqs!$A:$B,2,0),AS187,1),"")</f>
        <v>Q</v>
      </c>
      <c r="AS187" s="3">
        <v>374</v>
      </c>
      <c r="AT187" s="3" t="str">
        <f>IFERROR(MID(VLOOKUP($B187,Seqs!$A:$B,2,0),AU187,1),"")</f>
        <v>L</v>
      </c>
      <c r="AU187" s="3">
        <v>403</v>
      </c>
      <c r="AV187" s="3" t="str">
        <f>IFERROR(MID(VLOOKUP($B187,Seqs!$A:$B,2,0),AW187,1),"")</f>
        <v>N</v>
      </c>
      <c r="AW187" s="3">
        <v>404</v>
      </c>
      <c r="AX187" s="3" t="str">
        <f>IFERROR(MID(VLOOKUP($B187,Seqs!$A:$B,2,0),AY187,1),"")</f>
        <v>N</v>
      </c>
      <c r="AY187" s="3">
        <v>429</v>
      </c>
      <c r="AZ187" s="79" t="str">
        <f>VLOOKUP(B187,Classification!A:D,2,0)</f>
        <v>B1</v>
      </c>
      <c r="BA187" s="97" t="str">
        <f>VLOOKUP(B187,Classification!A:D,4,0)</f>
        <v>Glucagonreceptorfamily</v>
      </c>
      <c r="BB187" s="27" t="b">
        <f t="shared" si="640"/>
        <v>1</v>
      </c>
      <c r="BC187" s="23">
        <f t="shared" si="836"/>
        <v>263</v>
      </c>
      <c r="BD187" s="57" t="s">
        <v>1379</v>
      </c>
      <c r="BE187" s="3" t="s">
        <v>1381</v>
      </c>
      <c r="BF187" s="50" t="s">
        <v>1384</v>
      </c>
      <c r="BG187" s="50" t="s">
        <v>1384</v>
      </c>
      <c r="BH187" s="1"/>
      <c r="BI187" s="72" t="s">
        <v>1293</v>
      </c>
      <c r="BJ187" s="58" t="s">
        <v>1293</v>
      </c>
      <c r="BK187" s="58" t="s">
        <v>1293</v>
      </c>
      <c r="BL187" s="58" t="s">
        <v>1293</v>
      </c>
      <c r="BM187" s="58" t="s">
        <v>1293</v>
      </c>
      <c r="BN187" s="58" t="s">
        <v>1293</v>
      </c>
      <c r="BO187" s="58" t="s">
        <v>1293</v>
      </c>
      <c r="BP187" s="58" t="s">
        <v>1293</v>
      </c>
      <c r="BQ187" s="58" t="s">
        <v>1293</v>
      </c>
      <c r="BR187" s="58" t="s">
        <v>1293</v>
      </c>
      <c r="BS187" s="58" t="s">
        <v>1293</v>
      </c>
      <c r="BT187" s="58" t="s">
        <v>1293</v>
      </c>
      <c r="BU187" s="72">
        <f t="shared" si="837"/>
        <v>125</v>
      </c>
      <c r="BV187" s="73">
        <f t="shared" si="838"/>
        <v>167</v>
      </c>
      <c r="BW187" s="74">
        <f t="shared" si="839"/>
        <v>171</v>
      </c>
      <c r="BX187" s="73" t="str">
        <f t="shared" si="840"/>
        <v>-</v>
      </c>
      <c r="BY187" s="74">
        <f t="shared" si="841"/>
        <v>217</v>
      </c>
      <c r="BZ187" s="73" t="str">
        <f t="shared" si="842"/>
        <v>-</v>
      </c>
      <c r="CA187" s="74">
        <f t="shared" si="843"/>
        <v>262</v>
      </c>
      <c r="CB187" s="73">
        <f t="shared" si="844"/>
        <v>294</v>
      </c>
      <c r="CC187" s="74">
        <f t="shared" si="845"/>
        <v>300</v>
      </c>
      <c r="CD187" s="73">
        <f t="shared" si="846"/>
        <v>343</v>
      </c>
      <c r="CE187" s="74">
        <f t="shared" si="847"/>
        <v>374</v>
      </c>
      <c r="CF187" s="73">
        <f t="shared" si="848"/>
        <v>404</v>
      </c>
      <c r="CG187" s="72">
        <f t="shared" si="849"/>
        <v>164</v>
      </c>
      <c r="CH187" s="73">
        <f t="shared" si="850"/>
        <v>170</v>
      </c>
      <c r="CI187" s="74">
        <f t="shared" si="851"/>
        <v>199</v>
      </c>
      <c r="CJ187" s="74" t="str">
        <f t="shared" si="852"/>
        <v>-</v>
      </c>
      <c r="CK187" s="74">
        <f t="shared" si="853"/>
        <v>255</v>
      </c>
      <c r="CL187" s="74" t="str">
        <f t="shared" si="854"/>
        <v>-</v>
      </c>
      <c r="CM187" s="74">
        <f t="shared" si="855"/>
        <v>290</v>
      </c>
      <c r="CN187" s="74">
        <f t="shared" si="856"/>
        <v>296</v>
      </c>
      <c r="CO187" s="74">
        <f t="shared" si="857"/>
        <v>335</v>
      </c>
      <c r="CP187" s="74">
        <f t="shared" si="858"/>
        <v>367</v>
      </c>
      <c r="CQ187" s="74">
        <f t="shared" si="859"/>
        <v>403</v>
      </c>
      <c r="CR187" s="74">
        <f t="shared" si="860"/>
        <v>429</v>
      </c>
      <c r="CS187" s="23">
        <f t="shared" si="861"/>
        <v>1</v>
      </c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  <c r="JD187" s="1"/>
      <c r="JE187" s="1"/>
      <c r="JF187" s="1"/>
      <c r="JG187" s="1"/>
      <c r="JH187" s="1"/>
      <c r="JI187" s="1"/>
      <c r="JJ187" s="1"/>
      <c r="JK187" s="1"/>
      <c r="JL187" s="1"/>
      <c r="JM187" s="1"/>
      <c r="JN187" s="1"/>
      <c r="JO187" s="1"/>
      <c r="JP187" s="1"/>
      <c r="JQ187" s="1"/>
      <c r="JR187" s="1"/>
      <c r="JS187" s="1"/>
      <c r="JT187" s="1"/>
      <c r="JU187" s="1"/>
      <c r="JV187" s="1"/>
      <c r="JW187" s="1"/>
      <c r="JX187" s="1"/>
      <c r="JY187" s="1"/>
      <c r="JZ187" s="1"/>
      <c r="KA187" s="1"/>
      <c r="KB187" s="1"/>
      <c r="KC187" s="1"/>
      <c r="KD187" s="1"/>
      <c r="KE187" s="1"/>
      <c r="KF187" s="1"/>
      <c r="KG187" s="1"/>
      <c r="KH187" s="1"/>
      <c r="KI187" s="1"/>
      <c r="KJ187" s="1"/>
      <c r="KK187" s="1"/>
      <c r="KL187" s="1"/>
      <c r="KM187" s="1"/>
      <c r="KN187" s="1"/>
      <c r="KO187" s="1"/>
      <c r="KP187" s="1"/>
      <c r="KQ187" s="1"/>
      <c r="KR187" s="1"/>
      <c r="KS187" s="1"/>
      <c r="KT187" s="1"/>
      <c r="KU187" s="1"/>
      <c r="KV187" s="1"/>
      <c r="KW187" s="1"/>
      <c r="KX187" s="1"/>
      <c r="KY187" s="1"/>
      <c r="KZ187" s="1"/>
      <c r="LA187" s="1"/>
      <c r="LB187" s="1"/>
      <c r="LC187" s="1"/>
      <c r="LD187" s="1"/>
      <c r="LE187" s="1"/>
      <c r="LF187" s="1"/>
      <c r="LG187" s="1"/>
      <c r="LH187" s="1"/>
      <c r="LI187" s="1"/>
      <c r="LJ187" s="1"/>
      <c r="LK187" s="1"/>
      <c r="LL187" s="1"/>
      <c r="LM187" s="1"/>
      <c r="LN187" s="1"/>
      <c r="LO187" s="1"/>
      <c r="LP187" s="1"/>
      <c r="LQ187" s="1"/>
      <c r="LR187" s="1"/>
      <c r="LS187" s="1"/>
      <c r="LT187" s="1"/>
      <c r="LU187" s="1"/>
      <c r="LV187" s="1"/>
      <c r="LW187" s="1"/>
      <c r="LX187" s="1"/>
      <c r="LY187" s="1"/>
      <c r="LZ187" s="1"/>
      <c r="MA187" s="1"/>
      <c r="MB187" s="1"/>
      <c r="MC187" s="1"/>
      <c r="MD187" s="1"/>
      <c r="ME187" s="1"/>
      <c r="MF187" s="1"/>
      <c r="MG187" s="1"/>
      <c r="MH187" s="1"/>
      <c r="MI187" s="1"/>
      <c r="MJ187" s="1"/>
      <c r="MK187" s="1"/>
      <c r="ML187" s="1"/>
      <c r="MM187" s="1"/>
      <c r="MN187" s="1"/>
      <c r="MO187" s="1"/>
      <c r="MP187" s="1"/>
      <c r="MQ187" s="1"/>
      <c r="MR187" s="1"/>
      <c r="MS187" s="1"/>
      <c r="MT187" s="1"/>
      <c r="MU187" s="1"/>
      <c r="MV187" s="1"/>
      <c r="MW187" s="1"/>
      <c r="MX187" s="1"/>
      <c r="MY187" s="1"/>
      <c r="MZ187" s="1"/>
      <c r="NA187" s="1"/>
      <c r="NB187" s="1"/>
      <c r="NC187" s="1"/>
      <c r="ND187" s="1"/>
      <c r="NE187" s="1"/>
      <c r="NF187" s="1"/>
      <c r="NG187" s="1"/>
      <c r="NH187" s="1"/>
      <c r="NI187" s="1"/>
      <c r="NJ187" s="1"/>
      <c r="NK187" s="1"/>
      <c r="NL187" s="1"/>
      <c r="NM187" s="1"/>
      <c r="NN187" s="1"/>
      <c r="NO187" s="1"/>
      <c r="NP187" s="1"/>
      <c r="NQ187" s="1"/>
      <c r="NR187" s="1"/>
      <c r="NS187" s="1"/>
      <c r="NT187" s="1"/>
      <c r="NU187" s="1"/>
      <c r="NV187" s="1"/>
      <c r="NW187" s="1"/>
      <c r="NX187" s="1"/>
      <c r="NY187" s="1"/>
      <c r="NZ187" s="1"/>
      <c r="OA187" s="1"/>
      <c r="OB187" s="1"/>
      <c r="OC187" s="1"/>
      <c r="OD187" s="1"/>
      <c r="OE187" s="1"/>
      <c r="OF187" s="1"/>
      <c r="OG187" s="1"/>
      <c r="OH187" s="1"/>
      <c r="OI187" s="1"/>
      <c r="OJ187" s="1"/>
      <c r="OK187" s="1"/>
      <c r="OL187" s="1"/>
      <c r="OM187" s="1"/>
      <c r="ON187" s="1"/>
      <c r="OO187" s="1"/>
      <c r="OP187" s="1"/>
      <c r="OQ187" s="1"/>
      <c r="OR187" s="1"/>
      <c r="OS187" s="1"/>
      <c r="OT187" s="1"/>
      <c r="OU187" s="1"/>
      <c r="OV187" s="1"/>
      <c r="OW187" s="1"/>
      <c r="OX187" s="1"/>
      <c r="OY187" s="1"/>
      <c r="OZ187" s="1"/>
      <c r="PA187" s="1"/>
      <c r="PB187" s="1"/>
      <c r="PC187" s="1"/>
      <c r="PD187" s="1"/>
      <c r="PE187" s="1"/>
      <c r="PF187" s="1"/>
      <c r="PG187" s="1"/>
      <c r="PH187" s="1"/>
      <c r="PI187" s="1"/>
      <c r="PJ187" s="1"/>
      <c r="PK187" s="1"/>
      <c r="PL187" s="1"/>
      <c r="PM187" s="1"/>
      <c r="PN187" s="1"/>
      <c r="PO187" s="1"/>
      <c r="PP187" s="1"/>
      <c r="PQ187" s="1"/>
      <c r="PR187" s="1"/>
      <c r="PS187" s="1"/>
      <c r="PT187" s="1"/>
      <c r="PU187" s="1"/>
      <c r="PV187" s="1"/>
      <c r="PW187" s="1"/>
      <c r="PX187" s="1"/>
      <c r="PY187" s="1"/>
      <c r="PZ187" s="1"/>
      <c r="QA187" s="1"/>
      <c r="QB187" s="1"/>
      <c r="QC187" s="1"/>
      <c r="QD187" s="1"/>
      <c r="QE187" s="1"/>
      <c r="QF187" s="1"/>
      <c r="QG187" s="1"/>
      <c r="QH187" s="1"/>
      <c r="QI187" s="1"/>
      <c r="QJ187" s="1"/>
      <c r="QK187" s="1"/>
      <c r="QL187" s="1"/>
      <c r="QM187" s="1"/>
      <c r="QN187" s="1"/>
      <c r="QO187" s="1"/>
      <c r="QP187" s="1"/>
      <c r="QQ187" s="1"/>
      <c r="QR187" s="1"/>
      <c r="QS187" s="1"/>
      <c r="QT187" s="1"/>
      <c r="QU187" s="1"/>
      <c r="QV187" s="1"/>
      <c r="QW187" s="1"/>
      <c r="QX187" s="1"/>
      <c r="QY187" s="1"/>
      <c r="QZ187" s="1"/>
      <c r="RA187" s="1"/>
      <c r="RB187" s="1"/>
      <c r="RC187" s="1"/>
      <c r="RD187" s="1"/>
      <c r="RE187" s="1"/>
      <c r="RF187" s="1"/>
      <c r="RG187" s="1"/>
      <c r="RH187" s="1"/>
      <c r="RI187" s="1"/>
      <c r="RJ187" s="1"/>
      <c r="RK187" s="1"/>
      <c r="RL187" s="1"/>
      <c r="RM187" s="1"/>
      <c r="RN187" s="1"/>
      <c r="RO187" s="1"/>
      <c r="RP187" s="1"/>
      <c r="RQ187" s="1"/>
      <c r="RR187" s="1"/>
      <c r="RS187" s="1"/>
      <c r="RT187" s="1"/>
      <c r="RU187" s="1"/>
      <c r="RV187" s="1"/>
      <c r="RW187" s="1"/>
      <c r="RX187" s="1"/>
      <c r="RY187" s="1"/>
      <c r="RZ187" s="1"/>
      <c r="SA187" s="1"/>
      <c r="SB187" s="1"/>
      <c r="SC187" s="1"/>
      <c r="SD187" s="1"/>
      <c r="SE187" s="1"/>
      <c r="SF187" s="1"/>
      <c r="SG187" s="1"/>
      <c r="SH187" s="1"/>
      <c r="SI187" s="1"/>
      <c r="SJ187" s="1"/>
      <c r="SK187" s="1"/>
      <c r="SL187" s="1"/>
      <c r="SM187" s="1"/>
      <c r="SN187" s="1"/>
      <c r="SO187" s="1"/>
      <c r="SP187" s="1"/>
      <c r="SQ187" s="1"/>
      <c r="SR187" s="1"/>
      <c r="SS187" s="1"/>
      <c r="ST187" s="1"/>
      <c r="SU187" s="1"/>
      <c r="SV187" s="1"/>
      <c r="SW187" s="1"/>
      <c r="SX187" s="1"/>
      <c r="SY187" s="1"/>
      <c r="SZ187" s="1"/>
      <c r="TA187" s="1"/>
      <c r="TB187" s="1"/>
      <c r="TC187" s="1"/>
      <c r="TD187" s="1"/>
      <c r="TE187" s="1"/>
      <c r="TF187" s="1"/>
      <c r="TG187" s="1"/>
      <c r="TH187" s="1"/>
      <c r="TI187" s="1"/>
      <c r="TJ187" s="1"/>
      <c r="TK187" s="1"/>
      <c r="TL187" s="1"/>
      <c r="TM187" s="1"/>
      <c r="TN187" s="1"/>
      <c r="TO187" s="1"/>
      <c r="TP187" s="1"/>
      <c r="TQ187" s="1"/>
      <c r="TR187" s="1"/>
      <c r="TS187" s="1"/>
      <c r="TT187" s="1"/>
      <c r="TU187" s="1"/>
      <c r="TV187" s="1"/>
      <c r="TW187" s="1"/>
      <c r="TX187" s="1"/>
      <c r="TY187" s="1"/>
      <c r="TZ187" s="1"/>
      <c r="UA187" s="1"/>
      <c r="UB187" s="1"/>
      <c r="UC187" s="1"/>
      <c r="UD187" s="1"/>
      <c r="UE187" s="1"/>
      <c r="UF187" s="1"/>
      <c r="UG187" s="1"/>
      <c r="UH187" s="1"/>
      <c r="UI187" s="1"/>
      <c r="UJ187" s="1"/>
      <c r="UK187" s="1"/>
      <c r="UL187" s="1"/>
      <c r="UM187" s="1"/>
      <c r="UN187" s="1"/>
      <c r="UO187" s="1"/>
      <c r="UP187" s="1"/>
      <c r="UQ187" s="1"/>
      <c r="UR187" s="1"/>
      <c r="US187" s="1"/>
      <c r="UT187" s="1"/>
      <c r="UU187" s="1"/>
      <c r="UV187" s="1"/>
      <c r="UW187" s="1"/>
      <c r="UX187" s="1"/>
      <c r="UY187" s="1"/>
      <c r="UZ187" s="1"/>
      <c r="VA187" s="1"/>
      <c r="VB187" s="1"/>
      <c r="VC187" s="1"/>
      <c r="VD187" s="1"/>
      <c r="VE187" s="1"/>
      <c r="VF187" s="1"/>
      <c r="VG187" s="1"/>
      <c r="VH187" s="1"/>
      <c r="VI187" s="1"/>
      <c r="VJ187" s="1"/>
      <c r="VK187" s="1"/>
      <c r="VL187" s="1"/>
      <c r="VM187" s="1"/>
      <c r="VN187" s="1"/>
      <c r="VO187" s="1"/>
      <c r="VP187" s="1"/>
      <c r="VQ187" s="1"/>
      <c r="VR187" s="1"/>
      <c r="VS187" s="1"/>
      <c r="VT187" s="1"/>
      <c r="VU187" s="1"/>
      <c r="VV187" s="1"/>
      <c r="VW187" s="1"/>
      <c r="VX187" s="1"/>
      <c r="VY187" s="1"/>
      <c r="VZ187" s="1"/>
      <c r="WA187" s="1"/>
      <c r="WB187" s="1"/>
      <c r="WC187" s="1"/>
      <c r="WD187" s="1"/>
      <c r="WE187" s="1"/>
      <c r="WF187" s="1"/>
      <c r="WG187" s="1"/>
      <c r="WH187" s="1"/>
      <c r="WI187" s="1"/>
      <c r="WJ187" s="1"/>
      <c r="WK187" s="1"/>
      <c r="WL187" s="1"/>
      <c r="WM187" s="1"/>
      <c r="WN187" s="1"/>
      <c r="WO187" s="1"/>
      <c r="WP187" s="1"/>
      <c r="WQ187" s="1"/>
      <c r="WR187" s="1"/>
      <c r="WS187" s="1"/>
      <c r="WT187" s="1"/>
      <c r="WU187" s="1"/>
      <c r="WV187" s="1"/>
      <c r="WW187" s="1"/>
      <c r="WX187" s="1"/>
      <c r="WY187" s="1"/>
      <c r="WZ187" s="1"/>
      <c r="XA187" s="1"/>
      <c r="XB187" s="1"/>
      <c r="XC187" s="1"/>
      <c r="XD187" s="1"/>
      <c r="XE187" s="1"/>
      <c r="XF187" s="1"/>
      <c r="XG187" s="1"/>
      <c r="XH187" s="1"/>
      <c r="XI187" s="1"/>
      <c r="XJ187" s="1"/>
      <c r="XK187" s="1"/>
      <c r="XL187" s="1"/>
      <c r="XM187" s="1"/>
      <c r="XN187" s="1"/>
      <c r="XO187" s="1"/>
      <c r="XP187" s="1"/>
      <c r="XQ187" s="1"/>
      <c r="XR187" s="1"/>
      <c r="XS187" s="1"/>
      <c r="XT187" s="1"/>
      <c r="XU187" s="1"/>
      <c r="XV187" s="1"/>
      <c r="XW187" s="1"/>
      <c r="XX187" s="1"/>
      <c r="XY187" s="1"/>
      <c r="XZ187" s="1"/>
      <c r="YA187" s="1"/>
      <c r="YB187" s="1"/>
      <c r="YC187" s="1"/>
      <c r="YD187" s="1"/>
      <c r="YE187" s="1"/>
      <c r="YF187" s="1"/>
      <c r="YG187" s="1"/>
      <c r="YH187" s="1"/>
      <c r="YI187" s="1"/>
      <c r="YJ187" s="1"/>
      <c r="YK187" s="1"/>
      <c r="YL187" s="1"/>
      <c r="YM187" s="1"/>
      <c r="YN187" s="1"/>
      <c r="YO187" s="1"/>
      <c r="YP187" s="1"/>
      <c r="YQ187" s="1"/>
      <c r="YR187" s="1"/>
      <c r="YS187" s="1"/>
      <c r="YT187" s="1"/>
      <c r="YU187" s="1"/>
      <c r="YV187" s="1"/>
      <c r="YW187" s="1"/>
      <c r="YX187" s="1"/>
      <c r="YY187" s="1"/>
      <c r="YZ187" s="1"/>
      <c r="ZA187" s="1"/>
      <c r="ZB187" s="1"/>
      <c r="ZC187" s="1"/>
      <c r="ZD187" s="1"/>
      <c r="ZE187" s="1"/>
      <c r="ZF187" s="1"/>
      <c r="ZG187" s="1"/>
      <c r="ZH187" s="1"/>
      <c r="ZI187" s="1"/>
      <c r="ZJ187" s="1"/>
      <c r="ZK187" s="1"/>
      <c r="ZL187" s="1"/>
      <c r="ZM187" s="1"/>
      <c r="ZN187" s="1"/>
      <c r="ZO187" s="1"/>
      <c r="ZP187" s="1"/>
      <c r="ZQ187" s="1"/>
      <c r="ZR187" s="1"/>
      <c r="ZS187" s="1"/>
      <c r="ZT187" s="1"/>
      <c r="ZU187" s="1"/>
      <c r="ZV187" s="1"/>
      <c r="ZW187" s="1"/>
      <c r="ZX187" s="1"/>
      <c r="ZY187" s="1"/>
      <c r="ZZ187" s="1"/>
      <c r="AAA187" s="1"/>
      <c r="AAB187" s="1"/>
      <c r="AAC187" s="1"/>
      <c r="AAD187" s="1"/>
      <c r="AAE187" s="1"/>
      <c r="AAF187" s="1"/>
      <c r="AAG187" s="1"/>
      <c r="AAH187" s="1"/>
      <c r="AAI187" s="1"/>
      <c r="AAJ187" s="1"/>
      <c r="AAK187" s="1"/>
      <c r="AAL187" s="1"/>
      <c r="AAM187" s="1"/>
      <c r="AAN187" s="1"/>
      <c r="AAO187" s="1"/>
      <c r="AAP187" s="1"/>
      <c r="AAQ187" s="1"/>
      <c r="AAR187" s="1"/>
      <c r="AAS187" s="1"/>
      <c r="AAT187" s="1"/>
      <c r="AAU187" s="1"/>
      <c r="AAV187" s="1"/>
      <c r="AAW187" s="1"/>
      <c r="AAX187" s="1"/>
      <c r="AAY187" s="1"/>
      <c r="AAZ187" s="1"/>
      <c r="ABA187" s="1"/>
      <c r="ABB187" s="1"/>
      <c r="ABC187" s="1"/>
      <c r="ABD187" s="1"/>
      <c r="ABE187" s="1"/>
      <c r="ABF187" s="1"/>
      <c r="ABG187" s="1"/>
      <c r="ABH187" s="1"/>
      <c r="ABI187" s="1"/>
      <c r="ABJ187" s="1"/>
      <c r="ABK187" s="1"/>
      <c r="ABL187" s="1"/>
      <c r="ABM187" s="1"/>
      <c r="ABN187" s="1"/>
      <c r="ABO187" s="1"/>
      <c r="ABP187" s="1"/>
      <c r="ABQ187" s="1"/>
      <c r="ABR187" s="1"/>
      <c r="ABS187" s="1"/>
      <c r="ABT187" s="1"/>
      <c r="ABU187" s="1"/>
      <c r="ABV187" s="1"/>
      <c r="ABW187" s="1"/>
      <c r="ABX187" s="1"/>
      <c r="ABY187" s="1"/>
      <c r="ABZ187" s="1"/>
      <c r="ACA187" s="1"/>
      <c r="ACB187" s="1"/>
      <c r="ACC187" s="1"/>
      <c r="ACD187" s="1"/>
      <c r="ACE187" s="1"/>
      <c r="ACF187" s="1"/>
      <c r="ACG187" s="1"/>
      <c r="ACH187" s="1"/>
      <c r="ACI187" s="1"/>
      <c r="ACJ187" s="1"/>
      <c r="ACK187" s="1"/>
      <c r="ACL187" s="1"/>
      <c r="ACM187" s="1"/>
      <c r="ACN187" s="1"/>
      <c r="ACO187" s="1"/>
      <c r="ACP187" s="1"/>
      <c r="ACQ187" s="1"/>
      <c r="ACR187" s="1"/>
      <c r="ACS187" s="1"/>
      <c r="ACT187" s="1"/>
      <c r="ACU187" s="1"/>
      <c r="ACV187" s="1"/>
      <c r="ACW187" s="1"/>
      <c r="ACX187" s="1"/>
      <c r="ACY187" s="1"/>
      <c r="ACZ187" s="1"/>
      <c r="ADA187" s="1"/>
      <c r="ADB187" s="1"/>
      <c r="ADC187" s="1"/>
      <c r="ADD187" s="1"/>
      <c r="ADE187" s="1"/>
      <c r="ADF187" s="1"/>
      <c r="ADG187" s="1"/>
      <c r="ADH187" s="1"/>
      <c r="ADI187" s="1"/>
      <c r="ADJ187" s="1"/>
      <c r="ADK187" s="1"/>
      <c r="ADL187" s="1"/>
      <c r="ADM187" s="1"/>
      <c r="ADN187" s="1"/>
      <c r="ADO187" s="1"/>
      <c r="ADP187" s="1"/>
      <c r="ADQ187" s="1"/>
      <c r="ADR187" s="1"/>
      <c r="ADS187" s="1"/>
      <c r="ADT187" s="1"/>
      <c r="ADU187" s="1"/>
      <c r="ADV187" s="1"/>
      <c r="ADW187" s="1"/>
      <c r="ADX187" s="1"/>
      <c r="ADY187" s="1"/>
      <c r="ADZ187" s="1"/>
      <c r="AEA187" s="1"/>
      <c r="AEB187" s="1"/>
      <c r="AEC187" s="1"/>
      <c r="AED187" s="1"/>
      <c r="AEE187" s="1"/>
      <c r="AEF187" s="1"/>
      <c r="AEG187" s="1"/>
      <c r="AEH187" s="1"/>
      <c r="AEI187" s="1"/>
      <c r="AEJ187" s="1"/>
      <c r="AEK187" s="1"/>
      <c r="AEL187" s="1"/>
      <c r="AEM187" s="1"/>
      <c r="AEN187" s="1"/>
      <c r="AEO187" s="1"/>
      <c r="AEP187" s="1"/>
      <c r="AEQ187" s="1"/>
      <c r="AER187" s="1"/>
      <c r="AES187" s="1"/>
      <c r="AET187" s="1"/>
      <c r="AEU187" s="1"/>
      <c r="AEV187" s="1"/>
      <c r="AEW187" s="1"/>
      <c r="AEX187" s="1"/>
      <c r="AEY187" s="1"/>
      <c r="AEZ187" s="1"/>
      <c r="AFA187" s="1"/>
      <c r="AFB187" s="1"/>
      <c r="AFC187" s="1"/>
      <c r="AFD187" s="1"/>
      <c r="AFE187" s="1"/>
      <c r="AFF187" s="1"/>
      <c r="AFG187" s="1"/>
      <c r="AFH187" s="1"/>
      <c r="AFI187" s="1"/>
      <c r="AFJ187" s="1"/>
      <c r="AFK187" s="1"/>
      <c r="AFL187" s="1"/>
      <c r="AFM187" s="1"/>
      <c r="AFN187" s="1"/>
      <c r="AFO187" s="1"/>
      <c r="AFP187" s="1"/>
      <c r="AFQ187" s="1"/>
      <c r="AFR187" s="1"/>
      <c r="AFS187" s="1"/>
      <c r="AFT187" s="1"/>
      <c r="AFU187" s="1"/>
      <c r="AFV187" s="1"/>
      <c r="AFW187" s="1"/>
      <c r="AFX187" s="1"/>
      <c r="AFY187" s="1"/>
      <c r="AFZ187" s="1"/>
      <c r="AGA187" s="1"/>
      <c r="AGB187" s="1"/>
      <c r="AGC187" s="1"/>
      <c r="AGD187" s="1"/>
      <c r="AGE187" s="1"/>
      <c r="AGF187" s="1"/>
      <c r="AGG187" s="1"/>
      <c r="AGH187" s="1"/>
      <c r="AGI187" s="1"/>
      <c r="AGJ187" s="1"/>
      <c r="AGK187" s="1"/>
      <c r="AGL187" s="1"/>
      <c r="AGM187" s="1"/>
      <c r="AGN187" s="1"/>
      <c r="AGO187" s="1"/>
      <c r="AGP187" s="1"/>
      <c r="AGQ187" s="1"/>
      <c r="AGR187" s="1"/>
      <c r="AGS187" s="1"/>
      <c r="AGT187" s="1"/>
      <c r="AGU187" s="1"/>
      <c r="AGV187" s="1"/>
      <c r="AGW187" s="1"/>
      <c r="AGX187" s="1"/>
      <c r="AGY187" s="1"/>
      <c r="AGZ187" s="1"/>
      <c r="AHA187" s="1"/>
      <c r="AHB187" s="1"/>
      <c r="AHC187" s="1"/>
      <c r="AHD187" s="1"/>
      <c r="AHE187" s="1"/>
      <c r="AHF187" s="1"/>
      <c r="AHG187" s="1"/>
      <c r="AHH187" s="1"/>
      <c r="AHI187" s="1"/>
      <c r="AHJ187" s="1"/>
      <c r="AHK187" s="1"/>
      <c r="AHL187" s="1"/>
      <c r="AHM187" s="1"/>
      <c r="AHN187" s="1"/>
      <c r="AHO187" s="1"/>
      <c r="AHP187" s="1"/>
      <c r="AHQ187" s="1"/>
      <c r="AHR187" s="1"/>
      <c r="AHS187" s="1"/>
      <c r="AHT187" s="1"/>
      <c r="AHU187" s="1"/>
      <c r="AHV187" s="1"/>
      <c r="AHW187" s="1"/>
      <c r="AHX187" s="1"/>
      <c r="AHY187" s="1"/>
      <c r="AHZ187" s="1"/>
      <c r="AIA187" s="1"/>
      <c r="AIB187" s="1"/>
      <c r="AIC187" s="1"/>
      <c r="AID187" s="1"/>
      <c r="AIE187" s="1"/>
      <c r="AIF187" s="1"/>
      <c r="AIG187" s="1"/>
      <c r="AIH187" s="1"/>
      <c r="AII187" s="1"/>
      <c r="AIJ187" s="1"/>
      <c r="AIK187" s="1"/>
      <c r="AIL187" s="1"/>
      <c r="AIM187" s="1"/>
      <c r="AIN187" s="1"/>
      <c r="AIO187" s="1"/>
      <c r="AIP187" s="1"/>
      <c r="AIQ187" s="1"/>
      <c r="AIR187" s="1"/>
      <c r="AIS187" s="1"/>
      <c r="AIT187" s="1"/>
      <c r="AIU187" s="1"/>
      <c r="AIV187" s="1"/>
      <c r="AIW187" s="1"/>
      <c r="AIX187" s="1"/>
      <c r="AIY187" s="1"/>
      <c r="AIZ187" s="1"/>
      <c r="AJA187" s="1"/>
      <c r="AJB187" s="1"/>
      <c r="AJC187" s="1"/>
      <c r="AJD187" s="1"/>
      <c r="AJE187" s="1"/>
      <c r="AJF187" s="1"/>
      <c r="AJG187" s="1"/>
      <c r="AJH187" s="1"/>
      <c r="AJI187" s="1"/>
      <c r="AJJ187" s="1"/>
      <c r="AJK187" s="1"/>
      <c r="AJL187" s="1"/>
      <c r="AJM187" s="1"/>
      <c r="AJN187" s="1"/>
      <c r="AJO187" s="1"/>
      <c r="AJP187" s="1"/>
      <c r="AJQ187" s="1"/>
      <c r="AJR187" s="1"/>
      <c r="AJS187" s="1"/>
      <c r="AJT187" s="1"/>
      <c r="AJU187" s="1"/>
      <c r="AJV187" s="1"/>
      <c r="AJW187" s="1"/>
      <c r="AJX187" s="1"/>
      <c r="AJY187" s="1"/>
      <c r="AJZ187" s="1"/>
      <c r="AKA187" s="1"/>
      <c r="AKB187" s="1"/>
      <c r="AKC187" s="1"/>
      <c r="AKD187" s="1"/>
      <c r="AKE187" s="1"/>
      <c r="AKF187" s="1"/>
      <c r="AKG187" s="1"/>
      <c r="AKH187" s="1"/>
      <c r="AKI187" s="1"/>
      <c r="AKJ187" s="1"/>
      <c r="AKK187" s="1"/>
      <c r="AKL187" s="1"/>
      <c r="AKM187" s="1"/>
      <c r="AKN187" s="1"/>
      <c r="AKO187" s="1"/>
      <c r="AKP187" s="1"/>
      <c r="AKQ187" s="1"/>
      <c r="AKR187" s="1"/>
      <c r="AKS187" s="1"/>
      <c r="AKT187" s="1"/>
      <c r="AKU187" s="1"/>
      <c r="AKV187" s="1"/>
      <c r="AKW187" s="1"/>
      <c r="AKX187" s="1"/>
      <c r="AKY187" s="1"/>
      <c r="AKZ187" s="1"/>
      <c r="ALA187" s="1"/>
      <c r="ALB187" s="1"/>
      <c r="ALC187" s="1"/>
      <c r="ALD187" s="1"/>
      <c r="ALE187" s="1"/>
      <c r="ALF187" s="1"/>
      <c r="ALG187" s="1"/>
      <c r="ALH187" s="1"/>
      <c r="ALI187" s="1"/>
      <c r="ALJ187" s="1"/>
      <c r="ALK187" s="1"/>
      <c r="ALL187" s="1"/>
      <c r="ALM187" s="1"/>
      <c r="ALN187" s="1"/>
      <c r="ALO187" s="1"/>
      <c r="ALP187" s="1"/>
      <c r="ALQ187" s="1"/>
      <c r="ALR187" s="1"/>
      <c r="ALS187" s="1"/>
      <c r="ALT187" s="1"/>
      <c r="ALU187" s="1"/>
      <c r="ALV187" s="1"/>
      <c r="ALW187" s="1"/>
      <c r="ALX187" s="1"/>
      <c r="ALY187" s="1"/>
      <c r="ALZ187" s="1"/>
      <c r="AMA187" s="1"/>
      <c r="AMB187" s="1"/>
      <c r="AMC187" s="1"/>
      <c r="AMD187" s="1"/>
      <c r="AME187" s="1"/>
      <c r="AMF187" s="1"/>
      <c r="AMG187" s="1"/>
      <c r="AMH187" s="1"/>
      <c r="AMI187" s="1"/>
      <c r="AMJ187" s="1"/>
      <c r="AMK187" s="1"/>
      <c r="AML187" s="1"/>
      <c r="AMM187" s="1"/>
      <c r="AMN187" s="1"/>
    </row>
    <row r="188" spans="1:1029" x14ac:dyDescent="0.2">
      <c r="A188" s="3" t="str">
        <f t="shared" ref="A188:A210" si="862">CONCATENATE(B188,"_",C188)</f>
        <v>glr_human_5EE7</v>
      </c>
      <c r="B188" s="3" t="s">
        <v>32</v>
      </c>
      <c r="C188" s="3" t="s">
        <v>49</v>
      </c>
      <c r="D188" s="3" t="str">
        <f>IFERROR(MID(VLOOKUP($B188,Seqs!$A:$B,2,0),E188,1),"")</f>
        <v>Y</v>
      </c>
      <c r="E188" s="3">
        <v>138</v>
      </c>
      <c r="F188" s="3" t="str">
        <f>IFERROR(MID(VLOOKUP($B188,Seqs!$A:$B,2,0),G188,1),"")</f>
        <v>L</v>
      </c>
      <c r="G188" s="3">
        <v>166</v>
      </c>
      <c r="H188" s="3" t="str">
        <f>IFERROR(MID(VLOOKUP($B188,Seqs!$A:$B,2,0),I188,1),"")</f>
        <v>S</v>
      </c>
      <c r="I188" s="23">
        <v>167</v>
      </c>
      <c r="J188" s="3" t="str">
        <f>IFERROR(MID(VLOOKUP($B188,Seqs!$A:$B,2,0),K188,1),"")</f>
        <v>H</v>
      </c>
      <c r="K188" s="23">
        <v>170</v>
      </c>
      <c r="L188" s="3" t="str">
        <f>IFERROR(MID(VLOOKUP($B188,Seqs!$A:$B,2,0),M188,1),"")</f>
        <v>C</v>
      </c>
      <c r="M188" s="23">
        <v>171</v>
      </c>
      <c r="N188" s="3" t="str">
        <f>IFERROR(MID(VLOOKUP($B188,Seqs!$A:$B,2,0),O188,1),"")</f>
        <v>R</v>
      </c>
      <c r="O188" s="3">
        <v>199</v>
      </c>
      <c r="P188" s="3" t="str">
        <f>IFERROR(MID(VLOOKUP($B188,Seqs!$A:$B,2,0),Q188,1),"")</f>
        <v/>
      </c>
      <c r="Q188" s="3" t="s">
        <v>23</v>
      </c>
      <c r="R188" s="3" t="str">
        <f>IFERROR(MID(VLOOKUP($B188,Seqs!$A:$B,2,0),S188,1),"")</f>
        <v/>
      </c>
      <c r="S188" s="3" t="s">
        <v>23</v>
      </c>
      <c r="T188" s="3" t="str">
        <f>IFERROR(MID(VLOOKUP($B188,Seqs!$A:$B,2,0),U188,1),"")</f>
        <v>D</v>
      </c>
      <c r="U188" s="3">
        <v>218</v>
      </c>
      <c r="V188" s="3" t="str">
        <f>IFERROR(MID(VLOOKUP($B188,Seqs!$A:$B,2,0),W188,1),"")</f>
        <v>G</v>
      </c>
      <c r="W188" s="3">
        <v>254</v>
      </c>
      <c r="X188" s="3" t="str">
        <f>IFERROR(MID(VLOOKUP($B188,Seqs!$A:$B,2,0),Y188,1),"")</f>
        <v/>
      </c>
      <c r="Y188" s="3" t="s">
        <v>23</v>
      </c>
      <c r="Z188" s="3" t="str">
        <f>IFERROR(MID(VLOOKUP($B188,Seqs!$A:$B,2,0),AA188,1),"")</f>
        <v/>
      </c>
      <c r="AA188" s="3" t="s">
        <v>23</v>
      </c>
      <c r="AB188" s="3" t="str">
        <f>IFERROR(MID(VLOOKUP($B188,Seqs!$A:$B,2,0),AC188,1),"")</f>
        <v>S</v>
      </c>
      <c r="AC188" s="9">
        <v>262</v>
      </c>
      <c r="AD188" s="3" t="str">
        <f>IFERROR(MID(VLOOKUP($B188,Seqs!$A:$B,2,0),AE188,1),"")</f>
        <v>E</v>
      </c>
      <c r="AE188" s="3">
        <v>290</v>
      </c>
      <c r="AF188" s="3" t="str">
        <f>IFERROR(MID(VLOOKUP($B188,Seqs!$A:$B,2,0),AG188,1),"")</f>
        <v>C</v>
      </c>
      <c r="AG188" s="3">
        <v>294</v>
      </c>
      <c r="AH188" s="3" t="str">
        <f>IFERROR(MID(VLOOKUP($B188,Seqs!$A:$B,2,0),AI188,1),"")</f>
        <v>T</v>
      </c>
      <c r="AI188" s="3">
        <v>296</v>
      </c>
      <c r="AJ188" s="3" t="str">
        <f>IFERROR(MID(VLOOKUP($B188,Seqs!$A:$B,2,0),AK188,1),"")</f>
        <v>R</v>
      </c>
      <c r="AK188" s="108">
        <v>308</v>
      </c>
      <c r="AL188" s="3" t="str">
        <f>IFERROR(MID(VLOOKUP($B188,Seqs!$A:$B,2,0),AM188,1),"")</f>
        <v>A</v>
      </c>
      <c r="AM188" s="3">
        <v>335</v>
      </c>
      <c r="AN188" s="3" t="str">
        <f>IFERROR(MID(VLOOKUP($B188,Seqs!$A:$B,2,0),AO188,1),"")</f>
        <v>Y</v>
      </c>
      <c r="AO188" s="3">
        <v>343</v>
      </c>
      <c r="AP188" s="3" t="str">
        <f>IFERROR(MID(VLOOKUP($B188,Seqs!$A:$B,2,0),AQ188,1),"")</f>
        <v>D</v>
      </c>
      <c r="AQ188" s="3">
        <v>370</v>
      </c>
      <c r="AR188" s="3" t="str">
        <f>IFERROR(MID(VLOOKUP($B188,Seqs!$A:$B,2,0),AS188,1),"")</f>
        <v>S</v>
      </c>
      <c r="AS188" s="3">
        <v>379</v>
      </c>
      <c r="AT188" s="3" t="str">
        <f>IFERROR(MID(VLOOKUP($B188,Seqs!$A:$B,2,0),AU188,1),"")</f>
        <v>F</v>
      </c>
      <c r="AU188" s="3">
        <v>402</v>
      </c>
      <c r="AV188" s="3" t="str">
        <f>IFERROR(MID(VLOOKUP($B188,Seqs!$A:$B,2,0),AW188,1),"")</f>
        <v>N</v>
      </c>
      <c r="AW188" s="3">
        <v>404</v>
      </c>
      <c r="AX188" s="3" t="str">
        <f>IFERROR(MID(VLOOKUP($B188,Seqs!$A:$B,2,0),AY188,1),"")</f>
        <v>R</v>
      </c>
      <c r="AY188" s="3">
        <v>417</v>
      </c>
      <c r="AZ188" s="79" t="str">
        <f>VLOOKUP(B188,Classification!A:D,2,0)</f>
        <v>B1</v>
      </c>
      <c r="BA188" s="97" t="str">
        <f>VLOOKUP(B188,Classification!A:D,4,0)</f>
        <v>Glucagonreceptorfamily</v>
      </c>
      <c r="BB188" s="27" t="b">
        <f t="shared" ref="BB188:BB210" si="863">AND(E188&lt;G188,OR(G188&lt;I188,I188="-"),OR(I188&lt;K188,I188="-"),OR(K188&lt;M188,K188="-"),M188&lt;O188,OR(O188&lt;Q188,Q188="-"),OR(Q188&lt;S188,Q188="-"),OR(S188&lt;U188,S188="-"),U188&lt;W188,OR(W188&lt;Y188,Y188="-"),OR(Y188&lt;AA188,Y188="-"),OR(AA188&lt;AC188,AA188="-"),AC188&lt;AE188,OR(AE188&lt;AG188,AG188="-"),OR(AG188&lt;AI188,AG188="-"),OR(AI188&lt;AK188,AI188="-"),AK188&lt;AM188,AM188&lt;AO188,AO188&lt;AQ188,AQ188&lt;AS188,AS188&lt;AU188,OR(AU188&lt;AW188,AW188="-"),OR(AW188&lt;AY188,AW188="-"))</f>
        <v>1</v>
      </c>
      <c r="BC188" s="23">
        <f t="shared" si="836"/>
        <v>227</v>
      </c>
      <c r="BD188" s="4" t="s">
        <v>23</v>
      </c>
      <c r="BE188" s="3" t="s">
        <v>1381</v>
      </c>
      <c r="BF188" s="50" t="s">
        <v>1384</v>
      </c>
      <c r="BG188" s="50" t="s">
        <v>1384</v>
      </c>
      <c r="BH188" s="1"/>
      <c r="BI188" s="72" t="s">
        <v>1293</v>
      </c>
      <c r="BJ188" s="58" t="s">
        <v>1293</v>
      </c>
      <c r="BK188" s="58" t="s">
        <v>1293</v>
      </c>
      <c r="BL188" s="58" t="s">
        <v>1293</v>
      </c>
      <c r="BM188" s="58" t="s">
        <v>1293</v>
      </c>
      <c r="BN188" s="58" t="s">
        <v>1293</v>
      </c>
      <c r="BO188" s="58" t="s">
        <v>1293</v>
      </c>
      <c r="BP188" s="58" t="s">
        <v>1293</v>
      </c>
      <c r="BQ188" s="58" t="s">
        <v>1293</v>
      </c>
      <c r="BR188" s="58" t="s">
        <v>1293</v>
      </c>
      <c r="BS188" s="58" t="s">
        <v>1293</v>
      </c>
      <c r="BT188" s="58" t="s">
        <v>1293</v>
      </c>
      <c r="BU188" s="72">
        <f t="shared" si="837"/>
        <v>138</v>
      </c>
      <c r="BV188" s="73">
        <f t="shared" si="838"/>
        <v>167</v>
      </c>
      <c r="BW188" s="74">
        <f t="shared" si="839"/>
        <v>171</v>
      </c>
      <c r="BX188" s="73" t="str">
        <f t="shared" si="840"/>
        <v>-</v>
      </c>
      <c r="BY188" s="74">
        <f t="shared" si="841"/>
        <v>218</v>
      </c>
      <c r="BZ188" s="73" t="str">
        <f t="shared" si="842"/>
        <v>-</v>
      </c>
      <c r="CA188" s="74">
        <f t="shared" si="843"/>
        <v>262</v>
      </c>
      <c r="CB188" s="73">
        <f t="shared" si="844"/>
        <v>294</v>
      </c>
      <c r="CC188" s="74">
        <f t="shared" si="845"/>
        <v>308</v>
      </c>
      <c r="CD188" s="73">
        <f t="shared" si="846"/>
        <v>343</v>
      </c>
      <c r="CE188" s="74">
        <f t="shared" si="847"/>
        <v>379</v>
      </c>
      <c r="CF188" s="73">
        <f t="shared" si="848"/>
        <v>404</v>
      </c>
      <c r="CG188" s="72">
        <f t="shared" si="849"/>
        <v>166</v>
      </c>
      <c r="CH188" s="73">
        <f t="shared" si="850"/>
        <v>170</v>
      </c>
      <c r="CI188" s="74">
        <f t="shared" si="851"/>
        <v>199</v>
      </c>
      <c r="CJ188" s="74" t="str">
        <f t="shared" si="852"/>
        <v>-</v>
      </c>
      <c r="CK188" s="74">
        <f t="shared" si="853"/>
        <v>254</v>
      </c>
      <c r="CL188" s="74" t="str">
        <f t="shared" si="854"/>
        <v>-</v>
      </c>
      <c r="CM188" s="74">
        <f t="shared" si="855"/>
        <v>290</v>
      </c>
      <c r="CN188" s="74">
        <f t="shared" si="856"/>
        <v>296</v>
      </c>
      <c r="CO188" s="74">
        <f t="shared" si="857"/>
        <v>335</v>
      </c>
      <c r="CP188" s="74">
        <f t="shared" si="858"/>
        <v>370</v>
      </c>
      <c r="CQ188" s="74">
        <f t="shared" si="859"/>
        <v>402</v>
      </c>
      <c r="CR188" s="74">
        <f t="shared" si="860"/>
        <v>417</v>
      </c>
      <c r="CS188" s="23">
        <f t="shared" si="861"/>
        <v>1</v>
      </c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  <c r="JD188" s="1"/>
      <c r="JE188" s="1"/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"/>
      <c r="JR188" s="1"/>
      <c r="JS188" s="1"/>
      <c r="JT188" s="1"/>
      <c r="JU188" s="1"/>
      <c r="JV188" s="1"/>
      <c r="JW188" s="1"/>
      <c r="JX188" s="1"/>
      <c r="JY188" s="1"/>
      <c r="JZ188" s="1"/>
      <c r="KA188" s="1"/>
      <c r="KB188" s="1"/>
      <c r="KC188" s="1"/>
      <c r="KD188" s="1"/>
      <c r="KE188" s="1"/>
      <c r="KF188" s="1"/>
      <c r="KG188" s="1"/>
      <c r="KH188" s="1"/>
      <c r="KI188" s="1"/>
      <c r="KJ188" s="1"/>
      <c r="KK188" s="1"/>
      <c r="KL188" s="1"/>
      <c r="KM188" s="1"/>
      <c r="KN188" s="1"/>
      <c r="KO188" s="1"/>
      <c r="KP188" s="1"/>
      <c r="KQ188" s="1"/>
      <c r="KR188" s="1"/>
      <c r="KS188" s="1"/>
      <c r="KT188" s="1"/>
      <c r="KU188" s="1"/>
      <c r="KV188" s="1"/>
      <c r="KW188" s="1"/>
      <c r="KX188" s="1"/>
      <c r="KY188" s="1"/>
      <c r="KZ188" s="1"/>
      <c r="LA188" s="1"/>
      <c r="LB188" s="1"/>
      <c r="LC188" s="1"/>
      <c r="LD188" s="1"/>
      <c r="LE188" s="1"/>
      <c r="LF188" s="1"/>
      <c r="LG188" s="1"/>
      <c r="LH188" s="1"/>
      <c r="LI188" s="1"/>
      <c r="LJ188" s="1"/>
      <c r="LK188" s="1"/>
      <c r="LL188" s="1"/>
      <c r="LM188" s="1"/>
      <c r="LN188" s="1"/>
      <c r="LO188" s="1"/>
      <c r="LP188" s="1"/>
      <c r="LQ188" s="1"/>
      <c r="LR188" s="1"/>
      <c r="LS188" s="1"/>
      <c r="LT188" s="1"/>
      <c r="LU188" s="1"/>
      <c r="LV188" s="1"/>
      <c r="LW188" s="1"/>
      <c r="LX188" s="1"/>
      <c r="LY188" s="1"/>
      <c r="LZ188" s="1"/>
      <c r="MA188" s="1"/>
      <c r="MB188" s="1"/>
      <c r="MC188" s="1"/>
      <c r="MD188" s="1"/>
      <c r="ME188" s="1"/>
      <c r="MF188" s="1"/>
      <c r="MG188" s="1"/>
      <c r="MH188" s="1"/>
      <c r="MI188" s="1"/>
      <c r="MJ188" s="1"/>
      <c r="MK188" s="1"/>
      <c r="ML188" s="1"/>
      <c r="MM188" s="1"/>
      <c r="MN188" s="1"/>
      <c r="MO188" s="1"/>
      <c r="MP188" s="1"/>
      <c r="MQ188" s="1"/>
      <c r="MR188" s="1"/>
      <c r="MS188" s="1"/>
      <c r="MT188" s="1"/>
      <c r="MU188" s="1"/>
      <c r="MV188" s="1"/>
      <c r="MW188" s="1"/>
      <c r="MX188" s="1"/>
      <c r="MY188" s="1"/>
      <c r="MZ188" s="1"/>
      <c r="NA188" s="1"/>
      <c r="NB188" s="1"/>
      <c r="NC188" s="1"/>
      <c r="ND188" s="1"/>
      <c r="NE188" s="1"/>
      <c r="NF188" s="1"/>
      <c r="NG188" s="1"/>
      <c r="NH188" s="1"/>
      <c r="NI188" s="1"/>
      <c r="NJ188" s="1"/>
      <c r="NK188" s="1"/>
      <c r="NL188" s="1"/>
      <c r="NM188" s="1"/>
      <c r="NN188" s="1"/>
      <c r="NO188" s="1"/>
      <c r="NP188" s="1"/>
      <c r="NQ188" s="1"/>
      <c r="NR188" s="1"/>
      <c r="NS188" s="1"/>
      <c r="NT188" s="1"/>
      <c r="NU188" s="1"/>
      <c r="NV188" s="1"/>
      <c r="NW188" s="1"/>
      <c r="NX188" s="1"/>
      <c r="NY188" s="1"/>
      <c r="NZ188" s="1"/>
      <c r="OA188" s="1"/>
      <c r="OB188" s="1"/>
      <c r="OC188" s="1"/>
      <c r="OD188" s="1"/>
      <c r="OE188" s="1"/>
      <c r="OF188" s="1"/>
      <c r="OG188" s="1"/>
      <c r="OH188" s="1"/>
      <c r="OI188" s="1"/>
      <c r="OJ188" s="1"/>
      <c r="OK188" s="1"/>
      <c r="OL188" s="1"/>
      <c r="OM188" s="1"/>
      <c r="ON188" s="1"/>
      <c r="OO188" s="1"/>
      <c r="OP188" s="1"/>
      <c r="OQ188" s="1"/>
      <c r="OR188" s="1"/>
      <c r="OS188" s="1"/>
      <c r="OT188" s="1"/>
      <c r="OU188" s="1"/>
      <c r="OV188" s="1"/>
      <c r="OW188" s="1"/>
      <c r="OX188" s="1"/>
      <c r="OY188" s="1"/>
      <c r="OZ188" s="1"/>
      <c r="PA188" s="1"/>
      <c r="PB188" s="1"/>
      <c r="PC188" s="1"/>
      <c r="PD188" s="1"/>
      <c r="PE188" s="1"/>
      <c r="PF188" s="1"/>
      <c r="PG188" s="1"/>
      <c r="PH188" s="1"/>
      <c r="PI188" s="1"/>
      <c r="PJ188" s="1"/>
      <c r="PK188" s="1"/>
      <c r="PL188" s="1"/>
      <c r="PM188" s="1"/>
      <c r="PN188" s="1"/>
      <c r="PO188" s="1"/>
      <c r="PP188" s="1"/>
      <c r="PQ188" s="1"/>
      <c r="PR188" s="1"/>
      <c r="PS188" s="1"/>
      <c r="PT188" s="1"/>
      <c r="PU188" s="1"/>
      <c r="PV188" s="1"/>
      <c r="PW188" s="1"/>
      <c r="PX188" s="1"/>
      <c r="PY188" s="1"/>
      <c r="PZ188" s="1"/>
      <c r="QA188" s="1"/>
      <c r="QB188" s="1"/>
      <c r="QC188" s="1"/>
      <c r="QD188" s="1"/>
      <c r="QE188" s="1"/>
      <c r="QF188" s="1"/>
      <c r="QG188" s="1"/>
      <c r="QH188" s="1"/>
      <c r="QI188" s="1"/>
      <c r="QJ188" s="1"/>
      <c r="QK188" s="1"/>
      <c r="QL188" s="1"/>
      <c r="QM188" s="1"/>
      <c r="QN188" s="1"/>
      <c r="QO188" s="1"/>
      <c r="QP188" s="1"/>
      <c r="QQ188" s="1"/>
      <c r="QR188" s="1"/>
      <c r="QS188" s="1"/>
      <c r="QT188" s="1"/>
      <c r="QU188" s="1"/>
      <c r="QV188" s="1"/>
      <c r="QW188" s="1"/>
      <c r="QX188" s="1"/>
      <c r="QY188" s="1"/>
      <c r="QZ188" s="1"/>
      <c r="RA188" s="1"/>
      <c r="RB188" s="1"/>
      <c r="RC188" s="1"/>
      <c r="RD188" s="1"/>
      <c r="RE188" s="1"/>
      <c r="RF188" s="1"/>
      <c r="RG188" s="1"/>
      <c r="RH188" s="1"/>
      <c r="RI188" s="1"/>
      <c r="RJ188" s="1"/>
      <c r="RK188" s="1"/>
      <c r="RL188" s="1"/>
      <c r="RM188" s="1"/>
      <c r="RN188" s="1"/>
      <c r="RO188" s="1"/>
      <c r="RP188" s="1"/>
      <c r="RQ188" s="1"/>
      <c r="RR188" s="1"/>
      <c r="RS188" s="1"/>
      <c r="RT188" s="1"/>
      <c r="RU188" s="1"/>
      <c r="RV188" s="1"/>
      <c r="RW188" s="1"/>
      <c r="RX188" s="1"/>
      <c r="RY188" s="1"/>
      <c r="RZ188" s="1"/>
      <c r="SA188" s="1"/>
      <c r="SB188" s="1"/>
      <c r="SC188" s="1"/>
      <c r="SD188" s="1"/>
      <c r="SE188" s="1"/>
      <c r="SF188" s="1"/>
      <c r="SG188" s="1"/>
      <c r="SH188" s="1"/>
      <c r="SI188" s="1"/>
      <c r="SJ188" s="1"/>
      <c r="SK188" s="1"/>
      <c r="SL188" s="1"/>
      <c r="SM188" s="1"/>
      <c r="SN188" s="1"/>
      <c r="SO188" s="1"/>
      <c r="SP188" s="1"/>
      <c r="SQ188" s="1"/>
      <c r="SR188" s="1"/>
      <c r="SS188" s="1"/>
      <c r="ST188" s="1"/>
      <c r="SU188" s="1"/>
      <c r="SV188" s="1"/>
      <c r="SW188" s="1"/>
      <c r="SX188" s="1"/>
      <c r="SY188" s="1"/>
      <c r="SZ188" s="1"/>
      <c r="TA188" s="1"/>
      <c r="TB188" s="1"/>
      <c r="TC188" s="1"/>
      <c r="TD188" s="1"/>
      <c r="TE188" s="1"/>
      <c r="TF188" s="1"/>
      <c r="TG188" s="1"/>
      <c r="TH188" s="1"/>
      <c r="TI188" s="1"/>
      <c r="TJ188" s="1"/>
      <c r="TK188" s="1"/>
      <c r="TL188" s="1"/>
      <c r="TM188" s="1"/>
      <c r="TN188" s="1"/>
      <c r="TO188" s="1"/>
      <c r="TP188" s="1"/>
      <c r="TQ188" s="1"/>
      <c r="TR188" s="1"/>
      <c r="TS188" s="1"/>
      <c r="TT188" s="1"/>
      <c r="TU188" s="1"/>
      <c r="TV188" s="1"/>
      <c r="TW188" s="1"/>
      <c r="TX188" s="1"/>
      <c r="TY188" s="1"/>
      <c r="TZ188" s="1"/>
      <c r="UA188" s="1"/>
      <c r="UB188" s="1"/>
      <c r="UC188" s="1"/>
      <c r="UD188" s="1"/>
      <c r="UE188" s="1"/>
      <c r="UF188" s="1"/>
      <c r="UG188" s="1"/>
      <c r="UH188" s="1"/>
      <c r="UI188" s="1"/>
      <c r="UJ188" s="1"/>
      <c r="UK188" s="1"/>
      <c r="UL188" s="1"/>
      <c r="UM188" s="1"/>
      <c r="UN188" s="1"/>
      <c r="UO188" s="1"/>
      <c r="UP188" s="1"/>
      <c r="UQ188" s="1"/>
      <c r="UR188" s="1"/>
      <c r="US188" s="1"/>
      <c r="UT188" s="1"/>
      <c r="UU188" s="1"/>
      <c r="UV188" s="1"/>
      <c r="UW188" s="1"/>
      <c r="UX188" s="1"/>
      <c r="UY188" s="1"/>
      <c r="UZ188" s="1"/>
      <c r="VA188" s="1"/>
      <c r="VB188" s="1"/>
      <c r="VC188" s="1"/>
      <c r="VD188" s="1"/>
      <c r="VE188" s="1"/>
      <c r="VF188" s="1"/>
      <c r="VG188" s="1"/>
      <c r="VH188" s="1"/>
      <c r="VI188" s="1"/>
      <c r="VJ188" s="1"/>
      <c r="VK188" s="1"/>
      <c r="VL188" s="1"/>
      <c r="VM188" s="1"/>
      <c r="VN188" s="1"/>
      <c r="VO188" s="1"/>
      <c r="VP188" s="1"/>
      <c r="VQ188" s="1"/>
      <c r="VR188" s="1"/>
      <c r="VS188" s="1"/>
      <c r="VT188" s="1"/>
      <c r="VU188" s="1"/>
      <c r="VV188" s="1"/>
      <c r="VW188" s="1"/>
      <c r="VX188" s="1"/>
      <c r="VY188" s="1"/>
      <c r="VZ188" s="1"/>
      <c r="WA188" s="1"/>
      <c r="WB188" s="1"/>
      <c r="WC188" s="1"/>
      <c r="WD188" s="1"/>
      <c r="WE188" s="1"/>
      <c r="WF188" s="1"/>
      <c r="WG188" s="1"/>
      <c r="WH188" s="1"/>
      <c r="WI188" s="1"/>
      <c r="WJ188" s="1"/>
      <c r="WK188" s="1"/>
      <c r="WL188" s="1"/>
      <c r="WM188" s="1"/>
      <c r="WN188" s="1"/>
      <c r="WO188" s="1"/>
      <c r="WP188" s="1"/>
      <c r="WQ188" s="1"/>
      <c r="WR188" s="1"/>
      <c r="WS188" s="1"/>
      <c r="WT188" s="1"/>
      <c r="WU188" s="1"/>
      <c r="WV188" s="1"/>
      <c r="WW188" s="1"/>
      <c r="WX188" s="1"/>
      <c r="WY188" s="1"/>
      <c r="WZ188" s="1"/>
      <c r="XA188" s="1"/>
      <c r="XB188" s="1"/>
      <c r="XC188" s="1"/>
      <c r="XD188" s="1"/>
      <c r="XE188" s="1"/>
      <c r="XF188" s="1"/>
      <c r="XG188" s="1"/>
      <c r="XH188" s="1"/>
      <c r="XI188" s="1"/>
      <c r="XJ188" s="1"/>
      <c r="XK188" s="1"/>
      <c r="XL188" s="1"/>
      <c r="XM188" s="1"/>
      <c r="XN188" s="1"/>
      <c r="XO188" s="1"/>
      <c r="XP188" s="1"/>
      <c r="XQ188" s="1"/>
      <c r="XR188" s="1"/>
      <c r="XS188" s="1"/>
      <c r="XT188" s="1"/>
      <c r="XU188" s="1"/>
      <c r="XV188" s="1"/>
      <c r="XW188" s="1"/>
      <c r="XX188" s="1"/>
      <c r="XY188" s="1"/>
      <c r="XZ188" s="1"/>
      <c r="YA188" s="1"/>
      <c r="YB188" s="1"/>
      <c r="YC188" s="1"/>
      <c r="YD188" s="1"/>
      <c r="YE188" s="1"/>
      <c r="YF188" s="1"/>
      <c r="YG188" s="1"/>
      <c r="YH188" s="1"/>
      <c r="YI188" s="1"/>
      <c r="YJ188" s="1"/>
      <c r="YK188" s="1"/>
      <c r="YL188" s="1"/>
      <c r="YM188" s="1"/>
      <c r="YN188" s="1"/>
      <c r="YO188" s="1"/>
      <c r="YP188" s="1"/>
      <c r="YQ188" s="1"/>
      <c r="YR188" s="1"/>
      <c r="YS188" s="1"/>
      <c r="YT188" s="1"/>
      <c r="YU188" s="1"/>
      <c r="YV188" s="1"/>
      <c r="YW188" s="1"/>
      <c r="YX188" s="1"/>
      <c r="YY188" s="1"/>
      <c r="YZ188" s="1"/>
      <c r="ZA188" s="1"/>
      <c r="ZB188" s="1"/>
      <c r="ZC188" s="1"/>
      <c r="ZD188" s="1"/>
      <c r="ZE188" s="1"/>
      <c r="ZF188" s="1"/>
      <c r="ZG188" s="1"/>
      <c r="ZH188" s="1"/>
      <c r="ZI188" s="1"/>
      <c r="ZJ188" s="1"/>
      <c r="ZK188" s="1"/>
      <c r="ZL188" s="1"/>
      <c r="ZM188" s="1"/>
      <c r="ZN188" s="1"/>
      <c r="ZO188" s="1"/>
      <c r="ZP188" s="1"/>
      <c r="ZQ188" s="1"/>
      <c r="ZR188" s="1"/>
      <c r="ZS188" s="1"/>
      <c r="ZT188" s="1"/>
      <c r="ZU188" s="1"/>
      <c r="ZV188" s="1"/>
      <c r="ZW188" s="1"/>
      <c r="ZX188" s="1"/>
      <c r="ZY188" s="1"/>
      <c r="ZZ188" s="1"/>
      <c r="AAA188" s="1"/>
      <c r="AAB188" s="1"/>
      <c r="AAC188" s="1"/>
      <c r="AAD188" s="1"/>
      <c r="AAE188" s="1"/>
      <c r="AAF188" s="1"/>
      <c r="AAG188" s="1"/>
      <c r="AAH188" s="1"/>
      <c r="AAI188" s="1"/>
      <c r="AAJ188" s="1"/>
      <c r="AAK188" s="1"/>
      <c r="AAL188" s="1"/>
      <c r="AAM188" s="1"/>
      <c r="AAN188" s="1"/>
      <c r="AAO188" s="1"/>
      <c r="AAP188" s="1"/>
      <c r="AAQ188" s="1"/>
      <c r="AAR188" s="1"/>
      <c r="AAS188" s="1"/>
      <c r="AAT188" s="1"/>
      <c r="AAU188" s="1"/>
      <c r="AAV188" s="1"/>
      <c r="AAW188" s="1"/>
      <c r="AAX188" s="1"/>
      <c r="AAY188" s="1"/>
      <c r="AAZ188" s="1"/>
      <c r="ABA188" s="1"/>
      <c r="ABB188" s="1"/>
      <c r="ABC188" s="1"/>
      <c r="ABD188" s="1"/>
      <c r="ABE188" s="1"/>
      <c r="ABF188" s="1"/>
      <c r="ABG188" s="1"/>
      <c r="ABH188" s="1"/>
      <c r="ABI188" s="1"/>
      <c r="ABJ188" s="1"/>
      <c r="ABK188" s="1"/>
      <c r="ABL188" s="1"/>
      <c r="ABM188" s="1"/>
      <c r="ABN188" s="1"/>
      <c r="ABO188" s="1"/>
      <c r="ABP188" s="1"/>
      <c r="ABQ188" s="1"/>
      <c r="ABR188" s="1"/>
      <c r="ABS188" s="1"/>
      <c r="ABT188" s="1"/>
      <c r="ABU188" s="1"/>
      <c r="ABV188" s="1"/>
      <c r="ABW188" s="1"/>
      <c r="ABX188" s="1"/>
      <c r="ABY188" s="1"/>
      <c r="ABZ188" s="1"/>
      <c r="ACA188" s="1"/>
      <c r="ACB188" s="1"/>
      <c r="ACC188" s="1"/>
      <c r="ACD188" s="1"/>
      <c r="ACE188" s="1"/>
      <c r="ACF188" s="1"/>
      <c r="ACG188" s="1"/>
      <c r="ACH188" s="1"/>
      <c r="ACI188" s="1"/>
      <c r="ACJ188" s="1"/>
      <c r="ACK188" s="1"/>
      <c r="ACL188" s="1"/>
      <c r="ACM188" s="1"/>
      <c r="ACN188" s="1"/>
      <c r="ACO188" s="1"/>
      <c r="ACP188" s="1"/>
      <c r="ACQ188" s="1"/>
      <c r="ACR188" s="1"/>
      <c r="ACS188" s="1"/>
      <c r="ACT188" s="1"/>
      <c r="ACU188" s="1"/>
      <c r="ACV188" s="1"/>
      <c r="ACW188" s="1"/>
      <c r="ACX188" s="1"/>
      <c r="ACY188" s="1"/>
      <c r="ACZ188" s="1"/>
      <c r="ADA188" s="1"/>
      <c r="ADB188" s="1"/>
      <c r="ADC188" s="1"/>
      <c r="ADD188" s="1"/>
      <c r="ADE188" s="1"/>
      <c r="ADF188" s="1"/>
      <c r="ADG188" s="1"/>
      <c r="ADH188" s="1"/>
      <c r="ADI188" s="1"/>
      <c r="ADJ188" s="1"/>
      <c r="ADK188" s="1"/>
      <c r="ADL188" s="1"/>
      <c r="ADM188" s="1"/>
      <c r="ADN188" s="1"/>
      <c r="ADO188" s="1"/>
      <c r="ADP188" s="1"/>
      <c r="ADQ188" s="1"/>
      <c r="ADR188" s="1"/>
      <c r="ADS188" s="1"/>
      <c r="ADT188" s="1"/>
      <c r="ADU188" s="1"/>
      <c r="ADV188" s="1"/>
      <c r="ADW188" s="1"/>
      <c r="ADX188" s="1"/>
      <c r="ADY188" s="1"/>
      <c r="ADZ188" s="1"/>
      <c r="AEA188" s="1"/>
      <c r="AEB188" s="1"/>
      <c r="AEC188" s="1"/>
      <c r="AED188" s="1"/>
      <c r="AEE188" s="1"/>
      <c r="AEF188" s="1"/>
      <c r="AEG188" s="1"/>
      <c r="AEH188" s="1"/>
      <c r="AEI188" s="1"/>
      <c r="AEJ188" s="1"/>
      <c r="AEK188" s="1"/>
      <c r="AEL188" s="1"/>
      <c r="AEM188" s="1"/>
      <c r="AEN188" s="1"/>
      <c r="AEO188" s="1"/>
      <c r="AEP188" s="1"/>
      <c r="AEQ188" s="1"/>
      <c r="AER188" s="1"/>
      <c r="AES188" s="1"/>
      <c r="AET188" s="1"/>
      <c r="AEU188" s="1"/>
      <c r="AEV188" s="1"/>
      <c r="AEW188" s="1"/>
      <c r="AEX188" s="1"/>
      <c r="AEY188" s="1"/>
      <c r="AEZ188" s="1"/>
      <c r="AFA188" s="1"/>
      <c r="AFB188" s="1"/>
      <c r="AFC188" s="1"/>
      <c r="AFD188" s="1"/>
      <c r="AFE188" s="1"/>
      <c r="AFF188" s="1"/>
      <c r="AFG188" s="1"/>
      <c r="AFH188" s="1"/>
      <c r="AFI188" s="1"/>
      <c r="AFJ188" s="1"/>
      <c r="AFK188" s="1"/>
      <c r="AFL188" s="1"/>
      <c r="AFM188" s="1"/>
      <c r="AFN188" s="1"/>
      <c r="AFO188" s="1"/>
      <c r="AFP188" s="1"/>
      <c r="AFQ188" s="1"/>
      <c r="AFR188" s="1"/>
      <c r="AFS188" s="1"/>
      <c r="AFT188" s="1"/>
      <c r="AFU188" s="1"/>
      <c r="AFV188" s="1"/>
      <c r="AFW188" s="1"/>
      <c r="AFX188" s="1"/>
      <c r="AFY188" s="1"/>
      <c r="AFZ188" s="1"/>
      <c r="AGA188" s="1"/>
      <c r="AGB188" s="1"/>
      <c r="AGC188" s="1"/>
      <c r="AGD188" s="1"/>
      <c r="AGE188" s="1"/>
      <c r="AGF188" s="1"/>
      <c r="AGG188" s="1"/>
      <c r="AGH188" s="1"/>
      <c r="AGI188" s="1"/>
      <c r="AGJ188" s="1"/>
      <c r="AGK188" s="1"/>
      <c r="AGL188" s="1"/>
      <c r="AGM188" s="1"/>
      <c r="AGN188" s="1"/>
      <c r="AGO188" s="1"/>
      <c r="AGP188" s="1"/>
      <c r="AGQ188" s="1"/>
      <c r="AGR188" s="1"/>
      <c r="AGS188" s="1"/>
      <c r="AGT188" s="1"/>
      <c r="AGU188" s="1"/>
      <c r="AGV188" s="1"/>
      <c r="AGW188" s="1"/>
      <c r="AGX188" s="1"/>
      <c r="AGY188" s="1"/>
      <c r="AGZ188" s="1"/>
      <c r="AHA188" s="1"/>
      <c r="AHB188" s="1"/>
      <c r="AHC188" s="1"/>
      <c r="AHD188" s="1"/>
      <c r="AHE188" s="1"/>
      <c r="AHF188" s="1"/>
      <c r="AHG188" s="1"/>
      <c r="AHH188" s="1"/>
      <c r="AHI188" s="1"/>
      <c r="AHJ188" s="1"/>
      <c r="AHK188" s="1"/>
      <c r="AHL188" s="1"/>
      <c r="AHM188" s="1"/>
      <c r="AHN188" s="1"/>
      <c r="AHO188" s="1"/>
      <c r="AHP188" s="1"/>
      <c r="AHQ188" s="1"/>
      <c r="AHR188" s="1"/>
      <c r="AHS188" s="1"/>
      <c r="AHT188" s="1"/>
      <c r="AHU188" s="1"/>
      <c r="AHV188" s="1"/>
      <c r="AHW188" s="1"/>
      <c r="AHX188" s="1"/>
      <c r="AHY188" s="1"/>
      <c r="AHZ188" s="1"/>
      <c r="AIA188" s="1"/>
      <c r="AIB188" s="1"/>
      <c r="AIC188" s="1"/>
      <c r="AID188" s="1"/>
      <c r="AIE188" s="1"/>
      <c r="AIF188" s="1"/>
      <c r="AIG188" s="1"/>
      <c r="AIH188" s="1"/>
      <c r="AII188" s="1"/>
      <c r="AIJ188" s="1"/>
      <c r="AIK188" s="1"/>
      <c r="AIL188" s="1"/>
      <c r="AIM188" s="1"/>
      <c r="AIN188" s="1"/>
      <c r="AIO188" s="1"/>
      <c r="AIP188" s="1"/>
      <c r="AIQ188" s="1"/>
      <c r="AIR188" s="1"/>
      <c r="AIS188" s="1"/>
      <c r="AIT188" s="1"/>
      <c r="AIU188" s="1"/>
      <c r="AIV188" s="1"/>
      <c r="AIW188" s="1"/>
      <c r="AIX188" s="1"/>
      <c r="AIY188" s="1"/>
      <c r="AIZ188" s="1"/>
      <c r="AJA188" s="1"/>
      <c r="AJB188" s="1"/>
      <c r="AJC188" s="1"/>
      <c r="AJD188" s="1"/>
      <c r="AJE188" s="1"/>
      <c r="AJF188" s="1"/>
      <c r="AJG188" s="1"/>
      <c r="AJH188" s="1"/>
      <c r="AJI188" s="1"/>
      <c r="AJJ188" s="1"/>
      <c r="AJK188" s="1"/>
      <c r="AJL188" s="1"/>
      <c r="AJM188" s="1"/>
      <c r="AJN188" s="1"/>
      <c r="AJO188" s="1"/>
      <c r="AJP188" s="1"/>
      <c r="AJQ188" s="1"/>
      <c r="AJR188" s="1"/>
      <c r="AJS188" s="1"/>
      <c r="AJT188" s="1"/>
      <c r="AJU188" s="1"/>
      <c r="AJV188" s="1"/>
      <c r="AJW188" s="1"/>
      <c r="AJX188" s="1"/>
      <c r="AJY188" s="1"/>
      <c r="AJZ188" s="1"/>
      <c r="AKA188" s="1"/>
      <c r="AKB188" s="1"/>
      <c r="AKC188" s="1"/>
      <c r="AKD188" s="1"/>
      <c r="AKE188" s="1"/>
      <c r="AKF188" s="1"/>
      <c r="AKG188" s="1"/>
      <c r="AKH188" s="1"/>
      <c r="AKI188" s="1"/>
      <c r="AKJ188" s="1"/>
      <c r="AKK188" s="1"/>
      <c r="AKL188" s="1"/>
      <c r="AKM188" s="1"/>
      <c r="AKN188" s="1"/>
      <c r="AKO188" s="1"/>
      <c r="AKP188" s="1"/>
      <c r="AKQ188" s="1"/>
      <c r="AKR188" s="1"/>
      <c r="AKS188" s="1"/>
      <c r="AKT188" s="1"/>
      <c r="AKU188" s="1"/>
      <c r="AKV188" s="1"/>
      <c r="AKW188" s="1"/>
      <c r="AKX188" s="1"/>
      <c r="AKY188" s="1"/>
      <c r="AKZ188" s="1"/>
      <c r="ALA188" s="1"/>
      <c r="ALB188" s="1"/>
      <c r="ALC188" s="1"/>
      <c r="ALD188" s="1"/>
      <c r="ALE188" s="1"/>
      <c r="ALF188" s="1"/>
      <c r="ALG188" s="1"/>
      <c r="ALH188" s="1"/>
      <c r="ALI188" s="1"/>
      <c r="ALJ188" s="1"/>
      <c r="ALK188" s="1"/>
      <c r="ALL188" s="1"/>
      <c r="ALM188" s="1"/>
      <c r="ALN188" s="1"/>
      <c r="ALO188" s="1"/>
      <c r="ALP188" s="1"/>
      <c r="ALQ188" s="1"/>
      <c r="ALR188" s="1"/>
      <c r="ALS188" s="1"/>
      <c r="ALT188" s="1"/>
      <c r="ALU188" s="1"/>
      <c r="ALV188" s="1"/>
      <c r="ALW188" s="1"/>
      <c r="ALX188" s="1"/>
      <c r="ALY188" s="1"/>
      <c r="ALZ188" s="1"/>
      <c r="AMA188" s="1"/>
      <c r="AMB188" s="1"/>
      <c r="AMC188" s="1"/>
      <c r="AMD188" s="1"/>
      <c r="AME188" s="1"/>
      <c r="AMF188" s="1"/>
      <c r="AMG188" s="1"/>
      <c r="AMH188" s="1"/>
      <c r="AMI188" s="1"/>
      <c r="AMJ188" s="1"/>
      <c r="AMK188" s="1"/>
      <c r="AML188" s="1"/>
      <c r="AMM188" s="1"/>
      <c r="AMN188" s="1"/>
    </row>
    <row r="189" spans="1:1029" s="12" customFormat="1" x14ac:dyDescent="0.2">
      <c r="A189" s="9" t="str">
        <f t="shared" ref="A189" si="864">CONCATENATE(B189,"_",C189)</f>
        <v>glr_human_5XEZ</v>
      </c>
      <c r="B189" s="9" t="s">
        <v>32</v>
      </c>
      <c r="C189" s="9" t="s">
        <v>1419</v>
      </c>
      <c r="D189" s="9" t="str">
        <f>IFERROR(MID(VLOOKUP($B189,Seqs!$A:$B,2,0),E189,1),"")</f>
        <v>Q</v>
      </c>
      <c r="E189" s="9">
        <v>131</v>
      </c>
      <c r="F189" s="9" t="str">
        <f>IFERROR(MID(VLOOKUP($B189,Seqs!$A:$B,2,0),G189,1),"")</f>
        <v>G</v>
      </c>
      <c r="G189" s="9">
        <v>164</v>
      </c>
      <c r="H189" s="9" t="str">
        <f>IFERROR(MID(VLOOKUP($B189,Seqs!$A:$B,2,0),I189,1),"")</f>
        <v>S</v>
      </c>
      <c r="I189" s="112">
        <v>167</v>
      </c>
      <c r="J189" s="9" t="str">
        <f>IFERROR(MID(VLOOKUP($B189,Seqs!$A:$B,2,0),K189,1),"")</f>
        <v>H</v>
      </c>
      <c r="K189" s="112">
        <v>170</v>
      </c>
      <c r="L189" s="9" t="str">
        <f>IFERROR(MID(VLOOKUP($B189,Seqs!$A:$B,2,0),M189,1),"")</f>
        <v>C</v>
      </c>
      <c r="M189" s="112">
        <v>171</v>
      </c>
      <c r="N189" s="9" t="str">
        <f>IFERROR(MID(VLOOKUP($B189,Seqs!$A:$B,2,0),O189,1),"")</f>
        <v>R</v>
      </c>
      <c r="O189" s="9">
        <v>201</v>
      </c>
      <c r="P189" s="9" t="str">
        <f>IFERROR(MID(VLOOKUP($B189,Seqs!$A:$B,2,0),Q189,1),"")</f>
        <v/>
      </c>
      <c r="Q189" s="9" t="s">
        <v>23</v>
      </c>
      <c r="R189" s="9" t="str">
        <f>IFERROR(MID(VLOOKUP($B189,Seqs!$A:$B,2,0),S189,1),"")</f>
        <v/>
      </c>
      <c r="S189" s="9" t="s">
        <v>23</v>
      </c>
      <c r="T189" s="9" t="str">
        <f>IFERROR(MID(VLOOKUP($B189,Seqs!$A:$B,2,0),U189,1),"")</f>
        <v>S</v>
      </c>
      <c r="U189" s="9">
        <v>217</v>
      </c>
      <c r="V189" s="9" t="str">
        <f>IFERROR(MID(VLOOKUP($B189,Seqs!$A:$B,2,0),W189,1),"")</f>
        <v>L</v>
      </c>
      <c r="W189" s="9">
        <v>255</v>
      </c>
      <c r="X189" s="9" t="str">
        <f>IFERROR(MID(VLOOKUP($B189,Seqs!$A:$B,2,0),Y189,1),"")</f>
        <v/>
      </c>
      <c r="Y189" s="9" t="s">
        <v>23</v>
      </c>
      <c r="Z189" s="9" t="str">
        <f>IFERROR(MID(VLOOKUP($B189,Seqs!$A:$B,2,0),AA189,1),"")</f>
        <v/>
      </c>
      <c r="AA189" s="9" t="s">
        <v>23</v>
      </c>
      <c r="AB189" s="9" t="str">
        <f>IFERROR(MID(VLOOKUP($B189,Seqs!$A:$B,2,0),AC189,1),"")</f>
        <v>E</v>
      </c>
      <c r="AC189" s="9">
        <v>260</v>
      </c>
      <c r="AD189" s="9" t="str">
        <f>IFERROR(MID(VLOOKUP($B189,Seqs!$A:$B,2,0),AE189,1),"")</f>
        <v>E</v>
      </c>
      <c r="AE189" s="9">
        <v>290</v>
      </c>
      <c r="AF189" s="9" t="str">
        <f>IFERROR(MID(VLOOKUP($B189,Seqs!$A:$B,2,0),AG189,1),"")</f>
        <v>C</v>
      </c>
      <c r="AG189" s="9">
        <v>294</v>
      </c>
      <c r="AH189" s="9" t="str">
        <f>IFERROR(MID(VLOOKUP($B189,Seqs!$A:$B,2,0),AI189,1),"")</f>
        <v>T</v>
      </c>
      <c r="AI189" s="9">
        <v>296</v>
      </c>
      <c r="AJ189" s="9" t="str">
        <f>IFERROR(MID(VLOOKUP($B189,Seqs!$A:$B,2,0),AK189,1),"")</f>
        <v>G</v>
      </c>
      <c r="AK189" s="9">
        <v>302</v>
      </c>
      <c r="AL189" s="9" t="str">
        <f>IFERROR(MID(VLOOKUP($B189,Seqs!$A:$B,2,0),AM189,1),"")</f>
        <v>R</v>
      </c>
      <c r="AM189" s="9">
        <v>334</v>
      </c>
      <c r="AN189" s="9" t="str">
        <f>IFERROR(MID(VLOOKUP($B189,Seqs!$A:$B,2,0),AO189,1),"")</f>
        <v>D</v>
      </c>
      <c r="AO189" s="9">
        <v>342</v>
      </c>
      <c r="AP189" s="9" t="str">
        <f>IFERROR(MID(VLOOKUP($B189,Seqs!$A:$B,2,0),AQ189,1),"")</f>
        <v>F</v>
      </c>
      <c r="AQ189" s="9">
        <v>367</v>
      </c>
      <c r="AR189" s="9" t="str">
        <f>IFERROR(MID(VLOOKUP($B189,Seqs!$A:$B,2,0),AS189,1),"")</f>
        <v>G</v>
      </c>
      <c r="AS189" s="9">
        <v>375</v>
      </c>
      <c r="AT189" s="9" t="str">
        <f>IFERROR(MID(VLOOKUP($B189,Seqs!$A:$B,2,0),AU189,1),"")</f>
        <v>L</v>
      </c>
      <c r="AU189" s="9">
        <v>403</v>
      </c>
      <c r="AV189" s="9" t="str">
        <f>IFERROR(MID(VLOOKUP($B189,Seqs!$A:$B,2,0),AW189,1),"")</f>
        <v>N</v>
      </c>
      <c r="AW189" s="9">
        <v>404</v>
      </c>
      <c r="AX189" s="9" t="str">
        <f>IFERROR(MID(VLOOKUP($B189,Seqs!$A:$B,2,0),AY189,1),"")</f>
        <v>W</v>
      </c>
      <c r="AY189" s="9">
        <v>415</v>
      </c>
      <c r="AZ189" s="113" t="str">
        <f>VLOOKUP(B189,Classification!A:D,2,0)</f>
        <v>B1</v>
      </c>
      <c r="BA189" s="101" t="str">
        <f>VLOOKUP(B189,Classification!A:D,4,0)</f>
        <v>Glucagonreceptorfamily</v>
      </c>
      <c r="BB189" s="37" t="b">
        <f t="shared" ref="BB189" si="865">AND(E189&lt;G189,OR(G189&lt;I189,I189="-"),OR(I189&lt;K189,I189="-"),OR(K189&lt;M189,K189="-"),M189&lt;O189,OR(O189&lt;Q189,Q189="-"),OR(Q189&lt;S189,Q189="-"),OR(S189&lt;U189,S189="-"),U189&lt;W189,OR(W189&lt;Y189,Y189="-"),OR(Y189&lt;AA189,Y189="-"),OR(AA189&lt;AC189,AA189="-"),AC189&lt;AE189,OR(AE189&lt;AG189,AG189="-"),OR(AG189&lt;AI189,AG189="-"),OR(AI189&lt;AK189,AI189="-"),AK189&lt;AM189,AM189&lt;AO189,AO189&lt;AQ189,AQ189&lt;AS189,AS189&lt;AU189,OR(AU189&lt;AW189,AW189="-"),OR(AW189&lt;AY189,AW189="-"))</f>
        <v>1</v>
      </c>
      <c r="BC189" s="112">
        <f t="shared" ref="BC189" si="866">_xlfn.AGGREGATE(9,6,CG189:CR189)-_xlfn.AGGREGATE(9,6,BU189:CF189)+12</f>
        <v>244</v>
      </c>
      <c r="BD189" s="11" t="s">
        <v>1383</v>
      </c>
      <c r="BE189" s="9" t="s">
        <v>1381</v>
      </c>
      <c r="BF189" s="52" t="s">
        <v>1287</v>
      </c>
      <c r="BG189" s="52" t="s">
        <v>1287</v>
      </c>
      <c r="BI189" s="114" t="s">
        <v>1293</v>
      </c>
      <c r="BJ189" s="115" t="s">
        <v>1293</v>
      </c>
      <c r="BK189" s="115" t="s">
        <v>1293</v>
      </c>
      <c r="BL189" s="115" t="s">
        <v>1293</v>
      </c>
      <c r="BM189" s="115" t="s">
        <v>1293</v>
      </c>
      <c r="BN189" s="115" t="s">
        <v>1293</v>
      </c>
      <c r="BO189" s="115" t="s">
        <v>1293</v>
      </c>
      <c r="BP189" s="115" t="s">
        <v>1293</v>
      </c>
      <c r="BQ189" s="115" t="s">
        <v>1293</v>
      </c>
      <c r="BR189" s="115" t="s">
        <v>1293</v>
      </c>
      <c r="BS189" s="115" t="s">
        <v>1293</v>
      </c>
      <c r="BT189" s="115" t="s">
        <v>1293</v>
      </c>
      <c r="BU189" s="114">
        <f t="shared" ref="BU189" si="867">E189</f>
        <v>131</v>
      </c>
      <c r="BV189" s="116">
        <f t="shared" ref="BV189" si="868">I189</f>
        <v>167</v>
      </c>
      <c r="BW189" s="117">
        <f t="shared" ref="BW189" si="869">M189</f>
        <v>171</v>
      </c>
      <c r="BX189" s="116" t="str">
        <f t="shared" ref="BX189" si="870">Q189</f>
        <v>-</v>
      </c>
      <c r="BY189" s="117">
        <f t="shared" ref="BY189" si="871">U189</f>
        <v>217</v>
      </c>
      <c r="BZ189" s="116" t="str">
        <f t="shared" ref="BZ189" si="872">Y189</f>
        <v>-</v>
      </c>
      <c r="CA189" s="117">
        <f t="shared" ref="CA189" si="873">AC189</f>
        <v>260</v>
      </c>
      <c r="CB189" s="116">
        <f t="shared" ref="CB189" si="874">AG189</f>
        <v>294</v>
      </c>
      <c r="CC189" s="117">
        <f t="shared" ref="CC189" si="875">AK189</f>
        <v>302</v>
      </c>
      <c r="CD189" s="116">
        <f t="shared" ref="CD189" si="876">AO189</f>
        <v>342</v>
      </c>
      <c r="CE189" s="117">
        <f t="shared" ref="CE189" si="877">AS189</f>
        <v>375</v>
      </c>
      <c r="CF189" s="116">
        <f t="shared" ref="CF189" si="878">AW189</f>
        <v>404</v>
      </c>
      <c r="CG189" s="114">
        <f t="shared" ref="CG189" si="879">G189</f>
        <v>164</v>
      </c>
      <c r="CH189" s="116">
        <f t="shared" ref="CH189" si="880">K189</f>
        <v>170</v>
      </c>
      <c r="CI189" s="117">
        <f t="shared" ref="CI189" si="881">O189</f>
        <v>201</v>
      </c>
      <c r="CJ189" s="117" t="str">
        <f t="shared" ref="CJ189" si="882">S189</f>
        <v>-</v>
      </c>
      <c r="CK189" s="117">
        <f t="shared" ref="CK189" si="883">W189</f>
        <v>255</v>
      </c>
      <c r="CL189" s="117" t="str">
        <f t="shared" ref="CL189" si="884">AA189</f>
        <v>-</v>
      </c>
      <c r="CM189" s="117">
        <f t="shared" ref="CM189" si="885">AE189</f>
        <v>290</v>
      </c>
      <c r="CN189" s="117">
        <f t="shared" ref="CN189" si="886">AI189</f>
        <v>296</v>
      </c>
      <c r="CO189" s="117">
        <f t="shared" ref="CO189" si="887">AM189</f>
        <v>334</v>
      </c>
      <c r="CP189" s="117">
        <f t="shared" ref="CP189" si="888">AQ189</f>
        <v>367</v>
      </c>
      <c r="CQ189" s="117">
        <f t="shared" ref="CQ189" si="889">AU189</f>
        <v>403</v>
      </c>
      <c r="CR189" s="117">
        <f t="shared" ref="CR189" si="890">AY189</f>
        <v>415</v>
      </c>
      <c r="CS189" s="112">
        <f t="shared" ref="CS189" si="891">M189-K189</f>
        <v>1</v>
      </c>
    </row>
    <row r="190" spans="1:1029" s="12" customFormat="1" x14ac:dyDescent="0.2">
      <c r="A190" s="9" t="str">
        <f t="shared" ref="A190" si="892">CONCATENATE(B190,"_",C190)</f>
        <v>glr_human_5XF1</v>
      </c>
      <c r="B190" s="9" t="s">
        <v>32</v>
      </c>
      <c r="C190" s="9" t="s">
        <v>1420</v>
      </c>
      <c r="D190" s="9" t="str">
        <f>IFERROR(MID(VLOOKUP($B190,Seqs!$A:$B,2,0),E190,1),"")</f>
        <v>Q</v>
      </c>
      <c r="E190" s="9">
        <v>131</v>
      </c>
      <c r="F190" s="9" t="str">
        <f>IFERROR(MID(VLOOKUP($B190,Seqs!$A:$B,2,0),G190,1),"")</f>
        <v>L</v>
      </c>
      <c r="G190" s="9">
        <v>166</v>
      </c>
      <c r="H190" s="9" t="str">
        <f>IFERROR(MID(VLOOKUP($B190,Seqs!$A:$B,2,0),I190,1),"")</f>
        <v>S</v>
      </c>
      <c r="I190" s="112">
        <v>167</v>
      </c>
      <c r="J190" s="9" t="str">
        <f>IFERROR(MID(VLOOKUP($B190,Seqs!$A:$B,2,0),K190,1),"")</f>
        <v>H</v>
      </c>
      <c r="K190" s="112">
        <v>170</v>
      </c>
      <c r="L190" s="9" t="str">
        <f>IFERROR(MID(VLOOKUP($B190,Seqs!$A:$B,2,0),M190,1),"")</f>
        <v>N</v>
      </c>
      <c r="M190" s="112">
        <v>174</v>
      </c>
      <c r="N190" s="9" t="str">
        <f>IFERROR(MID(VLOOKUP($B190,Seqs!$A:$B,2,0),O190,1),"")</f>
        <v>R</v>
      </c>
      <c r="O190" s="9">
        <v>201</v>
      </c>
      <c r="P190" s="9" t="str">
        <f>IFERROR(MID(VLOOKUP($B190,Seqs!$A:$B,2,0),Q190,1),"")</f>
        <v/>
      </c>
      <c r="Q190" s="9" t="s">
        <v>23</v>
      </c>
      <c r="R190" s="9" t="str">
        <f>IFERROR(MID(VLOOKUP($B190,Seqs!$A:$B,2,0),S190,1),"")</f>
        <v/>
      </c>
      <c r="S190" s="9" t="s">
        <v>23</v>
      </c>
      <c r="T190" s="9" t="str">
        <f>IFERROR(MID(VLOOKUP($B190,Seqs!$A:$B,2,0),U190,1),"")</f>
        <v>S</v>
      </c>
      <c r="U190" s="9">
        <v>217</v>
      </c>
      <c r="V190" s="9" t="str">
        <f>IFERROR(MID(VLOOKUP($B190,Seqs!$A:$B,2,0),W190,1),"")</f>
        <v>L</v>
      </c>
      <c r="W190" s="9">
        <v>255</v>
      </c>
      <c r="X190" s="9" t="str">
        <f>IFERROR(MID(VLOOKUP($B190,Seqs!$A:$B,2,0),Y190,1),"")</f>
        <v/>
      </c>
      <c r="Y190" s="9" t="s">
        <v>23</v>
      </c>
      <c r="Z190" s="9" t="str">
        <f>IFERROR(MID(VLOOKUP($B190,Seqs!$A:$B,2,0),AA190,1),"")</f>
        <v/>
      </c>
      <c r="AA190" s="9" t="s">
        <v>23</v>
      </c>
      <c r="AB190" s="9" t="str">
        <f>IFERROR(MID(VLOOKUP($B190,Seqs!$A:$B,2,0),AC190,1),"")</f>
        <v>R</v>
      </c>
      <c r="AC190" s="9">
        <v>261</v>
      </c>
      <c r="AD190" s="9" t="str">
        <f>IFERROR(MID(VLOOKUP($B190,Seqs!$A:$B,2,0),AE190,1),"")</f>
        <v>F</v>
      </c>
      <c r="AE190" s="9">
        <v>289</v>
      </c>
      <c r="AF190" s="9" t="str">
        <f>IFERROR(MID(VLOOKUP($B190,Seqs!$A:$B,2,0),AG190,1),"")</f>
        <v>C</v>
      </c>
      <c r="AG190" s="9">
        <v>294</v>
      </c>
      <c r="AH190" s="9" t="str">
        <f>IFERROR(MID(VLOOKUP($B190,Seqs!$A:$B,2,0),AI190,1),"")</f>
        <v>T</v>
      </c>
      <c r="AI190" s="9">
        <v>296</v>
      </c>
      <c r="AJ190" s="9" t="str">
        <f>IFERROR(MID(VLOOKUP($B190,Seqs!$A:$B,2,0),AK190,1),"")</f>
        <v>D</v>
      </c>
      <c r="AK190" s="9">
        <v>299</v>
      </c>
      <c r="AL190" s="9" t="str">
        <f>IFERROR(MID(VLOOKUP($B190,Seqs!$A:$B,2,0),AM190,1),"")</f>
        <v>L</v>
      </c>
      <c r="AM190" s="9">
        <v>333</v>
      </c>
      <c r="AN190" s="9" t="str">
        <f>IFERROR(MID(VLOOKUP($B190,Seqs!$A:$B,2,0),AO190,1),"")</f>
        <v>D</v>
      </c>
      <c r="AO190" s="9">
        <v>342</v>
      </c>
      <c r="AP190" s="9" t="str">
        <f>IFERROR(MID(VLOOKUP($B190,Seqs!$A:$B,2,0),AQ190,1),"")</f>
        <v>V</v>
      </c>
      <c r="AQ190" s="9">
        <v>368</v>
      </c>
      <c r="AR190" s="9" t="str">
        <f>IFERROR(MID(VLOOKUP($B190,Seqs!$A:$B,2,0),AS190,1),"")</f>
        <v>L</v>
      </c>
      <c r="AS190" s="9">
        <v>377</v>
      </c>
      <c r="AT190" s="9" t="str">
        <f>IFERROR(MID(VLOOKUP($B190,Seqs!$A:$B,2,0),AU190,1),"")</f>
        <v>L</v>
      </c>
      <c r="AU190" s="9">
        <v>403</v>
      </c>
      <c r="AV190" s="9" t="str">
        <f>IFERROR(MID(VLOOKUP($B190,Seqs!$A:$B,2,0),AW190,1),"")</f>
        <v>N</v>
      </c>
      <c r="AW190" s="9">
        <v>404</v>
      </c>
      <c r="AX190" s="9" t="str">
        <f>IFERROR(MID(VLOOKUP($B190,Seqs!$A:$B,2,0),AY190,1),"")</f>
        <v>W</v>
      </c>
      <c r="AY190" s="9">
        <v>415</v>
      </c>
      <c r="AZ190" s="113" t="str">
        <f>VLOOKUP(B190,Classification!A:D,2,0)</f>
        <v>B1</v>
      </c>
      <c r="BA190" s="101" t="str">
        <f>VLOOKUP(B190,Classification!A:D,4,0)</f>
        <v>Glucagonreceptorfamily</v>
      </c>
      <c r="BB190" s="37" t="b">
        <f t="shared" ref="BB190" si="893">AND(E190&lt;G190,OR(G190&lt;I190,I190="-"),OR(I190&lt;K190,I190="-"),OR(K190&lt;M190,K190="-"),M190&lt;O190,OR(O190&lt;Q190,Q190="-"),OR(Q190&lt;S190,Q190="-"),OR(S190&lt;U190,S190="-"),U190&lt;W190,OR(W190&lt;Y190,Y190="-"),OR(Y190&lt;AA190,Y190="-"),OR(AA190&lt;AC190,AA190="-"),AC190&lt;AE190,OR(AE190&lt;AG190,AG190="-"),OR(AG190&lt;AI190,AG190="-"),OR(AI190&lt;AK190,AI190="-"),AK190&lt;AM190,AM190&lt;AO190,AO190&lt;AQ190,AQ190&lt;AS190,AS190&lt;AU190,OR(AU190&lt;AW190,AW190="-"),OR(AW190&lt;AY190,AW190="-"))</f>
        <v>1</v>
      </c>
      <c r="BC190" s="112">
        <f t="shared" ref="BC190" si="894">_xlfn.AGGREGATE(9,6,CG190:CR190)-_xlfn.AGGREGATE(9,6,BU190:CF190)+12</f>
        <v>242</v>
      </c>
      <c r="BD190" s="11" t="s">
        <v>23</v>
      </c>
      <c r="BE190" s="9" t="s">
        <v>1381</v>
      </c>
      <c r="BF190" s="52" t="s">
        <v>1287</v>
      </c>
      <c r="BG190" s="52" t="s">
        <v>1287</v>
      </c>
      <c r="BI190" s="114" t="s">
        <v>1293</v>
      </c>
      <c r="BJ190" s="115" t="s">
        <v>1293</v>
      </c>
      <c r="BK190" s="115" t="s">
        <v>1293</v>
      </c>
      <c r="BL190" s="115" t="s">
        <v>1293</v>
      </c>
      <c r="BM190" s="115" t="s">
        <v>1293</v>
      </c>
      <c r="BN190" s="115" t="s">
        <v>1293</v>
      </c>
      <c r="BO190" s="115" t="s">
        <v>1293</v>
      </c>
      <c r="BP190" s="115" t="s">
        <v>1293</v>
      </c>
      <c r="BQ190" s="115" t="s">
        <v>1293</v>
      </c>
      <c r="BR190" s="115" t="s">
        <v>1293</v>
      </c>
      <c r="BS190" s="115" t="s">
        <v>1293</v>
      </c>
      <c r="BT190" s="115" t="s">
        <v>1293</v>
      </c>
      <c r="BU190" s="114">
        <f t="shared" ref="BU190" si="895">E190</f>
        <v>131</v>
      </c>
      <c r="BV190" s="116">
        <f t="shared" ref="BV190" si="896">I190</f>
        <v>167</v>
      </c>
      <c r="BW190" s="117">
        <f t="shared" ref="BW190" si="897">M190</f>
        <v>174</v>
      </c>
      <c r="BX190" s="116" t="str">
        <f t="shared" ref="BX190" si="898">Q190</f>
        <v>-</v>
      </c>
      <c r="BY190" s="117">
        <f t="shared" ref="BY190" si="899">U190</f>
        <v>217</v>
      </c>
      <c r="BZ190" s="116" t="str">
        <f t="shared" ref="BZ190" si="900">Y190</f>
        <v>-</v>
      </c>
      <c r="CA190" s="117">
        <f t="shared" ref="CA190" si="901">AC190</f>
        <v>261</v>
      </c>
      <c r="CB190" s="116">
        <f t="shared" ref="CB190" si="902">AG190</f>
        <v>294</v>
      </c>
      <c r="CC190" s="117">
        <f t="shared" ref="CC190" si="903">AK190</f>
        <v>299</v>
      </c>
      <c r="CD190" s="116">
        <f t="shared" ref="CD190" si="904">AO190</f>
        <v>342</v>
      </c>
      <c r="CE190" s="117">
        <f t="shared" ref="CE190" si="905">AS190</f>
        <v>377</v>
      </c>
      <c r="CF190" s="116">
        <f t="shared" ref="CF190" si="906">AW190</f>
        <v>404</v>
      </c>
      <c r="CG190" s="114">
        <f t="shared" ref="CG190" si="907">G190</f>
        <v>166</v>
      </c>
      <c r="CH190" s="116">
        <f t="shared" ref="CH190" si="908">K190</f>
        <v>170</v>
      </c>
      <c r="CI190" s="117">
        <f t="shared" ref="CI190" si="909">O190</f>
        <v>201</v>
      </c>
      <c r="CJ190" s="117" t="str">
        <f t="shared" ref="CJ190" si="910">S190</f>
        <v>-</v>
      </c>
      <c r="CK190" s="117">
        <f t="shared" ref="CK190" si="911">W190</f>
        <v>255</v>
      </c>
      <c r="CL190" s="117" t="str">
        <f t="shared" ref="CL190" si="912">AA190</f>
        <v>-</v>
      </c>
      <c r="CM190" s="117">
        <f t="shared" ref="CM190" si="913">AE190</f>
        <v>289</v>
      </c>
      <c r="CN190" s="117">
        <f t="shared" ref="CN190" si="914">AI190</f>
        <v>296</v>
      </c>
      <c r="CO190" s="117">
        <f t="shared" ref="CO190" si="915">AM190</f>
        <v>333</v>
      </c>
      <c r="CP190" s="117">
        <f t="shared" ref="CP190" si="916">AQ190</f>
        <v>368</v>
      </c>
      <c r="CQ190" s="117">
        <f t="shared" ref="CQ190" si="917">AU190</f>
        <v>403</v>
      </c>
      <c r="CR190" s="117">
        <f t="shared" ref="CR190" si="918">AY190</f>
        <v>415</v>
      </c>
      <c r="CS190" s="112">
        <f t="shared" ref="CS190" si="919">M190-K190</f>
        <v>4</v>
      </c>
    </row>
    <row r="191" spans="1:1029" s="12" customFormat="1" x14ac:dyDescent="0.2">
      <c r="A191" s="9" t="str">
        <f t="shared" ref="A191:A193" si="920">CONCATENATE(B191,"_",C191)</f>
        <v>glp1r_human__wt</v>
      </c>
      <c r="B191" s="9" t="s">
        <v>406</v>
      </c>
      <c r="C191" s="9" t="s">
        <v>100</v>
      </c>
      <c r="D191" s="9" t="str">
        <f>IFERROR(MID(VLOOKUP($B191,Seqs!$A:$B,2,0),E191,1),"")</f>
        <v>E</v>
      </c>
      <c r="E191" s="9">
        <v>138</v>
      </c>
      <c r="F191" s="9" t="str">
        <f>IFERROR(MID(VLOOKUP($B191,Seqs!$A:$B,2,0),G191,1),"")</f>
        <v>F</v>
      </c>
      <c r="G191" s="9">
        <v>169</v>
      </c>
      <c r="H191" s="9" t="str">
        <f>IFERROR(MID(VLOOKUP($B191,Seqs!$A:$B,2,0),I191,1),"")</f>
        <v>R</v>
      </c>
      <c r="I191" s="112">
        <v>170</v>
      </c>
      <c r="J191" s="9" t="str">
        <f>IFERROR(MID(VLOOKUP($B191,Seqs!$A:$B,2,0),K191,1),"")</f>
        <v>H</v>
      </c>
      <c r="K191" s="112">
        <v>173</v>
      </c>
      <c r="L191" s="9" t="str">
        <f>IFERROR(MID(VLOOKUP($B191,Seqs!$A:$B,2,0),M191,1),"")</f>
        <v>C</v>
      </c>
      <c r="M191" s="112">
        <v>174</v>
      </c>
      <c r="N191" s="9" t="str">
        <f>IFERROR(MID(VLOOKUP($B191,Seqs!$A:$B,2,0),O191,1),"")</f>
        <v>S</v>
      </c>
      <c r="O191" s="9">
        <v>206</v>
      </c>
      <c r="P191" s="9" t="str">
        <f>IFERROR(MID(VLOOKUP($B191,Seqs!$A:$B,2,0),Q191,1),"")</f>
        <v/>
      </c>
      <c r="Q191" s="9" t="s">
        <v>23</v>
      </c>
      <c r="R191" s="9" t="str">
        <f>IFERROR(MID(VLOOKUP($B191,Seqs!$A:$B,2,0),S191,1),"")</f>
        <v/>
      </c>
      <c r="S191" s="9" t="s">
        <v>23</v>
      </c>
      <c r="T191" s="9" t="str">
        <f>IFERROR(MID(VLOOKUP($B191,Seqs!$A:$B,2,0),U191,1),"")</f>
        <v>L</v>
      </c>
      <c r="U191" s="9">
        <v>224</v>
      </c>
      <c r="V191" s="9" t="str">
        <f>IFERROR(MID(VLOOKUP($B191,Seqs!$A:$B,2,0),W191,1),"")</f>
        <v>F</v>
      </c>
      <c r="W191" s="9">
        <v>257</v>
      </c>
      <c r="X191" s="9" t="str">
        <f>IFERROR(MID(VLOOKUP($B191,Seqs!$A:$B,2,0),Y191,1),"")</f>
        <v/>
      </c>
      <c r="Y191" s="9" t="s">
        <v>23</v>
      </c>
      <c r="Z191" s="9" t="str">
        <f>IFERROR(MID(VLOOKUP($B191,Seqs!$A:$B,2,0),AA191,1),"")</f>
        <v/>
      </c>
      <c r="AA191" s="9" t="s">
        <v>23</v>
      </c>
      <c r="AB191" s="9" t="str">
        <f>IFERROR(MID(VLOOKUP($B191,Seqs!$A:$B,2,0),AC191,1),"")</f>
        <v>E</v>
      </c>
      <c r="AC191" s="9">
        <v>262</v>
      </c>
      <c r="AD191" s="9" t="str">
        <f>IFERROR(MID(VLOOKUP($B191,Seqs!$A:$B,2,0),AE191,1),"")</f>
        <v>E</v>
      </c>
      <c r="AE191" s="9">
        <v>292</v>
      </c>
      <c r="AF191" s="9" t="str">
        <f>IFERROR(MID(VLOOKUP($B191,Seqs!$A:$B,2,0),AG191,1),"")</f>
        <v>C</v>
      </c>
      <c r="AG191" s="9">
        <v>296</v>
      </c>
      <c r="AH191" s="9" t="str">
        <f>IFERROR(MID(VLOOKUP($B191,Seqs!$A:$B,2,0),AI191,1),"")</f>
        <v>T</v>
      </c>
      <c r="AI191" s="9">
        <v>298</v>
      </c>
      <c r="AJ191" s="9" t="str">
        <f>IFERROR(MID(VLOOKUP($B191,Seqs!$A:$B,2,0),AK191,1),"")</f>
        <v>N</v>
      </c>
      <c r="AK191" s="9">
        <v>302</v>
      </c>
      <c r="AL191" s="9" t="str">
        <f>IFERROR(MID(VLOOKUP($B191,Seqs!$A:$B,2,0),AM191,1),"")</f>
        <v>A</v>
      </c>
      <c r="AM191" s="9">
        <v>337</v>
      </c>
      <c r="AN191" s="9" t="str">
        <f>IFERROR(MID(VLOOKUP($B191,Seqs!$A:$B,2,0),AO191,1),"")</f>
        <v>D</v>
      </c>
      <c r="AO191" s="9">
        <v>344</v>
      </c>
      <c r="AP191" s="9" t="str">
        <f>IFERROR(MID(VLOOKUP($B191,Seqs!$A:$B,2,0),AQ191,1),"")</f>
        <v>H</v>
      </c>
      <c r="AQ191" s="9">
        <v>374</v>
      </c>
      <c r="AR191" s="9" t="str">
        <f>IFERROR(MID(VLOOKUP($B191,Seqs!$A:$B,2,0),AS191,1),"")</f>
        <v>G</v>
      </c>
      <c r="AS191" s="9">
        <v>377</v>
      </c>
      <c r="AT191" s="9" t="str">
        <f>IFERROR(MID(VLOOKUP($B191,Seqs!$A:$B,2,0),AU191,1),"")</f>
        <v>V</v>
      </c>
      <c r="AU191" s="9">
        <v>405</v>
      </c>
      <c r="AV191" s="9" t="str">
        <f>IFERROR(MID(VLOOKUP($B191,Seqs!$A:$B,2,0),AW191,1),"")</f>
        <v>N</v>
      </c>
      <c r="AW191" s="9">
        <v>406</v>
      </c>
      <c r="AX191" s="9" t="str">
        <f>IFERROR(MID(VLOOKUP($B191,Seqs!$A:$B,2,0),AY191,1),"")</f>
        <v>S</v>
      </c>
      <c r="AY191" s="9">
        <v>431</v>
      </c>
      <c r="AZ191" s="113" t="str">
        <f>VLOOKUP(B191,Classification!A:D,2,0)</f>
        <v>B1</v>
      </c>
      <c r="BA191" s="101" t="str">
        <f>VLOOKUP(B191,Classification!A:D,4,0)</f>
        <v>Glucagonreceptorfamily</v>
      </c>
      <c r="BB191" s="37" t="b">
        <f t="shared" ref="BB191:BB193" si="921">AND(E191&lt;G191,OR(G191&lt;I191,I191="-"),OR(I191&lt;K191,I191="-"),OR(K191&lt;M191,K191="-"),M191&lt;O191,OR(O191&lt;Q191,Q191="-"),OR(Q191&lt;S191,Q191="-"),OR(S191&lt;U191,S191="-"),U191&lt;W191,OR(W191&lt;Y191,Y191="-"),OR(Y191&lt;AA191,Y191="-"),OR(AA191&lt;AC191,AA191="-"),AC191&lt;AE191,OR(AE191&lt;AG191,AG191="-"),OR(AG191&lt;AI191,AG191="-"),OR(AI191&lt;AK191,AI191="-"),AK191&lt;AM191,AM191&lt;AO191,AO191&lt;AQ191,AQ191&lt;AS191,AS191&lt;AU191,OR(AU191&lt;AW191,AW191="-"),OR(AW191&lt;AY191,AW191="-"))</f>
        <v>1</v>
      </c>
      <c r="BC191" s="112">
        <f t="shared" ref="BC191:BC193" si="922">_xlfn.AGGREGATE(9,6,CG191:CR191)-_xlfn.AGGREGATE(9,6,BU191:CF191)+12</f>
        <v>261</v>
      </c>
      <c r="BD191" s="11" t="s">
        <v>23</v>
      </c>
      <c r="BE191" s="9" t="s">
        <v>1381</v>
      </c>
      <c r="BF191" s="52" t="s">
        <v>1384</v>
      </c>
      <c r="BG191" s="52" t="s">
        <v>1384</v>
      </c>
      <c r="BI191" s="114" t="s">
        <v>1293</v>
      </c>
      <c r="BJ191" s="115" t="s">
        <v>1293</v>
      </c>
      <c r="BK191" s="115" t="s">
        <v>1293</v>
      </c>
      <c r="BL191" s="115" t="s">
        <v>1293</v>
      </c>
      <c r="BM191" s="115" t="s">
        <v>1293</v>
      </c>
      <c r="BN191" s="115" t="s">
        <v>1293</v>
      </c>
      <c r="BO191" s="115" t="s">
        <v>1293</v>
      </c>
      <c r="BP191" s="115" t="s">
        <v>1293</v>
      </c>
      <c r="BQ191" s="115" t="s">
        <v>1293</v>
      </c>
      <c r="BR191" s="115" t="s">
        <v>1293</v>
      </c>
      <c r="BS191" s="115" t="s">
        <v>1293</v>
      </c>
      <c r="BT191" s="115" t="s">
        <v>1293</v>
      </c>
      <c r="BU191" s="114">
        <f t="shared" ref="BU191:BU193" si="923">E191</f>
        <v>138</v>
      </c>
      <c r="BV191" s="116">
        <f t="shared" ref="BV191:BV193" si="924">I191</f>
        <v>170</v>
      </c>
      <c r="BW191" s="117">
        <f t="shared" ref="BW191:BW193" si="925">M191</f>
        <v>174</v>
      </c>
      <c r="BX191" s="116" t="str">
        <f t="shared" ref="BX191:BX193" si="926">Q191</f>
        <v>-</v>
      </c>
      <c r="BY191" s="117">
        <f t="shared" ref="BY191:BY193" si="927">U191</f>
        <v>224</v>
      </c>
      <c r="BZ191" s="116" t="str">
        <f t="shared" ref="BZ191:BZ193" si="928">Y191</f>
        <v>-</v>
      </c>
      <c r="CA191" s="117">
        <f t="shared" ref="CA191:CA193" si="929">AC191</f>
        <v>262</v>
      </c>
      <c r="CB191" s="116">
        <f t="shared" ref="CB191:CB193" si="930">AG191</f>
        <v>296</v>
      </c>
      <c r="CC191" s="117">
        <f t="shared" ref="CC191:CC193" si="931">AK191</f>
        <v>302</v>
      </c>
      <c r="CD191" s="116">
        <f t="shared" ref="CD191:CD193" si="932">AO191</f>
        <v>344</v>
      </c>
      <c r="CE191" s="117">
        <f t="shared" ref="CE191:CE193" si="933">AS191</f>
        <v>377</v>
      </c>
      <c r="CF191" s="116">
        <f t="shared" ref="CF191:CF193" si="934">AW191</f>
        <v>406</v>
      </c>
      <c r="CG191" s="114">
        <f t="shared" ref="CG191:CG193" si="935">G191</f>
        <v>169</v>
      </c>
      <c r="CH191" s="116">
        <f t="shared" ref="CH191:CH193" si="936">K191</f>
        <v>173</v>
      </c>
      <c r="CI191" s="117">
        <f t="shared" ref="CI191:CI193" si="937">O191</f>
        <v>206</v>
      </c>
      <c r="CJ191" s="117" t="str">
        <f t="shared" ref="CJ191:CJ193" si="938">S191</f>
        <v>-</v>
      </c>
      <c r="CK191" s="117">
        <f t="shared" ref="CK191:CK193" si="939">W191</f>
        <v>257</v>
      </c>
      <c r="CL191" s="117" t="str">
        <f t="shared" ref="CL191:CL193" si="940">AA191</f>
        <v>-</v>
      </c>
      <c r="CM191" s="117">
        <f t="shared" ref="CM191:CM193" si="941">AE191</f>
        <v>292</v>
      </c>
      <c r="CN191" s="117">
        <f t="shared" ref="CN191:CN193" si="942">AI191</f>
        <v>298</v>
      </c>
      <c r="CO191" s="117">
        <f t="shared" ref="CO191:CO193" si="943">AM191</f>
        <v>337</v>
      </c>
      <c r="CP191" s="117">
        <f t="shared" ref="CP191:CP193" si="944">AQ191</f>
        <v>374</v>
      </c>
      <c r="CQ191" s="117">
        <f t="shared" ref="CQ191:CQ193" si="945">AU191</f>
        <v>405</v>
      </c>
      <c r="CR191" s="117">
        <f t="shared" ref="CR191:CR193" si="946">AY191</f>
        <v>431</v>
      </c>
      <c r="CS191" s="112">
        <f t="shared" ref="CS191:CS193" si="947">M191-K191</f>
        <v>1</v>
      </c>
    </row>
    <row r="192" spans="1:1029" s="12" customFormat="1" x14ac:dyDescent="0.2">
      <c r="A192" s="9" t="str">
        <f t="shared" ref="A192" si="948">CONCATENATE(B192,"_",C192)</f>
        <v>glp1r_human_5VEW</v>
      </c>
      <c r="B192" s="9" t="s">
        <v>406</v>
      </c>
      <c r="C192" s="9" t="s">
        <v>1416</v>
      </c>
      <c r="D192" s="9" t="str">
        <f>IFERROR(MID(VLOOKUP($B192,Seqs!$A:$B,2,0),E192,1),"")</f>
        <v>S</v>
      </c>
      <c r="E192" s="9">
        <v>136</v>
      </c>
      <c r="F192" s="9" t="str">
        <f>IFERROR(MID(VLOOKUP($B192,Seqs!$A:$B,2,0),G192,1),"")</f>
        <v>F</v>
      </c>
      <c r="G192" s="9">
        <v>169</v>
      </c>
      <c r="H192" s="9" t="str">
        <f>IFERROR(MID(VLOOKUP($B192,Seqs!$A:$B,2,0),I192,1),"")</f>
        <v>R</v>
      </c>
      <c r="I192" s="112">
        <v>170</v>
      </c>
      <c r="J192" s="9" t="str">
        <f>IFERROR(MID(VLOOKUP($B192,Seqs!$A:$B,2,0),K192,1),"")</f>
        <v>H</v>
      </c>
      <c r="K192" s="112">
        <v>173</v>
      </c>
      <c r="L192" s="9" t="str">
        <f>IFERROR(MID(VLOOKUP($B192,Seqs!$A:$B,2,0),M192,1),"")</f>
        <v>C</v>
      </c>
      <c r="M192" s="112">
        <v>174</v>
      </c>
      <c r="N192" s="9" t="str">
        <f>IFERROR(MID(VLOOKUP($B192,Seqs!$A:$B,2,0),O192,1),"")</f>
        <v>L</v>
      </c>
      <c r="O192" s="9">
        <v>201</v>
      </c>
      <c r="P192" s="9" t="str">
        <f>IFERROR(MID(VLOOKUP($B192,Seqs!$A:$B,2,0),Q192,1),"")</f>
        <v/>
      </c>
      <c r="Q192" s="9" t="s">
        <v>23</v>
      </c>
      <c r="R192" s="9" t="str">
        <f>IFERROR(MID(VLOOKUP($B192,Seqs!$A:$B,2,0),S192,1),"")</f>
        <v/>
      </c>
      <c r="S192" s="9" t="s">
        <v>23</v>
      </c>
      <c r="T192" s="9" t="str">
        <f>IFERROR(MID(VLOOKUP($B192,Seqs!$A:$B,2,0),U192,1),"")</f>
        <v>L</v>
      </c>
      <c r="U192" s="9">
        <v>224</v>
      </c>
      <c r="V192" s="9" t="str">
        <f>IFERROR(MID(VLOOKUP($B192,Seqs!$A:$B,2,0),W192,1),"")</f>
        <v>F</v>
      </c>
      <c r="W192" s="9">
        <v>257</v>
      </c>
      <c r="X192" s="9" t="str">
        <f>IFERROR(MID(VLOOKUP($B192,Seqs!$A:$B,2,0),Y192,1),"")</f>
        <v/>
      </c>
      <c r="Y192" s="9" t="s">
        <v>23</v>
      </c>
      <c r="Z192" s="9" t="str">
        <f>IFERROR(MID(VLOOKUP($B192,Seqs!$A:$B,2,0),AA192,1),"")</f>
        <v/>
      </c>
      <c r="AA192" s="9" t="s">
        <v>23</v>
      </c>
      <c r="AB192" s="9" t="str">
        <f>IFERROR(MID(VLOOKUP($B192,Seqs!$A:$B,2,0),AC192,1),"")</f>
        <v>E</v>
      </c>
      <c r="AC192" s="9">
        <v>262</v>
      </c>
      <c r="AD192" s="9" t="str">
        <f>IFERROR(MID(VLOOKUP($B192,Seqs!$A:$B,2,0),AE192,1),"")</f>
        <v>E</v>
      </c>
      <c r="AE192" s="9">
        <v>292</v>
      </c>
      <c r="AF192" s="9" t="str">
        <f>IFERROR(MID(VLOOKUP($B192,Seqs!$A:$B,2,0),AG192,1),"")</f>
        <v>C</v>
      </c>
      <c r="AG192" s="9">
        <v>296</v>
      </c>
      <c r="AH192" s="9" t="str">
        <f>IFERROR(MID(VLOOKUP($B192,Seqs!$A:$B,2,0),AI192,1),"")</f>
        <v>T</v>
      </c>
      <c r="AI192" s="9">
        <v>298</v>
      </c>
      <c r="AJ192" s="9" t="str">
        <f>IFERROR(MID(VLOOKUP($B192,Seqs!$A:$B,2,0),AK192,1),"")</f>
        <v>Y</v>
      </c>
      <c r="AK192" s="9">
        <v>305</v>
      </c>
      <c r="AL192" s="9" t="str">
        <f>IFERROR(MID(VLOOKUP($B192,Seqs!$A:$B,2,0),AM192,1),"")</f>
        <v>A</v>
      </c>
      <c r="AM192" s="9">
        <v>337</v>
      </c>
      <c r="AN192" s="9" t="str">
        <f>IFERROR(MID(VLOOKUP($B192,Seqs!$A:$B,2,0),AO192,1),"")</f>
        <v>D</v>
      </c>
      <c r="AO192" s="9">
        <v>344</v>
      </c>
      <c r="AP192" s="9" t="str">
        <f>IFERROR(MID(VLOOKUP($B192,Seqs!$A:$B,2,0),AQ192,1),"")</f>
        <v>F</v>
      </c>
      <c r="AQ192" s="9">
        <v>367</v>
      </c>
      <c r="AR192" s="9" t="str">
        <f>IFERROR(MID(VLOOKUP($B192,Seqs!$A:$B,2,0),AS192,1),"")</f>
        <v>R</v>
      </c>
      <c r="AS192" s="9">
        <v>380</v>
      </c>
      <c r="AT192" s="9" t="str">
        <f>IFERROR(MID(VLOOKUP($B192,Seqs!$A:$B,2,0),AU192,1),"")</f>
        <v>V</v>
      </c>
      <c r="AU192" s="9">
        <v>405</v>
      </c>
      <c r="AV192" s="9" t="str">
        <f>IFERROR(MID(VLOOKUP($B192,Seqs!$A:$B,2,0),AW192,1),"")</f>
        <v>N</v>
      </c>
      <c r="AW192" s="9">
        <v>406</v>
      </c>
      <c r="AX192" s="9" t="str">
        <f>IFERROR(MID(VLOOKUP($B192,Seqs!$A:$B,2,0),AY192,1),"")</f>
        <v>L</v>
      </c>
      <c r="AY192" s="9">
        <v>422</v>
      </c>
      <c r="AZ192" s="113" t="str">
        <f>VLOOKUP(B192,Classification!A:D,2,0)</f>
        <v>B1</v>
      </c>
      <c r="BA192" s="101" t="str">
        <f>VLOOKUP(B192,Classification!A:D,4,0)</f>
        <v>Glucagonreceptorfamily</v>
      </c>
      <c r="BB192" s="37" t="b">
        <f t="shared" ref="BB192" si="949">AND(E192&lt;G192,OR(G192&lt;I192,I192="-"),OR(I192&lt;K192,I192="-"),OR(K192&lt;M192,K192="-"),M192&lt;O192,OR(O192&lt;Q192,Q192="-"),OR(Q192&lt;S192,Q192="-"),OR(S192&lt;U192,S192="-"),U192&lt;W192,OR(W192&lt;Y192,Y192="-"),OR(Y192&lt;AA192,Y192="-"),OR(AA192&lt;AC192,AA192="-"),AC192&lt;AE192,OR(AE192&lt;AG192,AG192="-"),OR(AG192&lt;AI192,AG192="-"),OR(AI192&lt;AK192,AI192="-"),AK192&lt;AM192,AM192&lt;AO192,AO192&lt;AQ192,AQ192&lt;AS192,AS192&lt;AU192,OR(AU192&lt;AW192,AW192="-"),OR(AW192&lt;AY192,AW192="-"))</f>
        <v>1</v>
      </c>
      <c r="BC192" s="112">
        <f t="shared" ref="BC192" si="950">_xlfn.AGGREGATE(9,6,CG192:CR192)-_xlfn.AGGREGATE(9,6,BU192:CF192)+12</f>
        <v>236</v>
      </c>
      <c r="BD192" s="11" t="s">
        <v>1383</v>
      </c>
      <c r="BE192" s="9" t="s">
        <v>1381</v>
      </c>
      <c r="BF192" s="52" t="s">
        <v>1287</v>
      </c>
      <c r="BG192" s="52" t="s">
        <v>1287</v>
      </c>
      <c r="BI192" s="114" t="s">
        <v>1293</v>
      </c>
      <c r="BJ192" s="115" t="s">
        <v>1293</v>
      </c>
      <c r="BK192" s="115" t="s">
        <v>1293</v>
      </c>
      <c r="BL192" s="115" t="s">
        <v>1293</v>
      </c>
      <c r="BM192" s="115" t="s">
        <v>1293</v>
      </c>
      <c r="BN192" s="115" t="s">
        <v>1293</v>
      </c>
      <c r="BO192" s="115" t="s">
        <v>1293</v>
      </c>
      <c r="BP192" s="115" t="s">
        <v>1293</v>
      </c>
      <c r="BQ192" s="115" t="s">
        <v>1293</v>
      </c>
      <c r="BR192" s="115" t="s">
        <v>1293</v>
      </c>
      <c r="BS192" s="115" t="s">
        <v>1293</v>
      </c>
      <c r="BT192" s="115" t="s">
        <v>1293</v>
      </c>
      <c r="BU192" s="114">
        <f t="shared" ref="BU192" si="951">E192</f>
        <v>136</v>
      </c>
      <c r="BV192" s="116">
        <f t="shared" ref="BV192" si="952">I192</f>
        <v>170</v>
      </c>
      <c r="BW192" s="117">
        <f t="shared" ref="BW192" si="953">M192</f>
        <v>174</v>
      </c>
      <c r="BX192" s="116" t="str">
        <f t="shared" ref="BX192" si="954">Q192</f>
        <v>-</v>
      </c>
      <c r="BY192" s="117">
        <f t="shared" ref="BY192" si="955">U192</f>
        <v>224</v>
      </c>
      <c r="BZ192" s="116" t="str">
        <f t="shared" ref="BZ192" si="956">Y192</f>
        <v>-</v>
      </c>
      <c r="CA192" s="117">
        <f t="shared" ref="CA192" si="957">AC192</f>
        <v>262</v>
      </c>
      <c r="CB192" s="116">
        <f t="shared" ref="CB192" si="958">AG192</f>
        <v>296</v>
      </c>
      <c r="CC192" s="117">
        <f t="shared" ref="CC192" si="959">AK192</f>
        <v>305</v>
      </c>
      <c r="CD192" s="116">
        <f t="shared" ref="CD192" si="960">AO192</f>
        <v>344</v>
      </c>
      <c r="CE192" s="117">
        <f t="shared" ref="CE192" si="961">AS192</f>
        <v>380</v>
      </c>
      <c r="CF192" s="116">
        <f t="shared" ref="CF192" si="962">AW192</f>
        <v>406</v>
      </c>
      <c r="CG192" s="114">
        <f t="shared" ref="CG192" si="963">G192</f>
        <v>169</v>
      </c>
      <c r="CH192" s="116">
        <f t="shared" ref="CH192" si="964">K192</f>
        <v>173</v>
      </c>
      <c r="CI192" s="117">
        <f t="shared" ref="CI192" si="965">O192</f>
        <v>201</v>
      </c>
      <c r="CJ192" s="117" t="str">
        <f t="shared" ref="CJ192" si="966">S192</f>
        <v>-</v>
      </c>
      <c r="CK192" s="117">
        <f t="shared" ref="CK192" si="967">W192</f>
        <v>257</v>
      </c>
      <c r="CL192" s="117" t="str">
        <f t="shared" ref="CL192" si="968">AA192</f>
        <v>-</v>
      </c>
      <c r="CM192" s="117">
        <f t="shared" ref="CM192" si="969">AE192</f>
        <v>292</v>
      </c>
      <c r="CN192" s="117">
        <f t="shared" ref="CN192" si="970">AI192</f>
        <v>298</v>
      </c>
      <c r="CO192" s="117">
        <f t="shared" ref="CO192" si="971">AM192</f>
        <v>337</v>
      </c>
      <c r="CP192" s="117">
        <f t="shared" ref="CP192" si="972">AQ192</f>
        <v>367</v>
      </c>
      <c r="CQ192" s="117">
        <f t="shared" ref="CQ192" si="973">AU192</f>
        <v>405</v>
      </c>
      <c r="CR192" s="117">
        <f t="shared" ref="CR192" si="974">AY192</f>
        <v>422</v>
      </c>
      <c r="CS192" s="112">
        <f t="shared" ref="CS192" si="975">M192-K192</f>
        <v>1</v>
      </c>
    </row>
    <row r="193" spans="1:1029" s="12" customFormat="1" x14ac:dyDescent="0.2">
      <c r="A193" s="9" t="str">
        <f t="shared" si="920"/>
        <v>glp1r_human_5VEX</v>
      </c>
      <c r="B193" s="9" t="s">
        <v>406</v>
      </c>
      <c r="C193" s="9" t="s">
        <v>1415</v>
      </c>
      <c r="D193" s="9" t="str">
        <f>IFERROR(MID(VLOOKUP($B193,Seqs!$A:$B,2,0),E193,1),"")</f>
        <v>S</v>
      </c>
      <c r="E193" s="9">
        <v>136</v>
      </c>
      <c r="F193" s="9" t="str">
        <f>IFERROR(MID(VLOOKUP($B193,Seqs!$A:$B,2,0),G193,1),"")</f>
        <v>F</v>
      </c>
      <c r="G193" s="9">
        <v>169</v>
      </c>
      <c r="H193" s="9" t="str">
        <f>IFERROR(MID(VLOOKUP($B193,Seqs!$A:$B,2,0),I193,1),"")</f>
        <v>R</v>
      </c>
      <c r="I193" s="112">
        <v>170</v>
      </c>
      <c r="J193" s="9" t="str">
        <f>IFERROR(MID(VLOOKUP($B193,Seqs!$A:$B,2,0),K193,1),"")</f>
        <v>H</v>
      </c>
      <c r="K193" s="112">
        <v>173</v>
      </c>
      <c r="L193" s="9" t="str">
        <f>IFERROR(MID(VLOOKUP($B193,Seqs!$A:$B,2,0),M193,1),"")</f>
        <v>C</v>
      </c>
      <c r="M193" s="112">
        <v>174</v>
      </c>
      <c r="N193" s="9" t="str">
        <f>IFERROR(MID(VLOOKUP($B193,Seqs!$A:$B,2,0),O193,1),"")</f>
        <v>L</v>
      </c>
      <c r="O193" s="9">
        <v>201</v>
      </c>
      <c r="P193" s="9" t="str">
        <f>IFERROR(MID(VLOOKUP($B193,Seqs!$A:$B,2,0),Q193,1),"")</f>
        <v/>
      </c>
      <c r="Q193" s="9" t="s">
        <v>23</v>
      </c>
      <c r="R193" s="9" t="str">
        <f>IFERROR(MID(VLOOKUP($B193,Seqs!$A:$B,2,0),S193,1),"")</f>
        <v/>
      </c>
      <c r="S193" s="9" t="s">
        <v>23</v>
      </c>
      <c r="T193" s="9" t="str">
        <f>IFERROR(MID(VLOOKUP($B193,Seqs!$A:$B,2,0),U193,1),"")</f>
        <v>L</v>
      </c>
      <c r="U193" s="9">
        <v>224</v>
      </c>
      <c r="V193" s="9" t="str">
        <f>IFERROR(MID(VLOOKUP($B193,Seqs!$A:$B,2,0),W193,1),"")</f>
        <v>F</v>
      </c>
      <c r="W193" s="9">
        <v>257</v>
      </c>
      <c r="X193" s="9" t="str">
        <f>IFERROR(MID(VLOOKUP($B193,Seqs!$A:$B,2,0),Y193,1),"")</f>
        <v/>
      </c>
      <c r="Y193" s="9" t="s">
        <v>23</v>
      </c>
      <c r="Z193" s="9" t="str">
        <f>IFERROR(MID(VLOOKUP($B193,Seqs!$A:$B,2,0),AA193,1),"")</f>
        <v/>
      </c>
      <c r="AA193" s="9" t="s">
        <v>23</v>
      </c>
      <c r="AB193" s="9" t="str">
        <f>IFERROR(MID(VLOOKUP($B193,Seqs!$A:$B,2,0),AC193,1),"")</f>
        <v>E</v>
      </c>
      <c r="AC193" s="9">
        <v>262</v>
      </c>
      <c r="AD193" s="9" t="str">
        <f>IFERROR(MID(VLOOKUP($B193,Seqs!$A:$B,2,0),AE193,1),"")</f>
        <v>E</v>
      </c>
      <c r="AE193" s="9">
        <v>292</v>
      </c>
      <c r="AF193" s="9" t="str">
        <f>IFERROR(MID(VLOOKUP($B193,Seqs!$A:$B,2,0),AG193,1),"")</f>
        <v>C</v>
      </c>
      <c r="AG193" s="9">
        <v>296</v>
      </c>
      <c r="AH193" s="9" t="str">
        <f>IFERROR(MID(VLOOKUP($B193,Seqs!$A:$B,2,0),AI193,1),"")</f>
        <v>T</v>
      </c>
      <c r="AI193" s="9">
        <v>298</v>
      </c>
      <c r="AJ193" s="9" t="str">
        <f>IFERROR(MID(VLOOKUP($B193,Seqs!$A:$B,2,0),AK193,1),"")</f>
        <v>Y</v>
      </c>
      <c r="AK193" s="9">
        <v>305</v>
      </c>
      <c r="AL193" s="9" t="str">
        <f>IFERROR(MID(VLOOKUP($B193,Seqs!$A:$B,2,0),AM193,1),"")</f>
        <v>A</v>
      </c>
      <c r="AM193" s="9">
        <v>337</v>
      </c>
      <c r="AN193" s="9" t="str">
        <f>IFERROR(MID(VLOOKUP($B193,Seqs!$A:$B,2,0),AO193,1),"")</f>
        <v>D</v>
      </c>
      <c r="AO193" s="9">
        <v>344</v>
      </c>
      <c r="AP193" s="9" t="str">
        <f>IFERROR(MID(VLOOKUP($B193,Seqs!$A:$B,2,0),AQ193,1),"")</f>
        <v>F</v>
      </c>
      <c r="AQ193" s="9">
        <v>367</v>
      </c>
      <c r="AR193" s="9" t="str">
        <f>IFERROR(MID(VLOOKUP($B193,Seqs!$A:$B,2,0),AS193,1),"")</f>
        <v>R</v>
      </c>
      <c r="AS193" s="9">
        <v>380</v>
      </c>
      <c r="AT193" s="9" t="str">
        <f>IFERROR(MID(VLOOKUP($B193,Seqs!$A:$B,2,0),AU193,1),"")</f>
        <v>V</v>
      </c>
      <c r="AU193" s="9">
        <v>405</v>
      </c>
      <c r="AV193" s="9" t="str">
        <f>IFERROR(MID(VLOOKUP($B193,Seqs!$A:$B,2,0),AW193,1),"")</f>
        <v>N</v>
      </c>
      <c r="AW193" s="9">
        <v>406</v>
      </c>
      <c r="AX193" s="9" t="str">
        <f>IFERROR(MID(VLOOKUP($B193,Seqs!$A:$B,2,0),AY193,1),"")</f>
        <v>L</v>
      </c>
      <c r="AY193" s="9">
        <v>422</v>
      </c>
      <c r="AZ193" s="113" t="str">
        <f>VLOOKUP(B193,Classification!A:D,2,0)</f>
        <v>B1</v>
      </c>
      <c r="BA193" s="101" t="str">
        <f>VLOOKUP(B193,Classification!A:D,4,0)</f>
        <v>Glucagonreceptorfamily</v>
      </c>
      <c r="BB193" s="37" t="b">
        <f t="shared" si="921"/>
        <v>1</v>
      </c>
      <c r="BC193" s="112">
        <f t="shared" si="922"/>
        <v>236</v>
      </c>
      <c r="BD193" s="11" t="s">
        <v>23</v>
      </c>
      <c r="BE193" s="9" t="s">
        <v>1381</v>
      </c>
      <c r="BF193" s="52" t="s">
        <v>1</v>
      </c>
      <c r="BG193" s="52" t="s">
        <v>1</v>
      </c>
      <c r="BI193" s="114" t="s">
        <v>1293</v>
      </c>
      <c r="BJ193" s="115" t="s">
        <v>1293</v>
      </c>
      <c r="BK193" s="115" t="s">
        <v>1293</v>
      </c>
      <c r="BL193" s="115" t="s">
        <v>1293</v>
      </c>
      <c r="BM193" s="115" t="s">
        <v>1293</v>
      </c>
      <c r="BN193" s="115" t="s">
        <v>1293</v>
      </c>
      <c r="BO193" s="115" t="s">
        <v>1293</v>
      </c>
      <c r="BP193" s="115" t="s">
        <v>1293</v>
      </c>
      <c r="BQ193" s="115" t="s">
        <v>1293</v>
      </c>
      <c r="BR193" s="115" t="s">
        <v>1293</v>
      </c>
      <c r="BS193" s="115" t="s">
        <v>1293</v>
      </c>
      <c r="BT193" s="115" t="s">
        <v>1293</v>
      </c>
      <c r="BU193" s="114">
        <f t="shared" si="923"/>
        <v>136</v>
      </c>
      <c r="BV193" s="116">
        <f t="shared" si="924"/>
        <v>170</v>
      </c>
      <c r="BW193" s="117">
        <f t="shared" si="925"/>
        <v>174</v>
      </c>
      <c r="BX193" s="116" t="str">
        <f t="shared" si="926"/>
        <v>-</v>
      </c>
      <c r="BY193" s="117">
        <f t="shared" si="927"/>
        <v>224</v>
      </c>
      <c r="BZ193" s="116" t="str">
        <f t="shared" si="928"/>
        <v>-</v>
      </c>
      <c r="CA193" s="117">
        <f t="shared" si="929"/>
        <v>262</v>
      </c>
      <c r="CB193" s="116">
        <f t="shared" si="930"/>
        <v>296</v>
      </c>
      <c r="CC193" s="117">
        <f t="shared" si="931"/>
        <v>305</v>
      </c>
      <c r="CD193" s="116">
        <f t="shared" si="932"/>
        <v>344</v>
      </c>
      <c r="CE193" s="117">
        <f t="shared" si="933"/>
        <v>380</v>
      </c>
      <c r="CF193" s="116">
        <f t="shared" si="934"/>
        <v>406</v>
      </c>
      <c r="CG193" s="114">
        <f t="shared" si="935"/>
        <v>169</v>
      </c>
      <c r="CH193" s="116">
        <f t="shared" si="936"/>
        <v>173</v>
      </c>
      <c r="CI193" s="117">
        <f t="shared" si="937"/>
        <v>201</v>
      </c>
      <c r="CJ193" s="117" t="str">
        <f t="shared" si="938"/>
        <v>-</v>
      </c>
      <c r="CK193" s="117">
        <f t="shared" si="939"/>
        <v>257</v>
      </c>
      <c r="CL193" s="117" t="str">
        <f t="shared" si="940"/>
        <v>-</v>
      </c>
      <c r="CM193" s="117">
        <f t="shared" si="941"/>
        <v>292</v>
      </c>
      <c r="CN193" s="117">
        <f t="shared" si="942"/>
        <v>298</v>
      </c>
      <c r="CO193" s="117">
        <f t="shared" si="943"/>
        <v>337</v>
      </c>
      <c r="CP193" s="117">
        <f t="shared" si="944"/>
        <v>367</v>
      </c>
      <c r="CQ193" s="117">
        <f t="shared" si="945"/>
        <v>405</v>
      </c>
      <c r="CR193" s="117">
        <f t="shared" si="946"/>
        <v>422</v>
      </c>
      <c r="CS193" s="112">
        <f t="shared" si="947"/>
        <v>1</v>
      </c>
    </row>
    <row r="194" spans="1:1029" s="12" customFormat="1" x14ac:dyDescent="0.2">
      <c r="A194" s="9" t="str">
        <f t="shared" ref="A194" si="976">CONCATENATE(B194,"_",C194)</f>
        <v>glp1r_human_5NX2</v>
      </c>
      <c r="B194" s="9" t="s">
        <v>406</v>
      </c>
      <c r="C194" s="9" t="s">
        <v>1428</v>
      </c>
      <c r="D194" s="9" t="str">
        <f>IFERROR(MID(VLOOKUP($B194,Seqs!$A:$B,2,0),E194,1),"")</f>
        <v>E</v>
      </c>
      <c r="E194" s="9">
        <v>138</v>
      </c>
      <c r="F194" s="9" t="str">
        <f>IFERROR(MID(VLOOKUP($B194,Seqs!$A:$B,2,0),G194,1),"")</f>
        <v>F</v>
      </c>
      <c r="G194" s="9">
        <v>169</v>
      </c>
      <c r="H194" s="9" t="str">
        <f>IFERROR(MID(VLOOKUP($B194,Seqs!$A:$B,2,0),I194,1),"")</f>
        <v>R</v>
      </c>
      <c r="I194" s="112">
        <v>170</v>
      </c>
      <c r="J194" s="9" t="str">
        <f>IFERROR(MID(VLOOKUP($B194,Seqs!$A:$B,2,0),K194,1),"")</f>
        <v>H</v>
      </c>
      <c r="K194" s="112">
        <v>173</v>
      </c>
      <c r="L194" s="9" t="str">
        <f>IFERROR(MID(VLOOKUP($B194,Seqs!$A:$B,2,0),M194,1),"")</f>
        <v>C</v>
      </c>
      <c r="M194" s="112">
        <v>174</v>
      </c>
      <c r="N194" s="9" t="str">
        <f>IFERROR(MID(VLOOKUP($B194,Seqs!$A:$B,2,0),O194,1),"")</f>
        <v>S</v>
      </c>
      <c r="O194" s="9">
        <v>206</v>
      </c>
      <c r="P194" s="9" t="str">
        <f>IFERROR(MID(VLOOKUP($B194,Seqs!$A:$B,2,0),Q194,1),"")</f>
        <v/>
      </c>
      <c r="Q194" s="9" t="s">
        <v>23</v>
      </c>
      <c r="R194" s="9" t="str">
        <f>IFERROR(MID(VLOOKUP($B194,Seqs!$A:$B,2,0),S194,1),"")</f>
        <v/>
      </c>
      <c r="S194" s="9" t="s">
        <v>23</v>
      </c>
      <c r="T194" s="9" t="str">
        <f>IFERROR(MID(VLOOKUP($B194,Seqs!$A:$B,2,0),U194,1),"")</f>
        <v>L</v>
      </c>
      <c r="U194" s="9">
        <v>224</v>
      </c>
      <c r="V194" s="9" t="str">
        <f>IFERROR(MID(VLOOKUP($B194,Seqs!$A:$B,2,0),W194,1),"")</f>
        <v>F</v>
      </c>
      <c r="W194" s="9">
        <v>257</v>
      </c>
      <c r="X194" s="9" t="str">
        <f>IFERROR(MID(VLOOKUP($B194,Seqs!$A:$B,2,0),Y194,1),"")</f>
        <v/>
      </c>
      <c r="Y194" s="9" t="s">
        <v>23</v>
      </c>
      <c r="Z194" s="9" t="str">
        <f>IFERROR(MID(VLOOKUP($B194,Seqs!$A:$B,2,0),AA194,1),"")</f>
        <v/>
      </c>
      <c r="AA194" s="9" t="s">
        <v>23</v>
      </c>
      <c r="AB194" s="9" t="str">
        <f>IFERROR(MID(VLOOKUP($B194,Seqs!$A:$B,2,0),AC194,1),"")</f>
        <v>E</v>
      </c>
      <c r="AC194" s="9">
        <v>262</v>
      </c>
      <c r="AD194" s="9" t="str">
        <f>IFERROR(MID(VLOOKUP($B194,Seqs!$A:$B,2,0),AE194,1),"")</f>
        <v>Y</v>
      </c>
      <c r="AE194" s="9">
        <v>291</v>
      </c>
      <c r="AF194" s="9" t="str">
        <f>IFERROR(MID(VLOOKUP($B194,Seqs!$A:$B,2,0),AG194,1),"")</f>
        <v>C</v>
      </c>
      <c r="AG194" s="9">
        <v>296</v>
      </c>
      <c r="AH194" s="9" t="str">
        <f>IFERROR(MID(VLOOKUP($B194,Seqs!$A:$B,2,0),AI194,1),"")</f>
        <v>T</v>
      </c>
      <c r="AI194" s="9">
        <v>298</v>
      </c>
      <c r="AJ194" s="9" t="str">
        <f>IFERROR(MID(VLOOKUP($B194,Seqs!$A:$B,2,0),AK194,1),"")</f>
        <v>N</v>
      </c>
      <c r="AK194" s="9">
        <v>302</v>
      </c>
      <c r="AL194" s="9" t="str">
        <f>IFERROR(MID(VLOOKUP($B194,Seqs!$A:$B,2,0),AM194,1),"")</f>
        <v>L</v>
      </c>
      <c r="AM194" s="9">
        <v>335</v>
      </c>
      <c r="AN194" s="9" t="str">
        <f>IFERROR(MID(VLOOKUP($B194,Seqs!$A:$B,2,0),AO194,1),"")</f>
        <v>M</v>
      </c>
      <c r="AO194" s="9">
        <v>340</v>
      </c>
      <c r="AP194" s="9" t="str">
        <f>IFERROR(MID(VLOOKUP($B194,Seqs!$A:$B,2,0),AQ194,1),"")</f>
        <v>H</v>
      </c>
      <c r="AQ194" s="9">
        <v>374</v>
      </c>
      <c r="AR194" s="9" t="str">
        <f>IFERROR(MID(VLOOKUP($B194,Seqs!$A:$B,2,0),AS194,1),"")</f>
        <v>G</v>
      </c>
      <c r="AS194" s="9">
        <v>377</v>
      </c>
      <c r="AT194" s="9" t="str">
        <f>IFERROR(MID(VLOOKUP($B194,Seqs!$A:$B,2,0),AU194,1),"")</f>
        <v>V</v>
      </c>
      <c r="AU194" s="9">
        <v>405</v>
      </c>
      <c r="AV194" s="9" t="str">
        <f>IFERROR(MID(VLOOKUP($B194,Seqs!$A:$B,2,0),AW194,1),"")</f>
        <v>N</v>
      </c>
      <c r="AW194" s="9">
        <v>406</v>
      </c>
      <c r="AX194" s="9" t="str">
        <f>IFERROR(MID(VLOOKUP($B194,Seqs!$A:$B,2,0),AY194,1),"")</f>
        <v>S</v>
      </c>
      <c r="AY194" s="9">
        <v>416</v>
      </c>
      <c r="AZ194" s="113" t="str">
        <f>VLOOKUP(B194,Classification!A:D,2,0)</f>
        <v>B1</v>
      </c>
      <c r="BA194" s="101" t="str">
        <f>VLOOKUP(B194,Classification!A:D,4,0)</f>
        <v>Glucagonreceptorfamily</v>
      </c>
      <c r="BB194" s="37" t="b">
        <f t="shared" ref="BB194" si="977">AND(E194&lt;G194,OR(G194&lt;I194,I194="-"),OR(I194&lt;K194,I194="-"),OR(K194&lt;M194,K194="-"),M194&lt;O194,OR(O194&lt;Q194,Q194="-"),OR(Q194&lt;S194,Q194="-"),OR(S194&lt;U194,S194="-"),U194&lt;W194,OR(W194&lt;Y194,Y194="-"),OR(Y194&lt;AA194,Y194="-"),OR(AA194&lt;AC194,AA194="-"),AC194&lt;AE194,OR(AE194&lt;AG194,AG194="-"),OR(AG194&lt;AI194,AG194="-"),OR(AI194&lt;AK194,AI194="-"),AK194&lt;AM194,AM194&lt;AO194,AO194&lt;AQ194,AQ194&lt;AS194,AS194&lt;AU194,OR(AU194&lt;AW194,AW194="-"),OR(AW194&lt;AY194,AW194="-"))</f>
        <v>1</v>
      </c>
      <c r="BC194" s="112">
        <f t="shared" ref="BC194" si="978">_xlfn.AGGREGATE(9,6,CG194:CR194)-_xlfn.AGGREGATE(9,6,BU194:CF194)+12</f>
        <v>247</v>
      </c>
      <c r="BD194" s="11" t="s">
        <v>1382</v>
      </c>
      <c r="BE194" s="9" t="s">
        <v>1297</v>
      </c>
      <c r="BF194" s="52" t="s">
        <v>1</v>
      </c>
      <c r="BG194" s="52" t="s">
        <v>1</v>
      </c>
      <c r="BI194" s="114" t="s">
        <v>1293</v>
      </c>
      <c r="BJ194" s="115" t="s">
        <v>1293</v>
      </c>
      <c r="BK194" s="115" t="s">
        <v>1293</v>
      </c>
      <c r="BL194" s="115" t="s">
        <v>1293</v>
      </c>
      <c r="BM194" s="115" t="s">
        <v>1293</v>
      </c>
      <c r="BN194" s="115" t="s">
        <v>1293</v>
      </c>
      <c r="BO194" s="115" t="s">
        <v>1293</v>
      </c>
      <c r="BP194" s="115" t="s">
        <v>1293</v>
      </c>
      <c r="BQ194" s="115" t="s">
        <v>1293</v>
      </c>
      <c r="BR194" s="115" t="s">
        <v>1293</v>
      </c>
      <c r="BS194" s="115" t="s">
        <v>1293</v>
      </c>
      <c r="BT194" s="115" t="s">
        <v>1293</v>
      </c>
      <c r="BU194" s="114">
        <f t="shared" ref="BU194" si="979">E194</f>
        <v>138</v>
      </c>
      <c r="BV194" s="116">
        <f t="shared" ref="BV194" si="980">I194</f>
        <v>170</v>
      </c>
      <c r="BW194" s="117">
        <f t="shared" ref="BW194" si="981">M194</f>
        <v>174</v>
      </c>
      <c r="BX194" s="116" t="str">
        <f t="shared" ref="BX194" si="982">Q194</f>
        <v>-</v>
      </c>
      <c r="BY194" s="117">
        <f t="shared" ref="BY194" si="983">U194</f>
        <v>224</v>
      </c>
      <c r="BZ194" s="116" t="str">
        <f t="shared" ref="BZ194" si="984">Y194</f>
        <v>-</v>
      </c>
      <c r="CA194" s="117">
        <f t="shared" ref="CA194" si="985">AC194</f>
        <v>262</v>
      </c>
      <c r="CB194" s="116">
        <f t="shared" ref="CB194" si="986">AG194</f>
        <v>296</v>
      </c>
      <c r="CC194" s="117">
        <f t="shared" ref="CC194" si="987">AK194</f>
        <v>302</v>
      </c>
      <c r="CD194" s="116">
        <f t="shared" ref="CD194" si="988">AO194</f>
        <v>340</v>
      </c>
      <c r="CE194" s="117">
        <f t="shared" ref="CE194" si="989">AS194</f>
        <v>377</v>
      </c>
      <c r="CF194" s="116">
        <f t="shared" ref="CF194" si="990">AW194</f>
        <v>406</v>
      </c>
      <c r="CG194" s="114">
        <f t="shared" ref="CG194" si="991">G194</f>
        <v>169</v>
      </c>
      <c r="CH194" s="116">
        <f t="shared" ref="CH194" si="992">K194</f>
        <v>173</v>
      </c>
      <c r="CI194" s="117">
        <f t="shared" ref="CI194" si="993">O194</f>
        <v>206</v>
      </c>
      <c r="CJ194" s="117" t="str">
        <f t="shared" ref="CJ194" si="994">S194</f>
        <v>-</v>
      </c>
      <c r="CK194" s="117">
        <f t="shared" ref="CK194" si="995">W194</f>
        <v>257</v>
      </c>
      <c r="CL194" s="117" t="str">
        <f t="shared" ref="CL194" si="996">AA194</f>
        <v>-</v>
      </c>
      <c r="CM194" s="117">
        <f t="shared" ref="CM194" si="997">AE194</f>
        <v>291</v>
      </c>
      <c r="CN194" s="117">
        <f t="shared" ref="CN194" si="998">AI194</f>
        <v>298</v>
      </c>
      <c r="CO194" s="117">
        <f t="shared" ref="CO194" si="999">AM194</f>
        <v>335</v>
      </c>
      <c r="CP194" s="117">
        <f t="shared" ref="CP194" si="1000">AQ194</f>
        <v>374</v>
      </c>
      <c r="CQ194" s="117">
        <f t="shared" ref="CQ194" si="1001">AU194</f>
        <v>405</v>
      </c>
      <c r="CR194" s="117">
        <f t="shared" ref="CR194" si="1002">AY194</f>
        <v>416</v>
      </c>
      <c r="CS194" s="112">
        <f t="shared" ref="CS194" si="1003">M194-K194</f>
        <v>1</v>
      </c>
    </row>
    <row r="195" spans="1:1029" s="12" customFormat="1" x14ac:dyDescent="0.2">
      <c r="A195" s="9" t="str">
        <f t="shared" ref="A195:A196" si="1004">CONCATENATE(B195,"_",C195)</f>
        <v>g1sgd4_rabit__wt</v>
      </c>
      <c r="B195" s="9" t="s">
        <v>1430</v>
      </c>
      <c r="C195" s="9" t="s">
        <v>100</v>
      </c>
      <c r="D195" s="9" t="str">
        <f>IFERROR(MID(VLOOKUP($B195,Seqs!$A:$B,2,0),E195,1),"")</f>
        <v>P</v>
      </c>
      <c r="E195" s="9">
        <v>137</v>
      </c>
      <c r="F195" s="9" t="str">
        <f>IFERROR(MID(VLOOKUP($B195,Seqs!$A:$B,2,0),G195,1),"")</f>
        <v>F</v>
      </c>
      <c r="G195" s="9">
        <v>169</v>
      </c>
      <c r="H195" s="9" t="str">
        <f>IFERROR(MID(VLOOKUP($B195,Seqs!$A:$B,2,0),I195,1),"")</f>
        <v>R</v>
      </c>
      <c r="I195" s="112">
        <v>170</v>
      </c>
      <c r="J195" s="9" t="str">
        <f>IFERROR(MID(VLOOKUP($B195,Seqs!$A:$B,2,0),K195,1),"")</f>
        <v>H</v>
      </c>
      <c r="K195" s="112">
        <v>173</v>
      </c>
      <c r="L195" s="9" t="str">
        <f>IFERROR(MID(VLOOKUP($B195,Seqs!$A:$B,2,0),M195,1),"")</f>
        <v>C</v>
      </c>
      <c r="M195" s="112">
        <v>174</v>
      </c>
      <c r="N195" s="9" t="str">
        <f>IFERROR(MID(VLOOKUP($B195,Seqs!$A:$B,2,0),O195,1),"")</f>
        <v>Q</v>
      </c>
      <c r="O195" s="9">
        <v>211</v>
      </c>
      <c r="P195" s="9" t="str">
        <f>IFERROR(MID(VLOOKUP($B195,Seqs!$A:$B,2,0),Q195,1),"")</f>
        <v/>
      </c>
      <c r="Q195" s="9" t="s">
        <v>23</v>
      </c>
      <c r="R195" s="9" t="str">
        <f>IFERROR(MID(VLOOKUP($B195,Seqs!$A:$B,2,0),S195,1),"")</f>
        <v/>
      </c>
      <c r="S195" s="9" t="s">
        <v>23</v>
      </c>
      <c r="T195" s="9" t="str">
        <f>IFERROR(MID(VLOOKUP($B195,Seqs!$A:$B,2,0),U195,1),"")</f>
        <v>L</v>
      </c>
      <c r="U195" s="9">
        <v>224</v>
      </c>
      <c r="V195" s="9" t="str">
        <f>IFERROR(MID(VLOOKUP($B195,Seqs!$A:$B,2,0),W195,1),"")</f>
        <v>F</v>
      </c>
      <c r="W195" s="9">
        <v>257</v>
      </c>
      <c r="X195" s="9" t="str">
        <f>IFERROR(MID(VLOOKUP($B195,Seqs!$A:$B,2,0),Y195,1),"")</f>
        <v/>
      </c>
      <c r="Y195" s="9" t="s">
        <v>23</v>
      </c>
      <c r="Z195" s="9" t="str">
        <f>IFERROR(MID(VLOOKUP($B195,Seqs!$A:$B,2,0),AA195,1),"")</f>
        <v/>
      </c>
      <c r="AA195" s="9" t="s">
        <v>23</v>
      </c>
      <c r="AB195" s="9" t="str">
        <f>IFERROR(MID(VLOOKUP($B195,Seqs!$A:$B,2,0),AC195,1),"")</f>
        <v>S</v>
      </c>
      <c r="AC195" s="9">
        <v>261</v>
      </c>
      <c r="AD195" s="9" t="str">
        <f>IFERROR(MID(VLOOKUP($B195,Seqs!$A:$B,2,0),AE195,1),"")</f>
        <v>E</v>
      </c>
      <c r="AE195" s="9">
        <v>292</v>
      </c>
      <c r="AF195" s="9" t="str">
        <f>IFERROR(MID(VLOOKUP($B195,Seqs!$A:$B,2,0),AG195,1),"")</f>
        <v>C</v>
      </c>
      <c r="AG195" s="9">
        <v>296</v>
      </c>
      <c r="AH195" s="9" t="str">
        <f>IFERROR(MID(VLOOKUP($B195,Seqs!$A:$B,2,0),AI195,1),"")</f>
        <v>T</v>
      </c>
      <c r="AI195" s="9">
        <v>298</v>
      </c>
      <c r="AJ195" s="9" t="str">
        <f>IFERROR(MID(VLOOKUP($B195,Seqs!$A:$B,2,0),AK195,1),"")</f>
        <v>Y</v>
      </c>
      <c r="AK195" s="9">
        <v>305</v>
      </c>
      <c r="AL195" s="9" t="str">
        <f>IFERROR(MID(VLOOKUP($B195,Seqs!$A:$B,2,0),AM195,1),"")</f>
        <v>A</v>
      </c>
      <c r="AM195" s="9">
        <v>337</v>
      </c>
      <c r="AN195" s="9" t="str">
        <f>IFERROR(MID(VLOOKUP($B195,Seqs!$A:$B,2,0),AO195,1),"")</f>
        <v>K</v>
      </c>
      <c r="AO195" s="9">
        <v>346</v>
      </c>
      <c r="AP195" s="9" t="str">
        <f>IFERROR(MID(VLOOKUP($B195,Seqs!$A:$B,2,0),AQ195,1),"")</f>
        <v>F</v>
      </c>
      <c r="AQ195" s="9">
        <v>369</v>
      </c>
      <c r="AR195" s="9" t="str">
        <f>IFERROR(MID(VLOOKUP($B195,Seqs!$A:$B,2,0),AS195,1),"")</f>
        <v>L</v>
      </c>
      <c r="AS195" s="9">
        <v>379</v>
      </c>
      <c r="AT195" s="9" t="str">
        <f>IFERROR(MID(VLOOKUP($B195,Seqs!$A:$B,2,0),AU195,1),"")</f>
        <v>V</v>
      </c>
      <c r="AU195" s="9">
        <v>405</v>
      </c>
      <c r="AV195" s="9" t="str">
        <f>IFERROR(MID(VLOOKUP($B195,Seqs!$A:$B,2,0),AW195,1),"")</f>
        <v>N</v>
      </c>
      <c r="AW195" s="9">
        <v>406</v>
      </c>
      <c r="AX195" s="9" t="str">
        <f>IFERROR(MID(VLOOKUP($B195,Seqs!$A:$B,2,0),AY195,1),"")</f>
        <v>S</v>
      </c>
      <c r="AY195" s="9">
        <v>431</v>
      </c>
      <c r="AZ195" s="113" t="str">
        <f>VLOOKUP(B195,Classification!A:D,2,0)</f>
        <v>B1</v>
      </c>
      <c r="BA195" s="101" t="str">
        <f>VLOOKUP(B195,Classification!A:D,4,0)</f>
        <v>Glucagonreceptorfamily</v>
      </c>
      <c r="BB195" s="37" t="b">
        <f t="shared" ref="BB195:BB196" si="1005">AND(E195&lt;G195,OR(G195&lt;I195,I195="-"),OR(I195&lt;K195,I195="-"),OR(K195&lt;M195,K195="-"),M195&lt;O195,OR(O195&lt;Q195,Q195="-"),OR(Q195&lt;S195,Q195="-"),OR(S195&lt;U195,S195="-"),U195&lt;W195,OR(W195&lt;Y195,Y195="-"),OR(Y195&lt;AA195,Y195="-"),OR(AA195&lt;AC195,AA195="-"),AC195&lt;AE195,OR(AE195&lt;AG195,AG195="-"),OR(AG195&lt;AI195,AG195="-"),OR(AI195&lt;AK195,AI195="-"),AK195&lt;AM195,AM195&lt;AO195,AO195&lt;AQ195,AQ195&lt;AS195,AS195&lt;AU195,OR(AU195&lt;AW195,AW195="-"),OR(AW195&lt;AY195,AW195="-"))</f>
        <v>1</v>
      </c>
      <c r="BC195" s="112">
        <f t="shared" ref="BC195:BC196" si="1006">_xlfn.AGGREGATE(9,6,CG195:CR195)-_xlfn.AGGREGATE(9,6,BU195:CF195)+12</f>
        <v>256</v>
      </c>
      <c r="BD195" s="11" t="s">
        <v>23</v>
      </c>
      <c r="BE195" s="9" t="s">
        <v>1297</v>
      </c>
      <c r="BF195" s="52"/>
      <c r="BG195" s="52"/>
      <c r="BI195" s="114" t="s">
        <v>1293</v>
      </c>
      <c r="BJ195" s="115" t="s">
        <v>1293</v>
      </c>
      <c r="BK195" s="115" t="s">
        <v>1293</v>
      </c>
      <c r="BL195" s="115" t="s">
        <v>1293</v>
      </c>
      <c r="BM195" s="115" t="s">
        <v>1293</v>
      </c>
      <c r="BN195" s="115" t="s">
        <v>1293</v>
      </c>
      <c r="BO195" s="115" t="s">
        <v>1293</v>
      </c>
      <c r="BP195" s="115" t="s">
        <v>1293</v>
      </c>
      <c r="BQ195" s="115" t="s">
        <v>1293</v>
      </c>
      <c r="BR195" s="115" t="s">
        <v>1293</v>
      </c>
      <c r="BS195" s="115" t="s">
        <v>1293</v>
      </c>
      <c r="BT195" s="115" t="s">
        <v>1293</v>
      </c>
      <c r="BU195" s="114">
        <f t="shared" ref="BU195:BU196" si="1007">E195</f>
        <v>137</v>
      </c>
      <c r="BV195" s="116">
        <f t="shared" ref="BV195:BV196" si="1008">I195</f>
        <v>170</v>
      </c>
      <c r="BW195" s="117">
        <f t="shared" ref="BW195:BW196" si="1009">M195</f>
        <v>174</v>
      </c>
      <c r="BX195" s="116" t="str">
        <f t="shared" ref="BX195:BX196" si="1010">Q195</f>
        <v>-</v>
      </c>
      <c r="BY195" s="117">
        <f t="shared" ref="BY195:BY196" si="1011">U195</f>
        <v>224</v>
      </c>
      <c r="BZ195" s="116" t="str">
        <f t="shared" ref="BZ195:BZ196" si="1012">Y195</f>
        <v>-</v>
      </c>
      <c r="CA195" s="117">
        <f t="shared" ref="CA195:CA196" si="1013">AC195</f>
        <v>261</v>
      </c>
      <c r="CB195" s="116">
        <f t="shared" ref="CB195:CB196" si="1014">AG195</f>
        <v>296</v>
      </c>
      <c r="CC195" s="117">
        <f t="shared" ref="CC195:CC196" si="1015">AK195</f>
        <v>305</v>
      </c>
      <c r="CD195" s="116">
        <f t="shared" ref="CD195:CD196" si="1016">AO195</f>
        <v>346</v>
      </c>
      <c r="CE195" s="117">
        <f t="shared" ref="CE195:CE196" si="1017">AS195</f>
        <v>379</v>
      </c>
      <c r="CF195" s="116">
        <f t="shared" ref="CF195:CF196" si="1018">AW195</f>
        <v>406</v>
      </c>
      <c r="CG195" s="114">
        <f t="shared" ref="CG195:CG196" si="1019">G195</f>
        <v>169</v>
      </c>
      <c r="CH195" s="116">
        <f t="shared" ref="CH195:CH196" si="1020">K195</f>
        <v>173</v>
      </c>
      <c r="CI195" s="117">
        <f t="shared" ref="CI195:CI196" si="1021">O195</f>
        <v>211</v>
      </c>
      <c r="CJ195" s="117" t="str">
        <f t="shared" ref="CJ195:CJ196" si="1022">S195</f>
        <v>-</v>
      </c>
      <c r="CK195" s="117">
        <f t="shared" ref="CK195:CK196" si="1023">W195</f>
        <v>257</v>
      </c>
      <c r="CL195" s="117" t="str">
        <f t="shared" ref="CL195:CL196" si="1024">AA195</f>
        <v>-</v>
      </c>
      <c r="CM195" s="117">
        <f t="shared" ref="CM195:CM196" si="1025">AE195</f>
        <v>292</v>
      </c>
      <c r="CN195" s="117">
        <f t="shared" ref="CN195:CN196" si="1026">AI195</f>
        <v>298</v>
      </c>
      <c r="CO195" s="117">
        <f t="shared" ref="CO195:CO196" si="1027">AM195</f>
        <v>337</v>
      </c>
      <c r="CP195" s="117">
        <f t="shared" ref="CP195:CP196" si="1028">AQ195</f>
        <v>369</v>
      </c>
      <c r="CQ195" s="117">
        <f t="shared" ref="CQ195:CQ196" si="1029">AU195</f>
        <v>405</v>
      </c>
      <c r="CR195" s="117">
        <f t="shared" ref="CR195:CR196" si="1030">AY195</f>
        <v>431</v>
      </c>
      <c r="CS195" s="112">
        <f t="shared" ref="CS195:CS196" si="1031">M195-K195</f>
        <v>1</v>
      </c>
    </row>
    <row r="196" spans="1:1029" s="12" customFormat="1" x14ac:dyDescent="0.2">
      <c r="A196" s="9" t="str">
        <f t="shared" si="1004"/>
        <v>g1sgd4_rabit_5VAI</v>
      </c>
      <c r="B196" s="9" t="s">
        <v>1430</v>
      </c>
      <c r="C196" s="9" t="s">
        <v>1432</v>
      </c>
      <c r="D196" s="9" t="str">
        <f>IFERROR(MID(VLOOKUP($B196,Seqs!$A:$B,2,0),E196,1),"")</f>
        <v>P</v>
      </c>
      <c r="E196" s="9">
        <v>137</v>
      </c>
      <c r="F196" s="9" t="str">
        <f>IFERROR(MID(VLOOKUP($B196,Seqs!$A:$B,2,0),G196,1),"")</f>
        <v>G</v>
      </c>
      <c r="G196" s="9">
        <v>168</v>
      </c>
      <c r="H196" s="9" t="str">
        <f>IFERROR(MID(VLOOKUP($B196,Seqs!$A:$B,2,0),I196,1),"")</f>
        <v>R</v>
      </c>
      <c r="I196" s="112">
        <v>170</v>
      </c>
      <c r="J196" s="9" t="str">
        <f>IFERROR(MID(VLOOKUP($B196,Seqs!$A:$B,2,0),K196,1),"")</f>
        <v>H</v>
      </c>
      <c r="K196" s="112">
        <v>173</v>
      </c>
      <c r="L196" s="9" t="str">
        <f>IFERROR(MID(VLOOKUP($B196,Seqs!$A:$B,2,0),M196,1),"")</f>
        <v>C</v>
      </c>
      <c r="M196" s="112">
        <v>174</v>
      </c>
      <c r="N196" s="9" t="str">
        <f>IFERROR(MID(VLOOKUP($B196,Seqs!$A:$B,2,0),O196,1),"")</f>
        <v>Q</v>
      </c>
      <c r="O196" s="9">
        <v>211</v>
      </c>
      <c r="P196" s="9" t="str">
        <f>IFERROR(MID(VLOOKUP($B196,Seqs!$A:$B,2,0),Q196,1),"")</f>
        <v/>
      </c>
      <c r="Q196" s="9" t="s">
        <v>23</v>
      </c>
      <c r="R196" s="9" t="str">
        <f>IFERROR(MID(VLOOKUP($B196,Seqs!$A:$B,2,0),S196,1),"")</f>
        <v/>
      </c>
      <c r="S196" s="9" t="s">
        <v>23</v>
      </c>
      <c r="T196" s="9" t="str">
        <f>IFERROR(MID(VLOOKUP($B196,Seqs!$A:$B,2,0),U196,1),"")</f>
        <v>L</v>
      </c>
      <c r="U196" s="9">
        <v>224</v>
      </c>
      <c r="V196" s="9" t="str">
        <f>IFERROR(MID(VLOOKUP($B196,Seqs!$A:$B,2,0),W196,1),"")</f>
        <v>F</v>
      </c>
      <c r="W196" s="9">
        <v>257</v>
      </c>
      <c r="X196" s="9" t="str">
        <f>IFERROR(MID(VLOOKUP($B196,Seqs!$A:$B,2,0),Y196,1),"")</f>
        <v/>
      </c>
      <c r="Y196" s="9" t="s">
        <v>23</v>
      </c>
      <c r="Z196" s="9" t="str">
        <f>IFERROR(MID(VLOOKUP($B196,Seqs!$A:$B,2,0),AA196,1),"")</f>
        <v/>
      </c>
      <c r="AA196" s="9" t="s">
        <v>23</v>
      </c>
      <c r="AB196" s="9" t="str">
        <f>IFERROR(MID(VLOOKUP($B196,Seqs!$A:$B,2,0),AC196,1),"")</f>
        <v>S</v>
      </c>
      <c r="AC196" s="9">
        <v>261</v>
      </c>
      <c r="AD196" s="9" t="str">
        <f>IFERROR(MID(VLOOKUP($B196,Seqs!$A:$B,2,0),AE196,1),"")</f>
        <v>E</v>
      </c>
      <c r="AE196" s="9">
        <v>292</v>
      </c>
      <c r="AF196" s="9" t="str">
        <f>IFERROR(MID(VLOOKUP($B196,Seqs!$A:$B,2,0),AG196,1),"")</f>
        <v>C</v>
      </c>
      <c r="AG196" s="9">
        <v>296</v>
      </c>
      <c r="AH196" s="9" t="str">
        <f>IFERROR(MID(VLOOKUP($B196,Seqs!$A:$B,2,0),AI196,1),"")</f>
        <v>T</v>
      </c>
      <c r="AI196" s="9">
        <v>298</v>
      </c>
      <c r="AJ196" s="9" t="str">
        <f>IFERROR(MID(VLOOKUP($B196,Seqs!$A:$B,2,0),AK196,1),"")</f>
        <v>Y</v>
      </c>
      <c r="AK196" s="9">
        <v>305</v>
      </c>
      <c r="AL196" s="9" t="str">
        <f>IFERROR(MID(VLOOKUP($B196,Seqs!$A:$B,2,0),AM196,1),"")</f>
        <v>A</v>
      </c>
      <c r="AM196" s="9">
        <v>337</v>
      </c>
      <c r="AN196" s="9" t="str">
        <f>IFERROR(MID(VLOOKUP($B196,Seqs!$A:$B,2,0),AO196,1),"")</f>
        <v>K</v>
      </c>
      <c r="AO196" s="9">
        <v>346</v>
      </c>
      <c r="AP196" s="9" t="str">
        <f>IFERROR(MID(VLOOKUP($B196,Seqs!$A:$B,2,0),AQ196,1),"")</f>
        <v>F</v>
      </c>
      <c r="AQ196" s="9">
        <v>369</v>
      </c>
      <c r="AR196" s="9" t="str">
        <f>IFERROR(MID(VLOOKUP($B196,Seqs!$A:$B,2,0),AS196,1),"")</f>
        <v>L</v>
      </c>
      <c r="AS196" s="9">
        <v>379</v>
      </c>
      <c r="AT196" s="9" t="str">
        <f>IFERROR(MID(VLOOKUP($B196,Seqs!$A:$B,2,0),AU196,1),"")</f>
        <v>V</v>
      </c>
      <c r="AU196" s="9">
        <v>405</v>
      </c>
      <c r="AV196" s="9" t="str">
        <f>IFERROR(MID(VLOOKUP($B196,Seqs!$A:$B,2,0),AW196,1),"")</f>
        <v>N</v>
      </c>
      <c r="AW196" s="9">
        <v>406</v>
      </c>
      <c r="AX196" s="9" t="str">
        <f>IFERROR(MID(VLOOKUP($B196,Seqs!$A:$B,2,0),AY196,1),"")</f>
        <v>R</v>
      </c>
      <c r="AY196" s="9">
        <v>421</v>
      </c>
      <c r="AZ196" s="113" t="str">
        <f>VLOOKUP(B196,Classification!A:D,2,0)</f>
        <v>B1</v>
      </c>
      <c r="BA196" s="101" t="str">
        <f>VLOOKUP(B196,Classification!A:D,4,0)</f>
        <v>Glucagonreceptorfamily</v>
      </c>
      <c r="BB196" s="37" t="b">
        <f t="shared" si="1005"/>
        <v>1</v>
      </c>
      <c r="BC196" s="112">
        <f t="shared" si="1006"/>
        <v>245</v>
      </c>
      <c r="BD196" s="11" t="s">
        <v>1382</v>
      </c>
      <c r="BE196" s="9" t="s">
        <v>1297</v>
      </c>
      <c r="BF196" s="52" t="s">
        <v>1433</v>
      </c>
      <c r="BG196" s="52" t="s">
        <v>1433</v>
      </c>
      <c r="BI196" s="114" t="s">
        <v>1293</v>
      </c>
      <c r="BJ196" s="115" t="s">
        <v>1293</v>
      </c>
      <c r="BK196" s="115" t="s">
        <v>1293</v>
      </c>
      <c r="BL196" s="115" t="s">
        <v>1293</v>
      </c>
      <c r="BM196" s="115" t="s">
        <v>1293</v>
      </c>
      <c r="BN196" s="115" t="s">
        <v>1293</v>
      </c>
      <c r="BO196" s="115" t="s">
        <v>1293</v>
      </c>
      <c r="BP196" s="115" t="s">
        <v>1293</v>
      </c>
      <c r="BQ196" s="115" t="s">
        <v>1293</v>
      </c>
      <c r="BR196" s="115" t="s">
        <v>1293</v>
      </c>
      <c r="BS196" s="115" t="s">
        <v>1293</v>
      </c>
      <c r="BT196" s="115" t="s">
        <v>1293</v>
      </c>
      <c r="BU196" s="114">
        <f t="shared" si="1007"/>
        <v>137</v>
      </c>
      <c r="BV196" s="116">
        <f t="shared" si="1008"/>
        <v>170</v>
      </c>
      <c r="BW196" s="117">
        <f t="shared" si="1009"/>
        <v>174</v>
      </c>
      <c r="BX196" s="116" t="str">
        <f t="shared" si="1010"/>
        <v>-</v>
      </c>
      <c r="BY196" s="117">
        <f t="shared" si="1011"/>
        <v>224</v>
      </c>
      <c r="BZ196" s="116" t="str">
        <f t="shared" si="1012"/>
        <v>-</v>
      </c>
      <c r="CA196" s="117">
        <f t="shared" si="1013"/>
        <v>261</v>
      </c>
      <c r="CB196" s="116">
        <f t="shared" si="1014"/>
        <v>296</v>
      </c>
      <c r="CC196" s="117">
        <f t="shared" si="1015"/>
        <v>305</v>
      </c>
      <c r="CD196" s="116">
        <f t="shared" si="1016"/>
        <v>346</v>
      </c>
      <c r="CE196" s="117">
        <f t="shared" si="1017"/>
        <v>379</v>
      </c>
      <c r="CF196" s="116">
        <f t="shared" si="1018"/>
        <v>406</v>
      </c>
      <c r="CG196" s="114">
        <f t="shared" si="1019"/>
        <v>168</v>
      </c>
      <c r="CH196" s="116">
        <f t="shared" si="1020"/>
        <v>173</v>
      </c>
      <c r="CI196" s="117">
        <f t="shared" si="1021"/>
        <v>211</v>
      </c>
      <c r="CJ196" s="117" t="str">
        <f t="shared" si="1022"/>
        <v>-</v>
      </c>
      <c r="CK196" s="117">
        <f t="shared" si="1023"/>
        <v>257</v>
      </c>
      <c r="CL196" s="117" t="str">
        <f t="shared" si="1024"/>
        <v>-</v>
      </c>
      <c r="CM196" s="117">
        <f t="shared" si="1025"/>
        <v>292</v>
      </c>
      <c r="CN196" s="117">
        <f t="shared" si="1026"/>
        <v>298</v>
      </c>
      <c r="CO196" s="117">
        <f t="shared" si="1027"/>
        <v>337</v>
      </c>
      <c r="CP196" s="117">
        <f t="shared" si="1028"/>
        <v>369</v>
      </c>
      <c r="CQ196" s="117">
        <f t="shared" si="1029"/>
        <v>405</v>
      </c>
      <c r="CR196" s="117">
        <f t="shared" si="1030"/>
        <v>421</v>
      </c>
      <c r="CS196" s="112">
        <f t="shared" si="1031"/>
        <v>1</v>
      </c>
    </row>
    <row r="197" spans="1:1029" x14ac:dyDescent="0.2">
      <c r="A197" s="3" t="str">
        <f t="shared" si="862"/>
        <v>grm1_human__wt</v>
      </c>
      <c r="B197" s="3" t="s">
        <v>40</v>
      </c>
      <c r="C197" s="3" t="s">
        <v>100</v>
      </c>
      <c r="D197" s="3" t="str">
        <f>IFERROR(MID(VLOOKUP($B197,Seqs!$A:$B,2,0),E197,1),"")</f>
        <v>I</v>
      </c>
      <c r="E197" s="3">
        <v>591</v>
      </c>
      <c r="F197" s="3" t="str">
        <f>IFERROR(MID(VLOOKUP($B197,Seqs!$A:$B,2,0),G197,1),"")</f>
        <v>Y</v>
      </c>
      <c r="G197" s="3">
        <v>617</v>
      </c>
      <c r="H197" s="3" t="str">
        <f>IFERROR(MID(VLOOKUP($B197,Seqs!$A:$B,2,0),I197,1),"")</f>
        <v>T</v>
      </c>
      <c r="I197" s="23">
        <v>620</v>
      </c>
      <c r="J197" s="3" t="str">
        <f>IFERROR(MID(VLOOKUP($B197,Seqs!$A:$B,2,0),K197,1),"")</f>
        <v>S</v>
      </c>
      <c r="K197" s="23">
        <v>626</v>
      </c>
      <c r="L197" s="3" t="str">
        <f>IFERROR(MID(VLOOKUP($B197,Seqs!$A:$B,2,0),M197,1),"")</f>
        <v>S</v>
      </c>
      <c r="M197" s="3">
        <v>627</v>
      </c>
      <c r="N197" s="3" t="str">
        <f>IFERROR(MID(VLOOKUP($B197,Seqs!$A:$B,2,0),O197,1),"")</f>
        <v>I</v>
      </c>
      <c r="O197" s="3">
        <v>649</v>
      </c>
      <c r="P197" s="3" t="str">
        <f>IFERROR(MID(VLOOKUP($B197,Seqs!$A:$B,2,0),Q197,1),"")</f>
        <v/>
      </c>
      <c r="Q197" s="3" t="s">
        <v>23</v>
      </c>
      <c r="R197" s="3" t="str">
        <f>IFERROR(MID(VLOOKUP($B197,Seqs!$A:$B,2,0),S197,1),"")</f>
        <v/>
      </c>
      <c r="S197" s="3" t="s">
        <v>23</v>
      </c>
      <c r="T197" s="3" t="str">
        <f>IFERROR(MID(VLOOKUP($B197,Seqs!$A:$B,2,0),U197,1),"")</f>
        <v>T</v>
      </c>
      <c r="U197" s="3">
        <v>654</v>
      </c>
      <c r="V197" s="3" t="str">
        <f>IFERROR(MID(VLOOKUP($B197,Seqs!$A:$B,2,0),W197,1),"")</f>
        <v>L</v>
      </c>
      <c r="W197" s="3">
        <v>686</v>
      </c>
      <c r="X197" s="3" t="str">
        <f>IFERROR(MID(VLOOKUP($B197,Seqs!$A:$B,2,0),Y197,1),"")</f>
        <v/>
      </c>
      <c r="Y197" s="3" t="s">
        <v>23</v>
      </c>
      <c r="Z197" s="3" t="str">
        <f>IFERROR(MID(VLOOKUP($B197,Seqs!$A:$B,2,0),AA197,1),"")</f>
        <v/>
      </c>
      <c r="AA197" s="3" t="s">
        <v>23</v>
      </c>
      <c r="AB197" s="3" t="str">
        <f>IFERROR(MID(VLOOKUP($B197,Seqs!$A:$B,2,0),AC197,1),"")</f>
        <v>S</v>
      </c>
      <c r="AC197" s="9">
        <v>702</v>
      </c>
      <c r="AD197" s="3" t="str">
        <f>IFERROR(MID(VLOOKUP($B197,Seqs!$A:$B,2,0),AE197,1),"")</f>
        <v>E</v>
      </c>
      <c r="AE197" s="3">
        <v>728</v>
      </c>
      <c r="AF197" s="3" t="str">
        <f>IFERROR(MID(VLOOKUP($B197,Seqs!$A:$B,2,0),AG197,1),"")</f>
        <v>C</v>
      </c>
      <c r="AG197" s="3">
        <v>746</v>
      </c>
      <c r="AH197" s="3" t="str">
        <f>IFERROR(MID(VLOOKUP($B197,Seqs!$A:$B,2,0),AI197,1),"")</f>
        <v>T</v>
      </c>
      <c r="AI197" s="3">
        <v>748</v>
      </c>
      <c r="AJ197" s="3" t="str">
        <f>IFERROR(MID(VLOOKUP($B197,Seqs!$A:$B,2,0),AK197,1),"")</f>
        <v>N</v>
      </c>
      <c r="AK197" s="3">
        <v>750</v>
      </c>
      <c r="AL197" s="3" t="str">
        <f>IFERROR(MID(VLOOKUP($B197,Seqs!$A:$B,2,0),AM197,1),"")</f>
        <v>T</v>
      </c>
      <c r="AM197" s="3">
        <v>774</v>
      </c>
      <c r="AN197" s="3" t="str">
        <f>IFERROR(MID(VLOOKUP($B197,Seqs!$A:$B,2,0),AO197,1),"")</f>
        <v>E</v>
      </c>
      <c r="AO197" s="3">
        <v>783</v>
      </c>
      <c r="AP197" s="3" t="str">
        <f>IFERROR(MID(VLOOKUP($B197,Seqs!$A:$B,2,0),AQ197,1),"")</f>
        <v>G</v>
      </c>
      <c r="AQ197" s="3">
        <v>807</v>
      </c>
      <c r="AR197" s="3" t="str">
        <f>IFERROR(MID(VLOOKUP($B197,Seqs!$A:$B,2,0),AS197,1),"")</f>
        <v>K</v>
      </c>
      <c r="AS197" s="3">
        <v>811</v>
      </c>
      <c r="AT197" s="3" t="str">
        <f>IFERROR(MID(VLOOKUP($B197,Seqs!$A:$B,2,0),AU197,1),"")</f>
        <v>A</v>
      </c>
      <c r="AU197" s="3">
        <v>840</v>
      </c>
      <c r="AV197" s="3" t="str">
        <f>IFERROR(MID(VLOOKUP($B197,Seqs!$A:$B,2,0),AW197,1),"")</f>
        <v>K</v>
      </c>
      <c r="AW197" s="3">
        <v>841</v>
      </c>
      <c r="AX197" s="3" t="str">
        <f>IFERROR(MID(VLOOKUP($B197,Seqs!$A:$B,2,0),AY197,1),"")</f>
        <v>S</v>
      </c>
      <c r="AY197" s="3">
        <v>853</v>
      </c>
      <c r="AZ197" s="79" t="str">
        <f>VLOOKUP(B197,Classification!A:D,2,0)</f>
        <v>C</v>
      </c>
      <c r="BA197" s="97" t="str">
        <f>VLOOKUP(B197,Classification!A:D,4,0)</f>
        <v>Metabotropicglutamate</v>
      </c>
      <c r="BB197" s="27" t="b">
        <f t="shared" si="863"/>
        <v>1</v>
      </c>
      <c r="BC197" s="23">
        <f t="shared" si="836"/>
        <v>215</v>
      </c>
      <c r="BD197" s="57" t="s">
        <v>1379</v>
      </c>
      <c r="BE197" s="3" t="s">
        <v>1381</v>
      </c>
      <c r="BF197" s="50" t="s">
        <v>1379</v>
      </c>
      <c r="BG197" s="50" t="s">
        <v>1384</v>
      </c>
      <c r="BH197" s="3" t="s">
        <v>1164</v>
      </c>
      <c r="BI197" s="72" t="s">
        <v>1293</v>
      </c>
      <c r="BJ197" s="58" t="s">
        <v>1293</v>
      </c>
      <c r="BK197" s="58" t="s">
        <v>1293</v>
      </c>
      <c r="BL197" s="58" t="s">
        <v>1293</v>
      </c>
      <c r="BM197" s="58" t="s">
        <v>1293</v>
      </c>
      <c r="BN197" s="58" t="s">
        <v>1293</v>
      </c>
      <c r="BO197" s="58" t="s">
        <v>1293</v>
      </c>
      <c r="BP197" s="58" t="s">
        <v>1293</v>
      </c>
      <c r="BQ197" s="58" t="s">
        <v>1293</v>
      </c>
      <c r="BR197" s="58" t="s">
        <v>1293</v>
      </c>
      <c r="BS197" s="58" t="s">
        <v>1293</v>
      </c>
      <c r="BT197" s="58" t="s">
        <v>1293</v>
      </c>
      <c r="BU197" s="72">
        <f t="shared" si="837"/>
        <v>591</v>
      </c>
      <c r="BV197" s="73">
        <f t="shared" si="838"/>
        <v>620</v>
      </c>
      <c r="BW197" s="74">
        <f t="shared" si="839"/>
        <v>627</v>
      </c>
      <c r="BX197" s="73" t="str">
        <f t="shared" si="840"/>
        <v>-</v>
      </c>
      <c r="BY197" s="74">
        <f t="shared" si="841"/>
        <v>654</v>
      </c>
      <c r="BZ197" s="73" t="str">
        <f t="shared" si="842"/>
        <v>-</v>
      </c>
      <c r="CA197" s="74">
        <f t="shared" si="843"/>
        <v>702</v>
      </c>
      <c r="CB197" s="73">
        <f t="shared" si="844"/>
        <v>746</v>
      </c>
      <c r="CC197" s="74">
        <f t="shared" si="845"/>
        <v>750</v>
      </c>
      <c r="CD197" s="73">
        <f t="shared" si="846"/>
        <v>783</v>
      </c>
      <c r="CE197" s="74">
        <f t="shared" si="847"/>
        <v>811</v>
      </c>
      <c r="CF197" s="73">
        <f t="shared" si="848"/>
        <v>841</v>
      </c>
      <c r="CG197" s="72">
        <f t="shared" si="849"/>
        <v>617</v>
      </c>
      <c r="CH197" s="73">
        <f t="shared" si="850"/>
        <v>626</v>
      </c>
      <c r="CI197" s="74">
        <f t="shared" si="851"/>
        <v>649</v>
      </c>
      <c r="CJ197" s="74" t="str">
        <f t="shared" si="852"/>
        <v>-</v>
      </c>
      <c r="CK197" s="74">
        <f t="shared" si="853"/>
        <v>686</v>
      </c>
      <c r="CL197" s="74" t="str">
        <f t="shared" si="854"/>
        <v>-</v>
      </c>
      <c r="CM197" s="74">
        <f t="shared" si="855"/>
        <v>728</v>
      </c>
      <c r="CN197" s="74">
        <f t="shared" si="856"/>
        <v>748</v>
      </c>
      <c r="CO197" s="74">
        <f t="shared" si="857"/>
        <v>774</v>
      </c>
      <c r="CP197" s="74">
        <f t="shared" si="858"/>
        <v>807</v>
      </c>
      <c r="CQ197" s="74">
        <f t="shared" si="859"/>
        <v>840</v>
      </c>
      <c r="CR197" s="74">
        <f t="shared" si="860"/>
        <v>853</v>
      </c>
      <c r="CS197" s="23">
        <f t="shared" si="861"/>
        <v>1</v>
      </c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  <c r="JE197" s="1"/>
      <c r="JF197" s="1"/>
      <c r="JG197" s="1"/>
      <c r="JH197" s="1"/>
      <c r="JI197" s="1"/>
      <c r="JJ197" s="1"/>
      <c r="JK197" s="1"/>
      <c r="JL197" s="1"/>
      <c r="JM197" s="1"/>
      <c r="JN197" s="1"/>
      <c r="JO197" s="1"/>
      <c r="JP197" s="1"/>
      <c r="JQ197" s="1"/>
      <c r="JR197" s="1"/>
      <c r="JS197" s="1"/>
      <c r="JT197" s="1"/>
      <c r="JU197" s="1"/>
      <c r="JV197" s="1"/>
      <c r="JW197" s="1"/>
      <c r="JX197" s="1"/>
      <c r="JY197" s="1"/>
      <c r="JZ197" s="1"/>
      <c r="KA197" s="1"/>
      <c r="KB197" s="1"/>
      <c r="KC197" s="1"/>
      <c r="KD197" s="1"/>
      <c r="KE197" s="1"/>
      <c r="KF197" s="1"/>
      <c r="KG197" s="1"/>
      <c r="KH197" s="1"/>
      <c r="KI197" s="1"/>
      <c r="KJ197" s="1"/>
      <c r="KK197" s="1"/>
      <c r="KL197" s="1"/>
      <c r="KM197" s="1"/>
      <c r="KN197" s="1"/>
      <c r="KO197" s="1"/>
      <c r="KP197" s="1"/>
      <c r="KQ197" s="1"/>
      <c r="KR197" s="1"/>
      <c r="KS197" s="1"/>
      <c r="KT197" s="1"/>
      <c r="KU197" s="1"/>
      <c r="KV197" s="1"/>
      <c r="KW197" s="1"/>
      <c r="KX197" s="1"/>
      <c r="KY197" s="1"/>
      <c r="KZ197" s="1"/>
      <c r="LA197" s="1"/>
      <c r="LB197" s="1"/>
      <c r="LC197" s="1"/>
      <c r="LD197" s="1"/>
      <c r="LE197" s="1"/>
      <c r="LF197" s="1"/>
      <c r="LG197" s="1"/>
      <c r="LH197" s="1"/>
      <c r="LI197" s="1"/>
      <c r="LJ197" s="1"/>
      <c r="LK197" s="1"/>
      <c r="LL197" s="1"/>
      <c r="LM197" s="1"/>
      <c r="LN197" s="1"/>
      <c r="LO197" s="1"/>
      <c r="LP197" s="1"/>
      <c r="LQ197" s="1"/>
      <c r="LR197" s="1"/>
      <c r="LS197" s="1"/>
      <c r="LT197" s="1"/>
      <c r="LU197" s="1"/>
      <c r="LV197" s="1"/>
      <c r="LW197" s="1"/>
      <c r="LX197" s="1"/>
      <c r="LY197" s="1"/>
      <c r="LZ197" s="1"/>
      <c r="MA197" s="1"/>
      <c r="MB197" s="1"/>
      <c r="MC197" s="1"/>
      <c r="MD197" s="1"/>
      <c r="ME197" s="1"/>
      <c r="MF197" s="1"/>
      <c r="MG197" s="1"/>
      <c r="MH197" s="1"/>
      <c r="MI197" s="1"/>
      <c r="MJ197" s="1"/>
      <c r="MK197" s="1"/>
      <c r="ML197" s="1"/>
      <c r="MM197" s="1"/>
      <c r="MN197" s="1"/>
      <c r="MO197" s="1"/>
      <c r="MP197" s="1"/>
      <c r="MQ197" s="1"/>
      <c r="MR197" s="1"/>
      <c r="MS197" s="1"/>
      <c r="MT197" s="1"/>
      <c r="MU197" s="1"/>
      <c r="MV197" s="1"/>
      <c r="MW197" s="1"/>
      <c r="MX197" s="1"/>
      <c r="MY197" s="1"/>
      <c r="MZ197" s="1"/>
      <c r="NA197" s="1"/>
      <c r="NB197" s="1"/>
      <c r="NC197" s="1"/>
      <c r="ND197" s="1"/>
      <c r="NE197" s="1"/>
      <c r="NF197" s="1"/>
      <c r="NG197" s="1"/>
      <c r="NH197" s="1"/>
      <c r="NI197" s="1"/>
      <c r="NJ197" s="1"/>
      <c r="NK197" s="1"/>
      <c r="NL197" s="1"/>
      <c r="NM197" s="1"/>
      <c r="NN197" s="1"/>
      <c r="NO197" s="1"/>
      <c r="NP197" s="1"/>
      <c r="NQ197" s="1"/>
      <c r="NR197" s="1"/>
      <c r="NS197" s="1"/>
      <c r="NT197" s="1"/>
      <c r="NU197" s="1"/>
      <c r="NV197" s="1"/>
      <c r="NW197" s="1"/>
      <c r="NX197" s="1"/>
      <c r="NY197" s="1"/>
      <c r="NZ197" s="1"/>
      <c r="OA197" s="1"/>
      <c r="OB197" s="1"/>
      <c r="OC197" s="1"/>
      <c r="OD197" s="1"/>
      <c r="OE197" s="1"/>
      <c r="OF197" s="1"/>
      <c r="OG197" s="1"/>
      <c r="OH197" s="1"/>
      <c r="OI197" s="1"/>
      <c r="OJ197" s="1"/>
      <c r="OK197" s="1"/>
      <c r="OL197" s="1"/>
      <c r="OM197" s="1"/>
      <c r="ON197" s="1"/>
      <c r="OO197" s="1"/>
      <c r="OP197" s="1"/>
      <c r="OQ197" s="1"/>
      <c r="OR197" s="1"/>
      <c r="OS197" s="1"/>
      <c r="OT197" s="1"/>
      <c r="OU197" s="1"/>
      <c r="OV197" s="1"/>
      <c r="OW197" s="1"/>
      <c r="OX197" s="1"/>
      <c r="OY197" s="1"/>
      <c r="OZ197" s="1"/>
      <c r="PA197" s="1"/>
      <c r="PB197" s="1"/>
      <c r="PC197" s="1"/>
      <c r="PD197" s="1"/>
      <c r="PE197" s="1"/>
      <c r="PF197" s="1"/>
      <c r="PG197" s="1"/>
      <c r="PH197" s="1"/>
      <c r="PI197" s="1"/>
      <c r="PJ197" s="1"/>
      <c r="PK197" s="1"/>
      <c r="PL197" s="1"/>
      <c r="PM197" s="1"/>
      <c r="PN197" s="1"/>
      <c r="PO197" s="1"/>
      <c r="PP197" s="1"/>
      <c r="PQ197" s="1"/>
      <c r="PR197" s="1"/>
      <c r="PS197" s="1"/>
      <c r="PT197" s="1"/>
      <c r="PU197" s="1"/>
      <c r="PV197" s="1"/>
      <c r="PW197" s="1"/>
      <c r="PX197" s="1"/>
      <c r="PY197" s="1"/>
      <c r="PZ197" s="1"/>
      <c r="QA197" s="1"/>
      <c r="QB197" s="1"/>
      <c r="QC197" s="1"/>
      <c r="QD197" s="1"/>
      <c r="QE197" s="1"/>
      <c r="QF197" s="1"/>
      <c r="QG197" s="1"/>
      <c r="QH197" s="1"/>
      <c r="QI197" s="1"/>
      <c r="QJ197" s="1"/>
      <c r="QK197" s="1"/>
      <c r="QL197" s="1"/>
      <c r="QM197" s="1"/>
      <c r="QN197" s="1"/>
      <c r="QO197" s="1"/>
      <c r="QP197" s="1"/>
      <c r="QQ197" s="1"/>
      <c r="QR197" s="1"/>
      <c r="QS197" s="1"/>
      <c r="QT197" s="1"/>
      <c r="QU197" s="1"/>
      <c r="QV197" s="1"/>
      <c r="QW197" s="1"/>
      <c r="QX197" s="1"/>
      <c r="QY197" s="1"/>
      <c r="QZ197" s="1"/>
      <c r="RA197" s="1"/>
      <c r="RB197" s="1"/>
      <c r="RC197" s="1"/>
      <c r="RD197" s="1"/>
      <c r="RE197" s="1"/>
      <c r="RF197" s="1"/>
      <c r="RG197" s="1"/>
      <c r="RH197" s="1"/>
      <c r="RI197" s="1"/>
      <c r="RJ197" s="1"/>
      <c r="RK197" s="1"/>
      <c r="RL197" s="1"/>
      <c r="RM197" s="1"/>
      <c r="RN197" s="1"/>
      <c r="RO197" s="1"/>
      <c r="RP197" s="1"/>
      <c r="RQ197" s="1"/>
      <c r="RR197" s="1"/>
      <c r="RS197" s="1"/>
      <c r="RT197" s="1"/>
      <c r="RU197" s="1"/>
      <c r="RV197" s="1"/>
      <c r="RW197" s="1"/>
      <c r="RX197" s="1"/>
      <c r="RY197" s="1"/>
      <c r="RZ197" s="1"/>
      <c r="SA197" s="1"/>
      <c r="SB197" s="1"/>
      <c r="SC197" s="1"/>
      <c r="SD197" s="1"/>
      <c r="SE197" s="1"/>
      <c r="SF197" s="1"/>
      <c r="SG197" s="1"/>
      <c r="SH197" s="1"/>
      <c r="SI197" s="1"/>
      <c r="SJ197" s="1"/>
      <c r="SK197" s="1"/>
      <c r="SL197" s="1"/>
      <c r="SM197" s="1"/>
      <c r="SN197" s="1"/>
      <c r="SO197" s="1"/>
      <c r="SP197" s="1"/>
      <c r="SQ197" s="1"/>
      <c r="SR197" s="1"/>
      <c r="SS197" s="1"/>
      <c r="ST197" s="1"/>
      <c r="SU197" s="1"/>
      <c r="SV197" s="1"/>
      <c r="SW197" s="1"/>
      <c r="SX197" s="1"/>
      <c r="SY197" s="1"/>
      <c r="SZ197" s="1"/>
      <c r="TA197" s="1"/>
      <c r="TB197" s="1"/>
      <c r="TC197" s="1"/>
      <c r="TD197" s="1"/>
      <c r="TE197" s="1"/>
      <c r="TF197" s="1"/>
      <c r="TG197" s="1"/>
      <c r="TH197" s="1"/>
      <c r="TI197" s="1"/>
      <c r="TJ197" s="1"/>
      <c r="TK197" s="1"/>
      <c r="TL197" s="1"/>
      <c r="TM197" s="1"/>
      <c r="TN197" s="1"/>
      <c r="TO197" s="1"/>
      <c r="TP197" s="1"/>
      <c r="TQ197" s="1"/>
      <c r="TR197" s="1"/>
      <c r="TS197" s="1"/>
      <c r="TT197" s="1"/>
      <c r="TU197" s="1"/>
      <c r="TV197" s="1"/>
      <c r="TW197" s="1"/>
      <c r="TX197" s="1"/>
      <c r="TY197" s="1"/>
      <c r="TZ197" s="1"/>
      <c r="UA197" s="1"/>
      <c r="UB197" s="1"/>
      <c r="UC197" s="1"/>
      <c r="UD197" s="1"/>
      <c r="UE197" s="1"/>
      <c r="UF197" s="1"/>
      <c r="UG197" s="1"/>
      <c r="UH197" s="1"/>
      <c r="UI197" s="1"/>
      <c r="UJ197" s="1"/>
      <c r="UK197" s="1"/>
      <c r="UL197" s="1"/>
      <c r="UM197" s="1"/>
      <c r="UN197" s="1"/>
      <c r="UO197" s="1"/>
      <c r="UP197" s="1"/>
      <c r="UQ197" s="1"/>
      <c r="UR197" s="1"/>
      <c r="US197" s="1"/>
      <c r="UT197" s="1"/>
      <c r="UU197" s="1"/>
      <c r="UV197" s="1"/>
      <c r="UW197" s="1"/>
      <c r="UX197" s="1"/>
      <c r="UY197" s="1"/>
      <c r="UZ197" s="1"/>
      <c r="VA197" s="1"/>
      <c r="VB197" s="1"/>
      <c r="VC197" s="1"/>
      <c r="VD197" s="1"/>
      <c r="VE197" s="1"/>
      <c r="VF197" s="1"/>
      <c r="VG197" s="1"/>
      <c r="VH197" s="1"/>
      <c r="VI197" s="1"/>
      <c r="VJ197" s="1"/>
      <c r="VK197" s="1"/>
      <c r="VL197" s="1"/>
      <c r="VM197" s="1"/>
      <c r="VN197" s="1"/>
      <c r="VO197" s="1"/>
      <c r="VP197" s="1"/>
      <c r="VQ197" s="1"/>
      <c r="VR197" s="1"/>
      <c r="VS197" s="1"/>
      <c r="VT197" s="1"/>
      <c r="VU197" s="1"/>
      <c r="VV197" s="1"/>
      <c r="VW197" s="1"/>
      <c r="VX197" s="1"/>
      <c r="VY197" s="1"/>
      <c r="VZ197" s="1"/>
      <c r="WA197" s="1"/>
      <c r="WB197" s="1"/>
      <c r="WC197" s="1"/>
      <c r="WD197" s="1"/>
      <c r="WE197" s="1"/>
      <c r="WF197" s="1"/>
      <c r="WG197" s="1"/>
      <c r="WH197" s="1"/>
      <c r="WI197" s="1"/>
      <c r="WJ197" s="1"/>
      <c r="WK197" s="1"/>
      <c r="WL197" s="1"/>
      <c r="WM197" s="1"/>
      <c r="WN197" s="1"/>
      <c r="WO197" s="1"/>
      <c r="WP197" s="1"/>
      <c r="WQ197" s="1"/>
      <c r="WR197" s="1"/>
      <c r="WS197" s="1"/>
      <c r="WT197" s="1"/>
      <c r="WU197" s="1"/>
      <c r="WV197" s="1"/>
      <c r="WW197" s="1"/>
      <c r="WX197" s="1"/>
      <c r="WY197" s="1"/>
      <c r="WZ197" s="1"/>
      <c r="XA197" s="1"/>
      <c r="XB197" s="1"/>
      <c r="XC197" s="1"/>
      <c r="XD197" s="1"/>
      <c r="XE197" s="1"/>
      <c r="XF197" s="1"/>
      <c r="XG197" s="1"/>
      <c r="XH197" s="1"/>
      <c r="XI197" s="1"/>
      <c r="XJ197" s="1"/>
      <c r="XK197" s="1"/>
      <c r="XL197" s="1"/>
      <c r="XM197" s="1"/>
      <c r="XN197" s="1"/>
      <c r="XO197" s="1"/>
      <c r="XP197" s="1"/>
      <c r="XQ197" s="1"/>
      <c r="XR197" s="1"/>
      <c r="XS197" s="1"/>
      <c r="XT197" s="1"/>
      <c r="XU197" s="1"/>
      <c r="XV197" s="1"/>
      <c r="XW197" s="1"/>
      <c r="XX197" s="1"/>
      <c r="XY197" s="1"/>
      <c r="XZ197" s="1"/>
      <c r="YA197" s="1"/>
      <c r="YB197" s="1"/>
      <c r="YC197" s="1"/>
      <c r="YD197" s="1"/>
      <c r="YE197" s="1"/>
      <c r="YF197" s="1"/>
      <c r="YG197" s="1"/>
      <c r="YH197" s="1"/>
      <c r="YI197" s="1"/>
      <c r="YJ197" s="1"/>
      <c r="YK197" s="1"/>
      <c r="YL197" s="1"/>
      <c r="YM197" s="1"/>
      <c r="YN197" s="1"/>
      <c r="YO197" s="1"/>
      <c r="YP197" s="1"/>
      <c r="YQ197" s="1"/>
      <c r="YR197" s="1"/>
      <c r="YS197" s="1"/>
      <c r="YT197" s="1"/>
      <c r="YU197" s="1"/>
      <c r="YV197" s="1"/>
      <c r="YW197" s="1"/>
      <c r="YX197" s="1"/>
      <c r="YY197" s="1"/>
      <c r="YZ197" s="1"/>
      <c r="ZA197" s="1"/>
      <c r="ZB197" s="1"/>
      <c r="ZC197" s="1"/>
      <c r="ZD197" s="1"/>
      <c r="ZE197" s="1"/>
      <c r="ZF197" s="1"/>
      <c r="ZG197" s="1"/>
      <c r="ZH197" s="1"/>
      <c r="ZI197" s="1"/>
      <c r="ZJ197" s="1"/>
      <c r="ZK197" s="1"/>
      <c r="ZL197" s="1"/>
      <c r="ZM197" s="1"/>
      <c r="ZN197" s="1"/>
      <c r="ZO197" s="1"/>
      <c r="ZP197" s="1"/>
      <c r="ZQ197" s="1"/>
      <c r="ZR197" s="1"/>
      <c r="ZS197" s="1"/>
      <c r="ZT197" s="1"/>
      <c r="ZU197" s="1"/>
      <c r="ZV197" s="1"/>
      <c r="ZW197" s="1"/>
      <c r="ZX197" s="1"/>
      <c r="ZY197" s="1"/>
      <c r="ZZ197" s="1"/>
      <c r="AAA197" s="1"/>
      <c r="AAB197" s="1"/>
      <c r="AAC197" s="1"/>
      <c r="AAD197" s="1"/>
      <c r="AAE197" s="1"/>
      <c r="AAF197" s="1"/>
      <c r="AAG197" s="1"/>
      <c r="AAH197" s="1"/>
      <c r="AAI197" s="1"/>
      <c r="AAJ197" s="1"/>
      <c r="AAK197" s="1"/>
      <c r="AAL197" s="1"/>
      <c r="AAM197" s="1"/>
      <c r="AAN197" s="1"/>
      <c r="AAO197" s="1"/>
      <c r="AAP197" s="1"/>
      <c r="AAQ197" s="1"/>
      <c r="AAR197" s="1"/>
      <c r="AAS197" s="1"/>
      <c r="AAT197" s="1"/>
      <c r="AAU197" s="1"/>
      <c r="AAV197" s="1"/>
      <c r="AAW197" s="1"/>
      <c r="AAX197" s="1"/>
      <c r="AAY197" s="1"/>
      <c r="AAZ197" s="1"/>
      <c r="ABA197" s="1"/>
      <c r="ABB197" s="1"/>
      <c r="ABC197" s="1"/>
      <c r="ABD197" s="1"/>
      <c r="ABE197" s="1"/>
      <c r="ABF197" s="1"/>
      <c r="ABG197" s="1"/>
      <c r="ABH197" s="1"/>
      <c r="ABI197" s="1"/>
      <c r="ABJ197" s="1"/>
      <c r="ABK197" s="1"/>
      <c r="ABL197" s="1"/>
      <c r="ABM197" s="1"/>
      <c r="ABN197" s="1"/>
      <c r="ABO197" s="1"/>
      <c r="ABP197" s="1"/>
      <c r="ABQ197" s="1"/>
      <c r="ABR197" s="1"/>
      <c r="ABS197" s="1"/>
      <c r="ABT197" s="1"/>
      <c r="ABU197" s="1"/>
      <c r="ABV197" s="1"/>
      <c r="ABW197" s="1"/>
      <c r="ABX197" s="1"/>
      <c r="ABY197" s="1"/>
      <c r="ABZ197" s="1"/>
      <c r="ACA197" s="1"/>
      <c r="ACB197" s="1"/>
      <c r="ACC197" s="1"/>
      <c r="ACD197" s="1"/>
      <c r="ACE197" s="1"/>
      <c r="ACF197" s="1"/>
      <c r="ACG197" s="1"/>
      <c r="ACH197" s="1"/>
      <c r="ACI197" s="1"/>
      <c r="ACJ197" s="1"/>
      <c r="ACK197" s="1"/>
      <c r="ACL197" s="1"/>
      <c r="ACM197" s="1"/>
      <c r="ACN197" s="1"/>
      <c r="ACO197" s="1"/>
      <c r="ACP197" s="1"/>
      <c r="ACQ197" s="1"/>
      <c r="ACR197" s="1"/>
      <c r="ACS197" s="1"/>
      <c r="ACT197" s="1"/>
      <c r="ACU197" s="1"/>
      <c r="ACV197" s="1"/>
      <c r="ACW197" s="1"/>
      <c r="ACX197" s="1"/>
      <c r="ACY197" s="1"/>
      <c r="ACZ197" s="1"/>
      <c r="ADA197" s="1"/>
      <c r="ADB197" s="1"/>
      <c r="ADC197" s="1"/>
      <c r="ADD197" s="1"/>
      <c r="ADE197" s="1"/>
      <c r="ADF197" s="1"/>
      <c r="ADG197" s="1"/>
      <c r="ADH197" s="1"/>
      <c r="ADI197" s="1"/>
      <c r="ADJ197" s="1"/>
      <c r="ADK197" s="1"/>
      <c r="ADL197" s="1"/>
      <c r="ADM197" s="1"/>
      <c r="ADN197" s="1"/>
      <c r="ADO197" s="1"/>
      <c r="ADP197" s="1"/>
      <c r="ADQ197" s="1"/>
      <c r="ADR197" s="1"/>
      <c r="ADS197" s="1"/>
      <c r="ADT197" s="1"/>
      <c r="ADU197" s="1"/>
      <c r="ADV197" s="1"/>
      <c r="ADW197" s="1"/>
      <c r="ADX197" s="1"/>
      <c r="ADY197" s="1"/>
      <c r="ADZ197" s="1"/>
      <c r="AEA197" s="1"/>
      <c r="AEB197" s="1"/>
      <c r="AEC197" s="1"/>
      <c r="AED197" s="1"/>
      <c r="AEE197" s="1"/>
      <c r="AEF197" s="1"/>
      <c r="AEG197" s="1"/>
      <c r="AEH197" s="1"/>
      <c r="AEI197" s="1"/>
      <c r="AEJ197" s="1"/>
      <c r="AEK197" s="1"/>
      <c r="AEL197" s="1"/>
      <c r="AEM197" s="1"/>
      <c r="AEN197" s="1"/>
      <c r="AEO197" s="1"/>
      <c r="AEP197" s="1"/>
      <c r="AEQ197" s="1"/>
      <c r="AER197" s="1"/>
      <c r="AES197" s="1"/>
      <c r="AET197" s="1"/>
      <c r="AEU197" s="1"/>
      <c r="AEV197" s="1"/>
      <c r="AEW197" s="1"/>
      <c r="AEX197" s="1"/>
      <c r="AEY197" s="1"/>
      <c r="AEZ197" s="1"/>
      <c r="AFA197" s="1"/>
      <c r="AFB197" s="1"/>
      <c r="AFC197" s="1"/>
      <c r="AFD197" s="1"/>
      <c r="AFE197" s="1"/>
      <c r="AFF197" s="1"/>
      <c r="AFG197" s="1"/>
      <c r="AFH197" s="1"/>
      <c r="AFI197" s="1"/>
      <c r="AFJ197" s="1"/>
      <c r="AFK197" s="1"/>
      <c r="AFL197" s="1"/>
      <c r="AFM197" s="1"/>
      <c r="AFN197" s="1"/>
      <c r="AFO197" s="1"/>
      <c r="AFP197" s="1"/>
      <c r="AFQ197" s="1"/>
      <c r="AFR197" s="1"/>
      <c r="AFS197" s="1"/>
      <c r="AFT197" s="1"/>
      <c r="AFU197" s="1"/>
      <c r="AFV197" s="1"/>
      <c r="AFW197" s="1"/>
      <c r="AFX197" s="1"/>
      <c r="AFY197" s="1"/>
      <c r="AFZ197" s="1"/>
      <c r="AGA197" s="1"/>
      <c r="AGB197" s="1"/>
      <c r="AGC197" s="1"/>
      <c r="AGD197" s="1"/>
      <c r="AGE197" s="1"/>
      <c r="AGF197" s="1"/>
      <c r="AGG197" s="1"/>
      <c r="AGH197" s="1"/>
      <c r="AGI197" s="1"/>
      <c r="AGJ197" s="1"/>
      <c r="AGK197" s="1"/>
      <c r="AGL197" s="1"/>
      <c r="AGM197" s="1"/>
      <c r="AGN197" s="1"/>
      <c r="AGO197" s="1"/>
      <c r="AGP197" s="1"/>
      <c r="AGQ197" s="1"/>
      <c r="AGR197" s="1"/>
      <c r="AGS197" s="1"/>
      <c r="AGT197" s="1"/>
      <c r="AGU197" s="1"/>
      <c r="AGV197" s="1"/>
      <c r="AGW197" s="1"/>
      <c r="AGX197" s="1"/>
      <c r="AGY197" s="1"/>
      <c r="AGZ197" s="1"/>
      <c r="AHA197" s="1"/>
      <c r="AHB197" s="1"/>
      <c r="AHC197" s="1"/>
      <c r="AHD197" s="1"/>
      <c r="AHE197" s="1"/>
      <c r="AHF197" s="1"/>
      <c r="AHG197" s="1"/>
      <c r="AHH197" s="1"/>
      <c r="AHI197" s="1"/>
      <c r="AHJ197" s="1"/>
      <c r="AHK197" s="1"/>
      <c r="AHL197" s="1"/>
      <c r="AHM197" s="1"/>
      <c r="AHN197" s="1"/>
      <c r="AHO197" s="1"/>
      <c r="AHP197" s="1"/>
      <c r="AHQ197" s="1"/>
      <c r="AHR197" s="1"/>
      <c r="AHS197" s="1"/>
      <c r="AHT197" s="1"/>
      <c r="AHU197" s="1"/>
      <c r="AHV197" s="1"/>
      <c r="AHW197" s="1"/>
      <c r="AHX197" s="1"/>
      <c r="AHY197" s="1"/>
      <c r="AHZ197" s="1"/>
      <c r="AIA197" s="1"/>
      <c r="AIB197" s="1"/>
      <c r="AIC197" s="1"/>
      <c r="AID197" s="1"/>
      <c r="AIE197" s="1"/>
      <c r="AIF197" s="1"/>
      <c r="AIG197" s="1"/>
      <c r="AIH197" s="1"/>
      <c r="AII197" s="1"/>
      <c r="AIJ197" s="1"/>
      <c r="AIK197" s="1"/>
      <c r="AIL197" s="1"/>
      <c r="AIM197" s="1"/>
      <c r="AIN197" s="1"/>
      <c r="AIO197" s="1"/>
      <c r="AIP197" s="1"/>
      <c r="AIQ197" s="1"/>
      <c r="AIR197" s="1"/>
      <c r="AIS197" s="1"/>
      <c r="AIT197" s="1"/>
      <c r="AIU197" s="1"/>
      <c r="AIV197" s="1"/>
      <c r="AIW197" s="1"/>
      <c r="AIX197" s="1"/>
      <c r="AIY197" s="1"/>
      <c r="AIZ197" s="1"/>
      <c r="AJA197" s="1"/>
      <c r="AJB197" s="1"/>
      <c r="AJC197" s="1"/>
      <c r="AJD197" s="1"/>
      <c r="AJE197" s="1"/>
      <c r="AJF197" s="1"/>
      <c r="AJG197" s="1"/>
      <c r="AJH197" s="1"/>
      <c r="AJI197" s="1"/>
      <c r="AJJ197" s="1"/>
      <c r="AJK197" s="1"/>
      <c r="AJL197" s="1"/>
      <c r="AJM197" s="1"/>
      <c r="AJN197" s="1"/>
      <c r="AJO197" s="1"/>
      <c r="AJP197" s="1"/>
      <c r="AJQ197" s="1"/>
      <c r="AJR197" s="1"/>
      <c r="AJS197" s="1"/>
      <c r="AJT197" s="1"/>
      <c r="AJU197" s="1"/>
      <c r="AJV197" s="1"/>
      <c r="AJW197" s="1"/>
      <c r="AJX197" s="1"/>
      <c r="AJY197" s="1"/>
      <c r="AJZ197" s="1"/>
      <c r="AKA197" s="1"/>
      <c r="AKB197" s="1"/>
      <c r="AKC197" s="1"/>
      <c r="AKD197" s="1"/>
      <c r="AKE197" s="1"/>
      <c r="AKF197" s="1"/>
      <c r="AKG197" s="1"/>
      <c r="AKH197" s="1"/>
      <c r="AKI197" s="1"/>
      <c r="AKJ197" s="1"/>
      <c r="AKK197" s="1"/>
      <c r="AKL197" s="1"/>
      <c r="AKM197" s="1"/>
      <c r="AKN197" s="1"/>
      <c r="AKO197" s="1"/>
      <c r="AKP197" s="1"/>
      <c r="AKQ197" s="1"/>
      <c r="AKR197" s="1"/>
      <c r="AKS197" s="1"/>
      <c r="AKT197" s="1"/>
      <c r="AKU197" s="1"/>
      <c r="AKV197" s="1"/>
      <c r="AKW197" s="1"/>
      <c r="AKX197" s="1"/>
      <c r="AKY197" s="1"/>
      <c r="AKZ197" s="1"/>
      <c r="ALA197" s="1"/>
      <c r="ALB197" s="1"/>
      <c r="ALC197" s="1"/>
      <c r="ALD197" s="1"/>
      <c r="ALE197" s="1"/>
      <c r="ALF197" s="1"/>
      <c r="ALG197" s="1"/>
      <c r="ALH197" s="1"/>
      <c r="ALI197" s="1"/>
      <c r="ALJ197" s="1"/>
      <c r="ALK197" s="1"/>
      <c r="ALL197" s="1"/>
      <c r="ALM197" s="1"/>
      <c r="ALN197" s="1"/>
      <c r="ALO197" s="1"/>
      <c r="ALP197" s="1"/>
      <c r="ALQ197" s="1"/>
      <c r="ALR197" s="1"/>
      <c r="ALS197" s="1"/>
      <c r="ALT197" s="1"/>
      <c r="ALU197" s="1"/>
      <c r="ALV197" s="1"/>
      <c r="ALW197" s="1"/>
      <c r="ALX197" s="1"/>
      <c r="ALY197" s="1"/>
      <c r="ALZ197" s="1"/>
      <c r="AMA197" s="1"/>
      <c r="AMB197" s="1"/>
      <c r="AMC197" s="1"/>
      <c r="AMD197" s="1"/>
      <c r="AME197" s="1"/>
      <c r="AMF197" s="1"/>
      <c r="AMG197" s="1"/>
      <c r="AMH197" s="1"/>
      <c r="AMI197" s="1"/>
      <c r="AMJ197" s="1"/>
      <c r="AMK197" s="1"/>
      <c r="AML197" s="1"/>
      <c r="AMM197" s="1"/>
      <c r="AMN197" s="1"/>
    </row>
    <row r="198" spans="1:1029" x14ac:dyDescent="0.2">
      <c r="A198" s="3" t="str">
        <f t="shared" si="862"/>
        <v>grm1_human_4OR2</v>
      </c>
      <c r="B198" s="3" t="s">
        <v>40</v>
      </c>
      <c r="C198" s="3" t="s">
        <v>96</v>
      </c>
      <c r="D198" s="3" t="str">
        <f>IFERROR(MID(VLOOKUP($B198,Seqs!$A:$B,2,0),E198,1),"")</f>
        <v>I</v>
      </c>
      <c r="E198" s="3">
        <v>591</v>
      </c>
      <c r="F198" s="3" t="str">
        <f>IFERROR(MID(VLOOKUP($B198,Seqs!$A:$B,2,0),G198,1),"")</f>
        <v>Y</v>
      </c>
      <c r="G198" s="3">
        <v>617</v>
      </c>
      <c r="H198" s="3" t="str">
        <f>IFERROR(MID(VLOOKUP($B198,Seqs!$A:$B,2,0),I198,1),"")</f>
        <v>T</v>
      </c>
      <c r="I198" s="23">
        <v>620</v>
      </c>
      <c r="J198" s="3" t="str">
        <f>IFERROR(MID(VLOOKUP($B198,Seqs!$A:$B,2,0),K198,1),"")</f>
        <v>S</v>
      </c>
      <c r="K198" s="23">
        <v>626</v>
      </c>
      <c r="L198" s="3" t="str">
        <f>IFERROR(MID(VLOOKUP($B198,Seqs!$A:$B,2,0),M198,1),"")</f>
        <v>S</v>
      </c>
      <c r="M198" s="3">
        <v>627</v>
      </c>
      <c r="N198" s="3" t="str">
        <f>IFERROR(MID(VLOOKUP($B198,Seqs!$A:$B,2,0),O198,1),"")</f>
        <v>I</v>
      </c>
      <c r="O198" s="3">
        <v>649</v>
      </c>
      <c r="P198" s="3" t="str">
        <f>IFERROR(MID(VLOOKUP($B198,Seqs!$A:$B,2,0),Q198,1),"")</f>
        <v/>
      </c>
      <c r="Q198" s="3" t="s">
        <v>23</v>
      </c>
      <c r="R198" s="3" t="str">
        <f>IFERROR(MID(VLOOKUP($B198,Seqs!$A:$B,2,0),S198,1),"")</f>
        <v/>
      </c>
      <c r="S198" s="3" t="s">
        <v>23</v>
      </c>
      <c r="T198" s="3" t="str">
        <f>IFERROR(MID(VLOOKUP($B198,Seqs!$A:$B,2,0),U198,1),"")</f>
        <v>T</v>
      </c>
      <c r="U198" s="3">
        <v>654</v>
      </c>
      <c r="V198" s="3" t="str">
        <f>IFERROR(MID(VLOOKUP($B198,Seqs!$A:$B,2,0),W198,1),"")</f>
        <v>L</v>
      </c>
      <c r="W198" s="3">
        <v>686</v>
      </c>
      <c r="X198" s="3" t="str">
        <f>IFERROR(MID(VLOOKUP($B198,Seqs!$A:$B,2,0),Y198,1),"")</f>
        <v/>
      </c>
      <c r="Y198" s="3" t="s">
        <v>23</v>
      </c>
      <c r="Z198" s="3" t="str">
        <f>IFERROR(MID(VLOOKUP($B198,Seqs!$A:$B,2,0),AA198,1),"")</f>
        <v/>
      </c>
      <c r="AA198" s="3" t="s">
        <v>23</v>
      </c>
      <c r="AB198" s="3" t="str">
        <f>IFERROR(MID(VLOOKUP($B198,Seqs!$A:$B,2,0),AC198,1),"")</f>
        <v>S</v>
      </c>
      <c r="AC198" s="9">
        <v>702</v>
      </c>
      <c r="AD198" s="3" t="str">
        <f>IFERROR(MID(VLOOKUP($B198,Seqs!$A:$B,2,0),AE198,1),"")</f>
        <v>E</v>
      </c>
      <c r="AE198" s="3">
        <v>728</v>
      </c>
      <c r="AF198" s="3" t="str">
        <f>IFERROR(MID(VLOOKUP($B198,Seqs!$A:$B,2,0),AG198,1),"")</f>
        <v>C</v>
      </c>
      <c r="AG198" s="3">
        <v>746</v>
      </c>
      <c r="AH198" s="3" t="str">
        <f>IFERROR(MID(VLOOKUP($B198,Seqs!$A:$B,2,0),AI198,1),"")</f>
        <v>T</v>
      </c>
      <c r="AI198" s="3">
        <v>748</v>
      </c>
      <c r="AJ198" s="3" t="str">
        <f>IFERROR(MID(VLOOKUP($B198,Seqs!$A:$B,2,0),AK198,1),"")</f>
        <v>N</v>
      </c>
      <c r="AK198" s="3">
        <v>750</v>
      </c>
      <c r="AL198" s="3" t="str">
        <f>IFERROR(MID(VLOOKUP($B198,Seqs!$A:$B,2,0),AM198,1),"")</f>
        <v>T</v>
      </c>
      <c r="AM198" s="3">
        <v>774</v>
      </c>
      <c r="AN198" s="3" t="str">
        <f>IFERROR(MID(VLOOKUP($B198,Seqs!$A:$B,2,0),AO198,1),"")</f>
        <v>E</v>
      </c>
      <c r="AO198" s="3">
        <v>783</v>
      </c>
      <c r="AP198" s="3" t="str">
        <f>IFERROR(MID(VLOOKUP($B198,Seqs!$A:$B,2,0),AQ198,1),"")</f>
        <v>G</v>
      </c>
      <c r="AQ198" s="3">
        <v>807</v>
      </c>
      <c r="AR198" s="3" t="str">
        <f>IFERROR(MID(VLOOKUP($B198,Seqs!$A:$B,2,0),AS198,1),"")</f>
        <v>K</v>
      </c>
      <c r="AS198" s="3">
        <v>811</v>
      </c>
      <c r="AT198" s="3" t="str">
        <f>IFERROR(MID(VLOOKUP($B198,Seqs!$A:$B,2,0),AU198,1),"")</f>
        <v>A</v>
      </c>
      <c r="AU198" s="3">
        <v>840</v>
      </c>
      <c r="AV198" s="3" t="str">
        <f>IFERROR(MID(VLOOKUP($B198,Seqs!$A:$B,2,0),AW198,1),"")</f>
        <v>K</v>
      </c>
      <c r="AW198" s="3">
        <v>841</v>
      </c>
      <c r="AX198" s="3" t="str">
        <f>IFERROR(MID(VLOOKUP($B198,Seqs!$A:$B,2,0),AY198,1),"")</f>
        <v>P</v>
      </c>
      <c r="AY198" s="3">
        <v>842</v>
      </c>
      <c r="AZ198" s="79" t="str">
        <f>VLOOKUP(B198,Classification!A:D,2,0)</f>
        <v>C</v>
      </c>
      <c r="BA198" s="97" t="str">
        <f>VLOOKUP(B198,Classification!A:D,4,0)</f>
        <v>Metabotropicglutamate</v>
      </c>
      <c r="BB198" s="27" t="b">
        <f t="shared" si="863"/>
        <v>1</v>
      </c>
      <c r="BC198" s="23">
        <f t="shared" si="836"/>
        <v>204</v>
      </c>
      <c r="BD198" s="2" t="s">
        <v>1383</v>
      </c>
      <c r="BE198" s="3" t="s">
        <v>1381</v>
      </c>
      <c r="BF198" s="50" t="s">
        <v>1384</v>
      </c>
      <c r="BG198" s="50" t="s">
        <v>1384</v>
      </c>
      <c r="BI198" s="72" t="s">
        <v>1293</v>
      </c>
      <c r="BJ198" s="58" t="s">
        <v>1293</v>
      </c>
      <c r="BK198" s="58" t="s">
        <v>1293</v>
      </c>
      <c r="BL198" s="58" t="s">
        <v>1293</v>
      </c>
      <c r="BM198" s="58" t="s">
        <v>1293</v>
      </c>
      <c r="BN198" s="58" t="s">
        <v>1293</v>
      </c>
      <c r="BO198" s="58" t="s">
        <v>1293</v>
      </c>
      <c r="BP198" s="58" t="s">
        <v>1293</v>
      </c>
      <c r="BQ198" s="58" t="s">
        <v>1293</v>
      </c>
      <c r="BR198" s="58" t="s">
        <v>1293</v>
      </c>
      <c r="BS198" s="58" t="s">
        <v>1293</v>
      </c>
      <c r="BT198" s="58" t="s">
        <v>1293</v>
      </c>
      <c r="BU198" s="72">
        <f t="shared" si="837"/>
        <v>591</v>
      </c>
      <c r="BV198" s="73">
        <f t="shared" si="838"/>
        <v>620</v>
      </c>
      <c r="BW198" s="74">
        <f t="shared" si="839"/>
        <v>627</v>
      </c>
      <c r="BX198" s="73" t="str">
        <f t="shared" si="840"/>
        <v>-</v>
      </c>
      <c r="BY198" s="74">
        <f t="shared" si="841"/>
        <v>654</v>
      </c>
      <c r="BZ198" s="73" t="str">
        <f t="shared" si="842"/>
        <v>-</v>
      </c>
      <c r="CA198" s="74">
        <f t="shared" si="843"/>
        <v>702</v>
      </c>
      <c r="CB198" s="73">
        <f t="shared" si="844"/>
        <v>746</v>
      </c>
      <c r="CC198" s="74">
        <f t="shared" si="845"/>
        <v>750</v>
      </c>
      <c r="CD198" s="73">
        <f t="shared" si="846"/>
        <v>783</v>
      </c>
      <c r="CE198" s="74">
        <f t="shared" si="847"/>
        <v>811</v>
      </c>
      <c r="CF198" s="73">
        <f t="shared" si="848"/>
        <v>841</v>
      </c>
      <c r="CG198" s="72">
        <f t="shared" si="849"/>
        <v>617</v>
      </c>
      <c r="CH198" s="73">
        <f t="shared" si="850"/>
        <v>626</v>
      </c>
      <c r="CI198" s="74">
        <f t="shared" si="851"/>
        <v>649</v>
      </c>
      <c r="CJ198" s="74" t="str">
        <f t="shared" si="852"/>
        <v>-</v>
      </c>
      <c r="CK198" s="74">
        <f t="shared" si="853"/>
        <v>686</v>
      </c>
      <c r="CL198" s="74" t="str">
        <f t="shared" si="854"/>
        <v>-</v>
      </c>
      <c r="CM198" s="74">
        <f t="shared" si="855"/>
        <v>728</v>
      </c>
      <c r="CN198" s="74">
        <f t="shared" si="856"/>
        <v>748</v>
      </c>
      <c r="CO198" s="74">
        <f t="shared" si="857"/>
        <v>774</v>
      </c>
      <c r="CP198" s="74">
        <f t="shared" si="858"/>
        <v>807</v>
      </c>
      <c r="CQ198" s="74">
        <f t="shared" si="859"/>
        <v>840</v>
      </c>
      <c r="CR198" s="74">
        <f t="shared" si="860"/>
        <v>842</v>
      </c>
      <c r="CS198" s="23">
        <f t="shared" si="861"/>
        <v>1</v>
      </c>
    </row>
    <row r="199" spans="1:1029" x14ac:dyDescent="0.2">
      <c r="A199" s="3" t="str">
        <f t="shared" si="862"/>
        <v>grm5_human__wt</v>
      </c>
      <c r="B199" s="3" t="s">
        <v>41</v>
      </c>
      <c r="C199" s="3" t="s">
        <v>100</v>
      </c>
      <c r="D199" s="3" t="str">
        <f>IFERROR(MID(VLOOKUP($B199,Seqs!$A:$B,2,0),E199,1),"")</f>
        <v>P</v>
      </c>
      <c r="E199" s="3">
        <v>578</v>
      </c>
      <c r="F199" s="3" t="str">
        <f>IFERROR(MID(VLOOKUP($B199,Seqs!$A:$B,2,0),G199,1),"")</f>
        <v>Y</v>
      </c>
      <c r="G199" s="3">
        <v>604</v>
      </c>
      <c r="H199" s="3" t="str">
        <f>IFERROR(MID(VLOOKUP($B199,Seqs!$A:$B,2,0),I199,1),"")</f>
        <v>T</v>
      </c>
      <c r="I199" s="23">
        <v>607</v>
      </c>
      <c r="J199" s="3" t="str">
        <f>IFERROR(MID(VLOOKUP($B199,Seqs!$A:$B,2,0),K199,1),"")</f>
        <v>S</v>
      </c>
      <c r="K199" s="23">
        <v>613</v>
      </c>
      <c r="L199" s="3" t="str">
        <f>IFERROR(MID(VLOOKUP($B199,Seqs!$A:$B,2,0),M199,1),"")</f>
        <v>S</v>
      </c>
      <c r="M199" s="3">
        <v>614</v>
      </c>
      <c r="N199" s="3" t="str">
        <f>IFERROR(MID(VLOOKUP($B199,Seqs!$A:$B,2,0),O199,1),"")</f>
        <v>I</v>
      </c>
      <c r="O199" s="3">
        <v>636</v>
      </c>
      <c r="P199" s="3" t="str">
        <f>IFERROR(MID(VLOOKUP($B199,Seqs!$A:$B,2,0),Q199,1),"")</f>
        <v/>
      </c>
      <c r="Q199" s="3" t="s">
        <v>23</v>
      </c>
      <c r="R199" s="3" t="str">
        <f>IFERROR(MID(VLOOKUP($B199,Seqs!$A:$B,2,0),S199,1),"")</f>
        <v/>
      </c>
      <c r="S199" s="3" t="s">
        <v>23</v>
      </c>
      <c r="T199" s="3" t="str">
        <f>IFERROR(MID(VLOOKUP($B199,Seqs!$A:$B,2,0),U199,1),"")</f>
        <v>Q</v>
      </c>
      <c r="U199" s="3">
        <v>641</v>
      </c>
      <c r="V199" s="3" t="str">
        <f>IFERROR(MID(VLOOKUP($B199,Seqs!$A:$B,2,0),W199,1),"")</f>
        <v>L</v>
      </c>
      <c r="W199" s="3">
        <v>673</v>
      </c>
      <c r="X199" s="3" t="str">
        <f>IFERROR(MID(VLOOKUP($B199,Seqs!$A:$B,2,0),Y199,1),"")</f>
        <v/>
      </c>
      <c r="Y199" s="3" t="s">
        <v>23</v>
      </c>
      <c r="Z199" s="3" t="str">
        <f>IFERROR(MID(VLOOKUP($B199,Seqs!$A:$B,2,0),AA199,1),"")</f>
        <v/>
      </c>
      <c r="AA199" s="3" t="s">
        <v>23</v>
      </c>
      <c r="AB199" s="3" t="str">
        <f>IFERROR(MID(VLOOKUP($B199,Seqs!$A:$B,2,0),AC199,1),"")</f>
        <v>S</v>
      </c>
      <c r="AC199" s="9">
        <v>689</v>
      </c>
      <c r="AD199" s="3" t="str">
        <f>IFERROR(MID(VLOOKUP($B199,Seqs!$A:$B,2,0),AE199,1),"")</f>
        <v>E</v>
      </c>
      <c r="AE199" s="3">
        <v>715</v>
      </c>
      <c r="AF199" s="3" t="str">
        <f>IFERROR(MID(VLOOKUP($B199,Seqs!$A:$B,2,0),AG199,1),"")</f>
        <v>C</v>
      </c>
      <c r="AG199" s="3">
        <v>733</v>
      </c>
      <c r="AH199" s="3" t="str">
        <f>IFERROR(MID(VLOOKUP($B199,Seqs!$A:$B,2,0),AI199,1),"")</f>
        <v>T</v>
      </c>
      <c r="AI199" s="3">
        <v>735</v>
      </c>
      <c r="AJ199" s="3" t="str">
        <f>IFERROR(MID(VLOOKUP($B199,Seqs!$A:$B,2,0),AK199,1),"")</f>
        <v>N</v>
      </c>
      <c r="AK199" s="3">
        <v>737</v>
      </c>
      <c r="AL199" s="3" t="str">
        <f>IFERROR(MID(VLOOKUP($B199,Seqs!$A:$B,2,0),AM199,1),"")</f>
        <v>T</v>
      </c>
      <c r="AM199" s="3">
        <v>761</v>
      </c>
      <c r="AN199" s="3" t="str">
        <f>IFERROR(MID(VLOOKUP($B199,Seqs!$A:$B,2,0),AO199,1),"")</f>
        <v>E</v>
      </c>
      <c r="AO199" s="3">
        <v>770</v>
      </c>
      <c r="AP199" s="3" t="str">
        <f>IFERROR(MID(VLOOKUP($B199,Seqs!$A:$B,2,0),AQ199,1),"")</f>
        <v>G</v>
      </c>
      <c r="AQ199" s="3">
        <v>794</v>
      </c>
      <c r="AR199" s="3" t="str">
        <f>IFERROR(MID(VLOOKUP($B199,Seqs!$A:$B,2,0),AS199,1),"")</f>
        <v>K</v>
      </c>
      <c r="AS199" s="3">
        <v>798</v>
      </c>
      <c r="AT199" s="3" t="str">
        <f>IFERROR(MID(VLOOKUP($B199,Seqs!$A:$B,2,0),AU199,1),"")</f>
        <v>A</v>
      </c>
      <c r="AU199" s="3">
        <v>827</v>
      </c>
      <c r="AV199" s="3" t="str">
        <f>IFERROR(MID(VLOOKUP($B199,Seqs!$A:$B,2,0),AW199,1),"")</f>
        <v>K</v>
      </c>
      <c r="AW199" s="3">
        <v>828</v>
      </c>
      <c r="AX199" s="3" t="str">
        <f>IFERROR(MID(VLOOKUP($B199,Seqs!$A:$B,2,0),AY199,1),"")</f>
        <v>S</v>
      </c>
      <c r="AY199" s="3">
        <v>840</v>
      </c>
      <c r="AZ199" s="79" t="str">
        <f>VLOOKUP(B199,Classification!A:D,2,0)</f>
        <v>C</v>
      </c>
      <c r="BA199" s="97" t="str">
        <f>VLOOKUP(B199,Classification!A:D,4,0)</f>
        <v>Metabotropicglutamate</v>
      </c>
      <c r="BB199" s="27" t="b">
        <f t="shared" si="863"/>
        <v>1</v>
      </c>
      <c r="BC199" s="23">
        <f t="shared" si="836"/>
        <v>215</v>
      </c>
      <c r="BD199" s="57" t="s">
        <v>1379</v>
      </c>
      <c r="BE199" s="3" t="s">
        <v>1381</v>
      </c>
      <c r="BF199" s="50" t="s">
        <v>1379</v>
      </c>
      <c r="BG199" s="50" t="s">
        <v>1384</v>
      </c>
      <c r="BI199" s="72" t="s">
        <v>1293</v>
      </c>
      <c r="BJ199" s="58" t="s">
        <v>1293</v>
      </c>
      <c r="BK199" s="58" t="s">
        <v>1293</v>
      </c>
      <c r="BL199" s="58" t="s">
        <v>1293</v>
      </c>
      <c r="BM199" s="58" t="s">
        <v>1293</v>
      </c>
      <c r="BN199" s="58" t="s">
        <v>1293</v>
      </c>
      <c r="BO199" s="58" t="s">
        <v>1293</v>
      </c>
      <c r="BP199" s="58" t="s">
        <v>1293</v>
      </c>
      <c r="BQ199" s="58" t="s">
        <v>1293</v>
      </c>
      <c r="BR199" s="58" t="s">
        <v>1293</v>
      </c>
      <c r="BS199" s="58" t="s">
        <v>1293</v>
      </c>
      <c r="BT199" s="58" t="s">
        <v>1293</v>
      </c>
      <c r="BU199" s="72">
        <f t="shared" si="837"/>
        <v>578</v>
      </c>
      <c r="BV199" s="73">
        <f t="shared" si="838"/>
        <v>607</v>
      </c>
      <c r="BW199" s="74">
        <f t="shared" si="839"/>
        <v>614</v>
      </c>
      <c r="BX199" s="73" t="str">
        <f t="shared" si="840"/>
        <v>-</v>
      </c>
      <c r="BY199" s="74">
        <f t="shared" si="841"/>
        <v>641</v>
      </c>
      <c r="BZ199" s="73" t="str">
        <f t="shared" si="842"/>
        <v>-</v>
      </c>
      <c r="CA199" s="74">
        <f t="shared" si="843"/>
        <v>689</v>
      </c>
      <c r="CB199" s="73">
        <f t="shared" si="844"/>
        <v>733</v>
      </c>
      <c r="CC199" s="74">
        <f t="shared" si="845"/>
        <v>737</v>
      </c>
      <c r="CD199" s="73">
        <f t="shared" si="846"/>
        <v>770</v>
      </c>
      <c r="CE199" s="74">
        <f t="shared" si="847"/>
        <v>798</v>
      </c>
      <c r="CF199" s="73">
        <f t="shared" si="848"/>
        <v>828</v>
      </c>
      <c r="CG199" s="72">
        <f t="shared" si="849"/>
        <v>604</v>
      </c>
      <c r="CH199" s="73">
        <f t="shared" si="850"/>
        <v>613</v>
      </c>
      <c r="CI199" s="74">
        <f t="shared" si="851"/>
        <v>636</v>
      </c>
      <c r="CJ199" s="74" t="str">
        <f t="shared" si="852"/>
        <v>-</v>
      </c>
      <c r="CK199" s="74">
        <f t="shared" si="853"/>
        <v>673</v>
      </c>
      <c r="CL199" s="74" t="str">
        <f t="shared" si="854"/>
        <v>-</v>
      </c>
      <c r="CM199" s="74">
        <f t="shared" si="855"/>
        <v>715</v>
      </c>
      <c r="CN199" s="74">
        <f t="shared" si="856"/>
        <v>735</v>
      </c>
      <c r="CO199" s="74">
        <f t="shared" si="857"/>
        <v>761</v>
      </c>
      <c r="CP199" s="74">
        <f t="shared" si="858"/>
        <v>794</v>
      </c>
      <c r="CQ199" s="74">
        <f t="shared" si="859"/>
        <v>827</v>
      </c>
      <c r="CR199" s="74">
        <f t="shared" si="860"/>
        <v>840</v>
      </c>
      <c r="CS199" s="23">
        <f t="shared" si="861"/>
        <v>1</v>
      </c>
    </row>
    <row r="200" spans="1:1029" x14ac:dyDescent="0.2">
      <c r="A200" s="3" t="str">
        <f t="shared" si="862"/>
        <v>grm5_human_4OO9</v>
      </c>
      <c r="B200" s="3" t="s">
        <v>41</v>
      </c>
      <c r="C200" s="3" t="s">
        <v>57</v>
      </c>
      <c r="D200" s="3" t="str">
        <f>IFERROR(MID(VLOOKUP($B200,Seqs!$A:$B,2,0),E200,1),"")</f>
        <v>P</v>
      </c>
      <c r="E200" s="3">
        <v>578</v>
      </c>
      <c r="F200" s="3" t="str">
        <f>IFERROR(MID(VLOOKUP($B200,Seqs!$A:$B,2,0),G200,1),"")</f>
        <v>Y</v>
      </c>
      <c r="G200" s="3">
        <v>604</v>
      </c>
      <c r="H200" s="3" t="str">
        <f>IFERROR(MID(VLOOKUP($B200,Seqs!$A:$B,2,0),I200,1),"")</f>
        <v>T</v>
      </c>
      <c r="I200" s="23">
        <v>607</v>
      </c>
      <c r="J200" s="3" t="str">
        <f>IFERROR(MID(VLOOKUP($B200,Seqs!$A:$B,2,0),K200,1),"")</f>
        <v>S</v>
      </c>
      <c r="K200" s="23">
        <v>613</v>
      </c>
      <c r="L200" s="3" t="str">
        <f>IFERROR(MID(VLOOKUP($B200,Seqs!$A:$B,2,0),M200,1),"")</f>
        <v>S</v>
      </c>
      <c r="M200" s="3">
        <v>614</v>
      </c>
      <c r="N200" s="3" t="str">
        <f>IFERROR(MID(VLOOKUP($B200,Seqs!$A:$B,2,0),O200,1),"")</f>
        <v>I</v>
      </c>
      <c r="O200" s="3">
        <v>636</v>
      </c>
      <c r="P200" s="3" t="str">
        <f>IFERROR(MID(VLOOKUP($B200,Seqs!$A:$B,2,0),Q200,1),"")</f>
        <v/>
      </c>
      <c r="Q200" s="3" t="s">
        <v>23</v>
      </c>
      <c r="R200" s="3" t="str">
        <f>IFERROR(MID(VLOOKUP($B200,Seqs!$A:$B,2,0),S200,1),"")</f>
        <v/>
      </c>
      <c r="S200" s="3" t="s">
        <v>23</v>
      </c>
      <c r="T200" s="3" t="str">
        <f>IFERROR(MID(VLOOKUP($B200,Seqs!$A:$B,2,0),U200,1),"")</f>
        <v>Q</v>
      </c>
      <c r="U200" s="3">
        <v>641</v>
      </c>
      <c r="V200" s="3" t="str">
        <f>IFERROR(MID(VLOOKUP($B200,Seqs!$A:$B,2,0),W200,1),"")</f>
        <v>K</v>
      </c>
      <c r="W200" s="3">
        <v>678</v>
      </c>
      <c r="X200" s="3" t="str">
        <f>IFERROR(MID(VLOOKUP($B200,Seqs!$A:$B,2,0),Y200,1),"")</f>
        <v/>
      </c>
      <c r="Y200" s="3" t="s">
        <v>23</v>
      </c>
      <c r="Z200" s="3" t="str">
        <f>IFERROR(MID(VLOOKUP($B200,Seqs!$A:$B,2,0),AA200,1),"")</f>
        <v/>
      </c>
      <c r="AA200" s="3" t="s">
        <v>23</v>
      </c>
      <c r="AB200" s="3" t="str">
        <f>IFERROR(MID(VLOOKUP($B200,Seqs!$A:$B,2,0),AC200,1),"")</f>
        <v>S</v>
      </c>
      <c r="AC200" s="9">
        <v>689</v>
      </c>
      <c r="AD200" s="3" t="str">
        <f>IFERROR(MID(VLOOKUP($B200,Seqs!$A:$B,2,0),AE200,1),"")</f>
        <v>E</v>
      </c>
      <c r="AE200" s="3">
        <v>715</v>
      </c>
      <c r="AF200" s="3" t="str">
        <f>IFERROR(MID(VLOOKUP($B200,Seqs!$A:$B,2,0),AG200,1),"")</f>
        <v>C</v>
      </c>
      <c r="AG200" s="3">
        <v>733</v>
      </c>
      <c r="AH200" s="3" t="str">
        <f>IFERROR(MID(VLOOKUP($B200,Seqs!$A:$B,2,0),AI200,1),"")</f>
        <v>T</v>
      </c>
      <c r="AI200" s="3">
        <v>735</v>
      </c>
      <c r="AJ200" s="3" t="str">
        <f>IFERROR(MID(VLOOKUP($B200,Seqs!$A:$B,2,0),AK200,1),"")</f>
        <v>N</v>
      </c>
      <c r="AK200" s="3">
        <v>737</v>
      </c>
      <c r="AL200" s="3" t="str">
        <f>IFERROR(MID(VLOOKUP($B200,Seqs!$A:$B,2,0),AM200,1),"")</f>
        <v>T</v>
      </c>
      <c r="AM200" s="3">
        <v>761</v>
      </c>
      <c r="AN200" s="3" t="str">
        <f>IFERROR(MID(VLOOKUP($B200,Seqs!$A:$B,2,0),AO200,1),"")</f>
        <v>E</v>
      </c>
      <c r="AO200" s="3">
        <v>770</v>
      </c>
      <c r="AP200" s="3" t="str">
        <f>IFERROR(MID(VLOOKUP($B200,Seqs!$A:$B,2,0),AQ200,1),"")</f>
        <v>G</v>
      </c>
      <c r="AQ200" s="3">
        <v>794</v>
      </c>
      <c r="AR200" s="3" t="str">
        <f>IFERROR(MID(VLOOKUP($B200,Seqs!$A:$B,2,0),AS200,1),"")</f>
        <v>K</v>
      </c>
      <c r="AS200" s="3">
        <v>798</v>
      </c>
      <c r="AT200" s="3" t="str">
        <f>IFERROR(MID(VLOOKUP($B200,Seqs!$A:$B,2,0),AU200,1),"")</f>
        <v>A</v>
      </c>
      <c r="AU200" s="3">
        <v>827</v>
      </c>
      <c r="AV200" s="3" t="str">
        <f>IFERROR(MID(VLOOKUP($B200,Seqs!$A:$B,2,0),AW200,1),"")</f>
        <v>K</v>
      </c>
      <c r="AW200" s="3">
        <v>828</v>
      </c>
      <c r="AX200" s="3" t="str">
        <f>IFERROR(MID(VLOOKUP($B200,Seqs!$A:$B,2,0),AY200,1),"")</f>
        <v>N</v>
      </c>
      <c r="AY200" s="3">
        <v>832</v>
      </c>
      <c r="AZ200" s="79" t="str">
        <f>VLOOKUP(B200,Classification!A:D,2,0)</f>
        <v>C</v>
      </c>
      <c r="BA200" s="97" t="str">
        <f>VLOOKUP(B200,Classification!A:D,4,0)</f>
        <v>Metabotropicglutamate</v>
      </c>
      <c r="BB200" s="27" t="b">
        <f t="shared" si="863"/>
        <v>1</v>
      </c>
      <c r="BC200" s="23">
        <f t="shared" si="836"/>
        <v>212</v>
      </c>
      <c r="BD200" s="2" t="s">
        <v>1383</v>
      </c>
      <c r="BE200" s="3" t="s">
        <v>1381</v>
      </c>
      <c r="BF200" s="50" t="s">
        <v>1384</v>
      </c>
      <c r="BG200" s="50" t="s">
        <v>1384</v>
      </c>
      <c r="BI200" s="72" t="s">
        <v>1293</v>
      </c>
      <c r="BJ200" s="58" t="s">
        <v>1293</v>
      </c>
      <c r="BK200" s="58" t="s">
        <v>1293</v>
      </c>
      <c r="BL200" s="58" t="s">
        <v>1293</v>
      </c>
      <c r="BM200" s="58" t="s">
        <v>1293</v>
      </c>
      <c r="BN200" s="58" t="s">
        <v>1293</v>
      </c>
      <c r="BO200" s="58" t="s">
        <v>1293</v>
      </c>
      <c r="BP200" s="58" t="s">
        <v>1293</v>
      </c>
      <c r="BQ200" s="58" t="s">
        <v>1293</v>
      </c>
      <c r="BR200" s="58" t="s">
        <v>1293</v>
      </c>
      <c r="BS200" s="58" t="s">
        <v>1293</v>
      </c>
      <c r="BT200" s="58" t="s">
        <v>1293</v>
      </c>
      <c r="BU200" s="72">
        <f t="shared" si="837"/>
        <v>578</v>
      </c>
      <c r="BV200" s="73">
        <f t="shared" si="838"/>
        <v>607</v>
      </c>
      <c r="BW200" s="74">
        <f t="shared" si="839"/>
        <v>614</v>
      </c>
      <c r="BX200" s="73" t="str">
        <f t="shared" si="840"/>
        <v>-</v>
      </c>
      <c r="BY200" s="74">
        <f t="shared" si="841"/>
        <v>641</v>
      </c>
      <c r="BZ200" s="73" t="str">
        <f t="shared" si="842"/>
        <v>-</v>
      </c>
      <c r="CA200" s="74">
        <f t="shared" si="843"/>
        <v>689</v>
      </c>
      <c r="CB200" s="73">
        <f t="shared" si="844"/>
        <v>733</v>
      </c>
      <c r="CC200" s="74">
        <f t="shared" si="845"/>
        <v>737</v>
      </c>
      <c r="CD200" s="73">
        <f t="shared" si="846"/>
        <v>770</v>
      </c>
      <c r="CE200" s="74">
        <f t="shared" si="847"/>
        <v>798</v>
      </c>
      <c r="CF200" s="73">
        <f t="shared" si="848"/>
        <v>828</v>
      </c>
      <c r="CG200" s="72">
        <f t="shared" si="849"/>
        <v>604</v>
      </c>
      <c r="CH200" s="73">
        <f t="shared" si="850"/>
        <v>613</v>
      </c>
      <c r="CI200" s="74">
        <f t="shared" si="851"/>
        <v>636</v>
      </c>
      <c r="CJ200" s="74" t="str">
        <f t="shared" si="852"/>
        <v>-</v>
      </c>
      <c r="CK200" s="74">
        <f t="shared" si="853"/>
        <v>678</v>
      </c>
      <c r="CL200" s="74" t="str">
        <f t="shared" si="854"/>
        <v>-</v>
      </c>
      <c r="CM200" s="74">
        <f t="shared" si="855"/>
        <v>715</v>
      </c>
      <c r="CN200" s="74">
        <f t="shared" si="856"/>
        <v>735</v>
      </c>
      <c r="CO200" s="74">
        <f t="shared" si="857"/>
        <v>761</v>
      </c>
      <c r="CP200" s="74">
        <f t="shared" si="858"/>
        <v>794</v>
      </c>
      <c r="CQ200" s="74">
        <f t="shared" si="859"/>
        <v>827</v>
      </c>
      <c r="CR200" s="74">
        <f t="shared" si="860"/>
        <v>832</v>
      </c>
      <c r="CS200" s="23">
        <f t="shared" si="861"/>
        <v>1</v>
      </c>
    </row>
    <row r="201" spans="1:1029" x14ac:dyDescent="0.2">
      <c r="A201" s="3" t="str">
        <f t="shared" si="862"/>
        <v>grm5_human_5CGC</v>
      </c>
      <c r="B201" s="3" t="s">
        <v>41</v>
      </c>
      <c r="C201" s="3" t="s">
        <v>58</v>
      </c>
      <c r="D201" s="3" t="str">
        <f>IFERROR(MID(VLOOKUP($B201,Seqs!$A:$B,2,0),E201,1),"")</f>
        <v>P</v>
      </c>
      <c r="E201" s="3">
        <v>578</v>
      </c>
      <c r="F201" s="3" t="str">
        <f>IFERROR(MID(VLOOKUP($B201,Seqs!$A:$B,2,0),G201,1),"")</f>
        <v>Y</v>
      </c>
      <c r="G201" s="3">
        <v>604</v>
      </c>
      <c r="H201" s="3" t="str">
        <f>IFERROR(MID(VLOOKUP($B201,Seqs!$A:$B,2,0),I201,1),"")</f>
        <v>T</v>
      </c>
      <c r="I201" s="23">
        <v>607</v>
      </c>
      <c r="J201" s="3" t="str">
        <f>IFERROR(MID(VLOOKUP($B201,Seqs!$A:$B,2,0),K201,1),"")</f>
        <v>S</v>
      </c>
      <c r="K201" s="23">
        <v>613</v>
      </c>
      <c r="L201" s="3" t="str">
        <f>IFERROR(MID(VLOOKUP($B201,Seqs!$A:$B,2,0),M201,1),"")</f>
        <v>S</v>
      </c>
      <c r="M201" s="3">
        <v>614</v>
      </c>
      <c r="N201" s="3" t="str">
        <f>IFERROR(MID(VLOOKUP($B201,Seqs!$A:$B,2,0),O201,1),"")</f>
        <v>I</v>
      </c>
      <c r="O201" s="3">
        <v>636</v>
      </c>
      <c r="P201" s="3" t="str">
        <f>IFERROR(MID(VLOOKUP($B201,Seqs!$A:$B,2,0),Q201,1),"")</f>
        <v/>
      </c>
      <c r="Q201" s="3" t="s">
        <v>23</v>
      </c>
      <c r="R201" s="3" t="str">
        <f>IFERROR(MID(VLOOKUP($B201,Seqs!$A:$B,2,0),S201,1),"")</f>
        <v/>
      </c>
      <c r="S201" s="3" t="s">
        <v>23</v>
      </c>
      <c r="T201" s="3" t="str">
        <f>IFERROR(MID(VLOOKUP($B201,Seqs!$A:$B,2,0),U201,1),"")</f>
        <v>Q</v>
      </c>
      <c r="U201" s="3">
        <v>641</v>
      </c>
      <c r="V201" s="3" t="str">
        <f>IFERROR(MID(VLOOKUP($B201,Seqs!$A:$B,2,0),W201,1),"")</f>
        <v>K</v>
      </c>
      <c r="W201" s="3">
        <v>678</v>
      </c>
      <c r="X201" s="3" t="str">
        <f>IFERROR(MID(VLOOKUP($B201,Seqs!$A:$B,2,0),Y201,1),"")</f>
        <v/>
      </c>
      <c r="Y201" s="3" t="s">
        <v>23</v>
      </c>
      <c r="Z201" s="3" t="str">
        <f>IFERROR(MID(VLOOKUP($B201,Seqs!$A:$B,2,0),AA201,1),"")</f>
        <v/>
      </c>
      <c r="AA201" s="3" t="s">
        <v>23</v>
      </c>
      <c r="AB201" s="3" t="str">
        <f>IFERROR(MID(VLOOKUP($B201,Seqs!$A:$B,2,0),AC201,1),"")</f>
        <v>S</v>
      </c>
      <c r="AC201" s="9">
        <v>689</v>
      </c>
      <c r="AD201" s="3" t="str">
        <f>IFERROR(MID(VLOOKUP($B201,Seqs!$A:$B,2,0),AE201,1),"")</f>
        <v>E</v>
      </c>
      <c r="AE201" s="3">
        <v>715</v>
      </c>
      <c r="AF201" s="3" t="str">
        <f>IFERROR(MID(VLOOKUP($B201,Seqs!$A:$B,2,0),AG201,1),"")</f>
        <v>C</v>
      </c>
      <c r="AG201" s="3">
        <v>733</v>
      </c>
      <c r="AH201" s="3" t="str">
        <f>IFERROR(MID(VLOOKUP($B201,Seqs!$A:$B,2,0),AI201,1),"")</f>
        <v>T</v>
      </c>
      <c r="AI201" s="3">
        <v>735</v>
      </c>
      <c r="AJ201" s="3" t="str">
        <f>IFERROR(MID(VLOOKUP($B201,Seqs!$A:$B,2,0),AK201,1),"")</f>
        <v>N</v>
      </c>
      <c r="AK201" s="3">
        <v>737</v>
      </c>
      <c r="AL201" s="3" t="str">
        <f>IFERROR(MID(VLOOKUP($B201,Seqs!$A:$B,2,0),AM201,1),"")</f>
        <v>T</v>
      </c>
      <c r="AM201" s="3">
        <v>761</v>
      </c>
      <c r="AN201" s="3" t="str">
        <f>IFERROR(MID(VLOOKUP($B201,Seqs!$A:$B,2,0),AO201,1),"")</f>
        <v>E</v>
      </c>
      <c r="AO201" s="3">
        <v>770</v>
      </c>
      <c r="AP201" s="3" t="str">
        <f>IFERROR(MID(VLOOKUP($B201,Seqs!$A:$B,2,0),AQ201,1),"")</f>
        <v>G</v>
      </c>
      <c r="AQ201" s="3">
        <v>794</v>
      </c>
      <c r="AR201" s="3" t="str">
        <f>IFERROR(MID(VLOOKUP($B201,Seqs!$A:$B,2,0),AS201,1),"")</f>
        <v>K</v>
      </c>
      <c r="AS201" s="3">
        <v>798</v>
      </c>
      <c r="AT201" s="3" t="str">
        <f>IFERROR(MID(VLOOKUP($B201,Seqs!$A:$B,2,0),AU201,1),"")</f>
        <v>A</v>
      </c>
      <c r="AU201" s="3">
        <v>827</v>
      </c>
      <c r="AV201" s="3" t="str">
        <f>IFERROR(MID(VLOOKUP($B201,Seqs!$A:$B,2,0),AW201,1),"")</f>
        <v>K</v>
      </c>
      <c r="AW201" s="3">
        <v>828</v>
      </c>
      <c r="AX201" s="3" t="str">
        <f>IFERROR(MID(VLOOKUP($B201,Seqs!$A:$B,2,0),AY201,1),"")</f>
        <v>N</v>
      </c>
      <c r="AY201" s="3">
        <v>832</v>
      </c>
      <c r="AZ201" s="79" t="str">
        <f>VLOOKUP(B201,Classification!A:D,2,0)</f>
        <v>C</v>
      </c>
      <c r="BA201" s="97" t="str">
        <f>VLOOKUP(B201,Classification!A:D,4,0)</f>
        <v>Metabotropicglutamate</v>
      </c>
      <c r="BB201" s="27" t="b">
        <f t="shared" si="863"/>
        <v>1</v>
      </c>
      <c r="BC201" s="23">
        <f t="shared" si="836"/>
        <v>212</v>
      </c>
      <c r="BD201" s="4" t="s">
        <v>23</v>
      </c>
      <c r="BE201" s="3" t="s">
        <v>1381</v>
      </c>
      <c r="BF201" s="50" t="s">
        <v>1384</v>
      </c>
      <c r="BG201" s="50" t="s">
        <v>1384</v>
      </c>
      <c r="BI201" s="72" t="s">
        <v>1293</v>
      </c>
      <c r="BJ201" s="58" t="s">
        <v>1293</v>
      </c>
      <c r="BK201" s="58" t="s">
        <v>1293</v>
      </c>
      <c r="BL201" s="58" t="s">
        <v>1293</v>
      </c>
      <c r="BM201" s="58" t="s">
        <v>1293</v>
      </c>
      <c r="BN201" s="58" t="s">
        <v>1293</v>
      </c>
      <c r="BO201" s="58" t="s">
        <v>1293</v>
      </c>
      <c r="BP201" s="58" t="s">
        <v>1293</v>
      </c>
      <c r="BQ201" s="58" t="s">
        <v>1293</v>
      </c>
      <c r="BR201" s="58" t="s">
        <v>1293</v>
      </c>
      <c r="BS201" s="58" t="s">
        <v>1293</v>
      </c>
      <c r="BT201" s="58" t="s">
        <v>1293</v>
      </c>
      <c r="BU201" s="72">
        <f t="shared" si="837"/>
        <v>578</v>
      </c>
      <c r="BV201" s="73">
        <f t="shared" si="838"/>
        <v>607</v>
      </c>
      <c r="BW201" s="74">
        <f t="shared" si="839"/>
        <v>614</v>
      </c>
      <c r="BX201" s="73" t="str">
        <f t="shared" si="840"/>
        <v>-</v>
      </c>
      <c r="BY201" s="74">
        <f t="shared" si="841"/>
        <v>641</v>
      </c>
      <c r="BZ201" s="73" t="str">
        <f t="shared" si="842"/>
        <v>-</v>
      </c>
      <c r="CA201" s="74">
        <f t="shared" si="843"/>
        <v>689</v>
      </c>
      <c r="CB201" s="73">
        <f t="shared" si="844"/>
        <v>733</v>
      </c>
      <c r="CC201" s="74">
        <f t="shared" si="845"/>
        <v>737</v>
      </c>
      <c r="CD201" s="73">
        <f t="shared" si="846"/>
        <v>770</v>
      </c>
      <c r="CE201" s="74">
        <f t="shared" si="847"/>
        <v>798</v>
      </c>
      <c r="CF201" s="73">
        <f t="shared" si="848"/>
        <v>828</v>
      </c>
      <c r="CG201" s="72">
        <f t="shared" si="849"/>
        <v>604</v>
      </c>
      <c r="CH201" s="73">
        <f t="shared" si="850"/>
        <v>613</v>
      </c>
      <c r="CI201" s="74">
        <f t="shared" si="851"/>
        <v>636</v>
      </c>
      <c r="CJ201" s="74" t="str">
        <f t="shared" si="852"/>
        <v>-</v>
      </c>
      <c r="CK201" s="74">
        <f t="shared" si="853"/>
        <v>678</v>
      </c>
      <c r="CL201" s="74" t="str">
        <f t="shared" si="854"/>
        <v>-</v>
      </c>
      <c r="CM201" s="74">
        <f t="shared" si="855"/>
        <v>715</v>
      </c>
      <c r="CN201" s="74">
        <f t="shared" si="856"/>
        <v>735</v>
      </c>
      <c r="CO201" s="74">
        <f t="shared" si="857"/>
        <v>761</v>
      </c>
      <c r="CP201" s="74">
        <f t="shared" si="858"/>
        <v>794</v>
      </c>
      <c r="CQ201" s="74">
        <f t="shared" si="859"/>
        <v>827</v>
      </c>
      <c r="CR201" s="74">
        <f t="shared" si="860"/>
        <v>832</v>
      </c>
      <c r="CS201" s="23">
        <f t="shared" si="861"/>
        <v>1</v>
      </c>
    </row>
    <row r="202" spans="1:1029" x14ac:dyDescent="0.2">
      <c r="A202" s="3" t="str">
        <f t="shared" si="862"/>
        <v>grm5_human_5CGD</v>
      </c>
      <c r="B202" s="3" t="s">
        <v>41</v>
      </c>
      <c r="C202" s="3" t="s">
        <v>59</v>
      </c>
      <c r="D202" s="3" t="str">
        <f>IFERROR(MID(VLOOKUP($B202,Seqs!$A:$B,2,0),E202,1),"")</f>
        <v>P</v>
      </c>
      <c r="E202" s="3">
        <v>578</v>
      </c>
      <c r="F202" s="3" t="str">
        <f>IFERROR(MID(VLOOKUP($B202,Seqs!$A:$B,2,0),G202,1),"")</f>
        <v>Y</v>
      </c>
      <c r="G202" s="3">
        <v>604</v>
      </c>
      <c r="H202" s="3" t="str">
        <f>IFERROR(MID(VLOOKUP($B202,Seqs!$A:$B,2,0),I202,1),"")</f>
        <v>T</v>
      </c>
      <c r="I202" s="23">
        <v>607</v>
      </c>
      <c r="J202" s="3" t="str">
        <f>IFERROR(MID(VLOOKUP($B202,Seqs!$A:$B,2,0),K202,1),"")</f>
        <v>S</v>
      </c>
      <c r="K202" s="23">
        <v>613</v>
      </c>
      <c r="L202" s="3" t="str">
        <f>IFERROR(MID(VLOOKUP($B202,Seqs!$A:$B,2,0),M202,1),"")</f>
        <v>S</v>
      </c>
      <c r="M202" s="3">
        <v>614</v>
      </c>
      <c r="N202" s="3" t="str">
        <f>IFERROR(MID(VLOOKUP($B202,Seqs!$A:$B,2,0),O202,1),"")</f>
        <v>I</v>
      </c>
      <c r="O202" s="3">
        <v>636</v>
      </c>
      <c r="P202" s="3" t="str">
        <f>IFERROR(MID(VLOOKUP($B202,Seqs!$A:$B,2,0),Q202,1),"")</f>
        <v/>
      </c>
      <c r="Q202" s="3" t="s">
        <v>23</v>
      </c>
      <c r="R202" s="3" t="str">
        <f>IFERROR(MID(VLOOKUP($B202,Seqs!$A:$B,2,0),S202,1),"")</f>
        <v/>
      </c>
      <c r="S202" s="3" t="s">
        <v>23</v>
      </c>
      <c r="T202" s="3" t="str">
        <f>IFERROR(MID(VLOOKUP($B202,Seqs!$A:$B,2,0),U202,1),"")</f>
        <v>Q</v>
      </c>
      <c r="U202" s="3">
        <v>641</v>
      </c>
      <c r="V202" s="3" t="str">
        <f>IFERROR(MID(VLOOKUP($B202,Seqs!$A:$B,2,0),W202,1),"")</f>
        <v>K</v>
      </c>
      <c r="W202" s="3">
        <v>678</v>
      </c>
      <c r="X202" s="3" t="str">
        <f>IFERROR(MID(VLOOKUP($B202,Seqs!$A:$B,2,0),Y202,1),"")</f>
        <v/>
      </c>
      <c r="Y202" s="3" t="s">
        <v>23</v>
      </c>
      <c r="Z202" s="3" t="str">
        <f>IFERROR(MID(VLOOKUP($B202,Seqs!$A:$B,2,0),AA202,1),"")</f>
        <v/>
      </c>
      <c r="AA202" s="3" t="s">
        <v>23</v>
      </c>
      <c r="AB202" s="3" t="str">
        <f>IFERROR(MID(VLOOKUP($B202,Seqs!$A:$B,2,0),AC202,1),"")</f>
        <v>S</v>
      </c>
      <c r="AC202" s="9">
        <v>689</v>
      </c>
      <c r="AD202" s="3" t="str">
        <f>IFERROR(MID(VLOOKUP($B202,Seqs!$A:$B,2,0),AE202,1),"")</f>
        <v>E</v>
      </c>
      <c r="AE202" s="3">
        <v>715</v>
      </c>
      <c r="AF202" s="3" t="str">
        <f>IFERROR(MID(VLOOKUP($B202,Seqs!$A:$B,2,0),AG202,1),"")</f>
        <v>C</v>
      </c>
      <c r="AG202" s="3">
        <v>733</v>
      </c>
      <c r="AH202" s="3" t="str">
        <f>IFERROR(MID(VLOOKUP($B202,Seqs!$A:$B,2,0),AI202,1),"")</f>
        <v>T</v>
      </c>
      <c r="AI202" s="3">
        <v>735</v>
      </c>
      <c r="AJ202" s="3" t="str">
        <f>IFERROR(MID(VLOOKUP($B202,Seqs!$A:$B,2,0),AK202,1),"")</f>
        <v>N</v>
      </c>
      <c r="AK202" s="3">
        <v>737</v>
      </c>
      <c r="AL202" s="3" t="str">
        <f>IFERROR(MID(VLOOKUP($B202,Seqs!$A:$B,2,0),AM202,1),"")</f>
        <v>T</v>
      </c>
      <c r="AM202" s="3">
        <v>761</v>
      </c>
      <c r="AN202" s="3" t="str">
        <f>IFERROR(MID(VLOOKUP($B202,Seqs!$A:$B,2,0),AO202,1),"")</f>
        <v>E</v>
      </c>
      <c r="AO202" s="3">
        <v>770</v>
      </c>
      <c r="AP202" s="3" t="str">
        <f>IFERROR(MID(VLOOKUP($B202,Seqs!$A:$B,2,0),AQ202,1),"")</f>
        <v>G</v>
      </c>
      <c r="AQ202" s="3">
        <v>794</v>
      </c>
      <c r="AR202" s="3" t="str">
        <f>IFERROR(MID(VLOOKUP($B202,Seqs!$A:$B,2,0),AS202,1),"")</f>
        <v>K</v>
      </c>
      <c r="AS202" s="3">
        <v>798</v>
      </c>
      <c r="AT202" s="3" t="str">
        <f>IFERROR(MID(VLOOKUP($B202,Seqs!$A:$B,2,0),AU202,1),"")</f>
        <v>A</v>
      </c>
      <c r="AU202" s="3">
        <v>827</v>
      </c>
      <c r="AV202" s="3" t="str">
        <f>IFERROR(MID(VLOOKUP($B202,Seqs!$A:$B,2,0),AW202,1),"")</f>
        <v>K</v>
      </c>
      <c r="AW202" s="3">
        <v>828</v>
      </c>
      <c r="AX202" s="3" t="str">
        <f>IFERROR(MID(VLOOKUP($B202,Seqs!$A:$B,2,0),AY202,1),"")</f>
        <v>R</v>
      </c>
      <c r="AY202" s="3">
        <v>831</v>
      </c>
      <c r="AZ202" s="79" t="str">
        <f>VLOOKUP(B202,Classification!A:D,2,0)</f>
        <v>C</v>
      </c>
      <c r="BA202" s="97" t="str">
        <f>VLOOKUP(B202,Classification!A:D,4,0)</f>
        <v>Metabotropicglutamate</v>
      </c>
      <c r="BB202" s="27" t="b">
        <f t="shared" si="863"/>
        <v>1</v>
      </c>
      <c r="BC202" s="23">
        <f t="shared" si="836"/>
        <v>211</v>
      </c>
      <c r="BD202" s="4" t="s">
        <v>23</v>
      </c>
      <c r="BE202" s="3" t="s">
        <v>1381</v>
      </c>
      <c r="BF202" s="50" t="s">
        <v>1384</v>
      </c>
      <c r="BG202" s="50" t="s">
        <v>1384</v>
      </c>
      <c r="BI202" s="72" t="s">
        <v>1293</v>
      </c>
      <c r="BJ202" s="58" t="s">
        <v>1293</v>
      </c>
      <c r="BK202" s="58" t="s">
        <v>1293</v>
      </c>
      <c r="BL202" s="58" t="s">
        <v>1293</v>
      </c>
      <c r="BM202" s="58" t="s">
        <v>1293</v>
      </c>
      <c r="BN202" s="58" t="s">
        <v>1293</v>
      </c>
      <c r="BO202" s="58" t="s">
        <v>1293</v>
      </c>
      <c r="BP202" s="58" t="s">
        <v>1293</v>
      </c>
      <c r="BQ202" s="58" t="s">
        <v>1293</v>
      </c>
      <c r="BR202" s="58" t="s">
        <v>1293</v>
      </c>
      <c r="BS202" s="58" t="s">
        <v>1293</v>
      </c>
      <c r="BT202" s="58" t="s">
        <v>1293</v>
      </c>
      <c r="BU202" s="72">
        <f t="shared" si="837"/>
        <v>578</v>
      </c>
      <c r="BV202" s="73">
        <f t="shared" si="838"/>
        <v>607</v>
      </c>
      <c r="BW202" s="74">
        <f t="shared" si="839"/>
        <v>614</v>
      </c>
      <c r="BX202" s="73" t="str">
        <f t="shared" si="840"/>
        <v>-</v>
      </c>
      <c r="BY202" s="74">
        <f t="shared" si="841"/>
        <v>641</v>
      </c>
      <c r="BZ202" s="73" t="str">
        <f t="shared" si="842"/>
        <v>-</v>
      </c>
      <c r="CA202" s="74">
        <f t="shared" si="843"/>
        <v>689</v>
      </c>
      <c r="CB202" s="73">
        <f t="shared" si="844"/>
        <v>733</v>
      </c>
      <c r="CC202" s="74">
        <f t="shared" si="845"/>
        <v>737</v>
      </c>
      <c r="CD202" s="73">
        <f t="shared" si="846"/>
        <v>770</v>
      </c>
      <c r="CE202" s="74">
        <f t="shared" si="847"/>
        <v>798</v>
      </c>
      <c r="CF202" s="73">
        <f t="shared" si="848"/>
        <v>828</v>
      </c>
      <c r="CG202" s="72">
        <f t="shared" si="849"/>
        <v>604</v>
      </c>
      <c r="CH202" s="73">
        <f t="shared" si="850"/>
        <v>613</v>
      </c>
      <c r="CI202" s="74">
        <f t="shared" si="851"/>
        <v>636</v>
      </c>
      <c r="CJ202" s="74" t="str">
        <f t="shared" si="852"/>
        <v>-</v>
      </c>
      <c r="CK202" s="74">
        <f t="shared" si="853"/>
        <v>678</v>
      </c>
      <c r="CL202" s="74" t="str">
        <f t="shared" si="854"/>
        <v>-</v>
      </c>
      <c r="CM202" s="74">
        <f t="shared" si="855"/>
        <v>715</v>
      </c>
      <c r="CN202" s="74">
        <f t="shared" si="856"/>
        <v>735</v>
      </c>
      <c r="CO202" s="74">
        <f t="shared" si="857"/>
        <v>761</v>
      </c>
      <c r="CP202" s="74">
        <f t="shared" si="858"/>
        <v>794</v>
      </c>
      <c r="CQ202" s="74">
        <f t="shared" si="859"/>
        <v>827</v>
      </c>
      <c r="CR202" s="74">
        <f t="shared" si="860"/>
        <v>831</v>
      </c>
      <c r="CS202" s="23">
        <f t="shared" si="861"/>
        <v>1</v>
      </c>
      <c r="AMO202" s="3"/>
    </row>
    <row r="203" spans="1:1029" x14ac:dyDescent="0.2">
      <c r="A203" s="3" t="str">
        <f t="shared" si="862"/>
        <v>smo_human__wt</v>
      </c>
      <c r="B203" s="3" t="s">
        <v>33</v>
      </c>
      <c r="C203" s="3" t="s">
        <v>100</v>
      </c>
      <c r="D203" s="3" t="str">
        <f>IFERROR(MID(VLOOKUP($B203,Seqs!$A:$B,2,0),E203,1),"")</f>
        <v>E</v>
      </c>
      <c r="E203" s="3">
        <v>224</v>
      </c>
      <c r="F203" s="3" t="str">
        <f>IFERROR(MID(VLOOKUP($B203,Seqs!$A:$B,2,0),G203,1),"")</f>
        <v>D</v>
      </c>
      <c r="G203" s="3">
        <v>255</v>
      </c>
      <c r="H203" s="3" t="str">
        <f>IFERROR(MID(VLOOKUP($B203,Seqs!$A:$B,2,0),I203,1),"")</f>
        <v>W</v>
      </c>
      <c r="I203" s="23">
        <v>256</v>
      </c>
      <c r="J203" s="3" t="str">
        <f>IFERROR(MID(VLOOKUP($B203,Seqs!$A:$B,2,0),K203,1),"")</f>
        <v>N</v>
      </c>
      <c r="K203" s="23">
        <v>260</v>
      </c>
      <c r="L203" s="3" t="str">
        <f>IFERROR(MID(VLOOKUP($B203,Seqs!$A:$B,2,0),M203,1),"")</f>
        <v>R</v>
      </c>
      <c r="M203" s="3">
        <v>261</v>
      </c>
      <c r="N203" s="3" t="str">
        <f>IFERROR(MID(VLOOKUP($B203,Seqs!$A:$B,2,0),O203,1),"")</f>
        <v>F</v>
      </c>
      <c r="O203" s="3">
        <v>285</v>
      </c>
      <c r="P203" s="3" t="str">
        <f>IFERROR(MID(VLOOKUP($B203,Seqs!$A:$B,2,0),Q203,1),"")</f>
        <v/>
      </c>
      <c r="Q203" s="3" t="s">
        <v>23</v>
      </c>
      <c r="R203" s="3" t="str">
        <f>IFERROR(MID(VLOOKUP($B203,Seqs!$A:$B,2,0),S203,1),"")</f>
        <v/>
      </c>
      <c r="S203" s="3" t="s">
        <v>23</v>
      </c>
      <c r="T203" s="3" t="str">
        <f>IFERROR(MID(VLOOKUP($B203,Seqs!$A:$B,2,0),U203,1),"")</f>
        <v>L</v>
      </c>
      <c r="U203" s="3">
        <v>312</v>
      </c>
      <c r="V203" s="3" t="str">
        <f>IFERROR(MID(VLOOKUP($B203,Seqs!$A:$B,2,0),W203,1),"")</f>
        <v>T</v>
      </c>
      <c r="W203" s="3">
        <v>348</v>
      </c>
      <c r="X203" s="3" t="str">
        <f>IFERROR(MID(VLOOKUP($B203,Seqs!$A:$B,2,0),Y203,1),"")</f>
        <v/>
      </c>
      <c r="Y203" s="3" t="s">
        <v>23</v>
      </c>
      <c r="Z203" s="3" t="str">
        <f>IFERROR(MID(VLOOKUP($B203,Seqs!$A:$B,2,0),AA203,1),"")</f>
        <v/>
      </c>
      <c r="AA203" s="3" t="s">
        <v>23</v>
      </c>
      <c r="AB203" s="3" t="str">
        <f>IFERROR(MID(VLOOKUP($B203,Seqs!$A:$B,2,0),AC203,1),"")</f>
        <v>L</v>
      </c>
      <c r="AC203" s="9">
        <v>353</v>
      </c>
      <c r="AD203" s="3" t="str">
        <f>IFERROR(MID(VLOOKUP($B203,Seqs!$A:$B,2,0),AE203,1),"")</f>
        <v>V</v>
      </c>
      <c r="AE203" s="3">
        <v>378</v>
      </c>
      <c r="AF203" s="3" t="str">
        <f>IFERROR(MID(VLOOKUP($B203,Seqs!$A:$B,2,0),AG203,1),"")</f>
        <v>C</v>
      </c>
      <c r="AG203" s="3">
        <v>390</v>
      </c>
      <c r="AH203" s="3" t="str">
        <f>IFERROR(MID(VLOOKUP($B203,Seqs!$A:$B,2,0),AI203,1),"")</f>
        <v>V</v>
      </c>
      <c r="AI203" s="3">
        <v>392</v>
      </c>
      <c r="AJ203" s="3" t="str">
        <f>IFERROR(MID(VLOOKUP($B203,Seqs!$A:$B,2,0),AK203,1),"")</f>
        <v>Y</v>
      </c>
      <c r="AK203" s="3">
        <v>397</v>
      </c>
      <c r="AL203" s="3" t="str">
        <f>IFERROR(MID(VLOOKUP($B203,Seqs!$A:$B,2,0),AM203,1),"")</f>
        <v>H</v>
      </c>
      <c r="AM203" s="3">
        <v>433</v>
      </c>
      <c r="AN203" s="3" t="str">
        <f>IFERROR(MID(VLOOKUP($B203,Seqs!$A:$B,2,0),AO203,1),"")</f>
        <v>A</v>
      </c>
      <c r="AO203" s="3">
        <v>442</v>
      </c>
      <c r="AP203" s="3" t="str">
        <f>IFERROR(MID(VLOOKUP($B203,Seqs!$A:$B,2,0),AQ203,1),"")</f>
        <v>I</v>
      </c>
      <c r="AQ203" s="3">
        <v>496</v>
      </c>
      <c r="AR203" s="3" t="str">
        <f>IFERROR(MID(VLOOKUP($B203,Seqs!$A:$B,2,0),AS203,1),"")</f>
        <v>L</v>
      </c>
      <c r="AS203" s="3">
        <v>515</v>
      </c>
      <c r="AT203" s="3" t="str">
        <f>IFERROR(MID(VLOOKUP($B203,Seqs!$A:$B,2,0),AU203,1),"")</f>
        <v>W</v>
      </c>
      <c r="AU203" s="3">
        <v>537</v>
      </c>
      <c r="AV203" s="3" t="str">
        <f>IFERROR(MID(VLOOKUP($B203,Seqs!$A:$B,2,0),AW203,1),"")</f>
        <v>T</v>
      </c>
      <c r="AW203" s="3">
        <v>538</v>
      </c>
      <c r="AX203" s="3" t="str">
        <f>IFERROR(MID(VLOOKUP($B203,Seqs!$A:$B,2,0),AY203,1),"")</f>
        <v>T</v>
      </c>
      <c r="AY203" s="3">
        <v>553</v>
      </c>
      <c r="AZ203" s="79" t="str">
        <f>VLOOKUP(B203,Classification!A:D,2,0)</f>
        <v>F</v>
      </c>
      <c r="BA203" s="97" t="str">
        <f>VLOOKUP(B203,Classification!A:D,4,0)</f>
        <v>Frizzled</v>
      </c>
      <c r="BB203" s="27" t="b">
        <f t="shared" si="863"/>
        <v>1</v>
      </c>
      <c r="BC203" s="23">
        <f t="shared" si="836"/>
        <v>261</v>
      </c>
      <c r="BD203" s="57" t="s">
        <v>1379</v>
      </c>
      <c r="BE203" s="3" t="s">
        <v>1381</v>
      </c>
      <c r="BF203" s="50" t="s">
        <v>1379</v>
      </c>
      <c r="BG203" s="50" t="s">
        <v>1384</v>
      </c>
      <c r="BI203" s="72" t="s">
        <v>1293</v>
      </c>
      <c r="BJ203" s="58" t="s">
        <v>1293</v>
      </c>
      <c r="BK203" s="58" t="s">
        <v>1293</v>
      </c>
      <c r="BL203" s="58" t="s">
        <v>1293</v>
      </c>
      <c r="BM203" s="58" t="s">
        <v>1293</v>
      </c>
      <c r="BN203" s="58" t="s">
        <v>1293</v>
      </c>
      <c r="BO203" s="58" t="s">
        <v>1293</v>
      </c>
      <c r="BP203" s="58" t="s">
        <v>1293</v>
      </c>
      <c r="BQ203" s="58" t="s">
        <v>1293</v>
      </c>
      <c r="BR203" s="58" t="s">
        <v>1293</v>
      </c>
      <c r="BS203" s="58" t="s">
        <v>1293</v>
      </c>
      <c r="BT203" s="58" t="s">
        <v>1293</v>
      </c>
      <c r="BU203" s="72">
        <f t="shared" si="837"/>
        <v>224</v>
      </c>
      <c r="BV203" s="73">
        <f t="shared" si="838"/>
        <v>256</v>
      </c>
      <c r="BW203" s="74">
        <f t="shared" si="839"/>
        <v>261</v>
      </c>
      <c r="BX203" s="73" t="str">
        <f t="shared" si="840"/>
        <v>-</v>
      </c>
      <c r="BY203" s="74">
        <f t="shared" si="841"/>
        <v>312</v>
      </c>
      <c r="BZ203" s="73" t="str">
        <f t="shared" si="842"/>
        <v>-</v>
      </c>
      <c r="CA203" s="74">
        <f t="shared" si="843"/>
        <v>353</v>
      </c>
      <c r="CB203" s="73">
        <f t="shared" si="844"/>
        <v>390</v>
      </c>
      <c r="CC203" s="74">
        <f t="shared" si="845"/>
        <v>397</v>
      </c>
      <c r="CD203" s="73">
        <f t="shared" si="846"/>
        <v>442</v>
      </c>
      <c r="CE203" s="74">
        <f t="shared" si="847"/>
        <v>515</v>
      </c>
      <c r="CF203" s="73">
        <f t="shared" si="848"/>
        <v>538</v>
      </c>
      <c r="CG203" s="72">
        <f t="shared" si="849"/>
        <v>255</v>
      </c>
      <c r="CH203" s="73">
        <f t="shared" si="850"/>
        <v>260</v>
      </c>
      <c r="CI203" s="74">
        <f t="shared" si="851"/>
        <v>285</v>
      </c>
      <c r="CJ203" s="74" t="str">
        <f t="shared" si="852"/>
        <v>-</v>
      </c>
      <c r="CK203" s="74">
        <f t="shared" si="853"/>
        <v>348</v>
      </c>
      <c r="CL203" s="74" t="str">
        <f t="shared" si="854"/>
        <v>-</v>
      </c>
      <c r="CM203" s="74">
        <f t="shared" si="855"/>
        <v>378</v>
      </c>
      <c r="CN203" s="74">
        <f t="shared" si="856"/>
        <v>392</v>
      </c>
      <c r="CO203" s="74">
        <f t="shared" si="857"/>
        <v>433</v>
      </c>
      <c r="CP203" s="74">
        <f t="shared" si="858"/>
        <v>496</v>
      </c>
      <c r="CQ203" s="74">
        <f t="shared" si="859"/>
        <v>537</v>
      </c>
      <c r="CR203" s="74">
        <f t="shared" si="860"/>
        <v>553</v>
      </c>
      <c r="CS203" s="23">
        <f t="shared" si="861"/>
        <v>1</v>
      </c>
    </row>
    <row r="204" spans="1:1029" x14ac:dyDescent="0.2">
      <c r="A204" s="3" t="str">
        <f t="shared" si="862"/>
        <v>smo_human_4JKV</v>
      </c>
      <c r="B204" s="3" t="s">
        <v>33</v>
      </c>
      <c r="C204" s="3" t="s">
        <v>86</v>
      </c>
      <c r="D204" s="3" t="str">
        <f>IFERROR(MID(VLOOKUP($B204,Seqs!$A:$B,2,0),E204,1),"")</f>
        <v>E</v>
      </c>
      <c r="E204" s="3">
        <v>224</v>
      </c>
      <c r="F204" s="3" t="str">
        <f>IFERROR(MID(VLOOKUP($B204,Seqs!$A:$B,2,0),G204,1),"")</f>
        <v>D</v>
      </c>
      <c r="G204" s="3">
        <v>255</v>
      </c>
      <c r="H204" s="3" t="str">
        <f>IFERROR(MID(VLOOKUP($B204,Seqs!$A:$B,2,0),I204,1),"")</f>
        <v>W</v>
      </c>
      <c r="I204" s="23">
        <v>256</v>
      </c>
      <c r="J204" s="3" t="str">
        <f>IFERROR(MID(VLOOKUP($B204,Seqs!$A:$B,2,0),K204,1),"")</f>
        <v>N</v>
      </c>
      <c r="K204" s="23">
        <v>260</v>
      </c>
      <c r="L204" s="3" t="str">
        <f>IFERROR(MID(VLOOKUP($B204,Seqs!$A:$B,2,0),M204,1),"")</f>
        <v>R</v>
      </c>
      <c r="M204" s="3">
        <v>261</v>
      </c>
      <c r="N204" s="3" t="str">
        <f>IFERROR(MID(VLOOKUP($B204,Seqs!$A:$B,2,0),O204,1),"")</f>
        <v>F</v>
      </c>
      <c r="O204" s="3">
        <v>285</v>
      </c>
      <c r="P204" s="3" t="str">
        <f>IFERROR(MID(VLOOKUP($B204,Seqs!$A:$B,2,0),Q204,1),"")</f>
        <v/>
      </c>
      <c r="Q204" s="3" t="s">
        <v>23</v>
      </c>
      <c r="R204" s="3" t="str">
        <f>IFERROR(MID(VLOOKUP($B204,Seqs!$A:$B,2,0),S204,1),"")</f>
        <v/>
      </c>
      <c r="S204" s="3" t="s">
        <v>23</v>
      </c>
      <c r="T204" s="3" t="str">
        <f>IFERROR(MID(VLOOKUP($B204,Seqs!$A:$B,2,0),U204,1),"")</f>
        <v>L</v>
      </c>
      <c r="U204" s="3">
        <v>312</v>
      </c>
      <c r="V204" s="3" t="str">
        <f>IFERROR(MID(VLOOKUP($B204,Seqs!$A:$B,2,0),W204,1),"")</f>
        <v>T</v>
      </c>
      <c r="W204" s="3">
        <v>348</v>
      </c>
      <c r="X204" s="3" t="str">
        <f>IFERROR(MID(VLOOKUP($B204,Seqs!$A:$B,2,0),Y204,1),"")</f>
        <v/>
      </c>
      <c r="Y204" s="3" t="s">
        <v>23</v>
      </c>
      <c r="Z204" s="3" t="str">
        <f>IFERROR(MID(VLOOKUP($B204,Seqs!$A:$B,2,0),AA204,1),"")</f>
        <v/>
      </c>
      <c r="AA204" s="3" t="s">
        <v>23</v>
      </c>
      <c r="AB204" s="3" t="str">
        <f>IFERROR(MID(VLOOKUP($B204,Seqs!$A:$B,2,0),AC204,1),"")</f>
        <v>F</v>
      </c>
      <c r="AC204" s="9">
        <v>360</v>
      </c>
      <c r="AD204" s="3" t="str">
        <f>IFERROR(MID(VLOOKUP($B204,Seqs!$A:$B,2,0),AE204,1),"")</f>
        <v>V</v>
      </c>
      <c r="AE204" s="3">
        <v>378</v>
      </c>
      <c r="AF204" s="3" t="str">
        <f>IFERROR(MID(VLOOKUP($B204,Seqs!$A:$B,2,0),AG204,1),"")</f>
        <v>C</v>
      </c>
      <c r="AG204" s="3">
        <v>390</v>
      </c>
      <c r="AH204" s="3" t="str">
        <f>IFERROR(MID(VLOOKUP($B204,Seqs!$A:$B,2,0),AI204,1),"")</f>
        <v>V</v>
      </c>
      <c r="AI204" s="3">
        <v>392</v>
      </c>
      <c r="AJ204" s="3" t="str">
        <f>IFERROR(MID(VLOOKUP($B204,Seqs!$A:$B,2,0),AK204,1),"")</f>
        <v>Y</v>
      </c>
      <c r="AK204" s="3">
        <v>397</v>
      </c>
      <c r="AL204" s="3" t="str">
        <f>IFERROR(MID(VLOOKUP($B204,Seqs!$A:$B,2,0),AM204,1),"")</f>
        <v>H</v>
      </c>
      <c r="AM204" s="3">
        <v>433</v>
      </c>
      <c r="AN204" s="3" t="str">
        <f>IFERROR(MID(VLOOKUP($B204,Seqs!$A:$B,2,0),AO204,1),"")</f>
        <v>A</v>
      </c>
      <c r="AO204" s="3">
        <v>442</v>
      </c>
      <c r="AP204" s="3" t="str">
        <f>IFERROR(MID(VLOOKUP($B204,Seqs!$A:$B,2,0),AQ204,1),"")</f>
        <v>N</v>
      </c>
      <c r="AQ204" s="3">
        <v>493</v>
      </c>
      <c r="AR204" s="3" t="str">
        <f>IFERROR(MID(VLOOKUP($B204,Seqs!$A:$B,2,0),AS204,1),"")</f>
        <v>L</v>
      </c>
      <c r="AS204" s="3">
        <v>515</v>
      </c>
      <c r="AT204" s="3" t="str">
        <f>IFERROR(MID(VLOOKUP($B204,Seqs!$A:$B,2,0),AU204,1),"")</f>
        <v>W</v>
      </c>
      <c r="AU204" s="3">
        <v>537</v>
      </c>
      <c r="AV204" s="3" t="str">
        <f>IFERROR(MID(VLOOKUP($B204,Seqs!$A:$B,2,0),AW204,1),"")</f>
        <v>T</v>
      </c>
      <c r="AW204" s="3">
        <v>538</v>
      </c>
      <c r="AX204" s="3" t="str">
        <f>IFERROR(MID(VLOOKUP($B204,Seqs!$A:$B,2,0),AY204,1),"")</f>
        <v>C</v>
      </c>
      <c r="AY204" s="3">
        <v>550</v>
      </c>
      <c r="AZ204" s="79" t="str">
        <f>VLOOKUP(B204,Classification!A:D,2,0)</f>
        <v>F</v>
      </c>
      <c r="BA204" s="97" t="str">
        <f>VLOOKUP(B204,Classification!A:D,4,0)</f>
        <v>Frizzled</v>
      </c>
      <c r="BB204" s="27" t="b">
        <f t="shared" si="863"/>
        <v>1</v>
      </c>
      <c r="BC204" s="23">
        <f t="shared" si="836"/>
        <v>248</v>
      </c>
      <c r="BD204" s="4" t="s">
        <v>23</v>
      </c>
      <c r="BE204" s="3" t="s">
        <v>1381</v>
      </c>
      <c r="BF204" s="50" t="s">
        <v>1384</v>
      </c>
      <c r="BG204" s="50" t="s">
        <v>1384</v>
      </c>
      <c r="BI204" s="72" t="s">
        <v>1293</v>
      </c>
      <c r="BJ204" s="58" t="s">
        <v>1293</v>
      </c>
      <c r="BK204" s="58" t="s">
        <v>1293</v>
      </c>
      <c r="BL204" s="58" t="s">
        <v>1293</v>
      </c>
      <c r="BM204" s="58" t="s">
        <v>1293</v>
      </c>
      <c r="BN204" s="58" t="s">
        <v>1293</v>
      </c>
      <c r="BO204" s="58" t="s">
        <v>1293</v>
      </c>
      <c r="BP204" s="58" t="s">
        <v>1293</v>
      </c>
      <c r="BQ204" s="58" t="s">
        <v>1293</v>
      </c>
      <c r="BR204" s="58" t="s">
        <v>1293</v>
      </c>
      <c r="BS204" s="58" t="s">
        <v>1293</v>
      </c>
      <c r="BT204" s="58" t="s">
        <v>1293</v>
      </c>
      <c r="BU204" s="72">
        <f t="shared" si="837"/>
        <v>224</v>
      </c>
      <c r="BV204" s="73">
        <f t="shared" si="838"/>
        <v>256</v>
      </c>
      <c r="BW204" s="74">
        <f t="shared" si="839"/>
        <v>261</v>
      </c>
      <c r="BX204" s="73" t="str">
        <f t="shared" si="840"/>
        <v>-</v>
      </c>
      <c r="BY204" s="74">
        <f t="shared" si="841"/>
        <v>312</v>
      </c>
      <c r="BZ204" s="73" t="str">
        <f t="shared" si="842"/>
        <v>-</v>
      </c>
      <c r="CA204" s="74">
        <f t="shared" si="843"/>
        <v>360</v>
      </c>
      <c r="CB204" s="73">
        <f t="shared" si="844"/>
        <v>390</v>
      </c>
      <c r="CC204" s="74">
        <f t="shared" si="845"/>
        <v>397</v>
      </c>
      <c r="CD204" s="73">
        <f t="shared" si="846"/>
        <v>442</v>
      </c>
      <c r="CE204" s="74">
        <f t="shared" si="847"/>
        <v>515</v>
      </c>
      <c r="CF204" s="73">
        <f t="shared" si="848"/>
        <v>538</v>
      </c>
      <c r="CG204" s="72">
        <f t="shared" si="849"/>
        <v>255</v>
      </c>
      <c r="CH204" s="73">
        <f t="shared" si="850"/>
        <v>260</v>
      </c>
      <c r="CI204" s="74">
        <f t="shared" si="851"/>
        <v>285</v>
      </c>
      <c r="CJ204" s="74" t="str">
        <f t="shared" si="852"/>
        <v>-</v>
      </c>
      <c r="CK204" s="74">
        <f t="shared" si="853"/>
        <v>348</v>
      </c>
      <c r="CL204" s="74" t="str">
        <f t="shared" si="854"/>
        <v>-</v>
      </c>
      <c r="CM204" s="74">
        <f t="shared" si="855"/>
        <v>378</v>
      </c>
      <c r="CN204" s="74">
        <f t="shared" si="856"/>
        <v>392</v>
      </c>
      <c r="CO204" s="74">
        <f t="shared" si="857"/>
        <v>433</v>
      </c>
      <c r="CP204" s="74">
        <f t="shared" si="858"/>
        <v>493</v>
      </c>
      <c r="CQ204" s="74">
        <f t="shared" si="859"/>
        <v>537</v>
      </c>
      <c r="CR204" s="74">
        <f t="shared" si="860"/>
        <v>550</v>
      </c>
      <c r="CS204" s="23">
        <f t="shared" si="861"/>
        <v>1</v>
      </c>
    </row>
    <row r="205" spans="1:1029" x14ac:dyDescent="0.2">
      <c r="A205" s="3" t="str">
        <f t="shared" si="862"/>
        <v>smo_human_4N4W</v>
      </c>
      <c r="B205" s="3" t="s">
        <v>33</v>
      </c>
      <c r="C205" s="3" t="s">
        <v>1048</v>
      </c>
      <c r="D205" s="3" t="str">
        <f>IFERROR(MID(VLOOKUP($B205,Seqs!$A:$B,2,0),E205,1),"")</f>
        <v>E</v>
      </c>
      <c r="E205" s="3">
        <v>224</v>
      </c>
      <c r="F205" s="3" t="str">
        <f>IFERROR(MID(VLOOKUP($B205,Seqs!$A:$B,2,0),G205,1),"")</f>
        <v>D</v>
      </c>
      <c r="G205" s="3">
        <v>255</v>
      </c>
      <c r="H205" s="3" t="str">
        <f>IFERROR(MID(VLOOKUP($B205,Seqs!$A:$B,2,0),I205,1),"")</f>
        <v>W</v>
      </c>
      <c r="I205" s="23">
        <v>256</v>
      </c>
      <c r="J205" s="3" t="str">
        <f>IFERROR(MID(VLOOKUP($B205,Seqs!$A:$B,2,0),K205,1),"")</f>
        <v>N</v>
      </c>
      <c r="K205" s="23">
        <v>260</v>
      </c>
      <c r="L205" s="3" t="str">
        <f>IFERROR(MID(VLOOKUP($B205,Seqs!$A:$B,2,0),M205,1),"")</f>
        <v>R</v>
      </c>
      <c r="M205" s="3">
        <v>261</v>
      </c>
      <c r="N205" s="3" t="str">
        <f>IFERROR(MID(VLOOKUP($B205,Seqs!$A:$B,2,0),O205,1),"")</f>
        <v>F</v>
      </c>
      <c r="O205" s="3">
        <v>285</v>
      </c>
      <c r="P205" s="3" t="str">
        <f>IFERROR(MID(VLOOKUP($B205,Seqs!$A:$B,2,0),Q205,1),"")</f>
        <v/>
      </c>
      <c r="Q205" s="3" t="s">
        <v>23</v>
      </c>
      <c r="R205" s="3" t="str">
        <f>IFERROR(MID(VLOOKUP($B205,Seqs!$A:$B,2,0),S205,1),"")</f>
        <v/>
      </c>
      <c r="S205" s="3" t="s">
        <v>23</v>
      </c>
      <c r="T205" s="3" t="str">
        <f>IFERROR(MID(VLOOKUP($B205,Seqs!$A:$B,2,0),U205,1),"")</f>
        <v>L</v>
      </c>
      <c r="U205" s="3">
        <v>312</v>
      </c>
      <c r="V205" s="3" t="str">
        <f>IFERROR(MID(VLOOKUP($B205,Seqs!$A:$B,2,0),W205,1),"")</f>
        <v>A</v>
      </c>
      <c r="W205" s="3">
        <v>345</v>
      </c>
      <c r="X205" s="3" t="str">
        <f>IFERROR(MID(VLOOKUP($B205,Seqs!$A:$B,2,0),Y205,1),"")</f>
        <v/>
      </c>
      <c r="Y205" s="3" t="s">
        <v>23</v>
      </c>
      <c r="Z205" s="3" t="str">
        <f>IFERROR(MID(VLOOKUP($B205,Seqs!$A:$B,2,0),AA205,1),"")</f>
        <v/>
      </c>
      <c r="AA205" s="3" t="s">
        <v>23</v>
      </c>
      <c r="AB205" s="3" t="str">
        <f>IFERROR(MID(VLOOKUP($B205,Seqs!$A:$B,2,0),AC205,1),"")</f>
        <v>K</v>
      </c>
      <c r="AC205" s="9">
        <v>356</v>
      </c>
      <c r="AD205" s="3" t="str">
        <f>IFERROR(MID(VLOOKUP($B205,Seqs!$A:$B,2,0),AE205,1),"")</f>
        <v>V</v>
      </c>
      <c r="AE205" s="3">
        <v>378</v>
      </c>
      <c r="AF205" s="3" t="str">
        <f>IFERROR(MID(VLOOKUP($B205,Seqs!$A:$B,2,0),AG205,1),"")</f>
        <v>C</v>
      </c>
      <c r="AG205" s="3">
        <v>390</v>
      </c>
      <c r="AH205" s="3" t="str">
        <f>IFERROR(MID(VLOOKUP($B205,Seqs!$A:$B,2,0),AI205,1),"")</f>
        <v>V</v>
      </c>
      <c r="AI205" s="3">
        <v>392</v>
      </c>
      <c r="AJ205" s="3" t="str">
        <f>IFERROR(MID(VLOOKUP($B205,Seqs!$A:$B,2,0),AK205,1),"")</f>
        <v>Y</v>
      </c>
      <c r="AK205" s="3">
        <v>397</v>
      </c>
      <c r="AL205" s="3" t="str">
        <f>IFERROR(MID(VLOOKUP($B205,Seqs!$A:$B,2,0),AM205,1),"")</f>
        <v>H</v>
      </c>
      <c r="AM205" s="3">
        <v>433</v>
      </c>
      <c r="AN205" s="3" t="str">
        <f>IFERROR(MID(VLOOKUP($B205,Seqs!$A:$B,2,0),AO205,1),"")</f>
        <v>S</v>
      </c>
      <c r="AO205" s="3">
        <v>443</v>
      </c>
      <c r="AP205" s="3" t="str">
        <f>IFERROR(MID(VLOOKUP($B205,Seqs!$A:$B,2,0),AQ205,1),"")</f>
        <v>Q</v>
      </c>
      <c r="AQ205" s="3">
        <v>491</v>
      </c>
      <c r="AR205" s="3" t="str">
        <f>IFERROR(MID(VLOOKUP($B205,Seqs!$A:$B,2,0),AS205,1),"")</f>
        <v>L</v>
      </c>
      <c r="AS205" s="3">
        <v>515</v>
      </c>
      <c r="AT205" s="3" t="str">
        <f>IFERROR(MID(VLOOKUP($B205,Seqs!$A:$B,2,0),AU205,1),"")</f>
        <v>W</v>
      </c>
      <c r="AU205" s="3">
        <v>537</v>
      </c>
      <c r="AV205" s="3" t="str">
        <f>IFERROR(MID(VLOOKUP($B205,Seqs!$A:$B,2,0),AW205,1),"")</f>
        <v>T</v>
      </c>
      <c r="AW205" s="3">
        <v>538</v>
      </c>
      <c r="AX205" s="3" t="str">
        <f>IFERROR(MID(VLOOKUP($B205,Seqs!$A:$B,2,0),AY205,1),"")</f>
        <v>L</v>
      </c>
      <c r="AY205" s="3">
        <v>552</v>
      </c>
      <c r="AZ205" s="79" t="str">
        <f>VLOOKUP(B205,Classification!A:D,2,0)</f>
        <v>F</v>
      </c>
      <c r="BA205" s="97" t="str">
        <f>VLOOKUP(B205,Classification!A:D,4,0)</f>
        <v>Frizzled</v>
      </c>
      <c r="BB205" s="27" t="b">
        <f t="shared" si="863"/>
        <v>1</v>
      </c>
      <c r="BC205" s="23">
        <f t="shared" si="836"/>
        <v>248</v>
      </c>
      <c r="BD205" s="2" t="s">
        <v>1383</v>
      </c>
      <c r="BE205" s="3" t="s">
        <v>1381</v>
      </c>
      <c r="BF205" s="50" t="s">
        <v>1384</v>
      </c>
      <c r="BG205" s="50" t="s">
        <v>1384</v>
      </c>
      <c r="BI205" s="72" t="s">
        <v>1293</v>
      </c>
      <c r="BJ205" s="58" t="s">
        <v>1293</v>
      </c>
      <c r="BK205" s="58" t="s">
        <v>1293</v>
      </c>
      <c r="BL205" s="58" t="s">
        <v>1293</v>
      </c>
      <c r="BM205" s="58" t="s">
        <v>1293</v>
      </c>
      <c r="BN205" s="58" t="s">
        <v>1293</v>
      </c>
      <c r="BO205" s="58" t="s">
        <v>1293</v>
      </c>
      <c r="BP205" s="58" t="s">
        <v>1293</v>
      </c>
      <c r="BQ205" s="58" t="s">
        <v>1293</v>
      </c>
      <c r="BR205" s="58" t="s">
        <v>1293</v>
      </c>
      <c r="BS205" s="58" t="s">
        <v>1293</v>
      </c>
      <c r="BT205" s="58" t="s">
        <v>1293</v>
      </c>
      <c r="BU205" s="72">
        <f t="shared" si="837"/>
        <v>224</v>
      </c>
      <c r="BV205" s="73">
        <f t="shared" si="838"/>
        <v>256</v>
      </c>
      <c r="BW205" s="74">
        <f t="shared" si="839"/>
        <v>261</v>
      </c>
      <c r="BX205" s="73" t="str">
        <f t="shared" si="840"/>
        <v>-</v>
      </c>
      <c r="BY205" s="74">
        <f t="shared" si="841"/>
        <v>312</v>
      </c>
      <c r="BZ205" s="73" t="str">
        <f t="shared" si="842"/>
        <v>-</v>
      </c>
      <c r="CA205" s="74">
        <f t="shared" si="843"/>
        <v>356</v>
      </c>
      <c r="CB205" s="73">
        <f t="shared" si="844"/>
        <v>390</v>
      </c>
      <c r="CC205" s="74">
        <f t="shared" si="845"/>
        <v>397</v>
      </c>
      <c r="CD205" s="73">
        <f t="shared" si="846"/>
        <v>443</v>
      </c>
      <c r="CE205" s="74">
        <f t="shared" si="847"/>
        <v>515</v>
      </c>
      <c r="CF205" s="73">
        <f t="shared" si="848"/>
        <v>538</v>
      </c>
      <c r="CG205" s="72">
        <f t="shared" si="849"/>
        <v>255</v>
      </c>
      <c r="CH205" s="73">
        <f t="shared" si="850"/>
        <v>260</v>
      </c>
      <c r="CI205" s="74">
        <f t="shared" si="851"/>
        <v>285</v>
      </c>
      <c r="CJ205" s="74" t="str">
        <f t="shared" si="852"/>
        <v>-</v>
      </c>
      <c r="CK205" s="74">
        <f t="shared" si="853"/>
        <v>345</v>
      </c>
      <c r="CL205" s="74" t="str">
        <f t="shared" si="854"/>
        <v>-</v>
      </c>
      <c r="CM205" s="74">
        <f t="shared" si="855"/>
        <v>378</v>
      </c>
      <c r="CN205" s="74">
        <f t="shared" si="856"/>
        <v>392</v>
      </c>
      <c r="CO205" s="74">
        <f t="shared" si="857"/>
        <v>433</v>
      </c>
      <c r="CP205" s="74">
        <f t="shared" si="858"/>
        <v>491</v>
      </c>
      <c r="CQ205" s="74">
        <f t="shared" si="859"/>
        <v>537</v>
      </c>
      <c r="CR205" s="74">
        <f t="shared" si="860"/>
        <v>552</v>
      </c>
      <c r="CS205" s="23">
        <f t="shared" si="861"/>
        <v>1</v>
      </c>
    </row>
    <row r="206" spans="1:1029" x14ac:dyDescent="0.2">
      <c r="A206" s="3" t="str">
        <f t="shared" si="862"/>
        <v>smo_human_4O9R</v>
      </c>
      <c r="B206" s="3" t="s">
        <v>33</v>
      </c>
      <c r="C206" s="3" t="s">
        <v>1050</v>
      </c>
      <c r="D206" s="3" t="str">
        <f>IFERROR(MID(VLOOKUP($B206,Seqs!$A:$B,2,0),E206,1),"")</f>
        <v>E</v>
      </c>
      <c r="E206" s="3">
        <v>224</v>
      </c>
      <c r="F206" s="3" t="str">
        <f>IFERROR(MID(VLOOKUP($B206,Seqs!$A:$B,2,0),G206,1),"")</f>
        <v>D</v>
      </c>
      <c r="G206" s="3">
        <v>255</v>
      </c>
      <c r="H206" s="3" t="str">
        <f>IFERROR(MID(VLOOKUP($B206,Seqs!$A:$B,2,0),I206,1),"")</f>
        <v>W</v>
      </c>
      <c r="I206" s="23">
        <v>256</v>
      </c>
      <c r="J206" s="3" t="str">
        <f>IFERROR(MID(VLOOKUP($B206,Seqs!$A:$B,2,0),K206,1),"")</f>
        <v>N</v>
      </c>
      <c r="K206" s="23">
        <v>260</v>
      </c>
      <c r="L206" s="3" t="str">
        <f>IFERROR(MID(VLOOKUP($B206,Seqs!$A:$B,2,0),M206,1),"")</f>
        <v>R</v>
      </c>
      <c r="M206" s="3">
        <v>261</v>
      </c>
      <c r="N206" s="3" t="str">
        <f>IFERROR(MID(VLOOKUP($B206,Seqs!$A:$B,2,0),O206,1),"")</f>
        <v>F</v>
      </c>
      <c r="O206" s="3">
        <v>285</v>
      </c>
      <c r="P206" s="3" t="str">
        <f>IFERROR(MID(VLOOKUP($B206,Seqs!$A:$B,2,0),Q206,1),"")</f>
        <v/>
      </c>
      <c r="Q206" s="3" t="s">
        <v>23</v>
      </c>
      <c r="R206" s="3" t="str">
        <f>IFERROR(MID(VLOOKUP($B206,Seqs!$A:$B,2,0),S206,1),"")</f>
        <v/>
      </c>
      <c r="S206" s="3" t="s">
        <v>23</v>
      </c>
      <c r="T206" s="3" t="str">
        <f>IFERROR(MID(VLOOKUP($B206,Seqs!$A:$B,2,0),U206,1),"")</f>
        <v>L</v>
      </c>
      <c r="U206" s="3">
        <v>312</v>
      </c>
      <c r="V206" s="3" t="str">
        <f>IFERROR(MID(VLOOKUP($B206,Seqs!$A:$B,2,0),W206,1),"")</f>
        <v>F</v>
      </c>
      <c r="W206" s="3">
        <v>343</v>
      </c>
      <c r="X206" s="3" t="str">
        <f>IFERROR(MID(VLOOKUP($B206,Seqs!$A:$B,2,0),Y206,1),"")</f>
        <v/>
      </c>
      <c r="Y206" s="3" t="s">
        <v>23</v>
      </c>
      <c r="Z206" s="3" t="str">
        <f>IFERROR(MID(VLOOKUP($B206,Seqs!$A:$B,2,0),AA206,1),"")</f>
        <v/>
      </c>
      <c r="AA206" s="3" t="s">
        <v>23</v>
      </c>
      <c r="AB206" s="3" t="str">
        <f>IFERROR(MID(VLOOKUP($B206,Seqs!$A:$B,2,0),AC206,1),"")</f>
        <v>F</v>
      </c>
      <c r="AC206" s="9">
        <v>360</v>
      </c>
      <c r="AD206" s="3" t="str">
        <f>IFERROR(MID(VLOOKUP($B206,Seqs!$A:$B,2,0),AE206,1),"")</f>
        <v>V</v>
      </c>
      <c r="AE206" s="3">
        <v>378</v>
      </c>
      <c r="AF206" s="3" t="str">
        <f>IFERROR(MID(VLOOKUP($B206,Seqs!$A:$B,2,0),AG206,1),"")</f>
        <v>C</v>
      </c>
      <c r="AG206" s="3">
        <v>390</v>
      </c>
      <c r="AH206" s="3" t="str">
        <f>IFERROR(MID(VLOOKUP($B206,Seqs!$A:$B,2,0),AI206,1),"")</f>
        <v>V</v>
      </c>
      <c r="AI206" s="3">
        <v>392</v>
      </c>
      <c r="AJ206" s="3" t="str">
        <f>IFERROR(MID(VLOOKUP($B206,Seqs!$A:$B,2,0),AK206,1),"")</f>
        <v>Y</v>
      </c>
      <c r="AK206" s="3">
        <v>397</v>
      </c>
      <c r="AL206" s="3" t="str">
        <f>IFERROR(MID(VLOOKUP($B206,Seqs!$A:$B,2,0),AM206,1),"")</f>
        <v>H</v>
      </c>
      <c r="AM206" s="3">
        <v>433</v>
      </c>
      <c r="AN206" s="3" t="str">
        <f>IFERROR(MID(VLOOKUP($B206,Seqs!$A:$B,2,0),AO206,1),"")</f>
        <v>E</v>
      </c>
      <c r="AO206" s="3">
        <v>447</v>
      </c>
      <c r="AP206" s="3" t="str">
        <f>IFERROR(MID(VLOOKUP($B206,Seqs!$A:$B,2,0),AQ206,1),"")</f>
        <v>N</v>
      </c>
      <c r="AQ206" s="3">
        <v>493</v>
      </c>
      <c r="AR206" s="3" t="str">
        <f>IFERROR(MID(VLOOKUP($B206,Seqs!$A:$B,2,0),AS206,1),"")</f>
        <v>L</v>
      </c>
      <c r="AS206" s="3">
        <v>515</v>
      </c>
      <c r="AT206" s="3" t="str">
        <f>IFERROR(MID(VLOOKUP($B206,Seqs!$A:$B,2,0),AU206,1),"")</f>
        <v>W</v>
      </c>
      <c r="AU206" s="3">
        <v>537</v>
      </c>
      <c r="AV206" s="3" t="str">
        <f>IFERROR(MID(VLOOKUP($B206,Seqs!$A:$B,2,0),AW206,1),"")</f>
        <v>T</v>
      </c>
      <c r="AW206" s="3">
        <v>538</v>
      </c>
      <c r="AX206" s="3" t="str">
        <f>IFERROR(MID(VLOOKUP($B206,Seqs!$A:$B,2,0),AY206,1),"")</f>
        <v>W</v>
      </c>
      <c r="AY206" s="3">
        <v>549</v>
      </c>
      <c r="AZ206" s="80" t="str">
        <f>VLOOKUP(B206,Classification!A:D,2,0)</f>
        <v>F</v>
      </c>
      <c r="BA206" s="97" t="str">
        <f>VLOOKUP(B206,Classification!A:D,4,0)</f>
        <v>Frizzled</v>
      </c>
      <c r="BB206" s="94" t="b">
        <f t="shared" si="863"/>
        <v>1</v>
      </c>
      <c r="BC206" s="23">
        <f t="shared" si="836"/>
        <v>237</v>
      </c>
      <c r="BD206" s="76" t="s">
        <v>23</v>
      </c>
      <c r="BE206" s="3" t="s">
        <v>1381</v>
      </c>
      <c r="BF206" s="50" t="s">
        <v>1384</v>
      </c>
      <c r="BG206" s="50" t="s">
        <v>1384</v>
      </c>
      <c r="BI206" s="77" t="s">
        <v>1293</v>
      </c>
      <c r="BJ206" s="58" t="s">
        <v>1293</v>
      </c>
      <c r="BK206" s="58" t="s">
        <v>1293</v>
      </c>
      <c r="BL206" s="58" t="s">
        <v>1293</v>
      </c>
      <c r="BM206" s="58" t="s">
        <v>1293</v>
      </c>
      <c r="BN206" s="58" t="s">
        <v>1293</v>
      </c>
      <c r="BO206" s="58" t="s">
        <v>1293</v>
      </c>
      <c r="BP206" s="58" t="s">
        <v>1293</v>
      </c>
      <c r="BQ206" s="58" t="s">
        <v>1293</v>
      </c>
      <c r="BR206" s="58" t="s">
        <v>1293</v>
      </c>
      <c r="BS206" s="58" t="s">
        <v>1293</v>
      </c>
      <c r="BT206" s="58" t="s">
        <v>1293</v>
      </c>
      <c r="BU206" s="77">
        <f t="shared" si="837"/>
        <v>224</v>
      </c>
      <c r="BV206" s="73">
        <f t="shared" si="838"/>
        <v>256</v>
      </c>
      <c r="BW206" s="74">
        <f t="shared" si="839"/>
        <v>261</v>
      </c>
      <c r="BX206" s="73" t="str">
        <f t="shared" si="840"/>
        <v>-</v>
      </c>
      <c r="BY206" s="74">
        <f t="shared" si="841"/>
        <v>312</v>
      </c>
      <c r="BZ206" s="73" t="str">
        <f t="shared" si="842"/>
        <v>-</v>
      </c>
      <c r="CA206" s="74">
        <f t="shared" si="843"/>
        <v>360</v>
      </c>
      <c r="CB206" s="73">
        <f t="shared" si="844"/>
        <v>390</v>
      </c>
      <c r="CC206" s="74">
        <f t="shared" si="845"/>
        <v>397</v>
      </c>
      <c r="CD206" s="73">
        <f t="shared" si="846"/>
        <v>447</v>
      </c>
      <c r="CE206" s="74">
        <f t="shared" si="847"/>
        <v>515</v>
      </c>
      <c r="CF206" s="73">
        <f t="shared" si="848"/>
        <v>538</v>
      </c>
      <c r="CG206" s="77">
        <f t="shared" si="849"/>
        <v>255</v>
      </c>
      <c r="CH206" s="73">
        <f t="shared" si="850"/>
        <v>260</v>
      </c>
      <c r="CI206" s="74">
        <f t="shared" si="851"/>
        <v>285</v>
      </c>
      <c r="CJ206" s="74" t="str">
        <f t="shared" si="852"/>
        <v>-</v>
      </c>
      <c r="CK206" s="74">
        <f t="shared" si="853"/>
        <v>343</v>
      </c>
      <c r="CL206" s="74" t="str">
        <f t="shared" si="854"/>
        <v>-</v>
      </c>
      <c r="CM206" s="74">
        <f t="shared" si="855"/>
        <v>378</v>
      </c>
      <c r="CN206" s="74">
        <f t="shared" si="856"/>
        <v>392</v>
      </c>
      <c r="CO206" s="74">
        <f t="shared" si="857"/>
        <v>433</v>
      </c>
      <c r="CP206" s="74">
        <f t="shared" si="858"/>
        <v>493</v>
      </c>
      <c r="CQ206" s="74">
        <f t="shared" si="859"/>
        <v>537</v>
      </c>
      <c r="CR206" s="74">
        <f t="shared" si="860"/>
        <v>549</v>
      </c>
      <c r="CS206" s="23">
        <f t="shared" si="861"/>
        <v>1</v>
      </c>
    </row>
    <row r="207" spans="1:1029" s="6" customFormat="1" x14ac:dyDescent="0.2">
      <c r="A207" s="3" t="str">
        <f t="shared" si="862"/>
        <v>smo_human_4QIM</v>
      </c>
      <c r="B207" s="3" t="s">
        <v>33</v>
      </c>
      <c r="C207" s="3" t="s">
        <v>1052</v>
      </c>
      <c r="D207" s="3" t="str">
        <f>IFERROR(MID(VLOOKUP($B207,Seqs!$A:$B,2,0),E207,1),"")</f>
        <v>E</v>
      </c>
      <c r="E207" s="3">
        <v>224</v>
      </c>
      <c r="F207" s="3" t="str">
        <f>IFERROR(MID(VLOOKUP($B207,Seqs!$A:$B,2,0),G207,1),"")</f>
        <v>D</v>
      </c>
      <c r="G207" s="3">
        <v>255</v>
      </c>
      <c r="H207" s="3" t="str">
        <f>IFERROR(MID(VLOOKUP($B207,Seqs!$A:$B,2,0),I207,1),"")</f>
        <v>W</v>
      </c>
      <c r="I207" s="23">
        <v>256</v>
      </c>
      <c r="J207" s="3" t="str">
        <f>IFERROR(MID(VLOOKUP($B207,Seqs!$A:$B,2,0),K207,1),"")</f>
        <v>N</v>
      </c>
      <c r="K207" s="23">
        <v>260</v>
      </c>
      <c r="L207" s="3" t="str">
        <f>IFERROR(MID(VLOOKUP($B207,Seqs!$A:$B,2,0),M207,1),"")</f>
        <v>R</v>
      </c>
      <c r="M207" s="3">
        <v>261</v>
      </c>
      <c r="N207" s="3" t="str">
        <f>IFERROR(MID(VLOOKUP($B207,Seqs!$A:$B,2,0),O207,1),"")</f>
        <v>F</v>
      </c>
      <c r="O207" s="3">
        <v>285</v>
      </c>
      <c r="P207" s="3" t="str">
        <f>IFERROR(MID(VLOOKUP($B207,Seqs!$A:$B,2,0),Q207,1),"")</f>
        <v/>
      </c>
      <c r="Q207" s="3" t="s">
        <v>23</v>
      </c>
      <c r="R207" s="3" t="str">
        <f>IFERROR(MID(VLOOKUP($B207,Seqs!$A:$B,2,0),S207,1),"")</f>
        <v/>
      </c>
      <c r="S207" s="3" t="s">
        <v>23</v>
      </c>
      <c r="T207" s="3" t="str">
        <f>IFERROR(MID(VLOOKUP($B207,Seqs!$A:$B,2,0),U207,1),"")</f>
        <v>L</v>
      </c>
      <c r="U207" s="3">
        <v>312</v>
      </c>
      <c r="V207" s="3" t="str">
        <f>IFERROR(MID(VLOOKUP($B207,Seqs!$A:$B,2,0),W207,1),"")</f>
        <v>A</v>
      </c>
      <c r="W207" s="3">
        <v>345</v>
      </c>
      <c r="X207" s="3" t="str">
        <f>IFERROR(MID(VLOOKUP($B207,Seqs!$A:$B,2,0),Y207,1),"")</f>
        <v/>
      </c>
      <c r="Y207" s="3" t="s">
        <v>23</v>
      </c>
      <c r="Z207" s="3" t="str">
        <f>IFERROR(MID(VLOOKUP($B207,Seqs!$A:$B,2,0),AA207,1),"")</f>
        <v/>
      </c>
      <c r="AA207" s="3" t="s">
        <v>23</v>
      </c>
      <c r="AB207" s="3" t="str">
        <f>IFERROR(MID(VLOOKUP($B207,Seqs!$A:$B,2,0),AC207,1),"")</f>
        <v>K</v>
      </c>
      <c r="AC207" s="9">
        <v>356</v>
      </c>
      <c r="AD207" s="3" t="str">
        <f>IFERROR(MID(VLOOKUP($B207,Seqs!$A:$B,2,0),AE207,1),"")</f>
        <v>V</v>
      </c>
      <c r="AE207" s="3">
        <v>378</v>
      </c>
      <c r="AF207" s="3" t="str">
        <f>IFERROR(MID(VLOOKUP($B207,Seqs!$A:$B,2,0),AG207,1),"")</f>
        <v>C</v>
      </c>
      <c r="AG207" s="3">
        <v>390</v>
      </c>
      <c r="AH207" s="3" t="str">
        <f>IFERROR(MID(VLOOKUP($B207,Seqs!$A:$B,2,0),AI207,1),"")</f>
        <v>V</v>
      </c>
      <c r="AI207" s="3">
        <v>392</v>
      </c>
      <c r="AJ207" s="3" t="str">
        <f>IFERROR(MID(VLOOKUP($B207,Seqs!$A:$B,2,0),AK207,1),"")</f>
        <v>Y</v>
      </c>
      <c r="AK207" s="3">
        <v>397</v>
      </c>
      <c r="AL207" s="3" t="str">
        <f>IFERROR(MID(VLOOKUP($B207,Seqs!$A:$B,2,0),AM207,1),"")</f>
        <v>H</v>
      </c>
      <c r="AM207" s="3">
        <v>433</v>
      </c>
      <c r="AN207" s="3" t="str">
        <f>IFERROR(MID(VLOOKUP($B207,Seqs!$A:$B,2,0),AO207,1),"")</f>
        <v>E</v>
      </c>
      <c r="AO207" s="3">
        <v>447</v>
      </c>
      <c r="AP207" s="3" t="str">
        <f>IFERROR(MID(VLOOKUP($B207,Seqs!$A:$B,2,0),AQ207,1),"")</f>
        <v>N</v>
      </c>
      <c r="AQ207" s="3">
        <v>493</v>
      </c>
      <c r="AR207" s="3" t="str">
        <f>IFERROR(MID(VLOOKUP($B207,Seqs!$A:$B,2,0),AS207,1),"")</f>
        <v>L</v>
      </c>
      <c r="AS207" s="3">
        <v>515</v>
      </c>
      <c r="AT207" s="3" t="str">
        <f>IFERROR(MID(VLOOKUP($B207,Seqs!$A:$B,2,0),AU207,1),"")</f>
        <v>W</v>
      </c>
      <c r="AU207" s="3">
        <v>537</v>
      </c>
      <c r="AV207" s="3" t="str">
        <f>IFERROR(MID(VLOOKUP($B207,Seqs!$A:$B,2,0),AW207,1),"")</f>
        <v>T</v>
      </c>
      <c r="AW207" s="3">
        <v>538</v>
      </c>
      <c r="AX207" s="3" t="str">
        <f>IFERROR(MID(VLOOKUP($B207,Seqs!$A:$B,2,0),AY207,1),"")</f>
        <v>T</v>
      </c>
      <c r="AY207" s="3">
        <v>553</v>
      </c>
      <c r="AZ207" s="80" t="str">
        <f>VLOOKUP(B207,Classification!A:D,2,0)</f>
        <v>F</v>
      </c>
      <c r="BA207" s="97" t="str">
        <f>VLOOKUP(B207,Classification!A:D,4,0)</f>
        <v>Frizzled</v>
      </c>
      <c r="BB207" s="94" t="b">
        <f t="shared" si="863"/>
        <v>1</v>
      </c>
      <c r="BC207" s="23">
        <f t="shared" si="836"/>
        <v>247</v>
      </c>
      <c r="BD207" s="76" t="s">
        <v>23</v>
      </c>
      <c r="BE207" s="3" t="s">
        <v>1381</v>
      </c>
      <c r="BF207" s="50" t="s">
        <v>1384</v>
      </c>
      <c r="BG207" s="50" t="s">
        <v>1384</v>
      </c>
      <c r="BH207" s="3"/>
      <c r="BI207" s="77" t="s">
        <v>1293</v>
      </c>
      <c r="BJ207" s="58" t="s">
        <v>1293</v>
      </c>
      <c r="BK207" s="58" t="s">
        <v>1293</v>
      </c>
      <c r="BL207" s="58" t="s">
        <v>1293</v>
      </c>
      <c r="BM207" s="58" t="s">
        <v>1293</v>
      </c>
      <c r="BN207" s="58" t="s">
        <v>1293</v>
      </c>
      <c r="BO207" s="58" t="s">
        <v>1293</v>
      </c>
      <c r="BP207" s="58" t="s">
        <v>1293</v>
      </c>
      <c r="BQ207" s="58" t="s">
        <v>1293</v>
      </c>
      <c r="BR207" s="58" t="s">
        <v>1293</v>
      </c>
      <c r="BS207" s="58" t="s">
        <v>1293</v>
      </c>
      <c r="BT207" s="58" t="s">
        <v>1293</v>
      </c>
      <c r="BU207" s="77">
        <f t="shared" si="837"/>
        <v>224</v>
      </c>
      <c r="BV207" s="73">
        <f t="shared" si="838"/>
        <v>256</v>
      </c>
      <c r="BW207" s="74">
        <f t="shared" si="839"/>
        <v>261</v>
      </c>
      <c r="BX207" s="73" t="str">
        <f t="shared" si="840"/>
        <v>-</v>
      </c>
      <c r="BY207" s="74">
        <f t="shared" si="841"/>
        <v>312</v>
      </c>
      <c r="BZ207" s="73" t="str">
        <f t="shared" si="842"/>
        <v>-</v>
      </c>
      <c r="CA207" s="74">
        <f t="shared" si="843"/>
        <v>356</v>
      </c>
      <c r="CB207" s="73">
        <f t="shared" si="844"/>
        <v>390</v>
      </c>
      <c r="CC207" s="74">
        <f t="shared" si="845"/>
        <v>397</v>
      </c>
      <c r="CD207" s="73">
        <f t="shared" si="846"/>
        <v>447</v>
      </c>
      <c r="CE207" s="74">
        <f t="shared" si="847"/>
        <v>515</v>
      </c>
      <c r="CF207" s="73">
        <f t="shared" si="848"/>
        <v>538</v>
      </c>
      <c r="CG207" s="77">
        <f t="shared" si="849"/>
        <v>255</v>
      </c>
      <c r="CH207" s="73">
        <f t="shared" si="850"/>
        <v>260</v>
      </c>
      <c r="CI207" s="74">
        <f t="shared" si="851"/>
        <v>285</v>
      </c>
      <c r="CJ207" s="74" t="str">
        <f t="shared" si="852"/>
        <v>-</v>
      </c>
      <c r="CK207" s="74">
        <f t="shared" si="853"/>
        <v>345</v>
      </c>
      <c r="CL207" s="74" t="str">
        <f t="shared" si="854"/>
        <v>-</v>
      </c>
      <c r="CM207" s="74">
        <f t="shared" si="855"/>
        <v>378</v>
      </c>
      <c r="CN207" s="74">
        <f t="shared" si="856"/>
        <v>392</v>
      </c>
      <c r="CO207" s="74">
        <f t="shared" si="857"/>
        <v>433</v>
      </c>
      <c r="CP207" s="74">
        <f t="shared" si="858"/>
        <v>493</v>
      </c>
      <c r="CQ207" s="74">
        <f t="shared" si="859"/>
        <v>537</v>
      </c>
      <c r="CR207" s="74">
        <f t="shared" si="860"/>
        <v>553</v>
      </c>
      <c r="CS207" s="23">
        <f t="shared" si="861"/>
        <v>1</v>
      </c>
      <c r="CT207" s="3"/>
      <c r="CU207" s="3"/>
      <c r="CV207" s="3"/>
      <c r="CW207" s="3"/>
      <c r="CX207" s="3"/>
      <c r="CY207" s="3"/>
      <c r="CZ207" s="3"/>
      <c r="DA207" s="3"/>
      <c r="DB207" s="3"/>
      <c r="DC207" s="3"/>
      <c r="DD207" s="3"/>
      <c r="DE207" s="3"/>
      <c r="DF207" s="3"/>
      <c r="DG207" s="3"/>
      <c r="DH207" s="3"/>
      <c r="DI207" s="3"/>
      <c r="DJ207" s="3"/>
      <c r="DK207" s="3"/>
      <c r="DL207" s="3"/>
      <c r="DM207" s="3"/>
      <c r="DN207" s="3"/>
      <c r="DO207" s="3"/>
      <c r="DP207" s="3"/>
      <c r="DQ207" s="3"/>
      <c r="DR207" s="3"/>
      <c r="DS207" s="3"/>
      <c r="DT207" s="3"/>
      <c r="DU207" s="3"/>
      <c r="DV207" s="3"/>
      <c r="DW207" s="3"/>
      <c r="DX207" s="3"/>
      <c r="DY207" s="3"/>
      <c r="DZ207" s="3"/>
      <c r="EA207" s="3"/>
      <c r="EB207" s="3"/>
      <c r="EC207" s="3"/>
      <c r="ED207" s="3"/>
      <c r="EE207" s="3"/>
      <c r="EF207" s="3"/>
      <c r="EG207" s="3"/>
      <c r="EH207" s="3"/>
      <c r="EI207" s="3"/>
      <c r="EJ207" s="3"/>
      <c r="EK207" s="3"/>
      <c r="EL207" s="3"/>
      <c r="EM207" s="3"/>
      <c r="EN207" s="3"/>
      <c r="EO207" s="3"/>
      <c r="EP207" s="3"/>
      <c r="EQ207" s="3"/>
      <c r="ER207" s="3"/>
      <c r="ES207" s="3"/>
      <c r="ET207" s="3"/>
      <c r="EU207" s="3"/>
      <c r="EV207" s="3"/>
      <c r="EW207" s="3"/>
      <c r="EX207" s="3"/>
      <c r="EY207" s="3"/>
      <c r="EZ207" s="3"/>
      <c r="FA207" s="3"/>
      <c r="FB207" s="3"/>
      <c r="FC207" s="3"/>
      <c r="FD207" s="3"/>
      <c r="FE207" s="3"/>
      <c r="FF207" s="3"/>
      <c r="FG207" s="3"/>
      <c r="FH207" s="3"/>
      <c r="FI207" s="3"/>
      <c r="FJ207" s="3"/>
      <c r="FK207" s="3"/>
      <c r="FL207" s="3"/>
      <c r="FM207" s="3"/>
      <c r="FN207" s="3"/>
      <c r="FO207" s="3"/>
      <c r="FP207" s="3"/>
      <c r="FQ207" s="3"/>
      <c r="FR207" s="3"/>
      <c r="FS207" s="3"/>
      <c r="FT207" s="3"/>
      <c r="FU207" s="3"/>
      <c r="FV207" s="3"/>
      <c r="FW207" s="3"/>
      <c r="FX207" s="3"/>
      <c r="FY207" s="3"/>
      <c r="FZ207" s="3"/>
      <c r="GA207" s="3"/>
      <c r="GB207" s="3"/>
      <c r="GC207" s="3"/>
      <c r="GD207" s="3"/>
      <c r="GE207" s="3"/>
      <c r="GF207" s="3"/>
      <c r="GG207" s="3"/>
      <c r="GH207" s="3"/>
      <c r="GI207" s="3"/>
      <c r="GJ207" s="3"/>
      <c r="GK207" s="3"/>
      <c r="GL207" s="3"/>
      <c r="GM207" s="3"/>
      <c r="GN207" s="3"/>
      <c r="GO207" s="3"/>
      <c r="GP207" s="3"/>
      <c r="GQ207" s="3"/>
      <c r="GR207" s="3"/>
      <c r="GS207" s="3"/>
      <c r="GT207" s="3"/>
      <c r="GU207" s="3"/>
      <c r="GV207" s="3"/>
      <c r="GW207" s="3"/>
      <c r="GX207" s="3"/>
      <c r="GY207" s="3"/>
      <c r="GZ207" s="3"/>
      <c r="HA207" s="3"/>
      <c r="HB207" s="3"/>
      <c r="HC207" s="3"/>
      <c r="HD207" s="3"/>
      <c r="HE207" s="3"/>
      <c r="HF207" s="3"/>
      <c r="HG207" s="3"/>
      <c r="HH207" s="3"/>
      <c r="HI207" s="3"/>
      <c r="HJ207" s="3"/>
      <c r="HK207" s="3"/>
      <c r="HL207" s="3"/>
      <c r="HM207" s="3"/>
      <c r="HN207" s="3"/>
      <c r="HO207" s="3"/>
      <c r="HP207" s="3"/>
      <c r="HQ207" s="3"/>
      <c r="HR207" s="3"/>
      <c r="HS207" s="3"/>
      <c r="HT207" s="3"/>
      <c r="HU207" s="3"/>
      <c r="HV207" s="3"/>
      <c r="HW207" s="3"/>
      <c r="HX207" s="3"/>
      <c r="HY207" s="3"/>
      <c r="HZ207" s="3"/>
      <c r="IA207" s="3"/>
      <c r="IB207" s="3"/>
      <c r="IC207" s="3"/>
      <c r="ID207" s="3"/>
      <c r="IE207" s="3"/>
      <c r="IF207" s="3"/>
      <c r="IG207" s="3"/>
      <c r="IH207" s="3"/>
      <c r="II207" s="3"/>
      <c r="IJ207" s="3"/>
      <c r="IK207" s="3"/>
      <c r="IL207" s="3"/>
      <c r="IM207" s="3"/>
      <c r="IN207" s="3"/>
      <c r="IO207" s="3"/>
      <c r="IP207" s="3"/>
      <c r="IQ207" s="3"/>
      <c r="IR207" s="3"/>
      <c r="IS207" s="3"/>
      <c r="IT207" s="3"/>
      <c r="IU207" s="3"/>
      <c r="IV207" s="3"/>
      <c r="IW207" s="3"/>
      <c r="IX207" s="3"/>
      <c r="IY207" s="3"/>
      <c r="IZ207" s="3"/>
      <c r="JA207" s="3"/>
      <c r="JB207" s="3"/>
      <c r="JC207" s="3"/>
      <c r="JD207" s="3"/>
      <c r="JE207" s="3"/>
      <c r="JF207" s="3"/>
      <c r="JG207" s="3"/>
      <c r="JH207" s="3"/>
      <c r="JI207" s="3"/>
      <c r="JJ207" s="3"/>
      <c r="JK207" s="3"/>
      <c r="JL207" s="3"/>
      <c r="JM207" s="3"/>
      <c r="JN207" s="3"/>
      <c r="JO207" s="3"/>
      <c r="JP207" s="3"/>
      <c r="JQ207" s="3"/>
      <c r="JR207" s="3"/>
      <c r="JS207" s="3"/>
      <c r="JT207" s="3"/>
      <c r="JU207" s="3"/>
      <c r="JV207" s="3"/>
      <c r="JW207" s="3"/>
      <c r="JX207" s="3"/>
      <c r="JY207" s="3"/>
      <c r="JZ207" s="3"/>
      <c r="KA207" s="3"/>
      <c r="KB207" s="3"/>
      <c r="KC207" s="3"/>
      <c r="KD207" s="3"/>
      <c r="KE207" s="3"/>
      <c r="KF207" s="3"/>
      <c r="KG207" s="3"/>
      <c r="KH207" s="3"/>
      <c r="KI207" s="3"/>
      <c r="KJ207" s="3"/>
      <c r="KK207" s="3"/>
      <c r="KL207" s="3"/>
      <c r="KM207" s="3"/>
      <c r="KN207" s="3"/>
      <c r="KO207" s="3"/>
      <c r="KP207" s="3"/>
      <c r="KQ207" s="3"/>
      <c r="KR207" s="3"/>
      <c r="KS207" s="3"/>
      <c r="KT207" s="3"/>
      <c r="KU207" s="3"/>
      <c r="KV207" s="3"/>
      <c r="KW207" s="3"/>
      <c r="KX207" s="3"/>
      <c r="KY207" s="3"/>
      <c r="KZ207" s="3"/>
      <c r="LA207" s="3"/>
      <c r="LB207" s="3"/>
      <c r="LC207" s="3"/>
      <c r="LD207" s="3"/>
      <c r="LE207" s="3"/>
      <c r="LF207" s="3"/>
      <c r="LG207" s="3"/>
      <c r="LH207" s="3"/>
      <c r="LI207" s="3"/>
      <c r="LJ207" s="3"/>
      <c r="LK207" s="3"/>
      <c r="LL207" s="3"/>
      <c r="LM207" s="3"/>
      <c r="LN207" s="3"/>
      <c r="LO207" s="3"/>
      <c r="LP207" s="3"/>
      <c r="LQ207" s="3"/>
      <c r="LR207" s="3"/>
      <c r="LS207" s="3"/>
      <c r="LT207" s="3"/>
      <c r="LU207" s="3"/>
      <c r="LV207" s="3"/>
      <c r="LW207" s="3"/>
      <c r="LX207" s="3"/>
      <c r="LY207" s="3"/>
      <c r="LZ207" s="3"/>
      <c r="MA207" s="3"/>
      <c r="MB207" s="3"/>
      <c r="MC207" s="3"/>
      <c r="MD207" s="3"/>
      <c r="ME207" s="3"/>
      <c r="MF207" s="3"/>
      <c r="MG207" s="3"/>
      <c r="MH207" s="3"/>
      <c r="MI207" s="3"/>
      <c r="MJ207" s="3"/>
      <c r="MK207" s="3"/>
      <c r="ML207" s="3"/>
      <c r="MM207" s="3"/>
      <c r="MN207" s="3"/>
      <c r="MO207" s="3"/>
      <c r="MP207" s="3"/>
      <c r="MQ207" s="3"/>
      <c r="MR207" s="3"/>
      <c r="MS207" s="3"/>
      <c r="MT207" s="3"/>
      <c r="MU207" s="3"/>
      <c r="MV207" s="3"/>
      <c r="MW207" s="3"/>
      <c r="MX207" s="3"/>
      <c r="MY207" s="3"/>
      <c r="MZ207" s="3"/>
      <c r="NA207" s="3"/>
      <c r="NB207" s="3"/>
      <c r="NC207" s="3"/>
      <c r="ND207" s="3"/>
      <c r="NE207" s="3"/>
      <c r="NF207" s="3"/>
      <c r="NG207" s="3"/>
      <c r="NH207" s="3"/>
      <c r="NI207" s="3"/>
      <c r="NJ207" s="3"/>
      <c r="NK207" s="3"/>
      <c r="NL207" s="3"/>
      <c r="NM207" s="3"/>
      <c r="NN207" s="3"/>
      <c r="NO207" s="3"/>
      <c r="NP207" s="3"/>
      <c r="NQ207" s="3"/>
      <c r="NR207" s="3"/>
      <c r="NS207" s="3"/>
      <c r="NT207" s="3"/>
      <c r="NU207" s="3"/>
      <c r="NV207" s="3"/>
      <c r="NW207" s="3"/>
      <c r="NX207" s="3"/>
      <c r="NY207" s="3"/>
      <c r="NZ207" s="3"/>
      <c r="OA207" s="3"/>
      <c r="OB207" s="3"/>
      <c r="OC207" s="3"/>
      <c r="OD207" s="3"/>
      <c r="OE207" s="3"/>
      <c r="OF207" s="3"/>
      <c r="OG207" s="3"/>
      <c r="OH207" s="3"/>
      <c r="OI207" s="3"/>
      <c r="OJ207" s="3"/>
      <c r="OK207" s="3"/>
      <c r="OL207" s="3"/>
      <c r="OM207" s="3"/>
      <c r="ON207" s="3"/>
      <c r="OO207" s="3"/>
      <c r="OP207" s="3"/>
      <c r="OQ207" s="3"/>
      <c r="OR207" s="3"/>
      <c r="OS207" s="3"/>
      <c r="OT207" s="3"/>
      <c r="OU207" s="3"/>
      <c r="OV207" s="3"/>
      <c r="OW207" s="3"/>
      <c r="OX207" s="3"/>
      <c r="OY207" s="3"/>
      <c r="OZ207" s="3"/>
      <c r="PA207" s="3"/>
      <c r="PB207" s="3"/>
      <c r="PC207" s="3"/>
      <c r="PD207" s="3"/>
      <c r="PE207" s="3"/>
      <c r="PF207" s="3"/>
      <c r="PG207" s="3"/>
      <c r="PH207" s="3"/>
      <c r="PI207" s="3"/>
      <c r="PJ207" s="3"/>
      <c r="PK207" s="3"/>
      <c r="PL207" s="3"/>
      <c r="PM207" s="3"/>
      <c r="PN207" s="3"/>
      <c r="PO207" s="3"/>
      <c r="PP207" s="3"/>
      <c r="PQ207" s="3"/>
      <c r="PR207" s="3"/>
      <c r="PS207" s="3"/>
      <c r="PT207" s="3"/>
      <c r="PU207" s="3"/>
      <c r="PV207" s="3"/>
      <c r="PW207" s="3"/>
      <c r="PX207" s="3"/>
      <c r="PY207" s="3"/>
      <c r="PZ207" s="3"/>
      <c r="QA207" s="3"/>
      <c r="QB207" s="3"/>
      <c r="QC207" s="3"/>
      <c r="QD207" s="3"/>
      <c r="QE207" s="3"/>
      <c r="QF207" s="3"/>
      <c r="QG207" s="3"/>
      <c r="QH207" s="3"/>
      <c r="QI207" s="3"/>
      <c r="QJ207" s="3"/>
      <c r="QK207" s="3"/>
      <c r="QL207" s="3"/>
      <c r="QM207" s="3"/>
      <c r="QN207" s="3"/>
      <c r="QO207" s="3"/>
      <c r="QP207" s="3"/>
      <c r="QQ207" s="3"/>
      <c r="QR207" s="3"/>
      <c r="QS207" s="3"/>
      <c r="QT207" s="3"/>
      <c r="QU207" s="3"/>
      <c r="QV207" s="3"/>
      <c r="QW207" s="3"/>
      <c r="QX207" s="3"/>
      <c r="QY207" s="3"/>
      <c r="QZ207" s="3"/>
      <c r="RA207" s="3"/>
      <c r="RB207" s="3"/>
      <c r="RC207" s="3"/>
      <c r="RD207" s="3"/>
      <c r="RE207" s="3"/>
      <c r="RF207" s="3"/>
      <c r="RG207" s="3"/>
      <c r="RH207" s="3"/>
      <c r="RI207" s="3"/>
      <c r="RJ207" s="3"/>
      <c r="RK207" s="3"/>
      <c r="RL207" s="3"/>
      <c r="RM207" s="3"/>
      <c r="RN207" s="3"/>
      <c r="RO207" s="3"/>
      <c r="RP207" s="3"/>
      <c r="RQ207" s="3"/>
      <c r="RR207" s="3"/>
      <c r="RS207" s="3"/>
      <c r="RT207" s="3"/>
      <c r="RU207" s="3"/>
      <c r="RV207" s="3"/>
      <c r="RW207" s="3"/>
      <c r="RX207" s="3"/>
      <c r="RY207" s="3"/>
      <c r="RZ207" s="3"/>
      <c r="SA207" s="3"/>
      <c r="SB207" s="3"/>
      <c r="SC207" s="3"/>
      <c r="SD207" s="3"/>
      <c r="SE207" s="3"/>
      <c r="SF207" s="3"/>
      <c r="SG207" s="3"/>
      <c r="SH207" s="3"/>
      <c r="SI207" s="3"/>
      <c r="SJ207" s="3"/>
      <c r="SK207" s="3"/>
      <c r="SL207" s="3"/>
      <c r="SM207" s="3"/>
      <c r="SN207" s="3"/>
      <c r="SO207" s="3"/>
      <c r="SP207" s="3"/>
      <c r="SQ207" s="3"/>
      <c r="SR207" s="3"/>
      <c r="SS207" s="3"/>
      <c r="ST207" s="3"/>
      <c r="SU207" s="3"/>
      <c r="SV207" s="3"/>
      <c r="SW207" s="3"/>
      <c r="SX207" s="3"/>
      <c r="SY207" s="3"/>
      <c r="SZ207" s="3"/>
      <c r="TA207" s="3"/>
      <c r="TB207" s="3"/>
      <c r="TC207" s="3"/>
      <c r="TD207" s="3"/>
      <c r="TE207" s="3"/>
      <c r="TF207" s="3"/>
      <c r="TG207" s="3"/>
      <c r="TH207" s="3"/>
      <c r="TI207" s="3"/>
      <c r="TJ207" s="3"/>
      <c r="TK207" s="3"/>
      <c r="TL207" s="3"/>
      <c r="TM207" s="3"/>
      <c r="TN207" s="3"/>
      <c r="TO207" s="3"/>
      <c r="TP207" s="3"/>
      <c r="TQ207" s="3"/>
      <c r="TR207" s="3"/>
      <c r="TS207" s="3"/>
      <c r="TT207" s="3"/>
      <c r="TU207" s="3"/>
      <c r="TV207" s="3"/>
      <c r="TW207" s="3"/>
      <c r="TX207" s="3"/>
      <c r="TY207" s="3"/>
      <c r="TZ207" s="3"/>
      <c r="UA207" s="3"/>
      <c r="UB207" s="3"/>
      <c r="UC207" s="3"/>
      <c r="UD207" s="3"/>
      <c r="UE207" s="3"/>
      <c r="UF207" s="3"/>
      <c r="UG207" s="3"/>
      <c r="UH207" s="3"/>
      <c r="UI207" s="3"/>
      <c r="UJ207" s="3"/>
      <c r="UK207" s="3"/>
      <c r="UL207" s="3"/>
      <c r="UM207" s="3"/>
      <c r="UN207" s="3"/>
      <c r="UO207" s="3"/>
      <c r="UP207" s="3"/>
      <c r="UQ207" s="3"/>
      <c r="UR207" s="3"/>
      <c r="US207" s="3"/>
      <c r="UT207" s="3"/>
      <c r="UU207" s="3"/>
      <c r="UV207" s="3"/>
      <c r="UW207" s="3"/>
      <c r="UX207" s="3"/>
      <c r="UY207" s="3"/>
      <c r="UZ207" s="3"/>
      <c r="VA207" s="3"/>
      <c r="VB207" s="3"/>
      <c r="VC207" s="3"/>
      <c r="VD207" s="3"/>
      <c r="VE207" s="3"/>
      <c r="VF207" s="3"/>
      <c r="VG207" s="3"/>
      <c r="VH207" s="3"/>
      <c r="VI207" s="3"/>
      <c r="VJ207" s="3"/>
      <c r="VK207" s="3"/>
      <c r="VL207" s="3"/>
      <c r="VM207" s="3"/>
      <c r="VN207" s="3"/>
      <c r="VO207" s="3"/>
      <c r="VP207" s="3"/>
      <c r="VQ207" s="3"/>
      <c r="VR207" s="3"/>
      <c r="VS207" s="3"/>
      <c r="VT207" s="3"/>
      <c r="VU207" s="3"/>
      <c r="VV207" s="3"/>
      <c r="VW207" s="3"/>
      <c r="VX207" s="3"/>
      <c r="VY207" s="3"/>
      <c r="VZ207" s="3"/>
      <c r="WA207" s="3"/>
      <c r="WB207" s="3"/>
      <c r="WC207" s="3"/>
      <c r="WD207" s="3"/>
      <c r="WE207" s="3"/>
      <c r="WF207" s="3"/>
      <c r="WG207" s="3"/>
      <c r="WH207" s="3"/>
      <c r="WI207" s="3"/>
      <c r="WJ207" s="3"/>
      <c r="WK207" s="3"/>
      <c r="WL207" s="3"/>
      <c r="WM207" s="3"/>
      <c r="WN207" s="3"/>
      <c r="WO207" s="3"/>
      <c r="WP207" s="3"/>
      <c r="WQ207" s="3"/>
      <c r="WR207" s="3"/>
      <c r="WS207" s="3"/>
      <c r="WT207" s="3"/>
      <c r="WU207" s="3"/>
      <c r="WV207" s="3"/>
      <c r="WW207" s="3"/>
      <c r="WX207" s="3"/>
      <c r="WY207" s="3"/>
      <c r="WZ207" s="3"/>
      <c r="XA207" s="3"/>
      <c r="XB207" s="3"/>
      <c r="XC207" s="3"/>
      <c r="XD207" s="3"/>
      <c r="XE207" s="3"/>
      <c r="XF207" s="3"/>
      <c r="XG207" s="3"/>
      <c r="XH207" s="3"/>
      <c r="XI207" s="3"/>
      <c r="XJ207" s="3"/>
      <c r="XK207" s="3"/>
      <c r="XL207" s="3"/>
      <c r="XM207" s="3"/>
      <c r="XN207" s="3"/>
      <c r="XO207" s="3"/>
      <c r="XP207" s="3"/>
      <c r="XQ207" s="3"/>
      <c r="XR207" s="3"/>
      <c r="XS207" s="3"/>
      <c r="XT207" s="3"/>
      <c r="XU207" s="3"/>
      <c r="XV207" s="3"/>
      <c r="XW207" s="3"/>
      <c r="XX207" s="3"/>
      <c r="XY207" s="3"/>
      <c r="XZ207" s="3"/>
      <c r="YA207" s="3"/>
      <c r="YB207" s="3"/>
      <c r="YC207" s="3"/>
      <c r="YD207" s="3"/>
      <c r="YE207" s="3"/>
      <c r="YF207" s="3"/>
      <c r="YG207" s="3"/>
      <c r="YH207" s="3"/>
      <c r="YI207" s="3"/>
      <c r="YJ207" s="3"/>
      <c r="YK207" s="3"/>
      <c r="YL207" s="3"/>
      <c r="YM207" s="3"/>
      <c r="YN207" s="3"/>
      <c r="YO207" s="3"/>
      <c r="YP207" s="3"/>
      <c r="YQ207" s="3"/>
      <c r="YR207" s="3"/>
      <c r="YS207" s="3"/>
      <c r="YT207" s="3"/>
      <c r="YU207" s="3"/>
      <c r="YV207" s="3"/>
      <c r="YW207" s="3"/>
      <c r="YX207" s="3"/>
      <c r="YY207" s="3"/>
      <c r="YZ207" s="3"/>
      <c r="ZA207" s="3"/>
      <c r="ZB207" s="3"/>
      <c r="ZC207" s="3"/>
      <c r="ZD207" s="3"/>
      <c r="ZE207" s="3"/>
      <c r="ZF207" s="3"/>
      <c r="ZG207" s="3"/>
      <c r="ZH207" s="3"/>
      <c r="ZI207" s="3"/>
      <c r="ZJ207" s="3"/>
      <c r="ZK207" s="3"/>
      <c r="ZL207" s="3"/>
      <c r="ZM207" s="3"/>
      <c r="ZN207" s="3"/>
      <c r="ZO207" s="3"/>
      <c r="ZP207" s="3"/>
      <c r="ZQ207" s="3"/>
      <c r="ZR207" s="3"/>
      <c r="ZS207" s="3"/>
      <c r="ZT207" s="3"/>
      <c r="ZU207" s="3"/>
      <c r="ZV207" s="3"/>
      <c r="ZW207" s="3"/>
      <c r="ZX207" s="3"/>
      <c r="ZY207" s="3"/>
      <c r="ZZ207" s="3"/>
      <c r="AAA207" s="3"/>
      <c r="AAB207" s="3"/>
      <c r="AAC207" s="3"/>
      <c r="AAD207" s="3"/>
      <c r="AAE207" s="3"/>
      <c r="AAF207" s="3"/>
      <c r="AAG207" s="3"/>
      <c r="AAH207" s="3"/>
      <c r="AAI207" s="3"/>
      <c r="AAJ207" s="3"/>
      <c r="AAK207" s="3"/>
      <c r="AAL207" s="3"/>
      <c r="AAM207" s="3"/>
      <c r="AAN207" s="3"/>
      <c r="AAO207" s="3"/>
      <c r="AAP207" s="3"/>
      <c r="AAQ207" s="3"/>
      <c r="AAR207" s="3"/>
      <c r="AAS207" s="3"/>
      <c r="AAT207" s="3"/>
      <c r="AAU207" s="3"/>
      <c r="AAV207" s="3"/>
      <c r="AAW207" s="3"/>
      <c r="AAX207" s="3"/>
      <c r="AAY207" s="3"/>
      <c r="AAZ207" s="3"/>
      <c r="ABA207" s="3"/>
      <c r="ABB207" s="3"/>
      <c r="ABC207" s="3"/>
      <c r="ABD207" s="3"/>
      <c r="ABE207" s="3"/>
      <c r="ABF207" s="3"/>
      <c r="ABG207" s="3"/>
      <c r="ABH207" s="3"/>
      <c r="ABI207" s="3"/>
      <c r="ABJ207" s="3"/>
      <c r="ABK207" s="3"/>
      <c r="ABL207" s="3"/>
      <c r="ABM207" s="3"/>
      <c r="ABN207" s="3"/>
      <c r="ABO207" s="3"/>
      <c r="ABP207" s="3"/>
      <c r="ABQ207" s="3"/>
      <c r="ABR207" s="3"/>
      <c r="ABS207" s="3"/>
      <c r="ABT207" s="3"/>
      <c r="ABU207" s="3"/>
      <c r="ABV207" s="3"/>
      <c r="ABW207" s="3"/>
      <c r="ABX207" s="3"/>
      <c r="ABY207" s="3"/>
      <c r="ABZ207" s="3"/>
      <c r="ACA207" s="3"/>
      <c r="ACB207" s="3"/>
      <c r="ACC207" s="3"/>
      <c r="ACD207" s="3"/>
      <c r="ACE207" s="3"/>
      <c r="ACF207" s="3"/>
      <c r="ACG207" s="3"/>
      <c r="ACH207" s="3"/>
      <c r="ACI207" s="3"/>
      <c r="ACJ207" s="3"/>
      <c r="ACK207" s="3"/>
      <c r="ACL207" s="3"/>
      <c r="ACM207" s="3"/>
      <c r="ACN207" s="3"/>
      <c r="ACO207" s="3"/>
      <c r="ACP207" s="3"/>
      <c r="ACQ207" s="3"/>
      <c r="ACR207" s="3"/>
      <c r="ACS207" s="3"/>
      <c r="ACT207" s="3"/>
      <c r="ACU207" s="3"/>
      <c r="ACV207" s="3"/>
      <c r="ACW207" s="3"/>
      <c r="ACX207" s="3"/>
      <c r="ACY207" s="3"/>
      <c r="ACZ207" s="3"/>
      <c r="ADA207" s="3"/>
      <c r="ADB207" s="3"/>
      <c r="ADC207" s="3"/>
      <c r="ADD207" s="3"/>
      <c r="ADE207" s="3"/>
      <c r="ADF207" s="3"/>
      <c r="ADG207" s="3"/>
      <c r="ADH207" s="3"/>
      <c r="ADI207" s="3"/>
      <c r="ADJ207" s="3"/>
      <c r="ADK207" s="3"/>
      <c r="ADL207" s="3"/>
      <c r="ADM207" s="3"/>
      <c r="ADN207" s="3"/>
      <c r="ADO207" s="3"/>
      <c r="ADP207" s="3"/>
      <c r="ADQ207" s="3"/>
      <c r="ADR207" s="3"/>
      <c r="ADS207" s="3"/>
      <c r="ADT207" s="3"/>
      <c r="ADU207" s="3"/>
      <c r="ADV207" s="3"/>
      <c r="ADW207" s="3"/>
      <c r="ADX207" s="3"/>
      <c r="ADY207" s="3"/>
      <c r="ADZ207" s="3"/>
      <c r="AEA207" s="3"/>
      <c r="AEB207" s="3"/>
      <c r="AEC207" s="3"/>
      <c r="AED207" s="3"/>
      <c r="AEE207" s="3"/>
      <c r="AEF207" s="3"/>
      <c r="AEG207" s="3"/>
      <c r="AEH207" s="3"/>
      <c r="AEI207" s="3"/>
      <c r="AEJ207" s="3"/>
      <c r="AEK207" s="3"/>
      <c r="AEL207" s="3"/>
      <c r="AEM207" s="3"/>
      <c r="AEN207" s="3"/>
      <c r="AEO207" s="3"/>
      <c r="AEP207" s="3"/>
      <c r="AEQ207" s="3"/>
      <c r="AER207" s="3"/>
      <c r="AES207" s="3"/>
      <c r="AET207" s="3"/>
      <c r="AEU207" s="3"/>
      <c r="AEV207" s="3"/>
      <c r="AEW207" s="3"/>
      <c r="AEX207" s="3"/>
      <c r="AEY207" s="3"/>
      <c r="AEZ207" s="3"/>
      <c r="AFA207" s="3"/>
      <c r="AFB207" s="3"/>
      <c r="AFC207" s="3"/>
      <c r="AFD207" s="3"/>
      <c r="AFE207" s="3"/>
      <c r="AFF207" s="3"/>
      <c r="AFG207" s="3"/>
      <c r="AFH207" s="3"/>
      <c r="AFI207" s="3"/>
      <c r="AFJ207" s="3"/>
      <c r="AFK207" s="3"/>
      <c r="AFL207" s="3"/>
      <c r="AFM207" s="3"/>
      <c r="AFN207" s="3"/>
      <c r="AFO207" s="3"/>
      <c r="AFP207" s="3"/>
      <c r="AFQ207" s="3"/>
      <c r="AFR207" s="3"/>
      <c r="AFS207" s="3"/>
      <c r="AFT207" s="3"/>
      <c r="AFU207" s="3"/>
      <c r="AFV207" s="3"/>
      <c r="AFW207" s="3"/>
      <c r="AFX207" s="3"/>
      <c r="AFY207" s="3"/>
      <c r="AFZ207" s="3"/>
      <c r="AGA207" s="3"/>
      <c r="AGB207" s="3"/>
      <c r="AGC207" s="3"/>
      <c r="AGD207" s="3"/>
      <c r="AGE207" s="3"/>
      <c r="AGF207" s="3"/>
      <c r="AGG207" s="3"/>
      <c r="AGH207" s="3"/>
      <c r="AGI207" s="3"/>
      <c r="AGJ207" s="3"/>
      <c r="AGK207" s="3"/>
      <c r="AGL207" s="3"/>
      <c r="AGM207" s="3"/>
      <c r="AGN207" s="3"/>
      <c r="AGO207" s="3"/>
      <c r="AGP207" s="3"/>
      <c r="AGQ207" s="3"/>
      <c r="AGR207" s="3"/>
      <c r="AGS207" s="3"/>
      <c r="AGT207" s="3"/>
      <c r="AGU207" s="3"/>
      <c r="AGV207" s="3"/>
      <c r="AGW207" s="3"/>
      <c r="AGX207" s="3"/>
      <c r="AGY207" s="3"/>
      <c r="AGZ207" s="3"/>
      <c r="AHA207" s="3"/>
      <c r="AHB207" s="3"/>
      <c r="AHC207" s="3"/>
      <c r="AHD207" s="3"/>
      <c r="AHE207" s="3"/>
      <c r="AHF207" s="3"/>
      <c r="AHG207" s="3"/>
      <c r="AHH207" s="3"/>
      <c r="AHI207" s="3"/>
      <c r="AHJ207" s="3"/>
      <c r="AHK207" s="3"/>
      <c r="AHL207" s="3"/>
      <c r="AHM207" s="3"/>
      <c r="AHN207" s="3"/>
      <c r="AHO207" s="3"/>
      <c r="AHP207" s="3"/>
      <c r="AHQ207" s="3"/>
      <c r="AHR207" s="3"/>
      <c r="AHS207" s="3"/>
      <c r="AHT207" s="3"/>
      <c r="AHU207" s="3"/>
      <c r="AHV207" s="3"/>
      <c r="AHW207" s="3"/>
      <c r="AHX207" s="3"/>
      <c r="AHY207" s="3"/>
      <c r="AHZ207" s="3"/>
      <c r="AIA207" s="3"/>
      <c r="AIB207" s="3"/>
      <c r="AIC207" s="3"/>
      <c r="AID207" s="3"/>
      <c r="AIE207" s="3"/>
      <c r="AIF207" s="3"/>
      <c r="AIG207" s="3"/>
      <c r="AIH207" s="3"/>
      <c r="AII207" s="3"/>
      <c r="AIJ207" s="3"/>
      <c r="AIK207" s="3"/>
      <c r="AIL207" s="3"/>
      <c r="AIM207" s="3"/>
      <c r="AIN207" s="3"/>
      <c r="AIO207" s="3"/>
      <c r="AIP207" s="3"/>
      <c r="AIQ207" s="3"/>
      <c r="AIR207" s="3"/>
      <c r="AIS207" s="3"/>
      <c r="AIT207" s="3"/>
      <c r="AIU207" s="3"/>
      <c r="AIV207" s="3"/>
      <c r="AIW207" s="3"/>
      <c r="AIX207" s="3"/>
      <c r="AIY207" s="3"/>
      <c r="AIZ207" s="3"/>
      <c r="AJA207" s="3"/>
      <c r="AJB207" s="3"/>
      <c r="AJC207" s="3"/>
      <c r="AJD207" s="3"/>
      <c r="AJE207" s="3"/>
      <c r="AJF207" s="3"/>
      <c r="AJG207" s="3"/>
      <c r="AJH207" s="3"/>
      <c r="AJI207" s="3"/>
      <c r="AJJ207" s="3"/>
      <c r="AJK207" s="3"/>
      <c r="AJL207" s="3"/>
      <c r="AJM207" s="3"/>
      <c r="AJN207" s="3"/>
      <c r="AJO207" s="3"/>
      <c r="AJP207" s="3"/>
      <c r="AJQ207" s="3"/>
      <c r="AJR207" s="3"/>
      <c r="AJS207" s="3"/>
      <c r="AJT207" s="3"/>
      <c r="AJU207" s="3"/>
      <c r="AJV207" s="3"/>
      <c r="AJW207" s="3"/>
      <c r="AJX207" s="3"/>
      <c r="AJY207" s="3"/>
      <c r="AJZ207" s="3"/>
      <c r="AKA207" s="3"/>
      <c r="AKB207" s="3"/>
      <c r="AKC207" s="3"/>
      <c r="AKD207" s="3"/>
      <c r="AKE207" s="3"/>
      <c r="AKF207" s="3"/>
      <c r="AKG207" s="3"/>
      <c r="AKH207" s="3"/>
      <c r="AKI207" s="3"/>
      <c r="AKJ207" s="3"/>
      <c r="AKK207" s="3"/>
      <c r="AKL207" s="3"/>
      <c r="AKM207" s="3"/>
      <c r="AKN207" s="3"/>
      <c r="AKO207" s="3"/>
      <c r="AKP207" s="3"/>
      <c r="AKQ207" s="3"/>
      <c r="AKR207" s="3"/>
      <c r="AKS207" s="3"/>
      <c r="AKT207" s="3"/>
      <c r="AKU207" s="3"/>
      <c r="AKV207" s="3"/>
      <c r="AKW207" s="3"/>
      <c r="AKX207" s="3"/>
      <c r="AKY207" s="3"/>
      <c r="AKZ207" s="3"/>
      <c r="ALA207" s="3"/>
      <c r="ALB207" s="3"/>
      <c r="ALC207" s="3"/>
      <c r="ALD207" s="3"/>
      <c r="ALE207" s="3"/>
      <c r="ALF207" s="3"/>
      <c r="ALG207" s="3"/>
      <c r="ALH207" s="3"/>
      <c r="ALI207" s="3"/>
      <c r="ALJ207" s="3"/>
      <c r="ALK207" s="3"/>
      <c r="ALL207" s="3"/>
      <c r="ALM207" s="3"/>
      <c r="ALN207" s="3"/>
      <c r="ALO207" s="3"/>
      <c r="ALP207" s="3"/>
      <c r="ALQ207" s="3"/>
      <c r="ALR207" s="3"/>
      <c r="ALS207" s="3"/>
      <c r="ALT207" s="3"/>
      <c r="ALU207" s="3"/>
      <c r="ALV207" s="3"/>
      <c r="ALW207" s="3"/>
      <c r="ALX207" s="3"/>
      <c r="ALY207" s="3"/>
      <c r="ALZ207" s="3"/>
      <c r="AMA207" s="3"/>
      <c r="AMB207" s="3"/>
      <c r="AMC207" s="3"/>
      <c r="AMD207" s="3"/>
      <c r="AME207" s="3"/>
      <c r="AMF207" s="3"/>
      <c r="AMG207" s="3"/>
      <c r="AMH207" s="3"/>
      <c r="AMI207" s="3"/>
      <c r="AMJ207" s="3"/>
      <c r="AMK207" s="3"/>
      <c r="AML207" s="3"/>
      <c r="AMM207" s="3"/>
      <c r="AMN207" s="3"/>
      <c r="AMO207" s="1"/>
    </row>
    <row r="208" spans="1:1029" s="6" customFormat="1" x14ac:dyDescent="0.2">
      <c r="A208" s="3" t="str">
        <f t="shared" si="862"/>
        <v>smo_human_4QIN</v>
      </c>
      <c r="B208" s="3" t="s">
        <v>33</v>
      </c>
      <c r="C208" s="3" t="s">
        <v>56</v>
      </c>
      <c r="D208" s="3" t="str">
        <f>IFERROR(MID(VLOOKUP($B208,Seqs!$A:$B,2,0),E208,1),"")</f>
        <v>E</v>
      </c>
      <c r="E208" s="3">
        <v>224</v>
      </c>
      <c r="F208" s="3" t="str">
        <f>IFERROR(MID(VLOOKUP($B208,Seqs!$A:$B,2,0),G208,1),"")</f>
        <v>D</v>
      </c>
      <c r="G208" s="3">
        <v>255</v>
      </c>
      <c r="H208" s="3" t="str">
        <f>IFERROR(MID(VLOOKUP($B208,Seqs!$A:$B,2,0),I208,1),"")</f>
        <v>W</v>
      </c>
      <c r="I208" s="23">
        <v>256</v>
      </c>
      <c r="J208" s="3" t="str">
        <f>IFERROR(MID(VLOOKUP($B208,Seqs!$A:$B,2,0),K208,1),"")</f>
        <v>N</v>
      </c>
      <c r="K208" s="23">
        <v>260</v>
      </c>
      <c r="L208" s="3" t="str">
        <f>IFERROR(MID(VLOOKUP($B208,Seqs!$A:$B,2,0),M208,1),"")</f>
        <v>R</v>
      </c>
      <c r="M208" s="3">
        <v>261</v>
      </c>
      <c r="N208" s="3" t="str">
        <f>IFERROR(MID(VLOOKUP($B208,Seqs!$A:$B,2,0),O208,1),"")</f>
        <v>F</v>
      </c>
      <c r="O208" s="3">
        <v>285</v>
      </c>
      <c r="P208" s="3" t="str">
        <f>IFERROR(MID(VLOOKUP($B208,Seqs!$A:$B,2,0),Q208,1),"")</f>
        <v/>
      </c>
      <c r="Q208" s="3" t="s">
        <v>23</v>
      </c>
      <c r="R208" s="3" t="str">
        <f>IFERROR(MID(VLOOKUP($B208,Seqs!$A:$B,2,0),S208,1),"")</f>
        <v/>
      </c>
      <c r="S208" s="3" t="s">
        <v>23</v>
      </c>
      <c r="T208" s="3" t="str">
        <f>IFERROR(MID(VLOOKUP($B208,Seqs!$A:$B,2,0),U208,1),"")</f>
        <v>L</v>
      </c>
      <c r="U208" s="3">
        <v>312</v>
      </c>
      <c r="V208" s="3" t="str">
        <f>IFERROR(MID(VLOOKUP($B208,Seqs!$A:$B,2,0),W208,1),"")</f>
        <v>A</v>
      </c>
      <c r="W208" s="3">
        <v>345</v>
      </c>
      <c r="X208" s="3" t="str">
        <f>IFERROR(MID(VLOOKUP($B208,Seqs!$A:$B,2,0),Y208,1),"")</f>
        <v/>
      </c>
      <c r="Y208" s="3" t="s">
        <v>23</v>
      </c>
      <c r="Z208" s="3" t="str">
        <f>IFERROR(MID(VLOOKUP($B208,Seqs!$A:$B,2,0),AA208,1),"")</f>
        <v/>
      </c>
      <c r="AA208" s="3" t="s">
        <v>23</v>
      </c>
      <c r="AB208" s="3" t="str">
        <f>IFERROR(MID(VLOOKUP($B208,Seqs!$A:$B,2,0),AC208,1),"")</f>
        <v>L</v>
      </c>
      <c r="AC208" s="9">
        <v>353</v>
      </c>
      <c r="AD208" s="3" t="str">
        <f>IFERROR(MID(VLOOKUP($B208,Seqs!$A:$B,2,0),AE208,1),"")</f>
        <v>V</v>
      </c>
      <c r="AE208" s="3">
        <v>378</v>
      </c>
      <c r="AF208" s="3" t="str">
        <f>IFERROR(MID(VLOOKUP($B208,Seqs!$A:$B,2,0),AG208,1),"")</f>
        <v>C</v>
      </c>
      <c r="AG208" s="3">
        <v>390</v>
      </c>
      <c r="AH208" s="3" t="str">
        <f>IFERROR(MID(VLOOKUP($B208,Seqs!$A:$B,2,0),AI208,1),"")</f>
        <v>V</v>
      </c>
      <c r="AI208" s="3">
        <v>392</v>
      </c>
      <c r="AJ208" s="3" t="str">
        <f>IFERROR(MID(VLOOKUP($B208,Seqs!$A:$B,2,0),AK208,1),"")</f>
        <v>Y</v>
      </c>
      <c r="AK208" s="3">
        <v>397</v>
      </c>
      <c r="AL208" s="3" t="str">
        <f>IFERROR(MID(VLOOKUP($B208,Seqs!$A:$B,2,0),AM208,1),"")</f>
        <v>H</v>
      </c>
      <c r="AM208" s="3">
        <v>433</v>
      </c>
      <c r="AN208" s="3" t="str">
        <f>IFERROR(MID(VLOOKUP($B208,Seqs!$A:$B,2,0),AO208,1),"")</f>
        <v>E</v>
      </c>
      <c r="AO208" s="3">
        <v>447</v>
      </c>
      <c r="AP208" s="3" t="str">
        <f>IFERROR(MID(VLOOKUP($B208,Seqs!$A:$B,2,0),AQ208,1),"")</f>
        <v>A</v>
      </c>
      <c r="AQ208" s="3">
        <v>492</v>
      </c>
      <c r="AR208" s="3" t="str">
        <f>IFERROR(MID(VLOOKUP($B208,Seqs!$A:$B,2,0),AS208,1),"")</f>
        <v>L</v>
      </c>
      <c r="AS208" s="3">
        <v>515</v>
      </c>
      <c r="AT208" s="3" t="str">
        <f>IFERROR(MID(VLOOKUP($B208,Seqs!$A:$B,2,0),AU208,1),"")</f>
        <v>W</v>
      </c>
      <c r="AU208" s="3">
        <v>537</v>
      </c>
      <c r="AV208" s="3" t="str">
        <f>IFERROR(MID(VLOOKUP($B208,Seqs!$A:$B,2,0),AW208,1),"")</f>
        <v>T</v>
      </c>
      <c r="AW208" s="3">
        <v>538</v>
      </c>
      <c r="AX208" s="3" t="str">
        <f>IFERROR(MID(VLOOKUP($B208,Seqs!$A:$B,2,0),AY208,1),"")</f>
        <v>R</v>
      </c>
      <c r="AY208" s="3">
        <v>551</v>
      </c>
      <c r="AZ208" s="80" t="str">
        <f>VLOOKUP(B208,Classification!A:D,2,0)</f>
        <v>F</v>
      </c>
      <c r="BA208" s="97" t="str">
        <f>VLOOKUP(B208,Classification!A:D,4,0)</f>
        <v>Frizzled</v>
      </c>
      <c r="BB208" s="94" t="b">
        <f t="shared" si="863"/>
        <v>1</v>
      </c>
      <c r="BC208" s="23">
        <f t="shared" si="836"/>
        <v>247</v>
      </c>
      <c r="BD208" s="76" t="s">
        <v>23</v>
      </c>
      <c r="BE208" s="3" t="s">
        <v>1381</v>
      </c>
      <c r="BF208" s="50" t="s">
        <v>1384</v>
      </c>
      <c r="BG208" s="50" t="s">
        <v>1384</v>
      </c>
      <c r="BH208" s="3"/>
      <c r="BI208" s="77" t="s">
        <v>1293</v>
      </c>
      <c r="BJ208" s="58" t="s">
        <v>1293</v>
      </c>
      <c r="BK208" s="58" t="s">
        <v>1293</v>
      </c>
      <c r="BL208" s="58" t="s">
        <v>1293</v>
      </c>
      <c r="BM208" s="58" t="s">
        <v>1293</v>
      </c>
      <c r="BN208" s="58" t="s">
        <v>1293</v>
      </c>
      <c r="BO208" s="58" t="s">
        <v>1293</v>
      </c>
      <c r="BP208" s="58" t="s">
        <v>1293</v>
      </c>
      <c r="BQ208" s="58" t="s">
        <v>1293</v>
      </c>
      <c r="BR208" s="58" t="s">
        <v>1293</v>
      </c>
      <c r="BS208" s="58" t="s">
        <v>1293</v>
      </c>
      <c r="BT208" s="58" t="s">
        <v>1293</v>
      </c>
      <c r="BU208" s="77">
        <f t="shared" si="837"/>
        <v>224</v>
      </c>
      <c r="BV208" s="73">
        <f t="shared" si="838"/>
        <v>256</v>
      </c>
      <c r="BW208" s="74">
        <f t="shared" si="839"/>
        <v>261</v>
      </c>
      <c r="BX208" s="73" t="str">
        <f t="shared" si="840"/>
        <v>-</v>
      </c>
      <c r="BY208" s="74">
        <f t="shared" si="841"/>
        <v>312</v>
      </c>
      <c r="BZ208" s="73" t="str">
        <f t="shared" si="842"/>
        <v>-</v>
      </c>
      <c r="CA208" s="74">
        <f t="shared" si="843"/>
        <v>353</v>
      </c>
      <c r="CB208" s="73">
        <f t="shared" si="844"/>
        <v>390</v>
      </c>
      <c r="CC208" s="74">
        <f t="shared" si="845"/>
        <v>397</v>
      </c>
      <c r="CD208" s="73">
        <f t="shared" si="846"/>
        <v>447</v>
      </c>
      <c r="CE208" s="74">
        <f t="shared" si="847"/>
        <v>515</v>
      </c>
      <c r="CF208" s="73">
        <f t="shared" si="848"/>
        <v>538</v>
      </c>
      <c r="CG208" s="77">
        <f t="shared" si="849"/>
        <v>255</v>
      </c>
      <c r="CH208" s="73">
        <f t="shared" si="850"/>
        <v>260</v>
      </c>
      <c r="CI208" s="74">
        <f t="shared" si="851"/>
        <v>285</v>
      </c>
      <c r="CJ208" s="74" t="str">
        <f t="shared" si="852"/>
        <v>-</v>
      </c>
      <c r="CK208" s="74">
        <f t="shared" si="853"/>
        <v>345</v>
      </c>
      <c r="CL208" s="74" t="str">
        <f t="shared" si="854"/>
        <v>-</v>
      </c>
      <c r="CM208" s="74">
        <f t="shared" si="855"/>
        <v>378</v>
      </c>
      <c r="CN208" s="74">
        <f t="shared" si="856"/>
        <v>392</v>
      </c>
      <c r="CO208" s="74">
        <f t="shared" si="857"/>
        <v>433</v>
      </c>
      <c r="CP208" s="74">
        <f t="shared" si="858"/>
        <v>492</v>
      </c>
      <c r="CQ208" s="74">
        <f t="shared" si="859"/>
        <v>537</v>
      </c>
      <c r="CR208" s="74">
        <f t="shared" si="860"/>
        <v>551</v>
      </c>
      <c r="CS208" s="23">
        <f t="shared" si="861"/>
        <v>1</v>
      </c>
      <c r="CT208" s="3"/>
      <c r="CU208" s="3"/>
      <c r="CV208" s="3"/>
      <c r="CW208" s="3"/>
      <c r="CX208" s="3"/>
      <c r="CY208" s="3"/>
      <c r="CZ208" s="3"/>
      <c r="DA208" s="3"/>
      <c r="DB208" s="3"/>
      <c r="DC208" s="3"/>
      <c r="DD208" s="3"/>
      <c r="DE208" s="3"/>
      <c r="DF208" s="3"/>
      <c r="DG208" s="3"/>
      <c r="DH208" s="3"/>
      <c r="DI208" s="3"/>
      <c r="DJ208" s="3"/>
      <c r="DK208" s="3"/>
      <c r="DL208" s="3"/>
      <c r="DM208" s="3"/>
      <c r="DN208" s="3"/>
      <c r="DO208" s="3"/>
      <c r="DP208" s="3"/>
      <c r="DQ208" s="3"/>
      <c r="DR208" s="3"/>
      <c r="DS208" s="3"/>
      <c r="DT208" s="3"/>
      <c r="DU208" s="3"/>
      <c r="DV208" s="3"/>
      <c r="DW208" s="3"/>
      <c r="DX208" s="3"/>
      <c r="DY208" s="3"/>
      <c r="DZ208" s="3"/>
      <c r="EA208" s="3"/>
      <c r="EB208" s="3"/>
      <c r="EC208" s="3"/>
      <c r="ED208" s="3"/>
      <c r="EE208" s="3"/>
      <c r="EF208" s="3"/>
      <c r="EG208" s="3"/>
      <c r="EH208" s="3"/>
      <c r="EI208" s="3"/>
      <c r="EJ208" s="3"/>
      <c r="EK208" s="3"/>
      <c r="EL208" s="3"/>
      <c r="EM208" s="3"/>
      <c r="EN208" s="3"/>
      <c r="EO208" s="3"/>
      <c r="EP208" s="3"/>
      <c r="EQ208" s="3"/>
      <c r="ER208" s="3"/>
      <c r="ES208" s="3"/>
      <c r="ET208" s="3"/>
      <c r="EU208" s="3"/>
      <c r="EV208" s="3"/>
      <c r="EW208" s="3"/>
      <c r="EX208" s="3"/>
      <c r="EY208" s="3"/>
      <c r="EZ208" s="3"/>
      <c r="FA208" s="3"/>
      <c r="FB208" s="3"/>
      <c r="FC208" s="3"/>
      <c r="FD208" s="3"/>
      <c r="FE208" s="3"/>
      <c r="FF208" s="3"/>
      <c r="FG208" s="3"/>
      <c r="FH208" s="3"/>
      <c r="FI208" s="3"/>
      <c r="FJ208" s="3"/>
      <c r="FK208" s="3"/>
      <c r="FL208" s="3"/>
      <c r="FM208" s="3"/>
      <c r="FN208" s="3"/>
      <c r="FO208" s="3"/>
      <c r="FP208" s="3"/>
      <c r="FQ208" s="3"/>
      <c r="FR208" s="3"/>
      <c r="FS208" s="3"/>
      <c r="FT208" s="3"/>
      <c r="FU208" s="3"/>
      <c r="FV208" s="3"/>
      <c r="FW208" s="3"/>
      <c r="FX208" s="3"/>
      <c r="FY208" s="3"/>
      <c r="FZ208" s="3"/>
      <c r="GA208" s="3"/>
      <c r="GB208" s="3"/>
      <c r="GC208" s="3"/>
      <c r="GD208" s="3"/>
      <c r="GE208" s="3"/>
      <c r="GF208" s="3"/>
      <c r="GG208" s="3"/>
      <c r="GH208" s="3"/>
      <c r="GI208" s="3"/>
      <c r="GJ208" s="3"/>
      <c r="GK208" s="3"/>
      <c r="GL208" s="3"/>
      <c r="GM208" s="3"/>
      <c r="GN208" s="3"/>
      <c r="GO208" s="3"/>
      <c r="GP208" s="3"/>
      <c r="GQ208" s="3"/>
      <c r="GR208" s="3"/>
      <c r="GS208" s="3"/>
      <c r="GT208" s="3"/>
      <c r="GU208" s="3"/>
      <c r="GV208" s="3"/>
      <c r="GW208" s="3"/>
      <c r="GX208" s="3"/>
      <c r="GY208" s="3"/>
      <c r="GZ208" s="3"/>
      <c r="HA208" s="3"/>
      <c r="HB208" s="3"/>
      <c r="HC208" s="3"/>
      <c r="HD208" s="3"/>
      <c r="HE208" s="3"/>
      <c r="HF208" s="3"/>
      <c r="HG208" s="3"/>
      <c r="HH208" s="3"/>
      <c r="HI208" s="3"/>
      <c r="HJ208" s="3"/>
      <c r="HK208" s="3"/>
      <c r="HL208" s="3"/>
      <c r="HM208" s="3"/>
      <c r="HN208" s="3"/>
      <c r="HO208" s="3"/>
      <c r="HP208" s="3"/>
      <c r="HQ208" s="3"/>
      <c r="HR208" s="3"/>
      <c r="HS208" s="3"/>
      <c r="HT208" s="3"/>
      <c r="HU208" s="3"/>
      <c r="HV208" s="3"/>
      <c r="HW208" s="3"/>
      <c r="HX208" s="3"/>
      <c r="HY208" s="3"/>
      <c r="HZ208" s="3"/>
      <c r="IA208" s="3"/>
      <c r="IB208" s="3"/>
      <c r="IC208" s="3"/>
      <c r="ID208" s="3"/>
      <c r="IE208" s="3"/>
      <c r="IF208" s="3"/>
      <c r="IG208" s="3"/>
      <c r="IH208" s="3"/>
      <c r="II208" s="3"/>
      <c r="IJ208" s="3"/>
      <c r="IK208" s="3"/>
      <c r="IL208" s="3"/>
      <c r="IM208" s="3"/>
      <c r="IN208" s="3"/>
      <c r="IO208" s="3"/>
      <c r="IP208" s="3"/>
      <c r="IQ208" s="3"/>
      <c r="IR208" s="3"/>
      <c r="IS208" s="3"/>
      <c r="IT208" s="3"/>
      <c r="IU208" s="3"/>
      <c r="IV208" s="3"/>
      <c r="IW208" s="3"/>
      <c r="IX208" s="3"/>
      <c r="IY208" s="3"/>
      <c r="IZ208" s="3"/>
      <c r="JA208" s="3"/>
      <c r="JB208" s="3"/>
      <c r="JC208" s="3"/>
      <c r="JD208" s="3"/>
      <c r="JE208" s="3"/>
      <c r="JF208" s="3"/>
      <c r="JG208" s="3"/>
      <c r="JH208" s="3"/>
      <c r="JI208" s="3"/>
      <c r="JJ208" s="3"/>
      <c r="JK208" s="3"/>
      <c r="JL208" s="3"/>
      <c r="JM208" s="3"/>
      <c r="JN208" s="3"/>
      <c r="JO208" s="3"/>
      <c r="JP208" s="3"/>
      <c r="JQ208" s="3"/>
      <c r="JR208" s="3"/>
      <c r="JS208" s="3"/>
      <c r="JT208" s="3"/>
      <c r="JU208" s="3"/>
      <c r="JV208" s="3"/>
      <c r="JW208" s="3"/>
      <c r="JX208" s="3"/>
      <c r="JY208" s="3"/>
      <c r="JZ208" s="3"/>
      <c r="KA208" s="3"/>
      <c r="KB208" s="3"/>
      <c r="KC208" s="3"/>
      <c r="KD208" s="3"/>
      <c r="KE208" s="3"/>
      <c r="KF208" s="3"/>
      <c r="KG208" s="3"/>
      <c r="KH208" s="3"/>
      <c r="KI208" s="3"/>
      <c r="KJ208" s="3"/>
      <c r="KK208" s="3"/>
      <c r="KL208" s="3"/>
      <c r="KM208" s="3"/>
      <c r="KN208" s="3"/>
      <c r="KO208" s="3"/>
      <c r="KP208" s="3"/>
      <c r="KQ208" s="3"/>
      <c r="KR208" s="3"/>
      <c r="KS208" s="3"/>
      <c r="KT208" s="3"/>
      <c r="KU208" s="3"/>
      <c r="KV208" s="3"/>
      <c r="KW208" s="3"/>
      <c r="KX208" s="3"/>
      <c r="KY208" s="3"/>
      <c r="KZ208" s="3"/>
      <c r="LA208" s="3"/>
      <c r="LB208" s="3"/>
      <c r="LC208" s="3"/>
      <c r="LD208" s="3"/>
      <c r="LE208" s="3"/>
      <c r="LF208" s="3"/>
      <c r="LG208" s="3"/>
      <c r="LH208" s="3"/>
      <c r="LI208" s="3"/>
      <c r="LJ208" s="3"/>
      <c r="LK208" s="3"/>
      <c r="LL208" s="3"/>
      <c r="LM208" s="3"/>
      <c r="LN208" s="3"/>
      <c r="LO208" s="3"/>
      <c r="LP208" s="3"/>
      <c r="LQ208" s="3"/>
      <c r="LR208" s="3"/>
      <c r="LS208" s="3"/>
      <c r="LT208" s="3"/>
      <c r="LU208" s="3"/>
      <c r="LV208" s="3"/>
      <c r="LW208" s="3"/>
      <c r="LX208" s="3"/>
      <c r="LY208" s="3"/>
      <c r="LZ208" s="3"/>
      <c r="MA208" s="3"/>
      <c r="MB208" s="3"/>
      <c r="MC208" s="3"/>
      <c r="MD208" s="3"/>
      <c r="ME208" s="3"/>
      <c r="MF208" s="3"/>
      <c r="MG208" s="3"/>
      <c r="MH208" s="3"/>
      <c r="MI208" s="3"/>
      <c r="MJ208" s="3"/>
      <c r="MK208" s="3"/>
      <c r="ML208" s="3"/>
      <c r="MM208" s="3"/>
      <c r="MN208" s="3"/>
      <c r="MO208" s="3"/>
      <c r="MP208" s="3"/>
      <c r="MQ208" s="3"/>
      <c r="MR208" s="3"/>
      <c r="MS208" s="3"/>
      <c r="MT208" s="3"/>
      <c r="MU208" s="3"/>
      <c r="MV208" s="3"/>
      <c r="MW208" s="3"/>
      <c r="MX208" s="3"/>
      <c r="MY208" s="3"/>
      <c r="MZ208" s="3"/>
      <c r="NA208" s="3"/>
      <c r="NB208" s="3"/>
      <c r="NC208" s="3"/>
      <c r="ND208" s="3"/>
      <c r="NE208" s="3"/>
      <c r="NF208" s="3"/>
      <c r="NG208" s="3"/>
      <c r="NH208" s="3"/>
      <c r="NI208" s="3"/>
      <c r="NJ208" s="3"/>
      <c r="NK208" s="3"/>
      <c r="NL208" s="3"/>
      <c r="NM208" s="3"/>
      <c r="NN208" s="3"/>
      <c r="NO208" s="3"/>
      <c r="NP208" s="3"/>
      <c r="NQ208" s="3"/>
      <c r="NR208" s="3"/>
      <c r="NS208" s="3"/>
      <c r="NT208" s="3"/>
      <c r="NU208" s="3"/>
      <c r="NV208" s="3"/>
      <c r="NW208" s="3"/>
      <c r="NX208" s="3"/>
      <c r="NY208" s="3"/>
      <c r="NZ208" s="3"/>
      <c r="OA208" s="3"/>
      <c r="OB208" s="3"/>
      <c r="OC208" s="3"/>
      <c r="OD208" s="3"/>
      <c r="OE208" s="3"/>
      <c r="OF208" s="3"/>
      <c r="OG208" s="3"/>
      <c r="OH208" s="3"/>
      <c r="OI208" s="3"/>
      <c r="OJ208" s="3"/>
      <c r="OK208" s="3"/>
      <c r="OL208" s="3"/>
      <c r="OM208" s="3"/>
      <c r="ON208" s="3"/>
      <c r="OO208" s="3"/>
      <c r="OP208" s="3"/>
      <c r="OQ208" s="3"/>
      <c r="OR208" s="3"/>
      <c r="OS208" s="3"/>
      <c r="OT208" s="3"/>
      <c r="OU208" s="3"/>
      <c r="OV208" s="3"/>
      <c r="OW208" s="3"/>
      <c r="OX208" s="3"/>
      <c r="OY208" s="3"/>
      <c r="OZ208" s="3"/>
      <c r="PA208" s="3"/>
      <c r="PB208" s="3"/>
      <c r="PC208" s="3"/>
      <c r="PD208" s="3"/>
      <c r="PE208" s="3"/>
      <c r="PF208" s="3"/>
      <c r="PG208" s="3"/>
      <c r="PH208" s="3"/>
      <c r="PI208" s="3"/>
      <c r="PJ208" s="3"/>
      <c r="PK208" s="3"/>
      <c r="PL208" s="3"/>
      <c r="PM208" s="3"/>
      <c r="PN208" s="3"/>
      <c r="PO208" s="3"/>
      <c r="PP208" s="3"/>
      <c r="PQ208" s="3"/>
      <c r="PR208" s="3"/>
      <c r="PS208" s="3"/>
      <c r="PT208" s="3"/>
      <c r="PU208" s="3"/>
      <c r="PV208" s="3"/>
      <c r="PW208" s="3"/>
      <c r="PX208" s="3"/>
      <c r="PY208" s="3"/>
      <c r="PZ208" s="3"/>
      <c r="QA208" s="3"/>
      <c r="QB208" s="3"/>
      <c r="QC208" s="3"/>
      <c r="QD208" s="3"/>
      <c r="QE208" s="3"/>
      <c r="QF208" s="3"/>
      <c r="QG208" s="3"/>
      <c r="QH208" s="3"/>
      <c r="QI208" s="3"/>
      <c r="QJ208" s="3"/>
      <c r="QK208" s="3"/>
      <c r="QL208" s="3"/>
      <c r="QM208" s="3"/>
      <c r="QN208" s="3"/>
      <c r="QO208" s="3"/>
      <c r="QP208" s="3"/>
      <c r="QQ208" s="3"/>
      <c r="QR208" s="3"/>
      <c r="QS208" s="3"/>
      <c r="QT208" s="3"/>
      <c r="QU208" s="3"/>
      <c r="QV208" s="3"/>
      <c r="QW208" s="3"/>
      <c r="QX208" s="3"/>
      <c r="QY208" s="3"/>
      <c r="QZ208" s="3"/>
      <c r="RA208" s="3"/>
      <c r="RB208" s="3"/>
      <c r="RC208" s="3"/>
      <c r="RD208" s="3"/>
      <c r="RE208" s="3"/>
      <c r="RF208" s="3"/>
      <c r="RG208" s="3"/>
      <c r="RH208" s="3"/>
      <c r="RI208" s="3"/>
      <c r="RJ208" s="3"/>
      <c r="RK208" s="3"/>
      <c r="RL208" s="3"/>
      <c r="RM208" s="3"/>
      <c r="RN208" s="3"/>
      <c r="RO208" s="3"/>
      <c r="RP208" s="3"/>
      <c r="RQ208" s="3"/>
      <c r="RR208" s="3"/>
      <c r="RS208" s="3"/>
      <c r="RT208" s="3"/>
      <c r="RU208" s="3"/>
      <c r="RV208" s="3"/>
      <c r="RW208" s="3"/>
      <c r="RX208" s="3"/>
      <c r="RY208" s="3"/>
      <c r="RZ208" s="3"/>
      <c r="SA208" s="3"/>
      <c r="SB208" s="3"/>
      <c r="SC208" s="3"/>
      <c r="SD208" s="3"/>
      <c r="SE208" s="3"/>
      <c r="SF208" s="3"/>
      <c r="SG208" s="3"/>
      <c r="SH208" s="3"/>
      <c r="SI208" s="3"/>
      <c r="SJ208" s="3"/>
      <c r="SK208" s="3"/>
      <c r="SL208" s="3"/>
      <c r="SM208" s="3"/>
      <c r="SN208" s="3"/>
      <c r="SO208" s="3"/>
      <c r="SP208" s="3"/>
      <c r="SQ208" s="3"/>
      <c r="SR208" s="3"/>
      <c r="SS208" s="3"/>
      <c r="ST208" s="3"/>
      <c r="SU208" s="3"/>
      <c r="SV208" s="3"/>
      <c r="SW208" s="3"/>
      <c r="SX208" s="3"/>
      <c r="SY208" s="3"/>
      <c r="SZ208" s="3"/>
      <c r="TA208" s="3"/>
      <c r="TB208" s="3"/>
      <c r="TC208" s="3"/>
      <c r="TD208" s="3"/>
      <c r="TE208" s="3"/>
      <c r="TF208" s="3"/>
      <c r="TG208" s="3"/>
      <c r="TH208" s="3"/>
      <c r="TI208" s="3"/>
      <c r="TJ208" s="3"/>
      <c r="TK208" s="3"/>
      <c r="TL208" s="3"/>
      <c r="TM208" s="3"/>
      <c r="TN208" s="3"/>
      <c r="TO208" s="3"/>
      <c r="TP208" s="3"/>
      <c r="TQ208" s="3"/>
      <c r="TR208" s="3"/>
      <c r="TS208" s="3"/>
      <c r="TT208" s="3"/>
      <c r="TU208" s="3"/>
      <c r="TV208" s="3"/>
      <c r="TW208" s="3"/>
      <c r="TX208" s="3"/>
      <c r="TY208" s="3"/>
      <c r="TZ208" s="3"/>
      <c r="UA208" s="3"/>
      <c r="UB208" s="3"/>
      <c r="UC208" s="3"/>
      <c r="UD208" s="3"/>
      <c r="UE208" s="3"/>
      <c r="UF208" s="3"/>
      <c r="UG208" s="3"/>
      <c r="UH208" s="3"/>
      <c r="UI208" s="3"/>
      <c r="UJ208" s="3"/>
      <c r="UK208" s="3"/>
      <c r="UL208" s="3"/>
      <c r="UM208" s="3"/>
      <c r="UN208" s="3"/>
      <c r="UO208" s="3"/>
      <c r="UP208" s="3"/>
      <c r="UQ208" s="3"/>
      <c r="UR208" s="3"/>
      <c r="US208" s="3"/>
      <c r="UT208" s="3"/>
      <c r="UU208" s="3"/>
      <c r="UV208" s="3"/>
      <c r="UW208" s="3"/>
      <c r="UX208" s="3"/>
      <c r="UY208" s="3"/>
      <c r="UZ208" s="3"/>
      <c r="VA208" s="3"/>
      <c r="VB208" s="3"/>
      <c r="VC208" s="3"/>
      <c r="VD208" s="3"/>
      <c r="VE208" s="3"/>
      <c r="VF208" s="3"/>
      <c r="VG208" s="3"/>
      <c r="VH208" s="3"/>
      <c r="VI208" s="3"/>
      <c r="VJ208" s="3"/>
      <c r="VK208" s="3"/>
      <c r="VL208" s="3"/>
      <c r="VM208" s="3"/>
      <c r="VN208" s="3"/>
      <c r="VO208" s="3"/>
      <c r="VP208" s="3"/>
      <c r="VQ208" s="3"/>
      <c r="VR208" s="3"/>
      <c r="VS208" s="3"/>
      <c r="VT208" s="3"/>
      <c r="VU208" s="3"/>
      <c r="VV208" s="3"/>
      <c r="VW208" s="3"/>
      <c r="VX208" s="3"/>
      <c r="VY208" s="3"/>
      <c r="VZ208" s="3"/>
      <c r="WA208" s="3"/>
      <c r="WB208" s="3"/>
      <c r="WC208" s="3"/>
      <c r="WD208" s="3"/>
      <c r="WE208" s="3"/>
      <c r="WF208" s="3"/>
      <c r="WG208" s="3"/>
      <c r="WH208" s="3"/>
      <c r="WI208" s="3"/>
      <c r="WJ208" s="3"/>
      <c r="WK208" s="3"/>
      <c r="WL208" s="3"/>
      <c r="WM208" s="3"/>
      <c r="WN208" s="3"/>
      <c r="WO208" s="3"/>
      <c r="WP208" s="3"/>
      <c r="WQ208" s="3"/>
      <c r="WR208" s="3"/>
      <c r="WS208" s="3"/>
      <c r="WT208" s="3"/>
      <c r="WU208" s="3"/>
      <c r="WV208" s="3"/>
      <c r="WW208" s="3"/>
      <c r="WX208" s="3"/>
      <c r="WY208" s="3"/>
      <c r="WZ208" s="3"/>
      <c r="XA208" s="3"/>
      <c r="XB208" s="3"/>
      <c r="XC208" s="3"/>
      <c r="XD208" s="3"/>
      <c r="XE208" s="3"/>
      <c r="XF208" s="3"/>
      <c r="XG208" s="3"/>
      <c r="XH208" s="3"/>
      <c r="XI208" s="3"/>
      <c r="XJ208" s="3"/>
      <c r="XK208" s="3"/>
      <c r="XL208" s="3"/>
      <c r="XM208" s="3"/>
      <c r="XN208" s="3"/>
      <c r="XO208" s="3"/>
      <c r="XP208" s="3"/>
      <c r="XQ208" s="3"/>
      <c r="XR208" s="3"/>
      <c r="XS208" s="3"/>
      <c r="XT208" s="3"/>
      <c r="XU208" s="3"/>
      <c r="XV208" s="3"/>
      <c r="XW208" s="3"/>
      <c r="XX208" s="3"/>
      <c r="XY208" s="3"/>
      <c r="XZ208" s="3"/>
      <c r="YA208" s="3"/>
      <c r="YB208" s="3"/>
      <c r="YC208" s="3"/>
      <c r="YD208" s="3"/>
      <c r="YE208" s="3"/>
      <c r="YF208" s="3"/>
      <c r="YG208" s="3"/>
      <c r="YH208" s="3"/>
      <c r="YI208" s="3"/>
      <c r="YJ208" s="3"/>
      <c r="YK208" s="3"/>
      <c r="YL208" s="3"/>
      <c r="YM208" s="3"/>
      <c r="YN208" s="3"/>
      <c r="YO208" s="3"/>
      <c r="YP208" s="3"/>
      <c r="YQ208" s="3"/>
      <c r="YR208" s="3"/>
      <c r="YS208" s="3"/>
      <c r="YT208" s="3"/>
      <c r="YU208" s="3"/>
      <c r="YV208" s="3"/>
      <c r="YW208" s="3"/>
      <c r="YX208" s="3"/>
      <c r="YY208" s="3"/>
      <c r="YZ208" s="3"/>
      <c r="ZA208" s="3"/>
      <c r="ZB208" s="3"/>
      <c r="ZC208" s="3"/>
      <c r="ZD208" s="3"/>
      <c r="ZE208" s="3"/>
      <c r="ZF208" s="3"/>
      <c r="ZG208" s="3"/>
      <c r="ZH208" s="3"/>
      <c r="ZI208" s="3"/>
      <c r="ZJ208" s="3"/>
      <c r="ZK208" s="3"/>
      <c r="ZL208" s="3"/>
      <c r="ZM208" s="3"/>
      <c r="ZN208" s="3"/>
      <c r="ZO208" s="3"/>
      <c r="ZP208" s="3"/>
      <c r="ZQ208" s="3"/>
      <c r="ZR208" s="3"/>
      <c r="ZS208" s="3"/>
      <c r="ZT208" s="3"/>
      <c r="ZU208" s="3"/>
      <c r="ZV208" s="3"/>
      <c r="ZW208" s="3"/>
      <c r="ZX208" s="3"/>
      <c r="ZY208" s="3"/>
      <c r="ZZ208" s="3"/>
      <c r="AAA208" s="3"/>
      <c r="AAB208" s="3"/>
      <c r="AAC208" s="3"/>
      <c r="AAD208" s="3"/>
      <c r="AAE208" s="3"/>
      <c r="AAF208" s="3"/>
      <c r="AAG208" s="3"/>
      <c r="AAH208" s="3"/>
      <c r="AAI208" s="3"/>
      <c r="AAJ208" s="3"/>
      <c r="AAK208" s="3"/>
      <c r="AAL208" s="3"/>
      <c r="AAM208" s="3"/>
      <c r="AAN208" s="3"/>
      <c r="AAO208" s="3"/>
      <c r="AAP208" s="3"/>
      <c r="AAQ208" s="3"/>
      <c r="AAR208" s="3"/>
      <c r="AAS208" s="3"/>
      <c r="AAT208" s="3"/>
      <c r="AAU208" s="3"/>
      <c r="AAV208" s="3"/>
      <c r="AAW208" s="3"/>
      <c r="AAX208" s="3"/>
      <c r="AAY208" s="3"/>
      <c r="AAZ208" s="3"/>
      <c r="ABA208" s="3"/>
      <c r="ABB208" s="3"/>
      <c r="ABC208" s="3"/>
      <c r="ABD208" s="3"/>
      <c r="ABE208" s="3"/>
      <c r="ABF208" s="3"/>
      <c r="ABG208" s="3"/>
      <c r="ABH208" s="3"/>
      <c r="ABI208" s="3"/>
      <c r="ABJ208" s="3"/>
      <c r="ABK208" s="3"/>
      <c r="ABL208" s="3"/>
      <c r="ABM208" s="3"/>
      <c r="ABN208" s="3"/>
      <c r="ABO208" s="3"/>
      <c r="ABP208" s="3"/>
      <c r="ABQ208" s="3"/>
      <c r="ABR208" s="3"/>
      <c r="ABS208" s="3"/>
      <c r="ABT208" s="3"/>
      <c r="ABU208" s="3"/>
      <c r="ABV208" s="3"/>
      <c r="ABW208" s="3"/>
      <c r="ABX208" s="3"/>
      <c r="ABY208" s="3"/>
      <c r="ABZ208" s="3"/>
      <c r="ACA208" s="3"/>
      <c r="ACB208" s="3"/>
      <c r="ACC208" s="3"/>
      <c r="ACD208" s="3"/>
      <c r="ACE208" s="3"/>
      <c r="ACF208" s="3"/>
      <c r="ACG208" s="3"/>
      <c r="ACH208" s="3"/>
      <c r="ACI208" s="3"/>
      <c r="ACJ208" s="3"/>
      <c r="ACK208" s="3"/>
      <c r="ACL208" s="3"/>
      <c r="ACM208" s="3"/>
      <c r="ACN208" s="3"/>
      <c r="ACO208" s="3"/>
      <c r="ACP208" s="3"/>
      <c r="ACQ208" s="3"/>
      <c r="ACR208" s="3"/>
      <c r="ACS208" s="3"/>
      <c r="ACT208" s="3"/>
      <c r="ACU208" s="3"/>
      <c r="ACV208" s="3"/>
      <c r="ACW208" s="3"/>
      <c r="ACX208" s="3"/>
      <c r="ACY208" s="3"/>
      <c r="ACZ208" s="3"/>
      <c r="ADA208" s="3"/>
      <c r="ADB208" s="3"/>
      <c r="ADC208" s="3"/>
      <c r="ADD208" s="3"/>
      <c r="ADE208" s="3"/>
      <c r="ADF208" s="3"/>
      <c r="ADG208" s="3"/>
      <c r="ADH208" s="3"/>
      <c r="ADI208" s="3"/>
      <c r="ADJ208" s="3"/>
      <c r="ADK208" s="3"/>
      <c r="ADL208" s="3"/>
      <c r="ADM208" s="3"/>
      <c r="ADN208" s="3"/>
      <c r="ADO208" s="3"/>
      <c r="ADP208" s="3"/>
      <c r="ADQ208" s="3"/>
      <c r="ADR208" s="3"/>
      <c r="ADS208" s="3"/>
      <c r="ADT208" s="3"/>
      <c r="ADU208" s="3"/>
      <c r="ADV208" s="3"/>
      <c r="ADW208" s="3"/>
      <c r="ADX208" s="3"/>
      <c r="ADY208" s="3"/>
      <c r="ADZ208" s="3"/>
      <c r="AEA208" s="3"/>
      <c r="AEB208" s="3"/>
      <c r="AEC208" s="3"/>
      <c r="AED208" s="3"/>
      <c r="AEE208" s="3"/>
      <c r="AEF208" s="3"/>
      <c r="AEG208" s="3"/>
      <c r="AEH208" s="3"/>
      <c r="AEI208" s="3"/>
      <c r="AEJ208" s="3"/>
      <c r="AEK208" s="3"/>
      <c r="AEL208" s="3"/>
      <c r="AEM208" s="3"/>
      <c r="AEN208" s="3"/>
      <c r="AEO208" s="3"/>
      <c r="AEP208" s="3"/>
      <c r="AEQ208" s="3"/>
      <c r="AER208" s="3"/>
      <c r="AES208" s="3"/>
      <c r="AET208" s="3"/>
      <c r="AEU208" s="3"/>
      <c r="AEV208" s="3"/>
      <c r="AEW208" s="3"/>
      <c r="AEX208" s="3"/>
      <c r="AEY208" s="3"/>
      <c r="AEZ208" s="3"/>
      <c r="AFA208" s="3"/>
      <c r="AFB208" s="3"/>
      <c r="AFC208" s="3"/>
      <c r="AFD208" s="3"/>
      <c r="AFE208" s="3"/>
      <c r="AFF208" s="3"/>
      <c r="AFG208" s="3"/>
      <c r="AFH208" s="3"/>
      <c r="AFI208" s="3"/>
      <c r="AFJ208" s="3"/>
      <c r="AFK208" s="3"/>
      <c r="AFL208" s="3"/>
      <c r="AFM208" s="3"/>
      <c r="AFN208" s="3"/>
      <c r="AFO208" s="3"/>
      <c r="AFP208" s="3"/>
      <c r="AFQ208" s="3"/>
      <c r="AFR208" s="3"/>
      <c r="AFS208" s="3"/>
      <c r="AFT208" s="3"/>
      <c r="AFU208" s="3"/>
      <c r="AFV208" s="3"/>
      <c r="AFW208" s="3"/>
      <c r="AFX208" s="3"/>
      <c r="AFY208" s="3"/>
      <c r="AFZ208" s="3"/>
      <c r="AGA208" s="3"/>
      <c r="AGB208" s="3"/>
      <c r="AGC208" s="3"/>
      <c r="AGD208" s="3"/>
      <c r="AGE208" s="3"/>
      <c r="AGF208" s="3"/>
      <c r="AGG208" s="3"/>
      <c r="AGH208" s="3"/>
      <c r="AGI208" s="3"/>
      <c r="AGJ208" s="3"/>
      <c r="AGK208" s="3"/>
      <c r="AGL208" s="3"/>
      <c r="AGM208" s="3"/>
      <c r="AGN208" s="3"/>
      <c r="AGO208" s="3"/>
      <c r="AGP208" s="3"/>
      <c r="AGQ208" s="3"/>
      <c r="AGR208" s="3"/>
      <c r="AGS208" s="3"/>
      <c r="AGT208" s="3"/>
      <c r="AGU208" s="3"/>
      <c r="AGV208" s="3"/>
      <c r="AGW208" s="3"/>
      <c r="AGX208" s="3"/>
      <c r="AGY208" s="3"/>
      <c r="AGZ208" s="3"/>
      <c r="AHA208" s="3"/>
      <c r="AHB208" s="3"/>
      <c r="AHC208" s="3"/>
      <c r="AHD208" s="3"/>
      <c r="AHE208" s="3"/>
      <c r="AHF208" s="3"/>
      <c r="AHG208" s="3"/>
      <c r="AHH208" s="3"/>
      <c r="AHI208" s="3"/>
      <c r="AHJ208" s="3"/>
      <c r="AHK208" s="3"/>
      <c r="AHL208" s="3"/>
      <c r="AHM208" s="3"/>
      <c r="AHN208" s="3"/>
      <c r="AHO208" s="3"/>
      <c r="AHP208" s="3"/>
      <c r="AHQ208" s="3"/>
      <c r="AHR208" s="3"/>
      <c r="AHS208" s="3"/>
      <c r="AHT208" s="3"/>
      <c r="AHU208" s="3"/>
      <c r="AHV208" s="3"/>
      <c r="AHW208" s="3"/>
      <c r="AHX208" s="3"/>
      <c r="AHY208" s="3"/>
      <c r="AHZ208" s="3"/>
      <c r="AIA208" s="3"/>
      <c r="AIB208" s="3"/>
      <c r="AIC208" s="3"/>
      <c r="AID208" s="3"/>
      <c r="AIE208" s="3"/>
      <c r="AIF208" s="3"/>
      <c r="AIG208" s="3"/>
      <c r="AIH208" s="3"/>
      <c r="AII208" s="3"/>
      <c r="AIJ208" s="3"/>
      <c r="AIK208" s="3"/>
      <c r="AIL208" s="3"/>
      <c r="AIM208" s="3"/>
      <c r="AIN208" s="3"/>
      <c r="AIO208" s="3"/>
      <c r="AIP208" s="3"/>
      <c r="AIQ208" s="3"/>
      <c r="AIR208" s="3"/>
      <c r="AIS208" s="3"/>
      <c r="AIT208" s="3"/>
      <c r="AIU208" s="3"/>
      <c r="AIV208" s="3"/>
      <c r="AIW208" s="3"/>
      <c r="AIX208" s="3"/>
      <c r="AIY208" s="3"/>
      <c r="AIZ208" s="3"/>
      <c r="AJA208" s="3"/>
      <c r="AJB208" s="3"/>
      <c r="AJC208" s="3"/>
      <c r="AJD208" s="3"/>
      <c r="AJE208" s="3"/>
      <c r="AJF208" s="3"/>
      <c r="AJG208" s="3"/>
      <c r="AJH208" s="3"/>
      <c r="AJI208" s="3"/>
      <c r="AJJ208" s="3"/>
      <c r="AJK208" s="3"/>
      <c r="AJL208" s="3"/>
      <c r="AJM208" s="3"/>
      <c r="AJN208" s="3"/>
      <c r="AJO208" s="3"/>
      <c r="AJP208" s="3"/>
      <c r="AJQ208" s="3"/>
      <c r="AJR208" s="3"/>
      <c r="AJS208" s="3"/>
      <c r="AJT208" s="3"/>
      <c r="AJU208" s="3"/>
      <c r="AJV208" s="3"/>
      <c r="AJW208" s="3"/>
      <c r="AJX208" s="3"/>
      <c r="AJY208" s="3"/>
      <c r="AJZ208" s="3"/>
      <c r="AKA208" s="3"/>
      <c r="AKB208" s="3"/>
      <c r="AKC208" s="3"/>
      <c r="AKD208" s="3"/>
      <c r="AKE208" s="3"/>
      <c r="AKF208" s="3"/>
      <c r="AKG208" s="3"/>
      <c r="AKH208" s="3"/>
      <c r="AKI208" s="3"/>
      <c r="AKJ208" s="3"/>
      <c r="AKK208" s="3"/>
      <c r="AKL208" s="3"/>
      <c r="AKM208" s="3"/>
      <c r="AKN208" s="3"/>
      <c r="AKO208" s="3"/>
      <c r="AKP208" s="3"/>
      <c r="AKQ208" s="3"/>
      <c r="AKR208" s="3"/>
      <c r="AKS208" s="3"/>
      <c r="AKT208" s="3"/>
      <c r="AKU208" s="3"/>
      <c r="AKV208" s="3"/>
      <c r="AKW208" s="3"/>
      <c r="AKX208" s="3"/>
      <c r="AKY208" s="3"/>
      <c r="AKZ208" s="3"/>
      <c r="ALA208" s="3"/>
      <c r="ALB208" s="3"/>
      <c r="ALC208" s="3"/>
      <c r="ALD208" s="3"/>
      <c r="ALE208" s="3"/>
      <c r="ALF208" s="3"/>
      <c r="ALG208" s="3"/>
      <c r="ALH208" s="3"/>
      <c r="ALI208" s="3"/>
      <c r="ALJ208" s="3"/>
      <c r="ALK208" s="3"/>
      <c r="ALL208" s="3"/>
      <c r="ALM208" s="3"/>
      <c r="ALN208" s="3"/>
      <c r="ALO208" s="3"/>
      <c r="ALP208" s="3"/>
      <c r="ALQ208" s="3"/>
      <c r="ALR208" s="3"/>
      <c r="ALS208" s="3"/>
      <c r="ALT208" s="3"/>
      <c r="ALU208" s="3"/>
      <c r="ALV208" s="3"/>
      <c r="ALW208" s="3"/>
      <c r="ALX208" s="3"/>
      <c r="ALY208" s="3"/>
      <c r="ALZ208" s="3"/>
      <c r="AMA208" s="3"/>
      <c r="AMB208" s="3"/>
      <c r="AMC208" s="3"/>
      <c r="AMD208" s="3"/>
      <c r="AME208" s="3"/>
      <c r="AMF208" s="3"/>
      <c r="AMG208" s="3"/>
      <c r="AMH208" s="3"/>
      <c r="AMI208" s="3"/>
      <c r="AMJ208" s="3"/>
      <c r="AMK208" s="3"/>
      <c r="AML208" s="3"/>
      <c r="AMM208" s="3"/>
      <c r="AMN208" s="3"/>
      <c r="AMO208" s="1"/>
    </row>
    <row r="209" spans="1:1029" s="6" customFormat="1" x14ac:dyDescent="0.2">
      <c r="A209" s="3" t="str">
        <f t="shared" si="862"/>
        <v>smo_human_5L7D</v>
      </c>
      <c r="B209" s="3" t="s">
        <v>33</v>
      </c>
      <c r="C209" s="3" t="s">
        <v>1358</v>
      </c>
      <c r="D209" s="3" t="str">
        <f>IFERROR(MID(VLOOKUP($B209,Seqs!$A:$B,2,0),E209,1),"")</f>
        <v>E</v>
      </c>
      <c r="E209" s="3">
        <v>224</v>
      </c>
      <c r="F209" s="3" t="str">
        <f>IFERROR(MID(VLOOKUP($B209,Seqs!$A:$B,2,0),G209,1),"")</f>
        <v>D</v>
      </c>
      <c r="G209" s="3">
        <v>255</v>
      </c>
      <c r="H209" s="3" t="str">
        <f>IFERROR(MID(VLOOKUP($B209,Seqs!$A:$B,2,0),I209,1),"")</f>
        <v>W</v>
      </c>
      <c r="I209" s="23">
        <v>256</v>
      </c>
      <c r="J209" s="3" t="str">
        <f>IFERROR(MID(VLOOKUP($B209,Seqs!$A:$B,2,0),K209,1),"")</f>
        <v>N</v>
      </c>
      <c r="K209" s="23">
        <v>260</v>
      </c>
      <c r="L209" s="3" t="str">
        <f>IFERROR(MID(VLOOKUP($B209,Seqs!$A:$B,2,0),M209,1),"")</f>
        <v>R</v>
      </c>
      <c r="M209" s="3">
        <v>261</v>
      </c>
      <c r="N209" s="3" t="str">
        <f>IFERROR(MID(VLOOKUP($B209,Seqs!$A:$B,2,0),O209,1),"")</f>
        <v>F</v>
      </c>
      <c r="O209" s="3">
        <v>285</v>
      </c>
      <c r="P209" s="3" t="str">
        <f>IFERROR(MID(VLOOKUP($B209,Seqs!$A:$B,2,0),Q209,1),"")</f>
        <v/>
      </c>
      <c r="Q209" s="3" t="s">
        <v>23</v>
      </c>
      <c r="R209" s="3" t="str">
        <f>IFERROR(MID(VLOOKUP($B209,Seqs!$A:$B,2,0),S209,1),"")</f>
        <v/>
      </c>
      <c r="S209" s="3" t="s">
        <v>23</v>
      </c>
      <c r="T209" s="3" t="str">
        <f>IFERROR(MID(VLOOKUP($B209,Seqs!$A:$B,2,0),U209,1),"")</f>
        <v>L</v>
      </c>
      <c r="U209" s="3">
        <v>312</v>
      </c>
      <c r="V209" s="3" t="str">
        <f>IFERROR(MID(VLOOKUP($B209,Seqs!$A:$B,2,0),W209,1),"")</f>
        <v>L</v>
      </c>
      <c r="W209" s="3">
        <v>346</v>
      </c>
      <c r="X209" s="3" t="str">
        <f>IFERROR(MID(VLOOKUP($B209,Seqs!$A:$B,2,0),Y209,1),"")</f>
        <v/>
      </c>
      <c r="Y209" s="3" t="s">
        <v>23</v>
      </c>
      <c r="Z209" s="3" t="str">
        <f>IFERROR(MID(VLOOKUP($B209,Seqs!$A:$B,2,0),AA209,1),"")</f>
        <v/>
      </c>
      <c r="AA209" s="3" t="s">
        <v>23</v>
      </c>
      <c r="AB209" s="3" t="str">
        <f>IFERROR(MID(VLOOKUP($B209,Seqs!$A:$B,2,0),AC209,1),"")</f>
        <v>L</v>
      </c>
      <c r="AC209" s="9">
        <v>353</v>
      </c>
      <c r="AD209" s="3" t="str">
        <f>IFERROR(MID(VLOOKUP($B209,Seqs!$A:$B,2,0),AE209,1),"")</f>
        <v>V</v>
      </c>
      <c r="AE209" s="3">
        <v>378</v>
      </c>
      <c r="AF209" s="3" t="str">
        <f>IFERROR(MID(VLOOKUP($B209,Seqs!$A:$B,2,0),AG209,1),"")</f>
        <v>C</v>
      </c>
      <c r="AG209" s="3">
        <v>390</v>
      </c>
      <c r="AH209" s="3" t="str">
        <f>IFERROR(MID(VLOOKUP($B209,Seqs!$A:$B,2,0),AI209,1),"")</f>
        <v>V</v>
      </c>
      <c r="AI209" s="3">
        <v>392</v>
      </c>
      <c r="AJ209" s="3" t="str">
        <f>IFERROR(MID(VLOOKUP($B209,Seqs!$A:$B,2,0),AK209,1),"")</f>
        <v>Y</v>
      </c>
      <c r="AK209" s="3">
        <v>397</v>
      </c>
      <c r="AL209" s="3" t="str">
        <f>IFERROR(MID(VLOOKUP($B209,Seqs!$A:$B,2,0),AM209,1),"")</f>
        <v>S</v>
      </c>
      <c r="AM209" s="3">
        <v>428</v>
      </c>
      <c r="AN209" s="3" t="str">
        <f>IFERROR(MID(VLOOKUP($B209,Seqs!$A:$B,2,0),AO209,1),"")</f>
        <v>E</v>
      </c>
      <c r="AO209" s="3">
        <v>447</v>
      </c>
      <c r="AP209" s="3" t="str">
        <f>IFERROR(MID(VLOOKUP($B209,Seqs!$A:$B,2,0),AQ209,1),"")</f>
        <v>I</v>
      </c>
      <c r="AQ209" s="3">
        <v>496</v>
      </c>
      <c r="AR209" s="3" t="str">
        <f>IFERROR(MID(VLOOKUP($B209,Seqs!$A:$B,2,0),AS209,1),"")</f>
        <v>L</v>
      </c>
      <c r="AS209" s="3">
        <v>515</v>
      </c>
      <c r="AT209" s="3" t="str">
        <f>IFERROR(MID(VLOOKUP($B209,Seqs!$A:$B,2,0),AU209,1),"")</f>
        <v>W</v>
      </c>
      <c r="AU209" s="3">
        <v>537</v>
      </c>
      <c r="AV209" s="3" t="str">
        <f>IFERROR(MID(VLOOKUP($B209,Seqs!$A:$B,2,0),AW209,1),"")</f>
        <v>T</v>
      </c>
      <c r="AW209" s="3">
        <v>538</v>
      </c>
      <c r="AX209" s="3" t="str">
        <f>IFERROR(MID(VLOOKUP($B209,Seqs!$A:$B,2,0),AY209,1),"")</f>
        <v>T</v>
      </c>
      <c r="AY209" s="3">
        <v>553</v>
      </c>
      <c r="AZ209" s="80" t="str">
        <f>VLOOKUP(B209,Classification!A:D,2,0)</f>
        <v>F</v>
      </c>
      <c r="BA209" s="97" t="str">
        <f>VLOOKUP(B209,Classification!A:D,4,0)</f>
        <v>Frizzled</v>
      </c>
      <c r="BB209" s="94" t="b">
        <f t="shared" si="863"/>
        <v>1</v>
      </c>
      <c r="BC209" s="23">
        <f t="shared" si="836"/>
        <v>249</v>
      </c>
      <c r="BD209" s="76" t="s">
        <v>23</v>
      </c>
      <c r="BE209" s="3" t="s">
        <v>1381</v>
      </c>
      <c r="BF209" s="50" t="s">
        <v>1</v>
      </c>
      <c r="BG209" s="50" t="s">
        <v>1384</v>
      </c>
      <c r="BH209" s="3" t="s">
        <v>1367</v>
      </c>
      <c r="BI209" s="77" t="s">
        <v>1293</v>
      </c>
      <c r="BJ209" s="58" t="s">
        <v>1293</v>
      </c>
      <c r="BK209" s="58" t="s">
        <v>1293</v>
      </c>
      <c r="BL209" s="58" t="s">
        <v>1293</v>
      </c>
      <c r="BM209" s="58" t="s">
        <v>1293</v>
      </c>
      <c r="BN209" s="58" t="s">
        <v>1293</v>
      </c>
      <c r="BO209" s="58" t="s">
        <v>1293</v>
      </c>
      <c r="BP209" s="58" t="s">
        <v>1293</v>
      </c>
      <c r="BQ209" s="58" t="s">
        <v>1293</v>
      </c>
      <c r="BR209" s="58" t="s">
        <v>1293</v>
      </c>
      <c r="BS209" s="58" t="s">
        <v>1293</v>
      </c>
      <c r="BT209" s="58" t="s">
        <v>1293</v>
      </c>
      <c r="BU209" s="77">
        <f t="shared" si="837"/>
        <v>224</v>
      </c>
      <c r="BV209" s="73">
        <f t="shared" si="838"/>
        <v>256</v>
      </c>
      <c r="BW209" s="74">
        <f t="shared" si="839"/>
        <v>261</v>
      </c>
      <c r="BX209" s="73" t="str">
        <f t="shared" si="840"/>
        <v>-</v>
      </c>
      <c r="BY209" s="74">
        <f t="shared" si="841"/>
        <v>312</v>
      </c>
      <c r="BZ209" s="73" t="str">
        <f t="shared" si="842"/>
        <v>-</v>
      </c>
      <c r="CA209" s="74">
        <f t="shared" si="843"/>
        <v>353</v>
      </c>
      <c r="CB209" s="73">
        <f t="shared" si="844"/>
        <v>390</v>
      </c>
      <c r="CC209" s="74">
        <f t="shared" si="845"/>
        <v>397</v>
      </c>
      <c r="CD209" s="73">
        <f t="shared" si="846"/>
        <v>447</v>
      </c>
      <c r="CE209" s="74">
        <f t="shared" si="847"/>
        <v>515</v>
      </c>
      <c r="CF209" s="73">
        <f t="shared" si="848"/>
        <v>538</v>
      </c>
      <c r="CG209" s="77">
        <f t="shared" si="849"/>
        <v>255</v>
      </c>
      <c r="CH209" s="73">
        <f t="shared" si="850"/>
        <v>260</v>
      </c>
      <c r="CI209" s="74">
        <f t="shared" si="851"/>
        <v>285</v>
      </c>
      <c r="CJ209" s="74" t="str">
        <f t="shared" si="852"/>
        <v>-</v>
      </c>
      <c r="CK209" s="74">
        <f t="shared" si="853"/>
        <v>346</v>
      </c>
      <c r="CL209" s="74" t="str">
        <f t="shared" si="854"/>
        <v>-</v>
      </c>
      <c r="CM209" s="74">
        <f t="shared" si="855"/>
        <v>378</v>
      </c>
      <c r="CN209" s="74">
        <f t="shared" si="856"/>
        <v>392</v>
      </c>
      <c r="CO209" s="74">
        <f t="shared" si="857"/>
        <v>428</v>
      </c>
      <c r="CP209" s="74">
        <f t="shared" si="858"/>
        <v>496</v>
      </c>
      <c r="CQ209" s="74">
        <f t="shared" si="859"/>
        <v>537</v>
      </c>
      <c r="CR209" s="74">
        <f t="shared" si="860"/>
        <v>553</v>
      </c>
      <c r="CS209" s="23">
        <f t="shared" si="861"/>
        <v>1</v>
      </c>
      <c r="CT209" s="3"/>
      <c r="CU209" s="3"/>
      <c r="CV209" s="3"/>
      <c r="CW209" s="3"/>
      <c r="CX209" s="3"/>
      <c r="CY209" s="3"/>
      <c r="CZ209" s="3"/>
      <c r="DA209" s="3"/>
      <c r="DB209" s="3"/>
      <c r="DC209" s="3"/>
      <c r="DD209" s="3"/>
      <c r="DE209" s="3"/>
      <c r="DF209" s="3"/>
      <c r="DG209" s="3"/>
      <c r="DH209" s="3"/>
      <c r="DI209" s="3"/>
      <c r="DJ209" s="3"/>
      <c r="DK209" s="3"/>
      <c r="DL209" s="3"/>
      <c r="DM209" s="3"/>
      <c r="DN209" s="3"/>
      <c r="DO209" s="3"/>
      <c r="DP209" s="3"/>
      <c r="DQ209" s="3"/>
      <c r="DR209" s="3"/>
      <c r="DS209" s="3"/>
      <c r="DT209" s="3"/>
      <c r="DU209" s="3"/>
      <c r="DV209" s="3"/>
      <c r="DW209" s="3"/>
      <c r="DX209" s="3"/>
      <c r="DY209" s="3"/>
      <c r="DZ209" s="3"/>
      <c r="EA209" s="3"/>
      <c r="EB209" s="3"/>
      <c r="EC209" s="3"/>
      <c r="ED209" s="3"/>
      <c r="EE209" s="3"/>
      <c r="EF209" s="3"/>
      <c r="EG209" s="3"/>
      <c r="EH209" s="3"/>
      <c r="EI209" s="3"/>
      <c r="EJ209" s="3"/>
      <c r="EK209" s="3"/>
      <c r="EL209" s="3"/>
      <c r="EM209" s="3"/>
      <c r="EN209" s="3"/>
      <c r="EO209" s="3"/>
      <c r="EP209" s="3"/>
      <c r="EQ209" s="3"/>
      <c r="ER209" s="3"/>
      <c r="ES209" s="3"/>
      <c r="ET209" s="3"/>
      <c r="EU209" s="3"/>
      <c r="EV209" s="3"/>
      <c r="EW209" s="3"/>
      <c r="EX209" s="3"/>
      <c r="EY209" s="3"/>
      <c r="EZ209" s="3"/>
      <c r="FA209" s="3"/>
      <c r="FB209" s="3"/>
      <c r="FC209" s="3"/>
      <c r="FD209" s="3"/>
      <c r="FE209" s="3"/>
      <c r="FF209" s="3"/>
      <c r="FG209" s="3"/>
      <c r="FH209" s="3"/>
      <c r="FI209" s="3"/>
      <c r="FJ209" s="3"/>
      <c r="FK209" s="3"/>
      <c r="FL209" s="3"/>
      <c r="FM209" s="3"/>
      <c r="FN209" s="3"/>
      <c r="FO209" s="3"/>
      <c r="FP209" s="3"/>
      <c r="FQ209" s="3"/>
      <c r="FR209" s="3"/>
      <c r="FS209" s="3"/>
      <c r="FT209" s="3"/>
      <c r="FU209" s="3"/>
      <c r="FV209" s="3"/>
      <c r="FW209" s="3"/>
      <c r="FX209" s="3"/>
      <c r="FY209" s="3"/>
      <c r="FZ209" s="3"/>
      <c r="GA209" s="3"/>
      <c r="GB209" s="3"/>
      <c r="GC209" s="3"/>
      <c r="GD209" s="3"/>
      <c r="GE209" s="3"/>
      <c r="GF209" s="3"/>
      <c r="GG209" s="3"/>
      <c r="GH209" s="3"/>
      <c r="GI209" s="3"/>
      <c r="GJ209" s="3"/>
      <c r="GK209" s="3"/>
      <c r="GL209" s="3"/>
      <c r="GM209" s="3"/>
      <c r="GN209" s="3"/>
      <c r="GO209" s="3"/>
      <c r="GP209" s="3"/>
      <c r="GQ209" s="3"/>
      <c r="GR209" s="3"/>
      <c r="GS209" s="3"/>
      <c r="GT209" s="3"/>
      <c r="GU209" s="3"/>
      <c r="GV209" s="3"/>
      <c r="GW209" s="3"/>
      <c r="GX209" s="3"/>
      <c r="GY209" s="3"/>
      <c r="GZ209" s="3"/>
      <c r="HA209" s="3"/>
      <c r="HB209" s="3"/>
      <c r="HC209" s="3"/>
      <c r="HD209" s="3"/>
      <c r="HE209" s="3"/>
      <c r="HF209" s="3"/>
      <c r="HG209" s="3"/>
      <c r="HH209" s="3"/>
      <c r="HI209" s="3"/>
      <c r="HJ209" s="3"/>
      <c r="HK209" s="3"/>
      <c r="HL209" s="3"/>
      <c r="HM209" s="3"/>
      <c r="HN209" s="3"/>
      <c r="HO209" s="3"/>
      <c r="HP209" s="3"/>
      <c r="HQ209" s="3"/>
      <c r="HR209" s="3"/>
      <c r="HS209" s="3"/>
      <c r="HT209" s="3"/>
      <c r="HU209" s="3"/>
      <c r="HV209" s="3"/>
      <c r="HW209" s="3"/>
      <c r="HX209" s="3"/>
      <c r="HY209" s="3"/>
      <c r="HZ209" s="3"/>
      <c r="IA209" s="3"/>
      <c r="IB209" s="3"/>
      <c r="IC209" s="3"/>
      <c r="ID209" s="3"/>
      <c r="IE209" s="3"/>
      <c r="IF209" s="3"/>
      <c r="IG209" s="3"/>
      <c r="IH209" s="3"/>
      <c r="II209" s="3"/>
      <c r="IJ209" s="3"/>
      <c r="IK209" s="3"/>
      <c r="IL209" s="3"/>
      <c r="IM209" s="3"/>
      <c r="IN209" s="3"/>
      <c r="IO209" s="3"/>
      <c r="IP209" s="3"/>
      <c r="IQ209" s="3"/>
      <c r="IR209" s="3"/>
      <c r="IS209" s="3"/>
      <c r="IT209" s="3"/>
      <c r="IU209" s="3"/>
      <c r="IV209" s="3"/>
      <c r="IW209" s="3"/>
      <c r="IX209" s="3"/>
      <c r="IY209" s="3"/>
      <c r="IZ209" s="3"/>
      <c r="JA209" s="3"/>
      <c r="JB209" s="3"/>
      <c r="JC209" s="3"/>
      <c r="JD209" s="3"/>
      <c r="JE209" s="3"/>
      <c r="JF209" s="3"/>
      <c r="JG209" s="3"/>
      <c r="JH209" s="3"/>
      <c r="JI209" s="3"/>
      <c r="JJ209" s="3"/>
      <c r="JK209" s="3"/>
      <c r="JL209" s="3"/>
      <c r="JM209" s="3"/>
      <c r="JN209" s="3"/>
      <c r="JO209" s="3"/>
      <c r="JP209" s="3"/>
      <c r="JQ209" s="3"/>
      <c r="JR209" s="3"/>
      <c r="JS209" s="3"/>
      <c r="JT209" s="3"/>
      <c r="JU209" s="3"/>
      <c r="JV209" s="3"/>
      <c r="JW209" s="3"/>
      <c r="JX209" s="3"/>
      <c r="JY209" s="3"/>
      <c r="JZ209" s="3"/>
      <c r="KA209" s="3"/>
      <c r="KB209" s="3"/>
      <c r="KC209" s="3"/>
      <c r="KD209" s="3"/>
      <c r="KE209" s="3"/>
      <c r="KF209" s="3"/>
      <c r="KG209" s="3"/>
      <c r="KH209" s="3"/>
      <c r="KI209" s="3"/>
      <c r="KJ209" s="3"/>
      <c r="KK209" s="3"/>
      <c r="KL209" s="3"/>
      <c r="KM209" s="3"/>
      <c r="KN209" s="3"/>
      <c r="KO209" s="3"/>
      <c r="KP209" s="3"/>
      <c r="KQ209" s="3"/>
      <c r="KR209" s="3"/>
      <c r="KS209" s="3"/>
      <c r="KT209" s="3"/>
      <c r="KU209" s="3"/>
      <c r="KV209" s="3"/>
      <c r="KW209" s="3"/>
      <c r="KX209" s="3"/>
      <c r="KY209" s="3"/>
      <c r="KZ209" s="3"/>
      <c r="LA209" s="3"/>
      <c r="LB209" s="3"/>
      <c r="LC209" s="3"/>
      <c r="LD209" s="3"/>
      <c r="LE209" s="3"/>
      <c r="LF209" s="3"/>
      <c r="LG209" s="3"/>
      <c r="LH209" s="3"/>
      <c r="LI209" s="3"/>
      <c r="LJ209" s="3"/>
      <c r="LK209" s="3"/>
      <c r="LL209" s="3"/>
      <c r="LM209" s="3"/>
      <c r="LN209" s="3"/>
      <c r="LO209" s="3"/>
      <c r="LP209" s="3"/>
      <c r="LQ209" s="3"/>
      <c r="LR209" s="3"/>
      <c r="LS209" s="3"/>
      <c r="LT209" s="3"/>
      <c r="LU209" s="3"/>
      <c r="LV209" s="3"/>
      <c r="LW209" s="3"/>
      <c r="LX209" s="3"/>
      <c r="LY209" s="3"/>
      <c r="LZ209" s="3"/>
      <c r="MA209" s="3"/>
      <c r="MB209" s="3"/>
      <c r="MC209" s="3"/>
      <c r="MD209" s="3"/>
      <c r="ME209" s="3"/>
      <c r="MF209" s="3"/>
      <c r="MG209" s="3"/>
      <c r="MH209" s="3"/>
      <c r="MI209" s="3"/>
      <c r="MJ209" s="3"/>
      <c r="MK209" s="3"/>
      <c r="ML209" s="3"/>
      <c r="MM209" s="3"/>
      <c r="MN209" s="3"/>
      <c r="MO209" s="3"/>
      <c r="MP209" s="3"/>
      <c r="MQ209" s="3"/>
      <c r="MR209" s="3"/>
      <c r="MS209" s="3"/>
      <c r="MT209" s="3"/>
      <c r="MU209" s="3"/>
      <c r="MV209" s="3"/>
      <c r="MW209" s="3"/>
      <c r="MX209" s="3"/>
      <c r="MY209" s="3"/>
      <c r="MZ209" s="3"/>
      <c r="NA209" s="3"/>
      <c r="NB209" s="3"/>
      <c r="NC209" s="3"/>
      <c r="ND209" s="3"/>
      <c r="NE209" s="3"/>
      <c r="NF209" s="3"/>
      <c r="NG209" s="3"/>
      <c r="NH209" s="3"/>
      <c r="NI209" s="3"/>
      <c r="NJ209" s="3"/>
      <c r="NK209" s="3"/>
      <c r="NL209" s="3"/>
      <c r="NM209" s="3"/>
      <c r="NN209" s="3"/>
      <c r="NO209" s="3"/>
      <c r="NP209" s="3"/>
      <c r="NQ209" s="3"/>
      <c r="NR209" s="3"/>
      <c r="NS209" s="3"/>
      <c r="NT209" s="3"/>
      <c r="NU209" s="3"/>
      <c r="NV209" s="3"/>
      <c r="NW209" s="3"/>
      <c r="NX209" s="3"/>
      <c r="NY209" s="3"/>
      <c r="NZ209" s="3"/>
      <c r="OA209" s="3"/>
      <c r="OB209" s="3"/>
      <c r="OC209" s="3"/>
      <c r="OD209" s="3"/>
      <c r="OE209" s="3"/>
      <c r="OF209" s="3"/>
      <c r="OG209" s="3"/>
      <c r="OH209" s="3"/>
      <c r="OI209" s="3"/>
      <c r="OJ209" s="3"/>
      <c r="OK209" s="3"/>
      <c r="OL209" s="3"/>
      <c r="OM209" s="3"/>
      <c r="ON209" s="3"/>
      <c r="OO209" s="3"/>
      <c r="OP209" s="3"/>
      <c r="OQ209" s="3"/>
      <c r="OR209" s="3"/>
      <c r="OS209" s="3"/>
      <c r="OT209" s="3"/>
      <c r="OU209" s="3"/>
      <c r="OV209" s="3"/>
      <c r="OW209" s="3"/>
      <c r="OX209" s="3"/>
      <c r="OY209" s="3"/>
      <c r="OZ209" s="3"/>
      <c r="PA209" s="3"/>
      <c r="PB209" s="3"/>
      <c r="PC209" s="3"/>
      <c r="PD209" s="3"/>
      <c r="PE209" s="3"/>
      <c r="PF209" s="3"/>
      <c r="PG209" s="3"/>
      <c r="PH209" s="3"/>
      <c r="PI209" s="3"/>
      <c r="PJ209" s="3"/>
      <c r="PK209" s="3"/>
      <c r="PL209" s="3"/>
      <c r="PM209" s="3"/>
      <c r="PN209" s="3"/>
      <c r="PO209" s="3"/>
      <c r="PP209" s="3"/>
      <c r="PQ209" s="3"/>
      <c r="PR209" s="3"/>
      <c r="PS209" s="3"/>
      <c r="PT209" s="3"/>
      <c r="PU209" s="3"/>
      <c r="PV209" s="3"/>
      <c r="PW209" s="3"/>
      <c r="PX209" s="3"/>
      <c r="PY209" s="3"/>
      <c r="PZ209" s="3"/>
      <c r="QA209" s="3"/>
      <c r="QB209" s="3"/>
      <c r="QC209" s="3"/>
      <c r="QD209" s="3"/>
      <c r="QE209" s="3"/>
      <c r="QF209" s="3"/>
      <c r="QG209" s="3"/>
      <c r="QH209" s="3"/>
      <c r="QI209" s="3"/>
      <c r="QJ209" s="3"/>
      <c r="QK209" s="3"/>
      <c r="QL209" s="3"/>
      <c r="QM209" s="3"/>
      <c r="QN209" s="3"/>
      <c r="QO209" s="3"/>
      <c r="QP209" s="3"/>
      <c r="QQ209" s="3"/>
      <c r="QR209" s="3"/>
      <c r="QS209" s="3"/>
      <c r="QT209" s="3"/>
      <c r="QU209" s="3"/>
      <c r="QV209" s="3"/>
      <c r="QW209" s="3"/>
      <c r="QX209" s="3"/>
      <c r="QY209" s="3"/>
      <c r="QZ209" s="3"/>
      <c r="RA209" s="3"/>
      <c r="RB209" s="3"/>
      <c r="RC209" s="3"/>
      <c r="RD209" s="3"/>
      <c r="RE209" s="3"/>
      <c r="RF209" s="3"/>
      <c r="RG209" s="3"/>
      <c r="RH209" s="3"/>
      <c r="RI209" s="3"/>
      <c r="RJ209" s="3"/>
      <c r="RK209" s="3"/>
      <c r="RL209" s="3"/>
      <c r="RM209" s="3"/>
      <c r="RN209" s="3"/>
      <c r="RO209" s="3"/>
      <c r="RP209" s="3"/>
      <c r="RQ209" s="3"/>
      <c r="RR209" s="3"/>
      <c r="RS209" s="3"/>
      <c r="RT209" s="3"/>
      <c r="RU209" s="3"/>
      <c r="RV209" s="3"/>
      <c r="RW209" s="3"/>
      <c r="RX209" s="3"/>
      <c r="RY209" s="3"/>
      <c r="RZ209" s="3"/>
      <c r="SA209" s="3"/>
      <c r="SB209" s="3"/>
      <c r="SC209" s="3"/>
      <c r="SD209" s="3"/>
      <c r="SE209" s="3"/>
      <c r="SF209" s="3"/>
      <c r="SG209" s="3"/>
      <c r="SH209" s="3"/>
      <c r="SI209" s="3"/>
      <c r="SJ209" s="3"/>
      <c r="SK209" s="3"/>
      <c r="SL209" s="3"/>
      <c r="SM209" s="3"/>
      <c r="SN209" s="3"/>
      <c r="SO209" s="3"/>
      <c r="SP209" s="3"/>
      <c r="SQ209" s="3"/>
      <c r="SR209" s="3"/>
      <c r="SS209" s="3"/>
      <c r="ST209" s="3"/>
      <c r="SU209" s="3"/>
      <c r="SV209" s="3"/>
      <c r="SW209" s="3"/>
      <c r="SX209" s="3"/>
      <c r="SY209" s="3"/>
      <c r="SZ209" s="3"/>
      <c r="TA209" s="3"/>
      <c r="TB209" s="3"/>
      <c r="TC209" s="3"/>
      <c r="TD209" s="3"/>
      <c r="TE209" s="3"/>
      <c r="TF209" s="3"/>
      <c r="TG209" s="3"/>
      <c r="TH209" s="3"/>
      <c r="TI209" s="3"/>
      <c r="TJ209" s="3"/>
      <c r="TK209" s="3"/>
      <c r="TL209" s="3"/>
      <c r="TM209" s="3"/>
      <c r="TN209" s="3"/>
      <c r="TO209" s="3"/>
      <c r="TP209" s="3"/>
      <c r="TQ209" s="3"/>
      <c r="TR209" s="3"/>
      <c r="TS209" s="3"/>
      <c r="TT209" s="3"/>
      <c r="TU209" s="3"/>
      <c r="TV209" s="3"/>
      <c r="TW209" s="3"/>
      <c r="TX209" s="3"/>
      <c r="TY209" s="3"/>
      <c r="TZ209" s="3"/>
      <c r="UA209" s="3"/>
      <c r="UB209" s="3"/>
      <c r="UC209" s="3"/>
      <c r="UD209" s="3"/>
      <c r="UE209" s="3"/>
      <c r="UF209" s="3"/>
      <c r="UG209" s="3"/>
      <c r="UH209" s="3"/>
      <c r="UI209" s="3"/>
      <c r="UJ209" s="3"/>
      <c r="UK209" s="3"/>
      <c r="UL209" s="3"/>
      <c r="UM209" s="3"/>
      <c r="UN209" s="3"/>
      <c r="UO209" s="3"/>
      <c r="UP209" s="3"/>
      <c r="UQ209" s="3"/>
      <c r="UR209" s="3"/>
      <c r="US209" s="3"/>
      <c r="UT209" s="3"/>
      <c r="UU209" s="3"/>
      <c r="UV209" s="3"/>
      <c r="UW209" s="3"/>
      <c r="UX209" s="3"/>
      <c r="UY209" s="3"/>
      <c r="UZ209" s="3"/>
      <c r="VA209" s="3"/>
      <c r="VB209" s="3"/>
      <c r="VC209" s="3"/>
      <c r="VD209" s="3"/>
      <c r="VE209" s="3"/>
      <c r="VF209" s="3"/>
      <c r="VG209" s="3"/>
      <c r="VH209" s="3"/>
      <c r="VI209" s="3"/>
      <c r="VJ209" s="3"/>
      <c r="VK209" s="3"/>
      <c r="VL209" s="3"/>
      <c r="VM209" s="3"/>
      <c r="VN209" s="3"/>
      <c r="VO209" s="3"/>
      <c r="VP209" s="3"/>
      <c r="VQ209" s="3"/>
      <c r="VR209" s="3"/>
      <c r="VS209" s="3"/>
      <c r="VT209" s="3"/>
      <c r="VU209" s="3"/>
      <c r="VV209" s="3"/>
      <c r="VW209" s="3"/>
      <c r="VX209" s="3"/>
      <c r="VY209" s="3"/>
      <c r="VZ209" s="3"/>
      <c r="WA209" s="3"/>
      <c r="WB209" s="3"/>
      <c r="WC209" s="3"/>
      <c r="WD209" s="3"/>
      <c r="WE209" s="3"/>
      <c r="WF209" s="3"/>
      <c r="WG209" s="3"/>
      <c r="WH209" s="3"/>
      <c r="WI209" s="3"/>
      <c r="WJ209" s="3"/>
      <c r="WK209" s="3"/>
      <c r="WL209" s="3"/>
      <c r="WM209" s="3"/>
      <c r="WN209" s="3"/>
      <c r="WO209" s="3"/>
      <c r="WP209" s="3"/>
      <c r="WQ209" s="3"/>
      <c r="WR209" s="3"/>
      <c r="WS209" s="3"/>
      <c r="WT209" s="3"/>
      <c r="WU209" s="3"/>
      <c r="WV209" s="3"/>
      <c r="WW209" s="3"/>
      <c r="WX209" s="3"/>
      <c r="WY209" s="3"/>
      <c r="WZ209" s="3"/>
      <c r="XA209" s="3"/>
      <c r="XB209" s="3"/>
      <c r="XC209" s="3"/>
      <c r="XD209" s="3"/>
      <c r="XE209" s="3"/>
      <c r="XF209" s="3"/>
      <c r="XG209" s="3"/>
      <c r="XH209" s="3"/>
      <c r="XI209" s="3"/>
      <c r="XJ209" s="3"/>
      <c r="XK209" s="3"/>
      <c r="XL209" s="3"/>
      <c r="XM209" s="3"/>
      <c r="XN209" s="3"/>
      <c r="XO209" s="3"/>
      <c r="XP209" s="3"/>
      <c r="XQ209" s="3"/>
      <c r="XR209" s="3"/>
      <c r="XS209" s="3"/>
      <c r="XT209" s="3"/>
      <c r="XU209" s="3"/>
      <c r="XV209" s="3"/>
      <c r="XW209" s="3"/>
      <c r="XX209" s="3"/>
      <c r="XY209" s="3"/>
      <c r="XZ209" s="3"/>
      <c r="YA209" s="3"/>
      <c r="YB209" s="3"/>
      <c r="YC209" s="3"/>
      <c r="YD209" s="3"/>
      <c r="YE209" s="3"/>
      <c r="YF209" s="3"/>
      <c r="YG209" s="3"/>
      <c r="YH209" s="3"/>
      <c r="YI209" s="3"/>
      <c r="YJ209" s="3"/>
      <c r="YK209" s="3"/>
      <c r="YL209" s="3"/>
      <c r="YM209" s="3"/>
      <c r="YN209" s="3"/>
      <c r="YO209" s="3"/>
      <c r="YP209" s="3"/>
      <c r="YQ209" s="3"/>
      <c r="YR209" s="3"/>
      <c r="YS209" s="3"/>
      <c r="YT209" s="3"/>
      <c r="YU209" s="3"/>
      <c r="YV209" s="3"/>
      <c r="YW209" s="3"/>
      <c r="YX209" s="3"/>
      <c r="YY209" s="3"/>
      <c r="YZ209" s="3"/>
      <c r="ZA209" s="3"/>
      <c r="ZB209" s="3"/>
      <c r="ZC209" s="3"/>
      <c r="ZD209" s="3"/>
      <c r="ZE209" s="3"/>
      <c r="ZF209" s="3"/>
      <c r="ZG209" s="3"/>
      <c r="ZH209" s="3"/>
      <c r="ZI209" s="3"/>
      <c r="ZJ209" s="3"/>
      <c r="ZK209" s="3"/>
      <c r="ZL209" s="3"/>
      <c r="ZM209" s="3"/>
      <c r="ZN209" s="3"/>
      <c r="ZO209" s="3"/>
      <c r="ZP209" s="3"/>
      <c r="ZQ209" s="3"/>
      <c r="ZR209" s="3"/>
      <c r="ZS209" s="3"/>
      <c r="ZT209" s="3"/>
      <c r="ZU209" s="3"/>
      <c r="ZV209" s="3"/>
      <c r="ZW209" s="3"/>
      <c r="ZX209" s="3"/>
      <c r="ZY209" s="3"/>
      <c r="ZZ209" s="3"/>
      <c r="AAA209" s="3"/>
      <c r="AAB209" s="3"/>
      <c r="AAC209" s="3"/>
      <c r="AAD209" s="3"/>
      <c r="AAE209" s="3"/>
      <c r="AAF209" s="3"/>
      <c r="AAG209" s="3"/>
      <c r="AAH209" s="3"/>
      <c r="AAI209" s="3"/>
      <c r="AAJ209" s="3"/>
      <c r="AAK209" s="3"/>
      <c r="AAL209" s="3"/>
      <c r="AAM209" s="3"/>
      <c r="AAN209" s="3"/>
      <c r="AAO209" s="3"/>
      <c r="AAP209" s="3"/>
      <c r="AAQ209" s="3"/>
      <c r="AAR209" s="3"/>
      <c r="AAS209" s="3"/>
      <c r="AAT209" s="3"/>
      <c r="AAU209" s="3"/>
      <c r="AAV209" s="3"/>
      <c r="AAW209" s="3"/>
      <c r="AAX209" s="3"/>
      <c r="AAY209" s="3"/>
      <c r="AAZ209" s="3"/>
      <c r="ABA209" s="3"/>
      <c r="ABB209" s="3"/>
      <c r="ABC209" s="3"/>
      <c r="ABD209" s="3"/>
      <c r="ABE209" s="3"/>
      <c r="ABF209" s="3"/>
      <c r="ABG209" s="3"/>
      <c r="ABH209" s="3"/>
      <c r="ABI209" s="3"/>
      <c r="ABJ209" s="3"/>
      <c r="ABK209" s="3"/>
      <c r="ABL209" s="3"/>
      <c r="ABM209" s="3"/>
      <c r="ABN209" s="3"/>
      <c r="ABO209" s="3"/>
      <c r="ABP209" s="3"/>
      <c r="ABQ209" s="3"/>
      <c r="ABR209" s="3"/>
      <c r="ABS209" s="3"/>
      <c r="ABT209" s="3"/>
      <c r="ABU209" s="3"/>
      <c r="ABV209" s="3"/>
      <c r="ABW209" s="3"/>
      <c r="ABX209" s="3"/>
      <c r="ABY209" s="3"/>
      <c r="ABZ209" s="3"/>
      <c r="ACA209" s="3"/>
      <c r="ACB209" s="3"/>
      <c r="ACC209" s="3"/>
      <c r="ACD209" s="3"/>
      <c r="ACE209" s="3"/>
      <c r="ACF209" s="3"/>
      <c r="ACG209" s="3"/>
      <c r="ACH209" s="3"/>
      <c r="ACI209" s="3"/>
      <c r="ACJ209" s="3"/>
      <c r="ACK209" s="3"/>
      <c r="ACL209" s="3"/>
      <c r="ACM209" s="3"/>
      <c r="ACN209" s="3"/>
      <c r="ACO209" s="3"/>
      <c r="ACP209" s="3"/>
      <c r="ACQ209" s="3"/>
      <c r="ACR209" s="3"/>
      <c r="ACS209" s="3"/>
      <c r="ACT209" s="3"/>
      <c r="ACU209" s="3"/>
      <c r="ACV209" s="3"/>
      <c r="ACW209" s="3"/>
      <c r="ACX209" s="3"/>
      <c r="ACY209" s="3"/>
      <c r="ACZ209" s="3"/>
      <c r="ADA209" s="3"/>
      <c r="ADB209" s="3"/>
      <c r="ADC209" s="3"/>
      <c r="ADD209" s="3"/>
      <c r="ADE209" s="3"/>
      <c r="ADF209" s="3"/>
      <c r="ADG209" s="3"/>
      <c r="ADH209" s="3"/>
      <c r="ADI209" s="3"/>
      <c r="ADJ209" s="3"/>
      <c r="ADK209" s="3"/>
      <c r="ADL209" s="3"/>
      <c r="ADM209" s="3"/>
      <c r="ADN209" s="3"/>
      <c r="ADO209" s="3"/>
      <c r="ADP209" s="3"/>
      <c r="ADQ209" s="3"/>
      <c r="ADR209" s="3"/>
      <c r="ADS209" s="3"/>
      <c r="ADT209" s="3"/>
      <c r="ADU209" s="3"/>
      <c r="ADV209" s="3"/>
      <c r="ADW209" s="3"/>
      <c r="ADX209" s="3"/>
      <c r="ADY209" s="3"/>
      <c r="ADZ209" s="3"/>
      <c r="AEA209" s="3"/>
      <c r="AEB209" s="3"/>
      <c r="AEC209" s="3"/>
      <c r="AED209" s="3"/>
      <c r="AEE209" s="3"/>
      <c r="AEF209" s="3"/>
      <c r="AEG209" s="3"/>
      <c r="AEH209" s="3"/>
      <c r="AEI209" s="3"/>
      <c r="AEJ209" s="3"/>
      <c r="AEK209" s="3"/>
      <c r="AEL209" s="3"/>
      <c r="AEM209" s="3"/>
      <c r="AEN209" s="3"/>
      <c r="AEO209" s="3"/>
      <c r="AEP209" s="3"/>
      <c r="AEQ209" s="3"/>
      <c r="AER209" s="3"/>
      <c r="AES209" s="3"/>
      <c r="AET209" s="3"/>
      <c r="AEU209" s="3"/>
      <c r="AEV209" s="3"/>
      <c r="AEW209" s="3"/>
      <c r="AEX209" s="3"/>
      <c r="AEY209" s="3"/>
      <c r="AEZ209" s="3"/>
      <c r="AFA209" s="3"/>
      <c r="AFB209" s="3"/>
      <c r="AFC209" s="3"/>
      <c r="AFD209" s="3"/>
      <c r="AFE209" s="3"/>
      <c r="AFF209" s="3"/>
      <c r="AFG209" s="3"/>
      <c r="AFH209" s="3"/>
      <c r="AFI209" s="3"/>
      <c r="AFJ209" s="3"/>
      <c r="AFK209" s="3"/>
      <c r="AFL209" s="3"/>
      <c r="AFM209" s="3"/>
      <c r="AFN209" s="3"/>
      <c r="AFO209" s="3"/>
      <c r="AFP209" s="3"/>
      <c r="AFQ209" s="3"/>
      <c r="AFR209" s="3"/>
      <c r="AFS209" s="3"/>
      <c r="AFT209" s="3"/>
      <c r="AFU209" s="3"/>
      <c r="AFV209" s="3"/>
      <c r="AFW209" s="3"/>
      <c r="AFX209" s="3"/>
      <c r="AFY209" s="3"/>
      <c r="AFZ209" s="3"/>
      <c r="AGA209" s="3"/>
      <c r="AGB209" s="3"/>
      <c r="AGC209" s="3"/>
      <c r="AGD209" s="3"/>
      <c r="AGE209" s="3"/>
      <c r="AGF209" s="3"/>
      <c r="AGG209" s="3"/>
      <c r="AGH209" s="3"/>
      <c r="AGI209" s="3"/>
      <c r="AGJ209" s="3"/>
      <c r="AGK209" s="3"/>
      <c r="AGL209" s="3"/>
      <c r="AGM209" s="3"/>
      <c r="AGN209" s="3"/>
      <c r="AGO209" s="3"/>
      <c r="AGP209" s="3"/>
      <c r="AGQ209" s="3"/>
      <c r="AGR209" s="3"/>
      <c r="AGS209" s="3"/>
      <c r="AGT209" s="3"/>
      <c r="AGU209" s="3"/>
      <c r="AGV209" s="3"/>
      <c r="AGW209" s="3"/>
      <c r="AGX209" s="3"/>
      <c r="AGY209" s="3"/>
      <c r="AGZ209" s="3"/>
      <c r="AHA209" s="3"/>
      <c r="AHB209" s="3"/>
      <c r="AHC209" s="3"/>
      <c r="AHD209" s="3"/>
      <c r="AHE209" s="3"/>
      <c r="AHF209" s="3"/>
      <c r="AHG209" s="3"/>
      <c r="AHH209" s="3"/>
      <c r="AHI209" s="3"/>
      <c r="AHJ209" s="3"/>
      <c r="AHK209" s="3"/>
      <c r="AHL209" s="3"/>
      <c r="AHM209" s="3"/>
      <c r="AHN209" s="3"/>
      <c r="AHO209" s="3"/>
      <c r="AHP209" s="3"/>
      <c r="AHQ209" s="3"/>
      <c r="AHR209" s="3"/>
      <c r="AHS209" s="3"/>
      <c r="AHT209" s="3"/>
      <c r="AHU209" s="3"/>
      <c r="AHV209" s="3"/>
      <c r="AHW209" s="3"/>
      <c r="AHX209" s="3"/>
      <c r="AHY209" s="3"/>
      <c r="AHZ209" s="3"/>
      <c r="AIA209" s="3"/>
      <c r="AIB209" s="3"/>
      <c r="AIC209" s="3"/>
      <c r="AID209" s="3"/>
      <c r="AIE209" s="3"/>
      <c r="AIF209" s="3"/>
      <c r="AIG209" s="3"/>
      <c r="AIH209" s="3"/>
      <c r="AII209" s="3"/>
      <c r="AIJ209" s="3"/>
      <c r="AIK209" s="3"/>
      <c r="AIL209" s="3"/>
      <c r="AIM209" s="3"/>
      <c r="AIN209" s="3"/>
      <c r="AIO209" s="3"/>
      <c r="AIP209" s="3"/>
      <c r="AIQ209" s="3"/>
      <c r="AIR209" s="3"/>
      <c r="AIS209" s="3"/>
      <c r="AIT209" s="3"/>
      <c r="AIU209" s="3"/>
      <c r="AIV209" s="3"/>
      <c r="AIW209" s="3"/>
      <c r="AIX209" s="3"/>
      <c r="AIY209" s="3"/>
      <c r="AIZ209" s="3"/>
      <c r="AJA209" s="3"/>
      <c r="AJB209" s="3"/>
      <c r="AJC209" s="3"/>
      <c r="AJD209" s="3"/>
      <c r="AJE209" s="3"/>
      <c r="AJF209" s="3"/>
      <c r="AJG209" s="3"/>
      <c r="AJH209" s="3"/>
      <c r="AJI209" s="3"/>
      <c r="AJJ209" s="3"/>
      <c r="AJK209" s="3"/>
      <c r="AJL209" s="3"/>
      <c r="AJM209" s="3"/>
      <c r="AJN209" s="3"/>
      <c r="AJO209" s="3"/>
      <c r="AJP209" s="3"/>
      <c r="AJQ209" s="3"/>
      <c r="AJR209" s="3"/>
      <c r="AJS209" s="3"/>
      <c r="AJT209" s="3"/>
      <c r="AJU209" s="3"/>
      <c r="AJV209" s="3"/>
      <c r="AJW209" s="3"/>
      <c r="AJX209" s="3"/>
      <c r="AJY209" s="3"/>
      <c r="AJZ209" s="3"/>
      <c r="AKA209" s="3"/>
      <c r="AKB209" s="3"/>
      <c r="AKC209" s="3"/>
      <c r="AKD209" s="3"/>
      <c r="AKE209" s="3"/>
      <c r="AKF209" s="3"/>
      <c r="AKG209" s="3"/>
      <c r="AKH209" s="3"/>
      <c r="AKI209" s="3"/>
      <c r="AKJ209" s="3"/>
      <c r="AKK209" s="3"/>
      <c r="AKL209" s="3"/>
      <c r="AKM209" s="3"/>
      <c r="AKN209" s="3"/>
      <c r="AKO209" s="3"/>
      <c r="AKP209" s="3"/>
      <c r="AKQ209" s="3"/>
      <c r="AKR209" s="3"/>
      <c r="AKS209" s="3"/>
      <c r="AKT209" s="3"/>
      <c r="AKU209" s="3"/>
      <c r="AKV209" s="3"/>
      <c r="AKW209" s="3"/>
      <c r="AKX209" s="3"/>
      <c r="AKY209" s="3"/>
      <c r="AKZ209" s="3"/>
      <c r="ALA209" s="3"/>
      <c r="ALB209" s="3"/>
      <c r="ALC209" s="3"/>
      <c r="ALD209" s="3"/>
      <c r="ALE209" s="3"/>
      <c r="ALF209" s="3"/>
      <c r="ALG209" s="3"/>
      <c r="ALH209" s="3"/>
      <c r="ALI209" s="3"/>
      <c r="ALJ209" s="3"/>
      <c r="ALK209" s="3"/>
      <c r="ALL209" s="3"/>
      <c r="ALM209" s="3"/>
      <c r="ALN209" s="3"/>
      <c r="ALO209" s="3"/>
      <c r="ALP209" s="3"/>
      <c r="ALQ209" s="3"/>
      <c r="ALR209" s="3"/>
      <c r="ALS209" s="3"/>
      <c r="ALT209" s="3"/>
      <c r="ALU209" s="3"/>
      <c r="ALV209" s="3"/>
      <c r="ALW209" s="3"/>
      <c r="ALX209" s="3"/>
      <c r="ALY209" s="3"/>
      <c r="ALZ209" s="3"/>
      <c r="AMA209" s="3"/>
      <c r="AMB209" s="3"/>
      <c r="AMC209" s="3"/>
      <c r="AMD209" s="3"/>
      <c r="AME209" s="3"/>
      <c r="AMF209" s="3"/>
      <c r="AMG209" s="3"/>
      <c r="AMH209" s="3"/>
      <c r="AMI209" s="3"/>
      <c r="AMJ209" s="3"/>
      <c r="AMK209" s="3"/>
      <c r="AML209" s="3"/>
      <c r="AMM209" s="3"/>
      <c r="AMN209" s="3"/>
      <c r="AMO209" s="1"/>
    </row>
    <row r="210" spans="1:1029" s="6" customFormat="1" x14ac:dyDescent="0.2">
      <c r="A210" s="3" t="str">
        <f t="shared" si="862"/>
        <v>smo_human_5L7I</v>
      </c>
      <c r="B210" s="3" t="s">
        <v>33</v>
      </c>
      <c r="C210" s="3" t="s">
        <v>1359</v>
      </c>
      <c r="D210" s="3" t="str">
        <f>IFERROR(MID(VLOOKUP($B210,Seqs!$A:$B,2,0),E210,1),"")</f>
        <v>E</v>
      </c>
      <c r="E210" s="3">
        <v>224</v>
      </c>
      <c r="F210" s="3" t="str">
        <f>IFERROR(MID(VLOOKUP($B210,Seqs!$A:$B,2,0),G210,1),"")</f>
        <v>D</v>
      </c>
      <c r="G210" s="3">
        <v>255</v>
      </c>
      <c r="H210" s="3" t="str">
        <f>IFERROR(MID(VLOOKUP($B210,Seqs!$A:$B,2,0),I210,1),"")</f>
        <v>W</v>
      </c>
      <c r="I210" s="23">
        <v>256</v>
      </c>
      <c r="J210" s="3" t="str">
        <f>IFERROR(MID(VLOOKUP($B210,Seqs!$A:$B,2,0),K210,1),"")</f>
        <v>N</v>
      </c>
      <c r="K210" s="23">
        <v>260</v>
      </c>
      <c r="L210" s="3" t="str">
        <f>IFERROR(MID(VLOOKUP($B210,Seqs!$A:$B,2,0),M210,1),"")</f>
        <v>R</v>
      </c>
      <c r="M210" s="3">
        <v>261</v>
      </c>
      <c r="N210" s="3" t="str">
        <f>IFERROR(MID(VLOOKUP($B210,Seqs!$A:$B,2,0),O210,1),"")</f>
        <v>F</v>
      </c>
      <c r="O210" s="3">
        <v>285</v>
      </c>
      <c r="P210" s="3" t="str">
        <f>IFERROR(MID(VLOOKUP($B210,Seqs!$A:$B,2,0),Q210,1),"")</f>
        <v/>
      </c>
      <c r="Q210" s="3" t="s">
        <v>23</v>
      </c>
      <c r="R210" s="3" t="str">
        <f>IFERROR(MID(VLOOKUP($B210,Seqs!$A:$B,2,0),S210,1),"")</f>
        <v/>
      </c>
      <c r="S210" s="3" t="s">
        <v>23</v>
      </c>
      <c r="T210" s="3" t="str">
        <f>IFERROR(MID(VLOOKUP($B210,Seqs!$A:$B,2,0),U210,1),"")</f>
        <v>L</v>
      </c>
      <c r="U210" s="3">
        <v>312</v>
      </c>
      <c r="V210" s="3" t="str">
        <f>IFERROR(MID(VLOOKUP($B210,Seqs!$A:$B,2,0),W210,1),"")</f>
        <v>L</v>
      </c>
      <c r="W210" s="3">
        <v>346</v>
      </c>
      <c r="X210" s="3" t="str">
        <f>IFERROR(MID(VLOOKUP($B210,Seqs!$A:$B,2,0),Y210,1),"")</f>
        <v/>
      </c>
      <c r="Y210" s="3" t="s">
        <v>23</v>
      </c>
      <c r="Z210" s="3" t="str">
        <f>IFERROR(MID(VLOOKUP($B210,Seqs!$A:$B,2,0),AA210,1),"")</f>
        <v/>
      </c>
      <c r="AA210" s="3" t="s">
        <v>23</v>
      </c>
      <c r="AB210" s="3" t="str">
        <f>IFERROR(MID(VLOOKUP($B210,Seqs!$A:$B,2,0),AC210,1),"")</f>
        <v>S</v>
      </c>
      <c r="AC210" s="9">
        <v>354</v>
      </c>
      <c r="AD210" s="3" t="str">
        <f>IFERROR(MID(VLOOKUP($B210,Seqs!$A:$B,2,0),AE210,1),"")</f>
        <v>V</v>
      </c>
      <c r="AE210" s="3">
        <v>378</v>
      </c>
      <c r="AF210" s="3" t="str">
        <f>IFERROR(MID(VLOOKUP($B210,Seqs!$A:$B,2,0),AG210,1),"")</f>
        <v>C</v>
      </c>
      <c r="AG210" s="3">
        <v>390</v>
      </c>
      <c r="AH210" s="3" t="str">
        <f>IFERROR(MID(VLOOKUP($B210,Seqs!$A:$B,2,0),AI210,1),"")</f>
        <v>V</v>
      </c>
      <c r="AI210" s="3">
        <v>392</v>
      </c>
      <c r="AJ210" s="3" t="str">
        <f>IFERROR(MID(VLOOKUP($B210,Seqs!$A:$B,2,0),AK210,1),"")</f>
        <v>Y</v>
      </c>
      <c r="AK210" s="3">
        <v>397</v>
      </c>
      <c r="AL210" s="3" t="str">
        <f>IFERROR(MID(VLOOKUP($B210,Seqs!$A:$B,2,0),AM210,1),"")</f>
        <v>S</v>
      </c>
      <c r="AM210" s="3">
        <v>428</v>
      </c>
      <c r="AN210" s="3" t="str">
        <f>IFERROR(MID(VLOOKUP($B210,Seqs!$A:$B,2,0),AO210,1),"")</f>
        <v>E</v>
      </c>
      <c r="AO210" s="3">
        <v>447</v>
      </c>
      <c r="AP210" s="3" t="str">
        <f>IFERROR(MID(VLOOKUP($B210,Seqs!$A:$B,2,0),AQ210,1),"")</f>
        <v>N</v>
      </c>
      <c r="AQ210" s="3">
        <v>493</v>
      </c>
      <c r="AR210" s="3" t="str">
        <f>IFERROR(MID(VLOOKUP($B210,Seqs!$A:$B,2,0),AS210,1),"")</f>
        <v>L</v>
      </c>
      <c r="AS210" s="3">
        <v>515</v>
      </c>
      <c r="AT210" s="3" t="str">
        <f>IFERROR(MID(VLOOKUP($B210,Seqs!$A:$B,2,0),AU210,1),"")</f>
        <v>W</v>
      </c>
      <c r="AU210" s="3">
        <v>537</v>
      </c>
      <c r="AV210" s="3" t="str">
        <f>IFERROR(MID(VLOOKUP($B210,Seqs!$A:$B,2,0),AW210,1),"")</f>
        <v>T</v>
      </c>
      <c r="AW210" s="3">
        <v>538</v>
      </c>
      <c r="AX210" s="3" t="str">
        <f>IFERROR(MID(VLOOKUP($B210,Seqs!$A:$B,2,0),AY210,1),"")</f>
        <v>R</v>
      </c>
      <c r="AY210" s="3">
        <v>551</v>
      </c>
      <c r="AZ210" s="80" t="str">
        <f>VLOOKUP(B210,Classification!A:D,2,0)</f>
        <v>F</v>
      </c>
      <c r="BA210" s="97" t="str">
        <f>VLOOKUP(B210,Classification!A:D,4,0)</f>
        <v>Frizzled</v>
      </c>
      <c r="BB210" s="94" t="b">
        <f t="shared" si="863"/>
        <v>1</v>
      </c>
      <c r="BC210" s="23">
        <f t="shared" si="836"/>
        <v>243</v>
      </c>
      <c r="BD210" s="76" t="s">
        <v>23</v>
      </c>
      <c r="BE210" s="3" t="s">
        <v>1381</v>
      </c>
      <c r="BF210" s="50" t="s">
        <v>1287</v>
      </c>
      <c r="BG210" s="50" t="s">
        <v>1384</v>
      </c>
      <c r="BH210" s="3" t="s">
        <v>1368</v>
      </c>
      <c r="BI210" s="77" t="s">
        <v>1293</v>
      </c>
      <c r="BJ210" s="58" t="s">
        <v>1293</v>
      </c>
      <c r="BK210" s="58" t="s">
        <v>1293</v>
      </c>
      <c r="BL210" s="58" t="s">
        <v>1293</v>
      </c>
      <c r="BM210" s="58" t="s">
        <v>1293</v>
      </c>
      <c r="BN210" s="58" t="s">
        <v>1293</v>
      </c>
      <c r="BO210" s="58" t="s">
        <v>1293</v>
      </c>
      <c r="BP210" s="58" t="s">
        <v>1293</v>
      </c>
      <c r="BQ210" s="58" t="s">
        <v>1293</v>
      </c>
      <c r="BR210" s="58" t="s">
        <v>1293</v>
      </c>
      <c r="BS210" s="58" t="s">
        <v>1293</v>
      </c>
      <c r="BT210" s="58" t="s">
        <v>1293</v>
      </c>
      <c r="BU210" s="77">
        <f t="shared" si="837"/>
        <v>224</v>
      </c>
      <c r="BV210" s="73">
        <f t="shared" si="838"/>
        <v>256</v>
      </c>
      <c r="BW210" s="74">
        <f t="shared" si="839"/>
        <v>261</v>
      </c>
      <c r="BX210" s="73" t="str">
        <f t="shared" si="840"/>
        <v>-</v>
      </c>
      <c r="BY210" s="74">
        <f t="shared" si="841"/>
        <v>312</v>
      </c>
      <c r="BZ210" s="73" t="str">
        <f t="shared" si="842"/>
        <v>-</v>
      </c>
      <c r="CA210" s="74">
        <f t="shared" si="843"/>
        <v>354</v>
      </c>
      <c r="CB210" s="73">
        <f t="shared" si="844"/>
        <v>390</v>
      </c>
      <c r="CC210" s="74">
        <f t="shared" si="845"/>
        <v>397</v>
      </c>
      <c r="CD210" s="73">
        <f t="shared" si="846"/>
        <v>447</v>
      </c>
      <c r="CE210" s="74">
        <f t="shared" si="847"/>
        <v>515</v>
      </c>
      <c r="CF210" s="73">
        <f t="shared" si="848"/>
        <v>538</v>
      </c>
      <c r="CG210" s="77">
        <f t="shared" si="849"/>
        <v>255</v>
      </c>
      <c r="CH210" s="73">
        <f t="shared" si="850"/>
        <v>260</v>
      </c>
      <c r="CI210" s="74">
        <f t="shared" si="851"/>
        <v>285</v>
      </c>
      <c r="CJ210" s="74" t="str">
        <f t="shared" si="852"/>
        <v>-</v>
      </c>
      <c r="CK210" s="74">
        <f t="shared" si="853"/>
        <v>346</v>
      </c>
      <c r="CL210" s="74" t="str">
        <f t="shared" si="854"/>
        <v>-</v>
      </c>
      <c r="CM210" s="74">
        <f t="shared" si="855"/>
        <v>378</v>
      </c>
      <c r="CN210" s="74">
        <f t="shared" si="856"/>
        <v>392</v>
      </c>
      <c r="CO210" s="74">
        <f t="shared" si="857"/>
        <v>428</v>
      </c>
      <c r="CP210" s="74">
        <f t="shared" si="858"/>
        <v>493</v>
      </c>
      <c r="CQ210" s="74">
        <f t="shared" si="859"/>
        <v>537</v>
      </c>
      <c r="CR210" s="74">
        <f t="shared" si="860"/>
        <v>551</v>
      </c>
      <c r="CS210" s="23">
        <f t="shared" si="861"/>
        <v>1</v>
      </c>
      <c r="CT210" s="3"/>
      <c r="CU210" s="3"/>
      <c r="CV210" s="3"/>
      <c r="CW210" s="3"/>
      <c r="CX210" s="3"/>
      <c r="CY210" s="3"/>
      <c r="CZ210" s="3"/>
      <c r="DA210" s="3"/>
      <c r="DB210" s="3"/>
      <c r="DC210" s="3"/>
      <c r="DD210" s="3"/>
      <c r="DE210" s="3"/>
      <c r="DF210" s="3"/>
      <c r="DG210" s="3"/>
      <c r="DH210" s="3"/>
      <c r="DI210" s="3"/>
      <c r="DJ210" s="3"/>
      <c r="DK210" s="3"/>
      <c r="DL210" s="3"/>
      <c r="DM210" s="3"/>
      <c r="DN210" s="3"/>
      <c r="DO210" s="3"/>
      <c r="DP210" s="3"/>
      <c r="DQ210" s="3"/>
      <c r="DR210" s="3"/>
      <c r="DS210" s="3"/>
      <c r="DT210" s="3"/>
      <c r="DU210" s="3"/>
      <c r="DV210" s="3"/>
      <c r="DW210" s="3"/>
      <c r="DX210" s="3"/>
      <c r="DY210" s="3"/>
      <c r="DZ210" s="3"/>
      <c r="EA210" s="3"/>
      <c r="EB210" s="3"/>
      <c r="EC210" s="3"/>
      <c r="ED210" s="3"/>
      <c r="EE210" s="3"/>
      <c r="EF210" s="3"/>
      <c r="EG210" s="3"/>
      <c r="EH210" s="3"/>
      <c r="EI210" s="3"/>
      <c r="EJ210" s="3"/>
      <c r="EK210" s="3"/>
      <c r="EL210" s="3"/>
      <c r="EM210" s="3"/>
      <c r="EN210" s="3"/>
      <c r="EO210" s="3"/>
      <c r="EP210" s="3"/>
      <c r="EQ210" s="3"/>
      <c r="ER210" s="3"/>
      <c r="ES210" s="3"/>
      <c r="ET210" s="3"/>
      <c r="EU210" s="3"/>
      <c r="EV210" s="3"/>
      <c r="EW210" s="3"/>
      <c r="EX210" s="3"/>
      <c r="EY210" s="3"/>
      <c r="EZ210" s="3"/>
      <c r="FA210" s="3"/>
      <c r="FB210" s="3"/>
      <c r="FC210" s="3"/>
      <c r="FD210" s="3"/>
      <c r="FE210" s="3"/>
      <c r="FF210" s="3"/>
      <c r="FG210" s="3"/>
      <c r="FH210" s="3"/>
      <c r="FI210" s="3"/>
      <c r="FJ210" s="3"/>
      <c r="FK210" s="3"/>
      <c r="FL210" s="3"/>
      <c r="FM210" s="3"/>
      <c r="FN210" s="3"/>
      <c r="FO210" s="3"/>
      <c r="FP210" s="3"/>
      <c r="FQ210" s="3"/>
      <c r="FR210" s="3"/>
      <c r="FS210" s="3"/>
      <c r="FT210" s="3"/>
      <c r="FU210" s="3"/>
      <c r="FV210" s="3"/>
      <c r="FW210" s="3"/>
      <c r="FX210" s="3"/>
      <c r="FY210" s="3"/>
      <c r="FZ210" s="3"/>
      <c r="GA210" s="3"/>
      <c r="GB210" s="3"/>
      <c r="GC210" s="3"/>
      <c r="GD210" s="3"/>
      <c r="GE210" s="3"/>
      <c r="GF210" s="3"/>
      <c r="GG210" s="3"/>
      <c r="GH210" s="3"/>
      <c r="GI210" s="3"/>
      <c r="GJ210" s="3"/>
      <c r="GK210" s="3"/>
      <c r="GL210" s="3"/>
      <c r="GM210" s="3"/>
      <c r="GN210" s="3"/>
      <c r="GO210" s="3"/>
      <c r="GP210" s="3"/>
      <c r="GQ210" s="3"/>
      <c r="GR210" s="3"/>
      <c r="GS210" s="3"/>
      <c r="GT210" s="3"/>
      <c r="GU210" s="3"/>
      <c r="GV210" s="3"/>
      <c r="GW210" s="3"/>
      <c r="GX210" s="3"/>
      <c r="GY210" s="3"/>
      <c r="GZ210" s="3"/>
      <c r="HA210" s="3"/>
      <c r="HB210" s="3"/>
      <c r="HC210" s="3"/>
      <c r="HD210" s="3"/>
      <c r="HE210" s="3"/>
      <c r="HF210" s="3"/>
      <c r="HG210" s="3"/>
      <c r="HH210" s="3"/>
      <c r="HI210" s="3"/>
      <c r="HJ210" s="3"/>
      <c r="HK210" s="3"/>
      <c r="HL210" s="3"/>
      <c r="HM210" s="3"/>
      <c r="HN210" s="3"/>
      <c r="HO210" s="3"/>
      <c r="HP210" s="3"/>
      <c r="HQ210" s="3"/>
      <c r="HR210" s="3"/>
      <c r="HS210" s="3"/>
      <c r="HT210" s="3"/>
      <c r="HU210" s="3"/>
      <c r="HV210" s="3"/>
      <c r="HW210" s="3"/>
      <c r="HX210" s="3"/>
      <c r="HY210" s="3"/>
      <c r="HZ210" s="3"/>
      <c r="IA210" s="3"/>
      <c r="IB210" s="3"/>
      <c r="IC210" s="3"/>
      <c r="ID210" s="3"/>
      <c r="IE210" s="3"/>
      <c r="IF210" s="3"/>
      <c r="IG210" s="3"/>
      <c r="IH210" s="3"/>
      <c r="II210" s="3"/>
      <c r="IJ210" s="3"/>
      <c r="IK210" s="3"/>
      <c r="IL210" s="3"/>
      <c r="IM210" s="3"/>
      <c r="IN210" s="3"/>
      <c r="IO210" s="3"/>
      <c r="IP210" s="3"/>
      <c r="IQ210" s="3"/>
      <c r="IR210" s="3"/>
      <c r="IS210" s="3"/>
      <c r="IT210" s="3"/>
      <c r="IU210" s="3"/>
      <c r="IV210" s="3"/>
      <c r="IW210" s="3"/>
      <c r="IX210" s="3"/>
      <c r="IY210" s="3"/>
      <c r="IZ210" s="3"/>
      <c r="JA210" s="3"/>
      <c r="JB210" s="3"/>
      <c r="JC210" s="3"/>
      <c r="JD210" s="3"/>
      <c r="JE210" s="3"/>
      <c r="JF210" s="3"/>
      <c r="JG210" s="3"/>
      <c r="JH210" s="3"/>
      <c r="JI210" s="3"/>
      <c r="JJ210" s="3"/>
      <c r="JK210" s="3"/>
      <c r="JL210" s="3"/>
      <c r="JM210" s="3"/>
      <c r="JN210" s="3"/>
      <c r="JO210" s="3"/>
      <c r="JP210" s="3"/>
      <c r="JQ210" s="3"/>
      <c r="JR210" s="3"/>
      <c r="JS210" s="3"/>
      <c r="JT210" s="3"/>
      <c r="JU210" s="3"/>
      <c r="JV210" s="3"/>
      <c r="JW210" s="3"/>
      <c r="JX210" s="3"/>
      <c r="JY210" s="3"/>
      <c r="JZ210" s="3"/>
      <c r="KA210" s="3"/>
      <c r="KB210" s="3"/>
      <c r="KC210" s="3"/>
      <c r="KD210" s="3"/>
      <c r="KE210" s="3"/>
      <c r="KF210" s="3"/>
      <c r="KG210" s="3"/>
      <c r="KH210" s="3"/>
      <c r="KI210" s="3"/>
      <c r="KJ210" s="3"/>
      <c r="KK210" s="3"/>
      <c r="KL210" s="3"/>
      <c r="KM210" s="3"/>
      <c r="KN210" s="3"/>
      <c r="KO210" s="3"/>
      <c r="KP210" s="3"/>
      <c r="KQ210" s="3"/>
      <c r="KR210" s="3"/>
      <c r="KS210" s="3"/>
      <c r="KT210" s="3"/>
      <c r="KU210" s="3"/>
      <c r="KV210" s="3"/>
      <c r="KW210" s="3"/>
      <c r="KX210" s="3"/>
      <c r="KY210" s="3"/>
      <c r="KZ210" s="3"/>
      <c r="LA210" s="3"/>
      <c r="LB210" s="3"/>
      <c r="LC210" s="3"/>
      <c r="LD210" s="3"/>
      <c r="LE210" s="3"/>
      <c r="LF210" s="3"/>
      <c r="LG210" s="3"/>
      <c r="LH210" s="3"/>
      <c r="LI210" s="3"/>
      <c r="LJ210" s="3"/>
      <c r="LK210" s="3"/>
      <c r="LL210" s="3"/>
      <c r="LM210" s="3"/>
      <c r="LN210" s="3"/>
      <c r="LO210" s="3"/>
      <c r="LP210" s="3"/>
      <c r="LQ210" s="3"/>
      <c r="LR210" s="3"/>
      <c r="LS210" s="3"/>
      <c r="LT210" s="3"/>
      <c r="LU210" s="3"/>
      <c r="LV210" s="3"/>
      <c r="LW210" s="3"/>
      <c r="LX210" s="3"/>
      <c r="LY210" s="3"/>
      <c r="LZ210" s="3"/>
      <c r="MA210" s="3"/>
      <c r="MB210" s="3"/>
      <c r="MC210" s="3"/>
      <c r="MD210" s="3"/>
      <c r="ME210" s="3"/>
      <c r="MF210" s="3"/>
      <c r="MG210" s="3"/>
      <c r="MH210" s="3"/>
      <c r="MI210" s="3"/>
      <c r="MJ210" s="3"/>
      <c r="MK210" s="3"/>
      <c r="ML210" s="3"/>
      <c r="MM210" s="3"/>
      <c r="MN210" s="3"/>
      <c r="MO210" s="3"/>
      <c r="MP210" s="3"/>
      <c r="MQ210" s="3"/>
      <c r="MR210" s="3"/>
      <c r="MS210" s="3"/>
      <c r="MT210" s="3"/>
      <c r="MU210" s="3"/>
      <c r="MV210" s="3"/>
      <c r="MW210" s="3"/>
      <c r="MX210" s="3"/>
      <c r="MY210" s="3"/>
      <c r="MZ210" s="3"/>
      <c r="NA210" s="3"/>
      <c r="NB210" s="3"/>
      <c r="NC210" s="3"/>
      <c r="ND210" s="3"/>
      <c r="NE210" s="3"/>
      <c r="NF210" s="3"/>
      <c r="NG210" s="3"/>
      <c r="NH210" s="3"/>
      <c r="NI210" s="3"/>
      <c r="NJ210" s="3"/>
      <c r="NK210" s="3"/>
      <c r="NL210" s="3"/>
      <c r="NM210" s="3"/>
      <c r="NN210" s="3"/>
      <c r="NO210" s="3"/>
      <c r="NP210" s="3"/>
      <c r="NQ210" s="3"/>
      <c r="NR210" s="3"/>
      <c r="NS210" s="3"/>
      <c r="NT210" s="3"/>
      <c r="NU210" s="3"/>
      <c r="NV210" s="3"/>
      <c r="NW210" s="3"/>
      <c r="NX210" s="3"/>
      <c r="NY210" s="3"/>
      <c r="NZ210" s="3"/>
      <c r="OA210" s="3"/>
      <c r="OB210" s="3"/>
      <c r="OC210" s="3"/>
      <c r="OD210" s="3"/>
      <c r="OE210" s="3"/>
      <c r="OF210" s="3"/>
      <c r="OG210" s="3"/>
      <c r="OH210" s="3"/>
      <c r="OI210" s="3"/>
      <c r="OJ210" s="3"/>
      <c r="OK210" s="3"/>
      <c r="OL210" s="3"/>
      <c r="OM210" s="3"/>
      <c r="ON210" s="3"/>
      <c r="OO210" s="3"/>
      <c r="OP210" s="3"/>
      <c r="OQ210" s="3"/>
      <c r="OR210" s="3"/>
      <c r="OS210" s="3"/>
      <c r="OT210" s="3"/>
      <c r="OU210" s="3"/>
      <c r="OV210" s="3"/>
      <c r="OW210" s="3"/>
      <c r="OX210" s="3"/>
      <c r="OY210" s="3"/>
      <c r="OZ210" s="3"/>
      <c r="PA210" s="3"/>
      <c r="PB210" s="3"/>
      <c r="PC210" s="3"/>
      <c r="PD210" s="3"/>
      <c r="PE210" s="3"/>
      <c r="PF210" s="3"/>
      <c r="PG210" s="3"/>
      <c r="PH210" s="3"/>
      <c r="PI210" s="3"/>
      <c r="PJ210" s="3"/>
      <c r="PK210" s="3"/>
      <c r="PL210" s="3"/>
      <c r="PM210" s="3"/>
      <c r="PN210" s="3"/>
      <c r="PO210" s="3"/>
      <c r="PP210" s="3"/>
      <c r="PQ210" s="3"/>
      <c r="PR210" s="3"/>
      <c r="PS210" s="3"/>
      <c r="PT210" s="3"/>
      <c r="PU210" s="3"/>
      <c r="PV210" s="3"/>
      <c r="PW210" s="3"/>
      <c r="PX210" s="3"/>
      <c r="PY210" s="3"/>
      <c r="PZ210" s="3"/>
      <c r="QA210" s="3"/>
      <c r="QB210" s="3"/>
      <c r="QC210" s="3"/>
      <c r="QD210" s="3"/>
      <c r="QE210" s="3"/>
      <c r="QF210" s="3"/>
      <c r="QG210" s="3"/>
      <c r="QH210" s="3"/>
      <c r="QI210" s="3"/>
      <c r="QJ210" s="3"/>
      <c r="QK210" s="3"/>
      <c r="QL210" s="3"/>
      <c r="QM210" s="3"/>
      <c r="QN210" s="3"/>
      <c r="QO210" s="3"/>
      <c r="QP210" s="3"/>
      <c r="QQ210" s="3"/>
      <c r="QR210" s="3"/>
      <c r="QS210" s="3"/>
      <c r="QT210" s="3"/>
      <c r="QU210" s="3"/>
      <c r="QV210" s="3"/>
      <c r="QW210" s="3"/>
      <c r="QX210" s="3"/>
      <c r="QY210" s="3"/>
      <c r="QZ210" s="3"/>
      <c r="RA210" s="3"/>
      <c r="RB210" s="3"/>
      <c r="RC210" s="3"/>
      <c r="RD210" s="3"/>
      <c r="RE210" s="3"/>
      <c r="RF210" s="3"/>
      <c r="RG210" s="3"/>
      <c r="RH210" s="3"/>
      <c r="RI210" s="3"/>
      <c r="RJ210" s="3"/>
      <c r="RK210" s="3"/>
      <c r="RL210" s="3"/>
      <c r="RM210" s="3"/>
      <c r="RN210" s="3"/>
      <c r="RO210" s="3"/>
      <c r="RP210" s="3"/>
      <c r="RQ210" s="3"/>
      <c r="RR210" s="3"/>
      <c r="RS210" s="3"/>
      <c r="RT210" s="3"/>
      <c r="RU210" s="3"/>
      <c r="RV210" s="3"/>
      <c r="RW210" s="3"/>
      <c r="RX210" s="3"/>
      <c r="RY210" s="3"/>
      <c r="RZ210" s="3"/>
      <c r="SA210" s="3"/>
      <c r="SB210" s="3"/>
      <c r="SC210" s="3"/>
      <c r="SD210" s="3"/>
      <c r="SE210" s="3"/>
      <c r="SF210" s="3"/>
      <c r="SG210" s="3"/>
      <c r="SH210" s="3"/>
      <c r="SI210" s="3"/>
      <c r="SJ210" s="3"/>
      <c r="SK210" s="3"/>
      <c r="SL210" s="3"/>
      <c r="SM210" s="3"/>
      <c r="SN210" s="3"/>
      <c r="SO210" s="3"/>
      <c r="SP210" s="3"/>
      <c r="SQ210" s="3"/>
      <c r="SR210" s="3"/>
      <c r="SS210" s="3"/>
      <c r="ST210" s="3"/>
      <c r="SU210" s="3"/>
      <c r="SV210" s="3"/>
      <c r="SW210" s="3"/>
      <c r="SX210" s="3"/>
      <c r="SY210" s="3"/>
      <c r="SZ210" s="3"/>
      <c r="TA210" s="3"/>
      <c r="TB210" s="3"/>
      <c r="TC210" s="3"/>
      <c r="TD210" s="3"/>
      <c r="TE210" s="3"/>
      <c r="TF210" s="3"/>
      <c r="TG210" s="3"/>
      <c r="TH210" s="3"/>
      <c r="TI210" s="3"/>
      <c r="TJ210" s="3"/>
      <c r="TK210" s="3"/>
      <c r="TL210" s="3"/>
      <c r="TM210" s="3"/>
      <c r="TN210" s="3"/>
      <c r="TO210" s="3"/>
      <c r="TP210" s="3"/>
      <c r="TQ210" s="3"/>
      <c r="TR210" s="3"/>
      <c r="TS210" s="3"/>
      <c r="TT210" s="3"/>
      <c r="TU210" s="3"/>
      <c r="TV210" s="3"/>
      <c r="TW210" s="3"/>
      <c r="TX210" s="3"/>
      <c r="TY210" s="3"/>
      <c r="TZ210" s="3"/>
      <c r="UA210" s="3"/>
      <c r="UB210" s="3"/>
      <c r="UC210" s="3"/>
      <c r="UD210" s="3"/>
      <c r="UE210" s="3"/>
      <c r="UF210" s="3"/>
      <c r="UG210" s="3"/>
      <c r="UH210" s="3"/>
      <c r="UI210" s="3"/>
      <c r="UJ210" s="3"/>
      <c r="UK210" s="3"/>
      <c r="UL210" s="3"/>
      <c r="UM210" s="3"/>
      <c r="UN210" s="3"/>
      <c r="UO210" s="3"/>
      <c r="UP210" s="3"/>
      <c r="UQ210" s="3"/>
      <c r="UR210" s="3"/>
      <c r="US210" s="3"/>
      <c r="UT210" s="3"/>
      <c r="UU210" s="3"/>
      <c r="UV210" s="3"/>
      <c r="UW210" s="3"/>
      <c r="UX210" s="3"/>
      <c r="UY210" s="3"/>
      <c r="UZ210" s="3"/>
      <c r="VA210" s="3"/>
      <c r="VB210" s="3"/>
      <c r="VC210" s="3"/>
      <c r="VD210" s="3"/>
      <c r="VE210" s="3"/>
      <c r="VF210" s="3"/>
      <c r="VG210" s="3"/>
      <c r="VH210" s="3"/>
      <c r="VI210" s="3"/>
      <c r="VJ210" s="3"/>
      <c r="VK210" s="3"/>
      <c r="VL210" s="3"/>
      <c r="VM210" s="3"/>
      <c r="VN210" s="3"/>
      <c r="VO210" s="3"/>
      <c r="VP210" s="3"/>
      <c r="VQ210" s="3"/>
      <c r="VR210" s="3"/>
      <c r="VS210" s="3"/>
      <c r="VT210" s="3"/>
      <c r="VU210" s="3"/>
      <c r="VV210" s="3"/>
      <c r="VW210" s="3"/>
      <c r="VX210" s="3"/>
      <c r="VY210" s="3"/>
      <c r="VZ210" s="3"/>
      <c r="WA210" s="3"/>
      <c r="WB210" s="3"/>
      <c r="WC210" s="3"/>
      <c r="WD210" s="3"/>
      <c r="WE210" s="3"/>
      <c r="WF210" s="3"/>
      <c r="WG210" s="3"/>
      <c r="WH210" s="3"/>
      <c r="WI210" s="3"/>
      <c r="WJ210" s="3"/>
      <c r="WK210" s="3"/>
      <c r="WL210" s="3"/>
      <c r="WM210" s="3"/>
      <c r="WN210" s="3"/>
      <c r="WO210" s="3"/>
      <c r="WP210" s="3"/>
      <c r="WQ210" s="3"/>
      <c r="WR210" s="3"/>
      <c r="WS210" s="3"/>
      <c r="WT210" s="3"/>
      <c r="WU210" s="3"/>
      <c r="WV210" s="3"/>
      <c r="WW210" s="3"/>
      <c r="WX210" s="3"/>
      <c r="WY210" s="3"/>
      <c r="WZ210" s="3"/>
      <c r="XA210" s="3"/>
      <c r="XB210" s="3"/>
      <c r="XC210" s="3"/>
      <c r="XD210" s="3"/>
      <c r="XE210" s="3"/>
      <c r="XF210" s="3"/>
      <c r="XG210" s="3"/>
      <c r="XH210" s="3"/>
      <c r="XI210" s="3"/>
      <c r="XJ210" s="3"/>
      <c r="XK210" s="3"/>
      <c r="XL210" s="3"/>
      <c r="XM210" s="3"/>
      <c r="XN210" s="3"/>
      <c r="XO210" s="3"/>
      <c r="XP210" s="3"/>
      <c r="XQ210" s="3"/>
      <c r="XR210" s="3"/>
      <c r="XS210" s="3"/>
      <c r="XT210" s="3"/>
      <c r="XU210" s="3"/>
      <c r="XV210" s="3"/>
      <c r="XW210" s="3"/>
      <c r="XX210" s="3"/>
      <c r="XY210" s="3"/>
      <c r="XZ210" s="3"/>
      <c r="YA210" s="3"/>
      <c r="YB210" s="3"/>
      <c r="YC210" s="3"/>
      <c r="YD210" s="3"/>
      <c r="YE210" s="3"/>
      <c r="YF210" s="3"/>
      <c r="YG210" s="3"/>
      <c r="YH210" s="3"/>
      <c r="YI210" s="3"/>
      <c r="YJ210" s="3"/>
      <c r="YK210" s="3"/>
      <c r="YL210" s="3"/>
      <c r="YM210" s="3"/>
      <c r="YN210" s="3"/>
      <c r="YO210" s="3"/>
      <c r="YP210" s="3"/>
      <c r="YQ210" s="3"/>
      <c r="YR210" s="3"/>
      <c r="YS210" s="3"/>
      <c r="YT210" s="3"/>
      <c r="YU210" s="3"/>
      <c r="YV210" s="3"/>
      <c r="YW210" s="3"/>
      <c r="YX210" s="3"/>
      <c r="YY210" s="3"/>
      <c r="YZ210" s="3"/>
      <c r="ZA210" s="3"/>
      <c r="ZB210" s="3"/>
      <c r="ZC210" s="3"/>
      <c r="ZD210" s="3"/>
      <c r="ZE210" s="3"/>
      <c r="ZF210" s="3"/>
      <c r="ZG210" s="3"/>
      <c r="ZH210" s="3"/>
      <c r="ZI210" s="3"/>
      <c r="ZJ210" s="3"/>
      <c r="ZK210" s="3"/>
      <c r="ZL210" s="3"/>
      <c r="ZM210" s="3"/>
      <c r="ZN210" s="3"/>
      <c r="ZO210" s="3"/>
      <c r="ZP210" s="3"/>
      <c r="ZQ210" s="3"/>
      <c r="ZR210" s="3"/>
      <c r="ZS210" s="3"/>
      <c r="ZT210" s="3"/>
      <c r="ZU210" s="3"/>
      <c r="ZV210" s="3"/>
      <c r="ZW210" s="3"/>
      <c r="ZX210" s="3"/>
      <c r="ZY210" s="3"/>
      <c r="ZZ210" s="3"/>
      <c r="AAA210" s="3"/>
      <c r="AAB210" s="3"/>
      <c r="AAC210" s="3"/>
      <c r="AAD210" s="3"/>
      <c r="AAE210" s="3"/>
      <c r="AAF210" s="3"/>
      <c r="AAG210" s="3"/>
      <c r="AAH210" s="3"/>
      <c r="AAI210" s="3"/>
      <c r="AAJ210" s="3"/>
      <c r="AAK210" s="3"/>
      <c r="AAL210" s="3"/>
      <c r="AAM210" s="3"/>
      <c r="AAN210" s="3"/>
      <c r="AAO210" s="3"/>
      <c r="AAP210" s="3"/>
      <c r="AAQ210" s="3"/>
      <c r="AAR210" s="3"/>
      <c r="AAS210" s="3"/>
      <c r="AAT210" s="3"/>
      <c r="AAU210" s="3"/>
      <c r="AAV210" s="3"/>
      <c r="AAW210" s="3"/>
      <c r="AAX210" s="3"/>
      <c r="AAY210" s="3"/>
      <c r="AAZ210" s="3"/>
      <c r="ABA210" s="3"/>
      <c r="ABB210" s="3"/>
      <c r="ABC210" s="3"/>
      <c r="ABD210" s="3"/>
      <c r="ABE210" s="3"/>
      <c r="ABF210" s="3"/>
      <c r="ABG210" s="3"/>
      <c r="ABH210" s="3"/>
      <c r="ABI210" s="3"/>
      <c r="ABJ210" s="3"/>
      <c r="ABK210" s="3"/>
      <c r="ABL210" s="3"/>
      <c r="ABM210" s="3"/>
      <c r="ABN210" s="3"/>
      <c r="ABO210" s="3"/>
      <c r="ABP210" s="3"/>
      <c r="ABQ210" s="3"/>
      <c r="ABR210" s="3"/>
      <c r="ABS210" s="3"/>
      <c r="ABT210" s="3"/>
      <c r="ABU210" s="3"/>
      <c r="ABV210" s="3"/>
      <c r="ABW210" s="3"/>
      <c r="ABX210" s="3"/>
      <c r="ABY210" s="3"/>
      <c r="ABZ210" s="3"/>
      <c r="ACA210" s="3"/>
      <c r="ACB210" s="3"/>
      <c r="ACC210" s="3"/>
      <c r="ACD210" s="3"/>
      <c r="ACE210" s="3"/>
      <c r="ACF210" s="3"/>
      <c r="ACG210" s="3"/>
      <c r="ACH210" s="3"/>
      <c r="ACI210" s="3"/>
      <c r="ACJ210" s="3"/>
      <c r="ACK210" s="3"/>
      <c r="ACL210" s="3"/>
      <c r="ACM210" s="3"/>
      <c r="ACN210" s="3"/>
      <c r="ACO210" s="3"/>
      <c r="ACP210" s="3"/>
      <c r="ACQ210" s="3"/>
      <c r="ACR210" s="3"/>
      <c r="ACS210" s="3"/>
      <c r="ACT210" s="3"/>
      <c r="ACU210" s="3"/>
      <c r="ACV210" s="3"/>
      <c r="ACW210" s="3"/>
      <c r="ACX210" s="3"/>
      <c r="ACY210" s="3"/>
      <c r="ACZ210" s="3"/>
      <c r="ADA210" s="3"/>
      <c r="ADB210" s="3"/>
      <c r="ADC210" s="3"/>
      <c r="ADD210" s="3"/>
      <c r="ADE210" s="3"/>
      <c r="ADF210" s="3"/>
      <c r="ADG210" s="3"/>
      <c r="ADH210" s="3"/>
      <c r="ADI210" s="3"/>
      <c r="ADJ210" s="3"/>
      <c r="ADK210" s="3"/>
      <c r="ADL210" s="3"/>
      <c r="ADM210" s="3"/>
      <c r="ADN210" s="3"/>
      <c r="ADO210" s="3"/>
      <c r="ADP210" s="3"/>
      <c r="ADQ210" s="3"/>
      <c r="ADR210" s="3"/>
      <c r="ADS210" s="3"/>
      <c r="ADT210" s="3"/>
      <c r="ADU210" s="3"/>
      <c r="ADV210" s="3"/>
      <c r="ADW210" s="3"/>
      <c r="ADX210" s="3"/>
      <c r="ADY210" s="3"/>
      <c r="ADZ210" s="3"/>
      <c r="AEA210" s="3"/>
      <c r="AEB210" s="3"/>
      <c r="AEC210" s="3"/>
      <c r="AED210" s="3"/>
      <c r="AEE210" s="3"/>
      <c r="AEF210" s="3"/>
      <c r="AEG210" s="3"/>
      <c r="AEH210" s="3"/>
      <c r="AEI210" s="3"/>
      <c r="AEJ210" s="3"/>
      <c r="AEK210" s="3"/>
      <c r="AEL210" s="3"/>
      <c r="AEM210" s="3"/>
      <c r="AEN210" s="3"/>
      <c r="AEO210" s="3"/>
      <c r="AEP210" s="3"/>
      <c r="AEQ210" s="3"/>
      <c r="AER210" s="3"/>
      <c r="AES210" s="3"/>
      <c r="AET210" s="3"/>
      <c r="AEU210" s="3"/>
      <c r="AEV210" s="3"/>
      <c r="AEW210" s="3"/>
      <c r="AEX210" s="3"/>
      <c r="AEY210" s="3"/>
      <c r="AEZ210" s="3"/>
      <c r="AFA210" s="3"/>
      <c r="AFB210" s="3"/>
      <c r="AFC210" s="3"/>
      <c r="AFD210" s="3"/>
      <c r="AFE210" s="3"/>
      <c r="AFF210" s="3"/>
      <c r="AFG210" s="3"/>
      <c r="AFH210" s="3"/>
      <c r="AFI210" s="3"/>
      <c r="AFJ210" s="3"/>
      <c r="AFK210" s="3"/>
      <c r="AFL210" s="3"/>
      <c r="AFM210" s="3"/>
      <c r="AFN210" s="3"/>
      <c r="AFO210" s="3"/>
      <c r="AFP210" s="3"/>
      <c r="AFQ210" s="3"/>
      <c r="AFR210" s="3"/>
      <c r="AFS210" s="3"/>
      <c r="AFT210" s="3"/>
      <c r="AFU210" s="3"/>
      <c r="AFV210" s="3"/>
      <c r="AFW210" s="3"/>
      <c r="AFX210" s="3"/>
      <c r="AFY210" s="3"/>
      <c r="AFZ210" s="3"/>
      <c r="AGA210" s="3"/>
      <c r="AGB210" s="3"/>
      <c r="AGC210" s="3"/>
      <c r="AGD210" s="3"/>
      <c r="AGE210" s="3"/>
      <c r="AGF210" s="3"/>
      <c r="AGG210" s="3"/>
      <c r="AGH210" s="3"/>
      <c r="AGI210" s="3"/>
      <c r="AGJ210" s="3"/>
      <c r="AGK210" s="3"/>
      <c r="AGL210" s="3"/>
      <c r="AGM210" s="3"/>
      <c r="AGN210" s="3"/>
      <c r="AGO210" s="3"/>
      <c r="AGP210" s="3"/>
      <c r="AGQ210" s="3"/>
      <c r="AGR210" s="3"/>
      <c r="AGS210" s="3"/>
      <c r="AGT210" s="3"/>
      <c r="AGU210" s="3"/>
      <c r="AGV210" s="3"/>
      <c r="AGW210" s="3"/>
      <c r="AGX210" s="3"/>
      <c r="AGY210" s="3"/>
      <c r="AGZ210" s="3"/>
      <c r="AHA210" s="3"/>
      <c r="AHB210" s="3"/>
      <c r="AHC210" s="3"/>
      <c r="AHD210" s="3"/>
      <c r="AHE210" s="3"/>
      <c r="AHF210" s="3"/>
      <c r="AHG210" s="3"/>
      <c r="AHH210" s="3"/>
      <c r="AHI210" s="3"/>
      <c r="AHJ210" s="3"/>
      <c r="AHK210" s="3"/>
      <c r="AHL210" s="3"/>
      <c r="AHM210" s="3"/>
      <c r="AHN210" s="3"/>
      <c r="AHO210" s="3"/>
      <c r="AHP210" s="3"/>
      <c r="AHQ210" s="3"/>
      <c r="AHR210" s="3"/>
      <c r="AHS210" s="3"/>
      <c r="AHT210" s="3"/>
      <c r="AHU210" s="3"/>
      <c r="AHV210" s="3"/>
      <c r="AHW210" s="3"/>
      <c r="AHX210" s="3"/>
      <c r="AHY210" s="3"/>
      <c r="AHZ210" s="3"/>
      <c r="AIA210" s="3"/>
      <c r="AIB210" s="3"/>
      <c r="AIC210" s="3"/>
      <c r="AID210" s="3"/>
      <c r="AIE210" s="3"/>
      <c r="AIF210" s="3"/>
      <c r="AIG210" s="3"/>
      <c r="AIH210" s="3"/>
      <c r="AII210" s="3"/>
      <c r="AIJ210" s="3"/>
      <c r="AIK210" s="3"/>
      <c r="AIL210" s="3"/>
      <c r="AIM210" s="3"/>
      <c r="AIN210" s="3"/>
      <c r="AIO210" s="3"/>
      <c r="AIP210" s="3"/>
      <c r="AIQ210" s="3"/>
      <c r="AIR210" s="3"/>
      <c r="AIS210" s="3"/>
      <c r="AIT210" s="3"/>
      <c r="AIU210" s="3"/>
      <c r="AIV210" s="3"/>
      <c r="AIW210" s="3"/>
      <c r="AIX210" s="3"/>
      <c r="AIY210" s="3"/>
      <c r="AIZ210" s="3"/>
      <c r="AJA210" s="3"/>
      <c r="AJB210" s="3"/>
      <c r="AJC210" s="3"/>
      <c r="AJD210" s="3"/>
      <c r="AJE210" s="3"/>
      <c r="AJF210" s="3"/>
      <c r="AJG210" s="3"/>
      <c r="AJH210" s="3"/>
      <c r="AJI210" s="3"/>
      <c r="AJJ210" s="3"/>
      <c r="AJK210" s="3"/>
      <c r="AJL210" s="3"/>
      <c r="AJM210" s="3"/>
      <c r="AJN210" s="3"/>
      <c r="AJO210" s="3"/>
      <c r="AJP210" s="3"/>
      <c r="AJQ210" s="3"/>
      <c r="AJR210" s="3"/>
      <c r="AJS210" s="3"/>
      <c r="AJT210" s="3"/>
      <c r="AJU210" s="3"/>
      <c r="AJV210" s="3"/>
      <c r="AJW210" s="3"/>
      <c r="AJX210" s="3"/>
      <c r="AJY210" s="3"/>
      <c r="AJZ210" s="3"/>
      <c r="AKA210" s="3"/>
      <c r="AKB210" s="3"/>
      <c r="AKC210" s="3"/>
      <c r="AKD210" s="3"/>
      <c r="AKE210" s="3"/>
      <c r="AKF210" s="3"/>
      <c r="AKG210" s="3"/>
      <c r="AKH210" s="3"/>
      <c r="AKI210" s="3"/>
      <c r="AKJ210" s="3"/>
      <c r="AKK210" s="3"/>
      <c r="AKL210" s="3"/>
      <c r="AKM210" s="3"/>
      <c r="AKN210" s="3"/>
      <c r="AKO210" s="3"/>
      <c r="AKP210" s="3"/>
      <c r="AKQ210" s="3"/>
      <c r="AKR210" s="3"/>
      <c r="AKS210" s="3"/>
      <c r="AKT210" s="3"/>
      <c r="AKU210" s="3"/>
      <c r="AKV210" s="3"/>
      <c r="AKW210" s="3"/>
      <c r="AKX210" s="3"/>
      <c r="AKY210" s="3"/>
      <c r="AKZ210" s="3"/>
      <c r="ALA210" s="3"/>
      <c r="ALB210" s="3"/>
      <c r="ALC210" s="3"/>
      <c r="ALD210" s="3"/>
      <c r="ALE210" s="3"/>
      <c r="ALF210" s="3"/>
      <c r="ALG210" s="3"/>
      <c r="ALH210" s="3"/>
      <c r="ALI210" s="3"/>
      <c r="ALJ210" s="3"/>
      <c r="ALK210" s="3"/>
      <c r="ALL210" s="3"/>
      <c r="ALM210" s="3"/>
      <c r="ALN210" s="3"/>
      <c r="ALO210" s="3"/>
      <c r="ALP210" s="3"/>
      <c r="ALQ210" s="3"/>
      <c r="ALR210" s="3"/>
      <c r="ALS210" s="3"/>
      <c r="ALT210" s="3"/>
      <c r="ALU210" s="3"/>
      <c r="ALV210" s="3"/>
      <c r="ALW210" s="3"/>
      <c r="ALX210" s="3"/>
      <c r="ALY210" s="3"/>
      <c r="ALZ210" s="3"/>
      <c r="AMA210" s="3"/>
      <c r="AMB210" s="3"/>
      <c r="AMC210" s="3"/>
      <c r="AMD210" s="3"/>
      <c r="AME210" s="3"/>
      <c r="AMF210" s="3"/>
      <c r="AMG210" s="3"/>
      <c r="AMH210" s="3"/>
      <c r="AMI210" s="3"/>
      <c r="AMJ210" s="3"/>
      <c r="AMK210" s="3"/>
      <c r="AML210" s="3"/>
      <c r="AMM210" s="3"/>
      <c r="AMN210" s="3"/>
      <c r="AMO210" s="1"/>
    </row>
    <row r="211" spans="1:1029" x14ac:dyDescent="0.2">
      <c r="C211" s="2"/>
    </row>
    <row r="212" spans="1:1029" x14ac:dyDescent="0.2">
      <c r="C212" s="2"/>
    </row>
    <row r="213" spans="1:1029" x14ac:dyDescent="0.2">
      <c r="C213" s="2"/>
      <c r="E213" s="3">
        <f>COUNTIF(C2:C210,"&lt;&gt;_wt")</f>
        <v>161</v>
      </c>
    </row>
    <row r="214" spans="1:1029" x14ac:dyDescent="0.2">
      <c r="C214" s="2"/>
    </row>
    <row r="289" spans="52:85" x14ac:dyDescent="0.2">
      <c r="AZ289" s="79"/>
      <c r="BA289" s="28"/>
      <c r="BB289" s="16"/>
      <c r="BD289" s="2"/>
      <c r="BI289" s="72"/>
      <c r="BU289" s="72"/>
      <c r="CG289" s="72"/>
    </row>
  </sheetData>
  <sortState ref="A2:AMN255">
    <sortCondition ref="AZ2:AZ255"/>
    <sortCondition ref="B2:B255"/>
    <sortCondition ref="C2:C255"/>
  </sortState>
  <customSheetViews>
    <customSheetView guid="{3E3401AF-8459-8641-BD70-AD04F80E86ED}" scale="110">
      <pane xSplit="3" ySplit="1" topLeftCell="D75" activePane="bottomRight" state="frozenSplit"/>
      <selection pane="bottomRight" activeCell="C96" sqref="C96"/>
      <pageMargins left="0.7" right="0.7" top="0.75" bottom="0.75" header="0.3" footer="0.3"/>
      <pageSetup orientation="portrait" horizontalDpi="300" verticalDpi="300" r:id="rId1"/>
    </customSheetView>
  </customSheetViews>
  <conditionalFormatting sqref="BB77 BB36 BB14:BB18 BB21:BB25">
    <cfRule type="cellIs" dxfId="48" priority="6" operator="equal">
      <formula>0</formula>
    </cfRule>
  </conditionalFormatting>
  <conditionalFormatting sqref="BB164:BB165">
    <cfRule type="cellIs" dxfId="47" priority="7" operator="equal">
      <formula>0</formula>
    </cfRule>
  </conditionalFormatting>
  <conditionalFormatting sqref="BB7">
    <cfRule type="cellIs" dxfId="46" priority="8" operator="equal">
      <formula>0</formula>
    </cfRule>
  </conditionalFormatting>
  <conditionalFormatting sqref="BB173">
    <cfRule type="cellIs" dxfId="45" priority="9" operator="equal">
      <formula>0</formula>
    </cfRule>
  </conditionalFormatting>
  <conditionalFormatting sqref="E173 AW173 AU173 AS173 AQ173 AO173 AM173 AK173 AI173 AG173 AE173 AC173 AA173 Y173 W173 U173 S173 Q173 O173 M173 K173 I173 G173">
    <cfRule type="cellIs" dxfId="44" priority="10" operator="equal">
      <formula>"G"</formula>
    </cfRule>
    <cfRule type="cellIs" dxfId="43" priority="11" operator="equal">
      <formula>"P"</formula>
    </cfRule>
  </conditionalFormatting>
  <conditionalFormatting sqref="BB13">
    <cfRule type="cellIs" dxfId="42" priority="12" operator="equal">
      <formula>0</formula>
    </cfRule>
  </conditionalFormatting>
  <conditionalFormatting sqref="BB6">
    <cfRule type="cellIs" dxfId="41" priority="16" operator="equal">
      <formula>0</formula>
    </cfRule>
  </conditionalFormatting>
  <conditionalFormatting sqref="E6 AW6 AU6 AS6 AQ6 AO6 AM6 AK6 AI6 AG6 AE6 AC6 AA6 Y6 W6 U6 S6 Q6 O6 M6 K6 I6 G6">
    <cfRule type="cellIs" dxfId="40" priority="18" operator="equal">
      <formula>"G"</formula>
    </cfRule>
    <cfRule type="cellIs" dxfId="39" priority="19" operator="equal">
      <formula>"P"</formula>
    </cfRule>
  </conditionalFormatting>
  <conditionalFormatting sqref="BB1:BB18 BB21:BB1048576">
    <cfRule type="cellIs" dxfId="38" priority="4" operator="equal">
      <formula>FALSE</formula>
    </cfRule>
  </conditionalFormatting>
  <conditionalFormatting sqref="BF1:BG2 BF3:BF18 BF21:BF33 BG3:BG33 BF34:BG1048576">
    <cfRule type="cellIs" dxfId="37" priority="3" operator="equal">
      <formula>"?"</formula>
    </cfRule>
  </conditionalFormatting>
  <conditionalFormatting sqref="BB19:BB20">
    <cfRule type="cellIs" dxfId="36" priority="2" operator="equal">
      <formula>FALSE</formula>
    </cfRule>
  </conditionalFormatting>
  <conditionalFormatting sqref="BF19:BF20">
    <cfRule type="cellIs" dxfId="35" priority="1" operator="equal">
      <formula>"?"</formula>
    </cfRule>
  </conditionalFormatting>
  <pageMargins left="0.7" right="0.7" top="0.75" bottom="0.75" header="0.3" footer="0.3"/>
  <pageSetup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143"/>
  <sheetViews>
    <sheetView workbookViewId="0">
      <pane ySplit="1" topLeftCell="A5" activePane="bottomLeft" state="frozenSplit"/>
      <selection pane="bottomLeft" activeCell="AC46" sqref="AC46"/>
    </sheetView>
  </sheetViews>
  <sheetFormatPr baseColWidth="10" defaultColWidth="10.83203125" defaultRowHeight="16" x14ac:dyDescent="0.2"/>
  <cols>
    <col min="1" max="1" width="16.83203125" style="2" bestFit="1" customWidth="1"/>
    <col min="2" max="2" width="13.33203125" style="2" bestFit="1" customWidth="1"/>
    <col min="3" max="18" width="4.1640625" style="4" bestFit="1" customWidth="1"/>
    <col min="19" max="19" width="4.6640625" style="4" bestFit="1" customWidth="1"/>
    <col min="20" max="20" width="4.1640625" style="4" bestFit="1" customWidth="1"/>
    <col min="21" max="26" width="4.6640625" style="4" bestFit="1" customWidth="1"/>
    <col min="27" max="27" width="2.6640625" style="51" bestFit="1" customWidth="1"/>
    <col min="28" max="28" width="5" style="100" customWidth="1"/>
    <col min="29" max="30" width="5.6640625" style="51" bestFit="1" customWidth="1"/>
    <col min="31" max="33" width="6" style="51" customWidth="1"/>
    <col min="34" max="35" width="4.6640625" style="51" customWidth="1"/>
    <col min="36" max="36" width="9.83203125" style="51" customWidth="1"/>
    <col min="37" max="38" width="5.5" style="51" customWidth="1"/>
    <col min="39" max="39" width="5.33203125" style="4" customWidth="1"/>
    <col min="40" max="40" width="6" style="40" bestFit="1" customWidth="1"/>
    <col min="41" max="41" width="5" style="4" bestFit="1" customWidth="1"/>
    <col min="42" max="43" width="3.6640625" style="4" customWidth="1"/>
    <col min="44" max="45" width="3.1640625" style="4" customWidth="1"/>
    <col min="46" max="47" width="4.1640625" style="4" customWidth="1"/>
    <col min="48" max="48" width="6" style="4" customWidth="1"/>
    <col min="49" max="49" width="4.33203125" style="4" customWidth="1"/>
    <col min="50" max="51" width="3.6640625" style="4" customWidth="1"/>
    <col min="52" max="53" width="3.1640625" style="4" customWidth="1"/>
    <col min="54" max="55" width="4.1640625" style="4" customWidth="1"/>
    <col min="56" max="63" width="3.1640625" style="4" customWidth="1"/>
    <col min="64" max="64" width="3.33203125" style="4" customWidth="1"/>
    <col min="65" max="16384" width="10.83203125" style="4"/>
  </cols>
  <sheetData>
    <row r="1" spans="1:64" x14ac:dyDescent="0.2">
      <c r="A1" s="30" t="s">
        <v>1077</v>
      </c>
      <c r="B1" s="30" t="s">
        <v>31</v>
      </c>
      <c r="C1" s="30" t="s">
        <v>1061</v>
      </c>
      <c r="D1" s="30" t="s">
        <v>1062</v>
      </c>
      <c r="E1" s="30" t="s">
        <v>1078</v>
      </c>
      <c r="F1" s="30" t="s">
        <v>1079</v>
      </c>
      <c r="G1" s="30" t="s">
        <v>1063</v>
      </c>
      <c r="H1" s="30" t="s">
        <v>1064</v>
      </c>
      <c r="I1" s="30" t="s">
        <v>1080</v>
      </c>
      <c r="J1" s="30" t="s">
        <v>1081</v>
      </c>
      <c r="K1" s="30" t="s">
        <v>1065</v>
      </c>
      <c r="L1" s="30" t="s">
        <v>1066</v>
      </c>
      <c r="M1" s="30" t="s">
        <v>1093</v>
      </c>
      <c r="N1" s="30" t="s">
        <v>1094</v>
      </c>
      <c r="O1" s="30" t="s">
        <v>1067</v>
      </c>
      <c r="P1" s="30" t="s">
        <v>1068</v>
      </c>
      <c r="Q1" s="30" t="s">
        <v>1096</v>
      </c>
      <c r="R1" s="30" t="s">
        <v>1097</v>
      </c>
      <c r="S1" s="30" t="s">
        <v>1069</v>
      </c>
      <c r="T1" s="30" t="s">
        <v>1070</v>
      </c>
      <c r="U1" s="30" t="s">
        <v>1071</v>
      </c>
      <c r="V1" s="30" t="s">
        <v>1072</v>
      </c>
      <c r="W1" s="30" t="s">
        <v>1073</v>
      </c>
      <c r="X1" s="30" t="s">
        <v>1074</v>
      </c>
      <c r="Y1" s="30" t="s">
        <v>1075</v>
      </c>
      <c r="Z1" s="30" t="s">
        <v>1076</v>
      </c>
      <c r="AA1" s="30" t="s">
        <v>99</v>
      </c>
      <c r="AB1" s="98" t="s">
        <v>1387</v>
      </c>
      <c r="AC1" s="30" t="s">
        <v>1295</v>
      </c>
      <c r="AD1" s="30" t="s">
        <v>1294</v>
      </c>
      <c r="AE1" s="30" t="s">
        <v>1288</v>
      </c>
      <c r="AF1" s="30" t="s">
        <v>1231</v>
      </c>
      <c r="AG1" s="30" t="s">
        <v>1289</v>
      </c>
      <c r="AH1" s="30" t="s">
        <v>1242</v>
      </c>
      <c r="AI1" s="30" t="s">
        <v>1291</v>
      </c>
      <c r="AJ1" s="30" t="s">
        <v>1281</v>
      </c>
      <c r="AK1" s="30" t="s">
        <v>1290</v>
      </c>
      <c r="AL1" s="30" t="s">
        <v>1296</v>
      </c>
      <c r="AM1" s="30" t="s">
        <v>1240</v>
      </c>
      <c r="AN1" s="39"/>
      <c r="AO1" s="30"/>
      <c r="AP1" s="30"/>
      <c r="AQ1" s="30"/>
      <c r="AR1" s="30"/>
      <c r="AS1" s="30"/>
      <c r="AT1" s="30"/>
      <c r="AU1" s="30"/>
      <c r="AV1" s="30"/>
      <c r="AW1" s="30"/>
      <c r="AX1" s="30"/>
      <c r="AY1" s="30"/>
      <c r="AZ1" s="30"/>
      <c r="BA1" s="30"/>
      <c r="BB1" s="30"/>
      <c r="BC1" s="30"/>
      <c r="BD1" s="30"/>
      <c r="BE1" s="30"/>
      <c r="BF1" s="30"/>
      <c r="BG1" s="30"/>
      <c r="BH1" s="30"/>
      <c r="BI1" s="30"/>
      <c r="BJ1" s="30"/>
      <c r="BK1" s="30"/>
    </row>
    <row r="2" spans="1:64" s="50" customFormat="1" x14ac:dyDescent="0.2">
      <c r="A2" s="2" t="s">
        <v>1374</v>
      </c>
      <c r="B2" s="2" t="s">
        <v>177</v>
      </c>
      <c r="C2" s="2">
        <f>IFERROR(50+VLOOKUP($A2,'SegEnds_Xtal_Prot#'!$A:$AY,5,FALSE)-VLOOKUP($B2,'SegEnds_NonXtal_Prot#'!$A:$AL,4,FALSE),"-")</f>
        <v>27</v>
      </c>
      <c r="D2" s="2">
        <f>IFERROR(50+VLOOKUP($A2,'SegEnds_Xtal_Prot#'!$A:$AY,7,FALSE)-VLOOKUP($B2,'SegEnds_NonXtal_Prot#'!$A:$AL,4,FALSE),"-")</f>
        <v>60</v>
      </c>
      <c r="E2" s="2">
        <f>IFERROR(50+VLOOKUP($A2,'SegEnds_Xtal_Prot#'!$A:$AY,9,FALSE)-VLOOKUP($B2,'SegEnds_NonXtal_Prot#'!$A:$AL,7,FALSE),"-")</f>
        <v>48</v>
      </c>
      <c r="F2" s="2">
        <f>IFERROR(50+VLOOKUP($A2,'SegEnds_Xtal_Prot#'!$A:$AY,11,FALSE)-VLOOKUP($B2,'SegEnds_NonXtal_Prot#'!$A:$AL,7,FALSE),"-")</f>
        <v>51</v>
      </c>
      <c r="G2" s="2">
        <f>IFERROR(50+VLOOKUP($A2,'SegEnds_Xtal_Prot#'!$A:$AY,13,FALSE)-VLOOKUP($B2,'SegEnds_NonXtal_Prot#'!$A:$AL,10,FALSE),"-")</f>
        <v>37</v>
      </c>
      <c r="H2" s="2">
        <f>IFERROR(50+VLOOKUP($A2,'SegEnds_Xtal_Prot#'!$A:$AY,15,FALSE)-VLOOKUP($B2,'SegEnds_NonXtal_Prot#'!$A:$AL,10,FALSE),"-")</f>
        <v>66</v>
      </c>
      <c r="I2" s="2">
        <f>IFERROR(50+VLOOKUP($A2,'SegEnds_Xtal_Prot#'!$A:$AY,17,FALSE)-VLOOKUP($B2,'SegEnds_NonXtal_Prot#'!$A:$AL,13,FALSE),"-")</f>
        <v>49</v>
      </c>
      <c r="J2" s="2">
        <f>IFERROR(50+VLOOKUP($A2,'SegEnds_Xtal_Prot#'!$A:$AY,19,FALSE)-VLOOKUP($B2,'SegEnds_NonXtal_Prot#'!$A:$AL,13,FALSE),"-")</f>
        <v>52</v>
      </c>
      <c r="K2" s="2">
        <f>IFERROR(50+VLOOKUP($A2,'SegEnds_Xtal_Prot#'!$A:$AY,21,FALSE)-VLOOKUP($B2,'SegEnds_NonXtal_Prot#'!$A:$AL,16,FALSE),"-")</f>
        <v>21</v>
      </c>
      <c r="L2" s="2">
        <f>IFERROR(50+VLOOKUP($A2,'SegEnds_Xtal_Prot#'!$A:$AY,23,FALSE)-VLOOKUP($B2,'SegEnds_NonXtal_Prot#'!$A:$AL,16,FALSE),"-")</f>
        <v>56</v>
      </c>
      <c r="M2" s="2">
        <f>IFERROR(50+VLOOKUP($A2,'SegEnds_Xtal_Prot#'!$A:$AY,25,FALSE)-VLOOKUP($B2,'SegEnds_NonXtal_Prot#'!$A:$AL,19,FALSE),"-")</f>
        <v>50</v>
      </c>
      <c r="N2" s="2">
        <f>IFERROR(50+VLOOKUP($A2,'SegEnds_Xtal_Prot#'!$A:$AY,27,FALSE)-VLOOKUP($B2,'SegEnds_NonXtal_Prot#'!$A:$AL,19,FALSE),"-")</f>
        <v>56</v>
      </c>
      <c r="O2" s="2">
        <f>IFERROR(50+VLOOKUP($A2,'SegEnds_Xtal_Prot#'!$A:$AY,29,FALSE)-VLOOKUP($B2,'SegEnds_NonXtal_Prot#'!$A:$AL,22,FALSE),"-")</f>
        <v>35</v>
      </c>
      <c r="P2" s="2">
        <f>IFERROR(50+VLOOKUP($A2,'SegEnds_Xtal_Prot#'!$A:$AY,31,FALSE)-VLOOKUP($B2,'SegEnds_NonXtal_Prot#'!$A:$AL,22,FALSE),"-")</f>
        <v>64</v>
      </c>
      <c r="Q2" s="2">
        <f>IFERROR(50+VLOOKUP($A2,'SegEnds_Xtal_Prot#'!$A:$AY,33,FALSE)-VLOOKUP($B2,'SegEnds_NonXtal_Prot#'!$A:$AL,25,FALSE),"-")</f>
        <v>50</v>
      </c>
      <c r="R2" s="2">
        <f>IFERROR(50+VLOOKUP($A2,'SegEnds_Xtal_Prot#'!$A:$AY,35,FALSE)-VLOOKUP($B2,'SegEnds_NonXtal_Prot#'!$A:$AL,25,FALSE),"-")</f>
        <v>52</v>
      </c>
      <c r="S2" s="2">
        <f>IFERROR(50+VLOOKUP($A2,'SegEnds_Xtal_Prot#'!$A:$AY,37,FALSE)-VLOOKUP($B2,'SegEnds_NonXtal_Prot#'!$A:$AL,28,FALSE),"-")</f>
        <v>33</v>
      </c>
      <c r="T2" s="2">
        <f>IFERROR(50+VLOOKUP($A2,'SegEnds_Xtal_Prot#'!$A:$AY,39,FALSE)-VLOOKUP($B2,'SegEnds_NonXtal_Prot#'!$A:$AL,28,FALSE),"-")</f>
        <v>68</v>
      </c>
      <c r="U2" s="2">
        <f>IFERROR(50+VLOOKUP($A2,'SegEnds_Xtal_Prot#'!$A:$AY,41,FALSE)-VLOOKUP($B2,'SegEnds_NonXtal_Prot#'!$A:$AL,31,FALSE),"-")</f>
        <v>28</v>
      </c>
      <c r="V2" s="2">
        <f>IFERROR(50+VLOOKUP($A2,'SegEnds_Xtal_Prot#'!$A:$AY,43,FALSE)-VLOOKUP($B2,'SegEnds_NonXtal_Prot#'!$A:$AL,31,FALSE),"-")</f>
        <v>65</v>
      </c>
      <c r="W2" s="2">
        <f>IFERROR(50+VLOOKUP($A2,'SegEnds_Xtal_Prot#'!$A:$AY,45,FALSE)-VLOOKUP($B2,'SegEnds_NonXtal_Prot#'!$A:$AL,34,FALSE),"-")</f>
        <v>24</v>
      </c>
      <c r="X2" s="2">
        <f>IFERROR(50+VLOOKUP($A2,'SegEnds_Xtal_Prot#'!$A:$AY,47,FALSE)-VLOOKUP($B2,'SegEnds_NonXtal_Prot#'!$A:$AL,34,FALSE),"-")</f>
        <v>56</v>
      </c>
      <c r="Y2" s="2">
        <f>IFERROR(50+VLOOKUP($A2,'SegEnds_Xtal_Prot#'!$A:$AY,49,FALSE)-VLOOKUP($B2,'SegEnds_NonXtal_Prot#'!$A:$AL,37,FALSE),"-")</f>
        <v>47</v>
      </c>
      <c r="Z2" s="2">
        <f>IFERROR(50+VLOOKUP($A2,'SegEnds_Xtal_Prot#'!$A:$AY,51,FALSE)-VLOOKUP($B2,'SegEnds_NonXtal_Prot#'!$A:$AL,37,FALSE),"-")</f>
        <v>67</v>
      </c>
      <c r="AA2" s="50" t="str">
        <f>VLOOKUP(B2,Classification!A:D,2,FALSE)</f>
        <v>A</v>
      </c>
      <c r="AB2" s="97" t="str">
        <f>VLOOKUP(B2,Classification!A:D,4,0)</f>
        <v>Chemokine</v>
      </c>
      <c r="AC2" s="50">
        <f>VLOOKUP(B2,'SegEnds_NonXtal_Prot#'!A:AL,6,FALSE)-VLOOKUP(B2,'SegEnds_NonXtal_Prot#'!A:AL,5,FALSE)</f>
        <v>1</v>
      </c>
      <c r="AD2" s="50">
        <f>VLOOKUP(B2,'SegEnds_NonXtal_Prot#'!A:AL,9,FALSE)-VLOOKUP(B2,'SegEnds_NonXtal_Prot#'!A:AL,8,FALSE)</f>
        <v>1</v>
      </c>
      <c r="AE2" s="50">
        <f>VLOOKUP(B2,'SegEnds_NonXtal_Prot#'!A:AL,13,FALSE)-VLOOKUP(B2,'SegEnds_NonXtal_Prot#'!A:AL,10,FALSE)</f>
        <v>18</v>
      </c>
      <c r="AF2" s="50">
        <f>VLOOKUP(B2,'SegEnds_NonXtal_Prot#'!A:AL,12,FALSE)-VLOOKUP(B2,'SegEnds_NonXtal_Prot#'!A:AL,11,FALSE)</f>
        <v>1</v>
      </c>
      <c r="AG2" s="50">
        <f>VLOOKUP(B2,'SegEnds_NonXtal_Prot#'!A:AL,13,FALSE)-VLOOKUP(B2,'SegEnds_NonXtal_Prot#'!A:AL,11,FALSE)</f>
        <v>2</v>
      </c>
      <c r="AH2" s="50">
        <f>VLOOKUP(B2,'SegEnds_NonXtal_Prot#'!A:AL,16,FALSE)-VLOOKUP(B2,'SegEnds_NonXtal_Prot#'!A:AL,10,FALSE)</f>
        <v>50</v>
      </c>
      <c r="AI2" s="50">
        <f>VLOOKUP(B2,'SegEnds_NonXtal_Prot#'!A:AL,16,FALSE)-VLOOKUP(B2,'SegEnds_NonXtal_Prot#'!A:AL,11,FALSE)</f>
        <v>34</v>
      </c>
      <c r="AJ2" s="50">
        <f>VLOOKUP(B2,'SegEnds_NonXtal_Prot#'!A:AL,22,FALSE)-VLOOKUP(B2,'SegEnds_NonXtal_Prot#'!A:AL,19,FALSE)</f>
        <v>22</v>
      </c>
      <c r="AK2" s="50">
        <f>VLOOKUP(B2,'SegEnds_NonXtal_Prot#'!A:AL,15,FALSE)-VLOOKUP(B2,'SegEnds_NonXtal_Prot#'!A:AL,14,FALSE)</f>
        <v>1</v>
      </c>
      <c r="AL2" s="50">
        <f>VLOOKUP(B2,'SegEnds_NonXtal_Prot#'!A:AL,18,FALSE)-VLOOKUP(B2,'SegEnds_NonXtal_Prot#'!A:AL,17,FALSE)</f>
        <v>1</v>
      </c>
      <c r="AM2" s="2">
        <f>VLOOKUP(B2,'SegEnds_NonXtal_Prot#'!A:AL,34,FALSE)-VLOOKUP(B2,'SegEnds_NonXtal_Prot#'!A:AL,31,FALSE)</f>
        <v>45</v>
      </c>
      <c r="AN2" s="38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</row>
    <row r="3" spans="1:64" s="2" customFormat="1" x14ac:dyDescent="0.2">
      <c r="A3" s="2" t="s">
        <v>1386</v>
      </c>
      <c r="B3" s="2" t="s">
        <v>170</v>
      </c>
      <c r="C3" s="2">
        <f>IFERROR(50+VLOOKUP($A3,'SegEnds_Xtal_Prot#'!$A:$AY,5,FALSE)-VLOOKUP($B3,'SegEnds_NonXtal_Prot#'!$A:$AL,4,FALSE),"-")</f>
        <v>27</v>
      </c>
      <c r="D3" s="2">
        <f>IFERROR(50+VLOOKUP($A3,'SegEnds_Xtal_Prot#'!$A:$AY,7,FALSE)-VLOOKUP($B3,'SegEnds_NonXtal_Prot#'!$A:$AL,4,FALSE),"-")</f>
        <v>60</v>
      </c>
      <c r="E3" s="2">
        <f>IFERROR(50+VLOOKUP($A3,'SegEnds_Xtal_Prot#'!$A:$AY,9,FALSE)-VLOOKUP($B3,'SegEnds_NonXtal_Prot#'!$A:$AL,7,FALSE),"-")</f>
        <v>48</v>
      </c>
      <c r="F3" s="2">
        <f>IFERROR(50+VLOOKUP($A3,'SegEnds_Xtal_Prot#'!$A:$AY,11,FALSE)-VLOOKUP($B3,'SegEnds_NonXtal_Prot#'!$A:$AL,7,FALSE),"-")</f>
        <v>51</v>
      </c>
      <c r="G3" s="2">
        <f>IFERROR(50+VLOOKUP($A3,'SegEnds_Xtal_Prot#'!$A:$AY,13,FALSE)-VLOOKUP($B3,'SegEnds_NonXtal_Prot#'!$A:$AL,10,FALSE),"-")</f>
        <v>37</v>
      </c>
      <c r="H3" s="2">
        <f>IFERROR(50+VLOOKUP($A3,'SegEnds_Xtal_Prot#'!$A:$AY,15,FALSE)-VLOOKUP($B3,'SegEnds_NonXtal_Prot#'!$A:$AL,10,FALSE),"-")</f>
        <v>66</v>
      </c>
      <c r="I3" s="2">
        <f>IFERROR(50+VLOOKUP($A3,'SegEnds_Xtal_Prot#'!$A:$AY,17,FALSE)-VLOOKUP($B3,'SegEnds_NonXtal_Prot#'!$A:$AL,13,FALSE),"-")</f>
        <v>49</v>
      </c>
      <c r="J3" s="2">
        <f>IFERROR(50+VLOOKUP($A3,'SegEnds_Xtal_Prot#'!$A:$AY,19,FALSE)-VLOOKUP($B3,'SegEnds_NonXtal_Prot#'!$A:$AL,13,FALSE),"-")</f>
        <v>52</v>
      </c>
      <c r="K3" s="2">
        <f>IFERROR(50+VLOOKUP($A3,'SegEnds_Xtal_Prot#'!$A:$AY,21,FALSE)-VLOOKUP($B3,'SegEnds_NonXtal_Prot#'!$A:$AL,16,FALSE),"-")</f>
        <v>21</v>
      </c>
      <c r="L3" s="2">
        <f>IFERROR(50+VLOOKUP($A3,'SegEnds_Xtal_Prot#'!$A:$AY,23,FALSE)-VLOOKUP($B3,'SegEnds_NonXtal_Prot#'!$A:$AL,16,FALSE),"-")</f>
        <v>56</v>
      </c>
      <c r="M3" s="2">
        <f>IFERROR(50+VLOOKUP($A3,'SegEnds_Xtal_Prot#'!$A:$AY,25,FALSE)-VLOOKUP($B3,'SegEnds_NonXtal_Prot#'!$A:$AL,19,FALSE),"-")</f>
        <v>50</v>
      </c>
      <c r="N3" s="2">
        <f>IFERROR(50+VLOOKUP($A3,'SegEnds_Xtal_Prot#'!$A:$AY,27,FALSE)-VLOOKUP($B3,'SegEnds_NonXtal_Prot#'!$A:$AL,19,FALSE),"-")</f>
        <v>57</v>
      </c>
      <c r="O3" s="2">
        <f>IFERROR(50+VLOOKUP($A3,'SegEnds_Xtal_Prot#'!$A:$AY,29,FALSE)-VLOOKUP($B3,'SegEnds_NonXtal_Prot#'!$A:$AL,22,FALSE),"-")</f>
        <v>38</v>
      </c>
      <c r="P3" s="2">
        <f>IFERROR(50+VLOOKUP($A3,'SegEnds_Xtal_Prot#'!$A:$AY,31,FALSE)-VLOOKUP($B3,'SegEnds_NonXtal_Prot#'!$A:$AL,22,FALSE),"-")</f>
        <v>64</v>
      </c>
      <c r="Q3" s="2">
        <f>IFERROR(50+VLOOKUP($A3,'SegEnds_Xtal_Prot#'!$A:$AY,33,FALSE)-VLOOKUP($B3,'SegEnds_NonXtal_Prot#'!$A:$AL,25,FALSE),"-")</f>
        <v>50</v>
      </c>
      <c r="R3" s="2">
        <f>IFERROR(50+VLOOKUP($A3,'SegEnds_Xtal_Prot#'!$A:$AY,35,FALSE)-VLOOKUP($B3,'SegEnds_NonXtal_Prot#'!$A:$AL,25,FALSE),"-")</f>
        <v>52</v>
      </c>
      <c r="S3" s="2">
        <f>IFERROR(50+VLOOKUP($A3,'SegEnds_Xtal_Prot#'!$A:$AY,37,FALSE)-VLOOKUP($B3,'SegEnds_NonXtal_Prot#'!$A:$AL,28,FALSE),"-")</f>
        <v>31</v>
      </c>
      <c r="T3" s="2">
        <f>IFERROR(50+VLOOKUP($A3,'SegEnds_Xtal_Prot#'!$A:$AY,39,FALSE)-VLOOKUP($B3,'SegEnds_NonXtal_Prot#'!$A:$AL,28,FALSE),"-")</f>
        <v>68</v>
      </c>
      <c r="U3" s="2">
        <f>IFERROR(50+VLOOKUP($A3,'SegEnds_Xtal_Prot#'!$A:$AY,41,FALSE)-VLOOKUP($B3,'SegEnds_NonXtal_Prot#'!$A:$AL,31,FALSE),"-")</f>
        <v>28</v>
      </c>
      <c r="V3" s="2">
        <f>IFERROR(50+VLOOKUP($A3,'SegEnds_Xtal_Prot#'!$A:$AY,43,FALSE)-VLOOKUP($B3,'SegEnds_NonXtal_Prot#'!$A:$AL,31,FALSE),"-")</f>
        <v>65</v>
      </c>
      <c r="W3" s="2">
        <f>IFERROR(50+VLOOKUP($A3,'SegEnds_Xtal_Prot#'!$A:$AY,45,FALSE)-VLOOKUP($B3,'SegEnds_NonXtal_Prot#'!$A:$AL,34,FALSE),"-")</f>
        <v>26</v>
      </c>
      <c r="X3" s="2">
        <f>IFERROR(50+VLOOKUP($A3,'SegEnds_Xtal_Prot#'!$A:$AY,47,FALSE)-VLOOKUP($B3,'SegEnds_NonXtal_Prot#'!$A:$AL,34,FALSE),"-")</f>
        <v>56</v>
      </c>
      <c r="Y3" s="2">
        <f>IFERROR(50+VLOOKUP($A3,'SegEnds_Xtal_Prot#'!$A:$AY,49,FALSE)-VLOOKUP($B3,'SegEnds_NonXtal_Prot#'!$A:$AL,37,FALSE),"-")</f>
        <v>47</v>
      </c>
      <c r="Z3" s="2">
        <f>IFERROR(50+VLOOKUP($A3,'SegEnds_Xtal_Prot#'!$A:$AY,51,FALSE)-VLOOKUP($B3,'SegEnds_NonXtal_Prot#'!$A:$AL,37,FALSE),"-")</f>
        <v>58</v>
      </c>
      <c r="AA3" s="50" t="str">
        <f>VLOOKUP(B3,Classification!A:D,2,FALSE)</f>
        <v>A</v>
      </c>
      <c r="AB3" s="97" t="str">
        <f>VLOOKUP(B3,Classification!A:D,4,0)</f>
        <v>Chemokine</v>
      </c>
      <c r="AC3" s="50">
        <f>VLOOKUP(B3,'SegEnds_NonXtal_Prot#'!A:AL,6,FALSE)-VLOOKUP(B3,'SegEnds_NonXtal_Prot#'!A:AL,5,FALSE)</f>
        <v>1</v>
      </c>
      <c r="AD3" s="50">
        <f>VLOOKUP(B3,'SegEnds_NonXtal_Prot#'!A:AL,9,FALSE)-VLOOKUP(B3,'SegEnds_NonXtal_Prot#'!A:AL,8,FALSE)</f>
        <v>1</v>
      </c>
      <c r="AE3" s="50">
        <f>VLOOKUP(B3,'SegEnds_NonXtal_Prot#'!A:AL,13,FALSE)-VLOOKUP(B3,'SegEnds_NonXtal_Prot#'!A:AL,10,FALSE)</f>
        <v>18</v>
      </c>
      <c r="AF3" s="50">
        <f>VLOOKUP(B3,'SegEnds_NonXtal_Prot#'!A:AL,12,FALSE)-VLOOKUP(B3,'SegEnds_NonXtal_Prot#'!A:AL,11,FALSE)</f>
        <v>1</v>
      </c>
      <c r="AG3" s="50">
        <f>VLOOKUP(B3,'SegEnds_NonXtal_Prot#'!A:AL,13,FALSE)-VLOOKUP(B3,'SegEnds_NonXtal_Prot#'!A:AL,11,FALSE)</f>
        <v>2</v>
      </c>
      <c r="AH3" s="50">
        <f>VLOOKUP(B3,'SegEnds_NonXtal_Prot#'!A:AL,16,FALSE)-VLOOKUP(B3,'SegEnds_NonXtal_Prot#'!A:AL,10,FALSE)</f>
        <v>50</v>
      </c>
      <c r="AI3" s="50">
        <f>VLOOKUP(B3,'SegEnds_NonXtal_Prot#'!A:AL,16,FALSE)-VLOOKUP(B3,'SegEnds_NonXtal_Prot#'!A:AL,11,FALSE)</f>
        <v>34</v>
      </c>
      <c r="AJ3" s="50">
        <f>VLOOKUP(B3,'SegEnds_NonXtal_Prot#'!A:AL,22,FALSE)-VLOOKUP(B3,'SegEnds_NonXtal_Prot#'!A:AL,19,FALSE)</f>
        <v>20</v>
      </c>
      <c r="AK3" s="50">
        <f>VLOOKUP(B3,'SegEnds_NonXtal_Prot#'!A:AL,15,FALSE)-VLOOKUP(B3,'SegEnds_NonXtal_Prot#'!A:AL,14,FALSE)</f>
        <v>1</v>
      </c>
      <c r="AL3" s="50">
        <f>VLOOKUP(B3,'SegEnds_NonXtal_Prot#'!A:AL,18,FALSE)-VLOOKUP(B3,'SegEnds_NonXtal_Prot#'!A:AL,17,FALSE)</f>
        <v>1</v>
      </c>
      <c r="AM3" s="2">
        <f>VLOOKUP(B3,'SegEnds_NonXtal_Prot#'!A:AL,34,FALSE)-VLOOKUP(B3,'SegEnds_NonXtal_Prot#'!A:AL,31,FALSE)</f>
        <v>44</v>
      </c>
      <c r="AN3" s="38"/>
    </row>
    <row r="4" spans="1:64" s="2" customFormat="1" x14ac:dyDescent="0.2">
      <c r="A4" s="2" t="s">
        <v>1257</v>
      </c>
      <c r="B4" s="2" t="s">
        <v>192</v>
      </c>
      <c r="C4" s="2">
        <f>IFERROR(50+VLOOKUP($A4,'SegEnds_Xtal_Prot#'!$A:$AY,5,FALSE)-VLOOKUP($B4,'SegEnds_NonXtal_Prot#'!$A:$AL,4,FALSE),"-")</f>
        <v>29</v>
      </c>
      <c r="D4" s="2">
        <f>IFERROR(50+VLOOKUP($A4,'SegEnds_Xtal_Prot#'!$A:$AY,7,FALSE)-VLOOKUP($B4,'SegEnds_NonXtal_Prot#'!$A:$AL,4,FALSE),"-")</f>
        <v>60</v>
      </c>
      <c r="E4" s="2">
        <f>IFERROR(50+VLOOKUP($A4,'SegEnds_Xtal_Prot#'!$A:$AY,9,FALSE)-VLOOKUP($B4,'SegEnds_NonXtal_Prot#'!$A:$AL,7,FALSE),"-")</f>
        <v>48</v>
      </c>
      <c r="F4" s="2">
        <f>IFERROR(50+VLOOKUP($A4,'SegEnds_Xtal_Prot#'!$A:$AY,11,FALSE)-VLOOKUP($B4,'SegEnds_NonXtal_Prot#'!$A:$AL,7,FALSE),"-")</f>
        <v>51</v>
      </c>
      <c r="G4" s="2">
        <f>IFERROR(50+VLOOKUP($A4,'SegEnds_Xtal_Prot#'!$A:$AY,13,FALSE)-VLOOKUP($B4,'SegEnds_NonXtal_Prot#'!$A:$AL,10,FALSE),"-")</f>
        <v>37</v>
      </c>
      <c r="H4" s="2">
        <f>IFERROR(50+VLOOKUP($A4,'SegEnds_Xtal_Prot#'!$A:$AY,15,FALSE)-VLOOKUP($B4,'SegEnds_NonXtal_Prot#'!$A:$AL,10,FALSE),"-")</f>
        <v>67</v>
      </c>
      <c r="I4" s="2">
        <f>IFERROR(50+VLOOKUP($A4,'SegEnds_Xtal_Prot#'!$A:$AY,17,FALSE)-VLOOKUP($B4,'SegEnds_NonXtal_Prot#'!$A:$AL,13,FALSE),"-")</f>
        <v>49</v>
      </c>
      <c r="J4" s="2">
        <f>IFERROR(50+VLOOKUP($A4,'SegEnds_Xtal_Prot#'!$A:$AY,19,FALSE)-VLOOKUP($B4,'SegEnds_NonXtal_Prot#'!$A:$AL,13,FALSE),"-")</f>
        <v>52</v>
      </c>
      <c r="K4" s="2">
        <f>IFERROR(50+VLOOKUP($A4,'SegEnds_Xtal_Prot#'!$A:$AY,21,FALSE)-VLOOKUP($B4,'SegEnds_NonXtal_Prot#'!$A:$AL,16,FALSE),"-")</f>
        <v>21</v>
      </c>
      <c r="L4" s="2">
        <f>IFERROR(50+VLOOKUP($A4,'SegEnds_Xtal_Prot#'!$A:$AY,23,FALSE)-VLOOKUP($B4,'SegEnds_NonXtal_Prot#'!$A:$AL,16,FALSE),"-")</f>
        <v>56</v>
      </c>
      <c r="M4" s="2">
        <f>IFERROR(50+VLOOKUP($A4,'SegEnds_Xtal_Prot#'!$A:$AY,25,FALSE)-VLOOKUP($B4,'SegEnds_NonXtal_Prot#'!$A:$AL,19,FALSE),"-")</f>
        <v>50</v>
      </c>
      <c r="N4" s="2">
        <f>IFERROR(50+VLOOKUP($A4,'SegEnds_Xtal_Prot#'!$A:$AY,27,FALSE)-VLOOKUP($B4,'SegEnds_NonXtal_Prot#'!$A:$AL,19,FALSE),"-")</f>
        <v>58</v>
      </c>
      <c r="O4" s="2">
        <f>IFERROR(50+VLOOKUP($A4,'SegEnds_Xtal_Prot#'!$A:$AY,29,FALSE)-VLOOKUP($B4,'SegEnds_NonXtal_Prot#'!$A:$AL,22,FALSE),"-")</f>
        <v>38</v>
      </c>
      <c r="P4" s="2">
        <f>IFERROR(50+VLOOKUP($A4,'SegEnds_Xtal_Prot#'!$A:$AY,31,FALSE)-VLOOKUP($B4,'SegEnds_NonXtal_Prot#'!$A:$AL,22,FALSE),"-")</f>
        <v>63</v>
      </c>
      <c r="Q4" s="2">
        <f>IFERROR(50+VLOOKUP($A4,'SegEnds_Xtal_Prot#'!$A:$AY,33,FALSE)-VLOOKUP($B4,'SegEnds_NonXtal_Prot#'!$A:$AL,25,FALSE),"-")</f>
        <v>50</v>
      </c>
      <c r="R4" s="2">
        <f>IFERROR(50+VLOOKUP($A4,'SegEnds_Xtal_Prot#'!$A:$AY,35,FALSE)-VLOOKUP($B4,'SegEnds_NonXtal_Prot#'!$A:$AL,25,FALSE),"-")</f>
        <v>52</v>
      </c>
      <c r="S4" s="2">
        <f>IFERROR(50+VLOOKUP($A4,'SegEnds_Xtal_Prot#'!$A:$AY,37,FALSE)-VLOOKUP($B4,'SegEnds_NonXtal_Prot#'!$A:$AL,28,FALSE),"-")</f>
        <v>35</v>
      </c>
      <c r="T4" s="2">
        <f>IFERROR(50+VLOOKUP($A4,'SegEnds_Xtal_Prot#'!$A:$AY,39,FALSE)-VLOOKUP($B4,'SegEnds_NonXtal_Prot#'!$A:$AL,28,FALSE),"-")</f>
        <v>76</v>
      </c>
      <c r="U4" s="2">
        <f>IFERROR(50+VLOOKUP($A4,'SegEnds_Xtal_Prot#'!$A:$AY,41,FALSE)-VLOOKUP($B4,'SegEnds_NonXtal_Prot#'!$A:$AL,31,FALSE),"-")</f>
        <v>24</v>
      </c>
      <c r="V4" s="2">
        <f>IFERROR(50+VLOOKUP($A4,'SegEnds_Xtal_Prot#'!$A:$AY,43,FALSE)-VLOOKUP($B4,'SegEnds_NonXtal_Prot#'!$A:$AL,31,FALSE),"-")</f>
        <v>60</v>
      </c>
      <c r="W4" s="2">
        <f>IFERROR(50+VLOOKUP($A4,'SegEnds_Xtal_Prot#'!$A:$AY,45,FALSE)-VLOOKUP($B4,'SegEnds_NonXtal_Prot#'!$A:$AL,34,FALSE),"-")</f>
        <v>31</v>
      </c>
      <c r="X4" s="2">
        <f>IFERROR(50+VLOOKUP($A4,'SegEnds_Xtal_Prot#'!$A:$AY,47,FALSE)-VLOOKUP($B4,'SegEnds_NonXtal_Prot#'!$A:$AL,34,FALSE),"-")</f>
        <v>56</v>
      </c>
      <c r="Y4" s="2">
        <f>IFERROR(50+VLOOKUP($A4,'SegEnds_Xtal_Prot#'!$A:$AY,49,FALSE)-VLOOKUP($B4,'SegEnds_NonXtal_Prot#'!$A:$AL,37,FALSE),"-")</f>
        <v>47</v>
      </c>
      <c r="Z4" s="2">
        <f>IFERROR(50+VLOOKUP($A4,'SegEnds_Xtal_Prot#'!$A:$AY,51,FALSE)-VLOOKUP($B4,'SegEnds_NonXtal_Prot#'!$A:$AL,37,FALSE),"-")</f>
        <v>59</v>
      </c>
      <c r="AA4" s="50" t="str">
        <f>VLOOKUP(B4,Classification!A:D,2,FALSE)</f>
        <v>A</v>
      </c>
      <c r="AB4" s="97" t="str">
        <f>VLOOKUP(B4,Classification!A:D,4,0)</f>
        <v>Dopamine</v>
      </c>
      <c r="AC4" s="50">
        <f>VLOOKUP(B4,'SegEnds_NonXtal_Prot#'!A:AL,6,FALSE)-VLOOKUP(B4,'SegEnds_NonXtal_Prot#'!A:AL,5,FALSE)</f>
        <v>1</v>
      </c>
      <c r="AD4" s="50">
        <f>VLOOKUP(B4,'SegEnds_NonXtal_Prot#'!A:AL,9,FALSE)-VLOOKUP(B4,'SegEnds_NonXtal_Prot#'!A:AL,8,FALSE)</f>
        <v>1</v>
      </c>
      <c r="AE4" s="50">
        <f>VLOOKUP(B4,'SegEnds_NonXtal_Prot#'!A:AL,13,FALSE)-VLOOKUP(B4,'SegEnds_NonXtal_Prot#'!A:AL,10,FALSE)</f>
        <v>21</v>
      </c>
      <c r="AF4" s="50">
        <f>VLOOKUP(B4,'SegEnds_NonXtal_Prot#'!A:AL,12,FALSE)-VLOOKUP(B4,'SegEnds_NonXtal_Prot#'!A:AL,11,FALSE)</f>
        <v>3</v>
      </c>
      <c r="AG4" s="50">
        <f>VLOOKUP(B4,'SegEnds_NonXtal_Prot#'!A:AL,13,FALSE)-VLOOKUP(B4,'SegEnds_NonXtal_Prot#'!A:AL,11,FALSE)</f>
        <v>4</v>
      </c>
      <c r="AH4" s="50">
        <f>VLOOKUP(B4,'SegEnds_NonXtal_Prot#'!A:AL,16,FALSE)-VLOOKUP(B4,'SegEnds_NonXtal_Prot#'!A:AL,10,FALSE)</f>
        <v>53</v>
      </c>
      <c r="AI4" s="50">
        <f>VLOOKUP(B4,'SegEnds_NonXtal_Prot#'!A:AL,16,FALSE)-VLOOKUP(B4,'SegEnds_NonXtal_Prot#'!A:AL,11,FALSE)</f>
        <v>36</v>
      </c>
      <c r="AJ4" s="50">
        <f>VLOOKUP(B4,'SegEnds_NonXtal_Prot#'!A:AL,22,FALSE)-VLOOKUP(B4,'SegEnds_NonXtal_Prot#'!A:AL,19,FALSE)</f>
        <v>23</v>
      </c>
      <c r="AK4" s="50">
        <f>VLOOKUP(B4,'SegEnds_NonXtal_Prot#'!A:AL,15,FALSE)-VLOOKUP(B4,'SegEnds_NonXtal_Prot#'!A:AL,14,FALSE)</f>
        <v>1</v>
      </c>
      <c r="AL4" s="50">
        <f>VLOOKUP(B4,'SegEnds_NonXtal_Prot#'!A:AL,18,FALSE)-VLOOKUP(B4,'SegEnds_NonXtal_Prot#'!A:AL,17,FALSE)</f>
        <v>1</v>
      </c>
      <c r="AM4" s="2">
        <f>VLOOKUP(B4,'SegEnds_NonXtal_Prot#'!A:AL,34,FALSE)-VLOOKUP(B4,'SegEnds_NonXtal_Prot#'!A:AL,31,FALSE)</f>
        <v>36</v>
      </c>
      <c r="AN4" s="38"/>
    </row>
    <row r="5" spans="1:64" s="2" customFormat="1" x14ac:dyDescent="0.2">
      <c r="A5" s="2" t="s">
        <v>1244</v>
      </c>
      <c r="B5" s="2" t="s">
        <v>34</v>
      </c>
      <c r="C5" s="2">
        <f>IFERROR(50+VLOOKUP($A5,'SegEnds_Xtal_Prot#'!$A:$AY,5,FALSE)-VLOOKUP($B5,'SegEnds_NonXtal_Prot#'!$A:$AL,4,FALSE),"-")</f>
        <v>29</v>
      </c>
      <c r="D5" s="2">
        <f>IFERROR(50+VLOOKUP($A5,'SegEnds_Xtal_Prot#'!$A:$AY,7,FALSE)-VLOOKUP($B5,'SegEnds_NonXtal_Prot#'!$A:$AL,4,FALSE),"-")</f>
        <v>60</v>
      </c>
      <c r="E5" s="2">
        <f>IFERROR(50+VLOOKUP($A5,'SegEnds_Xtal_Prot#'!$A:$AY,9,FALSE)-VLOOKUP($B5,'SegEnds_NonXtal_Prot#'!$A:$AL,7,FALSE),"-")</f>
        <v>48</v>
      </c>
      <c r="F5" s="2">
        <f>IFERROR(50+VLOOKUP($A5,'SegEnds_Xtal_Prot#'!$A:$AY,11,FALSE)-VLOOKUP($B5,'SegEnds_NonXtal_Prot#'!$A:$AL,7,FALSE),"-")</f>
        <v>51</v>
      </c>
      <c r="G5" s="2">
        <f>IFERROR(50+VLOOKUP($A5,'SegEnds_Xtal_Prot#'!$A:$AY,13,FALSE)-VLOOKUP($B5,'SegEnds_NonXtal_Prot#'!$A:$AL,10,FALSE),"-")</f>
        <v>37</v>
      </c>
      <c r="H5" s="2">
        <f>IFERROR(50+VLOOKUP($A5,'SegEnds_Xtal_Prot#'!$A:$AY,15,FALSE)-VLOOKUP($B5,'SegEnds_NonXtal_Prot#'!$A:$AL,10,FALSE),"-")</f>
        <v>67</v>
      </c>
      <c r="I5" s="2">
        <f>IFERROR(50+VLOOKUP($A5,'SegEnds_Xtal_Prot#'!$A:$AY,17,FALSE)-VLOOKUP($B5,'SegEnds_NonXtal_Prot#'!$A:$AL,13,FALSE),"-")</f>
        <v>49</v>
      </c>
      <c r="J5" s="2">
        <f>IFERROR(50+VLOOKUP($A5,'SegEnds_Xtal_Prot#'!$A:$AY,19,FALSE)-VLOOKUP($B5,'SegEnds_NonXtal_Prot#'!$A:$AL,13,FALSE),"-")</f>
        <v>52</v>
      </c>
      <c r="K5" s="2">
        <f>IFERROR(50+VLOOKUP($A5,'SegEnds_Xtal_Prot#'!$A:$AY,21,FALSE)-VLOOKUP($B5,'SegEnds_NonXtal_Prot#'!$A:$AL,16,FALSE),"-")</f>
        <v>21</v>
      </c>
      <c r="L5" s="2">
        <f>IFERROR(50+VLOOKUP($A5,'SegEnds_Xtal_Prot#'!$A:$AY,23,FALSE)-VLOOKUP($B5,'SegEnds_NonXtal_Prot#'!$A:$AL,16,FALSE),"-")</f>
        <v>56</v>
      </c>
      <c r="M5" s="2">
        <f>IFERROR(50+VLOOKUP($A5,'SegEnds_Xtal_Prot#'!$A:$AY,25,FALSE)-VLOOKUP($B5,'SegEnds_NonXtal_Prot#'!$A:$AL,19,FALSE),"-")</f>
        <v>50</v>
      </c>
      <c r="N5" s="2">
        <f>IFERROR(50+VLOOKUP($A5,'SegEnds_Xtal_Prot#'!$A:$AY,27,FALSE)-VLOOKUP($B5,'SegEnds_NonXtal_Prot#'!$A:$AL,19,FALSE),"-")</f>
        <v>57</v>
      </c>
      <c r="O5" s="2">
        <f>IFERROR(50+VLOOKUP($A5,'SegEnds_Xtal_Prot#'!$A:$AY,29,FALSE)-VLOOKUP($B5,'SegEnds_NonXtal_Prot#'!$A:$AL,22,FALSE),"-")</f>
        <v>38</v>
      </c>
      <c r="P5" s="2">
        <f>IFERROR(50+VLOOKUP($A5,'SegEnds_Xtal_Prot#'!$A:$AY,31,FALSE)-VLOOKUP($B5,'SegEnds_NonXtal_Prot#'!$A:$AL,22,FALSE),"-")</f>
        <v>63</v>
      </c>
      <c r="Q5" s="2">
        <f>IFERROR(50+VLOOKUP($A5,'SegEnds_Xtal_Prot#'!$A:$AY,33,FALSE)-VLOOKUP($B5,'SegEnds_NonXtal_Prot#'!$A:$AL,25,FALSE),"-")</f>
        <v>50</v>
      </c>
      <c r="R5" s="2">
        <f>IFERROR(50+VLOOKUP($A5,'SegEnds_Xtal_Prot#'!$A:$AY,35,FALSE)-VLOOKUP($B5,'SegEnds_NonXtal_Prot#'!$A:$AL,25,FALSE),"-")</f>
        <v>52</v>
      </c>
      <c r="S5" s="2">
        <f>IFERROR(50+VLOOKUP($A5,'SegEnds_Xtal_Prot#'!$A:$AY,37,FALSE)-VLOOKUP($B5,'SegEnds_NonXtal_Prot#'!$A:$AL,28,FALSE),"-")</f>
        <v>35</v>
      </c>
      <c r="T5" s="2">
        <f>IFERROR(50+VLOOKUP($A5,'SegEnds_Xtal_Prot#'!$A:$AY,39,FALSE)-VLOOKUP($B5,'SegEnds_NonXtal_Prot#'!$A:$AL,28,FALSE),"-")</f>
        <v>74</v>
      </c>
      <c r="U5" s="2">
        <f>IFERROR(50+VLOOKUP($A5,'SegEnds_Xtal_Prot#'!$A:$AY,41,FALSE)-VLOOKUP($B5,'SegEnds_NonXtal_Prot#'!$A:$AL,31,FALSE),"-")</f>
        <v>24</v>
      </c>
      <c r="V5" s="2">
        <f>IFERROR(50+VLOOKUP($A5,'SegEnds_Xtal_Prot#'!$A:$AY,43,FALSE)-VLOOKUP($B5,'SegEnds_NonXtal_Prot#'!$A:$AL,31,FALSE),"-")</f>
        <v>60</v>
      </c>
      <c r="W5" s="2">
        <f>IFERROR(50+VLOOKUP($A5,'SegEnds_Xtal_Prot#'!$A:$AY,45,FALSE)-VLOOKUP($B5,'SegEnds_NonXtal_Prot#'!$A:$AL,34,FALSE),"-")</f>
        <v>31</v>
      </c>
      <c r="X5" s="2">
        <f>IFERROR(50+VLOOKUP($A5,'SegEnds_Xtal_Prot#'!$A:$AY,47,FALSE)-VLOOKUP($B5,'SegEnds_NonXtal_Prot#'!$A:$AL,34,FALSE),"-")</f>
        <v>56</v>
      </c>
      <c r="Y5" s="2">
        <f>IFERROR(50+VLOOKUP($A5,'SegEnds_Xtal_Prot#'!$A:$AY,49,FALSE)-VLOOKUP($B5,'SegEnds_NonXtal_Prot#'!$A:$AL,37,FALSE),"-")</f>
        <v>47</v>
      </c>
      <c r="Z5" s="2">
        <f>IFERROR(50+VLOOKUP($A5,'SegEnds_Xtal_Prot#'!$A:$AY,51,FALSE)-VLOOKUP($B5,'SegEnds_NonXtal_Prot#'!$A:$AL,37,FALSE),"-")</f>
        <v>58</v>
      </c>
      <c r="AA5" s="50" t="str">
        <f>VLOOKUP(B5,Classification!A:D,2,FALSE)</f>
        <v>A</v>
      </c>
      <c r="AB5" s="97" t="str">
        <f>VLOOKUP(B5,Classification!A:D,4,0)</f>
        <v>5-Hydroxytryptamine</v>
      </c>
      <c r="AC5" s="50">
        <f>VLOOKUP(B5,'SegEnds_NonXtal_Prot#'!A:AL,6,FALSE)-VLOOKUP(B5,'SegEnds_NonXtal_Prot#'!A:AL,5,FALSE)</f>
        <v>1</v>
      </c>
      <c r="AD5" s="50">
        <f>VLOOKUP(B5,'SegEnds_NonXtal_Prot#'!A:AL,9,FALSE)-VLOOKUP(B5,'SegEnds_NonXtal_Prot#'!A:AL,8,FALSE)</f>
        <v>1</v>
      </c>
      <c r="AE5" s="50">
        <f>VLOOKUP(B5,'SegEnds_NonXtal_Prot#'!A:AL,13,FALSE)-VLOOKUP(B5,'SegEnds_NonXtal_Prot#'!A:AL,10,FALSE)</f>
        <v>20</v>
      </c>
      <c r="AF5" s="50">
        <f>VLOOKUP(B5,'SegEnds_NonXtal_Prot#'!A:AL,12,FALSE)-VLOOKUP(B5,'SegEnds_NonXtal_Prot#'!A:AL,11,FALSE)</f>
        <v>2</v>
      </c>
      <c r="AG5" s="50">
        <f>VLOOKUP(B5,'SegEnds_NonXtal_Prot#'!A:AL,13,FALSE)-VLOOKUP(B5,'SegEnds_NonXtal_Prot#'!A:AL,11,FALSE)</f>
        <v>3</v>
      </c>
      <c r="AH5" s="50">
        <f>VLOOKUP(B5,'SegEnds_NonXtal_Prot#'!A:AL,16,FALSE)-VLOOKUP(B5,'SegEnds_NonXtal_Prot#'!A:AL,10,FALSE)</f>
        <v>52</v>
      </c>
      <c r="AI5" s="50">
        <f>VLOOKUP(B5,'SegEnds_NonXtal_Prot#'!A:AL,16,FALSE)-VLOOKUP(B5,'SegEnds_NonXtal_Prot#'!A:AL,11,FALSE)</f>
        <v>35</v>
      </c>
      <c r="AJ5" s="50">
        <f>VLOOKUP(B5,'SegEnds_NonXtal_Prot#'!A:AL,22,FALSE)-VLOOKUP(B5,'SegEnds_NonXtal_Prot#'!A:AL,19,FALSE)</f>
        <v>20</v>
      </c>
      <c r="AK5" s="50">
        <f>VLOOKUP(B5,'SegEnds_NonXtal_Prot#'!A:AL,15,FALSE)-VLOOKUP(B5,'SegEnds_NonXtal_Prot#'!A:AL,14,FALSE)</f>
        <v>1</v>
      </c>
      <c r="AL5" s="50">
        <f>VLOOKUP(B5,'SegEnds_NonXtal_Prot#'!A:AL,18,FALSE)-VLOOKUP(B5,'SegEnds_NonXtal_Prot#'!A:AL,17,FALSE)</f>
        <v>1</v>
      </c>
      <c r="AM5" s="2">
        <f>VLOOKUP(B5,'SegEnds_NonXtal_Prot#'!A:AL,34,FALSE)-VLOOKUP(B5,'SegEnds_NonXtal_Prot#'!A:AL,31,FALSE)</f>
        <v>37</v>
      </c>
      <c r="AN5" s="38"/>
    </row>
    <row r="6" spans="1:64" s="2" customFormat="1" x14ac:dyDescent="0.2">
      <c r="A6" s="2" t="s">
        <v>1245</v>
      </c>
      <c r="B6" s="2" t="s">
        <v>35</v>
      </c>
      <c r="C6" s="2">
        <f>IFERROR(50+VLOOKUP($A6,'SegEnds_Xtal_Prot#'!$A:$AY,5,FALSE)-VLOOKUP($B6,'SegEnds_NonXtal_Prot#'!$A:$AL,4,FALSE),"-")</f>
        <v>32</v>
      </c>
      <c r="D6" s="2">
        <f>IFERROR(50+VLOOKUP($A6,'SegEnds_Xtal_Prot#'!$A:$AY,7,FALSE)-VLOOKUP($B6,'SegEnds_NonXtal_Prot#'!$A:$AL,4,FALSE),"-")</f>
        <v>60</v>
      </c>
      <c r="E6" s="2">
        <f>IFERROR(50+VLOOKUP($A6,'SegEnds_Xtal_Prot#'!$A:$AY,9,FALSE)-VLOOKUP($B6,'SegEnds_NonXtal_Prot#'!$A:$AL,7,FALSE),"-")</f>
        <v>48</v>
      </c>
      <c r="F6" s="2">
        <f>IFERROR(50+VLOOKUP($A6,'SegEnds_Xtal_Prot#'!$A:$AY,11,FALSE)-VLOOKUP($B6,'SegEnds_NonXtal_Prot#'!$A:$AL,7,FALSE),"-")</f>
        <v>51</v>
      </c>
      <c r="G6" s="2">
        <f>IFERROR(50+VLOOKUP($A6,'SegEnds_Xtal_Prot#'!$A:$AY,13,FALSE)-VLOOKUP($B6,'SegEnds_NonXtal_Prot#'!$A:$AL,10,FALSE),"-")</f>
        <v>37</v>
      </c>
      <c r="H6" s="2">
        <f>IFERROR(50+VLOOKUP($A6,'SegEnds_Xtal_Prot#'!$A:$AY,15,FALSE)-VLOOKUP($B6,'SegEnds_NonXtal_Prot#'!$A:$AL,10,FALSE),"-")</f>
        <v>67</v>
      </c>
      <c r="I6" s="2">
        <f>IFERROR(50+VLOOKUP($A6,'SegEnds_Xtal_Prot#'!$A:$AY,17,FALSE)-VLOOKUP($B6,'SegEnds_NonXtal_Prot#'!$A:$AL,13,FALSE),"-")</f>
        <v>49</v>
      </c>
      <c r="J6" s="2">
        <f>IFERROR(50+VLOOKUP($A6,'SegEnds_Xtal_Prot#'!$A:$AY,19,FALSE)-VLOOKUP($B6,'SegEnds_NonXtal_Prot#'!$A:$AL,13,FALSE),"-")</f>
        <v>52</v>
      </c>
      <c r="K6" s="2">
        <f>IFERROR(50+VLOOKUP($A6,'SegEnds_Xtal_Prot#'!$A:$AY,21,FALSE)-VLOOKUP($B6,'SegEnds_NonXtal_Prot#'!$A:$AL,16,FALSE),"-")</f>
        <v>21</v>
      </c>
      <c r="L6" s="2">
        <f>IFERROR(50+VLOOKUP($A6,'SegEnds_Xtal_Prot#'!$A:$AY,23,FALSE)-VLOOKUP($B6,'SegEnds_NonXtal_Prot#'!$A:$AL,16,FALSE),"-")</f>
        <v>56</v>
      </c>
      <c r="M6" s="2">
        <f>IFERROR(50+VLOOKUP($A6,'SegEnds_Xtal_Prot#'!$A:$AY,25,FALSE)-VLOOKUP($B6,'SegEnds_NonXtal_Prot#'!$A:$AL,19,FALSE),"-")</f>
        <v>50</v>
      </c>
      <c r="N6" s="2">
        <f>IFERROR(50+VLOOKUP($A6,'SegEnds_Xtal_Prot#'!$A:$AY,27,FALSE)-VLOOKUP($B6,'SegEnds_NonXtal_Prot#'!$A:$AL,19,FALSE),"-")</f>
        <v>57</v>
      </c>
      <c r="O6" s="2">
        <f>IFERROR(50+VLOOKUP($A6,'SegEnds_Xtal_Prot#'!$A:$AY,29,FALSE)-VLOOKUP($B6,'SegEnds_NonXtal_Prot#'!$A:$AL,22,FALSE),"-")</f>
        <v>38</v>
      </c>
      <c r="P6" s="2">
        <f>IFERROR(50+VLOOKUP($A6,'SegEnds_Xtal_Prot#'!$A:$AY,31,FALSE)-VLOOKUP($B6,'SegEnds_NonXtal_Prot#'!$A:$AL,22,FALSE),"-")</f>
        <v>64</v>
      </c>
      <c r="Q6" s="2">
        <f>IFERROR(50+VLOOKUP($A6,'SegEnds_Xtal_Prot#'!$A:$AY,33,FALSE)-VLOOKUP($B6,'SegEnds_NonXtal_Prot#'!$A:$AL,25,FALSE),"-")</f>
        <v>50</v>
      </c>
      <c r="R6" s="2">
        <f>IFERROR(50+VLOOKUP($A6,'SegEnds_Xtal_Prot#'!$A:$AY,35,FALSE)-VLOOKUP($B6,'SegEnds_NonXtal_Prot#'!$A:$AL,25,FALSE),"-")</f>
        <v>52</v>
      </c>
      <c r="S6" s="2">
        <f>IFERROR(50+VLOOKUP($A6,'SegEnds_Xtal_Prot#'!$A:$AY,37,FALSE)-VLOOKUP($B6,'SegEnds_NonXtal_Prot#'!$A:$AL,28,FALSE),"-")</f>
        <v>35</v>
      </c>
      <c r="T6" s="2">
        <f>IFERROR(50+VLOOKUP($A6,'SegEnds_Xtal_Prot#'!$A:$AY,39,FALSE)-VLOOKUP($B6,'SegEnds_NonXtal_Prot#'!$A:$AL,28,FALSE),"-")</f>
        <v>76</v>
      </c>
      <c r="U6" s="2">
        <f>IFERROR(50+VLOOKUP($A6,'SegEnds_Xtal_Prot#'!$A:$AY,41,FALSE)-VLOOKUP($B6,'SegEnds_NonXtal_Prot#'!$A:$AL,31,FALSE),"-")</f>
        <v>24</v>
      </c>
      <c r="V6" s="2">
        <f>IFERROR(50+VLOOKUP($A6,'SegEnds_Xtal_Prot#'!$A:$AY,43,FALSE)-VLOOKUP($B6,'SegEnds_NonXtal_Prot#'!$A:$AL,31,FALSE),"-")</f>
        <v>61</v>
      </c>
      <c r="W6" s="2">
        <f>IFERROR(50+VLOOKUP($A6,'SegEnds_Xtal_Prot#'!$A:$AY,45,FALSE)-VLOOKUP($B6,'SegEnds_NonXtal_Prot#'!$A:$AL,34,FALSE),"-")</f>
        <v>28</v>
      </c>
      <c r="X6" s="2">
        <f>IFERROR(50+VLOOKUP($A6,'SegEnds_Xtal_Prot#'!$A:$AY,47,FALSE)-VLOOKUP($B6,'SegEnds_NonXtal_Prot#'!$A:$AL,34,FALSE),"-")</f>
        <v>56</v>
      </c>
      <c r="Y6" s="2">
        <f>IFERROR(50+VLOOKUP($A6,'SegEnds_Xtal_Prot#'!$A:$AY,49,FALSE)-VLOOKUP($B6,'SegEnds_NonXtal_Prot#'!$A:$AL,37,FALSE),"-")</f>
        <v>47</v>
      </c>
      <c r="Z6" s="2">
        <f>IFERROR(50+VLOOKUP($A6,'SegEnds_Xtal_Prot#'!$A:$AY,51,FALSE)-VLOOKUP($B6,'SegEnds_NonXtal_Prot#'!$A:$AL,37,FALSE),"-")</f>
        <v>58</v>
      </c>
      <c r="AA6" s="50" t="str">
        <f>VLOOKUP(B6,Classification!A:D,2,FALSE)</f>
        <v>A</v>
      </c>
      <c r="AB6" s="97" t="str">
        <f>VLOOKUP(B6,Classification!A:D,4,0)</f>
        <v>5-Hydroxytryptamine</v>
      </c>
      <c r="AC6" s="50">
        <f>VLOOKUP(B6,'SegEnds_NonXtal_Prot#'!A:AL,6,FALSE)-VLOOKUP(B6,'SegEnds_NonXtal_Prot#'!A:AL,5,FALSE)</f>
        <v>1</v>
      </c>
      <c r="AD6" s="50">
        <f>VLOOKUP(B6,'SegEnds_NonXtal_Prot#'!A:AL,9,FALSE)-VLOOKUP(B6,'SegEnds_NonXtal_Prot#'!A:AL,8,FALSE)</f>
        <v>1</v>
      </c>
      <c r="AE6" s="50">
        <f>VLOOKUP(B6,'SegEnds_NonXtal_Prot#'!A:AL,13,FALSE)-VLOOKUP(B6,'SegEnds_NonXtal_Prot#'!A:AL,10,FALSE)</f>
        <v>21</v>
      </c>
      <c r="AF6" s="50">
        <f>VLOOKUP(B6,'SegEnds_NonXtal_Prot#'!A:AL,12,FALSE)-VLOOKUP(B6,'SegEnds_NonXtal_Prot#'!A:AL,11,FALSE)</f>
        <v>3</v>
      </c>
      <c r="AG6" s="50">
        <f>VLOOKUP(B6,'SegEnds_NonXtal_Prot#'!A:AL,13,FALSE)-VLOOKUP(B6,'SegEnds_NonXtal_Prot#'!A:AL,11,FALSE)</f>
        <v>4</v>
      </c>
      <c r="AH6" s="50">
        <f>VLOOKUP(B6,'SegEnds_NonXtal_Prot#'!A:AL,16,FALSE)-VLOOKUP(B6,'SegEnds_NonXtal_Prot#'!A:AL,10,FALSE)</f>
        <v>53</v>
      </c>
      <c r="AI6" s="50">
        <f>VLOOKUP(B6,'SegEnds_NonXtal_Prot#'!A:AL,16,FALSE)-VLOOKUP(B6,'SegEnds_NonXtal_Prot#'!A:AL,11,FALSE)</f>
        <v>36</v>
      </c>
      <c r="AJ6" s="50">
        <f>VLOOKUP(B6,'SegEnds_NonXtal_Prot#'!A:AL,22,FALSE)-VLOOKUP(B6,'SegEnds_NonXtal_Prot#'!A:AL,19,FALSE)</f>
        <v>20</v>
      </c>
      <c r="AK6" s="50">
        <f>VLOOKUP(B6,'SegEnds_NonXtal_Prot#'!A:AL,15,FALSE)-VLOOKUP(B6,'SegEnds_NonXtal_Prot#'!A:AL,14,FALSE)</f>
        <v>1</v>
      </c>
      <c r="AL6" s="50">
        <f>VLOOKUP(B6,'SegEnds_NonXtal_Prot#'!A:AL,18,FALSE)-VLOOKUP(B6,'SegEnds_NonXtal_Prot#'!A:AL,17,FALSE)</f>
        <v>1</v>
      </c>
      <c r="AM6" s="2">
        <f>VLOOKUP(B6,'SegEnds_NonXtal_Prot#'!A:AL,34,FALSE)-VLOOKUP(B6,'SegEnds_NonXtal_Prot#'!A:AL,31,FALSE)</f>
        <v>38</v>
      </c>
      <c r="AN6" s="38"/>
    </row>
    <row r="7" spans="1:64" x14ac:dyDescent="0.2">
      <c r="A7" s="2" t="s">
        <v>1250</v>
      </c>
      <c r="B7" s="2" t="s">
        <v>149</v>
      </c>
      <c r="C7" s="2">
        <f>IFERROR(50+VLOOKUP($A7,'SegEnds_Xtal_Prot#'!$A:$AY,5,FALSE)-VLOOKUP($B7,'SegEnds_NonXtal_Prot#'!$A:$AL,4,FALSE),"-")</f>
        <v>26</v>
      </c>
      <c r="D7" s="2">
        <f>IFERROR(50+VLOOKUP($A7,'SegEnds_Xtal_Prot#'!$A:$AY,7,FALSE)-VLOOKUP($B7,'SegEnds_NonXtal_Prot#'!$A:$AL,4,FALSE),"-")</f>
        <v>60</v>
      </c>
      <c r="E7" s="2">
        <f>IFERROR(50+VLOOKUP($A7,'SegEnds_Xtal_Prot#'!$A:$AY,9,FALSE)-VLOOKUP($B7,'SegEnds_NonXtal_Prot#'!$A:$AL,7,FALSE),"-")</f>
        <v>48</v>
      </c>
      <c r="F7" s="2">
        <f>IFERROR(50+VLOOKUP($A7,'SegEnds_Xtal_Prot#'!$A:$AY,11,FALSE)-VLOOKUP($B7,'SegEnds_NonXtal_Prot#'!$A:$AL,7,FALSE),"-")</f>
        <v>51</v>
      </c>
      <c r="G7" s="2">
        <f>IFERROR(50+VLOOKUP($A7,'SegEnds_Xtal_Prot#'!$A:$AY,13,FALSE)-VLOOKUP($B7,'SegEnds_NonXtal_Prot#'!$A:$AL,10,FALSE),"-")</f>
        <v>37</v>
      </c>
      <c r="H7" s="2">
        <f>IFERROR(50+VLOOKUP($A7,'SegEnds_Xtal_Prot#'!$A:$AY,15,FALSE)-VLOOKUP($B7,'SegEnds_NonXtal_Prot#'!$A:$AL,10,FALSE),"-")</f>
        <v>67</v>
      </c>
      <c r="I7" s="2">
        <f>IFERROR(50+VLOOKUP($A7,'SegEnds_Xtal_Prot#'!$A:$AY,17,FALSE)-VLOOKUP($B7,'SegEnds_NonXtal_Prot#'!$A:$AL,13,FALSE),"-")</f>
        <v>49</v>
      </c>
      <c r="J7" s="2">
        <f>IFERROR(50+VLOOKUP($A7,'SegEnds_Xtal_Prot#'!$A:$AY,19,FALSE)-VLOOKUP($B7,'SegEnds_NonXtal_Prot#'!$A:$AL,13,FALSE),"-")</f>
        <v>52</v>
      </c>
      <c r="K7" s="2">
        <f>IFERROR(50+VLOOKUP($A7,'SegEnds_Xtal_Prot#'!$A:$AY,21,FALSE)-VLOOKUP($B7,'SegEnds_NonXtal_Prot#'!$A:$AL,16,FALSE),"-")</f>
        <v>21</v>
      </c>
      <c r="L7" s="2">
        <f>IFERROR(50+VLOOKUP($A7,'SegEnds_Xtal_Prot#'!$A:$AY,23,FALSE)-VLOOKUP($B7,'SegEnds_NonXtal_Prot#'!$A:$AL,16,FALSE),"-")</f>
        <v>56</v>
      </c>
      <c r="M7" s="2">
        <f>IFERROR(50+VLOOKUP($A7,'SegEnds_Xtal_Prot#'!$A:$AY,25,FALSE)-VLOOKUP($B7,'SegEnds_NonXtal_Prot#'!$A:$AL,19,FALSE),"-")</f>
        <v>50</v>
      </c>
      <c r="N7" s="2">
        <f>IFERROR(50+VLOOKUP($A7,'SegEnds_Xtal_Prot#'!$A:$AY,27,FALSE)-VLOOKUP($B7,'SegEnds_NonXtal_Prot#'!$A:$AL,19,FALSE),"-")</f>
        <v>57</v>
      </c>
      <c r="O7" s="2">
        <f>IFERROR(50+VLOOKUP($A7,'SegEnds_Xtal_Prot#'!$A:$AY,29,FALSE)-VLOOKUP($B7,'SegEnds_NonXtal_Prot#'!$A:$AL,22,FALSE),"-")</f>
        <v>38</v>
      </c>
      <c r="P7" s="2">
        <f>IFERROR(50+VLOOKUP($A7,'SegEnds_Xtal_Prot#'!$A:$AY,31,FALSE)-VLOOKUP($B7,'SegEnds_NonXtal_Prot#'!$A:$AL,22,FALSE),"-")</f>
        <v>69</v>
      </c>
      <c r="Q7" s="2">
        <f>IFERROR(50+VLOOKUP($A7,'SegEnds_Xtal_Prot#'!$A:$AY,33,FALSE)-VLOOKUP($B7,'SegEnds_NonXtal_Prot#'!$A:$AL,25,FALSE),"-")</f>
        <v>50</v>
      </c>
      <c r="R7" s="2">
        <f>IFERROR(50+VLOOKUP($A7,'SegEnds_Xtal_Prot#'!$A:$AY,35,FALSE)-VLOOKUP($B7,'SegEnds_NonXtal_Prot#'!$A:$AL,25,FALSE),"-")</f>
        <v>52</v>
      </c>
      <c r="S7" s="2">
        <f>IFERROR(50+VLOOKUP($A7,'SegEnds_Xtal_Prot#'!$A:$AY,37,FALSE)-VLOOKUP($B7,'SegEnds_NonXtal_Prot#'!$A:$AL,28,FALSE),"-")</f>
        <v>35</v>
      </c>
      <c r="T7" s="2">
        <f>IFERROR(50+VLOOKUP($A7,'SegEnds_Xtal_Prot#'!$A:$AY,39,FALSE)-VLOOKUP($B7,'SegEnds_NonXtal_Prot#'!$A:$AL,28,FALSE),"-")</f>
        <v>75</v>
      </c>
      <c r="U7" s="2">
        <f>IFERROR(50+VLOOKUP($A7,'SegEnds_Xtal_Prot#'!$A:$AY,41,FALSE)-VLOOKUP($B7,'SegEnds_NonXtal_Prot#'!$A:$AL,31,FALSE),"-")</f>
        <v>24</v>
      </c>
      <c r="V7" s="2">
        <f>IFERROR(50+VLOOKUP($A7,'SegEnds_Xtal_Prot#'!$A:$AY,43,FALSE)-VLOOKUP($B7,'SegEnds_NonXtal_Prot#'!$A:$AL,31,FALSE),"-")</f>
        <v>61</v>
      </c>
      <c r="W7" s="2">
        <f>IFERROR(50+VLOOKUP($A7,'SegEnds_Xtal_Prot#'!$A:$AY,45,FALSE)-VLOOKUP($B7,'SegEnds_NonXtal_Prot#'!$A:$AL,34,FALSE),"-")</f>
        <v>31</v>
      </c>
      <c r="X7" s="2">
        <f>IFERROR(50+VLOOKUP($A7,'SegEnds_Xtal_Prot#'!$A:$AY,47,FALSE)-VLOOKUP($B7,'SegEnds_NonXtal_Prot#'!$A:$AL,34,FALSE),"-")</f>
        <v>56</v>
      </c>
      <c r="Y7" s="2">
        <f>IFERROR(50+VLOOKUP($A7,'SegEnds_Xtal_Prot#'!$A:$AY,49,FALSE)-VLOOKUP($B7,'SegEnds_NonXtal_Prot#'!$A:$AL,37,FALSE),"-")</f>
        <v>47</v>
      </c>
      <c r="Z7" s="2">
        <f>IFERROR(50+VLOOKUP($A7,'SegEnds_Xtal_Prot#'!$A:$AY,51,FALSE)-VLOOKUP($B7,'SegEnds_NonXtal_Prot#'!$A:$AL,37,FALSE),"-")</f>
        <v>59</v>
      </c>
      <c r="AA7" s="50" t="str">
        <f>VLOOKUP(B7,Classification!A:D,2,FALSE)</f>
        <v>A</v>
      </c>
      <c r="AB7" s="97" t="str">
        <f>VLOOKUP(B7,Classification!A:D,4,0)</f>
        <v>Acetylcholine(muscarinic)</v>
      </c>
      <c r="AC7" s="50">
        <f>VLOOKUP(B7,'SegEnds_NonXtal_Prot#'!A:AL,6,FALSE)-VLOOKUP(B7,'SegEnds_NonXtal_Prot#'!A:AL,5,FALSE)</f>
        <v>1</v>
      </c>
      <c r="AD7" s="50">
        <f>VLOOKUP(B7,'SegEnds_NonXtal_Prot#'!A:AL,9,FALSE)-VLOOKUP(B7,'SegEnds_NonXtal_Prot#'!A:AL,8,FALSE)</f>
        <v>1</v>
      </c>
      <c r="AE7" s="50">
        <f>VLOOKUP(B7,'SegEnds_NonXtal_Prot#'!A:AL,13,FALSE)-VLOOKUP(B7,'SegEnds_NonXtal_Prot#'!A:AL,10,FALSE)</f>
        <v>20</v>
      </c>
      <c r="AF7" s="50">
        <f>VLOOKUP(B7,'SegEnds_NonXtal_Prot#'!A:AL,12,FALSE)-VLOOKUP(B7,'SegEnds_NonXtal_Prot#'!A:AL,11,FALSE)</f>
        <v>2</v>
      </c>
      <c r="AG7" s="50">
        <f>VLOOKUP(B7,'SegEnds_NonXtal_Prot#'!A:AL,13,FALSE)-VLOOKUP(B7,'SegEnds_NonXtal_Prot#'!A:AL,11,FALSE)</f>
        <v>3</v>
      </c>
      <c r="AH7" s="50">
        <f>VLOOKUP(B7,'SegEnds_NonXtal_Prot#'!A:AL,16,FALSE)-VLOOKUP(B7,'SegEnds_NonXtal_Prot#'!A:AL,10,FALSE)</f>
        <v>52</v>
      </c>
      <c r="AI7" s="50">
        <f>VLOOKUP(B7,'SegEnds_NonXtal_Prot#'!A:AL,16,FALSE)-VLOOKUP(B7,'SegEnds_NonXtal_Prot#'!A:AL,11,FALSE)</f>
        <v>35</v>
      </c>
      <c r="AJ7" s="50">
        <f>VLOOKUP(B7,'SegEnds_NonXtal_Prot#'!A:AL,22,FALSE)-VLOOKUP(B7,'SegEnds_NonXtal_Prot#'!A:AL,19,FALSE)</f>
        <v>20</v>
      </c>
      <c r="AK7" s="50">
        <f>VLOOKUP(B7,'SegEnds_NonXtal_Prot#'!A:AL,15,FALSE)-VLOOKUP(B7,'SegEnds_NonXtal_Prot#'!A:AL,14,FALSE)</f>
        <v>1</v>
      </c>
      <c r="AL7" s="50">
        <f>VLOOKUP(B7,'SegEnds_NonXtal_Prot#'!A:AL,18,FALSE)-VLOOKUP(B7,'SegEnds_NonXtal_Prot#'!A:AL,17,FALSE)</f>
        <v>1</v>
      </c>
      <c r="AM7" s="2">
        <f>VLOOKUP(B7,'SegEnds_NonXtal_Prot#'!A:AL,34,FALSE)-VLOOKUP(B7,'SegEnds_NonXtal_Prot#'!A:AL,31,FALSE)</f>
        <v>35</v>
      </c>
      <c r="AN7" s="38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</row>
    <row r="8" spans="1:64" s="2" customFormat="1" x14ac:dyDescent="0.2">
      <c r="A8" s="2" t="s">
        <v>1247</v>
      </c>
      <c r="B8" s="2" t="s">
        <v>146</v>
      </c>
      <c r="C8" s="2">
        <f>IFERROR(50+VLOOKUP($A8,'SegEnds_Xtal_Prot#'!$A:$AY,5,FALSE)-VLOOKUP($B8,'SegEnds_NonXtal_Prot#'!$A:$AL,4,FALSE),"-")</f>
        <v>29</v>
      </c>
      <c r="D8" s="2">
        <f>IFERROR(50+VLOOKUP($A8,'SegEnds_Xtal_Prot#'!$A:$AY,7,FALSE)-VLOOKUP($B8,'SegEnds_NonXtal_Prot#'!$A:$AL,4,FALSE),"-")</f>
        <v>60</v>
      </c>
      <c r="E8" s="2">
        <f>IFERROR(50+VLOOKUP($A8,'SegEnds_Xtal_Prot#'!$A:$AY,9,FALSE)-VLOOKUP($B8,'SegEnds_NonXtal_Prot#'!$A:$AL,7,FALSE),"-")</f>
        <v>48</v>
      </c>
      <c r="F8" s="2">
        <f>IFERROR(50+VLOOKUP($A8,'SegEnds_Xtal_Prot#'!$A:$AY,11,FALSE)-VLOOKUP($B8,'SegEnds_NonXtal_Prot#'!$A:$AL,7,FALSE),"-")</f>
        <v>51</v>
      </c>
      <c r="G8" s="2">
        <f>IFERROR(50+VLOOKUP($A8,'SegEnds_Xtal_Prot#'!$A:$AY,13,FALSE)-VLOOKUP($B8,'SegEnds_NonXtal_Prot#'!$A:$AL,10,FALSE),"-")</f>
        <v>37</v>
      </c>
      <c r="H8" s="2">
        <f>IFERROR(50+VLOOKUP($A8,'SegEnds_Xtal_Prot#'!$A:$AY,15,FALSE)-VLOOKUP($B8,'SegEnds_NonXtal_Prot#'!$A:$AL,10,FALSE),"-")</f>
        <v>67</v>
      </c>
      <c r="I8" s="2">
        <f>IFERROR(50+VLOOKUP($A8,'SegEnds_Xtal_Prot#'!$A:$AY,17,FALSE)-VLOOKUP($B8,'SegEnds_NonXtal_Prot#'!$A:$AL,13,FALSE),"-")</f>
        <v>49</v>
      </c>
      <c r="J8" s="2">
        <f>IFERROR(50+VLOOKUP($A8,'SegEnds_Xtal_Prot#'!$A:$AY,19,FALSE)-VLOOKUP($B8,'SegEnds_NonXtal_Prot#'!$A:$AL,13,FALSE),"-")</f>
        <v>52</v>
      </c>
      <c r="K8" s="2">
        <f>IFERROR(50+VLOOKUP($A8,'SegEnds_Xtal_Prot#'!$A:$AY,21,FALSE)-VLOOKUP($B8,'SegEnds_NonXtal_Prot#'!$A:$AL,16,FALSE),"-")</f>
        <v>21</v>
      </c>
      <c r="L8" s="2">
        <f>IFERROR(50+VLOOKUP($A8,'SegEnds_Xtal_Prot#'!$A:$AY,23,FALSE)-VLOOKUP($B8,'SegEnds_NonXtal_Prot#'!$A:$AL,16,FALSE),"-")</f>
        <v>56</v>
      </c>
      <c r="M8" s="2">
        <f>IFERROR(50+VLOOKUP($A8,'SegEnds_Xtal_Prot#'!$A:$AY,25,FALSE)-VLOOKUP($B8,'SegEnds_NonXtal_Prot#'!$A:$AL,19,FALSE),"-")</f>
        <v>50</v>
      </c>
      <c r="N8" s="2">
        <f>IFERROR(50+VLOOKUP($A8,'SegEnds_Xtal_Prot#'!$A:$AY,27,FALSE)-VLOOKUP($B8,'SegEnds_NonXtal_Prot#'!$A:$AL,19,FALSE),"-")</f>
        <v>57</v>
      </c>
      <c r="O8" s="2">
        <f>IFERROR(50+VLOOKUP($A8,'SegEnds_Xtal_Prot#'!$A:$AY,29,FALSE)-VLOOKUP($B8,'SegEnds_NonXtal_Prot#'!$A:$AL,22,FALSE),"-")</f>
        <v>38</v>
      </c>
      <c r="P8" s="2">
        <f>IFERROR(50+VLOOKUP($A8,'SegEnds_Xtal_Prot#'!$A:$AY,31,FALSE)-VLOOKUP($B8,'SegEnds_NonXtal_Prot#'!$A:$AL,22,FALSE),"-")</f>
        <v>69</v>
      </c>
      <c r="Q8" s="2">
        <f>IFERROR(50+VLOOKUP($A8,'SegEnds_Xtal_Prot#'!$A:$AY,33,FALSE)-VLOOKUP($B8,'SegEnds_NonXtal_Prot#'!$A:$AL,25,FALSE),"-")</f>
        <v>50</v>
      </c>
      <c r="R8" s="2">
        <f>IFERROR(50+VLOOKUP($A8,'SegEnds_Xtal_Prot#'!$A:$AY,35,FALSE)-VLOOKUP($B8,'SegEnds_NonXtal_Prot#'!$A:$AL,25,FALSE),"-")</f>
        <v>52</v>
      </c>
      <c r="S8" s="2">
        <f>IFERROR(50+VLOOKUP($A8,'SegEnds_Xtal_Prot#'!$A:$AY,37,FALSE)-VLOOKUP($B8,'SegEnds_NonXtal_Prot#'!$A:$AL,28,FALSE),"-")</f>
        <v>35</v>
      </c>
      <c r="T8" s="2">
        <f>IFERROR(50+VLOOKUP($A8,'SegEnds_Xtal_Prot#'!$A:$AY,39,FALSE)-VLOOKUP($B8,'SegEnds_NonXtal_Prot#'!$A:$AL,28,FALSE),"-")</f>
        <v>75</v>
      </c>
      <c r="U8" s="2">
        <f>IFERROR(50+VLOOKUP($A8,'SegEnds_Xtal_Prot#'!$A:$AY,41,FALSE)-VLOOKUP($B8,'SegEnds_NonXtal_Prot#'!$A:$AL,31,FALSE),"-")</f>
        <v>24</v>
      </c>
      <c r="V8" s="2">
        <f>IFERROR(50+VLOOKUP($A8,'SegEnds_Xtal_Prot#'!$A:$AY,43,FALSE)-VLOOKUP($B8,'SegEnds_NonXtal_Prot#'!$A:$AL,31,FALSE),"-")</f>
        <v>61</v>
      </c>
      <c r="W8" s="2">
        <f>IFERROR(50+VLOOKUP($A8,'SegEnds_Xtal_Prot#'!$A:$AY,45,FALSE)-VLOOKUP($B8,'SegEnds_NonXtal_Prot#'!$A:$AL,34,FALSE),"-")</f>
        <v>31</v>
      </c>
      <c r="X8" s="2">
        <f>IFERROR(50+VLOOKUP($A8,'SegEnds_Xtal_Prot#'!$A:$AY,47,FALSE)-VLOOKUP($B8,'SegEnds_NonXtal_Prot#'!$A:$AL,34,FALSE),"-")</f>
        <v>56</v>
      </c>
      <c r="Y8" s="2">
        <f>IFERROR(50+VLOOKUP($A8,'SegEnds_Xtal_Prot#'!$A:$AY,49,FALSE)-VLOOKUP($B8,'SegEnds_NonXtal_Prot#'!$A:$AL,37,FALSE),"-")</f>
        <v>47</v>
      </c>
      <c r="Z8" s="2">
        <f>IFERROR(50+VLOOKUP($A8,'SegEnds_Xtal_Prot#'!$A:$AY,51,FALSE)-VLOOKUP($B8,'SegEnds_NonXtal_Prot#'!$A:$AL,37,FALSE),"-")</f>
        <v>59</v>
      </c>
      <c r="AA8" s="50" t="str">
        <f>VLOOKUP(B8,Classification!A:D,2,FALSE)</f>
        <v>A</v>
      </c>
      <c r="AB8" s="97" t="str">
        <f>VLOOKUP(B8,Classification!A:D,4,0)</f>
        <v>Acetylcholine(muscarinic)</v>
      </c>
      <c r="AC8" s="50">
        <f>VLOOKUP(B8,'SegEnds_NonXtal_Prot#'!A:AL,6,FALSE)-VLOOKUP(B8,'SegEnds_NonXtal_Prot#'!A:AL,5,FALSE)</f>
        <v>1</v>
      </c>
      <c r="AD8" s="50">
        <f>VLOOKUP(B8,'SegEnds_NonXtal_Prot#'!A:AL,9,FALSE)-VLOOKUP(B8,'SegEnds_NonXtal_Prot#'!A:AL,8,FALSE)</f>
        <v>1</v>
      </c>
      <c r="AE8" s="50">
        <f>VLOOKUP(B8,'SegEnds_NonXtal_Prot#'!A:AL,13,FALSE)-VLOOKUP(B8,'SegEnds_NonXtal_Prot#'!A:AL,10,FALSE)</f>
        <v>20</v>
      </c>
      <c r="AF8" s="50">
        <f>VLOOKUP(B8,'SegEnds_NonXtal_Prot#'!A:AL,12,FALSE)-VLOOKUP(B8,'SegEnds_NonXtal_Prot#'!A:AL,11,FALSE)</f>
        <v>2</v>
      </c>
      <c r="AG8" s="50">
        <f>VLOOKUP(B8,'SegEnds_NonXtal_Prot#'!A:AL,13,FALSE)-VLOOKUP(B8,'SegEnds_NonXtal_Prot#'!A:AL,11,FALSE)</f>
        <v>3</v>
      </c>
      <c r="AH8" s="50">
        <f>VLOOKUP(B8,'SegEnds_NonXtal_Prot#'!A:AL,16,FALSE)-VLOOKUP(B8,'SegEnds_NonXtal_Prot#'!A:AL,10,FALSE)</f>
        <v>52</v>
      </c>
      <c r="AI8" s="50">
        <f>VLOOKUP(B8,'SegEnds_NonXtal_Prot#'!A:AL,16,FALSE)-VLOOKUP(B8,'SegEnds_NonXtal_Prot#'!A:AL,11,FALSE)</f>
        <v>35</v>
      </c>
      <c r="AJ8" s="50">
        <f>VLOOKUP(B8,'SegEnds_NonXtal_Prot#'!A:AL,22,FALSE)-VLOOKUP(B8,'SegEnds_NonXtal_Prot#'!A:AL,19,FALSE)</f>
        <v>20</v>
      </c>
      <c r="AK8" s="50">
        <f>VLOOKUP(B8,'SegEnds_NonXtal_Prot#'!A:AL,15,FALSE)-VLOOKUP(B8,'SegEnds_NonXtal_Prot#'!A:AL,14,FALSE)</f>
        <v>1</v>
      </c>
      <c r="AL8" s="50">
        <f>VLOOKUP(B8,'SegEnds_NonXtal_Prot#'!A:AL,18,FALSE)-VLOOKUP(B8,'SegEnds_NonXtal_Prot#'!A:AL,17,FALSE)</f>
        <v>1</v>
      </c>
      <c r="AM8" s="2">
        <f>VLOOKUP(B8,'SegEnds_NonXtal_Prot#'!A:AL,34,FALSE)-VLOOKUP(B8,'SegEnds_NonXtal_Prot#'!A:AL,31,FALSE)</f>
        <v>35</v>
      </c>
      <c r="AN8" s="38"/>
    </row>
    <row r="9" spans="1:64" s="2" customFormat="1" x14ac:dyDescent="0.2">
      <c r="A9" s="2" t="s">
        <v>1249</v>
      </c>
      <c r="B9" s="2" t="s">
        <v>910</v>
      </c>
      <c r="C9" s="2">
        <f>IFERROR(50+VLOOKUP($A9,'SegEnds_Xtal_Prot#'!$A:$AY,5,FALSE)-VLOOKUP($B9,'SegEnds_NonXtal_Prot#'!$A:$AL,4,FALSE),"-")</f>
        <v>29</v>
      </c>
      <c r="D9" s="2">
        <f>IFERROR(50+VLOOKUP($A9,'SegEnds_Xtal_Prot#'!$A:$AY,7,FALSE)-VLOOKUP($B9,'SegEnds_NonXtal_Prot#'!$A:$AL,4,FALSE),"-")</f>
        <v>60</v>
      </c>
      <c r="E9" s="2">
        <f>IFERROR(50+VLOOKUP($A9,'SegEnds_Xtal_Prot#'!$A:$AY,9,FALSE)-VLOOKUP($B9,'SegEnds_NonXtal_Prot#'!$A:$AL,7,FALSE),"-")</f>
        <v>48</v>
      </c>
      <c r="F9" s="2">
        <f>IFERROR(50+VLOOKUP($A9,'SegEnds_Xtal_Prot#'!$A:$AY,11,FALSE)-VLOOKUP($B9,'SegEnds_NonXtal_Prot#'!$A:$AL,7,FALSE),"-")</f>
        <v>51</v>
      </c>
      <c r="G9" s="2">
        <f>IFERROR(50+VLOOKUP($A9,'SegEnds_Xtal_Prot#'!$A:$AY,13,FALSE)-VLOOKUP($B9,'SegEnds_NonXtal_Prot#'!$A:$AL,10,FALSE),"-")</f>
        <v>37</v>
      </c>
      <c r="H9" s="2">
        <f>IFERROR(50+VLOOKUP($A9,'SegEnds_Xtal_Prot#'!$A:$AY,15,FALSE)-VLOOKUP($B9,'SegEnds_NonXtal_Prot#'!$A:$AL,10,FALSE),"-")</f>
        <v>67</v>
      </c>
      <c r="I9" s="2">
        <f>IFERROR(50+VLOOKUP($A9,'SegEnds_Xtal_Prot#'!$A:$AY,17,FALSE)-VLOOKUP($B9,'SegEnds_NonXtal_Prot#'!$A:$AL,13,FALSE),"-")</f>
        <v>49</v>
      </c>
      <c r="J9" s="2">
        <f>IFERROR(50+VLOOKUP($A9,'SegEnds_Xtal_Prot#'!$A:$AY,19,FALSE)-VLOOKUP($B9,'SegEnds_NonXtal_Prot#'!$A:$AL,13,FALSE),"-")</f>
        <v>52</v>
      </c>
      <c r="K9" s="2">
        <f>IFERROR(50+VLOOKUP($A9,'SegEnds_Xtal_Prot#'!$A:$AY,21,FALSE)-VLOOKUP($B9,'SegEnds_NonXtal_Prot#'!$A:$AL,16,FALSE),"-")</f>
        <v>21</v>
      </c>
      <c r="L9" s="2">
        <f>IFERROR(50+VLOOKUP($A9,'SegEnds_Xtal_Prot#'!$A:$AY,23,FALSE)-VLOOKUP($B9,'SegEnds_NonXtal_Prot#'!$A:$AL,16,FALSE),"-")</f>
        <v>56</v>
      </c>
      <c r="M9" s="2">
        <f>IFERROR(50+VLOOKUP($A9,'SegEnds_Xtal_Prot#'!$A:$AY,25,FALSE)-VLOOKUP($B9,'SegEnds_NonXtal_Prot#'!$A:$AL,19,FALSE),"-")</f>
        <v>50</v>
      </c>
      <c r="N9" s="2">
        <f>IFERROR(50+VLOOKUP($A9,'SegEnds_Xtal_Prot#'!$A:$AY,27,FALSE)-VLOOKUP($B9,'SegEnds_NonXtal_Prot#'!$A:$AL,19,FALSE),"-")</f>
        <v>57</v>
      </c>
      <c r="O9" s="2">
        <f>IFERROR(50+VLOOKUP($A9,'SegEnds_Xtal_Prot#'!$A:$AY,29,FALSE)-VLOOKUP($B9,'SegEnds_NonXtal_Prot#'!$A:$AL,22,FALSE),"-")</f>
        <v>38</v>
      </c>
      <c r="P9" s="2">
        <f>IFERROR(50+VLOOKUP($A9,'SegEnds_Xtal_Prot#'!$A:$AY,31,FALSE)-VLOOKUP($B9,'SegEnds_NonXtal_Prot#'!$A:$AL,22,FALSE),"-")</f>
        <v>69</v>
      </c>
      <c r="Q9" s="2">
        <f>IFERROR(50+VLOOKUP($A9,'SegEnds_Xtal_Prot#'!$A:$AY,33,FALSE)-VLOOKUP($B9,'SegEnds_NonXtal_Prot#'!$A:$AL,25,FALSE),"-")</f>
        <v>50</v>
      </c>
      <c r="R9" s="2">
        <f>IFERROR(50+VLOOKUP($A9,'SegEnds_Xtal_Prot#'!$A:$AY,35,FALSE)-VLOOKUP($B9,'SegEnds_NonXtal_Prot#'!$A:$AL,25,FALSE),"-")</f>
        <v>52</v>
      </c>
      <c r="S9" s="2">
        <f>IFERROR(50+VLOOKUP($A9,'SegEnds_Xtal_Prot#'!$A:$AY,37,FALSE)-VLOOKUP($B9,'SegEnds_NonXtal_Prot#'!$A:$AL,28,FALSE),"-")</f>
        <v>35</v>
      </c>
      <c r="T9" s="2">
        <f>IFERROR(50+VLOOKUP($A9,'SegEnds_Xtal_Prot#'!$A:$AY,39,FALSE)-VLOOKUP($B9,'SegEnds_NonXtal_Prot#'!$A:$AL,28,FALSE),"-")</f>
        <v>75</v>
      </c>
      <c r="U9" s="2">
        <f>IFERROR(50+VLOOKUP($A9,'SegEnds_Xtal_Prot#'!$A:$AY,41,FALSE)-VLOOKUP($B9,'SegEnds_NonXtal_Prot#'!$A:$AL,31,FALSE),"-")</f>
        <v>24</v>
      </c>
      <c r="V9" s="2">
        <f>IFERROR(50+VLOOKUP($A9,'SegEnds_Xtal_Prot#'!$A:$AY,43,FALSE)-VLOOKUP($B9,'SegEnds_NonXtal_Prot#'!$A:$AL,31,FALSE),"-")</f>
        <v>61</v>
      </c>
      <c r="W9" s="2">
        <f>IFERROR(50+VLOOKUP($A9,'SegEnds_Xtal_Prot#'!$A:$AY,45,FALSE)-VLOOKUP($B9,'SegEnds_NonXtal_Prot#'!$A:$AL,34,FALSE),"-")</f>
        <v>31</v>
      </c>
      <c r="X9" s="2">
        <f>IFERROR(50+VLOOKUP($A9,'SegEnds_Xtal_Prot#'!$A:$AY,47,FALSE)-VLOOKUP($B9,'SegEnds_NonXtal_Prot#'!$A:$AL,34,FALSE),"-")</f>
        <v>56</v>
      </c>
      <c r="Y9" s="2">
        <f>IFERROR(50+VLOOKUP($A9,'SegEnds_Xtal_Prot#'!$A:$AY,49,FALSE)-VLOOKUP($B9,'SegEnds_NonXtal_Prot#'!$A:$AL,37,FALSE),"-")</f>
        <v>47</v>
      </c>
      <c r="Z9" s="2">
        <f>IFERROR(50+VLOOKUP($A9,'SegEnds_Xtal_Prot#'!$A:$AY,51,FALSE)-VLOOKUP($B9,'SegEnds_NonXtal_Prot#'!$A:$AL,37,FALSE),"-")</f>
        <v>58</v>
      </c>
      <c r="AA9" s="50" t="str">
        <f>VLOOKUP(B9,Classification!A:D,2,FALSE)</f>
        <v>A</v>
      </c>
      <c r="AB9" s="97" t="str">
        <f>VLOOKUP(B9,Classification!A:D,4,0)</f>
        <v>Acetylcholine(muscarinic)</v>
      </c>
      <c r="AC9" s="50">
        <f>VLOOKUP(B9,'SegEnds_NonXtal_Prot#'!A:AL,6,FALSE)-VLOOKUP(B9,'SegEnds_NonXtal_Prot#'!A:AL,5,FALSE)</f>
        <v>1</v>
      </c>
      <c r="AD9" s="50">
        <f>VLOOKUP(B9,'SegEnds_NonXtal_Prot#'!A:AL,9,FALSE)-VLOOKUP(B9,'SegEnds_NonXtal_Prot#'!A:AL,8,FALSE)</f>
        <v>1</v>
      </c>
      <c r="AE9" s="50">
        <f>VLOOKUP(B9,'SegEnds_NonXtal_Prot#'!A:AL,13,FALSE)-VLOOKUP(B9,'SegEnds_NonXtal_Prot#'!A:AL,10,FALSE)</f>
        <v>20</v>
      </c>
      <c r="AF9" s="50">
        <f>VLOOKUP(B9,'SegEnds_NonXtal_Prot#'!A:AL,12,FALSE)-VLOOKUP(B9,'SegEnds_NonXtal_Prot#'!A:AL,11,FALSE)</f>
        <v>2</v>
      </c>
      <c r="AG9" s="50">
        <f>VLOOKUP(B9,'SegEnds_NonXtal_Prot#'!A:AL,13,FALSE)-VLOOKUP(B9,'SegEnds_NonXtal_Prot#'!A:AL,11,FALSE)</f>
        <v>3</v>
      </c>
      <c r="AH9" s="50">
        <f>VLOOKUP(B9,'SegEnds_NonXtal_Prot#'!A:AL,16,FALSE)-VLOOKUP(B9,'SegEnds_NonXtal_Prot#'!A:AL,10,FALSE)</f>
        <v>52</v>
      </c>
      <c r="AI9" s="50">
        <f>VLOOKUP(B9,'SegEnds_NonXtal_Prot#'!A:AL,16,FALSE)-VLOOKUP(B9,'SegEnds_NonXtal_Prot#'!A:AL,11,FALSE)</f>
        <v>35</v>
      </c>
      <c r="AJ9" s="50">
        <f>VLOOKUP(B9,'SegEnds_NonXtal_Prot#'!A:AL,22,FALSE)-VLOOKUP(B9,'SegEnds_NonXtal_Prot#'!A:AL,19,FALSE)</f>
        <v>20</v>
      </c>
      <c r="AK9" s="50">
        <f>VLOOKUP(B9,'SegEnds_NonXtal_Prot#'!A:AL,15,FALSE)-VLOOKUP(B9,'SegEnds_NonXtal_Prot#'!A:AL,14,FALSE)</f>
        <v>1</v>
      </c>
      <c r="AL9" s="50">
        <f>VLOOKUP(B9,'SegEnds_NonXtal_Prot#'!A:AL,18,FALSE)-VLOOKUP(B9,'SegEnds_NonXtal_Prot#'!A:AL,17,FALSE)</f>
        <v>1</v>
      </c>
      <c r="AM9" s="2">
        <f>VLOOKUP(B9,'SegEnds_NonXtal_Prot#'!A:AL,34,FALSE)-VLOOKUP(B9,'SegEnds_NonXtal_Prot#'!A:AL,31,FALSE)</f>
        <v>35</v>
      </c>
      <c r="AN9" s="38"/>
    </row>
    <row r="10" spans="1:64" s="2" customFormat="1" x14ac:dyDescent="0.2">
      <c r="A10" s="2" t="s">
        <v>1248</v>
      </c>
      <c r="B10" s="2" t="s">
        <v>147</v>
      </c>
      <c r="C10" s="2">
        <f>IFERROR(50+VLOOKUP($A10,'SegEnds_Xtal_Prot#'!$A:$AY,5,FALSE)-VLOOKUP($B10,'SegEnds_NonXtal_Prot#'!$A:$AL,4,FALSE),"-")</f>
        <v>28</v>
      </c>
      <c r="D10" s="2">
        <f>IFERROR(50+VLOOKUP($A10,'SegEnds_Xtal_Prot#'!$A:$AY,7,FALSE)-VLOOKUP($B10,'SegEnds_NonXtal_Prot#'!$A:$AL,4,FALSE),"-")</f>
        <v>60</v>
      </c>
      <c r="E10" s="2">
        <f>IFERROR(50+VLOOKUP($A10,'SegEnds_Xtal_Prot#'!$A:$AY,9,FALSE)-VLOOKUP($B10,'SegEnds_NonXtal_Prot#'!$A:$AL,7,FALSE),"-")</f>
        <v>48</v>
      </c>
      <c r="F10" s="2">
        <f>IFERROR(50+VLOOKUP($A10,'SegEnds_Xtal_Prot#'!$A:$AY,11,FALSE)-VLOOKUP($B10,'SegEnds_NonXtal_Prot#'!$A:$AL,7,FALSE),"-")</f>
        <v>51</v>
      </c>
      <c r="G10" s="2">
        <f>IFERROR(50+VLOOKUP($A10,'SegEnds_Xtal_Prot#'!$A:$AY,13,FALSE)-VLOOKUP($B10,'SegEnds_NonXtal_Prot#'!$A:$AL,10,FALSE),"-")</f>
        <v>37</v>
      </c>
      <c r="H10" s="2">
        <f>IFERROR(50+VLOOKUP($A10,'SegEnds_Xtal_Prot#'!$A:$AY,15,FALSE)-VLOOKUP($B10,'SegEnds_NonXtal_Prot#'!$A:$AL,10,FALSE),"-")</f>
        <v>67</v>
      </c>
      <c r="I10" s="2">
        <f>IFERROR(50+VLOOKUP($A10,'SegEnds_Xtal_Prot#'!$A:$AY,17,FALSE)-VLOOKUP($B10,'SegEnds_NonXtal_Prot#'!$A:$AL,13,FALSE),"-")</f>
        <v>49</v>
      </c>
      <c r="J10" s="2">
        <f>IFERROR(50+VLOOKUP($A10,'SegEnds_Xtal_Prot#'!$A:$AY,19,FALSE)-VLOOKUP($B10,'SegEnds_NonXtal_Prot#'!$A:$AL,13,FALSE),"-")</f>
        <v>52</v>
      </c>
      <c r="K10" s="2">
        <f>IFERROR(50+VLOOKUP($A10,'SegEnds_Xtal_Prot#'!$A:$AY,21,FALSE)-VLOOKUP($B10,'SegEnds_NonXtal_Prot#'!$A:$AL,16,FALSE),"-")</f>
        <v>21</v>
      </c>
      <c r="L10" s="2">
        <f>IFERROR(50+VLOOKUP($A10,'SegEnds_Xtal_Prot#'!$A:$AY,23,FALSE)-VLOOKUP($B10,'SegEnds_NonXtal_Prot#'!$A:$AL,16,FALSE),"-")</f>
        <v>56</v>
      </c>
      <c r="M10" s="2">
        <f>IFERROR(50+VLOOKUP($A10,'SegEnds_Xtal_Prot#'!$A:$AY,25,FALSE)-VLOOKUP($B10,'SegEnds_NonXtal_Prot#'!$A:$AL,19,FALSE),"-")</f>
        <v>50</v>
      </c>
      <c r="N10" s="2">
        <f>IFERROR(50+VLOOKUP($A10,'SegEnds_Xtal_Prot#'!$A:$AY,27,FALSE)-VLOOKUP($B10,'SegEnds_NonXtal_Prot#'!$A:$AL,19,FALSE),"-")</f>
        <v>57</v>
      </c>
      <c r="O10" s="2">
        <f>IFERROR(50+VLOOKUP($A10,'SegEnds_Xtal_Prot#'!$A:$AY,29,FALSE)-VLOOKUP($B10,'SegEnds_NonXtal_Prot#'!$A:$AL,22,FALSE),"-")</f>
        <v>38</v>
      </c>
      <c r="P10" s="2">
        <f>IFERROR(50+VLOOKUP($A10,'SegEnds_Xtal_Prot#'!$A:$AY,31,FALSE)-VLOOKUP($B10,'SegEnds_NonXtal_Prot#'!$A:$AL,22,FALSE),"-")</f>
        <v>69</v>
      </c>
      <c r="Q10" s="2">
        <f>IFERROR(50+VLOOKUP($A10,'SegEnds_Xtal_Prot#'!$A:$AY,33,FALSE)-VLOOKUP($B10,'SegEnds_NonXtal_Prot#'!$A:$AL,25,FALSE),"-")</f>
        <v>50</v>
      </c>
      <c r="R10" s="2">
        <f>IFERROR(50+VLOOKUP($A10,'SegEnds_Xtal_Prot#'!$A:$AY,35,FALSE)-VLOOKUP($B10,'SegEnds_NonXtal_Prot#'!$A:$AL,25,FALSE),"-")</f>
        <v>52</v>
      </c>
      <c r="S10" s="2">
        <f>IFERROR(50+VLOOKUP($A10,'SegEnds_Xtal_Prot#'!$A:$AY,37,FALSE)-VLOOKUP($B10,'SegEnds_NonXtal_Prot#'!$A:$AL,28,FALSE),"-")</f>
        <v>35</v>
      </c>
      <c r="T10" s="2">
        <f>IFERROR(50+VLOOKUP($A10,'SegEnds_Xtal_Prot#'!$A:$AY,39,FALSE)-VLOOKUP($B10,'SegEnds_NonXtal_Prot#'!$A:$AL,28,FALSE),"-")</f>
        <v>75</v>
      </c>
      <c r="U10" s="2">
        <f>IFERROR(50+VLOOKUP($A10,'SegEnds_Xtal_Prot#'!$A:$AY,41,FALSE)-VLOOKUP($B10,'SegEnds_NonXtal_Prot#'!$A:$AL,31,FALSE),"-")</f>
        <v>24</v>
      </c>
      <c r="V10" s="2">
        <f>IFERROR(50+VLOOKUP($A10,'SegEnds_Xtal_Prot#'!$A:$AY,43,FALSE)-VLOOKUP($B10,'SegEnds_NonXtal_Prot#'!$A:$AL,31,FALSE),"-")</f>
        <v>61</v>
      </c>
      <c r="W10" s="2">
        <f>IFERROR(50+VLOOKUP($A10,'SegEnds_Xtal_Prot#'!$A:$AY,45,FALSE)-VLOOKUP($B10,'SegEnds_NonXtal_Prot#'!$A:$AL,34,FALSE),"-")</f>
        <v>31</v>
      </c>
      <c r="X10" s="2">
        <f>IFERROR(50+VLOOKUP($A10,'SegEnds_Xtal_Prot#'!$A:$AY,47,FALSE)-VLOOKUP($B10,'SegEnds_NonXtal_Prot#'!$A:$AL,34,FALSE),"-")</f>
        <v>56</v>
      </c>
      <c r="Y10" s="2">
        <f>IFERROR(50+VLOOKUP($A10,'SegEnds_Xtal_Prot#'!$A:$AY,49,FALSE)-VLOOKUP($B10,'SegEnds_NonXtal_Prot#'!$A:$AL,37,FALSE),"-")</f>
        <v>47</v>
      </c>
      <c r="Z10" s="2">
        <f>IFERROR(50+VLOOKUP($A10,'SegEnds_Xtal_Prot#'!$A:$AY,51,FALSE)-VLOOKUP($B10,'SegEnds_NonXtal_Prot#'!$A:$AL,37,FALSE),"-")</f>
        <v>59</v>
      </c>
      <c r="AA10" s="50" t="str">
        <f>VLOOKUP(B10,Classification!A:D,2,FALSE)</f>
        <v>A</v>
      </c>
      <c r="AB10" s="97" t="str">
        <f>VLOOKUP(B10,Classification!A:D,4,0)</f>
        <v>Acetylcholine(muscarinic)</v>
      </c>
      <c r="AC10" s="50">
        <f>VLOOKUP(B10,'SegEnds_NonXtal_Prot#'!A:AL,6,FALSE)-VLOOKUP(B10,'SegEnds_NonXtal_Prot#'!A:AL,5,FALSE)</f>
        <v>1</v>
      </c>
      <c r="AD10" s="50">
        <f>VLOOKUP(B10,'SegEnds_NonXtal_Prot#'!A:AL,9,FALSE)-VLOOKUP(B10,'SegEnds_NonXtal_Prot#'!A:AL,8,FALSE)</f>
        <v>1</v>
      </c>
      <c r="AE10" s="50">
        <f>VLOOKUP(B10,'SegEnds_NonXtal_Prot#'!A:AL,13,FALSE)-VLOOKUP(B10,'SegEnds_NonXtal_Prot#'!A:AL,10,FALSE)</f>
        <v>20</v>
      </c>
      <c r="AF10" s="50">
        <f>VLOOKUP(B10,'SegEnds_NonXtal_Prot#'!A:AL,12,FALSE)-VLOOKUP(B10,'SegEnds_NonXtal_Prot#'!A:AL,11,FALSE)</f>
        <v>2</v>
      </c>
      <c r="AG10" s="50">
        <f>VLOOKUP(B10,'SegEnds_NonXtal_Prot#'!A:AL,13,FALSE)-VLOOKUP(B10,'SegEnds_NonXtal_Prot#'!A:AL,11,FALSE)</f>
        <v>3</v>
      </c>
      <c r="AH10" s="50">
        <f>VLOOKUP(B10,'SegEnds_NonXtal_Prot#'!A:AL,16,FALSE)-VLOOKUP(B10,'SegEnds_NonXtal_Prot#'!A:AL,10,FALSE)</f>
        <v>52</v>
      </c>
      <c r="AI10" s="50">
        <f>VLOOKUP(B10,'SegEnds_NonXtal_Prot#'!A:AL,16,FALSE)-VLOOKUP(B10,'SegEnds_NonXtal_Prot#'!A:AL,11,FALSE)</f>
        <v>35</v>
      </c>
      <c r="AJ10" s="50">
        <f>VLOOKUP(B10,'SegEnds_NonXtal_Prot#'!A:AL,22,FALSE)-VLOOKUP(B10,'SegEnds_NonXtal_Prot#'!A:AL,19,FALSE)</f>
        <v>20</v>
      </c>
      <c r="AK10" s="50">
        <f>VLOOKUP(B10,'SegEnds_NonXtal_Prot#'!A:AL,15,FALSE)-VLOOKUP(B10,'SegEnds_NonXtal_Prot#'!A:AL,14,FALSE)</f>
        <v>1</v>
      </c>
      <c r="AL10" s="50">
        <f>VLOOKUP(B10,'SegEnds_NonXtal_Prot#'!A:AL,18,FALSE)-VLOOKUP(B10,'SegEnds_NonXtal_Prot#'!A:AL,17,FALSE)</f>
        <v>1</v>
      </c>
      <c r="AM10" s="2">
        <f>VLOOKUP(B10,'SegEnds_NonXtal_Prot#'!A:AL,34,FALSE)-VLOOKUP(B10,'SegEnds_NonXtal_Prot#'!A:AL,31,FALSE)</f>
        <v>35</v>
      </c>
      <c r="AN10" s="38"/>
    </row>
    <row r="11" spans="1:64" s="2" customFormat="1" x14ac:dyDescent="0.2">
      <c r="A11" s="2" t="s">
        <v>1397</v>
      </c>
      <c r="B11" s="2" t="s">
        <v>138</v>
      </c>
      <c r="C11" s="2">
        <f>IFERROR(50+VLOOKUP($A11,'SegEnds_Xtal_Prot#'!$A:$AY,5,FALSE)-VLOOKUP($B11,'SegEnds_NonXtal_Prot#'!$A:$AL,4,FALSE),"-")</f>
        <v>29</v>
      </c>
      <c r="D11" s="2">
        <f>IFERROR(50+VLOOKUP($A11,'SegEnds_Xtal_Prot#'!$A:$AY,7,FALSE)-VLOOKUP($B11,'SegEnds_NonXtal_Prot#'!$A:$AL,4,FALSE),"-")</f>
        <v>60</v>
      </c>
      <c r="E11" s="2">
        <f>IFERROR(50+VLOOKUP($A11,'SegEnds_Xtal_Prot#'!$A:$AY,9,FALSE)-VLOOKUP($B11,'SegEnds_NonXtal_Prot#'!$A:$AL,7,FALSE),"-")</f>
        <v>48</v>
      </c>
      <c r="F11" s="2">
        <f>IFERROR(50+VLOOKUP($A11,'SegEnds_Xtal_Prot#'!$A:$AY,11,FALSE)-VLOOKUP($B11,'SegEnds_NonXtal_Prot#'!$A:$AL,7,FALSE),"-")</f>
        <v>51</v>
      </c>
      <c r="G11" s="2">
        <f>IFERROR(50+VLOOKUP($A11,'SegEnds_Xtal_Prot#'!$A:$AY,13,FALSE)-VLOOKUP($B11,'SegEnds_NonXtal_Prot#'!$A:$AL,10,FALSE),"-")</f>
        <v>37</v>
      </c>
      <c r="H11" s="2">
        <f>IFERROR(50+VLOOKUP($A11,'SegEnds_Xtal_Prot#'!$A:$AY,15,FALSE)-VLOOKUP($B11,'SegEnds_NonXtal_Prot#'!$A:$AL,10,FALSE),"-")</f>
        <v>67</v>
      </c>
      <c r="I11" s="2">
        <f>IFERROR(50+VLOOKUP($A11,'SegEnds_Xtal_Prot#'!$A:$AY,17,FALSE)-VLOOKUP($B11,'SegEnds_NonXtal_Prot#'!$A:$AL,13,FALSE),"-")</f>
        <v>50</v>
      </c>
      <c r="J11" s="2">
        <f>IFERROR(50+VLOOKUP($A11,'SegEnds_Xtal_Prot#'!$A:$AY,19,FALSE)-VLOOKUP($B11,'SegEnds_NonXtal_Prot#'!$A:$AL,13,FALSE),"-")</f>
        <v>52</v>
      </c>
      <c r="K11" s="2">
        <f>IFERROR(50+VLOOKUP($A11,'SegEnds_Xtal_Prot#'!$A:$AY,21,FALSE)-VLOOKUP($B11,'SegEnds_NonXtal_Prot#'!$A:$AL,16,FALSE),"-")</f>
        <v>21</v>
      </c>
      <c r="L11" s="2">
        <f>IFERROR(50+VLOOKUP($A11,'SegEnds_Xtal_Prot#'!$A:$AY,23,FALSE)-VLOOKUP($B11,'SegEnds_NonXtal_Prot#'!$A:$AL,16,FALSE),"-")</f>
        <v>56</v>
      </c>
      <c r="M11" s="2">
        <f>IFERROR(50+VLOOKUP($A11,'SegEnds_Xtal_Prot#'!$A:$AY,25,FALSE)-VLOOKUP($B11,'SegEnds_NonXtal_Prot#'!$A:$AL,19,FALSE),"-")</f>
        <v>50</v>
      </c>
      <c r="N11" s="2">
        <f>IFERROR(50+VLOOKUP($A11,'SegEnds_Xtal_Prot#'!$A:$AY,27,FALSE)-VLOOKUP($B11,'SegEnds_NonXtal_Prot#'!$A:$AL,19,FALSE),"-")</f>
        <v>57</v>
      </c>
      <c r="O11" s="2">
        <f>IFERROR(50+VLOOKUP($A11,'SegEnds_Xtal_Prot#'!$A:$AY,29,FALSE)-VLOOKUP($B11,'SegEnds_NonXtal_Prot#'!$A:$AL,22,FALSE),"-")</f>
        <v>38</v>
      </c>
      <c r="P11" s="2">
        <f>IFERROR(50+VLOOKUP($A11,'SegEnds_Xtal_Prot#'!$A:$AY,31,FALSE)-VLOOKUP($B11,'SegEnds_NonXtal_Prot#'!$A:$AL,22,FALSE),"-")</f>
        <v>63</v>
      </c>
      <c r="Q11" s="2">
        <f>IFERROR(50+VLOOKUP($A11,'SegEnds_Xtal_Prot#'!$A:$AY,33,FALSE)-VLOOKUP($B11,'SegEnds_NonXtal_Prot#'!$A:$AL,25,FALSE),"-")</f>
        <v>50</v>
      </c>
      <c r="R11" s="2">
        <f>IFERROR(50+VLOOKUP($A11,'SegEnds_Xtal_Prot#'!$A:$AY,35,FALSE)-VLOOKUP($B11,'SegEnds_NonXtal_Prot#'!$A:$AL,25,FALSE),"-")</f>
        <v>52</v>
      </c>
      <c r="S11" s="2">
        <f>IFERROR(50+VLOOKUP($A11,'SegEnds_Xtal_Prot#'!$A:$AY,37,FALSE)-VLOOKUP($B11,'SegEnds_NonXtal_Prot#'!$A:$AL,28,FALSE),"-")</f>
        <v>34</v>
      </c>
      <c r="T11" s="2">
        <f>IFERROR(50+VLOOKUP($A11,'SegEnds_Xtal_Prot#'!$A:$AY,39,FALSE)-VLOOKUP($B11,'SegEnds_NonXtal_Prot#'!$A:$AL,28,FALSE),"-")</f>
        <v>73</v>
      </c>
      <c r="U11" s="2">
        <f>IFERROR(50+VLOOKUP($A11,'SegEnds_Xtal_Prot#'!$A:$AY,41,FALSE)-VLOOKUP($B11,'SegEnds_NonXtal_Prot#'!$A:$AL,31,FALSE),"-")</f>
        <v>22</v>
      </c>
      <c r="V11" s="2">
        <f>IFERROR(50+VLOOKUP($A11,'SegEnds_Xtal_Prot#'!$A:$AY,43,FALSE)-VLOOKUP($B11,'SegEnds_NonXtal_Prot#'!$A:$AL,31,FALSE),"-")</f>
        <v>61</v>
      </c>
      <c r="W11" s="2">
        <f>IFERROR(50+VLOOKUP($A11,'SegEnds_Xtal_Prot#'!$A:$AY,45,FALSE)-VLOOKUP($B11,'SegEnds_NonXtal_Prot#'!$A:$AL,34,FALSE),"-")</f>
        <v>31</v>
      </c>
      <c r="X11" s="2">
        <f>IFERROR(50+VLOOKUP($A11,'SegEnds_Xtal_Prot#'!$A:$AY,47,FALSE)-VLOOKUP($B11,'SegEnds_NonXtal_Prot#'!$A:$AL,34,FALSE),"-")</f>
        <v>56</v>
      </c>
      <c r="Y11" s="2">
        <f>IFERROR(50+VLOOKUP($A11,'SegEnds_Xtal_Prot#'!$A:$AY,49,FALSE)-VLOOKUP($B11,'SegEnds_NonXtal_Prot#'!$A:$AL,37,FALSE),"-")</f>
        <v>47</v>
      </c>
      <c r="Z11" s="2">
        <f>IFERROR(50+VLOOKUP($A11,'SegEnds_Xtal_Prot#'!$A:$AY,51,FALSE)-VLOOKUP($B11,'SegEnds_NonXtal_Prot#'!$A:$AL,37,FALSE),"-")</f>
        <v>69</v>
      </c>
      <c r="AA11" s="50" t="str">
        <f>VLOOKUP(B11,Classification!A:D,2,FALSE)</f>
        <v>A</v>
      </c>
      <c r="AB11" s="97" t="str">
        <f>VLOOKUP(B11,Classification!A:D,4,0)</f>
        <v>Adenosine</v>
      </c>
      <c r="AC11" s="50">
        <f>VLOOKUP(B11,'SegEnds_NonXtal_Prot#'!A:AL,6,FALSE)-VLOOKUP(B11,'SegEnds_NonXtal_Prot#'!A:AL,5,FALSE)</f>
        <v>1</v>
      </c>
      <c r="AD11" s="50">
        <f>VLOOKUP(B11,'SegEnds_NonXtal_Prot#'!A:AL,9,FALSE)-VLOOKUP(B11,'SegEnds_NonXtal_Prot#'!A:AL,8,FALSE)</f>
        <v>1</v>
      </c>
      <c r="AE11" s="50">
        <f>VLOOKUP(B11,'SegEnds_NonXtal_Prot#'!A:AL,13,FALSE)-VLOOKUP(B11,'SegEnds_NonXtal_Prot#'!A:AL,10,FALSE)</f>
        <v>18</v>
      </c>
      <c r="AF11" s="50">
        <f>VLOOKUP(B11,'SegEnds_NonXtal_Prot#'!A:AL,12,FALSE)-VLOOKUP(B11,'SegEnds_NonXtal_Prot#'!A:AL,11,FALSE)</f>
        <v>1</v>
      </c>
      <c r="AG11" s="50">
        <f>VLOOKUP(B11,'SegEnds_NonXtal_Prot#'!A:AL,13,FALSE)-VLOOKUP(B11,'SegEnds_NonXtal_Prot#'!A:AL,11,FALSE)</f>
        <v>1</v>
      </c>
      <c r="AH11" s="50">
        <f>VLOOKUP(B11,'SegEnds_NonXtal_Prot#'!A:AL,16,FALSE)-VLOOKUP(B11,'SegEnds_NonXtal_Prot#'!A:AL,10,FALSE)</f>
        <v>50</v>
      </c>
      <c r="AI11" s="50">
        <f>VLOOKUP(B11,'SegEnds_NonXtal_Prot#'!A:AL,16,FALSE)-VLOOKUP(B11,'SegEnds_NonXtal_Prot#'!A:AL,11,FALSE)</f>
        <v>33</v>
      </c>
      <c r="AJ11" s="50">
        <f>VLOOKUP(B11,'SegEnds_NonXtal_Prot#'!A:AL,22,FALSE)-VLOOKUP(B11,'SegEnds_NonXtal_Prot#'!A:AL,19,FALSE)</f>
        <v>20</v>
      </c>
      <c r="AK11" s="50">
        <f>VLOOKUP(B11,'SegEnds_NonXtal_Prot#'!A:AL,15,FALSE)-VLOOKUP(B11,'SegEnds_NonXtal_Prot#'!A:AL,14,FALSE)</f>
        <v>1</v>
      </c>
      <c r="AL11" s="50">
        <f>VLOOKUP(B11,'SegEnds_NonXtal_Prot#'!A:AL,18,FALSE)-VLOOKUP(B11,'SegEnds_NonXtal_Prot#'!A:AL,17,FALSE)</f>
        <v>1</v>
      </c>
      <c r="AM11" s="2">
        <f>VLOOKUP(B11,'SegEnds_NonXtal_Prot#'!A:AL,34,FALSE)-VLOOKUP(B11,'SegEnds_NonXtal_Prot#'!A:AL,31,FALSE)</f>
        <v>36</v>
      </c>
      <c r="AN11" s="38"/>
    </row>
    <row r="12" spans="1:64" s="2" customFormat="1" x14ac:dyDescent="0.2">
      <c r="A12" s="2" t="s">
        <v>1246</v>
      </c>
      <c r="B12" s="2" t="s">
        <v>139</v>
      </c>
      <c r="C12" s="2">
        <f>IFERROR(50+VLOOKUP($A12,'SegEnds_Xtal_Prot#'!$A:$AY,5,FALSE)-VLOOKUP($B12,'SegEnds_NonXtal_Prot#'!$A:$AL,4,FALSE),"-")</f>
        <v>27</v>
      </c>
      <c r="D12" s="2">
        <f>IFERROR(50+VLOOKUP($A12,'SegEnds_Xtal_Prot#'!$A:$AY,7,FALSE)-VLOOKUP($B12,'SegEnds_NonXtal_Prot#'!$A:$AL,4,FALSE),"-")</f>
        <v>60</v>
      </c>
      <c r="E12" s="2">
        <f>IFERROR(50+VLOOKUP($A12,'SegEnds_Xtal_Prot#'!$A:$AY,9,FALSE)-VLOOKUP($B12,'SegEnds_NonXtal_Prot#'!$A:$AL,7,FALSE),"-")</f>
        <v>48</v>
      </c>
      <c r="F12" s="2">
        <f>IFERROR(50+VLOOKUP($A12,'SegEnds_Xtal_Prot#'!$A:$AY,11,FALSE)-VLOOKUP($B12,'SegEnds_NonXtal_Prot#'!$A:$AL,7,FALSE),"-")</f>
        <v>51</v>
      </c>
      <c r="G12" s="2">
        <f>IFERROR(50+VLOOKUP($A12,'SegEnds_Xtal_Prot#'!$A:$AY,13,FALSE)-VLOOKUP($B12,'SegEnds_NonXtal_Prot#'!$A:$AL,10,FALSE),"-")</f>
        <v>37</v>
      </c>
      <c r="H12" s="2">
        <f>IFERROR(50+VLOOKUP($A12,'SegEnds_Xtal_Prot#'!$A:$AY,15,FALSE)-VLOOKUP($B12,'SegEnds_NonXtal_Prot#'!$A:$AL,10,FALSE),"-")</f>
        <v>67</v>
      </c>
      <c r="I12" s="2">
        <f>IFERROR(50+VLOOKUP($A12,'SegEnds_Xtal_Prot#'!$A:$AY,17,FALSE)-VLOOKUP($B12,'SegEnds_NonXtal_Prot#'!$A:$AL,13,FALSE),"-")</f>
        <v>50</v>
      </c>
      <c r="J12" s="2">
        <f>IFERROR(50+VLOOKUP($A12,'SegEnds_Xtal_Prot#'!$A:$AY,19,FALSE)-VLOOKUP($B12,'SegEnds_NonXtal_Prot#'!$A:$AL,13,FALSE),"-")</f>
        <v>52</v>
      </c>
      <c r="K12" s="2">
        <f>IFERROR(50+VLOOKUP($A12,'SegEnds_Xtal_Prot#'!$A:$AY,21,FALSE)-VLOOKUP($B12,'SegEnds_NonXtal_Prot#'!$A:$AL,16,FALSE),"-")</f>
        <v>21</v>
      </c>
      <c r="L12" s="2">
        <f>IFERROR(50+VLOOKUP($A12,'SegEnds_Xtal_Prot#'!$A:$AY,23,FALSE)-VLOOKUP($B12,'SegEnds_NonXtal_Prot#'!$A:$AL,16,FALSE),"-")</f>
        <v>56</v>
      </c>
      <c r="M12" s="2">
        <f>IFERROR(50+VLOOKUP($A12,'SegEnds_Xtal_Prot#'!$A:$AY,25,FALSE)-VLOOKUP($B12,'SegEnds_NonXtal_Prot#'!$A:$AL,19,FALSE),"-")</f>
        <v>50</v>
      </c>
      <c r="N12" s="2">
        <f>IFERROR(50+VLOOKUP($A12,'SegEnds_Xtal_Prot#'!$A:$AY,27,FALSE)-VLOOKUP($B12,'SegEnds_NonXtal_Prot#'!$A:$AL,19,FALSE),"-")</f>
        <v>57</v>
      </c>
      <c r="O12" s="2">
        <f>IFERROR(50+VLOOKUP($A12,'SegEnds_Xtal_Prot#'!$A:$AY,29,FALSE)-VLOOKUP($B12,'SegEnds_NonXtal_Prot#'!$A:$AL,22,FALSE),"-")</f>
        <v>38</v>
      </c>
      <c r="P12" s="2">
        <f>IFERROR(50+VLOOKUP($A12,'SegEnds_Xtal_Prot#'!$A:$AY,31,FALSE)-VLOOKUP($B12,'SegEnds_NonXtal_Prot#'!$A:$AL,22,FALSE),"-")</f>
        <v>63</v>
      </c>
      <c r="Q12" s="2">
        <f>IFERROR(50+VLOOKUP($A12,'SegEnds_Xtal_Prot#'!$A:$AY,33,FALSE)-VLOOKUP($B12,'SegEnds_NonXtal_Prot#'!$A:$AL,25,FALSE),"-")</f>
        <v>50</v>
      </c>
      <c r="R12" s="2">
        <f>IFERROR(50+VLOOKUP($A12,'SegEnds_Xtal_Prot#'!$A:$AY,35,FALSE)-VLOOKUP($B12,'SegEnds_NonXtal_Prot#'!$A:$AL,25,FALSE),"-")</f>
        <v>52</v>
      </c>
      <c r="S12" s="2">
        <f>IFERROR(50+VLOOKUP($A12,'SegEnds_Xtal_Prot#'!$A:$AY,37,FALSE)-VLOOKUP($B12,'SegEnds_NonXtal_Prot#'!$A:$AL,28,FALSE),"-")</f>
        <v>34</v>
      </c>
      <c r="T12" s="2">
        <f>IFERROR(50+VLOOKUP($A12,'SegEnds_Xtal_Prot#'!$A:$AY,39,FALSE)-VLOOKUP($B12,'SegEnds_NonXtal_Prot#'!$A:$AL,28,FALSE),"-")</f>
        <v>74</v>
      </c>
      <c r="U12" s="2">
        <f>IFERROR(50+VLOOKUP($A12,'SegEnds_Xtal_Prot#'!$A:$AY,41,FALSE)-VLOOKUP($B12,'SegEnds_NonXtal_Prot#'!$A:$AL,31,FALSE),"-")</f>
        <v>21</v>
      </c>
      <c r="V12" s="2">
        <f>IFERROR(50+VLOOKUP($A12,'SegEnds_Xtal_Prot#'!$A:$AY,43,FALSE)-VLOOKUP($B12,'SegEnds_NonXtal_Prot#'!$A:$AL,31,FALSE),"-")</f>
        <v>61</v>
      </c>
      <c r="W12" s="2">
        <f>IFERROR(50+VLOOKUP($A12,'SegEnds_Xtal_Prot#'!$A:$AY,45,FALSE)-VLOOKUP($B12,'SegEnds_NonXtal_Prot#'!$A:$AL,34,FALSE),"-")</f>
        <v>31</v>
      </c>
      <c r="X12" s="2">
        <f>IFERROR(50+VLOOKUP($A12,'SegEnds_Xtal_Prot#'!$A:$AY,47,FALSE)-VLOOKUP($B12,'SegEnds_NonXtal_Prot#'!$A:$AL,34,FALSE),"-")</f>
        <v>56</v>
      </c>
      <c r="Y12" s="2">
        <f>IFERROR(50+VLOOKUP($A12,'SegEnds_Xtal_Prot#'!$A:$AY,49,FALSE)-VLOOKUP($B12,'SegEnds_NonXtal_Prot#'!$A:$AL,37,FALSE),"-")</f>
        <v>47</v>
      </c>
      <c r="Z12" s="2">
        <f>IFERROR(50+VLOOKUP($A12,'SegEnds_Xtal_Prot#'!$A:$AY,51,FALSE)-VLOOKUP($B12,'SegEnds_NonXtal_Prot#'!$A:$AL,37,FALSE),"-")</f>
        <v>69</v>
      </c>
      <c r="AA12" s="50" t="str">
        <f>VLOOKUP(B12,Classification!A:D,2,FALSE)</f>
        <v>A</v>
      </c>
      <c r="AB12" s="97" t="str">
        <f>VLOOKUP(B12,Classification!A:D,4,0)</f>
        <v>Adenosine</v>
      </c>
      <c r="AC12" s="50">
        <f>VLOOKUP(B12,'SegEnds_NonXtal_Prot#'!A:AL,6,FALSE)-VLOOKUP(B12,'SegEnds_NonXtal_Prot#'!A:AL,5,FALSE)</f>
        <v>1</v>
      </c>
      <c r="AD12" s="50">
        <f>VLOOKUP(B12,'SegEnds_NonXtal_Prot#'!A:AL,9,FALSE)-VLOOKUP(B12,'SegEnds_NonXtal_Prot#'!A:AL,8,FALSE)</f>
        <v>1</v>
      </c>
      <c r="AE12" s="50">
        <f>VLOOKUP(B12,'SegEnds_NonXtal_Prot#'!A:AL,13,FALSE)-VLOOKUP(B12,'SegEnds_NonXtal_Prot#'!A:AL,10,FALSE)</f>
        <v>18</v>
      </c>
      <c r="AF12" s="50">
        <f>VLOOKUP(B12,'SegEnds_NonXtal_Prot#'!A:AL,12,FALSE)-VLOOKUP(B12,'SegEnds_NonXtal_Prot#'!A:AL,11,FALSE)</f>
        <v>1</v>
      </c>
      <c r="AG12" s="50">
        <f>VLOOKUP(B12,'SegEnds_NonXtal_Prot#'!A:AL,13,FALSE)-VLOOKUP(B12,'SegEnds_NonXtal_Prot#'!A:AL,11,FALSE)</f>
        <v>1</v>
      </c>
      <c r="AH12" s="50">
        <f>VLOOKUP(B12,'SegEnds_NonXtal_Prot#'!A:AL,16,FALSE)-VLOOKUP(B12,'SegEnds_NonXtal_Prot#'!A:AL,10,FALSE)</f>
        <v>50</v>
      </c>
      <c r="AI12" s="50">
        <f>VLOOKUP(B12,'SegEnds_NonXtal_Prot#'!A:AL,16,FALSE)-VLOOKUP(B12,'SegEnds_NonXtal_Prot#'!A:AL,11,FALSE)</f>
        <v>33</v>
      </c>
      <c r="AJ12" s="50">
        <f>VLOOKUP(B12,'SegEnds_NonXtal_Prot#'!A:AL,22,FALSE)-VLOOKUP(B12,'SegEnds_NonXtal_Prot#'!A:AL,19,FALSE)</f>
        <v>20</v>
      </c>
      <c r="AK12" s="50">
        <f>VLOOKUP(B12,'SegEnds_NonXtal_Prot#'!A:AL,15,FALSE)-VLOOKUP(B12,'SegEnds_NonXtal_Prot#'!A:AL,14,FALSE)</f>
        <v>1</v>
      </c>
      <c r="AL12" s="50">
        <f>VLOOKUP(B12,'SegEnds_NonXtal_Prot#'!A:AL,18,FALSE)-VLOOKUP(B12,'SegEnds_NonXtal_Prot#'!A:AL,17,FALSE)</f>
        <v>1</v>
      </c>
      <c r="AM12" s="2">
        <f>VLOOKUP(B12,'SegEnds_NonXtal_Prot#'!A:AL,34,FALSE)-VLOOKUP(B12,'SegEnds_NonXtal_Prot#'!A:AL,31,FALSE)</f>
        <v>37</v>
      </c>
      <c r="AN12" s="38"/>
      <c r="AO12" s="2" t="s">
        <v>1283</v>
      </c>
    </row>
    <row r="13" spans="1:64" s="2" customFormat="1" x14ac:dyDescent="0.2">
      <c r="A13" s="2" t="s">
        <v>1252</v>
      </c>
      <c r="B13" s="2" t="s">
        <v>126</v>
      </c>
      <c r="C13" s="2">
        <f>IFERROR(50+VLOOKUP($A13,'SegEnds_Xtal_Prot#'!$A:$AY,5,FALSE)-VLOOKUP($B13,'SegEnds_NonXtal_Prot#'!$A:$AL,4,FALSE),"-")</f>
        <v>25</v>
      </c>
      <c r="D13" s="2">
        <f>IFERROR(50+VLOOKUP($A13,'SegEnds_Xtal_Prot#'!$A:$AY,7,FALSE)-VLOOKUP($B13,'SegEnds_NonXtal_Prot#'!$A:$AL,4,FALSE),"-")</f>
        <v>60</v>
      </c>
      <c r="E13" s="2">
        <f>IFERROR(50+VLOOKUP($A13,'SegEnds_Xtal_Prot#'!$A:$AY,9,FALSE)-VLOOKUP($B13,'SegEnds_NonXtal_Prot#'!$A:$AL,7,FALSE),"-")</f>
        <v>48</v>
      </c>
      <c r="F13" s="2">
        <f>IFERROR(50+VLOOKUP($A13,'SegEnds_Xtal_Prot#'!$A:$AY,11,FALSE)-VLOOKUP($B13,'SegEnds_NonXtal_Prot#'!$A:$AL,7,FALSE),"-")</f>
        <v>51</v>
      </c>
      <c r="G13" s="2">
        <f>IFERROR(50+VLOOKUP($A13,'SegEnds_Xtal_Prot#'!$A:$AY,13,FALSE)-VLOOKUP($B13,'SegEnds_NonXtal_Prot#'!$A:$AL,10,FALSE),"-")</f>
        <v>37</v>
      </c>
      <c r="H13" s="2">
        <f>IFERROR(50+VLOOKUP($A13,'SegEnds_Xtal_Prot#'!$A:$AY,15,FALSE)-VLOOKUP($B13,'SegEnds_NonXtal_Prot#'!$A:$AL,10,FALSE),"-")</f>
        <v>67</v>
      </c>
      <c r="I13" s="2">
        <f>IFERROR(50+VLOOKUP($A13,'SegEnds_Xtal_Prot#'!$A:$AY,17,FALSE)-VLOOKUP($B13,'SegEnds_NonXtal_Prot#'!$A:$AL,13,FALSE),"-")</f>
        <v>49</v>
      </c>
      <c r="J13" s="2">
        <f>IFERROR(50+VLOOKUP($A13,'SegEnds_Xtal_Prot#'!$A:$AY,19,FALSE)-VLOOKUP($B13,'SegEnds_NonXtal_Prot#'!$A:$AL,13,FALSE),"-")</f>
        <v>52</v>
      </c>
      <c r="K13" s="2">
        <f>IFERROR(50+VLOOKUP($A13,'SegEnds_Xtal_Prot#'!$A:$AY,21,FALSE)-VLOOKUP($B13,'SegEnds_NonXtal_Prot#'!$A:$AL,16,FALSE),"-")</f>
        <v>21</v>
      </c>
      <c r="L13" s="2">
        <f>IFERROR(50+VLOOKUP($A13,'SegEnds_Xtal_Prot#'!$A:$AY,23,FALSE)-VLOOKUP($B13,'SegEnds_NonXtal_Prot#'!$A:$AL,16,FALSE),"-")</f>
        <v>56</v>
      </c>
      <c r="M13" s="2">
        <f>IFERROR(50+VLOOKUP($A13,'SegEnds_Xtal_Prot#'!$A:$AY,25,FALSE)-VLOOKUP($B13,'SegEnds_NonXtal_Prot#'!$A:$AL,19,FALSE),"-")</f>
        <v>50</v>
      </c>
      <c r="N13" s="2">
        <f>IFERROR(50+VLOOKUP($A13,'SegEnds_Xtal_Prot#'!$A:$AY,27,FALSE)-VLOOKUP($B13,'SegEnds_NonXtal_Prot#'!$A:$AL,19,FALSE),"-")</f>
        <v>57</v>
      </c>
      <c r="O13" s="2">
        <f>IFERROR(50+VLOOKUP($A13,'SegEnds_Xtal_Prot#'!$A:$AY,29,FALSE)-VLOOKUP($B13,'SegEnds_NonXtal_Prot#'!$A:$AL,22,FALSE),"-")</f>
        <v>38</v>
      </c>
      <c r="P13" s="2">
        <f>IFERROR(50+VLOOKUP($A13,'SegEnds_Xtal_Prot#'!$A:$AY,31,FALSE)-VLOOKUP($B13,'SegEnds_NonXtal_Prot#'!$A:$AL,22,FALSE),"-")</f>
        <v>64</v>
      </c>
      <c r="Q13" s="2">
        <f>IFERROR(50+VLOOKUP($A13,'SegEnds_Xtal_Prot#'!$A:$AY,33,FALSE)-VLOOKUP($B13,'SegEnds_NonXtal_Prot#'!$A:$AL,25,FALSE),"-")</f>
        <v>50</v>
      </c>
      <c r="R13" s="2">
        <f>IFERROR(50+VLOOKUP($A13,'SegEnds_Xtal_Prot#'!$A:$AY,35,FALSE)-VLOOKUP($B13,'SegEnds_NonXtal_Prot#'!$A:$AL,25,FALSE),"-")</f>
        <v>52</v>
      </c>
      <c r="S13" s="2">
        <f>IFERROR(50+VLOOKUP($A13,'SegEnds_Xtal_Prot#'!$A:$AY,37,FALSE)-VLOOKUP($B13,'SegEnds_NonXtal_Prot#'!$A:$AL,28,FALSE),"-")</f>
        <v>35</v>
      </c>
      <c r="T13" s="2">
        <f>IFERROR(50+VLOOKUP($A13,'SegEnds_Xtal_Prot#'!$A:$AY,39,FALSE)-VLOOKUP($B13,'SegEnds_NonXtal_Prot#'!$A:$AL,28,FALSE),"-")</f>
        <v>76</v>
      </c>
      <c r="U13" s="2">
        <f>IFERROR(50+VLOOKUP($A13,'SegEnds_Xtal_Prot#'!$A:$AY,41,FALSE)-VLOOKUP($B13,'SegEnds_NonXtal_Prot#'!$A:$AL,31,FALSE),"-")</f>
        <v>24</v>
      </c>
      <c r="V13" s="2">
        <f>IFERROR(50+VLOOKUP($A13,'SegEnds_Xtal_Prot#'!$A:$AY,43,FALSE)-VLOOKUP($B13,'SegEnds_NonXtal_Prot#'!$A:$AL,31,FALSE),"-")</f>
        <v>61</v>
      </c>
      <c r="W13" s="2">
        <f>IFERROR(50+VLOOKUP($A13,'SegEnds_Xtal_Prot#'!$A:$AY,45,FALSE)-VLOOKUP($B13,'SegEnds_NonXtal_Prot#'!$A:$AL,34,FALSE),"-")</f>
        <v>31</v>
      </c>
      <c r="X13" s="2">
        <f>IFERROR(50+VLOOKUP($A13,'SegEnds_Xtal_Prot#'!$A:$AY,47,FALSE)-VLOOKUP($B13,'SegEnds_NonXtal_Prot#'!$A:$AL,34,FALSE),"-")</f>
        <v>55</v>
      </c>
      <c r="Y13" s="2">
        <f>IFERROR(50+VLOOKUP($A13,'SegEnds_Xtal_Prot#'!$A:$AY,49,FALSE)-VLOOKUP($B13,'SegEnds_NonXtal_Prot#'!$A:$AL,37,FALSE),"-")</f>
        <v>47</v>
      </c>
      <c r="Z13" s="2">
        <f>IFERROR(50+VLOOKUP($A13,'SegEnds_Xtal_Prot#'!$A:$AY,51,FALSE)-VLOOKUP($B13,'SegEnds_NonXtal_Prot#'!$A:$AL,37,FALSE),"-")</f>
        <v>59</v>
      </c>
      <c r="AA13" s="50" t="str">
        <f>VLOOKUP(B13,Classification!A:D,2,FALSE)</f>
        <v>A</v>
      </c>
      <c r="AB13" s="97" t="str">
        <f>VLOOKUP(B13,Classification!A:D,4,0)</f>
        <v>Adrenoceptors</v>
      </c>
      <c r="AC13" s="50">
        <f>VLOOKUP(B13,'SegEnds_NonXtal_Prot#'!A:AL,6,FALSE)-VLOOKUP(B13,'SegEnds_NonXtal_Prot#'!A:AL,5,FALSE)</f>
        <v>1</v>
      </c>
      <c r="AD13" s="50">
        <f>VLOOKUP(B13,'SegEnds_NonXtal_Prot#'!A:AL,9,FALSE)-VLOOKUP(B13,'SegEnds_NonXtal_Prot#'!A:AL,8,FALSE)</f>
        <v>1</v>
      </c>
      <c r="AE13" s="50">
        <f>VLOOKUP(B13,'SegEnds_NonXtal_Prot#'!A:AL,13,FALSE)-VLOOKUP(B13,'SegEnds_NonXtal_Prot#'!A:AL,10,FALSE)</f>
        <v>20</v>
      </c>
      <c r="AF13" s="50">
        <f>VLOOKUP(B13,'SegEnds_NonXtal_Prot#'!A:AL,12,FALSE)-VLOOKUP(B13,'SegEnds_NonXtal_Prot#'!A:AL,11,FALSE)</f>
        <v>2</v>
      </c>
      <c r="AG13" s="50">
        <f>VLOOKUP(B13,'SegEnds_NonXtal_Prot#'!A:AL,13,FALSE)-VLOOKUP(B13,'SegEnds_NonXtal_Prot#'!A:AL,11,FALSE)</f>
        <v>3</v>
      </c>
      <c r="AH13" s="50">
        <f>VLOOKUP(B13,'SegEnds_NonXtal_Prot#'!A:AL,16,FALSE)-VLOOKUP(B13,'SegEnds_NonXtal_Prot#'!A:AL,10,FALSE)</f>
        <v>52</v>
      </c>
      <c r="AI13" s="50">
        <f>VLOOKUP(B13,'SegEnds_NonXtal_Prot#'!A:AL,16,FALSE)-VLOOKUP(B13,'SegEnds_NonXtal_Prot#'!A:AL,11,FALSE)</f>
        <v>35</v>
      </c>
      <c r="AJ13" s="50">
        <f>VLOOKUP(B13,'SegEnds_NonXtal_Prot#'!A:AL,22,FALSE)-VLOOKUP(B13,'SegEnds_NonXtal_Prot#'!A:AL,19,FALSE)</f>
        <v>20</v>
      </c>
      <c r="AK13" s="50">
        <f>VLOOKUP(B13,'SegEnds_NonXtal_Prot#'!A:AL,15,FALSE)-VLOOKUP(B13,'SegEnds_NonXtal_Prot#'!A:AL,14,FALSE)</f>
        <v>1</v>
      </c>
      <c r="AL13" s="50">
        <f>VLOOKUP(B13,'SegEnds_NonXtal_Prot#'!A:AL,18,FALSE)-VLOOKUP(B13,'SegEnds_NonXtal_Prot#'!A:AL,17,FALSE)</f>
        <v>1</v>
      </c>
      <c r="AM13" s="2">
        <f>VLOOKUP(B13,'SegEnds_NonXtal_Prot#'!A:AL,34,FALSE)-VLOOKUP(B13,'SegEnds_NonXtal_Prot#'!A:AL,31,FALSE)</f>
        <v>35</v>
      </c>
      <c r="AN13" s="38"/>
    </row>
    <row r="14" spans="1:64" s="2" customFormat="1" x14ac:dyDescent="0.2">
      <c r="A14" s="2" t="s">
        <v>1251</v>
      </c>
      <c r="B14" s="2" t="s">
        <v>912</v>
      </c>
      <c r="C14" s="2">
        <f>IFERROR(50+VLOOKUP($A14,'SegEnds_Xtal_Prot#'!$A:$AY,5,FALSE)-VLOOKUP($B14,'SegEnds_NonXtal_Prot#'!$A:$AL,4,FALSE),"-")</f>
        <v>24</v>
      </c>
      <c r="D14" s="2">
        <f>IFERROR(50+VLOOKUP($A14,'SegEnds_Xtal_Prot#'!$A:$AY,7,FALSE)-VLOOKUP($B14,'SegEnds_NonXtal_Prot#'!$A:$AL,4,FALSE),"-")</f>
        <v>60</v>
      </c>
      <c r="E14" s="2">
        <f>IFERROR(50+VLOOKUP($A14,'SegEnds_Xtal_Prot#'!$A:$AY,9,FALSE)-VLOOKUP($B14,'SegEnds_NonXtal_Prot#'!$A:$AL,7,FALSE),"-")</f>
        <v>48</v>
      </c>
      <c r="F14" s="2">
        <f>IFERROR(50+VLOOKUP($A14,'SegEnds_Xtal_Prot#'!$A:$AY,11,FALSE)-VLOOKUP($B14,'SegEnds_NonXtal_Prot#'!$A:$AL,7,FALSE),"-")</f>
        <v>51</v>
      </c>
      <c r="G14" s="2">
        <f>IFERROR(50+VLOOKUP($A14,'SegEnds_Xtal_Prot#'!$A:$AY,13,FALSE)-VLOOKUP($B14,'SegEnds_NonXtal_Prot#'!$A:$AL,10,FALSE),"-")</f>
        <v>37</v>
      </c>
      <c r="H14" s="2">
        <f>IFERROR(50+VLOOKUP($A14,'SegEnds_Xtal_Prot#'!$A:$AY,15,FALSE)-VLOOKUP($B14,'SegEnds_NonXtal_Prot#'!$A:$AL,10,FALSE),"-")</f>
        <v>67</v>
      </c>
      <c r="I14" s="2">
        <f>IFERROR(50+VLOOKUP($A14,'SegEnds_Xtal_Prot#'!$A:$AY,17,FALSE)-VLOOKUP($B14,'SegEnds_NonXtal_Prot#'!$A:$AL,13,FALSE),"-")</f>
        <v>49</v>
      </c>
      <c r="J14" s="2">
        <f>IFERROR(50+VLOOKUP($A14,'SegEnds_Xtal_Prot#'!$A:$AY,19,FALSE)-VLOOKUP($B14,'SegEnds_NonXtal_Prot#'!$A:$AL,13,FALSE),"-")</f>
        <v>52</v>
      </c>
      <c r="K14" s="2">
        <f>IFERROR(50+VLOOKUP($A14,'SegEnds_Xtal_Prot#'!$A:$AY,21,FALSE)-VLOOKUP($B14,'SegEnds_NonXtal_Prot#'!$A:$AL,16,FALSE),"-")</f>
        <v>21</v>
      </c>
      <c r="L14" s="2">
        <f>IFERROR(50+VLOOKUP($A14,'SegEnds_Xtal_Prot#'!$A:$AY,23,FALSE)-VLOOKUP($B14,'SegEnds_NonXtal_Prot#'!$A:$AL,16,FALSE),"-")</f>
        <v>56</v>
      </c>
      <c r="M14" s="2">
        <f>IFERROR(50+VLOOKUP($A14,'SegEnds_Xtal_Prot#'!$A:$AY,25,FALSE)-VLOOKUP($B14,'SegEnds_NonXtal_Prot#'!$A:$AL,19,FALSE),"-")</f>
        <v>50</v>
      </c>
      <c r="N14" s="2">
        <f>IFERROR(50+VLOOKUP($A14,'SegEnds_Xtal_Prot#'!$A:$AY,27,FALSE)-VLOOKUP($B14,'SegEnds_NonXtal_Prot#'!$A:$AL,19,FALSE),"-")</f>
        <v>57</v>
      </c>
      <c r="O14" s="2">
        <f>IFERROR(50+VLOOKUP($A14,'SegEnds_Xtal_Prot#'!$A:$AY,29,FALSE)-VLOOKUP($B14,'SegEnds_NonXtal_Prot#'!$A:$AL,22,FALSE),"-")</f>
        <v>38</v>
      </c>
      <c r="P14" s="2">
        <f>IFERROR(50+VLOOKUP($A14,'SegEnds_Xtal_Prot#'!$A:$AY,31,FALSE)-VLOOKUP($B14,'SegEnds_NonXtal_Prot#'!$A:$AL,22,FALSE),"-")</f>
        <v>64</v>
      </c>
      <c r="Q14" s="2">
        <f>IFERROR(50+VLOOKUP($A14,'SegEnds_Xtal_Prot#'!$A:$AY,33,FALSE)-VLOOKUP($B14,'SegEnds_NonXtal_Prot#'!$A:$AL,25,FALSE),"-")</f>
        <v>50</v>
      </c>
      <c r="R14" s="2">
        <f>IFERROR(50+VLOOKUP($A14,'SegEnds_Xtal_Prot#'!$A:$AY,35,FALSE)-VLOOKUP($B14,'SegEnds_NonXtal_Prot#'!$A:$AL,25,FALSE),"-")</f>
        <v>52</v>
      </c>
      <c r="S14" s="2">
        <f>IFERROR(50+VLOOKUP($A14,'SegEnds_Xtal_Prot#'!$A:$AY,37,FALSE)-VLOOKUP($B14,'SegEnds_NonXtal_Prot#'!$A:$AL,28,FALSE),"-")</f>
        <v>35</v>
      </c>
      <c r="T14" s="2">
        <f>IFERROR(50+VLOOKUP($A14,'SegEnds_Xtal_Prot#'!$A:$AY,39,FALSE)-VLOOKUP($B14,'SegEnds_NonXtal_Prot#'!$A:$AL,28,FALSE),"-")</f>
        <v>76</v>
      </c>
      <c r="U14" s="2">
        <f>IFERROR(50+VLOOKUP($A14,'SegEnds_Xtal_Prot#'!$A:$AY,41,FALSE)-VLOOKUP($B14,'SegEnds_NonXtal_Prot#'!$A:$AL,31,FALSE),"-")</f>
        <v>20</v>
      </c>
      <c r="V14" s="2">
        <f>IFERROR(50+VLOOKUP($A14,'SegEnds_Xtal_Prot#'!$A:$AY,43,FALSE)-VLOOKUP($B14,'SegEnds_NonXtal_Prot#'!$A:$AL,31,FALSE),"-")</f>
        <v>61</v>
      </c>
      <c r="W14" s="2">
        <f>IFERROR(50+VLOOKUP($A14,'SegEnds_Xtal_Prot#'!$A:$AY,45,FALSE)-VLOOKUP($B14,'SegEnds_NonXtal_Prot#'!$A:$AL,34,FALSE),"-")</f>
        <v>31</v>
      </c>
      <c r="X14" s="2">
        <f>IFERROR(50+VLOOKUP($A14,'SegEnds_Xtal_Prot#'!$A:$AY,47,FALSE)-VLOOKUP($B14,'SegEnds_NonXtal_Prot#'!$A:$AL,34,FALSE),"-")</f>
        <v>55</v>
      </c>
      <c r="Y14" s="2">
        <f>IFERROR(50+VLOOKUP($A14,'SegEnds_Xtal_Prot#'!$A:$AY,49,FALSE)-VLOOKUP($B14,'SegEnds_NonXtal_Prot#'!$A:$AL,37,FALSE),"-")</f>
        <v>47</v>
      </c>
      <c r="Z14" s="2">
        <f>IFERROR(50+VLOOKUP($A14,'SegEnds_Xtal_Prot#'!$A:$AY,51,FALSE)-VLOOKUP($B14,'SegEnds_NonXtal_Prot#'!$A:$AL,37,FALSE),"-")</f>
        <v>59</v>
      </c>
      <c r="AA14" s="50" t="str">
        <f>VLOOKUP(B14,Classification!A:D,2,FALSE)</f>
        <v>A</v>
      </c>
      <c r="AB14" s="97" t="str">
        <f>VLOOKUP(B14,Classification!A:D,4,0)</f>
        <v>Adrenoceptors</v>
      </c>
      <c r="AC14" s="50">
        <f>VLOOKUP(B14,'SegEnds_NonXtal_Prot#'!A:AL,6,FALSE)-VLOOKUP(B14,'SegEnds_NonXtal_Prot#'!A:AL,5,FALSE)</f>
        <v>1</v>
      </c>
      <c r="AD14" s="50">
        <f>VLOOKUP(B14,'SegEnds_NonXtal_Prot#'!A:AL,9,FALSE)-VLOOKUP(B14,'SegEnds_NonXtal_Prot#'!A:AL,8,FALSE)</f>
        <v>1</v>
      </c>
      <c r="AE14" s="50">
        <f>VLOOKUP(B14,'SegEnds_NonXtal_Prot#'!A:AL,13,FALSE)-VLOOKUP(B14,'SegEnds_NonXtal_Prot#'!A:AL,10,FALSE)</f>
        <v>20</v>
      </c>
      <c r="AF14" s="50">
        <f>VLOOKUP(B14,'SegEnds_NonXtal_Prot#'!A:AL,12,FALSE)-VLOOKUP(B14,'SegEnds_NonXtal_Prot#'!A:AL,11,FALSE)</f>
        <v>2</v>
      </c>
      <c r="AG14" s="50">
        <f>VLOOKUP(B14,'SegEnds_NonXtal_Prot#'!A:AL,13,FALSE)-VLOOKUP(B14,'SegEnds_NonXtal_Prot#'!A:AL,11,FALSE)</f>
        <v>3</v>
      </c>
      <c r="AH14" s="50">
        <f>VLOOKUP(B14,'SegEnds_NonXtal_Prot#'!A:AL,16,FALSE)-VLOOKUP(B14,'SegEnds_NonXtal_Prot#'!A:AL,10,FALSE)</f>
        <v>52</v>
      </c>
      <c r="AI14" s="50">
        <f>VLOOKUP(B14,'SegEnds_NonXtal_Prot#'!A:AL,16,FALSE)-VLOOKUP(B14,'SegEnds_NonXtal_Prot#'!A:AL,11,FALSE)</f>
        <v>35</v>
      </c>
      <c r="AJ14" s="50">
        <f>VLOOKUP(B14,'SegEnds_NonXtal_Prot#'!A:AL,22,FALSE)-VLOOKUP(B14,'SegEnds_NonXtal_Prot#'!A:AL,19,FALSE)</f>
        <v>20</v>
      </c>
      <c r="AK14" s="50">
        <f>VLOOKUP(B14,'SegEnds_NonXtal_Prot#'!A:AL,15,FALSE)-VLOOKUP(B14,'SegEnds_NonXtal_Prot#'!A:AL,14,FALSE)</f>
        <v>1</v>
      </c>
      <c r="AL14" s="50">
        <f>VLOOKUP(B14,'SegEnds_NonXtal_Prot#'!A:AL,18,FALSE)-VLOOKUP(B14,'SegEnds_NonXtal_Prot#'!A:AL,17,FALSE)</f>
        <v>1</v>
      </c>
      <c r="AM14" s="2">
        <f>VLOOKUP(B14,'SegEnds_NonXtal_Prot#'!A:AL,34,FALSE)-VLOOKUP(B14,'SegEnds_NonXtal_Prot#'!A:AL,31,FALSE)</f>
        <v>35</v>
      </c>
      <c r="AN14" s="38"/>
    </row>
    <row r="15" spans="1:64" s="2" customFormat="1" x14ac:dyDescent="0.2">
      <c r="A15" s="2" t="s">
        <v>1253</v>
      </c>
      <c r="B15" s="2" t="s">
        <v>158</v>
      </c>
      <c r="C15" s="2">
        <f>IFERROR(50+VLOOKUP($A15,'SegEnds_Xtal_Prot#'!$A:$AY,5,FALSE)-VLOOKUP($B15,'SegEnds_NonXtal_Prot#'!$A:$AL,4,FALSE),"-")</f>
        <v>30</v>
      </c>
      <c r="D15" s="2">
        <f>IFERROR(50+VLOOKUP($A15,'SegEnds_Xtal_Prot#'!$A:$AY,7,FALSE)-VLOOKUP($B15,'SegEnds_NonXtal_Prot#'!$A:$AL,4,FALSE),"-")</f>
        <v>60</v>
      </c>
      <c r="E15" s="2">
        <f>IFERROR(50+VLOOKUP($A15,'SegEnds_Xtal_Prot#'!$A:$AY,9,FALSE)-VLOOKUP($B15,'SegEnds_NonXtal_Prot#'!$A:$AL,7,FALSE),"-")</f>
        <v>48</v>
      </c>
      <c r="F15" s="2">
        <f>IFERROR(50+VLOOKUP($A15,'SegEnds_Xtal_Prot#'!$A:$AY,11,FALSE)-VLOOKUP($B15,'SegEnds_NonXtal_Prot#'!$A:$AL,7,FALSE),"-")</f>
        <v>51</v>
      </c>
      <c r="G15" s="2">
        <f>IFERROR(50+VLOOKUP($A15,'SegEnds_Xtal_Prot#'!$A:$AY,13,FALSE)-VLOOKUP($B15,'SegEnds_NonXtal_Prot#'!$A:$AL,10,FALSE),"-")</f>
        <v>37</v>
      </c>
      <c r="H15" s="2">
        <f>IFERROR(50+VLOOKUP($A15,'SegEnds_Xtal_Prot#'!$A:$AY,15,FALSE)-VLOOKUP($B15,'SegEnds_NonXtal_Prot#'!$A:$AL,10,FALSE),"-")</f>
        <v>66</v>
      </c>
      <c r="I15" s="2">
        <f>IFERROR(50+VLOOKUP($A15,'SegEnds_Xtal_Prot#'!$A:$AY,17,FALSE)-VLOOKUP($B15,'SegEnds_NonXtal_Prot#'!$A:$AL,13,FALSE),"-")</f>
        <v>49</v>
      </c>
      <c r="J15" s="2">
        <f>IFERROR(50+VLOOKUP($A15,'SegEnds_Xtal_Prot#'!$A:$AY,19,FALSE)-VLOOKUP($B15,'SegEnds_NonXtal_Prot#'!$A:$AL,13,FALSE),"-")</f>
        <v>52</v>
      </c>
      <c r="K15" s="2">
        <f>IFERROR(50+VLOOKUP($A15,'SegEnds_Xtal_Prot#'!$A:$AY,21,FALSE)-VLOOKUP($B15,'SegEnds_NonXtal_Prot#'!$A:$AL,16,FALSE),"-")</f>
        <v>21</v>
      </c>
      <c r="L15" s="2">
        <f>IFERROR(50+VLOOKUP($A15,'SegEnds_Xtal_Prot#'!$A:$AY,23,FALSE)-VLOOKUP($B15,'SegEnds_NonXtal_Prot#'!$A:$AL,16,FALSE),"-")</f>
        <v>56</v>
      </c>
      <c r="M15" s="2">
        <f>IFERROR(50+VLOOKUP($A15,'SegEnds_Xtal_Prot#'!$A:$AY,25,FALSE)-VLOOKUP($B15,'SegEnds_NonXtal_Prot#'!$A:$AL,19,FALSE),"-")</f>
        <v>50</v>
      </c>
      <c r="N15" s="2">
        <f>IFERROR(50+VLOOKUP($A15,'SegEnds_Xtal_Prot#'!$A:$AY,27,FALSE)-VLOOKUP($B15,'SegEnds_NonXtal_Prot#'!$A:$AL,19,FALSE),"-")</f>
        <v>57</v>
      </c>
      <c r="O15" s="2">
        <f>IFERROR(50+VLOOKUP($A15,'SegEnds_Xtal_Prot#'!$A:$AY,29,FALSE)-VLOOKUP($B15,'SegEnds_NonXtal_Prot#'!$A:$AL,22,FALSE),"-")</f>
        <v>38</v>
      </c>
      <c r="P15" s="2">
        <f>IFERROR(50+VLOOKUP($A15,'SegEnds_Xtal_Prot#'!$A:$AY,31,FALSE)-VLOOKUP($B15,'SegEnds_NonXtal_Prot#'!$A:$AL,22,FALSE),"-")</f>
        <v>64</v>
      </c>
      <c r="Q15" s="2">
        <f>IFERROR(50+VLOOKUP($A15,'SegEnds_Xtal_Prot#'!$A:$AY,33,FALSE)-VLOOKUP($B15,'SegEnds_NonXtal_Prot#'!$A:$AL,25,FALSE),"-")</f>
        <v>50</v>
      </c>
      <c r="R15" s="2">
        <f>IFERROR(50+VLOOKUP($A15,'SegEnds_Xtal_Prot#'!$A:$AY,35,FALSE)-VLOOKUP($B15,'SegEnds_NonXtal_Prot#'!$A:$AL,25,FALSE),"-")</f>
        <v>52</v>
      </c>
      <c r="S15" s="2">
        <f>IFERROR(50+VLOOKUP($A15,'SegEnds_Xtal_Prot#'!$A:$AY,37,FALSE)-VLOOKUP($B15,'SegEnds_NonXtal_Prot#'!$A:$AL,28,FALSE),"-")</f>
        <v>34</v>
      </c>
      <c r="T15" s="2">
        <f>IFERROR(50+VLOOKUP($A15,'SegEnds_Xtal_Prot#'!$A:$AY,39,FALSE)-VLOOKUP($B15,'SegEnds_NonXtal_Prot#'!$A:$AL,28,FALSE),"-")</f>
        <v>68</v>
      </c>
      <c r="U15" s="2">
        <f>IFERROR(50+VLOOKUP($A15,'SegEnds_Xtal_Prot#'!$A:$AY,41,FALSE)-VLOOKUP($B15,'SegEnds_NonXtal_Prot#'!$A:$AL,31,FALSE),"-")</f>
        <v>28</v>
      </c>
      <c r="V15" s="2">
        <f>IFERROR(50+VLOOKUP($A15,'SegEnds_Xtal_Prot#'!$A:$AY,43,FALSE)-VLOOKUP($B15,'SegEnds_NonXtal_Prot#'!$A:$AL,31,FALSE),"-")</f>
        <v>64</v>
      </c>
      <c r="W15" s="2">
        <f>IFERROR(50+VLOOKUP($A15,'SegEnds_Xtal_Prot#'!$A:$AY,45,FALSE)-VLOOKUP($B15,'SegEnds_NonXtal_Prot#'!$A:$AL,34,FALSE),"-")</f>
        <v>24</v>
      </c>
      <c r="X15" s="2">
        <f>IFERROR(50+VLOOKUP($A15,'SegEnds_Xtal_Prot#'!$A:$AY,47,FALSE)-VLOOKUP($B15,'SegEnds_NonXtal_Prot#'!$A:$AL,34,FALSE),"-")</f>
        <v>56</v>
      </c>
      <c r="Y15" s="2">
        <f>IFERROR(50+VLOOKUP($A15,'SegEnds_Xtal_Prot#'!$A:$AY,49,FALSE)-VLOOKUP($B15,'SegEnds_NonXtal_Prot#'!$A:$AL,37,FALSE),"-")</f>
        <v>47</v>
      </c>
      <c r="Z15" s="2">
        <f>IFERROR(50+VLOOKUP($A15,'SegEnds_Xtal_Prot#'!$A:$AY,51,FALSE)-VLOOKUP($B15,'SegEnds_NonXtal_Prot#'!$A:$AL,37,FALSE),"-")</f>
        <v>61</v>
      </c>
      <c r="AA15" s="50" t="str">
        <f>VLOOKUP(B15,Classification!A:D,2,FALSE)</f>
        <v>A</v>
      </c>
      <c r="AB15" s="97" t="str">
        <f>VLOOKUP(B15,Classification!A:D,4,0)</f>
        <v>Angiotensin</v>
      </c>
      <c r="AC15" s="50">
        <f>VLOOKUP(B15,'SegEnds_NonXtal_Prot#'!A:AL,6,FALSE)-VLOOKUP(B15,'SegEnds_NonXtal_Prot#'!A:AL,5,FALSE)</f>
        <v>1</v>
      </c>
      <c r="AD15" s="50">
        <f>VLOOKUP(B15,'SegEnds_NonXtal_Prot#'!A:AL,9,FALSE)-VLOOKUP(B15,'SegEnds_NonXtal_Prot#'!A:AL,8,FALSE)</f>
        <v>1</v>
      </c>
      <c r="AE15" s="50">
        <f>VLOOKUP(B15,'SegEnds_NonXtal_Prot#'!A:AL,13,FALSE)-VLOOKUP(B15,'SegEnds_NonXtal_Prot#'!A:AL,10,FALSE)</f>
        <v>20</v>
      </c>
      <c r="AF15" s="50">
        <f>VLOOKUP(B15,'SegEnds_NonXtal_Prot#'!A:AL,12,FALSE)-VLOOKUP(B15,'SegEnds_NonXtal_Prot#'!A:AL,11,FALSE)</f>
        <v>3</v>
      </c>
      <c r="AG15" s="50">
        <f>VLOOKUP(B15,'SegEnds_NonXtal_Prot#'!A:AL,13,FALSE)-VLOOKUP(B15,'SegEnds_NonXtal_Prot#'!A:AL,11,FALSE)</f>
        <v>4</v>
      </c>
      <c r="AH15" s="50">
        <f>VLOOKUP(B15,'SegEnds_NonXtal_Prot#'!A:AL,16,FALSE)-VLOOKUP(B15,'SegEnds_NonXtal_Prot#'!A:AL,10,FALSE)</f>
        <v>52</v>
      </c>
      <c r="AI15" s="50">
        <f>VLOOKUP(B15,'SegEnds_NonXtal_Prot#'!A:AL,16,FALSE)-VLOOKUP(B15,'SegEnds_NonXtal_Prot#'!A:AL,11,FALSE)</f>
        <v>36</v>
      </c>
      <c r="AJ15" s="50">
        <f>VLOOKUP(B15,'SegEnds_NonXtal_Prot#'!A:AL,22,FALSE)-VLOOKUP(B15,'SegEnds_NonXtal_Prot#'!A:AL,19,FALSE)</f>
        <v>20</v>
      </c>
      <c r="AK15" s="50">
        <f>VLOOKUP(B15,'SegEnds_NonXtal_Prot#'!A:AL,15,FALSE)-VLOOKUP(B15,'SegEnds_NonXtal_Prot#'!A:AL,14,FALSE)</f>
        <v>1</v>
      </c>
      <c r="AL15" s="50">
        <f>VLOOKUP(B15,'SegEnds_NonXtal_Prot#'!A:AL,18,FALSE)-VLOOKUP(B15,'SegEnds_NonXtal_Prot#'!A:AL,17,FALSE)</f>
        <v>1</v>
      </c>
      <c r="AM15" s="2">
        <f>VLOOKUP(B15,'SegEnds_NonXtal_Prot#'!A:AL,34,FALSE)-VLOOKUP(B15,'SegEnds_NonXtal_Prot#'!A:AL,31,FALSE)</f>
        <v>44</v>
      </c>
      <c r="AN15" s="38"/>
    </row>
    <row r="16" spans="1:64" s="2" customFormat="1" x14ac:dyDescent="0.2">
      <c r="A16" s="2" t="s">
        <v>1400</v>
      </c>
      <c r="B16" s="2" t="s">
        <v>159</v>
      </c>
      <c r="C16" s="2">
        <f>IFERROR(50+VLOOKUP($A16,'SegEnds_Xtal_Prot#'!$A:$AY,5,FALSE)-VLOOKUP($B16,'SegEnds_NonXtal_Prot#'!$A:$AL,4,FALSE),"-")</f>
        <v>33</v>
      </c>
      <c r="D16" s="2">
        <f>IFERROR(50+VLOOKUP($A16,'SegEnds_Xtal_Prot#'!$A:$AY,7,FALSE)-VLOOKUP($B16,'SegEnds_NonXtal_Prot#'!$A:$AL,4,FALSE),"-")</f>
        <v>60</v>
      </c>
      <c r="E16" s="2" t="str">
        <f>IFERROR(50+VLOOKUP($A16,'SegEnds_Xtal_Prot#'!$A:$AY,9,FALSE)-VLOOKUP($B16,'SegEnds_NonXtal_Prot#'!$A:$AL,7,FALSE),"-")</f>
        <v>-</v>
      </c>
      <c r="F16" s="2" t="str">
        <f>IFERROR(50+VLOOKUP($A16,'SegEnds_Xtal_Prot#'!$A:$AY,11,FALSE)-VLOOKUP($B16,'SegEnds_NonXtal_Prot#'!$A:$AL,7,FALSE),"-")</f>
        <v>-</v>
      </c>
      <c r="G16" s="2">
        <f>IFERROR(50+VLOOKUP($A16,'SegEnds_Xtal_Prot#'!$A:$AY,13,FALSE)-VLOOKUP($B16,'SegEnds_NonXtal_Prot#'!$A:$AL,10,FALSE),"-")</f>
        <v>38</v>
      </c>
      <c r="H16" s="2">
        <f>IFERROR(50+VLOOKUP($A16,'SegEnds_Xtal_Prot#'!$A:$AY,15,FALSE)-VLOOKUP($B16,'SegEnds_NonXtal_Prot#'!$A:$AL,10,FALSE),"-")</f>
        <v>66</v>
      </c>
      <c r="I16" s="2">
        <f>IFERROR(50+VLOOKUP($A16,'SegEnds_Xtal_Prot#'!$A:$AY,17,FALSE)-VLOOKUP($B16,'SegEnds_NonXtal_Prot#'!$A:$AL,13,FALSE),"-")</f>
        <v>47</v>
      </c>
      <c r="J16" s="2">
        <f>IFERROR(50+VLOOKUP($A16,'SegEnds_Xtal_Prot#'!$A:$AY,19,FALSE)-VLOOKUP($B16,'SegEnds_NonXtal_Prot#'!$A:$AL,13,FALSE),"-")</f>
        <v>52</v>
      </c>
      <c r="K16" s="2">
        <f>IFERROR(50+VLOOKUP($A16,'SegEnds_Xtal_Prot#'!$A:$AY,21,FALSE)-VLOOKUP($B16,'SegEnds_NonXtal_Prot#'!$A:$AL,16,FALSE),"-")</f>
        <v>21</v>
      </c>
      <c r="L16" s="2">
        <f>IFERROR(50+VLOOKUP($A16,'SegEnds_Xtal_Prot#'!$A:$AY,23,FALSE)-VLOOKUP($B16,'SegEnds_NonXtal_Prot#'!$A:$AL,16,FALSE),"-")</f>
        <v>56</v>
      </c>
      <c r="M16" s="2">
        <f>IFERROR(50+VLOOKUP($A16,'SegEnds_Xtal_Prot#'!$A:$AY,25,FALSE)-VLOOKUP($B16,'SegEnds_NonXtal_Prot#'!$A:$AL,19,FALSE),"-")</f>
        <v>50</v>
      </c>
      <c r="N16" s="2">
        <f>IFERROR(50+VLOOKUP($A16,'SegEnds_Xtal_Prot#'!$A:$AY,27,FALSE)-VLOOKUP($B16,'SegEnds_NonXtal_Prot#'!$A:$AL,19,FALSE),"-")</f>
        <v>56</v>
      </c>
      <c r="O16" s="2">
        <f>IFERROR(50+VLOOKUP($A16,'SegEnds_Xtal_Prot#'!$A:$AY,29,FALSE)-VLOOKUP($B16,'SegEnds_NonXtal_Prot#'!$A:$AL,22,FALSE),"-")</f>
        <v>38</v>
      </c>
      <c r="P16" s="2">
        <f>IFERROR(50+VLOOKUP($A16,'SegEnds_Xtal_Prot#'!$A:$AY,31,FALSE)-VLOOKUP($B16,'SegEnds_NonXtal_Prot#'!$A:$AL,22,FALSE),"-")</f>
        <v>64</v>
      </c>
      <c r="Q16" s="2">
        <f>IFERROR(50+VLOOKUP($A16,'SegEnds_Xtal_Prot#'!$A:$AY,33,FALSE)-VLOOKUP($B16,'SegEnds_NonXtal_Prot#'!$A:$AL,25,FALSE),"-")</f>
        <v>50</v>
      </c>
      <c r="R16" s="2">
        <f>IFERROR(50+VLOOKUP($A16,'SegEnds_Xtal_Prot#'!$A:$AY,35,FALSE)-VLOOKUP($B16,'SegEnds_NonXtal_Prot#'!$A:$AL,25,FALSE),"-")</f>
        <v>52</v>
      </c>
      <c r="S16" s="2">
        <f>IFERROR(50+VLOOKUP($A16,'SegEnds_Xtal_Prot#'!$A:$AY,37,FALSE)-VLOOKUP($B16,'SegEnds_NonXtal_Prot#'!$A:$AL,28,FALSE),"-")</f>
        <v>30</v>
      </c>
      <c r="T16" s="2">
        <f>IFERROR(50+VLOOKUP($A16,'SegEnds_Xtal_Prot#'!$A:$AY,39,FALSE)-VLOOKUP($B16,'SegEnds_NonXtal_Prot#'!$A:$AL,28,FALSE),"-")</f>
        <v>68</v>
      </c>
      <c r="U16" s="2">
        <f>IFERROR(50+VLOOKUP($A16,'SegEnds_Xtal_Prot#'!$A:$AY,41,FALSE)-VLOOKUP($B16,'SegEnds_NonXtal_Prot#'!$A:$AL,31,FALSE),"-")</f>
        <v>24</v>
      </c>
      <c r="V16" s="2">
        <f>IFERROR(50+VLOOKUP($A16,'SegEnds_Xtal_Prot#'!$A:$AY,43,FALSE)-VLOOKUP($B16,'SegEnds_NonXtal_Prot#'!$A:$AL,31,FALSE),"-")</f>
        <v>64</v>
      </c>
      <c r="W16" s="2">
        <f>IFERROR(50+VLOOKUP($A16,'SegEnds_Xtal_Prot#'!$A:$AY,45,FALSE)-VLOOKUP($B16,'SegEnds_NonXtal_Prot#'!$A:$AL,34,FALSE),"-")</f>
        <v>24</v>
      </c>
      <c r="X16" s="2">
        <f>IFERROR(50+VLOOKUP($A16,'SegEnds_Xtal_Prot#'!$A:$AY,47,FALSE)-VLOOKUP($B16,'SegEnds_NonXtal_Prot#'!$A:$AL,34,FALSE),"-")</f>
        <v>56</v>
      </c>
      <c r="Y16" s="2">
        <f>IFERROR(50+VLOOKUP($A16,'SegEnds_Xtal_Prot#'!$A:$AY,49,FALSE)-VLOOKUP($B16,'SegEnds_NonXtal_Prot#'!$A:$AL,37,FALSE),"-")</f>
        <v>47</v>
      </c>
      <c r="Z16" s="2">
        <f>IFERROR(50+VLOOKUP($A16,'SegEnds_Xtal_Prot#'!$A:$AY,51,FALSE)-VLOOKUP($B16,'SegEnds_NonXtal_Prot#'!$A:$AL,37,FALSE),"-")</f>
        <v>61</v>
      </c>
      <c r="AA16" s="50" t="str">
        <f>VLOOKUP(B16,Classification!A:D,2,FALSE)</f>
        <v>A</v>
      </c>
      <c r="AB16" s="97" t="str">
        <f>VLOOKUP(B16,Classification!A:D,4,0)</f>
        <v>Angiotensin</v>
      </c>
      <c r="AC16" s="50" t="e">
        <f>VLOOKUP(B16,'SegEnds_NonXtal_Prot#'!A:AL,6,FALSE)-VLOOKUP(B16,'SegEnds_NonXtal_Prot#'!A:AL,5,FALSE)</f>
        <v>#VALUE!</v>
      </c>
      <c r="AD16" s="50" t="e">
        <f>VLOOKUP(B16,'SegEnds_NonXtal_Prot#'!A:AL,9,FALSE)-VLOOKUP(B16,'SegEnds_NonXtal_Prot#'!A:AL,8,FALSE)</f>
        <v>#VALUE!</v>
      </c>
      <c r="AE16" s="50">
        <f>VLOOKUP(B16,'SegEnds_NonXtal_Prot#'!A:AL,13,FALSE)-VLOOKUP(B16,'SegEnds_NonXtal_Prot#'!A:AL,10,FALSE)</f>
        <v>20</v>
      </c>
      <c r="AF16" s="50">
        <f>VLOOKUP(B16,'SegEnds_NonXtal_Prot#'!A:AL,12,FALSE)-VLOOKUP(B16,'SegEnds_NonXtal_Prot#'!A:AL,11,FALSE)</f>
        <v>3</v>
      </c>
      <c r="AG16" s="50">
        <f>VLOOKUP(B16,'SegEnds_NonXtal_Prot#'!A:AL,13,FALSE)-VLOOKUP(B16,'SegEnds_NonXtal_Prot#'!A:AL,11,FALSE)</f>
        <v>4</v>
      </c>
      <c r="AH16" s="50">
        <f>VLOOKUP(B16,'SegEnds_NonXtal_Prot#'!A:AL,16,FALSE)-VLOOKUP(B16,'SegEnds_NonXtal_Prot#'!A:AL,10,FALSE)</f>
        <v>52</v>
      </c>
      <c r="AI16" s="50">
        <f>VLOOKUP(B16,'SegEnds_NonXtal_Prot#'!A:AL,16,FALSE)-VLOOKUP(B16,'SegEnds_NonXtal_Prot#'!A:AL,11,FALSE)</f>
        <v>36</v>
      </c>
      <c r="AJ16" s="50">
        <f>VLOOKUP(B16,'SegEnds_NonXtal_Prot#'!A:AL,22,FALSE)-VLOOKUP(B16,'SegEnds_NonXtal_Prot#'!A:AL,19,FALSE)</f>
        <v>19</v>
      </c>
      <c r="AK16" s="50">
        <f>VLOOKUP(B16,'SegEnds_NonXtal_Prot#'!A:AL,15,FALSE)-VLOOKUP(B16,'SegEnds_NonXtal_Prot#'!A:AL,14,FALSE)</f>
        <v>1</v>
      </c>
      <c r="AL16" s="50">
        <f>VLOOKUP(B16,'SegEnds_NonXtal_Prot#'!A:AL,18,FALSE)-VLOOKUP(B16,'SegEnds_NonXtal_Prot#'!A:AL,17,FALSE)</f>
        <v>1</v>
      </c>
      <c r="AM16" s="2">
        <f>VLOOKUP(B16,'SegEnds_NonXtal_Prot#'!A:AL,34,FALSE)-VLOOKUP(B16,'SegEnds_NonXtal_Prot#'!A:AL,31,FALSE)</f>
        <v>44</v>
      </c>
      <c r="AN16" s="38"/>
    </row>
    <row r="17" spans="1:64" s="2" customFormat="1" x14ac:dyDescent="0.2">
      <c r="A17" s="2" t="s">
        <v>1425</v>
      </c>
      <c r="B17" s="2" t="s">
        <v>160</v>
      </c>
      <c r="C17" s="2">
        <f>IFERROR(50+VLOOKUP($A17,'SegEnds_Xtal_Prot#'!$A:$AY,5,FALSE)-VLOOKUP($B17,'SegEnds_NonXtal_Prot#'!$A:$AL,4,FALSE),"-")</f>
        <v>33</v>
      </c>
      <c r="D17" s="2">
        <f>IFERROR(50+VLOOKUP($A17,'SegEnds_Xtal_Prot#'!$A:$AY,7,FALSE)-VLOOKUP($B17,'SegEnds_NonXtal_Prot#'!$A:$AL,4,FALSE),"-")</f>
        <v>60</v>
      </c>
      <c r="E17" s="2">
        <f>IFERROR(50+VLOOKUP($A17,'SegEnds_Xtal_Prot#'!$A:$AY,9,FALSE)-VLOOKUP($B17,'SegEnds_NonXtal_Prot#'!$A:$AL,7,FALSE),"-")</f>
        <v>48</v>
      </c>
      <c r="F17" s="2">
        <f>IFERROR(50+VLOOKUP($A17,'SegEnds_Xtal_Prot#'!$A:$AY,11,FALSE)-VLOOKUP($B17,'SegEnds_NonXtal_Prot#'!$A:$AL,7,FALSE),"-")</f>
        <v>52</v>
      </c>
      <c r="G17" s="2">
        <f>IFERROR(50+VLOOKUP($A17,'SegEnds_Xtal_Prot#'!$A:$AY,13,FALSE)-VLOOKUP($B17,'SegEnds_NonXtal_Prot#'!$A:$AL,10,FALSE),"-")</f>
        <v>37</v>
      </c>
      <c r="H17" s="2">
        <f>IFERROR(50+VLOOKUP($A17,'SegEnds_Xtal_Prot#'!$A:$AY,15,FALSE)-VLOOKUP($B17,'SegEnds_NonXtal_Prot#'!$A:$AL,10,FALSE),"-")</f>
        <v>67</v>
      </c>
      <c r="I17" s="2">
        <f>IFERROR(50+VLOOKUP($A17,'SegEnds_Xtal_Prot#'!$A:$AY,17,FALSE)-VLOOKUP($B17,'SegEnds_NonXtal_Prot#'!$A:$AL,13,FALSE),"-")</f>
        <v>49</v>
      </c>
      <c r="J17" s="2">
        <f>IFERROR(50+VLOOKUP($A17,'SegEnds_Xtal_Prot#'!$A:$AY,19,FALSE)-VLOOKUP($B17,'SegEnds_NonXtal_Prot#'!$A:$AL,13,FALSE),"-")</f>
        <v>52</v>
      </c>
      <c r="K17" s="2">
        <f>IFERROR(50+VLOOKUP($A17,'SegEnds_Xtal_Prot#'!$A:$AY,21,FALSE)-VLOOKUP($B17,'SegEnds_NonXtal_Prot#'!$A:$AL,16,FALSE),"-")</f>
        <v>21</v>
      </c>
      <c r="L17" s="2">
        <f>IFERROR(50+VLOOKUP($A17,'SegEnds_Xtal_Prot#'!$A:$AY,23,FALSE)-VLOOKUP($B17,'SegEnds_NonXtal_Prot#'!$A:$AL,16,FALSE),"-")</f>
        <v>56</v>
      </c>
      <c r="M17" s="2">
        <f>IFERROR(50+VLOOKUP($A17,'SegEnds_Xtal_Prot#'!$A:$AY,25,FALSE)-VLOOKUP($B17,'SegEnds_NonXtal_Prot#'!$A:$AL,19,FALSE),"-")</f>
        <v>50</v>
      </c>
      <c r="N17" s="2">
        <f>IFERROR(50+VLOOKUP($A17,'SegEnds_Xtal_Prot#'!$A:$AY,27,FALSE)-VLOOKUP($B17,'SegEnds_NonXtal_Prot#'!$A:$AL,19,FALSE),"-")</f>
        <v>57</v>
      </c>
      <c r="O17" s="2">
        <f>IFERROR(50+VLOOKUP($A17,'SegEnds_Xtal_Prot#'!$A:$AY,29,FALSE)-VLOOKUP($B17,'SegEnds_NonXtal_Prot#'!$A:$AL,22,FALSE),"-")</f>
        <v>38</v>
      </c>
      <c r="P17" s="2">
        <f>IFERROR(50+VLOOKUP($A17,'SegEnds_Xtal_Prot#'!$A:$AY,31,FALSE)-VLOOKUP($B17,'SegEnds_NonXtal_Prot#'!$A:$AL,22,FALSE),"-")</f>
        <v>64</v>
      </c>
      <c r="Q17" s="2">
        <f>IFERROR(50+VLOOKUP($A17,'SegEnds_Xtal_Prot#'!$A:$AY,33,FALSE)-VLOOKUP($B17,'SegEnds_NonXtal_Prot#'!$A:$AL,25,FALSE),"-")</f>
        <v>50</v>
      </c>
      <c r="R17" s="2">
        <f>IFERROR(50+VLOOKUP($A17,'SegEnds_Xtal_Prot#'!$A:$AY,35,FALSE)-VLOOKUP($B17,'SegEnds_NonXtal_Prot#'!$A:$AL,25,FALSE),"-")</f>
        <v>52</v>
      </c>
      <c r="S17" s="2">
        <f>IFERROR(50+VLOOKUP($A17,'SegEnds_Xtal_Prot#'!$A:$AY,37,FALSE)-VLOOKUP($B17,'SegEnds_NonXtal_Prot#'!$A:$AL,28,FALSE),"-")</f>
        <v>30</v>
      </c>
      <c r="T17" s="2">
        <f>IFERROR(50+VLOOKUP($A17,'SegEnds_Xtal_Prot#'!$A:$AY,39,FALSE)-VLOOKUP($B17,'SegEnds_NonXtal_Prot#'!$A:$AL,28,FALSE),"-")</f>
        <v>72</v>
      </c>
      <c r="U17" s="2">
        <f>IFERROR(50+VLOOKUP($A17,'SegEnds_Xtal_Prot#'!$A:$AY,41,FALSE)-VLOOKUP($B17,'SegEnds_NonXtal_Prot#'!$A:$AL,31,FALSE),"-")</f>
        <v>29</v>
      </c>
      <c r="V17" s="2">
        <f>IFERROR(50+VLOOKUP($A17,'SegEnds_Xtal_Prot#'!$A:$AY,43,FALSE)-VLOOKUP($B17,'SegEnds_NonXtal_Prot#'!$A:$AL,31,FALSE),"-")</f>
        <v>63</v>
      </c>
      <c r="W17" s="2">
        <f>IFERROR(50+VLOOKUP($A17,'SegEnds_Xtal_Prot#'!$A:$AY,45,FALSE)-VLOOKUP($B17,'SegEnds_NonXtal_Prot#'!$A:$AL,34,FALSE),"-")</f>
        <v>24</v>
      </c>
      <c r="X17" s="2">
        <f>IFERROR(50+VLOOKUP($A17,'SegEnds_Xtal_Prot#'!$A:$AY,47,FALSE)-VLOOKUP($B17,'SegEnds_NonXtal_Prot#'!$A:$AL,34,FALSE),"-")</f>
        <v>56</v>
      </c>
      <c r="Y17" s="2">
        <f>IFERROR(50+VLOOKUP($A17,'SegEnds_Xtal_Prot#'!$A:$AY,49,FALSE)-VLOOKUP($B17,'SegEnds_NonXtal_Prot#'!$A:$AL,37,FALSE),"-")</f>
        <v>47</v>
      </c>
      <c r="Z17" s="2">
        <f>IFERROR(50+VLOOKUP($A17,'SegEnds_Xtal_Prot#'!$A:$AY,51,FALSE)-VLOOKUP($B17,'SegEnds_NonXtal_Prot#'!$A:$AL,37,FALSE),"-")</f>
        <v>61</v>
      </c>
      <c r="AA17" s="50" t="str">
        <f>VLOOKUP(B17,Classification!A:D,2,FALSE)</f>
        <v>A</v>
      </c>
      <c r="AB17" s="97" t="str">
        <f>VLOOKUP(B17,Classification!A:D,4,0)</f>
        <v>Apelin</v>
      </c>
      <c r="AC17" s="50">
        <f>VLOOKUP(B17,'SegEnds_NonXtal_Prot#'!A:AL,6,FALSE)-VLOOKUP(B17,'SegEnds_NonXtal_Prot#'!A:AL,5,FALSE)</f>
        <v>1</v>
      </c>
      <c r="AD17" s="50">
        <f>VLOOKUP(B17,'SegEnds_NonXtal_Prot#'!A:AL,9,FALSE)-VLOOKUP(B17,'SegEnds_NonXtal_Prot#'!A:AL,8,FALSE)</f>
        <v>1</v>
      </c>
      <c r="AE17" s="50">
        <f>VLOOKUP(B17,'SegEnds_NonXtal_Prot#'!A:AL,13,FALSE)-VLOOKUP(B17,'SegEnds_NonXtal_Prot#'!A:AL,10,FALSE)</f>
        <v>20</v>
      </c>
      <c r="AF17" s="50">
        <f>VLOOKUP(B17,'SegEnds_NonXtal_Prot#'!A:AL,12,FALSE)-VLOOKUP(B17,'SegEnds_NonXtal_Prot#'!A:AL,11,FALSE)</f>
        <v>2</v>
      </c>
      <c r="AG17" s="50">
        <f>VLOOKUP(B17,'SegEnds_NonXtal_Prot#'!A:AL,13,FALSE)-VLOOKUP(B17,'SegEnds_NonXtal_Prot#'!A:AL,11,FALSE)</f>
        <v>3</v>
      </c>
      <c r="AH17" s="50">
        <f>VLOOKUP(B17,'SegEnds_NonXtal_Prot#'!A:AL,16,FALSE)-VLOOKUP(B17,'SegEnds_NonXtal_Prot#'!A:AL,10,FALSE)</f>
        <v>52</v>
      </c>
      <c r="AI17" s="50">
        <f>VLOOKUP(B17,'SegEnds_NonXtal_Prot#'!A:AL,16,FALSE)-VLOOKUP(B17,'SegEnds_NonXtal_Prot#'!A:AL,11,FALSE)</f>
        <v>35</v>
      </c>
      <c r="AJ17" s="50">
        <f>VLOOKUP(B17,'SegEnds_NonXtal_Prot#'!A:AL,22,FALSE)-VLOOKUP(B17,'SegEnds_NonXtal_Prot#'!A:AL,19,FALSE)</f>
        <v>20</v>
      </c>
      <c r="AK17" s="50">
        <f>VLOOKUP(B17,'SegEnds_NonXtal_Prot#'!A:AL,15,FALSE)-VLOOKUP(B17,'SegEnds_NonXtal_Prot#'!A:AL,14,FALSE)</f>
        <v>1</v>
      </c>
      <c r="AL17" s="50">
        <f>VLOOKUP(B17,'SegEnds_NonXtal_Prot#'!A:AL,18,FALSE)-VLOOKUP(B17,'SegEnds_NonXtal_Prot#'!A:AL,17,FALSE)</f>
        <v>1</v>
      </c>
      <c r="AM17" s="2">
        <f>VLOOKUP(B17,'SegEnds_NonXtal_Prot#'!A:AL,34,FALSE)-VLOOKUP(B17,'SegEnds_NonXtal_Prot#'!A:AL,31,FALSE)</f>
        <v>43</v>
      </c>
      <c r="AN17" s="38"/>
    </row>
    <row r="18" spans="1:64" s="2" customFormat="1" x14ac:dyDescent="0.2">
      <c r="A18" s="2" t="s">
        <v>1369</v>
      </c>
      <c r="B18" s="2" t="s">
        <v>182</v>
      </c>
      <c r="C18" s="2">
        <f>IFERROR(50+VLOOKUP($A18,'SegEnds_Xtal_Prot#'!$A:$AY,5,FALSE)-VLOOKUP($B18,'SegEnds_NonXtal_Prot#'!$A:$AL,4,FALSE),"-")</f>
        <v>28</v>
      </c>
      <c r="D18" s="2">
        <f>IFERROR(50+VLOOKUP($A18,'SegEnds_Xtal_Prot#'!$A:$AY,7,FALSE)-VLOOKUP($B18,'SegEnds_NonXtal_Prot#'!$A:$AL,4,FALSE),"-")</f>
        <v>60</v>
      </c>
      <c r="E18" s="2">
        <f>IFERROR(50+VLOOKUP($A18,'SegEnds_Xtal_Prot#'!$A:$AY,9,FALSE)-VLOOKUP($B18,'SegEnds_NonXtal_Prot#'!$A:$AL,7,FALSE),"-")</f>
        <v>48</v>
      </c>
      <c r="F18" s="2">
        <f>IFERROR(50+VLOOKUP($A18,'SegEnds_Xtal_Prot#'!$A:$AY,11,FALSE)-VLOOKUP($B18,'SegEnds_NonXtal_Prot#'!$A:$AL,7,FALSE),"-")</f>
        <v>51</v>
      </c>
      <c r="G18" s="2">
        <f>IFERROR(50+VLOOKUP($A18,'SegEnds_Xtal_Prot#'!$A:$AY,13,FALSE)-VLOOKUP($B18,'SegEnds_NonXtal_Prot#'!$A:$AL,10,FALSE),"-")</f>
        <v>37</v>
      </c>
      <c r="H18" s="2">
        <f>IFERROR(50+VLOOKUP($A18,'SegEnds_Xtal_Prot#'!$A:$AY,15,FALSE)-VLOOKUP($B18,'SegEnds_NonXtal_Prot#'!$A:$AL,10,FALSE),"-")</f>
        <v>66</v>
      </c>
      <c r="I18" s="2" t="str">
        <f>IFERROR(50+VLOOKUP($A18,'SegEnds_Xtal_Prot#'!$A:$AY,17,FALSE)-VLOOKUP($B18,'SegEnds_NonXtal_Prot#'!$A:$AL,13,FALSE),"-")</f>
        <v>-</v>
      </c>
      <c r="J18" s="2" t="str">
        <f>IFERROR(50+VLOOKUP($A18,'SegEnds_Xtal_Prot#'!$A:$AY,19,FALSE)-VLOOKUP($B18,'SegEnds_NonXtal_Prot#'!$A:$AL,13,FALSE),"-")</f>
        <v>-</v>
      </c>
      <c r="K18" s="2">
        <f>IFERROR(50+VLOOKUP($A18,'SegEnds_Xtal_Prot#'!$A:$AY,21,FALSE)-VLOOKUP($B18,'SegEnds_NonXtal_Prot#'!$A:$AL,16,FALSE),"-")</f>
        <v>21</v>
      </c>
      <c r="L18" s="2">
        <f>IFERROR(50+VLOOKUP($A18,'SegEnds_Xtal_Prot#'!$A:$AY,23,FALSE)-VLOOKUP($B18,'SegEnds_NonXtal_Prot#'!$A:$AL,16,FALSE),"-")</f>
        <v>56</v>
      </c>
      <c r="M18" s="2">
        <f>IFERROR(50+VLOOKUP($A18,'SegEnds_Xtal_Prot#'!$A:$AY,25,FALSE)-VLOOKUP($B18,'SegEnds_NonXtal_Prot#'!$A:$AL,19,FALSE),"-")</f>
        <v>50</v>
      </c>
      <c r="N18" s="2">
        <f>IFERROR(50+VLOOKUP($A18,'SegEnds_Xtal_Prot#'!$A:$AY,27,FALSE)-VLOOKUP($B18,'SegEnds_NonXtal_Prot#'!$A:$AL,19,FALSE),"-")</f>
        <v>57</v>
      </c>
      <c r="O18" s="2">
        <f>IFERROR(50+VLOOKUP($A18,'SegEnds_Xtal_Prot#'!$A:$AY,29,FALSE)-VLOOKUP($B18,'SegEnds_NonXtal_Prot#'!$A:$AL,22,FALSE),"-")</f>
        <v>38</v>
      </c>
      <c r="P18" s="2">
        <f>IFERROR(50+VLOOKUP($A18,'SegEnds_Xtal_Prot#'!$A:$AY,31,FALSE)-VLOOKUP($B18,'SegEnds_NonXtal_Prot#'!$A:$AL,22,FALSE),"-")</f>
        <v>63</v>
      </c>
      <c r="Q18" s="2" t="str">
        <f>IFERROR(50+VLOOKUP($A18,'SegEnds_Xtal_Prot#'!$A:$AY,33,FALSE)-VLOOKUP($B18,'SegEnds_NonXtal_Prot#'!$A:$AL,25,FALSE),"-")</f>
        <v>-</v>
      </c>
      <c r="R18" s="2" t="str">
        <f>IFERROR(50+VLOOKUP($A18,'SegEnds_Xtal_Prot#'!$A:$AY,35,FALSE)-VLOOKUP($B18,'SegEnds_NonXtal_Prot#'!$A:$AL,25,FALSE),"-")</f>
        <v>-</v>
      </c>
      <c r="S18" s="2">
        <f>IFERROR(50+VLOOKUP($A18,'SegEnds_Xtal_Prot#'!$A:$AY,37,FALSE)-VLOOKUP($B18,'SegEnds_NonXtal_Prot#'!$A:$AL,28,FALSE),"-")</f>
        <v>36</v>
      </c>
      <c r="T18" s="2">
        <f>IFERROR(50+VLOOKUP($A18,'SegEnds_Xtal_Prot#'!$A:$AY,39,FALSE)-VLOOKUP($B18,'SegEnds_NonXtal_Prot#'!$A:$AL,28,FALSE),"-")</f>
        <v>76</v>
      </c>
      <c r="U18" s="2">
        <f>IFERROR(50+VLOOKUP($A18,'SegEnds_Xtal_Prot#'!$A:$AY,41,FALSE)-VLOOKUP($B18,'SegEnds_NonXtal_Prot#'!$A:$AL,31,FALSE),"-")</f>
        <v>24</v>
      </c>
      <c r="V18" s="2">
        <f>IFERROR(50+VLOOKUP($A18,'SegEnds_Xtal_Prot#'!$A:$AY,43,FALSE)-VLOOKUP($B18,'SegEnds_NonXtal_Prot#'!$A:$AL,31,FALSE),"-")</f>
        <v>61</v>
      </c>
      <c r="W18" s="2">
        <f>IFERROR(50+VLOOKUP($A18,'SegEnds_Xtal_Prot#'!$A:$AY,45,FALSE)-VLOOKUP($B18,'SegEnds_NonXtal_Prot#'!$A:$AL,34,FALSE),"-")</f>
        <v>28</v>
      </c>
      <c r="X18" s="2">
        <f>IFERROR(50+VLOOKUP($A18,'SegEnds_Xtal_Prot#'!$A:$AY,47,FALSE)-VLOOKUP($B18,'SegEnds_NonXtal_Prot#'!$A:$AL,34,FALSE),"-")</f>
        <v>56</v>
      </c>
      <c r="Y18" s="2">
        <f>IFERROR(50+VLOOKUP($A18,'SegEnds_Xtal_Prot#'!$A:$AY,49,FALSE)-VLOOKUP($B18,'SegEnds_NonXtal_Prot#'!$A:$AL,37,FALSE),"-")</f>
        <v>47</v>
      </c>
      <c r="Z18" s="2">
        <f>IFERROR(50+VLOOKUP($A18,'SegEnds_Xtal_Prot#'!$A:$AY,51,FALSE)-VLOOKUP($B18,'SegEnds_NonXtal_Prot#'!$A:$AL,37,FALSE),"-")</f>
        <v>59</v>
      </c>
      <c r="AA18" s="50" t="str">
        <f>VLOOKUP(B18,Classification!A:D,2,FALSE)</f>
        <v>A</v>
      </c>
      <c r="AB18" s="97" t="str">
        <f>VLOOKUP(B18,Classification!A:D,4,0)</f>
        <v>Cannabinoid</v>
      </c>
      <c r="AC18" s="50">
        <f>VLOOKUP(B18,'SegEnds_NonXtal_Prot#'!A:AL,6,FALSE)-VLOOKUP(B18,'SegEnds_NonXtal_Prot#'!A:AL,5,FALSE)</f>
        <v>1</v>
      </c>
      <c r="AD18" s="50">
        <f>VLOOKUP(B18,'SegEnds_NonXtal_Prot#'!A:AL,9,FALSE)-VLOOKUP(B18,'SegEnds_NonXtal_Prot#'!A:AL,8,FALSE)</f>
        <v>2</v>
      </c>
      <c r="AE18" s="50" t="e">
        <f>VLOOKUP(B18,'SegEnds_NonXtal_Prot#'!A:AL,13,FALSE)-VLOOKUP(B18,'SegEnds_NonXtal_Prot#'!A:AL,10,FALSE)</f>
        <v>#VALUE!</v>
      </c>
      <c r="AF18" s="50" t="e">
        <f>VLOOKUP(B18,'SegEnds_NonXtal_Prot#'!A:AL,12,FALSE)-VLOOKUP(B18,'SegEnds_NonXtal_Prot#'!A:AL,11,FALSE)</f>
        <v>#VALUE!</v>
      </c>
      <c r="AG18" s="50" t="e">
        <f>VLOOKUP(B18,'SegEnds_NonXtal_Prot#'!A:AL,13,FALSE)-VLOOKUP(B18,'SegEnds_NonXtal_Prot#'!A:AL,11,FALSE)</f>
        <v>#VALUE!</v>
      </c>
      <c r="AH18" s="50">
        <f>VLOOKUP(B18,'SegEnds_NonXtal_Prot#'!A:AL,16,FALSE)-VLOOKUP(B18,'SegEnds_NonXtal_Prot#'!A:AL,10,FALSE)</f>
        <v>51</v>
      </c>
      <c r="AI18" s="50">
        <f>VLOOKUP(B18,'SegEnds_NonXtal_Prot#'!A:AL,16,FALSE)-VLOOKUP(B18,'SegEnds_NonXtal_Prot#'!A:AL,11,FALSE)</f>
        <v>35</v>
      </c>
      <c r="AJ18" s="50">
        <f>VLOOKUP(B18,'SegEnds_NonXtal_Prot#'!A:AL,22,FALSE)-VLOOKUP(B18,'SegEnds_NonXtal_Prot#'!A:AL,19,FALSE)</f>
        <v>20</v>
      </c>
      <c r="AK18" s="50" t="e">
        <f>VLOOKUP(B18,'SegEnds_NonXtal_Prot#'!A:AL,15,FALSE)-VLOOKUP(B18,'SegEnds_NonXtal_Prot#'!A:AL,14,FALSE)</f>
        <v>#VALUE!</v>
      </c>
      <c r="AL18" s="50">
        <f>VLOOKUP(B18,'SegEnds_NonXtal_Prot#'!A:AL,18,FALSE)-VLOOKUP(B18,'SegEnds_NonXtal_Prot#'!A:AL,17,FALSE)</f>
        <v>1</v>
      </c>
      <c r="AM18" s="2">
        <f>VLOOKUP(B18,'SegEnds_NonXtal_Prot#'!A:AL,34,FALSE)-VLOOKUP(B18,'SegEnds_NonXtal_Prot#'!A:AL,31,FALSE)</f>
        <v>36</v>
      </c>
      <c r="AN18" s="38"/>
      <c r="BL18" s="50"/>
    </row>
    <row r="19" spans="1:64" s="2" customFormat="1" x14ac:dyDescent="0.2">
      <c r="A19" s="2" t="s">
        <v>1256</v>
      </c>
      <c r="B19" s="2" t="s">
        <v>1172</v>
      </c>
      <c r="C19" s="2">
        <f>IFERROR(50+VLOOKUP($A19,'SegEnds_Xtal_Prot#'!$A:$AY,5,FALSE)-VLOOKUP($B19,'SegEnds_NonXtal_Prot#'!$A:$AL,4,FALSE),"-")</f>
        <v>24</v>
      </c>
      <c r="D19" s="2">
        <f>IFERROR(50+VLOOKUP($A19,'SegEnds_Xtal_Prot#'!$A:$AY,7,FALSE)-VLOOKUP($B19,'SegEnds_NonXtal_Prot#'!$A:$AL,4,FALSE),"-")</f>
        <v>60</v>
      </c>
      <c r="E19" s="2">
        <f>IFERROR(50+VLOOKUP($A19,'SegEnds_Xtal_Prot#'!$A:$AY,9,FALSE)-VLOOKUP($B19,'SegEnds_NonXtal_Prot#'!$A:$AL,7,FALSE),"-")</f>
        <v>48</v>
      </c>
      <c r="F19" s="2">
        <f>IFERROR(50+VLOOKUP($A19,'SegEnds_Xtal_Prot#'!$A:$AY,11,FALSE)-VLOOKUP($B19,'SegEnds_NonXtal_Prot#'!$A:$AL,7,FALSE),"-")</f>
        <v>51</v>
      </c>
      <c r="G19" s="2">
        <f>IFERROR(50+VLOOKUP($A19,'SegEnds_Xtal_Prot#'!$A:$AY,13,FALSE)-VLOOKUP($B19,'SegEnds_NonXtal_Prot#'!$A:$AL,10,FALSE),"-")</f>
        <v>37</v>
      </c>
      <c r="H19" s="2">
        <f>IFERROR(50+VLOOKUP($A19,'SegEnds_Xtal_Prot#'!$A:$AY,15,FALSE)-VLOOKUP($B19,'SegEnds_NonXtal_Prot#'!$A:$AL,10,FALSE),"-")</f>
        <v>66</v>
      </c>
      <c r="I19" s="2">
        <f>IFERROR(50+VLOOKUP($A19,'SegEnds_Xtal_Prot#'!$A:$AY,17,FALSE)-VLOOKUP($B19,'SegEnds_NonXtal_Prot#'!$A:$AL,13,FALSE),"-")</f>
        <v>49</v>
      </c>
      <c r="J19" s="2">
        <f>IFERROR(50+VLOOKUP($A19,'SegEnds_Xtal_Prot#'!$A:$AY,19,FALSE)-VLOOKUP($B19,'SegEnds_NonXtal_Prot#'!$A:$AL,13,FALSE),"-")</f>
        <v>52</v>
      </c>
      <c r="K19" s="2">
        <f>IFERROR(50+VLOOKUP($A19,'SegEnds_Xtal_Prot#'!$A:$AY,21,FALSE)-VLOOKUP($B19,'SegEnds_NonXtal_Prot#'!$A:$AL,16,FALSE),"-")</f>
        <v>21</v>
      </c>
      <c r="L19" s="2">
        <f>IFERROR(50+VLOOKUP($A19,'SegEnds_Xtal_Prot#'!$A:$AY,23,FALSE)-VLOOKUP($B19,'SegEnds_NonXtal_Prot#'!$A:$AL,16,FALSE),"-")</f>
        <v>56</v>
      </c>
      <c r="M19" s="2">
        <f>IFERROR(50+VLOOKUP($A19,'SegEnds_Xtal_Prot#'!$A:$AY,25,FALSE)-VLOOKUP($B19,'SegEnds_NonXtal_Prot#'!$A:$AL,19,FALSE),"-")</f>
        <v>50</v>
      </c>
      <c r="N19" s="2">
        <f>IFERROR(50+VLOOKUP($A19,'SegEnds_Xtal_Prot#'!$A:$AY,27,FALSE)-VLOOKUP($B19,'SegEnds_NonXtal_Prot#'!$A:$AL,19,FALSE),"-")</f>
        <v>57</v>
      </c>
      <c r="O19" s="2">
        <f>IFERROR(50+VLOOKUP($A19,'SegEnds_Xtal_Prot#'!$A:$AY,29,FALSE)-VLOOKUP($B19,'SegEnds_NonXtal_Prot#'!$A:$AL,22,FALSE),"-")</f>
        <v>38</v>
      </c>
      <c r="P19" s="2">
        <f>IFERROR(50+VLOOKUP($A19,'SegEnds_Xtal_Prot#'!$A:$AY,31,FALSE)-VLOOKUP($B19,'SegEnds_NonXtal_Prot#'!$A:$AL,22,FALSE),"-")</f>
        <v>64</v>
      </c>
      <c r="Q19" s="2">
        <f>IFERROR(50+VLOOKUP($A19,'SegEnds_Xtal_Prot#'!$A:$AY,33,FALSE)-VLOOKUP($B19,'SegEnds_NonXtal_Prot#'!$A:$AL,25,FALSE),"-")</f>
        <v>50</v>
      </c>
      <c r="R19" s="2">
        <f>IFERROR(50+VLOOKUP($A19,'SegEnds_Xtal_Prot#'!$A:$AY,35,FALSE)-VLOOKUP($B19,'SegEnds_NonXtal_Prot#'!$A:$AL,25,FALSE),"-")</f>
        <v>52</v>
      </c>
      <c r="S19" s="2">
        <f>IFERROR(50+VLOOKUP($A19,'SegEnds_Xtal_Prot#'!$A:$AY,37,FALSE)-VLOOKUP($B19,'SegEnds_NonXtal_Prot#'!$A:$AL,28,FALSE),"-")</f>
        <v>32</v>
      </c>
      <c r="T19" s="2">
        <f>IFERROR(50+VLOOKUP($A19,'SegEnds_Xtal_Prot#'!$A:$AY,39,FALSE)-VLOOKUP($B19,'SegEnds_NonXtal_Prot#'!$A:$AL,28,FALSE),"-")</f>
        <v>68</v>
      </c>
      <c r="U19" s="2">
        <f>IFERROR(50+VLOOKUP($A19,'SegEnds_Xtal_Prot#'!$A:$AY,41,FALSE)-VLOOKUP($B19,'SegEnds_NonXtal_Prot#'!$A:$AL,31,FALSE),"-")</f>
        <v>30</v>
      </c>
      <c r="V19" s="2">
        <f>IFERROR(50+VLOOKUP($A19,'SegEnds_Xtal_Prot#'!$A:$AY,43,FALSE)-VLOOKUP($B19,'SegEnds_NonXtal_Prot#'!$A:$AL,31,FALSE),"-")</f>
        <v>64</v>
      </c>
      <c r="W19" s="2">
        <f>IFERROR(50+VLOOKUP($A19,'SegEnds_Xtal_Prot#'!$A:$AY,45,FALSE)-VLOOKUP($B19,'SegEnds_NonXtal_Prot#'!$A:$AL,34,FALSE),"-")</f>
        <v>24</v>
      </c>
      <c r="X19" s="2">
        <f>IFERROR(50+VLOOKUP($A19,'SegEnds_Xtal_Prot#'!$A:$AY,47,FALSE)-VLOOKUP($B19,'SegEnds_NonXtal_Prot#'!$A:$AL,34,FALSE),"-")</f>
        <v>56</v>
      </c>
      <c r="Y19" s="2">
        <f>IFERROR(50+VLOOKUP($A19,'SegEnds_Xtal_Prot#'!$A:$AY,49,FALSE)-VLOOKUP($B19,'SegEnds_NonXtal_Prot#'!$A:$AL,37,FALSE),"-")</f>
        <v>47</v>
      </c>
      <c r="Z19" s="2">
        <f>IFERROR(50+VLOOKUP($A19,'SegEnds_Xtal_Prot#'!$A:$AY,51,FALSE)-VLOOKUP($B19,'SegEnds_NonXtal_Prot#'!$A:$AL,37,FALSE),"-")</f>
        <v>59</v>
      </c>
      <c r="AA19" s="50" t="str">
        <f>VLOOKUP(B19,Classification!A:D,2,FALSE)</f>
        <v>A</v>
      </c>
      <c r="AB19" s="97" t="str">
        <f>VLOOKUP(B19,Classification!A:D,4,0)</f>
        <v>Chemokine</v>
      </c>
      <c r="AC19" s="50">
        <f>VLOOKUP(B19,'SegEnds_NonXtal_Prot#'!A:AL,6,FALSE)-VLOOKUP(B19,'SegEnds_NonXtal_Prot#'!A:AL,5,FALSE)</f>
        <v>1</v>
      </c>
      <c r="AD19" s="50">
        <f>VLOOKUP(B19,'SegEnds_NonXtal_Prot#'!A:AL,9,FALSE)-VLOOKUP(B19,'SegEnds_NonXtal_Prot#'!A:AL,8,FALSE)</f>
        <v>1</v>
      </c>
      <c r="AE19" s="50">
        <f>VLOOKUP(B19,'SegEnds_NonXtal_Prot#'!A:AL,13,FALSE)-VLOOKUP(B19,'SegEnds_NonXtal_Prot#'!A:AL,10,FALSE)</f>
        <v>18</v>
      </c>
      <c r="AF19" s="50">
        <f>VLOOKUP(B19,'SegEnds_NonXtal_Prot#'!A:AL,12,FALSE)-VLOOKUP(B19,'SegEnds_NonXtal_Prot#'!A:AL,11,FALSE)</f>
        <v>1</v>
      </c>
      <c r="AG19" s="50">
        <f>VLOOKUP(B19,'SegEnds_NonXtal_Prot#'!A:AL,13,FALSE)-VLOOKUP(B19,'SegEnds_NonXtal_Prot#'!A:AL,11,FALSE)</f>
        <v>2</v>
      </c>
      <c r="AH19" s="50">
        <f>VLOOKUP(B19,'SegEnds_NonXtal_Prot#'!A:AL,16,FALSE)-VLOOKUP(B19,'SegEnds_NonXtal_Prot#'!A:AL,10,FALSE)</f>
        <v>50</v>
      </c>
      <c r="AI19" s="50">
        <f>VLOOKUP(B19,'SegEnds_NonXtal_Prot#'!A:AL,16,FALSE)-VLOOKUP(B19,'SegEnds_NonXtal_Prot#'!A:AL,11,FALSE)</f>
        <v>34</v>
      </c>
      <c r="AJ19" s="50">
        <f>VLOOKUP(B19,'SegEnds_NonXtal_Prot#'!A:AL,22,FALSE)-VLOOKUP(B19,'SegEnds_NonXtal_Prot#'!A:AL,19,FALSE)</f>
        <v>20</v>
      </c>
      <c r="AK19" s="50">
        <f>VLOOKUP(B19,'SegEnds_NonXtal_Prot#'!A:AL,15,FALSE)-VLOOKUP(B19,'SegEnds_NonXtal_Prot#'!A:AL,14,FALSE)</f>
        <v>1</v>
      </c>
      <c r="AL19" s="50">
        <f>VLOOKUP(B19,'SegEnds_NonXtal_Prot#'!A:AL,18,FALSE)-VLOOKUP(B19,'SegEnds_NonXtal_Prot#'!A:AL,17,FALSE)</f>
        <v>1</v>
      </c>
      <c r="AM19" s="2">
        <f>VLOOKUP(B19,'SegEnds_NonXtal_Prot#'!A:AL,34,FALSE)-VLOOKUP(B19,'SegEnds_NonXtal_Prot#'!A:AL,31,FALSE)</f>
        <v>45</v>
      </c>
      <c r="AN19" s="38"/>
    </row>
    <row r="20" spans="1:64" s="2" customFormat="1" x14ac:dyDescent="0.2">
      <c r="A20" s="2" t="s">
        <v>1280</v>
      </c>
      <c r="B20" s="2" t="s">
        <v>924</v>
      </c>
      <c r="C20" s="2">
        <f>IFERROR(50+VLOOKUP($A20,'SegEnds_Xtal_Prot#'!$A:$AY,5,FALSE)-VLOOKUP($B20,'SegEnds_NonXtal_Prot#'!$A:$AL,4,FALSE),"-")</f>
        <v>25</v>
      </c>
      <c r="D20" s="2">
        <f>IFERROR(50+VLOOKUP($A20,'SegEnds_Xtal_Prot#'!$A:$AY,7,FALSE)-VLOOKUP($B20,'SegEnds_NonXtal_Prot#'!$A:$AL,4,FALSE),"-")</f>
        <v>60</v>
      </c>
      <c r="E20" s="2">
        <f>IFERROR(50+VLOOKUP($A20,'SegEnds_Xtal_Prot#'!$A:$AY,9,FALSE)-VLOOKUP($B20,'SegEnds_NonXtal_Prot#'!$A:$AL,7,FALSE),"-")</f>
        <v>48</v>
      </c>
      <c r="F20" s="2">
        <f>IFERROR(50+VLOOKUP($A20,'SegEnds_Xtal_Prot#'!$A:$AY,11,FALSE)-VLOOKUP($B20,'SegEnds_NonXtal_Prot#'!$A:$AL,7,FALSE),"-")</f>
        <v>51</v>
      </c>
      <c r="G20" s="2">
        <f>IFERROR(50+VLOOKUP($A20,'SegEnds_Xtal_Prot#'!$A:$AY,13,FALSE)-VLOOKUP($B20,'SegEnds_NonXtal_Prot#'!$A:$AL,10,FALSE),"-")</f>
        <v>37</v>
      </c>
      <c r="H20" s="2">
        <f>IFERROR(50+VLOOKUP($A20,'SegEnds_Xtal_Prot#'!$A:$AY,15,FALSE)-VLOOKUP($B20,'SegEnds_NonXtal_Prot#'!$A:$AL,10,FALSE),"-")</f>
        <v>66</v>
      </c>
      <c r="I20" s="2" t="str">
        <f>IFERROR(50+VLOOKUP($A20,'SegEnds_Xtal_Prot#'!$A:$AY,17,FALSE)-VLOOKUP($B20,'SegEnds_NonXtal_Prot#'!$A:$AL,13,FALSE),"-")</f>
        <v>-</v>
      </c>
      <c r="J20" s="2" t="str">
        <f>IFERROR(50+VLOOKUP($A20,'SegEnds_Xtal_Prot#'!$A:$AY,19,FALSE)-VLOOKUP($B20,'SegEnds_NonXtal_Prot#'!$A:$AL,13,FALSE),"-")</f>
        <v>-</v>
      </c>
      <c r="K20" s="2">
        <f>IFERROR(50+VLOOKUP($A20,'SegEnds_Xtal_Prot#'!$A:$AY,21,FALSE)-VLOOKUP($B20,'SegEnds_NonXtal_Prot#'!$A:$AL,16,FALSE),"-")</f>
        <v>24</v>
      </c>
      <c r="L20" s="2">
        <f>IFERROR(50+VLOOKUP($A20,'SegEnds_Xtal_Prot#'!$A:$AY,23,FALSE)-VLOOKUP($B20,'SegEnds_NonXtal_Prot#'!$A:$AL,16,FALSE),"-")</f>
        <v>56</v>
      </c>
      <c r="M20" s="2" t="str">
        <f>IFERROR(50+VLOOKUP($A20,'SegEnds_Xtal_Prot#'!$A:$AY,25,FALSE)-VLOOKUP($B20,'SegEnds_NonXtal_Prot#'!$A:$AL,19,FALSE),"-")</f>
        <v>-</v>
      </c>
      <c r="N20" s="2" t="str">
        <f>IFERROR(50+VLOOKUP($A20,'SegEnds_Xtal_Prot#'!$A:$AY,27,FALSE)-VLOOKUP($B20,'SegEnds_NonXtal_Prot#'!$A:$AL,19,FALSE),"-")</f>
        <v>-</v>
      </c>
      <c r="O20" s="2">
        <f>IFERROR(50+VLOOKUP($A20,'SegEnds_Xtal_Prot#'!$A:$AY,29,FALSE)-VLOOKUP($B20,'SegEnds_NonXtal_Prot#'!$A:$AL,22,FALSE),"-")</f>
        <v>38</v>
      </c>
      <c r="P20" s="2">
        <f>IFERROR(50+VLOOKUP($A20,'SegEnds_Xtal_Prot#'!$A:$AY,31,FALSE)-VLOOKUP($B20,'SegEnds_NonXtal_Prot#'!$A:$AL,22,FALSE),"-")</f>
        <v>63</v>
      </c>
      <c r="Q20" s="2">
        <f>IFERROR(50+VLOOKUP($A20,'SegEnds_Xtal_Prot#'!$A:$AY,33,FALSE)-VLOOKUP($B20,'SegEnds_NonXtal_Prot#'!$A:$AL,25,FALSE),"-")</f>
        <v>50</v>
      </c>
      <c r="R20" s="2">
        <f>IFERROR(50+VLOOKUP($A20,'SegEnds_Xtal_Prot#'!$A:$AY,35,FALSE)-VLOOKUP($B20,'SegEnds_NonXtal_Prot#'!$A:$AL,25,FALSE),"-")</f>
        <v>52</v>
      </c>
      <c r="S20" s="2">
        <f>IFERROR(50+VLOOKUP($A20,'SegEnds_Xtal_Prot#'!$A:$AY,37,FALSE)-VLOOKUP($B20,'SegEnds_NonXtal_Prot#'!$A:$AL,28,FALSE),"-")</f>
        <v>32</v>
      </c>
      <c r="T20" s="2">
        <f>IFERROR(50+VLOOKUP($A20,'SegEnds_Xtal_Prot#'!$A:$AY,39,FALSE)-VLOOKUP($B20,'SegEnds_NonXtal_Prot#'!$A:$AL,28,FALSE),"-")</f>
        <v>68</v>
      </c>
      <c r="U20" s="2">
        <f>IFERROR(50+VLOOKUP($A20,'SegEnds_Xtal_Prot#'!$A:$AY,41,FALSE)-VLOOKUP($B20,'SegEnds_NonXtal_Prot#'!$A:$AL,31,FALSE),"-")</f>
        <v>29</v>
      </c>
      <c r="V20" s="2">
        <f>IFERROR(50+VLOOKUP($A20,'SegEnds_Xtal_Prot#'!$A:$AY,43,FALSE)-VLOOKUP($B20,'SegEnds_NonXtal_Prot#'!$A:$AL,31,FALSE),"-")</f>
        <v>64</v>
      </c>
      <c r="W20" s="2">
        <f>IFERROR(50+VLOOKUP($A20,'SegEnds_Xtal_Prot#'!$A:$AY,45,FALSE)-VLOOKUP($B20,'SegEnds_NonXtal_Prot#'!$A:$AL,34,FALSE),"-")</f>
        <v>24</v>
      </c>
      <c r="X20" s="2">
        <f>IFERROR(50+VLOOKUP($A20,'SegEnds_Xtal_Prot#'!$A:$AY,47,FALSE)-VLOOKUP($B20,'SegEnds_NonXtal_Prot#'!$A:$AL,34,FALSE),"-")</f>
        <v>56</v>
      </c>
      <c r="Y20" s="2">
        <f>IFERROR(50+VLOOKUP($A20,'SegEnds_Xtal_Prot#'!$A:$AY,49,FALSE)-VLOOKUP($B20,'SegEnds_NonXtal_Prot#'!$A:$AL,37,FALSE),"-")</f>
        <v>47</v>
      </c>
      <c r="Z20" s="2">
        <f>IFERROR(50+VLOOKUP($A20,'SegEnds_Xtal_Prot#'!$A:$AY,51,FALSE)-VLOOKUP($B20,'SegEnds_NonXtal_Prot#'!$A:$AL,37,FALSE),"-")</f>
        <v>62</v>
      </c>
      <c r="AA20" s="50" t="str">
        <f>VLOOKUP(B20,Classification!A:D,2,FALSE)</f>
        <v>A</v>
      </c>
      <c r="AB20" s="97" t="str">
        <f>VLOOKUP(B20,Classification!A:D,4,0)</f>
        <v>Chemokine</v>
      </c>
      <c r="AC20" s="50">
        <f>VLOOKUP(B20,'SegEnds_NonXtal_Prot#'!A:AL,6,FALSE)-VLOOKUP(B20,'SegEnds_NonXtal_Prot#'!A:AL,5,FALSE)</f>
        <v>1</v>
      </c>
      <c r="AD20" s="50">
        <f>VLOOKUP(B20,'SegEnds_NonXtal_Prot#'!A:AL,9,FALSE)-VLOOKUP(B20,'SegEnds_NonXtal_Prot#'!A:AL,8,FALSE)</f>
        <v>1</v>
      </c>
      <c r="AE20" s="50" t="e">
        <f>VLOOKUP(B20,'SegEnds_NonXtal_Prot#'!A:AL,13,FALSE)-VLOOKUP(B20,'SegEnds_NonXtal_Prot#'!A:AL,10,FALSE)</f>
        <v>#VALUE!</v>
      </c>
      <c r="AF20" s="50" t="e">
        <f>VLOOKUP(B20,'SegEnds_NonXtal_Prot#'!A:AL,12,FALSE)-VLOOKUP(B20,'SegEnds_NonXtal_Prot#'!A:AL,11,FALSE)</f>
        <v>#VALUE!</v>
      </c>
      <c r="AG20" s="50" t="e">
        <f>VLOOKUP(B20,'SegEnds_NonXtal_Prot#'!A:AL,13,FALSE)-VLOOKUP(B20,'SegEnds_NonXtal_Prot#'!A:AL,11,FALSE)</f>
        <v>#VALUE!</v>
      </c>
      <c r="AH20" s="50">
        <f>VLOOKUP(B20,'SegEnds_NonXtal_Prot#'!A:AL,16,FALSE)-VLOOKUP(B20,'SegEnds_NonXtal_Prot#'!A:AL,10,FALSE)</f>
        <v>50</v>
      </c>
      <c r="AI20" s="50">
        <f>VLOOKUP(B20,'SegEnds_NonXtal_Prot#'!A:AL,16,FALSE)-VLOOKUP(B20,'SegEnds_NonXtal_Prot#'!A:AL,11,FALSE)</f>
        <v>34</v>
      </c>
      <c r="AJ20" s="50" t="e">
        <f>VLOOKUP(B20,'SegEnds_NonXtal_Prot#'!A:AL,22,FALSE)-VLOOKUP(B20,'SegEnds_NonXtal_Prot#'!A:AL,19,FALSE)</f>
        <v>#VALUE!</v>
      </c>
      <c r="AK20" s="50" t="e">
        <f>VLOOKUP(B20,'SegEnds_NonXtal_Prot#'!A:AL,15,FALSE)-VLOOKUP(B20,'SegEnds_NonXtal_Prot#'!A:AL,14,FALSE)</f>
        <v>#VALUE!</v>
      </c>
      <c r="AL20" s="50" t="e">
        <f>VLOOKUP(B20,'SegEnds_NonXtal_Prot#'!A:AL,18,FALSE)-VLOOKUP(B20,'SegEnds_NonXtal_Prot#'!A:AL,17,FALSE)</f>
        <v>#VALUE!</v>
      </c>
      <c r="AM20" s="2">
        <f>VLOOKUP(B20,'SegEnds_NonXtal_Prot#'!A:AL,34,FALSE)-VLOOKUP(B20,'SegEnds_NonXtal_Prot#'!A:AL,31,FALSE)</f>
        <v>45</v>
      </c>
      <c r="AN20" s="38"/>
    </row>
    <row r="21" spans="1:64" s="2" customFormat="1" x14ac:dyDescent="0.2">
      <c r="A21" s="2" t="s">
        <v>1254</v>
      </c>
      <c r="B21" s="2" t="s">
        <v>173</v>
      </c>
      <c r="C21" s="2">
        <f>IFERROR(50+VLOOKUP($A21,'SegEnds_Xtal_Prot#'!$A:$AY,5,FALSE)-VLOOKUP($B21,'SegEnds_NonXtal_Prot#'!$A:$AL,4,FALSE),"-")</f>
        <v>24</v>
      </c>
      <c r="D21" s="2">
        <f>IFERROR(50+VLOOKUP($A21,'SegEnds_Xtal_Prot#'!$A:$AY,7,FALSE)-VLOOKUP($B21,'SegEnds_NonXtal_Prot#'!$A:$AL,4,FALSE),"-")</f>
        <v>60</v>
      </c>
      <c r="E21" s="2">
        <f>IFERROR(50+VLOOKUP($A21,'SegEnds_Xtal_Prot#'!$A:$AY,9,FALSE)-VLOOKUP($B21,'SegEnds_NonXtal_Prot#'!$A:$AL,7,FALSE),"-")</f>
        <v>48</v>
      </c>
      <c r="F21" s="2">
        <f>IFERROR(50+VLOOKUP($A21,'SegEnds_Xtal_Prot#'!$A:$AY,11,FALSE)-VLOOKUP($B21,'SegEnds_NonXtal_Prot#'!$A:$AL,7,FALSE),"-")</f>
        <v>51</v>
      </c>
      <c r="G21" s="2">
        <f>IFERROR(50+VLOOKUP($A21,'SegEnds_Xtal_Prot#'!$A:$AY,13,FALSE)-VLOOKUP($B21,'SegEnds_NonXtal_Prot#'!$A:$AL,10,FALSE),"-")</f>
        <v>37</v>
      </c>
      <c r="H21" s="2">
        <f>IFERROR(50+VLOOKUP($A21,'SegEnds_Xtal_Prot#'!$A:$AY,15,FALSE)-VLOOKUP($B21,'SegEnds_NonXtal_Prot#'!$A:$AL,10,FALSE),"-")</f>
        <v>66</v>
      </c>
      <c r="I21" s="2">
        <f>IFERROR(50+VLOOKUP($A21,'SegEnds_Xtal_Prot#'!$A:$AY,17,FALSE)-VLOOKUP($B21,'SegEnds_NonXtal_Prot#'!$A:$AL,13,FALSE),"-")</f>
        <v>49</v>
      </c>
      <c r="J21" s="2">
        <f>IFERROR(50+VLOOKUP($A21,'SegEnds_Xtal_Prot#'!$A:$AY,19,FALSE)-VLOOKUP($B21,'SegEnds_NonXtal_Prot#'!$A:$AL,13,FALSE),"-")</f>
        <v>52</v>
      </c>
      <c r="K21" s="2">
        <f>IFERROR(50+VLOOKUP($A21,'SegEnds_Xtal_Prot#'!$A:$AY,21,FALSE)-VLOOKUP($B21,'SegEnds_NonXtal_Prot#'!$A:$AL,16,FALSE),"-")</f>
        <v>21</v>
      </c>
      <c r="L21" s="2">
        <f>IFERROR(50+VLOOKUP($A21,'SegEnds_Xtal_Prot#'!$A:$AY,23,FALSE)-VLOOKUP($B21,'SegEnds_NonXtal_Prot#'!$A:$AL,16,FALSE),"-")</f>
        <v>56</v>
      </c>
      <c r="M21" s="2">
        <f>IFERROR(50+VLOOKUP($A21,'SegEnds_Xtal_Prot#'!$A:$AY,25,FALSE)-VLOOKUP($B21,'SegEnds_NonXtal_Prot#'!$A:$AL,19,FALSE),"-")</f>
        <v>50</v>
      </c>
      <c r="N21" s="2">
        <f>IFERROR(50+VLOOKUP($A21,'SegEnds_Xtal_Prot#'!$A:$AY,27,FALSE)-VLOOKUP($B21,'SegEnds_NonXtal_Prot#'!$A:$AL,19,FALSE),"-")</f>
        <v>57</v>
      </c>
      <c r="O21" s="2">
        <f>IFERROR(50+VLOOKUP($A21,'SegEnds_Xtal_Prot#'!$A:$AY,29,FALSE)-VLOOKUP($B21,'SegEnds_NonXtal_Prot#'!$A:$AL,22,FALSE),"-")</f>
        <v>38</v>
      </c>
      <c r="P21" s="2">
        <f>IFERROR(50+VLOOKUP($A21,'SegEnds_Xtal_Prot#'!$A:$AY,31,FALSE)-VLOOKUP($B21,'SegEnds_NonXtal_Prot#'!$A:$AL,22,FALSE),"-")</f>
        <v>64</v>
      </c>
      <c r="Q21" s="2">
        <f>IFERROR(50+VLOOKUP($A21,'SegEnds_Xtal_Prot#'!$A:$AY,33,FALSE)-VLOOKUP($B21,'SegEnds_NonXtal_Prot#'!$A:$AL,25,FALSE),"-")</f>
        <v>50</v>
      </c>
      <c r="R21" s="2">
        <f>IFERROR(50+VLOOKUP($A21,'SegEnds_Xtal_Prot#'!$A:$AY,35,FALSE)-VLOOKUP($B21,'SegEnds_NonXtal_Prot#'!$A:$AL,25,FALSE),"-")</f>
        <v>52</v>
      </c>
      <c r="S21" s="2">
        <f>IFERROR(50+VLOOKUP($A21,'SegEnds_Xtal_Prot#'!$A:$AY,37,FALSE)-VLOOKUP($B21,'SegEnds_NonXtal_Prot#'!$A:$AL,28,FALSE),"-")</f>
        <v>30</v>
      </c>
      <c r="T21" s="2">
        <f>IFERROR(50+VLOOKUP($A21,'SegEnds_Xtal_Prot#'!$A:$AY,39,FALSE)-VLOOKUP($B21,'SegEnds_NonXtal_Prot#'!$A:$AL,28,FALSE),"-")</f>
        <v>68</v>
      </c>
      <c r="U21" s="2">
        <f>IFERROR(50+VLOOKUP($A21,'SegEnds_Xtal_Prot#'!$A:$AY,41,FALSE)-VLOOKUP($B21,'SegEnds_NonXtal_Prot#'!$A:$AL,31,FALSE),"-")</f>
        <v>28</v>
      </c>
      <c r="V21" s="2">
        <f>IFERROR(50+VLOOKUP($A21,'SegEnds_Xtal_Prot#'!$A:$AY,43,FALSE)-VLOOKUP($B21,'SegEnds_NonXtal_Prot#'!$A:$AL,31,FALSE),"-")</f>
        <v>65</v>
      </c>
      <c r="W21" s="2">
        <f>IFERROR(50+VLOOKUP($A21,'SegEnds_Xtal_Prot#'!$A:$AY,45,FALSE)-VLOOKUP($B21,'SegEnds_NonXtal_Prot#'!$A:$AL,34,FALSE),"-")</f>
        <v>24</v>
      </c>
      <c r="X21" s="2">
        <f>IFERROR(50+VLOOKUP($A21,'SegEnds_Xtal_Prot#'!$A:$AY,47,FALSE)-VLOOKUP($B21,'SegEnds_NonXtal_Prot#'!$A:$AL,34,FALSE),"-")</f>
        <v>56</v>
      </c>
      <c r="Y21" s="2">
        <f>IFERROR(50+VLOOKUP($A21,'SegEnds_Xtal_Prot#'!$A:$AY,49,FALSE)-VLOOKUP($B21,'SegEnds_NonXtal_Prot#'!$A:$AL,37,FALSE),"-")</f>
        <v>47</v>
      </c>
      <c r="Z21" s="2">
        <f>IFERROR(50+VLOOKUP($A21,'SegEnds_Xtal_Prot#'!$A:$AY,51,FALSE)-VLOOKUP($B21,'SegEnds_NonXtal_Prot#'!$A:$AL,37,FALSE),"-")</f>
        <v>59</v>
      </c>
      <c r="AA21" s="50" t="str">
        <f>VLOOKUP(B21,Classification!A:D,2,FALSE)</f>
        <v>A</v>
      </c>
      <c r="AB21" s="97" t="str">
        <f>VLOOKUP(B21,Classification!A:D,4,0)</f>
        <v>Chemokine</v>
      </c>
      <c r="AC21" s="50">
        <f>VLOOKUP(B21,'SegEnds_NonXtal_Prot#'!A:AL,6,FALSE)-VLOOKUP(B21,'SegEnds_NonXtal_Prot#'!A:AL,5,FALSE)</f>
        <v>1</v>
      </c>
      <c r="AD21" s="50">
        <f>VLOOKUP(B21,'SegEnds_NonXtal_Prot#'!A:AL,9,FALSE)-VLOOKUP(B21,'SegEnds_NonXtal_Prot#'!A:AL,8,FALSE)</f>
        <v>1</v>
      </c>
      <c r="AE21" s="50">
        <f>VLOOKUP(B21,'SegEnds_NonXtal_Prot#'!A:AL,13,FALSE)-VLOOKUP(B21,'SegEnds_NonXtal_Prot#'!A:AL,10,FALSE)</f>
        <v>18</v>
      </c>
      <c r="AF21" s="50">
        <f>VLOOKUP(B21,'SegEnds_NonXtal_Prot#'!A:AL,12,FALSE)-VLOOKUP(B21,'SegEnds_NonXtal_Prot#'!A:AL,11,FALSE)</f>
        <v>1</v>
      </c>
      <c r="AG21" s="50">
        <f>VLOOKUP(B21,'SegEnds_NonXtal_Prot#'!A:AL,13,FALSE)-VLOOKUP(B21,'SegEnds_NonXtal_Prot#'!A:AL,11,FALSE)</f>
        <v>2</v>
      </c>
      <c r="AH21" s="50">
        <f>VLOOKUP(B21,'SegEnds_NonXtal_Prot#'!A:AL,16,FALSE)-VLOOKUP(B21,'SegEnds_NonXtal_Prot#'!A:AL,10,FALSE)</f>
        <v>50</v>
      </c>
      <c r="AI21" s="50">
        <f>VLOOKUP(B21,'SegEnds_NonXtal_Prot#'!A:AL,15,FALSE)-VLOOKUP(B21,'SegEnds_NonXtal_Prot#'!A:AL,11,FALSE)</f>
        <v>5</v>
      </c>
      <c r="AJ21" s="50">
        <f>VLOOKUP(B21,'SegEnds_NonXtal_Prot#'!A:AL,22,FALSE)-VLOOKUP(B21,'SegEnds_NonXtal_Prot#'!A:AL,19,FALSE)</f>
        <v>20</v>
      </c>
      <c r="AK21" s="50">
        <f>VLOOKUP(B21,'SegEnds_NonXtal_Prot#'!A:AL,15,FALSE)-VLOOKUP(B21,'SegEnds_NonXtal_Prot#'!A:AL,14,FALSE)</f>
        <v>1</v>
      </c>
      <c r="AL21" s="50">
        <f>VLOOKUP(B21,'SegEnds_NonXtal_Prot#'!A:AL,18,FALSE)-VLOOKUP(B21,'SegEnds_NonXtal_Prot#'!A:AL,17,FALSE)</f>
        <v>1</v>
      </c>
      <c r="AM21" s="2">
        <f>VLOOKUP(B21,'SegEnds_NonXtal_Prot#'!A:AL,34,FALSE)-VLOOKUP(B21,'SegEnds_NonXtal_Prot#'!A:AL,31,FALSE)</f>
        <v>44</v>
      </c>
      <c r="AN21" s="38"/>
    </row>
    <row r="22" spans="1:64" s="2" customFormat="1" x14ac:dyDescent="0.2">
      <c r="A22" s="2" t="s">
        <v>1335</v>
      </c>
      <c r="B22" s="2" t="s">
        <v>196</v>
      </c>
      <c r="C22" s="2">
        <f>IFERROR(50+VLOOKUP($A22,'SegEnds_Xtal_Prot#'!$A:$AY,5,FALSE)-VLOOKUP($B22,'SegEnds_NonXtal_Prot#'!$A:$AL,4,FALSE),"-")</f>
        <v>22</v>
      </c>
      <c r="D22" s="2">
        <f>IFERROR(50+VLOOKUP($A22,'SegEnds_Xtal_Prot#'!$A:$AY,7,FALSE)-VLOOKUP($B22,'SegEnds_NonXtal_Prot#'!$A:$AL,4,FALSE),"-")</f>
        <v>60</v>
      </c>
      <c r="E22" s="2">
        <f>IFERROR(50+VLOOKUP($A22,'SegEnds_Xtal_Prot#'!$A:$AY,9,FALSE)-VLOOKUP($B22,'SegEnds_NonXtal_Prot#'!$A:$AL,7,FALSE),"-")</f>
        <v>48</v>
      </c>
      <c r="F22" s="2">
        <f>IFERROR(50+VLOOKUP($A22,'SegEnds_Xtal_Prot#'!$A:$AY,11,FALSE)-VLOOKUP($B22,'SegEnds_NonXtal_Prot#'!$A:$AL,7,FALSE),"-")</f>
        <v>52</v>
      </c>
      <c r="G22" s="2">
        <f>IFERROR(50+VLOOKUP($A22,'SegEnds_Xtal_Prot#'!$A:$AY,13,FALSE)-VLOOKUP($B22,'SegEnds_NonXtal_Prot#'!$A:$AL,10,FALSE),"-")</f>
        <v>38</v>
      </c>
      <c r="H22" s="2">
        <f>IFERROR(50+VLOOKUP($A22,'SegEnds_Xtal_Prot#'!$A:$AY,15,FALSE)-VLOOKUP($B22,'SegEnds_NonXtal_Prot#'!$A:$AL,10,FALSE),"-")</f>
        <v>67</v>
      </c>
      <c r="I22" s="2">
        <f>IFERROR(50+VLOOKUP($A22,'SegEnds_Xtal_Prot#'!$A:$AY,17,FALSE)-VLOOKUP($B22,'SegEnds_NonXtal_Prot#'!$A:$AL,13,FALSE),"-")</f>
        <v>49</v>
      </c>
      <c r="J22" s="2">
        <f>IFERROR(50+VLOOKUP($A22,'SegEnds_Xtal_Prot#'!$A:$AY,19,FALSE)-VLOOKUP($B22,'SegEnds_NonXtal_Prot#'!$A:$AL,13,FALSE),"-")</f>
        <v>52</v>
      </c>
      <c r="K22" s="2">
        <f>IFERROR(50+VLOOKUP($A22,'SegEnds_Xtal_Prot#'!$A:$AY,21,FALSE)-VLOOKUP($B22,'SegEnds_NonXtal_Prot#'!$A:$AL,16,FALSE),"-")</f>
        <v>21</v>
      </c>
      <c r="L22" s="2">
        <f>IFERROR(50+VLOOKUP($A22,'SegEnds_Xtal_Prot#'!$A:$AY,23,FALSE)-VLOOKUP($B22,'SegEnds_NonXtal_Prot#'!$A:$AL,16,FALSE),"-")</f>
        <v>56</v>
      </c>
      <c r="M22" s="2">
        <f>IFERROR(50+VLOOKUP($A22,'SegEnds_Xtal_Prot#'!$A:$AY,25,FALSE)-VLOOKUP($B22,'SegEnds_NonXtal_Prot#'!$A:$AL,19,FALSE),"-")</f>
        <v>50</v>
      </c>
      <c r="N22" s="2">
        <f>IFERROR(50+VLOOKUP($A22,'SegEnds_Xtal_Prot#'!$A:$AY,27,FALSE)-VLOOKUP($B22,'SegEnds_NonXtal_Prot#'!$A:$AL,19,FALSE),"-")</f>
        <v>57</v>
      </c>
      <c r="O22" s="2">
        <f>IFERROR(50+VLOOKUP($A22,'SegEnds_Xtal_Prot#'!$A:$AY,29,FALSE)-VLOOKUP($B22,'SegEnds_NonXtal_Prot#'!$A:$AL,22,FALSE),"-")</f>
        <v>38</v>
      </c>
      <c r="P22" s="2">
        <f>IFERROR(50+VLOOKUP($A22,'SegEnds_Xtal_Prot#'!$A:$AY,31,FALSE)-VLOOKUP($B22,'SegEnds_NonXtal_Prot#'!$A:$AL,22,FALSE),"-")</f>
        <v>64</v>
      </c>
      <c r="Q22" s="2">
        <f>IFERROR(50+VLOOKUP($A22,'SegEnds_Xtal_Prot#'!$A:$AY,33,FALSE)-VLOOKUP($B22,'SegEnds_NonXtal_Prot#'!$A:$AL,25,FALSE),"-")</f>
        <v>50</v>
      </c>
      <c r="R22" s="2">
        <f>IFERROR(50+VLOOKUP($A22,'SegEnds_Xtal_Prot#'!$A:$AY,35,FALSE)-VLOOKUP($B22,'SegEnds_NonXtal_Prot#'!$A:$AL,25,FALSE),"-")</f>
        <v>52</v>
      </c>
      <c r="S22" s="2">
        <f>IFERROR(50+VLOOKUP($A22,'SegEnds_Xtal_Prot#'!$A:$AY,37,FALSE)-VLOOKUP($B22,'SegEnds_NonXtal_Prot#'!$A:$AL,28,FALSE),"-")</f>
        <v>29</v>
      </c>
      <c r="T22" s="2">
        <f>IFERROR(50+VLOOKUP($A22,'SegEnds_Xtal_Prot#'!$A:$AY,39,FALSE)-VLOOKUP($B22,'SegEnds_NonXtal_Prot#'!$A:$AL,28,FALSE),"-")</f>
        <v>72</v>
      </c>
      <c r="U22" s="2">
        <f>IFERROR(50+VLOOKUP($A22,'SegEnds_Xtal_Prot#'!$A:$AY,41,FALSE)-VLOOKUP($B22,'SegEnds_NonXtal_Prot#'!$A:$AL,31,FALSE),"-")</f>
        <v>24</v>
      </c>
      <c r="V22" s="2">
        <f>IFERROR(50+VLOOKUP($A22,'SegEnds_Xtal_Prot#'!$A:$AY,43,FALSE)-VLOOKUP($B22,'SegEnds_NonXtal_Prot#'!$A:$AL,31,FALSE),"-")</f>
        <v>62</v>
      </c>
      <c r="W22" s="2">
        <f>IFERROR(50+VLOOKUP($A22,'SegEnds_Xtal_Prot#'!$A:$AY,45,FALSE)-VLOOKUP($B22,'SegEnds_NonXtal_Prot#'!$A:$AL,34,FALSE),"-")</f>
        <v>24</v>
      </c>
      <c r="X22" s="2">
        <f>IFERROR(50+VLOOKUP($A22,'SegEnds_Xtal_Prot#'!$A:$AY,47,FALSE)-VLOOKUP($B22,'SegEnds_NonXtal_Prot#'!$A:$AL,34,FALSE),"-")</f>
        <v>56</v>
      </c>
      <c r="Y22" s="2">
        <f>IFERROR(50+VLOOKUP($A22,'SegEnds_Xtal_Prot#'!$A:$AY,49,FALSE)-VLOOKUP($B22,'SegEnds_NonXtal_Prot#'!$A:$AL,37,FALSE),"-")</f>
        <v>47</v>
      </c>
      <c r="Z22" s="2">
        <f>IFERROR(50+VLOOKUP($A22,'SegEnds_Xtal_Prot#'!$A:$AY,51,FALSE)-VLOOKUP($B22,'SegEnds_NonXtal_Prot#'!$A:$AL,37,FALSE),"-")</f>
        <v>60</v>
      </c>
      <c r="AA22" s="50" t="str">
        <f>VLOOKUP(B22,Classification!A:D,2,FALSE)</f>
        <v>A</v>
      </c>
      <c r="AB22" s="97" t="str">
        <f>VLOOKUP(B22,Classification!A:D,4,0)</f>
        <v>Endothelin</v>
      </c>
      <c r="AC22" s="50">
        <f>VLOOKUP(B22,'SegEnds_NonXtal_Prot#'!A:AL,6,FALSE)-VLOOKUP(B22,'SegEnds_NonXtal_Prot#'!A:AL,5,FALSE)</f>
        <v>1</v>
      </c>
      <c r="AD22" s="50">
        <f>VLOOKUP(B22,'SegEnds_NonXtal_Prot#'!A:AL,9,FALSE)-VLOOKUP(B22,'SegEnds_NonXtal_Prot#'!A:AL,8,FALSE)</f>
        <v>1</v>
      </c>
      <c r="AE22" s="50">
        <f>VLOOKUP(B22,'SegEnds_NonXtal_Prot#'!A:AL,13,FALSE)-VLOOKUP(B22,'SegEnds_NonXtal_Prot#'!A:AL,10,FALSE)</f>
        <v>20</v>
      </c>
      <c r="AF22" s="50">
        <f>VLOOKUP(B22,'SegEnds_NonXtal_Prot#'!A:AL,12,FALSE)-VLOOKUP(B22,'SegEnds_NonXtal_Prot#'!A:AL,11,FALSE)</f>
        <v>2</v>
      </c>
      <c r="AG22" s="50">
        <f>VLOOKUP(B22,'SegEnds_NonXtal_Prot#'!A:AL,13,FALSE)-VLOOKUP(B22,'SegEnds_NonXtal_Prot#'!A:AL,11,FALSE)</f>
        <v>3</v>
      </c>
      <c r="AH22" s="50">
        <f>VLOOKUP(B22,'SegEnds_NonXtal_Prot#'!A:AL,16,FALSE)-VLOOKUP(B22,'SegEnds_NonXtal_Prot#'!A:AL,10,FALSE)</f>
        <v>52</v>
      </c>
      <c r="AI22" s="50">
        <f>VLOOKUP(B22,'SegEnds_NonXtal_Prot#'!A:AL,16,FALSE)-VLOOKUP(B22,'SegEnds_NonXtal_Prot#'!A:AL,11,FALSE)</f>
        <v>35</v>
      </c>
      <c r="AJ22" s="50">
        <f>VLOOKUP(B22,'SegEnds_NonXtal_Prot#'!A:AL,22,FALSE)-VLOOKUP(B22,'SegEnds_NonXtal_Prot#'!A:AL,19,FALSE)</f>
        <v>20</v>
      </c>
      <c r="AK22" s="50">
        <f>VLOOKUP(B22,'SegEnds_NonXtal_Prot#'!A:AL,15,FALSE)-VLOOKUP(B22,'SegEnds_NonXtal_Prot#'!A:AL,14,FALSE)</f>
        <v>1</v>
      </c>
      <c r="AL22" s="50">
        <f>VLOOKUP(B22,'SegEnds_NonXtal_Prot#'!A:AL,18,FALSE)-VLOOKUP(B22,'SegEnds_NonXtal_Prot#'!A:AL,17,FALSE)</f>
        <v>1</v>
      </c>
      <c r="AM22" s="2">
        <f>VLOOKUP(B22,'SegEnds_NonXtal_Prot#'!A:AL,34,FALSE)-VLOOKUP(B22,'SegEnds_NonXtal_Prot#'!A:AL,31,FALSE)</f>
        <v>45</v>
      </c>
      <c r="AN22" s="38"/>
    </row>
    <row r="23" spans="1:64" s="2" customFormat="1" x14ac:dyDescent="0.2">
      <c r="A23" s="2" t="s">
        <v>1258</v>
      </c>
      <c r="B23" s="2" t="s">
        <v>1173</v>
      </c>
      <c r="C23" s="2">
        <f>IFERROR(50+VLOOKUP($A23,'SegEnds_Xtal_Prot#'!$A:$AY,5,FALSE)-VLOOKUP($B23,'SegEnds_NonXtal_Prot#'!$A:$AL,4,FALSE),"-")</f>
        <v>31</v>
      </c>
      <c r="D23" s="2">
        <f>IFERROR(50+VLOOKUP($A23,'SegEnds_Xtal_Prot#'!$A:$AY,7,FALSE)-VLOOKUP($B23,'SegEnds_NonXtal_Prot#'!$A:$AL,4,FALSE),"-")</f>
        <v>64</v>
      </c>
      <c r="E23" s="2" t="str">
        <f>IFERROR(50+VLOOKUP($A23,'SegEnds_Xtal_Prot#'!$A:$AY,9,FALSE)-VLOOKUP($B23,'SegEnds_NonXtal_Prot#'!$A:$AL,7,FALSE),"-")</f>
        <v>-</v>
      </c>
      <c r="F23" s="2" t="str">
        <f>IFERROR(50+VLOOKUP($A23,'SegEnds_Xtal_Prot#'!$A:$AY,11,FALSE)-VLOOKUP($B23,'SegEnds_NonXtal_Prot#'!$A:$AL,7,FALSE),"-")</f>
        <v>-</v>
      </c>
      <c r="G23" s="2">
        <f>IFERROR(50+VLOOKUP($A23,'SegEnds_Xtal_Prot#'!$A:$AY,13,FALSE)-VLOOKUP($B23,'SegEnds_NonXtal_Prot#'!$A:$AL,10,FALSE),"-")</f>
        <v>37</v>
      </c>
      <c r="H23" s="2">
        <f>IFERROR(50+VLOOKUP($A23,'SegEnds_Xtal_Prot#'!$A:$AY,15,FALSE)-VLOOKUP($B23,'SegEnds_NonXtal_Prot#'!$A:$AL,10,FALSE),"-")</f>
        <v>67</v>
      </c>
      <c r="I23" s="2">
        <f>IFERROR(50+VLOOKUP($A23,'SegEnds_Xtal_Prot#'!$A:$AY,17,FALSE)-VLOOKUP($B23,'SegEnds_NonXtal_Prot#'!$A:$AL,13,FALSE),"-")</f>
        <v>49</v>
      </c>
      <c r="J23" s="2">
        <f>IFERROR(50+VLOOKUP($A23,'SegEnds_Xtal_Prot#'!$A:$AY,19,FALSE)-VLOOKUP($B23,'SegEnds_NonXtal_Prot#'!$A:$AL,13,FALSE),"-")</f>
        <v>52</v>
      </c>
      <c r="K23" s="2">
        <f>IFERROR(50+VLOOKUP($A23,'SegEnds_Xtal_Prot#'!$A:$AY,21,FALSE)-VLOOKUP($B23,'SegEnds_NonXtal_Prot#'!$A:$AL,16,FALSE),"-")</f>
        <v>21</v>
      </c>
      <c r="L23" s="2">
        <f>IFERROR(50+VLOOKUP($A23,'SegEnds_Xtal_Prot#'!$A:$AY,23,FALSE)-VLOOKUP($B23,'SegEnds_NonXtal_Prot#'!$A:$AL,16,FALSE),"-")</f>
        <v>56</v>
      </c>
      <c r="M23" s="2">
        <f>IFERROR(50+VLOOKUP($A23,'SegEnds_Xtal_Prot#'!$A:$AY,25,FALSE)-VLOOKUP($B23,'SegEnds_NonXtal_Prot#'!$A:$AL,19,FALSE),"-")</f>
        <v>50</v>
      </c>
      <c r="N23" s="2">
        <f>IFERROR(50+VLOOKUP($A23,'SegEnds_Xtal_Prot#'!$A:$AY,27,FALSE)-VLOOKUP($B23,'SegEnds_NonXtal_Prot#'!$A:$AL,19,FALSE),"-")</f>
        <v>57</v>
      </c>
      <c r="O23" s="2">
        <f>IFERROR(50+VLOOKUP($A23,'SegEnds_Xtal_Prot#'!$A:$AY,29,FALSE)-VLOOKUP($B23,'SegEnds_NonXtal_Prot#'!$A:$AL,22,FALSE),"-")</f>
        <v>38</v>
      </c>
      <c r="P23" s="2">
        <f>IFERROR(50+VLOOKUP($A23,'SegEnds_Xtal_Prot#'!$A:$AY,31,FALSE)-VLOOKUP($B23,'SegEnds_NonXtal_Prot#'!$A:$AL,22,FALSE),"-")</f>
        <v>65</v>
      </c>
      <c r="Q23" s="2">
        <f>IFERROR(50+VLOOKUP($A23,'SegEnds_Xtal_Prot#'!$A:$AY,33,FALSE)-VLOOKUP($B23,'SegEnds_NonXtal_Prot#'!$A:$AL,25,FALSE),"-")</f>
        <v>50</v>
      </c>
      <c r="R23" s="2">
        <f>IFERROR(50+VLOOKUP($A23,'SegEnds_Xtal_Prot#'!$A:$AY,35,FALSE)-VLOOKUP($B23,'SegEnds_NonXtal_Prot#'!$A:$AL,25,FALSE),"-")</f>
        <v>52</v>
      </c>
      <c r="S23" s="2">
        <f>IFERROR(50+VLOOKUP($A23,'SegEnds_Xtal_Prot#'!$A:$AY,37,FALSE)-VLOOKUP($B23,'SegEnds_NonXtal_Prot#'!$A:$AL,28,FALSE),"-")</f>
        <v>31</v>
      </c>
      <c r="T23" s="2">
        <f>IFERROR(50+VLOOKUP($A23,'SegEnds_Xtal_Prot#'!$A:$AY,39,FALSE)-VLOOKUP($B23,'SegEnds_NonXtal_Prot#'!$A:$AL,28,FALSE),"-")</f>
        <v>67</v>
      </c>
      <c r="U23" s="2">
        <f>IFERROR(50+VLOOKUP($A23,'SegEnds_Xtal_Prot#'!$A:$AY,41,FALSE)-VLOOKUP($B23,'SegEnds_NonXtal_Prot#'!$A:$AL,31,FALSE),"-")</f>
        <v>28</v>
      </c>
      <c r="V23" s="2">
        <f>IFERROR(50+VLOOKUP($A23,'SegEnds_Xtal_Prot#'!$A:$AY,43,FALSE)-VLOOKUP($B23,'SegEnds_NonXtal_Prot#'!$A:$AL,31,FALSE),"-")</f>
        <v>61</v>
      </c>
      <c r="W23" s="2">
        <f>IFERROR(50+VLOOKUP($A23,'SegEnds_Xtal_Prot#'!$A:$AY,45,FALSE)-VLOOKUP($B23,'SegEnds_NonXtal_Prot#'!$A:$AL,34,FALSE),"-")</f>
        <v>32</v>
      </c>
      <c r="X23" s="2">
        <f>IFERROR(50+VLOOKUP($A23,'SegEnds_Xtal_Prot#'!$A:$AY,47,FALSE)-VLOOKUP($B23,'SegEnds_NonXtal_Prot#'!$A:$AL,34,FALSE),"-")</f>
        <v>56</v>
      </c>
      <c r="Y23" s="2">
        <f>IFERROR(50+VLOOKUP($A23,'SegEnds_Xtal_Prot#'!$A:$AY,49,FALSE)-VLOOKUP($B23,'SegEnds_NonXtal_Prot#'!$A:$AL,37,FALSE),"-")</f>
        <v>47</v>
      </c>
      <c r="Z23" s="2">
        <f>IFERROR(50+VLOOKUP($A23,'SegEnds_Xtal_Prot#'!$A:$AY,51,FALSE)-VLOOKUP($B23,'SegEnds_NonXtal_Prot#'!$A:$AL,37,FALSE),"-")</f>
        <v>61</v>
      </c>
      <c r="AA23" s="50" t="str">
        <f>VLOOKUP(B23,Classification!A:D,2,FALSE)</f>
        <v>A</v>
      </c>
      <c r="AB23" s="97" t="str">
        <f>VLOOKUP(B23,Classification!A:D,4,0)</f>
        <v>Freefattyacid</v>
      </c>
      <c r="AC23" s="50" t="e">
        <f>VLOOKUP(B23,'SegEnds_NonXtal_Prot#'!A:AL,6,FALSE)-VLOOKUP(B23,'SegEnds_NonXtal_Prot#'!A:AL,5,FALSE)</f>
        <v>#VALUE!</v>
      </c>
      <c r="AD23" s="50" t="e">
        <f>VLOOKUP(B23,'SegEnds_NonXtal_Prot#'!A:AL,9,FALSE)-VLOOKUP(B23,'SegEnds_NonXtal_Prot#'!A:AL,8,FALSE)</f>
        <v>#VALUE!</v>
      </c>
      <c r="AE23" s="50">
        <f>VLOOKUP(B23,'SegEnds_NonXtal_Prot#'!A:AL,13,FALSE)-VLOOKUP(B23,'SegEnds_NonXtal_Prot#'!A:AL,10,FALSE)</f>
        <v>20</v>
      </c>
      <c r="AF23" s="50">
        <f>VLOOKUP(B23,'SegEnds_NonXtal_Prot#'!A:AL,12,FALSE)-VLOOKUP(B23,'SegEnds_NonXtal_Prot#'!A:AL,11,FALSE)</f>
        <v>2</v>
      </c>
      <c r="AG23" s="50">
        <f>VLOOKUP(B23,'SegEnds_NonXtal_Prot#'!A:AL,13,FALSE)-VLOOKUP(B23,'SegEnds_NonXtal_Prot#'!A:AL,11,FALSE)</f>
        <v>3</v>
      </c>
      <c r="AH23" s="50">
        <f>VLOOKUP(B23,'SegEnds_NonXtal_Prot#'!A:AL,16,FALSE)-VLOOKUP(B23,'SegEnds_NonXtal_Prot#'!A:AL,10,FALSE)</f>
        <v>52</v>
      </c>
      <c r="AI23" s="50">
        <f>VLOOKUP(B23,'SegEnds_NonXtal_Prot#'!A:AL,16,FALSE)-VLOOKUP(B23,'SegEnds_NonXtal_Prot#'!A:AL,11,FALSE)</f>
        <v>35</v>
      </c>
      <c r="AJ23" s="50">
        <f>VLOOKUP(B23,'SegEnds_NonXtal_Prot#'!A:AL,22,FALSE)-VLOOKUP(B23,'SegEnds_NonXtal_Prot#'!A:AL,19,FALSE)</f>
        <v>20</v>
      </c>
      <c r="AK23" s="50">
        <f>VLOOKUP(B23,'SegEnds_NonXtal_Prot#'!A:AL,15,FALSE)-VLOOKUP(B23,'SegEnds_NonXtal_Prot#'!A:AL,14,FALSE)</f>
        <v>1</v>
      </c>
      <c r="AL23" s="50">
        <f>VLOOKUP(B23,'SegEnds_NonXtal_Prot#'!A:AL,18,FALSE)-VLOOKUP(B23,'SegEnds_NonXtal_Prot#'!A:AL,17,FALSE)</f>
        <v>1</v>
      </c>
      <c r="AM23" s="2">
        <f>VLOOKUP(B23,'SegEnds_NonXtal_Prot#'!A:AL,34,FALSE)-VLOOKUP(B23,'SegEnds_NonXtal_Prot#'!A:AL,31,FALSE)</f>
        <v>34</v>
      </c>
      <c r="AN23" s="38"/>
    </row>
    <row r="24" spans="1:64" s="2" customFormat="1" x14ac:dyDescent="0.2">
      <c r="A24" s="2" t="s">
        <v>1262</v>
      </c>
      <c r="B24" s="2" t="s">
        <v>278</v>
      </c>
      <c r="C24" s="2">
        <f>IFERROR(50+VLOOKUP($A24,'SegEnds_Xtal_Prot#'!$A:$AY,5,FALSE)-VLOOKUP($B24,'SegEnds_NonXtal_Prot#'!$A:$AL,4,FALSE),"-")</f>
        <v>34</v>
      </c>
      <c r="D24" s="2">
        <f>IFERROR(50+VLOOKUP($A24,'SegEnds_Xtal_Prot#'!$A:$AY,7,FALSE)-VLOOKUP($B24,'SegEnds_NonXtal_Prot#'!$A:$AL,4,FALSE),"-")</f>
        <v>60</v>
      </c>
      <c r="E24" s="2">
        <f>IFERROR(50+VLOOKUP($A24,'SegEnds_Xtal_Prot#'!$A:$AY,9,FALSE)-VLOOKUP($B24,'SegEnds_NonXtal_Prot#'!$A:$AL,7,FALSE),"-")</f>
        <v>48</v>
      </c>
      <c r="F24" s="2">
        <f>IFERROR(50+VLOOKUP($A24,'SegEnds_Xtal_Prot#'!$A:$AY,11,FALSE)-VLOOKUP($B24,'SegEnds_NonXtal_Prot#'!$A:$AL,7,FALSE),"-")</f>
        <v>51</v>
      </c>
      <c r="G24" s="2">
        <f>IFERROR(50+VLOOKUP($A24,'SegEnds_Xtal_Prot#'!$A:$AY,13,FALSE)-VLOOKUP($B24,'SegEnds_NonXtal_Prot#'!$A:$AL,10,FALSE),"-")</f>
        <v>37</v>
      </c>
      <c r="H24" s="2">
        <f>IFERROR(50+VLOOKUP($A24,'SegEnds_Xtal_Prot#'!$A:$AY,15,FALSE)-VLOOKUP($B24,'SegEnds_NonXtal_Prot#'!$A:$AL,10,FALSE),"-")</f>
        <v>67</v>
      </c>
      <c r="I24" s="2">
        <f>IFERROR(50+VLOOKUP($A24,'SegEnds_Xtal_Prot#'!$A:$AY,17,FALSE)-VLOOKUP($B24,'SegEnds_NonXtal_Prot#'!$A:$AL,13,FALSE),"-")</f>
        <v>49</v>
      </c>
      <c r="J24" s="2">
        <f>IFERROR(50+VLOOKUP($A24,'SegEnds_Xtal_Prot#'!$A:$AY,19,FALSE)-VLOOKUP($B24,'SegEnds_NonXtal_Prot#'!$A:$AL,13,FALSE),"-")</f>
        <v>52</v>
      </c>
      <c r="K24" s="2">
        <f>IFERROR(50+VLOOKUP($A24,'SegEnds_Xtal_Prot#'!$A:$AY,21,FALSE)-VLOOKUP($B24,'SegEnds_NonXtal_Prot#'!$A:$AL,16,FALSE),"-")</f>
        <v>21</v>
      </c>
      <c r="L24" s="2">
        <f>IFERROR(50+VLOOKUP($A24,'SegEnds_Xtal_Prot#'!$A:$AY,23,FALSE)-VLOOKUP($B24,'SegEnds_NonXtal_Prot#'!$A:$AL,16,FALSE),"-")</f>
        <v>56</v>
      </c>
      <c r="M24" s="2">
        <f>IFERROR(50+VLOOKUP($A24,'SegEnds_Xtal_Prot#'!$A:$AY,25,FALSE)-VLOOKUP($B24,'SegEnds_NonXtal_Prot#'!$A:$AL,19,FALSE),"-")</f>
        <v>50</v>
      </c>
      <c r="N24" s="2">
        <f>IFERROR(50+VLOOKUP($A24,'SegEnds_Xtal_Prot#'!$A:$AY,27,FALSE)-VLOOKUP($B24,'SegEnds_NonXtal_Prot#'!$A:$AL,19,FALSE),"-")</f>
        <v>57</v>
      </c>
      <c r="O24" s="2">
        <f>IFERROR(50+VLOOKUP($A24,'SegEnds_Xtal_Prot#'!$A:$AY,29,FALSE)-VLOOKUP($B24,'SegEnds_NonXtal_Prot#'!$A:$AL,22,FALSE),"-")</f>
        <v>38</v>
      </c>
      <c r="P24" s="2">
        <f>IFERROR(50+VLOOKUP($A24,'SegEnds_Xtal_Prot#'!$A:$AY,31,FALSE)-VLOOKUP($B24,'SegEnds_NonXtal_Prot#'!$A:$AL,22,FALSE),"-")</f>
        <v>62</v>
      </c>
      <c r="Q24" s="2">
        <f>IFERROR(50+VLOOKUP($A24,'SegEnds_Xtal_Prot#'!$A:$AY,33,FALSE)-VLOOKUP($B24,'SegEnds_NonXtal_Prot#'!$A:$AL,25,FALSE),"-")</f>
        <v>50</v>
      </c>
      <c r="R24" s="2">
        <f>IFERROR(50+VLOOKUP($A24,'SegEnds_Xtal_Prot#'!$A:$AY,35,FALSE)-VLOOKUP($B24,'SegEnds_NonXtal_Prot#'!$A:$AL,25,FALSE),"-")</f>
        <v>52</v>
      </c>
      <c r="S24" s="2">
        <f>IFERROR(50+VLOOKUP($A24,'SegEnds_Xtal_Prot#'!$A:$AY,37,FALSE)-VLOOKUP($B24,'SegEnds_NonXtal_Prot#'!$A:$AL,28,FALSE),"-")</f>
        <v>35</v>
      </c>
      <c r="T24" s="2">
        <f>IFERROR(50+VLOOKUP($A24,'SegEnds_Xtal_Prot#'!$A:$AY,39,FALSE)-VLOOKUP($B24,'SegEnds_NonXtal_Prot#'!$A:$AL,28,FALSE),"-")</f>
        <v>76</v>
      </c>
      <c r="U24" s="2">
        <f>IFERROR(50+VLOOKUP($A24,'SegEnds_Xtal_Prot#'!$A:$AY,41,FALSE)-VLOOKUP($B24,'SegEnds_NonXtal_Prot#'!$A:$AL,31,FALSE),"-")</f>
        <v>24</v>
      </c>
      <c r="V24" s="2">
        <f>IFERROR(50+VLOOKUP($A24,'SegEnds_Xtal_Prot#'!$A:$AY,43,FALSE)-VLOOKUP($B24,'SegEnds_NonXtal_Prot#'!$A:$AL,31,FALSE),"-")</f>
        <v>61</v>
      </c>
      <c r="W24" s="2">
        <f>IFERROR(50+VLOOKUP($A24,'SegEnds_Xtal_Prot#'!$A:$AY,45,FALSE)-VLOOKUP($B24,'SegEnds_NonXtal_Prot#'!$A:$AL,34,FALSE),"-")</f>
        <v>31</v>
      </c>
      <c r="X24" s="2">
        <f>IFERROR(50+VLOOKUP($A24,'SegEnds_Xtal_Prot#'!$A:$AY,47,FALSE)-VLOOKUP($B24,'SegEnds_NonXtal_Prot#'!$A:$AL,34,FALSE),"-")</f>
        <v>56</v>
      </c>
      <c r="Y24" s="2">
        <f>IFERROR(50+VLOOKUP($A24,'SegEnds_Xtal_Prot#'!$A:$AY,49,FALSE)-VLOOKUP($B24,'SegEnds_NonXtal_Prot#'!$A:$AL,37,FALSE),"-")</f>
        <v>47</v>
      </c>
      <c r="Z24" s="2">
        <f>IFERROR(50+VLOOKUP($A24,'SegEnds_Xtal_Prot#'!$A:$AY,51,FALSE)-VLOOKUP($B24,'SegEnds_NonXtal_Prot#'!$A:$AL,37,FALSE),"-")</f>
        <v>59</v>
      </c>
      <c r="AA24" s="50" t="str">
        <f>VLOOKUP(B24,Classification!A:D,2,FALSE)</f>
        <v>A</v>
      </c>
      <c r="AB24" s="97" t="str">
        <f>VLOOKUP(B24,Classification!A:D,4,0)</f>
        <v>Histamine</v>
      </c>
      <c r="AC24" s="50">
        <f>VLOOKUP(B24,'SegEnds_NonXtal_Prot#'!A:AL,6,FALSE)-VLOOKUP(B24,'SegEnds_NonXtal_Prot#'!A:AL,5,FALSE)</f>
        <v>1</v>
      </c>
      <c r="AD24" s="50">
        <f>VLOOKUP(B24,'SegEnds_NonXtal_Prot#'!A:AL,9,FALSE)-VLOOKUP(B24,'SegEnds_NonXtal_Prot#'!A:AL,8,FALSE)</f>
        <v>1</v>
      </c>
      <c r="AE24" s="50">
        <f>VLOOKUP(B24,'SegEnds_NonXtal_Prot#'!A:AL,13,FALSE)-VLOOKUP(B24,'SegEnds_NonXtal_Prot#'!A:AL,10,FALSE)</f>
        <v>20</v>
      </c>
      <c r="AF24" s="50">
        <f>VLOOKUP(B24,'SegEnds_NonXtal_Prot#'!A:AL,12,FALSE)-VLOOKUP(B24,'SegEnds_NonXtal_Prot#'!A:AL,11,FALSE)</f>
        <v>2</v>
      </c>
      <c r="AG24" s="50">
        <f>VLOOKUP(B24,'SegEnds_NonXtal_Prot#'!A:AL,13,FALSE)-VLOOKUP(B24,'SegEnds_NonXtal_Prot#'!A:AL,11,FALSE)</f>
        <v>3</v>
      </c>
      <c r="AH24" s="50">
        <f>VLOOKUP(B24,'SegEnds_NonXtal_Prot#'!A:AL,16,FALSE)-VLOOKUP(B24,'SegEnds_NonXtal_Prot#'!A:AL,10,FALSE)</f>
        <v>52</v>
      </c>
      <c r="AI24" s="50">
        <f>VLOOKUP(B24,'SegEnds_NonXtal_Prot#'!A:AL,16,FALSE)-VLOOKUP(B24,'SegEnds_NonXtal_Prot#'!A:AL,11,FALSE)</f>
        <v>35</v>
      </c>
      <c r="AJ24" s="50">
        <f>VLOOKUP(B24,'SegEnds_NonXtal_Prot#'!A:AL,22,FALSE)-VLOOKUP(B24,'SegEnds_NonXtal_Prot#'!A:AL,19,FALSE)</f>
        <v>20</v>
      </c>
      <c r="AK24" s="50">
        <f>VLOOKUP(B24,'SegEnds_NonXtal_Prot#'!A:AL,15,FALSE)-VLOOKUP(B24,'SegEnds_NonXtal_Prot#'!A:AL,14,FALSE)</f>
        <v>1</v>
      </c>
      <c r="AL24" s="50">
        <f>VLOOKUP(B24,'SegEnds_NonXtal_Prot#'!A:AL,18,FALSE)-VLOOKUP(B24,'SegEnds_NonXtal_Prot#'!A:AL,17,FALSE)</f>
        <v>1</v>
      </c>
      <c r="AM24" s="2">
        <f>VLOOKUP(B24,'SegEnds_NonXtal_Prot#'!A:AL,34,FALSE)-VLOOKUP(B24,'SegEnds_NonXtal_Prot#'!A:AL,31,FALSE)</f>
        <v>35</v>
      </c>
      <c r="AN24" s="38"/>
    </row>
    <row r="25" spans="1:64" s="2" customFormat="1" x14ac:dyDescent="0.2">
      <c r="A25" s="2" t="s">
        <v>1263</v>
      </c>
      <c r="B25" s="2" t="s">
        <v>103</v>
      </c>
      <c r="C25" s="2">
        <f>IFERROR(50+VLOOKUP($A25,'SegEnds_Xtal_Prot#'!$A:$AY,5,FALSE)-VLOOKUP($B25,'SegEnds_NonXtal_Prot#'!$A:$AL,4,FALSE),"-")</f>
        <v>30</v>
      </c>
      <c r="D25" s="2">
        <f>IFERROR(50+VLOOKUP($A25,'SegEnds_Xtal_Prot#'!$A:$AY,7,FALSE)-VLOOKUP($B25,'SegEnds_NonXtal_Prot#'!$A:$AL,4,FALSE),"-")</f>
        <v>60</v>
      </c>
      <c r="E25" s="2">
        <f>IFERROR(50+VLOOKUP($A25,'SegEnds_Xtal_Prot#'!$A:$AY,9,FALSE)-VLOOKUP($B25,'SegEnds_NonXtal_Prot#'!$A:$AL,7,FALSE),"-")</f>
        <v>48</v>
      </c>
      <c r="F25" s="2">
        <f>IFERROR(50+VLOOKUP($A25,'SegEnds_Xtal_Prot#'!$A:$AY,11,FALSE)-VLOOKUP($B25,'SegEnds_NonXtal_Prot#'!$A:$AL,7,FALSE),"-")</f>
        <v>51</v>
      </c>
      <c r="G25" s="2">
        <f>IFERROR(50+VLOOKUP($A25,'SegEnds_Xtal_Prot#'!$A:$AY,13,FALSE)-VLOOKUP($B25,'SegEnds_NonXtal_Prot#'!$A:$AL,10,FALSE),"-")</f>
        <v>37</v>
      </c>
      <c r="H25" s="2">
        <f>IFERROR(50+VLOOKUP($A25,'SegEnds_Xtal_Prot#'!$A:$AY,15,FALSE)-VLOOKUP($B25,'SegEnds_NonXtal_Prot#'!$A:$AL,10,FALSE),"-")</f>
        <v>63</v>
      </c>
      <c r="I25" s="2">
        <f>IFERROR(50+VLOOKUP($A25,'SegEnds_Xtal_Prot#'!$A:$AY,17,FALSE)-VLOOKUP($B25,'SegEnds_NonXtal_Prot#'!$A:$AL,13,FALSE),"-")</f>
        <v>47</v>
      </c>
      <c r="J25" s="2">
        <f>IFERROR(50+VLOOKUP($A25,'SegEnds_Xtal_Prot#'!$A:$AY,19,FALSE)-VLOOKUP($B25,'SegEnds_NonXtal_Prot#'!$A:$AL,13,FALSE),"-")</f>
        <v>53</v>
      </c>
      <c r="K25" s="2">
        <f>IFERROR(50+VLOOKUP($A25,'SegEnds_Xtal_Prot#'!$A:$AY,21,FALSE)-VLOOKUP($B25,'SegEnds_NonXtal_Prot#'!$A:$AL,16,FALSE),"-")</f>
        <v>21</v>
      </c>
      <c r="L25" s="2">
        <f>IFERROR(50+VLOOKUP($A25,'SegEnds_Xtal_Prot#'!$A:$AY,23,FALSE)-VLOOKUP($B25,'SegEnds_NonXtal_Prot#'!$A:$AL,16,FALSE),"-")</f>
        <v>56</v>
      </c>
      <c r="M25" s="2">
        <f>IFERROR(50+VLOOKUP($A25,'SegEnds_Xtal_Prot#'!$A:$AY,25,FALSE)-VLOOKUP($B25,'SegEnds_NonXtal_Prot#'!$A:$AL,19,FALSE),"-")</f>
        <v>50</v>
      </c>
      <c r="N25" s="2">
        <f>IFERROR(50+VLOOKUP($A25,'SegEnds_Xtal_Prot#'!$A:$AY,27,FALSE)-VLOOKUP($B25,'SegEnds_NonXtal_Prot#'!$A:$AL,19,FALSE),"-")</f>
        <v>56</v>
      </c>
      <c r="O25" s="2">
        <f>IFERROR(50+VLOOKUP($A25,'SegEnds_Xtal_Prot#'!$A:$AY,29,FALSE)-VLOOKUP($B25,'SegEnds_NonXtal_Prot#'!$A:$AL,22,FALSE),"-")</f>
        <v>38</v>
      </c>
      <c r="P25" s="2">
        <f>IFERROR(50+VLOOKUP($A25,'SegEnds_Xtal_Prot#'!$A:$AY,31,FALSE)-VLOOKUP($B25,'SegEnds_NonXtal_Prot#'!$A:$AL,22,FALSE),"-")</f>
        <v>63</v>
      </c>
      <c r="Q25" s="2" t="str">
        <f>IFERROR(50+VLOOKUP($A25,'SegEnds_Xtal_Prot#'!$A:$AY,33,FALSE)-VLOOKUP($B25,'SegEnds_NonXtal_Prot#'!$A:$AL,25,FALSE),"-")</f>
        <v>-</v>
      </c>
      <c r="R25" s="2" t="str">
        <f>IFERROR(50+VLOOKUP($A25,'SegEnds_Xtal_Prot#'!$A:$AY,35,FALSE)-VLOOKUP($B25,'SegEnds_NonXtal_Prot#'!$A:$AL,25,FALSE),"-")</f>
        <v>-</v>
      </c>
      <c r="S25" s="2">
        <f>IFERROR(50+VLOOKUP($A25,'SegEnds_Xtal_Prot#'!$A:$AY,37,FALSE)-VLOOKUP($B25,'SegEnds_NonXtal_Prot#'!$A:$AL,28,FALSE),"-")</f>
        <v>36</v>
      </c>
      <c r="T25" s="2">
        <f>IFERROR(50+VLOOKUP($A25,'SegEnds_Xtal_Prot#'!$A:$AY,39,FALSE)-VLOOKUP($B25,'SegEnds_NonXtal_Prot#'!$A:$AL,28,FALSE),"-")</f>
        <v>73</v>
      </c>
      <c r="U25" s="2">
        <f>IFERROR(50+VLOOKUP($A25,'SegEnds_Xtal_Prot#'!$A:$AY,41,FALSE)-VLOOKUP($B25,'SegEnds_NonXtal_Prot#'!$A:$AL,31,FALSE),"-")</f>
        <v>22</v>
      </c>
      <c r="V25" s="2">
        <f>IFERROR(50+VLOOKUP($A25,'SegEnds_Xtal_Prot#'!$A:$AY,43,FALSE)-VLOOKUP($B25,'SegEnds_NonXtal_Prot#'!$A:$AL,31,FALSE),"-")</f>
        <v>61</v>
      </c>
      <c r="W25" s="2">
        <f>IFERROR(50+VLOOKUP($A25,'SegEnds_Xtal_Prot#'!$A:$AY,45,FALSE)-VLOOKUP($B25,'SegEnds_NonXtal_Prot#'!$A:$AL,34,FALSE),"-")</f>
        <v>30</v>
      </c>
      <c r="X25" s="2">
        <f>IFERROR(50+VLOOKUP($A25,'SegEnds_Xtal_Prot#'!$A:$AY,47,FALSE)-VLOOKUP($B25,'SegEnds_NonXtal_Prot#'!$A:$AL,34,FALSE),"-")</f>
        <v>56</v>
      </c>
      <c r="Y25" s="2">
        <f>IFERROR(50+VLOOKUP($A25,'SegEnds_Xtal_Prot#'!$A:$AY,49,FALSE)-VLOOKUP($B25,'SegEnds_NonXtal_Prot#'!$A:$AL,37,FALSE),"-")</f>
        <v>47</v>
      </c>
      <c r="Z25" s="2">
        <f>IFERROR(50+VLOOKUP($A25,'SegEnds_Xtal_Prot#'!$A:$AY,51,FALSE)-VLOOKUP($B25,'SegEnds_NonXtal_Prot#'!$A:$AL,37,FALSE),"-")</f>
        <v>59</v>
      </c>
      <c r="AA25" s="50" t="str">
        <f>VLOOKUP(B25,Classification!A:D,2,FALSE)</f>
        <v>A</v>
      </c>
      <c r="AB25" s="97" t="str">
        <f>VLOOKUP(B25,Classification!A:D,4,0)</f>
        <v>Lysophospholipid(LPA)</v>
      </c>
      <c r="AC25" s="50">
        <f>VLOOKUP(B25,'SegEnds_NonXtal_Prot#'!A:AL,6,FALSE)-VLOOKUP(B25,'SegEnds_NonXtal_Prot#'!A:AL,5,FALSE)</f>
        <v>1</v>
      </c>
      <c r="AD25" s="50">
        <f>VLOOKUP(B25,'SegEnds_NonXtal_Prot#'!A:AL,9,FALSE)-VLOOKUP(B25,'SegEnds_NonXtal_Prot#'!A:AL,8,FALSE)</f>
        <v>1</v>
      </c>
      <c r="AE25" s="50">
        <f>VLOOKUP(B25,'SegEnds_NonXtal_Prot#'!A:AL,13,FALSE)-VLOOKUP(B25,'SegEnds_NonXtal_Prot#'!A:AL,10,FALSE)</f>
        <v>18</v>
      </c>
      <c r="AF25" s="50">
        <f>VLOOKUP(B25,'SegEnds_NonXtal_Prot#'!A:AL,12,FALSE)-VLOOKUP(B25,'SegEnds_NonXtal_Prot#'!A:AL,11,FALSE)</f>
        <v>2</v>
      </c>
      <c r="AG25" s="50">
        <f>VLOOKUP(B25,'SegEnds_NonXtal_Prot#'!A:AL,13,FALSE)-VLOOKUP(B25,'SegEnds_NonXtal_Prot#'!A:AL,11,FALSE)</f>
        <v>5</v>
      </c>
      <c r="AH25" s="50">
        <f>VLOOKUP(B25,'SegEnds_NonXtal_Prot#'!A:AL,16,FALSE)-VLOOKUP(B25,'SegEnds_NonXtal_Prot#'!A:AL,10,FALSE)</f>
        <v>51</v>
      </c>
      <c r="AI25" s="50">
        <f>VLOOKUP(B25,'SegEnds_NonXtal_Prot#'!A:AL,16,FALSE)-VLOOKUP(B25,'SegEnds_NonXtal_Prot#'!A:AL,11,FALSE)</f>
        <v>38</v>
      </c>
      <c r="AJ25" s="50">
        <f>VLOOKUP(B25,'SegEnds_NonXtal_Prot#'!A:AL,22,FALSE)-VLOOKUP(B25,'SegEnds_NonXtal_Prot#'!A:AL,19,FALSE)</f>
        <v>19</v>
      </c>
      <c r="AK25" s="50">
        <f>VLOOKUP(B25,'SegEnds_NonXtal_Prot#'!A:AL,15,FALSE)-VLOOKUP(B25,'SegEnds_NonXtal_Prot#'!A:AL,14,FALSE)</f>
        <v>1</v>
      </c>
      <c r="AL25" s="50">
        <f>VLOOKUP(B25,'SegEnds_NonXtal_Prot#'!A:AL,18,FALSE)-VLOOKUP(B25,'SegEnds_NonXtal_Prot#'!A:AL,17,FALSE)</f>
        <v>1</v>
      </c>
      <c r="AM25" s="2">
        <f>VLOOKUP(B25,'SegEnds_NonXtal_Prot#'!A:AL,34,FALSE)-VLOOKUP(B25,'SegEnds_NonXtal_Prot#'!A:AL,31,FALSE)</f>
        <v>35</v>
      </c>
      <c r="AN25" s="38"/>
    </row>
    <row r="26" spans="1:64" s="2" customFormat="1" x14ac:dyDescent="0.2">
      <c r="A26" s="2" t="s">
        <v>1278</v>
      </c>
      <c r="B26" s="2" t="s">
        <v>104</v>
      </c>
      <c r="C26" s="2">
        <f>IFERROR(50+VLOOKUP($A26,'SegEnds_Xtal_Prot#'!$A:$AY,5,FALSE)-VLOOKUP($B26,'SegEnds_NonXtal_Prot#'!$A:$AL,4,FALSE),"-")</f>
        <v>29</v>
      </c>
      <c r="D26" s="2">
        <f>IFERROR(50+VLOOKUP($A26,'SegEnds_Xtal_Prot#'!$A:$AY,7,FALSE)-VLOOKUP($B26,'SegEnds_NonXtal_Prot#'!$A:$AL,4,FALSE),"-")</f>
        <v>60</v>
      </c>
      <c r="E26" s="2">
        <f>IFERROR(50+VLOOKUP($A26,'SegEnds_Xtal_Prot#'!$A:$AY,9,FALSE)-VLOOKUP($B26,'SegEnds_NonXtal_Prot#'!$A:$AL,7,FALSE),"-")</f>
        <v>48</v>
      </c>
      <c r="F26" s="2">
        <f>IFERROR(50+VLOOKUP($A26,'SegEnds_Xtal_Prot#'!$A:$AY,11,FALSE)-VLOOKUP($B26,'SegEnds_NonXtal_Prot#'!$A:$AL,7,FALSE),"-")</f>
        <v>51</v>
      </c>
      <c r="G26" s="2">
        <f>IFERROR(50+VLOOKUP($A26,'SegEnds_Xtal_Prot#'!$A:$AY,13,FALSE)-VLOOKUP($B26,'SegEnds_NonXtal_Prot#'!$A:$AL,10,FALSE),"-")</f>
        <v>37</v>
      </c>
      <c r="H26" s="2">
        <f>IFERROR(50+VLOOKUP($A26,'SegEnds_Xtal_Prot#'!$A:$AY,15,FALSE)-VLOOKUP($B26,'SegEnds_NonXtal_Prot#'!$A:$AL,10,FALSE),"-")</f>
        <v>63</v>
      </c>
      <c r="I26" s="2">
        <f>IFERROR(50+VLOOKUP($A26,'SegEnds_Xtal_Prot#'!$A:$AY,17,FALSE)-VLOOKUP($B26,'SegEnds_NonXtal_Prot#'!$A:$AL,13,FALSE),"-")</f>
        <v>47</v>
      </c>
      <c r="J26" s="2">
        <f>IFERROR(50+VLOOKUP($A26,'SegEnds_Xtal_Prot#'!$A:$AY,19,FALSE)-VLOOKUP($B26,'SegEnds_NonXtal_Prot#'!$A:$AL,13,FALSE),"-")</f>
        <v>53</v>
      </c>
      <c r="K26" s="2">
        <f>IFERROR(50+VLOOKUP($A26,'SegEnds_Xtal_Prot#'!$A:$AY,21,FALSE)-VLOOKUP($B26,'SegEnds_NonXtal_Prot#'!$A:$AL,16,FALSE),"-")</f>
        <v>21</v>
      </c>
      <c r="L26" s="2">
        <f>IFERROR(50+VLOOKUP($A26,'SegEnds_Xtal_Prot#'!$A:$AY,23,FALSE)-VLOOKUP($B26,'SegEnds_NonXtal_Prot#'!$A:$AL,16,FALSE),"-")</f>
        <v>56</v>
      </c>
      <c r="M26" s="2">
        <f>IFERROR(50+VLOOKUP($A26,'SegEnds_Xtal_Prot#'!$A:$AY,25,FALSE)-VLOOKUP($B26,'SegEnds_NonXtal_Prot#'!$A:$AL,19,FALSE),"-")</f>
        <v>50</v>
      </c>
      <c r="N26" s="2">
        <f>IFERROR(50+VLOOKUP($A26,'SegEnds_Xtal_Prot#'!$A:$AY,27,FALSE)-VLOOKUP($B26,'SegEnds_NonXtal_Prot#'!$A:$AL,19,FALSE),"-")</f>
        <v>56</v>
      </c>
      <c r="O26" s="2">
        <f>IFERROR(50+VLOOKUP($A26,'SegEnds_Xtal_Prot#'!$A:$AY,29,FALSE)-VLOOKUP($B26,'SegEnds_NonXtal_Prot#'!$A:$AL,22,FALSE),"-")</f>
        <v>38</v>
      </c>
      <c r="P26" s="2">
        <f>IFERROR(50+VLOOKUP($A26,'SegEnds_Xtal_Prot#'!$A:$AY,31,FALSE)-VLOOKUP($B26,'SegEnds_NonXtal_Prot#'!$A:$AL,22,FALSE),"-")</f>
        <v>63</v>
      </c>
      <c r="Q26" s="2" t="str">
        <f>IFERROR(50+VLOOKUP($A26,'SegEnds_Xtal_Prot#'!$A:$AY,33,FALSE)-VLOOKUP($B26,'SegEnds_NonXtal_Prot#'!$A:$AL,25,FALSE),"-")</f>
        <v>-</v>
      </c>
      <c r="R26" s="2" t="str">
        <f>IFERROR(50+VLOOKUP($A26,'SegEnds_Xtal_Prot#'!$A:$AY,35,FALSE)-VLOOKUP($B26,'SegEnds_NonXtal_Prot#'!$A:$AL,25,FALSE),"-")</f>
        <v>-</v>
      </c>
      <c r="S26" s="2">
        <f>IFERROR(50+VLOOKUP($A26,'SegEnds_Xtal_Prot#'!$A:$AY,37,FALSE)-VLOOKUP($B26,'SegEnds_NonXtal_Prot#'!$A:$AL,28,FALSE),"-")</f>
        <v>36</v>
      </c>
      <c r="T26" s="2">
        <f>IFERROR(50+VLOOKUP($A26,'SegEnds_Xtal_Prot#'!$A:$AY,39,FALSE)-VLOOKUP($B26,'SegEnds_NonXtal_Prot#'!$A:$AL,28,FALSE),"-")</f>
        <v>73</v>
      </c>
      <c r="U26" s="2">
        <f>IFERROR(50+VLOOKUP($A26,'SegEnds_Xtal_Prot#'!$A:$AY,41,FALSE)-VLOOKUP($B26,'SegEnds_NonXtal_Prot#'!$A:$AL,31,FALSE),"-")</f>
        <v>24</v>
      </c>
      <c r="V26" s="2">
        <f>IFERROR(50+VLOOKUP($A26,'SegEnds_Xtal_Prot#'!$A:$AY,43,FALSE)-VLOOKUP($B26,'SegEnds_NonXtal_Prot#'!$A:$AL,31,FALSE),"-")</f>
        <v>61</v>
      </c>
      <c r="W26" s="2">
        <f>IFERROR(50+VLOOKUP($A26,'SegEnds_Xtal_Prot#'!$A:$AY,45,FALSE)-VLOOKUP($B26,'SegEnds_NonXtal_Prot#'!$A:$AL,34,FALSE),"-")</f>
        <v>30</v>
      </c>
      <c r="X26" s="2">
        <f>IFERROR(50+VLOOKUP($A26,'SegEnds_Xtal_Prot#'!$A:$AY,47,FALSE)-VLOOKUP($B26,'SegEnds_NonXtal_Prot#'!$A:$AL,34,FALSE),"-")</f>
        <v>56</v>
      </c>
      <c r="Y26" s="2">
        <f>IFERROR(50+VLOOKUP($A26,'SegEnds_Xtal_Prot#'!$A:$AY,49,FALSE)-VLOOKUP($B26,'SegEnds_NonXtal_Prot#'!$A:$AL,37,FALSE),"-")</f>
        <v>47</v>
      </c>
      <c r="Z26" s="2">
        <f>IFERROR(50+VLOOKUP($A26,'SegEnds_Xtal_Prot#'!$A:$AY,51,FALSE)-VLOOKUP($B26,'SegEnds_NonXtal_Prot#'!$A:$AL,37,FALSE),"-")</f>
        <v>59</v>
      </c>
      <c r="AA26" s="50" t="str">
        <f>VLOOKUP(B26,Classification!A:D,2,FALSE)</f>
        <v>A</v>
      </c>
      <c r="AB26" s="97" t="str">
        <f>VLOOKUP(B26,Classification!A:D,4,0)</f>
        <v>Lysophospholipid(S1P)</v>
      </c>
      <c r="AC26" s="50">
        <f>VLOOKUP(B26,'SegEnds_NonXtal_Prot#'!A:AL,6,FALSE)-VLOOKUP(B26,'SegEnds_NonXtal_Prot#'!A:AL,5,FALSE)</f>
        <v>1</v>
      </c>
      <c r="AD26" s="50">
        <f>VLOOKUP(B26,'SegEnds_NonXtal_Prot#'!A:AL,9,FALSE)-VLOOKUP(B26,'SegEnds_NonXtal_Prot#'!A:AL,8,FALSE)</f>
        <v>1</v>
      </c>
      <c r="AE26" s="50">
        <f>VLOOKUP(B26,'SegEnds_NonXtal_Prot#'!A:AL,13,FALSE)-VLOOKUP(B26,'SegEnds_NonXtal_Prot#'!A:AL,10,FALSE)</f>
        <v>18</v>
      </c>
      <c r="AF26" s="50">
        <f>VLOOKUP(B26,'SegEnds_NonXtal_Prot#'!A:AL,12,FALSE)-VLOOKUP(B26,'SegEnds_NonXtal_Prot#'!A:AL,11,FALSE)</f>
        <v>2</v>
      </c>
      <c r="AG26" s="50">
        <f>VLOOKUP(B26,'SegEnds_NonXtal_Prot#'!A:AL,13,FALSE)-VLOOKUP(B26,'SegEnds_NonXtal_Prot#'!A:AL,11,FALSE)</f>
        <v>5</v>
      </c>
      <c r="AH26" s="50">
        <f>VLOOKUP(B26,'SegEnds_NonXtal_Prot#'!A:AL,16,FALSE)-VLOOKUP(B26,'SegEnds_NonXtal_Prot#'!A:AL,10,FALSE)</f>
        <v>51</v>
      </c>
      <c r="AI26" s="50">
        <f>VLOOKUP(B26,'SegEnds_NonXtal_Prot#'!A:AL,16,FALSE)-VLOOKUP(B26,'SegEnds_NonXtal_Prot#'!A:AL,11,FALSE)</f>
        <v>38</v>
      </c>
      <c r="AJ26" s="50">
        <f>VLOOKUP(B26,'SegEnds_NonXtal_Prot#'!A:AL,22,FALSE)-VLOOKUP(B26,'SegEnds_NonXtal_Prot#'!A:AL,19,FALSE)</f>
        <v>19</v>
      </c>
      <c r="AK26" s="50">
        <f>VLOOKUP(B26,'SegEnds_NonXtal_Prot#'!A:AL,15,FALSE)-VLOOKUP(B26,'SegEnds_NonXtal_Prot#'!A:AL,14,FALSE)</f>
        <v>1</v>
      </c>
      <c r="AL26" s="50">
        <f>VLOOKUP(B26,'SegEnds_NonXtal_Prot#'!A:AL,18,FALSE)-VLOOKUP(B26,'SegEnds_NonXtal_Prot#'!A:AL,17,FALSE)</f>
        <v>1</v>
      </c>
      <c r="AM26" s="2">
        <f>VLOOKUP(B26,'SegEnds_NonXtal_Prot#'!A:AL,34,FALSE)-VLOOKUP(B26,'SegEnds_NonXtal_Prot#'!A:AL,31,FALSE)</f>
        <v>37</v>
      </c>
      <c r="AN26" s="38"/>
    </row>
    <row r="27" spans="1:64" s="2" customFormat="1" x14ac:dyDescent="0.2">
      <c r="A27" s="2" t="s">
        <v>1264</v>
      </c>
      <c r="B27" s="2" t="s">
        <v>914</v>
      </c>
      <c r="C27" s="2">
        <f>IFERROR(50+VLOOKUP($A27,'SegEnds_Xtal_Prot#'!$A:$AY,5,FALSE)-VLOOKUP($B27,'SegEnds_NonXtal_Prot#'!$A:$AL,4,FALSE),"-")</f>
        <v>29</v>
      </c>
      <c r="D27" s="2">
        <f>IFERROR(50+VLOOKUP($A27,'SegEnds_Xtal_Prot#'!$A:$AY,7,FALSE)-VLOOKUP($B27,'SegEnds_NonXtal_Prot#'!$A:$AL,4,FALSE),"-")</f>
        <v>60</v>
      </c>
      <c r="E27" s="2">
        <f>IFERROR(50+VLOOKUP($A27,'SegEnds_Xtal_Prot#'!$A:$AY,9,FALSE)-VLOOKUP($B27,'SegEnds_NonXtal_Prot#'!$A:$AL,7,FALSE),"-")</f>
        <v>48</v>
      </c>
      <c r="F27" s="2">
        <f>IFERROR(50+VLOOKUP($A27,'SegEnds_Xtal_Prot#'!$A:$AY,11,FALSE)-VLOOKUP($B27,'SegEnds_NonXtal_Prot#'!$A:$AL,7,FALSE),"-")</f>
        <v>51</v>
      </c>
      <c r="G27" s="2">
        <f>IFERROR(50+VLOOKUP($A27,'SegEnds_Xtal_Prot#'!$A:$AY,13,FALSE)-VLOOKUP($B27,'SegEnds_NonXtal_Prot#'!$A:$AL,10,FALSE),"-")</f>
        <v>34</v>
      </c>
      <c r="H27" s="2">
        <f>IFERROR(50+VLOOKUP($A27,'SegEnds_Xtal_Prot#'!$A:$AY,15,FALSE)-VLOOKUP($B27,'SegEnds_NonXtal_Prot#'!$A:$AL,10,FALSE),"-")</f>
        <v>68</v>
      </c>
      <c r="I27" s="2">
        <f>IFERROR(50+VLOOKUP($A27,'SegEnds_Xtal_Prot#'!$A:$AY,17,FALSE)-VLOOKUP($B27,'SegEnds_NonXtal_Prot#'!$A:$AL,13,FALSE),"-")</f>
        <v>49</v>
      </c>
      <c r="J27" s="2">
        <f>IFERROR(50+VLOOKUP($A27,'SegEnds_Xtal_Prot#'!$A:$AY,19,FALSE)-VLOOKUP($B27,'SegEnds_NonXtal_Prot#'!$A:$AL,13,FALSE),"-")</f>
        <v>52</v>
      </c>
      <c r="K27" s="2">
        <f>IFERROR(50+VLOOKUP($A27,'SegEnds_Xtal_Prot#'!$A:$AY,21,FALSE)-VLOOKUP($B27,'SegEnds_NonXtal_Prot#'!$A:$AL,16,FALSE),"-")</f>
        <v>21</v>
      </c>
      <c r="L27" s="2">
        <f>IFERROR(50+VLOOKUP($A27,'SegEnds_Xtal_Prot#'!$A:$AY,23,FALSE)-VLOOKUP($B27,'SegEnds_NonXtal_Prot#'!$A:$AL,16,FALSE),"-")</f>
        <v>56</v>
      </c>
      <c r="M27" s="2">
        <f>IFERROR(50+VLOOKUP($A27,'SegEnds_Xtal_Prot#'!$A:$AY,25,FALSE)-VLOOKUP($B27,'SegEnds_NonXtal_Prot#'!$A:$AL,19,FALSE),"-")</f>
        <v>50</v>
      </c>
      <c r="N27" s="2">
        <f>IFERROR(50+VLOOKUP($A27,'SegEnds_Xtal_Prot#'!$A:$AY,27,FALSE)-VLOOKUP($B27,'SegEnds_NonXtal_Prot#'!$A:$AL,19,FALSE),"-")</f>
        <v>57</v>
      </c>
      <c r="O27" s="2">
        <f>IFERROR(50+VLOOKUP($A27,'SegEnds_Xtal_Prot#'!$A:$AY,29,FALSE)-VLOOKUP($B27,'SegEnds_NonXtal_Prot#'!$A:$AL,22,FALSE),"-")</f>
        <v>38</v>
      </c>
      <c r="P27" s="2">
        <f>IFERROR(50+VLOOKUP($A27,'SegEnds_Xtal_Prot#'!$A:$AY,31,FALSE)-VLOOKUP($B27,'SegEnds_NonXtal_Prot#'!$A:$AL,22,FALSE),"-")</f>
        <v>64</v>
      </c>
      <c r="Q27" s="2">
        <f>IFERROR(50+VLOOKUP($A27,'SegEnds_Xtal_Prot#'!$A:$AY,33,FALSE)-VLOOKUP($B27,'SegEnds_NonXtal_Prot#'!$A:$AL,25,FALSE),"-")</f>
        <v>50</v>
      </c>
      <c r="R27" s="2">
        <f>IFERROR(50+VLOOKUP($A27,'SegEnds_Xtal_Prot#'!$A:$AY,35,FALSE)-VLOOKUP($B27,'SegEnds_NonXtal_Prot#'!$A:$AL,25,FALSE),"-")</f>
        <v>52</v>
      </c>
      <c r="S27" s="2">
        <f>IFERROR(50+VLOOKUP($A27,'SegEnds_Xtal_Prot#'!$A:$AY,37,FALSE)-VLOOKUP($B27,'SegEnds_NonXtal_Prot#'!$A:$AL,28,FALSE),"-")</f>
        <v>32</v>
      </c>
      <c r="T27" s="2">
        <f>IFERROR(50+VLOOKUP($A27,'SegEnds_Xtal_Prot#'!$A:$AY,39,FALSE)-VLOOKUP($B27,'SegEnds_NonXtal_Prot#'!$A:$AL,28,FALSE),"-")</f>
        <v>76</v>
      </c>
      <c r="U27" s="2">
        <f>IFERROR(50+VLOOKUP($A27,'SegEnds_Xtal_Prot#'!$A:$AY,41,FALSE)-VLOOKUP($B27,'SegEnds_NonXtal_Prot#'!$A:$AL,31,FALSE),"-")</f>
        <v>24</v>
      </c>
      <c r="V27" s="2">
        <f>IFERROR(50+VLOOKUP($A27,'SegEnds_Xtal_Prot#'!$A:$AY,43,FALSE)-VLOOKUP($B27,'SegEnds_NonXtal_Prot#'!$A:$AL,31,FALSE),"-")</f>
        <v>61</v>
      </c>
      <c r="W27" s="2">
        <f>IFERROR(50+VLOOKUP($A27,'SegEnds_Xtal_Prot#'!$A:$AY,45,FALSE)-VLOOKUP($B27,'SegEnds_NonXtal_Prot#'!$A:$AL,34,FALSE),"-")</f>
        <v>24</v>
      </c>
      <c r="X27" s="2">
        <f>IFERROR(50+VLOOKUP($A27,'SegEnds_Xtal_Prot#'!$A:$AY,47,FALSE)-VLOOKUP($B27,'SegEnds_NonXtal_Prot#'!$A:$AL,34,FALSE),"-")</f>
        <v>56</v>
      </c>
      <c r="Y27" s="2">
        <f>IFERROR(50+VLOOKUP($A27,'SegEnds_Xtal_Prot#'!$A:$AY,49,FALSE)-VLOOKUP($B27,'SegEnds_NonXtal_Prot#'!$A:$AL,37,FALSE),"-")</f>
        <v>47</v>
      </c>
      <c r="Z27" s="2">
        <f>IFERROR(50+VLOOKUP($A27,'SegEnds_Xtal_Prot#'!$A:$AY,51,FALSE)-VLOOKUP($B27,'SegEnds_NonXtal_Prot#'!$A:$AL,37,FALSE),"-")</f>
        <v>58</v>
      </c>
      <c r="AA27" s="50" t="str">
        <f>VLOOKUP(B27,Classification!A:D,2,FALSE)</f>
        <v>A</v>
      </c>
      <c r="AB27" s="97" t="str">
        <f>VLOOKUP(B27,Classification!A:D,4,0)</f>
        <v>Neurotensin</v>
      </c>
      <c r="AC27" s="50">
        <f>VLOOKUP(B27,'SegEnds_NonXtal_Prot#'!A:AL,6,FALSE)-VLOOKUP(B27,'SegEnds_NonXtal_Prot#'!A:AL,5,FALSE)</f>
        <v>1</v>
      </c>
      <c r="AD27" s="50">
        <f>VLOOKUP(B27,'SegEnds_NonXtal_Prot#'!A:AL,9,FALSE)-VLOOKUP(B27,'SegEnds_NonXtal_Prot#'!A:AL,8,FALSE)</f>
        <v>1</v>
      </c>
      <c r="AE27" s="50">
        <f>VLOOKUP(B27,'SegEnds_NonXtal_Prot#'!A:AL,13,FALSE)-VLOOKUP(B27,'SegEnds_NonXtal_Prot#'!A:AL,10,FALSE)</f>
        <v>22</v>
      </c>
      <c r="AF27" s="50">
        <f>VLOOKUP(B27,'SegEnds_NonXtal_Prot#'!A:AL,12,FALSE)-VLOOKUP(B27,'SegEnds_NonXtal_Prot#'!A:AL,11,FALSE)</f>
        <v>3</v>
      </c>
      <c r="AG27" s="50">
        <f>VLOOKUP(B27,'SegEnds_NonXtal_Prot#'!A:AL,13,FALSE)-VLOOKUP(B27,'SegEnds_NonXtal_Prot#'!A:AL,11,FALSE)</f>
        <v>4</v>
      </c>
      <c r="AH27" s="50">
        <f>VLOOKUP(B27,'SegEnds_NonXtal_Prot#'!A:AL,16,FALSE)-VLOOKUP(B27,'SegEnds_NonXtal_Prot#'!A:AL,10,FALSE)</f>
        <v>54</v>
      </c>
      <c r="AI27" s="50">
        <f>VLOOKUP(B27,'SegEnds_NonXtal_Prot#'!A:AL,16,FALSE)-VLOOKUP(B27,'SegEnds_NonXtal_Prot#'!A:AL,11,FALSE)</f>
        <v>36</v>
      </c>
      <c r="AJ27" s="50">
        <f>VLOOKUP(B27,'SegEnds_NonXtal_Prot#'!A:AL,22,FALSE)-VLOOKUP(B27,'SegEnds_NonXtal_Prot#'!A:AL,19,FALSE)</f>
        <v>20</v>
      </c>
      <c r="AK27" s="50">
        <f>VLOOKUP(B27,'SegEnds_NonXtal_Prot#'!A:AL,15,FALSE)-VLOOKUP(B27,'SegEnds_NonXtal_Prot#'!A:AL,14,FALSE)</f>
        <v>1</v>
      </c>
      <c r="AL27" s="50">
        <f>VLOOKUP(B27,'SegEnds_NonXtal_Prot#'!A:AL,18,FALSE)-VLOOKUP(B27,'SegEnds_NonXtal_Prot#'!A:AL,17,FALSE)</f>
        <v>1</v>
      </c>
      <c r="AM27" s="2">
        <f>VLOOKUP(B27,'SegEnds_NonXtal_Prot#'!A:AL,34,FALSE)-VLOOKUP(B27,'SegEnds_NonXtal_Prot#'!A:AL,31,FALSE)</f>
        <v>43</v>
      </c>
      <c r="AN27" s="38"/>
    </row>
    <row r="28" spans="1:64" s="2" customFormat="1" x14ac:dyDescent="0.2">
      <c r="A28" s="2" t="s">
        <v>1266</v>
      </c>
      <c r="B28" s="2" t="s">
        <v>916</v>
      </c>
      <c r="C28" s="2">
        <f>IFERROR(50+VLOOKUP($A28,'SegEnds_Xtal_Prot#'!$A:$AY,5,FALSE)-VLOOKUP($B28,'SegEnds_NonXtal_Prot#'!$A:$AL,4,FALSE),"-")</f>
        <v>24</v>
      </c>
      <c r="D28" s="2">
        <f>IFERROR(50+VLOOKUP($A28,'SegEnds_Xtal_Prot#'!$A:$AY,7,FALSE)-VLOOKUP($B28,'SegEnds_NonXtal_Prot#'!$A:$AL,4,FALSE),"-")</f>
        <v>60</v>
      </c>
      <c r="E28" s="2">
        <f>IFERROR(50+VLOOKUP($A28,'SegEnds_Xtal_Prot#'!$A:$AY,9,FALSE)-VLOOKUP($B28,'SegEnds_NonXtal_Prot#'!$A:$AL,7,FALSE),"-")</f>
        <v>48</v>
      </c>
      <c r="F28" s="2">
        <f>IFERROR(50+VLOOKUP($A28,'SegEnds_Xtal_Prot#'!$A:$AY,11,FALSE)-VLOOKUP($B28,'SegEnds_NonXtal_Prot#'!$A:$AL,7,FALSE),"-")</f>
        <v>51</v>
      </c>
      <c r="G28" s="2">
        <f>IFERROR(50+VLOOKUP($A28,'SegEnds_Xtal_Prot#'!$A:$AY,13,FALSE)-VLOOKUP($B28,'SegEnds_NonXtal_Prot#'!$A:$AL,10,FALSE),"-")</f>
        <v>37</v>
      </c>
      <c r="H28" s="2">
        <f>IFERROR(50+VLOOKUP($A28,'SegEnds_Xtal_Prot#'!$A:$AY,15,FALSE)-VLOOKUP($B28,'SegEnds_NonXtal_Prot#'!$A:$AL,10,FALSE),"-")</f>
        <v>66</v>
      </c>
      <c r="I28" s="2">
        <f>IFERROR(50+VLOOKUP($A28,'SegEnds_Xtal_Prot#'!$A:$AY,17,FALSE)-VLOOKUP($B28,'SegEnds_NonXtal_Prot#'!$A:$AL,13,FALSE),"-")</f>
        <v>49</v>
      </c>
      <c r="J28" s="2">
        <f>IFERROR(50+VLOOKUP($A28,'SegEnds_Xtal_Prot#'!$A:$AY,19,FALSE)-VLOOKUP($B28,'SegEnds_NonXtal_Prot#'!$A:$AL,13,FALSE),"-")</f>
        <v>52</v>
      </c>
      <c r="K28" s="2">
        <f>IFERROR(50+VLOOKUP($A28,'SegEnds_Xtal_Prot#'!$A:$AY,21,FALSE)-VLOOKUP($B28,'SegEnds_NonXtal_Prot#'!$A:$AL,16,FALSE),"-")</f>
        <v>21</v>
      </c>
      <c r="L28" s="2">
        <f>IFERROR(50+VLOOKUP($A28,'SegEnds_Xtal_Prot#'!$A:$AY,23,FALSE)-VLOOKUP($B28,'SegEnds_NonXtal_Prot#'!$A:$AL,16,FALSE),"-")</f>
        <v>56</v>
      </c>
      <c r="M28" s="2">
        <f>IFERROR(50+VLOOKUP($A28,'SegEnds_Xtal_Prot#'!$A:$AY,25,FALSE)-VLOOKUP($B28,'SegEnds_NonXtal_Prot#'!$A:$AL,19,FALSE),"-")</f>
        <v>50</v>
      </c>
      <c r="N28" s="2">
        <f>IFERROR(50+VLOOKUP($A28,'SegEnds_Xtal_Prot#'!$A:$AY,27,FALSE)-VLOOKUP($B28,'SegEnds_NonXtal_Prot#'!$A:$AL,19,FALSE),"-")</f>
        <v>57</v>
      </c>
      <c r="O28" s="2">
        <f>IFERROR(50+VLOOKUP($A28,'SegEnds_Xtal_Prot#'!$A:$AY,29,FALSE)-VLOOKUP($B28,'SegEnds_NonXtal_Prot#'!$A:$AL,22,FALSE),"-")</f>
        <v>38</v>
      </c>
      <c r="P28" s="2">
        <f>IFERROR(50+VLOOKUP($A28,'SegEnds_Xtal_Prot#'!$A:$AY,31,FALSE)-VLOOKUP($B28,'SegEnds_NonXtal_Prot#'!$A:$AL,22,FALSE),"-")</f>
        <v>64</v>
      </c>
      <c r="Q28" s="2">
        <f>IFERROR(50+VLOOKUP($A28,'SegEnds_Xtal_Prot#'!$A:$AY,33,FALSE)-VLOOKUP($B28,'SegEnds_NonXtal_Prot#'!$A:$AL,25,FALSE),"-")</f>
        <v>50</v>
      </c>
      <c r="R28" s="2">
        <f>IFERROR(50+VLOOKUP($A28,'SegEnds_Xtal_Prot#'!$A:$AY,35,FALSE)-VLOOKUP($B28,'SegEnds_NonXtal_Prot#'!$A:$AL,25,FALSE),"-")</f>
        <v>52</v>
      </c>
      <c r="S28" s="2">
        <f>IFERROR(50+VLOOKUP($A28,'SegEnds_Xtal_Prot#'!$A:$AY,37,FALSE)-VLOOKUP($B28,'SegEnds_NonXtal_Prot#'!$A:$AL,28,FALSE),"-")</f>
        <v>31</v>
      </c>
      <c r="T28" s="2">
        <f>IFERROR(50+VLOOKUP($A28,'SegEnds_Xtal_Prot#'!$A:$AY,39,FALSE)-VLOOKUP($B28,'SegEnds_NonXtal_Prot#'!$A:$AL,28,FALSE),"-")</f>
        <v>68</v>
      </c>
      <c r="U28" s="2">
        <f>IFERROR(50+VLOOKUP($A28,'SegEnds_Xtal_Prot#'!$A:$AY,41,FALSE)-VLOOKUP($B28,'SegEnds_NonXtal_Prot#'!$A:$AL,31,FALSE),"-")</f>
        <v>23</v>
      </c>
      <c r="V28" s="2">
        <f>IFERROR(50+VLOOKUP($A28,'SegEnds_Xtal_Prot#'!$A:$AY,43,FALSE)-VLOOKUP($B28,'SegEnds_NonXtal_Prot#'!$A:$AL,31,FALSE),"-")</f>
        <v>61</v>
      </c>
      <c r="W28" s="2">
        <f>IFERROR(50+VLOOKUP($A28,'SegEnds_Xtal_Prot#'!$A:$AY,45,FALSE)-VLOOKUP($B28,'SegEnds_NonXtal_Prot#'!$A:$AL,34,FALSE),"-")</f>
        <v>28</v>
      </c>
      <c r="X28" s="2">
        <f>IFERROR(50+VLOOKUP($A28,'SegEnds_Xtal_Prot#'!$A:$AY,47,FALSE)-VLOOKUP($B28,'SegEnds_NonXtal_Prot#'!$A:$AL,34,FALSE),"-")</f>
        <v>56</v>
      </c>
      <c r="Y28" s="2">
        <f>IFERROR(50+VLOOKUP($A28,'SegEnds_Xtal_Prot#'!$A:$AY,49,FALSE)-VLOOKUP($B28,'SegEnds_NonXtal_Prot#'!$A:$AL,37,FALSE),"-")</f>
        <v>47</v>
      </c>
      <c r="Z28" s="2">
        <f>IFERROR(50+VLOOKUP($A28,'SegEnds_Xtal_Prot#'!$A:$AY,51,FALSE)-VLOOKUP($B28,'SegEnds_NonXtal_Prot#'!$A:$AL,37,FALSE),"-")</f>
        <v>60</v>
      </c>
      <c r="AA28" s="50" t="str">
        <f>VLOOKUP(B28,Classification!A:D,2,FALSE)</f>
        <v>A</v>
      </c>
      <c r="AB28" s="97" t="str">
        <f>VLOOKUP(B28,Classification!A:D,4,0)</f>
        <v>Opioid</v>
      </c>
      <c r="AC28" s="50">
        <f>VLOOKUP(B28,'SegEnds_NonXtal_Prot#'!A:AL,6,FALSE)-VLOOKUP(B28,'SegEnds_NonXtal_Prot#'!A:AL,5,FALSE)</f>
        <v>1</v>
      </c>
      <c r="AD28" s="50">
        <f>VLOOKUP(B28,'SegEnds_NonXtal_Prot#'!A:AL,9,FALSE)-VLOOKUP(B28,'SegEnds_NonXtal_Prot#'!A:AL,8,FALSE)</f>
        <v>1</v>
      </c>
      <c r="AE28" s="50">
        <f>VLOOKUP(B28,'SegEnds_NonXtal_Prot#'!A:AL,13,FALSE)-VLOOKUP(B28,'SegEnds_NonXtal_Prot#'!A:AL,10,FALSE)</f>
        <v>19</v>
      </c>
      <c r="AF28" s="50">
        <f>VLOOKUP(B28,'SegEnds_NonXtal_Prot#'!A:AL,12,FALSE)-VLOOKUP(B28,'SegEnds_NonXtal_Prot#'!A:AL,11,FALSE)</f>
        <v>2</v>
      </c>
      <c r="AG28" s="50">
        <f>VLOOKUP(B28,'SegEnds_NonXtal_Prot#'!A:AL,13,FALSE)-VLOOKUP(B28,'SegEnds_NonXtal_Prot#'!A:AL,11,FALSE)</f>
        <v>3</v>
      </c>
      <c r="AH28" s="50">
        <f>VLOOKUP(B28,'SegEnds_NonXtal_Prot#'!A:AL,16,FALSE)-VLOOKUP(B28,'SegEnds_NonXtal_Prot#'!A:AL,10,FALSE)</f>
        <v>51</v>
      </c>
      <c r="AI28" s="50">
        <f>VLOOKUP(B28,'SegEnds_NonXtal_Prot#'!A:AL,16,FALSE)-VLOOKUP(B28,'SegEnds_NonXtal_Prot#'!A:AL,11,FALSE)</f>
        <v>35</v>
      </c>
      <c r="AJ28" s="50">
        <f>VLOOKUP(B28,'SegEnds_NonXtal_Prot#'!A:AL,22,FALSE)-VLOOKUP(B28,'SegEnds_NonXtal_Prot#'!A:AL,19,FALSE)</f>
        <v>20</v>
      </c>
      <c r="AK28" s="50">
        <f>VLOOKUP(B28,'SegEnds_NonXtal_Prot#'!A:AL,15,FALSE)-VLOOKUP(B28,'SegEnds_NonXtal_Prot#'!A:AL,14,FALSE)</f>
        <v>1</v>
      </c>
      <c r="AL28" s="50">
        <f>VLOOKUP(B28,'SegEnds_NonXtal_Prot#'!A:AL,18,FALSE)-VLOOKUP(B28,'SegEnds_NonXtal_Prot#'!A:AL,17,FALSE)</f>
        <v>1</v>
      </c>
      <c r="AM28" s="2">
        <f>VLOOKUP(B28,'SegEnds_NonXtal_Prot#'!A:AL,34,FALSE)-VLOOKUP(B28,'SegEnds_NonXtal_Prot#'!A:AL,31,FALSE)</f>
        <v>39</v>
      </c>
      <c r="AN28" s="38"/>
    </row>
    <row r="29" spans="1:64" s="2" customFormat="1" x14ac:dyDescent="0.2">
      <c r="A29" s="2" t="s">
        <v>1267</v>
      </c>
      <c r="B29" s="2" t="s">
        <v>336</v>
      </c>
      <c r="C29" s="2">
        <f>IFERROR(50+VLOOKUP($A29,'SegEnds_Xtal_Prot#'!$A:$AY,5,FALSE)-VLOOKUP($B29,'SegEnds_NonXtal_Prot#'!$A:$AL,4,FALSE),"-")</f>
        <v>30</v>
      </c>
      <c r="D29" s="2">
        <f>IFERROR(50+VLOOKUP($A29,'SegEnds_Xtal_Prot#'!$A:$AY,7,FALSE)-VLOOKUP($B29,'SegEnds_NonXtal_Prot#'!$A:$AL,4,FALSE),"-")</f>
        <v>60</v>
      </c>
      <c r="E29" s="2">
        <f>IFERROR(50+VLOOKUP($A29,'SegEnds_Xtal_Prot#'!$A:$AY,9,FALSE)-VLOOKUP($B29,'SegEnds_NonXtal_Prot#'!$A:$AL,7,FALSE),"-")</f>
        <v>48</v>
      </c>
      <c r="F29" s="2">
        <f>IFERROR(50+VLOOKUP($A29,'SegEnds_Xtal_Prot#'!$A:$AY,11,FALSE)-VLOOKUP($B29,'SegEnds_NonXtal_Prot#'!$A:$AL,7,FALSE),"-")</f>
        <v>51</v>
      </c>
      <c r="G29" s="2">
        <f>IFERROR(50+VLOOKUP($A29,'SegEnds_Xtal_Prot#'!$A:$AY,13,FALSE)-VLOOKUP($B29,'SegEnds_NonXtal_Prot#'!$A:$AL,10,FALSE),"-")</f>
        <v>37</v>
      </c>
      <c r="H29" s="2">
        <f>IFERROR(50+VLOOKUP($A29,'SegEnds_Xtal_Prot#'!$A:$AY,15,FALSE)-VLOOKUP($B29,'SegEnds_NonXtal_Prot#'!$A:$AL,10,FALSE),"-")</f>
        <v>66</v>
      </c>
      <c r="I29" s="2">
        <f>IFERROR(50+VLOOKUP($A29,'SegEnds_Xtal_Prot#'!$A:$AY,17,FALSE)-VLOOKUP($B29,'SegEnds_NonXtal_Prot#'!$A:$AL,13,FALSE),"-")</f>
        <v>49</v>
      </c>
      <c r="J29" s="2">
        <f>IFERROR(50+VLOOKUP($A29,'SegEnds_Xtal_Prot#'!$A:$AY,19,FALSE)-VLOOKUP($B29,'SegEnds_NonXtal_Prot#'!$A:$AL,13,FALSE),"-")</f>
        <v>52</v>
      </c>
      <c r="K29" s="2">
        <f>IFERROR(50+VLOOKUP($A29,'SegEnds_Xtal_Prot#'!$A:$AY,21,FALSE)-VLOOKUP($B29,'SegEnds_NonXtal_Prot#'!$A:$AL,16,FALSE),"-")</f>
        <v>21</v>
      </c>
      <c r="L29" s="2">
        <f>IFERROR(50+VLOOKUP($A29,'SegEnds_Xtal_Prot#'!$A:$AY,23,FALSE)-VLOOKUP($B29,'SegEnds_NonXtal_Prot#'!$A:$AL,16,FALSE),"-")</f>
        <v>56</v>
      </c>
      <c r="M29" s="2">
        <f>IFERROR(50+VLOOKUP($A29,'SegEnds_Xtal_Prot#'!$A:$AY,25,FALSE)-VLOOKUP($B29,'SegEnds_NonXtal_Prot#'!$A:$AL,19,FALSE),"-")</f>
        <v>50</v>
      </c>
      <c r="N29" s="2">
        <f>IFERROR(50+VLOOKUP($A29,'SegEnds_Xtal_Prot#'!$A:$AY,27,FALSE)-VLOOKUP($B29,'SegEnds_NonXtal_Prot#'!$A:$AL,19,FALSE),"-")</f>
        <v>57</v>
      </c>
      <c r="O29" s="2">
        <f>IFERROR(50+VLOOKUP($A29,'SegEnds_Xtal_Prot#'!$A:$AY,29,FALSE)-VLOOKUP($B29,'SegEnds_NonXtal_Prot#'!$A:$AL,22,FALSE),"-")</f>
        <v>38</v>
      </c>
      <c r="P29" s="2">
        <f>IFERROR(50+VLOOKUP($A29,'SegEnds_Xtal_Prot#'!$A:$AY,31,FALSE)-VLOOKUP($B29,'SegEnds_NonXtal_Prot#'!$A:$AL,22,FALSE),"-")</f>
        <v>64</v>
      </c>
      <c r="Q29" s="2">
        <f>IFERROR(50+VLOOKUP($A29,'SegEnds_Xtal_Prot#'!$A:$AY,33,FALSE)-VLOOKUP($B29,'SegEnds_NonXtal_Prot#'!$A:$AL,25,FALSE),"-")</f>
        <v>50</v>
      </c>
      <c r="R29" s="2">
        <f>IFERROR(50+VLOOKUP($A29,'SegEnds_Xtal_Prot#'!$A:$AY,35,FALSE)-VLOOKUP($B29,'SegEnds_NonXtal_Prot#'!$A:$AL,25,FALSE),"-")</f>
        <v>52</v>
      </c>
      <c r="S29" s="2">
        <f>IFERROR(50+VLOOKUP($A29,'SegEnds_Xtal_Prot#'!$A:$AY,37,FALSE)-VLOOKUP($B29,'SegEnds_NonXtal_Prot#'!$A:$AL,28,FALSE),"-")</f>
        <v>31</v>
      </c>
      <c r="T29" s="2">
        <f>IFERROR(50+VLOOKUP($A29,'SegEnds_Xtal_Prot#'!$A:$AY,39,FALSE)-VLOOKUP($B29,'SegEnds_NonXtal_Prot#'!$A:$AL,28,FALSE),"-")</f>
        <v>68</v>
      </c>
      <c r="U29" s="2">
        <f>IFERROR(50+VLOOKUP($A29,'SegEnds_Xtal_Prot#'!$A:$AY,41,FALSE)-VLOOKUP($B29,'SegEnds_NonXtal_Prot#'!$A:$AL,31,FALSE),"-")</f>
        <v>23</v>
      </c>
      <c r="V29" s="2">
        <f>IFERROR(50+VLOOKUP($A29,'SegEnds_Xtal_Prot#'!$A:$AY,43,FALSE)-VLOOKUP($B29,'SegEnds_NonXtal_Prot#'!$A:$AL,31,FALSE),"-")</f>
        <v>61</v>
      </c>
      <c r="W29" s="2">
        <f>IFERROR(50+VLOOKUP($A29,'SegEnds_Xtal_Prot#'!$A:$AY,45,FALSE)-VLOOKUP($B29,'SegEnds_NonXtal_Prot#'!$A:$AL,34,FALSE),"-")</f>
        <v>28</v>
      </c>
      <c r="X29" s="2">
        <f>IFERROR(50+VLOOKUP($A29,'SegEnds_Xtal_Prot#'!$A:$AY,47,FALSE)-VLOOKUP($B29,'SegEnds_NonXtal_Prot#'!$A:$AL,34,FALSE),"-")</f>
        <v>56</v>
      </c>
      <c r="Y29" s="2">
        <f>IFERROR(50+VLOOKUP($A29,'SegEnds_Xtal_Prot#'!$A:$AY,49,FALSE)-VLOOKUP($B29,'SegEnds_NonXtal_Prot#'!$A:$AL,37,FALSE),"-")</f>
        <v>47</v>
      </c>
      <c r="Z29" s="2">
        <f>IFERROR(50+VLOOKUP($A29,'SegEnds_Xtal_Prot#'!$A:$AY,51,FALSE)-VLOOKUP($B29,'SegEnds_NonXtal_Prot#'!$A:$AL,37,FALSE),"-")</f>
        <v>59</v>
      </c>
      <c r="AA29" s="50" t="str">
        <f>VLOOKUP(B29,Classification!A:D,2,FALSE)</f>
        <v>A</v>
      </c>
      <c r="AB29" s="97" t="str">
        <f>VLOOKUP(B29,Classification!A:D,4,0)</f>
        <v>Opioid</v>
      </c>
      <c r="AC29" s="50">
        <f>VLOOKUP(B29,'SegEnds_NonXtal_Prot#'!A:AL,6,FALSE)-VLOOKUP(B29,'SegEnds_NonXtal_Prot#'!A:AL,5,FALSE)</f>
        <v>1</v>
      </c>
      <c r="AD29" s="50">
        <f>VLOOKUP(B29,'SegEnds_NonXtal_Prot#'!A:AL,9,FALSE)-VLOOKUP(B29,'SegEnds_NonXtal_Prot#'!A:AL,8,FALSE)</f>
        <v>1</v>
      </c>
      <c r="AE29" s="50">
        <f>VLOOKUP(B29,'SegEnds_NonXtal_Prot#'!A:AL,13,FALSE)-VLOOKUP(B29,'SegEnds_NonXtal_Prot#'!A:AL,10,FALSE)</f>
        <v>19</v>
      </c>
      <c r="AF29" s="50">
        <f>VLOOKUP(B29,'SegEnds_NonXtal_Prot#'!A:AL,12,FALSE)-VLOOKUP(B29,'SegEnds_NonXtal_Prot#'!A:AL,11,FALSE)</f>
        <v>2</v>
      </c>
      <c r="AG29" s="50">
        <f>VLOOKUP(B29,'SegEnds_NonXtal_Prot#'!A:AL,13,FALSE)-VLOOKUP(B29,'SegEnds_NonXtal_Prot#'!A:AL,11,FALSE)</f>
        <v>3</v>
      </c>
      <c r="AH29" s="50">
        <f>VLOOKUP(B29,'SegEnds_NonXtal_Prot#'!A:AL,16,FALSE)-VLOOKUP(B29,'SegEnds_NonXtal_Prot#'!A:AL,10,FALSE)</f>
        <v>51</v>
      </c>
      <c r="AI29" s="50">
        <f>VLOOKUP(B29,'SegEnds_NonXtal_Prot#'!A:AL,16,FALSE)-VLOOKUP(B29,'SegEnds_NonXtal_Prot#'!A:AL,11,FALSE)</f>
        <v>35</v>
      </c>
      <c r="AJ29" s="50">
        <f>VLOOKUP(B29,'SegEnds_NonXtal_Prot#'!A:AL,22,FALSE)-VLOOKUP(B29,'SegEnds_NonXtal_Prot#'!A:AL,19,FALSE)</f>
        <v>20</v>
      </c>
      <c r="AK29" s="50">
        <f>VLOOKUP(B29,'SegEnds_NonXtal_Prot#'!A:AL,15,FALSE)-VLOOKUP(B29,'SegEnds_NonXtal_Prot#'!A:AL,14,FALSE)</f>
        <v>1</v>
      </c>
      <c r="AL29" s="50">
        <f>VLOOKUP(B29,'SegEnds_NonXtal_Prot#'!A:AL,18,FALSE)-VLOOKUP(B29,'SegEnds_NonXtal_Prot#'!A:AL,17,FALSE)</f>
        <v>1</v>
      </c>
      <c r="AM29" s="2">
        <f>VLOOKUP(B29,'SegEnds_NonXtal_Prot#'!A:AL,34,FALSE)-VLOOKUP(B29,'SegEnds_NonXtal_Prot#'!A:AL,31,FALSE)</f>
        <v>38</v>
      </c>
      <c r="AN29" s="38"/>
    </row>
    <row r="30" spans="1:64" s="2" customFormat="1" x14ac:dyDescent="0.2">
      <c r="A30" s="2" t="s">
        <v>1269</v>
      </c>
      <c r="B30" s="2" t="s">
        <v>1174</v>
      </c>
      <c r="C30" s="2">
        <f>IFERROR(50+VLOOKUP($A30,'SegEnds_Xtal_Prot#'!$A:$AY,5,FALSE)-VLOOKUP($B30,'SegEnds_NonXtal_Prot#'!$A:$AL,4,FALSE),"-")</f>
        <v>29</v>
      </c>
      <c r="D30" s="2">
        <f>IFERROR(50+VLOOKUP($A30,'SegEnds_Xtal_Prot#'!$A:$AY,7,FALSE)-VLOOKUP($B30,'SegEnds_NonXtal_Prot#'!$A:$AL,4,FALSE),"-")</f>
        <v>60</v>
      </c>
      <c r="E30" s="2">
        <f>IFERROR(50+VLOOKUP($A30,'SegEnds_Xtal_Prot#'!$A:$AY,9,FALSE)-VLOOKUP($B30,'SegEnds_NonXtal_Prot#'!$A:$AL,7,FALSE),"-")</f>
        <v>48</v>
      </c>
      <c r="F30" s="2">
        <f>IFERROR(50+VLOOKUP($A30,'SegEnds_Xtal_Prot#'!$A:$AY,11,FALSE)-VLOOKUP($B30,'SegEnds_NonXtal_Prot#'!$A:$AL,7,FALSE),"-")</f>
        <v>51</v>
      </c>
      <c r="G30" s="2">
        <f>IFERROR(50+VLOOKUP($A30,'SegEnds_Xtal_Prot#'!$A:$AY,13,FALSE)-VLOOKUP($B30,'SegEnds_NonXtal_Prot#'!$A:$AL,10,FALSE),"-")</f>
        <v>37</v>
      </c>
      <c r="H30" s="2">
        <f>IFERROR(50+VLOOKUP($A30,'SegEnds_Xtal_Prot#'!$A:$AY,15,FALSE)-VLOOKUP($B30,'SegEnds_NonXtal_Prot#'!$A:$AL,10,FALSE),"-")</f>
        <v>66</v>
      </c>
      <c r="I30" s="2">
        <f>IFERROR(50+VLOOKUP($A30,'SegEnds_Xtal_Prot#'!$A:$AY,17,FALSE)-VLOOKUP($B30,'SegEnds_NonXtal_Prot#'!$A:$AL,13,FALSE),"-")</f>
        <v>49</v>
      </c>
      <c r="J30" s="2">
        <f>IFERROR(50+VLOOKUP($A30,'SegEnds_Xtal_Prot#'!$A:$AY,19,FALSE)-VLOOKUP($B30,'SegEnds_NonXtal_Prot#'!$A:$AL,13,FALSE),"-")</f>
        <v>52</v>
      </c>
      <c r="K30" s="2">
        <f>IFERROR(50+VLOOKUP($A30,'SegEnds_Xtal_Prot#'!$A:$AY,21,FALSE)-VLOOKUP($B30,'SegEnds_NonXtal_Prot#'!$A:$AL,16,FALSE),"-")</f>
        <v>21</v>
      </c>
      <c r="L30" s="2">
        <f>IFERROR(50+VLOOKUP($A30,'SegEnds_Xtal_Prot#'!$A:$AY,23,FALSE)-VLOOKUP($B30,'SegEnds_NonXtal_Prot#'!$A:$AL,16,FALSE),"-")</f>
        <v>56</v>
      </c>
      <c r="M30" s="2">
        <f>IFERROR(50+VLOOKUP($A30,'SegEnds_Xtal_Prot#'!$A:$AY,25,FALSE)-VLOOKUP($B30,'SegEnds_NonXtal_Prot#'!$A:$AL,19,FALSE),"-")</f>
        <v>50</v>
      </c>
      <c r="N30" s="2">
        <f>IFERROR(50+VLOOKUP($A30,'SegEnds_Xtal_Prot#'!$A:$AY,27,FALSE)-VLOOKUP($B30,'SegEnds_NonXtal_Prot#'!$A:$AL,19,FALSE),"-")</f>
        <v>57</v>
      </c>
      <c r="O30" s="2">
        <f>IFERROR(50+VLOOKUP($A30,'SegEnds_Xtal_Prot#'!$A:$AY,29,FALSE)-VLOOKUP($B30,'SegEnds_NonXtal_Prot#'!$A:$AL,22,FALSE),"-")</f>
        <v>38</v>
      </c>
      <c r="P30" s="2">
        <f>IFERROR(50+VLOOKUP($A30,'SegEnds_Xtal_Prot#'!$A:$AY,31,FALSE)-VLOOKUP($B30,'SegEnds_NonXtal_Prot#'!$A:$AL,22,FALSE),"-")</f>
        <v>64</v>
      </c>
      <c r="Q30" s="2">
        <f>IFERROR(50+VLOOKUP($A30,'SegEnds_Xtal_Prot#'!$A:$AY,33,FALSE)-VLOOKUP($B30,'SegEnds_NonXtal_Prot#'!$A:$AL,25,FALSE),"-")</f>
        <v>50</v>
      </c>
      <c r="R30" s="2">
        <f>IFERROR(50+VLOOKUP($A30,'SegEnds_Xtal_Prot#'!$A:$AY,35,FALSE)-VLOOKUP($B30,'SegEnds_NonXtal_Prot#'!$A:$AL,25,FALSE),"-")</f>
        <v>52</v>
      </c>
      <c r="S30" s="2">
        <f>IFERROR(50+VLOOKUP($A30,'SegEnds_Xtal_Prot#'!$A:$AY,37,FALSE)-VLOOKUP($B30,'SegEnds_NonXtal_Prot#'!$A:$AL,28,FALSE),"-")</f>
        <v>31</v>
      </c>
      <c r="T30" s="2">
        <f>IFERROR(50+VLOOKUP($A30,'SegEnds_Xtal_Prot#'!$A:$AY,39,FALSE)-VLOOKUP($B30,'SegEnds_NonXtal_Prot#'!$A:$AL,28,FALSE),"-")</f>
        <v>68</v>
      </c>
      <c r="U30" s="2">
        <f>IFERROR(50+VLOOKUP($A30,'SegEnds_Xtal_Prot#'!$A:$AY,41,FALSE)-VLOOKUP($B30,'SegEnds_NonXtal_Prot#'!$A:$AL,31,FALSE),"-")</f>
        <v>23</v>
      </c>
      <c r="V30" s="2">
        <f>IFERROR(50+VLOOKUP($A30,'SegEnds_Xtal_Prot#'!$A:$AY,43,FALSE)-VLOOKUP($B30,'SegEnds_NonXtal_Prot#'!$A:$AL,31,FALSE),"-")</f>
        <v>61</v>
      </c>
      <c r="W30" s="2">
        <f>IFERROR(50+VLOOKUP($A30,'SegEnds_Xtal_Prot#'!$A:$AY,45,FALSE)-VLOOKUP($B30,'SegEnds_NonXtal_Prot#'!$A:$AL,34,FALSE),"-")</f>
        <v>28</v>
      </c>
      <c r="X30" s="2">
        <f>IFERROR(50+VLOOKUP($A30,'SegEnds_Xtal_Prot#'!$A:$AY,47,FALSE)-VLOOKUP($B30,'SegEnds_NonXtal_Prot#'!$A:$AL,34,FALSE),"-")</f>
        <v>56</v>
      </c>
      <c r="Y30" s="2">
        <f>IFERROR(50+VLOOKUP($A30,'SegEnds_Xtal_Prot#'!$A:$AY,49,FALSE)-VLOOKUP($B30,'SegEnds_NonXtal_Prot#'!$A:$AL,37,FALSE),"-")</f>
        <v>47</v>
      </c>
      <c r="Z30" s="2">
        <f>IFERROR(50+VLOOKUP($A30,'SegEnds_Xtal_Prot#'!$A:$AY,51,FALSE)-VLOOKUP($B30,'SegEnds_NonXtal_Prot#'!$A:$AL,37,FALSE),"-")</f>
        <v>59</v>
      </c>
      <c r="AA30" s="50" t="str">
        <f>VLOOKUP(B30,Classification!A:D,2,FALSE)</f>
        <v>A</v>
      </c>
      <c r="AB30" s="97" t="str">
        <f>VLOOKUP(B30,Classification!A:D,4,0)</f>
        <v>Opioid</v>
      </c>
      <c r="AC30" s="50">
        <f>VLOOKUP(B30,'SegEnds_NonXtal_Prot#'!A:AL,6,FALSE)-VLOOKUP(B30,'SegEnds_NonXtal_Prot#'!A:AL,5,FALSE)</f>
        <v>1</v>
      </c>
      <c r="AD30" s="50">
        <f>VLOOKUP(B30,'SegEnds_NonXtal_Prot#'!A:AL,9,FALSE)-VLOOKUP(B30,'SegEnds_NonXtal_Prot#'!A:AL,8,FALSE)</f>
        <v>1</v>
      </c>
      <c r="AE30" s="50">
        <f>VLOOKUP(B30,'SegEnds_NonXtal_Prot#'!A:AL,13,FALSE)-VLOOKUP(B30,'SegEnds_NonXtal_Prot#'!A:AL,10,FALSE)</f>
        <v>19</v>
      </c>
      <c r="AF30" s="50">
        <f>VLOOKUP(B30,'SegEnds_NonXtal_Prot#'!A:AL,12,FALSE)-VLOOKUP(B30,'SegEnds_NonXtal_Prot#'!A:AL,11,FALSE)</f>
        <v>2</v>
      </c>
      <c r="AG30" s="50">
        <f>VLOOKUP(B30,'SegEnds_NonXtal_Prot#'!A:AL,13,FALSE)-VLOOKUP(B30,'SegEnds_NonXtal_Prot#'!A:AL,11,FALSE)</f>
        <v>3</v>
      </c>
      <c r="AH30" s="50">
        <f>VLOOKUP(B30,'SegEnds_NonXtal_Prot#'!A:AL,16,FALSE)-VLOOKUP(B30,'SegEnds_NonXtal_Prot#'!A:AL,10,FALSE)</f>
        <v>51</v>
      </c>
      <c r="AI30" s="50">
        <f>VLOOKUP(B30,'SegEnds_NonXtal_Prot#'!A:AL,16,FALSE)-VLOOKUP(B30,'SegEnds_NonXtal_Prot#'!A:AL,11,FALSE)</f>
        <v>35</v>
      </c>
      <c r="AJ30" s="50">
        <f>VLOOKUP(B30,'SegEnds_NonXtal_Prot#'!A:AL,22,FALSE)-VLOOKUP(B30,'SegEnds_NonXtal_Prot#'!A:AL,19,FALSE)</f>
        <v>20</v>
      </c>
      <c r="AK30" s="50">
        <f>VLOOKUP(B30,'SegEnds_NonXtal_Prot#'!A:AL,15,FALSE)-VLOOKUP(B30,'SegEnds_NonXtal_Prot#'!A:AL,14,FALSE)</f>
        <v>1</v>
      </c>
      <c r="AL30" s="50">
        <f>VLOOKUP(B30,'SegEnds_NonXtal_Prot#'!A:AL,18,FALSE)-VLOOKUP(B30,'SegEnds_NonXtal_Prot#'!A:AL,17,FALSE)</f>
        <v>1</v>
      </c>
      <c r="AM30" s="2">
        <f>VLOOKUP(B30,'SegEnds_NonXtal_Prot#'!A:AL,34,FALSE)-VLOOKUP(B30,'SegEnds_NonXtal_Prot#'!A:AL,31,FALSE)</f>
        <v>38</v>
      </c>
      <c r="AN30" s="38"/>
    </row>
    <row r="31" spans="1:64" s="2" customFormat="1" x14ac:dyDescent="0.2">
      <c r="A31" s="2" t="s">
        <v>1268</v>
      </c>
      <c r="B31" s="2" t="s">
        <v>918</v>
      </c>
      <c r="C31" s="2">
        <f>IFERROR(50+VLOOKUP($A31,'SegEnds_Xtal_Prot#'!$A:$AY,5,FALSE)-VLOOKUP($B31,'SegEnds_NonXtal_Prot#'!$A:$AL,4,FALSE),"-")</f>
        <v>29</v>
      </c>
      <c r="D31" s="2">
        <f>IFERROR(50+VLOOKUP($A31,'SegEnds_Xtal_Prot#'!$A:$AY,7,FALSE)-VLOOKUP($B31,'SegEnds_NonXtal_Prot#'!$A:$AL,4,FALSE),"-")</f>
        <v>60</v>
      </c>
      <c r="E31" s="2">
        <f>IFERROR(50+VLOOKUP($A31,'SegEnds_Xtal_Prot#'!$A:$AY,9,FALSE)-VLOOKUP($B31,'SegEnds_NonXtal_Prot#'!$A:$AL,7,FALSE),"-")</f>
        <v>48</v>
      </c>
      <c r="F31" s="2">
        <f>IFERROR(50+VLOOKUP($A31,'SegEnds_Xtal_Prot#'!$A:$AY,11,FALSE)-VLOOKUP($B31,'SegEnds_NonXtal_Prot#'!$A:$AL,7,FALSE),"-")</f>
        <v>51</v>
      </c>
      <c r="G31" s="2">
        <f>IFERROR(50+VLOOKUP($A31,'SegEnds_Xtal_Prot#'!$A:$AY,13,FALSE)-VLOOKUP($B31,'SegEnds_NonXtal_Prot#'!$A:$AL,10,FALSE),"-")</f>
        <v>37</v>
      </c>
      <c r="H31" s="2">
        <f>IFERROR(50+VLOOKUP($A31,'SegEnds_Xtal_Prot#'!$A:$AY,15,FALSE)-VLOOKUP($B31,'SegEnds_NonXtal_Prot#'!$A:$AL,10,FALSE),"-")</f>
        <v>66</v>
      </c>
      <c r="I31" s="2">
        <f>IFERROR(50+VLOOKUP($A31,'SegEnds_Xtal_Prot#'!$A:$AY,17,FALSE)-VLOOKUP($B31,'SegEnds_NonXtal_Prot#'!$A:$AL,13,FALSE),"-")</f>
        <v>49</v>
      </c>
      <c r="J31" s="2">
        <f>IFERROR(50+VLOOKUP($A31,'SegEnds_Xtal_Prot#'!$A:$AY,19,FALSE)-VLOOKUP($B31,'SegEnds_NonXtal_Prot#'!$A:$AL,13,FALSE),"-")</f>
        <v>52</v>
      </c>
      <c r="K31" s="2">
        <f>IFERROR(50+VLOOKUP($A31,'SegEnds_Xtal_Prot#'!$A:$AY,21,FALSE)-VLOOKUP($B31,'SegEnds_NonXtal_Prot#'!$A:$AL,16,FALSE),"-")</f>
        <v>21</v>
      </c>
      <c r="L31" s="2">
        <f>IFERROR(50+VLOOKUP($A31,'SegEnds_Xtal_Prot#'!$A:$AY,23,FALSE)-VLOOKUP($B31,'SegEnds_NonXtal_Prot#'!$A:$AL,16,FALSE),"-")</f>
        <v>56</v>
      </c>
      <c r="M31" s="2">
        <f>IFERROR(50+VLOOKUP($A31,'SegEnds_Xtal_Prot#'!$A:$AY,25,FALSE)-VLOOKUP($B31,'SegEnds_NonXtal_Prot#'!$A:$AL,19,FALSE),"-")</f>
        <v>50</v>
      </c>
      <c r="N31" s="2">
        <f>IFERROR(50+VLOOKUP($A31,'SegEnds_Xtal_Prot#'!$A:$AY,27,FALSE)-VLOOKUP($B31,'SegEnds_NonXtal_Prot#'!$A:$AL,19,FALSE),"-")</f>
        <v>57</v>
      </c>
      <c r="O31" s="2">
        <f>IFERROR(50+VLOOKUP($A31,'SegEnds_Xtal_Prot#'!$A:$AY,29,FALSE)-VLOOKUP($B31,'SegEnds_NonXtal_Prot#'!$A:$AL,22,FALSE),"-")</f>
        <v>38</v>
      </c>
      <c r="P31" s="2">
        <f>IFERROR(50+VLOOKUP($A31,'SegEnds_Xtal_Prot#'!$A:$AY,31,FALSE)-VLOOKUP($B31,'SegEnds_NonXtal_Prot#'!$A:$AL,22,FALSE),"-")</f>
        <v>64</v>
      </c>
      <c r="Q31" s="2">
        <f>IFERROR(50+VLOOKUP($A31,'SegEnds_Xtal_Prot#'!$A:$AY,33,FALSE)-VLOOKUP($B31,'SegEnds_NonXtal_Prot#'!$A:$AL,25,FALSE),"-")</f>
        <v>50</v>
      </c>
      <c r="R31" s="2">
        <f>IFERROR(50+VLOOKUP($A31,'SegEnds_Xtal_Prot#'!$A:$AY,35,FALSE)-VLOOKUP($B31,'SegEnds_NonXtal_Prot#'!$A:$AL,25,FALSE),"-")</f>
        <v>52</v>
      </c>
      <c r="S31" s="2">
        <f>IFERROR(50+VLOOKUP($A31,'SegEnds_Xtal_Prot#'!$A:$AY,37,FALSE)-VLOOKUP($B31,'SegEnds_NonXtal_Prot#'!$A:$AL,28,FALSE),"-")</f>
        <v>31</v>
      </c>
      <c r="T31" s="2">
        <f>IFERROR(50+VLOOKUP($A31,'SegEnds_Xtal_Prot#'!$A:$AY,39,FALSE)-VLOOKUP($B31,'SegEnds_NonXtal_Prot#'!$A:$AL,28,FALSE),"-")</f>
        <v>68</v>
      </c>
      <c r="U31" s="2">
        <f>IFERROR(50+VLOOKUP($A31,'SegEnds_Xtal_Prot#'!$A:$AY,41,FALSE)-VLOOKUP($B31,'SegEnds_NonXtal_Prot#'!$A:$AL,31,FALSE),"-")</f>
        <v>23</v>
      </c>
      <c r="V31" s="2">
        <f>IFERROR(50+VLOOKUP($A31,'SegEnds_Xtal_Prot#'!$A:$AY,43,FALSE)-VLOOKUP($B31,'SegEnds_NonXtal_Prot#'!$A:$AL,31,FALSE),"-")</f>
        <v>61</v>
      </c>
      <c r="W31" s="2">
        <f>IFERROR(50+VLOOKUP($A31,'SegEnds_Xtal_Prot#'!$A:$AY,45,FALSE)-VLOOKUP($B31,'SegEnds_NonXtal_Prot#'!$A:$AL,34,FALSE),"-")</f>
        <v>28</v>
      </c>
      <c r="X31" s="2">
        <f>IFERROR(50+VLOOKUP($A31,'SegEnds_Xtal_Prot#'!$A:$AY,47,FALSE)-VLOOKUP($B31,'SegEnds_NonXtal_Prot#'!$A:$AL,34,FALSE),"-")</f>
        <v>56</v>
      </c>
      <c r="Y31" s="2">
        <f>IFERROR(50+VLOOKUP($A31,'SegEnds_Xtal_Prot#'!$A:$AY,49,FALSE)-VLOOKUP($B31,'SegEnds_NonXtal_Prot#'!$A:$AL,37,FALSE),"-")</f>
        <v>47</v>
      </c>
      <c r="Z31" s="2">
        <f>IFERROR(50+VLOOKUP($A31,'SegEnds_Xtal_Prot#'!$A:$AY,51,FALSE)-VLOOKUP($B31,'SegEnds_NonXtal_Prot#'!$A:$AL,37,FALSE),"-")</f>
        <v>59</v>
      </c>
      <c r="AA31" s="50" t="str">
        <f>VLOOKUP(B31,Classification!A:D,2,FALSE)</f>
        <v>A</v>
      </c>
      <c r="AB31" s="97" t="str">
        <f>VLOOKUP(B31,Classification!A:D,4,0)</f>
        <v>Opioid</v>
      </c>
      <c r="AC31" s="50">
        <f>VLOOKUP(B31,'SegEnds_NonXtal_Prot#'!A:AL,6,FALSE)-VLOOKUP(B31,'SegEnds_NonXtal_Prot#'!A:AL,5,FALSE)</f>
        <v>1</v>
      </c>
      <c r="AD31" s="50">
        <f>VLOOKUP(B31,'SegEnds_NonXtal_Prot#'!A:AL,9,FALSE)-VLOOKUP(B31,'SegEnds_NonXtal_Prot#'!A:AL,8,FALSE)</f>
        <v>1</v>
      </c>
      <c r="AE31" s="50">
        <f>VLOOKUP(B31,'SegEnds_NonXtal_Prot#'!A:AL,13,FALSE)-VLOOKUP(B31,'SegEnds_NonXtal_Prot#'!A:AL,10,FALSE)</f>
        <v>19</v>
      </c>
      <c r="AF31" s="50">
        <f>VLOOKUP(B31,'SegEnds_NonXtal_Prot#'!A:AL,12,FALSE)-VLOOKUP(B31,'SegEnds_NonXtal_Prot#'!A:AL,11,FALSE)</f>
        <v>2</v>
      </c>
      <c r="AG31" s="50">
        <f>VLOOKUP(B31,'SegEnds_NonXtal_Prot#'!A:AL,13,FALSE)-VLOOKUP(B31,'SegEnds_NonXtal_Prot#'!A:AL,11,FALSE)</f>
        <v>3</v>
      </c>
      <c r="AH31" s="50">
        <f>VLOOKUP(B31,'SegEnds_NonXtal_Prot#'!A:AL,16,FALSE)-VLOOKUP(B31,'SegEnds_NonXtal_Prot#'!A:AL,10,FALSE)</f>
        <v>51</v>
      </c>
      <c r="AI31" s="50">
        <f>VLOOKUP(B31,'SegEnds_NonXtal_Prot#'!A:AL,16,FALSE)-VLOOKUP(B31,'SegEnds_NonXtal_Prot#'!A:AL,11,FALSE)</f>
        <v>35</v>
      </c>
      <c r="AJ31" s="50">
        <f>VLOOKUP(B31,'SegEnds_NonXtal_Prot#'!A:AL,22,FALSE)-VLOOKUP(B31,'SegEnds_NonXtal_Prot#'!A:AL,19,FALSE)</f>
        <v>20</v>
      </c>
      <c r="AK31" s="50">
        <f>VLOOKUP(B31,'SegEnds_NonXtal_Prot#'!A:AL,15,FALSE)-VLOOKUP(B31,'SegEnds_NonXtal_Prot#'!A:AL,14,FALSE)</f>
        <v>1</v>
      </c>
      <c r="AL31" s="50">
        <f>VLOOKUP(B31,'SegEnds_NonXtal_Prot#'!A:AL,18,FALSE)-VLOOKUP(B31,'SegEnds_NonXtal_Prot#'!A:AL,17,FALSE)</f>
        <v>1</v>
      </c>
      <c r="AM31" s="2">
        <f>VLOOKUP(B31,'SegEnds_NonXtal_Prot#'!A:AL,34,FALSE)-VLOOKUP(B31,'SegEnds_NonXtal_Prot#'!A:AL,31,FALSE)</f>
        <v>38</v>
      </c>
      <c r="AN31" s="38"/>
    </row>
    <row r="32" spans="1:64" s="2" customFormat="1" x14ac:dyDescent="0.2">
      <c r="A32" s="2" t="s">
        <v>1265</v>
      </c>
      <c r="B32" s="2" t="s">
        <v>335</v>
      </c>
      <c r="C32" s="2">
        <f>IFERROR(50+VLOOKUP($A32,'SegEnds_Xtal_Prot#'!$A:$AY,5,FALSE)-VLOOKUP($B32,'SegEnds_NonXtal_Prot#'!$A:$AL,4,FALSE),"-")</f>
        <v>22</v>
      </c>
      <c r="D32" s="2">
        <f>IFERROR(50+VLOOKUP($A32,'SegEnds_Xtal_Prot#'!$A:$AY,7,FALSE)-VLOOKUP($B32,'SegEnds_NonXtal_Prot#'!$A:$AL,4,FALSE),"-")</f>
        <v>60</v>
      </c>
      <c r="E32" s="2">
        <f>IFERROR(50+VLOOKUP($A32,'SegEnds_Xtal_Prot#'!$A:$AY,9,FALSE)-VLOOKUP($B32,'SegEnds_NonXtal_Prot#'!$A:$AL,7,FALSE),"-")</f>
        <v>48</v>
      </c>
      <c r="F32" s="2">
        <f>IFERROR(50+VLOOKUP($A32,'SegEnds_Xtal_Prot#'!$A:$AY,11,FALSE)-VLOOKUP($B32,'SegEnds_NonXtal_Prot#'!$A:$AL,7,FALSE),"-")</f>
        <v>51</v>
      </c>
      <c r="G32" s="2">
        <f>IFERROR(50+VLOOKUP($A32,'SegEnds_Xtal_Prot#'!$A:$AY,13,FALSE)-VLOOKUP($B32,'SegEnds_NonXtal_Prot#'!$A:$AL,10,FALSE),"-")</f>
        <v>37</v>
      </c>
      <c r="H32" s="2">
        <f>IFERROR(50+VLOOKUP($A32,'SegEnds_Xtal_Prot#'!$A:$AY,15,FALSE)-VLOOKUP($B32,'SegEnds_NonXtal_Prot#'!$A:$AL,10,FALSE),"-")</f>
        <v>66</v>
      </c>
      <c r="I32" s="2">
        <f>IFERROR(50+VLOOKUP($A32,'SegEnds_Xtal_Prot#'!$A:$AY,17,FALSE)-VLOOKUP($B32,'SegEnds_NonXtal_Prot#'!$A:$AL,13,FALSE),"-")</f>
        <v>49</v>
      </c>
      <c r="J32" s="2">
        <f>IFERROR(50+VLOOKUP($A32,'SegEnds_Xtal_Prot#'!$A:$AY,19,FALSE)-VLOOKUP($B32,'SegEnds_NonXtal_Prot#'!$A:$AL,13,FALSE),"-")</f>
        <v>52</v>
      </c>
      <c r="K32" s="2">
        <f>IFERROR(50+VLOOKUP($A32,'SegEnds_Xtal_Prot#'!$A:$AY,21,FALSE)-VLOOKUP($B32,'SegEnds_NonXtal_Prot#'!$A:$AL,16,FALSE),"-")</f>
        <v>21</v>
      </c>
      <c r="L32" s="2">
        <f>IFERROR(50+VLOOKUP($A32,'SegEnds_Xtal_Prot#'!$A:$AY,23,FALSE)-VLOOKUP($B32,'SegEnds_NonXtal_Prot#'!$A:$AL,16,FALSE),"-")</f>
        <v>56</v>
      </c>
      <c r="M32" s="2">
        <f>IFERROR(50+VLOOKUP($A32,'SegEnds_Xtal_Prot#'!$A:$AY,25,FALSE)-VLOOKUP($B32,'SegEnds_NonXtal_Prot#'!$A:$AL,19,FALSE),"-")</f>
        <v>50</v>
      </c>
      <c r="N32" s="2">
        <f>IFERROR(50+VLOOKUP($A32,'SegEnds_Xtal_Prot#'!$A:$AY,27,FALSE)-VLOOKUP($B32,'SegEnds_NonXtal_Prot#'!$A:$AL,19,FALSE),"-")</f>
        <v>57</v>
      </c>
      <c r="O32" s="2">
        <f>IFERROR(50+VLOOKUP($A32,'SegEnds_Xtal_Prot#'!$A:$AY,29,FALSE)-VLOOKUP($B32,'SegEnds_NonXtal_Prot#'!$A:$AL,22,FALSE),"-")</f>
        <v>38</v>
      </c>
      <c r="P32" s="2">
        <f>IFERROR(50+VLOOKUP($A32,'SegEnds_Xtal_Prot#'!$A:$AY,31,FALSE)-VLOOKUP($B32,'SegEnds_NonXtal_Prot#'!$A:$AL,22,FALSE),"-")</f>
        <v>64</v>
      </c>
      <c r="Q32" s="2">
        <f>IFERROR(50+VLOOKUP($A32,'SegEnds_Xtal_Prot#'!$A:$AY,33,FALSE)-VLOOKUP($B32,'SegEnds_NonXtal_Prot#'!$A:$AL,25,FALSE),"-")</f>
        <v>50</v>
      </c>
      <c r="R32" s="2">
        <f>IFERROR(50+VLOOKUP($A32,'SegEnds_Xtal_Prot#'!$A:$AY,35,FALSE)-VLOOKUP($B32,'SegEnds_NonXtal_Prot#'!$A:$AL,25,FALSE),"-")</f>
        <v>52</v>
      </c>
      <c r="S32" s="2">
        <f>IFERROR(50+VLOOKUP($A32,'SegEnds_Xtal_Prot#'!$A:$AY,37,FALSE)-VLOOKUP($B32,'SegEnds_NonXtal_Prot#'!$A:$AL,28,FALSE),"-")</f>
        <v>31</v>
      </c>
      <c r="T32" s="2">
        <f>IFERROR(50+VLOOKUP($A32,'SegEnds_Xtal_Prot#'!$A:$AY,39,FALSE)-VLOOKUP($B32,'SegEnds_NonXtal_Prot#'!$A:$AL,28,FALSE),"-")</f>
        <v>68</v>
      </c>
      <c r="U32" s="2">
        <f>IFERROR(50+VLOOKUP($A32,'SegEnds_Xtal_Prot#'!$A:$AY,41,FALSE)-VLOOKUP($B32,'SegEnds_NonXtal_Prot#'!$A:$AL,31,FALSE),"-")</f>
        <v>23</v>
      </c>
      <c r="V32" s="2">
        <f>IFERROR(50+VLOOKUP($A32,'SegEnds_Xtal_Prot#'!$A:$AY,43,FALSE)-VLOOKUP($B32,'SegEnds_NonXtal_Prot#'!$A:$AL,31,FALSE),"-")</f>
        <v>61</v>
      </c>
      <c r="W32" s="2">
        <f>IFERROR(50+VLOOKUP($A32,'SegEnds_Xtal_Prot#'!$A:$AY,45,FALSE)-VLOOKUP($B32,'SegEnds_NonXtal_Prot#'!$A:$AL,34,FALSE),"-")</f>
        <v>28</v>
      </c>
      <c r="X32" s="2">
        <f>IFERROR(50+VLOOKUP($A32,'SegEnds_Xtal_Prot#'!$A:$AY,47,FALSE)-VLOOKUP($B32,'SegEnds_NonXtal_Prot#'!$A:$AL,34,FALSE),"-")</f>
        <v>56</v>
      </c>
      <c r="Y32" s="2">
        <f>IFERROR(50+VLOOKUP($A32,'SegEnds_Xtal_Prot#'!$A:$AY,49,FALSE)-VLOOKUP($B32,'SegEnds_NonXtal_Prot#'!$A:$AL,37,FALSE),"-")</f>
        <v>47</v>
      </c>
      <c r="Z32" s="2">
        <f>IFERROR(50+VLOOKUP($A32,'SegEnds_Xtal_Prot#'!$A:$AY,51,FALSE)-VLOOKUP($B32,'SegEnds_NonXtal_Prot#'!$A:$AL,37,FALSE),"-")</f>
        <v>60</v>
      </c>
      <c r="AA32" s="50" t="str">
        <f>VLOOKUP(B32,Classification!A:D,2,FALSE)</f>
        <v>A</v>
      </c>
      <c r="AB32" s="97" t="str">
        <f>VLOOKUP(B32,Classification!A:D,4,0)</f>
        <v>Opioid</v>
      </c>
      <c r="AC32" s="50">
        <f>VLOOKUP(B32,'SegEnds_NonXtal_Prot#'!A:AL,6,FALSE)-VLOOKUP(B32,'SegEnds_NonXtal_Prot#'!A:AL,5,FALSE)</f>
        <v>1</v>
      </c>
      <c r="AD32" s="50">
        <f>VLOOKUP(B32,'SegEnds_NonXtal_Prot#'!A:AL,9,FALSE)-VLOOKUP(B32,'SegEnds_NonXtal_Prot#'!A:AL,8,FALSE)</f>
        <v>1</v>
      </c>
      <c r="AE32" s="50">
        <f>VLOOKUP(B32,'SegEnds_NonXtal_Prot#'!A:AL,13,FALSE)-VLOOKUP(B32,'SegEnds_NonXtal_Prot#'!A:AL,10,FALSE)</f>
        <v>19</v>
      </c>
      <c r="AF32" s="50">
        <f>VLOOKUP(B32,'SegEnds_NonXtal_Prot#'!A:AL,12,FALSE)-VLOOKUP(B32,'SegEnds_NonXtal_Prot#'!A:AL,11,FALSE)</f>
        <v>2</v>
      </c>
      <c r="AG32" s="50">
        <f>VLOOKUP(B32,'SegEnds_NonXtal_Prot#'!A:AL,13,FALSE)-VLOOKUP(B32,'SegEnds_NonXtal_Prot#'!A:AL,11,FALSE)</f>
        <v>3</v>
      </c>
      <c r="AH32" s="50">
        <f>VLOOKUP(B32,'SegEnds_NonXtal_Prot#'!A:AL,16,FALSE)-VLOOKUP(B32,'SegEnds_NonXtal_Prot#'!A:AL,10,FALSE)</f>
        <v>51</v>
      </c>
      <c r="AI32" s="50">
        <f>VLOOKUP(B32,'SegEnds_NonXtal_Prot#'!A:AL,16,FALSE)-VLOOKUP(B32,'SegEnds_NonXtal_Prot#'!A:AL,11,FALSE)</f>
        <v>35</v>
      </c>
      <c r="AJ32" s="50">
        <f>VLOOKUP(B32,'SegEnds_NonXtal_Prot#'!A:AL,22,FALSE)-VLOOKUP(B32,'SegEnds_NonXtal_Prot#'!A:AL,19,FALSE)</f>
        <v>20</v>
      </c>
      <c r="AK32" s="50">
        <f>VLOOKUP(B32,'SegEnds_NonXtal_Prot#'!A:AL,15,FALSE)-VLOOKUP(B32,'SegEnds_NonXtal_Prot#'!A:AL,14,FALSE)</f>
        <v>1</v>
      </c>
      <c r="AL32" s="50">
        <f>VLOOKUP(B32,'SegEnds_NonXtal_Prot#'!A:AL,18,FALSE)-VLOOKUP(B32,'SegEnds_NonXtal_Prot#'!A:AL,17,FALSE)</f>
        <v>1</v>
      </c>
      <c r="AM32" s="2">
        <f>VLOOKUP(B32,'SegEnds_NonXtal_Prot#'!A:AL,34,FALSE)-VLOOKUP(B32,'SegEnds_NonXtal_Prot#'!A:AL,31,FALSE)</f>
        <v>39</v>
      </c>
      <c r="AN32" s="38"/>
    </row>
    <row r="33" spans="1:64" s="2" customFormat="1" x14ac:dyDescent="0.2">
      <c r="A33" s="2" t="s">
        <v>1270</v>
      </c>
      <c r="B33" s="2" t="s">
        <v>920</v>
      </c>
      <c r="C33" s="2">
        <f>IFERROR(50+VLOOKUP($A33,'SegEnds_Xtal_Prot#'!$A:$AY,5,FALSE)-VLOOKUP($B33,'SegEnds_NonXtal_Prot#'!$A:$AL,4,FALSE),"-")</f>
        <v>29</v>
      </c>
      <c r="D33" s="2">
        <f>IFERROR(50+VLOOKUP($A33,'SegEnds_Xtal_Prot#'!$A:$AY,7,FALSE)-VLOOKUP($B33,'SegEnds_NonXtal_Prot#'!$A:$AL,4,FALSE),"-")</f>
        <v>60</v>
      </c>
      <c r="E33" s="2">
        <f>IFERROR(50+VLOOKUP($A33,'SegEnds_Xtal_Prot#'!$A:$AY,9,FALSE)-VLOOKUP($B33,'SegEnds_NonXtal_Prot#'!$A:$AL,7,FALSE),"-")</f>
        <v>48</v>
      </c>
      <c r="F33" s="2">
        <f>IFERROR(50+VLOOKUP($A33,'SegEnds_Xtal_Prot#'!$A:$AY,11,FALSE)-VLOOKUP($B33,'SegEnds_NonXtal_Prot#'!$A:$AL,7,FALSE),"-")</f>
        <v>51</v>
      </c>
      <c r="G33" s="2">
        <f>IFERROR(50+VLOOKUP($A33,'SegEnds_Xtal_Prot#'!$A:$AY,13,FALSE)-VLOOKUP($B33,'SegEnds_NonXtal_Prot#'!$A:$AL,10,FALSE),"-")</f>
        <v>37</v>
      </c>
      <c r="H33" s="2">
        <f>IFERROR(50+VLOOKUP($A33,'SegEnds_Xtal_Prot#'!$A:$AY,15,FALSE)-VLOOKUP($B33,'SegEnds_NonXtal_Prot#'!$A:$AL,10,FALSE),"-")</f>
        <v>67</v>
      </c>
      <c r="I33" s="2">
        <f>IFERROR(50+VLOOKUP($A33,'SegEnds_Xtal_Prot#'!$A:$AY,17,FALSE)-VLOOKUP($B33,'SegEnds_NonXtal_Prot#'!$A:$AL,13,FALSE),"-")</f>
        <v>49</v>
      </c>
      <c r="J33" s="2">
        <f>IFERROR(50+VLOOKUP($A33,'SegEnds_Xtal_Prot#'!$A:$AY,19,FALSE)-VLOOKUP($B33,'SegEnds_NonXtal_Prot#'!$A:$AL,13,FALSE),"-")</f>
        <v>52</v>
      </c>
      <c r="K33" s="2">
        <f>IFERROR(50+VLOOKUP($A33,'SegEnds_Xtal_Prot#'!$A:$AY,21,FALSE)-VLOOKUP($B33,'SegEnds_NonXtal_Prot#'!$A:$AL,16,FALSE),"-")</f>
        <v>21</v>
      </c>
      <c r="L33" s="2">
        <f>IFERROR(50+VLOOKUP($A33,'SegEnds_Xtal_Prot#'!$A:$AY,23,FALSE)-VLOOKUP($B33,'SegEnds_NonXtal_Prot#'!$A:$AL,16,FALSE),"-")</f>
        <v>56</v>
      </c>
      <c r="M33" s="2">
        <f>IFERROR(50+VLOOKUP($A33,'SegEnds_Xtal_Prot#'!$A:$AY,25,FALSE)-VLOOKUP($B33,'SegEnds_NonXtal_Prot#'!$A:$AL,19,FALSE),"-")</f>
        <v>50</v>
      </c>
      <c r="N33" s="2">
        <f>IFERROR(50+VLOOKUP($A33,'SegEnds_Xtal_Prot#'!$A:$AY,27,FALSE)-VLOOKUP($B33,'SegEnds_NonXtal_Prot#'!$A:$AL,19,FALSE),"-")</f>
        <v>56</v>
      </c>
      <c r="O33" s="2">
        <f>IFERROR(50+VLOOKUP($A33,'SegEnds_Xtal_Prot#'!$A:$AY,29,FALSE)-VLOOKUP($B33,'SegEnds_NonXtal_Prot#'!$A:$AL,22,FALSE),"-")</f>
        <v>38</v>
      </c>
      <c r="P33" s="2">
        <f>IFERROR(50+VLOOKUP($A33,'SegEnds_Xtal_Prot#'!$A:$AY,31,FALSE)-VLOOKUP($B33,'SegEnds_NonXtal_Prot#'!$A:$AL,22,FALSE),"-")</f>
        <v>62</v>
      </c>
      <c r="Q33" s="2">
        <f>IFERROR(50+VLOOKUP($A33,'SegEnds_Xtal_Prot#'!$A:$AY,33,FALSE)-VLOOKUP($B33,'SegEnds_NonXtal_Prot#'!$A:$AL,25,FALSE),"-")</f>
        <v>50</v>
      </c>
      <c r="R33" s="2">
        <f>IFERROR(50+VLOOKUP($A33,'SegEnds_Xtal_Prot#'!$A:$AY,35,FALSE)-VLOOKUP($B33,'SegEnds_NonXtal_Prot#'!$A:$AL,25,FALSE),"-")</f>
        <v>52</v>
      </c>
      <c r="S33" s="2">
        <f>IFERROR(50+VLOOKUP($A33,'SegEnds_Xtal_Prot#'!$A:$AY,37,FALSE)-VLOOKUP($B33,'SegEnds_NonXtal_Prot#'!$A:$AL,28,FALSE),"-")</f>
        <v>34</v>
      </c>
      <c r="T33" s="2">
        <f>IFERROR(50+VLOOKUP($A33,'SegEnds_Xtal_Prot#'!$A:$AY,39,FALSE)-VLOOKUP($B33,'SegEnds_NonXtal_Prot#'!$A:$AL,28,FALSE),"-")</f>
        <v>72</v>
      </c>
      <c r="U33" s="2">
        <f>IFERROR(50+VLOOKUP($A33,'SegEnds_Xtal_Prot#'!$A:$AY,41,FALSE)-VLOOKUP($B33,'SegEnds_NonXtal_Prot#'!$A:$AL,31,FALSE),"-")</f>
        <v>24</v>
      </c>
      <c r="V33" s="2">
        <f>IFERROR(50+VLOOKUP($A33,'SegEnds_Xtal_Prot#'!$A:$AY,43,FALSE)-VLOOKUP($B33,'SegEnds_NonXtal_Prot#'!$A:$AL,31,FALSE),"-")</f>
        <v>61</v>
      </c>
      <c r="W33" s="2">
        <f>IFERROR(50+VLOOKUP($A33,'SegEnds_Xtal_Prot#'!$A:$AY,45,FALSE)-VLOOKUP($B33,'SegEnds_NonXtal_Prot#'!$A:$AL,34,FALSE),"-")</f>
        <v>31</v>
      </c>
      <c r="X33" s="2">
        <f>IFERROR(50+VLOOKUP($A33,'SegEnds_Xtal_Prot#'!$A:$AY,47,FALSE)-VLOOKUP($B33,'SegEnds_NonXtal_Prot#'!$A:$AL,34,FALSE),"-")</f>
        <v>56</v>
      </c>
      <c r="Y33" s="2">
        <f>IFERROR(50+VLOOKUP($A33,'SegEnds_Xtal_Prot#'!$A:$AY,49,FALSE)-VLOOKUP($B33,'SegEnds_NonXtal_Prot#'!$A:$AL,37,FALSE),"-")</f>
        <v>47</v>
      </c>
      <c r="Z33" s="2">
        <f>IFERROR(50+VLOOKUP($A33,'SegEnds_Xtal_Prot#'!$A:$AY,51,FALSE)-VLOOKUP($B33,'SegEnds_NonXtal_Prot#'!$A:$AL,37,FALSE),"-")</f>
        <v>59</v>
      </c>
      <c r="AA33" s="50" t="str">
        <f>VLOOKUP(B33,Classification!A:D,2,FALSE)</f>
        <v>A</v>
      </c>
      <c r="AB33" s="97" t="str">
        <f>VLOOKUP(B33,Classification!A:D,4,0)</f>
        <v>Opsins</v>
      </c>
      <c r="AC33" s="50">
        <f>VLOOKUP(B33,'SegEnds_NonXtal_Prot#'!A:AL,6,FALSE)-VLOOKUP(B33,'SegEnds_NonXtal_Prot#'!A:AL,5,FALSE)</f>
        <v>1</v>
      </c>
      <c r="AD33" s="50">
        <f>VLOOKUP(B33,'SegEnds_NonXtal_Prot#'!A:AL,9,FALSE)-VLOOKUP(B33,'SegEnds_NonXtal_Prot#'!A:AL,8,FALSE)</f>
        <v>1</v>
      </c>
      <c r="AE33" s="50">
        <f>VLOOKUP(B33,'SegEnds_NonXtal_Prot#'!A:AL,13,FALSE)-VLOOKUP(B33,'SegEnds_NonXtal_Prot#'!A:AL,10,FALSE)</f>
        <v>20</v>
      </c>
      <c r="AF33" s="50">
        <f>VLOOKUP(B33,'SegEnds_NonXtal_Prot#'!A:AL,12,FALSE)-VLOOKUP(B33,'SegEnds_NonXtal_Prot#'!A:AL,11,FALSE)</f>
        <v>2</v>
      </c>
      <c r="AG33" s="50">
        <f>VLOOKUP(B33,'SegEnds_NonXtal_Prot#'!A:AL,13,FALSE)-VLOOKUP(B33,'SegEnds_NonXtal_Prot#'!A:AL,11,FALSE)</f>
        <v>3</v>
      </c>
      <c r="AH33" s="50">
        <f>VLOOKUP(B33,'SegEnds_NonXtal_Prot#'!A:AL,16,FALSE)-VLOOKUP(B33,'SegEnds_NonXtal_Prot#'!A:AL,10,FALSE)</f>
        <v>52</v>
      </c>
      <c r="AI33" s="50">
        <f>VLOOKUP(B33,'SegEnds_NonXtal_Prot#'!A:AL,16,FALSE)-VLOOKUP(B33,'SegEnds_NonXtal_Prot#'!A:AL,11,FALSE)</f>
        <v>35</v>
      </c>
      <c r="AJ33" s="50">
        <f>VLOOKUP(B33,'SegEnds_NonXtal_Prot#'!A:AL,22,FALSE)-VLOOKUP(B33,'SegEnds_NonXtal_Prot#'!A:AL,19,FALSE)</f>
        <v>19</v>
      </c>
      <c r="AK33" s="50">
        <f>VLOOKUP(B33,'SegEnds_NonXtal_Prot#'!A:AL,15,FALSE)-VLOOKUP(B33,'SegEnds_NonXtal_Prot#'!A:AL,14,FALSE)</f>
        <v>1</v>
      </c>
      <c r="AL33" s="50">
        <f>VLOOKUP(B33,'SegEnds_NonXtal_Prot#'!A:AL,18,FALSE)-VLOOKUP(B33,'SegEnds_NonXtal_Prot#'!A:AL,17,FALSE)</f>
        <v>1</v>
      </c>
      <c r="AM33" s="2">
        <f>VLOOKUP(B33,'SegEnds_NonXtal_Prot#'!A:AL,34,FALSE)-VLOOKUP(B33,'SegEnds_NonXtal_Prot#'!A:AL,31,FALSE)</f>
        <v>36</v>
      </c>
      <c r="AN33" s="38"/>
      <c r="AO33" s="2" t="s">
        <v>1284</v>
      </c>
      <c r="AP33" s="2" t="s">
        <v>1286</v>
      </c>
    </row>
    <row r="34" spans="1:64" s="2" customFormat="1" x14ac:dyDescent="0.2">
      <c r="A34" s="2" t="s">
        <v>1272</v>
      </c>
      <c r="B34" s="2" t="s">
        <v>922</v>
      </c>
      <c r="C34" s="2">
        <f>IFERROR(50+VLOOKUP($A34,'SegEnds_Xtal_Prot#'!$A:$AY,5,FALSE)-VLOOKUP($B34,'SegEnds_NonXtal_Prot#'!$A:$AL,4,FALSE),"-")</f>
        <v>29</v>
      </c>
      <c r="D34" s="2">
        <f>IFERROR(50+VLOOKUP($A34,'SegEnds_Xtal_Prot#'!$A:$AY,7,FALSE)-VLOOKUP($B34,'SegEnds_NonXtal_Prot#'!$A:$AL,4,FALSE),"-")</f>
        <v>60</v>
      </c>
      <c r="E34" s="2">
        <f>IFERROR(50+VLOOKUP($A34,'SegEnds_Xtal_Prot#'!$A:$AY,9,FALSE)-VLOOKUP($B34,'SegEnds_NonXtal_Prot#'!$A:$AL,7,FALSE),"-")</f>
        <v>48</v>
      </c>
      <c r="F34" s="2">
        <f>IFERROR(50+VLOOKUP($A34,'SegEnds_Xtal_Prot#'!$A:$AY,11,FALSE)-VLOOKUP($B34,'SegEnds_NonXtal_Prot#'!$A:$AL,7,FALSE),"-")</f>
        <v>51</v>
      </c>
      <c r="G34" s="2">
        <f>IFERROR(50+VLOOKUP($A34,'SegEnds_Xtal_Prot#'!$A:$AY,13,FALSE)-VLOOKUP($B34,'SegEnds_NonXtal_Prot#'!$A:$AL,10,FALSE),"-")</f>
        <v>37</v>
      </c>
      <c r="H34" s="2">
        <f>IFERROR(50+VLOOKUP($A34,'SegEnds_Xtal_Prot#'!$A:$AY,15,FALSE)-VLOOKUP($B34,'SegEnds_NonXtal_Prot#'!$A:$AL,10,FALSE),"-")</f>
        <v>69</v>
      </c>
      <c r="I34" s="2">
        <f>IFERROR(50+VLOOKUP($A34,'SegEnds_Xtal_Prot#'!$A:$AY,17,FALSE)-VLOOKUP($B34,'SegEnds_NonXtal_Prot#'!$A:$AL,13,FALSE),"-")</f>
        <v>49</v>
      </c>
      <c r="J34" s="2">
        <f>IFERROR(50+VLOOKUP($A34,'SegEnds_Xtal_Prot#'!$A:$AY,19,FALSE)-VLOOKUP($B34,'SegEnds_NonXtal_Prot#'!$A:$AL,13,FALSE),"-")</f>
        <v>52</v>
      </c>
      <c r="K34" s="2">
        <f>IFERROR(50+VLOOKUP($A34,'SegEnds_Xtal_Prot#'!$A:$AY,21,FALSE)-VLOOKUP($B34,'SegEnds_NonXtal_Prot#'!$A:$AL,16,FALSE),"-")</f>
        <v>21</v>
      </c>
      <c r="L34" s="2">
        <f>IFERROR(50+VLOOKUP($A34,'SegEnds_Xtal_Prot#'!$A:$AY,23,FALSE)-VLOOKUP($B34,'SegEnds_NonXtal_Prot#'!$A:$AL,16,FALSE),"-")</f>
        <v>56</v>
      </c>
      <c r="M34" s="2">
        <f>IFERROR(50+VLOOKUP($A34,'SegEnds_Xtal_Prot#'!$A:$AY,25,FALSE)-VLOOKUP($B34,'SegEnds_NonXtal_Prot#'!$A:$AL,19,FALSE),"-")</f>
        <v>50</v>
      </c>
      <c r="N34" s="2">
        <f>IFERROR(50+VLOOKUP($A34,'SegEnds_Xtal_Prot#'!$A:$AY,27,FALSE)-VLOOKUP($B34,'SegEnds_NonXtal_Prot#'!$A:$AL,19,FALSE),"-")</f>
        <v>57</v>
      </c>
      <c r="O34" s="2">
        <f>IFERROR(50+VLOOKUP($A34,'SegEnds_Xtal_Prot#'!$A:$AY,29,FALSE)-VLOOKUP($B34,'SegEnds_NonXtal_Prot#'!$A:$AL,22,FALSE),"-")</f>
        <v>38</v>
      </c>
      <c r="P34" s="2">
        <f>IFERROR(50+VLOOKUP($A34,'SegEnds_Xtal_Prot#'!$A:$AY,31,FALSE)-VLOOKUP($B34,'SegEnds_NonXtal_Prot#'!$A:$AL,22,FALSE),"-")</f>
        <v>62</v>
      </c>
      <c r="Q34" s="2">
        <f>IFERROR(50+VLOOKUP($A34,'SegEnds_Xtal_Prot#'!$A:$AY,33,FALSE)-VLOOKUP($B34,'SegEnds_NonXtal_Prot#'!$A:$AL,25,FALSE),"-")</f>
        <v>50</v>
      </c>
      <c r="R34" s="2">
        <f>IFERROR(50+VLOOKUP($A34,'SegEnds_Xtal_Prot#'!$A:$AY,35,FALSE)-VLOOKUP($B34,'SegEnds_NonXtal_Prot#'!$A:$AL,25,FALSE),"-")</f>
        <v>52</v>
      </c>
      <c r="S34" s="2">
        <f>IFERROR(50+VLOOKUP($A34,'SegEnds_Xtal_Prot#'!$A:$AY,37,FALSE)-VLOOKUP($B34,'SegEnds_NonXtal_Prot#'!$A:$AL,28,FALSE),"-")</f>
        <v>32</v>
      </c>
      <c r="T34" s="2">
        <f>IFERROR(50+VLOOKUP($A34,'SegEnds_Xtal_Prot#'!$A:$AY,39,FALSE)-VLOOKUP($B34,'SegEnds_NonXtal_Prot#'!$A:$AL,28,FALSE),"-")</f>
        <v>77</v>
      </c>
      <c r="U34" s="2">
        <f>IFERROR(50+VLOOKUP($A34,'SegEnds_Xtal_Prot#'!$A:$AY,41,FALSE)-VLOOKUP($B34,'SegEnds_NonXtal_Prot#'!$A:$AL,31,FALSE),"-")</f>
        <v>18</v>
      </c>
      <c r="V34" s="2">
        <f>IFERROR(50+VLOOKUP($A34,'SegEnds_Xtal_Prot#'!$A:$AY,43,FALSE)-VLOOKUP($B34,'SegEnds_NonXtal_Prot#'!$A:$AL,31,FALSE),"-")</f>
        <v>61</v>
      </c>
      <c r="W34" s="2">
        <f>IFERROR(50+VLOOKUP($A34,'SegEnds_Xtal_Prot#'!$A:$AY,45,FALSE)-VLOOKUP($B34,'SegEnds_NonXtal_Prot#'!$A:$AL,34,FALSE),"-")</f>
        <v>31</v>
      </c>
      <c r="X34" s="2">
        <f>IFERROR(50+VLOOKUP($A34,'SegEnds_Xtal_Prot#'!$A:$AY,47,FALSE)-VLOOKUP($B34,'SegEnds_NonXtal_Prot#'!$A:$AL,34,FALSE),"-")</f>
        <v>56</v>
      </c>
      <c r="Y34" s="2">
        <f>IFERROR(50+VLOOKUP($A34,'SegEnds_Xtal_Prot#'!$A:$AY,49,FALSE)-VLOOKUP($B34,'SegEnds_NonXtal_Prot#'!$A:$AL,37,FALSE),"-")</f>
        <v>47</v>
      </c>
      <c r="Z34" s="2">
        <f>IFERROR(50+VLOOKUP($A34,'SegEnds_Xtal_Prot#'!$A:$AY,51,FALSE)-VLOOKUP($B34,'SegEnds_NonXtal_Prot#'!$A:$AL,37,FALSE),"-")</f>
        <v>58</v>
      </c>
      <c r="AA34" s="50" t="str">
        <f>VLOOKUP(B34,Classification!A:D,2,FALSE)</f>
        <v>A</v>
      </c>
      <c r="AB34" s="97" t="str">
        <f>VLOOKUP(B34,Classification!A:D,4,0)</f>
        <v>Opsins</v>
      </c>
      <c r="AC34" s="50">
        <f>VLOOKUP(B34,'SegEnds_NonXtal_Prot#'!A:AL,6,FALSE)-VLOOKUP(B34,'SegEnds_NonXtal_Prot#'!A:AL,5,FALSE)</f>
        <v>1</v>
      </c>
      <c r="AD34" s="50">
        <f>VLOOKUP(B34,'SegEnds_NonXtal_Prot#'!A:AL,9,FALSE)-VLOOKUP(B34,'SegEnds_NonXtal_Prot#'!A:AL,8,FALSE)</f>
        <v>1</v>
      </c>
      <c r="AE34" s="50">
        <f>VLOOKUP(B34,'SegEnds_NonXtal_Prot#'!A:AL,13,FALSE)-VLOOKUP(B34,'SegEnds_NonXtal_Prot#'!A:AL,10,FALSE)</f>
        <v>21</v>
      </c>
      <c r="AF34" s="50">
        <f>VLOOKUP(B34,'SegEnds_NonXtal_Prot#'!A:AL,12,FALSE)-VLOOKUP(B34,'SegEnds_NonXtal_Prot#'!A:AL,11,FALSE)</f>
        <v>1</v>
      </c>
      <c r="AG34" s="50">
        <f>VLOOKUP(B34,'SegEnds_NonXtal_Prot#'!A:AL,13,FALSE)-VLOOKUP(B34,'SegEnds_NonXtal_Prot#'!A:AL,11,FALSE)</f>
        <v>2</v>
      </c>
      <c r="AH34" s="50">
        <f>VLOOKUP(B34,'SegEnds_NonXtal_Prot#'!A:AL,16,FALSE)-VLOOKUP(B34,'SegEnds_NonXtal_Prot#'!A:AL,10,FALSE)</f>
        <v>53</v>
      </c>
      <c r="AI34" s="50">
        <f>VLOOKUP(B34,'SegEnds_NonXtal_Prot#'!A:AL,16,FALSE)-VLOOKUP(B34,'SegEnds_NonXtal_Prot#'!A:AL,11,FALSE)</f>
        <v>34</v>
      </c>
      <c r="AJ34" s="50">
        <f>VLOOKUP(B34,'SegEnds_NonXtal_Prot#'!A:AL,22,FALSE)-VLOOKUP(B34,'SegEnds_NonXtal_Prot#'!A:AL,19,FALSE)</f>
        <v>20</v>
      </c>
      <c r="AK34" s="50">
        <f>VLOOKUP(B34,'SegEnds_NonXtal_Prot#'!A:AL,15,FALSE)-VLOOKUP(B34,'SegEnds_NonXtal_Prot#'!A:AL,14,FALSE)</f>
        <v>1</v>
      </c>
      <c r="AL34" s="50">
        <f>VLOOKUP(B34,'SegEnds_NonXtal_Prot#'!A:AL,18,FALSE)-VLOOKUP(B34,'SegEnds_NonXtal_Prot#'!A:AL,17,FALSE)</f>
        <v>1</v>
      </c>
      <c r="AM34" s="2">
        <f>VLOOKUP(B34,'SegEnds_NonXtal_Prot#'!A:AL,34,FALSE)-VLOOKUP(B34,'SegEnds_NonXtal_Prot#'!A:AL,31,FALSE)</f>
        <v>36</v>
      </c>
      <c r="AN34" s="38"/>
    </row>
    <row r="35" spans="1:64" s="2" customFormat="1" x14ac:dyDescent="0.2">
      <c r="A35" s="2" t="s">
        <v>1271</v>
      </c>
      <c r="B35" s="2" t="s">
        <v>339</v>
      </c>
      <c r="C35" s="2">
        <f>IFERROR(50+VLOOKUP($A35,'SegEnds_Xtal_Prot#'!$A:$AY,5,FALSE)-VLOOKUP($B35,'SegEnds_NonXtal_Prot#'!$A:$AL,4,FALSE),"-")</f>
        <v>29</v>
      </c>
      <c r="D35" s="2">
        <f>IFERROR(50+VLOOKUP($A35,'SegEnds_Xtal_Prot#'!$A:$AY,7,FALSE)-VLOOKUP($B35,'SegEnds_NonXtal_Prot#'!$A:$AL,4,FALSE),"-")</f>
        <v>60</v>
      </c>
      <c r="E35" s="2">
        <f>IFERROR(50+VLOOKUP($A35,'SegEnds_Xtal_Prot#'!$A:$AY,9,FALSE)-VLOOKUP($B35,'SegEnds_NonXtal_Prot#'!$A:$AL,7,FALSE),"-")</f>
        <v>48</v>
      </c>
      <c r="F35" s="2">
        <f>IFERROR(50+VLOOKUP($A35,'SegEnds_Xtal_Prot#'!$A:$AY,11,FALSE)-VLOOKUP($B35,'SegEnds_NonXtal_Prot#'!$A:$AL,7,FALSE),"-")</f>
        <v>51</v>
      </c>
      <c r="G35" s="2">
        <f>IFERROR(50+VLOOKUP($A35,'SegEnds_Xtal_Prot#'!$A:$AY,13,FALSE)-VLOOKUP($B35,'SegEnds_NonXtal_Prot#'!$A:$AL,10,FALSE),"-")</f>
        <v>37</v>
      </c>
      <c r="H35" s="2">
        <f>IFERROR(50+VLOOKUP($A35,'SegEnds_Xtal_Prot#'!$A:$AY,15,FALSE)-VLOOKUP($B35,'SegEnds_NonXtal_Prot#'!$A:$AL,10,FALSE),"-")</f>
        <v>67</v>
      </c>
      <c r="I35" s="2">
        <f>IFERROR(50+VLOOKUP($A35,'SegEnds_Xtal_Prot#'!$A:$AY,17,FALSE)-VLOOKUP($B35,'SegEnds_NonXtal_Prot#'!$A:$AL,13,FALSE),"-")</f>
        <v>49</v>
      </c>
      <c r="J35" s="2">
        <f>IFERROR(50+VLOOKUP($A35,'SegEnds_Xtal_Prot#'!$A:$AY,19,FALSE)-VLOOKUP($B35,'SegEnds_NonXtal_Prot#'!$A:$AL,13,FALSE),"-")</f>
        <v>52</v>
      </c>
      <c r="K35" s="2">
        <f>IFERROR(50+VLOOKUP($A35,'SegEnds_Xtal_Prot#'!$A:$AY,21,FALSE)-VLOOKUP($B35,'SegEnds_NonXtal_Prot#'!$A:$AL,16,FALSE),"-")</f>
        <v>21</v>
      </c>
      <c r="L35" s="2">
        <f>IFERROR(50+VLOOKUP($A35,'SegEnds_Xtal_Prot#'!$A:$AY,23,FALSE)-VLOOKUP($B35,'SegEnds_NonXtal_Prot#'!$A:$AL,16,FALSE),"-")</f>
        <v>56</v>
      </c>
      <c r="M35" s="2">
        <f>IFERROR(50+VLOOKUP($A35,'SegEnds_Xtal_Prot#'!$A:$AY,25,FALSE)-VLOOKUP($B35,'SegEnds_NonXtal_Prot#'!$A:$AL,19,FALSE),"-")</f>
        <v>50</v>
      </c>
      <c r="N35" s="2">
        <f>IFERROR(50+VLOOKUP($A35,'SegEnds_Xtal_Prot#'!$A:$AY,27,FALSE)-VLOOKUP($B35,'SegEnds_NonXtal_Prot#'!$A:$AL,19,FALSE),"-")</f>
        <v>56</v>
      </c>
      <c r="O35" s="2">
        <f>IFERROR(50+VLOOKUP($A35,'SegEnds_Xtal_Prot#'!$A:$AY,29,FALSE)-VLOOKUP($B35,'SegEnds_NonXtal_Prot#'!$A:$AL,22,FALSE),"-")</f>
        <v>38</v>
      </c>
      <c r="P35" s="2">
        <f>IFERROR(50+VLOOKUP($A35,'SegEnds_Xtal_Prot#'!$A:$AY,31,FALSE)-VLOOKUP($B35,'SegEnds_NonXtal_Prot#'!$A:$AL,22,FALSE),"-")</f>
        <v>62</v>
      </c>
      <c r="Q35" s="2">
        <f>IFERROR(50+VLOOKUP($A35,'SegEnds_Xtal_Prot#'!$A:$AY,33,FALSE)-VLOOKUP($B35,'SegEnds_NonXtal_Prot#'!$A:$AL,25,FALSE),"-")</f>
        <v>50</v>
      </c>
      <c r="R35" s="2">
        <f>IFERROR(50+VLOOKUP($A35,'SegEnds_Xtal_Prot#'!$A:$AY,35,FALSE)-VLOOKUP($B35,'SegEnds_NonXtal_Prot#'!$A:$AL,25,FALSE),"-")</f>
        <v>52</v>
      </c>
      <c r="S35" s="2">
        <f>IFERROR(50+VLOOKUP($A35,'SegEnds_Xtal_Prot#'!$A:$AY,37,FALSE)-VLOOKUP($B35,'SegEnds_NonXtal_Prot#'!$A:$AL,28,FALSE),"-")</f>
        <v>34</v>
      </c>
      <c r="T35" s="2">
        <f>IFERROR(50+VLOOKUP($A35,'SegEnds_Xtal_Prot#'!$A:$AY,39,FALSE)-VLOOKUP($B35,'SegEnds_NonXtal_Prot#'!$A:$AL,28,FALSE),"-")</f>
        <v>72</v>
      </c>
      <c r="U35" s="2">
        <f>IFERROR(50+VLOOKUP($A35,'SegEnds_Xtal_Prot#'!$A:$AY,41,FALSE)-VLOOKUP($B35,'SegEnds_NonXtal_Prot#'!$A:$AL,31,FALSE),"-")</f>
        <v>24</v>
      </c>
      <c r="V35" s="2">
        <f>IFERROR(50+VLOOKUP($A35,'SegEnds_Xtal_Prot#'!$A:$AY,43,FALSE)-VLOOKUP($B35,'SegEnds_NonXtal_Prot#'!$A:$AL,31,FALSE),"-")</f>
        <v>61</v>
      </c>
      <c r="W35" s="2">
        <f>IFERROR(50+VLOOKUP($A35,'SegEnds_Xtal_Prot#'!$A:$AY,45,FALSE)-VLOOKUP($B35,'SegEnds_NonXtal_Prot#'!$A:$AL,34,FALSE),"-")</f>
        <v>31</v>
      </c>
      <c r="X35" s="2">
        <f>IFERROR(50+VLOOKUP($A35,'SegEnds_Xtal_Prot#'!$A:$AY,47,FALSE)-VLOOKUP($B35,'SegEnds_NonXtal_Prot#'!$A:$AL,34,FALSE),"-")</f>
        <v>56</v>
      </c>
      <c r="Y35" s="2">
        <f>IFERROR(50+VLOOKUP($A35,'SegEnds_Xtal_Prot#'!$A:$AY,49,FALSE)-VLOOKUP($B35,'SegEnds_NonXtal_Prot#'!$A:$AL,37,FALSE),"-")</f>
        <v>47</v>
      </c>
      <c r="Z35" s="2">
        <f>IFERROR(50+VLOOKUP($A35,'SegEnds_Xtal_Prot#'!$A:$AY,51,FALSE)-VLOOKUP($B35,'SegEnds_NonXtal_Prot#'!$A:$AL,37,FALSE),"-")</f>
        <v>59</v>
      </c>
      <c r="AA35" s="50" t="str">
        <f>VLOOKUP(B35,Classification!A:D,2,FALSE)</f>
        <v>A</v>
      </c>
      <c r="AB35" s="97" t="str">
        <f>VLOOKUP(B35,Classification!A:D,4,0)</f>
        <v>Opsins</v>
      </c>
      <c r="AC35" s="50">
        <f>VLOOKUP(B35,'SegEnds_NonXtal_Prot#'!A:AL,6,FALSE)-VLOOKUP(B35,'SegEnds_NonXtal_Prot#'!A:AL,5,FALSE)</f>
        <v>1</v>
      </c>
      <c r="AD35" s="50">
        <f>VLOOKUP(B35,'SegEnds_NonXtal_Prot#'!A:AL,9,FALSE)-VLOOKUP(B35,'SegEnds_NonXtal_Prot#'!A:AL,8,FALSE)</f>
        <v>1</v>
      </c>
      <c r="AE35" s="50">
        <f>VLOOKUP(B35,'SegEnds_NonXtal_Prot#'!A:AL,13,FALSE)-VLOOKUP(B35,'SegEnds_NonXtal_Prot#'!A:AL,10,FALSE)</f>
        <v>20</v>
      </c>
      <c r="AF35" s="50">
        <f>VLOOKUP(B35,'SegEnds_NonXtal_Prot#'!A:AL,12,FALSE)-VLOOKUP(B35,'SegEnds_NonXtal_Prot#'!A:AL,11,FALSE)</f>
        <v>2</v>
      </c>
      <c r="AG35" s="50">
        <f>VLOOKUP(B35,'SegEnds_NonXtal_Prot#'!A:AL,13,FALSE)-VLOOKUP(B35,'SegEnds_NonXtal_Prot#'!A:AL,11,FALSE)</f>
        <v>3</v>
      </c>
      <c r="AH35" s="50">
        <f>VLOOKUP(B35,'SegEnds_NonXtal_Prot#'!A:AL,16,FALSE)-VLOOKUP(B35,'SegEnds_NonXtal_Prot#'!A:AL,10,FALSE)</f>
        <v>52</v>
      </c>
      <c r="AI35" s="50">
        <f>VLOOKUP(B35,'SegEnds_NonXtal_Prot#'!A:AL,16,FALSE)-VLOOKUP(B35,'SegEnds_NonXtal_Prot#'!A:AL,11,FALSE)</f>
        <v>35</v>
      </c>
      <c r="AJ35" s="50">
        <f>VLOOKUP(B35,'SegEnds_NonXtal_Prot#'!A:AL,22,FALSE)-VLOOKUP(B35,'SegEnds_NonXtal_Prot#'!A:AL,19,FALSE)</f>
        <v>19</v>
      </c>
      <c r="AK35" s="50">
        <f>VLOOKUP(B35,'SegEnds_NonXtal_Prot#'!A:AL,15,FALSE)-VLOOKUP(B35,'SegEnds_NonXtal_Prot#'!A:AL,14,FALSE)</f>
        <v>1</v>
      </c>
      <c r="AL35" s="50">
        <f>VLOOKUP(B35,'SegEnds_NonXtal_Prot#'!A:AL,18,FALSE)-VLOOKUP(B35,'SegEnds_NonXtal_Prot#'!A:AL,17,FALSE)</f>
        <v>1</v>
      </c>
      <c r="AM35" s="2">
        <f>VLOOKUP(B35,'SegEnds_NonXtal_Prot#'!A:AL,34,FALSE)-VLOOKUP(B35,'SegEnds_NonXtal_Prot#'!A:AL,31,FALSE)</f>
        <v>36</v>
      </c>
      <c r="AN35" s="38"/>
    </row>
    <row r="36" spans="1:64" s="2" customFormat="1" x14ac:dyDescent="0.2">
      <c r="A36" s="2" t="s">
        <v>1274</v>
      </c>
      <c r="B36" s="2" t="s">
        <v>1176</v>
      </c>
      <c r="C36" s="2">
        <f>IFERROR(50+VLOOKUP($A36,'SegEnds_Xtal_Prot#'!$A:$AY,5,FALSE)-VLOOKUP($B36,'SegEnds_NonXtal_Prot#'!$A:$AL,4,FALSE),"-")</f>
        <v>31</v>
      </c>
      <c r="D36" s="2">
        <f>IFERROR(50+VLOOKUP($A36,'SegEnds_Xtal_Prot#'!$A:$AY,7,FALSE)-VLOOKUP($B36,'SegEnds_NonXtal_Prot#'!$A:$AL,4,FALSE),"-")</f>
        <v>60</v>
      </c>
      <c r="E36" s="2">
        <f>IFERROR(50+VLOOKUP($A36,'SegEnds_Xtal_Prot#'!$A:$AY,9,FALSE)-VLOOKUP($B36,'SegEnds_NonXtal_Prot#'!$A:$AL,7,FALSE),"-")</f>
        <v>48</v>
      </c>
      <c r="F36" s="2">
        <f>IFERROR(50+VLOOKUP($A36,'SegEnds_Xtal_Prot#'!$A:$AY,11,FALSE)-VLOOKUP($B36,'SegEnds_NonXtal_Prot#'!$A:$AL,7,FALSE),"-")</f>
        <v>51</v>
      </c>
      <c r="G36" s="2">
        <f>IFERROR(50+VLOOKUP($A36,'SegEnds_Xtal_Prot#'!$A:$AY,13,FALSE)-VLOOKUP($B36,'SegEnds_NonXtal_Prot#'!$A:$AL,10,FALSE),"-")</f>
        <v>37</v>
      </c>
      <c r="H36" s="2">
        <f>IFERROR(50+VLOOKUP($A36,'SegEnds_Xtal_Prot#'!$A:$AY,15,FALSE)-VLOOKUP($B36,'SegEnds_NonXtal_Prot#'!$A:$AL,10,FALSE),"-")</f>
        <v>67</v>
      </c>
      <c r="I36" s="2">
        <f>IFERROR(50+VLOOKUP($A36,'SegEnds_Xtal_Prot#'!$A:$AY,17,FALSE)-VLOOKUP($B36,'SegEnds_NonXtal_Prot#'!$A:$AL,13,FALSE),"-")</f>
        <v>49</v>
      </c>
      <c r="J36" s="2">
        <f>IFERROR(50+VLOOKUP($A36,'SegEnds_Xtal_Prot#'!$A:$AY,19,FALSE)-VLOOKUP($B36,'SegEnds_NonXtal_Prot#'!$A:$AL,13,FALSE),"-")</f>
        <v>52</v>
      </c>
      <c r="K36" s="2">
        <f>IFERROR(50+VLOOKUP($A36,'SegEnds_Xtal_Prot#'!$A:$AY,21,FALSE)-VLOOKUP($B36,'SegEnds_NonXtal_Prot#'!$A:$AL,16,FALSE),"-")</f>
        <v>21</v>
      </c>
      <c r="L36" s="2">
        <f>IFERROR(50+VLOOKUP($A36,'SegEnds_Xtal_Prot#'!$A:$AY,23,FALSE)-VLOOKUP($B36,'SegEnds_NonXtal_Prot#'!$A:$AL,16,FALSE),"-")</f>
        <v>56</v>
      </c>
      <c r="M36" s="2">
        <f>IFERROR(50+VLOOKUP($A36,'SegEnds_Xtal_Prot#'!$A:$AY,25,FALSE)-VLOOKUP($B36,'SegEnds_NonXtal_Prot#'!$A:$AL,19,FALSE),"-")</f>
        <v>50</v>
      </c>
      <c r="N36" s="2">
        <f>IFERROR(50+VLOOKUP($A36,'SegEnds_Xtal_Prot#'!$A:$AY,27,FALSE)-VLOOKUP($B36,'SegEnds_NonXtal_Prot#'!$A:$AL,19,FALSE),"-")</f>
        <v>53</v>
      </c>
      <c r="O36" s="2">
        <f>IFERROR(50+VLOOKUP($A36,'SegEnds_Xtal_Prot#'!$A:$AY,29,FALSE)-VLOOKUP($B36,'SegEnds_NonXtal_Prot#'!$A:$AL,22,FALSE),"-")</f>
        <v>38</v>
      </c>
      <c r="P36" s="2">
        <f>IFERROR(50+VLOOKUP($A36,'SegEnds_Xtal_Prot#'!$A:$AY,31,FALSE)-VLOOKUP($B36,'SegEnds_NonXtal_Prot#'!$A:$AL,22,FALSE),"-")</f>
        <v>64</v>
      </c>
      <c r="Q36" s="2">
        <f>IFERROR(50+VLOOKUP($A36,'SegEnds_Xtal_Prot#'!$A:$AY,33,FALSE)-VLOOKUP($B36,'SegEnds_NonXtal_Prot#'!$A:$AL,25,FALSE),"-")</f>
        <v>50</v>
      </c>
      <c r="R36" s="2">
        <f>IFERROR(50+VLOOKUP($A36,'SegEnds_Xtal_Prot#'!$A:$AY,35,FALSE)-VLOOKUP($B36,'SegEnds_NonXtal_Prot#'!$A:$AL,25,FALSE),"-")</f>
        <v>52</v>
      </c>
      <c r="S36" s="2">
        <f>IFERROR(50+VLOOKUP($A36,'SegEnds_Xtal_Prot#'!$A:$AY,37,FALSE)-VLOOKUP($B36,'SegEnds_NonXtal_Prot#'!$A:$AL,28,FALSE),"-")</f>
        <v>32</v>
      </c>
      <c r="T36" s="2">
        <f>IFERROR(50+VLOOKUP($A36,'SegEnds_Xtal_Prot#'!$A:$AY,39,FALSE)-VLOOKUP($B36,'SegEnds_NonXtal_Prot#'!$A:$AL,28,FALSE),"-")</f>
        <v>71</v>
      </c>
      <c r="U36" s="2">
        <f>IFERROR(50+VLOOKUP($A36,'SegEnds_Xtal_Prot#'!$A:$AY,41,FALSE)-VLOOKUP($B36,'SegEnds_NonXtal_Prot#'!$A:$AL,31,FALSE),"-")</f>
        <v>20</v>
      </c>
      <c r="V36" s="2">
        <f>IFERROR(50+VLOOKUP($A36,'SegEnds_Xtal_Prot#'!$A:$AY,43,FALSE)-VLOOKUP($B36,'SegEnds_NonXtal_Prot#'!$A:$AL,31,FALSE),"-")</f>
        <v>61</v>
      </c>
      <c r="W36" s="2">
        <f>IFERROR(50+VLOOKUP($A36,'SegEnds_Xtal_Prot#'!$A:$AY,45,FALSE)-VLOOKUP($B36,'SegEnds_NonXtal_Prot#'!$A:$AL,34,FALSE),"-")</f>
        <v>28</v>
      </c>
      <c r="X36" s="2">
        <f>IFERROR(50+VLOOKUP($A36,'SegEnds_Xtal_Prot#'!$A:$AY,47,FALSE)-VLOOKUP($B36,'SegEnds_NonXtal_Prot#'!$A:$AL,34,FALSE),"-")</f>
        <v>56</v>
      </c>
      <c r="Y36" s="2">
        <f>IFERROR(50+VLOOKUP($A36,'SegEnds_Xtal_Prot#'!$A:$AY,49,FALSE)-VLOOKUP($B36,'SegEnds_NonXtal_Prot#'!$A:$AL,37,FALSE),"-")</f>
        <v>47</v>
      </c>
      <c r="Z36" s="2">
        <f>IFERROR(50+VLOOKUP($A36,'SegEnds_Xtal_Prot#'!$A:$AY,51,FALSE)-VLOOKUP($B36,'SegEnds_NonXtal_Prot#'!$A:$AL,37,FALSE),"-")</f>
        <v>58</v>
      </c>
      <c r="AA36" s="50" t="str">
        <f>VLOOKUP(B36,Classification!A:D,2,FALSE)</f>
        <v>A</v>
      </c>
      <c r="AB36" s="97" t="str">
        <f>VLOOKUP(B36,Classification!A:D,4,0)</f>
        <v>Orexin</v>
      </c>
      <c r="AC36" s="50">
        <f>VLOOKUP(B36,'SegEnds_NonXtal_Prot#'!A:AL,6,FALSE)-VLOOKUP(B36,'SegEnds_NonXtal_Prot#'!A:AL,5,FALSE)</f>
        <v>1</v>
      </c>
      <c r="AD36" s="50">
        <f>VLOOKUP(B36,'SegEnds_NonXtal_Prot#'!A:AL,9,FALSE)-VLOOKUP(B36,'SegEnds_NonXtal_Prot#'!A:AL,8,FALSE)</f>
        <v>1</v>
      </c>
      <c r="AE36" s="50">
        <f>VLOOKUP(B36,'SegEnds_NonXtal_Prot#'!A:AL,13,FALSE)-VLOOKUP(B36,'SegEnds_NonXtal_Prot#'!A:AL,10,FALSE)</f>
        <v>20</v>
      </c>
      <c r="AF36" s="50">
        <f>VLOOKUP(B36,'SegEnds_NonXtal_Prot#'!A:AL,12,FALSE)-VLOOKUP(B36,'SegEnds_NonXtal_Prot#'!A:AL,11,FALSE)</f>
        <v>2</v>
      </c>
      <c r="AG36" s="50">
        <f>VLOOKUP(B36,'SegEnds_NonXtal_Prot#'!A:AL,13,FALSE)-VLOOKUP(B36,'SegEnds_NonXtal_Prot#'!A:AL,11,FALSE)</f>
        <v>3</v>
      </c>
      <c r="AH36" s="50">
        <f>VLOOKUP(B36,'SegEnds_NonXtal_Prot#'!A:AL,16,FALSE)-VLOOKUP(B36,'SegEnds_NonXtal_Prot#'!A:AL,10,FALSE)</f>
        <v>52</v>
      </c>
      <c r="AI36" s="50">
        <f>VLOOKUP(B36,'SegEnds_NonXtal_Prot#'!A:AL,16,FALSE)-VLOOKUP(B36,'SegEnds_NonXtal_Prot#'!A:AL,11,FALSE)</f>
        <v>35</v>
      </c>
      <c r="AJ36" s="50">
        <f>VLOOKUP(B36,'SegEnds_NonXtal_Prot#'!A:AL,22,FALSE)-VLOOKUP(B36,'SegEnds_NonXtal_Prot#'!A:AL,19,FALSE)</f>
        <v>18</v>
      </c>
      <c r="AK36" s="50">
        <f>VLOOKUP(B36,'SegEnds_NonXtal_Prot#'!A:AL,15,FALSE)-VLOOKUP(B36,'SegEnds_NonXtal_Prot#'!A:AL,14,FALSE)</f>
        <v>1</v>
      </c>
      <c r="AL36" s="50">
        <f>VLOOKUP(B36,'SegEnds_NonXtal_Prot#'!A:AL,18,FALSE)-VLOOKUP(B36,'SegEnds_NonXtal_Prot#'!A:AL,17,FALSE)</f>
        <v>1</v>
      </c>
      <c r="AM36" s="2">
        <f>VLOOKUP(B36,'SegEnds_NonXtal_Prot#'!A:AL,34,FALSE)-VLOOKUP(B36,'SegEnds_NonXtal_Prot#'!A:AL,31,FALSE)</f>
        <v>42</v>
      </c>
      <c r="AN36" s="38"/>
    </row>
    <row r="37" spans="1:64" s="2" customFormat="1" x14ac:dyDescent="0.2">
      <c r="A37" s="2" t="s">
        <v>1273</v>
      </c>
      <c r="B37" s="2" t="s">
        <v>1175</v>
      </c>
      <c r="C37" s="2">
        <f>IFERROR(50+VLOOKUP($A37,'SegEnds_Xtal_Prot#'!$A:$AY,5,FALSE)-VLOOKUP($B37,'SegEnds_NonXtal_Prot#'!$A:$AL,4,FALSE),"-")</f>
        <v>32</v>
      </c>
      <c r="D37" s="2">
        <f>IFERROR(50+VLOOKUP($A37,'SegEnds_Xtal_Prot#'!$A:$AY,7,FALSE)-VLOOKUP($B37,'SegEnds_NonXtal_Prot#'!$A:$AL,4,FALSE),"-")</f>
        <v>60</v>
      </c>
      <c r="E37" s="2">
        <f>IFERROR(50+VLOOKUP($A37,'SegEnds_Xtal_Prot#'!$A:$AY,9,FALSE)-VLOOKUP($B37,'SegEnds_NonXtal_Prot#'!$A:$AL,7,FALSE),"-")</f>
        <v>48</v>
      </c>
      <c r="F37" s="2">
        <f>IFERROR(50+VLOOKUP($A37,'SegEnds_Xtal_Prot#'!$A:$AY,11,FALSE)-VLOOKUP($B37,'SegEnds_NonXtal_Prot#'!$A:$AL,7,FALSE),"-")</f>
        <v>51</v>
      </c>
      <c r="G37" s="2">
        <f>IFERROR(50+VLOOKUP($A37,'SegEnds_Xtal_Prot#'!$A:$AY,13,FALSE)-VLOOKUP($B37,'SegEnds_NonXtal_Prot#'!$A:$AL,10,FALSE),"-")</f>
        <v>37</v>
      </c>
      <c r="H37" s="2">
        <f>IFERROR(50+VLOOKUP($A37,'SegEnds_Xtal_Prot#'!$A:$AY,15,FALSE)-VLOOKUP($B37,'SegEnds_NonXtal_Prot#'!$A:$AL,10,FALSE),"-")</f>
        <v>67</v>
      </c>
      <c r="I37" s="2">
        <f>IFERROR(50+VLOOKUP($A37,'SegEnds_Xtal_Prot#'!$A:$AY,17,FALSE)-VLOOKUP($B37,'SegEnds_NonXtal_Prot#'!$A:$AL,13,FALSE),"-")</f>
        <v>49</v>
      </c>
      <c r="J37" s="2">
        <f>IFERROR(50+VLOOKUP($A37,'SegEnds_Xtal_Prot#'!$A:$AY,19,FALSE)-VLOOKUP($B37,'SegEnds_NonXtal_Prot#'!$A:$AL,13,FALSE),"-")</f>
        <v>52</v>
      </c>
      <c r="K37" s="2">
        <f>IFERROR(50+VLOOKUP($A37,'SegEnds_Xtal_Prot#'!$A:$AY,21,FALSE)-VLOOKUP($B37,'SegEnds_NonXtal_Prot#'!$A:$AL,16,FALSE),"-")</f>
        <v>21</v>
      </c>
      <c r="L37" s="2">
        <f>IFERROR(50+VLOOKUP($A37,'SegEnds_Xtal_Prot#'!$A:$AY,23,FALSE)-VLOOKUP($B37,'SegEnds_NonXtal_Prot#'!$A:$AL,16,FALSE),"-")</f>
        <v>56</v>
      </c>
      <c r="M37" s="2">
        <f>IFERROR(50+VLOOKUP($A37,'SegEnds_Xtal_Prot#'!$A:$AY,25,FALSE)-VLOOKUP($B37,'SegEnds_NonXtal_Prot#'!$A:$AL,19,FALSE),"-")</f>
        <v>50</v>
      </c>
      <c r="N37" s="2">
        <f>IFERROR(50+VLOOKUP($A37,'SegEnds_Xtal_Prot#'!$A:$AY,27,FALSE)-VLOOKUP($B37,'SegEnds_NonXtal_Prot#'!$A:$AL,19,FALSE),"-")</f>
        <v>53</v>
      </c>
      <c r="O37" s="2">
        <f>IFERROR(50+VLOOKUP($A37,'SegEnds_Xtal_Prot#'!$A:$AY,29,FALSE)-VLOOKUP($B37,'SegEnds_NonXtal_Prot#'!$A:$AL,22,FALSE),"-")</f>
        <v>38</v>
      </c>
      <c r="P37" s="2">
        <f>IFERROR(50+VLOOKUP($A37,'SegEnds_Xtal_Prot#'!$A:$AY,31,FALSE)-VLOOKUP($B37,'SegEnds_NonXtal_Prot#'!$A:$AL,22,FALSE),"-")</f>
        <v>64</v>
      </c>
      <c r="Q37" s="2">
        <f>IFERROR(50+VLOOKUP($A37,'SegEnds_Xtal_Prot#'!$A:$AY,33,FALSE)-VLOOKUP($B37,'SegEnds_NonXtal_Prot#'!$A:$AL,25,FALSE),"-")</f>
        <v>50</v>
      </c>
      <c r="R37" s="2">
        <f>IFERROR(50+VLOOKUP($A37,'SegEnds_Xtal_Prot#'!$A:$AY,35,FALSE)-VLOOKUP($B37,'SegEnds_NonXtal_Prot#'!$A:$AL,25,FALSE),"-")</f>
        <v>52</v>
      </c>
      <c r="S37" s="2">
        <f>IFERROR(50+VLOOKUP($A37,'SegEnds_Xtal_Prot#'!$A:$AY,37,FALSE)-VLOOKUP($B37,'SegEnds_NonXtal_Prot#'!$A:$AL,28,FALSE),"-")</f>
        <v>32</v>
      </c>
      <c r="T37" s="2">
        <f>IFERROR(50+VLOOKUP($A37,'SegEnds_Xtal_Prot#'!$A:$AY,39,FALSE)-VLOOKUP($B37,'SegEnds_NonXtal_Prot#'!$A:$AL,28,FALSE),"-")</f>
        <v>71</v>
      </c>
      <c r="U37" s="2">
        <f>IFERROR(50+VLOOKUP($A37,'SegEnds_Xtal_Prot#'!$A:$AY,41,FALSE)-VLOOKUP($B37,'SegEnds_NonXtal_Prot#'!$A:$AL,31,FALSE),"-")</f>
        <v>20</v>
      </c>
      <c r="V37" s="2">
        <f>IFERROR(50+VLOOKUP($A37,'SegEnds_Xtal_Prot#'!$A:$AY,43,FALSE)-VLOOKUP($B37,'SegEnds_NonXtal_Prot#'!$A:$AL,31,FALSE),"-")</f>
        <v>61</v>
      </c>
      <c r="W37" s="2">
        <f>IFERROR(50+VLOOKUP($A37,'SegEnds_Xtal_Prot#'!$A:$AY,45,FALSE)-VLOOKUP($B37,'SegEnds_NonXtal_Prot#'!$A:$AL,34,FALSE),"-")</f>
        <v>28</v>
      </c>
      <c r="X37" s="2">
        <f>IFERROR(50+VLOOKUP($A37,'SegEnds_Xtal_Prot#'!$A:$AY,47,FALSE)-VLOOKUP($B37,'SegEnds_NonXtal_Prot#'!$A:$AL,34,FALSE),"-")</f>
        <v>56</v>
      </c>
      <c r="Y37" s="2">
        <f>IFERROR(50+VLOOKUP($A37,'SegEnds_Xtal_Prot#'!$A:$AY,49,FALSE)-VLOOKUP($B37,'SegEnds_NonXtal_Prot#'!$A:$AL,37,FALSE),"-")</f>
        <v>47</v>
      </c>
      <c r="Z37" s="2">
        <f>IFERROR(50+VLOOKUP($A37,'SegEnds_Xtal_Prot#'!$A:$AY,51,FALSE)-VLOOKUP($B37,'SegEnds_NonXtal_Prot#'!$A:$AL,37,FALSE),"-")</f>
        <v>58</v>
      </c>
      <c r="AA37" s="50" t="str">
        <f>VLOOKUP(B37,Classification!A:D,2,FALSE)</f>
        <v>A</v>
      </c>
      <c r="AB37" s="97" t="str">
        <f>VLOOKUP(B37,Classification!A:D,4,0)</f>
        <v>Orexin</v>
      </c>
      <c r="AC37" s="50">
        <f>VLOOKUP(B37,'SegEnds_NonXtal_Prot#'!A:AL,6,FALSE)-VLOOKUP(B37,'SegEnds_NonXtal_Prot#'!A:AL,5,FALSE)</f>
        <v>1</v>
      </c>
      <c r="AD37" s="50">
        <f>VLOOKUP(B37,'SegEnds_NonXtal_Prot#'!A:AL,9,FALSE)-VLOOKUP(B37,'SegEnds_NonXtal_Prot#'!A:AL,8,FALSE)</f>
        <v>1</v>
      </c>
      <c r="AE37" s="50">
        <f>VLOOKUP(B37,'SegEnds_NonXtal_Prot#'!A:AL,13,FALSE)-VLOOKUP(B37,'SegEnds_NonXtal_Prot#'!A:AL,10,FALSE)</f>
        <v>20</v>
      </c>
      <c r="AF37" s="50">
        <f>VLOOKUP(B37,'SegEnds_NonXtal_Prot#'!A:AL,12,FALSE)-VLOOKUP(B37,'SegEnds_NonXtal_Prot#'!A:AL,11,FALSE)</f>
        <v>2</v>
      </c>
      <c r="AG37" s="50">
        <f>VLOOKUP(B37,'SegEnds_NonXtal_Prot#'!A:AL,13,FALSE)-VLOOKUP(B37,'SegEnds_NonXtal_Prot#'!A:AL,11,FALSE)</f>
        <v>3</v>
      </c>
      <c r="AH37" s="50">
        <f>VLOOKUP(B37,'SegEnds_NonXtal_Prot#'!A:AL,16,FALSE)-VLOOKUP(B37,'SegEnds_NonXtal_Prot#'!A:AL,10,FALSE)</f>
        <v>52</v>
      </c>
      <c r="AI37" s="50">
        <f>VLOOKUP(B37,'SegEnds_NonXtal_Prot#'!A:AL,16,FALSE)-VLOOKUP(B37,'SegEnds_NonXtal_Prot#'!A:AL,11,FALSE)</f>
        <v>35</v>
      </c>
      <c r="AJ37" s="50">
        <f>VLOOKUP(B37,'SegEnds_NonXtal_Prot#'!A:AL,22,FALSE)-VLOOKUP(B37,'SegEnds_NonXtal_Prot#'!A:AL,19,FALSE)</f>
        <v>18</v>
      </c>
      <c r="AK37" s="50">
        <f>VLOOKUP(B37,'SegEnds_NonXtal_Prot#'!A:AL,15,FALSE)-VLOOKUP(B37,'SegEnds_NonXtal_Prot#'!A:AL,14,FALSE)</f>
        <v>1</v>
      </c>
      <c r="AL37" s="50">
        <f>VLOOKUP(B37,'SegEnds_NonXtal_Prot#'!A:AL,18,FALSE)-VLOOKUP(B37,'SegEnds_NonXtal_Prot#'!A:AL,17,FALSE)</f>
        <v>1</v>
      </c>
      <c r="AM37" s="2">
        <f>VLOOKUP(B37,'SegEnds_NonXtal_Prot#'!A:AL,34,FALSE)-VLOOKUP(B37,'SegEnds_NonXtal_Prot#'!A:AL,31,FALSE)</f>
        <v>42</v>
      </c>
      <c r="AN37" s="38"/>
    </row>
    <row r="38" spans="1:64" s="2" customFormat="1" x14ac:dyDescent="0.2">
      <c r="A38" s="2" t="s">
        <v>1275</v>
      </c>
      <c r="B38" s="2" t="s">
        <v>345</v>
      </c>
      <c r="C38" s="2">
        <f>IFERROR(50+VLOOKUP($A38,'SegEnds_Xtal_Prot#'!$A:$AY,5,FALSE)-VLOOKUP($B38,'SegEnds_NonXtal_Prot#'!$A:$AL,4,FALSE),"-")</f>
        <v>30</v>
      </c>
      <c r="D38" s="2">
        <f>IFERROR(50+VLOOKUP($A38,'SegEnds_Xtal_Prot#'!$A:$AY,7,FALSE)-VLOOKUP($B38,'SegEnds_NonXtal_Prot#'!$A:$AL,4,FALSE),"-")</f>
        <v>60</v>
      </c>
      <c r="E38" s="2" t="str">
        <f>IFERROR(50+VLOOKUP($A38,'SegEnds_Xtal_Prot#'!$A:$AY,9,FALSE)-VLOOKUP($B38,'SegEnds_NonXtal_Prot#'!$A:$AL,7,FALSE),"-")</f>
        <v>-</v>
      </c>
      <c r="F38" s="2" t="str">
        <f>IFERROR(50+VLOOKUP($A38,'SegEnds_Xtal_Prot#'!$A:$AY,11,FALSE)-VLOOKUP($B38,'SegEnds_NonXtal_Prot#'!$A:$AL,7,FALSE),"-")</f>
        <v>-</v>
      </c>
      <c r="G38" s="2">
        <f>IFERROR(50+VLOOKUP($A38,'SegEnds_Xtal_Prot#'!$A:$AY,13,FALSE)-VLOOKUP($B38,'SegEnds_NonXtal_Prot#'!$A:$AL,10,FALSE),"-")</f>
        <v>37</v>
      </c>
      <c r="H38" s="2">
        <f>IFERROR(50+VLOOKUP($A38,'SegEnds_Xtal_Prot#'!$A:$AY,15,FALSE)-VLOOKUP($B38,'SegEnds_NonXtal_Prot#'!$A:$AL,10,FALSE),"-")</f>
        <v>66</v>
      </c>
      <c r="I38" s="2">
        <f>IFERROR(50+VLOOKUP($A38,'SegEnds_Xtal_Prot#'!$A:$AY,17,FALSE)-VLOOKUP($B38,'SegEnds_NonXtal_Prot#'!$A:$AL,13,FALSE),"-")</f>
        <v>49</v>
      </c>
      <c r="J38" s="2">
        <f>IFERROR(50+VLOOKUP($A38,'SegEnds_Xtal_Prot#'!$A:$AY,19,FALSE)-VLOOKUP($B38,'SegEnds_NonXtal_Prot#'!$A:$AL,13,FALSE),"-")</f>
        <v>52</v>
      </c>
      <c r="K38" s="2">
        <f>IFERROR(50+VLOOKUP($A38,'SegEnds_Xtal_Prot#'!$A:$AY,21,FALSE)-VLOOKUP($B38,'SegEnds_NonXtal_Prot#'!$A:$AL,16,FALSE),"-")</f>
        <v>21</v>
      </c>
      <c r="L38" s="2">
        <f>IFERROR(50+VLOOKUP($A38,'SegEnds_Xtal_Prot#'!$A:$AY,23,FALSE)-VLOOKUP($B38,'SegEnds_NonXtal_Prot#'!$A:$AL,16,FALSE),"-")</f>
        <v>56</v>
      </c>
      <c r="M38" s="2">
        <f>IFERROR(50+VLOOKUP($A38,'SegEnds_Xtal_Prot#'!$A:$AY,25,FALSE)-VLOOKUP($B38,'SegEnds_NonXtal_Prot#'!$A:$AL,19,FALSE),"-")</f>
        <v>50</v>
      </c>
      <c r="N38" s="2">
        <f>IFERROR(50+VLOOKUP($A38,'SegEnds_Xtal_Prot#'!$A:$AY,27,FALSE)-VLOOKUP($B38,'SegEnds_NonXtal_Prot#'!$A:$AL,19,FALSE),"-")</f>
        <v>57</v>
      </c>
      <c r="O38" s="2">
        <f>IFERROR(50+VLOOKUP($A38,'SegEnds_Xtal_Prot#'!$A:$AY,29,FALSE)-VLOOKUP($B38,'SegEnds_NonXtal_Prot#'!$A:$AL,22,FALSE),"-")</f>
        <v>38</v>
      </c>
      <c r="P38" s="2">
        <f>IFERROR(50+VLOOKUP($A38,'SegEnds_Xtal_Prot#'!$A:$AY,31,FALSE)-VLOOKUP($B38,'SegEnds_NonXtal_Prot#'!$A:$AL,22,FALSE),"-")</f>
        <v>64</v>
      </c>
      <c r="Q38" s="2">
        <f>IFERROR(50+VLOOKUP($A38,'SegEnds_Xtal_Prot#'!$A:$AY,33,FALSE)-VLOOKUP($B38,'SegEnds_NonXtal_Prot#'!$A:$AL,25,FALSE),"-")</f>
        <v>50</v>
      </c>
      <c r="R38" s="2">
        <f>IFERROR(50+VLOOKUP($A38,'SegEnds_Xtal_Prot#'!$A:$AY,35,FALSE)-VLOOKUP($B38,'SegEnds_NonXtal_Prot#'!$A:$AL,25,FALSE),"-")</f>
        <v>52</v>
      </c>
      <c r="S38" s="2">
        <f>IFERROR(50+VLOOKUP($A38,'SegEnds_Xtal_Prot#'!$A:$AY,37,FALSE)-VLOOKUP($B38,'SegEnds_NonXtal_Prot#'!$A:$AL,28,FALSE),"-")</f>
        <v>32</v>
      </c>
      <c r="T38" s="2">
        <f>IFERROR(50+VLOOKUP($A38,'SegEnds_Xtal_Prot#'!$A:$AY,39,FALSE)-VLOOKUP($B38,'SegEnds_NonXtal_Prot#'!$A:$AL,28,FALSE),"-")</f>
        <v>68</v>
      </c>
      <c r="U38" s="2">
        <f>IFERROR(50+VLOOKUP($A38,'SegEnds_Xtal_Prot#'!$A:$AY,41,FALSE)-VLOOKUP($B38,'SegEnds_NonXtal_Prot#'!$A:$AL,31,FALSE),"-")</f>
        <v>28</v>
      </c>
      <c r="V38" s="2">
        <f>IFERROR(50+VLOOKUP($A38,'SegEnds_Xtal_Prot#'!$A:$AY,43,FALSE)-VLOOKUP($B38,'SegEnds_NonXtal_Prot#'!$A:$AL,31,FALSE),"-")</f>
        <v>64</v>
      </c>
      <c r="W38" s="2">
        <f>IFERROR(50+VLOOKUP($A38,'SegEnds_Xtal_Prot#'!$A:$AY,45,FALSE)-VLOOKUP($B38,'SegEnds_NonXtal_Prot#'!$A:$AL,34,FALSE),"-")</f>
        <v>24</v>
      </c>
      <c r="X38" s="2">
        <f>IFERROR(50+VLOOKUP($A38,'SegEnds_Xtal_Prot#'!$A:$AY,47,FALSE)-VLOOKUP($B38,'SegEnds_NonXtal_Prot#'!$A:$AL,34,FALSE),"-")</f>
        <v>56</v>
      </c>
      <c r="Y38" s="2">
        <f>IFERROR(50+VLOOKUP($A38,'SegEnds_Xtal_Prot#'!$A:$AY,49,FALSE)-VLOOKUP($B38,'SegEnds_NonXtal_Prot#'!$A:$AL,37,FALSE),"-")</f>
        <v>47</v>
      </c>
      <c r="Z38" s="2">
        <f>IFERROR(50+VLOOKUP($A38,'SegEnds_Xtal_Prot#'!$A:$AY,51,FALSE)-VLOOKUP($B38,'SegEnds_NonXtal_Prot#'!$A:$AL,37,FALSE),"-")</f>
        <v>59</v>
      </c>
      <c r="AA38" s="50" t="str">
        <f>VLOOKUP(B38,Classification!A:D,2,FALSE)</f>
        <v>A</v>
      </c>
      <c r="AB38" s="97" t="str">
        <f>VLOOKUP(B38,Classification!A:D,4,0)</f>
        <v>P2Y</v>
      </c>
      <c r="AC38" s="50" t="e">
        <f>VLOOKUP(B38,'SegEnds_NonXtal_Prot#'!A:AL,6,FALSE)-VLOOKUP(B38,'SegEnds_NonXtal_Prot#'!A:AL,5,FALSE)</f>
        <v>#VALUE!</v>
      </c>
      <c r="AD38" s="50" t="e">
        <f>VLOOKUP(B38,'SegEnds_NonXtal_Prot#'!A:AL,9,FALSE)-VLOOKUP(B38,'SegEnds_NonXtal_Prot#'!A:AL,8,FALSE)</f>
        <v>#VALUE!</v>
      </c>
      <c r="AE38" s="50">
        <f>VLOOKUP(B38,'SegEnds_NonXtal_Prot#'!A:AL,13,FALSE)-VLOOKUP(B38,'SegEnds_NonXtal_Prot#'!A:AL,10,FALSE)</f>
        <v>20</v>
      </c>
      <c r="AF38" s="50">
        <f>VLOOKUP(B38,'SegEnds_NonXtal_Prot#'!A:AL,12,FALSE)-VLOOKUP(B38,'SegEnds_NonXtal_Prot#'!A:AL,11,FALSE)</f>
        <v>3</v>
      </c>
      <c r="AG38" s="50">
        <f>VLOOKUP(B38,'SegEnds_NonXtal_Prot#'!A:AL,13,FALSE)-VLOOKUP(B38,'SegEnds_NonXtal_Prot#'!A:AL,11,FALSE)</f>
        <v>4</v>
      </c>
      <c r="AH38" s="50">
        <f>VLOOKUP(B38,'SegEnds_NonXtal_Prot#'!A:AL,16,FALSE)-VLOOKUP(B38,'SegEnds_NonXtal_Prot#'!A:AL,10,FALSE)</f>
        <v>52</v>
      </c>
      <c r="AI38" s="50">
        <f>VLOOKUP(B38,'SegEnds_NonXtal_Prot#'!A:AL,16,FALSE)-VLOOKUP(B38,'SegEnds_NonXtal_Prot#'!A:AL,11,FALSE)</f>
        <v>36</v>
      </c>
      <c r="AJ38" s="50">
        <f>VLOOKUP(B38,'SegEnds_NonXtal_Prot#'!A:AL,22,FALSE)-VLOOKUP(B38,'SegEnds_NonXtal_Prot#'!A:AL,19,FALSE)</f>
        <v>20</v>
      </c>
      <c r="AK38" s="50">
        <f>VLOOKUP(B38,'SegEnds_NonXtal_Prot#'!A:AL,15,FALSE)-VLOOKUP(B38,'SegEnds_NonXtal_Prot#'!A:AL,14,FALSE)</f>
        <v>1</v>
      </c>
      <c r="AL38" s="50">
        <f>VLOOKUP(B38,'SegEnds_NonXtal_Prot#'!A:AL,18,FALSE)-VLOOKUP(B38,'SegEnds_NonXtal_Prot#'!A:AL,17,FALSE)</f>
        <v>1</v>
      </c>
      <c r="AM38" s="2">
        <f>VLOOKUP(B38,'SegEnds_NonXtal_Prot#'!A:AL,34,FALSE)-VLOOKUP(B38,'SegEnds_NonXtal_Prot#'!A:AL,31,FALSE)</f>
        <v>46</v>
      </c>
      <c r="AN38" s="38"/>
    </row>
    <row r="39" spans="1:64" s="2" customFormat="1" x14ac:dyDescent="0.2">
      <c r="A39" s="2" t="s">
        <v>1276</v>
      </c>
      <c r="B39" s="2" t="s">
        <v>352</v>
      </c>
      <c r="C39" s="2">
        <f>IFERROR(50+VLOOKUP($A39,'SegEnds_Xtal_Prot#'!$A:$AY,5,FALSE)-VLOOKUP($B39,'SegEnds_NonXtal_Prot#'!$A:$AL,4,FALSE),"-")</f>
        <v>28</v>
      </c>
      <c r="D39" s="2">
        <f>IFERROR(50+VLOOKUP($A39,'SegEnds_Xtal_Prot#'!$A:$AY,7,FALSE)-VLOOKUP($B39,'SegEnds_NonXtal_Prot#'!$A:$AL,4,FALSE),"-")</f>
        <v>60</v>
      </c>
      <c r="E39" s="2" t="str">
        <f>IFERROR(50+VLOOKUP($A39,'SegEnds_Xtal_Prot#'!$A:$AY,9,FALSE)-VLOOKUP($B39,'SegEnds_NonXtal_Prot#'!$A:$AL,7,FALSE),"-")</f>
        <v>-</v>
      </c>
      <c r="F39" s="2" t="str">
        <f>IFERROR(50+VLOOKUP($A39,'SegEnds_Xtal_Prot#'!$A:$AY,11,FALSE)-VLOOKUP($B39,'SegEnds_NonXtal_Prot#'!$A:$AL,7,FALSE),"-")</f>
        <v>-</v>
      </c>
      <c r="G39" s="2">
        <f>IFERROR(50+VLOOKUP($A39,'SegEnds_Xtal_Prot#'!$A:$AY,13,FALSE)-VLOOKUP($B39,'SegEnds_NonXtal_Prot#'!$A:$AL,10,FALSE),"-")</f>
        <v>37</v>
      </c>
      <c r="H39" s="2">
        <f>IFERROR(50+VLOOKUP($A39,'SegEnds_Xtal_Prot#'!$A:$AY,15,FALSE)-VLOOKUP($B39,'SegEnds_NonXtal_Prot#'!$A:$AL,10,FALSE),"-")</f>
        <v>66</v>
      </c>
      <c r="I39" s="2" t="str">
        <f>IFERROR(50+VLOOKUP($A39,'SegEnds_Xtal_Prot#'!$A:$AY,17,FALSE)-VLOOKUP($B39,'SegEnds_NonXtal_Prot#'!$A:$AL,13,FALSE),"-")</f>
        <v>-</v>
      </c>
      <c r="J39" s="2" t="str">
        <f>IFERROR(50+VLOOKUP($A39,'SegEnds_Xtal_Prot#'!$A:$AY,19,FALSE)-VLOOKUP($B39,'SegEnds_NonXtal_Prot#'!$A:$AL,13,FALSE),"-")</f>
        <v>-</v>
      </c>
      <c r="K39" s="2">
        <f>IFERROR(50+VLOOKUP($A39,'SegEnds_Xtal_Prot#'!$A:$AY,21,FALSE)-VLOOKUP($B39,'SegEnds_NonXtal_Prot#'!$A:$AL,16,FALSE),"-")</f>
        <v>18</v>
      </c>
      <c r="L39" s="2">
        <f>IFERROR(50+VLOOKUP($A39,'SegEnds_Xtal_Prot#'!$A:$AY,23,FALSE)-VLOOKUP($B39,'SegEnds_NonXtal_Prot#'!$A:$AL,16,FALSE),"-")</f>
        <v>56</v>
      </c>
      <c r="M39" s="2">
        <f>IFERROR(50+VLOOKUP($A39,'SegEnds_Xtal_Prot#'!$A:$AY,25,FALSE)-VLOOKUP($B39,'SegEnds_NonXtal_Prot#'!$A:$AL,19,FALSE),"-")</f>
        <v>50</v>
      </c>
      <c r="N39" s="2">
        <f>IFERROR(50+VLOOKUP($A39,'SegEnds_Xtal_Prot#'!$A:$AY,27,FALSE)-VLOOKUP($B39,'SegEnds_NonXtal_Prot#'!$A:$AL,19,FALSE),"-")</f>
        <v>57</v>
      </c>
      <c r="O39" s="2">
        <f>IFERROR(50+VLOOKUP($A39,'SegEnds_Xtal_Prot#'!$A:$AY,29,FALSE)-VLOOKUP($B39,'SegEnds_NonXtal_Prot#'!$A:$AL,22,FALSE),"-")</f>
        <v>38</v>
      </c>
      <c r="P39" s="2">
        <f>IFERROR(50+VLOOKUP($A39,'SegEnds_Xtal_Prot#'!$A:$AY,31,FALSE)-VLOOKUP($B39,'SegEnds_NonXtal_Prot#'!$A:$AL,22,FALSE),"-")</f>
        <v>64</v>
      </c>
      <c r="Q39" s="2">
        <f>IFERROR(50+VLOOKUP($A39,'SegEnds_Xtal_Prot#'!$A:$AY,33,FALSE)-VLOOKUP($B39,'SegEnds_NonXtal_Prot#'!$A:$AL,25,FALSE),"-")</f>
        <v>50</v>
      </c>
      <c r="R39" s="2">
        <f>IFERROR(50+VLOOKUP($A39,'SegEnds_Xtal_Prot#'!$A:$AY,35,FALSE)-VLOOKUP($B39,'SegEnds_NonXtal_Prot#'!$A:$AL,25,FALSE),"-")</f>
        <v>52</v>
      </c>
      <c r="S39" s="2">
        <f>IFERROR(50+VLOOKUP($A39,'SegEnds_Xtal_Prot#'!$A:$AY,37,FALSE)-VLOOKUP($B39,'SegEnds_NonXtal_Prot#'!$A:$AL,28,FALSE),"-")</f>
        <v>30</v>
      </c>
      <c r="T39" s="2">
        <f>IFERROR(50+VLOOKUP($A39,'SegEnds_Xtal_Prot#'!$A:$AY,39,FALSE)-VLOOKUP($B39,'SegEnds_NonXtal_Prot#'!$A:$AL,28,FALSE),"-")</f>
        <v>72</v>
      </c>
      <c r="U39" s="2">
        <f>IFERROR(50+VLOOKUP($A39,'SegEnds_Xtal_Prot#'!$A:$AY,41,FALSE)-VLOOKUP($B39,'SegEnds_NonXtal_Prot#'!$A:$AL,31,FALSE),"-")</f>
        <v>29</v>
      </c>
      <c r="V39" s="2">
        <f>IFERROR(50+VLOOKUP($A39,'SegEnds_Xtal_Prot#'!$A:$AY,43,FALSE)-VLOOKUP($B39,'SegEnds_NonXtal_Prot#'!$A:$AL,31,FALSE),"-")</f>
        <v>64</v>
      </c>
      <c r="W39" s="2">
        <f>IFERROR(50+VLOOKUP($A39,'SegEnds_Xtal_Prot#'!$A:$AY,45,FALSE)-VLOOKUP($B39,'SegEnds_NonXtal_Prot#'!$A:$AL,34,FALSE),"-")</f>
        <v>24</v>
      </c>
      <c r="X39" s="2">
        <f>IFERROR(50+VLOOKUP($A39,'SegEnds_Xtal_Prot#'!$A:$AY,47,FALSE)-VLOOKUP($B39,'SegEnds_NonXtal_Prot#'!$A:$AL,34,FALSE),"-")</f>
        <v>56</v>
      </c>
      <c r="Y39" s="2">
        <f>IFERROR(50+VLOOKUP($A39,'SegEnds_Xtal_Prot#'!$A:$AY,49,FALSE)-VLOOKUP($B39,'SegEnds_NonXtal_Prot#'!$A:$AL,37,FALSE),"-")</f>
        <v>47</v>
      </c>
      <c r="Z39" s="2">
        <f>IFERROR(50+VLOOKUP($A39,'SegEnds_Xtal_Prot#'!$A:$AY,51,FALSE)-VLOOKUP($B39,'SegEnds_NonXtal_Prot#'!$A:$AL,37,FALSE),"-")</f>
        <v>57</v>
      </c>
      <c r="AA39" s="50" t="str">
        <f>VLOOKUP(B39,Classification!A:D,2,FALSE)</f>
        <v>A</v>
      </c>
      <c r="AB39" s="97" t="str">
        <f>VLOOKUP(B39,Classification!A:D,4,0)</f>
        <v>P2Y</v>
      </c>
      <c r="AC39" s="50" t="e">
        <f>VLOOKUP(B39,'SegEnds_NonXtal_Prot#'!A:AL,6,FALSE)-VLOOKUP(B39,'SegEnds_NonXtal_Prot#'!A:AL,5,FALSE)</f>
        <v>#VALUE!</v>
      </c>
      <c r="AD39" s="50" t="e">
        <f>VLOOKUP(B39,'SegEnds_NonXtal_Prot#'!A:AL,9,FALSE)-VLOOKUP(B39,'SegEnds_NonXtal_Prot#'!A:AL,8,FALSE)</f>
        <v>#VALUE!</v>
      </c>
      <c r="AE39" s="50" t="e">
        <f>VLOOKUP(B39,'SegEnds_NonXtal_Prot#'!A:AL,13,FALSE)-VLOOKUP(B39,'SegEnds_NonXtal_Prot#'!A:AL,10,FALSE)</f>
        <v>#VALUE!</v>
      </c>
      <c r="AF39" s="50" t="e">
        <f>VLOOKUP(B39,'SegEnds_NonXtal_Prot#'!A:AL,12,FALSE)-VLOOKUP(B39,'SegEnds_NonXtal_Prot#'!A:AL,11,FALSE)</f>
        <v>#VALUE!</v>
      </c>
      <c r="AG39" s="50" t="e">
        <f>VLOOKUP(B39,'SegEnds_NonXtal_Prot#'!A:AL,13,FALSE)-VLOOKUP(B39,'SegEnds_NonXtal_Prot#'!A:AL,11,FALSE)</f>
        <v>#VALUE!</v>
      </c>
      <c r="AH39" s="50">
        <f>VLOOKUP(B39,'SegEnds_NonXtal_Prot#'!A:AL,16,FALSE)-VLOOKUP(B39,'SegEnds_NonXtal_Prot#'!A:AL,10,FALSE)</f>
        <v>52</v>
      </c>
      <c r="AI39" s="50">
        <f>VLOOKUP(B39,'SegEnds_NonXtal_Prot#'!A:AL,16,FALSE)-VLOOKUP(B39,'SegEnds_NonXtal_Prot#'!A:AL,11,FALSE)</f>
        <v>36</v>
      </c>
      <c r="AJ39" s="50">
        <f>VLOOKUP(B39,'SegEnds_NonXtal_Prot#'!A:AL,22,FALSE)-VLOOKUP(B39,'SegEnds_NonXtal_Prot#'!A:AL,19,FALSE)</f>
        <v>20</v>
      </c>
      <c r="AK39" s="50" t="e">
        <f>VLOOKUP(B39,'SegEnds_NonXtal_Prot#'!A:AL,15,FALSE)-VLOOKUP(B39,'SegEnds_NonXtal_Prot#'!A:AL,14,FALSE)</f>
        <v>#VALUE!</v>
      </c>
      <c r="AL39" s="50">
        <f>VLOOKUP(B39,'SegEnds_NonXtal_Prot#'!A:AL,18,FALSE)-VLOOKUP(B39,'SegEnds_NonXtal_Prot#'!A:AL,17,FALSE)</f>
        <v>1</v>
      </c>
      <c r="AM39" s="2">
        <f>VLOOKUP(B39,'SegEnds_NonXtal_Prot#'!A:AL,34,FALSE)-VLOOKUP(B39,'SegEnds_NonXtal_Prot#'!A:AL,31,FALSE)</f>
        <v>44</v>
      </c>
      <c r="AN39" s="38"/>
    </row>
    <row r="40" spans="1:64" s="2" customFormat="1" x14ac:dyDescent="0.2">
      <c r="A40" s="2" t="s">
        <v>1277</v>
      </c>
      <c r="B40" s="2" t="s">
        <v>355</v>
      </c>
      <c r="C40" s="2">
        <f>IFERROR(50+VLOOKUP($A40,'SegEnds_Xtal_Prot#'!$A:$AY,5,FALSE)-VLOOKUP($B40,'SegEnds_NonXtal_Prot#'!$A:$AL,4,FALSE),"-")</f>
        <v>29</v>
      </c>
      <c r="D40" s="2">
        <f>IFERROR(50+VLOOKUP($A40,'SegEnds_Xtal_Prot#'!$A:$AY,7,FALSE)-VLOOKUP($B40,'SegEnds_NonXtal_Prot#'!$A:$AL,4,FALSE),"-")</f>
        <v>60</v>
      </c>
      <c r="E40" s="2">
        <f>IFERROR(50+VLOOKUP($A40,'SegEnds_Xtal_Prot#'!$A:$AY,9,FALSE)-VLOOKUP($B40,'SegEnds_NonXtal_Prot#'!$A:$AL,7,FALSE),"-")</f>
        <v>48</v>
      </c>
      <c r="F40" s="2">
        <f>IFERROR(50+VLOOKUP($A40,'SegEnds_Xtal_Prot#'!$A:$AY,11,FALSE)-VLOOKUP($B40,'SegEnds_NonXtal_Prot#'!$A:$AL,7,FALSE),"-")</f>
        <v>51</v>
      </c>
      <c r="G40" s="2">
        <f>IFERROR(50+VLOOKUP($A40,'SegEnds_Xtal_Prot#'!$A:$AY,13,FALSE)-VLOOKUP($B40,'SegEnds_NonXtal_Prot#'!$A:$AL,10,FALSE),"-")</f>
        <v>37</v>
      </c>
      <c r="H40" s="2">
        <f>IFERROR(50+VLOOKUP($A40,'SegEnds_Xtal_Prot#'!$A:$AY,15,FALSE)-VLOOKUP($B40,'SegEnds_NonXtal_Prot#'!$A:$AL,10,FALSE),"-")</f>
        <v>66</v>
      </c>
      <c r="I40" s="2">
        <f>IFERROR(50+VLOOKUP($A40,'SegEnds_Xtal_Prot#'!$A:$AY,17,FALSE)-VLOOKUP($B40,'SegEnds_NonXtal_Prot#'!$A:$AL,13,FALSE),"-")</f>
        <v>49</v>
      </c>
      <c r="J40" s="2">
        <f>IFERROR(50+VLOOKUP($A40,'SegEnds_Xtal_Prot#'!$A:$AY,19,FALSE)-VLOOKUP($B40,'SegEnds_NonXtal_Prot#'!$A:$AL,13,FALSE),"-")</f>
        <v>52</v>
      </c>
      <c r="K40" s="2">
        <f>IFERROR(50+VLOOKUP($A40,'SegEnds_Xtal_Prot#'!$A:$AY,21,FALSE)-VLOOKUP($B40,'SegEnds_NonXtal_Prot#'!$A:$AL,16,FALSE),"-")</f>
        <v>21</v>
      </c>
      <c r="L40" s="2">
        <f>IFERROR(50+VLOOKUP($A40,'SegEnds_Xtal_Prot#'!$A:$AY,23,FALSE)-VLOOKUP($B40,'SegEnds_NonXtal_Prot#'!$A:$AL,16,FALSE),"-")</f>
        <v>56</v>
      </c>
      <c r="M40" s="2">
        <f>IFERROR(50+VLOOKUP($A40,'SegEnds_Xtal_Prot#'!$A:$AY,25,FALSE)-VLOOKUP($B40,'SegEnds_NonXtal_Prot#'!$A:$AL,19,FALSE),"-")</f>
        <v>50</v>
      </c>
      <c r="N40" s="2">
        <f>IFERROR(50+VLOOKUP($A40,'SegEnds_Xtal_Prot#'!$A:$AY,27,FALSE)-VLOOKUP($B40,'SegEnds_NonXtal_Prot#'!$A:$AL,19,FALSE),"-")</f>
        <v>57</v>
      </c>
      <c r="O40" s="2">
        <f>IFERROR(50+VLOOKUP($A40,'SegEnds_Xtal_Prot#'!$A:$AY,29,FALSE)-VLOOKUP($B40,'SegEnds_NonXtal_Prot#'!$A:$AL,22,FALSE),"-")</f>
        <v>38</v>
      </c>
      <c r="P40" s="2">
        <f>IFERROR(50+VLOOKUP($A40,'SegEnds_Xtal_Prot#'!$A:$AY,31,FALSE)-VLOOKUP($B40,'SegEnds_NonXtal_Prot#'!$A:$AL,22,FALSE),"-")</f>
        <v>63</v>
      </c>
      <c r="Q40" s="2">
        <f>IFERROR(50+VLOOKUP($A40,'SegEnds_Xtal_Prot#'!$A:$AY,33,FALSE)-VLOOKUP($B40,'SegEnds_NonXtal_Prot#'!$A:$AL,25,FALSE),"-")</f>
        <v>50</v>
      </c>
      <c r="R40" s="2">
        <f>IFERROR(50+VLOOKUP($A40,'SegEnds_Xtal_Prot#'!$A:$AY,35,FALSE)-VLOOKUP($B40,'SegEnds_NonXtal_Prot#'!$A:$AL,25,FALSE),"-")</f>
        <v>52</v>
      </c>
      <c r="S40" s="2">
        <f>IFERROR(50+VLOOKUP($A40,'SegEnds_Xtal_Prot#'!$A:$AY,37,FALSE)-VLOOKUP($B40,'SegEnds_NonXtal_Prot#'!$A:$AL,28,FALSE),"-")</f>
        <v>32</v>
      </c>
      <c r="T40" s="2">
        <f>IFERROR(50+VLOOKUP($A40,'SegEnds_Xtal_Prot#'!$A:$AY,39,FALSE)-VLOOKUP($B40,'SegEnds_NonXtal_Prot#'!$A:$AL,28,FALSE),"-")</f>
        <v>67</v>
      </c>
      <c r="U40" s="2">
        <f>IFERROR(50+VLOOKUP($A40,'SegEnds_Xtal_Prot#'!$A:$AY,41,FALSE)-VLOOKUP($B40,'SegEnds_NonXtal_Prot#'!$A:$AL,31,FALSE),"-")</f>
        <v>26</v>
      </c>
      <c r="V40" s="2">
        <f>IFERROR(50+VLOOKUP($A40,'SegEnds_Xtal_Prot#'!$A:$AY,43,FALSE)-VLOOKUP($B40,'SegEnds_NonXtal_Prot#'!$A:$AL,31,FALSE),"-")</f>
        <v>62</v>
      </c>
      <c r="W40" s="2">
        <f>IFERROR(50+VLOOKUP($A40,'SegEnds_Xtal_Prot#'!$A:$AY,45,FALSE)-VLOOKUP($B40,'SegEnds_NonXtal_Prot#'!$A:$AL,34,FALSE),"-")</f>
        <v>28</v>
      </c>
      <c r="X40" s="2">
        <f>IFERROR(50+VLOOKUP($A40,'SegEnds_Xtal_Prot#'!$A:$AY,47,FALSE)-VLOOKUP($B40,'SegEnds_NonXtal_Prot#'!$A:$AL,34,FALSE),"-")</f>
        <v>56</v>
      </c>
      <c r="Y40" s="2">
        <f>IFERROR(50+VLOOKUP($A40,'SegEnds_Xtal_Prot#'!$A:$AY,49,FALSE)-VLOOKUP($B40,'SegEnds_NonXtal_Prot#'!$A:$AL,37,FALSE),"-")</f>
        <v>47</v>
      </c>
      <c r="Z40" s="2">
        <f>IFERROR(50+VLOOKUP($A40,'SegEnds_Xtal_Prot#'!$A:$AY,51,FALSE)-VLOOKUP($B40,'SegEnds_NonXtal_Prot#'!$A:$AL,37,FALSE),"-")</f>
        <v>61</v>
      </c>
      <c r="AA40" s="50" t="str">
        <f>VLOOKUP(B40,Classification!A:D,2,FALSE)</f>
        <v>A</v>
      </c>
      <c r="AB40" s="97" t="str">
        <f>VLOOKUP(B40,Classification!A:D,4,0)</f>
        <v>Proteinase-activated</v>
      </c>
      <c r="AC40" s="50">
        <f>VLOOKUP(B40,'SegEnds_NonXtal_Prot#'!A:AL,6,FALSE)-VLOOKUP(B40,'SegEnds_NonXtal_Prot#'!A:AL,5,FALSE)</f>
        <v>1</v>
      </c>
      <c r="AD40" s="50">
        <f>VLOOKUP(B40,'SegEnds_NonXtal_Prot#'!A:AL,9,FALSE)-VLOOKUP(B40,'SegEnds_NonXtal_Prot#'!A:AL,8,FALSE)</f>
        <v>1</v>
      </c>
      <c r="AE40" s="50">
        <f>VLOOKUP(B40,'SegEnds_NonXtal_Prot#'!A:AL,13,FALSE)-VLOOKUP(B40,'SegEnds_NonXtal_Prot#'!A:AL,10,FALSE)</f>
        <v>20</v>
      </c>
      <c r="AF40" s="50">
        <f>VLOOKUP(B40,'SegEnds_NonXtal_Prot#'!A:AL,12,FALSE)-VLOOKUP(B40,'SegEnds_NonXtal_Prot#'!A:AL,11,FALSE)</f>
        <v>3</v>
      </c>
      <c r="AG40" s="50">
        <f>VLOOKUP(B40,'SegEnds_NonXtal_Prot#'!A:AL,13,FALSE)-VLOOKUP(B40,'SegEnds_NonXtal_Prot#'!A:AL,11,FALSE)</f>
        <v>4</v>
      </c>
      <c r="AH40" s="50">
        <f>VLOOKUP(B40,'SegEnds_NonXtal_Prot#'!A:AL,16,FALSE)-VLOOKUP(B40,'SegEnds_NonXtal_Prot#'!A:AL,10,FALSE)</f>
        <v>52</v>
      </c>
      <c r="AI40" s="50">
        <f>VLOOKUP(B40,'SegEnds_NonXtal_Prot#'!A:AL,16,FALSE)-VLOOKUP(B40,'SegEnds_NonXtal_Prot#'!A:AL,11,FALSE)</f>
        <v>36</v>
      </c>
      <c r="AJ40" s="50">
        <f>VLOOKUP(B40,'SegEnds_NonXtal_Prot#'!A:AL,22,FALSE)-VLOOKUP(B40,'SegEnds_NonXtal_Prot#'!A:AL,19,FALSE)</f>
        <v>20</v>
      </c>
      <c r="AK40" s="50">
        <f>VLOOKUP(B40,'SegEnds_NonXtal_Prot#'!A:AL,15,FALSE)-VLOOKUP(B40,'SegEnds_NonXtal_Prot#'!A:AL,14,FALSE)</f>
        <v>1</v>
      </c>
      <c r="AL40" s="50">
        <f>VLOOKUP(B40,'SegEnds_NonXtal_Prot#'!A:AL,18,FALSE)-VLOOKUP(B40,'SegEnds_NonXtal_Prot#'!A:AL,17,FALSE)</f>
        <v>1</v>
      </c>
      <c r="AM40" s="2">
        <f>VLOOKUP(B40,'SegEnds_NonXtal_Prot#'!A:AL,34,FALSE)-VLOOKUP(B40,'SegEnds_NonXtal_Prot#'!A:AL,31,FALSE)</f>
        <v>40</v>
      </c>
      <c r="AN40" s="38"/>
    </row>
    <row r="41" spans="1:64" s="2" customFormat="1" x14ac:dyDescent="0.2">
      <c r="A41" s="2" t="s">
        <v>1405</v>
      </c>
      <c r="B41" s="2" t="s">
        <v>356</v>
      </c>
      <c r="C41" s="2">
        <f>IFERROR(50+VLOOKUP($A41,'SegEnds_Xtal_Prot#'!$A:$AY,5,FALSE)-VLOOKUP($B41,'SegEnds_NonXtal_Prot#'!$A:$AL,4,FALSE),"-")</f>
        <v>28</v>
      </c>
      <c r="D41" s="2">
        <f>IFERROR(50+VLOOKUP($A41,'SegEnds_Xtal_Prot#'!$A:$AY,7,FALSE)-VLOOKUP($B41,'SegEnds_NonXtal_Prot#'!$A:$AL,4,FALSE),"-")</f>
        <v>60</v>
      </c>
      <c r="E41" s="2" t="str">
        <f>IFERROR(50+VLOOKUP($A41,'SegEnds_Xtal_Prot#'!$A:$AY,9,FALSE)-VLOOKUP($B41,'SegEnds_NonXtal_Prot#'!$A:$AL,7,FALSE),"-")</f>
        <v>-</v>
      </c>
      <c r="F41" s="2" t="str">
        <f>IFERROR(50+VLOOKUP($A41,'SegEnds_Xtal_Prot#'!$A:$AY,11,FALSE)-VLOOKUP($B41,'SegEnds_NonXtal_Prot#'!$A:$AL,7,FALSE),"-")</f>
        <v>-</v>
      </c>
      <c r="G41" s="2">
        <f>IFERROR(50+VLOOKUP($A41,'SegEnds_Xtal_Prot#'!$A:$AY,13,FALSE)-VLOOKUP($B41,'SegEnds_NonXtal_Prot#'!$A:$AL,10,FALSE),"-")</f>
        <v>37</v>
      </c>
      <c r="H41" s="2">
        <f>IFERROR(50+VLOOKUP($A41,'SegEnds_Xtal_Prot#'!$A:$AY,15,FALSE)-VLOOKUP($B41,'SegEnds_NonXtal_Prot#'!$A:$AL,10,FALSE),"-")</f>
        <v>66</v>
      </c>
      <c r="I41" s="2">
        <f>IFERROR(50+VLOOKUP($A41,'SegEnds_Xtal_Prot#'!$A:$AY,17,FALSE)-VLOOKUP($B41,'SegEnds_NonXtal_Prot#'!$A:$AL,13,FALSE),"-")</f>
        <v>47</v>
      </c>
      <c r="J41" s="2">
        <f>IFERROR(50+VLOOKUP($A41,'SegEnds_Xtal_Prot#'!$A:$AY,19,FALSE)-VLOOKUP($B41,'SegEnds_NonXtal_Prot#'!$A:$AL,13,FALSE),"-")</f>
        <v>52</v>
      </c>
      <c r="K41" s="2">
        <f>IFERROR(50+VLOOKUP($A41,'SegEnds_Xtal_Prot#'!$A:$AY,21,FALSE)-VLOOKUP($B41,'SegEnds_NonXtal_Prot#'!$A:$AL,16,FALSE),"-")</f>
        <v>21</v>
      </c>
      <c r="L41" s="2">
        <f>IFERROR(50+VLOOKUP($A41,'SegEnds_Xtal_Prot#'!$A:$AY,23,FALSE)-VLOOKUP($B41,'SegEnds_NonXtal_Prot#'!$A:$AL,16,FALSE),"-")</f>
        <v>56</v>
      </c>
      <c r="M41" s="2">
        <f>IFERROR(50+VLOOKUP($A41,'SegEnds_Xtal_Prot#'!$A:$AY,25,FALSE)-VLOOKUP($B41,'SegEnds_NonXtal_Prot#'!$A:$AL,19,FALSE),"-")</f>
        <v>50</v>
      </c>
      <c r="N41" s="2">
        <f>IFERROR(50+VLOOKUP($A41,'SegEnds_Xtal_Prot#'!$A:$AY,27,FALSE)-VLOOKUP($B41,'SegEnds_NonXtal_Prot#'!$A:$AL,19,FALSE),"-")</f>
        <v>56</v>
      </c>
      <c r="O41" s="2">
        <f>IFERROR(50+VLOOKUP($A41,'SegEnds_Xtal_Prot#'!$A:$AY,29,FALSE)-VLOOKUP($B41,'SegEnds_NonXtal_Prot#'!$A:$AL,22,FALSE),"-")</f>
        <v>38</v>
      </c>
      <c r="P41" s="2">
        <f>IFERROR(50+VLOOKUP($A41,'SegEnds_Xtal_Prot#'!$A:$AY,31,FALSE)-VLOOKUP($B41,'SegEnds_NonXtal_Prot#'!$A:$AL,22,FALSE),"-")</f>
        <v>62</v>
      </c>
      <c r="Q41" s="2">
        <f>IFERROR(50+VLOOKUP($A41,'SegEnds_Xtal_Prot#'!$A:$AY,33,FALSE)-VLOOKUP($B41,'SegEnds_NonXtal_Prot#'!$A:$AL,25,FALSE),"-")</f>
        <v>50</v>
      </c>
      <c r="R41" s="2">
        <f>IFERROR(50+VLOOKUP($A41,'SegEnds_Xtal_Prot#'!$A:$AY,35,FALSE)-VLOOKUP($B41,'SegEnds_NonXtal_Prot#'!$A:$AL,25,FALSE),"-")</f>
        <v>52</v>
      </c>
      <c r="S41" s="2">
        <f>IFERROR(50+VLOOKUP($A41,'SegEnds_Xtal_Prot#'!$A:$AY,37,FALSE)-VLOOKUP($B41,'SegEnds_NonXtal_Prot#'!$A:$AL,28,FALSE),"-")</f>
        <v>31</v>
      </c>
      <c r="T41" s="2">
        <f>IFERROR(50+VLOOKUP($A41,'SegEnds_Xtal_Prot#'!$A:$AY,39,FALSE)-VLOOKUP($B41,'SegEnds_NonXtal_Prot#'!$A:$AL,28,FALSE),"-")</f>
        <v>68</v>
      </c>
      <c r="U41" s="2">
        <f>IFERROR(50+VLOOKUP($A41,'SegEnds_Xtal_Prot#'!$A:$AY,41,FALSE)-VLOOKUP($B41,'SegEnds_NonXtal_Prot#'!$A:$AL,31,FALSE),"-")</f>
        <v>26</v>
      </c>
      <c r="V41" s="2">
        <f>IFERROR(50+VLOOKUP($A41,'SegEnds_Xtal_Prot#'!$A:$AY,43,FALSE)-VLOOKUP($B41,'SegEnds_NonXtal_Prot#'!$A:$AL,31,FALSE),"-")</f>
        <v>65</v>
      </c>
      <c r="W41" s="2">
        <f>IFERROR(50+VLOOKUP($A41,'SegEnds_Xtal_Prot#'!$A:$AY,45,FALSE)-VLOOKUP($B41,'SegEnds_NonXtal_Prot#'!$A:$AL,34,FALSE),"-")</f>
        <v>31</v>
      </c>
      <c r="X41" s="2">
        <f>IFERROR(50+VLOOKUP($A41,'SegEnds_Xtal_Prot#'!$A:$AY,47,FALSE)-VLOOKUP($B41,'SegEnds_NonXtal_Prot#'!$A:$AL,34,FALSE),"-")</f>
        <v>56</v>
      </c>
      <c r="Y41" s="2">
        <f>IFERROR(50+VLOOKUP($A41,'SegEnds_Xtal_Prot#'!$A:$AY,49,FALSE)-VLOOKUP($B41,'SegEnds_NonXtal_Prot#'!$A:$AL,37,FALSE),"-")</f>
        <v>47</v>
      </c>
      <c r="Z41" s="2">
        <f>IFERROR(50+VLOOKUP($A41,'SegEnds_Xtal_Prot#'!$A:$AY,51,FALSE)-VLOOKUP($B41,'SegEnds_NonXtal_Prot#'!$A:$AL,37,FALSE),"-")</f>
        <v>61</v>
      </c>
      <c r="AA41" s="50" t="str">
        <f>VLOOKUP(B41,Classification!A:D,2,FALSE)</f>
        <v>A</v>
      </c>
      <c r="AB41" s="97" t="str">
        <f>VLOOKUP(B41,Classification!A:D,4,0)</f>
        <v>Proteinase-activated</v>
      </c>
      <c r="AC41" s="50" t="e">
        <f>VLOOKUP(B41,'SegEnds_NonXtal_Prot#'!A:AL,6,FALSE)-VLOOKUP(B41,'SegEnds_NonXtal_Prot#'!A:AL,5,FALSE)</f>
        <v>#VALUE!</v>
      </c>
      <c r="AD41" s="50" t="e">
        <f>VLOOKUP(B41,'SegEnds_NonXtal_Prot#'!A:AL,9,FALSE)-VLOOKUP(B41,'SegEnds_NonXtal_Prot#'!A:AL,8,FALSE)</f>
        <v>#VALUE!</v>
      </c>
      <c r="AE41" s="50">
        <f>VLOOKUP(B41,'SegEnds_NonXtal_Prot#'!A:AL,13,FALSE)-VLOOKUP(B41,'SegEnds_NonXtal_Prot#'!A:AL,10,FALSE)</f>
        <v>20</v>
      </c>
      <c r="AF41" s="50">
        <f>VLOOKUP(B41,'SegEnds_NonXtal_Prot#'!A:AL,12,FALSE)-VLOOKUP(B41,'SegEnds_NonXtal_Prot#'!A:AL,11,FALSE)</f>
        <v>3</v>
      </c>
      <c r="AG41" s="50">
        <f>VLOOKUP(B41,'SegEnds_NonXtal_Prot#'!A:AL,13,FALSE)-VLOOKUP(B41,'SegEnds_NonXtal_Prot#'!A:AL,11,FALSE)</f>
        <v>4</v>
      </c>
      <c r="AH41" s="50">
        <f>VLOOKUP(B41,'SegEnds_NonXtal_Prot#'!A:AL,16,FALSE)-VLOOKUP(B41,'SegEnds_NonXtal_Prot#'!A:AL,10,FALSE)</f>
        <v>52</v>
      </c>
      <c r="AI41" s="50">
        <f>VLOOKUP(B41,'SegEnds_NonXtal_Prot#'!A:AL,16,FALSE)-VLOOKUP(B41,'SegEnds_NonXtal_Prot#'!A:AL,11,FALSE)</f>
        <v>36</v>
      </c>
      <c r="AJ41" s="50">
        <f>VLOOKUP(B41,'SegEnds_NonXtal_Prot#'!A:AL,22,FALSE)-VLOOKUP(B41,'SegEnds_NonXtal_Prot#'!A:AL,19,FALSE)</f>
        <v>19</v>
      </c>
      <c r="AK41" s="50">
        <f>VLOOKUP(B41,'SegEnds_NonXtal_Prot#'!A:AL,15,FALSE)-VLOOKUP(B41,'SegEnds_NonXtal_Prot#'!A:AL,14,FALSE)</f>
        <v>1</v>
      </c>
      <c r="AL41" s="50">
        <f>VLOOKUP(B41,'SegEnds_NonXtal_Prot#'!A:AL,18,FALSE)-VLOOKUP(B41,'SegEnds_NonXtal_Prot#'!A:AL,17,FALSE)</f>
        <v>1</v>
      </c>
      <c r="AM41" s="2">
        <f>VLOOKUP(B41,'SegEnds_NonXtal_Prot#'!A:AL,34,FALSE)-VLOOKUP(B41,'SegEnds_NonXtal_Prot#'!A:AL,31,FALSE)</f>
        <v>39</v>
      </c>
      <c r="AN41" s="38"/>
    </row>
    <row r="42" spans="1:64" s="2" customFormat="1" x14ac:dyDescent="0.2">
      <c r="A42" s="2" t="s">
        <v>1411</v>
      </c>
      <c r="B42" s="2" t="s">
        <v>401</v>
      </c>
      <c r="C42" s="2">
        <f>IFERROR(50+VLOOKUP($A42,'SegEnds_Xtal_Prot#'!$A:$AY,5,FALSE)-VLOOKUP($B42,'SegEnds_NonXtal_Prot#'!$A:$AL,4,FALSE),"-")</f>
        <v>19</v>
      </c>
      <c r="D42" s="2">
        <f>IFERROR(50+VLOOKUP($A42,'SegEnds_Xtal_Prot#'!$A:$AY,7,FALSE)-VLOOKUP($B42,'SegEnds_NonXtal_Prot#'!$A:$AL,4,FALSE),"-")</f>
        <v>60</v>
      </c>
      <c r="E42" s="2">
        <f>IFERROR(50+VLOOKUP($A42,'SegEnds_Xtal_Prot#'!$A:$AY,9,FALSE)-VLOOKUP($B42,'SegEnds_NonXtal_Prot#'!$A:$AL,7,FALSE),"-")</f>
        <v>48</v>
      </c>
      <c r="F42" s="2">
        <f>IFERROR(50+VLOOKUP($A42,'SegEnds_Xtal_Prot#'!$A:$AY,11,FALSE)-VLOOKUP($B42,'SegEnds_NonXtal_Prot#'!$A:$AL,7,FALSE),"-")</f>
        <v>51</v>
      </c>
      <c r="G42" s="2">
        <f>IFERROR(50+VLOOKUP($A42,'SegEnds_Xtal_Prot#'!$A:$AY,13,FALSE)-VLOOKUP($B42,'SegEnds_NonXtal_Prot#'!$A:$AL,10,FALSE),"-")</f>
        <v>37</v>
      </c>
      <c r="H42" s="2">
        <f>IFERROR(50+VLOOKUP($A42,'SegEnds_Xtal_Prot#'!$A:$AY,15,FALSE)-VLOOKUP($B42,'SegEnds_NonXtal_Prot#'!$A:$AL,10,FALSE),"-")</f>
        <v>64</v>
      </c>
      <c r="I42" s="2" t="str">
        <f>IFERROR(50+VLOOKUP($A42,'SegEnds_Xtal_Prot#'!$A:$AY,17,FALSE)-VLOOKUP($B42,'SegEnds_NonXtal_Prot#'!$A:$AL,13,FALSE),"-")</f>
        <v>-</v>
      </c>
      <c r="J42" s="2" t="str">
        <f>IFERROR(50+VLOOKUP($A42,'SegEnds_Xtal_Prot#'!$A:$AY,19,FALSE)-VLOOKUP($B42,'SegEnds_NonXtal_Prot#'!$A:$AL,13,FALSE),"-")</f>
        <v>-</v>
      </c>
      <c r="K42" s="2">
        <f>IFERROR(50+VLOOKUP($A42,'SegEnds_Xtal_Prot#'!$A:$AY,21,FALSE)-VLOOKUP($B42,'SegEnds_NonXtal_Prot#'!$A:$AL,16,FALSE),"-")</f>
        <v>21</v>
      </c>
      <c r="L42" s="2">
        <f>IFERROR(50+VLOOKUP($A42,'SegEnds_Xtal_Prot#'!$A:$AY,23,FALSE)-VLOOKUP($B42,'SegEnds_NonXtal_Prot#'!$A:$AL,16,FALSE),"-")</f>
        <v>56</v>
      </c>
      <c r="M42" s="2" t="str">
        <f>IFERROR(50+VLOOKUP($A42,'SegEnds_Xtal_Prot#'!$A:$AY,25,FALSE)-VLOOKUP($B42,'SegEnds_NonXtal_Prot#'!$A:$AL,19,FALSE),"-")</f>
        <v>-</v>
      </c>
      <c r="N42" s="2" t="str">
        <f>IFERROR(50+VLOOKUP($A42,'SegEnds_Xtal_Prot#'!$A:$AY,27,FALSE)-VLOOKUP($B42,'SegEnds_NonXtal_Prot#'!$A:$AL,19,FALSE),"-")</f>
        <v>-</v>
      </c>
      <c r="O42" s="2">
        <f>IFERROR(50+VLOOKUP($A42,'SegEnds_Xtal_Prot#'!$A:$AY,29,FALSE)-VLOOKUP($B42,'SegEnds_NonXtal_Prot#'!$A:$AL,22,FALSE),"-")</f>
        <v>41</v>
      </c>
      <c r="P42" s="2">
        <f>IFERROR(50+VLOOKUP($A42,'SegEnds_Xtal_Prot#'!$A:$AY,31,FALSE)-VLOOKUP($B42,'SegEnds_NonXtal_Prot#'!$A:$AL,22,FALSE),"-")</f>
        <v>68</v>
      </c>
      <c r="Q42" s="2">
        <f>IFERROR(50+VLOOKUP($A42,'SegEnds_Xtal_Prot#'!$A:$AY,33,FALSE)-VLOOKUP($B42,'SegEnds_NonXtal_Prot#'!$A:$AL,25,FALSE),"-")</f>
        <v>50</v>
      </c>
      <c r="R42" s="2">
        <f>IFERROR(50+VLOOKUP($A42,'SegEnds_Xtal_Prot#'!$A:$AY,35,FALSE)-VLOOKUP($B42,'SegEnds_NonXtal_Prot#'!$A:$AL,25,FALSE),"-")</f>
        <v>52</v>
      </c>
      <c r="S42" s="2">
        <f>IFERROR(50+VLOOKUP($A42,'SegEnds_Xtal_Prot#'!$A:$AY,37,FALSE)-VLOOKUP($B42,'SegEnds_NonXtal_Prot#'!$A:$AL,28,FALSE),"-")</f>
        <v>40</v>
      </c>
      <c r="T42" s="2">
        <f>IFERROR(50+VLOOKUP($A42,'SegEnds_Xtal_Prot#'!$A:$AY,39,FALSE)-VLOOKUP($B42,'SegEnds_NonXtal_Prot#'!$A:$AL,28,FALSE),"-")</f>
        <v>70</v>
      </c>
      <c r="U42" s="2">
        <f>IFERROR(50+VLOOKUP($A42,'SegEnds_Xtal_Prot#'!$A:$AY,41,FALSE)-VLOOKUP($B42,'SegEnds_NonXtal_Prot#'!$A:$AL,31,FALSE),"-")</f>
        <v>30</v>
      </c>
      <c r="V42" s="2">
        <f>IFERROR(50+VLOOKUP($A42,'SegEnds_Xtal_Prot#'!$A:$AY,43,FALSE)-VLOOKUP($B42,'SegEnds_NonXtal_Prot#'!$A:$AL,31,FALSE),"-")</f>
        <v>53</v>
      </c>
      <c r="W42" s="2">
        <f>IFERROR(50+VLOOKUP($A42,'SegEnds_Xtal_Prot#'!$A:$AY,45,FALSE)-VLOOKUP($B42,'SegEnds_NonXtal_Prot#'!$A:$AL,34,FALSE),"-")</f>
        <v>28</v>
      </c>
      <c r="X42" s="2">
        <f>IFERROR(50+VLOOKUP($A42,'SegEnds_Xtal_Prot#'!$A:$AY,47,FALSE)-VLOOKUP($B42,'SegEnds_NonXtal_Prot#'!$A:$AL,34,FALSE),"-")</f>
        <v>56</v>
      </c>
      <c r="Y42" s="2">
        <f>IFERROR(50+VLOOKUP($A42,'SegEnds_Xtal_Prot#'!$A:$AY,49,FALSE)-VLOOKUP($B42,'SegEnds_NonXtal_Prot#'!$A:$AL,37,FALSE),"-")</f>
        <v>47</v>
      </c>
      <c r="Z42" s="2">
        <f>IFERROR(50+VLOOKUP($A42,'SegEnds_Xtal_Prot#'!$A:$AY,51,FALSE)-VLOOKUP($B42,'SegEnds_NonXtal_Prot#'!$A:$AL,37,FALSE),"-")</f>
        <v>72</v>
      </c>
      <c r="AA42" s="50" t="str">
        <f>VLOOKUP(B42,Classification!A:D,2,FALSE)</f>
        <v>B1</v>
      </c>
      <c r="AB42" s="97" t="str">
        <f>VLOOKUP(B42,Classification!A:D,4,0)</f>
        <v>Calcitonin</v>
      </c>
      <c r="AC42" s="50">
        <f>VLOOKUP(B42,'SegEnds_NonXtal_Prot#'!A:AL,6,FALSE)-VLOOKUP(B42,'SegEnds_NonXtal_Prot#'!A:AL,5,FALSE)</f>
        <v>1</v>
      </c>
      <c r="AD42" s="50">
        <f>VLOOKUP(B42,'SegEnds_NonXtal_Prot#'!A:AL,9,FALSE)-VLOOKUP(B42,'SegEnds_NonXtal_Prot#'!A:AL,8,FALSE)</f>
        <v>1</v>
      </c>
      <c r="AE42" s="50" t="e">
        <f>VLOOKUP(B42,'SegEnds_NonXtal_Prot#'!A:AL,13,FALSE)-VLOOKUP(B42,'SegEnds_NonXtal_Prot#'!A:AL,10,FALSE)</f>
        <v>#VALUE!</v>
      </c>
      <c r="AF42" s="50" t="e">
        <f>VLOOKUP(B42,'SegEnds_NonXtal_Prot#'!A:AL,12,FALSE)-VLOOKUP(B42,'SegEnds_NonXtal_Prot#'!A:AL,11,FALSE)</f>
        <v>#VALUE!</v>
      </c>
      <c r="AG42" s="50" t="e">
        <f>VLOOKUP(B42,'SegEnds_NonXtal_Prot#'!A:AL,13,FALSE)-VLOOKUP(B42,'SegEnds_NonXtal_Prot#'!A:AL,11,FALSE)</f>
        <v>#VALUE!</v>
      </c>
      <c r="AH42" s="50">
        <f>VLOOKUP(B42,'SegEnds_NonXtal_Prot#'!A:AL,16,FALSE)-VLOOKUP(B42,'SegEnds_NonXtal_Prot#'!A:AL,10,FALSE)</f>
        <v>53</v>
      </c>
      <c r="AI42" s="50">
        <f>VLOOKUP(B42,'SegEnds_NonXtal_Prot#'!A:AL,16,FALSE)-VLOOKUP(B42,'SegEnds_NonXtal_Prot#'!A:AL,11,FALSE)</f>
        <v>39</v>
      </c>
      <c r="AJ42" s="50" t="e">
        <f>VLOOKUP(B42,'SegEnds_NonXtal_Prot#'!A:AL,22,FALSE)-VLOOKUP(B42,'SegEnds_NonXtal_Prot#'!A:AL,19,FALSE)</f>
        <v>#VALUE!</v>
      </c>
      <c r="AK42" s="50" t="e">
        <f>VLOOKUP(B42,'SegEnds_NonXtal_Prot#'!A:AL,15,FALSE)-VLOOKUP(B42,'SegEnds_NonXtal_Prot#'!A:AL,14,FALSE)</f>
        <v>#VALUE!</v>
      </c>
      <c r="AL42" s="50" t="e">
        <f>VLOOKUP(B42,'SegEnds_NonXtal_Prot#'!A:AL,18,FALSE)-VLOOKUP(B42,'SegEnds_NonXtal_Prot#'!A:AL,17,FALSE)</f>
        <v>#VALUE!</v>
      </c>
      <c r="AM42" s="2">
        <f>VLOOKUP(B42,'SegEnds_NonXtal_Prot#'!A:AL,34,FALSE)-VLOOKUP(B42,'SegEnds_NonXtal_Prot#'!A:AL,31,FALSE)</f>
        <v>30</v>
      </c>
      <c r="AN42" s="38"/>
    </row>
    <row r="43" spans="1:64" s="2" customFormat="1" x14ac:dyDescent="0.2">
      <c r="A43" s="2" t="s">
        <v>1255</v>
      </c>
      <c r="B43" s="2" t="s">
        <v>38</v>
      </c>
      <c r="C43" s="2">
        <f>IFERROR(50+VLOOKUP($A43,'SegEnds_Xtal_Prot#'!$A:$AY,5,FALSE)-VLOOKUP($B43,'SegEnds_NonXtal_Prot#'!$A:$AL,4,FALSE),"-")</f>
        <v>19</v>
      </c>
      <c r="D43" s="2">
        <f>IFERROR(50+VLOOKUP($A43,'SegEnds_Xtal_Prot#'!$A:$AY,7,FALSE)-VLOOKUP($B43,'SegEnds_NonXtal_Prot#'!$A:$AL,4,FALSE),"-")</f>
        <v>60</v>
      </c>
      <c r="E43" s="2">
        <f>IFERROR(50+VLOOKUP($A43,'SegEnds_Xtal_Prot#'!$A:$AY,9,FALSE)-VLOOKUP($B43,'SegEnds_NonXtal_Prot#'!$A:$AL,7,FALSE),"-")</f>
        <v>48</v>
      </c>
      <c r="F43" s="2">
        <f>IFERROR(50+VLOOKUP($A43,'SegEnds_Xtal_Prot#'!$A:$AY,11,FALSE)-VLOOKUP($B43,'SegEnds_NonXtal_Prot#'!$A:$AL,7,FALSE),"-")</f>
        <v>51</v>
      </c>
      <c r="G43" s="2">
        <f>IFERROR(50+VLOOKUP($A43,'SegEnds_Xtal_Prot#'!$A:$AY,13,FALSE)-VLOOKUP($B43,'SegEnds_NonXtal_Prot#'!$A:$AL,10,FALSE),"-")</f>
        <v>37</v>
      </c>
      <c r="H43" s="2">
        <f>IFERROR(50+VLOOKUP($A43,'SegEnds_Xtal_Prot#'!$A:$AY,15,FALSE)-VLOOKUP($B43,'SegEnds_NonXtal_Prot#'!$A:$AL,10,FALSE),"-")</f>
        <v>63</v>
      </c>
      <c r="I43" s="2" t="str">
        <f>IFERROR(50+VLOOKUP($A43,'SegEnds_Xtal_Prot#'!$A:$AY,17,FALSE)-VLOOKUP($B43,'SegEnds_NonXtal_Prot#'!$A:$AL,13,FALSE),"-")</f>
        <v>-</v>
      </c>
      <c r="J43" s="2" t="str">
        <f>IFERROR(50+VLOOKUP($A43,'SegEnds_Xtal_Prot#'!$A:$AY,19,FALSE)-VLOOKUP($B43,'SegEnds_NonXtal_Prot#'!$A:$AL,13,FALSE),"-")</f>
        <v>-</v>
      </c>
      <c r="K43" s="2">
        <f>IFERROR(50+VLOOKUP($A43,'SegEnds_Xtal_Prot#'!$A:$AY,21,FALSE)-VLOOKUP($B43,'SegEnds_NonXtal_Prot#'!$A:$AL,16,FALSE),"-")</f>
        <v>22</v>
      </c>
      <c r="L43" s="2">
        <f>IFERROR(50+VLOOKUP($A43,'SegEnds_Xtal_Prot#'!$A:$AY,23,FALSE)-VLOOKUP($B43,'SegEnds_NonXtal_Prot#'!$A:$AL,16,FALSE),"-")</f>
        <v>56</v>
      </c>
      <c r="M43" s="2" t="str">
        <f>IFERROR(50+VLOOKUP($A43,'SegEnds_Xtal_Prot#'!$A:$AY,25,FALSE)-VLOOKUP($B43,'SegEnds_NonXtal_Prot#'!$A:$AL,19,FALSE),"-")</f>
        <v>-</v>
      </c>
      <c r="N43" s="2" t="str">
        <f>IFERROR(50+VLOOKUP($A43,'SegEnds_Xtal_Prot#'!$A:$AY,27,FALSE)-VLOOKUP($B43,'SegEnds_NonXtal_Prot#'!$A:$AL,19,FALSE),"-")</f>
        <v>-</v>
      </c>
      <c r="O43" s="2">
        <f>IFERROR(50+VLOOKUP($A43,'SegEnds_Xtal_Prot#'!$A:$AY,29,FALSE)-VLOOKUP($B43,'SegEnds_NonXtal_Prot#'!$A:$AL,22,FALSE),"-")</f>
        <v>40</v>
      </c>
      <c r="P43" s="2">
        <f>IFERROR(50+VLOOKUP($A43,'SegEnds_Xtal_Prot#'!$A:$AY,31,FALSE)-VLOOKUP($B43,'SegEnds_NonXtal_Prot#'!$A:$AL,22,FALSE),"-")</f>
        <v>68</v>
      </c>
      <c r="Q43" s="2">
        <f>IFERROR(50+VLOOKUP($A43,'SegEnds_Xtal_Prot#'!$A:$AY,33,FALSE)-VLOOKUP($B43,'SegEnds_NonXtal_Prot#'!$A:$AL,25,FALSE),"-")</f>
        <v>50</v>
      </c>
      <c r="R43" s="2">
        <f>IFERROR(50+VLOOKUP($A43,'SegEnds_Xtal_Prot#'!$A:$AY,35,FALSE)-VLOOKUP($B43,'SegEnds_NonXtal_Prot#'!$A:$AL,25,FALSE),"-")</f>
        <v>52</v>
      </c>
      <c r="S43" s="2">
        <f>IFERROR(50+VLOOKUP($A43,'SegEnds_Xtal_Prot#'!$A:$AY,37,FALSE)-VLOOKUP($B43,'SegEnds_NonXtal_Prot#'!$A:$AL,28,FALSE),"-")</f>
        <v>39</v>
      </c>
      <c r="T43" s="2">
        <f>IFERROR(50+VLOOKUP($A43,'SegEnds_Xtal_Prot#'!$A:$AY,39,FALSE)-VLOOKUP($B43,'SegEnds_NonXtal_Prot#'!$A:$AL,28,FALSE),"-")</f>
        <v>69</v>
      </c>
      <c r="U43" s="2">
        <f>IFERROR(50+VLOOKUP($A43,'SegEnds_Xtal_Prot#'!$A:$AY,41,FALSE)-VLOOKUP($B43,'SegEnds_NonXtal_Prot#'!$A:$AL,31,FALSE),"-")</f>
        <v>25</v>
      </c>
      <c r="V43" s="2">
        <f>IFERROR(50+VLOOKUP($A43,'SegEnds_Xtal_Prot#'!$A:$AY,43,FALSE)-VLOOKUP($B43,'SegEnds_NonXtal_Prot#'!$A:$AL,31,FALSE),"-")</f>
        <v>53</v>
      </c>
      <c r="W43" s="2">
        <f>IFERROR(50+VLOOKUP($A43,'SegEnds_Xtal_Prot#'!$A:$AY,45,FALSE)-VLOOKUP($B43,'SegEnds_NonXtal_Prot#'!$A:$AL,34,FALSE),"-")</f>
        <v>29</v>
      </c>
      <c r="X43" s="2">
        <f>IFERROR(50+VLOOKUP($A43,'SegEnds_Xtal_Prot#'!$A:$AY,47,FALSE)-VLOOKUP($B43,'SegEnds_NonXtal_Prot#'!$A:$AL,34,FALSE),"-")</f>
        <v>56</v>
      </c>
      <c r="Y43" s="2">
        <f>IFERROR(50+VLOOKUP($A43,'SegEnds_Xtal_Prot#'!$A:$AY,49,FALSE)-VLOOKUP($B43,'SegEnds_NonXtal_Prot#'!$A:$AL,37,FALSE),"-")</f>
        <v>47</v>
      </c>
      <c r="Z43" s="2">
        <f>IFERROR(50+VLOOKUP($A43,'SegEnds_Xtal_Prot#'!$A:$AY,51,FALSE)-VLOOKUP($B43,'SegEnds_NonXtal_Prot#'!$A:$AL,37,FALSE),"-")</f>
        <v>72</v>
      </c>
      <c r="AA43" s="50" t="str">
        <f>VLOOKUP(B43,Classification!A:D,2,FALSE)</f>
        <v>B1</v>
      </c>
      <c r="AB43" s="97" t="str">
        <f>VLOOKUP(B43,Classification!A:D,4,0)</f>
        <v>Corticotropin-releasingfact</v>
      </c>
      <c r="AC43" s="50">
        <f>VLOOKUP(B43,'SegEnds_NonXtal_Prot#'!A:AL,6,FALSE)-VLOOKUP(B43,'SegEnds_NonXtal_Prot#'!A:AL,5,FALSE)</f>
        <v>1</v>
      </c>
      <c r="AD43" s="50">
        <f>VLOOKUP(B43,'SegEnds_NonXtal_Prot#'!A:AL,9,FALSE)-VLOOKUP(B43,'SegEnds_NonXtal_Prot#'!A:AL,8,FALSE)</f>
        <v>1</v>
      </c>
      <c r="AE43" s="50" t="e">
        <f>VLOOKUP(B43,'SegEnds_NonXtal_Prot#'!A:AL,13,FALSE)-VLOOKUP(B43,'SegEnds_NonXtal_Prot#'!A:AL,10,FALSE)</f>
        <v>#VALUE!</v>
      </c>
      <c r="AF43" s="50" t="e">
        <f>VLOOKUP(B43,'SegEnds_NonXtal_Prot#'!A:AL,12,FALSE)-VLOOKUP(B43,'SegEnds_NonXtal_Prot#'!A:AL,11,FALSE)</f>
        <v>#VALUE!</v>
      </c>
      <c r="AG43" s="50" t="e">
        <f>VLOOKUP(B43,'SegEnds_NonXtal_Prot#'!A:AL,13,FALSE)-VLOOKUP(B43,'SegEnds_NonXtal_Prot#'!A:AL,11,FALSE)</f>
        <v>#VALUE!</v>
      </c>
      <c r="AH43" s="50">
        <f>VLOOKUP(B43,'SegEnds_NonXtal_Prot#'!A:AL,16,FALSE)-VLOOKUP(B43,'SegEnds_NonXtal_Prot#'!A:AL,10,FALSE)</f>
        <v>51</v>
      </c>
      <c r="AI43" s="50">
        <f>VLOOKUP(B43,'SegEnds_NonXtal_Prot#'!A:AL,16,FALSE)-VLOOKUP(B43,'SegEnds_NonXtal_Prot#'!A:AL,11,FALSE)</f>
        <v>38</v>
      </c>
      <c r="AJ43" s="50" t="e">
        <f>VLOOKUP(B43,'SegEnds_NonXtal_Prot#'!A:AL,22,FALSE)-VLOOKUP(B43,'SegEnds_NonXtal_Prot#'!A:AL,19,FALSE)</f>
        <v>#VALUE!</v>
      </c>
      <c r="AK43" s="50" t="e">
        <f>VLOOKUP(B43,'SegEnds_NonXtal_Prot#'!A:AL,15,FALSE)-VLOOKUP(B43,'SegEnds_NonXtal_Prot#'!A:AL,14,FALSE)</f>
        <v>#VALUE!</v>
      </c>
      <c r="AL43" s="50" t="e">
        <f>VLOOKUP(B43,'SegEnds_NonXtal_Prot#'!A:AL,18,FALSE)-VLOOKUP(B43,'SegEnds_NonXtal_Prot#'!A:AL,17,FALSE)</f>
        <v>#VALUE!</v>
      </c>
      <c r="AM43" s="2">
        <f>VLOOKUP(B43,'SegEnds_NonXtal_Prot#'!A:AL,34,FALSE)-VLOOKUP(B43,'SegEnds_NonXtal_Prot#'!A:AL,31,FALSE)</f>
        <v>31</v>
      </c>
      <c r="AN43" s="40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</row>
    <row r="44" spans="1:64" s="2" customFormat="1" x14ac:dyDescent="0.2">
      <c r="A44" s="2" t="s">
        <v>1259</v>
      </c>
      <c r="B44" s="2" t="s">
        <v>32</v>
      </c>
      <c r="C44" s="2">
        <f>IFERROR(50+VLOOKUP($A44,'SegEnds_Xtal_Prot#'!$A:$AY,5,FALSE)-VLOOKUP($B44,'SegEnds_NonXtal_Prot#'!$A:$AL,4,FALSE),"-")</f>
        <v>25</v>
      </c>
      <c r="D44" s="2">
        <f>IFERROR(50+VLOOKUP($A44,'SegEnds_Xtal_Prot#'!$A:$AY,7,FALSE)-VLOOKUP($B44,'SegEnds_NonXtal_Prot#'!$A:$AL,4,FALSE),"-")</f>
        <v>60</v>
      </c>
      <c r="E44" s="2">
        <f>IFERROR(50+VLOOKUP($A44,'SegEnds_Xtal_Prot#'!$A:$AY,9,FALSE)-VLOOKUP($B44,'SegEnds_NonXtal_Prot#'!$A:$AL,7,FALSE),"-")</f>
        <v>48</v>
      </c>
      <c r="F44" s="2">
        <f>IFERROR(50+VLOOKUP($A44,'SegEnds_Xtal_Prot#'!$A:$AY,11,FALSE)-VLOOKUP($B44,'SegEnds_NonXtal_Prot#'!$A:$AL,7,FALSE),"-")</f>
        <v>51</v>
      </c>
      <c r="G44" s="2">
        <f>IFERROR(50+VLOOKUP($A44,'SegEnds_Xtal_Prot#'!$A:$AY,13,FALSE)-VLOOKUP($B44,'SegEnds_NonXtal_Prot#'!$A:$AL,10,FALSE),"-")</f>
        <v>37</v>
      </c>
      <c r="H44" s="2">
        <f>IFERROR(50+VLOOKUP($A44,'SegEnds_Xtal_Prot#'!$A:$AY,15,FALSE)-VLOOKUP($B44,'SegEnds_NonXtal_Prot#'!$A:$AL,10,FALSE),"-")</f>
        <v>67</v>
      </c>
      <c r="I44" s="2" t="str">
        <f>IFERROR(50+VLOOKUP($A44,'SegEnds_Xtal_Prot#'!$A:$AY,17,FALSE)-VLOOKUP($B44,'SegEnds_NonXtal_Prot#'!$A:$AL,13,FALSE),"-")</f>
        <v>-</v>
      </c>
      <c r="J44" s="2" t="str">
        <f>IFERROR(50+VLOOKUP($A44,'SegEnds_Xtal_Prot#'!$A:$AY,19,FALSE)-VLOOKUP($B44,'SegEnds_NonXtal_Prot#'!$A:$AL,13,FALSE),"-")</f>
        <v>-</v>
      </c>
      <c r="K44" s="2">
        <f>IFERROR(50+VLOOKUP($A44,'SegEnds_Xtal_Prot#'!$A:$AY,21,FALSE)-VLOOKUP($B44,'SegEnds_NonXtal_Prot#'!$A:$AL,16,FALSE),"-")</f>
        <v>18</v>
      </c>
      <c r="L44" s="2">
        <f>IFERROR(50+VLOOKUP($A44,'SegEnds_Xtal_Prot#'!$A:$AY,23,FALSE)-VLOOKUP($B44,'SegEnds_NonXtal_Prot#'!$A:$AL,16,FALSE),"-")</f>
        <v>56</v>
      </c>
      <c r="M44" s="2" t="str">
        <f>IFERROR(50+VLOOKUP($A44,'SegEnds_Xtal_Prot#'!$A:$AY,25,FALSE)-VLOOKUP($B44,'SegEnds_NonXtal_Prot#'!$A:$AL,19,FALSE),"-")</f>
        <v>-</v>
      </c>
      <c r="N44" s="2" t="str">
        <f>IFERROR(50+VLOOKUP($A44,'SegEnds_Xtal_Prot#'!$A:$AY,27,FALSE)-VLOOKUP($B44,'SegEnds_NonXtal_Prot#'!$A:$AL,19,FALSE),"-")</f>
        <v>-</v>
      </c>
      <c r="O44" s="2">
        <f>IFERROR(50+VLOOKUP($A44,'SegEnds_Xtal_Prot#'!$A:$AY,29,FALSE)-VLOOKUP($B44,'SegEnds_NonXtal_Prot#'!$A:$AL,22,FALSE),"-")</f>
        <v>40</v>
      </c>
      <c r="P44" s="2">
        <f>IFERROR(50+VLOOKUP($A44,'SegEnds_Xtal_Prot#'!$A:$AY,31,FALSE)-VLOOKUP($B44,'SegEnds_NonXtal_Prot#'!$A:$AL,22,FALSE),"-")</f>
        <v>68</v>
      </c>
      <c r="Q44" s="2">
        <f>IFERROR(50+VLOOKUP($A44,'SegEnds_Xtal_Prot#'!$A:$AY,33,FALSE)-VLOOKUP($B44,'SegEnds_NonXtal_Prot#'!$A:$AL,25,FALSE),"-")</f>
        <v>50</v>
      </c>
      <c r="R44" s="2">
        <f>IFERROR(50+VLOOKUP($A44,'SegEnds_Xtal_Prot#'!$A:$AY,35,FALSE)-VLOOKUP($B44,'SegEnds_NonXtal_Prot#'!$A:$AL,25,FALSE),"-")</f>
        <v>52</v>
      </c>
      <c r="S44" s="2">
        <f>IFERROR(50+VLOOKUP($A44,'SegEnds_Xtal_Prot#'!$A:$AY,37,FALSE)-VLOOKUP($B44,'SegEnds_NonXtal_Prot#'!$A:$AL,28,FALSE),"-")</f>
        <v>36</v>
      </c>
      <c r="T44" s="2">
        <f>IFERROR(50+VLOOKUP($A44,'SegEnds_Xtal_Prot#'!$A:$AY,39,FALSE)-VLOOKUP($B44,'SegEnds_NonXtal_Prot#'!$A:$AL,28,FALSE),"-")</f>
        <v>71</v>
      </c>
      <c r="U44" s="2">
        <f>IFERROR(50+VLOOKUP($A44,'SegEnds_Xtal_Prot#'!$A:$AY,41,FALSE)-VLOOKUP($B44,'SegEnds_NonXtal_Prot#'!$A:$AL,31,FALSE),"-")</f>
        <v>29</v>
      </c>
      <c r="V44" s="2">
        <f>IFERROR(50+VLOOKUP($A44,'SegEnds_Xtal_Prot#'!$A:$AY,43,FALSE)-VLOOKUP($B44,'SegEnds_NonXtal_Prot#'!$A:$AL,31,FALSE),"-")</f>
        <v>53</v>
      </c>
      <c r="W44" s="2">
        <f>IFERROR(50+VLOOKUP($A44,'SegEnds_Xtal_Prot#'!$A:$AY,45,FALSE)-VLOOKUP($B44,'SegEnds_NonXtal_Prot#'!$A:$AL,34,FALSE),"-")</f>
        <v>27</v>
      </c>
      <c r="X44" s="2">
        <f>IFERROR(50+VLOOKUP($A44,'SegEnds_Xtal_Prot#'!$A:$AY,47,FALSE)-VLOOKUP($B44,'SegEnds_NonXtal_Prot#'!$A:$AL,34,FALSE),"-")</f>
        <v>56</v>
      </c>
      <c r="Y44" s="2">
        <f>IFERROR(50+VLOOKUP($A44,'SegEnds_Xtal_Prot#'!$A:$AY,49,FALSE)-VLOOKUP($B44,'SegEnds_NonXtal_Prot#'!$A:$AL,37,FALSE),"-")</f>
        <v>47</v>
      </c>
      <c r="Z44" s="2">
        <f>IFERROR(50+VLOOKUP($A44,'SegEnds_Xtal_Prot#'!$A:$AY,51,FALSE)-VLOOKUP($B44,'SegEnds_NonXtal_Prot#'!$A:$AL,37,FALSE),"-")</f>
        <v>72</v>
      </c>
      <c r="AA44" s="50" t="str">
        <f>VLOOKUP(B44,Classification!A:D,2,FALSE)</f>
        <v>B1</v>
      </c>
      <c r="AB44" s="97" t="str">
        <f>VLOOKUP(B44,Classification!A:D,4,0)</f>
        <v>Glucagonreceptorfamily</v>
      </c>
      <c r="AC44" s="50">
        <f>VLOOKUP(B44,'SegEnds_NonXtal_Prot#'!A:AL,6,FALSE)-VLOOKUP(B44,'SegEnds_NonXtal_Prot#'!A:AL,5,FALSE)</f>
        <v>1</v>
      </c>
      <c r="AD44" s="50">
        <f>VLOOKUP(B44,'SegEnds_NonXtal_Prot#'!A:AL,9,FALSE)-VLOOKUP(B44,'SegEnds_NonXtal_Prot#'!A:AL,8,FALSE)</f>
        <v>1</v>
      </c>
      <c r="AE44" s="50" t="e">
        <f>VLOOKUP(B44,'SegEnds_NonXtal_Prot#'!A:AL,13,FALSE)-VLOOKUP(B44,'SegEnds_NonXtal_Prot#'!A:AL,10,FALSE)</f>
        <v>#VALUE!</v>
      </c>
      <c r="AF44" s="50" t="e">
        <f>VLOOKUP(B44,'SegEnds_NonXtal_Prot#'!A:AL,12,FALSE)-VLOOKUP(B44,'SegEnds_NonXtal_Prot#'!A:AL,11,FALSE)</f>
        <v>#VALUE!</v>
      </c>
      <c r="AG44" s="50" t="e">
        <f>VLOOKUP(B44,'SegEnds_NonXtal_Prot#'!A:AL,13,FALSE)-VLOOKUP(B44,'SegEnds_NonXtal_Prot#'!A:AL,11,FALSE)</f>
        <v>#VALUE!</v>
      </c>
      <c r="AH44" s="50">
        <f>VLOOKUP(B44,'SegEnds_NonXtal_Prot#'!A:AL,16,FALSE)-VLOOKUP(B44,'SegEnds_NonXtal_Prot#'!A:AL,10,FALSE)</f>
        <v>65</v>
      </c>
      <c r="AI44" s="50">
        <f>VLOOKUP(B44,'SegEnds_NonXtal_Prot#'!A:AL,16,FALSE)-VLOOKUP(B44,'SegEnds_NonXtal_Prot#'!A:AL,11,FALSE)</f>
        <v>48</v>
      </c>
      <c r="AJ44" s="50" t="e">
        <f>VLOOKUP(B44,'SegEnds_NonXtal_Prot#'!A:AL,22,FALSE)-VLOOKUP(B44,'SegEnds_NonXtal_Prot#'!A:AL,19,FALSE)</f>
        <v>#VALUE!</v>
      </c>
      <c r="AK44" s="50" t="e">
        <f>VLOOKUP(B44,'SegEnds_NonXtal_Prot#'!A:AL,15,FALSE)-VLOOKUP(B44,'SegEnds_NonXtal_Prot#'!A:AL,14,FALSE)</f>
        <v>#VALUE!</v>
      </c>
      <c r="AL44" s="50" t="e">
        <f>VLOOKUP(B44,'SegEnds_NonXtal_Prot#'!A:AL,18,FALSE)-VLOOKUP(B44,'SegEnds_NonXtal_Prot#'!A:AL,17,FALSE)</f>
        <v>#VALUE!</v>
      </c>
      <c r="AM44" s="2">
        <f>VLOOKUP(B44,'SegEnds_NonXtal_Prot#'!A:AL,34,FALSE)-VLOOKUP(B44,'SegEnds_NonXtal_Prot#'!A:AL,31,FALSE)</f>
        <v>33</v>
      </c>
      <c r="AN44" s="38"/>
    </row>
    <row r="45" spans="1:64" s="2" customFormat="1" x14ac:dyDescent="0.2">
      <c r="A45" s="2" t="s">
        <v>1417</v>
      </c>
      <c r="B45" s="2" t="s">
        <v>406</v>
      </c>
      <c r="C45" s="2">
        <f>IFERROR(50+VLOOKUP($A45,'SegEnds_Xtal_Prot#'!$A:$AY,5,FALSE)-VLOOKUP($B45,'SegEnds_NonXtal_Prot#'!$A:$AL,4,FALSE),"-")</f>
        <v>29</v>
      </c>
      <c r="D45" s="2">
        <f>IFERROR(50+VLOOKUP($A45,'SegEnds_Xtal_Prot#'!$A:$AY,7,FALSE)-VLOOKUP($B45,'SegEnds_NonXtal_Prot#'!$A:$AL,4,FALSE),"-")</f>
        <v>60</v>
      </c>
      <c r="E45" s="2">
        <f>IFERROR(50+VLOOKUP($A45,'SegEnds_Xtal_Prot#'!$A:$AY,9,FALSE)-VLOOKUP($B45,'SegEnds_NonXtal_Prot#'!$A:$AL,7,FALSE),"-")</f>
        <v>48</v>
      </c>
      <c r="F45" s="2">
        <f>IFERROR(50+VLOOKUP($A45,'SegEnds_Xtal_Prot#'!$A:$AY,11,FALSE)-VLOOKUP($B45,'SegEnds_NonXtal_Prot#'!$A:$AL,7,FALSE),"-")</f>
        <v>51</v>
      </c>
      <c r="G45" s="2">
        <f>IFERROR(50+VLOOKUP($A45,'SegEnds_Xtal_Prot#'!$A:$AY,13,FALSE)-VLOOKUP($B45,'SegEnds_NonXtal_Prot#'!$A:$AL,10,FALSE),"-")</f>
        <v>37</v>
      </c>
      <c r="H45" s="2">
        <f>IFERROR(50+VLOOKUP($A45,'SegEnds_Xtal_Prot#'!$A:$AY,15,FALSE)-VLOOKUP($B45,'SegEnds_NonXtal_Prot#'!$A:$AL,10,FALSE),"-")</f>
        <v>69</v>
      </c>
      <c r="I45" s="2" t="str">
        <f>IFERROR(50+VLOOKUP($A45,'SegEnds_Xtal_Prot#'!$A:$AY,17,FALSE)-VLOOKUP($B45,'SegEnds_NonXtal_Prot#'!$A:$AL,13,FALSE),"-")</f>
        <v>-</v>
      </c>
      <c r="J45" s="2" t="str">
        <f>IFERROR(50+VLOOKUP($A45,'SegEnds_Xtal_Prot#'!$A:$AY,19,FALSE)-VLOOKUP($B45,'SegEnds_NonXtal_Prot#'!$A:$AL,13,FALSE),"-")</f>
        <v>-</v>
      </c>
      <c r="K45" s="2">
        <f>IFERROR(50+VLOOKUP($A45,'SegEnds_Xtal_Prot#'!$A:$AY,21,FALSE)-VLOOKUP($B45,'SegEnds_NonXtal_Prot#'!$A:$AL,16,FALSE),"-")</f>
        <v>23</v>
      </c>
      <c r="L45" s="2">
        <f>IFERROR(50+VLOOKUP($A45,'SegEnds_Xtal_Prot#'!$A:$AY,23,FALSE)-VLOOKUP($B45,'SegEnds_NonXtal_Prot#'!$A:$AL,16,FALSE),"-")</f>
        <v>56</v>
      </c>
      <c r="M45" s="2" t="str">
        <f>IFERROR(50+VLOOKUP($A45,'SegEnds_Xtal_Prot#'!$A:$AY,25,FALSE)-VLOOKUP($B45,'SegEnds_NonXtal_Prot#'!$A:$AL,19,FALSE),"-")</f>
        <v>-</v>
      </c>
      <c r="N45" s="2" t="str">
        <f>IFERROR(50+VLOOKUP($A45,'SegEnds_Xtal_Prot#'!$A:$AY,27,FALSE)-VLOOKUP($B45,'SegEnds_NonXtal_Prot#'!$A:$AL,19,FALSE),"-")</f>
        <v>-</v>
      </c>
      <c r="O45" s="2">
        <f>IFERROR(50+VLOOKUP($A45,'SegEnds_Xtal_Prot#'!$A:$AY,29,FALSE)-VLOOKUP($B45,'SegEnds_NonXtal_Prot#'!$A:$AL,22,FALSE),"-")</f>
        <v>38</v>
      </c>
      <c r="P45" s="2">
        <f>IFERROR(50+VLOOKUP($A45,'SegEnds_Xtal_Prot#'!$A:$AY,31,FALSE)-VLOOKUP($B45,'SegEnds_NonXtal_Prot#'!$A:$AL,22,FALSE),"-")</f>
        <v>68</v>
      </c>
      <c r="Q45" s="2">
        <f>IFERROR(50+VLOOKUP($A45,'SegEnds_Xtal_Prot#'!$A:$AY,33,FALSE)-VLOOKUP($B45,'SegEnds_NonXtal_Prot#'!$A:$AL,25,FALSE),"-")</f>
        <v>50</v>
      </c>
      <c r="R45" s="2">
        <f>IFERROR(50+VLOOKUP($A45,'SegEnds_Xtal_Prot#'!$A:$AY,35,FALSE)-VLOOKUP($B45,'SegEnds_NonXtal_Prot#'!$A:$AL,25,FALSE),"-")</f>
        <v>52</v>
      </c>
      <c r="S45" s="2">
        <f>IFERROR(50+VLOOKUP($A45,'SegEnds_Xtal_Prot#'!$A:$AY,37,FALSE)-VLOOKUP($B45,'SegEnds_NonXtal_Prot#'!$A:$AL,28,FALSE),"-")</f>
        <v>36</v>
      </c>
      <c r="T45" s="2">
        <f>IFERROR(50+VLOOKUP($A45,'SegEnds_Xtal_Prot#'!$A:$AY,39,FALSE)-VLOOKUP($B45,'SegEnds_NonXtal_Prot#'!$A:$AL,28,FALSE),"-")</f>
        <v>71</v>
      </c>
      <c r="U45" s="2">
        <f>IFERROR(50+VLOOKUP($A45,'SegEnds_Xtal_Prot#'!$A:$AY,41,FALSE)-VLOOKUP($B45,'SegEnds_NonXtal_Prot#'!$A:$AL,31,FALSE),"-")</f>
        <v>28</v>
      </c>
      <c r="V45" s="2">
        <f>IFERROR(50+VLOOKUP($A45,'SegEnds_Xtal_Prot#'!$A:$AY,43,FALSE)-VLOOKUP($B45,'SegEnds_NonXtal_Prot#'!$A:$AL,31,FALSE),"-")</f>
        <v>58</v>
      </c>
      <c r="W45" s="2">
        <f>IFERROR(50+VLOOKUP($A45,'SegEnds_Xtal_Prot#'!$A:$AY,45,FALSE)-VLOOKUP($B45,'SegEnds_NonXtal_Prot#'!$A:$AL,34,FALSE),"-")</f>
        <v>28</v>
      </c>
      <c r="X45" s="2">
        <f>IFERROR(50+VLOOKUP($A45,'SegEnds_Xtal_Prot#'!$A:$AY,47,FALSE)-VLOOKUP($B45,'SegEnds_NonXtal_Prot#'!$A:$AL,34,FALSE),"-")</f>
        <v>56</v>
      </c>
      <c r="Y45" s="2">
        <f>IFERROR(50+VLOOKUP($A45,'SegEnds_Xtal_Prot#'!$A:$AY,49,FALSE)-VLOOKUP($B45,'SegEnds_NonXtal_Prot#'!$A:$AL,37,FALSE),"-")</f>
        <v>47</v>
      </c>
      <c r="Z45" s="2">
        <f>IFERROR(50+VLOOKUP($A45,'SegEnds_Xtal_Prot#'!$A:$AY,51,FALSE)-VLOOKUP($B45,'SegEnds_NonXtal_Prot#'!$A:$AL,37,FALSE),"-")</f>
        <v>72</v>
      </c>
      <c r="AA45" s="50" t="str">
        <f>VLOOKUP(B45,Classification!A:D,2,FALSE)</f>
        <v>B1</v>
      </c>
      <c r="AB45" s="97" t="str">
        <f>VLOOKUP(B45,Classification!A:D,4,0)</f>
        <v>Glucagonreceptorfamily</v>
      </c>
      <c r="AC45" s="50">
        <f>VLOOKUP(B45,'SegEnds_NonXtal_Prot#'!A:AL,6,FALSE)-VLOOKUP(B45,'SegEnds_NonXtal_Prot#'!A:AL,5,FALSE)</f>
        <v>1</v>
      </c>
      <c r="AD45" s="50">
        <f>VLOOKUP(B45,'SegEnds_NonXtal_Prot#'!A:AL,9,FALSE)-VLOOKUP(B45,'SegEnds_NonXtal_Prot#'!A:AL,8,FALSE)</f>
        <v>1</v>
      </c>
      <c r="AE45" s="50" t="e">
        <f>VLOOKUP(B45,'SegEnds_NonXtal_Prot#'!A:AL,13,FALSE)-VLOOKUP(B45,'SegEnds_NonXtal_Prot#'!A:AL,10,FALSE)</f>
        <v>#VALUE!</v>
      </c>
      <c r="AF45" s="50" t="e">
        <f>VLOOKUP(B45,'SegEnds_NonXtal_Prot#'!A:AL,12,FALSE)-VLOOKUP(B45,'SegEnds_NonXtal_Prot#'!A:AL,11,FALSE)</f>
        <v>#VALUE!</v>
      </c>
      <c r="AG45" s="50" t="e">
        <f>VLOOKUP(B45,'SegEnds_NonXtal_Prot#'!A:AL,13,FALSE)-VLOOKUP(B45,'SegEnds_NonXtal_Prot#'!A:AL,11,FALSE)</f>
        <v>#VALUE!</v>
      </c>
      <c r="AH45" s="50">
        <f>VLOOKUP(B45,'SegEnds_NonXtal_Prot#'!A:AL,16,FALSE)-VLOOKUP(B45,'SegEnds_NonXtal_Prot#'!A:AL,10,FALSE)</f>
        <v>64</v>
      </c>
      <c r="AI45" s="50">
        <f>VLOOKUP(B45,'SegEnds_NonXtal_Prot#'!A:AL,16,FALSE)-VLOOKUP(B45,'SegEnds_NonXtal_Prot#'!A:AL,11,FALSE)</f>
        <v>50</v>
      </c>
      <c r="AJ45" s="50" t="e">
        <f>VLOOKUP(B45,'SegEnds_NonXtal_Prot#'!A:AL,22,FALSE)-VLOOKUP(B45,'SegEnds_NonXtal_Prot#'!A:AL,19,FALSE)</f>
        <v>#VALUE!</v>
      </c>
      <c r="AK45" s="50" t="e">
        <f>VLOOKUP(B45,'SegEnds_NonXtal_Prot#'!A:AL,15,FALSE)-VLOOKUP(B45,'SegEnds_NonXtal_Prot#'!A:AL,14,FALSE)</f>
        <v>#VALUE!</v>
      </c>
      <c r="AL45" s="50" t="e">
        <f>VLOOKUP(B45,'SegEnds_NonXtal_Prot#'!A:AL,18,FALSE)-VLOOKUP(B45,'SegEnds_NonXtal_Prot#'!A:AL,17,FALSE)</f>
        <v>#VALUE!</v>
      </c>
      <c r="AM45" s="2">
        <f>VLOOKUP(B45,'SegEnds_NonXtal_Prot#'!A:AL,34,FALSE)-VLOOKUP(B45,'SegEnds_NonXtal_Prot#'!A:AL,31,FALSE)</f>
        <v>33</v>
      </c>
      <c r="AN45" s="38"/>
    </row>
    <row r="46" spans="1:64" s="2" customFormat="1" x14ac:dyDescent="0.2">
      <c r="A46" s="2" t="s">
        <v>1431</v>
      </c>
      <c r="B46" s="2" t="s">
        <v>1430</v>
      </c>
      <c r="C46" s="2">
        <f>IFERROR(50+VLOOKUP($A46,'SegEnds_Xtal_Prot#'!$A:$AY,5,FALSE)-VLOOKUP($B46,'SegEnds_NonXtal_Prot#'!$A:$AL,4,FALSE),"-")</f>
        <v>28</v>
      </c>
      <c r="D46" s="2">
        <f>IFERROR(50+VLOOKUP($A46,'SegEnds_Xtal_Prot#'!$A:$AY,7,FALSE)-VLOOKUP($B46,'SegEnds_NonXtal_Prot#'!$A:$AL,4,FALSE),"-")</f>
        <v>60</v>
      </c>
      <c r="E46" s="2">
        <f>IFERROR(50+VLOOKUP($A46,'SegEnds_Xtal_Prot#'!$A:$AY,9,FALSE)-VLOOKUP($B46,'SegEnds_NonXtal_Prot#'!$A:$AL,7,FALSE),"-")</f>
        <v>48</v>
      </c>
      <c r="F46" s="2">
        <f>IFERROR(50+VLOOKUP($A46,'SegEnds_Xtal_Prot#'!$A:$AY,11,FALSE)-VLOOKUP($B46,'SegEnds_NonXtal_Prot#'!$A:$AL,7,FALSE),"-")</f>
        <v>51</v>
      </c>
      <c r="G46" s="2">
        <f>IFERROR(50+VLOOKUP($A46,'SegEnds_Xtal_Prot#'!$A:$AY,13,FALSE)-VLOOKUP($B46,'SegEnds_NonXtal_Prot#'!$A:$AL,10,FALSE),"-")</f>
        <v>37</v>
      </c>
      <c r="H46" s="2">
        <f>IFERROR(50+VLOOKUP($A46,'SegEnds_Xtal_Prot#'!$A:$AY,15,FALSE)-VLOOKUP($B46,'SegEnds_NonXtal_Prot#'!$A:$AL,10,FALSE),"-")</f>
        <v>74</v>
      </c>
      <c r="I46" s="2" t="str">
        <f>IFERROR(50+VLOOKUP($A46,'SegEnds_Xtal_Prot#'!$A:$AY,17,FALSE)-VLOOKUP($B46,'SegEnds_NonXtal_Prot#'!$A:$AL,13,FALSE),"-")</f>
        <v>-</v>
      </c>
      <c r="J46" s="2" t="str">
        <f>IFERROR(50+VLOOKUP($A46,'SegEnds_Xtal_Prot#'!$A:$AY,19,FALSE)-VLOOKUP($B46,'SegEnds_NonXtal_Prot#'!$A:$AL,13,FALSE),"-")</f>
        <v>-</v>
      </c>
      <c r="K46" s="2">
        <f>IFERROR(50+VLOOKUP($A46,'SegEnds_Xtal_Prot#'!$A:$AY,21,FALSE)-VLOOKUP($B46,'SegEnds_NonXtal_Prot#'!$A:$AL,16,FALSE),"-")</f>
        <v>23</v>
      </c>
      <c r="L46" s="2">
        <f>IFERROR(50+VLOOKUP($A46,'SegEnds_Xtal_Prot#'!$A:$AY,23,FALSE)-VLOOKUP($B46,'SegEnds_NonXtal_Prot#'!$A:$AL,16,FALSE),"-")</f>
        <v>56</v>
      </c>
      <c r="M46" s="2" t="str">
        <f>IFERROR(50+VLOOKUP($A46,'SegEnds_Xtal_Prot#'!$A:$AY,25,FALSE)-VLOOKUP($B46,'SegEnds_NonXtal_Prot#'!$A:$AL,19,FALSE),"-")</f>
        <v>-</v>
      </c>
      <c r="N46" s="2" t="str">
        <f>IFERROR(50+VLOOKUP($A46,'SegEnds_Xtal_Prot#'!$A:$AY,27,FALSE)-VLOOKUP($B46,'SegEnds_NonXtal_Prot#'!$A:$AL,19,FALSE),"-")</f>
        <v>-</v>
      </c>
      <c r="O46" s="2">
        <f>IFERROR(50+VLOOKUP($A46,'SegEnds_Xtal_Prot#'!$A:$AY,29,FALSE)-VLOOKUP($B46,'SegEnds_NonXtal_Prot#'!$A:$AL,22,FALSE),"-")</f>
        <v>37</v>
      </c>
      <c r="P46" s="2">
        <f>IFERROR(50+VLOOKUP($A46,'SegEnds_Xtal_Prot#'!$A:$AY,31,FALSE)-VLOOKUP($B46,'SegEnds_NonXtal_Prot#'!$A:$AL,22,FALSE),"-")</f>
        <v>68</v>
      </c>
      <c r="Q46" s="2">
        <f>IFERROR(50+VLOOKUP($A46,'SegEnds_Xtal_Prot#'!$A:$AY,33,FALSE)-VLOOKUP($B46,'SegEnds_NonXtal_Prot#'!$A:$AL,25,FALSE),"-")</f>
        <v>50</v>
      </c>
      <c r="R46" s="2">
        <f>IFERROR(50+VLOOKUP($A46,'SegEnds_Xtal_Prot#'!$A:$AY,35,FALSE)-VLOOKUP($B46,'SegEnds_NonXtal_Prot#'!$A:$AL,25,FALSE),"-")</f>
        <v>52</v>
      </c>
      <c r="S46" s="2">
        <f>IFERROR(50+VLOOKUP($A46,'SegEnds_Xtal_Prot#'!$A:$AY,37,FALSE)-VLOOKUP($B46,'SegEnds_NonXtal_Prot#'!$A:$AL,28,FALSE),"-")</f>
        <v>39</v>
      </c>
      <c r="T46" s="2">
        <f>IFERROR(50+VLOOKUP($A46,'SegEnds_Xtal_Prot#'!$A:$AY,39,FALSE)-VLOOKUP($B46,'SegEnds_NonXtal_Prot#'!$A:$AL,28,FALSE),"-")</f>
        <v>71</v>
      </c>
      <c r="U46" s="2">
        <f>IFERROR(50+VLOOKUP($A46,'SegEnds_Xtal_Prot#'!$A:$AY,41,FALSE)-VLOOKUP($B46,'SegEnds_NonXtal_Prot#'!$A:$AL,31,FALSE),"-")</f>
        <v>30</v>
      </c>
      <c r="V46" s="2">
        <f>IFERROR(50+VLOOKUP($A46,'SegEnds_Xtal_Prot#'!$A:$AY,43,FALSE)-VLOOKUP($B46,'SegEnds_NonXtal_Prot#'!$A:$AL,31,FALSE),"-")</f>
        <v>53</v>
      </c>
      <c r="W46" s="2">
        <f>IFERROR(50+VLOOKUP($A46,'SegEnds_Xtal_Prot#'!$A:$AY,45,FALSE)-VLOOKUP($B46,'SegEnds_NonXtal_Prot#'!$A:$AL,34,FALSE),"-")</f>
        <v>30</v>
      </c>
      <c r="X46" s="2">
        <f>IFERROR(50+VLOOKUP($A46,'SegEnds_Xtal_Prot#'!$A:$AY,47,FALSE)-VLOOKUP($B46,'SegEnds_NonXtal_Prot#'!$A:$AL,34,FALSE),"-")</f>
        <v>56</v>
      </c>
      <c r="Y46" s="2">
        <f>IFERROR(50+VLOOKUP($A46,'SegEnds_Xtal_Prot#'!$A:$AY,49,FALSE)-VLOOKUP($B46,'SegEnds_NonXtal_Prot#'!$A:$AL,37,FALSE),"-")</f>
        <v>47</v>
      </c>
      <c r="Z46" s="2">
        <f>IFERROR(50+VLOOKUP($A46,'SegEnds_Xtal_Prot#'!$A:$AY,51,FALSE)-VLOOKUP($B46,'SegEnds_NonXtal_Prot#'!$A:$AL,37,FALSE),"-")</f>
        <v>72</v>
      </c>
      <c r="AA46" s="50" t="str">
        <f>VLOOKUP(B46,Classification!A:D,2,FALSE)</f>
        <v>B1</v>
      </c>
      <c r="AB46" s="97" t="str">
        <f>VLOOKUP(B46,Classification!A:D,4,0)</f>
        <v>Glucagonreceptorfamily</v>
      </c>
      <c r="AC46" s="50">
        <f>VLOOKUP(B46,'SegEnds_NonXtal_Prot#'!A:AL,6,FALSE)-VLOOKUP(B46,'SegEnds_NonXtal_Prot#'!A:AL,5,FALSE)</f>
        <v>1</v>
      </c>
      <c r="AD46" s="50">
        <f>VLOOKUP(B46,'SegEnds_NonXtal_Prot#'!A:AL,9,FALSE)-VLOOKUP(B46,'SegEnds_NonXtal_Prot#'!A:AL,8,FALSE)</f>
        <v>1</v>
      </c>
      <c r="AE46" s="50" t="e">
        <f>VLOOKUP(B46,'SegEnds_NonXtal_Prot#'!A:AL,13,FALSE)-VLOOKUP(B46,'SegEnds_NonXtal_Prot#'!A:AL,10,FALSE)</f>
        <v>#VALUE!</v>
      </c>
      <c r="AF46" s="50" t="e">
        <f>VLOOKUP(B46,'SegEnds_NonXtal_Prot#'!A:AL,12,FALSE)-VLOOKUP(B46,'SegEnds_NonXtal_Prot#'!A:AL,11,FALSE)</f>
        <v>#VALUE!</v>
      </c>
      <c r="AG46" s="50" t="e">
        <f>VLOOKUP(B46,'SegEnds_NonXtal_Prot#'!A:AL,13,FALSE)-VLOOKUP(B46,'SegEnds_NonXtal_Prot#'!A:AL,11,FALSE)</f>
        <v>#VALUE!</v>
      </c>
      <c r="AH46" s="50">
        <f>VLOOKUP(B46,'SegEnds_NonXtal_Prot#'!A:AL,16,FALSE)-VLOOKUP(B46,'SegEnds_NonXtal_Prot#'!A:AL,10,FALSE)</f>
        <v>64</v>
      </c>
      <c r="AI46" s="50">
        <f>VLOOKUP(B46,'SegEnds_NonXtal_Prot#'!A:AL,16,FALSE)-VLOOKUP(B46,'SegEnds_NonXtal_Prot#'!A:AL,11,FALSE)</f>
        <v>40</v>
      </c>
      <c r="AJ46" s="50" t="e">
        <f>VLOOKUP(B46,'SegEnds_NonXtal_Prot#'!A:AL,22,FALSE)-VLOOKUP(B46,'SegEnds_NonXtal_Prot#'!A:AL,19,FALSE)</f>
        <v>#VALUE!</v>
      </c>
      <c r="AK46" s="50" t="e">
        <f>VLOOKUP(B46,'SegEnds_NonXtal_Prot#'!A:AL,15,FALSE)-VLOOKUP(B46,'SegEnds_NonXtal_Prot#'!A:AL,14,FALSE)</f>
        <v>#VALUE!</v>
      </c>
      <c r="AL46" s="50" t="e">
        <f>VLOOKUP(B46,'SegEnds_NonXtal_Prot#'!A:AL,18,FALSE)-VLOOKUP(B46,'SegEnds_NonXtal_Prot#'!A:AL,17,FALSE)</f>
        <v>#VALUE!</v>
      </c>
      <c r="AM46" s="2">
        <f>VLOOKUP(B46,'SegEnds_NonXtal_Prot#'!A:AL,34,FALSE)-VLOOKUP(B46,'SegEnds_NonXtal_Prot#'!A:AL,31,FALSE)</f>
        <v>33</v>
      </c>
      <c r="AN46" s="38"/>
    </row>
    <row r="47" spans="1:64" s="2" customFormat="1" x14ac:dyDescent="0.2">
      <c r="A47" s="2" t="s">
        <v>1261</v>
      </c>
      <c r="B47" s="2" t="s">
        <v>41</v>
      </c>
      <c r="C47" s="2">
        <f>IFERROR(50+VLOOKUP($A47,'SegEnds_Xtal_Prot#'!$A:$AY,5,FALSE)-VLOOKUP($B47,'SegEnds_NonXtal_Prot#'!$A:$AL,4,FALSE),"-")</f>
        <v>34</v>
      </c>
      <c r="D47" s="2">
        <f>IFERROR(50+VLOOKUP($A47,'SegEnds_Xtal_Prot#'!$A:$AY,7,FALSE)-VLOOKUP($B47,'SegEnds_NonXtal_Prot#'!$A:$AL,4,FALSE),"-")</f>
        <v>60</v>
      </c>
      <c r="E47" s="2">
        <f>IFERROR(50+VLOOKUP($A47,'SegEnds_Xtal_Prot#'!$A:$AY,9,FALSE)-VLOOKUP($B47,'SegEnds_NonXtal_Prot#'!$A:$AL,7,FALSE),"-")</f>
        <v>47</v>
      </c>
      <c r="F47" s="2">
        <f>IFERROR(50+VLOOKUP($A47,'SegEnds_Xtal_Prot#'!$A:$AY,11,FALSE)-VLOOKUP($B47,'SegEnds_NonXtal_Prot#'!$A:$AL,7,FALSE),"-")</f>
        <v>53</v>
      </c>
      <c r="G47" s="2">
        <f>IFERROR(50+VLOOKUP($A47,'SegEnds_Xtal_Prot#'!$A:$AY,13,FALSE)-VLOOKUP($B47,'SegEnds_NonXtal_Prot#'!$A:$AL,10,FALSE),"-")</f>
        <v>39</v>
      </c>
      <c r="H47" s="2">
        <f>IFERROR(50+VLOOKUP($A47,'SegEnds_Xtal_Prot#'!$A:$AY,15,FALSE)-VLOOKUP($B47,'SegEnds_NonXtal_Prot#'!$A:$AL,10,FALSE),"-")</f>
        <v>61</v>
      </c>
      <c r="I47" s="2" t="str">
        <f>IFERROR(50+VLOOKUP($A47,'SegEnds_Xtal_Prot#'!$A:$AY,17,FALSE)-VLOOKUP($B47,'SegEnds_NonXtal_Prot#'!$A:$AL,13,FALSE),"-")</f>
        <v>-</v>
      </c>
      <c r="J47" s="2" t="str">
        <f>IFERROR(50+VLOOKUP($A47,'SegEnds_Xtal_Prot#'!$A:$AY,19,FALSE)-VLOOKUP($B47,'SegEnds_NonXtal_Prot#'!$A:$AL,13,FALSE),"-")</f>
        <v>-</v>
      </c>
      <c r="K47" s="2">
        <f>IFERROR(50+VLOOKUP($A47,'SegEnds_Xtal_Prot#'!$A:$AY,21,FALSE)-VLOOKUP($B47,'SegEnds_NonXtal_Prot#'!$A:$AL,16,FALSE),"-")</f>
        <v>22</v>
      </c>
      <c r="L47" s="2">
        <f>IFERROR(50+VLOOKUP($A47,'SegEnds_Xtal_Prot#'!$A:$AY,23,FALSE)-VLOOKUP($B47,'SegEnds_NonXtal_Prot#'!$A:$AL,16,FALSE),"-")</f>
        <v>54</v>
      </c>
      <c r="M47" s="2" t="str">
        <f>IFERROR(50+VLOOKUP($A47,'SegEnds_Xtal_Prot#'!$A:$AY,25,FALSE)-VLOOKUP($B47,'SegEnds_NonXtal_Prot#'!$A:$AL,19,FALSE),"-")</f>
        <v>-</v>
      </c>
      <c r="N47" s="2" t="str">
        <f>IFERROR(50+VLOOKUP($A47,'SegEnds_Xtal_Prot#'!$A:$AY,27,FALSE)-VLOOKUP($B47,'SegEnds_NonXtal_Prot#'!$A:$AL,19,FALSE),"-")</f>
        <v>-</v>
      </c>
      <c r="O47" s="2">
        <f>IFERROR(50+VLOOKUP($A47,'SegEnds_Xtal_Prot#'!$A:$AY,29,FALSE)-VLOOKUP($B47,'SegEnds_NonXtal_Prot#'!$A:$AL,22,FALSE),"-")</f>
        <v>38</v>
      </c>
      <c r="P47" s="2">
        <f>IFERROR(50+VLOOKUP($A47,'SegEnds_Xtal_Prot#'!$A:$AY,31,FALSE)-VLOOKUP($B47,'SegEnds_NonXtal_Prot#'!$A:$AL,22,FALSE),"-")</f>
        <v>64</v>
      </c>
      <c r="Q47" s="2">
        <f>IFERROR(50+VLOOKUP($A47,'SegEnds_Xtal_Prot#'!$A:$AY,33,FALSE)-VLOOKUP($B47,'SegEnds_NonXtal_Prot#'!$A:$AL,25,FALSE),"-")</f>
        <v>50</v>
      </c>
      <c r="R47" s="2">
        <f>IFERROR(50+VLOOKUP($A47,'SegEnds_Xtal_Prot#'!$A:$AY,35,FALSE)-VLOOKUP($B47,'SegEnds_NonXtal_Prot#'!$A:$AL,25,FALSE),"-")</f>
        <v>52</v>
      </c>
      <c r="S47" s="2">
        <f>IFERROR(50+VLOOKUP($A47,'SegEnds_Xtal_Prot#'!$A:$AY,37,FALSE)-VLOOKUP($B47,'SegEnds_NonXtal_Prot#'!$A:$AL,28,FALSE),"-")</f>
        <v>37</v>
      </c>
      <c r="T47" s="2">
        <f>IFERROR(50+VLOOKUP($A47,'SegEnds_Xtal_Prot#'!$A:$AY,39,FALSE)-VLOOKUP($B47,'SegEnds_NonXtal_Prot#'!$A:$AL,28,FALSE),"-")</f>
        <v>61</v>
      </c>
      <c r="U47" s="2">
        <f>IFERROR(50+VLOOKUP($A47,'SegEnds_Xtal_Prot#'!$A:$AY,41,FALSE)-VLOOKUP($B47,'SegEnds_NonXtal_Prot#'!$A:$AL,31,FALSE),"-")</f>
        <v>33</v>
      </c>
      <c r="V47" s="2">
        <f>IFERROR(50+VLOOKUP($A47,'SegEnds_Xtal_Prot#'!$A:$AY,43,FALSE)-VLOOKUP($B47,'SegEnds_NonXtal_Prot#'!$A:$AL,31,FALSE),"-")</f>
        <v>57</v>
      </c>
      <c r="W47" s="2">
        <f>IFERROR(50+VLOOKUP($A47,'SegEnds_Xtal_Prot#'!$A:$AY,45,FALSE)-VLOOKUP($B47,'SegEnds_NonXtal_Prot#'!$A:$AL,34,FALSE),"-")</f>
        <v>34</v>
      </c>
      <c r="X47" s="2">
        <f>IFERROR(50+VLOOKUP($A47,'SegEnds_Xtal_Prot#'!$A:$AY,47,FALSE)-VLOOKUP($B47,'SegEnds_NonXtal_Prot#'!$A:$AL,34,FALSE),"-")</f>
        <v>63</v>
      </c>
      <c r="Y47" s="2">
        <f>IFERROR(50+VLOOKUP($A47,'SegEnds_Xtal_Prot#'!$A:$AY,49,FALSE)-VLOOKUP($B47,'SegEnds_NonXtal_Prot#'!$A:$AL,37,FALSE),"-")</f>
        <v>47</v>
      </c>
      <c r="Z47" s="2">
        <f>IFERROR(50+VLOOKUP($A47,'SegEnds_Xtal_Prot#'!$A:$AY,51,FALSE)-VLOOKUP($B47,'SegEnds_NonXtal_Prot#'!$A:$AL,37,FALSE),"-")</f>
        <v>59</v>
      </c>
      <c r="AA47" s="50" t="str">
        <f>VLOOKUP(B47,Classification!A:D,2,FALSE)</f>
        <v>C</v>
      </c>
      <c r="AB47" s="97" t="str">
        <f>VLOOKUP(B47,Classification!A:D,4,0)</f>
        <v>Metabotropicglutamate</v>
      </c>
      <c r="AC47" s="50">
        <f>VLOOKUP(B47,'SegEnds_NonXtal_Prot#'!A:AL,6,FALSE)-VLOOKUP(B47,'SegEnds_NonXtal_Prot#'!A:AL,5,FALSE)</f>
        <v>3</v>
      </c>
      <c r="AD47" s="50">
        <f>VLOOKUP(B47,'SegEnds_NonXtal_Prot#'!A:AL,9,FALSE)-VLOOKUP(B47,'SegEnds_NonXtal_Prot#'!A:AL,8,FALSE)</f>
        <v>1</v>
      </c>
      <c r="AE47" s="50" t="e">
        <f>VLOOKUP(B47,'SegEnds_NonXtal_Prot#'!A:AL,13,FALSE)-VLOOKUP(B47,'SegEnds_NonXtal_Prot#'!A:AL,10,FALSE)</f>
        <v>#VALUE!</v>
      </c>
      <c r="AF47" s="50" t="e">
        <f>VLOOKUP(B47,'SegEnds_NonXtal_Prot#'!A:AL,12,FALSE)-VLOOKUP(B47,'SegEnds_NonXtal_Prot#'!A:AL,11,FALSE)</f>
        <v>#VALUE!</v>
      </c>
      <c r="AG47" s="50" t="e">
        <f>VLOOKUP(B47,'SegEnds_NonXtal_Prot#'!A:AL,13,FALSE)-VLOOKUP(B47,'SegEnds_NonXtal_Prot#'!A:AL,11,FALSE)</f>
        <v>#VALUE!</v>
      </c>
      <c r="AH47" s="50">
        <f>VLOOKUP(B47,'SegEnds_NonXtal_Prot#'!A:AL,16,FALSE)-VLOOKUP(B47,'SegEnds_NonXtal_Prot#'!A:AL,10,FALSE)</f>
        <v>44</v>
      </c>
      <c r="AI47" s="50">
        <f>VLOOKUP(B47,'SegEnds_NonXtal_Prot#'!A:AL,16,FALSE)-VLOOKUP(B47,'SegEnds_NonXtal_Prot#'!A:AL,11,FALSE)</f>
        <v>33</v>
      </c>
      <c r="AJ47" s="50" t="e">
        <f>VLOOKUP(B47,'SegEnds_NonXtal_Prot#'!A:AL,22,FALSE)-VLOOKUP(B47,'SegEnds_NonXtal_Prot#'!A:AL,19,FALSE)</f>
        <v>#VALUE!</v>
      </c>
      <c r="AK47" s="50" t="e">
        <f>VLOOKUP(B47,'SegEnds_NonXtal_Prot#'!A:AL,15,FALSE)-VLOOKUP(B47,'SegEnds_NonXtal_Prot#'!A:AL,14,FALSE)</f>
        <v>#VALUE!</v>
      </c>
      <c r="AL47" s="50" t="e">
        <f>VLOOKUP(B47,'SegEnds_NonXtal_Prot#'!A:AL,18,FALSE)-VLOOKUP(B47,'SegEnds_NonXtal_Prot#'!A:AL,17,FALSE)</f>
        <v>#VALUE!</v>
      </c>
      <c r="AM47" s="2">
        <f>VLOOKUP(B47,'SegEnds_NonXtal_Prot#'!A:AL,34,FALSE)-VLOOKUP(B47,'SegEnds_NonXtal_Prot#'!A:AL,31,FALSE)</f>
        <v>27</v>
      </c>
      <c r="AN47" s="38"/>
    </row>
    <row r="48" spans="1:64" s="2" customFormat="1" x14ac:dyDescent="0.2">
      <c r="A48" s="2" t="s">
        <v>1260</v>
      </c>
      <c r="B48" s="2" t="s">
        <v>40</v>
      </c>
      <c r="C48" s="2">
        <f>IFERROR(50+VLOOKUP($A48,'SegEnds_Xtal_Prot#'!$A:$AY,5,FALSE)-VLOOKUP($B48,'SegEnds_NonXtal_Prot#'!$A:$AL,4,FALSE),"-")</f>
        <v>34</v>
      </c>
      <c r="D48" s="2">
        <f>IFERROR(50+VLOOKUP($A48,'SegEnds_Xtal_Prot#'!$A:$AY,7,FALSE)-VLOOKUP($B48,'SegEnds_NonXtal_Prot#'!$A:$AL,4,FALSE),"-")</f>
        <v>60</v>
      </c>
      <c r="E48" s="2">
        <f>IFERROR(50+VLOOKUP($A48,'SegEnds_Xtal_Prot#'!$A:$AY,9,FALSE)-VLOOKUP($B48,'SegEnds_NonXtal_Prot#'!$A:$AL,7,FALSE),"-")</f>
        <v>47</v>
      </c>
      <c r="F48" s="2">
        <f>IFERROR(50+VLOOKUP($A48,'SegEnds_Xtal_Prot#'!$A:$AY,11,FALSE)-VLOOKUP($B48,'SegEnds_NonXtal_Prot#'!$A:$AL,7,FALSE),"-")</f>
        <v>53</v>
      </c>
      <c r="G48" s="2">
        <f>IFERROR(50+VLOOKUP($A48,'SegEnds_Xtal_Prot#'!$A:$AY,13,FALSE)-VLOOKUP($B48,'SegEnds_NonXtal_Prot#'!$A:$AL,10,FALSE),"-")</f>
        <v>39</v>
      </c>
      <c r="H48" s="2">
        <f>IFERROR(50+VLOOKUP($A48,'SegEnds_Xtal_Prot#'!$A:$AY,15,FALSE)-VLOOKUP($B48,'SegEnds_NonXtal_Prot#'!$A:$AL,10,FALSE),"-")</f>
        <v>61</v>
      </c>
      <c r="I48" s="2" t="str">
        <f>IFERROR(50+VLOOKUP($A48,'SegEnds_Xtal_Prot#'!$A:$AY,17,FALSE)-VLOOKUP($B48,'SegEnds_NonXtal_Prot#'!$A:$AL,13,FALSE),"-")</f>
        <v>-</v>
      </c>
      <c r="J48" s="2" t="str">
        <f>IFERROR(50+VLOOKUP($A48,'SegEnds_Xtal_Prot#'!$A:$AY,19,FALSE)-VLOOKUP($B48,'SegEnds_NonXtal_Prot#'!$A:$AL,13,FALSE),"-")</f>
        <v>-</v>
      </c>
      <c r="K48" s="2">
        <f>IFERROR(50+VLOOKUP($A48,'SegEnds_Xtal_Prot#'!$A:$AY,21,FALSE)-VLOOKUP($B48,'SegEnds_NonXtal_Prot#'!$A:$AL,16,FALSE),"-")</f>
        <v>22</v>
      </c>
      <c r="L48" s="2">
        <f>IFERROR(50+VLOOKUP($A48,'SegEnds_Xtal_Prot#'!$A:$AY,23,FALSE)-VLOOKUP($B48,'SegEnds_NonXtal_Prot#'!$A:$AL,16,FALSE),"-")</f>
        <v>54</v>
      </c>
      <c r="M48" s="2" t="str">
        <f>IFERROR(50+VLOOKUP($A48,'SegEnds_Xtal_Prot#'!$A:$AY,25,FALSE)-VLOOKUP($B48,'SegEnds_NonXtal_Prot#'!$A:$AL,19,FALSE),"-")</f>
        <v>-</v>
      </c>
      <c r="N48" s="2" t="str">
        <f>IFERROR(50+VLOOKUP($A48,'SegEnds_Xtal_Prot#'!$A:$AY,27,FALSE)-VLOOKUP($B48,'SegEnds_NonXtal_Prot#'!$A:$AL,19,FALSE),"-")</f>
        <v>-</v>
      </c>
      <c r="O48" s="2">
        <f>IFERROR(50+VLOOKUP($A48,'SegEnds_Xtal_Prot#'!$A:$AY,29,FALSE)-VLOOKUP($B48,'SegEnds_NonXtal_Prot#'!$A:$AL,22,FALSE),"-")</f>
        <v>38</v>
      </c>
      <c r="P48" s="2">
        <f>IFERROR(50+VLOOKUP($A48,'SegEnds_Xtal_Prot#'!$A:$AY,31,FALSE)-VLOOKUP($B48,'SegEnds_NonXtal_Prot#'!$A:$AL,22,FALSE),"-")</f>
        <v>64</v>
      </c>
      <c r="Q48" s="2">
        <f>IFERROR(50+VLOOKUP($A48,'SegEnds_Xtal_Prot#'!$A:$AY,33,FALSE)-VLOOKUP($B48,'SegEnds_NonXtal_Prot#'!$A:$AL,25,FALSE),"-")</f>
        <v>50</v>
      </c>
      <c r="R48" s="2">
        <f>IFERROR(50+VLOOKUP($A48,'SegEnds_Xtal_Prot#'!$A:$AY,35,FALSE)-VLOOKUP($B48,'SegEnds_NonXtal_Prot#'!$A:$AL,25,FALSE),"-")</f>
        <v>52</v>
      </c>
      <c r="S48" s="2">
        <f>IFERROR(50+VLOOKUP($A48,'SegEnds_Xtal_Prot#'!$A:$AY,37,FALSE)-VLOOKUP($B48,'SegEnds_NonXtal_Prot#'!$A:$AL,28,FALSE),"-")</f>
        <v>37</v>
      </c>
      <c r="T48" s="2">
        <f>IFERROR(50+VLOOKUP($A48,'SegEnds_Xtal_Prot#'!$A:$AY,39,FALSE)-VLOOKUP($B48,'SegEnds_NonXtal_Prot#'!$A:$AL,28,FALSE),"-")</f>
        <v>61</v>
      </c>
      <c r="U48" s="2">
        <f>IFERROR(50+VLOOKUP($A48,'SegEnds_Xtal_Prot#'!$A:$AY,41,FALSE)-VLOOKUP($B48,'SegEnds_NonXtal_Prot#'!$A:$AL,31,FALSE),"-")</f>
        <v>33</v>
      </c>
      <c r="V48" s="2">
        <f>IFERROR(50+VLOOKUP($A48,'SegEnds_Xtal_Prot#'!$A:$AY,43,FALSE)-VLOOKUP($B48,'SegEnds_NonXtal_Prot#'!$A:$AL,31,FALSE),"-")</f>
        <v>57</v>
      </c>
      <c r="W48" s="2">
        <f>IFERROR(50+VLOOKUP($A48,'SegEnds_Xtal_Prot#'!$A:$AY,45,FALSE)-VLOOKUP($B48,'SegEnds_NonXtal_Prot#'!$A:$AL,34,FALSE),"-")</f>
        <v>34</v>
      </c>
      <c r="X48" s="2">
        <f>IFERROR(50+VLOOKUP($A48,'SegEnds_Xtal_Prot#'!$A:$AY,47,FALSE)-VLOOKUP($B48,'SegEnds_NonXtal_Prot#'!$A:$AL,34,FALSE),"-")</f>
        <v>63</v>
      </c>
      <c r="Y48" s="2">
        <f>IFERROR(50+VLOOKUP($A48,'SegEnds_Xtal_Prot#'!$A:$AY,49,FALSE)-VLOOKUP($B48,'SegEnds_NonXtal_Prot#'!$A:$AL,37,FALSE),"-")</f>
        <v>47</v>
      </c>
      <c r="Z48" s="2">
        <f>IFERROR(50+VLOOKUP($A48,'SegEnds_Xtal_Prot#'!$A:$AY,51,FALSE)-VLOOKUP($B48,'SegEnds_NonXtal_Prot#'!$A:$AL,37,FALSE),"-")</f>
        <v>59</v>
      </c>
      <c r="AA48" s="50" t="str">
        <f>VLOOKUP(B48,Classification!A:D,2,FALSE)</f>
        <v>C</v>
      </c>
      <c r="AB48" s="97" t="str">
        <f>VLOOKUP(B48,Classification!A:D,4,0)</f>
        <v>Metabotropicglutamate</v>
      </c>
      <c r="AC48" s="50">
        <f>VLOOKUP(B48,'SegEnds_NonXtal_Prot#'!A:AL,6,FALSE)-VLOOKUP(B48,'SegEnds_NonXtal_Prot#'!A:AL,5,FALSE)</f>
        <v>3</v>
      </c>
      <c r="AD48" s="50">
        <f>VLOOKUP(B48,'SegEnds_NonXtal_Prot#'!A:AL,9,FALSE)-VLOOKUP(B48,'SegEnds_NonXtal_Prot#'!A:AL,8,FALSE)</f>
        <v>1</v>
      </c>
      <c r="AE48" s="50" t="e">
        <f>VLOOKUP(B48,'SegEnds_NonXtal_Prot#'!A:AL,13,FALSE)-VLOOKUP(B48,'SegEnds_NonXtal_Prot#'!A:AL,10,FALSE)</f>
        <v>#VALUE!</v>
      </c>
      <c r="AF48" s="50" t="e">
        <f>VLOOKUP(B48,'SegEnds_NonXtal_Prot#'!A:AL,12,FALSE)-VLOOKUP(B48,'SegEnds_NonXtal_Prot#'!A:AL,11,FALSE)</f>
        <v>#VALUE!</v>
      </c>
      <c r="AG48" s="50" t="e">
        <f>VLOOKUP(B48,'SegEnds_NonXtal_Prot#'!A:AL,13,FALSE)-VLOOKUP(B48,'SegEnds_NonXtal_Prot#'!A:AL,11,FALSE)</f>
        <v>#VALUE!</v>
      </c>
      <c r="AH48" s="50">
        <f>VLOOKUP(B48,'SegEnds_NonXtal_Prot#'!A:AL,16,FALSE)-VLOOKUP(B48,'SegEnds_NonXtal_Prot#'!A:AL,10,FALSE)</f>
        <v>44</v>
      </c>
      <c r="AI48" s="50">
        <f>VLOOKUP(B48,'SegEnds_NonXtal_Prot#'!A:AL,16,FALSE)-VLOOKUP(B48,'SegEnds_NonXtal_Prot#'!A:AL,11,FALSE)</f>
        <v>33</v>
      </c>
      <c r="AJ48" s="50" t="e">
        <f>VLOOKUP(B48,'SegEnds_NonXtal_Prot#'!A:AL,22,FALSE)-VLOOKUP(B48,'SegEnds_NonXtal_Prot#'!A:AL,19,FALSE)</f>
        <v>#VALUE!</v>
      </c>
      <c r="AK48" s="50" t="e">
        <f>VLOOKUP(B48,'SegEnds_NonXtal_Prot#'!A:AL,15,FALSE)-VLOOKUP(B48,'SegEnds_NonXtal_Prot#'!A:AL,14,FALSE)</f>
        <v>#VALUE!</v>
      </c>
      <c r="AL48" s="50" t="e">
        <f>VLOOKUP(B48,'SegEnds_NonXtal_Prot#'!A:AL,18,FALSE)-VLOOKUP(B48,'SegEnds_NonXtal_Prot#'!A:AL,17,FALSE)</f>
        <v>#VALUE!</v>
      </c>
      <c r="AM48" s="2">
        <f>VLOOKUP(B48,'SegEnds_NonXtal_Prot#'!A:AL,34,FALSE)-VLOOKUP(B48,'SegEnds_NonXtal_Prot#'!A:AL,31,FALSE)</f>
        <v>27</v>
      </c>
      <c r="AN48" s="38"/>
    </row>
    <row r="49" spans="1:64" x14ac:dyDescent="0.2">
      <c r="A49" s="2" t="s">
        <v>1279</v>
      </c>
      <c r="B49" s="2" t="s">
        <v>33</v>
      </c>
      <c r="C49" s="2">
        <f>IFERROR(50+VLOOKUP($A49,'SegEnds_Xtal_Prot#'!$A:$AY,5,FALSE)-VLOOKUP($B49,'SegEnds_NonXtal_Prot#'!$A:$AL,4,FALSE),"-")</f>
        <v>29</v>
      </c>
      <c r="D49" s="2">
        <f>IFERROR(50+VLOOKUP($A49,'SegEnds_Xtal_Prot#'!$A:$AY,7,FALSE)-VLOOKUP($B49,'SegEnds_NonXtal_Prot#'!$A:$AL,4,FALSE),"-")</f>
        <v>60</v>
      </c>
      <c r="E49" s="2">
        <f>IFERROR(50+VLOOKUP($A49,'SegEnds_Xtal_Prot#'!$A:$AY,9,FALSE)-VLOOKUP($B49,'SegEnds_NonXtal_Prot#'!$A:$AL,7,FALSE),"-")</f>
        <v>47</v>
      </c>
      <c r="F49" s="2">
        <f>IFERROR(50+VLOOKUP($A49,'SegEnds_Xtal_Prot#'!$A:$AY,11,FALSE)-VLOOKUP($B49,'SegEnds_NonXtal_Prot#'!$A:$AL,7,FALSE),"-")</f>
        <v>51</v>
      </c>
      <c r="G49" s="2">
        <f>IFERROR(50+VLOOKUP($A49,'SegEnds_Xtal_Prot#'!$A:$AY,13,FALSE)-VLOOKUP($B49,'SegEnds_NonXtal_Prot#'!$A:$AL,10,FALSE),"-")</f>
        <v>39</v>
      </c>
      <c r="H49" s="2">
        <f>IFERROR(50+VLOOKUP($A49,'SegEnds_Xtal_Prot#'!$A:$AY,15,FALSE)-VLOOKUP($B49,'SegEnds_NonXtal_Prot#'!$A:$AL,10,FALSE),"-")</f>
        <v>63</v>
      </c>
      <c r="I49" s="2" t="str">
        <f>IFERROR(50+VLOOKUP($A49,'SegEnds_Xtal_Prot#'!$A:$AY,17,FALSE)-VLOOKUP($B49,'SegEnds_NonXtal_Prot#'!$A:$AL,13,FALSE),"-")</f>
        <v>-</v>
      </c>
      <c r="J49" s="2" t="str">
        <f>IFERROR(50+VLOOKUP($A49,'SegEnds_Xtal_Prot#'!$A:$AY,19,FALSE)-VLOOKUP($B49,'SegEnds_NonXtal_Prot#'!$A:$AL,13,FALSE),"-")</f>
        <v>-</v>
      </c>
      <c r="K49" s="2">
        <f>IFERROR(50+VLOOKUP($A49,'SegEnds_Xtal_Prot#'!$A:$AY,21,FALSE)-VLOOKUP($B49,'SegEnds_NonXtal_Prot#'!$A:$AL,16,FALSE),"-")</f>
        <v>23</v>
      </c>
      <c r="L49" s="2">
        <f>IFERROR(50+VLOOKUP($A49,'SegEnds_Xtal_Prot#'!$A:$AY,23,FALSE)-VLOOKUP($B49,'SegEnds_NonXtal_Prot#'!$A:$AL,16,FALSE),"-")</f>
        <v>59</v>
      </c>
      <c r="M49" s="2" t="str">
        <f>IFERROR(50+VLOOKUP($A49,'SegEnds_Xtal_Prot#'!$A:$AY,25,FALSE)-VLOOKUP($B49,'SegEnds_NonXtal_Prot#'!$A:$AL,19,FALSE),"-")</f>
        <v>-</v>
      </c>
      <c r="N49" s="2" t="str">
        <f>IFERROR(50+VLOOKUP($A49,'SegEnds_Xtal_Prot#'!$A:$AY,27,FALSE)-VLOOKUP($B49,'SegEnds_NonXtal_Prot#'!$A:$AL,19,FALSE),"-")</f>
        <v>-</v>
      </c>
      <c r="O49" s="2">
        <f>IFERROR(50+VLOOKUP($A49,'SegEnds_Xtal_Prot#'!$A:$AY,29,FALSE)-VLOOKUP($B49,'SegEnds_NonXtal_Prot#'!$A:$AL,22,FALSE),"-")</f>
        <v>38</v>
      </c>
      <c r="P49" s="2">
        <f>IFERROR(50+VLOOKUP($A49,'SegEnds_Xtal_Prot#'!$A:$AY,31,FALSE)-VLOOKUP($B49,'SegEnds_NonXtal_Prot#'!$A:$AL,22,FALSE),"-")</f>
        <v>63</v>
      </c>
      <c r="Q49" s="2">
        <f>IFERROR(50+VLOOKUP($A49,'SegEnds_Xtal_Prot#'!$A:$AY,33,FALSE)-VLOOKUP($B49,'SegEnds_NonXtal_Prot#'!$A:$AL,25,FALSE),"-")</f>
        <v>50</v>
      </c>
      <c r="R49" s="2">
        <f>IFERROR(50+VLOOKUP($A49,'SegEnds_Xtal_Prot#'!$A:$AY,35,FALSE)-VLOOKUP($B49,'SegEnds_NonXtal_Prot#'!$A:$AL,25,FALSE),"-")</f>
        <v>52</v>
      </c>
      <c r="S49" s="2">
        <f>IFERROR(50+VLOOKUP($A49,'SegEnds_Xtal_Prot#'!$A:$AY,37,FALSE)-VLOOKUP($B49,'SegEnds_NonXtal_Prot#'!$A:$AL,28,FALSE),"-")</f>
        <v>36</v>
      </c>
      <c r="T49" s="2">
        <f>IFERROR(50+VLOOKUP($A49,'SegEnds_Xtal_Prot#'!$A:$AY,39,FALSE)-VLOOKUP($B49,'SegEnds_NonXtal_Prot#'!$A:$AL,28,FALSE),"-")</f>
        <v>72</v>
      </c>
      <c r="U49" s="2">
        <f>IFERROR(50+VLOOKUP($A49,'SegEnds_Xtal_Prot#'!$A:$AY,41,FALSE)-VLOOKUP($B49,'SegEnds_NonXtal_Prot#'!$A:$AL,31,FALSE),"-")</f>
        <v>24</v>
      </c>
      <c r="V49" s="2">
        <f>IFERROR(50+VLOOKUP($A49,'SegEnds_Xtal_Prot#'!$A:$AY,43,FALSE)-VLOOKUP($B49,'SegEnds_NonXtal_Prot#'!$A:$AL,31,FALSE),"-")</f>
        <v>78</v>
      </c>
      <c r="W49" s="2">
        <f>IFERROR(50+VLOOKUP($A49,'SegEnds_Xtal_Prot#'!$A:$AY,45,FALSE)-VLOOKUP($B49,'SegEnds_NonXtal_Prot#'!$A:$AL,34,FALSE),"-")</f>
        <v>35</v>
      </c>
      <c r="X49" s="2">
        <f>IFERROR(50+VLOOKUP($A49,'SegEnds_Xtal_Prot#'!$A:$AY,47,FALSE)-VLOOKUP($B49,'SegEnds_NonXtal_Prot#'!$A:$AL,34,FALSE),"-")</f>
        <v>57</v>
      </c>
      <c r="Y49" s="2">
        <f>IFERROR(50+VLOOKUP($A49,'SegEnds_Xtal_Prot#'!$A:$AY,49,FALSE)-VLOOKUP($B49,'SegEnds_NonXtal_Prot#'!$A:$AL,37,FALSE),"-")</f>
        <v>47</v>
      </c>
      <c r="Z49" s="2">
        <f>IFERROR(50+VLOOKUP($A49,'SegEnds_Xtal_Prot#'!$A:$AY,51,FALSE)-VLOOKUP($B49,'SegEnds_NonXtal_Prot#'!$A:$AL,37,FALSE),"-")</f>
        <v>62</v>
      </c>
      <c r="AA49" s="50" t="str">
        <f>VLOOKUP(B49,Classification!A:D,2,FALSE)</f>
        <v>F</v>
      </c>
      <c r="AB49" s="97" t="str">
        <f>VLOOKUP(B49,Classification!A:D,4,0)</f>
        <v>Frizzled</v>
      </c>
      <c r="AC49" s="50">
        <f>VLOOKUP(B49,'SegEnds_NonXtal_Prot#'!A:AL,6,FALSE)-VLOOKUP(B49,'SegEnds_NonXtal_Prot#'!A:AL,5,FALSE)</f>
        <v>1</v>
      </c>
      <c r="AD49" s="50">
        <f>VLOOKUP(B49,'SegEnds_NonXtal_Prot#'!A:AL,9,FALSE)-VLOOKUP(B49,'SegEnds_NonXtal_Prot#'!A:AL,8,FALSE)</f>
        <v>1</v>
      </c>
      <c r="AE49" s="50" t="e">
        <f>VLOOKUP(B49,'SegEnds_NonXtal_Prot#'!A:AL,13,FALSE)-VLOOKUP(B49,'SegEnds_NonXtal_Prot#'!A:AL,10,FALSE)</f>
        <v>#VALUE!</v>
      </c>
      <c r="AF49" s="50" t="e">
        <f>VLOOKUP(B49,'SegEnds_NonXtal_Prot#'!A:AL,12,FALSE)-VLOOKUP(B49,'SegEnds_NonXtal_Prot#'!A:AL,11,FALSE)</f>
        <v>#VALUE!</v>
      </c>
      <c r="AG49" s="50" t="e">
        <f>VLOOKUP(B49,'SegEnds_NonXtal_Prot#'!A:AL,13,FALSE)-VLOOKUP(B49,'SegEnds_NonXtal_Prot#'!A:AL,11,FALSE)</f>
        <v>#VALUE!</v>
      </c>
      <c r="AH49" s="50">
        <f>VLOOKUP(B49,'SegEnds_NonXtal_Prot#'!A:AL,16,FALSE)-VLOOKUP(B49,'SegEnds_NonXtal_Prot#'!A:AL,10,FALSE)</f>
        <v>67</v>
      </c>
      <c r="AI49" s="50">
        <f>VLOOKUP(B49,'SegEnds_NonXtal_Prot#'!A:AL,16,FALSE)-VLOOKUP(B49,'SegEnds_NonXtal_Prot#'!A:AL,11,FALSE)</f>
        <v>54</v>
      </c>
      <c r="AJ49" s="50" t="e">
        <f>VLOOKUP(B49,'SegEnds_NonXtal_Prot#'!A:AL,22,FALSE)-VLOOKUP(B49,'SegEnds_NonXtal_Prot#'!A:AL,19,FALSE)</f>
        <v>#VALUE!</v>
      </c>
      <c r="AK49" s="50" t="e">
        <f>VLOOKUP(B49,'SegEnds_NonXtal_Prot#'!A:AL,15,FALSE)-VLOOKUP(B49,'SegEnds_NonXtal_Prot#'!A:AL,14,FALSE)</f>
        <v>#VALUE!</v>
      </c>
      <c r="AL49" s="50" t="e">
        <f>VLOOKUP(B49,'SegEnds_NonXtal_Prot#'!A:AL,18,FALSE)-VLOOKUP(B49,'SegEnds_NonXtal_Prot#'!A:AL,17,FALSE)</f>
        <v>#VALUE!</v>
      </c>
      <c r="AM49" s="2">
        <f>VLOOKUP(B49,'SegEnds_NonXtal_Prot#'!A:AL,34,FALSE)-VLOOKUP(B49,'SegEnds_NonXtal_Prot#'!A:AL,31,FALSE)</f>
        <v>62</v>
      </c>
    </row>
    <row r="50" spans="1:64" x14ac:dyDescent="0.2"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50"/>
      <c r="AB50" s="99"/>
      <c r="AC50" s="50"/>
      <c r="AD50" s="50"/>
      <c r="AE50" s="50"/>
      <c r="AF50" s="50"/>
      <c r="AG50" s="50"/>
      <c r="AH50" s="50"/>
      <c r="AI50" s="50"/>
      <c r="AJ50" s="50"/>
      <c r="AK50" s="50"/>
      <c r="AL50" s="50"/>
      <c r="AM50" s="2"/>
    </row>
    <row r="51" spans="1:64" x14ac:dyDescent="0.2"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50"/>
      <c r="AB51" s="99"/>
      <c r="AC51" s="50"/>
      <c r="AD51" s="50"/>
      <c r="AE51" s="50"/>
      <c r="AF51" s="50"/>
      <c r="AG51" s="50"/>
      <c r="AH51" s="50"/>
      <c r="AI51" s="50"/>
      <c r="AJ51" s="50"/>
      <c r="AK51" s="50"/>
      <c r="AL51" s="50"/>
      <c r="AM51" s="2"/>
    </row>
    <row r="52" spans="1:64" x14ac:dyDescent="0.2"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50"/>
      <c r="AB52" s="99"/>
      <c r="AC52" s="50"/>
      <c r="AD52" s="50"/>
      <c r="AE52" s="50"/>
      <c r="AF52" s="50"/>
      <c r="AG52" s="50"/>
      <c r="AH52" s="50"/>
      <c r="AI52" s="50"/>
      <c r="AJ52" s="50"/>
      <c r="AK52" s="50"/>
      <c r="AL52" s="50"/>
      <c r="AM52" s="2"/>
    </row>
    <row r="53" spans="1:64" x14ac:dyDescent="0.2">
      <c r="A53" s="4"/>
      <c r="B53" s="4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50"/>
      <c r="AB53" s="99"/>
      <c r="AC53" s="50"/>
      <c r="AD53" s="50"/>
      <c r="AE53" s="50"/>
      <c r="AF53" s="50"/>
      <c r="AG53" s="50"/>
      <c r="AH53" s="50"/>
      <c r="AI53" s="50"/>
      <c r="AJ53" s="50"/>
      <c r="AK53" s="50"/>
      <c r="AL53" s="50"/>
      <c r="AM53" s="2"/>
      <c r="AN53" s="39"/>
      <c r="AO53" s="30" t="s">
        <v>1061</v>
      </c>
      <c r="AP53" s="30" t="s">
        <v>1062</v>
      </c>
      <c r="AQ53" s="30" t="s">
        <v>1078</v>
      </c>
      <c r="AR53" s="30" t="s">
        <v>1079</v>
      </c>
      <c r="AS53" s="30" t="s">
        <v>1063</v>
      </c>
      <c r="AT53" s="30" t="s">
        <v>1064</v>
      </c>
      <c r="AU53" s="30" t="s">
        <v>1080</v>
      </c>
      <c r="AV53" s="30" t="s">
        <v>1081</v>
      </c>
      <c r="AW53" s="30" t="s">
        <v>1065</v>
      </c>
      <c r="AX53" s="30" t="s">
        <v>1066</v>
      </c>
      <c r="AY53" s="30" t="s">
        <v>1093</v>
      </c>
      <c r="AZ53" s="30" t="s">
        <v>1094</v>
      </c>
      <c r="BA53" s="30" t="s">
        <v>1067</v>
      </c>
      <c r="BB53" s="30" t="s">
        <v>1068</v>
      </c>
      <c r="BC53" s="30" t="s">
        <v>1096</v>
      </c>
      <c r="BD53" s="30" t="s">
        <v>1097</v>
      </c>
      <c r="BE53" s="30" t="s">
        <v>1069</v>
      </c>
      <c r="BF53" s="30" t="s">
        <v>1070</v>
      </c>
      <c r="BG53" s="30" t="s">
        <v>1071</v>
      </c>
      <c r="BH53" s="30" t="s">
        <v>1072</v>
      </c>
      <c r="BI53" s="30" t="s">
        <v>1073</v>
      </c>
      <c r="BJ53" s="30" t="s">
        <v>1074</v>
      </c>
      <c r="BK53" s="30" t="s">
        <v>1075</v>
      </c>
      <c r="BL53" s="30" t="s">
        <v>1076</v>
      </c>
    </row>
    <row r="54" spans="1:64" x14ac:dyDescent="0.2"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N54" s="39" t="s">
        <v>1</v>
      </c>
      <c r="AO54" s="4">
        <f t="shared" ref="AO54:BL54" si="0">MAX(C2:C39)</f>
        <v>34</v>
      </c>
      <c r="AP54" s="4">
        <f t="shared" si="0"/>
        <v>64</v>
      </c>
      <c r="AQ54" s="4">
        <f t="shared" si="0"/>
        <v>48</v>
      </c>
      <c r="AR54" s="4">
        <f t="shared" si="0"/>
        <v>52</v>
      </c>
      <c r="AS54" s="4">
        <f t="shared" si="0"/>
        <v>38</v>
      </c>
      <c r="AT54" s="4">
        <f t="shared" si="0"/>
        <v>69</v>
      </c>
      <c r="AU54" s="4">
        <f t="shared" si="0"/>
        <v>50</v>
      </c>
      <c r="AV54" s="4">
        <f t="shared" si="0"/>
        <v>53</v>
      </c>
      <c r="AW54" s="4">
        <f t="shared" si="0"/>
        <v>24</v>
      </c>
      <c r="AX54" s="4">
        <f t="shared" si="0"/>
        <v>56</v>
      </c>
      <c r="AY54" s="4">
        <f t="shared" si="0"/>
        <v>50</v>
      </c>
      <c r="AZ54" s="4">
        <f t="shared" si="0"/>
        <v>58</v>
      </c>
      <c r="BA54" s="4">
        <f t="shared" si="0"/>
        <v>38</v>
      </c>
      <c r="BB54" s="4">
        <f t="shared" si="0"/>
        <v>69</v>
      </c>
      <c r="BC54" s="4">
        <f t="shared" si="0"/>
        <v>50</v>
      </c>
      <c r="BD54" s="4">
        <f t="shared" si="0"/>
        <v>52</v>
      </c>
      <c r="BE54" s="4">
        <f t="shared" si="0"/>
        <v>36</v>
      </c>
      <c r="BF54" s="4">
        <f t="shared" si="0"/>
        <v>77</v>
      </c>
      <c r="BG54" s="4">
        <f t="shared" si="0"/>
        <v>30</v>
      </c>
      <c r="BH54" s="4">
        <f t="shared" si="0"/>
        <v>65</v>
      </c>
      <c r="BI54" s="4">
        <f t="shared" si="0"/>
        <v>32</v>
      </c>
      <c r="BJ54" s="4">
        <f t="shared" si="0"/>
        <v>56</v>
      </c>
      <c r="BK54" s="4">
        <f t="shared" si="0"/>
        <v>47</v>
      </c>
      <c r="BL54" s="4">
        <f t="shared" si="0"/>
        <v>69</v>
      </c>
    </row>
    <row r="55" spans="1:64" x14ac:dyDescent="0.2"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O55" s="4">
        <f t="shared" ref="AO55:BL55" si="1">MIN(C2:C39)</f>
        <v>22</v>
      </c>
      <c r="AP55" s="4">
        <f t="shared" si="1"/>
        <v>60</v>
      </c>
      <c r="AQ55" s="4">
        <f t="shared" si="1"/>
        <v>48</v>
      </c>
      <c r="AR55" s="4">
        <f t="shared" si="1"/>
        <v>51</v>
      </c>
      <c r="AS55" s="4">
        <f t="shared" si="1"/>
        <v>34</v>
      </c>
      <c r="AT55" s="4">
        <f t="shared" si="1"/>
        <v>63</v>
      </c>
      <c r="AU55" s="4">
        <f t="shared" si="1"/>
        <v>47</v>
      </c>
      <c r="AV55" s="4">
        <f t="shared" si="1"/>
        <v>52</v>
      </c>
      <c r="AW55" s="4">
        <f t="shared" si="1"/>
        <v>18</v>
      </c>
      <c r="AX55" s="4">
        <f t="shared" si="1"/>
        <v>56</v>
      </c>
      <c r="AY55" s="4">
        <f t="shared" si="1"/>
        <v>50</v>
      </c>
      <c r="AZ55" s="4">
        <f t="shared" si="1"/>
        <v>53</v>
      </c>
      <c r="BA55" s="4">
        <f t="shared" si="1"/>
        <v>35</v>
      </c>
      <c r="BB55" s="4">
        <f t="shared" si="1"/>
        <v>62</v>
      </c>
      <c r="BC55" s="4">
        <f t="shared" si="1"/>
        <v>50</v>
      </c>
      <c r="BD55" s="4">
        <f t="shared" si="1"/>
        <v>52</v>
      </c>
      <c r="BE55" s="4">
        <f t="shared" si="1"/>
        <v>29</v>
      </c>
      <c r="BF55" s="4">
        <f t="shared" si="1"/>
        <v>67</v>
      </c>
      <c r="BG55" s="4">
        <f t="shared" si="1"/>
        <v>18</v>
      </c>
      <c r="BH55" s="4">
        <f t="shared" si="1"/>
        <v>60</v>
      </c>
      <c r="BI55" s="4">
        <f t="shared" si="1"/>
        <v>24</v>
      </c>
      <c r="BJ55" s="4">
        <f t="shared" si="1"/>
        <v>55</v>
      </c>
      <c r="BK55" s="4">
        <f t="shared" si="1"/>
        <v>47</v>
      </c>
      <c r="BL55" s="4">
        <f t="shared" si="1"/>
        <v>57</v>
      </c>
    </row>
    <row r="56" spans="1:64" x14ac:dyDescent="0.2"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O56" s="4">
        <f t="shared" ref="AO56:BL56" si="2">AO54-AO55</f>
        <v>12</v>
      </c>
      <c r="AP56" s="4">
        <f t="shared" si="2"/>
        <v>4</v>
      </c>
      <c r="AQ56" s="4">
        <f t="shared" si="2"/>
        <v>0</v>
      </c>
      <c r="AR56" s="4">
        <f t="shared" si="2"/>
        <v>1</v>
      </c>
      <c r="AS56" s="4">
        <f t="shared" si="2"/>
        <v>4</v>
      </c>
      <c r="AT56" s="4">
        <f t="shared" si="2"/>
        <v>6</v>
      </c>
      <c r="AU56" s="4">
        <f t="shared" si="2"/>
        <v>3</v>
      </c>
      <c r="AV56" s="4">
        <f t="shared" si="2"/>
        <v>1</v>
      </c>
      <c r="AW56" s="4">
        <f t="shared" si="2"/>
        <v>6</v>
      </c>
      <c r="AX56" s="4">
        <f t="shared" si="2"/>
        <v>0</v>
      </c>
      <c r="AY56" s="4">
        <f t="shared" si="2"/>
        <v>0</v>
      </c>
      <c r="AZ56" s="4">
        <f t="shared" si="2"/>
        <v>5</v>
      </c>
      <c r="BA56" s="4">
        <f t="shared" si="2"/>
        <v>3</v>
      </c>
      <c r="BB56" s="4">
        <f t="shared" si="2"/>
        <v>7</v>
      </c>
      <c r="BC56" s="4">
        <f t="shared" si="2"/>
        <v>0</v>
      </c>
      <c r="BD56" s="4">
        <f t="shared" si="2"/>
        <v>0</v>
      </c>
      <c r="BE56" s="4">
        <f t="shared" si="2"/>
        <v>7</v>
      </c>
      <c r="BF56" s="4">
        <f t="shared" si="2"/>
        <v>10</v>
      </c>
      <c r="BG56" s="4">
        <f t="shared" si="2"/>
        <v>12</v>
      </c>
      <c r="BH56" s="4">
        <f t="shared" si="2"/>
        <v>5</v>
      </c>
      <c r="BI56" s="4">
        <f t="shared" si="2"/>
        <v>8</v>
      </c>
      <c r="BJ56" s="4">
        <f t="shared" si="2"/>
        <v>1</v>
      </c>
      <c r="BK56" s="4">
        <f t="shared" si="2"/>
        <v>0</v>
      </c>
      <c r="BL56" s="4">
        <f t="shared" si="2"/>
        <v>12</v>
      </c>
    </row>
    <row r="57" spans="1:64" x14ac:dyDescent="0.2"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N57" s="39" t="s">
        <v>1287</v>
      </c>
      <c r="AO57" s="4">
        <f t="shared" ref="AO57:BL57" si="3">MAX(C40:C43)</f>
        <v>29</v>
      </c>
      <c r="AP57" s="4">
        <f t="shared" si="3"/>
        <v>60</v>
      </c>
      <c r="AQ57" s="4">
        <f t="shared" si="3"/>
        <v>48</v>
      </c>
      <c r="AR57" s="4">
        <f t="shared" si="3"/>
        <v>51</v>
      </c>
      <c r="AS57" s="4">
        <f t="shared" si="3"/>
        <v>37</v>
      </c>
      <c r="AT57" s="4">
        <f t="shared" si="3"/>
        <v>66</v>
      </c>
      <c r="AU57" s="4">
        <f t="shared" si="3"/>
        <v>49</v>
      </c>
      <c r="AV57" s="4">
        <f t="shared" si="3"/>
        <v>52</v>
      </c>
      <c r="AW57" s="4">
        <f t="shared" si="3"/>
        <v>22</v>
      </c>
      <c r="AX57" s="4">
        <f t="shared" si="3"/>
        <v>56</v>
      </c>
      <c r="AY57" s="4">
        <f t="shared" si="3"/>
        <v>50</v>
      </c>
      <c r="AZ57" s="4">
        <f t="shared" si="3"/>
        <v>57</v>
      </c>
      <c r="BA57" s="4">
        <f t="shared" si="3"/>
        <v>41</v>
      </c>
      <c r="BB57" s="4">
        <f t="shared" si="3"/>
        <v>68</v>
      </c>
      <c r="BC57" s="4">
        <f t="shared" si="3"/>
        <v>50</v>
      </c>
      <c r="BD57" s="4">
        <f t="shared" si="3"/>
        <v>52</v>
      </c>
      <c r="BE57" s="4">
        <f t="shared" si="3"/>
        <v>40</v>
      </c>
      <c r="BF57" s="4">
        <f t="shared" si="3"/>
        <v>70</v>
      </c>
      <c r="BG57" s="4">
        <f t="shared" si="3"/>
        <v>30</v>
      </c>
      <c r="BH57" s="4">
        <f t="shared" si="3"/>
        <v>65</v>
      </c>
      <c r="BI57" s="4">
        <f t="shared" si="3"/>
        <v>31</v>
      </c>
      <c r="BJ57" s="4">
        <f t="shared" si="3"/>
        <v>56</v>
      </c>
      <c r="BK57" s="4">
        <f t="shared" si="3"/>
        <v>47</v>
      </c>
      <c r="BL57" s="4">
        <f t="shared" si="3"/>
        <v>72</v>
      </c>
    </row>
    <row r="58" spans="1:64" x14ac:dyDescent="0.2"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O58" s="4">
        <f t="shared" ref="AO58:BL58" si="4">MIN(C40:C43)</f>
        <v>19</v>
      </c>
      <c r="AP58" s="4">
        <f t="shared" si="4"/>
        <v>60</v>
      </c>
      <c r="AQ58" s="4">
        <f t="shared" si="4"/>
        <v>48</v>
      </c>
      <c r="AR58" s="4">
        <f t="shared" si="4"/>
        <v>51</v>
      </c>
      <c r="AS58" s="4">
        <f t="shared" si="4"/>
        <v>37</v>
      </c>
      <c r="AT58" s="4">
        <f t="shared" si="4"/>
        <v>63</v>
      </c>
      <c r="AU58" s="4">
        <f t="shared" si="4"/>
        <v>47</v>
      </c>
      <c r="AV58" s="4">
        <f t="shared" si="4"/>
        <v>52</v>
      </c>
      <c r="AW58" s="4">
        <f t="shared" si="4"/>
        <v>21</v>
      </c>
      <c r="AX58" s="4">
        <f t="shared" si="4"/>
        <v>56</v>
      </c>
      <c r="AY58" s="4">
        <f t="shared" si="4"/>
        <v>50</v>
      </c>
      <c r="AZ58" s="4">
        <f t="shared" si="4"/>
        <v>56</v>
      </c>
      <c r="BA58" s="4">
        <f t="shared" si="4"/>
        <v>38</v>
      </c>
      <c r="BB58" s="4">
        <f t="shared" si="4"/>
        <v>62</v>
      </c>
      <c r="BC58" s="4">
        <f t="shared" si="4"/>
        <v>50</v>
      </c>
      <c r="BD58" s="4">
        <f t="shared" si="4"/>
        <v>52</v>
      </c>
      <c r="BE58" s="4">
        <f t="shared" si="4"/>
        <v>31</v>
      </c>
      <c r="BF58" s="4">
        <f t="shared" si="4"/>
        <v>67</v>
      </c>
      <c r="BG58" s="4">
        <f t="shared" si="4"/>
        <v>25</v>
      </c>
      <c r="BH58" s="4">
        <f t="shared" si="4"/>
        <v>53</v>
      </c>
      <c r="BI58" s="4">
        <f t="shared" si="4"/>
        <v>28</v>
      </c>
      <c r="BJ58" s="4">
        <f t="shared" si="4"/>
        <v>56</v>
      </c>
      <c r="BK58" s="4">
        <f t="shared" si="4"/>
        <v>47</v>
      </c>
      <c r="BL58" s="4">
        <f t="shared" si="4"/>
        <v>61</v>
      </c>
    </row>
    <row r="59" spans="1:64" x14ac:dyDescent="0.2"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O59" s="4">
        <f t="shared" ref="AO59:BL59" si="5">AO57-AO58</f>
        <v>10</v>
      </c>
      <c r="AP59" s="4">
        <f t="shared" si="5"/>
        <v>0</v>
      </c>
      <c r="AQ59" s="4">
        <f t="shared" si="5"/>
        <v>0</v>
      </c>
      <c r="AR59" s="4">
        <f t="shared" si="5"/>
        <v>0</v>
      </c>
      <c r="AS59" s="4">
        <f t="shared" si="5"/>
        <v>0</v>
      </c>
      <c r="AT59" s="4">
        <f t="shared" si="5"/>
        <v>3</v>
      </c>
      <c r="AU59" s="4">
        <f t="shared" si="5"/>
        <v>2</v>
      </c>
      <c r="AV59" s="4">
        <f t="shared" si="5"/>
        <v>0</v>
      </c>
      <c r="AW59" s="4">
        <f t="shared" si="5"/>
        <v>1</v>
      </c>
      <c r="AX59" s="4">
        <f t="shared" si="5"/>
        <v>0</v>
      </c>
      <c r="AY59" s="4">
        <f t="shared" si="5"/>
        <v>0</v>
      </c>
      <c r="AZ59" s="4">
        <f t="shared" si="5"/>
        <v>1</v>
      </c>
      <c r="BA59" s="4">
        <f t="shared" si="5"/>
        <v>3</v>
      </c>
      <c r="BB59" s="4">
        <f t="shared" si="5"/>
        <v>6</v>
      </c>
      <c r="BC59" s="4">
        <f t="shared" si="5"/>
        <v>0</v>
      </c>
      <c r="BD59" s="4">
        <f t="shared" si="5"/>
        <v>0</v>
      </c>
      <c r="BE59" s="4">
        <f t="shared" si="5"/>
        <v>9</v>
      </c>
      <c r="BF59" s="4">
        <f t="shared" si="5"/>
        <v>3</v>
      </c>
      <c r="BG59" s="4">
        <f t="shared" si="5"/>
        <v>5</v>
      </c>
      <c r="BH59" s="4">
        <f t="shared" si="5"/>
        <v>12</v>
      </c>
      <c r="BI59" s="4">
        <f t="shared" si="5"/>
        <v>3</v>
      </c>
      <c r="BJ59" s="4">
        <f t="shared" si="5"/>
        <v>0</v>
      </c>
      <c r="BK59" s="4">
        <f t="shared" si="5"/>
        <v>0</v>
      </c>
      <c r="BL59" s="4">
        <f t="shared" si="5"/>
        <v>11</v>
      </c>
    </row>
    <row r="60" spans="1:64" x14ac:dyDescent="0.2"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N60" s="39" t="s">
        <v>27</v>
      </c>
      <c r="AO60" s="4">
        <f t="shared" ref="AO60:BL60" si="6">MAX(C44:C47)</f>
        <v>34</v>
      </c>
      <c r="AP60" s="4">
        <f t="shared" si="6"/>
        <v>60</v>
      </c>
      <c r="AQ60" s="4">
        <f t="shared" si="6"/>
        <v>48</v>
      </c>
      <c r="AR60" s="4">
        <f t="shared" si="6"/>
        <v>53</v>
      </c>
      <c r="AS60" s="4">
        <f t="shared" si="6"/>
        <v>39</v>
      </c>
      <c r="AT60" s="4">
        <f t="shared" si="6"/>
        <v>74</v>
      </c>
      <c r="AU60" s="4">
        <f t="shared" si="6"/>
        <v>0</v>
      </c>
      <c r="AV60" s="4">
        <f t="shared" si="6"/>
        <v>0</v>
      </c>
      <c r="AW60" s="4">
        <f t="shared" si="6"/>
        <v>23</v>
      </c>
      <c r="AX60" s="4">
        <f t="shared" si="6"/>
        <v>56</v>
      </c>
      <c r="AY60" s="4">
        <f t="shared" si="6"/>
        <v>0</v>
      </c>
      <c r="AZ60" s="4">
        <f t="shared" si="6"/>
        <v>0</v>
      </c>
      <c r="BA60" s="4">
        <f t="shared" si="6"/>
        <v>40</v>
      </c>
      <c r="BB60" s="4">
        <f t="shared" si="6"/>
        <v>68</v>
      </c>
      <c r="BC60" s="4">
        <f t="shared" si="6"/>
        <v>50</v>
      </c>
      <c r="BD60" s="4">
        <f t="shared" si="6"/>
        <v>52</v>
      </c>
      <c r="BE60" s="4">
        <f t="shared" si="6"/>
        <v>39</v>
      </c>
      <c r="BF60" s="4">
        <f t="shared" si="6"/>
        <v>71</v>
      </c>
      <c r="BG60" s="4">
        <f t="shared" si="6"/>
        <v>33</v>
      </c>
      <c r="BH60" s="4">
        <f t="shared" si="6"/>
        <v>58</v>
      </c>
      <c r="BI60" s="4">
        <f t="shared" si="6"/>
        <v>34</v>
      </c>
      <c r="BJ60" s="4">
        <f t="shared" si="6"/>
        <v>63</v>
      </c>
      <c r="BK60" s="4">
        <f t="shared" si="6"/>
        <v>47</v>
      </c>
      <c r="BL60" s="4">
        <f t="shared" si="6"/>
        <v>72</v>
      </c>
    </row>
    <row r="61" spans="1:64" x14ac:dyDescent="0.2"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O61" s="4">
        <f t="shared" ref="AO61:BL61" si="7">MIN(C44:C47)</f>
        <v>25</v>
      </c>
      <c r="AP61" s="4">
        <f t="shared" si="7"/>
        <v>60</v>
      </c>
      <c r="AQ61" s="4">
        <f t="shared" si="7"/>
        <v>47</v>
      </c>
      <c r="AR61" s="4">
        <f t="shared" si="7"/>
        <v>51</v>
      </c>
      <c r="AS61" s="4">
        <f t="shared" si="7"/>
        <v>37</v>
      </c>
      <c r="AT61" s="4">
        <f t="shared" si="7"/>
        <v>61</v>
      </c>
      <c r="AU61" s="4">
        <f t="shared" si="7"/>
        <v>0</v>
      </c>
      <c r="AV61" s="4">
        <f t="shared" si="7"/>
        <v>0</v>
      </c>
      <c r="AW61" s="4">
        <f t="shared" si="7"/>
        <v>18</v>
      </c>
      <c r="AX61" s="4">
        <f t="shared" si="7"/>
        <v>54</v>
      </c>
      <c r="AY61" s="4">
        <f t="shared" si="7"/>
        <v>0</v>
      </c>
      <c r="AZ61" s="4">
        <f t="shared" si="7"/>
        <v>0</v>
      </c>
      <c r="BA61" s="4">
        <f t="shared" si="7"/>
        <v>37</v>
      </c>
      <c r="BB61" s="4">
        <f t="shared" si="7"/>
        <v>64</v>
      </c>
      <c r="BC61" s="4">
        <f t="shared" si="7"/>
        <v>50</v>
      </c>
      <c r="BD61" s="4">
        <f t="shared" si="7"/>
        <v>52</v>
      </c>
      <c r="BE61" s="4">
        <f t="shared" si="7"/>
        <v>36</v>
      </c>
      <c r="BF61" s="4">
        <f t="shared" si="7"/>
        <v>61</v>
      </c>
      <c r="BG61" s="4">
        <f t="shared" si="7"/>
        <v>28</v>
      </c>
      <c r="BH61" s="4">
        <f t="shared" si="7"/>
        <v>53</v>
      </c>
      <c r="BI61" s="4">
        <f t="shared" si="7"/>
        <v>27</v>
      </c>
      <c r="BJ61" s="4">
        <f t="shared" si="7"/>
        <v>56</v>
      </c>
      <c r="BK61" s="4">
        <f t="shared" si="7"/>
        <v>47</v>
      </c>
      <c r="BL61" s="4">
        <f t="shared" si="7"/>
        <v>59</v>
      </c>
    </row>
    <row r="62" spans="1:64" x14ac:dyDescent="0.2"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O62" s="4">
        <f t="shared" ref="AO62:BL62" si="8">AO60-AO61</f>
        <v>9</v>
      </c>
      <c r="AP62" s="4">
        <f t="shared" si="8"/>
        <v>0</v>
      </c>
      <c r="AQ62" s="4">
        <f t="shared" si="8"/>
        <v>1</v>
      </c>
      <c r="AR62" s="4">
        <f t="shared" si="8"/>
        <v>2</v>
      </c>
      <c r="AS62" s="4">
        <f t="shared" si="8"/>
        <v>2</v>
      </c>
      <c r="AT62" s="4">
        <f t="shared" si="8"/>
        <v>13</v>
      </c>
      <c r="AU62" s="4">
        <f t="shared" si="8"/>
        <v>0</v>
      </c>
      <c r="AV62" s="4">
        <f t="shared" si="8"/>
        <v>0</v>
      </c>
      <c r="AW62" s="4">
        <f t="shared" si="8"/>
        <v>5</v>
      </c>
      <c r="AX62" s="4">
        <f t="shared" si="8"/>
        <v>2</v>
      </c>
      <c r="AY62" s="4">
        <f t="shared" si="8"/>
        <v>0</v>
      </c>
      <c r="AZ62" s="4">
        <f t="shared" si="8"/>
        <v>0</v>
      </c>
      <c r="BA62" s="4">
        <f t="shared" si="8"/>
        <v>3</v>
      </c>
      <c r="BB62" s="4">
        <f t="shared" si="8"/>
        <v>4</v>
      </c>
      <c r="BC62" s="4">
        <f t="shared" si="8"/>
        <v>0</v>
      </c>
      <c r="BD62" s="4">
        <f t="shared" si="8"/>
        <v>0</v>
      </c>
      <c r="BE62" s="4">
        <f t="shared" si="8"/>
        <v>3</v>
      </c>
      <c r="BF62" s="4">
        <f t="shared" si="8"/>
        <v>10</v>
      </c>
      <c r="BG62" s="4">
        <f t="shared" si="8"/>
        <v>5</v>
      </c>
      <c r="BH62" s="4">
        <f t="shared" si="8"/>
        <v>5</v>
      </c>
      <c r="BI62" s="4">
        <f t="shared" si="8"/>
        <v>7</v>
      </c>
      <c r="BJ62" s="4">
        <f t="shared" si="8"/>
        <v>7</v>
      </c>
      <c r="BK62" s="4">
        <f t="shared" si="8"/>
        <v>0</v>
      </c>
      <c r="BL62" s="4">
        <f t="shared" si="8"/>
        <v>13</v>
      </c>
    </row>
    <row r="63" spans="1:64" x14ac:dyDescent="0.2"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N63" s="39" t="s">
        <v>28</v>
      </c>
      <c r="AO63" s="4">
        <f t="shared" ref="AO63:BL63" si="9">MAX(C48)</f>
        <v>34</v>
      </c>
      <c r="AP63" s="4">
        <f t="shared" si="9"/>
        <v>60</v>
      </c>
      <c r="AQ63" s="4">
        <f t="shared" si="9"/>
        <v>47</v>
      </c>
      <c r="AR63" s="4">
        <f t="shared" si="9"/>
        <v>53</v>
      </c>
      <c r="AS63" s="4">
        <f t="shared" si="9"/>
        <v>39</v>
      </c>
      <c r="AT63" s="4">
        <f t="shared" si="9"/>
        <v>61</v>
      </c>
      <c r="AU63" s="4">
        <f t="shared" si="9"/>
        <v>0</v>
      </c>
      <c r="AV63" s="4">
        <f t="shared" si="9"/>
        <v>0</v>
      </c>
      <c r="AW63" s="4">
        <f t="shared" si="9"/>
        <v>22</v>
      </c>
      <c r="AX63" s="4">
        <f t="shared" si="9"/>
        <v>54</v>
      </c>
      <c r="AY63" s="4">
        <f t="shared" si="9"/>
        <v>0</v>
      </c>
      <c r="AZ63" s="4">
        <f t="shared" si="9"/>
        <v>0</v>
      </c>
      <c r="BA63" s="4">
        <f t="shared" si="9"/>
        <v>38</v>
      </c>
      <c r="BB63" s="4">
        <f t="shared" si="9"/>
        <v>64</v>
      </c>
      <c r="BC63" s="4">
        <f t="shared" si="9"/>
        <v>50</v>
      </c>
      <c r="BD63" s="4">
        <f t="shared" si="9"/>
        <v>52</v>
      </c>
      <c r="BE63" s="4">
        <f t="shared" si="9"/>
        <v>37</v>
      </c>
      <c r="BF63" s="4">
        <f t="shared" si="9"/>
        <v>61</v>
      </c>
      <c r="BG63" s="4">
        <f t="shared" si="9"/>
        <v>33</v>
      </c>
      <c r="BH63" s="4">
        <f t="shared" si="9"/>
        <v>57</v>
      </c>
      <c r="BI63" s="4">
        <f t="shared" si="9"/>
        <v>34</v>
      </c>
      <c r="BJ63" s="4">
        <f t="shared" si="9"/>
        <v>63</v>
      </c>
      <c r="BK63" s="4">
        <f t="shared" si="9"/>
        <v>47</v>
      </c>
      <c r="BL63" s="4">
        <f t="shared" si="9"/>
        <v>59</v>
      </c>
    </row>
    <row r="64" spans="1:64" x14ac:dyDescent="0.2"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O64" s="4">
        <f t="shared" ref="AO64:BL64" si="10">MIN(C48)</f>
        <v>34</v>
      </c>
      <c r="AP64" s="4">
        <f t="shared" si="10"/>
        <v>60</v>
      </c>
      <c r="AQ64" s="4">
        <f t="shared" si="10"/>
        <v>47</v>
      </c>
      <c r="AR64" s="4">
        <f t="shared" si="10"/>
        <v>53</v>
      </c>
      <c r="AS64" s="4">
        <f t="shared" si="10"/>
        <v>39</v>
      </c>
      <c r="AT64" s="4">
        <f t="shared" si="10"/>
        <v>61</v>
      </c>
      <c r="AU64" s="4">
        <f t="shared" si="10"/>
        <v>0</v>
      </c>
      <c r="AV64" s="4">
        <f t="shared" si="10"/>
        <v>0</v>
      </c>
      <c r="AW64" s="4">
        <f t="shared" si="10"/>
        <v>22</v>
      </c>
      <c r="AX64" s="4">
        <f t="shared" si="10"/>
        <v>54</v>
      </c>
      <c r="AY64" s="4">
        <f t="shared" si="10"/>
        <v>0</v>
      </c>
      <c r="AZ64" s="4">
        <f t="shared" si="10"/>
        <v>0</v>
      </c>
      <c r="BA64" s="4">
        <f t="shared" si="10"/>
        <v>38</v>
      </c>
      <c r="BB64" s="4">
        <f t="shared" si="10"/>
        <v>64</v>
      </c>
      <c r="BC64" s="4">
        <f t="shared" si="10"/>
        <v>50</v>
      </c>
      <c r="BD64" s="4">
        <f t="shared" si="10"/>
        <v>52</v>
      </c>
      <c r="BE64" s="4">
        <f t="shared" si="10"/>
        <v>37</v>
      </c>
      <c r="BF64" s="4">
        <f t="shared" si="10"/>
        <v>61</v>
      </c>
      <c r="BG64" s="4">
        <f t="shared" si="10"/>
        <v>33</v>
      </c>
      <c r="BH64" s="4">
        <f t="shared" si="10"/>
        <v>57</v>
      </c>
      <c r="BI64" s="4">
        <f t="shared" si="10"/>
        <v>34</v>
      </c>
      <c r="BJ64" s="4">
        <f t="shared" si="10"/>
        <v>63</v>
      </c>
      <c r="BK64" s="4">
        <f t="shared" si="10"/>
        <v>47</v>
      </c>
      <c r="BL64" s="4">
        <f t="shared" si="10"/>
        <v>59</v>
      </c>
    </row>
    <row r="65" spans="3:64" x14ac:dyDescent="0.2"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O65" s="4">
        <f t="shared" ref="AO65:BL65" si="11">AO63-AO64</f>
        <v>0</v>
      </c>
      <c r="AP65" s="4">
        <f t="shared" si="11"/>
        <v>0</v>
      </c>
      <c r="AQ65" s="4">
        <f t="shared" si="11"/>
        <v>0</v>
      </c>
      <c r="AR65" s="4">
        <f t="shared" si="11"/>
        <v>0</v>
      </c>
      <c r="AS65" s="4">
        <f t="shared" si="11"/>
        <v>0</v>
      </c>
      <c r="AT65" s="4">
        <f t="shared" si="11"/>
        <v>0</v>
      </c>
      <c r="AU65" s="4">
        <f t="shared" si="11"/>
        <v>0</v>
      </c>
      <c r="AV65" s="4">
        <f t="shared" si="11"/>
        <v>0</v>
      </c>
      <c r="AW65" s="4">
        <f t="shared" si="11"/>
        <v>0</v>
      </c>
      <c r="AX65" s="4">
        <f t="shared" si="11"/>
        <v>0</v>
      </c>
      <c r="AY65" s="4">
        <f t="shared" si="11"/>
        <v>0</v>
      </c>
      <c r="AZ65" s="4">
        <f t="shared" si="11"/>
        <v>0</v>
      </c>
      <c r="BA65" s="4">
        <f t="shared" si="11"/>
        <v>0</v>
      </c>
      <c r="BB65" s="4">
        <f t="shared" si="11"/>
        <v>0</v>
      </c>
      <c r="BC65" s="4">
        <f t="shared" si="11"/>
        <v>0</v>
      </c>
      <c r="BD65" s="4">
        <f t="shared" si="11"/>
        <v>0</v>
      </c>
      <c r="BE65" s="4">
        <f t="shared" si="11"/>
        <v>0</v>
      </c>
      <c r="BF65" s="4">
        <f t="shared" si="11"/>
        <v>0</v>
      </c>
      <c r="BG65" s="4">
        <f t="shared" si="11"/>
        <v>0</v>
      </c>
      <c r="BH65" s="4">
        <f t="shared" si="11"/>
        <v>0</v>
      </c>
      <c r="BI65" s="4">
        <f t="shared" si="11"/>
        <v>0</v>
      </c>
      <c r="BJ65" s="4">
        <f t="shared" si="11"/>
        <v>0</v>
      </c>
      <c r="BK65" s="4">
        <f t="shared" si="11"/>
        <v>0</v>
      </c>
      <c r="BL65" s="4">
        <f t="shared" si="11"/>
        <v>0</v>
      </c>
    </row>
    <row r="66" spans="3:64" x14ac:dyDescent="0.2"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O66" s="4">
        <f t="shared" ref="AO66:BL66" si="12">AO56+AO59+AO62+AO65</f>
        <v>31</v>
      </c>
      <c r="AP66" s="4">
        <f t="shared" si="12"/>
        <v>4</v>
      </c>
      <c r="AQ66" s="4">
        <f t="shared" si="12"/>
        <v>1</v>
      </c>
      <c r="AR66" s="4">
        <f t="shared" si="12"/>
        <v>3</v>
      </c>
      <c r="AS66" s="4">
        <f t="shared" si="12"/>
        <v>6</v>
      </c>
      <c r="AT66" s="4">
        <f t="shared" si="12"/>
        <v>22</v>
      </c>
      <c r="AU66" s="4">
        <f t="shared" si="12"/>
        <v>5</v>
      </c>
      <c r="AV66" s="4">
        <f t="shared" si="12"/>
        <v>1</v>
      </c>
      <c r="AW66" s="4">
        <f t="shared" si="12"/>
        <v>12</v>
      </c>
      <c r="AX66" s="4">
        <f t="shared" si="12"/>
        <v>2</v>
      </c>
      <c r="AY66" s="4">
        <f t="shared" si="12"/>
        <v>0</v>
      </c>
      <c r="AZ66" s="4">
        <f t="shared" si="12"/>
        <v>6</v>
      </c>
      <c r="BA66" s="4">
        <f t="shared" si="12"/>
        <v>9</v>
      </c>
      <c r="BB66" s="4">
        <f t="shared" si="12"/>
        <v>17</v>
      </c>
      <c r="BC66" s="4">
        <f t="shared" si="12"/>
        <v>0</v>
      </c>
      <c r="BD66" s="4">
        <f t="shared" si="12"/>
        <v>0</v>
      </c>
      <c r="BE66" s="4">
        <f t="shared" si="12"/>
        <v>19</v>
      </c>
      <c r="BF66" s="4">
        <f t="shared" si="12"/>
        <v>23</v>
      </c>
      <c r="BG66" s="4">
        <f t="shared" si="12"/>
        <v>22</v>
      </c>
      <c r="BH66" s="4">
        <f t="shared" si="12"/>
        <v>22</v>
      </c>
      <c r="BI66" s="4">
        <f t="shared" si="12"/>
        <v>18</v>
      </c>
      <c r="BJ66" s="4">
        <f t="shared" si="12"/>
        <v>8</v>
      </c>
      <c r="BK66" s="4">
        <f t="shared" si="12"/>
        <v>0</v>
      </c>
      <c r="BL66" s="4">
        <f t="shared" si="12"/>
        <v>36</v>
      </c>
    </row>
    <row r="67" spans="3:64" x14ac:dyDescent="0.2"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3:64" x14ac:dyDescent="0.2"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3:64" x14ac:dyDescent="0.2"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3:64" x14ac:dyDescent="0.2"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3:64" x14ac:dyDescent="0.2"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3:64" x14ac:dyDescent="0.2"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3:64" x14ac:dyDescent="0.2"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3:64" x14ac:dyDescent="0.2"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3:64" x14ac:dyDescent="0.2"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3:64" x14ac:dyDescent="0.2"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3:64" x14ac:dyDescent="0.2"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3:64" x14ac:dyDescent="0.2"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3:64" x14ac:dyDescent="0.2"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3:64" x14ac:dyDescent="0.2"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3:26" x14ac:dyDescent="0.2"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3:26" x14ac:dyDescent="0.2"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3:26" x14ac:dyDescent="0.2"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3:26" x14ac:dyDescent="0.2"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3:26" x14ac:dyDescent="0.2"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3:26" x14ac:dyDescent="0.2"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3:26" x14ac:dyDescent="0.2"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3:26" x14ac:dyDescent="0.2"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3:26" x14ac:dyDescent="0.2"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3:26" x14ac:dyDescent="0.2"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3:26" x14ac:dyDescent="0.2"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3:26" x14ac:dyDescent="0.2"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3:26" x14ac:dyDescent="0.2"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3:26" x14ac:dyDescent="0.2"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3:26" x14ac:dyDescent="0.2"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3:26" x14ac:dyDescent="0.2"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3:26" x14ac:dyDescent="0.2"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3:26" x14ac:dyDescent="0.2"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3:26" x14ac:dyDescent="0.2"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3:26" x14ac:dyDescent="0.2"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3:26" x14ac:dyDescent="0.2"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3:26" x14ac:dyDescent="0.2"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3:26" x14ac:dyDescent="0.2"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3:26" x14ac:dyDescent="0.2"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3:26" x14ac:dyDescent="0.2"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3:26" x14ac:dyDescent="0.2"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3:26" x14ac:dyDescent="0.2"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3:26" x14ac:dyDescent="0.2"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3:26" x14ac:dyDescent="0.2"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3:26" x14ac:dyDescent="0.2"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3:26" x14ac:dyDescent="0.2"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3:26" x14ac:dyDescent="0.2"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3:26" x14ac:dyDescent="0.2"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3:26" x14ac:dyDescent="0.2"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3:26" x14ac:dyDescent="0.2"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3:26" x14ac:dyDescent="0.2"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3:26" x14ac:dyDescent="0.2"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3:26" x14ac:dyDescent="0.2"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3:26" x14ac:dyDescent="0.2"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3:26" x14ac:dyDescent="0.2"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3:26" x14ac:dyDescent="0.2"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3:26" x14ac:dyDescent="0.2"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3:26" x14ac:dyDescent="0.2"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3:26" x14ac:dyDescent="0.2"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3:26" x14ac:dyDescent="0.2"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3:26" x14ac:dyDescent="0.2"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3:26" x14ac:dyDescent="0.2"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3:26" x14ac:dyDescent="0.2"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3:26" x14ac:dyDescent="0.2"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3:26" x14ac:dyDescent="0.2"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3:26" x14ac:dyDescent="0.2"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3:26" x14ac:dyDescent="0.2"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3:26" x14ac:dyDescent="0.2"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3:26" x14ac:dyDescent="0.2"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3:26" x14ac:dyDescent="0.2"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3:26" x14ac:dyDescent="0.2"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3:26" x14ac:dyDescent="0.2"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3:26" x14ac:dyDescent="0.2"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3:26" x14ac:dyDescent="0.2"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3:26" x14ac:dyDescent="0.2"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3:26" x14ac:dyDescent="0.2"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3:26" x14ac:dyDescent="0.2"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3:26" x14ac:dyDescent="0.2"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</sheetData>
  <sortState ref="A2:BL136">
    <sortCondition ref="AA2:AA136"/>
    <sortCondition ref="O2:O136"/>
  </sortState>
  <customSheetViews>
    <customSheetView guid="{3E3401AF-8459-8641-BD70-AD04F80E86ED}">
      <pane ySplit="1" topLeftCell="A2" activePane="bottomLeft" state="frozenSplit"/>
      <selection pane="bottomLeft" activeCell="B1" sqref="B1:B1048576"/>
      <pageMargins left="0.7" right="0.7" top="0.75" bottom="0.75" header="0.3" footer="0.3"/>
      <pageSetup paperSize="9" orientation="portrait" horizontalDpi="0" verticalDpi="0"/>
    </customSheetView>
  </customSheetViews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4"/>
  <sheetViews>
    <sheetView zoomScale="113" zoomScaleNormal="113" zoomScalePageLayoutView="113" workbookViewId="0">
      <pane ySplit="1" topLeftCell="A4" activePane="bottomLeft" state="frozenSplit"/>
      <selection pane="bottomLeft" activeCell="Q17" sqref="Q17"/>
    </sheetView>
  </sheetViews>
  <sheetFormatPr baseColWidth="10" defaultColWidth="11.1640625" defaultRowHeight="16" x14ac:dyDescent="0.2"/>
  <cols>
    <col min="1" max="1" width="17.1640625" style="1" customWidth="1"/>
    <col min="2" max="2" width="7.6640625" style="1" customWidth="1"/>
    <col min="3" max="4" width="12.5" customWidth="1"/>
    <col min="5" max="5" width="4.5" customWidth="1"/>
    <col min="6" max="6" width="4.1640625" bestFit="1" customWidth="1"/>
    <col min="7" max="10" width="4" customWidth="1"/>
    <col min="11" max="12" width="6.1640625" customWidth="1"/>
    <col min="13" max="13" width="10" customWidth="1"/>
    <col min="15" max="16384" width="11.1640625" style="1"/>
  </cols>
  <sheetData>
    <row r="1" spans="1:18" s="24" customFormat="1" x14ac:dyDescent="0.2">
      <c r="A1" s="8" t="s">
        <v>1077</v>
      </c>
      <c r="B1" s="8" t="s">
        <v>0</v>
      </c>
      <c r="C1" s="8" t="s">
        <v>1206</v>
      </c>
      <c r="D1" s="8" t="s">
        <v>31</v>
      </c>
      <c r="E1" s="8" t="s">
        <v>1299</v>
      </c>
      <c r="F1" s="8" t="s">
        <v>1243</v>
      </c>
      <c r="G1" s="8" t="s">
        <v>1070</v>
      </c>
      <c r="H1" s="8" t="s">
        <v>1071</v>
      </c>
      <c r="I1" s="8"/>
      <c r="J1" s="8"/>
      <c r="K1" s="8" t="s">
        <v>1297</v>
      </c>
      <c r="L1" s="8" t="s">
        <v>1336</v>
      </c>
      <c r="M1" s="8" t="s">
        <v>1302</v>
      </c>
      <c r="N1" s="8" t="s">
        <v>1303</v>
      </c>
    </row>
    <row r="2" spans="1:18" s="24" customFormat="1" x14ac:dyDescent="0.2">
      <c r="A2" s="15" t="s">
        <v>1309</v>
      </c>
      <c r="B2" s="8" t="s">
        <v>23</v>
      </c>
      <c r="C2" s="8" t="s">
        <v>23</v>
      </c>
      <c r="D2" s="15" t="s">
        <v>1310</v>
      </c>
      <c r="E2" s="8" t="s">
        <v>23</v>
      </c>
      <c r="F2" s="8">
        <v>36</v>
      </c>
      <c r="G2" s="8">
        <v>64</v>
      </c>
      <c r="H2" s="8">
        <v>34</v>
      </c>
      <c r="I2" s="8"/>
      <c r="J2" s="8"/>
      <c r="K2" s="8"/>
      <c r="L2" s="8"/>
      <c r="M2" s="8"/>
      <c r="N2" s="8"/>
    </row>
    <row r="3" spans="1:18" s="24" customFormat="1" x14ac:dyDescent="0.2">
      <c r="A3" s="15" t="s">
        <v>1395</v>
      </c>
      <c r="B3" s="8" t="s">
        <v>23</v>
      </c>
      <c r="C3" s="8" t="s">
        <v>23</v>
      </c>
      <c r="D3" s="15" t="s">
        <v>1310</v>
      </c>
      <c r="E3" s="8" t="s">
        <v>23</v>
      </c>
      <c r="F3" s="8">
        <v>39</v>
      </c>
      <c r="G3" s="8">
        <v>66</v>
      </c>
      <c r="H3" s="8">
        <v>30</v>
      </c>
      <c r="I3" s="8"/>
      <c r="J3" s="8"/>
      <c r="K3" s="8"/>
      <c r="L3" s="8"/>
      <c r="M3" s="8"/>
      <c r="N3" s="8"/>
    </row>
    <row r="4" spans="1:18" s="24" customFormat="1" x14ac:dyDescent="0.2">
      <c r="A4" s="15" t="s">
        <v>1395</v>
      </c>
      <c r="B4" s="8" t="s">
        <v>23</v>
      </c>
      <c r="C4" s="8" t="s">
        <v>23</v>
      </c>
      <c r="D4" s="15" t="s">
        <v>1310</v>
      </c>
      <c r="E4" s="8" t="s">
        <v>23</v>
      </c>
      <c r="F4" s="8">
        <v>41</v>
      </c>
      <c r="G4" s="8">
        <v>67</v>
      </c>
      <c r="H4" s="8">
        <v>30</v>
      </c>
      <c r="I4" s="8"/>
      <c r="J4" s="8"/>
      <c r="K4" s="8"/>
      <c r="L4" s="8"/>
      <c r="M4" s="8"/>
      <c r="N4" s="8"/>
    </row>
    <row r="5" spans="1:18" s="24" customFormat="1" x14ac:dyDescent="0.2">
      <c r="A5" s="15" t="s">
        <v>1395</v>
      </c>
      <c r="B5" s="8" t="s">
        <v>23</v>
      </c>
      <c r="C5" s="8" t="s">
        <v>23</v>
      </c>
      <c r="D5" s="15" t="s">
        <v>1310</v>
      </c>
      <c r="E5" s="8" t="s">
        <v>23</v>
      </c>
      <c r="F5" s="8">
        <v>42</v>
      </c>
      <c r="G5" s="8">
        <v>68</v>
      </c>
      <c r="H5" s="8">
        <v>30</v>
      </c>
      <c r="I5" s="8"/>
      <c r="J5" s="8"/>
      <c r="K5" s="8"/>
      <c r="L5" s="8"/>
      <c r="M5" s="8"/>
      <c r="N5" s="8"/>
    </row>
    <row r="6" spans="1:18" s="24" customFormat="1" ht="17" thickBot="1" x14ac:dyDescent="0.25">
      <c r="A6" s="3" t="str">
        <f>D6&amp;"__wt"</f>
        <v>cxcr4_human__wt</v>
      </c>
      <c r="B6" s="3" t="str">
        <f>VLOOKUP(D6,Classification!A:D,3,FALSE)</f>
        <v>Protein</v>
      </c>
      <c r="C6" s="3" t="str">
        <f>VLOOKUP(D6,Classification!A:D,4,FALSE)</f>
        <v>Chemokine</v>
      </c>
      <c r="D6" s="3" t="s">
        <v>1172</v>
      </c>
      <c r="E6" s="3">
        <f>VLOOKUP($D6,'SegEnds_NonXtal_Prot#'!$A:$AZ,30,FALSE)-VLOOKUP($D6,'SegEnds_NonXtal_Prot#'!$A:$AZ,29,FALSE)</f>
        <v>5</v>
      </c>
      <c r="F6" s="1">
        <f>VLOOKUP($D6,'SegEnds_NonXtal_Prot#'!$A:$AZ,31,FALSE)-VLOOKUP($D6,'SegEnds_NonXtal_Prot#'!$A:$AZ,28,FALSE)</f>
        <v>43</v>
      </c>
      <c r="G6" s="3">
        <f>50+VLOOKUP($A6,'SegEnds_Xtal_Prot#'!$A:$AY,39,FALSE)-VLOOKUP($D6,'SegEnds_NonXtal_Prot#'!$A:$AZ,28,FALSE)</f>
        <v>68</v>
      </c>
      <c r="H6" s="3">
        <f>50+VLOOKUP($A6,'SegEnds_Xtal_Prot#'!$A:$AY,41,FALSE)-VLOOKUP($D6,'SegEnds_NonXtal_Prot#'!$A:$AZ,31,FALSE)</f>
        <v>30</v>
      </c>
      <c r="I6" s="8"/>
      <c r="J6" s="8"/>
      <c r="K6" s="8"/>
      <c r="L6" s="8"/>
      <c r="M6" s="8"/>
      <c r="N6" s="8"/>
    </row>
    <row r="7" spans="1:18" ht="17" thickBot="1" x14ac:dyDescent="0.25">
      <c r="A7" s="3" t="str">
        <f t="shared" ref="A7:A25" si="0">D7&amp;"__wt"</f>
        <v>ccr9_human__wt</v>
      </c>
      <c r="B7" s="3" t="str">
        <f>VLOOKUP(D7,Classification!A:D,3,FALSE)</f>
        <v>Protein</v>
      </c>
      <c r="C7" s="3" t="str">
        <f>VLOOKUP(D7,Classification!A:D,4,FALSE)</f>
        <v>Chemokine</v>
      </c>
      <c r="D7" s="3" t="s">
        <v>177</v>
      </c>
      <c r="E7" s="3">
        <f>VLOOKUP($D7,'SegEnds_NonXtal_Prot#'!$A:$AZ,30,FALSE)-VLOOKUP($D7,'SegEnds_NonXtal_Prot#'!$A:$AZ,29,FALSE)</f>
        <v>5</v>
      </c>
      <c r="F7" s="82">
        <f>VLOOKUP($D7,'SegEnds_NonXtal_Prot#'!$A:$AZ,31,FALSE)-VLOOKUP($D7,'SegEnds_NonXtal_Prot#'!$A:$AZ,28,FALSE)</f>
        <v>43</v>
      </c>
      <c r="G7" s="83">
        <f>50+VLOOKUP($A7,'SegEnds_Xtal_Prot#'!$A:$AY,39,FALSE)-VLOOKUP($D7,'SegEnds_NonXtal_Prot#'!$A:$AZ,28,FALSE)</f>
        <v>68</v>
      </c>
      <c r="H7" s="84">
        <f>50+VLOOKUP($A7,'SegEnds_Xtal_Prot#'!$A:$AY,41,FALSE)-VLOOKUP($D7,'SegEnds_NonXtal_Prot#'!$A:$AZ,31,FALSE)</f>
        <v>28</v>
      </c>
      <c r="I7" s="3"/>
      <c r="J7" s="3"/>
      <c r="K7" s="1"/>
      <c r="L7" s="1"/>
      <c r="M7" s="1"/>
      <c r="N7" s="1"/>
      <c r="Q7" s="8"/>
      <c r="R7" s="8"/>
    </row>
    <row r="8" spans="1:18" ht="17" thickBot="1" x14ac:dyDescent="0.25">
      <c r="A8" s="3" t="str">
        <f t="shared" si="0"/>
        <v>us28_hcmva__wt</v>
      </c>
      <c r="B8" s="3" t="str">
        <f>VLOOKUP(D8,Classification!A:D,3,FALSE)</f>
        <v>Peptide</v>
      </c>
      <c r="C8" s="3" t="str">
        <f>VLOOKUP(D8,Classification!A:D,4,FALSE)</f>
        <v>Chemokine</v>
      </c>
      <c r="D8" s="3" t="s">
        <v>924</v>
      </c>
      <c r="E8" s="3">
        <f>VLOOKUP($D8,'SegEnds_NonXtal_Prot#'!$A:$AZ,30,FALSE)-VLOOKUP($D8,'SegEnds_NonXtal_Prot#'!$A:$AZ,29,FALSE)</f>
        <v>4</v>
      </c>
      <c r="F8" s="1">
        <f>VLOOKUP($D8,'SegEnds_NonXtal_Prot#'!$A:$AZ,31,FALSE)-VLOOKUP($D8,'SegEnds_NonXtal_Prot#'!$A:$AZ,28,FALSE)</f>
        <v>43</v>
      </c>
      <c r="G8" s="3">
        <f>50+VLOOKUP($A8,'SegEnds_Xtal_Prot#'!$A:$AY,39,FALSE)-VLOOKUP($D8,'SegEnds_NonXtal_Prot#'!$A:$AZ,28,FALSE)</f>
        <v>68</v>
      </c>
      <c r="H8" s="3">
        <f>50+VLOOKUP($A8,'SegEnds_Xtal_Prot#'!$A:$AY,41,FALSE)-VLOOKUP($D8,'SegEnds_NonXtal_Prot#'!$A:$AZ,31,FALSE)</f>
        <v>29</v>
      </c>
      <c r="I8" s="3">
        <f>G8</f>
        <v>68</v>
      </c>
      <c r="J8" s="3">
        <f>H8</f>
        <v>29</v>
      </c>
      <c r="K8" s="1" t="s">
        <v>1297</v>
      </c>
      <c r="L8" s="1"/>
      <c r="M8" s="1"/>
      <c r="N8" s="1"/>
    </row>
    <row r="9" spans="1:18" ht="17" thickBot="1" x14ac:dyDescent="0.25">
      <c r="A9" s="3" t="str">
        <f>D9&amp;"__wt"</f>
        <v>ccr5_human__wt</v>
      </c>
      <c r="B9" s="3" t="str">
        <f>VLOOKUP(D9,Classification!A:D,3,FALSE)</f>
        <v>Protein</v>
      </c>
      <c r="C9" s="3" t="str">
        <f>VLOOKUP(D9,Classification!A:D,4,FALSE)</f>
        <v>Chemokine</v>
      </c>
      <c r="D9" s="3" t="s">
        <v>173</v>
      </c>
      <c r="E9" s="3">
        <f>VLOOKUP($D9,'SegEnds_NonXtal_Prot#'!$A:$AZ,30,FALSE)-VLOOKUP($D9,'SegEnds_NonXtal_Prot#'!$A:$AZ,29,FALSE)</f>
        <v>4</v>
      </c>
      <c r="F9" s="82">
        <f>VLOOKUP($D9,'SegEnds_NonXtal_Prot#'!$A:$AZ,31,FALSE)-VLOOKUP($D9,'SegEnds_NonXtal_Prot#'!$A:$AZ,28,FALSE)</f>
        <v>44</v>
      </c>
      <c r="G9" s="83">
        <f>50+VLOOKUP($A9,'SegEnds_Xtal_Prot#'!$A:$AY,39,FALSE)-VLOOKUP($D9,'SegEnds_NonXtal_Prot#'!$A:$AZ,28,FALSE)</f>
        <v>68</v>
      </c>
      <c r="H9" s="84">
        <f>50+VLOOKUP($A9,'SegEnds_Xtal_Prot#'!$A:$AY,41,FALSE)-VLOOKUP($D9,'SegEnds_NonXtal_Prot#'!$A:$AZ,31,FALSE)</f>
        <v>28</v>
      </c>
      <c r="I9" s="3"/>
      <c r="J9" s="3"/>
      <c r="K9" s="1"/>
      <c r="L9" s="1"/>
      <c r="M9" s="1"/>
      <c r="N9" s="1"/>
    </row>
    <row r="10" spans="1:18" x14ac:dyDescent="0.2">
      <c r="A10" s="3" t="str">
        <f t="shared" si="0"/>
        <v>ffar1_human__wt</v>
      </c>
      <c r="B10" s="3" t="str">
        <f>VLOOKUP(D10,Classification!A:D,3,FALSE)</f>
        <v>Lipid</v>
      </c>
      <c r="C10" s="3" t="str">
        <f>VLOOKUP(D10,Classification!A:D,4,FALSE)</f>
        <v>Freefattyacid</v>
      </c>
      <c r="D10" s="3" t="s">
        <v>1173</v>
      </c>
      <c r="E10" s="3">
        <f>VLOOKUP($D10,'SegEnds_NonXtal_Prot#'!$A:$AZ,30,FALSE)-VLOOKUP($D10,'SegEnds_NonXtal_Prot#'!$A:$AZ,29,FALSE)</f>
        <v>6</v>
      </c>
      <c r="F10" s="1">
        <f>VLOOKUP($D10,'SegEnds_NonXtal_Prot#'!$A:$AZ,31,FALSE)-VLOOKUP($D10,'SegEnds_NonXtal_Prot#'!$A:$AZ,28,FALSE)</f>
        <v>45</v>
      </c>
      <c r="G10" s="3">
        <f>50+VLOOKUP($A10,'SegEnds_Xtal_Prot#'!$A:$AY,39,FALSE)-VLOOKUP($D10,'SegEnds_NonXtal_Prot#'!$A:$AZ,28,FALSE)</f>
        <v>67</v>
      </c>
      <c r="H10" s="3">
        <f>50+VLOOKUP($A10,'SegEnds_Xtal_Prot#'!$A:$AY,41,FALSE)-VLOOKUP($D10,'SegEnds_NonXtal_Prot#'!$A:$AZ,31,FALSE)</f>
        <v>28</v>
      </c>
      <c r="I10" s="3"/>
      <c r="J10" s="3"/>
      <c r="K10" s="1"/>
      <c r="L10" s="1"/>
      <c r="M10" s="1"/>
      <c r="N10" s="1"/>
    </row>
    <row r="11" spans="1:18" x14ac:dyDescent="0.2">
      <c r="A11" s="3" t="str">
        <f t="shared" si="0"/>
        <v>par1_human__wt</v>
      </c>
      <c r="B11" s="3" t="str">
        <f>VLOOKUP(D11,Classification!A:D,3,FALSE)</f>
        <v>Peptide</v>
      </c>
      <c r="C11" s="3" t="str">
        <f>VLOOKUP(D11,Classification!A:D,4,FALSE)</f>
        <v>Proteinase-activated</v>
      </c>
      <c r="D11" s="3" t="s">
        <v>355</v>
      </c>
      <c r="E11" s="3">
        <f>VLOOKUP($D11,'SegEnds_NonXtal_Prot#'!$A:$AZ,30,FALSE)-VLOOKUP($D11,'SegEnds_NonXtal_Prot#'!$A:$AZ,29,FALSE)</f>
        <v>5</v>
      </c>
      <c r="F11" s="1">
        <f>VLOOKUP($D11,'SegEnds_NonXtal_Prot#'!$A:$AZ,31,FALSE)-VLOOKUP($D11,'SegEnds_NonXtal_Prot#'!$A:$AZ,28,FALSE)</f>
        <v>46</v>
      </c>
      <c r="G11" s="3">
        <f>50+VLOOKUP($A11,'SegEnds_Xtal_Prot#'!$A:$AY,39,FALSE)-VLOOKUP($D11,'SegEnds_NonXtal_Prot#'!$A:$AZ,28,FALSE)</f>
        <v>67</v>
      </c>
      <c r="H11" s="3">
        <f>50+VLOOKUP($A11,'SegEnds_Xtal_Prot#'!$A:$AY,41,FALSE)-VLOOKUP($D11,'SegEnds_NonXtal_Prot#'!$A:$AZ,31,FALSE)</f>
        <v>26</v>
      </c>
      <c r="I11" s="3"/>
      <c r="J11" s="3"/>
      <c r="K11" s="1"/>
      <c r="L11" s="1"/>
      <c r="M11" s="1"/>
      <c r="N11" s="1"/>
    </row>
    <row r="12" spans="1:18" x14ac:dyDescent="0.2">
      <c r="A12" s="3" t="str">
        <f t="shared" si="0"/>
        <v>p2ry1_human__wt</v>
      </c>
      <c r="B12" s="3" t="str">
        <f>VLOOKUP(D12,Classification!A:D,3,FALSE)</f>
        <v>Nucleotide</v>
      </c>
      <c r="C12" s="3" t="str">
        <f>VLOOKUP(D12,Classification!A:D,4,FALSE)</f>
        <v>P2Y</v>
      </c>
      <c r="D12" s="3" t="s">
        <v>345</v>
      </c>
      <c r="E12" s="3">
        <f>VLOOKUP($D12,'SegEnds_NonXtal_Prot#'!$A:$AZ,30,FALSE)-VLOOKUP($D12,'SegEnds_NonXtal_Prot#'!$A:$AZ,29,FALSE)</f>
        <v>6</v>
      </c>
      <c r="F12" s="1">
        <f>VLOOKUP($D12,'SegEnds_NonXtal_Prot#'!$A:$AZ,31,FALSE)-VLOOKUP($D12,'SegEnds_NonXtal_Prot#'!$A:$AZ,28,FALSE)</f>
        <v>46</v>
      </c>
      <c r="G12" s="3">
        <f>50+VLOOKUP($A12,'SegEnds_Xtal_Prot#'!$A:$AY,39,FALSE)-VLOOKUP($D12,'SegEnds_NonXtal_Prot#'!$A:$AZ,28,FALSE)</f>
        <v>68</v>
      </c>
      <c r="H12" s="3">
        <f>50+VLOOKUP($A12,'SegEnds_Xtal_Prot#'!$A:$AY,41,FALSE)-VLOOKUP($D12,'SegEnds_NonXtal_Prot#'!$A:$AZ,31,FALSE)</f>
        <v>28</v>
      </c>
      <c r="I12" s="3"/>
      <c r="J12" s="3"/>
      <c r="K12" s="1"/>
      <c r="L12" s="1"/>
      <c r="M12" s="1"/>
      <c r="N12" s="1"/>
    </row>
    <row r="13" spans="1:18" x14ac:dyDescent="0.2">
      <c r="A13" s="9" t="str">
        <f t="shared" ref="A13" si="1">D13&amp;"__wt"</f>
        <v>agtr2_human__wt</v>
      </c>
      <c r="B13" s="3" t="str">
        <f>VLOOKUP(D13,Classification!A:D,3,FALSE)</f>
        <v>Peptide</v>
      </c>
      <c r="C13" s="3" t="str">
        <f>VLOOKUP(D13,Classification!A:D,4,FALSE)</f>
        <v>Angiotensin</v>
      </c>
      <c r="D13" s="3" t="s">
        <v>159</v>
      </c>
      <c r="E13" s="3">
        <f>VLOOKUP($D13,'SegEnds_NonXtal_Prot#'!$A:$AZ,30,FALSE)-VLOOKUP($D13,'SegEnds_NonXtal_Prot#'!$A:$AZ,29,FALSE)</f>
        <v>4</v>
      </c>
      <c r="F13" s="1">
        <f>VLOOKUP($D13,'SegEnds_NonXtal_Prot#'!$A:$AZ,31,FALSE)-VLOOKUP($D13,'SegEnds_NonXtal_Prot#'!$A:$AZ,28,FALSE)</f>
        <v>48</v>
      </c>
      <c r="G13" s="3">
        <f>50+VLOOKUP($A13,'SegEnds_Xtal_Prot#'!$A:$AY,39,FALSE)-VLOOKUP($D13,'SegEnds_NonXtal_Prot#'!$A:$AZ,28,FALSE)</f>
        <v>68</v>
      </c>
      <c r="H13" s="3">
        <f>50+VLOOKUP($A13,'SegEnds_Xtal_Prot#'!$A:$AY,41,FALSE)-VLOOKUP($D13,'SegEnds_NonXtal_Prot#'!$A:$AZ,31,FALSE)</f>
        <v>24</v>
      </c>
      <c r="I13" s="3"/>
      <c r="J13" s="3"/>
      <c r="K13" s="1"/>
      <c r="L13" s="1"/>
      <c r="M13" s="1"/>
      <c r="N13" s="1"/>
    </row>
    <row r="14" spans="1:18" x14ac:dyDescent="0.2">
      <c r="A14" s="3" t="str">
        <f t="shared" si="0"/>
        <v>agtr1_human__wt</v>
      </c>
      <c r="B14" s="3" t="str">
        <f>VLOOKUP(D14,Classification!A:D,3,FALSE)</f>
        <v>Peptide</v>
      </c>
      <c r="C14" s="3" t="str">
        <f>VLOOKUP(D14,Classification!A:D,4,FALSE)</f>
        <v>Angiotensin</v>
      </c>
      <c r="D14" s="3" t="s">
        <v>158</v>
      </c>
      <c r="E14" s="3">
        <f>VLOOKUP($D14,'SegEnds_NonXtal_Prot#'!$A:$AZ,30,FALSE)-VLOOKUP($D14,'SegEnds_NonXtal_Prot#'!$A:$AZ,29,FALSE)</f>
        <v>4</v>
      </c>
      <c r="F14" s="1">
        <f>VLOOKUP($D14,'SegEnds_NonXtal_Prot#'!$A:$AZ,31,FALSE)-VLOOKUP($D14,'SegEnds_NonXtal_Prot#'!$A:$AZ,28,FALSE)</f>
        <v>48</v>
      </c>
      <c r="G14" s="3">
        <f>50+VLOOKUP($A14,'SegEnds_Xtal_Prot#'!$A:$AY,39,FALSE)-VLOOKUP($D14,'SegEnds_NonXtal_Prot#'!$A:$AZ,28,FALSE)</f>
        <v>68</v>
      </c>
      <c r="H14" s="3">
        <f>50+VLOOKUP($A14,'SegEnds_Xtal_Prot#'!$A:$AY,41,FALSE)-VLOOKUP($D14,'SegEnds_NonXtal_Prot#'!$A:$AZ,31,FALSE)</f>
        <v>28</v>
      </c>
      <c r="I14" s="3"/>
      <c r="J14" s="3"/>
      <c r="K14" s="1"/>
      <c r="L14" s="1"/>
      <c r="M14" s="1"/>
      <c r="N14" s="1"/>
    </row>
    <row r="15" spans="1:18" x14ac:dyDescent="0.2">
      <c r="A15" s="3" t="str">
        <f t="shared" si="0"/>
        <v>p2y12_human__wt</v>
      </c>
      <c r="B15" s="3" t="str">
        <f>VLOOKUP(D15,Classification!A:D,3,FALSE)</f>
        <v>Nucleotide</v>
      </c>
      <c r="C15" s="3" t="str">
        <f>VLOOKUP(D15,Classification!A:D,4,FALSE)</f>
        <v>P2Y</v>
      </c>
      <c r="D15" s="9" t="s">
        <v>352</v>
      </c>
      <c r="E15" s="3">
        <f>VLOOKUP($D15,'SegEnds_NonXtal_Prot#'!$A:$AZ,30,FALSE)-VLOOKUP($D15,'SegEnds_NonXtal_Prot#'!$A:$AZ,29,FALSE)</f>
        <v>7</v>
      </c>
      <c r="F15" s="1">
        <f>VLOOKUP($D15,'SegEnds_NonXtal_Prot#'!$A:$AZ,31,FALSE)-VLOOKUP($D15,'SegEnds_NonXtal_Prot#'!$A:$AZ,28,FALSE)</f>
        <v>50</v>
      </c>
      <c r="G15" s="3">
        <f>50+VLOOKUP($A15,'SegEnds_Xtal_Prot#'!$A:$AY,39,FALSE)-VLOOKUP($D15,'SegEnds_NonXtal_Prot#'!$A:$AZ,28,FALSE)</f>
        <v>72</v>
      </c>
      <c r="H15" s="3">
        <f>50+VLOOKUP($A15,'SegEnds_Xtal_Prot#'!$A:$AY,41,FALSE)-VLOOKUP($D15,'SegEnds_NonXtal_Prot#'!$A:$AZ,31,FALSE)</f>
        <v>29</v>
      </c>
      <c r="I15" s="3"/>
      <c r="J15" s="3"/>
      <c r="K15" s="1"/>
      <c r="L15" s="1"/>
      <c r="M15" s="1" t="s">
        <v>1308</v>
      </c>
      <c r="N15" s="1"/>
    </row>
    <row r="16" spans="1:18" x14ac:dyDescent="0.2">
      <c r="A16" s="3" t="str">
        <f t="shared" ref="A16" si="2">D16&amp;"__wt"</f>
        <v>glp1r_human__wt</v>
      </c>
      <c r="B16" s="3" t="str">
        <f>VLOOKUP(D16,Classification!A:D,3,FALSE)</f>
        <v>Peptide</v>
      </c>
      <c r="C16" s="3" t="str">
        <f>VLOOKUP(D16,Classification!A:D,4,FALSE)</f>
        <v>Glucagonreceptorfamily</v>
      </c>
      <c r="D16" s="3" t="s">
        <v>406</v>
      </c>
      <c r="E16" s="3">
        <f>VLOOKUP($D16,'SegEnds_NonXtal_Prot#'!$A:$AZ,30,FALSE)-VLOOKUP($D16,'SegEnds_NonXtal_Prot#'!$A:$AZ,29,FALSE)</f>
        <v>7</v>
      </c>
      <c r="F16" s="1">
        <f>VLOOKUP($D16,'SegEnds_NonXtal_Prot#'!$A:$AZ,31,FALSE)-VLOOKUP($D16,'SegEnds_NonXtal_Prot#'!$A:$AZ,28,FALSE)</f>
        <v>50</v>
      </c>
      <c r="G16" s="3">
        <f>50+VLOOKUP($A16,'SegEnds_Xtal_Prot#'!$A:$AY,39,FALSE)-VLOOKUP($D16,'SegEnds_NonXtal_Prot#'!$A:$AZ,28,FALSE)</f>
        <v>71</v>
      </c>
      <c r="H16" s="3">
        <f>50+VLOOKUP($A16,'SegEnds_Xtal_Prot#'!$A:$AY,41,FALSE)-VLOOKUP($D16,'SegEnds_NonXtal_Prot#'!$A:$AZ,31,FALSE)</f>
        <v>28</v>
      </c>
      <c r="I16" s="3"/>
      <c r="J16" s="3"/>
      <c r="K16" s="1"/>
      <c r="L16" s="1"/>
      <c r="M16" s="1"/>
      <c r="N16" s="1"/>
      <c r="O16" s="1" t="s">
        <v>1418</v>
      </c>
    </row>
    <row r="17" spans="1:14" x14ac:dyDescent="0.2">
      <c r="A17" s="3" t="str">
        <f t="shared" ref="A17" si="3">D17&amp;"__wt"</f>
        <v>glr_human__wt</v>
      </c>
      <c r="B17" s="3" t="str">
        <f>VLOOKUP(D17,Classification!A:D,3,FALSE)</f>
        <v>Peptide</v>
      </c>
      <c r="C17" s="3" t="str">
        <f>VLOOKUP(D17,Classification!A:D,4,FALSE)</f>
        <v>Glucagonreceptorfamily</v>
      </c>
      <c r="D17" s="3" t="s">
        <v>32</v>
      </c>
      <c r="E17" s="3">
        <f>VLOOKUP($D17,'SegEnds_NonXtal_Prot#'!$A:$AZ,30,FALSE)-VLOOKUP($D17,'SegEnds_NonXtal_Prot#'!$A:$AZ,29,FALSE)</f>
        <v>8</v>
      </c>
      <c r="F17" s="1">
        <f>VLOOKUP($D17,'SegEnds_NonXtal_Prot#'!$A:$AZ,31,FALSE)-VLOOKUP($D17,'SegEnds_NonXtal_Prot#'!$A:$AZ,28,FALSE)</f>
        <v>50</v>
      </c>
      <c r="G17" s="3">
        <f>50+VLOOKUP($A17,'SegEnds_Xtal_Prot#'!$A:$AY,39,FALSE)-VLOOKUP($D17,'SegEnds_NonXtal_Prot#'!$A:$AZ,28,FALSE)</f>
        <v>71</v>
      </c>
      <c r="H17" s="3">
        <f>50+VLOOKUP($A17,'SegEnds_Xtal_Prot#'!$A:$AY,41,FALSE)-VLOOKUP($D17,'SegEnds_NonXtal_Prot#'!$A:$AZ,31,FALSE)</f>
        <v>29</v>
      </c>
      <c r="I17" s="3"/>
      <c r="J17" s="3"/>
      <c r="K17" s="1"/>
      <c r="L17" s="1"/>
      <c r="M17" s="1"/>
      <c r="N17" s="1"/>
    </row>
    <row r="18" spans="1:14" x14ac:dyDescent="0.2">
      <c r="A18" s="3" t="str">
        <f t="shared" ref="A18" si="4">D18&amp;"__wt"</f>
        <v>g1sgd4_rabit__wt</v>
      </c>
      <c r="B18" s="3" t="str">
        <f>VLOOKUP(D18,Classification!A:D,3,FALSE)</f>
        <v>Peptide</v>
      </c>
      <c r="C18" s="3" t="str">
        <f>VLOOKUP(D18,Classification!A:D,4,FALSE)</f>
        <v>Glucagonreceptorfamily</v>
      </c>
      <c r="D18" s="3" t="s">
        <v>1430</v>
      </c>
      <c r="E18" s="3">
        <f>VLOOKUP($D18,'SegEnds_NonXtal_Prot#'!$A:$AZ,30,FALSE)-VLOOKUP($D18,'SegEnds_NonXtal_Prot#'!$A:$AZ,29,FALSE)</f>
        <v>9</v>
      </c>
      <c r="F18" s="1">
        <f>VLOOKUP($D18,'SegEnds_NonXtal_Prot#'!$A:$AZ,31,FALSE)-VLOOKUP($D18,'SegEnds_NonXtal_Prot#'!$A:$AZ,28,FALSE)</f>
        <v>50</v>
      </c>
      <c r="G18" s="3">
        <f>50+VLOOKUP($A18,'SegEnds_Xtal_Prot#'!$A:$AY,39,FALSE)-VLOOKUP($D18,'SegEnds_NonXtal_Prot#'!$A:$AZ,28,FALSE)</f>
        <v>71</v>
      </c>
      <c r="H18" s="3">
        <f>50+VLOOKUP($A18,'SegEnds_Xtal_Prot#'!$A:$AY,41,FALSE)-VLOOKUP($D18,'SegEnds_NonXtal_Prot#'!$A:$AZ,31,FALSE)</f>
        <v>30</v>
      </c>
      <c r="I18" s="3"/>
      <c r="J18" s="3"/>
      <c r="K18" s="1"/>
      <c r="L18" s="1"/>
      <c r="M18" s="1"/>
      <c r="N18" s="1"/>
    </row>
    <row r="19" spans="1:14" x14ac:dyDescent="0.2">
      <c r="A19" s="3" t="str">
        <f t="shared" si="0"/>
        <v>oprd_human__wt</v>
      </c>
      <c r="B19" s="3" t="str">
        <f>VLOOKUP(D19,Classification!A:D,3,FALSE)</f>
        <v>Peptide</v>
      </c>
      <c r="C19" s="3" t="str">
        <f>VLOOKUP(D19,Classification!A:D,4,FALSE)</f>
        <v>Opioid</v>
      </c>
      <c r="D19" s="3" t="s">
        <v>335</v>
      </c>
      <c r="E19" s="3">
        <f>VLOOKUP($D19,'SegEnds_NonXtal_Prot#'!$A:$AZ,30,FALSE)-VLOOKUP($D19,'SegEnds_NonXtal_Prot#'!$A:$AZ,29,FALSE)</f>
        <v>6</v>
      </c>
      <c r="F19" s="1">
        <f>VLOOKUP($D19,'SegEnds_NonXtal_Prot#'!$A:$AZ,31,FALSE)-VLOOKUP($D19,'SegEnds_NonXtal_Prot#'!$A:$AZ,28,FALSE)</f>
        <v>51</v>
      </c>
      <c r="G19" s="3">
        <f>50+VLOOKUP($A19,'SegEnds_Xtal_Prot#'!$A:$AY,39,FALSE)-VLOOKUP($D19,'SegEnds_NonXtal_Prot#'!$A:$AZ,28,FALSE)</f>
        <v>68</v>
      </c>
      <c r="H19" s="3">
        <f>50+VLOOKUP($A19,'SegEnds_Xtal_Prot#'!$A:$AY,41,FALSE)-VLOOKUP($D19,'SegEnds_NonXtal_Prot#'!$A:$AZ,31,FALSE)</f>
        <v>23</v>
      </c>
      <c r="I19" s="3"/>
      <c r="J19" s="3"/>
      <c r="K19" s="1"/>
      <c r="L19" s="1"/>
      <c r="M19" s="1"/>
      <c r="N19" s="1"/>
    </row>
    <row r="20" spans="1:14" x14ac:dyDescent="0.2">
      <c r="A20" s="3" t="str">
        <f t="shared" si="0"/>
        <v>oprd_mouse__wt</v>
      </c>
      <c r="B20" s="3" t="str">
        <f>VLOOKUP(D20,Classification!A:D,3,FALSE)</f>
        <v>Peptide</v>
      </c>
      <c r="C20" s="3" t="str">
        <f>VLOOKUP(D20,Classification!A:D,4,FALSE)</f>
        <v>Opioid</v>
      </c>
      <c r="D20" s="3" t="s">
        <v>916</v>
      </c>
      <c r="E20" s="3">
        <f>VLOOKUP($D20,'SegEnds_NonXtal_Prot#'!$A:$AZ,30,FALSE)-VLOOKUP($D20,'SegEnds_NonXtal_Prot#'!$A:$AZ,29,FALSE)</f>
        <v>6</v>
      </c>
      <c r="F20" s="1">
        <f>VLOOKUP($D20,'SegEnds_NonXtal_Prot#'!$A:$AZ,31,FALSE)-VLOOKUP($D20,'SegEnds_NonXtal_Prot#'!$A:$AZ,28,FALSE)</f>
        <v>51</v>
      </c>
      <c r="G20" s="3">
        <f>50+VLOOKUP($A20,'SegEnds_Xtal_Prot#'!$A:$AY,39,FALSE)-VLOOKUP($D20,'SegEnds_NonXtal_Prot#'!$A:$AZ,28,FALSE)</f>
        <v>68</v>
      </c>
      <c r="H20" s="3">
        <f>50+VLOOKUP($A20,'SegEnds_Xtal_Prot#'!$A:$AY,41,FALSE)-VLOOKUP($D20,'SegEnds_NonXtal_Prot#'!$A:$AZ,31,FALSE)</f>
        <v>23</v>
      </c>
      <c r="I20" s="3"/>
      <c r="J20" s="3"/>
      <c r="K20" s="1"/>
      <c r="L20" s="1"/>
      <c r="M20" s="1"/>
      <c r="N20" s="1"/>
    </row>
    <row r="21" spans="1:14" x14ac:dyDescent="0.2">
      <c r="A21" s="3" t="str">
        <f t="shared" si="0"/>
        <v>oprk_human__wt</v>
      </c>
      <c r="B21" s="3" t="str">
        <f>VLOOKUP(D21,Classification!A:D,3,FALSE)</f>
        <v>Peptide</v>
      </c>
      <c r="C21" s="3" t="str">
        <f>VLOOKUP(D21,Classification!A:D,4,FALSE)</f>
        <v>Opioid</v>
      </c>
      <c r="D21" s="3" t="s">
        <v>336</v>
      </c>
      <c r="E21" s="3">
        <f>VLOOKUP($D21,'SegEnds_NonXtal_Prot#'!$A:$AZ,30,FALSE)-VLOOKUP($D21,'SegEnds_NonXtal_Prot#'!$A:$AZ,29,FALSE)</f>
        <v>6</v>
      </c>
      <c r="F21" s="1">
        <f>VLOOKUP($D21,'SegEnds_NonXtal_Prot#'!$A:$AZ,31,FALSE)-VLOOKUP($D21,'SegEnds_NonXtal_Prot#'!$A:$AZ,28,FALSE)</f>
        <v>51</v>
      </c>
      <c r="G21" s="3">
        <f>50+VLOOKUP($A21,'SegEnds_Xtal_Prot#'!$A:$AY,39,FALSE)-VLOOKUP($D21,'SegEnds_NonXtal_Prot#'!$A:$AZ,28,FALSE)</f>
        <v>68</v>
      </c>
      <c r="H21" s="3">
        <f>50+VLOOKUP($A21,'SegEnds_Xtal_Prot#'!$A:$AY,41,FALSE)-VLOOKUP($D21,'SegEnds_NonXtal_Prot#'!$A:$AZ,31,FALSE)</f>
        <v>23</v>
      </c>
      <c r="I21" s="3"/>
      <c r="J21" s="3"/>
      <c r="K21" s="1"/>
      <c r="L21" s="1"/>
      <c r="M21" s="1"/>
      <c r="N21" s="1"/>
    </row>
    <row r="22" spans="1:14" x14ac:dyDescent="0.2">
      <c r="A22" s="3" t="str">
        <f t="shared" si="0"/>
        <v>oprm_mouse__wt</v>
      </c>
      <c r="B22" s="3" t="str">
        <f>VLOOKUP(D22,Classification!A:D,3,FALSE)</f>
        <v>Peptide</v>
      </c>
      <c r="C22" s="3" t="str">
        <f>VLOOKUP(D22,Classification!A:D,4,FALSE)</f>
        <v>Opioid</v>
      </c>
      <c r="D22" s="3" t="s">
        <v>918</v>
      </c>
      <c r="E22" s="3">
        <f>VLOOKUP($D22,'SegEnds_NonXtal_Prot#'!$A:$AZ,30,FALSE)-VLOOKUP($D22,'SegEnds_NonXtal_Prot#'!$A:$AZ,29,FALSE)</f>
        <v>6</v>
      </c>
      <c r="F22" s="1">
        <f>VLOOKUP($D22,'SegEnds_NonXtal_Prot#'!$A:$AZ,31,FALSE)-VLOOKUP($D22,'SegEnds_NonXtal_Prot#'!$A:$AZ,28,FALSE)</f>
        <v>51</v>
      </c>
      <c r="G22" s="3">
        <f>50+VLOOKUP($A22,'SegEnds_Xtal_Prot#'!$A:$AY,39,FALSE)-VLOOKUP($D22,'SegEnds_NonXtal_Prot#'!$A:$AZ,28,FALSE)</f>
        <v>68</v>
      </c>
      <c r="H22" s="3">
        <f>50+VLOOKUP($A22,'SegEnds_Xtal_Prot#'!$A:$AY,41,FALSE)-VLOOKUP($D22,'SegEnds_NonXtal_Prot#'!$A:$AZ,31,FALSE)</f>
        <v>23</v>
      </c>
      <c r="I22" s="3">
        <f>G22</f>
        <v>68</v>
      </c>
      <c r="J22" s="3">
        <f>H22</f>
        <v>23</v>
      </c>
      <c r="K22" s="1" t="s">
        <v>1297</v>
      </c>
      <c r="L22" s="1"/>
      <c r="M22" s="1"/>
      <c r="N22" s="1"/>
    </row>
    <row r="23" spans="1:14" x14ac:dyDescent="0.2">
      <c r="A23" s="3" t="str">
        <f t="shared" si="0"/>
        <v>oprx_human__wt</v>
      </c>
      <c r="B23" s="3" t="str">
        <f>VLOOKUP(D23,Classification!A:D,3,FALSE)</f>
        <v>Peptide</v>
      </c>
      <c r="C23" s="3" t="str">
        <f>VLOOKUP(D23,Classification!A:D,4,FALSE)</f>
        <v>Opioid</v>
      </c>
      <c r="D23" s="3" t="s">
        <v>1174</v>
      </c>
      <c r="E23" s="3">
        <f>VLOOKUP($D23,'SegEnds_NonXtal_Prot#'!$A:$AZ,30,FALSE)-VLOOKUP($D23,'SegEnds_NonXtal_Prot#'!$A:$AZ,29,FALSE)</f>
        <v>6</v>
      </c>
      <c r="F23" s="1">
        <f>VLOOKUP($D23,'SegEnds_NonXtal_Prot#'!$A:$AZ,31,FALSE)-VLOOKUP($D23,'SegEnds_NonXtal_Prot#'!$A:$AZ,28,FALSE)</f>
        <v>51</v>
      </c>
      <c r="G23" s="3">
        <f>50+VLOOKUP($A23,'SegEnds_Xtal_Prot#'!$A:$AY,39,FALSE)-VLOOKUP($D23,'SegEnds_NonXtal_Prot#'!$A:$AZ,28,FALSE)</f>
        <v>68</v>
      </c>
      <c r="H23" s="3">
        <f>50+VLOOKUP($A23,'SegEnds_Xtal_Prot#'!$A:$AY,41,FALSE)-VLOOKUP($D23,'SegEnds_NonXtal_Prot#'!$A:$AZ,31,FALSE)</f>
        <v>23</v>
      </c>
      <c r="I23" s="3"/>
      <c r="J23" s="3"/>
      <c r="K23" s="1"/>
      <c r="L23" s="1"/>
      <c r="M23" s="1"/>
      <c r="N23" s="1"/>
    </row>
    <row r="24" spans="1:14" x14ac:dyDescent="0.2">
      <c r="A24" s="3" t="str">
        <f t="shared" si="0"/>
        <v>opsd_bovin__wt</v>
      </c>
      <c r="B24" s="3" t="str">
        <f>VLOOKUP(D24,Classification!A:D,3,FALSE)</f>
        <v>Sensory</v>
      </c>
      <c r="C24" s="3" t="str">
        <f>VLOOKUP(D24,Classification!A:D,4,FALSE)</f>
        <v>Opsins</v>
      </c>
      <c r="D24" s="3" t="s">
        <v>920</v>
      </c>
      <c r="E24" s="3">
        <f>VLOOKUP($D24,'SegEnds_NonXtal_Prot#'!$A:$AZ,30,FALSE)-VLOOKUP($D24,'SegEnds_NonXtal_Prot#'!$A:$AZ,29,FALSE)</f>
        <v>4</v>
      </c>
      <c r="F24" s="1">
        <f>VLOOKUP($D24,'SegEnds_NonXtal_Prot#'!$A:$AZ,31,FALSE)-VLOOKUP($D24,'SegEnds_NonXtal_Prot#'!$A:$AZ,28,FALSE)</f>
        <v>52</v>
      </c>
      <c r="G24" s="3">
        <f>50+VLOOKUP($A24,'SegEnds_Xtal_Prot#'!$A:$AY,39,FALSE)-VLOOKUP($D24,'SegEnds_NonXtal_Prot#'!$A:$AZ,28,FALSE)</f>
        <v>72</v>
      </c>
      <c r="H24" s="3">
        <f>50+VLOOKUP($A24,'SegEnds_Xtal_Prot#'!$A:$AY,41,FALSE)-VLOOKUP($D24,'SegEnds_NonXtal_Prot#'!$A:$AZ,31,FALSE)</f>
        <v>24</v>
      </c>
      <c r="I24" s="3"/>
      <c r="J24" s="3"/>
      <c r="K24" s="1" t="s">
        <v>1297</v>
      </c>
      <c r="L24" s="1"/>
      <c r="M24" s="1"/>
      <c r="N24" s="1"/>
    </row>
    <row r="25" spans="1:14" customFormat="1" x14ac:dyDescent="0.2">
      <c r="A25" s="3" t="str">
        <f t="shared" si="0"/>
        <v>opsd_human__wt</v>
      </c>
      <c r="B25" s="3" t="str">
        <f>VLOOKUP(D25,Classification!A:D,3,FALSE)</f>
        <v>Sensory</v>
      </c>
      <c r="C25" s="3" t="str">
        <f>VLOOKUP(D25,Classification!A:D,4,FALSE)</f>
        <v>Opsins</v>
      </c>
      <c r="D25" s="3" t="s">
        <v>339</v>
      </c>
      <c r="E25" s="3">
        <f>VLOOKUP($D25,'SegEnds_NonXtal_Prot#'!$A:$AZ,30,FALSE)-VLOOKUP($D25,'SegEnds_NonXtal_Prot#'!$A:$AZ,29,FALSE)</f>
        <v>4</v>
      </c>
      <c r="F25" s="1">
        <f>VLOOKUP($D25,'SegEnds_NonXtal_Prot#'!$A:$AZ,31,FALSE)-VLOOKUP($D25,'SegEnds_NonXtal_Prot#'!$A:$AZ,28,FALSE)</f>
        <v>52</v>
      </c>
      <c r="G25" s="3">
        <f>50+VLOOKUP($A25,'SegEnds_Xtal_Prot#'!$A:$AY,39,FALSE)-VLOOKUP($D25,'SegEnds_NonXtal_Prot#'!$A:$AZ,28,FALSE)</f>
        <v>72</v>
      </c>
      <c r="H25" s="3">
        <f>50+VLOOKUP($A25,'SegEnds_Xtal_Prot#'!$A:$AY,41,FALSE)-VLOOKUP($D25,'SegEnds_NonXtal_Prot#'!$A:$AZ,31,FALSE)</f>
        <v>24</v>
      </c>
      <c r="I25" s="3"/>
      <c r="J25" s="3"/>
    </row>
    <row r="26" spans="1:14" customFormat="1" x14ac:dyDescent="0.2">
      <c r="A26" s="1" t="s">
        <v>1335</v>
      </c>
      <c r="B26" s="3" t="str">
        <f>VLOOKUP(D26,Classification!A:D,3,FALSE)</f>
        <v>Peptide</v>
      </c>
      <c r="C26" s="3" t="str">
        <f>VLOOKUP(D26,Classification!A:D,4,FALSE)</f>
        <v>Endothelin</v>
      </c>
      <c r="D26" s="3" t="s">
        <v>196</v>
      </c>
      <c r="E26" s="3">
        <f>VLOOKUP($D26,'SegEnds_NonXtal_Prot#'!$A:$AZ,30,FALSE)-VLOOKUP($D26,'SegEnds_NonXtal_Prot#'!$A:$AZ,29,FALSE)</f>
        <v>5</v>
      </c>
      <c r="F26" s="1">
        <f>VLOOKUP($D26,'SegEnds_NonXtal_Prot#'!$A:$AZ,31,FALSE)-VLOOKUP($D26,'SegEnds_NonXtal_Prot#'!$A:$AZ,28,FALSE)</f>
        <v>53</v>
      </c>
      <c r="G26" s="3">
        <f>50+VLOOKUP($A26,'SegEnds_Xtal_Prot#'!$A:$AY,39,FALSE)-VLOOKUP($D26,'SegEnds_NonXtal_Prot#'!$A:$AZ,28,FALSE)</f>
        <v>72</v>
      </c>
      <c r="H26" s="3">
        <f>50+VLOOKUP($A26,'SegEnds_Xtal_Prot#'!$A:$AY,41,FALSE)-VLOOKUP($D26,'SegEnds_NonXtal_Prot#'!$A:$AZ,31,FALSE)</f>
        <v>24</v>
      </c>
    </row>
    <row r="27" spans="1:14" customFormat="1" x14ac:dyDescent="0.2">
      <c r="A27" s="3" t="str">
        <f t="shared" ref="A27:A44" si="5">D27&amp;"__wt"</f>
        <v>lpar1_human__wt</v>
      </c>
      <c r="B27" s="3" t="str">
        <f>VLOOKUP(D27,Classification!A:D,3,FALSE)</f>
        <v>Lipid</v>
      </c>
      <c r="C27" s="3" t="str">
        <f>VLOOKUP(D27,Classification!A:D,4,FALSE)</f>
        <v>Lysophospholipid(LPA)</v>
      </c>
      <c r="D27" s="9" t="s">
        <v>103</v>
      </c>
      <c r="E27" s="3">
        <f>VLOOKUP($D27,'SegEnds_NonXtal_Prot#'!$A:$AZ,30,FALSE)-VLOOKUP($D27,'SegEnds_NonXtal_Prot#'!$A:$AZ,29,FALSE)</f>
        <v>5</v>
      </c>
      <c r="F27" s="1">
        <f>VLOOKUP($D27,'SegEnds_NonXtal_Prot#'!$A:$AZ,31,FALSE)-VLOOKUP($D27,'SegEnds_NonXtal_Prot#'!$A:$AZ,28,FALSE)</f>
        <v>56</v>
      </c>
      <c r="G27" s="3">
        <f>50+VLOOKUP($A27,'SegEnds_Xtal_Prot#'!$A:$AY,39,FALSE)-VLOOKUP($D27,'SegEnds_NonXtal_Prot#'!$A:$AZ,28,FALSE)</f>
        <v>73</v>
      </c>
      <c r="H27" s="3">
        <f>50+VLOOKUP($A27,'SegEnds_Xtal_Prot#'!$A:$AY,41,FALSE)-VLOOKUP($D27,'SegEnds_NonXtal_Prot#'!$A:$AZ,31,FALSE)</f>
        <v>22</v>
      </c>
      <c r="I27" s="3"/>
      <c r="J27" s="3"/>
      <c r="M27" t="s">
        <v>1304</v>
      </c>
    </row>
    <row r="28" spans="1:14" customFormat="1" x14ac:dyDescent="0.2">
      <c r="A28" s="3" t="str">
        <f t="shared" ref="A28" si="6">D28&amp;"__wt"</f>
        <v>smo_human__wt</v>
      </c>
      <c r="B28" s="3" t="str">
        <f>VLOOKUP(D28,Classification!A:D,3,FALSE)</f>
        <v>Protein</v>
      </c>
      <c r="C28" s="3" t="str">
        <f>VLOOKUP(D28,Classification!A:D,4,FALSE)</f>
        <v>Frizzled</v>
      </c>
      <c r="D28" s="3" t="s">
        <v>33</v>
      </c>
      <c r="E28" s="3">
        <f>VLOOKUP($D28,'SegEnds_NonXtal_Prot#'!$A:$AZ,30,FALSE)-VLOOKUP($D28,'SegEnds_NonXtal_Prot#'!$A:$AZ,29,FALSE)</f>
        <v>9</v>
      </c>
      <c r="F28" s="1">
        <f>VLOOKUP($D28,'SegEnds_NonXtal_Prot#'!$A:$AZ,31,FALSE)-VLOOKUP($D28,'SegEnds_NonXtal_Prot#'!$A:$AZ,28,FALSE)</f>
        <v>57</v>
      </c>
      <c r="G28" s="3">
        <f>50+VLOOKUP($A28,'SegEnds_Xtal_Prot#'!$A:$AY,39,FALSE)-VLOOKUP($D28,'SegEnds_NonXtal_Prot#'!$A:$AZ,28,FALSE)</f>
        <v>72</v>
      </c>
      <c r="H28" s="3">
        <f>50+VLOOKUP($A28,'SegEnds_Xtal_Prot#'!$A:$AY,41,FALSE)-VLOOKUP($D28,'SegEnds_NonXtal_Prot#'!$A:$AZ,31,FALSE)</f>
        <v>24</v>
      </c>
      <c r="I28" s="3"/>
      <c r="J28" s="3"/>
    </row>
    <row r="29" spans="1:14" customFormat="1" x14ac:dyDescent="0.2">
      <c r="A29" s="3" t="str">
        <f t="shared" si="5"/>
        <v>s1pr1_human__wt</v>
      </c>
      <c r="B29" s="3" t="str">
        <f>VLOOKUP(D29,Classification!A:D,3,FALSE)</f>
        <v>Lipid</v>
      </c>
      <c r="C29" s="3" t="str">
        <f>VLOOKUP(D29,Classification!A:D,4,FALSE)</f>
        <v>Lysophospholipid(S1P)</v>
      </c>
      <c r="D29" s="9" t="s">
        <v>104</v>
      </c>
      <c r="E29" s="3">
        <f>VLOOKUP($D29,'SegEnds_NonXtal_Prot#'!$A:$AZ,30,FALSE)-VLOOKUP($D29,'SegEnds_NonXtal_Prot#'!$A:$AZ,29,FALSE)</f>
        <v>9</v>
      </c>
      <c r="F29" s="1">
        <f>VLOOKUP($D29,'SegEnds_NonXtal_Prot#'!$A:$AZ,31,FALSE)-VLOOKUP($D29,'SegEnds_NonXtal_Prot#'!$A:$AZ,28,FALSE)</f>
        <v>58</v>
      </c>
      <c r="G29" s="3">
        <f>50+VLOOKUP($A29,'SegEnds_Xtal_Prot#'!$A:$AY,39,FALSE)-VLOOKUP($D29,'SegEnds_NonXtal_Prot#'!$A:$AZ,28,FALSE)</f>
        <v>73</v>
      </c>
      <c r="H29" s="3">
        <f>50+VLOOKUP($A29,'SegEnds_Xtal_Prot#'!$A:$AY,41,FALSE)-VLOOKUP($D29,'SegEnds_NonXtal_Prot#'!$A:$AZ,31,FALSE)</f>
        <v>24</v>
      </c>
      <c r="I29" s="3"/>
      <c r="J29" s="3"/>
      <c r="M29" t="s">
        <v>1305</v>
      </c>
    </row>
    <row r="30" spans="1:14" customFormat="1" x14ac:dyDescent="0.2">
      <c r="A30" s="3" t="str">
        <f t="shared" si="5"/>
        <v>aa2ar_human__wt</v>
      </c>
      <c r="B30" s="3" t="str">
        <f>VLOOKUP(D30,Classification!A:D,3,FALSE)</f>
        <v>Nucleotide</v>
      </c>
      <c r="C30" s="3" t="str">
        <f>VLOOKUP(D30,Classification!A:D,4,FALSE)</f>
        <v>Adenosine</v>
      </c>
      <c r="D30" s="3" t="s">
        <v>139</v>
      </c>
      <c r="E30" s="3">
        <f>VLOOKUP($D30,'SegEnds_NonXtal_Prot#'!$A:$AZ,30,FALSE)-VLOOKUP($D30,'SegEnds_NonXtal_Prot#'!$A:$AZ,29,FALSE)</f>
        <v>6</v>
      </c>
      <c r="F30" s="1">
        <f>VLOOKUP($D30,'SegEnds_NonXtal_Prot#'!$A:$AZ,31,FALSE)-VLOOKUP($D30,'SegEnds_NonXtal_Prot#'!$A:$AZ,28,FALSE)</f>
        <v>59</v>
      </c>
      <c r="G30" s="3">
        <f>50+VLOOKUP($A30,'SegEnds_Xtal_Prot#'!$A:$AY,39,FALSE)-VLOOKUP($D30,'SegEnds_NonXtal_Prot#'!$A:$AZ,28,FALSE)</f>
        <v>74</v>
      </c>
      <c r="H30" s="3">
        <f>50+VLOOKUP($A30,'SegEnds_Xtal_Prot#'!$A:$AY,41,FALSE)-VLOOKUP($D30,'SegEnds_NonXtal_Prot#'!$A:$AZ,31,FALSE)</f>
        <v>21</v>
      </c>
      <c r="I30" s="3">
        <f>G30</f>
        <v>74</v>
      </c>
      <c r="J30" s="3">
        <f>H30</f>
        <v>21</v>
      </c>
      <c r="K30" s="1" t="s">
        <v>1297</v>
      </c>
      <c r="L30" s="1"/>
    </row>
    <row r="31" spans="1:14" customFormat="1" x14ac:dyDescent="0.2">
      <c r="A31" s="3" t="str">
        <f t="shared" si="5"/>
        <v>ntr1_rat__wt</v>
      </c>
      <c r="B31" s="3" t="str">
        <f>VLOOKUP(D31,Classification!A:D,3,FALSE)</f>
        <v>Peptide</v>
      </c>
      <c r="C31" s="3" t="str">
        <f>VLOOKUP(D31,Classification!A:D,4,FALSE)</f>
        <v>Neurotensin</v>
      </c>
      <c r="D31" s="49" t="s">
        <v>914</v>
      </c>
      <c r="E31" s="3">
        <f>VLOOKUP($D31,'SegEnds_NonXtal_Prot#'!$A:$AZ,30,FALSE)-VLOOKUP($D31,'SegEnds_NonXtal_Prot#'!$A:$AZ,29,FALSE)</f>
        <v>22</v>
      </c>
      <c r="F31" s="1">
        <f>VLOOKUP($D31,'SegEnds_NonXtal_Prot#'!$A:$AZ,31,FALSE)-VLOOKUP($D31,'SegEnds_NonXtal_Prot#'!$A:$AZ,28,FALSE)</f>
        <v>74</v>
      </c>
      <c r="G31" s="3">
        <f>50+VLOOKUP($A31,'SegEnds_Xtal_Prot#'!$A:$AY,39,FALSE)-VLOOKUP($D31,'SegEnds_NonXtal_Prot#'!$A:$AZ,28,FALSE)</f>
        <v>76</v>
      </c>
      <c r="H31" s="3">
        <f>50+VLOOKUP($A31,'SegEnds_Xtal_Prot#'!$A:$AY,41,FALSE)-VLOOKUP($D31,'SegEnds_NonXtal_Prot#'!$A:$AZ,31,FALSE)</f>
        <v>24</v>
      </c>
      <c r="I31" s="3"/>
      <c r="J31" s="3"/>
      <c r="M31" t="s">
        <v>1301</v>
      </c>
    </row>
    <row r="32" spans="1:14" customFormat="1" x14ac:dyDescent="0.2">
      <c r="A32" s="3" t="str">
        <f t="shared" si="5"/>
        <v>adrb2_human__wt</v>
      </c>
      <c r="B32" s="3" t="str">
        <f>VLOOKUP(D32,Classification!A:D,3,FALSE)</f>
        <v>Aminergic</v>
      </c>
      <c r="C32" s="3" t="str">
        <f>VLOOKUP(D32,Classification!A:D,4,FALSE)</f>
        <v>Adrenoceptors</v>
      </c>
      <c r="D32" s="49" t="s">
        <v>126</v>
      </c>
      <c r="E32" s="3">
        <f>VLOOKUP($D32,'SegEnds_NonXtal_Prot#'!$A:$AZ,30,FALSE)-VLOOKUP($D32,'SegEnds_NonXtal_Prot#'!$A:$AZ,29,FALSE)</f>
        <v>25</v>
      </c>
      <c r="F32" s="1">
        <f>VLOOKUP($D32,'SegEnds_NonXtal_Prot#'!$A:$AZ,31,FALSE)-VLOOKUP($D32,'SegEnds_NonXtal_Prot#'!$A:$AZ,28,FALSE)</f>
        <v>77</v>
      </c>
      <c r="G32" s="3">
        <f>50+VLOOKUP($A32,'SegEnds_Xtal_Prot#'!$A:$AY,39,FALSE)-VLOOKUP($D32,'SegEnds_NonXtal_Prot#'!$A:$AZ,28,FALSE)</f>
        <v>76</v>
      </c>
      <c r="H32" s="3">
        <f>50+VLOOKUP($A32,'SegEnds_Xtal_Prot#'!$A:$AY,41,FALSE)-VLOOKUP($D32,'SegEnds_NonXtal_Prot#'!$A:$AZ,31,FALSE)</f>
        <v>24</v>
      </c>
      <c r="I32" s="3">
        <f>G32</f>
        <v>76</v>
      </c>
      <c r="J32" s="3"/>
      <c r="K32" s="1" t="s">
        <v>1297</v>
      </c>
      <c r="L32" s="1"/>
      <c r="N32" t="s">
        <v>1307</v>
      </c>
    </row>
    <row r="33" spans="1:14" x14ac:dyDescent="0.2">
      <c r="A33" s="3" t="str">
        <f t="shared" si="5"/>
        <v>5ht1b_human__wt</v>
      </c>
      <c r="B33" s="3" t="str">
        <f>VLOOKUP(D33,Classification!A:D,3,FALSE)</f>
        <v>Aminergic</v>
      </c>
      <c r="C33" s="3" t="str">
        <f>VLOOKUP(D33,Classification!A:D,4,FALSE)</f>
        <v>5-Hydroxytryptamine</v>
      </c>
      <c r="D33" s="3" t="s">
        <v>34</v>
      </c>
      <c r="E33" s="3">
        <f>VLOOKUP($D33,'SegEnds_NonXtal_Prot#'!$A:$AZ,30,FALSE)-VLOOKUP($D33,'SegEnds_NonXtal_Prot#'!$A:$AZ,29,FALSE)</f>
        <v>59</v>
      </c>
      <c r="F33" s="1">
        <f>VLOOKUP($D33,'SegEnds_NonXtal_Prot#'!$A:$AZ,31,FALSE)-VLOOKUP($D33,'SegEnds_NonXtal_Prot#'!$A:$AZ,28,FALSE)</f>
        <v>109</v>
      </c>
      <c r="G33" s="3">
        <f>50+VLOOKUP($A33,'SegEnds_Xtal_Prot#'!$A:$AY,39,FALSE)-VLOOKUP($D33,'SegEnds_NonXtal_Prot#'!$A:$AZ,28,FALSE)</f>
        <v>74</v>
      </c>
      <c r="H33" s="3">
        <f>50+VLOOKUP($A33,'SegEnds_Xtal_Prot#'!$A:$AY,41,FALSE)-VLOOKUP($D33,'SegEnds_NonXtal_Prot#'!$A:$AZ,31,FALSE)</f>
        <v>24</v>
      </c>
      <c r="I33" s="3"/>
      <c r="J33" s="3"/>
      <c r="K33" s="1"/>
      <c r="L33" s="1">
        <v>76</v>
      </c>
      <c r="M33" s="1"/>
      <c r="N33" s="1"/>
    </row>
    <row r="34" spans="1:14" x14ac:dyDescent="0.2">
      <c r="A34" s="3" t="str">
        <f t="shared" si="5"/>
        <v>5ht2b_human__wt</v>
      </c>
      <c r="B34" s="3" t="str">
        <f>VLOOKUP(D34,Classification!A:D,3,FALSE)</f>
        <v>Aminergic</v>
      </c>
      <c r="C34" s="3" t="str">
        <f>VLOOKUP(D34,Classification!A:D,4,FALSE)</f>
        <v>5-Hydroxytryptamine</v>
      </c>
      <c r="D34" s="3" t="s">
        <v>35</v>
      </c>
      <c r="E34" s="3">
        <f>VLOOKUP($D34,'SegEnds_NonXtal_Prot#'!$A:$AZ,30,FALSE)-VLOOKUP($D34,'SegEnds_NonXtal_Prot#'!$A:$AZ,29,FALSE)</f>
        <v>58</v>
      </c>
      <c r="F34" s="1">
        <f>VLOOKUP($D34,'SegEnds_NonXtal_Prot#'!$A:$AZ,31,FALSE)-VLOOKUP($D34,'SegEnds_NonXtal_Prot#'!$A:$AZ,28,FALSE)</f>
        <v>110</v>
      </c>
      <c r="G34" s="3">
        <f>50+VLOOKUP($A34,'SegEnds_Xtal_Prot#'!$A:$AY,39,FALSE)-VLOOKUP($D34,'SegEnds_NonXtal_Prot#'!$A:$AZ,28,FALSE)</f>
        <v>76</v>
      </c>
      <c r="H34" s="3">
        <f>50+VLOOKUP($A34,'SegEnds_Xtal_Prot#'!$A:$AY,41,FALSE)-VLOOKUP($D34,'SegEnds_NonXtal_Prot#'!$A:$AZ,31,FALSE)</f>
        <v>24</v>
      </c>
      <c r="I34" s="3"/>
      <c r="J34" s="3"/>
      <c r="K34" s="1"/>
      <c r="L34" s="1"/>
      <c r="M34" s="1"/>
      <c r="N34" s="1"/>
    </row>
    <row r="35" spans="1:14" x14ac:dyDescent="0.2">
      <c r="A35" s="3" t="str">
        <f t="shared" si="5"/>
        <v>drd3_human__wt</v>
      </c>
      <c r="B35" s="3" t="str">
        <f>VLOOKUP(D35,Classification!A:D,3,FALSE)</f>
        <v>Aminergic</v>
      </c>
      <c r="C35" s="3" t="str">
        <f>VLOOKUP(D35,Classification!A:D,4,FALSE)</f>
        <v>Dopamine</v>
      </c>
      <c r="D35" s="3" t="s">
        <v>192</v>
      </c>
      <c r="E35" s="3">
        <f>VLOOKUP($D35,'SegEnds_NonXtal_Prot#'!$A:$AZ,30,FALSE)-VLOOKUP($D35,'SegEnds_NonXtal_Prot#'!$A:$AZ,29,FALSE)</f>
        <v>92</v>
      </c>
      <c r="F35" s="1">
        <f>VLOOKUP($D35,'SegEnds_NonXtal_Prot#'!$A:$AZ,31,FALSE)-VLOOKUP($D35,'SegEnds_NonXtal_Prot#'!$A:$AZ,28,FALSE)</f>
        <v>144</v>
      </c>
      <c r="G35" s="3">
        <f>50+VLOOKUP($A35,'SegEnds_Xtal_Prot#'!$A:$AY,39,FALSE)-VLOOKUP($D35,'SegEnds_NonXtal_Prot#'!$A:$AZ,28,FALSE)</f>
        <v>76</v>
      </c>
      <c r="H35" s="3">
        <f>50+VLOOKUP($A35,'SegEnds_Xtal_Prot#'!$A:$AY,41,FALSE)-VLOOKUP($D35,'SegEnds_NonXtal_Prot#'!$A:$AZ,31,FALSE)</f>
        <v>24</v>
      </c>
      <c r="I35" s="3"/>
      <c r="J35" s="3"/>
      <c r="K35" s="1"/>
      <c r="L35" s="1"/>
      <c r="M35" s="1"/>
      <c r="N35" s="1"/>
    </row>
    <row r="36" spans="1:14" x14ac:dyDescent="0.2">
      <c r="A36" s="3" t="str">
        <f t="shared" si="5"/>
        <v>acm1_human__wt</v>
      </c>
      <c r="B36" s="3" t="str">
        <f>VLOOKUP(D36,Classification!A:D,3,FALSE)</f>
        <v>Aminergic</v>
      </c>
      <c r="C36" s="3" t="str">
        <f>VLOOKUP(D36,Classification!A:D,4,FALSE)</f>
        <v>Acetylcholine(muscarinic)</v>
      </c>
      <c r="D36" s="3" t="s">
        <v>146</v>
      </c>
      <c r="E36" s="3">
        <f>VLOOKUP($D36,'SegEnds_NonXtal_Prot#'!$A:$AZ,30,FALSE)-VLOOKUP($D36,'SegEnds_NonXtal_Prot#'!$A:$AZ,29,FALSE)</f>
        <v>129</v>
      </c>
      <c r="F36" s="1">
        <f>VLOOKUP($D36,'SegEnds_NonXtal_Prot#'!$A:$AZ,31,FALSE)-VLOOKUP($D36,'SegEnds_NonXtal_Prot#'!$A:$AZ,28,FALSE)</f>
        <v>180</v>
      </c>
      <c r="G36" s="3">
        <f>50+VLOOKUP($A36,'SegEnds_Xtal_Prot#'!$A:$AY,39,FALSE)-VLOOKUP($D36,'SegEnds_NonXtal_Prot#'!$A:$AZ,28,FALSE)</f>
        <v>75</v>
      </c>
      <c r="H36" s="3">
        <f>50+VLOOKUP($A36,'SegEnds_Xtal_Prot#'!$A:$AY,41,FALSE)-VLOOKUP($D36,'SegEnds_NonXtal_Prot#'!$A:$AZ,31,FALSE)</f>
        <v>24</v>
      </c>
      <c r="I36" s="3"/>
      <c r="J36" s="3"/>
      <c r="K36" s="1"/>
      <c r="L36" s="1"/>
      <c r="M36" s="1"/>
      <c r="N36" s="1"/>
    </row>
    <row r="37" spans="1:14" x14ac:dyDescent="0.2">
      <c r="A37" s="3" t="str">
        <f t="shared" si="5"/>
        <v>acm2_human__wt</v>
      </c>
      <c r="B37" s="3" t="str">
        <f>VLOOKUP(D37,Classification!A:D,3,FALSE)</f>
        <v>Aminergic</v>
      </c>
      <c r="C37" s="3" t="str">
        <f>VLOOKUP(D37,Classification!A:D,4,FALSE)</f>
        <v>Acetylcholine(muscarinic)</v>
      </c>
      <c r="D37" s="3" t="s">
        <v>147</v>
      </c>
      <c r="E37" s="3">
        <f>VLOOKUP($D37,'SegEnds_NonXtal_Prot#'!$A:$AZ,30,FALSE)-VLOOKUP($D37,'SegEnds_NonXtal_Prot#'!$A:$AZ,29,FALSE)</f>
        <v>153</v>
      </c>
      <c r="F37" s="1">
        <f>VLOOKUP($D37,'SegEnds_NonXtal_Prot#'!$A:$AZ,31,FALSE)-VLOOKUP($D37,'SegEnds_NonXtal_Prot#'!$A:$AZ,28,FALSE)</f>
        <v>204</v>
      </c>
      <c r="G37" s="3">
        <f>50+VLOOKUP($A37,'SegEnds_Xtal_Prot#'!$A:$AY,39,FALSE)-VLOOKUP($D37,'SegEnds_NonXtal_Prot#'!$A:$AZ,28,FALSE)</f>
        <v>75</v>
      </c>
      <c r="H37" s="3">
        <f>50+VLOOKUP($A37,'SegEnds_Xtal_Prot#'!$A:$AY,41,FALSE)-VLOOKUP($D37,'SegEnds_NonXtal_Prot#'!$A:$AZ,31,FALSE)</f>
        <v>24</v>
      </c>
      <c r="I37" s="3">
        <f>G37</f>
        <v>75</v>
      </c>
      <c r="J37" s="3">
        <f>H37</f>
        <v>24</v>
      </c>
      <c r="K37" s="1" t="s">
        <v>1297</v>
      </c>
      <c r="L37" s="1"/>
      <c r="M37" s="1"/>
      <c r="N37" s="1"/>
    </row>
    <row r="38" spans="1:14" x14ac:dyDescent="0.2">
      <c r="A38" s="3" t="str">
        <f t="shared" si="5"/>
        <v>acm4_human__wt</v>
      </c>
      <c r="B38" s="3" t="str">
        <f>VLOOKUP(D38,Classification!A:D,3,FALSE)</f>
        <v>Aminergic</v>
      </c>
      <c r="C38" s="3" t="str">
        <f>VLOOKUP(D38,Classification!A:D,4,FALSE)</f>
        <v>Acetylcholine(muscarinic)</v>
      </c>
      <c r="D38" s="3" t="s">
        <v>149</v>
      </c>
      <c r="E38" s="3">
        <f>VLOOKUP($D38,'SegEnds_NonXtal_Prot#'!$A:$AZ,30,FALSE)-VLOOKUP($D38,'SegEnds_NonXtal_Prot#'!$A:$AZ,29,FALSE)</f>
        <v>157</v>
      </c>
      <c r="F38" s="1">
        <f>VLOOKUP($D38,'SegEnds_NonXtal_Prot#'!$A:$AZ,31,FALSE)-VLOOKUP($D38,'SegEnds_NonXtal_Prot#'!$A:$AZ,28,FALSE)</f>
        <v>208</v>
      </c>
      <c r="G38" s="3">
        <f>50+VLOOKUP($A38,'SegEnds_Xtal_Prot#'!$A:$AY,39,FALSE)-VLOOKUP($D38,'SegEnds_NonXtal_Prot#'!$A:$AZ,28,FALSE)</f>
        <v>75</v>
      </c>
      <c r="H38" s="3">
        <f>50+VLOOKUP($A38,'SegEnds_Xtal_Prot#'!$A:$AY,41,FALSE)-VLOOKUP($D38,'SegEnds_NonXtal_Prot#'!$A:$AZ,31,FALSE)</f>
        <v>24</v>
      </c>
      <c r="I38" s="3"/>
      <c r="J38" s="3"/>
      <c r="K38" s="1"/>
      <c r="L38" s="1"/>
      <c r="M38" s="1"/>
      <c r="N38" s="1"/>
    </row>
    <row r="39" spans="1:14" customFormat="1" x14ac:dyDescent="0.2">
      <c r="A39" s="3" t="str">
        <f t="shared" si="5"/>
        <v>hrh1_human__wt</v>
      </c>
      <c r="B39" s="3" t="str">
        <f>VLOOKUP(D39,Classification!A:D,3,FALSE)</f>
        <v>Aminergic</v>
      </c>
      <c r="C39" s="3" t="str">
        <f>VLOOKUP(D39,Classification!A:D,4,FALSE)</f>
        <v>Histamine</v>
      </c>
      <c r="D39" s="3" t="s">
        <v>278</v>
      </c>
      <c r="E39" s="3">
        <f>VLOOKUP($D39,'SegEnds_NonXtal_Prot#'!$A:$AZ,30,FALSE)-VLOOKUP($D39,'SegEnds_NonXtal_Prot#'!$A:$AZ,29,FALSE)</f>
        <v>176</v>
      </c>
      <c r="F39" s="1">
        <f>VLOOKUP($D39,'SegEnds_NonXtal_Prot#'!$A:$AZ,31,FALSE)-VLOOKUP($D39,'SegEnds_NonXtal_Prot#'!$A:$AZ,28,FALSE)</f>
        <v>228</v>
      </c>
      <c r="G39" s="3">
        <f>50+VLOOKUP($A39,'SegEnds_Xtal_Prot#'!$A:$AY,39,FALSE)-VLOOKUP($D39,'SegEnds_NonXtal_Prot#'!$A:$AZ,28,FALSE)</f>
        <v>76</v>
      </c>
      <c r="H39" s="3">
        <f>50+VLOOKUP($A39,'SegEnds_Xtal_Prot#'!$A:$AY,41,FALSE)-VLOOKUP($D39,'SegEnds_NonXtal_Prot#'!$A:$AZ,31,FALSE)</f>
        <v>24</v>
      </c>
      <c r="I39" s="3"/>
      <c r="J39" s="3"/>
    </row>
    <row r="40" spans="1:14" customFormat="1" x14ac:dyDescent="0.2">
      <c r="A40" s="3" t="str">
        <f t="shared" si="5"/>
        <v>acm3_rat__wt</v>
      </c>
      <c r="B40" s="3" t="str">
        <f>VLOOKUP(D40,Classification!A:D,3,FALSE)</f>
        <v>Aminergic</v>
      </c>
      <c r="C40" s="3" t="str">
        <f>VLOOKUP(D40,Classification!A:D,4,FALSE)</f>
        <v>Acetylcholine(muscarinic)</v>
      </c>
      <c r="D40" s="3" t="s">
        <v>910</v>
      </c>
      <c r="E40" s="3">
        <f>VLOOKUP($D40,'SegEnds_NonXtal_Prot#'!$A:$AZ,30,FALSE)-VLOOKUP($D40,'SegEnds_NonXtal_Prot#'!$A:$AZ,29,FALSE)</f>
        <v>212</v>
      </c>
      <c r="F40" s="1">
        <f>VLOOKUP($D40,'SegEnds_NonXtal_Prot#'!$A:$AZ,31,FALSE)-VLOOKUP($D40,'SegEnds_NonXtal_Prot#'!$A:$AZ,28,FALSE)</f>
        <v>263</v>
      </c>
      <c r="G40" s="3">
        <f>50+VLOOKUP($A40,'SegEnds_Xtal_Prot#'!$A:$AY,39,FALSE)-VLOOKUP($D40,'SegEnds_NonXtal_Prot#'!$A:$AZ,28,FALSE)</f>
        <v>75</v>
      </c>
      <c r="H40" s="3">
        <f>50+VLOOKUP($A40,'SegEnds_Xtal_Prot#'!$A:$AY,41,FALSE)-VLOOKUP($D40,'SegEnds_NonXtal_Prot#'!$A:$AZ,31,FALSE)</f>
        <v>24</v>
      </c>
      <c r="I40" s="3"/>
      <c r="J40" s="3"/>
    </row>
    <row r="41" spans="1:14" s="61" customFormat="1" x14ac:dyDescent="0.2">
      <c r="A41" s="60" t="str">
        <f t="shared" si="5"/>
        <v>opsd_todpa__wt</v>
      </c>
      <c r="B41" s="60" t="str">
        <f>VLOOKUP(D41,Classification!A:D,3,FALSE)</f>
        <v>Sensory</v>
      </c>
      <c r="C41" s="60" t="str">
        <f>VLOOKUP(D41,Classification!A:D,4,FALSE)</f>
        <v>Opsins</v>
      </c>
      <c r="D41" s="60" t="s">
        <v>922</v>
      </c>
      <c r="E41" s="60">
        <f>VLOOKUP($D41,'SegEnds_NonXtal_Prot#'!$A:$AZ,30,FALSE)-VLOOKUP($D41,'SegEnds_NonXtal_Prot#'!$A:$AZ,29,FALSE)</f>
        <v>5</v>
      </c>
      <c r="F41" s="43">
        <f>VLOOKUP($D41,'SegEnds_NonXtal_Prot#'!$A:$AZ,31,FALSE)-VLOOKUP($D41,'SegEnds_NonXtal_Prot#'!$A:$AZ,28,FALSE)</f>
        <v>64</v>
      </c>
      <c r="G41" s="60">
        <f>50+VLOOKUP($A41,'SegEnds_Xtal_Prot#'!$A:$AY,39,FALSE)-VLOOKUP($D41,'SegEnds_NonXtal_Prot#'!$A:$AZ,28,FALSE)</f>
        <v>77</v>
      </c>
      <c r="H41" s="60">
        <f>50+VLOOKUP($A41,'SegEnds_Xtal_Prot#'!$A:$AY,41,FALSE)-VLOOKUP($D41,'SegEnds_NonXtal_Prot#'!$A:$AZ,31,FALSE)</f>
        <v>18</v>
      </c>
      <c r="I41" s="81" t="s">
        <v>1337</v>
      </c>
      <c r="J41" s="60"/>
    </row>
    <row r="42" spans="1:14" x14ac:dyDescent="0.2">
      <c r="A42" s="3" t="str">
        <f t="shared" si="5"/>
        <v>ox2r_human__wt</v>
      </c>
      <c r="B42" s="3" t="str">
        <f>VLOOKUP(D42,Classification!A:D,3,FALSE)</f>
        <v>Peptide</v>
      </c>
      <c r="C42" s="3" t="str">
        <f>VLOOKUP(D42,Classification!A:D,4,FALSE)</f>
        <v>Orexin</v>
      </c>
      <c r="D42" s="49" t="s">
        <v>1176</v>
      </c>
      <c r="E42" s="3">
        <f>VLOOKUP($D42,'SegEnds_NonXtal_Prot#'!$A:$AZ,30,FALSE)-VLOOKUP($D42,'SegEnds_NonXtal_Prot#'!$A:$AZ,29,FALSE)</f>
        <v>33</v>
      </c>
      <c r="F42" s="1">
        <f>VLOOKUP($D42,'SegEnds_NonXtal_Prot#'!$A:$AZ,31,FALSE)-VLOOKUP($D42,'SegEnds_NonXtal_Prot#'!$A:$AZ,28,FALSE)</f>
        <v>84</v>
      </c>
      <c r="G42" s="3">
        <f>50+VLOOKUP($A42,'SegEnds_Xtal_Prot#'!$A:$AY,39,FALSE)-VLOOKUP($D42,'SegEnds_NonXtal_Prot#'!$A:$AZ,28,FALSE)</f>
        <v>71</v>
      </c>
      <c r="H42" s="3">
        <f>50+VLOOKUP($A42,'SegEnds_Xtal_Prot#'!$A:$AY,41,FALSE)-VLOOKUP($D42,'SegEnds_NonXtal_Prot#'!$A:$AZ,31,FALSE)</f>
        <v>20</v>
      </c>
      <c r="I42" s="3"/>
      <c r="J42" s="3"/>
      <c r="K42" s="1"/>
      <c r="L42" s="1"/>
      <c r="M42" s="1" t="s">
        <v>1300</v>
      </c>
      <c r="N42" s="1" t="s">
        <v>1306</v>
      </c>
    </row>
    <row r="43" spans="1:14" customFormat="1" x14ac:dyDescent="0.2">
      <c r="A43" s="3" t="str">
        <f t="shared" si="5"/>
        <v>ox1r_human__wt</v>
      </c>
      <c r="B43" s="3" t="str">
        <f>VLOOKUP(D43,Classification!A:D,3,FALSE)</f>
        <v>Peptide</v>
      </c>
      <c r="C43" s="3" t="str">
        <f>VLOOKUP(D43,Classification!A:D,4,FALSE)</f>
        <v>Orexin</v>
      </c>
      <c r="D43" s="49" t="s">
        <v>1175</v>
      </c>
      <c r="E43" s="3">
        <f>VLOOKUP($D43,'SegEnds_NonXtal_Prot#'!$A:$AZ,30,FALSE)-VLOOKUP($D43,'SegEnds_NonXtal_Prot#'!$A:$AZ,29,FALSE)</f>
        <v>35</v>
      </c>
      <c r="F43" s="1">
        <f>VLOOKUP($D43,'SegEnds_NonXtal_Prot#'!$A:$AZ,31,FALSE)-VLOOKUP($D43,'SegEnds_NonXtal_Prot#'!$A:$AZ,28,FALSE)</f>
        <v>86</v>
      </c>
      <c r="G43" s="3">
        <f>50+VLOOKUP($A43,'SegEnds_Xtal_Prot#'!$A:$AY,39,FALSE)-VLOOKUP($D43,'SegEnds_NonXtal_Prot#'!$A:$AZ,28,FALSE)</f>
        <v>71</v>
      </c>
      <c r="H43" s="3">
        <f>50+VLOOKUP($A43,'SegEnds_Xtal_Prot#'!$A:$AY,41,FALSE)-VLOOKUP($D43,'SegEnds_NonXtal_Prot#'!$A:$AZ,31,FALSE)</f>
        <v>20</v>
      </c>
      <c r="I43" s="3"/>
      <c r="J43" s="3"/>
      <c r="M43" s="1" t="s">
        <v>1300</v>
      </c>
      <c r="N43" s="1" t="s">
        <v>1306</v>
      </c>
    </row>
    <row r="44" spans="1:14" x14ac:dyDescent="0.2">
      <c r="A44" s="3" t="str">
        <f t="shared" si="5"/>
        <v>adrb1_melga__wt</v>
      </c>
      <c r="B44" s="3" t="str">
        <f>VLOOKUP(D44,Classification!A:D,3,FALSE)</f>
        <v>Aminergic</v>
      </c>
      <c r="C44" s="3" t="str">
        <f>VLOOKUP(D44,Classification!A:D,4,FALSE)</f>
        <v>Adrenoceptors</v>
      </c>
      <c r="D44" s="3" t="s">
        <v>912</v>
      </c>
      <c r="E44" s="3">
        <f>VLOOKUP($D44,'SegEnds_NonXtal_Prot#'!$A:$AZ,30,FALSE)-VLOOKUP($D44,'SegEnds_NonXtal_Prot#'!$A:$AZ,29,FALSE)</f>
        <v>30</v>
      </c>
      <c r="F44" s="1">
        <f>VLOOKUP($D44,'SegEnds_NonXtal_Prot#'!$A:$AZ,31,FALSE)-VLOOKUP($D44,'SegEnds_NonXtal_Prot#'!$A:$AZ,28,FALSE)</f>
        <v>86</v>
      </c>
      <c r="G44" s="3">
        <f>50+VLOOKUP($A44,'SegEnds_Xtal_Prot#'!$A:$AY,39,FALSE)-VLOOKUP($D44,'SegEnds_NonXtal_Prot#'!$A:$AZ,28,FALSE)</f>
        <v>76</v>
      </c>
      <c r="H44" s="3">
        <f>50+VLOOKUP($A44,'SegEnds_Xtal_Prot#'!$A:$AY,41,FALSE)-VLOOKUP($D44,'SegEnds_NonXtal_Prot#'!$A:$AZ,31,FALSE)</f>
        <v>20</v>
      </c>
      <c r="I44" s="3">
        <f>G44</f>
        <v>76</v>
      </c>
      <c r="J44" s="3">
        <f>H44</f>
        <v>20</v>
      </c>
      <c r="K44" s="1" t="s">
        <v>1297</v>
      </c>
      <c r="L44" s="1"/>
      <c r="M44" s="1"/>
      <c r="N44" s="1"/>
    </row>
  </sheetData>
  <sortState ref="A2:O32">
    <sortCondition ref="F2:F32"/>
    <sortCondition ref="G2:G32"/>
    <sortCondition ref="H2:H32"/>
  </sortState>
  <customSheetViews>
    <customSheetView guid="{3E3401AF-8459-8641-BD70-AD04F80E86ED}" scale="113">
      <pane ySplit="1" topLeftCell="A2" activePane="bottomLeft" state="frozenSplit"/>
      <selection pane="bottomLeft" activeCell="A8" sqref="A8:XFD8"/>
      <pageMargins left="0.7" right="0.7" top="0.75" bottom="0.75" header="0.3" footer="0.3"/>
      <pageSetup paperSize="9" orientation="portrait" horizontalDpi="0" verticalDpi="0" copies="2"/>
    </customSheetView>
  </customSheetViews>
  <phoneticPr fontId="6" type="noConversion"/>
  <conditionalFormatting sqref="C1:C1048576">
    <cfRule type="cellIs" dxfId="34" priority="10" operator="equal">
      <formula>"Opsins"</formula>
    </cfRule>
    <cfRule type="cellIs" dxfId="33" priority="11" operator="equal">
      <formula>"Opioid"</formula>
    </cfRule>
    <cfRule type="cellIs" dxfId="32" priority="12" operator="equal">
      <formula>"P2Y"</formula>
    </cfRule>
    <cfRule type="cellIs" dxfId="31" priority="13" operator="equal">
      <formula>"Chemokine"</formula>
    </cfRule>
  </conditionalFormatting>
  <conditionalFormatting sqref="B6:B44">
    <cfRule type="cellIs" dxfId="30" priority="5" operator="equal">
      <formula>"Aminergic"</formula>
    </cfRule>
    <cfRule type="cellIs" dxfId="29" priority="6" operator="equal">
      <formula>"Opsins"</formula>
    </cfRule>
    <cfRule type="cellIs" dxfId="28" priority="7" operator="equal">
      <formula>"Opioid"</formula>
    </cfRule>
    <cfRule type="cellIs" dxfId="27" priority="8" operator="equal">
      <formula>"P2Y"</formula>
    </cfRule>
    <cfRule type="cellIs" dxfId="26" priority="9" operator="equal">
      <formula>"Chemokine"</formula>
    </cfRule>
  </conditionalFormatting>
  <conditionalFormatting sqref="F1:F104857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:E44">
    <cfRule type="colorScale" priority="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N6 H1:J1048576">
    <cfRule type="colorScale" priority="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 copies="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00B0F0"/>
  </sheetPr>
  <dimension ref="A1:AJ407"/>
  <sheetViews>
    <sheetView zoomScale="135" zoomScaleNormal="135" zoomScalePageLayoutView="135" workbookViewId="0">
      <pane ySplit="1" topLeftCell="A281" activePane="bottomLeft" state="frozenSplit"/>
      <selection pane="bottomLeft" activeCell="V308" sqref="V308"/>
    </sheetView>
  </sheetViews>
  <sheetFormatPr baseColWidth="10" defaultColWidth="10.83203125" defaultRowHeight="16" x14ac:dyDescent="0.2"/>
  <cols>
    <col min="1" max="1" width="13.33203125" style="1" bestFit="1" customWidth="1"/>
    <col min="2" max="2" width="12.83203125" style="1" bestFit="1" customWidth="1"/>
    <col min="3" max="3" width="3.1640625" style="5" customWidth="1"/>
    <col min="4" max="4" width="3.1640625" style="1" bestFit="1" customWidth="1"/>
    <col min="5" max="6" width="3.6640625" style="1" bestFit="1" customWidth="1"/>
    <col min="7" max="7" width="3.1640625" style="1" bestFit="1" customWidth="1"/>
    <col min="8" max="8" width="3.1640625" style="12" bestFit="1" customWidth="1"/>
    <col min="9" max="10" width="4.1640625" style="1" bestFit="1" customWidth="1"/>
    <col min="11" max="11" width="3.1640625" style="12" bestFit="1" customWidth="1"/>
    <col min="12" max="12" width="3.1640625" style="1" bestFit="1" customWidth="1"/>
    <col min="13" max="13" width="3.6640625" style="1" bestFit="1" customWidth="1"/>
    <col min="14" max="14" width="3.6640625" style="12" bestFit="1" customWidth="1"/>
    <col min="15" max="15" width="3.1640625" style="89" bestFit="1" customWidth="1"/>
    <col min="16" max="16" width="3.33203125" style="1" customWidth="1"/>
    <col min="17" max="18" width="4.1640625" style="1" bestFit="1" customWidth="1"/>
    <col min="19" max="19" width="3.1640625" style="1" bestFit="1" customWidth="1"/>
    <col min="20" max="20" width="3.33203125" style="1" customWidth="1"/>
    <col min="21" max="26" width="3.1640625" style="1" bestFit="1" customWidth="1"/>
    <col min="27" max="27" width="3.33203125" style="27" customWidth="1"/>
    <col min="28" max="28" width="4.6640625" style="1" customWidth="1"/>
    <col min="29" max="29" width="8.1640625" style="1" customWidth="1"/>
    <col min="30" max="30" width="5" style="1" customWidth="1"/>
    <col min="31" max="31" width="6.83203125" style="1" customWidth="1"/>
    <col min="32" max="34" width="6.5" style="1" customWidth="1"/>
    <col min="35" max="35" width="5.83203125" style="1" customWidth="1"/>
    <col min="36" max="16384" width="10.83203125" style="1"/>
  </cols>
  <sheetData>
    <row r="1" spans="1:36" x14ac:dyDescent="0.2">
      <c r="A1" s="10" t="s">
        <v>31</v>
      </c>
      <c r="B1" s="10" t="s">
        <v>1207</v>
      </c>
      <c r="C1" s="26" t="s">
        <v>1061</v>
      </c>
      <c r="D1" s="8" t="s">
        <v>1062</v>
      </c>
      <c r="E1" s="8" t="s">
        <v>1078</v>
      </c>
      <c r="F1" s="8" t="s">
        <v>1079</v>
      </c>
      <c r="G1" s="8" t="s">
        <v>1063</v>
      </c>
      <c r="H1" s="102" t="s">
        <v>1064</v>
      </c>
      <c r="I1" s="8" t="s">
        <v>1080</v>
      </c>
      <c r="J1" s="8" t="s">
        <v>1081</v>
      </c>
      <c r="K1" s="102" t="s">
        <v>1065</v>
      </c>
      <c r="L1" s="8" t="s">
        <v>1066</v>
      </c>
      <c r="M1" s="8" t="s">
        <v>1093</v>
      </c>
      <c r="N1" s="102" t="s">
        <v>1094</v>
      </c>
      <c r="O1" s="88" t="s">
        <v>1067</v>
      </c>
      <c r="P1" s="8" t="s">
        <v>1068</v>
      </c>
      <c r="Q1" s="8" t="s">
        <v>1096</v>
      </c>
      <c r="R1" s="8" t="s">
        <v>1097</v>
      </c>
      <c r="S1" s="8" t="s">
        <v>1069</v>
      </c>
      <c r="T1" s="8" t="s">
        <v>1070</v>
      </c>
      <c r="U1" s="8" t="s">
        <v>1071</v>
      </c>
      <c r="V1" s="8" t="s">
        <v>1072</v>
      </c>
      <c r="W1" s="8" t="s">
        <v>1073</v>
      </c>
      <c r="X1" s="8" t="s">
        <v>1074</v>
      </c>
      <c r="Y1" s="8" t="s">
        <v>1075</v>
      </c>
      <c r="Z1" s="8" t="s">
        <v>1076</v>
      </c>
      <c r="AA1" s="26" t="s">
        <v>99</v>
      </c>
      <c r="AB1" s="30" t="s">
        <v>1292</v>
      </c>
      <c r="AC1" s="30" t="s">
        <v>1288</v>
      </c>
      <c r="AD1" s="30" t="s">
        <v>1242</v>
      </c>
      <c r="AE1" s="30" t="s">
        <v>1281</v>
      </c>
      <c r="AF1" s="26" t="s">
        <v>1285</v>
      </c>
      <c r="AG1" s="30" t="s">
        <v>1398</v>
      </c>
      <c r="AH1" s="30" t="s">
        <v>1243</v>
      </c>
      <c r="AI1" s="30" t="s">
        <v>1240</v>
      </c>
      <c r="AJ1" s="30" t="s">
        <v>1227</v>
      </c>
    </row>
    <row r="2" spans="1:36" x14ac:dyDescent="0.2">
      <c r="A2" s="1" t="s">
        <v>210</v>
      </c>
      <c r="B2" s="1" t="str">
        <f>VLOOKUP(A2,Xtal_Templ!A:B,2,FALSE)</f>
        <v>apj_human</v>
      </c>
      <c r="C2" s="5">
        <f>VLOOKUP($B2&amp;"__wt",'SegEnds_Xtal_BW#'!$A:$Z,3,FALSE)</f>
        <v>33</v>
      </c>
      <c r="D2" s="1">
        <f>VLOOKUP($B2&amp;"__wt",'SegEnds_Xtal_BW#'!$A:$Z,4,FALSE)</f>
        <v>60</v>
      </c>
      <c r="E2" s="1">
        <f>VLOOKUP($B2&amp;"__wt",'SegEnds_Xtal_BW#'!$A:$Z,5,FALSE)</f>
        <v>48</v>
      </c>
      <c r="F2" s="1">
        <f>VLOOKUP($B2&amp;"__wt",'SegEnds_Xtal_BW#'!$A:$Z,6,FALSE)</f>
        <v>52</v>
      </c>
      <c r="G2" s="1">
        <v>37</v>
      </c>
      <c r="H2" s="12">
        <v>66</v>
      </c>
      <c r="I2" s="1">
        <f>VLOOKUP($B2&amp;"__wt",'SegEnds_Xtal_BW#'!$A:$Z,9,FALSE)</f>
        <v>49</v>
      </c>
      <c r="J2" s="1">
        <f>VLOOKUP($B2&amp;"__wt",'SegEnds_Xtal_BW#'!$A:$Z,10,FALSE)</f>
        <v>52</v>
      </c>
      <c r="K2" s="12">
        <v>21</v>
      </c>
      <c r="L2" s="1">
        <f>VLOOKUP($B2&amp;"__wt",'SegEnds_Xtal_BW#'!$A:$Z,12,FALSE)</f>
        <v>56</v>
      </c>
      <c r="M2" s="1">
        <f>VLOOKUP($B2&amp;"__wt",'SegEnds_Xtal_BW#'!$A:$Z,13,FALSE)</f>
        <v>50</v>
      </c>
      <c r="N2" s="12">
        <v>53</v>
      </c>
      <c r="O2" s="89">
        <v>38</v>
      </c>
      <c r="P2" s="1">
        <f>VLOOKUP($B2&amp;"__wt",'SegEnds_Xtal_BW#'!$A:$Z,16,FALSE)</f>
        <v>64</v>
      </c>
      <c r="Q2" s="1">
        <f>VLOOKUP($B2&amp;"__wt",'SegEnds_Xtal_BW#'!$A:$Z,17,FALSE)</f>
        <v>50</v>
      </c>
      <c r="R2" s="1">
        <f>VLOOKUP($B2&amp;"__wt",'SegEnds_Xtal_BW#'!$A:$Z,18,FALSE)</f>
        <v>52</v>
      </c>
      <c r="S2" s="1">
        <f>VLOOKUP($B2&amp;"__wt",'SegEnds_Xtal_BW#'!$A:$Z,19,FALSE)</f>
        <v>30</v>
      </c>
      <c r="T2" s="1">
        <f t="array" ref="T2">INDEX('ICL3'!$G$2:$G$40,MATCH(MIN(ABS(AH2-'ICL3'!$F$2:$F$40)),ABS(AH2-'ICL3'!$F$2:$F$40),0))</f>
        <v>74</v>
      </c>
      <c r="U2" s="1">
        <f t="array" ref="U2">INDEX('ICL3'!$H$2:$H$40,MATCH(MIN(ABS(AH2-'ICL3'!$F$2:$F$40)),ABS(AH2-'ICL3'!$F$2:$F$40),0))</f>
        <v>21</v>
      </c>
      <c r="V2" s="1">
        <v>61</v>
      </c>
      <c r="W2" s="1">
        <v>28</v>
      </c>
      <c r="X2" s="1">
        <f>VLOOKUP($B2&amp;"__wt",'SegEnds_Xtal_BW#'!$A:$Z,24,FALSE)</f>
        <v>56</v>
      </c>
      <c r="Y2" s="1">
        <f>VLOOKUP($B2&amp;"__wt",'SegEnds_Xtal_BW#'!$A:$Z,25,FALSE)</f>
        <v>47</v>
      </c>
      <c r="Z2" s="1">
        <f>VLOOKUP($B2&amp;"__wt",'SegEnds_Xtal_BW#'!$A:$Z,26,FALSE)</f>
        <v>61</v>
      </c>
      <c r="AA2" s="27" t="str">
        <f>VLOOKUP(A2,Classification!A:B,2,FALSE)</f>
        <v>A</v>
      </c>
      <c r="AB2" s="1">
        <f>VLOOKUP(A2,'SegEnds_NonXtal_Prot#'!A:AL,10,FALSE)-VLOOKUP(A2,'SegEnds_NonXtal_Prot#'!A:AL,7,FALSE)</f>
        <v>14</v>
      </c>
      <c r="AC2" s="1">
        <f>VLOOKUP(A2,'SegEnds_NonXtal_Prot#'!A:AL,13,FALSE)-VLOOKUP(A2,'SegEnds_NonXtal_Prot#'!A:AL,10,FALSE)</f>
        <v>20</v>
      </c>
      <c r="AD2" s="1">
        <f>VLOOKUP(A2,'SegEnds_NonXtal_Prot#'!A:AL,16,FALSE)-VLOOKUP(A2,'SegEnds_NonXtal_Prot#'!A:AL,10,FALSE)</f>
        <v>52</v>
      </c>
      <c r="AE2" s="1">
        <f>VLOOKUP(A2,'SegEnds_NonXtal_Prot#'!A:AL,22,FALSE)-VLOOKUP(A2,'SegEnds_NonXtal_Prot#'!A:AL,19,FALSE)</f>
        <v>18</v>
      </c>
      <c r="AF2" s="1">
        <f>VLOOKUP(A2,'SegEnds_NonXtal_Prot#'!A:AL,28,FALSE)-VLOOKUP(A2,'SegEnds_NonXtal_Prot#'!A:AL,25,FALSE)</f>
        <v>23</v>
      </c>
      <c r="AG2" s="1">
        <f>VLOOKUP(A2,'SegEnds_NonXtal_Prot#'!A:AL,28,FALSE)-VLOOKUP(A2,'SegEnds_NonXtal_Prot#'!A:AL,22,FALSE)</f>
        <v>59</v>
      </c>
      <c r="AH2" s="1">
        <f>VLOOKUP(A2,'SegEnds_NonXtal_Prot#'!A:AL,31,FALSE)-VLOOKUP(A2,'SegEnds_NonXtal_Prot#'!A:AL,28,FALSE)</f>
        <v>59</v>
      </c>
      <c r="AI2" s="1">
        <f>VLOOKUP(A2,'SegEnds_NonXtal_Prot#'!A:AL,34,FALSE)-VLOOKUP(A2,'SegEnds_NonXtal_Prot#'!A:AL,31,FALSE)</f>
        <v>38</v>
      </c>
      <c r="AJ2" s="1" t="str">
        <f>IF(ISERROR(MATCH(A2,'SegEnds_Xtal_Prot#'!B:B, 0)), "NoXtal", "Xtal")</f>
        <v>NoXtal</v>
      </c>
    </row>
    <row r="3" spans="1:36" x14ac:dyDescent="0.2">
      <c r="A3" s="4" t="s">
        <v>242</v>
      </c>
      <c r="B3" s="4" t="str">
        <f>VLOOKUP(A3,Xtal_Templ!A:B,2,FALSE)</f>
        <v>ox2r_human</v>
      </c>
      <c r="C3" s="5">
        <f>VLOOKUP($B3&amp;"__wt",'SegEnds_Xtal_BW#'!$A:$Z,3,FALSE)</f>
        <v>31</v>
      </c>
      <c r="D3" s="4">
        <f>VLOOKUP($B3&amp;"__wt",'SegEnds_Xtal_BW#'!$A:$Z,4,FALSE)</f>
        <v>60</v>
      </c>
      <c r="E3" s="4">
        <f>VLOOKUP($B3&amp;"__wt",'SegEnds_Xtal_BW#'!$A:$Z,5,FALSE)</f>
        <v>48</v>
      </c>
      <c r="F3" s="4">
        <f>VLOOKUP($B3&amp;"__wt",'SegEnds_Xtal_BW#'!$A:$Z,6,FALSE)</f>
        <v>51</v>
      </c>
      <c r="G3" s="4">
        <v>37</v>
      </c>
      <c r="H3" s="12">
        <f>VLOOKUP($B3&amp;"__wt",'SegEnds_Xtal_BW#'!$A:$Z,8,FALSE)</f>
        <v>67</v>
      </c>
      <c r="I3" s="4">
        <f>VLOOKUP($B3&amp;"__wt",'SegEnds_Xtal_BW#'!$A:$Z,9,FALSE)</f>
        <v>49</v>
      </c>
      <c r="J3" s="4">
        <f>VLOOKUP($B3&amp;"__wt",'SegEnds_Xtal_BW#'!$A:$Z,10,FALSE)</f>
        <v>52</v>
      </c>
      <c r="K3" s="11">
        <v>18</v>
      </c>
      <c r="L3" s="4">
        <f>VLOOKUP($B3&amp;"__wt",'SegEnds_Xtal_BW#'!$A:$Z,12,FALSE)</f>
        <v>56</v>
      </c>
      <c r="M3" s="4">
        <f>VLOOKUP($B3&amp;"__wt",'SegEnds_Xtal_BW#'!$A:$Z,13,FALSE)</f>
        <v>50</v>
      </c>
      <c r="N3" s="11">
        <v>53</v>
      </c>
      <c r="O3" s="89">
        <f>VLOOKUP($B3&amp;"__wt",'SegEnds_Xtal_BW#'!$A:$Z,15,FALSE)</f>
        <v>38</v>
      </c>
      <c r="P3" s="4">
        <f>VLOOKUP($B3&amp;"__wt",'SegEnds_Xtal_BW#'!$A:$Z,16,FALSE)</f>
        <v>64</v>
      </c>
      <c r="Q3" s="4">
        <f>VLOOKUP($B3&amp;"__wt",'SegEnds_Xtal_BW#'!$A:$Z,17,FALSE)</f>
        <v>50</v>
      </c>
      <c r="R3" s="4">
        <f>VLOOKUP($B3&amp;"__wt",'SegEnds_Xtal_BW#'!$A:$Z,18,FALSE)</f>
        <v>52</v>
      </c>
      <c r="S3" s="4">
        <f>VLOOKUP($B3&amp;"__wt",'SegEnds_Xtal_BW#'!$A:$Z,19,FALSE)</f>
        <v>32</v>
      </c>
      <c r="T3" s="4">
        <f t="array" ref="T3">INDEX('ICL3'!$G$2:$G$40,MATCH(MIN(ABS(AH3-'ICL3'!$F$2:$F$40)),ABS(AH3-'ICL3'!$F$2:$F$40),0))</f>
        <v>73</v>
      </c>
      <c r="U3" s="4">
        <f t="array" ref="U3">INDEX('ICL3'!$H$2:$H$40,MATCH(MIN(ABS(AH3-'ICL3'!$F$2:$F$40)),ABS(AH3-'ICL3'!$F$2:$F$40),0))</f>
        <v>22</v>
      </c>
      <c r="V3" s="4">
        <v>61</v>
      </c>
      <c r="W3" s="4">
        <v>31</v>
      </c>
      <c r="X3" s="4">
        <f>VLOOKUP($B3&amp;"__wt",'SegEnds_Xtal_BW#'!$A:$Z,24,FALSE)</f>
        <v>56</v>
      </c>
      <c r="Y3" s="4">
        <f>VLOOKUP($B3&amp;"__wt",'SegEnds_Xtal_BW#'!$A:$Z,25,FALSE)</f>
        <v>47</v>
      </c>
      <c r="Z3" s="4">
        <f>VLOOKUP($B3&amp;"__wt",'SegEnds_Xtal_BW#'!$A:$Z,26,FALSE)</f>
        <v>58</v>
      </c>
      <c r="AA3" s="27" t="str">
        <f>VLOOKUP(A3,Classification!A:B,2,FALSE)</f>
        <v>A</v>
      </c>
      <c r="AB3" s="4">
        <f>VLOOKUP(A3,'SegEnds_NonXtal_Prot#'!A:AL,10,FALSE)-VLOOKUP(A3,'SegEnds_NonXtal_Prot#'!A:AL,7,FALSE)</f>
        <v>15</v>
      </c>
      <c r="AC3" s="4">
        <f>VLOOKUP(A3,'SegEnds_NonXtal_Prot#'!A:AL,13,FALSE)-VLOOKUP(A3,'SegEnds_NonXtal_Prot#'!A:AL,10,FALSE)</f>
        <v>20</v>
      </c>
      <c r="AD3" s="4">
        <f>VLOOKUP(A3,'SegEnds_NonXtal_Prot#'!A:AL,16,FALSE)-VLOOKUP(A3,'SegEnds_NonXtal_Prot#'!A:AL,10,FALSE)</f>
        <v>52</v>
      </c>
      <c r="AE3" s="1">
        <f>VLOOKUP(A3,'SegEnds_NonXtal_Prot#'!A:AL,22,FALSE)-VLOOKUP(A3,'SegEnds_NonXtal_Prot#'!A:AL,19,FALSE)</f>
        <v>18</v>
      </c>
      <c r="AF3" s="4">
        <f>VLOOKUP(A3,'SegEnds_NonXtal_Prot#'!A:AL,28,FALSE)-VLOOKUP(A3,'SegEnds_NonXtal_Prot#'!A:AL,25,FALSE)</f>
        <v>25</v>
      </c>
      <c r="AG3" s="1">
        <f>VLOOKUP(A3,'SegEnds_NonXtal_Prot#'!A:AL,28,FALSE)-VLOOKUP(A3,'SegEnds_NonXtal_Prot#'!A:AL,22,FALSE)</f>
        <v>47</v>
      </c>
      <c r="AH3" s="4">
        <f>VLOOKUP(A3,'SegEnds_NonXtal_Prot#'!A:AL,31,FALSE)-VLOOKUP(A3,'SegEnds_NonXtal_Prot#'!A:AL,28,FALSE)</f>
        <v>56</v>
      </c>
      <c r="AI3" s="4">
        <f>VLOOKUP(A3,'SegEnds_NonXtal_Prot#'!A:AL,34,FALSE)-VLOOKUP(A3,'SegEnds_NonXtal_Prot#'!A:AL,31,FALSE)</f>
        <v>36</v>
      </c>
      <c r="AJ3" s="1" t="str">
        <f>IF(ISERROR(MATCH(A3,'SegEnds_Xtal_Prot#'!B:B, 0)), "NoXtal", "Xtal")</f>
        <v>NoXtal</v>
      </c>
    </row>
    <row r="4" spans="1:36" x14ac:dyDescent="0.2">
      <c r="A4" s="1" t="s">
        <v>245</v>
      </c>
      <c r="B4" s="1" t="str">
        <f>VLOOKUP(A4,Xtal_Templ!A:B,2,FALSE)</f>
        <v>hrh1_human</v>
      </c>
      <c r="C4" s="5">
        <f>VLOOKUP($B4&amp;"__wt",'SegEnds_Xtal_BW#'!$A:$Z,3,FALSE)</f>
        <v>34</v>
      </c>
      <c r="D4" s="1">
        <f>VLOOKUP($B4&amp;"__wt",'SegEnds_Xtal_BW#'!$A:$Z,4,FALSE)</f>
        <v>60</v>
      </c>
      <c r="E4" s="1">
        <f>VLOOKUP($B4&amp;"__wt",'SegEnds_Xtal_BW#'!$A:$Z,5,FALSE)</f>
        <v>48</v>
      </c>
      <c r="F4" s="1">
        <f>VLOOKUP($B4&amp;"__wt",'SegEnds_Xtal_BW#'!$A:$Z,6,FALSE)</f>
        <v>51</v>
      </c>
      <c r="G4" s="1">
        <v>37</v>
      </c>
      <c r="H4" s="12">
        <f>VLOOKUP($B4&amp;"__wt",'SegEnds_Xtal_BW#'!$A:$Z,8,FALSE)</f>
        <v>67</v>
      </c>
      <c r="I4" s="1">
        <f>VLOOKUP($B4&amp;"__wt",'SegEnds_Xtal_BW#'!$A:$Z,9,FALSE)</f>
        <v>49</v>
      </c>
      <c r="J4" s="1">
        <f>VLOOKUP($B4&amp;"__wt",'SegEnds_Xtal_BW#'!$A:$Z,10,FALSE)</f>
        <v>52</v>
      </c>
      <c r="K4" s="12">
        <v>21</v>
      </c>
      <c r="L4" s="1">
        <f>VLOOKUP($B4&amp;"__wt",'SegEnds_Xtal_BW#'!$A:$Z,12,FALSE)</f>
        <v>56</v>
      </c>
      <c r="M4" s="1">
        <f>VLOOKUP($B4&amp;"__wt",'SegEnds_Xtal_BW#'!$A:$Z,13,FALSE)</f>
        <v>50</v>
      </c>
      <c r="N4" s="12">
        <v>53</v>
      </c>
      <c r="O4" s="89">
        <f>VLOOKUP($B4&amp;"__wt",'SegEnds_Xtal_BW#'!$A:$Z,15,FALSE)</f>
        <v>38</v>
      </c>
      <c r="P4" s="1">
        <v>63</v>
      </c>
      <c r="Q4" s="1">
        <f>VLOOKUP($B4&amp;"__wt",'SegEnds_Xtal_BW#'!$A:$Z,17,FALSE)</f>
        <v>50</v>
      </c>
      <c r="R4" s="1">
        <f>VLOOKUP($B4&amp;"__wt",'SegEnds_Xtal_BW#'!$A:$Z,18,FALSE)</f>
        <v>52</v>
      </c>
      <c r="S4" s="1">
        <v>35</v>
      </c>
      <c r="T4" s="1">
        <f t="array" ref="T4">INDEX('ICL3'!$G$2:$G$40,MATCH(MIN(ABS(AH4-'ICL3'!$F$2:$F$40)),ABS(AH4-'ICL3'!$F$2:$F$40),0))</f>
        <v>74</v>
      </c>
      <c r="U4" s="1">
        <f t="array" ref="U4">INDEX('ICL3'!$H$2:$H$40,MATCH(MIN(ABS(AH4-'ICL3'!$F$2:$F$40)),ABS(AH4-'ICL3'!$F$2:$F$40),0))</f>
        <v>24</v>
      </c>
      <c r="V4" s="1">
        <v>61</v>
      </c>
      <c r="W4" s="1">
        <v>31</v>
      </c>
      <c r="X4" s="1">
        <f>VLOOKUP($B4&amp;"__wt",'SegEnds_Xtal_BW#'!$A:$Z,24,FALSE)</f>
        <v>56</v>
      </c>
      <c r="Y4" s="1">
        <f>VLOOKUP($B4&amp;"__wt",'SegEnds_Xtal_BW#'!$A:$Z,25,FALSE)</f>
        <v>47</v>
      </c>
      <c r="Z4" s="1">
        <f>VLOOKUP($B4&amp;"__wt",'SegEnds_Xtal_BW#'!$A:$Z,26,FALSE)</f>
        <v>59</v>
      </c>
      <c r="AA4" s="27" t="str">
        <f>VLOOKUP(A4,Classification!A:B,2,FALSE)</f>
        <v>A</v>
      </c>
      <c r="AB4" s="1">
        <f>VLOOKUP(A4,'SegEnds_NonXtal_Prot#'!A:AL,10,FALSE)-VLOOKUP(A4,'SegEnds_NonXtal_Prot#'!A:AL,7,FALSE)</f>
        <v>16</v>
      </c>
      <c r="AC4" s="1" t="e">
        <f>VLOOKUP(A4,'SegEnds_NonXtal_Prot#'!A:AL,13,FALSE)-VLOOKUP(A4,'SegEnds_NonXtal_Prot#'!A:AL,10,FALSE)</f>
        <v>#VALUE!</v>
      </c>
      <c r="AD4" s="1">
        <f>VLOOKUP(A4,'SegEnds_NonXtal_Prot#'!A:AL,16,FALSE)-VLOOKUP(A4,'SegEnds_NonXtal_Prot#'!A:AL,10,FALSE)</f>
        <v>52</v>
      </c>
      <c r="AE4" s="1">
        <f>VLOOKUP(A4,'SegEnds_NonXtal_Prot#'!A:AL,22,FALSE)-VLOOKUP(A4,'SegEnds_NonXtal_Prot#'!A:AL,19,FALSE)</f>
        <v>18</v>
      </c>
      <c r="AF4" s="1">
        <f>VLOOKUP(A4,'SegEnds_NonXtal_Prot#'!A:AL,28,FALSE)-VLOOKUP(A4,'SegEnds_NonXtal_Prot#'!A:AL,25,FALSE)</f>
        <v>26</v>
      </c>
      <c r="AG4" s="1">
        <f>VLOOKUP(A4,'SegEnds_NonXtal_Prot#'!A:AL,28,FALSE)-VLOOKUP(A4,'SegEnds_NonXtal_Prot#'!A:AL,22,FALSE)</f>
        <v>58</v>
      </c>
      <c r="AH4" s="1">
        <f>VLOOKUP(A4,'SegEnds_NonXtal_Prot#'!A:AL,31,FALSE)-VLOOKUP(A4,'SegEnds_NonXtal_Prot#'!A:AL,28,FALSE)</f>
        <v>105</v>
      </c>
      <c r="AI4" s="1">
        <f>VLOOKUP(A4,'SegEnds_NonXtal_Prot#'!A:AL,34,FALSE)-VLOOKUP(A4,'SegEnds_NonXtal_Prot#'!A:AL,31,FALSE)</f>
        <v>36</v>
      </c>
      <c r="AJ4" s="1" t="str">
        <f>IF(ISERROR(MATCH(A4,'SegEnds_Xtal_Prot#'!B:B, 0)), "NoXtal", "Xtal")</f>
        <v>NoXtal</v>
      </c>
    </row>
    <row r="5" spans="1:36" x14ac:dyDescent="0.2">
      <c r="A5" s="1" t="s">
        <v>324</v>
      </c>
      <c r="B5" s="1" t="str">
        <f>VLOOKUP(A5,Xtal_Templ!A:B,2,FALSE)</f>
        <v>hrh1_human</v>
      </c>
      <c r="C5" s="5">
        <f>VLOOKUP($B5&amp;"__wt",'SegEnds_Xtal_BW#'!$A:$Z,3,FALSE)</f>
        <v>34</v>
      </c>
      <c r="D5" s="1">
        <f>VLOOKUP($B5&amp;"__wt",'SegEnds_Xtal_BW#'!$A:$Z,4,FALSE)</f>
        <v>60</v>
      </c>
      <c r="E5" s="1">
        <f>VLOOKUP($B5&amp;"__wt",'SegEnds_Xtal_BW#'!$A:$Z,5,FALSE)</f>
        <v>48</v>
      </c>
      <c r="F5" s="1">
        <f>VLOOKUP($B5&amp;"__wt",'SegEnds_Xtal_BW#'!$A:$Z,6,FALSE)</f>
        <v>51</v>
      </c>
      <c r="G5" s="1">
        <v>37</v>
      </c>
      <c r="H5" s="12">
        <f>VLOOKUP($B5&amp;"__wt",'SegEnds_Xtal_BW#'!$A:$Z,8,FALSE)</f>
        <v>67</v>
      </c>
      <c r="I5" s="1">
        <f>VLOOKUP($B5&amp;"__wt",'SegEnds_Xtal_BW#'!$A:$Z,9,FALSE)</f>
        <v>49</v>
      </c>
      <c r="J5" s="1">
        <f>VLOOKUP($B5&amp;"__wt",'SegEnds_Xtal_BW#'!$A:$Z,10,FALSE)</f>
        <v>52</v>
      </c>
      <c r="K5" s="12">
        <v>18</v>
      </c>
      <c r="L5" s="1">
        <f>VLOOKUP($B5&amp;"__wt",'SegEnds_Xtal_BW#'!$A:$Z,12,FALSE)</f>
        <v>56</v>
      </c>
      <c r="M5" s="1">
        <f>VLOOKUP($B5&amp;"__wt",'SegEnds_Xtal_BW#'!$A:$Z,13,FALSE)</f>
        <v>50</v>
      </c>
      <c r="N5" s="12">
        <v>53</v>
      </c>
      <c r="O5" s="89">
        <v>38</v>
      </c>
      <c r="P5" s="1">
        <f>VLOOKUP($B5&amp;"__wt",'SegEnds_Xtal_BW#'!$A:$Z,16,FALSE)</f>
        <v>62</v>
      </c>
      <c r="Q5" s="1">
        <f>VLOOKUP($B5&amp;"__wt",'SegEnds_Xtal_BW#'!$A:$Z,17,FALSE)</f>
        <v>50</v>
      </c>
      <c r="R5" s="1">
        <f>VLOOKUP($B5&amp;"__wt",'SegEnds_Xtal_BW#'!$A:$Z,18,FALSE)</f>
        <v>52</v>
      </c>
      <c r="S5" s="1">
        <f>VLOOKUP($B5&amp;"__wt",'SegEnds_Xtal_BW#'!$A:$Z,19,FALSE)</f>
        <v>35</v>
      </c>
      <c r="T5" s="1">
        <f t="array" ref="T5">INDEX('ICL3'!$G$2:$G$40,MATCH(MIN(ABS(AH5-'ICL3'!$F$2:$F$40)),ABS(AH5-'ICL3'!$F$2:$F$40),0))</f>
        <v>76</v>
      </c>
      <c r="U5" s="1">
        <f t="array" ref="U5">INDEX('ICL3'!$H$2:$H$40,MATCH(MIN(ABS(AH5-'ICL3'!$F$2:$F$40)),ABS(AH5-'ICL3'!$F$2:$F$40),0))</f>
        <v>24</v>
      </c>
      <c r="V5" s="1">
        <v>61</v>
      </c>
      <c r="W5" s="1">
        <v>28</v>
      </c>
      <c r="X5" s="1">
        <f>VLOOKUP($B5&amp;"__wt",'SegEnds_Xtal_BW#'!$A:$Z,24,FALSE)</f>
        <v>56</v>
      </c>
      <c r="Y5" s="1">
        <f>VLOOKUP($B5&amp;"__wt",'SegEnds_Xtal_BW#'!$A:$Z,25,FALSE)</f>
        <v>47</v>
      </c>
      <c r="Z5" s="1">
        <f>VLOOKUP($B5&amp;"__wt",'SegEnds_Xtal_BW#'!$A:$Z,26,FALSE)</f>
        <v>59</v>
      </c>
      <c r="AA5" s="27" t="str">
        <f>VLOOKUP(A5,Classification!A:B,2,FALSE)</f>
        <v>A</v>
      </c>
      <c r="AB5" s="1" t="e">
        <f>VLOOKUP(A5,'SegEnds_NonXtal_Prot#'!A:AL,10,FALSE)-VLOOKUP(A5,'SegEnds_NonXtal_Prot#'!A:AL,7,FALSE)</f>
        <v>#VALUE!</v>
      </c>
      <c r="AC5" s="1">
        <f>VLOOKUP(A5,'SegEnds_NonXtal_Prot#'!A:AL,13,FALSE)-VLOOKUP(A5,'SegEnds_NonXtal_Prot#'!A:AL,10,FALSE)</f>
        <v>20</v>
      </c>
      <c r="AD5" s="1">
        <f>VLOOKUP(A5,'SegEnds_NonXtal_Prot#'!A:AL,16,FALSE)-VLOOKUP(A5,'SegEnds_NonXtal_Prot#'!A:AL,10,FALSE)</f>
        <v>52</v>
      </c>
      <c r="AE5" s="1">
        <f>VLOOKUP(A5,'SegEnds_NonXtal_Prot#'!A:AL,22,FALSE)-VLOOKUP(A5,'SegEnds_NonXtal_Prot#'!A:AL,19,FALSE)</f>
        <v>18</v>
      </c>
      <c r="AF5" s="1">
        <f>VLOOKUP(A5,'SegEnds_NonXtal_Prot#'!A:AL,28,FALSE)-VLOOKUP(A5,'SegEnds_NonXtal_Prot#'!A:AL,25,FALSE)</f>
        <v>25</v>
      </c>
      <c r="AG5" s="1">
        <f>VLOOKUP(A5,'SegEnds_NonXtal_Prot#'!A:AL,28,FALSE)-VLOOKUP(A5,'SegEnds_NonXtal_Prot#'!A:AL,22,FALSE)</f>
        <v>51</v>
      </c>
      <c r="AH5" s="1">
        <f>VLOOKUP(A5,'SegEnds_NonXtal_Prot#'!A:AL,31,FALSE)-VLOOKUP(A5,'SegEnds_NonXtal_Prot#'!A:AL,28,FALSE)</f>
        <v>67</v>
      </c>
      <c r="AI5" s="1">
        <f>VLOOKUP(A5,'SegEnds_NonXtal_Prot#'!A:AL,34,FALSE)-VLOOKUP(A5,'SegEnds_NonXtal_Prot#'!A:AL,31,FALSE)</f>
        <v>38</v>
      </c>
      <c r="AJ5" s="1" t="str">
        <f>IF(ISERROR(MATCH(A5,'SegEnds_Xtal_Prot#'!B:B, 0)), "NoXtal", "Xtal")</f>
        <v>NoXtal</v>
      </c>
    </row>
    <row r="6" spans="1:36" x14ac:dyDescent="0.2">
      <c r="A6" s="1" t="s">
        <v>1175</v>
      </c>
      <c r="B6" s="1" t="str">
        <f>VLOOKUP(A6,Xtal_Templ!A:B,2,FALSE)</f>
        <v>ox1r_human</v>
      </c>
      <c r="C6" s="5">
        <f>VLOOKUP($B6&amp;"__wt",'SegEnds_Xtal_BW#'!$A:$Z,3,FALSE)</f>
        <v>32</v>
      </c>
      <c r="D6" s="1">
        <f>VLOOKUP($B6&amp;"__wt",'SegEnds_Xtal_BW#'!$A:$Z,4,FALSE)</f>
        <v>60</v>
      </c>
      <c r="E6" s="1">
        <f>VLOOKUP($B6&amp;"__wt",'SegEnds_Xtal_BW#'!$A:$Z,5,FALSE)</f>
        <v>48</v>
      </c>
      <c r="F6" s="1">
        <f>VLOOKUP($B6&amp;"__wt",'SegEnds_Xtal_BW#'!$A:$Z,6,FALSE)</f>
        <v>51</v>
      </c>
      <c r="G6" s="1">
        <v>37</v>
      </c>
      <c r="H6" s="12">
        <f>VLOOKUP($B6&amp;"__wt",'SegEnds_Xtal_BW#'!$A:$Z,8,FALSE)</f>
        <v>67</v>
      </c>
      <c r="I6" s="1">
        <f>VLOOKUP($B6&amp;"__wt",'SegEnds_Xtal_BW#'!$A:$Z,9,FALSE)</f>
        <v>49</v>
      </c>
      <c r="J6" s="1">
        <f>VLOOKUP($B6&amp;"__wt",'SegEnds_Xtal_BW#'!$A:$Z,10,FALSE)</f>
        <v>52</v>
      </c>
      <c r="K6" s="12">
        <v>18</v>
      </c>
      <c r="L6" s="1">
        <f>VLOOKUP($B6&amp;"__wt",'SegEnds_Xtal_BW#'!$A:$Z,12,FALSE)</f>
        <v>56</v>
      </c>
      <c r="M6" s="1">
        <f>VLOOKUP($B6&amp;"__wt",'SegEnds_Xtal_BW#'!$A:$Z,13,FALSE)</f>
        <v>50</v>
      </c>
      <c r="N6" s="12">
        <f>VLOOKUP($B6&amp;"__wt",'SegEnds_Xtal_BW#'!$A:$Z,14,FALSE)</f>
        <v>53</v>
      </c>
      <c r="O6" s="89">
        <f>VLOOKUP($B6&amp;"__wt",'SegEnds_Xtal_BW#'!$A:$Z,15,FALSE)</f>
        <v>38</v>
      </c>
      <c r="P6" s="1">
        <f>VLOOKUP($B6&amp;"__wt",'SegEnds_Xtal_BW#'!$A:$Z,16,FALSE)</f>
        <v>64</v>
      </c>
      <c r="Q6" s="1">
        <f>VLOOKUP($B6&amp;"__wt",'SegEnds_Xtal_BW#'!$A:$Z,17,FALSE)</f>
        <v>50</v>
      </c>
      <c r="R6" s="1">
        <f>VLOOKUP($B6&amp;"__wt",'SegEnds_Xtal_BW#'!$A:$Z,18,FALSE)</f>
        <v>52</v>
      </c>
      <c r="S6" s="1">
        <f>VLOOKUP($B6&amp;"__wt",'SegEnds_Xtal_BW#'!$A:$Z,19,FALSE)</f>
        <v>32</v>
      </c>
      <c r="T6" s="1">
        <f t="array" ref="T6">INDEX('ICL3'!$G$2:$G$40,MATCH(MIN(ABS(AH6-'ICL3'!$F$2:$F$40)),ABS(AH6-'ICL3'!$F$2:$F$40),0))</f>
        <v>76</v>
      </c>
      <c r="U6" s="1">
        <v>20</v>
      </c>
      <c r="V6" s="1">
        <v>61</v>
      </c>
      <c r="W6" s="1">
        <v>28</v>
      </c>
      <c r="X6" s="1">
        <f>VLOOKUP($B6&amp;"__wt",'SegEnds_Xtal_BW#'!$A:$Z,24,FALSE)</f>
        <v>56</v>
      </c>
      <c r="Y6" s="1">
        <f>VLOOKUP($B6&amp;"__wt",'SegEnds_Xtal_BW#'!$A:$Z,25,FALSE)</f>
        <v>47</v>
      </c>
      <c r="Z6" s="1">
        <f>VLOOKUP($B6&amp;"__wt",'SegEnds_Xtal_BW#'!$A:$Z,26,FALSE)</f>
        <v>58</v>
      </c>
      <c r="AA6" s="27" t="str">
        <f>VLOOKUP(A6,Classification!A:B,2,FALSE)</f>
        <v>A</v>
      </c>
      <c r="AB6" s="1">
        <f>VLOOKUP(A6,'SegEnds_NonXtal_Prot#'!A:AL,10,FALSE)-VLOOKUP(A6,'SegEnds_NonXtal_Prot#'!A:AL,7,FALSE)</f>
        <v>15</v>
      </c>
      <c r="AC6" s="1">
        <f>VLOOKUP(A6,'SegEnds_NonXtal_Prot#'!A:AL,13,FALSE)-VLOOKUP(A6,'SegEnds_NonXtal_Prot#'!A:AL,10,FALSE)</f>
        <v>20</v>
      </c>
      <c r="AD6" s="1">
        <f>VLOOKUP(A6,'SegEnds_NonXtal_Prot#'!A:AL,16,FALSE)-VLOOKUP(A6,'SegEnds_NonXtal_Prot#'!A:AL,10,FALSE)</f>
        <v>52</v>
      </c>
      <c r="AE6" s="1">
        <f>VLOOKUP(A6,'SegEnds_NonXtal_Prot#'!A:AL,22,FALSE)-VLOOKUP(A6,'SegEnds_NonXtal_Prot#'!A:AL,19,FALSE)</f>
        <v>18</v>
      </c>
      <c r="AF6" s="1">
        <f>VLOOKUP(A6,'SegEnds_NonXtal_Prot#'!A:AL,28,FALSE)-VLOOKUP(A6,'SegEnds_NonXtal_Prot#'!A:AL,25,FALSE)</f>
        <v>25</v>
      </c>
      <c r="AG6" s="1">
        <f>VLOOKUP(A6,'SegEnds_NonXtal_Prot#'!A:AL,28,FALSE)-VLOOKUP(A6,'SegEnds_NonXtal_Prot#'!A:AL,22,FALSE)</f>
        <v>58</v>
      </c>
      <c r="AH6" s="12">
        <f>VLOOKUP(A6,'SegEnds_NonXtal_Prot#'!A:AL,31,FALSE)-VLOOKUP(A6,'SegEnds_NonXtal_Prot#'!A:AL,28,FALSE)</f>
        <v>86</v>
      </c>
      <c r="AI6" s="1">
        <f>VLOOKUP(A6,'SegEnds_NonXtal_Prot#'!A:AL,34,FALSE)-VLOOKUP(A6,'SegEnds_NonXtal_Prot#'!A:AL,31,FALSE)</f>
        <v>42</v>
      </c>
      <c r="AJ6" s="12" t="str">
        <f>IF(ISERROR(MATCH(A6,'SegEnds_Xtal_Prot#'!B:B, 0)), "NoXtal", "Xtal")</f>
        <v>Xtal</v>
      </c>
    </row>
    <row r="7" spans="1:36" x14ac:dyDescent="0.2">
      <c r="A7" s="1" t="s">
        <v>1176</v>
      </c>
      <c r="B7" s="1" t="str">
        <f>VLOOKUP(A7,Xtal_Templ!A:B,2,FALSE)</f>
        <v>ox2r_human</v>
      </c>
      <c r="C7" s="5">
        <f>VLOOKUP($B7&amp;"__wt",'SegEnds_Xtal_BW#'!$A:$Z,3,FALSE)</f>
        <v>31</v>
      </c>
      <c r="D7" s="1">
        <f>VLOOKUP($B7&amp;"__wt",'SegEnds_Xtal_BW#'!$A:$Z,4,FALSE)</f>
        <v>60</v>
      </c>
      <c r="E7" s="1">
        <f>VLOOKUP($B7&amp;"__wt",'SegEnds_Xtal_BW#'!$A:$Z,5,FALSE)</f>
        <v>48</v>
      </c>
      <c r="F7" s="1">
        <f>VLOOKUP($B7&amp;"__wt",'SegEnds_Xtal_BW#'!$A:$Z,6,FALSE)</f>
        <v>51</v>
      </c>
      <c r="G7" s="1">
        <v>37</v>
      </c>
      <c r="H7" s="12">
        <f>VLOOKUP($B7&amp;"__wt",'SegEnds_Xtal_BW#'!$A:$Z,8,FALSE)</f>
        <v>67</v>
      </c>
      <c r="I7" s="1">
        <f>VLOOKUP($B7&amp;"__wt",'SegEnds_Xtal_BW#'!$A:$Z,9,FALSE)</f>
        <v>49</v>
      </c>
      <c r="J7" s="1">
        <f>VLOOKUP($B7&amp;"__wt",'SegEnds_Xtal_BW#'!$A:$Z,10,FALSE)</f>
        <v>52</v>
      </c>
      <c r="K7" s="12">
        <v>18</v>
      </c>
      <c r="L7" s="1">
        <f>VLOOKUP($B7&amp;"__wt",'SegEnds_Xtal_BW#'!$A:$Z,12,FALSE)</f>
        <v>56</v>
      </c>
      <c r="M7" s="1">
        <f>VLOOKUP($B7&amp;"__wt",'SegEnds_Xtal_BW#'!$A:$Z,13,FALSE)</f>
        <v>50</v>
      </c>
      <c r="N7" s="12">
        <f>VLOOKUP($B7&amp;"__wt",'SegEnds_Xtal_BW#'!$A:$Z,14,FALSE)</f>
        <v>53</v>
      </c>
      <c r="O7" s="89">
        <f>VLOOKUP($B7&amp;"__wt",'SegEnds_Xtal_BW#'!$A:$Z,15,FALSE)</f>
        <v>38</v>
      </c>
      <c r="P7" s="1">
        <f>VLOOKUP($B7&amp;"__wt",'SegEnds_Xtal_BW#'!$A:$Z,16,FALSE)</f>
        <v>64</v>
      </c>
      <c r="Q7" s="1">
        <f>VLOOKUP($B7&amp;"__wt",'SegEnds_Xtal_BW#'!$A:$Z,17,FALSE)</f>
        <v>50</v>
      </c>
      <c r="R7" s="1">
        <f>VLOOKUP($B7&amp;"__wt",'SegEnds_Xtal_BW#'!$A:$Z,18,FALSE)</f>
        <v>52</v>
      </c>
      <c r="S7" s="1">
        <f>VLOOKUP($B7&amp;"__wt",'SegEnds_Xtal_BW#'!$A:$Z,19,FALSE)</f>
        <v>32</v>
      </c>
      <c r="T7" s="1">
        <f t="array" ref="T7">INDEX('ICL3'!$G$2:$G$40,MATCH(MIN(ABS(AH7-'ICL3'!$F$2:$F$40)),ABS(AH7-'ICL3'!$F$2:$F$40),0))</f>
        <v>76</v>
      </c>
      <c r="U7" s="1">
        <v>20</v>
      </c>
      <c r="V7" s="1">
        <v>61</v>
      </c>
      <c r="W7" s="1">
        <v>28</v>
      </c>
      <c r="X7" s="1">
        <f>VLOOKUP($B7&amp;"__wt",'SegEnds_Xtal_BW#'!$A:$Z,24,FALSE)</f>
        <v>56</v>
      </c>
      <c r="Y7" s="1">
        <f>VLOOKUP($B7&amp;"__wt",'SegEnds_Xtal_BW#'!$A:$Z,25,FALSE)</f>
        <v>47</v>
      </c>
      <c r="Z7" s="1">
        <f>VLOOKUP($B7&amp;"__wt",'SegEnds_Xtal_BW#'!$A:$Z,26,FALSE)</f>
        <v>58</v>
      </c>
      <c r="AA7" s="27" t="str">
        <f>VLOOKUP(A7,Classification!A:B,2,FALSE)</f>
        <v>A</v>
      </c>
      <c r="AB7" s="1">
        <f>VLOOKUP(A7,'SegEnds_NonXtal_Prot#'!A:AL,10,FALSE)-VLOOKUP(A7,'SegEnds_NonXtal_Prot#'!A:AL,7,FALSE)</f>
        <v>15</v>
      </c>
      <c r="AC7" s="1">
        <f>VLOOKUP(A7,'SegEnds_NonXtal_Prot#'!A:AL,13,FALSE)-VLOOKUP(A7,'SegEnds_NonXtal_Prot#'!A:AL,10,FALSE)</f>
        <v>20</v>
      </c>
      <c r="AD7" s="1">
        <f>VLOOKUP(A7,'SegEnds_NonXtal_Prot#'!A:AL,16,FALSE)-VLOOKUP(A7,'SegEnds_NonXtal_Prot#'!A:AL,10,FALSE)</f>
        <v>52</v>
      </c>
      <c r="AE7" s="1">
        <f>VLOOKUP(A7,'SegEnds_NonXtal_Prot#'!A:AL,22,FALSE)-VLOOKUP(A7,'SegEnds_NonXtal_Prot#'!A:AL,19,FALSE)</f>
        <v>18</v>
      </c>
      <c r="AF7" s="1">
        <f>VLOOKUP(A7,'SegEnds_NonXtal_Prot#'!A:AL,28,FALSE)-VLOOKUP(A7,'SegEnds_NonXtal_Prot#'!A:AL,25,FALSE)</f>
        <v>25</v>
      </c>
      <c r="AG7" s="1">
        <f>VLOOKUP(A7,'SegEnds_NonXtal_Prot#'!A:AL,28,FALSE)-VLOOKUP(A7,'SegEnds_NonXtal_Prot#'!A:AL,22,FALSE)</f>
        <v>58</v>
      </c>
      <c r="AH7" s="12">
        <f>VLOOKUP(A7,'SegEnds_NonXtal_Prot#'!A:AL,31,FALSE)-VLOOKUP(A7,'SegEnds_NonXtal_Prot#'!A:AL,28,FALSE)</f>
        <v>84</v>
      </c>
      <c r="AI7" s="1">
        <f>VLOOKUP(A7,'SegEnds_NonXtal_Prot#'!A:AL,34,FALSE)-VLOOKUP(A7,'SegEnds_NonXtal_Prot#'!A:AL,31,FALSE)</f>
        <v>42</v>
      </c>
      <c r="AJ7" s="12" t="str">
        <f>IF(ISERROR(MATCH(A7,'SegEnds_Xtal_Prot#'!B:B, 0)), "NoXtal", "Xtal")</f>
        <v>Xtal</v>
      </c>
    </row>
    <row r="8" spans="1:36" x14ac:dyDescent="0.2">
      <c r="A8" s="4" t="s">
        <v>369</v>
      </c>
      <c r="B8" s="4" t="str">
        <f>VLOOKUP(A8,Xtal_Templ!A:B,2,FALSE)</f>
        <v>ox2r_human</v>
      </c>
      <c r="C8" s="5">
        <f>VLOOKUP($B8&amp;"__wt",'SegEnds_Xtal_BW#'!$A:$Z,3,FALSE)</f>
        <v>31</v>
      </c>
      <c r="D8" s="4">
        <f>VLOOKUP($B8&amp;"__wt",'SegEnds_Xtal_BW#'!$A:$Z,4,FALSE)</f>
        <v>60</v>
      </c>
      <c r="E8" s="4">
        <f>VLOOKUP($B8&amp;"__wt",'SegEnds_Xtal_BW#'!$A:$Z,5,FALSE)</f>
        <v>48</v>
      </c>
      <c r="F8" s="4">
        <f>VLOOKUP($B8&amp;"__wt",'SegEnds_Xtal_BW#'!$A:$Z,6,FALSE)</f>
        <v>51</v>
      </c>
      <c r="G8" s="4">
        <v>37</v>
      </c>
      <c r="H8" s="11">
        <f>VLOOKUP($B8&amp;"__wt",'SegEnds_Xtal_BW#'!$A:$Z,8,FALSE)</f>
        <v>67</v>
      </c>
      <c r="I8" s="4">
        <f>VLOOKUP($B8&amp;"__wt",'SegEnds_Xtal_BW#'!$A:$Z,9,FALSE)</f>
        <v>49</v>
      </c>
      <c r="J8" s="4">
        <f>VLOOKUP($B8&amp;"__wt",'SegEnds_Xtal_BW#'!$A:$Z,10,FALSE)</f>
        <v>52</v>
      </c>
      <c r="K8" s="11">
        <v>18</v>
      </c>
      <c r="L8" s="4">
        <f>VLOOKUP($B8&amp;"__wt",'SegEnds_Xtal_BW#'!$A:$Z,12,FALSE)</f>
        <v>56</v>
      </c>
      <c r="M8" s="4">
        <f>VLOOKUP($B8&amp;"__wt",'SegEnds_Xtal_BW#'!$A:$Z,13,FALSE)</f>
        <v>50</v>
      </c>
      <c r="N8" s="11">
        <v>53</v>
      </c>
      <c r="O8" s="89">
        <f>VLOOKUP($B8&amp;"__wt",'SegEnds_Xtal_BW#'!$A:$Z,15,FALSE)</f>
        <v>38</v>
      </c>
      <c r="P8" s="4">
        <f>VLOOKUP($B8&amp;"__wt",'SegEnds_Xtal_BW#'!$A:$Z,16,FALSE)</f>
        <v>64</v>
      </c>
      <c r="Q8" s="4">
        <f>VLOOKUP($B8&amp;"__wt",'SegEnds_Xtal_BW#'!$A:$Z,17,FALSE)</f>
        <v>50</v>
      </c>
      <c r="R8" s="4">
        <f>VLOOKUP($B8&amp;"__wt",'SegEnds_Xtal_BW#'!$A:$Z,18,FALSE)</f>
        <v>52</v>
      </c>
      <c r="S8" s="4">
        <f>VLOOKUP($B8&amp;"__wt",'SegEnds_Xtal_BW#'!$A:$Z,19,FALSE)</f>
        <v>32</v>
      </c>
      <c r="T8" s="4">
        <f t="array" ref="T8">INDEX('ICL3'!$G$2:$G$40,MATCH(MIN(ABS(AH8-'ICL3'!$F$2:$F$40)),ABS(AH8-'ICL3'!$F$2:$F$40),0))</f>
        <v>73</v>
      </c>
      <c r="U8" s="4">
        <f t="array" ref="U8">INDEX('ICL3'!$H$2:$H$40,MATCH(MIN(ABS(AH8-'ICL3'!$F$2:$F$40)),ABS(AH8-'ICL3'!$F$2:$F$40),0))</f>
        <v>22</v>
      </c>
      <c r="V8" s="4">
        <v>61</v>
      </c>
      <c r="W8" s="4">
        <v>28</v>
      </c>
      <c r="X8" s="4">
        <f>VLOOKUP($B8&amp;"__wt",'SegEnds_Xtal_BW#'!$A:$Z,24,FALSE)</f>
        <v>56</v>
      </c>
      <c r="Y8" s="4">
        <f>VLOOKUP($B8&amp;"__wt",'SegEnds_Xtal_BW#'!$A:$Z,25,FALSE)</f>
        <v>47</v>
      </c>
      <c r="Z8" s="4">
        <f>VLOOKUP($B8&amp;"__wt",'SegEnds_Xtal_BW#'!$A:$Z,26,FALSE)</f>
        <v>58</v>
      </c>
      <c r="AA8" s="27" t="str">
        <f>VLOOKUP(A8,Classification!A:B,2,FALSE)</f>
        <v>A</v>
      </c>
      <c r="AB8" s="4">
        <f>VLOOKUP(A8,'SegEnds_NonXtal_Prot#'!A:AL,10,FALSE)-VLOOKUP(A8,'SegEnds_NonXtal_Prot#'!A:AL,7,FALSE)</f>
        <v>15</v>
      </c>
      <c r="AC8" s="4">
        <f>VLOOKUP(A8,'SegEnds_NonXtal_Prot#'!A:AL,13,FALSE)-VLOOKUP(A8,'SegEnds_NonXtal_Prot#'!A:AL,10,FALSE)</f>
        <v>21</v>
      </c>
      <c r="AD8" s="4">
        <f>VLOOKUP(A8,'SegEnds_NonXtal_Prot#'!A:AL,16,FALSE)-VLOOKUP(A8,'SegEnds_NonXtal_Prot#'!A:AL,10,FALSE)</f>
        <v>53</v>
      </c>
      <c r="AE8" s="1">
        <f>VLOOKUP(A8,'SegEnds_NonXtal_Prot#'!A:AL,22,FALSE)-VLOOKUP(A8,'SegEnds_NonXtal_Prot#'!A:AL,19,FALSE)</f>
        <v>18</v>
      </c>
      <c r="AF8" s="4">
        <f>VLOOKUP(A8,'SegEnds_NonXtal_Prot#'!A:AL,28,FALSE)-VLOOKUP(A8,'SegEnds_NonXtal_Prot#'!A:AL,25,FALSE)</f>
        <v>26</v>
      </c>
      <c r="AG8" s="1">
        <f>VLOOKUP(A8,'SegEnds_NonXtal_Prot#'!A:AL,28,FALSE)-VLOOKUP(A8,'SegEnds_NonXtal_Prot#'!A:AL,22,FALSE)</f>
        <v>53</v>
      </c>
      <c r="AH8" s="4">
        <f>VLOOKUP(A8,'SegEnds_NonXtal_Prot#'!A:AL,31,FALSE)-VLOOKUP(A8,'SegEnds_NonXtal_Prot#'!A:AL,28,FALSE)</f>
        <v>56</v>
      </c>
      <c r="AI8" s="4">
        <f>VLOOKUP(A8,'SegEnds_NonXtal_Prot#'!A:AL,34,FALSE)-VLOOKUP(A8,'SegEnds_NonXtal_Prot#'!A:AL,31,FALSE)</f>
        <v>39</v>
      </c>
      <c r="AJ8" s="1" t="str">
        <f>IF(ISERROR(MATCH(A8,'SegEnds_Xtal_Prot#'!B:B, 0)), "NoXtal", "Xtal")</f>
        <v>NoXtal</v>
      </c>
    </row>
    <row r="9" spans="1:36" x14ac:dyDescent="0.2">
      <c r="A9" s="12" t="s">
        <v>159</v>
      </c>
      <c r="B9" s="12" t="str">
        <f>VLOOKUP(A9,Xtal_Templ!A:B,2,FALSE)</f>
        <v>agtr2_human</v>
      </c>
      <c r="C9" s="5">
        <f>VLOOKUP($B9&amp;"__wt",'SegEnds_Xtal_BW#'!$A:$Z,3,FALSE)</f>
        <v>33</v>
      </c>
      <c r="D9" s="1">
        <f>VLOOKUP($B9&amp;"__wt",'SegEnds_Xtal_BW#'!$A:$Z,4,FALSE)</f>
        <v>60</v>
      </c>
      <c r="E9" s="1" t="str">
        <f>VLOOKUP($B9&amp;"__wt",'SegEnds_Xtal_BW#'!$A:$Z,5,FALSE)</f>
        <v>-</v>
      </c>
      <c r="F9" s="1" t="str">
        <f>VLOOKUP($B9&amp;"__wt",'SegEnds_Xtal_BW#'!$A:$Z,6,FALSE)</f>
        <v>-</v>
      </c>
      <c r="G9" s="111">
        <v>38</v>
      </c>
      <c r="H9" s="12">
        <f>VLOOKUP($B9&amp;"__wt",'SegEnds_Xtal_BW#'!$A:$Z,8,FALSE)</f>
        <v>66</v>
      </c>
      <c r="I9" s="1">
        <f>VLOOKUP($B9&amp;"__wt",'SegEnds_Xtal_BW#'!$A:$Z,9,FALSE)</f>
        <v>47</v>
      </c>
      <c r="J9" s="1">
        <f>VLOOKUP($B9&amp;"__wt",'SegEnds_Xtal_BW#'!$A:$Z,10,FALSE)</f>
        <v>52</v>
      </c>
      <c r="K9" s="12">
        <v>21</v>
      </c>
      <c r="L9" s="1">
        <f>VLOOKUP($B9&amp;"__wt",'SegEnds_Xtal_BW#'!$A:$Z,12,FALSE)</f>
        <v>56</v>
      </c>
      <c r="M9" s="1">
        <f>VLOOKUP($B9&amp;"__wt",'SegEnds_Xtal_BW#'!$A:$Z,13,FALSE)</f>
        <v>50</v>
      </c>
      <c r="N9" s="111">
        <v>56</v>
      </c>
      <c r="O9" s="89">
        <f>VLOOKUP($B9&amp;"__wt",'SegEnds_Xtal_BW#'!$A:$Z,15,FALSE)</f>
        <v>38</v>
      </c>
      <c r="P9" s="1">
        <f>VLOOKUP($B9&amp;"__wt",'SegEnds_Xtal_BW#'!$A:$Z,16,FALSE)</f>
        <v>64</v>
      </c>
      <c r="Q9" s="1">
        <f>VLOOKUP($B9&amp;"__wt",'SegEnds_Xtal_BW#'!$A:$Z,17,FALSE)</f>
        <v>50</v>
      </c>
      <c r="R9" s="1">
        <f>VLOOKUP($B9&amp;"__wt",'SegEnds_Xtal_BW#'!$A:$Z,18,FALSE)</f>
        <v>52</v>
      </c>
      <c r="S9" s="1">
        <f>VLOOKUP($B9&amp;"__wt",'SegEnds_Xtal_BW#'!$A:$Z,19,FALSE)</f>
        <v>30</v>
      </c>
      <c r="T9" s="1">
        <f t="array" ref="T9">INDEX('ICL3'!$G$2:$G$40,MATCH(MIN(ABS(AH9-'ICL3'!$F$2:$F$40)),ABS(AH9-'ICL3'!$F$2:$F$40),0))</f>
        <v>68</v>
      </c>
      <c r="U9" s="1">
        <f t="array" ref="U9">INDEX('ICL3'!$H$2:$H$40,MATCH(MIN(ABS(AH9-'ICL3'!$F$2:$F$40)),ABS(AH9-'ICL3'!$F$2:$F$40),0))</f>
        <v>24</v>
      </c>
      <c r="V9" s="1">
        <v>64</v>
      </c>
      <c r="W9" s="1">
        <v>24</v>
      </c>
      <c r="X9" s="1">
        <f>VLOOKUP($B9&amp;"__wt",'SegEnds_Xtal_BW#'!$A:$Z,24,FALSE)</f>
        <v>56</v>
      </c>
      <c r="Y9" s="1">
        <f>VLOOKUP($B9&amp;"__wt",'SegEnds_Xtal_BW#'!$A:$Z,25,FALSE)</f>
        <v>47</v>
      </c>
      <c r="Z9" s="1">
        <f>VLOOKUP($B9&amp;"__wt",'SegEnds_Xtal_BW#'!$A:$Z,26,FALSE)</f>
        <v>61</v>
      </c>
      <c r="AA9" s="27" t="str">
        <f>VLOOKUP(A9,Classification!A:B,2,FALSE)</f>
        <v>A</v>
      </c>
      <c r="AB9" s="1" t="e">
        <f>VLOOKUP(A9,'SegEnds_NonXtal_Prot#'!A:AL,10,FALSE)-VLOOKUP(A9,'SegEnds_NonXtal_Prot#'!A:AL,7,FALSE)</f>
        <v>#VALUE!</v>
      </c>
      <c r="AC9" s="1">
        <f>VLOOKUP(A9,'SegEnds_NonXtal_Prot#'!A:AL,13,FALSE)-VLOOKUP(A9,'SegEnds_NonXtal_Prot#'!A:AL,10,FALSE)</f>
        <v>20</v>
      </c>
      <c r="AD9" s="1">
        <f>VLOOKUP(A9,'SegEnds_NonXtal_Prot#'!A:AL,16,FALSE)-VLOOKUP(A9,'SegEnds_NonXtal_Prot#'!A:AL,10,FALSE)</f>
        <v>52</v>
      </c>
      <c r="AE9" s="1">
        <f>VLOOKUP(A9,'SegEnds_NonXtal_Prot#'!A:AL,22,FALSE)-VLOOKUP(A9,'SegEnds_NonXtal_Prot#'!A:AL,19,FALSE)</f>
        <v>19</v>
      </c>
      <c r="AF9" s="1">
        <f>VLOOKUP(A9,'SegEnds_NonXtal_Prot#'!A:AL,28,FALSE)-VLOOKUP(A9,'SegEnds_NonXtal_Prot#'!A:AL,25,FALSE)</f>
        <v>28</v>
      </c>
      <c r="AG9" s="1">
        <f>VLOOKUP(A9,'SegEnds_NonXtal_Prot#'!A:AL,28,FALSE)-VLOOKUP(A9,'SegEnds_NonXtal_Prot#'!A:AL,22,FALSE)</f>
        <v>55</v>
      </c>
      <c r="AH9" s="1">
        <f>VLOOKUP(A9,'SegEnds_NonXtal_Prot#'!A:AL,31,FALSE)-VLOOKUP(A9,'SegEnds_NonXtal_Prot#'!A:AL,28,FALSE)</f>
        <v>48</v>
      </c>
      <c r="AI9" s="1">
        <f>VLOOKUP(A9,'SegEnds_NonXtal_Prot#'!A:AL,34,FALSE)-VLOOKUP(A9,'SegEnds_NonXtal_Prot#'!A:AL,31,FALSE)</f>
        <v>44</v>
      </c>
      <c r="AJ9" s="1" t="str">
        <f>IF(ISERROR(MATCH(A9,'SegEnds_Xtal_Prot#'!B:B, 0)), "NoXtal", "Xtal")</f>
        <v>Xtal</v>
      </c>
    </row>
    <row r="10" spans="1:36" x14ac:dyDescent="0.2">
      <c r="A10" s="1" t="s">
        <v>185</v>
      </c>
      <c r="B10" s="1" t="str">
        <f>VLOOKUP(A10,Xtal_Templ!A:B,2,FALSE)</f>
        <v>ccr2_human</v>
      </c>
      <c r="C10" s="5">
        <f>VLOOKUP($B10&amp;"__wt",'SegEnds_Xtal_BW#'!$A:$Z,3,FALSE)</f>
        <v>27</v>
      </c>
      <c r="D10" s="1">
        <f>VLOOKUP($B10&amp;"__wt",'SegEnds_Xtal_BW#'!$A:$Z,4,FALSE)</f>
        <v>60</v>
      </c>
      <c r="E10" s="1">
        <f>VLOOKUP($B10&amp;"__wt",'SegEnds_Xtal_BW#'!$A:$Z,5,FALSE)</f>
        <v>48</v>
      </c>
      <c r="F10" s="1">
        <f>VLOOKUP($B10&amp;"__wt",'SegEnds_Xtal_BW#'!$A:$Z,6,FALSE)</f>
        <v>51</v>
      </c>
      <c r="G10" s="1">
        <v>37</v>
      </c>
      <c r="H10" s="12">
        <v>66</v>
      </c>
      <c r="I10" s="1">
        <f>VLOOKUP($B10&amp;"__wt",'SegEnds_Xtal_BW#'!$A:$Z,9,FALSE)</f>
        <v>49</v>
      </c>
      <c r="J10" s="1">
        <f>VLOOKUP($B10&amp;"__wt",'SegEnds_Xtal_BW#'!$A:$Z,10,FALSE)</f>
        <v>52</v>
      </c>
      <c r="K10" s="12">
        <v>24</v>
      </c>
      <c r="L10" s="1">
        <f>VLOOKUP($B10&amp;"__wt",'SegEnds_Xtal_BW#'!$A:$Z,12,FALSE)</f>
        <v>56</v>
      </c>
      <c r="M10" s="1">
        <f>VLOOKUP($B10&amp;"__wt",'SegEnds_Xtal_BW#'!$A:$Z,13,FALSE)</f>
        <v>50</v>
      </c>
      <c r="N10" s="111">
        <v>56</v>
      </c>
      <c r="O10" s="89">
        <f>VLOOKUP($B10&amp;"__wt",'SegEnds_Xtal_BW#'!$A:$Z,15,FALSE)</f>
        <v>38</v>
      </c>
      <c r="P10" s="1">
        <f>VLOOKUP($B10&amp;"__wt",'SegEnds_Xtal_BW#'!$A:$Z,16,FALSE)</f>
        <v>64</v>
      </c>
      <c r="Q10" s="1">
        <f>VLOOKUP($B10&amp;"__wt",'SegEnds_Xtal_BW#'!$A:$Z,17,FALSE)</f>
        <v>50</v>
      </c>
      <c r="R10" s="1">
        <f>VLOOKUP($B10&amp;"__wt",'SegEnds_Xtal_BW#'!$A:$Z,18,FALSE)</f>
        <v>52</v>
      </c>
      <c r="S10" s="1">
        <f>VLOOKUP($B10&amp;"__wt",'SegEnds_Xtal_BW#'!$A:$Z,19,FALSE)</f>
        <v>31</v>
      </c>
      <c r="T10" s="1">
        <f t="array" ref="T10">INDEX('ICL3'!$G$2:$G$40,MATCH(MIN(ABS(AH10-'ICL3'!$F$2:$F$40)),ABS(AH10-'ICL3'!$F$2:$F$40),0))</f>
        <v>68</v>
      </c>
      <c r="U10" s="1">
        <f t="array" ref="U10">INDEX('ICL3'!$H$2:$H$40,MATCH(MIN(ABS(AH10-'ICL3'!$F$2:$F$40)),ABS(AH10-'ICL3'!$F$2:$F$40),0))</f>
        <v>30</v>
      </c>
      <c r="V10" s="1">
        <v>64</v>
      </c>
      <c r="W10" s="1">
        <v>24</v>
      </c>
      <c r="X10" s="1">
        <f>VLOOKUP($B10&amp;"__wt",'SegEnds_Xtal_BW#'!$A:$Z,24,FALSE)</f>
        <v>56</v>
      </c>
      <c r="Y10" s="1">
        <f>VLOOKUP($B10&amp;"__wt",'SegEnds_Xtal_BW#'!$A:$Z,25,FALSE)</f>
        <v>47</v>
      </c>
      <c r="Z10" s="1">
        <f>VLOOKUP($B10&amp;"__wt",'SegEnds_Xtal_BW#'!$A:$Z,26,FALSE)</f>
        <v>58</v>
      </c>
      <c r="AA10" s="27" t="str">
        <f>VLOOKUP(A10,Classification!A:B,2,FALSE)</f>
        <v>A</v>
      </c>
      <c r="AB10" s="1">
        <f>VLOOKUP(A10,'SegEnds_NonXtal_Prot#'!A:AL,10,FALSE)-VLOOKUP(A10,'SegEnds_NonXtal_Prot#'!A:AL,7,FALSE)</f>
        <v>15</v>
      </c>
      <c r="AC10" s="1">
        <f>VLOOKUP(A10,'SegEnds_NonXtal_Prot#'!A:AL,13,FALSE)-VLOOKUP(A10,'SegEnds_NonXtal_Prot#'!A:AL,10,FALSE)</f>
        <v>18</v>
      </c>
      <c r="AD10" s="1">
        <f>VLOOKUP(A10,'SegEnds_NonXtal_Prot#'!A:AL,16,FALSE)-VLOOKUP(A10,'SegEnds_NonXtal_Prot#'!A:AL,10,FALSE)</f>
        <v>50</v>
      </c>
      <c r="AE10" s="1">
        <f>VLOOKUP(A10,'SegEnds_NonXtal_Prot#'!A:AL,22,FALSE)-VLOOKUP(A10,'SegEnds_NonXtal_Prot#'!A:AL,19,FALSE)</f>
        <v>19</v>
      </c>
      <c r="AF10" s="1">
        <f>VLOOKUP(A10,'SegEnds_NonXtal_Prot#'!A:AL,28,FALSE)-VLOOKUP(A10,'SegEnds_NonXtal_Prot#'!A:AL,25,FALSE)</f>
        <v>27</v>
      </c>
      <c r="AG10" s="1">
        <f>VLOOKUP(A10,'SegEnds_NonXtal_Prot#'!A:AL,28,FALSE)-VLOOKUP(A10,'SegEnds_NonXtal_Prot#'!A:AL,22,FALSE)</f>
        <v>53</v>
      </c>
      <c r="AH10" s="1">
        <f>VLOOKUP(A10,'SegEnds_NonXtal_Prot#'!A:AL,31,FALSE)-VLOOKUP(A10,'SegEnds_NonXtal_Prot#'!A:AL,28,FALSE)</f>
        <v>43</v>
      </c>
      <c r="AI10" s="1">
        <f>VLOOKUP(A10,'SegEnds_NonXtal_Prot#'!A:AL,34,FALSE)-VLOOKUP(A10,'SegEnds_NonXtal_Prot#'!A:AL,31,FALSE)</f>
        <v>45</v>
      </c>
      <c r="AJ10" s="1" t="str">
        <f>IF(ISERROR(MATCH(A10,'SegEnds_Xtal_Prot#'!B:B, 0)), "NoXtal", "Xtal")</f>
        <v>NoXtal</v>
      </c>
    </row>
    <row r="11" spans="1:36" x14ac:dyDescent="0.2">
      <c r="A11" s="1" t="s">
        <v>186</v>
      </c>
      <c r="B11" s="1" t="str">
        <f>VLOOKUP(A11,Xtal_Templ!A:B,2,FALSE)</f>
        <v>ccr9_human</v>
      </c>
      <c r="C11" s="5">
        <f>VLOOKUP($B11&amp;"__wt",'SegEnds_Xtal_BW#'!$A:$Z,3,FALSE)</f>
        <v>27</v>
      </c>
      <c r="D11" s="1">
        <f>VLOOKUP($B11&amp;"__wt",'SegEnds_Xtal_BW#'!$A:$Z,4,FALSE)</f>
        <v>60</v>
      </c>
      <c r="E11" s="1">
        <f>VLOOKUP($B11&amp;"__wt",'SegEnds_Xtal_BW#'!$A:$Z,5,FALSE)</f>
        <v>48</v>
      </c>
      <c r="F11" s="1">
        <f>VLOOKUP($B11&amp;"__wt",'SegEnds_Xtal_BW#'!$A:$Z,6,FALSE)</f>
        <v>51</v>
      </c>
      <c r="G11" s="1">
        <v>37</v>
      </c>
      <c r="H11" s="12">
        <v>66</v>
      </c>
      <c r="I11" s="1">
        <f>VLOOKUP($B11&amp;"__wt",'SegEnds_Xtal_BW#'!$A:$Z,9,FALSE)</f>
        <v>49</v>
      </c>
      <c r="J11" s="1">
        <f>VLOOKUP($B11&amp;"__wt",'SegEnds_Xtal_BW#'!$A:$Z,10,FALSE)</f>
        <v>52</v>
      </c>
      <c r="K11" s="12">
        <v>24</v>
      </c>
      <c r="L11" s="1">
        <f>VLOOKUP($B11&amp;"__wt",'SegEnds_Xtal_BW#'!$A:$Z,12,FALSE)</f>
        <v>56</v>
      </c>
      <c r="M11" s="1">
        <f>VLOOKUP($B11&amp;"__wt",'SegEnds_Xtal_BW#'!$A:$Z,13,FALSE)</f>
        <v>50</v>
      </c>
      <c r="N11" s="111">
        <v>56</v>
      </c>
      <c r="O11" s="111">
        <v>38</v>
      </c>
      <c r="P11" s="1">
        <f>VLOOKUP($B11&amp;"__wt",'SegEnds_Xtal_BW#'!$A:$Z,16,FALSE)</f>
        <v>64</v>
      </c>
      <c r="Q11" s="1">
        <f>VLOOKUP($B11&amp;"__wt",'SegEnds_Xtal_BW#'!$A:$Z,17,FALSE)</f>
        <v>50</v>
      </c>
      <c r="R11" s="1">
        <f>VLOOKUP($B11&amp;"__wt",'SegEnds_Xtal_BW#'!$A:$Z,18,FALSE)</f>
        <v>52</v>
      </c>
      <c r="S11" s="1">
        <f>VLOOKUP($B11&amp;"__wt",'SegEnds_Xtal_BW#'!$A:$Z,19,FALSE)</f>
        <v>33</v>
      </c>
      <c r="T11" s="1">
        <f t="array" ref="T11">INDEX('ICL3'!$G$2:$G$40,MATCH(MIN(ABS(AH11-'ICL3'!$F$2:$F$40)),ABS(AH11-'ICL3'!$F$2:$F$40),0))</f>
        <v>68</v>
      </c>
      <c r="U11" s="1">
        <f t="array" ref="U11">INDEX('ICL3'!$H$2:$H$40,MATCH(MIN(ABS(AH11-'ICL3'!$F$2:$F$40)),ABS(AH11-'ICL3'!$F$2:$F$40),0))</f>
        <v>30</v>
      </c>
      <c r="V11" s="1">
        <v>64</v>
      </c>
      <c r="W11" s="1">
        <v>24</v>
      </c>
      <c r="X11" s="1">
        <f>VLOOKUP($B11&amp;"__wt",'SegEnds_Xtal_BW#'!$A:$Z,24,FALSE)</f>
        <v>56</v>
      </c>
      <c r="Y11" s="1">
        <f>VLOOKUP($B11&amp;"__wt",'SegEnds_Xtal_BW#'!$A:$Z,25,FALSE)</f>
        <v>47</v>
      </c>
      <c r="Z11" s="1">
        <f>VLOOKUP($B11&amp;"__wt",'SegEnds_Xtal_BW#'!$A:$Z,26,FALSE)</f>
        <v>67</v>
      </c>
      <c r="AA11" s="27" t="str">
        <f>VLOOKUP(A11,Classification!A:B,2,FALSE)</f>
        <v>A</v>
      </c>
      <c r="AB11" s="1">
        <f>VLOOKUP(A11,'SegEnds_NonXtal_Prot#'!A:AL,10,FALSE)-VLOOKUP(A11,'SegEnds_NonXtal_Prot#'!A:AL,7,FALSE)</f>
        <v>15</v>
      </c>
      <c r="AC11" s="1">
        <f>VLOOKUP(A11,'SegEnds_NonXtal_Prot#'!A:AL,13,FALSE)-VLOOKUP(A11,'SegEnds_NonXtal_Prot#'!A:AL,10,FALSE)</f>
        <v>18</v>
      </c>
      <c r="AD11" s="1">
        <f>VLOOKUP(A11,'SegEnds_NonXtal_Prot#'!A:AL,16,FALSE)-VLOOKUP(A11,'SegEnds_NonXtal_Prot#'!A:AL,10,FALSE)</f>
        <v>50</v>
      </c>
      <c r="AE11" s="1">
        <f>VLOOKUP(A11,'SegEnds_NonXtal_Prot#'!A:AL,22,FALSE)-VLOOKUP(A11,'SegEnds_NonXtal_Prot#'!A:AL,19,FALSE)</f>
        <v>19</v>
      </c>
      <c r="AF11" s="1">
        <f>VLOOKUP(A11,'SegEnds_NonXtal_Prot#'!A:AL,28,FALSE)-VLOOKUP(A11,'SegEnds_NonXtal_Prot#'!A:AL,25,FALSE)</f>
        <v>27</v>
      </c>
      <c r="AG11" s="1">
        <f>VLOOKUP(A11,'SegEnds_NonXtal_Prot#'!A:AL,28,FALSE)-VLOOKUP(A11,'SegEnds_NonXtal_Prot#'!A:AL,22,FALSE)</f>
        <v>53</v>
      </c>
      <c r="AH11" s="1">
        <f>VLOOKUP(A11,'SegEnds_NonXtal_Prot#'!A:AL,31,FALSE)-VLOOKUP(A11,'SegEnds_NonXtal_Prot#'!A:AL,28,FALSE)</f>
        <v>43</v>
      </c>
      <c r="AI11" s="1">
        <f>VLOOKUP(A11,'SegEnds_NonXtal_Prot#'!A:AL,34,FALSE)-VLOOKUP(A11,'SegEnds_NonXtal_Prot#'!A:AL,31,FALSE)</f>
        <v>45</v>
      </c>
      <c r="AJ11" s="1" t="str">
        <f>IF(ISERROR(MATCH(A11,'SegEnds_Xtal_Prot#'!B:B, 0)), "NoXtal", "Xtal")</f>
        <v>NoXtal</v>
      </c>
    </row>
    <row r="12" spans="1:36" x14ac:dyDescent="0.2">
      <c r="A12" s="1" t="s">
        <v>216</v>
      </c>
      <c r="B12" s="1" t="str">
        <f>VLOOKUP(A12,Xtal_Templ!A:B,2,FALSE)</f>
        <v>ntr1_rat</v>
      </c>
      <c r="C12" s="5">
        <f>VLOOKUP($B12&amp;"__wt",'SegEnds_Xtal_BW#'!$A:$Z,3,FALSE)</f>
        <v>29</v>
      </c>
      <c r="D12" s="1">
        <f>VLOOKUP($B12&amp;"__wt",'SegEnds_Xtal_BW#'!$A:$Z,4,FALSE)</f>
        <v>60</v>
      </c>
      <c r="E12" s="1">
        <f>VLOOKUP($B12&amp;"__wt",'SegEnds_Xtal_BW#'!$A:$Z,5,FALSE)</f>
        <v>48</v>
      </c>
      <c r="F12" s="1">
        <f>VLOOKUP($B12&amp;"__wt",'SegEnds_Xtal_BW#'!$A:$Z,6,FALSE)</f>
        <v>51</v>
      </c>
      <c r="G12" s="1">
        <v>37</v>
      </c>
      <c r="H12" s="1">
        <v>67</v>
      </c>
      <c r="I12" s="1">
        <f>VLOOKUP($B12&amp;"__wt",'SegEnds_Xtal_BW#'!$A:$Z,9,FALSE)</f>
        <v>49</v>
      </c>
      <c r="J12" s="1">
        <f>VLOOKUP($B12&amp;"__wt",'SegEnds_Xtal_BW#'!$A:$Z,10,FALSE)</f>
        <v>52</v>
      </c>
      <c r="K12" s="1">
        <v>18</v>
      </c>
      <c r="L12" s="1">
        <f>VLOOKUP($B12&amp;"__wt",'SegEnds_Xtal_BW#'!$A:$Z,12,FALSE)</f>
        <v>56</v>
      </c>
      <c r="M12" s="1">
        <f>VLOOKUP($B12&amp;"__wt",'SegEnds_Xtal_BW#'!$A:$Z,13,FALSE)</f>
        <v>50</v>
      </c>
      <c r="N12" s="111">
        <v>56</v>
      </c>
      <c r="O12" s="89">
        <f>VLOOKUP($B12&amp;"__wt",'SegEnds_Xtal_BW#'!$A:$Z,15,FALSE)</f>
        <v>38</v>
      </c>
      <c r="P12" s="1">
        <f>VLOOKUP($B12&amp;"__wt",'SegEnds_Xtal_BW#'!$A:$Z,16,FALSE)</f>
        <v>64</v>
      </c>
      <c r="Q12" s="1">
        <f>VLOOKUP($B12&amp;"__wt",'SegEnds_Xtal_BW#'!$A:$Z,17,FALSE)</f>
        <v>50</v>
      </c>
      <c r="R12" s="1">
        <f>VLOOKUP($B12&amp;"__wt",'SegEnds_Xtal_BW#'!$A:$Z,18,FALSE)</f>
        <v>52</v>
      </c>
      <c r="S12" s="1">
        <f>VLOOKUP($B12&amp;"__wt",'SegEnds_Xtal_BW#'!$A:$Z,19,FALSE)</f>
        <v>32</v>
      </c>
      <c r="T12" s="1">
        <f t="array" ref="T12">INDEX('ICL3'!$G$2:$G$40,MATCH(MIN(ABS(AH12-'ICL3'!$F$2:$F$40)),ABS(AH12-'ICL3'!$F$2:$F$40),0))</f>
        <v>68</v>
      </c>
      <c r="U12" s="1">
        <f t="array" ref="U12">INDEX('ICL3'!$H$2:$H$40,MATCH(MIN(ABS(AH12-'ICL3'!$F$2:$F$40)),ABS(AH12-'ICL3'!$F$2:$F$40),0))</f>
        <v>24</v>
      </c>
      <c r="V12" s="1">
        <v>61</v>
      </c>
      <c r="W12" s="1">
        <v>28</v>
      </c>
      <c r="X12" s="1">
        <f>VLOOKUP($B12&amp;"__wt",'SegEnds_Xtal_BW#'!$A:$Z,24,FALSE)</f>
        <v>56</v>
      </c>
      <c r="Y12" s="1">
        <f>VLOOKUP($B12&amp;"__wt",'SegEnds_Xtal_BW#'!$A:$Z,25,FALSE)</f>
        <v>47</v>
      </c>
      <c r="Z12" s="1">
        <f>VLOOKUP($B12&amp;"__wt",'SegEnds_Xtal_BW#'!$A:$Z,26,FALSE)</f>
        <v>58</v>
      </c>
      <c r="AA12" s="27" t="str">
        <f>VLOOKUP(A12,Classification!A:B,2,FALSE)</f>
        <v>A</v>
      </c>
      <c r="AB12" s="1" t="e">
        <f>VLOOKUP(A12,'SegEnds_NonXtal_Prot#'!A:AL,10,FALSE)-VLOOKUP(A12,'SegEnds_NonXtal_Prot#'!A:AL,7,FALSE)</f>
        <v>#VALUE!</v>
      </c>
      <c r="AC12" s="1" t="e">
        <f>VLOOKUP(A12,'SegEnds_NonXtal_Prot#'!A:AL,13,FALSE)-VLOOKUP(A12,'SegEnds_NonXtal_Prot#'!A:AL,10,FALSE)</f>
        <v>#VALUE!</v>
      </c>
      <c r="AD12" s="1">
        <f>VLOOKUP(A12,'SegEnds_NonXtal_Prot#'!A:AL,16,FALSE)-VLOOKUP(A12,'SegEnds_NonXtal_Prot#'!A:AL,10,FALSE)</f>
        <v>53</v>
      </c>
      <c r="AE12" s="1">
        <f>VLOOKUP(A12,'SegEnds_NonXtal_Prot#'!A:AL,22,FALSE)-VLOOKUP(A12,'SegEnds_NonXtal_Prot#'!A:AL,19,FALSE)</f>
        <v>19</v>
      </c>
      <c r="AF12" s="1" t="e">
        <f>VLOOKUP(A12,'SegEnds_NonXtal_Prot#'!A:AL,28,FALSE)-VLOOKUP(A12,'SegEnds_NonXtal_Prot#'!A:AL,25,FALSE)</f>
        <v>#VALUE!</v>
      </c>
      <c r="AG12" s="1">
        <f>VLOOKUP(A12,'SegEnds_NonXtal_Prot#'!A:AL,28,FALSE)-VLOOKUP(A12,'SegEnds_NonXtal_Prot#'!A:AL,22,FALSE)</f>
        <v>43</v>
      </c>
      <c r="AH12" s="1">
        <f>VLOOKUP(A12,'SegEnds_NonXtal_Prot#'!A:AL,31,FALSE)-VLOOKUP(A12,'SegEnds_NonXtal_Prot#'!A:AL,28,FALSE)</f>
        <v>48</v>
      </c>
      <c r="AI12" s="1">
        <f>VLOOKUP(A12,'SegEnds_NonXtal_Prot#'!A:AL,34,FALSE)-VLOOKUP(A12,'SegEnds_NonXtal_Prot#'!A:AL,31,FALSE)</f>
        <v>39</v>
      </c>
      <c r="AJ12" s="1" t="str">
        <f>IF(ISERROR(MATCH(A12,'SegEnds_Xtal_Prot#'!B:B, 0)), "NoXtal", "Xtal")</f>
        <v>NoXtal</v>
      </c>
    </row>
    <row r="13" spans="1:36" x14ac:dyDescent="0.2">
      <c r="A13" s="1" t="s">
        <v>218</v>
      </c>
      <c r="B13" s="1" t="str">
        <f>VLOOKUP(A13,Xtal_Templ!A:B,2,FALSE)</f>
        <v>5ht2b_human</v>
      </c>
      <c r="C13" s="5">
        <f>VLOOKUP($B13&amp;"__wt",'SegEnds_Xtal_BW#'!$A:$Z,3,FALSE)</f>
        <v>32</v>
      </c>
      <c r="D13" s="1">
        <f>VLOOKUP($B13&amp;"__wt",'SegEnds_Xtal_BW#'!$A:$Z,4,FALSE)</f>
        <v>60</v>
      </c>
      <c r="E13" s="1">
        <f>VLOOKUP($B13&amp;"__wt",'SegEnds_Xtal_BW#'!$A:$Z,5,FALSE)</f>
        <v>48</v>
      </c>
      <c r="F13" s="1">
        <f>VLOOKUP($B13&amp;"__wt",'SegEnds_Xtal_BW#'!$A:$Z,6,FALSE)</f>
        <v>51</v>
      </c>
      <c r="G13" s="1">
        <v>37</v>
      </c>
      <c r="H13" s="1">
        <v>67</v>
      </c>
      <c r="I13" s="1">
        <f>VLOOKUP($B13&amp;"__wt",'SegEnds_Xtal_BW#'!$A:$Z,9,FALSE)</f>
        <v>49</v>
      </c>
      <c r="J13" s="1">
        <f>VLOOKUP($B13&amp;"__wt",'SegEnds_Xtal_BW#'!$A:$Z,10,FALSE)</f>
        <v>52</v>
      </c>
      <c r="K13" s="1">
        <v>18</v>
      </c>
      <c r="L13" s="1">
        <f>VLOOKUP($B13&amp;"__wt",'SegEnds_Xtal_BW#'!$A:$Z,12,FALSE)</f>
        <v>56</v>
      </c>
      <c r="M13" s="1">
        <f>VLOOKUP($B13&amp;"__wt",'SegEnds_Xtal_BW#'!$A:$Z,13,FALSE)</f>
        <v>50</v>
      </c>
      <c r="N13" s="111">
        <v>56</v>
      </c>
      <c r="O13" s="89">
        <f>VLOOKUP($B13&amp;"__wt",'SegEnds_Xtal_BW#'!$A:$Z,15,FALSE)</f>
        <v>38</v>
      </c>
      <c r="P13" s="1">
        <f>VLOOKUP($B13&amp;"__wt",'SegEnds_Xtal_BW#'!$A:$Z,16,FALSE)</f>
        <v>64</v>
      </c>
      <c r="Q13" s="1">
        <f>VLOOKUP($B13&amp;"__wt",'SegEnds_Xtal_BW#'!$A:$Z,17,FALSE)</f>
        <v>50</v>
      </c>
      <c r="R13" s="1">
        <f>VLOOKUP($B13&amp;"__wt",'SegEnds_Xtal_BW#'!$A:$Z,18,FALSE)</f>
        <v>52</v>
      </c>
      <c r="S13" s="1">
        <f>VLOOKUP($B13&amp;"__wt",'SegEnds_Xtal_BW#'!$A:$Z,19,FALSE)</f>
        <v>35</v>
      </c>
      <c r="T13" s="1">
        <f t="array" ref="T13">INDEX('ICL3'!$G$2:$G$40,MATCH(MIN(ABS(AH13-'ICL3'!$F$2:$F$40)),ABS(AH13-'ICL3'!$F$2:$F$40),0))</f>
        <v>67</v>
      </c>
      <c r="U13" s="1">
        <f t="array" ref="U13">INDEX('ICL3'!$H$2:$H$40,MATCH(MIN(ABS(AH13-'ICL3'!$F$2:$F$40)),ABS(AH13-'ICL3'!$F$2:$F$40),0))</f>
        <v>26</v>
      </c>
      <c r="V13" s="1">
        <v>61</v>
      </c>
      <c r="W13" s="1">
        <v>28</v>
      </c>
      <c r="X13" s="1">
        <f>VLOOKUP($B13&amp;"__wt",'SegEnds_Xtal_BW#'!$A:$Z,24,FALSE)</f>
        <v>56</v>
      </c>
      <c r="Y13" s="1">
        <f>VLOOKUP($B13&amp;"__wt",'SegEnds_Xtal_BW#'!$A:$Z,25,FALSE)</f>
        <v>47</v>
      </c>
      <c r="Z13" s="1">
        <f>VLOOKUP($B13&amp;"__wt",'SegEnds_Xtal_BW#'!$A:$Z,26,FALSE)</f>
        <v>58</v>
      </c>
      <c r="AA13" s="27" t="str">
        <f>VLOOKUP(A13,Classification!A:B,2,FALSE)</f>
        <v>A</v>
      </c>
      <c r="AB13" s="1" t="e">
        <f>VLOOKUP(A13,'SegEnds_NonXtal_Prot#'!A:AL,10,FALSE)-VLOOKUP(A13,'SegEnds_NonXtal_Prot#'!A:AL,7,FALSE)</f>
        <v>#VALUE!</v>
      </c>
      <c r="AC13" s="1" t="e">
        <f>VLOOKUP(A13,'SegEnds_NonXtal_Prot#'!A:AL,13,FALSE)-VLOOKUP(A13,'SegEnds_NonXtal_Prot#'!A:AL,10,FALSE)</f>
        <v>#VALUE!</v>
      </c>
      <c r="AD13" s="1">
        <f>VLOOKUP(A13,'SegEnds_NonXtal_Prot#'!A:AL,16,FALSE)-VLOOKUP(A13,'SegEnds_NonXtal_Prot#'!A:AL,10,FALSE)</f>
        <v>53</v>
      </c>
      <c r="AE13" s="1">
        <f>VLOOKUP(A13,'SegEnds_NonXtal_Prot#'!A:AL,22,FALSE)-VLOOKUP(A13,'SegEnds_NonXtal_Prot#'!A:AL,19,FALSE)</f>
        <v>19</v>
      </c>
      <c r="AF13" s="1" t="e">
        <f>VLOOKUP(A13,'SegEnds_NonXtal_Prot#'!A:AL,28,FALSE)-VLOOKUP(A13,'SegEnds_NonXtal_Prot#'!A:AL,25,FALSE)</f>
        <v>#VALUE!</v>
      </c>
      <c r="AG13" s="1">
        <f>VLOOKUP(A13,'SegEnds_NonXtal_Prot#'!A:AL,28,FALSE)-VLOOKUP(A13,'SegEnds_NonXtal_Prot#'!A:AL,22,FALSE)</f>
        <v>43</v>
      </c>
      <c r="AH13" s="1">
        <f>VLOOKUP(A13,'SegEnds_NonXtal_Prot#'!A:AL,31,FALSE)-VLOOKUP(A13,'SegEnds_NonXtal_Prot#'!A:AL,28,FALSE)</f>
        <v>47</v>
      </c>
      <c r="AI13" s="1">
        <f>VLOOKUP(A13,'SegEnds_NonXtal_Prot#'!A:AL,34,FALSE)-VLOOKUP(A13,'SegEnds_NonXtal_Prot#'!A:AL,31,FALSE)</f>
        <v>39</v>
      </c>
      <c r="AJ13" s="1" t="str">
        <f>IF(ISERROR(MATCH(A13,'SegEnds_Xtal_Prot#'!B:B, 0)), "NoXtal", "Xtal")</f>
        <v>NoXtal</v>
      </c>
    </row>
    <row r="14" spans="1:36" x14ac:dyDescent="0.2">
      <c r="A14" s="1" t="s">
        <v>223</v>
      </c>
      <c r="B14" s="1" t="str">
        <f>VLOOKUP(A14,Xtal_Templ!A:B,2,FALSE)</f>
        <v>agtr2_human</v>
      </c>
      <c r="C14" s="5">
        <f>VLOOKUP($B14&amp;"__wt",'SegEnds_Xtal_BW#'!$A:$Z,3,FALSE)</f>
        <v>33</v>
      </c>
      <c r="D14" s="1">
        <f>VLOOKUP($B14&amp;"__wt",'SegEnds_Xtal_BW#'!$A:$Z,4,FALSE)</f>
        <v>60</v>
      </c>
      <c r="E14" s="1" t="str">
        <f>VLOOKUP($B14&amp;"__wt",'SegEnds_Xtal_BW#'!$A:$Z,5,FALSE)</f>
        <v>-</v>
      </c>
      <c r="F14" s="1" t="str">
        <f>VLOOKUP($B14&amp;"__wt",'SegEnds_Xtal_BW#'!$A:$Z,6,FALSE)</f>
        <v>-</v>
      </c>
      <c r="G14" s="1">
        <v>37</v>
      </c>
      <c r="H14" s="12">
        <f>VLOOKUP($B14&amp;"__wt",'SegEnds_Xtal_BW#'!$A:$Z,8,FALSE)</f>
        <v>66</v>
      </c>
      <c r="I14" s="1">
        <f>VLOOKUP($B14&amp;"__wt",'SegEnds_Xtal_BW#'!$A:$Z,9,FALSE)</f>
        <v>47</v>
      </c>
      <c r="J14" s="1">
        <f>VLOOKUP($B14&amp;"__wt",'SegEnds_Xtal_BW#'!$A:$Z,10,FALSE)</f>
        <v>52</v>
      </c>
      <c r="K14" s="12">
        <v>18</v>
      </c>
      <c r="L14" s="1">
        <f>VLOOKUP($B14&amp;"__wt",'SegEnds_Xtal_BW#'!$A:$Z,12,FALSE)</f>
        <v>56</v>
      </c>
      <c r="M14" s="1">
        <f>VLOOKUP($B14&amp;"__wt",'SegEnds_Xtal_BW#'!$A:$Z,13,FALSE)</f>
        <v>50</v>
      </c>
      <c r="N14" s="111">
        <v>56</v>
      </c>
      <c r="O14" s="89">
        <f>VLOOKUP($B14&amp;"__wt",'SegEnds_Xtal_BW#'!$A:$Z,15,FALSE)</f>
        <v>38</v>
      </c>
      <c r="P14" s="1">
        <f>VLOOKUP($B14&amp;"__wt",'SegEnds_Xtal_BW#'!$A:$Z,16,FALSE)</f>
        <v>64</v>
      </c>
      <c r="Q14" s="1">
        <f>VLOOKUP($B14&amp;"__wt",'SegEnds_Xtal_BW#'!$A:$Z,17,FALSE)</f>
        <v>50</v>
      </c>
      <c r="R14" s="1">
        <f>VLOOKUP($B14&amp;"__wt",'SegEnds_Xtal_BW#'!$A:$Z,18,FALSE)</f>
        <v>52</v>
      </c>
      <c r="S14" s="1">
        <f>VLOOKUP($B14&amp;"__wt",'SegEnds_Xtal_BW#'!$A:$Z,19,FALSE)</f>
        <v>30</v>
      </c>
      <c r="T14" s="1">
        <f t="array" ref="T14">INDEX('ICL3'!$G$2:$G$40,MATCH(MIN(ABS(AH14-'ICL3'!$F$2:$F$40)),ABS(AH14-'ICL3'!$F$2:$F$40),0))</f>
        <v>68</v>
      </c>
      <c r="U14" s="1">
        <f t="array" ref="U14">INDEX('ICL3'!$H$2:$H$40,MATCH(MIN(ABS(AH14-'ICL3'!$F$2:$F$40)),ABS(AH14-'ICL3'!$F$2:$F$40),0))</f>
        <v>23</v>
      </c>
      <c r="V14" s="1">
        <v>61</v>
      </c>
      <c r="W14" s="1">
        <v>28</v>
      </c>
      <c r="X14" s="1">
        <f>VLOOKUP($B14&amp;"__wt",'SegEnds_Xtal_BW#'!$A:$Z,24,FALSE)</f>
        <v>56</v>
      </c>
      <c r="Y14" s="1">
        <f>VLOOKUP($B14&amp;"__wt",'SegEnds_Xtal_BW#'!$A:$Z,25,FALSE)</f>
        <v>47</v>
      </c>
      <c r="Z14" s="1">
        <f>VLOOKUP($B14&amp;"__wt",'SegEnds_Xtal_BW#'!$A:$Z,26,FALSE)</f>
        <v>61</v>
      </c>
      <c r="AA14" s="27" t="str">
        <f>VLOOKUP(A14,Classification!A:B,2,FALSE)</f>
        <v>A</v>
      </c>
      <c r="AB14" s="1" t="e">
        <f>VLOOKUP(A14,'SegEnds_NonXtal_Prot#'!A:AL,10,FALSE)-VLOOKUP(A14,'SegEnds_NonXtal_Prot#'!A:AL,7,FALSE)</f>
        <v>#VALUE!</v>
      </c>
      <c r="AC14" s="1">
        <f>VLOOKUP(A14,'SegEnds_NonXtal_Prot#'!A:AL,13,FALSE)-VLOOKUP(A14,'SegEnds_NonXtal_Prot#'!A:AL,10,FALSE)</f>
        <v>20</v>
      </c>
      <c r="AD14" s="1">
        <f>VLOOKUP(A14,'SegEnds_NonXtal_Prot#'!A:AL,16,FALSE)-VLOOKUP(A14,'SegEnds_NonXtal_Prot#'!A:AL,10,FALSE)</f>
        <v>52</v>
      </c>
      <c r="AE14" s="1">
        <f>VLOOKUP(A14,'SegEnds_NonXtal_Prot#'!A:AL,22,FALSE)-VLOOKUP(A14,'SegEnds_NonXtal_Prot#'!A:AL,19,FALSE)</f>
        <v>19</v>
      </c>
      <c r="AF14" s="1">
        <f>VLOOKUP(A14,'SegEnds_NonXtal_Prot#'!A:AL,28,FALSE)-VLOOKUP(A14,'SegEnds_NonXtal_Prot#'!A:AL,25,FALSE)</f>
        <v>27</v>
      </c>
      <c r="AG14" s="1">
        <f>VLOOKUP(A14,'SegEnds_NonXtal_Prot#'!A:AL,28,FALSE)-VLOOKUP(A14,'SegEnds_NonXtal_Prot#'!A:AL,22,FALSE)</f>
        <v>52</v>
      </c>
      <c r="AH14" s="1">
        <f>VLOOKUP(A14,'SegEnds_NonXtal_Prot#'!A:AL,31,FALSE)-VLOOKUP(A14,'SegEnds_NonXtal_Prot#'!A:AL,28,FALSE)</f>
        <v>51</v>
      </c>
      <c r="AI14" s="1">
        <f>VLOOKUP(A14,'SegEnds_NonXtal_Prot#'!A:AL,34,FALSE)-VLOOKUP(A14,'SegEnds_NonXtal_Prot#'!A:AL,31,FALSE)</f>
        <v>38</v>
      </c>
      <c r="AJ14" s="1" t="str">
        <f>IF(ISERROR(MATCH(A14,'SegEnds_Xtal_Prot#'!B:B, 0)), "NoXtal", "Xtal")</f>
        <v>NoXtal</v>
      </c>
    </row>
    <row r="15" spans="1:36" x14ac:dyDescent="0.2">
      <c r="A15" s="1" t="s">
        <v>231</v>
      </c>
      <c r="B15" s="1" t="str">
        <f>VLOOKUP(A15,Xtal_Templ!A:B,2,FALSE)</f>
        <v>p2ry1_human</v>
      </c>
      <c r="C15" s="5">
        <f>VLOOKUP($B15&amp;"__wt",'SegEnds_Xtal_BW#'!$A:$Z,3,FALSE)</f>
        <v>30</v>
      </c>
      <c r="D15" s="1">
        <f>VLOOKUP($B15&amp;"__wt",'SegEnds_Xtal_BW#'!$A:$Z,4,FALSE)</f>
        <v>60</v>
      </c>
      <c r="E15" s="1" t="str">
        <f>VLOOKUP($B15&amp;"__wt",'SegEnds_Xtal_BW#'!$A:$Z,5,FALSE)</f>
        <v>-</v>
      </c>
      <c r="F15" s="1" t="str">
        <f>VLOOKUP($B15&amp;"__wt",'SegEnds_Xtal_BW#'!$A:$Z,6,FALSE)</f>
        <v>-</v>
      </c>
      <c r="G15" s="1">
        <v>37</v>
      </c>
      <c r="H15" s="12">
        <v>66</v>
      </c>
      <c r="I15" s="1">
        <f>VLOOKUP($B15&amp;"__wt",'SegEnds_Xtal_BW#'!$A:$Z,9,FALSE)</f>
        <v>49</v>
      </c>
      <c r="J15" s="1">
        <f>VLOOKUP($B15&amp;"__wt",'SegEnds_Xtal_BW#'!$A:$Z,10,FALSE)</f>
        <v>52</v>
      </c>
      <c r="K15" s="12">
        <v>21</v>
      </c>
      <c r="L15" s="1">
        <f>VLOOKUP($B15&amp;"__wt",'SegEnds_Xtal_BW#'!$A:$Z,12,FALSE)</f>
        <v>56</v>
      </c>
      <c r="M15" s="1">
        <f>VLOOKUP($B15&amp;"__wt",'SegEnds_Xtal_BW#'!$A:$Z,13,FALSE)</f>
        <v>50</v>
      </c>
      <c r="N15" s="111">
        <v>56</v>
      </c>
      <c r="O15" s="89">
        <f>VLOOKUP($B15&amp;"__wt",'SegEnds_Xtal_BW#'!$A:$Z,15,FALSE)</f>
        <v>38</v>
      </c>
      <c r="P15" s="1">
        <f>VLOOKUP($B15&amp;"__wt",'SegEnds_Xtal_BW#'!$A:$Z,16,FALSE)</f>
        <v>64</v>
      </c>
      <c r="Q15" s="1">
        <f>VLOOKUP($B15&amp;"__wt",'SegEnds_Xtal_BW#'!$A:$Z,17,FALSE)</f>
        <v>50</v>
      </c>
      <c r="R15" s="1">
        <f>VLOOKUP($B15&amp;"__wt",'SegEnds_Xtal_BW#'!$A:$Z,18,FALSE)</f>
        <v>52</v>
      </c>
      <c r="S15" s="1">
        <f>VLOOKUP($B15&amp;"__wt",'SegEnds_Xtal_BW#'!$A:$Z,19,FALSE)</f>
        <v>32</v>
      </c>
      <c r="T15" s="1">
        <f t="array" ref="T15">INDEX('ICL3'!$G$2:$G$40,MATCH(MIN(ABS(AH15-'ICL3'!$F$2:$F$40)),ABS(AH15-'ICL3'!$F$2:$F$40),0))</f>
        <v>68</v>
      </c>
      <c r="U15" s="1">
        <f t="array" ref="U15">INDEX('ICL3'!$H$2:$H$40,MATCH(MIN(ABS(AH15-'ICL3'!$F$2:$F$40)),ABS(AH15-'ICL3'!$F$2:$F$40),0))</f>
        <v>24</v>
      </c>
      <c r="V15" s="1">
        <v>64</v>
      </c>
      <c r="W15" s="1">
        <v>24</v>
      </c>
      <c r="X15" s="1">
        <f>VLOOKUP($B15&amp;"__wt",'SegEnds_Xtal_BW#'!$A:$Z,24,FALSE)</f>
        <v>56</v>
      </c>
      <c r="Y15" s="1">
        <f>VLOOKUP($B15&amp;"__wt",'SegEnds_Xtal_BW#'!$A:$Z,25,FALSE)</f>
        <v>47</v>
      </c>
      <c r="Z15" s="1">
        <f>VLOOKUP($B15&amp;"__wt",'SegEnds_Xtal_BW#'!$A:$Z,26,FALSE)</f>
        <v>59</v>
      </c>
      <c r="AA15" s="27" t="str">
        <f>VLOOKUP(A15,Classification!A:B,2,FALSE)</f>
        <v>A</v>
      </c>
      <c r="AB15" s="1" t="e">
        <f>VLOOKUP(A15,'SegEnds_NonXtal_Prot#'!A:AL,10,FALSE)-VLOOKUP(A15,'SegEnds_NonXtal_Prot#'!A:AL,7,FALSE)</f>
        <v>#VALUE!</v>
      </c>
      <c r="AC15" s="1">
        <f>VLOOKUP(A15,'SegEnds_NonXtal_Prot#'!A:AL,13,FALSE)-VLOOKUP(A15,'SegEnds_NonXtal_Prot#'!A:AL,10,FALSE)</f>
        <v>19</v>
      </c>
      <c r="AD15" s="1">
        <f>VLOOKUP(A15,'SegEnds_NonXtal_Prot#'!A:AL,16,FALSE)-VLOOKUP(A15,'SegEnds_NonXtal_Prot#'!A:AL,10,FALSE)</f>
        <v>51</v>
      </c>
      <c r="AE15" s="1">
        <f>VLOOKUP(A15,'SegEnds_NonXtal_Prot#'!A:AL,22,FALSE)-VLOOKUP(A15,'SegEnds_NonXtal_Prot#'!A:AL,19,FALSE)</f>
        <v>19</v>
      </c>
      <c r="AF15" s="1">
        <f>VLOOKUP(A15,'SegEnds_NonXtal_Prot#'!A:AL,28,FALSE)-VLOOKUP(A15,'SegEnds_NonXtal_Prot#'!A:AL,25,FALSE)</f>
        <v>29</v>
      </c>
      <c r="AG15" s="1">
        <f>VLOOKUP(A15,'SegEnds_NonXtal_Prot#'!A:AL,28,FALSE)-VLOOKUP(A15,'SegEnds_NonXtal_Prot#'!A:AL,22,FALSE)</f>
        <v>55</v>
      </c>
      <c r="AH15" s="1">
        <f>VLOOKUP(A15,'SegEnds_NonXtal_Prot#'!A:AL,31,FALSE)-VLOOKUP(A15,'SegEnds_NonXtal_Prot#'!A:AL,28,FALSE)</f>
        <v>48</v>
      </c>
      <c r="AI15" s="1">
        <f>VLOOKUP(A15,'SegEnds_NonXtal_Prot#'!A:AL,34,FALSE)-VLOOKUP(A15,'SegEnds_NonXtal_Prot#'!A:AL,31,FALSE)</f>
        <v>44</v>
      </c>
      <c r="AJ15" s="1" t="str">
        <f>IF(ISERROR(MATCH(A15,'SegEnds_Xtal_Prot#'!B:B, 0)), "NoXtal", "Xtal")</f>
        <v>NoXtal</v>
      </c>
    </row>
    <row r="16" spans="1:36" x14ac:dyDescent="0.2">
      <c r="A16" s="1" t="s">
        <v>103</v>
      </c>
      <c r="B16" s="1" t="str">
        <f>VLOOKUP(A16,Xtal_Templ!A:B,2,FALSE)</f>
        <v>lpar1_human</v>
      </c>
      <c r="C16" s="5">
        <f>VLOOKUP($B16&amp;"__wt",'SegEnds_Xtal_BW#'!$A:$Z,3,FALSE)</f>
        <v>30</v>
      </c>
      <c r="D16" s="1">
        <f>VLOOKUP($B16&amp;"__wt",'SegEnds_Xtal_BW#'!$A:$Z,4,FALSE)</f>
        <v>60</v>
      </c>
      <c r="E16" s="1">
        <f>VLOOKUP($B16&amp;"__wt",'SegEnds_Xtal_BW#'!$A:$Z,5,FALSE)</f>
        <v>48</v>
      </c>
      <c r="F16" s="1">
        <f>VLOOKUP($B16&amp;"__wt",'SegEnds_Xtal_BW#'!$A:$Z,6,FALSE)</f>
        <v>51</v>
      </c>
      <c r="G16" s="1">
        <v>37</v>
      </c>
      <c r="H16" s="12">
        <v>63</v>
      </c>
      <c r="I16" s="1">
        <f>VLOOKUP($B16&amp;"__wt",'SegEnds_Xtal_BW#'!$A:$Z,9,FALSE)</f>
        <v>47</v>
      </c>
      <c r="J16" s="1">
        <f>VLOOKUP($B16&amp;"__wt",'SegEnds_Xtal_BW#'!$A:$Z,10,FALSE)</f>
        <v>53</v>
      </c>
      <c r="K16" s="12">
        <f>VLOOKUP($B16&amp;"__wt",'SegEnds_Xtal_BW#'!$A:$Z,11,FALSE)</f>
        <v>21</v>
      </c>
      <c r="L16" s="1">
        <f>VLOOKUP($B16&amp;"__wt",'SegEnds_Xtal_BW#'!$A:$Z,12,FALSE)</f>
        <v>56</v>
      </c>
      <c r="M16" s="1">
        <f>VLOOKUP($B16&amp;"__wt",'SegEnds_Xtal_BW#'!$A:$Z,13,FALSE)</f>
        <v>50</v>
      </c>
      <c r="N16" s="111">
        <f>VLOOKUP($B16&amp;"__wt",'SegEnds_Xtal_BW#'!$A:$Z,14,FALSE)</f>
        <v>56</v>
      </c>
      <c r="O16" s="111">
        <f>VLOOKUP($B16&amp;"__wt",'SegEnds_Xtal_BW#'!$A:$Z,15,FALSE)</f>
        <v>38</v>
      </c>
      <c r="P16" s="1">
        <f>VLOOKUP($B16&amp;"__wt",'SegEnds_Xtal_BW#'!$A:$Z,16,FALSE)</f>
        <v>63</v>
      </c>
      <c r="Q16" s="1" t="str">
        <f>VLOOKUP($B16&amp;"__wt",'SegEnds_Xtal_BW#'!$A:$Z,17,FALSE)</f>
        <v>-</v>
      </c>
      <c r="R16" s="1" t="str">
        <f>VLOOKUP($B16&amp;"__wt",'SegEnds_Xtal_BW#'!$A:$Z,18,FALSE)</f>
        <v>-</v>
      </c>
      <c r="S16" s="1">
        <f>VLOOKUP($B16&amp;"__wt",'SegEnds_Xtal_BW#'!$A:$Z,19,FALSE)</f>
        <v>36</v>
      </c>
      <c r="T16" s="1">
        <f t="array" ref="T16">INDEX('ICL3'!$G$2:$G$40,MATCH(MIN(ABS(AH16-'ICL3'!$F$2:$F$40)),ABS(AH16-'ICL3'!$F$2:$F$40),0))</f>
        <v>73</v>
      </c>
      <c r="U16" s="1">
        <f t="array" ref="U16">INDEX('ICL3'!$H$2:$H$40,MATCH(MIN(ABS(AH16-'ICL3'!$F$2:$F$40)),ABS(AH16-'ICL3'!$F$2:$F$40),0))</f>
        <v>22</v>
      </c>
      <c r="V16" s="1">
        <v>61</v>
      </c>
      <c r="W16" s="1">
        <v>30</v>
      </c>
      <c r="X16" s="1">
        <f>VLOOKUP($B16&amp;"__wt",'SegEnds_Xtal_BW#'!$A:$Z,24,FALSE)</f>
        <v>56</v>
      </c>
      <c r="Y16" s="1">
        <f>VLOOKUP($B16&amp;"__wt",'SegEnds_Xtal_BW#'!$A:$Z,25,FALSE)</f>
        <v>47</v>
      </c>
      <c r="Z16" s="1">
        <f>VLOOKUP($B16&amp;"__wt",'SegEnds_Xtal_BW#'!$A:$Z,26,FALSE)</f>
        <v>59</v>
      </c>
      <c r="AA16" s="27" t="str">
        <f>VLOOKUP(A16,Classification!A:B,2,FALSE)</f>
        <v>A</v>
      </c>
      <c r="AB16" s="1">
        <f>VLOOKUP(A16,'SegEnds_NonXtal_Prot#'!A:AL,10,FALSE)-VLOOKUP(A16,'SegEnds_NonXtal_Prot#'!A:AL,7,FALSE)</f>
        <v>15</v>
      </c>
      <c r="AC16" s="1">
        <f>VLOOKUP(A16,'SegEnds_NonXtal_Prot#'!A:AL,13,FALSE)-VLOOKUP(A16,'SegEnds_NonXtal_Prot#'!A:AL,10,FALSE)</f>
        <v>18</v>
      </c>
      <c r="AD16" s="1">
        <f>VLOOKUP(A16,'SegEnds_NonXtal_Prot#'!A:AL,16,FALSE)-VLOOKUP(A16,'SegEnds_NonXtal_Prot#'!A:AL,10,FALSE)</f>
        <v>51</v>
      </c>
      <c r="AE16" s="1">
        <f>VLOOKUP(A16,'SegEnds_NonXtal_Prot#'!A:AL,22,FALSE)-VLOOKUP(A16,'SegEnds_NonXtal_Prot#'!A:AL,19,FALSE)</f>
        <v>19</v>
      </c>
      <c r="AF16" s="1" t="e">
        <f>VLOOKUP(A16,'SegEnds_NonXtal_Prot#'!A:AL,28,FALSE)-VLOOKUP(A16,'SegEnds_NonXtal_Prot#'!A:AL,25,FALSE)</f>
        <v>#VALUE!</v>
      </c>
      <c r="AG16" s="1">
        <f>VLOOKUP(A16,'SegEnds_NonXtal_Prot#'!A:AL,28,FALSE)-VLOOKUP(A16,'SegEnds_NonXtal_Prot#'!A:AL,22,FALSE)</f>
        <v>45</v>
      </c>
      <c r="AH16" s="1">
        <f>VLOOKUP(A16,'SegEnds_NonXtal_Prot#'!A:AL,31,FALSE)-VLOOKUP(A16,'SegEnds_NonXtal_Prot#'!A:AL,28,FALSE)</f>
        <v>56</v>
      </c>
      <c r="AI16" s="1">
        <f>VLOOKUP(A16,'SegEnds_NonXtal_Prot#'!A:AL,34,FALSE)-VLOOKUP(A16,'SegEnds_NonXtal_Prot#'!A:AL,31,FALSE)</f>
        <v>35</v>
      </c>
      <c r="AJ16" s="1" t="str">
        <f>IF(ISERROR(MATCH(A16,'SegEnds_Xtal_Prot#'!B:B, 0)), "NoXtal", "Xtal")</f>
        <v>Xtal</v>
      </c>
    </row>
    <row r="17" spans="1:36" x14ac:dyDescent="0.2">
      <c r="A17" s="1" t="s">
        <v>286</v>
      </c>
      <c r="B17" s="1" t="str">
        <f>VLOOKUP(A17,Xtal_Templ!A:B,2,FALSE)</f>
        <v>lpar1_human</v>
      </c>
      <c r="C17" s="5">
        <f>VLOOKUP($B17&amp;"__wt",'SegEnds_Xtal_BW#'!$A:$Z,3,FALSE)</f>
        <v>30</v>
      </c>
      <c r="D17" s="1">
        <f>VLOOKUP($B17&amp;"__wt",'SegEnds_Xtal_BW#'!$A:$Z,4,FALSE)</f>
        <v>60</v>
      </c>
      <c r="E17" s="1">
        <f>VLOOKUP($B17&amp;"__wt",'SegEnds_Xtal_BW#'!$A:$Z,5,FALSE)</f>
        <v>48</v>
      </c>
      <c r="F17" s="1">
        <f>VLOOKUP($B17&amp;"__wt",'SegEnds_Xtal_BW#'!$A:$Z,6,FALSE)</f>
        <v>51</v>
      </c>
      <c r="G17" s="1">
        <v>37</v>
      </c>
      <c r="H17" s="12">
        <f>VLOOKUP($B17&amp;"__wt",'SegEnds_Xtal_BW#'!$A:$Z,8,FALSE)</f>
        <v>63</v>
      </c>
      <c r="I17" s="1">
        <f>VLOOKUP($B17&amp;"__wt",'SegEnds_Xtal_BW#'!$A:$Z,9,FALSE)</f>
        <v>47</v>
      </c>
      <c r="J17" s="1">
        <f>VLOOKUP($B17&amp;"__wt",'SegEnds_Xtal_BW#'!$A:$Z,10,FALSE)</f>
        <v>53</v>
      </c>
      <c r="K17" s="12">
        <v>21</v>
      </c>
      <c r="L17" s="1">
        <f>VLOOKUP($B17&amp;"__wt",'SegEnds_Xtal_BW#'!$A:$Z,12,FALSE)</f>
        <v>56</v>
      </c>
      <c r="M17" s="1">
        <f>VLOOKUP($B17&amp;"__wt",'SegEnds_Xtal_BW#'!$A:$Z,13,FALSE)</f>
        <v>50</v>
      </c>
      <c r="N17" s="111">
        <v>56</v>
      </c>
      <c r="O17" s="111">
        <f>VLOOKUP($B17&amp;"__wt",'SegEnds_Xtal_BW#'!$A:$Z,15,FALSE)</f>
        <v>38</v>
      </c>
      <c r="P17" s="1">
        <f>VLOOKUP($B17&amp;"__wt",'SegEnds_Xtal_BW#'!$A:$Z,16,FALSE)</f>
        <v>63</v>
      </c>
      <c r="Q17" s="1" t="str">
        <f>VLOOKUP($B17&amp;"__wt",'SegEnds_Xtal_BW#'!$A:$Z,17,FALSE)</f>
        <v>-</v>
      </c>
      <c r="R17" s="1" t="str">
        <f>VLOOKUP($B17&amp;"__wt",'SegEnds_Xtal_BW#'!$A:$Z,18,FALSE)</f>
        <v>-</v>
      </c>
      <c r="S17" s="1">
        <f>VLOOKUP($B17&amp;"__wt",'SegEnds_Xtal_BW#'!$A:$Z,19,FALSE)</f>
        <v>36</v>
      </c>
      <c r="T17" s="1">
        <f t="array" ref="T17">INDEX('ICL3'!$G$2:$G$40,MATCH(MIN(ABS(AH17-'ICL3'!$F$2:$F$40)),ABS(AH17-'ICL3'!$F$2:$F$40),0))</f>
        <v>73</v>
      </c>
      <c r="U17" s="1">
        <f t="array" ref="U17">INDEX('ICL3'!$H$2:$H$40,MATCH(MIN(ABS(AH17-'ICL3'!$F$2:$F$40)),ABS(AH17-'ICL3'!$F$2:$F$40),0))</f>
        <v>22</v>
      </c>
      <c r="V17" s="1">
        <v>61</v>
      </c>
      <c r="W17" s="1">
        <v>30</v>
      </c>
      <c r="X17" s="1">
        <f>VLOOKUP($B17&amp;"__wt",'SegEnds_Xtal_BW#'!$A:$Z,24,FALSE)</f>
        <v>56</v>
      </c>
      <c r="Y17" s="1">
        <f>VLOOKUP($B17&amp;"__wt",'SegEnds_Xtal_BW#'!$A:$Z,25,FALSE)</f>
        <v>47</v>
      </c>
      <c r="Z17" s="1">
        <f>VLOOKUP($B17&amp;"__wt",'SegEnds_Xtal_BW#'!$A:$Z,26,FALSE)</f>
        <v>59</v>
      </c>
      <c r="AA17" s="27" t="str">
        <f>VLOOKUP(A17,Classification!A:B,2,FALSE)</f>
        <v>A</v>
      </c>
      <c r="AB17" s="1">
        <f>VLOOKUP(A17,'SegEnds_NonXtal_Prot#'!A:AL,10,FALSE)-VLOOKUP(A17,'SegEnds_NonXtal_Prot#'!A:AL,7,FALSE)</f>
        <v>15</v>
      </c>
      <c r="AC17" s="1">
        <f>VLOOKUP(A17,'SegEnds_NonXtal_Prot#'!A:AL,13,FALSE)-VLOOKUP(A17,'SegEnds_NonXtal_Prot#'!A:AL,10,FALSE)</f>
        <v>18</v>
      </c>
      <c r="AD17" s="1">
        <f>VLOOKUP(A17,'SegEnds_NonXtal_Prot#'!A:AL,16,FALSE)-VLOOKUP(A17,'SegEnds_NonXtal_Prot#'!A:AL,10,FALSE)</f>
        <v>51</v>
      </c>
      <c r="AE17" s="1">
        <f>VLOOKUP(A17,'SegEnds_NonXtal_Prot#'!A:AL,22,FALSE)-VLOOKUP(A17,'SegEnds_NonXtal_Prot#'!A:AL,19,FALSE)</f>
        <v>19</v>
      </c>
      <c r="AF17" s="1" t="e">
        <f>VLOOKUP(A17,'SegEnds_NonXtal_Prot#'!A:AL,28,FALSE)-VLOOKUP(A17,'SegEnds_NonXtal_Prot#'!A:AL,25,FALSE)</f>
        <v>#VALUE!</v>
      </c>
      <c r="AG17" s="1">
        <f>VLOOKUP(A17,'SegEnds_NonXtal_Prot#'!A:AL,28,FALSE)-VLOOKUP(A17,'SegEnds_NonXtal_Prot#'!A:AL,22,FALSE)</f>
        <v>45</v>
      </c>
      <c r="AH17" s="1">
        <f>VLOOKUP(A17,'SegEnds_NonXtal_Prot#'!A:AL,31,FALSE)-VLOOKUP(A17,'SegEnds_NonXtal_Prot#'!A:AL,28,FALSE)</f>
        <v>56</v>
      </c>
      <c r="AI17" s="1">
        <f>VLOOKUP(A17,'SegEnds_NonXtal_Prot#'!A:AL,34,FALSE)-VLOOKUP(A17,'SegEnds_NonXtal_Prot#'!A:AL,31,FALSE)</f>
        <v>36</v>
      </c>
      <c r="AJ17" s="1" t="str">
        <f>IF(ISERROR(MATCH(A17,'SegEnds_Xtal_Prot#'!B:B, 0)), "NoXtal", "Xtal")</f>
        <v>NoXtal</v>
      </c>
    </row>
    <row r="18" spans="1:36" x14ac:dyDescent="0.2">
      <c r="A18" s="1" t="s">
        <v>287</v>
      </c>
      <c r="B18" s="1" t="str">
        <f>VLOOKUP(A18,Xtal_Templ!A:B,2,FALSE)</f>
        <v>lpar1_human</v>
      </c>
      <c r="C18" s="5">
        <f>VLOOKUP($B18&amp;"__wt",'SegEnds_Xtal_BW#'!$A:$Z,3,FALSE)</f>
        <v>30</v>
      </c>
      <c r="D18" s="1">
        <f>VLOOKUP($B18&amp;"__wt",'SegEnds_Xtal_BW#'!$A:$Z,4,FALSE)</f>
        <v>60</v>
      </c>
      <c r="E18" s="1">
        <f>VLOOKUP($B18&amp;"__wt",'SegEnds_Xtal_BW#'!$A:$Z,5,FALSE)</f>
        <v>48</v>
      </c>
      <c r="F18" s="1">
        <f>VLOOKUP($B18&amp;"__wt",'SegEnds_Xtal_BW#'!$A:$Z,6,FALSE)</f>
        <v>51</v>
      </c>
      <c r="G18" s="1">
        <v>37</v>
      </c>
      <c r="H18" s="12">
        <f>VLOOKUP($B18&amp;"__wt",'SegEnds_Xtal_BW#'!$A:$Z,8,FALSE)</f>
        <v>63</v>
      </c>
      <c r="I18" s="1">
        <f>VLOOKUP($B18&amp;"__wt",'SegEnds_Xtal_BW#'!$A:$Z,9,FALSE)</f>
        <v>47</v>
      </c>
      <c r="J18" s="1">
        <f>VLOOKUP($B18&amp;"__wt",'SegEnds_Xtal_BW#'!$A:$Z,10,FALSE)</f>
        <v>53</v>
      </c>
      <c r="K18" s="12">
        <v>21</v>
      </c>
      <c r="L18" s="1">
        <f>VLOOKUP($B18&amp;"__wt",'SegEnds_Xtal_BW#'!$A:$Z,12,FALSE)</f>
        <v>56</v>
      </c>
      <c r="M18" s="1">
        <f>VLOOKUP($B18&amp;"__wt",'SegEnds_Xtal_BW#'!$A:$Z,13,FALSE)</f>
        <v>50</v>
      </c>
      <c r="N18" s="111">
        <v>56</v>
      </c>
      <c r="O18" s="111">
        <f>VLOOKUP($B18&amp;"__wt",'SegEnds_Xtal_BW#'!$A:$Z,15,FALSE)</f>
        <v>38</v>
      </c>
      <c r="P18" s="1">
        <f>VLOOKUP($B18&amp;"__wt",'SegEnds_Xtal_BW#'!$A:$Z,16,FALSE)</f>
        <v>63</v>
      </c>
      <c r="Q18" s="1" t="str">
        <f>VLOOKUP($B18&amp;"__wt",'SegEnds_Xtal_BW#'!$A:$Z,17,FALSE)</f>
        <v>-</v>
      </c>
      <c r="R18" s="1" t="str">
        <f>VLOOKUP($B18&amp;"__wt",'SegEnds_Xtal_BW#'!$A:$Z,18,FALSE)</f>
        <v>-</v>
      </c>
      <c r="S18" s="1">
        <f>VLOOKUP($B18&amp;"__wt",'SegEnds_Xtal_BW#'!$A:$Z,19,FALSE)</f>
        <v>36</v>
      </c>
      <c r="T18" s="1">
        <f t="array" ref="T18">INDEX('ICL3'!$G$2:$G$40,MATCH(MIN(ABS(AH18-'ICL3'!$F$2:$F$40)),ABS(AH18-'ICL3'!$F$2:$F$40),0))</f>
        <v>73</v>
      </c>
      <c r="U18" s="1">
        <f t="array" ref="U18">INDEX('ICL3'!$H$2:$H$40,MATCH(MIN(ABS(AH18-'ICL3'!$F$2:$F$40)),ABS(AH18-'ICL3'!$F$2:$F$40),0))</f>
        <v>22</v>
      </c>
      <c r="V18" s="1">
        <v>61</v>
      </c>
      <c r="W18" s="1">
        <v>30</v>
      </c>
      <c r="X18" s="1">
        <f>VLOOKUP($B18&amp;"__wt",'SegEnds_Xtal_BW#'!$A:$Z,24,FALSE)</f>
        <v>56</v>
      </c>
      <c r="Y18" s="1">
        <f>VLOOKUP($B18&amp;"__wt",'SegEnds_Xtal_BW#'!$A:$Z,25,FALSE)</f>
        <v>47</v>
      </c>
      <c r="Z18" s="1">
        <f>VLOOKUP($B18&amp;"__wt",'SegEnds_Xtal_BW#'!$A:$Z,26,FALSE)</f>
        <v>59</v>
      </c>
      <c r="AA18" s="27" t="str">
        <f>VLOOKUP(A18,Classification!A:B,2,FALSE)</f>
        <v>A</v>
      </c>
      <c r="AB18" s="1">
        <f>VLOOKUP(A18,'SegEnds_NonXtal_Prot#'!A:AL,10,FALSE)-VLOOKUP(A18,'SegEnds_NonXtal_Prot#'!A:AL,7,FALSE)</f>
        <v>15</v>
      </c>
      <c r="AC18" s="1">
        <f>VLOOKUP(A18,'SegEnds_NonXtal_Prot#'!A:AL,13,FALSE)-VLOOKUP(A18,'SegEnds_NonXtal_Prot#'!A:AL,10,FALSE)</f>
        <v>18</v>
      </c>
      <c r="AD18" s="1">
        <f>VLOOKUP(A18,'SegEnds_NonXtal_Prot#'!A:AL,16,FALSE)-VLOOKUP(A18,'SegEnds_NonXtal_Prot#'!A:AL,10,FALSE)</f>
        <v>51</v>
      </c>
      <c r="AE18" s="1">
        <f>VLOOKUP(A18,'SegEnds_NonXtal_Prot#'!A:AL,22,FALSE)-VLOOKUP(A18,'SegEnds_NonXtal_Prot#'!A:AL,19,FALSE)</f>
        <v>19</v>
      </c>
      <c r="AF18" s="1" t="e">
        <f>VLOOKUP(A18,'SegEnds_NonXtal_Prot#'!A:AL,28,FALSE)-VLOOKUP(A18,'SegEnds_NonXtal_Prot#'!A:AL,25,FALSE)</f>
        <v>#VALUE!</v>
      </c>
      <c r="AG18" s="1">
        <f>VLOOKUP(A18,'SegEnds_NonXtal_Prot#'!A:AL,28,FALSE)-VLOOKUP(A18,'SegEnds_NonXtal_Prot#'!A:AL,22,FALSE)</f>
        <v>45</v>
      </c>
      <c r="AH18" s="1">
        <f>VLOOKUP(A18,'SegEnds_NonXtal_Prot#'!A:AL,31,FALSE)-VLOOKUP(A18,'SegEnds_NonXtal_Prot#'!A:AL,28,FALSE)</f>
        <v>56</v>
      </c>
      <c r="AI18" s="1">
        <f>VLOOKUP(A18,'SegEnds_NonXtal_Prot#'!A:AL,34,FALSE)-VLOOKUP(A18,'SegEnds_NonXtal_Prot#'!A:AL,31,FALSE)</f>
        <v>36</v>
      </c>
      <c r="AJ18" s="1" t="str">
        <f>IF(ISERROR(MATCH(A18,'SegEnds_Xtal_Prot#'!B:B, 0)), "NoXtal", "Xtal")</f>
        <v>NoXtal</v>
      </c>
    </row>
    <row r="19" spans="1:36" x14ac:dyDescent="0.2">
      <c r="A19" s="1" t="s">
        <v>334</v>
      </c>
      <c r="B19" s="1" t="str">
        <f>VLOOKUP(A19,Xtal_Templ!A:B,2,FALSE)</f>
        <v>opsd_bovin</v>
      </c>
      <c r="C19" s="5">
        <f>VLOOKUP($B19&amp;"__wt",'SegEnds_Xtal_BW#'!$A:$Z,3,FALSE)</f>
        <v>29</v>
      </c>
      <c r="D19" s="1">
        <f>VLOOKUP($B19&amp;"__wt",'SegEnds_Xtal_BW#'!$A:$Z,4,FALSE)</f>
        <v>60</v>
      </c>
      <c r="E19" s="1">
        <f>VLOOKUP($B19&amp;"__wt",'SegEnds_Xtal_BW#'!$A:$Z,5,FALSE)</f>
        <v>48</v>
      </c>
      <c r="F19" s="1">
        <f>VLOOKUP($B19&amp;"__wt",'SegEnds_Xtal_BW#'!$A:$Z,6,FALSE)</f>
        <v>51</v>
      </c>
      <c r="G19" s="1">
        <v>37</v>
      </c>
      <c r="H19" s="12">
        <f>VLOOKUP($B19&amp;"__wt",'SegEnds_Xtal_BW#'!$A:$Z,8,FALSE)</f>
        <v>67</v>
      </c>
      <c r="I19" s="1">
        <f>VLOOKUP($B19&amp;"__wt",'SegEnds_Xtal_BW#'!$A:$Z,9,FALSE)</f>
        <v>49</v>
      </c>
      <c r="J19" s="1">
        <f>VLOOKUP($B19&amp;"__wt",'SegEnds_Xtal_BW#'!$A:$Z,10,FALSE)</f>
        <v>52</v>
      </c>
      <c r="K19" s="12">
        <v>18</v>
      </c>
      <c r="L19" s="1">
        <f>VLOOKUP($B19&amp;"__wt",'SegEnds_Xtal_BW#'!$A:$Z,12,FALSE)</f>
        <v>56</v>
      </c>
      <c r="M19" s="1">
        <f>VLOOKUP($B19&amp;"__wt",'SegEnds_Xtal_BW#'!$A:$Z,13,FALSE)</f>
        <v>50</v>
      </c>
      <c r="N19" s="111">
        <v>56</v>
      </c>
      <c r="O19" s="89">
        <f>VLOOKUP($B19&amp;"__wt",'SegEnds_Xtal_BW#'!$A:$Z,15,FALSE)</f>
        <v>38</v>
      </c>
      <c r="P19" s="1">
        <f>VLOOKUP($B19&amp;"__wt",'SegEnds_Xtal_BW#'!$A:$Z,16,FALSE)</f>
        <v>62</v>
      </c>
      <c r="Q19" s="1">
        <f>VLOOKUP($B19&amp;"__wt",'SegEnds_Xtal_BW#'!$A:$Z,17,FALSE)</f>
        <v>50</v>
      </c>
      <c r="R19" s="1">
        <f>VLOOKUP($B19&amp;"__wt",'SegEnds_Xtal_BW#'!$A:$Z,18,FALSE)</f>
        <v>52</v>
      </c>
      <c r="S19" s="1">
        <f>VLOOKUP($B19&amp;"__wt",'SegEnds_Xtal_BW#'!$A:$Z,19,FALSE)</f>
        <v>34</v>
      </c>
      <c r="T19" s="1">
        <f t="array" ref="T19">INDEX('ICL3'!$G$2:$G$40,MATCH(MIN(ABS(AH19-'ICL3'!$F$2:$F$40)),ABS(AH19-'ICL3'!$F$2:$F$40),0))</f>
        <v>73</v>
      </c>
      <c r="U19" s="1">
        <f t="array" ref="U19">INDEX('ICL3'!$H$2:$H$40,MATCH(MIN(ABS(AH19-'ICL3'!$F$2:$F$40)),ABS(AH19-'ICL3'!$F$2:$F$40),0))</f>
        <v>22</v>
      </c>
      <c r="V19" s="1">
        <v>61</v>
      </c>
      <c r="W19" s="1">
        <v>31</v>
      </c>
      <c r="X19" s="1">
        <f>VLOOKUP($B19&amp;"__wt",'SegEnds_Xtal_BW#'!$A:$Z,24,FALSE)</f>
        <v>56</v>
      </c>
      <c r="Y19" s="1">
        <f>VLOOKUP($B19&amp;"__wt",'SegEnds_Xtal_BW#'!$A:$Z,25,FALSE)</f>
        <v>47</v>
      </c>
      <c r="Z19" s="1">
        <f>VLOOKUP($B19&amp;"__wt",'SegEnds_Xtal_BW#'!$A:$Z,26,FALSE)</f>
        <v>59</v>
      </c>
      <c r="AA19" s="27" t="str">
        <f>VLOOKUP(A19,Classification!A:B,2,FALSE)</f>
        <v>A</v>
      </c>
      <c r="AB19" s="1">
        <f>VLOOKUP(A19,'SegEnds_NonXtal_Prot#'!A:AL,10,FALSE)-VLOOKUP(A19,'SegEnds_NonXtal_Prot#'!A:AL,7,FALSE)</f>
        <v>14</v>
      </c>
      <c r="AC19" s="1">
        <f>VLOOKUP(A19,'SegEnds_NonXtal_Prot#'!A:AL,13,FALSE)-VLOOKUP(A19,'SegEnds_NonXtal_Prot#'!A:AL,10,FALSE)</f>
        <v>20</v>
      </c>
      <c r="AD19" s="1">
        <f>VLOOKUP(A19,'SegEnds_NonXtal_Prot#'!A:AL,16,FALSE)-VLOOKUP(A19,'SegEnds_NonXtal_Prot#'!A:AL,10,FALSE)</f>
        <v>52</v>
      </c>
      <c r="AE19" s="1">
        <f>VLOOKUP(A19,'SegEnds_NonXtal_Prot#'!A:AL,22,FALSE)-VLOOKUP(A19,'SegEnds_NonXtal_Prot#'!A:AL,19,FALSE)</f>
        <v>19</v>
      </c>
      <c r="AF19" s="1">
        <f>VLOOKUP(A19,'SegEnds_NonXtal_Prot#'!A:AL,28,FALSE)-VLOOKUP(A19,'SegEnds_NonXtal_Prot#'!A:AL,25,FALSE)</f>
        <v>28</v>
      </c>
      <c r="AG19" s="1">
        <f>VLOOKUP(A19,'SegEnds_NonXtal_Prot#'!A:AL,28,FALSE)-VLOOKUP(A19,'SegEnds_NonXtal_Prot#'!A:AL,22,FALSE)</f>
        <v>54</v>
      </c>
      <c r="AH19" s="1">
        <f>VLOOKUP(A19,'SegEnds_NonXtal_Prot#'!A:AL,31,FALSE)-VLOOKUP(A19,'SegEnds_NonXtal_Prot#'!A:AL,28,FALSE)</f>
        <v>56</v>
      </c>
      <c r="AI19" s="1">
        <f>VLOOKUP(A19,'SegEnds_NonXtal_Prot#'!A:AL,34,FALSE)-VLOOKUP(A19,'SegEnds_NonXtal_Prot#'!A:AL,31,FALSE)</f>
        <v>36</v>
      </c>
      <c r="AJ19" s="1" t="str">
        <f>IF(ISERROR(MATCH(A19,'SegEnds_Xtal_Prot#'!B:B, 0)), "NoXtal", "Xtal")</f>
        <v>NoXtal</v>
      </c>
    </row>
    <row r="20" spans="1:36" x14ac:dyDescent="0.2">
      <c r="A20" s="1" t="s">
        <v>338</v>
      </c>
      <c r="B20" s="1" t="str">
        <f>VLOOKUP(A20,Xtal_Templ!A:B,2,FALSE)</f>
        <v>opsd_human</v>
      </c>
      <c r="C20" s="5">
        <f>VLOOKUP($B20&amp;"__wt",'SegEnds_Xtal_BW#'!$A:$Z,3,FALSE)</f>
        <v>29</v>
      </c>
      <c r="D20" s="1">
        <f>VLOOKUP($B20&amp;"__wt",'SegEnds_Xtal_BW#'!$A:$Z,4,FALSE)</f>
        <v>60</v>
      </c>
      <c r="E20" s="1">
        <f>VLOOKUP($B20&amp;"__wt",'SegEnds_Xtal_BW#'!$A:$Z,5,FALSE)</f>
        <v>48</v>
      </c>
      <c r="F20" s="1">
        <f>VLOOKUP($B20&amp;"__wt",'SegEnds_Xtal_BW#'!$A:$Z,6,FALSE)</f>
        <v>51</v>
      </c>
      <c r="G20" s="1">
        <v>37</v>
      </c>
      <c r="H20" s="12">
        <f>VLOOKUP($B20&amp;"__wt",'SegEnds_Xtal_BW#'!$A:$Z,8,FALSE)</f>
        <v>67</v>
      </c>
      <c r="I20" s="1">
        <f>VLOOKUP($B20&amp;"__wt",'SegEnds_Xtal_BW#'!$A:$Z,9,FALSE)</f>
        <v>49</v>
      </c>
      <c r="J20" s="1">
        <f>VLOOKUP($B20&amp;"__wt",'SegEnds_Xtal_BW#'!$A:$Z,10,FALSE)</f>
        <v>52</v>
      </c>
      <c r="K20" s="12">
        <v>18</v>
      </c>
      <c r="L20" s="1">
        <f>VLOOKUP($B20&amp;"__wt",'SegEnds_Xtal_BW#'!$A:$Z,12,FALSE)</f>
        <v>56</v>
      </c>
      <c r="M20" s="1">
        <f>VLOOKUP($B20&amp;"__wt",'SegEnds_Xtal_BW#'!$A:$Z,13,FALSE)</f>
        <v>50</v>
      </c>
      <c r="N20" s="111">
        <v>56</v>
      </c>
      <c r="O20" s="89">
        <f>VLOOKUP($B20&amp;"__wt",'SegEnds_Xtal_BW#'!$A:$Z,15,FALSE)</f>
        <v>38</v>
      </c>
      <c r="P20" s="1">
        <f>VLOOKUP($B20&amp;"__wt",'SegEnds_Xtal_BW#'!$A:$Z,16,FALSE)</f>
        <v>62</v>
      </c>
      <c r="Q20" s="1">
        <f>VLOOKUP($B20&amp;"__wt",'SegEnds_Xtal_BW#'!$A:$Z,17,FALSE)</f>
        <v>50</v>
      </c>
      <c r="R20" s="1">
        <f>VLOOKUP($B20&amp;"__wt",'SegEnds_Xtal_BW#'!$A:$Z,18,FALSE)</f>
        <v>52</v>
      </c>
      <c r="S20" s="1">
        <f>VLOOKUP($B20&amp;"__wt",'SegEnds_Xtal_BW#'!$A:$Z,19,FALSE)</f>
        <v>34</v>
      </c>
      <c r="T20" s="1">
        <f t="array" ref="T20">INDEX('ICL3'!$G$2:$G$40,MATCH(MIN(ABS(AH20-'ICL3'!$F$2:$F$40)),ABS(AH20-'ICL3'!$F$2:$F$40),0))</f>
        <v>72</v>
      </c>
      <c r="U20" s="1">
        <f t="array" ref="U20">INDEX('ICL3'!$H$2:$H$40,MATCH(MIN(ABS(AH20-'ICL3'!$F$2:$F$40)),ABS(AH20-'ICL3'!$F$2:$F$40),0))</f>
        <v>24</v>
      </c>
      <c r="V20" s="1">
        <v>61</v>
      </c>
      <c r="W20" s="1">
        <v>31</v>
      </c>
      <c r="X20" s="1">
        <f>VLOOKUP($B20&amp;"__wt",'SegEnds_Xtal_BW#'!$A:$Z,24,FALSE)</f>
        <v>56</v>
      </c>
      <c r="Y20" s="1">
        <f>VLOOKUP($B20&amp;"__wt",'SegEnds_Xtal_BW#'!$A:$Z,25,FALSE)</f>
        <v>47</v>
      </c>
      <c r="Z20" s="1">
        <f>VLOOKUP($B20&amp;"__wt",'SegEnds_Xtal_BW#'!$A:$Z,26,FALSE)</f>
        <v>59</v>
      </c>
      <c r="AA20" s="27" t="str">
        <f>VLOOKUP(A20,Classification!A:B,2,FALSE)</f>
        <v>A</v>
      </c>
      <c r="AB20" s="1">
        <f>VLOOKUP(A20,'SegEnds_NonXtal_Prot#'!A:AL,10,FALSE)-VLOOKUP(A20,'SegEnds_NonXtal_Prot#'!A:AL,7,FALSE)</f>
        <v>15</v>
      </c>
      <c r="AC20" s="1">
        <f>VLOOKUP(A20,'SegEnds_NonXtal_Prot#'!A:AL,13,FALSE)-VLOOKUP(A20,'SegEnds_NonXtal_Prot#'!A:AL,10,FALSE)</f>
        <v>20</v>
      </c>
      <c r="AD20" s="1">
        <f>VLOOKUP(A20,'SegEnds_NonXtal_Prot#'!A:AL,16,FALSE)-VLOOKUP(A20,'SegEnds_NonXtal_Prot#'!A:AL,10,FALSE)</f>
        <v>52</v>
      </c>
      <c r="AE20" s="1">
        <f>VLOOKUP(A20,'SegEnds_NonXtal_Prot#'!A:AL,22,FALSE)-VLOOKUP(A20,'SegEnds_NonXtal_Prot#'!A:AL,19,FALSE)</f>
        <v>19</v>
      </c>
      <c r="AF20" s="1">
        <f>VLOOKUP(A20,'SegEnds_NonXtal_Prot#'!A:AL,28,FALSE)-VLOOKUP(A20,'SegEnds_NonXtal_Prot#'!A:AL,25,FALSE)</f>
        <v>28</v>
      </c>
      <c r="AG20" s="1">
        <f>VLOOKUP(A20,'SegEnds_NonXtal_Prot#'!A:AL,28,FALSE)-VLOOKUP(A20,'SegEnds_NonXtal_Prot#'!A:AL,22,FALSE)</f>
        <v>54</v>
      </c>
      <c r="AH20" s="1">
        <f>VLOOKUP(A20,'SegEnds_NonXtal_Prot#'!A:AL,31,FALSE)-VLOOKUP(A20,'SegEnds_NonXtal_Prot#'!A:AL,28,FALSE)</f>
        <v>52</v>
      </c>
      <c r="AI20" s="1">
        <f>VLOOKUP(A20,'SegEnds_NonXtal_Prot#'!A:AL,34,FALSE)-VLOOKUP(A20,'SegEnds_NonXtal_Prot#'!A:AL,31,FALSE)</f>
        <v>36</v>
      </c>
      <c r="AJ20" s="1" t="str">
        <f>IF(ISERROR(MATCH(A20,'SegEnds_Xtal_Prot#'!B:B, 0)), "NoXtal", "Xtal")</f>
        <v>NoXtal</v>
      </c>
    </row>
    <row r="21" spans="1:36" x14ac:dyDescent="0.2">
      <c r="A21" s="1" t="s">
        <v>920</v>
      </c>
      <c r="B21" s="1" t="str">
        <f>VLOOKUP(A21,Xtal_Templ!A:B,2,FALSE)</f>
        <v>opsd_bovin</v>
      </c>
      <c r="C21" s="5">
        <f>VLOOKUP($B21&amp;"__wt",'SegEnds_Xtal_BW#'!$A:$Z,3,FALSE)</f>
        <v>29</v>
      </c>
      <c r="D21" s="1">
        <f>VLOOKUP($B21&amp;"__wt",'SegEnds_Xtal_BW#'!$A:$Z,4,FALSE)</f>
        <v>60</v>
      </c>
      <c r="E21" s="1">
        <f>VLOOKUP($B21&amp;"__wt",'SegEnds_Xtal_BW#'!$A:$Z,5,FALSE)</f>
        <v>48</v>
      </c>
      <c r="F21" s="1">
        <f>VLOOKUP($B21&amp;"__wt",'SegEnds_Xtal_BW#'!$A:$Z,6,FALSE)</f>
        <v>51</v>
      </c>
      <c r="G21" s="1">
        <v>37</v>
      </c>
      <c r="H21" s="12">
        <f>VLOOKUP($B21&amp;"__wt",'SegEnds_Xtal_BW#'!$A:$Z,8,FALSE)</f>
        <v>67</v>
      </c>
      <c r="I21" s="1">
        <f>VLOOKUP($B21&amp;"__wt",'SegEnds_Xtal_BW#'!$A:$Z,9,FALSE)</f>
        <v>49</v>
      </c>
      <c r="J21" s="1">
        <f>VLOOKUP($B21&amp;"__wt",'SegEnds_Xtal_BW#'!$A:$Z,10,FALSE)</f>
        <v>52</v>
      </c>
      <c r="K21" s="12">
        <v>18</v>
      </c>
      <c r="L21" s="1">
        <f>VLOOKUP($B21&amp;"__wt",'SegEnds_Xtal_BW#'!$A:$Z,12,FALSE)</f>
        <v>56</v>
      </c>
      <c r="M21" s="1">
        <f>VLOOKUP($B21&amp;"__wt",'SegEnds_Xtal_BW#'!$A:$Z,13,FALSE)</f>
        <v>50</v>
      </c>
      <c r="N21" s="111">
        <f>VLOOKUP($B21&amp;"__wt",'SegEnds_Xtal_BW#'!$A:$Z,14,FALSE)</f>
        <v>56</v>
      </c>
      <c r="O21" s="89">
        <f>VLOOKUP($B21&amp;"__wt",'SegEnds_Xtal_BW#'!$A:$Z,15,FALSE)</f>
        <v>38</v>
      </c>
      <c r="P21" s="1">
        <f>VLOOKUP($B21&amp;"__wt",'SegEnds_Xtal_BW#'!$A:$Z,16,FALSE)</f>
        <v>62</v>
      </c>
      <c r="Q21" s="1">
        <f>VLOOKUP($B21&amp;"__wt",'SegEnds_Xtal_BW#'!$A:$Z,17,FALSE)</f>
        <v>50</v>
      </c>
      <c r="R21" s="1">
        <f>VLOOKUP($B21&amp;"__wt",'SegEnds_Xtal_BW#'!$A:$Z,18,FALSE)</f>
        <v>52</v>
      </c>
      <c r="S21" s="1">
        <f>VLOOKUP($B21&amp;"__wt",'SegEnds_Xtal_BW#'!$A:$Z,19,FALSE)</f>
        <v>34</v>
      </c>
      <c r="T21" s="1">
        <f t="array" ref="T21">INDEX('ICL3'!$G$2:$G$40,MATCH(MIN(ABS(AH21-'ICL3'!$F$2:$F$40)),ABS(AH21-'ICL3'!$F$2:$F$40),0))</f>
        <v>72</v>
      </c>
      <c r="U21" s="1">
        <f t="array" ref="U21">INDEX('ICL3'!$H$2:$H$40,MATCH(MIN(ABS(AH21-'ICL3'!$F$2:$F$40)),ABS(AH21-'ICL3'!$F$2:$F$40),0))</f>
        <v>24</v>
      </c>
      <c r="V21" s="1">
        <v>61</v>
      </c>
      <c r="W21" s="1">
        <v>31</v>
      </c>
      <c r="X21" s="1">
        <f>VLOOKUP($B21&amp;"__wt",'SegEnds_Xtal_BW#'!$A:$Z,24,FALSE)</f>
        <v>56</v>
      </c>
      <c r="Y21" s="1">
        <f>VLOOKUP($B21&amp;"__wt",'SegEnds_Xtal_BW#'!$A:$Z,25,FALSE)</f>
        <v>47</v>
      </c>
      <c r="Z21" s="1">
        <f>VLOOKUP($B21&amp;"__wt",'SegEnds_Xtal_BW#'!$A:$Z,26,FALSE)</f>
        <v>59</v>
      </c>
      <c r="AA21" s="27" t="str">
        <f>VLOOKUP(A21,Classification!A:B,2,FALSE)</f>
        <v>A</v>
      </c>
      <c r="AB21" s="1">
        <f>VLOOKUP(A21,'SegEnds_NonXtal_Prot#'!A:AL,10,FALSE)-VLOOKUP(A21,'SegEnds_NonXtal_Prot#'!A:AL,7,FALSE)</f>
        <v>15</v>
      </c>
      <c r="AC21" s="1">
        <f>VLOOKUP(A21,'SegEnds_NonXtal_Prot#'!A:AL,13,FALSE)-VLOOKUP(A21,'SegEnds_NonXtal_Prot#'!A:AL,10,FALSE)</f>
        <v>20</v>
      </c>
      <c r="AD21" s="1">
        <f>VLOOKUP(A21,'SegEnds_NonXtal_Prot#'!A:AL,16,FALSE)-VLOOKUP(A21,'SegEnds_NonXtal_Prot#'!A:AL,10,FALSE)</f>
        <v>52</v>
      </c>
      <c r="AE21" s="1">
        <f>VLOOKUP(A21,'SegEnds_NonXtal_Prot#'!A:AL,22,FALSE)-VLOOKUP(A21,'SegEnds_NonXtal_Prot#'!A:AL,19,FALSE)</f>
        <v>19</v>
      </c>
      <c r="AF21" s="1">
        <f>VLOOKUP(A21,'SegEnds_NonXtal_Prot#'!A:AL,28,FALSE)-VLOOKUP(A21,'SegEnds_NonXtal_Prot#'!A:AL,25,FALSE)</f>
        <v>28</v>
      </c>
      <c r="AG21" s="1">
        <f>VLOOKUP(A21,'SegEnds_NonXtal_Prot#'!A:AL,28,FALSE)-VLOOKUP(A21,'SegEnds_NonXtal_Prot#'!A:AL,22,FALSE)</f>
        <v>54</v>
      </c>
      <c r="AH21" s="1">
        <f>VLOOKUP(A21,'SegEnds_NonXtal_Prot#'!A:AL,31,FALSE)-VLOOKUP(A21,'SegEnds_NonXtal_Prot#'!A:AL,28,FALSE)</f>
        <v>52</v>
      </c>
      <c r="AI21" s="1">
        <f>VLOOKUP(A21,'SegEnds_NonXtal_Prot#'!A:AL,34,FALSE)-VLOOKUP(A21,'SegEnds_NonXtal_Prot#'!A:AL,31,FALSE)</f>
        <v>36</v>
      </c>
      <c r="AJ21" s="1" t="str">
        <f>IF(ISERROR(MATCH(A21,'SegEnds_Xtal_Prot#'!B:B, 0)), "NoXtal", "Xtal")</f>
        <v>Xtal</v>
      </c>
    </row>
    <row r="22" spans="1:36" x14ac:dyDescent="0.2">
      <c r="A22" s="1" t="s">
        <v>339</v>
      </c>
      <c r="B22" s="1" t="str">
        <f>VLOOKUP(A22,Xtal_Templ!A:B,2,FALSE)</f>
        <v>opsd_human</v>
      </c>
      <c r="C22" s="5">
        <f>VLOOKUP($B22&amp;"__wt",'SegEnds_Xtal_BW#'!$A:$Z,3,FALSE)</f>
        <v>29</v>
      </c>
      <c r="D22" s="1">
        <f>VLOOKUP($B22&amp;"__wt",'SegEnds_Xtal_BW#'!$A:$Z,4,FALSE)</f>
        <v>60</v>
      </c>
      <c r="E22" s="1">
        <f>VLOOKUP($B22&amp;"__wt",'SegEnds_Xtal_BW#'!$A:$Z,5,FALSE)</f>
        <v>48</v>
      </c>
      <c r="F22" s="1">
        <f>VLOOKUP($B22&amp;"__wt",'SegEnds_Xtal_BW#'!$A:$Z,6,FALSE)</f>
        <v>51</v>
      </c>
      <c r="G22" s="1">
        <v>37</v>
      </c>
      <c r="H22" s="12">
        <f>VLOOKUP($B22&amp;"__wt",'SegEnds_Xtal_BW#'!$A:$Z,8,FALSE)</f>
        <v>67</v>
      </c>
      <c r="I22" s="1">
        <f>VLOOKUP($B22&amp;"__wt",'SegEnds_Xtal_BW#'!$A:$Z,9,FALSE)</f>
        <v>49</v>
      </c>
      <c r="J22" s="1">
        <f>VLOOKUP($B22&amp;"__wt",'SegEnds_Xtal_BW#'!$A:$Z,10,FALSE)</f>
        <v>52</v>
      </c>
      <c r="K22" s="12">
        <v>18</v>
      </c>
      <c r="L22" s="1">
        <f>VLOOKUP($B22&amp;"__wt",'SegEnds_Xtal_BW#'!$A:$Z,12,FALSE)</f>
        <v>56</v>
      </c>
      <c r="M22" s="1">
        <f>VLOOKUP($B22&amp;"__wt",'SegEnds_Xtal_BW#'!$A:$Z,13,FALSE)</f>
        <v>50</v>
      </c>
      <c r="N22" s="111">
        <f>VLOOKUP($B22&amp;"__wt",'SegEnds_Xtal_BW#'!$A:$Z,14,FALSE)</f>
        <v>56</v>
      </c>
      <c r="O22" s="89">
        <f>VLOOKUP($B22&amp;"__wt",'SegEnds_Xtal_BW#'!$A:$Z,15,FALSE)</f>
        <v>38</v>
      </c>
      <c r="P22" s="1">
        <f>VLOOKUP($B22&amp;"__wt",'SegEnds_Xtal_BW#'!$A:$Z,16,FALSE)</f>
        <v>62</v>
      </c>
      <c r="Q22" s="1">
        <f>VLOOKUP($B22&amp;"__wt",'SegEnds_Xtal_BW#'!$A:$Z,17,FALSE)</f>
        <v>50</v>
      </c>
      <c r="R22" s="1">
        <f>VLOOKUP($B22&amp;"__wt",'SegEnds_Xtal_BW#'!$A:$Z,18,FALSE)</f>
        <v>52</v>
      </c>
      <c r="S22" s="1">
        <f>VLOOKUP($B22&amp;"__wt",'SegEnds_Xtal_BW#'!$A:$Z,19,FALSE)</f>
        <v>34</v>
      </c>
      <c r="T22" s="1">
        <f t="array" ref="T22">INDEX('ICL3'!$G$2:$G$40,MATCH(MIN(ABS(AH22-'ICL3'!$F$2:$F$40)),ABS(AH22-'ICL3'!$F$2:$F$40),0))</f>
        <v>72</v>
      </c>
      <c r="U22" s="1">
        <f t="array" ref="U22">INDEX('ICL3'!$H$2:$H$40,MATCH(MIN(ABS(AH22-'ICL3'!$F$2:$F$40)),ABS(AH22-'ICL3'!$F$2:$F$40),0))</f>
        <v>24</v>
      </c>
      <c r="V22" s="1">
        <v>61</v>
      </c>
      <c r="W22" s="1">
        <v>31</v>
      </c>
      <c r="X22" s="1">
        <f>VLOOKUP($B22&amp;"__wt",'SegEnds_Xtal_BW#'!$A:$Z,24,FALSE)</f>
        <v>56</v>
      </c>
      <c r="Y22" s="1">
        <f>VLOOKUP($B22&amp;"__wt",'SegEnds_Xtal_BW#'!$A:$Z,25,FALSE)</f>
        <v>47</v>
      </c>
      <c r="Z22" s="1">
        <f>VLOOKUP($B22&amp;"__wt",'SegEnds_Xtal_BW#'!$A:$Z,26,FALSE)</f>
        <v>59</v>
      </c>
      <c r="AA22" s="27" t="str">
        <f>VLOOKUP(A22,Classification!A:B,2,FALSE)</f>
        <v>A</v>
      </c>
      <c r="AB22" s="1">
        <f>VLOOKUP(A22,'SegEnds_NonXtal_Prot#'!A:AL,10,FALSE)-VLOOKUP(A22,'SegEnds_NonXtal_Prot#'!A:AL,7,FALSE)</f>
        <v>15</v>
      </c>
      <c r="AC22" s="1">
        <f>VLOOKUP(A22,'SegEnds_NonXtal_Prot#'!A:AL,13,FALSE)-VLOOKUP(A22,'SegEnds_NonXtal_Prot#'!A:AL,10,FALSE)</f>
        <v>20</v>
      </c>
      <c r="AD22" s="1">
        <f>VLOOKUP(A22,'SegEnds_NonXtal_Prot#'!A:AL,16,FALSE)-VLOOKUP(A22,'SegEnds_NonXtal_Prot#'!A:AL,10,FALSE)</f>
        <v>52</v>
      </c>
      <c r="AE22" s="1">
        <f>VLOOKUP(A22,'SegEnds_NonXtal_Prot#'!A:AL,22,FALSE)-VLOOKUP(A22,'SegEnds_NonXtal_Prot#'!A:AL,19,FALSE)</f>
        <v>19</v>
      </c>
      <c r="AF22" s="1">
        <f>VLOOKUP(A22,'SegEnds_NonXtal_Prot#'!A:AL,28,FALSE)-VLOOKUP(A22,'SegEnds_NonXtal_Prot#'!A:AL,25,FALSE)</f>
        <v>28</v>
      </c>
      <c r="AG22" s="1">
        <f>VLOOKUP(A22,'SegEnds_NonXtal_Prot#'!A:AL,28,FALSE)-VLOOKUP(A22,'SegEnds_NonXtal_Prot#'!A:AL,22,FALSE)</f>
        <v>54</v>
      </c>
      <c r="AH22" s="1">
        <f>VLOOKUP(A22,'SegEnds_NonXtal_Prot#'!A:AL,31,FALSE)-VLOOKUP(A22,'SegEnds_NonXtal_Prot#'!A:AL,28,FALSE)</f>
        <v>52</v>
      </c>
      <c r="AI22" s="1">
        <f>VLOOKUP(A22,'SegEnds_NonXtal_Prot#'!A:AL,34,FALSE)-VLOOKUP(A22,'SegEnds_NonXtal_Prot#'!A:AL,31,FALSE)</f>
        <v>36</v>
      </c>
      <c r="AJ22" s="1" t="str">
        <f>IF(ISERROR(MATCH(A22,'SegEnds_Xtal_Prot#'!B:B, 0)), "NoXtal", "Xtal")</f>
        <v>Xtal</v>
      </c>
    </row>
    <row r="23" spans="1:36" x14ac:dyDescent="0.2">
      <c r="A23" s="1" t="s">
        <v>340</v>
      </c>
      <c r="B23" s="1" t="str">
        <f>VLOOKUP(A23,Xtal_Templ!A:B,2,FALSE)</f>
        <v>opsd_human</v>
      </c>
      <c r="C23" s="5">
        <f>VLOOKUP($B23&amp;"__wt",'SegEnds_Xtal_BW#'!$A:$Z,3,FALSE)</f>
        <v>29</v>
      </c>
      <c r="D23" s="1">
        <f>VLOOKUP($B23&amp;"__wt",'SegEnds_Xtal_BW#'!$A:$Z,4,FALSE)</f>
        <v>60</v>
      </c>
      <c r="E23" s="1">
        <f>VLOOKUP($B23&amp;"__wt",'SegEnds_Xtal_BW#'!$A:$Z,5,FALSE)</f>
        <v>48</v>
      </c>
      <c r="F23" s="1">
        <f>VLOOKUP($B23&amp;"__wt",'SegEnds_Xtal_BW#'!$A:$Z,6,FALSE)</f>
        <v>51</v>
      </c>
      <c r="G23" s="1">
        <v>37</v>
      </c>
      <c r="H23" s="12">
        <f>VLOOKUP($B23&amp;"__wt",'SegEnds_Xtal_BW#'!$A:$Z,8,FALSE)</f>
        <v>67</v>
      </c>
      <c r="I23" s="1">
        <f>VLOOKUP($B23&amp;"__wt",'SegEnds_Xtal_BW#'!$A:$Z,9,FALSE)</f>
        <v>49</v>
      </c>
      <c r="J23" s="1">
        <f>VLOOKUP($B23&amp;"__wt",'SegEnds_Xtal_BW#'!$A:$Z,10,FALSE)</f>
        <v>52</v>
      </c>
      <c r="K23" s="12">
        <v>18</v>
      </c>
      <c r="L23" s="1">
        <f>VLOOKUP($B23&amp;"__wt",'SegEnds_Xtal_BW#'!$A:$Z,12,FALSE)</f>
        <v>56</v>
      </c>
      <c r="M23" s="1">
        <f>VLOOKUP($B23&amp;"__wt",'SegEnds_Xtal_BW#'!$A:$Z,13,FALSE)</f>
        <v>50</v>
      </c>
      <c r="N23" s="111">
        <v>56</v>
      </c>
      <c r="O23" s="89">
        <f>VLOOKUP($B23&amp;"__wt",'SegEnds_Xtal_BW#'!$A:$Z,15,FALSE)</f>
        <v>38</v>
      </c>
      <c r="P23" s="1">
        <f>VLOOKUP($B23&amp;"__wt",'SegEnds_Xtal_BW#'!$A:$Z,16,FALSE)</f>
        <v>62</v>
      </c>
      <c r="Q23" s="1">
        <f>VLOOKUP($B23&amp;"__wt",'SegEnds_Xtal_BW#'!$A:$Z,17,FALSE)</f>
        <v>50</v>
      </c>
      <c r="R23" s="1">
        <f>VLOOKUP($B23&amp;"__wt",'SegEnds_Xtal_BW#'!$A:$Z,18,FALSE)</f>
        <v>52</v>
      </c>
      <c r="S23" s="1">
        <f>VLOOKUP($B23&amp;"__wt",'SegEnds_Xtal_BW#'!$A:$Z,19,FALSE)</f>
        <v>34</v>
      </c>
      <c r="T23" s="1">
        <f t="array" ref="T23">INDEX('ICL3'!$G$2:$G$40,MATCH(MIN(ABS(AH23-'ICL3'!$F$2:$F$40)),ABS(AH23-'ICL3'!$F$2:$F$40),0))</f>
        <v>72</v>
      </c>
      <c r="U23" s="1">
        <f t="array" ref="U23">INDEX('ICL3'!$H$2:$H$40,MATCH(MIN(ABS(AH23-'ICL3'!$F$2:$F$40)),ABS(AH23-'ICL3'!$F$2:$F$40),0))</f>
        <v>24</v>
      </c>
      <c r="V23" s="1">
        <v>61</v>
      </c>
      <c r="W23" s="1">
        <v>31</v>
      </c>
      <c r="X23" s="1">
        <f>VLOOKUP($B23&amp;"__wt",'SegEnds_Xtal_BW#'!$A:$Z,24,FALSE)</f>
        <v>56</v>
      </c>
      <c r="Y23" s="1">
        <f>VLOOKUP($B23&amp;"__wt",'SegEnds_Xtal_BW#'!$A:$Z,25,FALSE)</f>
        <v>47</v>
      </c>
      <c r="Z23" s="1">
        <f>VLOOKUP($B23&amp;"__wt",'SegEnds_Xtal_BW#'!$A:$Z,26,FALSE)</f>
        <v>59</v>
      </c>
      <c r="AA23" s="27" t="str">
        <f>VLOOKUP(A23,Classification!A:B,2,FALSE)</f>
        <v>A</v>
      </c>
      <c r="AB23" s="1">
        <f>VLOOKUP(A23,'SegEnds_NonXtal_Prot#'!A:AL,10,FALSE)-VLOOKUP(A23,'SegEnds_NonXtal_Prot#'!A:AL,7,FALSE)</f>
        <v>15</v>
      </c>
      <c r="AC23" s="1">
        <f>VLOOKUP(A23,'SegEnds_NonXtal_Prot#'!A:AL,13,FALSE)-VLOOKUP(A23,'SegEnds_NonXtal_Prot#'!A:AL,10,FALSE)</f>
        <v>20</v>
      </c>
      <c r="AD23" s="1">
        <f>VLOOKUP(A23,'SegEnds_NonXtal_Prot#'!A:AL,16,FALSE)-VLOOKUP(A23,'SegEnds_NonXtal_Prot#'!A:AL,10,FALSE)</f>
        <v>52</v>
      </c>
      <c r="AE23" s="1">
        <f>VLOOKUP(A23,'SegEnds_NonXtal_Prot#'!A:AL,22,FALSE)-VLOOKUP(A23,'SegEnds_NonXtal_Prot#'!A:AL,19,FALSE)</f>
        <v>19</v>
      </c>
      <c r="AF23" s="1">
        <f>VLOOKUP(A23,'SegEnds_NonXtal_Prot#'!A:AL,28,FALSE)-VLOOKUP(A23,'SegEnds_NonXtal_Prot#'!A:AL,25,FALSE)</f>
        <v>28</v>
      </c>
      <c r="AG23" s="1">
        <f>VLOOKUP(A23,'SegEnds_NonXtal_Prot#'!A:AL,28,FALSE)-VLOOKUP(A23,'SegEnds_NonXtal_Prot#'!A:AL,22,FALSE)</f>
        <v>54</v>
      </c>
      <c r="AH23" s="1">
        <f>VLOOKUP(A23,'SegEnds_NonXtal_Prot#'!A:AL,31,FALSE)-VLOOKUP(A23,'SegEnds_NonXtal_Prot#'!A:AL,28,FALSE)</f>
        <v>52</v>
      </c>
      <c r="AI23" s="1">
        <f>VLOOKUP(A23,'SegEnds_NonXtal_Prot#'!A:AL,34,FALSE)-VLOOKUP(A23,'SegEnds_NonXtal_Prot#'!A:AL,31,FALSE)</f>
        <v>36</v>
      </c>
      <c r="AJ23" s="1" t="str">
        <f>IF(ISERROR(MATCH(A23,'SegEnds_Xtal_Prot#'!B:B, 0)), "NoXtal", "Xtal")</f>
        <v>NoXtal</v>
      </c>
    </row>
    <row r="24" spans="1:36" x14ac:dyDescent="0.2">
      <c r="A24" s="1" t="s">
        <v>341</v>
      </c>
      <c r="B24" s="1" t="str">
        <f>VLOOKUP(A24,Xtal_Templ!A:B,2,FALSE)</f>
        <v>opsd_bovin</v>
      </c>
      <c r="C24" s="5">
        <f>VLOOKUP($B24&amp;"__wt",'SegEnds_Xtal_BW#'!$A:$Z,3,FALSE)</f>
        <v>29</v>
      </c>
      <c r="D24" s="1">
        <f>VLOOKUP($B24&amp;"__wt",'SegEnds_Xtal_BW#'!$A:$Z,4,FALSE)</f>
        <v>60</v>
      </c>
      <c r="E24" s="1">
        <f>VLOOKUP($B24&amp;"__wt",'SegEnds_Xtal_BW#'!$A:$Z,5,FALSE)</f>
        <v>48</v>
      </c>
      <c r="F24" s="1">
        <f>VLOOKUP($B24&amp;"__wt",'SegEnds_Xtal_BW#'!$A:$Z,6,FALSE)</f>
        <v>51</v>
      </c>
      <c r="G24" s="1">
        <v>37</v>
      </c>
      <c r="H24" s="12">
        <f>VLOOKUP($B24&amp;"__wt",'SegEnds_Xtal_BW#'!$A:$Z,8,FALSE)</f>
        <v>67</v>
      </c>
      <c r="I24" s="1">
        <f>VLOOKUP($B24&amp;"__wt",'SegEnds_Xtal_BW#'!$A:$Z,9,FALSE)</f>
        <v>49</v>
      </c>
      <c r="J24" s="1">
        <f>VLOOKUP($B24&amp;"__wt",'SegEnds_Xtal_BW#'!$A:$Z,10,FALSE)</f>
        <v>52</v>
      </c>
      <c r="K24" s="12">
        <v>18</v>
      </c>
      <c r="L24" s="1">
        <f>VLOOKUP($B24&amp;"__wt",'SegEnds_Xtal_BW#'!$A:$Z,12,FALSE)</f>
        <v>56</v>
      </c>
      <c r="M24" s="1">
        <f>VLOOKUP($B24&amp;"__wt",'SegEnds_Xtal_BW#'!$A:$Z,13,FALSE)</f>
        <v>50</v>
      </c>
      <c r="N24" s="111">
        <v>56</v>
      </c>
      <c r="O24" s="89">
        <f>VLOOKUP($B24&amp;"__wt",'SegEnds_Xtal_BW#'!$A:$Z,15,FALSE)</f>
        <v>38</v>
      </c>
      <c r="P24" s="1">
        <f>VLOOKUP($B24&amp;"__wt",'SegEnds_Xtal_BW#'!$A:$Z,16,FALSE)</f>
        <v>62</v>
      </c>
      <c r="Q24" s="1">
        <f>VLOOKUP($B24&amp;"__wt",'SegEnds_Xtal_BW#'!$A:$Z,17,FALSE)</f>
        <v>50</v>
      </c>
      <c r="R24" s="1">
        <f>VLOOKUP($B24&amp;"__wt",'SegEnds_Xtal_BW#'!$A:$Z,18,FALSE)</f>
        <v>52</v>
      </c>
      <c r="S24" s="1">
        <f>VLOOKUP($B24&amp;"__wt",'SegEnds_Xtal_BW#'!$A:$Z,19,FALSE)</f>
        <v>34</v>
      </c>
      <c r="T24" s="1">
        <f t="array" ref="T24">INDEX('ICL3'!$G$2:$G$40,MATCH(MIN(ABS(AH24-'ICL3'!$F$2:$F$40)),ABS(AH24-'ICL3'!$F$2:$F$40),0))</f>
        <v>72</v>
      </c>
      <c r="U24" s="1">
        <f t="array" ref="U24">INDEX('ICL3'!$H$2:$H$40,MATCH(MIN(ABS(AH24-'ICL3'!$F$2:$F$40)),ABS(AH24-'ICL3'!$F$2:$F$40),0))</f>
        <v>24</v>
      </c>
      <c r="V24" s="1">
        <v>61</v>
      </c>
      <c r="W24" s="1">
        <v>31</v>
      </c>
      <c r="X24" s="1">
        <f>VLOOKUP($B24&amp;"__wt",'SegEnds_Xtal_BW#'!$A:$Z,24,FALSE)</f>
        <v>56</v>
      </c>
      <c r="Y24" s="1">
        <f>VLOOKUP($B24&amp;"__wt",'SegEnds_Xtal_BW#'!$A:$Z,25,FALSE)</f>
        <v>47</v>
      </c>
      <c r="Z24" s="1">
        <f>VLOOKUP($B24&amp;"__wt",'SegEnds_Xtal_BW#'!$A:$Z,26,FALSE)</f>
        <v>59</v>
      </c>
      <c r="AA24" s="27" t="str">
        <f>VLOOKUP(A24,Classification!A:B,2,FALSE)</f>
        <v>A</v>
      </c>
      <c r="AB24" s="1">
        <f>VLOOKUP(A24,'SegEnds_NonXtal_Prot#'!A:AL,10,FALSE)-VLOOKUP(A24,'SegEnds_NonXtal_Prot#'!A:AL,7,FALSE)</f>
        <v>15</v>
      </c>
      <c r="AC24" s="1">
        <f>VLOOKUP(A24,'SegEnds_NonXtal_Prot#'!A:AL,13,FALSE)-VLOOKUP(A24,'SegEnds_NonXtal_Prot#'!A:AL,10,FALSE)</f>
        <v>19</v>
      </c>
      <c r="AD24" s="1">
        <f>VLOOKUP(A24,'SegEnds_NonXtal_Prot#'!A:AL,16,FALSE)-VLOOKUP(A24,'SegEnds_NonXtal_Prot#'!A:AL,10,FALSE)</f>
        <v>52</v>
      </c>
      <c r="AE24" s="1">
        <f>VLOOKUP(A24,'SegEnds_NonXtal_Prot#'!A:AL,22,FALSE)-VLOOKUP(A24,'SegEnds_NonXtal_Prot#'!A:AL,19,FALSE)</f>
        <v>19</v>
      </c>
      <c r="AF24" s="1">
        <f>VLOOKUP(A24,'SegEnds_NonXtal_Prot#'!A:AL,28,FALSE)-VLOOKUP(A24,'SegEnds_NonXtal_Prot#'!A:AL,25,FALSE)</f>
        <v>28</v>
      </c>
      <c r="AG24" s="1">
        <f>VLOOKUP(A24,'SegEnds_NonXtal_Prot#'!A:AL,28,FALSE)-VLOOKUP(A24,'SegEnds_NonXtal_Prot#'!A:AL,22,FALSE)</f>
        <v>54</v>
      </c>
      <c r="AH24" s="1">
        <f>VLOOKUP(A24,'SegEnds_NonXtal_Prot#'!A:AL,31,FALSE)-VLOOKUP(A24,'SegEnds_NonXtal_Prot#'!A:AL,28,FALSE)</f>
        <v>52</v>
      </c>
      <c r="AI24" s="1">
        <f>VLOOKUP(A24,'SegEnds_NonXtal_Prot#'!A:AL,34,FALSE)-VLOOKUP(A24,'SegEnds_NonXtal_Prot#'!A:AL,31,FALSE)</f>
        <v>36</v>
      </c>
      <c r="AJ24" s="1" t="str">
        <f>IF(ISERROR(MATCH(A24,'SegEnds_Xtal_Prot#'!B:B, 0)), "NoXtal", "Xtal")</f>
        <v>NoXtal</v>
      </c>
    </row>
    <row r="25" spans="1:36" x14ac:dyDescent="0.2">
      <c r="A25" s="4" t="s">
        <v>350</v>
      </c>
      <c r="B25" s="4" t="str">
        <f>VLOOKUP(A25,Xtal_Templ!A:B,2,FALSE)</f>
        <v>p2ry1_human</v>
      </c>
      <c r="C25" s="5">
        <f>VLOOKUP($B25&amp;"__wt",'SegEnds_Xtal_BW#'!$A:$Z,3,FALSE)</f>
        <v>30</v>
      </c>
      <c r="D25" s="4">
        <f>VLOOKUP($B25&amp;"__wt",'SegEnds_Xtal_BW#'!$A:$Z,4,FALSE)</f>
        <v>60</v>
      </c>
      <c r="E25" s="4" t="str">
        <f>VLOOKUP($B25&amp;"__wt",'SegEnds_Xtal_BW#'!$A:$Z,5,FALSE)</f>
        <v>-</v>
      </c>
      <c r="F25" s="4" t="str">
        <f>VLOOKUP($B25&amp;"__wt",'SegEnds_Xtal_BW#'!$A:$Z,6,FALSE)</f>
        <v>-</v>
      </c>
      <c r="G25" s="4">
        <v>37</v>
      </c>
      <c r="H25" s="11">
        <v>66</v>
      </c>
      <c r="I25" s="4">
        <f>VLOOKUP($B25&amp;"__wt",'SegEnds_Xtal_BW#'!$A:$Z,9,FALSE)</f>
        <v>49</v>
      </c>
      <c r="J25" s="4">
        <f>VLOOKUP($B25&amp;"__wt",'SegEnds_Xtal_BW#'!$A:$Z,10,FALSE)</f>
        <v>52</v>
      </c>
      <c r="K25" s="11">
        <v>21</v>
      </c>
      <c r="L25" s="4">
        <f>VLOOKUP($B25&amp;"__wt",'SegEnds_Xtal_BW#'!$A:$Z,12,FALSE)</f>
        <v>56</v>
      </c>
      <c r="M25" s="4">
        <f>VLOOKUP($B25&amp;"__wt",'SegEnds_Xtal_BW#'!$A:$Z,13,FALSE)</f>
        <v>50</v>
      </c>
      <c r="N25" s="111">
        <v>56</v>
      </c>
      <c r="O25" s="89">
        <f>VLOOKUP($B25&amp;"__wt",'SegEnds_Xtal_BW#'!$A:$Z,15,FALSE)</f>
        <v>38</v>
      </c>
      <c r="P25" s="4">
        <f>VLOOKUP($B25&amp;"__wt",'SegEnds_Xtal_BW#'!$A:$Z,16,FALSE)</f>
        <v>64</v>
      </c>
      <c r="Q25" s="4">
        <f>VLOOKUP($B25&amp;"__wt",'SegEnds_Xtal_BW#'!$A:$Z,17,FALSE)</f>
        <v>50</v>
      </c>
      <c r="R25" s="4">
        <f>VLOOKUP($B25&amp;"__wt",'SegEnds_Xtal_BW#'!$A:$Z,18,FALSE)</f>
        <v>52</v>
      </c>
      <c r="S25" s="4">
        <f>VLOOKUP($B25&amp;"__wt",'SegEnds_Xtal_BW#'!$A:$Z,19,FALSE)</f>
        <v>32</v>
      </c>
      <c r="T25" s="4">
        <f t="array" ref="T25">INDEX('ICL3'!$G$2:$G$40,MATCH(MIN(ABS(AH25-'ICL3'!$F$2:$F$40)),ABS(AH25-'ICL3'!$F$2:$F$40),0))</f>
        <v>68</v>
      </c>
      <c r="U25" s="4">
        <f t="array" ref="U25">INDEX('ICL3'!$H$2:$H$40,MATCH(MIN(ABS(AH25-'ICL3'!$F$2:$F$40)),ABS(AH25-'ICL3'!$F$2:$F$40),0))</f>
        <v>24</v>
      </c>
      <c r="V25" s="4">
        <v>64</v>
      </c>
      <c r="W25" s="4">
        <v>24</v>
      </c>
      <c r="X25" s="4">
        <f>VLOOKUP($B25&amp;"__wt",'SegEnds_Xtal_BW#'!$A:$Z,24,FALSE)</f>
        <v>56</v>
      </c>
      <c r="Y25" s="4">
        <f>VLOOKUP($B25&amp;"__wt",'SegEnds_Xtal_BW#'!$A:$Z,25,FALSE)</f>
        <v>47</v>
      </c>
      <c r="Z25" s="4">
        <f>VLOOKUP($B25&amp;"__wt",'SegEnds_Xtal_BW#'!$A:$Z,26,FALSE)</f>
        <v>59</v>
      </c>
      <c r="AA25" s="27" t="str">
        <f>VLOOKUP(A25,Classification!A:B,2,FALSE)</f>
        <v>A</v>
      </c>
      <c r="AB25" s="4" t="e">
        <f>VLOOKUP(A25,'SegEnds_NonXtal_Prot#'!A:AL,10,FALSE)-VLOOKUP(A25,'SegEnds_NonXtal_Prot#'!A:AL,7,FALSE)</f>
        <v>#VALUE!</v>
      </c>
      <c r="AC25" s="4">
        <f>VLOOKUP(A25,'SegEnds_NonXtal_Prot#'!A:AL,13,FALSE)-VLOOKUP(A25,'SegEnds_NonXtal_Prot#'!A:AL,10,FALSE)</f>
        <v>19</v>
      </c>
      <c r="AD25" s="4">
        <f>VLOOKUP(A25,'SegEnds_NonXtal_Prot#'!A:AL,16,FALSE)-VLOOKUP(A25,'SegEnds_NonXtal_Prot#'!A:AL,10,FALSE)</f>
        <v>51</v>
      </c>
      <c r="AE25" s="1">
        <f>VLOOKUP(A25,'SegEnds_NonXtal_Prot#'!A:AL,22,FALSE)-VLOOKUP(A25,'SegEnds_NonXtal_Prot#'!A:AL,19,FALSE)</f>
        <v>19</v>
      </c>
      <c r="AF25" s="4">
        <f>VLOOKUP(A25,'SegEnds_NonXtal_Prot#'!A:AL,28,FALSE)-VLOOKUP(A25,'SegEnds_NonXtal_Prot#'!A:AL,25,FALSE)</f>
        <v>29</v>
      </c>
      <c r="AG25" s="1">
        <f>VLOOKUP(A25,'SegEnds_NonXtal_Prot#'!A:AL,28,FALSE)-VLOOKUP(A25,'SegEnds_NonXtal_Prot#'!A:AL,22,FALSE)</f>
        <v>53</v>
      </c>
      <c r="AH25" s="4">
        <f>VLOOKUP(A25,'SegEnds_NonXtal_Prot#'!A:AL,31,FALSE)-VLOOKUP(A25,'SegEnds_NonXtal_Prot#'!A:AL,28,FALSE)</f>
        <v>48</v>
      </c>
      <c r="AI25" s="4">
        <f>VLOOKUP(A25,'SegEnds_NonXtal_Prot#'!A:AL,34,FALSE)-VLOOKUP(A25,'SegEnds_NonXtal_Prot#'!A:AL,31,FALSE)</f>
        <v>44</v>
      </c>
      <c r="AJ25" s="1" t="str">
        <f>IF(ISERROR(MATCH(A25,'SegEnds_Xtal_Prot#'!B:B, 0)), "NoXtal", "Xtal")</f>
        <v>NoXtal</v>
      </c>
    </row>
    <row r="26" spans="1:36" x14ac:dyDescent="0.2">
      <c r="A26" s="1" t="s">
        <v>356</v>
      </c>
      <c r="B26" s="1" t="str">
        <f>VLOOKUP(A26,Xtal_Templ!A:B,2,FALSE)</f>
        <v>par2_human</v>
      </c>
      <c r="C26" s="5">
        <f>VLOOKUP($B26&amp;"__wt",'SegEnds_Xtal_BW#'!$A:$Z,3,FALSE)</f>
        <v>28</v>
      </c>
      <c r="D26" s="1">
        <f>VLOOKUP($B26&amp;"__wt",'SegEnds_Xtal_BW#'!$A:$Z,4,FALSE)</f>
        <v>60</v>
      </c>
      <c r="E26" s="1" t="str">
        <f>VLOOKUP($B26&amp;"__wt",'SegEnds_Xtal_BW#'!$A:$Z,5,FALSE)</f>
        <v>-</v>
      </c>
      <c r="F26" s="1" t="str">
        <f>VLOOKUP($B26&amp;"__wt",'SegEnds_Xtal_BW#'!$A:$Z,6,FALSE)</f>
        <v>-</v>
      </c>
      <c r="G26" s="1">
        <v>37</v>
      </c>
      <c r="H26" s="12">
        <f>VLOOKUP($B26&amp;"__wt",'SegEnds_Xtal_BW#'!$A:$Z,8,FALSE)</f>
        <v>66</v>
      </c>
      <c r="I26" s="1">
        <f>VLOOKUP($B26&amp;"__wt",'SegEnds_Xtal_BW#'!$A:$Z,9,FALSE)</f>
        <v>47</v>
      </c>
      <c r="J26" s="1">
        <f>VLOOKUP($B26&amp;"__wt",'SegEnds_Xtal_BW#'!$A:$Z,10,FALSE)</f>
        <v>52</v>
      </c>
      <c r="K26" s="12">
        <v>18</v>
      </c>
      <c r="L26" s="1">
        <f>VLOOKUP($B26&amp;"__wt",'SegEnds_Xtal_BW#'!$A:$Z,12,FALSE)</f>
        <v>56</v>
      </c>
      <c r="M26" s="1">
        <f>VLOOKUP($B26&amp;"__wt",'SegEnds_Xtal_BW#'!$A:$Z,13,FALSE)</f>
        <v>50</v>
      </c>
      <c r="N26" s="12">
        <f>VLOOKUP($B26&amp;"__wt",'SegEnds_Xtal_BW#'!$A:$Z,14,FALSE)</f>
        <v>56</v>
      </c>
      <c r="O26" s="89">
        <f>VLOOKUP($B26&amp;"__wt",'SegEnds_Xtal_BW#'!$A:$Z,15,FALSE)</f>
        <v>38</v>
      </c>
      <c r="P26" s="1">
        <f>VLOOKUP($B26&amp;"__wt",'SegEnds_Xtal_BW#'!$A:$Z,16,FALSE)</f>
        <v>62</v>
      </c>
      <c r="Q26" s="1">
        <f>VLOOKUP($B26&amp;"__wt",'SegEnds_Xtal_BW#'!$A:$Z,17,FALSE)</f>
        <v>50</v>
      </c>
      <c r="R26" s="1">
        <f>VLOOKUP($B26&amp;"__wt",'SegEnds_Xtal_BW#'!$A:$Z,18,FALSE)</f>
        <v>52</v>
      </c>
      <c r="S26" s="1">
        <f>VLOOKUP($B26&amp;"__wt",'SegEnds_Xtal_BW#'!$A:$Z,19,FALSE)</f>
        <v>31</v>
      </c>
      <c r="T26" s="1">
        <f t="array" ref="T26">INDEX('ICL3'!$G$2:$G$40,MATCH(MIN(ABS(AH26-'ICL3'!$F$2:$F$40)),ABS(AH26-'ICL3'!$F$2:$F$40),0))</f>
        <v>68</v>
      </c>
      <c r="U26" s="1">
        <f t="array" ref="U26">INDEX('ICL3'!$H$2:$H$40,MATCH(MIN(ABS(AH26-'ICL3'!$F$2:$F$40)),ABS(AH26-'ICL3'!$F$2:$F$40),0))</f>
        <v>24</v>
      </c>
      <c r="V26" s="1">
        <v>62</v>
      </c>
      <c r="W26" s="1">
        <v>28</v>
      </c>
      <c r="X26" s="1">
        <f>VLOOKUP($B26&amp;"__wt",'SegEnds_Xtal_BW#'!$A:$Z,24,FALSE)</f>
        <v>56</v>
      </c>
      <c r="Y26" s="1">
        <f>VLOOKUP($B26&amp;"__wt",'SegEnds_Xtal_BW#'!$A:$Z,25,FALSE)</f>
        <v>47</v>
      </c>
      <c r="Z26" s="1">
        <f>VLOOKUP($B26&amp;"__wt",'SegEnds_Xtal_BW#'!$A:$Z,26,FALSE)</f>
        <v>61</v>
      </c>
      <c r="AA26" s="27" t="str">
        <f>VLOOKUP(A26,Classification!A:B,2,FALSE)</f>
        <v>A</v>
      </c>
      <c r="AB26" s="1" t="e">
        <f>VLOOKUP(A26,'SegEnds_NonXtal_Prot#'!A:AL,10,FALSE)-VLOOKUP(A26,'SegEnds_NonXtal_Prot#'!A:AL,7,FALSE)</f>
        <v>#VALUE!</v>
      </c>
      <c r="AC26" s="1">
        <f>VLOOKUP(A26,'SegEnds_NonXtal_Prot#'!A:AL,13,FALSE)-VLOOKUP(A26,'SegEnds_NonXtal_Prot#'!A:AL,10,FALSE)</f>
        <v>20</v>
      </c>
      <c r="AD26" s="1">
        <f>VLOOKUP(A26,'SegEnds_NonXtal_Prot#'!A:AL,16,FALSE)-VLOOKUP(A26,'SegEnds_NonXtal_Prot#'!A:AL,10,FALSE)</f>
        <v>52</v>
      </c>
      <c r="AE26" s="1">
        <f>VLOOKUP(A26,'SegEnds_NonXtal_Prot#'!A:AL,22,FALSE)-VLOOKUP(A26,'SegEnds_NonXtal_Prot#'!A:AL,19,FALSE)</f>
        <v>19</v>
      </c>
      <c r="AF26" s="1">
        <f>VLOOKUP(A26,'SegEnds_NonXtal_Prot#'!A:AL,28,FALSE)-VLOOKUP(A26,'SegEnds_NonXtal_Prot#'!A:AL,25,FALSE)</f>
        <v>28</v>
      </c>
      <c r="AG26" s="1">
        <f>VLOOKUP(A26,'SegEnds_NonXtal_Prot#'!A:AL,28,FALSE)-VLOOKUP(A26,'SegEnds_NonXtal_Prot#'!A:AL,22,FALSE)</f>
        <v>55</v>
      </c>
      <c r="AH26" s="1">
        <f>VLOOKUP(A26,'SegEnds_NonXtal_Prot#'!A:AL,31,FALSE)-VLOOKUP(A26,'SegEnds_NonXtal_Prot#'!A:AL,28,FALSE)</f>
        <v>48</v>
      </c>
      <c r="AI26" s="1">
        <f>VLOOKUP(A26,'SegEnds_NonXtal_Prot#'!A:AL,34,FALSE)-VLOOKUP(A26,'SegEnds_NonXtal_Prot#'!A:AL,31,FALSE)</f>
        <v>39</v>
      </c>
      <c r="AJ26" s="1" t="str">
        <f>IF(ISERROR(MATCH(A26,'SegEnds_Xtal_Prot#'!B:B, 0)), "NoXtal", "Xtal")</f>
        <v>Xtal</v>
      </c>
    </row>
    <row r="27" spans="1:36" x14ac:dyDescent="0.2">
      <c r="A27" s="1" t="s">
        <v>375</v>
      </c>
      <c r="B27" s="1" t="str">
        <f>VLOOKUP(A27,Xtal_Templ!A:B,2,FALSE)</f>
        <v>aa1r_human</v>
      </c>
      <c r="C27" s="5">
        <f>VLOOKUP($B27&amp;"__wt",'SegEnds_Xtal_BW#'!$A:$Z,3,FALSE)</f>
        <v>29</v>
      </c>
      <c r="D27" s="1">
        <f>VLOOKUP($B27&amp;"__wt",'SegEnds_Xtal_BW#'!$A:$Z,4,FALSE)</f>
        <v>60</v>
      </c>
      <c r="E27" s="1">
        <f>VLOOKUP($B27&amp;"__wt",'SegEnds_Xtal_BW#'!$A:$Z,5,FALSE)</f>
        <v>48</v>
      </c>
      <c r="F27" s="1">
        <f>VLOOKUP($B27&amp;"__wt",'SegEnds_Xtal_BW#'!$A:$Z,6,FALSE)</f>
        <v>51</v>
      </c>
      <c r="G27" s="1">
        <v>37</v>
      </c>
      <c r="H27" s="12">
        <f>VLOOKUP($B27&amp;"__wt",'SegEnds_Xtal_BW#'!$A:$Z,8,FALSE)</f>
        <v>67</v>
      </c>
      <c r="I27" s="1">
        <f>VLOOKUP($B27&amp;"__wt",'SegEnds_Xtal_BW#'!$A:$Z,9,FALSE)</f>
        <v>50</v>
      </c>
      <c r="J27" s="1">
        <f>VLOOKUP($B27&amp;"__wt",'SegEnds_Xtal_BW#'!$A:$Z,10,FALSE)</f>
        <v>52</v>
      </c>
      <c r="K27" s="12">
        <v>18</v>
      </c>
      <c r="L27" s="1">
        <f>VLOOKUP($B27&amp;"__wt",'SegEnds_Xtal_BW#'!$A:$Z,12,FALSE)</f>
        <v>56</v>
      </c>
      <c r="M27" s="1">
        <f>VLOOKUP($B27&amp;"__wt",'SegEnds_Xtal_BW#'!$A:$Z,13,FALSE)</f>
        <v>50</v>
      </c>
      <c r="N27" s="111">
        <v>56</v>
      </c>
      <c r="O27" s="89">
        <f>VLOOKUP($B27&amp;"__wt",'SegEnds_Xtal_BW#'!$A:$Z,15,FALSE)</f>
        <v>38</v>
      </c>
      <c r="P27" s="1">
        <f>VLOOKUP($B27&amp;"__wt",'SegEnds_Xtal_BW#'!$A:$Z,16,FALSE)</f>
        <v>63</v>
      </c>
      <c r="Q27" s="1">
        <f>VLOOKUP($B27&amp;"__wt",'SegEnds_Xtal_BW#'!$A:$Z,17,FALSE)</f>
        <v>50</v>
      </c>
      <c r="R27" s="1">
        <f>VLOOKUP($B27&amp;"__wt",'SegEnds_Xtal_BW#'!$A:$Z,18,FALSE)</f>
        <v>52</v>
      </c>
      <c r="S27" s="1">
        <v>35</v>
      </c>
      <c r="T27" s="1">
        <f t="array" ref="T27">INDEX('ICL3'!$G$2:$G$40,MATCH(MIN(ABS(AH27-'ICL3'!$F$2:$F$40)),ABS(AH27-'ICL3'!$F$2:$F$40),0))</f>
        <v>72</v>
      </c>
      <c r="U27" s="1">
        <f t="array" ref="U27">INDEX('ICL3'!$H$2:$H$40,MATCH(MIN(ABS(AH27-'ICL3'!$F$2:$F$40)),ABS(AH27-'ICL3'!$F$2:$F$40),0))</f>
        <v>24</v>
      </c>
      <c r="V27" s="1">
        <v>61</v>
      </c>
      <c r="W27" s="1">
        <v>31</v>
      </c>
      <c r="X27" s="1">
        <f>VLOOKUP($B27&amp;"__wt",'SegEnds_Xtal_BW#'!$A:$Z,24,FALSE)</f>
        <v>56</v>
      </c>
      <c r="Y27" s="1">
        <f>VLOOKUP($B27&amp;"__wt",'SegEnds_Xtal_BW#'!$A:$Z,25,FALSE)</f>
        <v>47</v>
      </c>
      <c r="Z27" s="1">
        <f>VLOOKUP($B27&amp;"__wt",'SegEnds_Xtal_BW#'!$A:$Z,26,FALSE)</f>
        <v>69</v>
      </c>
      <c r="AA27" s="27" t="str">
        <f>VLOOKUP(A27,Classification!A:B,2,FALSE)</f>
        <v>A</v>
      </c>
      <c r="AB27" s="1">
        <f>VLOOKUP(A27,'SegEnds_NonXtal_Prot#'!A:AL,10,FALSE)-VLOOKUP(A27,'SegEnds_NonXtal_Prot#'!A:AL,7,FALSE)</f>
        <v>15</v>
      </c>
      <c r="AC27" s="1" t="e">
        <f>VLOOKUP(A27,'SegEnds_NonXtal_Prot#'!A:AL,13,FALSE)-VLOOKUP(A27,'SegEnds_NonXtal_Prot#'!A:AL,10,FALSE)</f>
        <v>#VALUE!</v>
      </c>
      <c r="AD27" s="1">
        <f>VLOOKUP(A27,'SegEnds_NonXtal_Prot#'!A:AL,16,FALSE)-VLOOKUP(A27,'SegEnds_NonXtal_Prot#'!A:AL,10,FALSE)</f>
        <v>59</v>
      </c>
      <c r="AE27" s="1">
        <f>VLOOKUP(A27,'SegEnds_NonXtal_Prot#'!A:AL,22,FALSE)-VLOOKUP(A27,'SegEnds_NonXtal_Prot#'!A:AL,19,FALSE)</f>
        <v>19</v>
      </c>
      <c r="AF27" s="1">
        <f>VLOOKUP(A27,'SegEnds_NonXtal_Prot#'!A:AL,28,FALSE)-VLOOKUP(A27,'SegEnds_NonXtal_Prot#'!A:AL,25,FALSE)</f>
        <v>28</v>
      </c>
      <c r="AG27" s="1">
        <f>VLOOKUP(A27,'SegEnds_NonXtal_Prot#'!A:AL,28,FALSE)-VLOOKUP(A27,'SegEnds_NonXtal_Prot#'!A:AL,22,FALSE)</f>
        <v>55</v>
      </c>
      <c r="AH27" s="1">
        <f>VLOOKUP(A27,'SegEnds_NonXtal_Prot#'!A:AL,31,FALSE)-VLOOKUP(A27,'SegEnds_NonXtal_Prot#'!A:AL,28,FALSE)</f>
        <v>52</v>
      </c>
      <c r="AI27" s="1">
        <f>VLOOKUP(A27,'SegEnds_NonXtal_Prot#'!A:AL,34,FALSE)-VLOOKUP(A27,'SegEnds_NonXtal_Prot#'!A:AL,31,FALSE)</f>
        <v>35</v>
      </c>
      <c r="AJ27" s="1" t="str">
        <f>IF(ISERROR(MATCH(A27,'SegEnds_Xtal_Prot#'!B:B, 0)), "NoXtal", "Xtal")</f>
        <v>NoXtal</v>
      </c>
    </row>
    <row r="28" spans="1:36" x14ac:dyDescent="0.2">
      <c r="A28" s="1" t="s">
        <v>376</v>
      </c>
      <c r="B28" s="1" t="str">
        <f>VLOOKUP(A28,Xtal_Templ!A:B,2,FALSE)</f>
        <v>aa1r_human</v>
      </c>
      <c r="C28" s="5">
        <f>VLOOKUP($B28&amp;"__wt",'SegEnds_Xtal_BW#'!$A:$Z,3,FALSE)</f>
        <v>29</v>
      </c>
      <c r="D28" s="1">
        <f>VLOOKUP($B28&amp;"__wt",'SegEnds_Xtal_BW#'!$A:$Z,4,FALSE)</f>
        <v>60</v>
      </c>
      <c r="E28" s="1">
        <f>VLOOKUP($B28&amp;"__wt",'SegEnds_Xtal_BW#'!$A:$Z,5,FALSE)</f>
        <v>48</v>
      </c>
      <c r="F28" s="1">
        <f>VLOOKUP($B28&amp;"__wt",'SegEnds_Xtal_BW#'!$A:$Z,6,FALSE)</f>
        <v>51</v>
      </c>
      <c r="G28" s="1">
        <v>37</v>
      </c>
      <c r="H28" s="12">
        <f>VLOOKUP($B28&amp;"__wt",'SegEnds_Xtal_BW#'!$A:$Z,8,FALSE)</f>
        <v>67</v>
      </c>
      <c r="I28" s="1">
        <f>VLOOKUP($B28&amp;"__wt",'SegEnds_Xtal_BW#'!$A:$Z,9,FALSE)</f>
        <v>50</v>
      </c>
      <c r="J28" s="1">
        <f>VLOOKUP($B28&amp;"__wt",'SegEnds_Xtal_BW#'!$A:$Z,10,FALSE)</f>
        <v>52</v>
      </c>
      <c r="K28" s="12">
        <v>18</v>
      </c>
      <c r="L28" s="1">
        <f>VLOOKUP($B28&amp;"__wt",'SegEnds_Xtal_BW#'!$A:$Z,12,FALSE)</f>
        <v>56</v>
      </c>
      <c r="M28" s="1">
        <f>VLOOKUP($B28&amp;"__wt",'SegEnds_Xtal_BW#'!$A:$Z,13,FALSE)</f>
        <v>50</v>
      </c>
      <c r="N28" s="111">
        <v>56</v>
      </c>
      <c r="O28" s="89">
        <f>VLOOKUP($B28&amp;"__wt",'SegEnds_Xtal_BW#'!$A:$Z,15,FALSE)</f>
        <v>38</v>
      </c>
      <c r="P28" s="1">
        <f>VLOOKUP($B28&amp;"__wt",'SegEnds_Xtal_BW#'!$A:$Z,16,FALSE)</f>
        <v>63</v>
      </c>
      <c r="Q28" s="1">
        <f>VLOOKUP($B28&amp;"__wt",'SegEnds_Xtal_BW#'!$A:$Z,17,FALSE)</f>
        <v>50</v>
      </c>
      <c r="R28" s="1">
        <f>VLOOKUP($B28&amp;"__wt",'SegEnds_Xtal_BW#'!$A:$Z,18,FALSE)</f>
        <v>52</v>
      </c>
      <c r="S28" s="1">
        <v>35</v>
      </c>
      <c r="T28" s="1">
        <f t="array" ref="T28">INDEX('ICL3'!$G$2:$G$40,MATCH(MIN(ABS(AH28-'ICL3'!$F$2:$F$40)),ABS(AH28-'ICL3'!$F$2:$F$40),0))</f>
        <v>72</v>
      </c>
      <c r="U28" s="1">
        <f t="array" ref="U28">INDEX('ICL3'!$H$2:$H$40,MATCH(MIN(ABS(AH28-'ICL3'!$F$2:$F$40)),ABS(AH28-'ICL3'!$F$2:$F$40),0))</f>
        <v>24</v>
      </c>
      <c r="V28" s="1">
        <v>61</v>
      </c>
      <c r="W28" s="1">
        <v>31</v>
      </c>
      <c r="X28" s="1">
        <f>VLOOKUP($B28&amp;"__wt",'SegEnds_Xtal_BW#'!$A:$Z,24,FALSE)</f>
        <v>56</v>
      </c>
      <c r="Y28" s="1">
        <f>VLOOKUP($B28&amp;"__wt",'SegEnds_Xtal_BW#'!$A:$Z,25,FALSE)</f>
        <v>47</v>
      </c>
      <c r="Z28" s="1">
        <f>VLOOKUP($B28&amp;"__wt",'SegEnds_Xtal_BW#'!$A:$Z,26,FALSE)</f>
        <v>69</v>
      </c>
      <c r="AA28" s="27" t="str">
        <f>VLOOKUP(A28,Classification!A:B,2,FALSE)</f>
        <v>A</v>
      </c>
      <c r="AB28" s="1">
        <f>VLOOKUP(A28,'SegEnds_NonXtal_Prot#'!A:AL,10,FALSE)-VLOOKUP(A28,'SegEnds_NonXtal_Prot#'!A:AL,7,FALSE)</f>
        <v>15</v>
      </c>
      <c r="AC28" s="1">
        <f>VLOOKUP(A28,'SegEnds_NonXtal_Prot#'!A:AL,13,FALSE)-VLOOKUP(A28,'SegEnds_NonXtal_Prot#'!A:AL,10,FALSE)</f>
        <v>24</v>
      </c>
      <c r="AD28" s="1">
        <f>VLOOKUP(A28,'SegEnds_NonXtal_Prot#'!A:AL,16,FALSE)-VLOOKUP(A28,'SegEnds_NonXtal_Prot#'!A:AL,10,FALSE)</f>
        <v>59</v>
      </c>
      <c r="AE28" s="1">
        <f>VLOOKUP(A28,'SegEnds_NonXtal_Prot#'!A:AL,22,FALSE)-VLOOKUP(A28,'SegEnds_NonXtal_Prot#'!A:AL,19,FALSE)</f>
        <v>19</v>
      </c>
      <c r="AF28" s="1">
        <f>VLOOKUP(A28,'SegEnds_NonXtal_Prot#'!A:AL,28,FALSE)-VLOOKUP(A28,'SegEnds_NonXtal_Prot#'!A:AL,25,FALSE)</f>
        <v>28</v>
      </c>
      <c r="AG28" s="1">
        <f>VLOOKUP(A28,'SegEnds_NonXtal_Prot#'!A:AL,28,FALSE)-VLOOKUP(A28,'SegEnds_NonXtal_Prot#'!A:AL,22,FALSE)</f>
        <v>55</v>
      </c>
      <c r="AH28" s="1">
        <f>VLOOKUP(A28,'SegEnds_NonXtal_Prot#'!A:AL,31,FALSE)-VLOOKUP(A28,'SegEnds_NonXtal_Prot#'!A:AL,28,FALSE)</f>
        <v>52</v>
      </c>
      <c r="AI28" s="1">
        <f>VLOOKUP(A28,'SegEnds_NonXtal_Prot#'!A:AL,34,FALSE)-VLOOKUP(A28,'SegEnds_NonXtal_Prot#'!A:AL,31,FALSE)</f>
        <v>35</v>
      </c>
      <c r="AJ28" s="1" t="str">
        <f>IF(ISERROR(MATCH(A28,'SegEnds_Xtal_Prot#'!B:B, 0)), "NoXtal", "Xtal")</f>
        <v>NoXtal</v>
      </c>
    </row>
    <row r="29" spans="1:36" x14ac:dyDescent="0.2">
      <c r="A29" s="4" t="s">
        <v>104</v>
      </c>
      <c r="B29" s="4" t="str">
        <f>VLOOKUP(A29,Xtal_Templ!A:B,2,FALSE)</f>
        <v>s1pr1_human</v>
      </c>
      <c r="C29" s="5">
        <f>VLOOKUP($B29&amp;"__wt",'SegEnds_Xtal_BW#'!$A:$Z,3,FALSE)</f>
        <v>29</v>
      </c>
      <c r="D29" s="4">
        <f>VLOOKUP($B29&amp;"__wt",'SegEnds_Xtal_BW#'!$A:$Z,4,FALSE)</f>
        <v>60</v>
      </c>
      <c r="E29" s="4">
        <f>VLOOKUP($B29&amp;"__wt",'SegEnds_Xtal_BW#'!$A:$Z,5,FALSE)</f>
        <v>48</v>
      </c>
      <c r="F29" s="4">
        <f>VLOOKUP($B29&amp;"__wt",'SegEnds_Xtal_BW#'!$A:$Z,6,FALSE)</f>
        <v>51</v>
      </c>
      <c r="G29" s="4">
        <v>37</v>
      </c>
      <c r="H29" s="11">
        <v>63</v>
      </c>
      <c r="I29" s="4">
        <f>VLOOKUP($B29&amp;"__wt",'SegEnds_Xtal_BW#'!$A:$Z,9,FALSE)</f>
        <v>47</v>
      </c>
      <c r="J29" s="4">
        <f>VLOOKUP($B29&amp;"__wt",'SegEnds_Xtal_BW#'!$A:$Z,10,FALSE)</f>
        <v>53</v>
      </c>
      <c r="K29" s="11">
        <f>VLOOKUP($B29&amp;"__wt",'SegEnds_Xtal_BW#'!$A:$Z,11,FALSE)</f>
        <v>21</v>
      </c>
      <c r="L29" s="4">
        <f>VLOOKUP($B29&amp;"__wt",'SegEnds_Xtal_BW#'!$A:$Z,12,FALSE)</f>
        <v>56</v>
      </c>
      <c r="M29" s="4">
        <f>VLOOKUP($B29&amp;"__wt",'SegEnds_Xtal_BW#'!$A:$Z,13,FALSE)</f>
        <v>50</v>
      </c>
      <c r="N29" s="111">
        <f>VLOOKUP($B29&amp;"__wt",'SegEnds_Xtal_BW#'!$A:$Z,14,FALSE)</f>
        <v>56</v>
      </c>
      <c r="O29" s="89">
        <f>VLOOKUP($B29&amp;"__wt",'SegEnds_Xtal_BW#'!$A:$Z,15,FALSE)</f>
        <v>38</v>
      </c>
      <c r="P29" s="4">
        <f>VLOOKUP($B29&amp;"__wt",'SegEnds_Xtal_BW#'!$A:$Z,16,FALSE)</f>
        <v>63</v>
      </c>
      <c r="Q29" s="4" t="str">
        <f>VLOOKUP($B29&amp;"__wt",'SegEnds_Xtal_BW#'!$A:$Z,17,FALSE)</f>
        <v>-</v>
      </c>
      <c r="R29" s="4" t="str">
        <f>VLOOKUP($B29&amp;"__wt",'SegEnds_Xtal_BW#'!$A:$Z,18,FALSE)</f>
        <v>-</v>
      </c>
      <c r="S29" s="4">
        <f>VLOOKUP($B29&amp;"__wt",'SegEnds_Xtal_BW#'!$A:$Z,19,FALSE)</f>
        <v>36</v>
      </c>
      <c r="T29" s="4">
        <f t="array" ref="T29">INDEX('ICL3'!$G$2:$G$40,MATCH(MIN(ABS(AH29-'ICL3'!$F$2:$F$40)),ABS(AH29-'ICL3'!$F$2:$F$40),0))</f>
        <v>73</v>
      </c>
      <c r="U29" s="4">
        <f t="array" ref="U29">INDEX('ICL3'!$H$2:$H$40,MATCH(MIN(ABS(AH29-'ICL3'!$F$2:$F$40)),ABS(AH29-'ICL3'!$F$2:$F$40),0))</f>
        <v>24</v>
      </c>
      <c r="V29" s="4">
        <v>61</v>
      </c>
      <c r="W29" s="4">
        <v>30</v>
      </c>
      <c r="X29" s="95">
        <f>VLOOKUP($B29&amp;"__wt",'SegEnds_Xtal_BW#'!$A:$Z,24,FALSE)</f>
        <v>56</v>
      </c>
      <c r="Y29" s="4">
        <f>VLOOKUP($B29&amp;"__wt",'SegEnds_Xtal_BW#'!$A:$Z,25,FALSE)</f>
        <v>47</v>
      </c>
      <c r="Z29" s="4">
        <f>VLOOKUP($B29&amp;"__wt",'SegEnds_Xtal_BW#'!$A:$Z,26,FALSE)</f>
        <v>59</v>
      </c>
      <c r="AA29" s="27" t="str">
        <f>VLOOKUP(A29,Classification!A:B,2,FALSE)</f>
        <v>A</v>
      </c>
      <c r="AB29" s="4">
        <f>VLOOKUP(A29,'SegEnds_NonXtal_Prot#'!A:AL,10,FALSE)-VLOOKUP(A29,'SegEnds_NonXtal_Prot#'!A:AL,7,FALSE)</f>
        <v>15</v>
      </c>
      <c r="AC29" s="4">
        <f>VLOOKUP(A29,'SegEnds_NonXtal_Prot#'!A:AL,13,FALSE)-VLOOKUP(A29,'SegEnds_NonXtal_Prot#'!A:AL,10,FALSE)</f>
        <v>18</v>
      </c>
      <c r="AD29" s="4">
        <f>VLOOKUP(A29,'SegEnds_NonXtal_Prot#'!A:AL,16,FALSE)-VLOOKUP(A29,'SegEnds_NonXtal_Prot#'!A:AL,10,FALSE)</f>
        <v>51</v>
      </c>
      <c r="AE29" s="1">
        <f>VLOOKUP(A29,'SegEnds_NonXtal_Prot#'!A:AL,22,FALSE)-VLOOKUP(A29,'SegEnds_NonXtal_Prot#'!A:AL,19,FALSE)</f>
        <v>19</v>
      </c>
      <c r="AF29" s="4" t="e">
        <f>VLOOKUP(A29,'SegEnds_NonXtal_Prot#'!A:AL,28,FALSE)-VLOOKUP(A29,'SegEnds_NonXtal_Prot#'!A:AL,25,FALSE)</f>
        <v>#VALUE!</v>
      </c>
      <c r="AG29" s="1">
        <f>VLOOKUP(A29,'SegEnds_NonXtal_Prot#'!A:AL,28,FALSE)-VLOOKUP(A29,'SegEnds_NonXtal_Prot#'!A:AL,22,FALSE)</f>
        <v>45</v>
      </c>
      <c r="AH29" s="4">
        <f>VLOOKUP(A29,'SegEnds_NonXtal_Prot#'!A:AL,31,FALSE)-VLOOKUP(A29,'SegEnds_NonXtal_Prot#'!A:AL,28,FALSE)</f>
        <v>58</v>
      </c>
      <c r="AI29" s="4">
        <f>VLOOKUP(A29,'SegEnds_NonXtal_Prot#'!A:AL,34,FALSE)-VLOOKUP(A29,'SegEnds_NonXtal_Prot#'!A:AL,31,FALSE)</f>
        <v>37</v>
      </c>
      <c r="AJ29" s="1" t="str">
        <f>IF(ISERROR(MATCH(A29,'SegEnds_Xtal_Prot#'!B:B, 0)), "NoXtal", "Xtal")</f>
        <v>Xtal</v>
      </c>
    </row>
    <row r="30" spans="1:36" x14ac:dyDescent="0.2">
      <c r="A30" s="1" t="s">
        <v>377</v>
      </c>
      <c r="B30" s="1" t="str">
        <f>VLOOKUP(A30,Xtal_Templ!A:B,2,FALSE)</f>
        <v>s1pr1_human</v>
      </c>
      <c r="C30" s="5">
        <f>VLOOKUP($B30&amp;"__wt",'SegEnds_Xtal_BW#'!$A:$Z,3,FALSE)</f>
        <v>29</v>
      </c>
      <c r="D30" s="1">
        <f>VLOOKUP($B30&amp;"__wt",'SegEnds_Xtal_BW#'!$A:$Z,4,FALSE)</f>
        <v>60</v>
      </c>
      <c r="E30" s="1">
        <f>VLOOKUP($B30&amp;"__wt",'SegEnds_Xtal_BW#'!$A:$Z,5,FALSE)</f>
        <v>48</v>
      </c>
      <c r="F30" s="1">
        <f>VLOOKUP($B30&amp;"__wt",'SegEnds_Xtal_BW#'!$A:$Z,6,FALSE)</f>
        <v>51</v>
      </c>
      <c r="G30" s="1">
        <v>37</v>
      </c>
      <c r="H30" s="12">
        <v>63</v>
      </c>
      <c r="I30" s="1">
        <f>VLOOKUP($B30&amp;"__wt",'SegEnds_Xtal_BW#'!$A:$Z,9,FALSE)</f>
        <v>47</v>
      </c>
      <c r="J30" s="1">
        <f>VLOOKUP($B30&amp;"__wt",'SegEnds_Xtal_BW#'!$A:$Z,10,FALSE)</f>
        <v>53</v>
      </c>
      <c r="K30" s="12">
        <v>21</v>
      </c>
      <c r="L30" s="1">
        <f>VLOOKUP($B30&amp;"__wt",'SegEnds_Xtal_BW#'!$A:$Z,12,FALSE)</f>
        <v>56</v>
      </c>
      <c r="M30" s="1">
        <f>VLOOKUP($B30&amp;"__wt",'SegEnds_Xtal_BW#'!$A:$Z,13,FALSE)</f>
        <v>50</v>
      </c>
      <c r="N30" s="111">
        <v>56</v>
      </c>
      <c r="O30" s="89">
        <f>VLOOKUP($B30&amp;"__wt",'SegEnds_Xtal_BW#'!$A:$Z,15,FALSE)</f>
        <v>38</v>
      </c>
      <c r="P30" s="1">
        <f>VLOOKUP($B30&amp;"__wt",'SegEnds_Xtal_BW#'!$A:$Z,16,FALSE)</f>
        <v>63</v>
      </c>
      <c r="Q30" s="1" t="str">
        <f>VLOOKUP($B30&amp;"__wt",'SegEnds_Xtal_BW#'!$A:$Z,17,FALSE)</f>
        <v>-</v>
      </c>
      <c r="R30" s="1" t="str">
        <f>VLOOKUP($B30&amp;"__wt",'SegEnds_Xtal_BW#'!$A:$Z,18,FALSE)</f>
        <v>-</v>
      </c>
      <c r="S30" s="1">
        <f>VLOOKUP($B30&amp;"__wt",'SegEnds_Xtal_BW#'!$A:$Z,19,FALSE)</f>
        <v>36</v>
      </c>
      <c r="T30" s="1">
        <f t="array" ref="T30">INDEX('ICL3'!$G$2:$G$40,MATCH(MIN(ABS(AH30-'ICL3'!$F$2:$F$40)),ABS(AH30-'ICL3'!$F$2:$F$40),0))</f>
        <v>67</v>
      </c>
      <c r="U30" s="1">
        <f t="array" ref="U30">INDEX('ICL3'!$H$2:$H$40,MATCH(MIN(ABS(AH30-'ICL3'!$F$2:$F$40)),ABS(AH30-'ICL3'!$F$2:$F$40),0))</f>
        <v>26</v>
      </c>
      <c r="V30" s="1">
        <v>61</v>
      </c>
      <c r="W30" s="1">
        <v>30</v>
      </c>
      <c r="X30" s="1">
        <f>VLOOKUP($B30&amp;"__wt",'SegEnds_Xtal_BW#'!$A:$Z,24,FALSE)</f>
        <v>56</v>
      </c>
      <c r="Y30" s="1">
        <f>VLOOKUP($B30&amp;"__wt",'SegEnds_Xtal_BW#'!$A:$Z,25,FALSE)</f>
        <v>47</v>
      </c>
      <c r="Z30" s="1">
        <f>VLOOKUP($B30&amp;"__wt",'SegEnds_Xtal_BW#'!$A:$Z,26,FALSE)</f>
        <v>59</v>
      </c>
      <c r="AA30" s="27" t="str">
        <f>VLOOKUP(A30,Classification!A:B,2,FALSE)</f>
        <v>A</v>
      </c>
      <c r="AB30" s="1">
        <f>VLOOKUP(A30,'SegEnds_NonXtal_Prot#'!A:AL,10,FALSE)-VLOOKUP(A30,'SegEnds_NonXtal_Prot#'!A:AL,7,FALSE)</f>
        <v>15</v>
      </c>
      <c r="AC30" s="1">
        <f>VLOOKUP(A30,'SegEnds_NonXtal_Prot#'!A:AL,13,FALSE)-VLOOKUP(A30,'SegEnds_NonXtal_Prot#'!A:AL,10,FALSE)</f>
        <v>18</v>
      </c>
      <c r="AD30" s="1">
        <f>VLOOKUP(A30,'SegEnds_NonXtal_Prot#'!A:AL,16,FALSE)-VLOOKUP(A30,'SegEnds_NonXtal_Prot#'!A:AL,10,FALSE)</f>
        <v>51</v>
      </c>
      <c r="AE30" s="1">
        <f>VLOOKUP(A30,'SegEnds_NonXtal_Prot#'!A:AL,22,FALSE)-VLOOKUP(A30,'SegEnds_NonXtal_Prot#'!A:AL,19,FALSE)</f>
        <v>19</v>
      </c>
      <c r="AF30" s="1" t="e">
        <f>VLOOKUP(A30,'SegEnds_NonXtal_Prot#'!A:AL,28,FALSE)-VLOOKUP(A30,'SegEnds_NonXtal_Prot#'!A:AL,25,FALSE)</f>
        <v>#VALUE!</v>
      </c>
      <c r="AG30" s="1">
        <f>VLOOKUP(A30,'SegEnds_NonXtal_Prot#'!A:AL,28,FALSE)-VLOOKUP(A30,'SegEnds_NonXtal_Prot#'!A:AL,22,FALSE)</f>
        <v>45</v>
      </c>
      <c r="AH30" s="1">
        <f>VLOOKUP(A30,'SegEnds_NonXtal_Prot#'!A:AL,31,FALSE)-VLOOKUP(A30,'SegEnds_NonXtal_Prot#'!A:AL,28,FALSE)</f>
        <v>47</v>
      </c>
      <c r="AI30" s="1">
        <f>VLOOKUP(A30,'SegEnds_NonXtal_Prot#'!A:AL,34,FALSE)-VLOOKUP(A30,'SegEnds_NonXtal_Prot#'!A:AL,31,FALSE)</f>
        <v>37</v>
      </c>
      <c r="AJ30" s="1" t="str">
        <f>IF(ISERROR(MATCH(A30,'SegEnds_Xtal_Prot#'!B:B, 0)), "NoXtal", "Xtal")</f>
        <v>NoXtal</v>
      </c>
    </row>
    <row r="31" spans="1:36" x14ac:dyDescent="0.2">
      <c r="A31" s="1" t="s">
        <v>378</v>
      </c>
      <c r="B31" s="1" t="str">
        <f>VLOOKUP(A31,Xtal_Templ!A:B,2,FALSE)</f>
        <v>s1pr1_human</v>
      </c>
      <c r="C31" s="5">
        <f>VLOOKUP($B31&amp;"__wt",'SegEnds_Xtal_BW#'!$A:$Z,3,FALSE)</f>
        <v>29</v>
      </c>
      <c r="D31" s="1">
        <f>VLOOKUP($B31&amp;"__wt",'SegEnds_Xtal_BW#'!$A:$Z,4,FALSE)</f>
        <v>60</v>
      </c>
      <c r="E31" s="1">
        <f>VLOOKUP($B31&amp;"__wt",'SegEnds_Xtal_BW#'!$A:$Z,5,FALSE)</f>
        <v>48</v>
      </c>
      <c r="F31" s="1">
        <f>VLOOKUP($B31&amp;"__wt",'SegEnds_Xtal_BW#'!$A:$Z,6,FALSE)</f>
        <v>51</v>
      </c>
      <c r="G31" s="1">
        <v>37</v>
      </c>
      <c r="H31" s="12">
        <v>63</v>
      </c>
      <c r="I31" s="1">
        <f>VLOOKUP($B31&amp;"__wt",'SegEnds_Xtal_BW#'!$A:$Z,9,FALSE)</f>
        <v>47</v>
      </c>
      <c r="J31" s="1">
        <f>VLOOKUP($B31&amp;"__wt",'SegEnds_Xtal_BW#'!$A:$Z,10,FALSE)</f>
        <v>53</v>
      </c>
      <c r="K31" s="12">
        <v>21</v>
      </c>
      <c r="L31" s="1">
        <f>VLOOKUP($B31&amp;"__wt",'SegEnds_Xtal_BW#'!$A:$Z,12,FALSE)</f>
        <v>56</v>
      </c>
      <c r="M31" s="1">
        <f>VLOOKUP($B31&amp;"__wt",'SegEnds_Xtal_BW#'!$A:$Z,13,FALSE)</f>
        <v>50</v>
      </c>
      <c r="N31" s="111">
        <v>56</v>
      </c>
      <c r="O31" s="89">
        <f>VLOOKUP($B31&amp;"__wt",'SegEnds_Xtal_BW#'!$A:$Z,15,FALSE)</f>
        <v>38</v>
      </c>
      <c r="P31" s="1">
        <f>VLOOKUP($B31&amp;"__wt",'SegEnds_Xtal_BW#'!$A:$Z,16,FALSE)</f>
        <v>63</v>
      </c>
      <c r="Q31" s="1" t="str">
        <f>VLOOKUP($B31&amp;"__wt",'SegEnds_Xtal_BW#'!$A:$Z,17,FALSE)</f>
        <v>-</v>
      </c>
      <c r="R31" s="1" t="str">
        <f>VLOOKUP($B31&amp;"__wt",'SegEnds_Xtal_BW#'!$A:$Z,18,FALSE)</f>
        <v>-</v>
      </c>
      <c r="S31" s="1">
        <f>VLOOKUP($B31&amp;"__wt",'SegEnds_Xtal_BW#'!$A:$Z,19,FALSE)</f>
        <v>36</v>
      </c>
      <c r="T31" s="1">
        <f t="array" ref="T31">INDEX('ICL3'!$G$2:$G$40,MATCH(MIN(ABS(AH31-'ICL3'!$F$2:$F$40)),ABS(AH31-'ICL3'!$F$2:$F$40),0))</f>
        <v>68</v>
      </c>
      <c r="U31" s="1">
        <f t="array" ref="U31">INDEX('ICL3'!$H$2:$H$40,MATCH(MIN(ABS(AH31-'ICL3'!$F$2:$F$40)),ABS(AH31-'ICL3'!$F$2:$F$40),0))</f>
        <v>23</v>
      </c>
      <c r="V31" s="1">
        <v>61</v>
      </c>
      <c r="W31" s="1">
        <v>30</v>
      </c>
      <c r="X31" s="1">
        <f>VLOOKUP($B31&amp;"__wt",'SegEnds_Xtal_BW#'!$A:$Z,24,FALSE)</f>
        <v>56</v>
      </c>
      <c r="Y31" s="1">
        <f>VLOOKUP($B31&amp;"__wt",'SegEnds_Xtal_BW#'!$A:$Z,25,FALSE)</f>
        <v>47</v>
      </c>
      <c r="Z31" s="1">
        <f>VLOOKUP($B31&amp;"__wt",'SegEnds_Xtal_BW#'!$A:$Z,26,FALSE)</f>
        <v>59</v>
      </c>
      <c r="AA31" s="27" t="str">
        <f>VLOOKUP(A31,Classification!A:B,2,FALSE)</f>
        <v>A</v>
      </c>
      <c r="AB31" s="1">
        <f>VLOOKUP(A31,'SegEnds_NonXtal_Prot#'!A:AL,10,FALSE)-VLOOKUP(A31,'SegEnds_NonXtal_Prot#'!A:AL,7,FALSE)</f>
        <v>15</v>
      </c>
      <c r="AC31" s="1">
        <f>VLOOKUP(A31,'SegEnds_NonXtal_Prot#'!A:AL,13,FALSE)-VLOOKUP(A31,'SegEnds_NonXtal_Prot#'!A:AL,10,FALSE)</f>
        <v>18</v>
      </c>
      <c r="AD31" s="1">
        <f>VLOOKUP(A31,'SegEnds_NonXtal_Prot#'!A:AL,16,FALSE)-VLOOKUP(A31,'SegEnds_NonXtal_Prot#'!A:AL,10,FALSE)</f>
        <v>51</v>
      </c>
      <c r="AE31" s="1">
        <f>VLOOKUP(A31,'SegEnds_NonXtal_Prot#'!A:AL,22,FALSE)-VLOOKUP(A31,'SegEnds_NonXtal_Prot#'!A:AL,19,FALSE)</f>
        <v>19</v>
      </c>
      <c r="AF31" s="1" t="e">
        <f>VLOOKUP(A31,'SegEnds_NonXtal_Prot#'!A:AL,28,FALSE)-VLOOKUP(A31,'SegEnds_NonXtal_Prot#'!A:AL,25,FALSE)</f>
        <v>#VALUE!</v>
      </c>
      <c r="AG31" s="1">
        <f>VLOOKUP(A31,'SegEnds_NonXtal_Prot#'!A:AL,28,FALSE)-VLOOKUP(A31,'SegEnds_NonXtal_Prot#'!A:AL,22,FALSE)</f>
        <v>45</v>
      </c>
      <c r="AH31" s="1">
        <f>VLOOKUP(A31,'SegEnds_NonXtal_Prot#'!A:AL,31,FALSE)-VLOOKUP(A31,'SegEnds_NonXtal_Prot#'!A:AL,28,FALSE)</f>
        <v>51</v>
      </c>
      <c r="AI31" s="1">
        <f>VLOOKUP(A31,'SegEnds_NonXtal_Prot#'!A:AL,34,FALSE)-VLOOKUP(A31,'SegEnds_NonXtal_Prot#'!A:AL,31,FALSE)</f>
        <v>37</v>
      </c>
      <c r="AJ31" s="1" t="str">
        <f>IF(ISERROR(MATCH(A31,'SegEnds_Xtal_Prot#'!B:B, 0)), "NoXtal", "Xtal")</f>
        <v>NoXtal</v>
      </c>
    </row>
    <row r="32" spans="1:36" x14ac:dyDescent="0.2">
      <c r="A32" s="1" t="s">
        <v>380</v>
      </c>
      <c r="B32" s="1" t="str">
        <f>VLOOKUP(A32,Xtal_Templ!A:B,2,FALSE)</f>
        <v>s1pr1_human</v>
      </c>
      <c r="C32" s="5">
        <f>VLOOKUP($B32&amp;"__wt",'SegEnds_Xtal_BW#'!$A:$Z,3,FALSE)</f>
        <v>29</v>
      </c>
      <c r="D32" s="1">
        <f>VLOOKUP($B32&amp;"__wt",'SegEnds_Xtal_BW#'!$A:$Z,4,FALSE)</f>
        <v>60</v>
      </c>
      <c r="E32" s="1">
        <f>VLOOKUP($B32&amp;"__wt",'SegEnds_Xtal_BW#'!$A:$Z,5,FALSE)</f>
        <v>48</v>
      </c>
      <c r="F32" s="1">
        <f>VLOOKUP($B32&amp;"__wt",'SegEnds_Xtal_BW#'!$A:$Z,6,FALSE)</f>
        <v>51</v>
      </c>
      <c r="G32" s="1">
        <v>37</v>
      </c>
      <c r="H32" s="12">
        <v>63</v>
      </c>
      <c r="I32" s="1">
        <f>VLOOKUP($B32&amp;"__wt",'SegEnds_Xtal_BW#'!$A:$Z,9,FALSE)</f>
        <v>47</v>
      </c>
      <c r="J32" s="1">
        <f>VLOOKUP($B32&amp;"__wt",'SegEnds_Xtal_BW#'!$A:$Z,10,FALSE)</f>
        <v>53</v>
      </c>
      <c r="K32" s="12">
        <v>21</v>
      </c>
      <c r="L32" s="1">
        <f>VLOOKUP($B32&amp;"__wt",'SegEnds_Xtal_BW#'!$A:$Z,12,FALSE)</f>
        <v>56</v>
      </c>
      <c r="M32" s="1">
        <f>VLOOKUP($B32&amp;"__wt",'SegEnds_Xtal_BW#'!$A:$Z,13,FALSE)</f>
        <v>50</v>
      </c>
      <c r="N32" s="111">
        <v>56</v>
      </c>
      <c r="O32" s="89">
        <f>VLOOKUP($B32&amp;"__wt",'SegEnds_Xtal_BW#'!$A:$Z,15,FALSE)</f>
        <v>38</v>
      </c>
      <c r="P32" s="1">
        <f>VLOOKUP($B32&amp;"__wt",'SegEnds_Xtal_BW#'!$A:$Z,16,FALSE)</f>
        <v>63</v>
      </c>
      <c r="Q32" s="1" t="str">
        <f>VLOOKUP($B32&amp;"__wt",'SegEnds_Xtal_BW#'!$A:$Z,17,FALSE)</f>
        <v>-</v>
      </c>
      <c r="R32" s="1" t="str">
        <f>VLOOKUP($B32&amp;"__wt",'SegEnds_Xtal_BW#'!$A:$Z,18,FALSE)</f>
        <v>-</v>
      </c>
      <c r="S32" s="1">
        <f>VLOOKUP($B32&amp;"__wt",'SegEnds_Xtal_BW#'!$A:$Z,19,FALSE)</f>
        <v>36</v>
      </c>
      <c r="T32" s="1">
        <f t="array" ref="T32">INDEX('ICL3'!$G$2:$G$40,MATCH(MIN(ABS(AH32-'ICL3'!$F$2:$F$40)),ABS(AH32-'ICL3'!$F$2:$F$40),0))</f>
        <v>74</v>
      </c>
      <c r="U32" s="1">
        <f t="array" ref="U32">INDEX('ICL3'!$H$2:$H$40,MATCH(MIN(ABS(AH32-'ICL3'!$F$2:$F$40)),ABS(AH32-'ICL3'!$F$2:$F$40),0))</f>
        <v>21</v>
      </c>
      <c r="V32" s="1">
        <v>61</v>
      </c>
      <c r="W32" s="1">
        <v>30</v>
      </c>
      <c r="X32" s="1">
        <f>VLOOKUP($B32&amp;"__wt",'SegEnds_Xtal_BW#'!$A:$Z,24,FALSE)</f>
        <v>56</v>
      </c>
      <c r="Y32" s="1">
        <f>VLOOKUP($B32&amp;"__wt",'SegEnds_Xtal_BW#'!$A:$Z,25,FALSE)</f>
        <v>47</v>
      </c>
      <c r="Z32" s="1">
        <f>VLOOKUP($B32&amp;"__wt",'SegEnds_Xtal_BW#'!$A:$Z,26,FALSE)</f>
        <v>59</v>
      </c>
      <c r="AA32" s="27" t="str">
        <f>VLOOKUP(A32,Classification!A:B,2,FALSE)</f>
        <v>A</v>
      </c>
      <c r="AB32" s="1">
        <f>VLOOKUP(A32,'SegEnds_NonXtal_Prot#'!A:AL,10,FALSE)-VLOOKUP(A32,'SegEnds_NonXtal_Prot#'!A:AL,7,FALSE)</f>
        <v>15</v>
      </c>
      <c r="AC32" s="1">
        <f>VLOOKUP(A32,'SegEnds_NonXtal_Prot#'!A:AL,13,FALSE)-VLOOKUP(A32,'SegEnds_NonXtal_Prot#'!A:AL,10,FALSE)</f>
        <v>18</v>
      </c>
      <c r="AD32" s="1">
        <f>VLOOKUP(A32,'SegEnds_NonXtal_Prot#'!A:AL,16,FALSE)-VLOOKUP(A32,'SegEnds_NonXtal_Prot#'!A:AL,10,FALSE)</f>
        <v>51</v>
      </c>
      <c r="AE32" s="1">
        <f>VLOOKUP(A32,'SegEnds_NonXtal_Prot#'!A:AL,22,FALSE)-VLOOKUP(A32,'SegEnds_NonXtal_Prot#'!A:AL,19,FALSE)</f>
        <v>19</v>
      </c>
      <c r="AF32" s="1" t="e">
        <f>VLOOKUP(A32,'SegEnds_NonXtal_Prot#'!A:AL,28,FALSE)-VLOOKUP(A32,'SegEnds_NonXtal_Prot#'!A:AL,25,FALSE)</f>
        <v>#VALUE!</v>
      </c>
      <c r="AG32" s="1">
        <f>VLOOKUP(A32,'SegEnds_NonXtal_Prot#'!A:AL,28,FALSE)-VLOOKUP(A32,'SegEnds_NonXtal_Prot#'!A:AL,22,FALSE)</f>
        <v>45</v>
      </c>
      <c r="AH32" s="1">
        <f>VLOOKUP(A32,'SegEnds_NonXtal_Prot#'!A:AL,31,FALSE)-VLOOKUP(A32,'SegEnds_NonXtal_Prot#'!A:AL,28,FALSE)</f>
        <v>62</v>
      </c>
      <c r="AI32" s="1">
        <f>VLOOKUP(A32,'SegEnds_NonXtal_Prot#'!A:AL,34,FALSE)-VLOOKUP(A32,'SegEnds_NonXtal_Prot#'!A:AL,31,FALSE)</f>
        <v>37</v>
      </c>
      <c r="AJ32" s="1" t="str">
        <f>IF(ISERROR(MATCH(A32,'SegEnds_Xtal_Prot#'!B:B, 0)), "NoXtal", "Xtal")</f>
        <v>NoXtal</v>
      </c>
    </row>
    <row r="33" spans="1:36" x14ac:dyDescent="0.2">
      <c r="A33" s="1" t="s">
        <v>396</v>
      </c>
      <c r="B33" s="1" t="str">
        <f>VLOOKUP(A33,Xtal_Templ!A:B,2,FALSE)</f>
        <v>adrb2_human</v>
      </c>
      <c r="C33" s="5">
        <f>VLOOKUP($B33&amp;"__wt",'SegEnds_Xtal_BW#'!$A:$Z,3,FALSE)</f>
        <v>25</v>
      </c>
      <c r="D33" s="1">
        <f>VLOOKUP($B33&amp;"__wt",'SegEnds_Xtal_BW#'!$A:$Z,4,FALSE)</f>
        <v>60</v>
      </c>
      <c r="E33" s="1">
        <f>VLOOKUP($B33&amp;"__wt",'SegEnds_Xtal_BW#'!$A:$Z,5,FALSE)</f>
        <v>48</v>
      </c>
      <c r="F33" s="1">
        <f>VLOOKUP($B33&amp;"__wt",'SegEnds_Xtal_BW#'!$A:$Z,6,FALSE)</f>
        <v>51</v>
      </c>
      <c r="G33" s="1">
        <v>37</v>
      </c>
      <c r="H33" s="12">
        <v>66</v>
      </c>
      <c r="I33" s="1">
        <f>VLOOKUP($B33&amp;"__wt",'SegEnds_Xtal_BW#'!$A:$Z,9,FALSE)</f>
        <v>49</v>
      </c>
      <c r="J33" s="1">
        <f>VLOOKUP($B33&amp;"__wt",'SegEnds_Xtal_BW#'!$A:$Z,10,FALSE)</f>
        <v>52</v>
      </c>
      <c r="K33" s="12">
        <v>21</v>
      </c>
      <c r="L33" s="1">
        <f>VLOOKUP($B33&amp;"__wt",'SegEnds_Xtal_BW#'!$A:$Z,12,FALSE)</f>
        <v>56</v>
      </c>
      <c r="M33" s="1">
        <f>VLOOKUP($B33&amp;"__wt",'SegEnds_Xtal_BW#'!$A:$Z,13,FALSE)</f>
        <v>50</v>
      </c>
      <c r="N33" s="111">
        <v>56</v>
      </c>
      <c r="O33" s="89">
        <f>VLOOKUP($B33&amp;"__wt",'SegEnds_Xtal_BW#'!$A:$Z,15,FALSE)</f>
        <v>38</v>
      </c>
      <c r="P33" s="1">
        <f>VLOOKUP($B33&amp;"__wt",'SegEnds_Xtal_BW#'!$A:$Z,16,FALSE)</f>
        <v>64</v>
      </c>
      <c r="Q33" s="1">
        <f>VLOOKUP($B33&amp;"__wt",'SegEnds_Xtal_BW#'!$A:$Z,17,FALSE)</f>
        <v>50</v>
      </c>
      <c r="R33" s="1">
        <f>VLOOKUP($B33&amp;"__wt",'SegEnds_Xtal_BW#'!$A:$Z,18,FALSE)</f>
        <v>52</v>
      </c>
      <c r="S33" s="1">
        <f>VLOOKUP($B33&amp;"__wt",'SegEnds_Xtal_BW#'!$A:$Z,19,FALSE)</f>
        <v>35</v>
      </c>
      <c r="T33" s="1">
        <f t="array" ref="T33">INDEX('ICL3'!$G$2:$G$40,MATCH(MIN(ABS(AH33-'ICL3'!$F$2:$F$40)),ABS(AH33-'ICL3'!$F$2:$F$40),0))</f>
        <v>72</v>
      </c>
      <c r="U33" s="1">
        <f t="array" ref="U33">INDEX('ICL3'!$H$2:$H$40,MATCH(MIN(ABS(AH33-'ICL3'!$F$2:$F$40)),ABS(AH33-'ICL3'!$F$2:$F$40),0))</f>
        <v>29</v>
      </c>
      <c r="V33" s="1">
        <v>61</v>
      </c>
      <c r="W33" s="1">
        <v>28</v>
      </c>
      <c r="X33" s="1">
        <f>VLOOKUP($B33&amp;"__wt",'SegEnds_Xtal_BW#'!$A:$Z,24,FALSE)</f>
        <v>55</v>
      </c>
      <c r="Y33" s="1">
        <f>VLOOKUP($B33&amp;"__wt",'SegEnds_Xtal_BW#'!$A:$Z,25,FALSE)</f>
        <v>47</v>
      </c>
      <c r="Z33" s="1">
        <f>VLOOKUP($B33&amp;"__wt",'SegEnds_Xtal_BW#'!$A:$Z,26,FALSE)</f>
        <v>59</v>
      </c>
      <c r="AA33" s="27" t="str">
        <f>VLOOKUP(A33,Classification!A:B,2,FALSE)</f>
        <v>A</v>
      </c>
      <c r="AB33" s="1">
        <f>VLOOKUP(A33,'SegEnds_NonXtal_Prot#'!A:AL,10,FALSE)-VLOOKUP(A33,'SegEnds_NonXtal_Prot#'!A:AL,7,FALSE)</f>
        <v>15</v>
      </c>
      <c r="AC33" s="1">
        <f>VLOOKUP(A33,'SegEnds_NonXtal_Prot#'!A:AL,13,FALSE)-VLOOKUP(A33,'SegEnds_NonXtal_Prot#'!A:AL,10,FALSE)</f>
        <v>19</v>
      </c>
      <c r="AD33" s="1">
        <f>VLOOKUP(A33,'SegEnds_NonXtal_Prot#'!A:AL,16,FALSE)-VLOOKUP(A33,'SegEnds_NonXtal_Prot#'!A:AL,10,FALSE)</f>
        <v>51</v>
      </c>
      <c r="AE33" s="1">
        <f>VLOOKUP(A33,'SegEnds_NonXtal_Prot#'!A:AL,22,FALSE)-VLOOKUP(A33,'SegEnds_NonXtal_Prot#'!A:AL,19,FALSE)</f>
        <v>19</v>
      </c>
      <c r="AF33" s="1">
        <f>VLOOKUP(A33,'SegEnds_NonXtal_Prot#'!A:AL,28,FALSE)-VLOOKUP(A33,'SegEnds_NonXtal_Prot#'!A:AL,25,FALSE)</f>
        <v>24</v>
      </c>
      <c r="AG33" s="1">
        <f>VLOOKUP(A33,'SegEnds_NonXtal_Prot#'!A:AL,28,FALSE)-VLOOKUP(A33,'SegEnds_NonXtal_Prot#'!A:AL,22,FALSE)</f>
        <v>49</v>
      </c>
      <c r="AH33" s="1">
        <f>VLOOKUP(A33,'SegEnds_NonXtal_Prot#'!A:AL,31,FALSE)-VLOOKUP(A33,'SegEnds_NonXtal_Prot#'!A:AL,28,FALSE)</f>
        <v>50</v>
      </c>
      <c r="AI33" s="1">
        <f>VLOOKUP(A33,'SegEnds_NonXtal_Prot#'!A:AL,34,FALSE)-VLOOKUP(A33,'SegEnds_NonXtal_Prot#'!A:AL,31,FALSE)</f>
        <v>39</v>
      </c>
      <c r="AJ33" s="1" t="str">
        <f>IF(ISERROR(MATCH(A33,'SegEnds_Xtal_Prot#'!B:B, 0)), "NoXtal", "Xtal")</f>
        <v>NoXtal</v>
      </c>
    </row>
    <row r="34" spans="1:36" x14ac:dyDescent="0.2">
      <c r="A34" s="1" t="s">
        <v>397</v>
      </c>
      <c r="B34" s="1" t="str">
        <f>VLOOKUP(A34,Xtal_Templ!A:B,2,FALSE)</f>
        <v>ox2r_human</v>
      </c>
      <c r="C34" s="5">
        <f>VLOOKUP($B34&amp;"__wt",'SegEnds_Xtal_BW#'!$A:$Z,3,FALSE)</f>
        <v>31</v>
      </c>
      <c r="D34" s="1">
        <f>VLOOKUP($B34&amp;"__wt",'SegEnds_Xtal_BW#'!$A:$Z,4,FALSE)</f>
        <v>60</v>
      </c>
      <c r="E34" s="1">
        <f>VLOOKUP($B34&amp;"__wt",'SegEnds_Xtal_BW#'!$A:$Z,5,FALSE)</f>
        <v>48</v>
      </c>
      <c r="F34" s="1">
        <f>VLOOKUP($B34&amp;"__wt",'SegEnds_Xtal_BW#'!$A:$Z,6,FALSE)</f>
        <v>51</v>
      </c>
      <c r="G34" s="1">
        <v>37</v>
      </c>
      <c r="H34" s="12">
        <f>VLOOKUP($B34&amp;"__wt",'SegEnds_Xtal_BW#'!$A:$Z,8,FALSE)</f>
        <v>67</v>
      </c>
      <c r="I34" s="1">
        <f>VLOOKUP($B34&amp;"__wt",'SegEnds_Xtal_BW#'!$A:$Z,9,FALSE)</f>
        <v>49</v>
      </c>
      <c r="J34" s="1">
        <f>VLOOKUP($B34&amp;"__wt",'SegEnds_Xtal_BW#'!$A:$Z,10,FALSE)</f>
        <v>52</v>
      </c>
      <c r="K34" s="12">
        <v>18</v>
      </c>
      <c r="L34" s="1">
        <f>VLOOKUP($B34&amp;"__wt",'SegEnds_Xtal_BW#'!$A:$Z,12,FALSE)</f>
        <v>56</v>
      </c>
      <c r="M34" s="1">
        <f>VLOOKUP($B34&amp;"__wt",'SegEnds_Xtal_BW#'!$A:$Z,13,FALSE)</f>
        <v>50</v>
      </c>
      <c r="N34" s="111">
        <v>56</v>
      </c>
      <c r="O34" s="89">
        <f>VLOOKUP($B34&amp;"__wt",'SegEnds_Xtal_BW#'!$A:$Z,15,FALSE)</f>
        <v>38</v>
      </c>
      <c r="P34" s="1">
        <f>VLOOKUP($B34&amp;"__wt",'SegEnds_Xtal_BW#'!$A:$Z,16,FALSE)</f>
        <v>64</v>
      </c>
      <c r="Q34" s="1">
        <f>VLOOKUP($B34&amp;"__wt",'SegEnds_Xtal_BW#'!$A:$Z,17,FALSE)</f>
        <v>50</v>
      </c>
      <c r="R34" s="1">
        <f>VLOOKUP($B34&amp;"__wt",'SegEnds_Xtal_BW#'!$A:$Z,18,FALSE)</f>
        <v>52</v>
      </c>
      <c r="S34" s="1">
        <f>VLOOKUP($B34&amp;"__wt",'SegEnds_Xtal_BW#'!$A:$Z,19,FALSE)</f>
        <v>32</v>
      </c>
      <c r="T34" s="1">
        <f t="array" ref="T34">INDEX('ICL3'!$G$2:$G$40,MATCH(MIN(ABS(AH34-'ICL3'!$F$2:$F$40)),ABS(AH34-'ICL3'!$F$2:$F$40),0))</f>
        <v>76</v>
      </c>
      <c r="U34" s="1">
        <f t="array" ref="U34">INDEX('ICL3'!$H$2:$H$40,MATCH(MIN(ABS(AH34-'ICL3'!$F$2:$F$40)),ABS(AH34-'ICL3'!$F$2:$F$40),0))</f>
        <v>24</v>
      </c>
      <c r="V34" s="1">
        <v>61</v>
      </c>
      <c r="W34" s="1">
        <v>28</v>
      </c>
      <c r="X34" s="1">
        <f>VLOOKUP($B34&amp;"__wt",'SegEnds_Xtal_BW#'!$A:$Z,24,FALSE)</f>
        <v>56</v>
      </c>
      <c r="Y34" s="1">
        <f>VLOOKUP($B34&amp;"__wt",'SegEnds_Xtal_BW#'!$A:$Z,25,FALSE)</f>
        <v>47</v>
      </c>
      <c r="Z34" s="1">
        <f>VLOOKUP($B34&amp;"__wt",'SegEnds_Xtal_BW#'!$A:$Z,26,FALSE)</f>
        <v>58</v>
      </c>
      <c r="AA34" s="27" t="str">
        <f>VLOOKUP(A34,Classification!A:B,2,FALSE)</f>
        <v>A</v>
      </c>
      <c r="AB34" s="1">
        <f>VLOOKUP(A34,'SegEnds_NonXtal_Prot#'!A:AL,10,FALSE)-VLOOKUP(A34,'SegEnds_NonXtal_Prot#'!A:AL,7,FALSE)</f>
        <v>15</v>
      </c>
      <c r="AC34" s="1">
        <f>VLOOKUP(A34,'SegEnds_NonXtal_Prot#'!A:AL,13,FALSE)-VLOOKUP(A34,'SegEnds_NonXtal_Prot#'!A:AL,10,FALSE)</f>
        <v>18</v>
      </c>
      <c r="AD34" s="1">
        <f>VLOOKUP(A34,'SegEnds_NonXtal_Prot#'!A:AL,16,FALSE)-VLOOKUP(A34,'SegEnds_NonXtal_Prot#'!A:AL,10,FALSE)</f>
        <v>52</v>
      </c>
      <c r="AE34" s="1">
        <f>VLOOKUP(A34,'SegEnds_NonXtal_Prot#'!A:AL,22,FALSE)-VLOOKUP(A34,'SegEnds_NonXtal_Prot#'!A:AL,19,FALSE)</f>
        <v>19</v>
      </c>
      <c r="AF34" s="1">
        <f>VLOOKUP(A34,'SegEnds_NonXtal_Prot#'!A:AL,28,FALSE)-VLOOKUP(A34,'SegEnds_NonXtal_Prot#'!A:AL,25,FALSE)</f>
        <v>25</v>
      </c>
      <c r="AG34" s="1">
        <f>VLOOKUP(A34,'SegEnds_NonXtal_Prot#'!A:AL,28,FALSE)-VLOOKUP(A34,'SegEnds_NonXtal_Prot#'!A:AL,22,FALSE)</f>
        <v>53</v>
      </c>
      <c r="AH34" s="1">
        <f>VLOOKUP(A34,'SegEnds_NonXtal_Prot#'!A:AL,31,FALSE)-VLOOKUP(A34,'SegEnds_NonXtal_Prot#'!A:AL,28,FALSE)</f>
        <v>78</v>
      </c>
      <c r="AI34" s="1">
        <f>VLOOKUP(A34,'SegEnds_NonXtal_Prot#'!A:AL,34,FALSE)-VLOOKUP(A34,'SegEnds_NonXtal_Prot#'!A:AL,31,FALSE)</f>
        <v>39</v>
      </c>
      <c r="AJ34" s="1" t="str">
        <f>IF(ISERROR(MATCH(A34,'SegEnds_Xtal_Prot#'!B:B, 0)), "NoXtal", "Xtal")</f>
        <v>NoXtal</v>
      </c>
    </row>
    <row r="35" spans="1:36" x14ac:dyDescent="0.2">
      <c r="A35" s="1" t="s">
        <v>398</v>
      </c>
      <c r="B35" s="1" t="str">
        <f>VLOOKUP(A35,Xtal_Templ!A:B,2,FALSE)</f>
        <v>s1pr1_human</v>
      </c>
      <c r="C35" s="5">
        <f>VLOOKUP($B35&amp;"__wt",'SegEnds_Xtal_BW#'!$A:$Z,3,FALSE)</f>
        <v>29</v>
      </c>
      <c r="D35" s="1">
        <f>VLOOKUP($B35&amp;"__wt",'SegEnds_Xtal_BW#'!$A:$Z,4,FALSE)</f>
        <v>60</v>
      </c>
      <c r="E35" s="1">
        <f>VLOOKUP($B35&amp;"__wt",'SegEnds_Xtal_BW#'!$A:$Z,5,FALSE)</f>
        <v>48</v>
      </c>
      <c r="F35" s="1">
        <f>VLOOKUP($B35&amp;"__wt",'SegEnds_Xtal_BW#'!$A:$Z,6,FALSE)</f>
        <v>51</v>
      </c>
      <c r="G35" s="1">
        <v>37</v>
      </c>
      <c r="H35" s="12">
        <f>VLOOKUP($B35&amp;"__wt",'SegEnds_Xtal_BW#'!$A:$Z,8,FALSE)</f>
        <v>63</v>
      </c>
      <c r="I35" s="1">
        <f>VLOOKUP($B35&amp;"__wt",'SegEnds_Xtal_BW#'!$A:$Z,9,FALSE)</f>
        <v>47</v>
      </c>
      <c r="J35" s="1">
        <f>VLOOKUP($B35&amp;"__wt",'SegEnds_Xtal_BW#'!$A:$Z,10,FALSE)</f>
        <v>53</v>
      </c>
      <c r="K35" s="12">
        <v>18</v>
      </c>
      <c r="L35" s="1">
        <f>VLOOKUP($B35&amp;"__wt",'SegEnds_Xtal_BW#'!$A:$Z,12,FALSE)</f>
        <v>56</v>
      </c>
      <c r="M35" s="1">
        <f>VLOOKUP($B35&amp;"__wt",'SegEnds_Xtal_BW#'!$A:$Z,13,FALSE)</f>
        <v>50</v>
      </c>
      <c r="N35" s="111">
        <v>56</v>
      </c>
      <c r="O35" s="89">
        <f>VLOOKUP($B35&amp;"__wt",'SegEnds_Xtal_BW#'!$A:$Z,15,FALSE)</f>
        <v>38</v>
      </c>
      <c r="P35" s="1">
        <f>VLOOKUP($B35&amp;"__wt",'SegEnds_Xtal_BW#'!$A:$Z,16,FALSE)</f>
        <v>63</v>
      </c>
      <c r="Q35" s="1" t="str">
        <f>VLOOKUP($B35&amp;"__wt",'SegEnds_Xtal_BW#'!$A:$Z,17,FALSE)</f>
        <v>-</v>
      </c>
      <c r="R35" s="1" t="str">
        <f>VLOOKUP($B35&amp;"__wt",'SegEnds_Xtal_BW#'!$A:$Z,18,FALSE)</f>
        <v>-</v>
      </c>
      <c r="S35" s="1">
        <f>VLOOKUP($B35&amp;"__wt",'SegEnds_Xtal_BW#'!$A:$Z,19,FALSE)</f>
        <v>36</v>
      </c>
      <c r="T35" s="1">
        <f t="array" ref="T35">INDEX('ICL3'!$G$2:$G$40,MATCH(MIN(ABS(AH35-'ICL3'!$F$2:$F$40)),ABS(AH35-'ICL3'!$F$2:$F$40),0))</f>
        <v>76</v>
      </c>
      <c r="U35" s="1">
        <f t="array" ref="U35">INDEX('ICL3'!$H$2:$H$40,MATCH(MIN(ABS(AH35-'ICL3'!$F$2:$F$40)),ABS(AH35-'ICL3'!$F$2:$F$40),0))</f>
        <v>24</v>
      </c>
      <c r="V35" s="1">
        <v>61</v>
      </c>
      <c r="W35" s="1">
        <v>28</v>
      </c>
      <c r="X35" s="1">
        <f>VLOOKUP($B35&amp;"__wt",'SegEnds_Xtal_BW#'!$A:$Z,24,FALSE)</f>
        <v>56</v>
      </c>
      <c r="Y35" s="1">
        <f>VLOOKUP($B35&amp;"__wt",'SegEnds_Xtal_BW#'!$A:$Z,25,FALSE)</f>
        <v>47</v>
      </c>
      <c r="Z35" s="1">
        <f>VLOOKUP($B35&amp;"__wt",'SegEnds_Xtal_BW#'!$A:$Z,26,FALSE)</f>
        <v>59</v>
      </c>
      <c r="AA35" s="27" t="str">
        <f>VLOOKUP(A35,Classification!A:B,2,FALSE)</f>
        <v>A</v>
      </c>
      <c r="AB35" s="1">
        <f>VLOOKUP(A35,'SegEnds_NonXtal_Prot#'!A:AL,10,FALSE)-VLOOKUP(A35,'SegEnds_NonXtal_Prot#'!A:AL,7,FALSE)</f>
        <v>15</v>
      </c>
      <c r="AC35" s="1">
        <f>VLOOKUP(A35,'SegEnds_NonXtal_Prot#'!A:AL,13,FALSE)-VLOOKUP(A35,'SegEnds_NonXtal_Prot#'!A:AL,10,FALSE)</f>
        <v>18</v>
      </c>
      <c r="AD35" s="1">
        <f>VLOOKUP(A35,'SegEnds_NonXtal_Prot#'!A:AL,16,FALSE)-VLOOKUP(A35,'SegEnds_NonXtal_Prot#'!A:AL,10,FALSE)</f>
        <v>52</v>
      </c>
      <c r="AE35" s="1">
        <f>VLOOKUP(A35,'SegEnds_NonXtal_Prot#'!A:AL,22,FALSE)-VLOOKUP(A35,'SegEnds_NonXtal_Prot#'!A:AL,19,FALSE)</f>
        <v>19</v>
      </c>
      <c r="AF35" s="1">
        <f>VLOOKUP(A35,'SegEnds_NonXtal_Prot#'!A:AL,28,FALSE)-VLOOKUP(A35,'SegEnds_NonXtal_Prot#'!A:AL,25,FALSE)</f>
        <v>25</v>
      </c>
      <c r="AG35" s="1">
        <f>VLOOKUP(A35,'SegEnds_NonXtal_Prot#'!A:AL,28,FALSE)-VLOOKUP(A35,'SegEnds_NonXtal_Prot#'!A:AL,22,FALSE)</f>
        <v>53</v>
      </c>
      <c r="AH35" s="1">
        <f>VLOOKUP(A35,'SegEnds_NonXtal_Prot#'!A:AL,31,FALSE)-VLOOKUP(A35,'SegEnds_NonXtal_Prot#'!A:AL,28,FALSE)</f>
        <v>85</v>
      </c>
      <c r="AI35" s="1">
        <f>VLOOKUP(A35,'SegEnds_NonXtal_Prot#'!A:AL,34,FALSE)-VLOOKUP(A35,'SegEnds_NonXtal_Prot#'!A:AL,31,FALSE)</f>
        <v>39</v>
      </c>
      <c r="AJ35" s="1" t="str">
        <f>IF(ISERROR(MATCH(A35,'SegEnds_Xtal_Prot#'!B:B, 0)), "NoXtal", "Xtal")</f>
        <v>NoXtal</v>
      </c>
    </row>
    <row r="36" spans="1:36" x14ac:dyDescent="0.2">
      <c r="A36" s="1" t="s">
        <v>128</v>
      </c>
      <c r="B36" s="1" t="str">
        <f>VLOOKUP(A36,Xtal_Templ!A:B,2,FALSE)</f>
        <v>5ht1b_human</v>
      </c>
      <c r="C36" s="5">
        <f>VLOOKUP($B36&amp;"__wt",'SegEnds_Xtal_BW#'!$A:$Z,3,FALSE)</f>
        <v>29</v>
      </c>
      <c r="D36" s="1">
        <f>VLOOKUP($B36&amp;"__wt",'SegEnds_Xtal_BW#'!$A:$Z,4,FALSE)</f>
        <v>60</v>
      </c>
      <c r="E36" s="1">
        <f>VLOOKUP($B36&amp;"__wt",'SegEnds_Xtal_BW#'!$A:$Z,5,FALSE)</f>
        <v>48</v>
      </c>
      <c r="F36" s="1">
        <f>VLOOKUP($B36&amp;"__wt",'SegEnds_Xtal_BW#'!$A:$Z,6,FALSE)</f>
        <v>51</v>
      </c>
      <c r="G36" s="1">
        <v>37</v>
      </c>
      <c r="H36" s="12">
        <f>VLOOKUP($B36&amp;"__wt",'SegEnds_Xtal_BW#'!$A:$Z,8,FALSE)</f>
        <v>67</v>
      </c>
      <c r="I36" s="1">
        <f>VLOOKUP($B36&amp;"__wt",'SegEnds_Xtal_BW#'!$A:$Z,9,FALSE)</f>
        <v>49</v>
      </c>
      <c r="J36" s="1">
        <f>VLOOKUP($B36&amp;"__wt",'SegEnds_Xtal_BW#'!$A:$Z,10,FALSE)</f>
        <v>52</v>
      </c>
      <c r="K36" s="12">
        <v>18</v>
      </c>
      <c r="L36" s="1">
        <f>VLOOKUP($B36&amp;"__wt",'SegEnds_Xtal_BW#'!$A:$Z,12,FALSE)</f>
        <v>56</v>
      </c>
      <c r="M36" s="1">
        <f>VLOOKUP($B36&amp;"__wt",'SegEnds_Xtal_BW#'!$A:$Z,13,FALSE)</f>
        <v>50</v>
      </c>
      <c r="N36" s="12">
        <v>57</v>
      </c>
      <c r="O36" s="89">
        <v>38</v>
      </c>
      <c r="P36" s="1">
        <f>VLOOKUP($B36&amp;"__wt",'SegEnds_Xtal_BW#'!$A:$Z,16,FALSE)</f>
        <v>63</v>
      </c>
      <c r="Q36" s="1">
        <f>VLOOKUP($B36&amp;"__wt",'SegEnds_Xtal_BW#'!$A:$Z,17,FALSE)</f>
        <v>50</v>
      </c>
      <c r="R36" s="1">
        <f>VLOOKUP($B36&amp;"__wt",'SegEnds_Xtal_BW#'!$A:$Z,18,FALSE)</f>
        <v>52</v>
      </c>
      <c r="S36" s="1">
        <v>35</v>
      </c>
      <c r="T36" s="1">
        <f t="array" ref="T36">INDEX('ICL3'!$G$2:$G$40,MATCH(MIN(ABS(AH36-'ICL3'!$F$2:$F$40)),ABS(AH36-'ICL3'!$F$2:$F$40),0))</f>
        <v>76</v>
      </c>
      <c r="U36" s="1">
        <f t="array" ref="U36">INDEX('ICL3'!$H$2:$H$40,MATCH(MIN(ABS(AH36-'ICL3'!$F$2:$F$40)),ABS(AH36-'ICL3'!$F$2:$F$40),0))</f>
        <v>24</v>
      </c>
      <c r="V36" s="1">
        <v>60</v>
      </c>
      <c r="W36" s="1">
        <v>31</v>
      </c>
      <c r="X36" s="34">
        <f>VLOOKUP($B36&amp;"__wt",'SegEnds_Xtal_BW#'!$A:$Z,24,FALSE)</f>
        <v>56</v>
      </c>
      <c r="Y36" s="1">
        <f>VLOOKUP($B36&amp;"__wt",'SegEnds_Xtal_BW#'!$A:$Z,25,FALSE)</f>
        <v>47</v>
      </c>
      <c r="Z36" s="1">
        <f>VLOOKUP($B36&amp;"__wt",'SegEnds_Xtal_BW#'!$A:$Z,26,FALSE)</f>
        <v>58</v>
      </c>
      <c r="AA36" s="27" t="str">
        <f>VLOOKUP(A36,Classification!A:B,2,FALSE)</f>
        <v>A</v>
      </c>
      <c r="AB36" s="1">
        <f>VLOOKUP(A36,'SegEnds_NonXtal_Prot#'!A:AL,10,FALSE)-VLOOKUP(A36,'SegEnds_NonXtal_Prot#'!A:AL,7,FALSE)</f>
        <v>15</v>
      </c>
      <c r="AC36" s="1">
        <f>VLOOKUP(A36,'SegEnds_NonXtal_Prot#'!A:AL,13,FALSE)-VLOOKUP(A36,'SegEnds_NonXtal_Prot#'!A:AL,10,FALSE)</f>
        <v>20</v>
      </c>
      <c r="AD36" s="1">
        <f>VLOOKUP(A36,'SegEnds_NonXtal_Prot#'!A:AL,16,FALSE)-VLOOKUP(A36,'SegEnds_NonXtal_Prot#'!A:AL,10,FALSE)</f>
        <v>52</v>
      </c>
      <c r="AE36" s="1">
        <f>VLOOKUP(A36,'SegEnds_NonXtal_Prot#'!A:AL,22,FALSE)-VLOOKUP(A36,'SegEnds_NonXtal_Prot#'!A:AL,19,FALSE)</f>
        <v>20</v>
      </c>
      <c r="AF36" s="1">
        <f>VLOOKUP(A36,'SegEnds_NonXtal_Prot#'!A:AL,28,FALSE)-VLOOKUP(A36,'SegEnds_NonXtal_Prot#'!A:AL,25,FALSE)</f>
        <v>20</v>
      </c>
      <c r="AG36" s="1">
        <f>VLOOKUP(A36,'SegEnds_NonXtal_Prot#'!A:AL,28,FALSE)-VLOOKUP(A36,'SegEnds_NonXtal_Prot#'!A:AL,22,FALSE)</f>
        <v>46</v>
      </c>
      <c r="AH36" s="1">
        <f>VLOOKUP(A36,'SegEnds_NonXtal_Prot#'!A:AL,31,FALSE)-VLOOKUP(A36,'SegEnds_NonXtal_Prot#'!A:AL,28,FALSE)</f>
        <v>153</v>
      </c>
      <c r="AI36" s="1">
        <f>VLOOKUP(A36,'SegEnds_NonXtal_Prot#'!A:AL,34,FALSE)-VLOOKUP(A36,'SegEnds_NonXtal_Prot#'!A:AL,31,FALSE)</f>
        <v>37</v>
      </c>
      <c r="AJ36" s="1" t="str">
        <f>IF(ISERROR(MATCH(A36,'SegEnds_Xtal_Prot#'!B:B, 0)), "NoXtal", "Xtal")</f>
        <v>NoXtal</v>
      </c>
    </row>
    <row r="37" spans="1:36" x14ac:dyDescent="0.2">
      <c r="A37" s="1" t="s">
        <v>34</v>
      </c>
      <c r="B37" s="1" t="str">
        <f>VLOOKUP(A37,Xtal_Templ!A:B,2,FALSE)</f>
        <v>5ht1b_human</v>
      </c>
      <c r="C37" s="5">
        <f>VLOOKUP($B37&amp;"__wt",'SegEnds_Xtal_BW#'!$A:$Z,3,FALSE)</f>
        <v>29</v>
      </c>
      <c r="D37" s="1">
        <f>VLOOKUP($B37&amp;"__wt",'SegEnds_Xtal_BW#'!$A:$Z,4,FALSE)</f>
        <v>60</v>
      </c>
      <c r="E37" s="1">
        <f>VLOOKUP($B37&amp;"__wt",'SegEnds_Xtal_BW#'!$A:$Z,5,FALSE)</f>
        <v>48</v>
      </c>
      <c r="F37" s="1">
        <f>VLOOKUP($B37&amp;"__wt",'SegEnds_Xtal_BW#'!$A:$Z,6,FALSE)</f>
        <v>51</v>
      </c>
      <c r="G37" s="1">
        <v>37</v>
      </c>
      <c r="H37" s="12">
        <f>VLOOKUP($B37&amp;"__wt",'SegEnds_Xtal_BW#'!$A:$Z,8,FALSE)</f>
        <v>67</v>
      </c>
      <c r="I37" s="1">
        <f>VLOOKUP($B37&amp;"__wt",'SegEnds_Xtal_BW#'!$A:$Z,9,FALSE)</f>
        <v>49</v>
      </c>
      <c r="J37" s="1">
        <f>VLOOKUP($B37&amp;"__wt",'SegEnds_Xtal_BW#'!$A:$Z,10,FALSE)</f>
        <v>52</v>
      </c>
      <c r="K37" s="12">
        <v>18</v>
      </c>
      <c r="L37" s="1">
        <f>VLOOKUP($B37&amp;"__wt",'SegEnds_Xtal_BW#'!$A:$Z,12,FALSE)</f>
        <v>56</v>
      </c>
      <c r="M37" s="1">
        <f>VLOOKUP($B37&amp;"__wt",'SegEnds_Xtal_BW#'!$A:$Z,13,FALSE)</f>
        <v>50</v>
      </c>
      <c r="N37" s="12">
        <f>VLOOKUP($B37&amp;"__wt",'SegEnds_Xtal_BW#'!$A:$Z,14,FALSE)</f>
        <v>57</v>
      </c>
      <c r="O37" s="89">
        <f>VLOOKUP($B37&amp;"__wt",'SegEnds_Xtal_BW#'!$A:$Z,15,FALSE)</f>
        <v>38</v>
      </c>
      <c r="P37" s="1">
        <f>VLOOKUP($B37&amp;"__wt",'SegEnds_Xtal_BW#'!$A:$Z,16,FALSE)</f>
        <v>63</v>
      </c>
      <c r="Q37" s="1">
        <f>VLOOKUP($B37&amp;"__wt",'SegEnds_Xtal_BW#'!$A:$Z,17,FALSE)</f>
        <v>50</v>
      </c>
      <c r="R37" s="1">
        <f>VLOOKUP($B37&amp;"__wt",'SegEnds_Xtal_BW#'!$A:$Z,18,FALSE)</f>
        <v>52</v>
      </c>
      <c r="S37" s="1">
        <v>35</v>
      </c>
      <c r="T37" s="1">
        <f t="array" ref="T37">INDEX('ICL3'!$G$2:$G$40,MATCH(MIN(ABS(AH37-'ICL3'!$F$2:$F$40)),ABS(AH37-'ICL3'!$F$2:$F$40),0))</f>
        <v>74</v>
      </c>
      <c r="U37" s="1">
        <f t="array" ref="U37">INDEX('ICL3'!$H$2:$H$40,MATCH(MIN(ABS(AH37-'ICL3'!$F$2:$F$40)),ABS(AH37-'ICL3'!$F$2:$F$40),0))</f>
        <v>24</v>
      </c>
      <c r="V37" s="1">
        <v>60</v>
      </c>
      <c r="W37" s="1">
        <v>31</v>
      </c>
      <c r="X37" s="34">
        <f>VLOOKUP($B37&amp;"__wt",'SegEnds_Xtal_BW#'!$A:$Z,24,FALSE)</f>
        <v>56</v>
      </c>
      <c r="Y37" s="1">
        <f>VLOOKUP($B37&amp;"__wt",'SegEnds_Xtal_BW#'!$A:$Z,25,FALSE)</f>
        <v>47</v>
      </c>
      <c r="Z37" s="1">
        <f>VLOOKUP($B37&amp;"__wt",'SegEnds_Xtal_BW#'!$A:$Z,26,FALSE)</f>
        <v>58</v>
      </c>
      <c r="AA37" s="27" t="str">
        <f>VLOOKUP(A37,Classification!A:B,2,FALSE)</f>
        <v>A</v>
      </c>
      <c r="AB37" s="1">
        <f>VLOOKUP(A37,'SegEnds_NonXtal_Prot#'!A:AL,10,FALSE)-VLOOKUP(A37,'SegEnds_NonXtal_Prot#'!A:AL,7,FALSE)</f>
        <v>15</v>
      </c>
      <c r="AC37" s="1">
        <f>VLOOKUP(A37,'SegEnds_NonXtal_Prot#'!A:AL,13,FALSE)-VLOOKUP(A37,'SegEnds_NonXtal_Prot#'!A:AL,10,FALSE)</f>
        <v>20</v>
      </c>
      <c r="AD37" s="1">
        <f>VLOOKUP(A37,'SegEnds_NonXtal_Prot#'!A:AL,16,FALSE)-VLOOKUP(A37,'SegEnds_NonXtal_Prot#'!A:AL,10,FALSE)</f>
        <v>52</v>
      </c>
      <c r="AE37" s="1">
        <f>VLOOKUP(A37,'SegEnds_NonXtal_Prot#'!A:AL,22,FALSE)-VLOOKUP(A37,'SegEnds_NonXtal_Prot#'!A:AL,19,FALSE)</f>
        <v>20</v>
      </c>
      <c r="AF37" s="1">
        <f>VLOOKUP(A37,'SegEnds_NonXtal_Prot#'!A:AL,28,FALSE)-VLOOKUP(A37,'SegEnds_NonXtal_Prot#'!A:AL,25,FALSE)</f>
        <v>21</v>
      </c>
      <c r="AG37" s="1">
        <f>VLOOKUP(A37,'SegEnds_NonXtal_Prot#'!A:AL,28,FALSE)-VLOOKUP(A37,'SegEnds_NonXtal_Prot#'!A:AL,22,FALSE)</f>
        <v>46</v>
      </c>
      <c r="AH37" s="1">
        <f>VLOOKUP(A37,'SegEnds_NonXtal_Prot#'!A:AL,31,FALSE)-VLOOKUP(A37,'SegEnds_NonXtal_Prot#'!A:AL,28,FALSE)</f>
        <v>109</v>
      </c>
      <c r="AI37" s="1">
        <f>VLOOKUP(A37,'SegEnds_NonXtal_Prot#'!A:AL,34,FALSE)-VLOOKUP(A37,'SegEnds_NonXtal_Prot#'!A:AL,31,FALSE)</f>
        <v>37</v>
      </c>
      <c r="AJ37" s="1" t="str">
        <f>IF(ISERROR(MATCH(A37,'SegEnds_Xtal_Prot#'!B:B, 0)), "NoXtal", "Xtal")</f>
        <v>Xtal</v>
      </c>
    </row>
    <row r="38" spans="1:36" x14ac:dyDescent="0.2">
      <c r="A38" s="1" t="s">
        <v>129</v>
      </c>
      <c r="B38" s="1" t="str">
        <f>VLOOKUP(A38,Xtal_Templ!A:B,2,FALSE)</f>
        <v>5ht1b_human</v>
      </c>
      <c r="C38" s="5">
        <f>VLOOKUP($B38&amp;"__wt",'SegEnds_Xtal_BW#'!$A:$Z,3,FALSE)</f>
        <v>29</v>
      </c>
      <c r="D38" s="1">
        <f>VLOOKUP($B38&amp;"__wt",'SegEnds_Xtal_BW#'!$A:$Z,4,FALSE)</f>
        <v>60</v>
      </c>
      <c r="E38" s="1">
        <f>VLOOKUP($B38&amp;"__wt",'SegEnds_Xtal_BW#'!$A:$Z,5,FALSE)</f>
        <v>48</v>
      </c>
      <c r="F38" s="1">
        <f>VLOOKUP($B38&amp;"__wt",'SegEnds_Xtal_BW#'!$A:$Z,6,FALSE)</f>
        <v>51</v>
      </c>
      <c r="G38" s="1">
        <v>37</v>
      </c>
      <c r="H38" s="12">
        <f>VLOOKUP($B38&amp;"__wt",'SegEnds_Xtal_BW#'!$A:$Z,8,FALSE)</f>
        <v>67</v>
      </c>
      <c r="I38" s="1">
        <f>VLOOKUP($B38&amp;"__wt",'SegEnds_Xtal_BW#'!$A:$Z,9,FALSE)</f>
        <v>49</v>
      </c>
      <c r="J38" s="1">
        <f>VLOOKUP($B38&amp;"__wt",'SegEnds_Xtal_BW#'!$A:$Z,10,FALSE)</f>
        <v>52</v>
      </c>
      <c r="K38" s="12">
        <v>18</v>
      </c>
      <c r="L38" s="1">
        <f>VLOOKUP($B38&amp;"__wt",'SegEnds_Xtal_BW#'!$A:$Z,12,FALSE)</f>
        <v>56</v>
      </c>
      <c r="M38" s="1">
        <f>VLOOKUP($B38&amp;"__wt",'SegEnds_Xtal_BW#'!$A:$Z,13,FALSE)</f>
        <v>50</v>
      </c>
      <c r="N38" s="12">
        <v>57</v>
      </c>
      <c r="O38" s="89">
        <v>38</v>
      </c>
      <c r="P38" s="1">
        <f>VLOOKUP($B38&amp;"__wt",'SegEnds_Xtal_BW#'!$A:$Z,16,FALSE)</f>
        <v>63</v>
      </c>
      <c r="Q38" s="1">
        <f>VLOOKUP($B38&amp;"__wt",'SegEnds_Xtal_BW#'!$A:$Z,17,FALSE)</f>
        <v>50</v>
      </c>
      <c r="R38" s="1">
        <f>VLOOKUP($B38&amp;"__wt",'SegEnds_Xtal_BW#'!$A:$Z,18,FALSE)</f>
        <v>52</v>
      </c>
      <c r="S38" s="1">
        <v>35</v>
      </c>
      <c r="T38" s="1">
        <f t="array" ref="T38">INDEX('ICL3'!$G$2:$G$40,MATCH(MIN(ABS(AH38-'ICL3'!$F$2:$F$40)),ABS(AH38-'ICL3'!$F$2:$F$40),0))</f>
        <v>74</v>
      </c>
      <c r="U38" s="1">
        <f t="array" ref="U38">INDEX('ICL3'!$H$2:$H$40,MATCH(MIN(ABS(AH38-'ICL3'!$F$2:$F$40)),ABS(AH38-'ICL3'!$F$2:$F$40),0))</f>
        <v>24</v>
      </c>
      <c r="V38" s="1">
        <v>60</v>
      </c>
      <c r="W38" s="1">
        <v>31</v>
      </c>
      <c r="X38" s="34">
        <f>VLOOKUP($B38&amp;"__wt",'SegEnds_Xtal_BW#'!$A:$Z,24,FALSE)</f>
        <v>56</v>
      </c>
      <c r="Y38" s="1">
        <f>VLOOKUP($B38&amp;"__wt",'SegEnds_Xtal_BW#'!$A:$Z,25,FALSE)</f>
        <v>47</v>
      </c>
      <c r="Z38" s="1">
        <f>VLOOKUP($B38&amp;"__wt",'SegEnds_Xtal_BW#'!$A:$Z,26,FALSE)</f>
        <v>58</v>
      </c>
      <c r="AA38" s="27" t="str">
        <f>VLOOKUP(A38,Classification!A:B,2,FALSE)</f>
        <v>A</v>
      </c>
      <c r="AB38" s="1">
        <f>VLOOKUP(A38,'SegEnds_NonXtal_Prot#'!A:AL,10,FALSE)-VLOOKUP(A38,'SegEnds_NonXtal_Prot#'!A:AL,7,FALSE)</f>
        <v>15</v>
      </c>
      <c r="AC38" s="1">
        <f>VLOOKUP(A38,'SegEnds_NonXtal_Prot#'!A:AL,13,FALSE)-VLOOKUP(A38,'SegEnds_NonXtal_Prot#'!A:AL,10,FALSE)</f>
        <v>20</v>
      </c>
      <c r="AD38" s="1">
        <f>VLOOKUP(A38,'SegEnds_NonXtal_Prot#'!A:AL,16,FALSE)-VLOOKUP(A38,'SegEnds_NonXtal_Prot#'!A:AL,10,FALSE)</f>
        <v>52</v>
      </c>
      <c r="AE38" s="1">
        <f>VLOOKUP(A38,'SegEnds_NonXtal_Prot#'!A:AL,22,FALSE)-VLOOKUP(A38,'SegEnds_NonXtal_Prot#'!A:AL,19,FALSE)</f>
        <v>20</v>
      </c>
      <c r="AF38" s="1">
        <f>VLOOKUP(A38,'SegEnds_NonXtal_Prot#'!A:AL,28,FALSE)-VLOOKUP(A38,'SegEnds_NonXtal_Prot#'!A:AL,25,FALSE)</f>
        <v>21</v>
      </c>
      <c r="AG38" s="1">
        <f>VLOOKUP(A38,'SegEnds_NonXtal_Prot#'!A:AL,28,FALSE)-VLOOKUP(A38,'SegEnds_NonXtal_Prot#'!A:AL,22,FALSE)</f>
        <v>46</v>
      </c>
      <c r="AH38" s="1">
        <f>VLOOKUP(A38,'SegEnds_NonXtal_Prot#'!A:AL,31,FALSE)-VLOOKUP(A38,'SegEnds_NonXtal_Prot#'!A:AL,28,FALSE)</f>
        <v>107</v>
      </c>
      <c r="AI38" s="1">
        <f>VLOOKUP(A38,'SegEnds_NonXtal_Prot#'!A:AL,34,FALSE)-VLOOKUP(A38,'SegEnds_NonXtal_Prot#'!A:AL,31,FALSE)</f>
        <v>37</v>
      </c>
      <c r="AJ38" s="1" t="str">
        <f>IF(ISERROR(MATCH(A38,'SegEnds_Xtal_Prot#'!B:B, 0)), "NoXtal", "Xtal")</f>
        <v>NoXtal</v>
      </c>
    </row>
    <row r="39" spans="1:36" x14ac:dyDescent="0.2">
      <c r="A39" s="1" t="s">
        <v>130</v>
      </c>
      <c r="B39" s="1" t="str">
        <f>VLOOKUP(A39,Xtal_Templ!A:B,2,FALSE)</f>
        <v>5ht1b_human</v>
      </c>
      <c r="C39" s="5">
        <f>VLOOKUP($B39&amp;"__wt",'SegEnds_Xtal_BW#'!$A:$Z,3,FALSE)</f>
        <v>29</v>
      </c>
      <c r="D39" s="1">
        <f>VLOOKUP($B39&amp;"__wt",'SegEnds_Xtal_BW#'!$A:$Z,4,FALSE)</f>
        <v>60</v>
      </c>
      <c r="E39" s="1">
        <f>VLOOKUP($B39&amp;"__wt",'SegEnds_Xtal_BW#'!$A:$Z,5,FALSE)</f>
        <v>48</v>
      </c>
      <c r="F39" s="1">
        <f>VLOOKUP($B39&amp;"__wt",'SegEnds_Xtal_BW#'!$A:$Z,6,FALSE)</f>
        <v>51</v>
      </c>
      <c r="G39" s="1">
        <v>37</v>
      </c>
      <c r="H39" s="12">
        <f>VLOOKUP($B39&amp;"__wt",'SegEnds_Xtal_BW#'!$A:$Z,8,FALSE)</f>
        <v>67</v>
      </c>
      <c r="I39" s="1">
        <f>VLOOKUP($B39&amp;"__wt",'SegEnds_Xtal_BW#'!$A:$Z,9,FALSE)</f>
        <v>49</v>
      </c>
      <c r="J39" s="1">
        <f>VLOOKUP($B39&amp;"__wt",'SegEnds_Xtal_BW#'!$A:$Z,10,FALSE)</f>
        <v>52</v>
      </c>
      <c r="K39" s="12">
        <v>18</v>
      </c>
      <c r="L39" s="1">
        <f>VLOOKUP($B39&amp;"__wt",'SegEnds_Xtal_BW#'!$A:$Z,12,FALSE)</f>
        <v>56</v>
      </c>
      <c r="M39" s="1">
        <f>VLOOKUP($B39&amp;"__wt",'SegEnds_Xtal_BW#'!$A:$Z,13,FALSE)</f>
        <v>50</v>
      </c>
      <c r="N39" s="12">
        <v>57</v>
      </c>
      <c r="O39" s="89">
        <v>38</v>
      </c>
      <c r="P39" s="1">
        <f>VLOOKUP($B39&amp;"__wt",'SegEnds_Xtal_BW#'!$A:$Z,16,FALSE)</f>
        <v>63</v>
      </c>
      <c r="Q39" s="1">
        <f>VLOOKUP($B39&amp;"__wt",'SegEnds_Xtal_BW#'!$A:$Z,17,FALSE)</f>
        <v>50</v>
      </c>
      <c r="R39" s="1">
        <f>VLOOKUP($B39&amp;"__wt",'SegEnds_Xtal_BW#'!$A:$Z,18,FALSE)</f>
        <v>52</v>
      </c>
      <c r="S39" s="1">
        <v>35</v>
      </c>
      <c r="T39" s="1">
        <f t="array" ref="T39">INDEX('ICL3'!$G$2:$G$40,MATCH(MIN(ABS(AH39-'ICL3'!$F$2:$F$40)),ABS(AH39-'ICL3'!$F$2:$F$40),0))</f>
        <v>76</v>
      </c>
      <c r="U39" s="1">
        <f t="array" ref="U39">INDEX('ICL3'!$H$2:$H$40,MATCH(MIN(ABS(AH39-'ICL3'!$F$2:$F$40)),ABS(AH39-'ICL3'!$F$2:$F$40),0))</f>
        <v>24</v>
      </c>
      <c r="V39" s="1">
        <v>61</v>
      </c>
      <c r="W39" s="1">
        <v>31</v>
      </c>
      <c r="X39" s="1">
        <f>VLOOKUP($B39&amp;"__wt",'SegEnds_Xtal_BW#'!$A:$Z,24,FALSE)</f>
        <v>56</v>
      </c>
      <c r="Y39" s="1">
        <f>VLOOKUP($B39&amp;"__wt",'SegEnds_Xtal_BW#'!$A:$Z,25,FALSE)</f>
        <v>47</v>
      </c>
      <c r="Z39" s="1">
        <f>VLOOKUP($B39&amp;"__wt",'SegEnds_Xtal_BW#'!$A:$Z,26,FALSE)</f>
        <v>58</v>
      </c>
      <c r="AA39" s="27" t="str">
        <f>VLOOKUP(A39,Classification!A:B,2,FALSE)</f>
        <v>A</v>
      </c>
      <c r="AB39" s="1">
        <f>VLOOKUP(A39,'SegEnds_NonXtal_Prot#'!A:AL,10,FALSE)-VLOOKUP(A39,'SegEnds_NonXtal_Prot#'!A:AL,7,FALSE)</f>
        <v>15</v>
      </c>
      <c r="AC39" s="1">
        <f>VLOOKUP(A39,'SegEnds_NonXtal_Prot#'!A:AL,13,FALSE)-VLOOKUP(A39,'SegEnds_NonXtal_Prot#'!A:AL,10,FALSE)</f>
        <v>20</v>
      </c>
      <c r="AD39" s="1">
        <f>VLOOKUP(A39,'SegEnds_NonXtal_Prot#'!A:AL,16,FALSE)-VLOOKUP(A39,'SegEnds_NonXtal_Prot#'!A:AL,10,FALSE)</f>
        <v>52</v>
      </c>
      <c r="AE39" s="1">
        <f>VLOOKUP(A39,'SegEnds_NonXtal_Prot#'!A:AL,22,FALSE)-VLOOKUP(A39,'SegEnds_NonXtal_Prot#'!A:AL,19,FALSE)</f>
        <v>20</v>
      </c>
      <c r="AF39" s="1">
        <f>VLOOKUP(A39,'SegEnds_NonXtal_Prot#'!A:AL,28,FALSE)-VLOOKUP(A39,'SegEnds_NonXtal_Prot#'!A:AL,25,FALSE)</f>
        <v>21</v>
      </c>
      <c r="AG39" s="1">
        <f>VLOOKUP(A39,'SegEnds_NonXtal_Prot#'!A:AL,28,FALSE)-VLOOKUP(A39,'SegEnds_NonXtal_Prot#'!A:AL,22,FALSE)</f>
        <v>47</v>
      </c>
      <c r="AH39" s="1">
        <f>VLOOKUP(A39,'SegEnds_NonXtal_Prot#'!A:AL,31,FALSE)-VLOOKUP(A39,'SegEnds_NonXtal_Prot#'!A:AL,28,FALSE)</f>
        <v>112</v>
      </c>
      <c r="AI39" s="1">
        <f>VLOOKUP(A39,'SegEnds_NonXtal_Prot#'!A:AL,34,FALSE)-VLOOKUP(A39,'SegEnds_NonXtal_Prot#'!A:AL,31,FALSE)</f>
        <v>35</v>
      </c>
      <c r="AJ39" s="1" t="str">
        <f>IF(ISERROR(MATCH(A39,'SegEnds_Xtal_Prot#'!B:B, 0)), "NoXtal", "Xtal")</f>
        <v>NoXtal</v>
      </c>
    </row>
    <row r="40" spans="1:36" x14ac:dyDescent="0.2">
      <c r="A40" s="1" t="s">
        <v>131</v>
      </c>
      <c r="B40" s="1" t="str">
        <f>VLOOKUP(A40,Xtal_Templ!A:B,2,FALSE)</f>
        <v>5ht1b_human</v>
      </c>
      <c r="C40" s="5">
        <f>VLOOKUP($B40&amp;"__wt",'SegEnds_Xtal_BW#'!$A:$Z,3,FALSE)</f>
        <v>29</v>
      </c>
      <c r="D40" s="1">
        <f>VLOOKUP($B40&amp;"__wt",'SegEnds_Xtal_BW#'!$A:$Z,4,FALSE)</f>
        <v>60</v>
      </c>
      <c r="E40" s="1">
        <f>VLOOKUP($B40&amp;"__wt",'SegEnds_Xtal_BW#'!$A:$Z,5,FALSE)</f>
        <v>48</v>
      </c>
      <c r="F40" s="1">
        <f>VLOOKUP($B40&amp;"__wt",'SegEnds_Xtal_BW#'!$A:$Z,6,FALSE)</f>
        <v>51</v>
      </c>
      <c r="G40" s="1">
        <v>37</v>
      </c>
      <c r="H40" s="12">
        <f>VLOOKUP($B40&amp;"__wt",'SegEnds_Xtal_BW#'!$A:$Z,8,FALSE)</f>
        <v>67</v>
      </c>
      <c r="I40" s="1">
        <f>VLOOKUP($B40&amp;"__wt",'SegEnds_Xtal_BW#'!$A:$Z,9,FALSE)</f>
        <v>49</v>
      </c>
      <c r="J40" s="1">
        <f>VLOOKUP($B40&amp;"__wt",'SegEnds_Xtal_BW#'!$A:$Z,10,FALSE)</f>
        <v>52</v>
      </c>
      <c r="K40" s="12">
        <v>18</v>
      </c>
      <c r="L40" s="1">
        <f>VLOOKUP($B40&amp;"__wt",'SegEnds_Xtal_BW#'!$A:$Z,12,FALSE)</f>
        <v>56</v>
      </c>
      <c r="M40" s="1">
        <f>VLOOKUP($B40&amp;"__wt",'SegEnds_Xtal_BW#'!$A:$Z,13,FALSE)</f>
        <v>50</v>
      </c>
      <c r="N40" s="12">
        <v>57</v>
      </c>
      <c r="O40" s="89">
        <v>38</v>
      </c>
      <c r="P40" s="1">
        <f>VLOOKUP($B40&amp;"__wt",'SegEnds_Xtal_BW#'!$A:$Z,16,FALSE)</f>
        <v>63</v>
      </c>
      <c r="Q40" s="1">
        <f>VLOOKUP($B40&amp;"__wt",'SegEnds_Xtal_BW#'!$A:$Z,17,FALSE)</f>
        <v>50</v>
      </c>
      <c r="R40" s="1">
        <f>VLOOKUP($B40&amp;"__wt",'SegEnds_Xtal_BW#'!$A:$Z,18,FALSE)</f>
        <v>52</v>
      </c>
      <c r="S40" s="1">
        <v>35</v>
      </c>
      <c r="T40" s="1">
        <f t="array" ref="T40">INDEX('ICL3'!$G$2:$G$40,MATCH(MIN(ABS(AH40-'ICL3'!$F$2:$F$40)),ABS(AH40-'ICL3'!$F$2:$F$40),0))</f>
        <v>76</v>
      </c>
      <c r="U40" s="1">
        <f t="array" ref="U40">INDEX('ICL3'!$H$2:$H$40,MATCH(MIN(ABS(AH40-'ICL3'!$F$2:$F$40)),ABS(AH40-'ICL3'!$F$2:$F$40),0))</f>
        <v>24</v>
      </c>
      <c r="V40" s="1">
        <v>61</v>
      </c>
      <c r="W40" s="1">
        <v>31</v>
      </c>
      <c r="X40" s="1">
        <f>VLOOKUP($B40&amp;"__wt",'SegEnds_Xtal_BW#'!$A:$Z,24,FALSE)</f>
        <v>56</v>
      </c>
      <c r="Y40" s="1">
        <f>VLOOKUP($B40&amp;"__wt",'SegEnds_Xtal_BW#'!$A:$Z,25,FALSE)</f>
        <v>47</v>
      </c>
      <c r="Z40" s="1">
        <f>VLOOKUP($B40&amp;"__wt",'SegEnds_Xtal_BW#'!$A:$Z,26,FALSE)</f>
        <v>58</v>
      </c>
      <c r="AA40" s="27" t="str">
        <f>VLOOKUP(A40,Classification!A:B,2,FALSE)</f>
        <v>A</v>
      </c>
      <c r="AB40" s="1">
        <f>VLOOKUP(A40,'SegEnds_NonXtal_Prot#'!A:AL,10,FALSE)-VLOOKUP(A40,'SegEnds_NonXtal_Prot#'!A:AL,7,FALSE)</f>
        <v>15</v>
      </c>
      <c r="AC40" s="1">
        <f>VLOOKUP(A40,'SegEnds_NonXtal_Prot#'!A:AL,13,FALSE)-VLOOKUP(A40,'SegEnds_NonXtal_Prot#'!A:AL,10,FALSE)</f>
        <v>20</v>
      </c>
      <c r="AD40" s="1">
        <f>VLOOKUP(A40,'SegEnds_NonXtal_Prot#'!A:AL,16,FALSE)-VLOOKUP(A40,'SegEnds_NonXtal_Prot#'!A:AL,10,FALSE)</f>
        <v>52</v>
      </c>
      <c r="AE40" s="1">
        <f>VLOOKUP(A40,'SegEnds_NonXtal_Prot#'!A:AL,22,FALSE)-VLOOKUP(A40,'SegEnds_NonXtal_Prot#'!A:AL,19,FALSE)</f>
        <v>20</v>
      </c>
      <c r="AF40" s="1">
        <f>VLOOKUP(A40,'SegEnds_NonXtal_Prot#'!A:AL,28,FALSE)-VLOOKUP(A40,'SegEnds_NonXtal_Prot#'!A:AL,25,FALSE)</f>
        <v>21</v>
      </c>
      <c r="AG40" s="1">
        <f>VLOOKUP(A40,'SegEnds_NonXtal_Prot#'!A:AL,28,FALSE)-VLOOKUP(A40,'SegEnds_NonXtal_Prot#'!A:AL,22,FALSE)</f>
        <v>45</v>
      </c>
      <c r="AH40" s="1">
        <f>VLOOKUP(A40,'SegEnds_NonXtal_Prot#'!A:AL,31,FALSE)-VLOOKUP(A40,'SegEnds_NonXtal_Prot#'!A:AL,28,FALSE)</f>
        <v>115</v>
      </c>
      <c r="AI40" s="1">
        <f>VLOOKUP(A40,'SegEnds_NonXtal_Prot#'!A:AL,34,FALSE)-VLOOKUP(A40,'SegEnds_NonXtal_Prot#'!A:AL,31,FALSE)</f>
        <v>36</v>
      </c>
      <c r="AJ40" s="1" t="str">
        <f>IF(ISERROR(MATCH(A40,'SegEnds_Xtal_Prot#'!B:B, 0)), "NoXtal", "Xtal")</f>
        <v>NoXtal</v>
      </c>
    </row>
    <row r="41" spans="1:36" x14ac:dyDescent="0.2">
      <c r="A41" s="1" t="s">
        <v>132</v>
      </c>
      <c r="B41" s="1" t="str">
        <f>VLOOKUP(A41,Xtal_Templ!A:B,2,FALSE)</f>
        <v>5ht2b_human</v>
      </c>
      <c r="C41" s="5">
        <f>VLOOKUP($B41&amp;"__wt",'SegEnds_Xtal_BW#'!$A:$Z,3,FALSE)</f>
        <v>32</v>
      </c>
      <c r="D41" s="1">
        <f>VLOOKUP($B41&amp;"__wt",'SegEnds_Xtal_BW#'!$A:$Z,4,FALSE)</f>
        <v>60</v>
      </c>
      <c r="E41" s="1">
        <f>VLOOKUP($B41&amp;"__wt",'SegEnds_Xtal_BW#'!$A:$Z,5,FALSE)</f>
        <v>48</v>
      </c>
      <c r="F41" s="1">
        <f>VLOOKUP($B41&amp;"__wt",'SegEnds_Xtal_BW#'!$A:$Z,6,FALSE)</f>
        <v>51</v>
      </c>
      <c r="G41" s="1">
        <v>37</v>
      </c>
      <c r="H41" s="12">
        <f>VLOOKUP($B41&amp;"__wt",'SegEnds_Xtal_BW#'!$A:$Z,8,FALSE)</f>
        <v>67</v>
      </c>
      <c r="I41" s="1">
        <f>VLOOKUP($B41&amp;"__wt",'SegEnds_Xtal_BW#'!$A:$Z,9,FALSE)</f>
        <v>49</v>
      </c>
      <c r="J41" s="1">
        <f>VLOOKUP($B41&amp;"__wt",'SegEnds_Xtal_BW#'!$A:$Z,10,FALSE)</f>
        <v>52</v>
      </c>
      <c r="K41" s="12">
        <v>18</v>
      </c>
      <c r="L41" s="1">
        <f>VLOOKUP($B41&amp;"__wt",'SegEnds_Xtal_BW#'!$A:$Z,12,FALSE)</f>
        <v>56</v>
      </c>
      <c r="M41" s="1">
        <f>VLOOKUP($B41&amp;"__wt",'SegEnds_Xtal_BW#'!$A:$Z,13,FALSE)</f>
        <v>50</v>
      </c>
      <c r="N41" s="12">
        <v>57</v>
      </c>
      <c r="O41" s="89">
        <f>VLOOKUP($B41&amp;"__wt",'SegEnds_Xtal_BW#'!$A:$Z,15,FALSE)</f>
        <v>38</v>
      </c>
      <c r="P41" s="1">
        <f>VLOOKUP($B41&amp;"__wt",'SegEnds_Xtal_BW#'!$A:$Z,16,FALSE)</f>
        <v>64</v>
      </c>
      <c r="Q41" s="1">
        <f>VLOOKUP($B41&amp;"__wt",'SegEnds_Xtal_BW#'!$A:$Z,17,FALSE)</f>
        <v>50</v>
      </c>
      <c r="R41" s="1">
        <f>VLOOKUP($B41&amp;"__wt",'SegEnds_Xtal_BW#'!$A:$Z,18,FALSE)</f>
        <v>52</v>
      </c>
      <c r="S41" s="1">
        <v>35</v>
      </c>
      <c r="T41" s="1">
        <f t="array" ref="T41">INDEX('ICL3'!$G$2:$G$40,MATCH(MIN(ABS(AH41-'ICL3'!$F$2:$F$40)),ABS(AH41-'ICL3'!$F$2:$F$40),0))</f>
        <v>76</v>
      </c>
      <c r="U41" s="1">
        <f t="array" ref="U41">INDEX('ICL3'!$H$2:$H$40,MATCH(MIN(ABS(AH41-'ICL3'!$F$2:$F$40)),ABS(AH41-'ICL3'!$F$2:$F$40),0))</f>
        <v>24</v>
      </c>
      <c r="V41" s="1">
        <v>61</v>
      </c>
      <c r="W41" s="1">
        <v>28</v>
      </c>
      <c r="X41" s="1">
        <f>VLOOKUP($B41&amp;"__wt",'SegEnds_Xtal_BW#'!$A:$Z,24,FALSE)</f>
        <v>56</v>
      </c>
      <c r="Y41" s="1">
        <f>VLOOKUP($B41&amp;"__wt",'SegEnds_Xtal_BW#'!$A:$Z,25,FALSE)</f>
        <v>47</v>
      </c>
      <c r="Z41" s="1">
        <f>VLOOKUP($B41&amp;"__wt",'SegEnds_Xtal_BW#'!$A:$Z,26,FALSE)</f>
        <v>58</v>
      </c>
      <c r="AA41" s="27" t="str">
        <f>VLOOKUP(A41,Classification!A:B,2,FALSE)</f>
        <v>A</v>
      </c>
      <c r="AB41" s="1">
        <f>VLOOKUP(A41,'SegEnds_NonXtal_Prot#'!A:AL,10,FALSE)-VLOOKUP(A41,'SegEnds_NonXtal_Prot#'!A:AL,7,FALSE)</f>
        <v>15</v>
      </c>
      <c r="AC41" s="1">
        <f>VLOOKUP(A41,'SegEnds_NonXtal_Prot#'!A:AL,13,FALSE)-VLOOKUP(A41,'SegEnds_NonXtal_Prot#'!A:AL,10,FALSE)</f>
        <v>21</v>
      </c>
      <c r="AD41" s="1">
        <f>VLOOKUP(A41,'SegEnds_NonXtal_Prot#'!A:AL,16,FALSE)-VLOOKUP(A41,'SegEnds_NonXtal_Prot#'!A:AL,10,FALSE)</f>
        <v>53</v>
      </c>
      <c r="AE41" s="1">
        <f>VLOOKUP(A41,'SegEnds_NonXtal_Prot#'!A:AL,22,FALSE)-VLOOKUP(A41,'SegEnds_NonXtal_Prot#'!A:AL,19,FALSE)</f>
        <v>20</v>
      </c>
      <c r="AF41" s="1">
        <f>VLOOKUP(A41,'SegEnds_NonXtal_Prot#'!A:AL,28,FALSE)-VLOOKUP(A41,'SegEnds_NonXtal_Prot#'!A:AL,25,FALSE)</f>
        <v>19</v>
      </c>
      <c r="AG41" s="1">
        <f>VLOOKUP(A41,'SegEnds_NonXtal_Prot#'!A:AL,28,FALSE)-VLOOKUP(A41,'SegEnds_NonXtal_Prot#'!A:AL,22,FALSE)</f>
        <v>46</v>
      </c>
      <c r="AH41" s="1">
        <f>VLOOKUP(A41,'SegEnds_NonXtal_Prot#'!A:AL,31,FALSE)-VLOOKUP(A41,'SegEnds_NonXtal_Prot#'!A:AL,28,FALSE)</f>
        <v>92</v>
      </c>
      <c r="AI41" s="1">
        <f>VLOOKUP(A41,'SegEnds_NonXtal_Prot#'!A:AL,34,FALSE)-VLOOKUP(A41,'SegEnds_NonXtal_Prot#'!A:AL,31,FALSE)</f>
        <v>39</v>
      </c>
      <c r="AJ41" s="1" t="str">
        <f>IF(ISERROR(MATCH(A41,'SegEnds_Xtal_Prot#'!B:B, 0)), "NoXtal", "Xtal")</f>
        <v>NoXtal</v>
      </c>
    </row>
    <row r="42" spans="1:36" x14ac:dyDescent="0.2">
      <c r="A42" s="1" t="s">
        <v>35</v>
      </c>
      <c r="B42" s="1" t="str">
        <f>VLOOKUP(A42,Xtal_Templ!A:B,2,FALSE)</f>
        <v>5ht2b_human</v>
      </c>
      <c r="C42" s="5">
        <f>VLOOKUP($B42&amp;"__wt",'SegEnds_Xtal_BW#'!$A:$Z,3,FALSE)</f>
        <v>32</v>
      </c>
      <c r="D42" s="1">
        <f>VLOOKUP($B42&amp;"__wt",'SegEnds_Xtal_BW#'!$A:$Z,4,FALSE)</f>
        <v>60</v>
      </c>
      <c r="E42" s="1">
        <f>VLOOKUP($B42&amp;"__wt",'SegEnds_Xtal_BW#'!$A:$Z,5,FALSE)</f>
        <v>48</v>
      </c>
      <c r="F42" s="1">
        <f>VLOOKUP($B42&amp;"__wt",'SegEnds_Xtal_BW#'!$A:$Z,6,FALSE)</f>
        <v>51</v>
      </c>
      <c r="G42" s="1">
        <v>37</v>
      </c>
      <c r="H42" s="12">
        <f>VLOOKUP($B42&amp;"__wt",'SegEnds_Xtal_BW#'!$A:$Z,8,FALSE)</f>
        <v>67</v>
      </c>
      <c r="I42" s="1">
        <f>VLOOKUP($B42&amp;"__wt",'SegEnds_Xtal_BW#'!$A:$Z,9,FALSE)</f>
        <v>49</v>
      </c>
      <c r="J42" s="1">
        <f>VLOOKUP($B42&amp;"__wt",'SegEnds_Xtal_BW#'!$A:$Z,10,FALSE)</f>
        <v>52</v>
      </c>
      <c r="K42" s="12">
        <v>18</v>
      </c>
      <c r="L42" s="1">
        <f>VLOOKUP($B42&amp;"__wt",'SegEnds_Xtal_BW#'!$A:$Z,12,FALSE)</f>
        <v>56</v>
      </c>
      <c r="M42" s="1">
        <f>VLOOKUP($B42&amp;"__wt",'SegEnds_Xtal_BW#'!$A:$Z,13,FALSE)</f>
        <v>50</v>
      </c>
      <c r="N42" s="12">
        <f>VLOOKUP($B42&amp;"__wt",'SegEnds_Xtal_BW#'!$A:$Z,14,FALSE)</f>
        <v>57</v>
      </c>
      <c r="O42" s="89">
        <f>VLOOKUP($B42&amp;"__wt",'SegEnds_Xtal_BW#'!$A:$Z,15,FALSE)</f>
        <v>38</v>
      </c>
      <c r="P42" s="1">
        <f>VLOOKUP($B42&amp;"__wt",'SegEnds_Xtal_BW#'!$A:$Z,16,FALSE)</f>
        <v>64</v>
      </c>
      <c r="Q42" s="1">
        <f>VLOOKUP($B42&amp;"__wt",'SegEnds_Xtal_BW#'!$A:$Z,17,FALSE)</f>
        <v>50</v>
      </c>
      <c r="R42" s="1">
        <f>VLOOKUP($B42&amp;"__wt",'SegEnds_Xtal_BW#'!$A:$Z,18,FALSE)</f>
        <v>52</v>
      </c>
      <c r="S42" s="1">
        <v>35</v>
      </c>
      <c r="T42" s="1">
        <f t="array" ref="T42">INDEX('ICL3'!$G$2:$G$40,MATCH(MIN(ABS(AH42-'ICL3'!$F$2:$F$40)),ABS(AH42-'ICL3'!$F$2:$F$40),0))</f>
        <v>76</v>
      </c>
      <c r="U42" s="1">
        <f t="array" ref="U42">INDEX('ICL3'!$H$2:$H$40,MATCH(MIN(ABS(AH42-'ICL3'!$F$2:$F$40)),ABS(AH42-'ICL3'!$F$2:$F$40),0))</f>
        <v>24</v>
      </c>
      <c r="V42" s="1">
        <v>61</v>
      </c>
      <c r="W42" s="1">
        <v>28</v>
      </c>
      <c r="X42" s="1">
        <f>VLOOKUP($B42&amp;"__wt",'SegEnds_Xtal_BW#'!$A:$Z,24,FALSE)</f>
        <v>56</v>
      </c>
      <c r="Y42" s="1">
        <f>VLOOKUP($B42&amp;"__wt",'SegEnds_Xtal_BW#'!$A:$Z,25,FALSE)</f>
        <v>47</v>
      </c>
      <c r="Z42" s="1">
        <f>VLOOKUP($B42&amp;"__wt",'SegEnds_Xtal_BW#'!$A:$Z,26,FALSE)</f>
        <v>58</v>
      </c>
      <c r="AA42" s="27" t="str">
        <f>VLOOKUP(A42,Classification!A:B,2,FALSE)</f>
        <v>A</v>
      </c>
      <c r="AB42" s="1">
        <f>VLOOKUP(A42,'SegEnds_NonXtal_Prot#'!A:AL,10,FALSE)-VLOOKUP(A42,'SegEnds_NonXtal_Prot#'!A:AL,7,FALSE)</f>
        <v>15</v>
      </c>
      <c r="AC42" s="1">
        <f>VLOOKUP(A42,'SegEnds_NonXtal_Prot#'!A:AL,13,FALSE)-VLOOKUP(A42,'SegEnds_NonXtal_Prot#'!A:AL,10,FALSE)</f>
        <v>21</v>
      </c>
      <c r="AD42" s="1">
        <f>VLOOKUP(A42,'SegEnds_NonXtal_Prot#'!A:AL,16,FALSE)-VLOOKUP(A42,'SegEnds_NonXtal_Prot#'!A:AL,10,FALSE)</f>
        <v>53</v>
      </c>
      <c r="AE42" s="1">
        <f>VLOOKUP(A42,'SegEnds_NonXtal_Prot#'!A:AL,22,FALSE)-VLOOKUP(A42,'SegEnds_NonXtal_Prot#'!A:AL,19,FALSE)</f>
        <v>20</v>
      </c>
      <c r="AF42" s="1">
        <f>VLOOKUP(A42,'SegEnds_NonXtal_Prot#'!A:AL,28,FALSE)-VLOOKUP(A42,'SegEnds_NonXtal_Prot#'!A:AL,25,FALSE)</f>
        <v>22</v>
      </c>
      <c r="AG42" s="1">
        <f>VLOOKUP(A42,'SegEnds_NonXtal_Prot#'!A:AL,28,FALSE)-VLOOKUP(A42,'SegEnds_NonXtal_Prot#'!A:AL,22,FALSE)</f>
        <v>49</v>
      </c>
      <c r="AH42" s="1">
        <f>VLOOKUP(A42,'SegEnds_NonXtal_Prot#'!A:AL,31,FALSE)-VLOOKUP(A42,'SegEnds_NonXtal_Prot#'!A:AL,28,FALSE)</f>
        <v>110</v>
      </c>
      <c r="AI42" s="1">
        <f>VLOOKUP(A42,'SegEnds_NonXtal_Prot#'!A:AL,34,FALSE)-VLOOKUP(A42,'SegEnds_NonXtal_Prot#'!A:AL,31,FALSE)</f>
        <v>38</v>
      </c>
      <c r="AJ42" s="1" t="str">
        <f>IF(ISERROR(MATCH(A42,'SegEnds_Xtal_Prot#'!B:B, 0)), "NoXtal", "Xtal")</f>
        <v>Xtal</v>
      </c>
    </row>
    <row r="43" spans="1:36" x14ac:dyDescent="0.2">
      <c r="A43" s="1" t="s">
        <v>133</v>
      </c>
      <c r="B43" s="1" t="str">
        <f>VLOOKUP(A43,Xtal_Templ!A:B,2,FALSE)</f>
        <v>5ht2b_human</v>
      </c>
      <c r="C43" s="5">
        <f>VLOOKUP($B43&amp;"__wt",'SegEnds_Xtal_BW#'!$A:$Z,3,FALSE)</f>
        <v>32</v>
      </c>
      <c r="D43" s="1">
        <f>VLOOKUP($B43&amp;"__wt",'SegEnds_Xtal_BW#'!$A:$Z,4,FALSE)</f>
        <v>60</v>
      </c>
      <c r="E43" s="1">
        <f>VLOOKUP($B43&amp;"__wt",'SegEnds_Xtal_BW#'!$A:$Z,5,FALSE)</f>
        <v>48</v>
      </c>
      <c r="F43" s="1">
        <f>VLOOKUP($B43&amp;"__wt",'SegEnds_Xtal_BW#'!$A:$Z,6,FALSE)</f>
        <v>51</v>
      </c>
      <c r="G43" s="1">
        <v>37</v>
      </c>
      <c r="H43" s="12">
        <f>VLOOKUP($B43&amp;"__wt",'SegEnds_Xtal_BW#'!$A:$Z,8,FALSE)</f>
        <v>67</v>
      </c>
      <c r="I43" s="1">
        <f>VLOOKUP($B43&amp;"__wt",'SegEnds_Xtal_BW#'!$A:$Z,9,FALSE)</f>
        <v>49</v>
      </c>
      <c r="J43" s="1">
        <f>VLOOKUP($B43&amp;"__wt",'SegEnds_Xtal_BW#'!$A:$Z,10,FALSE)</f>
        <v>52</v>
      </c>
      <c r="K43" s="12">
        <v>18</v>
      </c>
      <c r="L43" s="1">
        <f>VLOOKUP($B43&amp;"__wt",'SegEnds_Xtal_BW#'!$A:$Z,12,FALSE)</f>
        <v>56</v>
      </c>
      <c r="M43" s="1">
        <f>VLOOKUP($B43&amp;"__wt",'SegEnds_Xtal_BW#'!$A:$Z,13,FALSE)</f>
        <v>50</v>
      </c>
      <c r="N43" s="12">
        <v>57</v>
      </c>
      <c r="O43" s="89">
        <f>VLOOKUP($B43&amp;"__wt",'SegEnds_Xtal_BW#'!$A:$Z,15,FALSE)</f>
        <v>38</v>
      </c>
      <c r="P43" s="1">
        <f>VLOOKUP($B43&amp;"__wt",'SegEnds_Xtal_BW#'!$A:$Z,16,FALSE)</f>
        <v>64</v>
      </c>
      <c r="Q43" s="1">
        <f>VLOOKUP($B43&amp;"__wt",'SegEnds_Xtal_BW#'!$A:$Z,17,FALSE)</f>
        <v>50</v>
      </c>
      <c r="R43" s="1">
        <f>VLOOKUP($B43&amp;"__wt",'SegEnds_Xtal_BW#'!$A:$Z,18,FALSE)</f>
        <v>52</v>
      </c>
      <c r="S43" s="1">
        <v>35</v>
      </c>
      <c r="T43" s="1">
        <f t="array" ref="T43">INDEX('ICL3'!$G$2:$G$40,MATCH(MIN(ABS(AH43-'ICL3'!$F$2:$F$40)),ABS(AH43-'ICL3'!$F$2:$F$40),0))</f>
        <v>74</v>
      </c>
      <c r="U43" s="1">
        <f t="array" ref="U43">INDEX('ICL3'!$H$2:$H$40,MATCH(MIN(ABS(AH43-'ICL3'!$F$2:$F$40)),ABS(AH43-'ICL3'!$F$2:$F$40),0))</f>
        <v>24</v>
      </c>
      <c r="V43" s="1">
        <v>61</v>
      </c>
      <c r="W43" s="1">
        <v>28</v>
      </c>
      <c r="X43" s="1">
        <f>VLOOKUP($B43&amp;"__wt",'SegEnds_Xtal_BW#'!$A:$Z,24,FALSE)</f>
        <v>56</v>
      </c>
      <c r="Y43" s="1">
        <f>VLOOKUP($B43&amp;"__wt",'SegEnds_Xtal_BW#'!$A:$Z,25,FALSE)</f>
        <v>47</v>
      </c>
      <c r="Z43" s="1">
        <f>VLOOKUP($B43&amp;"__wt",'SegEnds_Xtal_BW#'!$A:$Z,26,FALSE)</f>
        <v>58</v>
      </c>
      <c r="AA43" s="27" t="str">
        <f>VLOOKUP(A43,Classification!A:B,2,FALSE)</f>
        <v>A</v>
      </c>
      <c r="AB43" s="1">
        <f>VLOOKUP(A43,'SegEnds_NonXtal_Prot#'!A:AL,10,FALSE)-VLOOKUP(A43,'SegEnds_NonXtal_Prot#'!A:AL,7,FALSE)</f>
        <v>15</v>
      </c>
      <c r="AC43" s="1">
        <f>VLOOKUP(A43,'SegEnds_NonXtal_Prot#'!A:AL,13,FALSE)-VLOOKUP(A43,'SegEnds_NonXtal_Prot#'!A:AL,10,FALSE)</f>
        <v>21</v>
      </c>
      <c r="AD43" s="1">
        <f>VLOOKUP(A43,'SegEnds_NonXtal_Prot#'!A:AL,16,FALSE)-VLOOKUP(A43,'SegEnds_NonXtal_Prot#'!A:AL,10,FALSE)</f>
        <v>53</v>
      </c>
      <c r="AE43" s="1">
        <f>VLOOKUP(A43,'SegEnds_NonXtal_Prot#'!A:AL,22,FALSE)-VLOOKUP(A43,'SegEnds_NonXtal_Prot#'!A:AL,19,FALSE)</f>
        <v>20</v>
      </c>
      <c r="AF43" s="1">
        <f>VLOOKUP(A43,'SegEnds_NonXtal_Prot#'!A:AL,28,FALSE)-VLOOKUP(A43,'SegEnds_NonXtal_Prot#'!A:AL,25,FALSE)</f>
        <v>19</v>
      </c>
      <c r="AG43" s="1">
        <f>VLOOKUP(A43,'SegEnds_NonXtal_Prot#'!A:AL,28,FALSE)-VLOOKUP(A43,'SegEnds_NonXtal_Prot#'!A:AL,22,FALSE)</f>
        <v>47</v>
      </c>
      <c r="AH43" s="1">
        <f>VLOOKUP(A43,'SegEnds_NonXtal_Prot#'!A:AL,31,FALSE)-VLOOKUP(A43,'SegEnds_NonXtal_Prot#'!A:AL,28,FALSE)</f>
        <v>100</v>
      </c>
      <c r="AI43" s="1">
        <f>VLOOKUP(A43,'SegEnds_NonXtal_Prot#'!A:AL,34,FALSE)-VLOOKUP(A43,'SegEnds_NonXtal_Prot#'!A:AL,31,FALSE)</f>
        <v>39</v>
      </c>
      <c r="AJ43" s="1" t="str">
        <f>IF(ISERROR(MATCH(A43,'SegEnds_Xtal_Prot#'!B:B, 0)), "NoXtal", "Xtal")</f>
        <v>NoXtal</v>
      </c>
    </row>
    <row r="44" spans="1:36" x14ac:dyDescent="0.2">
      <c r="A44" s="1" t="s">
        <v>134</v>
      </c>
      <c r="B44" s="1" t="str">
        <f>VLOOKUP(A44,Xtal_Templ!A:B,2,FALSE)</f>
        <v>adrb2_human</v>
      </c>
      <c r="C44" s="5">
        <f>VLOOKUP($B44&amp;"__wt",'SegEnds_Xtal_BW#'!$A:$Z,3,FALSE)</f>
        <v>25</v>
      </c>
      <c r="D44" s="1">
        <f>VLOOKUP($B44&amp;"__wt",'SegEnds_Xtal_BW#'!$A:$Z,4,FALSE)</f>
        <v>60</v>
      </c>
      <c r="E44" s="1">
        <f>VLOOKUP($B44&amp;"__wt",'SegEnds_Xtal_BW#'!$A:$Z,5,FALSE)</f>
        <v>48</v>
      </c>
      <c r="F44" s="1">
        <f>VLOOKUP($B44&amp;"__wt",'SegEnds_Xtal_BW#'!$A:$Z,6,FALSE)</f>
        <v>51</v>
      </c>
      <c r="G44" s="1">
        <v>37</v>
      </c>
      <c r="H44" s="12">
        <f>VLOOKUP($B44&amp;"__wt",'SegEnds_Xtal_BW#'!$A:$Z,8,FALSE)</f>
        <v>67</v>
      </c>
      <c r="I44" s="1">
        <f>VLOOKUP($B44&amp;"__wt",'SegEnds_Xtal_BW#'!$A:$Z,9,FALSE)</f>
        <v>49</v>
      </c>
      <c r="J44" s="1">
        <f>VLOOKUP($B44&amp;"__wt",'SegEnds_Xtal_BW#'!$A:$Z,10,FALSE)</f>
        <v>52</v>
      </c>
      <c r="K44" s="12">
        <v>18</v>
      </c>
      <c r="L44" s="1">
        <f>VLOOKUP($B44&amp;"__wt",'SegEnds_Xtal_BW#'!$A:$Z,12,FALSE)</f>
        <v>56</v>
      </c>
      <c r="M44" s="1">
        <f>VLOOKUP($B44&amp;"__wt",'SegEnds_Xtal_BW#'!$A:$Z,13,FALSE)</f>
        <v>50</v>
      </c>
      <c r="N44" s="12">
        <v>57</v>
      </c>
      <c r="O44" s="89">
        <v>38</v>
      </c>
      <c r="P44" s="1">
        <f>VLOOKUP($B44&amp;"__wt",'SegEnds_Xtal_BW#'!$A:$Z,16,FALSE)</f>
        <v>64</v>
      </c>
      <c r="Q44" s="1">
        <f>VLOOKUP($B44&amp;"__wt",'SegEnds_Xtal_BW#'!$A:$Z,17,FALSE)</f>
        <v>50</v>
      </c>
      <c r="R44" s="1">
        <f>VLOOKUP($B44&amp;"__wt",'SegEnds_Xtal_BW#'!$A:$Z,18,FALSE)</f>
        <v>52</v>
      </c>
      <c r="S44" s="1">
        <v>35</v>
      </c>
      <c r="T44" s="1">
        <f t="array" ref="T44">INDEX('ICL3'!$G$2:$G$40,MATCH(MIN(ABS(AH44-'ICL3'!$F$2:$F$40)),ABS(AH44-'ICL3'!$F$2:$F$40),0))</f>
        <v>76</v>
      </c>
      <c r="U44" s="1">
        <f t="array" ref="U44">INDEX('ICL3'!$H$2:$H$40,MATCH(MIN(ABS(AH44-'ICL3'!$F$2:$F$40)),ABS(AH44-'ICL3'!$F$2:$F$40),0))</f>
        <v>24</v>
      </c>
      <c r="V44" s="1">
        <v>61</v>
      </c>
      <c r="W44" s="1">
        <v>31</v>
      </c>
      <c r="X44" s="34">
        <f>VLOOKUP($B44&amp;"__wt",'SegEnds_Xtal_BW#'!$A:$Z,24,FALSE)</f>
        <v>55</v>
      </c>
      <c r="Y44" s="1">
        <f>VLOOKUP($B44&amp;"__wt",'SegEnds_Xtal_BW#'!$A:$Z,25,FALSE)</f>
        <v>47</v>
      </c>
      <c r="Z44" s="1">
        <f>VLOOKUP($B44&amp;"__wt",'SegEnds_Xtal_BW#'!$A:$Z,26,FALSE)</f>
        <v>59</v>
      </c>
      <c r="AA44" s="27" t="str">
        <f>VLOOKUP(A44,Classification!A:B,2,FALSE)</f>
        <v>A</v>
      </c>
      <c r="AB44" s="1">
        <f>VLOOKUP(A44,'SegEnds_NonXtal_Prot#'!A:AL,10,FALSE)-VLOOKUP(A44,'SegEnds_NonXtal_Prot#'!A:AL,7,FALSE)</f>
        <v>16</v>
      </c>
      <c r="AC44" s="1">
        <f>VLOOKUP(A44,'SegEnds_NonXtal_Prot#'!A:AL,13,FALSE)-VLOOKUP(A44,'SegEnds_NonXtal_Prot#'!A:AL,10,FALSE)</f>
        <v>20</v>
      </c>
      <c r="AD44" s="1">
        <f>VLOOKUP(A44,'SegEnds_NonXtal_Prot#'!A:AL,16,FALSE)-VLOOKUP(A44,'SegEnds_NonXtal_Prot#'!A:AL,10,FALSE)</f>
        <v>52</v>
      </c>
      <c r="AE44" s="1">
        <f>VLOOKUP(A44,'SegEnds_NonXtal_Prot#'!A:AL,22,FALSE)-VLOOKUP(A44,'SegEnds_NonXtal_Prot#'!A:AL,19,FALSE)</f>
        <v>20</v>
      </c>
      <c r="AF44" s="1">
        <f>VLOOKUP(A44,'SegEnds_NonXtal_Prot#'!A:AL,28,FALSE)-VLOOKUP(A44,'SegEnds_NonXtal_Prot#'!A:AL,25,FALSE)</f>
        <v>20</v>
      </c>
      <c r="AG44" s="1">
        <f>VLOOKUP(A44,'SegEnds_NonXtal_Prot#'!A:AL,28,FALSE)-VLOOKUP(A44,'SegEnds_NonXtal_Prot#'!A:AL,22,FALSE)</f>
        <v>58</v>
      </c>
      <c r="AH44" s="1">
        <f>VLOOKUP(A44,'SegEnds_NonXtal_Prot#'!A:AL,31,FALSE)-VLOOKUP(A44,'SegEnds_NonXtal_Prot#'!A:AL,28,FALSE)</f>
        <v>70</v>
      </c>
      <c r="AI44" s="1">
        <f>VLOOKUP(A44,'SegEnds_NonXtal_Prot#'!A:AL,34,FALSE)-VLOOKUP(A44,'SegEnds_NonXtal_Prot#'!A:AL,31,FALSE)</f>
        <v>35</v>
      </c>
      <c r="AJ44" s="1" t="str">
        <f>IF(ISERROR(MATCH(A44,'SegEnds_Xtal_Prot#'!B:B, 0)), "NoXtal", "Xtal")</f>
        <v>NoXtal</v>
      </c>
    </row>
    <row r="45" spans="1:36" x14ac:dyDescent="0.2">
      <c r="A45" s="1" t="s">
        <v>135</v>
      </c>
      <c r="B45" s="1" t="str">
        <f>VLOOKUP(A45,Xtal_Templ!A:B,2,FALSE)</f>
        <v>5ht1b_human</v>
      </c>
      <c r="C45" s="5">
        <f>VLOOKUP($B45&amp;"__wt",'SegEnds_Xtal_BW#'!$A:$Z,3,FALSE)</f>
        <v>29</v>
      </c>
      <c r="D45" s="1">
        <f>VLOOKUP($B45&amp;"__wt",'SegEnds_Xtal_BW#'!$A:$Z,4,FALSE)</f>
        <v>60</v>
      </c>
      <c r="E45" s="1">
        <f>VLOOKUP($B45&amp;"__wt",'SegEnds_Xtal_BW#'!$A:$Z,5,FALSE)</f>
        <v>48</v>
      </c>
      <c r="F45" s="1">
        <f>VLOOKUP($B45&amp;"__wt",'SegEnds_Xtal_BW#'!$A:$Z,6,FALSE)</f>
        <v>51</v>
      </c>
      <c r="G45" s="1">
        <v>37</v>
      </c>
      <c r="H45" s="12">
        <f>VLOOKUP($B45&amp;"__wt",'SegEnds_Xtal_BW#'!$A:$Z,8,FALSE)</f>
        <v>67</v>
      </c>
      <c r="I45" s="1">
        <f>VLOOKUP($B45&amp;"__wt",'SegEnds_Xtal_BW#'!$A:$Z,9,FALSE)</f>
        <v>49</v>
      </c>
      <c r="J45" s="1">
        <f>VLOOKUP($B45&amp;"__wt",'SegEnds_Xtal_BW#'!$A:$Z,10,FALSE)</f>
        <v>52</v>
      </c>
      <c r="K45" s="12">
        <v>18</v>
      </c>
      <c r="L45" s="1">
        <f>VLOOKUP($B45&amp;"__wt",'SegEnds_Xtal_BW#'!$A:$Z,12,FALSE)</f>
        <v>56</v>
      </c>
      <c r="M45" s="1">
        <f>VLOOKUP($B45&amp;"__wt",'SegEnds_Xtal_BW#'!$A:$Z,13,FALSE)</f>
        <v>50</v>
      </c>
      <c r="N45" s="12">
        <v>57</v>
      </c>
      <c r="O45" s="89">
        <f>VLOOKUP($B45&amp;"__wt",'SegEnds_Xtal_BW#'!$A:$Z,15,FALSE)</f>
        <v>38</v>
      </c>
      <c r="P45" s="1">
        <f>VLOOKUP($B45&amp;"__wt",'SegEnds_Xtal_BW#'!$A:$Z,16,FALSE)</f>
        <v>63</v>
      </c>
      <c r="Q45" s="1">
        <f>VLOOKUP($B45&amp;"__wt",'SegEnds_Xtal_BW#'!$A:$Z,17,FALSE)</f>
        <v>50</v>
      </c>
      <c r="R45" s="1">
        <f>VLOOKUP($B45&amp;"__wt",'SegEnds_Xtal_BW#'!$A:$Z,18,FALSE)</f>
        <v>52</v>
      </c>
      <c r="S45" s="1">
        <v>35</v>
      </c>
      <c r="T45" s="1">
        <f t="array" ref="T45">INDEX('ICL3'!$G$2:$G$40,MATCH(MIN(ABS(AH45-'ICL3'!$F$2:$F$40)),ABS(AH45-'ICL3'!$F$2:$F$40),0))</f>
        <v>76</v>
      </c>
      <c r="U45" s="1">
        <f t="array" ref="U45">INDEX('ICL3'!$H$2:$H$40,MATCH(MIN(ABS(AH45-'ICL3'!$F$2:$F$40)),ABS(AH45-'ICL3'!$F$2:$F$40),0))</f>
        <v>24</v>
      </c>
      <c r="V45" s="1">
        <v>61</v>
      </c>
      <c r="W45" s="1">
        <v>31</v>
      </c>
      <c r="X45" s="1">
        <f>VLOOKUP($B45&amp;"__wt",'SegEnds_Xtal_BW#'!$A:$Z,24,FALSE)</f>
        <v>56</v>
      </c>
      <c r="Y45" s="1">
        <f>VLOOKUP($B45&amp;"__wt",'SegEnds_Xtal_BW#'!$A:$Z,25,FALSE)</f>
        <v>47</v>
      </c>
      <c r="Z45" s="1">
        <f>VLOOKUP($B45&amp;"__wt",'SegEnds_Xtal_BW#'!$A:$Z,26,FALSE)</f>
        <v>58</v>
      </c>
      <c r="AA45" s="27" t="str">
        <f>VLOOKUP(A45,Classification!A:B,2,FALSE)</f>
        <v>A</v>
      </c>
      <c r="AB45" s="1">
        <f>VLOOKUP(A45,'SegEnds_NonXtal_Prot#'!A:AL,10,FALSE)-VLOOKUP(A45,'SegEnds_NonXtal_Prot#'!A:AL,7,FALSE)</f>
        <v>15</v>
      </c>
      <c r="AC45" s="1">
        <f>VLOOKUP(A45,'SegEnds_NonXtal_Prot#'!A:AL,13,FALSE)-VLOOKUP(A45,'SegEnds_NonXtal_Prot#'!A:AL,10,FALSE)</f>
        <v>21</v>
      </c>
      <c r="AD45" s="1">
        <f>VLOOKUP(A45,'SegEnds_NonXtal_Prot#'!A:AL,16,FALSE)-VLOOKUP(A45,'SegEnds_NonXtal_Prot#'!A:AL,10,FALSE)</f>
        <v>53</v>
      </c>
      <c r="AE45" s="1">
        <f>VLOOKUP(A45,'SegEnds_NonXtal_Prot#'!A:AL,22,FALSE)-VLOOKUP(A45,'SegEnds_NonXtal_Prot#'!A:AL,19,FALSE)</f>
        <v>20</v>
      </c>
      <c r="AF45" s="1">
        <f>VLOOKUP(A45,'SegEnds_NonXtal_Prot#'!A:AL,28,FALSE)-VLOOKUP(A45,'SegEnds_NonXtal_Prot#'!A:AL,25,FALSE)</f>
        <v>20</v>
      </c>
      <c r="AG45" s="1">
        <f>VLOOKUP(A45,'SegEnds_NonXtal_Prot#'!A:AL,28,FALSE)-VLOOKUP(A45,'SegEnds_NonXtal_Prot#'!A:AL,22,FALSE)</f>
        <v>46</v>
      </c>
      <c r="AH45" s="1">
        <f>VLOOKUP(A45,'SegEnds_NonXtal_Prot#'!A:AL,31,FALSE)-VLOOKUP(A45,'SegEnds_NonXtal_Prot#'!A:AL,28,FALSE)</f>
        <v>88</v>
      </c>
      <c r="AI45" s="1">
        <f>VLOOKUP(A45,'SegEnds_NonXtal_Prot#'!A:AL,34,FALSE)-VLOOKUP(A45,'SegEnds_NonXtal_Prot#'!A:AL,31,FALSE)</f>
        <v>35</v>
      </c>
      <c r="AJ45" s="1" t="str">
        <f>IF(ISERROR(MATCH(A45,'SegEnds_Xtal_Prot#'!B:B, 0)), "NoXtal", "Xtal")</f>
        <v>NoXtal</v>
      </c>
    </row>
    <row r="46" spans="1:36" x14ac:dyDescent="0.2">
      <c r="A46" s="1" t="s">
        <v>136</v>
      </c>
      <c r="B46" s="1" t="str">
        <f>VLOOKUP(A46,Xtal_Templ!A:B,2,FALSE)</f>
        <v>5ht2b_human</v>
      </c>
      <c r="C46" s="5">
        <f>VLOOKUP($B46&amp;"__wt",'SegEnds_Xtal_BW#'!$A:$Z,3,FALSE)</f>
        <v>32</v>
      </c>
      <c r="D46" s="1">
        <f>VLOOKUP($B46&amp;"__wt",'SegEnds_Xtal_BW#'!$A:$Z,4,FALSE)</f>
        <v>60</v>
      </c>
      <c r="E46" s="1">
        <f>VLOOKUP($B46&amp;"__wt",'SegEnds_Xtal_BW#'!$A:$Z,5,FALSE)</f>
        <v>48</v>
      </c>
      <c r="F46" s="1">
        <f>VLOOKUP($B46&amp;"__wt",'SegEnds_Xtal_BW#'!$A:$Z,6,FALSE)</f>
        <v>51</v>
      </c>
      <c r="G46" s="1">
        <v>37</v>
      </c>
      <c r="H46" s="12">
        <f>VLOOKUP($B46&amp;"__wt",'SegEnds_Xtal_BW#'!$A:$Z,8,FALSE)</f>
        <v>67</v>
      </c>
      <c r="I46" s="1">
        <f>VLOOKUP($B46&amp;"__wt",'SegEnds_Xtal_BW#'!$A:$Z,9,FALSE)</f>
        <v>49</v>
      </c>
      <c r="J46" s="1">
        <f>VLOOKUP($B46&amp;"__wt",'SegEnds_Xtal_BW#'!$A:$Z,10,FALSE)</f>
        <v>52</v>
      </c>
      <c r="K46" s="12">
        <v>18</v>
      </c>
      <c r="L46" s="1">
        <f>VLOOKUP($B46&amp;"__wt",'SegEnds_Xtal_BW#'!$A:$Z,12,FALSE)</f>
        <v>56</v>
      </c>
      <c r="M46" s="1">
        <f>VLOOKUP($B46&amp;"__wt",'SegEnds_Xtal_BW#'!$A:$Z,13,FALSE)</f>
        <v>50</v>
      </c>
      <c r="N46" s="12">
        <v>57</v>
      </c>
      <c r="O46" s="89">
        <v>38</v>
      </c>
      <c r="P46" s="1">
        <f>VLOOKUP($B46&amp;"__wt",'SegEnds_Xtal_BW#'!$A:$Z,16,FALSE)</f>
        <v>64</v>
      </c>
      <c r="Q46" s="1">
        <f>VLOOKUP($B46&amp;"__wt",'SegEnds_Xtal_BW#'!$A:$Z,17,FALSE)</f>
        <v>50</v>
      </c>
      <c r="R46" s="1">
        <f>VLOOKUP($B46&amp;"__wt",'SegEnds_Xtal_BW#'!$A:$Z,18,FALSE)</f>
        <v>52</v>
      </c>
      <c r="S46" s="1">
        <v>35</v>
      </c>
      <c r="T46" s="1">
        <f t="array" ref="T46">INDEX('ICL3'!$G$2:$G$40,MATCH(MIN(ABS(AH46-'ICL3'!$F$2:$F$40)),ABS(AH46-'ICL3'!$F$2:$F$40),0))</f>
        <v>76</v>
      </c>
      <c r="U46" s="1">
        <f t="array" ref="U46">INDEX('ICL3'!$H$2:$H$40,MATCH(MIN(ABS(AH46-'ICL3'!$F$2:$F$40)),ABS(AH46-'ICL3'!$F$2:$F$40),0))</f>
        <v>24</v>
      </c>
      <c r="V46" s="1">
        <v>61</v>
      </c>
      <c r="W46" s="1">
        <v>32</v>
      </c>
      <c r="X46" s="1">
        <f>VLOOKUP($B46&amp;"__wt",'SegEnds_Xtal_BW#'!$A:$Z,24,FALSE)</f>
        <v>56</v>
      </c>
      <c r="Y46" s="1">
        <f>VLOOKUP($B46&amp;"__wt",'SegEnds_Xtal_BW#'!$A:$Z,25,FALSE)</f>
        <v>47</v>
      </c>
      <c r="Z46" s="1">
        <f>VLOOKUP($B46&amp;"__wt",'SegEnds_Xtal_BW#'!$A:$Z,26,FALSE)</f>
        <v>58</v>
      </c>
      <c r="AA46" s="27" t="str">
        <f>VLOOKUP(A46,Classification!A:B,2,FALSE)</f>
        <v>A</v>
      </c>
      <c r="AB46" s="1">
        <f>VLOOKUP(A46,'SegEnds_NonXtal_Prot#'!A:AL,10,FALSE)-VLOOKUP(A46,'SegEnds_NonXtal_Prot#'!A:AL,7,FALSE)</f>
        <v>15</v>
      </c>
      <c r="AC46" s="1">
        <f>VLOOKUP(A46,'SegEnds_NonXtal_Prot#'!A:AL,13,FALSE)-VLOOKUP(A46,'SegEnds_NonXtal_Prot#'!A:AL,10,FALSE)</f>
        <v>20</v>
      </c>
      <c r="AD46" s="1">
        <f>VLOOKUP(A46,'SegEnds_NonXtal_Prot#'!A:AL,16,FALSE)-VLOOKUP(A46,'SegEnds_NonXtal_Prot#'!A:AL,10,FALSE)</f>
        <v>52</v>
      </c>
      <c r="AE46" s="1">
        <f>VLOOKUP(A46,'SegEnds_NonXtal_Prot#'!A:AL,22,FALSE)-VLOOKUP(A46,'SegEnds_NonXtal_Prot#'!A:AL,19,FALSE)</f>
        <v>20</v>
      </c>
      <c r="AF46" s="1">
        <f>VLOOKUP(A46,'SegEnds_NonXtal_Prot#'!A:AL,28,FALSE)-VLOOKUP(A46,'SegEnds_NonXtal_Prot#'!A:AL,25,FALSE)</f>
        <v>20</v>
      </c>
      <c r="AG46" s="1">
        <f>VLOOKUP(A46,'SegEnds_NonXtal_Prot#'!A:AL,28,FALSE)-VLOOKUP(A46,'SegEnds_NonXtal_Prot#'!A:AL,22,FALSE)</f>
        <v>49</v>
      </c>
      <c r="AH46" s="1">
        <f>VLOOKUP(A46,'SegEnds_NonXtal_Prot#'!A:AL,31,FALSE)-VLOOKUP(A46,'SegEnds_NonXtal_Prot#'!A:AL,28,FALSE)</f>
        <v>83</v>
      </c>
      <c r="AI46" s="1">
        <f>VLOOKUP(A46,'SegEnds_NonXtal_Prot#'!A:AL,34,FALSE)-VLOOKUP(A46,'SegEnds_NonXtal_Prot#'!A:AL,31,FALSE)</f>
        <v>34</v>
      </c>
      <c r="AJ46" s="1" t="str">
        <f>IF(ISERROR(MATCH(A46,'SegEnds_Xtal_Prot#'!B:B, 0)), "NoXtal", "Xtal")</f>
        <v>NoXtal</v>
      </c>
    </row>
    <row r="47" spans="1:36" x14ac:dyDescent="0.2">
      <c r="A47" s="1" t="s">
        <v>137</v>
      </c>
      <c r="B47" s="1" t="str">
        <f>VLOOKUP(A47,Xtal_Templ!A:B,2,FALSE)</f>
        <v>5ht1b_human</v>
      </c>
      <c r="C47" s="5">
        <f>VLOOKUP($B47&amp;"__wt",'SegEnds_Xtal_BW#'!$A:$Z,3,FALSE)</f>
        <v>29</v>
      </c>
      <c r="D47" s="1">
        <f>VLOOKUP($B47&amp;"__wt",'SegEnds_Xtal_BW#'!$A:$Z,4,FALSE)</f>
        <v>60</v>
      </c>
      <c r="E47" s="1">
        <f>VLOOKUP($B47&amp;"__wt",'SegEnds_Xtal_BW#'!$A:$Z,5,FALSE)</f>
        <v>48</v>
      </c>
      <c r="F47" s="1">
        <f>VLOOKUP($B47&amp;"__wt",'SegEnds_Xtal_BW#'!$A:$Z,6,FALSE)</f>
        <v>51</v>
      </c>
      <c r="G47" s="1">
        <v>37</v>
      </c>
      <c r="H47" s="12">
        <f>VLOOKUP($B47&amp;"__wt",'SegEnds_Xtal_BW#'!$A:$Z,8,FALSE)</f>
        <v>67</v>
      </c>
      <c r="I47" s="1">
        <f>VLOOKUP($B47&amp;"__wt",'SegEnds_Xtal_BW#'!$A:$Z,9,FALSE)</f>
        <v>49</v>
      </c>
      <c r="J47" s="1">
        <f>VLOOKUP($B47&amp;"__wt",'SegEnds_Xtal_BW#'!$A:$Z,10,FALSE)</f>
        <v>52</v>
      </c>
      <c r="K47" s="12">
        <v>18</v>
      </c>
      <c r="L47" s="1">
        <f>VLOOKUP($B47&amp;"__wt",'SegEnds_Xtal_BW#'!$A:$Z,12,FALSE)</f>
        <v>56</v>
      </c>
      <c r="M47" s="1">
        <f>VLOOKUP($B47&amp;"__wt",'SegEnds_Xtal_BW#'!$A:$Z,13,FALSE)</f>
        <v>50</v>
      </c>
      <c r="N47" s="12">
        <v>57</v>
      </c>
      <c r="O47" s="89">
        <f>VLOOKUP($B47&amp;"__wt",'SegEnds_Xtal_BW#'!$A:$Z,15,FALSE)</f>
        <v>38</v>
      </c>
      <c r="P47" s="1">
        <f>VLOOKUP($B47&amp;"__wt",'SegEnds_Xtal_BW#'!$A:$Z,16,FALSE)</f>
        <v>63</v>
      </c>
      <c r="Q47" s="1">
        <f>VLOOKUP($B47&amp;"__wt",'SegEnds_Xtal_BW#'!$A:$Z,17,FALSE)</f>
        <v>50</v>
      </c>
      <c r="R47" s="1">
        <f>VLOOKUP($B47&amp;"__wt",'SegEnds_Xtal_BW#'!$A:$Z,18,FALSE)</f>
        <v>52</v>
      </c>
      <c r="S47" s="1">
        <v>35</v>
      </c>
      <c r="T47" s="1">
        <f t="array" ref="T47">INDEX('ICL3'!$G$2:$G$40,MATCH(MIN(ABS(AH47-'ICL3'!$F$2:$F$40)),ABS(AH47-'ICL3'!$F$2:$F$40),0))</f>
        <v>76</v>
      </c>
      <c r="U47" s="1">
        <f t="array" ref="U47">INDEX('ICL3'!$H$2:$H$40,MATCH(MIN(ABS(AH47-'ICL3'!$F$2:$F$40)),ABS(AH47-'ICL3'!$F$2:$F$40),0))</f>
        <v>24</v>
      </c>
      <c r="V47" s="1">
        <v>61</v>
      </c>
      <c r="W47" s="1">
        <v>28</v>
      </c>
      <c r="X47" s="1">
        <f>VLOOKUP($B47&amp;"__wt",'SegEnds_Xtal_BW#'!$A:$Z,24,FALSE)</f>
        <v>56</v>
      </c>
      <c r="Y47" s="1">
        <f>VLOOKUP($B47&amp;"__wt",'SegEnds_Xtal_BW#'!$A:$Z,25,FALSE)</f>
        <v>47</v>
      </c>
      <c r="Z47" s="1">
        <f>VLOOKUP($B47&amp;"__wt",'SegEnds_Xtal_BW#'!$A:$Z,26,FALSE)</f>
        <v>58</v>
      </c>
      <c r="AA47" s="27" t="str">
        <f>VLOOKUP(A47,Classification!A:B,2,FALSE)</f>
        <v>A</v>
      </c>
      <c r="AB47" s="1">
        <f>VLOOKUP(A47,'SegEnds_NonXtal_Prot#'!A:AL,10,FALSE)-VLOOKUP(A47,'SegEnds_NonXtal_Prot#'!A:AL,7,FALSE)</f>
        <v>15</v>
      </c>
      <c r="AC47" s="1">
        <f>VLOOKUP(A47,'SegEnds_NonXtal_Prot#'!A:AL,13,FALSE)-VLOOKUP(A47,'SegEnds_NonXtal_Prot#'!A:AL,10,FALSE)</f>
        <v>21</v>
      </c>
      <c r="AD47" s="1">
        <f>VLOOKUP(A47,'SegEnds_NonXtal_Prot#'!A:AL,16,FALSE)-VLOOKUP(A47,'SegEnds_NonXtal_Prot#'!A:AL,10,FALSE)</f>
        <v>53</v>
      </c>
      <c r="AE47" s="1">
        <f>VLOOKUP(A47,'SegEnds_NonXtal_Prot#'!A:AL,22,FALSE)-VLOOKUP(A47,'SegEnds_NonXtal_Prot#'!A:AL,19,FALSE)</f>
        <v>20</v>
      </c>
      <c r="AF47" s="1">
        <f>VLOOKUP(A47,'SegEnds_NonXtal_Prot#'!A:AL,28,FALSE)-VLOOKUP(A47,'SegEnds_NonXtal_Prot#'!A:AL,25,FALSE)</f>
        <v>20</v>
      </c>
      <c r="AG47" s="1">
        <f>VLOOKUP(A47,'SegEnds_NonXtal_Prot#'!A:AL,28,FALSE)-VLOOKUP(A47,'SegEnds_NonXtal_Prot#'!A:AL,22,FALSE)</f>
        <v>44</v>
      </c>
      <c r="AH47" s="1">
        <f>VLOOKUP(A47,'SegEnds_NonXtal_Prot#'!A:AL,31,FALSE)-VLOOKUP(A47,'SegEnds_NonXtal_Prot#'!A:AL,28,FALSE)</f>
        <v>91</v>
      </c>
      <c r="AI47" s="1">
        <f>VLOOKUP(A47,'SegEnds_NonXtal_Prot#'!A:AL,34,FALSE)-VLOOKUP(A47,'SegEnds_NonXtal_Prot#'!A:AL,31,FALSE)</f>
        <v>39</v>
      </c>
      <c r="AJ47" s="1" t="str">
        <f>IF(ISERROR(MATCH(A47,'SegEnds_Xtal_Prot#'!B:B, 0)), "NoXtal", "Xtal")</f>
        <v>NoXtal</v>
      </c>
    </row>
    <row r="48" spans="1:36" x14ac:dyDescent="0.2">
      <c r="A48" s="1" t="s">
        <v>138</v>
      </c>
      <c r="B48" s="1" t="str">
        <f>VLOOKUP(A48,Xtal_Templ!A:B,2,FALSE)</f>
        <v>aa1r_human</v>
      </c>
      <c r="C48" s="5">
        <f>VLOOKUP($B48&amp;"__wt",'SegEnds_Xtal_BW#'!$A:$Z,3,FALSE)</f>
        <v>29</v>
      </c>
      <c r="D48" s="1">
        <f>VLOOKUP($B48&amp;"__wt",'SegEnds_Xtal_BW#'!$A:$Z,4,FALSE)</f>
        <v>60</v>
      </c>
      <c r="E48" s="1">
        <f>VLOOKUP($B48&amp;"__wt",'SegEnds_Xtal_BW#'!$A:$Z,5,FALSE)</f>
        <v>48</v>
      </c>
      <c r="F48" s="1">
        <f>VLOOKUP($B48&amp;"__wt",'SegEnds_Xtal_BW#'!$A:$Z,6,FALSE)</f>
        <v>51</v>
      </c>
      <c r="G48" s="1">
        <v>37</v>
      </c>
      <c r="H48" s="12">
        <v>66</v>
      </c>
      <c r="I48" s="1">
        <f>VLOOKUP($B48&amp;"__wt",'SegEnds_Xtal_BW#'!$A:$Z,9,FALSE)</f>
        <v>50</v>
      </c>
      <c r="J48" s="1">
        <f>VLOOKUP($B48&amp;"__wt",'SegEnds_Xtal_BW#'!$A:$Z,10,FALSE)</f>
        <v>52</v>
      </c>
      <c r="K48" s="12">
        <v>24</v>
      </c>
      <c r="L48" s="1">
        <f>VLOOKUP($B48&amp;"__wt",'SegEnds_Xtal_BW#'!$A:$Z,12,FALSE)</f>
        <v>56</v>
      </c>
      <c r="M48" s="1">
        <f>VLOOKUP($B48&amp;"__wt",'SegEnds_Xtal_BW#'!$A:$Z,13,FALSE)</f>
        <v>50</v>
      </c>
      <c r="N48" s="12">
        <v>57</v>
      </c>
      <c r="O48" s="89">
        <v>38</v>
      </c>
      <c r="P48" s="1">
        <f>VLOOKUP($B48&amp;"__wt",'SegEnds_Xtal_BW#'!$A:$Z,16,FALSE)</f>
        <v>63</v>
      </c>
      <c r="Q48" s="1">
        <f>VLOOKUP($B48&amp;"__wt",'SegEnds_Xtal_BW#'!$A:$Z,17,FALSE)</f>
        <v>50</v>
      </c>
      <c r="R48" s="1">
        <f>VLOOKUP($B48&amp;"__wt",'SegEnds_Xtal_BW#'!$A:$Z,18,FALSE)</f>
        <v>52</v>
      </c>
      <c r="S48" s="1">
        <f>VLOOKUP($B48&amp;"__wt",'SegEnds_Xtal_BW#'!$A:$Z,19,FALSE)</f>
        <v>34</v>
      </c>
      <c r="T48" s="1">
        <f t="array" ref="T48">INDEX('ICL3'!$G$2:$G$40,MATCH(MIN(ABS(AH48-'ICL3'!$F$2:$F$40)),ABS(AH48-'ICL3'!$F$2:$F$40),0))</f>
        <v>72</v>
      </c>
      <c r="U48" s="1">
        <f t="array" ref="U48">INDEX('ICL3'!$H$2:$H$40,MATCH(MIN(ABS(AH48-'ICL3'!$F$2:$F$40)),ABS(AH48-'ICL3'!$F$2:$F$40),0))</f>
        <v>24</v>
      </c>
      <c r="V48" s="1">
        <v>61</v>
      </c>
      <c r="W48" s="1">
        <v>31</v>
      </c>
      <c r="X48" s="1">
        <f>VLOOKUP($B48&amp;"__wt",'SegEnds_Xtal_BW#'!$A:$Z,24,FALSE)</f>
        <v>56</v>
      </c>
      <c r="Y48" s="1">
        <f>VLOOKUP($B48&amp;"__wt",'SegEnds_Xtal_BW#'!$A:$Z,25,FALSE)</f>
        <v>47</v>
      </c>
      <c r="Z48" s="1">
        <f>VLOOKUP($B48&amp;"__wt",'SegEnds_Xtal_BW#'!$A:$Z,26,FALSE)</f>
        <v>69</v>
      </c>
      <c r="AA48" s="27" t="str">
        <f>VLOOKUP(A48,Classification!A:B,2,FALSE)</f>
        <v>A</v>
      </c>
      <c r="AB48" s="1">
        <f>VLOOKUP(A48,'SegEnds_NonXtal_Prot#'!A:AL,10,FALSE)-VLOOKUP(A48,'SegEnds_NonXtal_Prot#'!A:AL,7,FALSE)</f>
        <v>15</v>
      </c>
      <c r="AC48" s="1">
        <f>VLOOKUP(A48,'SegEnds_NonXtal_Prot#'!A:AL,13,FALSE)-VLOOKUP(A48,'SegEnds_NonXtal_Prot#'!A:AL,10,FALSE)</f>
        <v>18</v>
      </c>
      <c r="AD48" s="1">
        <f>VLOOKUP(A48,'SegEnds_NonXtal_Prot#'!A:AL,16,FALSE)-VLOOKUP(A48,'SegEnds_NonXtal_Prot#'!A:AL,10,FALSE)</f>
        <v>50</v>
      </c>
      <c r="AE48" s="1">
        <f>VLOOKUP(A48,'SegEnds_NonXtal_Prot#'!A:AL,22,FALSE)-VLOOKUP(A48,'SegEnds_NonXtal_Prot#'!A:AL,19,FALSE)</f>
        <v>20</v>
      </c>
      <c r="AF48" s="1">
        <f>VLOOKUP(A48,'SegEnds_NonXtal_Prot#'!A:AL,28,FALSE)-VLOOKUP(A48,'SegEnds_NonXtal_Prot#'!A:AL,25,FALSE)</f>
        <v>23</v>
      </c>
      <c r="AG48" s="1">
        <f>VLOOKUP(A48,'SegEnds_NonXtal_Prot#'!A:AL,28,FALSE)-VLOOKUP(A48,'SegEnds_NonXtal_Prot#'!A:AL,22,FALSE)</f>
        <v>60</v>
      </c>
      <c r="AH48" s="1">
        <f>VLOOKUP(A48,'SegEnds_NonXtal_Prot#'!A:AL,31,FALSE)-VLOOKUP(A48,'SegEnds_NonXtal_Prot#'!A:AL,28,FALSE)</f>
        <v>57</v>
      </c>
      <c r="AI48" s="1">
        <f>VLOOKUP(A48,'SegEnds_NonXtal_Prot#'!A:AL,34,FALSE)-VLOOKUP(A48,'SegEnds_NonXtal_Prot#'!A:AL,31,FALSE)</f>
        <v>36</v>
      </c>
      <c r="AJ48" s="1" t="str">
        <f>IF(ISERROR(MATCH(A48,'SegEnds_Xtal_Prot#'!B:B, 0)), "NoXtal", "Xtal")</f>
        <v>Xtal</v>
      </c>
    </row>
    <row r="49" spans="1:36" x14ac:dyDescent="0.2">
      <c r="A49" s="1" t="s">
        <v>139</v>
      </c>
      <c r="B49" s="1" t="str">
        <f>VLOOKUP(A49,Xtal_Templ!A:B,2,FALSE)</f>
        <v>aa2ar_human</v>
      </c>
      <c r="C49" s="5">
        <f>VLOOKUP($B49&amp;"__wt",'SegEnds_Xtal_BW#'!$A:$Z,3,FALSE)</f>
        <v>27</v>
      </c>
      <c r="D49" s="1">
        <f>VLOOKUP($B49&amp;"__wt",'SegEnds_Xtal_BW#'!$A:$Z,4,FALSE)</f>
        <v>60</v>
      </c>
      <c r="E49" s="1">
        <f>VLOOKUP($B49&amp;"__wt",'SegEnds_Xtal_BW#'!$A:$Z,5,FALSE)</f>
        <v>48</v>
      </c>
      <c r="F49" s="1">
        <f>VLOOKUP($B49&amp;"__wt",'SegEnds_Xtal_BW#'!$A:$Z,6,FALSE)</f>
        <v>51</v>
      </c>
      <c r="G49" s="1">
        <v>37</v>
      </c>
      <c r="H49" s="12">
        <v>66</v>
      </c>
      <c r="I49" s="1">
        <f>VLOOKUP($B49&amp;"__wt",'SegEnds_Xtal_BW#'!$A:$Z,9,FALSE)</f>
        <v>50</v>
      </c>
      <c r="J49" s="1">
        <f>VLOOKUP($B49&amp;"__wt",'SegEnds_Xtal_BW#'!$A:$Z,10,FALSE)</f>
        <v>52</v>
      </c>
      <c r="K49" s="12">
        <v>24</v>
      </c>
      <c r="L49" s="1">
        <f>VLOOKUP($B49&amp;"__wt",'SegEnds_Xtal_BW#'!$A:$Z,12,FALSE)</f>
        <v>56</v>
      </c>
      <c r="M49" s="1">
        <f>VLOOKUP($B49&amp;"__wt",'SegEnds_Xtal_BW#'!$A:$Z,13,FALSE)</f>
        <v>50</v>
      </c>
      <c r="N49" s="12">
        <f>VLOOKUP($B49&amp;"__wt",'SegEnds_Xtal_BW#'!$A:$Z,14,FALSE)</f>
        <v>57</v>
      </c>
      <c r="O49" s="89">
        <f>VLOOKUP($B49&amp;"__wt",'SegEnds_Xtal_BW#'!$A:$Z,15,FALSE)</f>
        <v>38</v>
      </c>
      <c r="P49" s="1">
        <f>VLOOKUP($B49&amp;"__wt",'SegEnds_Xtal_BW#'!$A:$Z,16,FALSE)</f>
        <v>63</v>
      </c>
      <c r="Q49" s="1">
        <f>VLOOKUP($B49&amp;"__wt",'SegEnds_Xtal_BW#'!$A:$Z,17,FALSE)</f>
        <v>50</v>
      </c>
      <c r="R49" s="1">
        <f>VLOOKUP($B49&amp;"__wt",'SegEnds_Xtal_BW#'!$A:$Z,18,FALSE)</f>
        <v>52</v>
      </c>
      <c r="S49" s="1">
        <f>VLOOKUP($B49&amp;"__wt",'SegEnds_Xtal_BW#'!$A:$Z,19,FALSE)</f>
        <v>34</v>
      </c>
      <c r="T49" s="1">
        <f t="array" ref="T49">INDEX('ICL3'!$G$2:$G$40,MATCH(MIN(ABS(AH49-'ICL3'!$F$2:$F$40)),ABS(AH49-'ICL3'!$F$2:$F$40),0))</f>
        <v>74</v>
      </c>
      <c r="U49" s="1">
        <f t="array" ref="U49">INDEX('ICL3'!$H$2:$H$40,MATCH(MIN(ABS(AH49-'ICL3'!$F$2:$F$40)),ABS(AH49-'ICL3'!$F$2:$F$40),0))</f>
        <v>21</v>
      </c>
      <c r="V49" s="1">
        <v>61</v>
      </c>
      <c r="W49" s="1">
        <v>31</v>
      </c>
      <c r="X49" s="1">
        <f>VLOOKUP($B49&amp;"__wt",'SegEnds_Xtal_BW#'!$A:$Z,24,FALSE)</f>
        <v>56</v>
      </c>
      <c r="Y49" s="1">
        <f>VLOOKUP($B49&amp;"__wt",'SegEnds_Xtal_BW#'!$A:$Z,25,FALSE)</f>
        <v>47</v>
      </c>
      <c r="Z49" s="1">
        <f>VLOOKUP($B49&amp;"__wt",'SegEnds_Xtal_BW#'!$A:$Z,26,FALSE)</f>
        <v>69</v>
      </c>
      <c r="AA49" s="27" t="str">
        <f>VLOOKUP(A49,Classification!A:B,2,FALSE)</f>
        <v>A</v>
      </c>
      <c r="AB49" s="1">
        <f>VLOOKUP(A49,'SegEnds_NonXtal_Prot#'!A:AL,10,FALSE)-VLOOKUP(A49,'SegEnds_NonXtal_Prot#'!A:AL,7,FALSE)</f>
        <v>15</v>
      </c>
      <c r="AC49" s="1">
        <f>VLOOKUP(A49,'SegEnds_NonXtal_Prot#'!A:AL,13,FALSE)-VLOOKUP(A49,'SegEnds_NonXtal_Prot#'!A:AL,10,FALSE)</f>
        <v>18</v>
      </c>
      <c r="AD49" s="1">
        <f>VLOOKUP(A49,'SegEnds_NonXtal_Prot#'!A:AL,16,FALSE)-VLOOKUP(A49,'SegEnds_NonXtal_Prot#'!A:AL,10,FALSE)</f>
        <v>50</v>
      </c>
      <c r="AE49" s="1">
        <f>VLOOKUP(A49,'SegEnds_NonXtal_Prot#'!A:AL,22,FALSE)-VLOOKUP(A49,'SegEnds_NonXtal_Prot#'!A:AL,19,FALSE)</f>
        <v>20</v>
      </c>
      <c r="AF49" s="1">
        <f>VLOOKUP(A49,'SegEnds_NonXtal_Prot#'!A:AL,28,FALSE)-VLOOKUP(A49,'SegEnds_NonXtal_Prot#'!A:AL,25,FALSE)</f>
        <v>23</v>
      </c>
      <c r="AG49" s="1">
        <f>VLOOKUP(A49,'SegEnds_NonXtal_Prot#'!A:AL,28,FALSE)-VLOOKUP(A49,'SegEnds_NonXtal_Prot#'!A:AL,22,FALSE)</f>
        <v>60</v>
      </c>
      <c r="AH49" s="1">
        <f>VLOOKUP(A49,'SegEnds_NonXtal_Prot#'!A:AL,31,FALSE)-VLOOKUP(A49,'SegEnds_NonXtal_Prot#'!A:AL,28,FALSE)</f>
        <v>59</v>
      </c>
      <c r="AI49" s="1">
        <f>VLOOKUP(A49,'SegEnds_NonXtal_Prot#'!A:AL,34,FALSE)-VLOOKUP(A49,'SegEnds_NonXtal_Prot#'!A:AL,31,FALSE)</f>
        <v>37</v>
      </c>
      <c r="AJ49" s="1" t="str">
        <f>IF(ISERROR(MATCH(A49,'SegEnds_Xtal_Prot#'!B:B, 0)), "NoXtal", "Xtal")</f>
        <v>Xtal</v>
      </c>
    </row>
    <row r="50" spans="1:36" x14ac:dyDescent="0.2">
      <c r="A50" s="1" t="s">
        <v>140</v>
      </c>
      <c r="B50" s="1" t="str">
        <f>VLOOKUP(A50,Xtal_Templ!A:B,2,FALSE)</f>
        <v>aa2ar_human</v>
      </c>
      <c r="C50" s="5">
        <f>VLOOKUP($B50&amp;"__wt",'SegEnds_Xtal_BW#'!$A:$Z,3,FALSE)</f>
        <v>27</v>
      </c>
      <c r="D50" s="1">
        <f>VLOOKUP($B50&amp;"__wt",'SegEnds_Xtal_BW#'!$A:$Z,4,FALSE)</f>
        <v>60</v>
      </c>
      <c r="E50" s="1">
        <f>VLOOKUP($B50&amp;"__wt",'SegEnds_Xtal_BW#'!$A:$Z,5,FALSE)</f>
        <v>48</v>
      </c>
      <c r="F50" s="1">
        <f>VLOOKUP($B50&amp;"__wt",'SegEnds_Xtal_BW#'!$A:$Z,6,FALSE)</f>
        <v>51</v>
      </c>
      <c r="G50" s="1">
        <v>37</v>
      </c>
      <c r="H50" s="12">
        <v>66</v>
      </c>
      <c r="I50" s="1">
        <f>VLOOKUP($B50&amp;"__wt",'SegEnds_Xtal_BW#'!$A:$Z,9,FALSE)</f>
        <v>50</v>
      </c>
      <c r="J50" s="1">
        <f>VLOOKUP($B50&amp;"__wt",'SegEnds_Xtal_BW#'!$A:$Z,10,FALSE)</f>
        <v>52</v>
      </c>
      <c r="K50" s="12">
        <v>24</v>
      </c>
      <c r="L50" s="1">
        <f>VLOOKUP($B50&amp;"__wt",'SegEnds_Xtal_BW#'!$A:$Z,12,FALSE)</f>
        <v>56</v>
      </c>
      <c r="M50" s="1">
        <f>VLOOKUP($B50&amp;"__wt",'SegEnds_Xtal_BW#'!$A:$Z,13,FALSE)</f>
        <v>50</v>
      </c>
      <c r="N50" s="12">
        <v>57</v>
      </c>
      <c r="O50" s="89">
        <v>38</v>
      </c>
      <c r="P50" s="1">
        <f>VLOOKUP($B50&amp;"__wt",'SegEnds_Xtal_BW#'!$A:$Z,16,FALSE)</f>
        <v>63</v>
      </c>
      <c r="Q50" s="1">
        <f>VLOOKUP($B50&amp;"__wt",'SegEnds_Xtal_BW#'!$A:$Z,17,FALSE)</f>
        <v>50</v>
      </c>
      <c r="R50" s="1">
        <f>VLOOKUP($B50&amp;"__wt",'SegEnds_Xtal_BW#'!$A:$Z,18,FALSE)</f>
        <v>52</v>
      </c>
      <c r="S50" s="1">
        <f>VLOOKUP($B50&amp;"__wt",'SegEnds_Xtal_BW#'!$A:$Z,19,FALSE)</f>
        <v>34</v>
      </c>
      <c r="T50" s="1">
        <f t="array" ref="T50">INDEX('ICL3'!$G$2:$G$40,MATCH(MIN(ABS(AH50-'ICL3'!$F$2:$F$40)),ABS(AH50-'ICL3'!$F$2:$F$40),0))</f>
        <v>73</v>
      </c>
      <c r="U50" s="1">
        <f t="array" ref="U50">INDEX('ICL3'!$H$2:$H$40,MATCH(MIN(ABS(AH50-'ICL3'!$F$2:$F$40)),ABS(AH50-'ICL3'!$F$2:$F$40),0))</f>
        <v>22</v>
      </c>
      <c r="V50" s="1">
        <v>61</v>
      </c>
      <c r="W50" s="1">
        <v>28</v>
      </c>
      <c r="X50" s="1">
        <f>VLOOKUP($B50&amp;"__wt",'SegEnds_Xtal_BW#'!$A:$Z,24,FALSE)</f>
        <v>56</v>
      </c>
      <c r="Y50" s="1">
        <f>VLOOKUP($B50&amp;"__wt",'SegEnds_Xtal_BW#'!$A:$Z,25,FALSE)</f>
        <v>47</v>
      </c>
      <c r="Z50" s="1">
        <f>VLOOKUP($B50&amp;"__wt",'SegEnds_Xtal_BW#'!$A:$Z,26,FALSE)</f>
        <v>69</v>
      </c>
      <c r="AA50" s="27" t="str">
        <f>VLOOKUP(A50,Classification!A:B,2,FALSE)</f>
        <v>A</v>
      </c>
      <c r="AB50" s="1">
        <f>VLOOKUP(A50,'SegEnds_NonXtal_Prot#'!A:AL,10,FALSE)-VLOOKUP(A50,'SegEnds_NonXtal_Prot#'!A:AL,7,FALSE)</f>
        <v>15</v>
      </c>
      <c r="AC50" s="1">
        <f>VLOOKUP(A50,'SegEnds_NonXtal_Prot#'!A:AL,13,FALSE)-VLOOKUP(A50,'SegEnds_NonXtal_Prot#'!A:AL,10,FALSE)</f>
        <v>18</v>
      </c>
      <c r="AD50" s="1">
        <f>VLOOKUP(A50,'SegEnds_NonXtal_Prot#'!A:AL,16,FALSE)-VLOOKUP(A50,'SegEnds_NonXtal_Prot#'!A:AL,10,FALSE)</f>
        <v>50</v>
      </c>
      <c r="AE50" s="1">
        <f>VLOOKUP(A50,'SegEnds_NonXtal_Prot#'!A:AL,22,FALSE)-VLOOKUP(A50,'SegEnds_NonXtal_Prot#'!A:AL,19,FALSE)</f>
        <v>20</v>
      </c>
      <c r="AF50" s="1">
        <f>VLOOKUP(A50,'SegEnds_NonXtal_Prot#'!A:AL,28,FALSE)-VLOOKUP(A50,'SegEnds_NonXtal_Prot#'!A:AL,25,FALSE)</f>
        <v>23</v>
      </c>
      <c r="AG50" s="1">
        <f>VLOOKUP(A50,'SegEnds_NonXtal_Prot#'!A:AL,28,FALSE)-VLOOKUP(A50,'SegEnds_NonXtal_Prot#'!A:AL,22,FALSE)</f>
        <v>64</v>
      </c>
      <c r="AH50" s="1">
        <f>VLOOKUP(A50,'SegEnds_NonXtal_Prot#'!A:AL,31,FALSE)-VLOOKUP(A50,'SegEnds_NonXtal_Prot#'!A:AL,28,FALSE)</f>
        <v>55</v>
      </c>
      <c r="AI50" s="1">
        <f>VLOOKUP(A50,'SegEnds_NonXtal_Prot#'!A:AL,34,FALSE)-VLOOKUP(A50,'SegEnds_NonXtal_Prot#'!A:AL,31,FALSE)</f>
        <v>38</v>
      </c>
      <c r="AJ50" s="1" t="str">
        <f>IF(ISERROR(MATCH(A50,'SegEnds_Xtal_Prot#'!B:B, 0)), "NoXtal", "Xtal")</f>
        <v>NoXtal</v>
      </c>
    </row>
    <row r="51" spans="1:36" x14ac:dyDescent="0.2">
      <c r="A51" s="1" t="s">
        <v>141</v>
      </c>
      <c r="B51" s="1" t="str">
        <f>VLOOKUP(A51,Xtal_Templ!A:B,2,FALSE)</f>
        <v>aa1r_human</v>
      </c>
      <c r="C51" s="5">
        <f>VLOOKUP($B51&amp;"__wt",'SegEnds_Xtal_BW#'!$A:$Z,3,FALSE)</f>
        <v>29</v>
      </c>
      <c r="D51" s="1">
        <f>VLOOKUP($B51&amp;"__wt",'SegEnds_Xtal_BW#'!$A:$Z,4,FALSE)</f>
        <v>60</v>
      </c>
      <c r="E51" s="1">
        <f>VLOOKUP($B51&amp;"__wt",'SegEnds_Xtal_BW#'!$A:$Z,5,FALSE)</f>
        <v>48</v>
      </c>
      <c r="F51" s="1">
        <f>VLOOKUP($B51&amp;"__wt",'SegEnds_Xtal_BW#'!$A:$Z,6,FALSE)</f>
        <v>51</v>
      </c>
      <c r="G51" s="1">
        <v>37</v>
      </c>
      <c r="H51" s="111">
        <v>66</v>
      </c>
      <c r="I51" s="1">
        <f>VLOOKUP($B51&amp;"__wt",'SegEnds_Xtal_BW#'!$A:$Z,9,FALSE)</f>
        <v>50</v>
      </c>
      <c r="J51" s="1">
        <f>VLOOKUP($B51&amp;"__wt",'SegEnds_Xtal_BW#'!$A:$Z,10,FALSE)</f>
        <v>52</v>
      </c>
      <c r="K51" s="12">
        <v>24</v>
      </c>
      <c r="L51" s="1">
        <f>VLOOKUP($B51&amp;"__wt",'SegEnds_Xtal_BW#'!$A:$Z,12,FALSE)</f>
        <v>56</v>
      </c>
      <c r="M51" s="1">
        <f>VLOOKUP($B51&amp;"__wt",'SegEnds_Xtal_BW#'!$A:$Z,13,FALSE)</f>
        <v>50</v>
      </c>
      <c r="N51" s="12">
        <v>57</v>
      </c>
      <c r="O51" s="89">
        <v>38</v>
      </c>
      <c r="P51" s="1">
        <f>VLOOKUP($B51&amp;"__wt",'SegEnds_Xtal_BW#'!$A:$Z,16,FALSE)</f>
        <v>63</v>
      </c>
      <c r="Q51" s="1">
        <f>VLOOKUP($B51&amp;"__wt",'SegEnds_Xtal_BW#'!$A:$Z,17,FALSE)</f>
        <v>50</v>
      </c>
      <c r="R51" s="1">
        <f>VLOOKUP($B51&amp;"__wt",'SegEnds_Xtal_BW#'!$A:$Z,18,FALSE)</f>
        <v>52</v>
      </c>
      <c r="S51" s="1">
        <f>VLOOKUP($B51&amp;"__wt",'SegEnds_Xtal_BW#'!$A:$Z,19,FALSE)</f>
        <v>34</v>
      </c>
      <c r="T51" s="1">
        <f t="array" ref="T51">INDEX('ICL3'!$G$2:$G$40,MATCH(MIN(ABS(AH51-'ICL3'!$F$2:$F$40)),ABS(AH51-'ICL3'!$F$2:$F$40),0))</f>
        <v>73</v>
      </c>
      <c r="U51" s="1">
        <f t="array" ref="U51">INDEX('ICL3'!$H$2:$H$40,MATCH(MIN(ABS(AH51-'ICL3'!$F$2:$F$40)),ABS(AH51-'ICL3'!$F$2:$F$40),0))</f>
        <v>22</v>
      </c>
      <c r="V51" s="1">
        <v>61</v>
      </c>
      <c r="W51" s="1">
        <v>32</v>
      </c>
      <c r="X51" s="1">
        <f>VLOOKUP($B51&amp;"__wt",'SegEnds_Xtal_BW#'!$A:$Z,24,FALSE)</f>
        <v>56</v>
      </c>
      <c r="Y51" s="1">
        <f>VLOOKUP($B51&amp;"__wt",'SegEnds_Xtal_BW#'!$A:$Z,25,FALSE)</f>
        <v>47</v>
      </c>
      <c r="Z51" s="1">
        <f>VLOOKUP($B51&amp;"__wt",'SegEnds_Xtal_BW#'!$A:$Z,26,FALSE)</f>
        <v>69</v>
      </c>
      <c r="AA51" s="27" t="str">
        <f>VLOOKUP(A51,Classification!A:B,2,FALSE)</f>
        <v>A</v>
      </c>
      <c r="AB51" s="1">
        <f>VLOOKUP(A51,'SegEnds_NonXtal_Prot#'!A:AL,10,FALSE)-VLOOKUP(A51,'SegEnds_NonXtal_Prot#'!A:AL,7,FALSE)</f>
        <v>15</v>
      </c>
      <c r="AC51" s="1">
        <f>VLOOKUP(A51,'SegEnds_NonXtal_Prot#'!A:AL,13,FALSE)-VLOOKUP(A51,'SegEnds_NonXtal_Prot#'!A:AL,10,FALSE)</f>
        <v>18</v>
      </c>
      <c r="AD51" s="1">
        <f>VLOOKUP(A51,'SegEnds_NonXtal_Prot#'!A:AL,16,FALSE)-VLOOKUP(A51,'SegEnds_NonXtal_Prot#'!A:AL,10,FALSE)</f>
        <v>50</v>
      </c>
      <c r="AE51" s="1">
        <f>VLOOKUP(A51,'SegEnds_NonXtal_Prot#'!A:AL,22,FALSE)-VLOOKUP(A51,'SegEnds_NonXtal_Prot#'!A:AL,19,FALSE)</f>
        <v>20</v>
      </c>
      <c r="AF51" s="1">
        <f>VLOOKUP(A51,'SegEnds_NonXtal_Prot#'!A:AL,28,FALSE)-VLOOKUP(A51,'SegEnds_NonXtal_Prot#'!A:AL,25,FALSE)</f>
        <v>23</v>
      </c>
      <c r="AG51" s="1">
        <f>VLOOKUP(A51,'SegEnds_NonXtal_Prot#'!A:AL,28,FALSE)-VLOOKUP(A51,'SegEnds_NonXtal_Prot#'!A:AL,22,FALSE)</f>
        <v>54</v>
      </c>
      <c r="AH51" s="1">
        <f>VLOOKUP(A51,'SegEnds_NonXtal_Prot#'!A:AL,31,FALSE)-VLOOKUP(A51,'SegEnds_NonXtal_Prot#'!A:AL,28,FALSE)</f>
        <v>56</v>
      </c>
      <c r="AI51" s="1">
        <f>VLOOKUP(A51,'SegEnds_NonXtal_Prot#'!A:AL,34,FALSE)-VLOOKUP(A51,'SegEnds_NonXtal_Prot#'!A:AL,31,FALSE)</f>
        <v>34</v>
      </c>
      <c r="AJ51" s="1" t="str">
        <f>IF(ISERROR(MATCH(A51,'SegEnds_Xtal_Prot#'!B:B, 0)), "NoXtal", "Xtal")</f>
        <v>NoXtal</v>
      </c>
    </row>
    <row r="52" spans="1:36" x14ac:dyDescent="0.2">
      <c r="A52" s="1" t="s">
        <v>143</v>
      </c>
      <c r="B52" s="1" t="str">
        <f>VLOOKUP(A52,Xtal_Templ!A:B,2,FALSE)</f>
        <v>ccr5_human</v>
      </c>
      <c r="C52" s="5">
        <f>VLOOKUP($B52&amp;"__wt",'SegEnds_Xtal_BW#'!$A:$Z,3,FALSE)</f>
        <v>24</v>
      </c>
      <c r="D52" s="1">
        <f>VLOOKUP($B52&amp;"__wt",'SegEnds_Xtal_BW#'!$A:$Z,4,FALSE)</f>
        <v>60</v>
      </c>
      <c r="E52" s="1">
        <f>VLOOKUP($B52&amp;"__wt",'SegEnds_Xtal_BW#'!$A:$Z,5,FALSE)</f>
        <v>48</v>
      </c>
      <c r="F52" s="1">
        <f>VLOOKUP($B52&amp;"__wt",'SegEnds_Xtal_BW#'!$A:$Z,6,FALSE)</f>
        <v>51</v>
      </c>
      <c r="G52" s="1">
        <v>37</v>
      </c>
      <c r="H52" s="12">
        <v>66</v>
      </c>
      <c r="I52" s="1">
        <f>VLOOKUP($B52&amp;"__wt",'SegEnds_Xtal_BW#'!$A:$Z,9,FALSE)</f>
        <v>49</v>
      </c>
      <c r="J52" s="1">
        <f>VLOOKUP($B52&amp;"__wt",'SegEnds_Xtal_BW#'!$A:$Z,10,FALSE)</f>
        <v>52</v>
      </c>
      <c r="K52" s="111">
        <v>21</v>
      </c>
      <c r="L52" s="1">
        <f>VLOOKUP($B52&amp;"__wt",'SegEnds_Xtal_BW#'!$A:$Z,12,FALSE)</f>
        <v>56</v>
      </c>
      <c r="M52" s="1">
        <f>VLOOKUP($B52&amp;"__wt",'SegEnds_Xtal_BW#'!$A:$Z,13,FALSE)</f>
        <v>50</v>
      </c>
      <c r="N52" s="12">
        <v>57</v>
      </c>
      <c r="O52" s="89">
        <v>38</v>
      </c>
      <c r="P52" s="1">
        <f>VLOOKUP($B52&amp;"__wt",'SegEnds_Xtal_BW#'!$A:$Z,16,FALSE)</f>
        <v>64</v>
      </c>
      <c r="Q52" s="1">
        <f>VLOOKUP($B52&amp;"__wt",'SegEnds_Xtal_BW#'!$A:$Z,17,FALSE)</f>
        <v>50</v>
      </c>
      <c r="R52" s="1">
        <f>VLOOKUP($B52&amp;"__wt",'SegEnds_Xtal_BW#'!$A:$Z,18,FALSE)</f>
        <v>52</v>
      </c>
      <c r="S52" s="1">
        <f>VLOOKUP($B52&amp;"__wt",'SegEnds_Xtal_BW#'!$A:$Z,19,FALSE)</f>
        <v>30</v>
      </c>
      <c r="T52" s="1">
        <f t="array" ref="T52">INDEX('ICL3'!$G$2:$G$40,MATCH(MIN(ABS(AH52-'ICL3'!$F$2:$F$40)),ABS(AH52-'ICL3'!$F$2:$F$40),0))</f>
        <v>68</v>
      </c>
      <c r="U52" s="1">
        <f t="array" ref="U52">INDEX('ICL3'!$H$2:$H$40,MATCH(MIN(ABS(AH52-'ICL3'!$F$2:$F$40)),ABS(AH52-'ICL3'!$F$2:$F$40),0))</f>
        <v>30</v>
      </c>
      <c r="V52" s="1">
        <v>64</v>
      </c>
      <c r="W52" s="1">
        <v>24</v>
      </c>
      <c r="X52" s="1">
        <f>VLOOKUP($B52&amp;"__wt",'SegEnds_Xtal_BW#'!$A:$Z,24,FALSE)</f>
        <v>56</v>
      </c>
      <c r="Y52" s="1">
        <f>VLOOKUP($B52&amp;"__wt",'SegEnds_Xtal_BW#'!$A:$Z,25,FALSE)</f>
        <v>47</v>
      </c>
      <c r="Z52" s="1">
        <f>VLOOKUP($B52&amp;"__wt",'SegEnds_Xtal_BW#'!$A:$Z,26,FALSE)</f>
        <v>59</v>
      </c>
      <c r="AA52" s="27" t="str">
        <f>VLOOKUP(A52,Classification!A:B,2,FALSE)</f>
        <v>A</v>
      </c>
      <c r="AB52" s="1">
        <f>VLOOKUP(A52,'SegEnds_NonXtal_Prot#'!A:AL,10,FALSE)-VLOOKUP(A52,'SegEnds_NonXtal_Prot#'!A:AL,7,FALSE)</f>
        <v>15</v>
      </c>
      <c r="AC52" s="1">
        <f>VLOOKUP(A52,'SegEnds_NonXtal_Prot#'!A:AL,13,FALSE)-VLOOKUP(A52,'SegEnds_NonXtal_Prot#'!A:AL,10,FALSE)</f>
        <v>18</v>
      </c>
      <c r="AD52" s="1">
        <f>VLOOKUP(A52,'SegEnds_NonXtal_Prot#'!A:AL,16,FALSE)-VLOOKUP(A52,'SegEnds_NonXtal_Prot#'!A:AL,10,FALSE)</f>
        <v>50</v>
      </c>
      <c r="AE52" s="1">
        <f>VLOOKUP(A52,'SegEnds_NonXtal_Prot#'!A:AL,22,FALSE)-VLOOKUP(A52,'SegEnds_NonXtal_Prot#'!A:AL,19,FALSE)</f>
        <v>20</v>
      </c>
      <c r="AF52" s="1">
        <f>VLOOKUP(A52,'SegEnds_NonXtal_Prot#'!A:AL,28,FALSE)-VLOOKUP(A52,'SegEnds_NonXtal_Prot#'!A:AL,25,FALSE)</f>
        <v>27</v>
      </c>
      <c r="AG52" s="1">
        <f>VLOOKUP(A52,'SegEnds_NonXtal_Prot#'!A:AL,28,FALSE)-VLOOKUP(A52,'SegEnds_NonXtal_Prot#'!A:AL,22,FALSE)</f>
        <v>53</v>
      </c>
      <c r="AH52" s="1">
        <f>VLOOKUP(A52,'SegEnds_NonXtal_Prot#'!A:AL,31,FALSE)-VLOOKUP(A52,'SegEnds_NonXtal_Prot#'!A:AL,28,FALSE)</f>
        <v>43</v>
      </c>
      <c r="AI52" s="1">
        <f>VLOOKUP(A52,'SegEnds_NonXtal_Prot#'!A:AL,34,FALSE)-VLOOKUP(A52,'SegEnds_NonXtal_Prot#'!A:AL,31,FALSE)</f>
        <v>44</v>
      </c>
      <c r="AJ52" s="1" t="str">
        <f>IF(ISERROR(MATCH(A52,'SegEnds_Xtal_Prot#'!B:B, 0)), "NoXtal", "Xtal")</f>
        <v>NoXtal</v>
      </c>
    </row>
    <row r="53" spans="1:36" x14ac:dyDescent="0.2">
      <c r="A53" s="1" t="s">
        <v>146</v>
      </c>
      <c r="B53" s="1" t="str">
        <f>VLOOKUP(A53,Xtal_Templ!A:B,2,FALSE)</f>
        <v>acm1_human</v>
      </c>
      <c r="C53" s="5">
        <f>VLOOKUP($B53&amp;"__wt",'SegEnds_Xtal_BW#'!$A:$Z,3,FALSE)</f>
        <v>29</v>
      </c>
      <c r="D53" s="1">
        <f>VLOOKUP($B53&amp;"__wt",'SegEnds_Xtal_BW#'!$A:$Z,4,FALSE)</f>
        <v>60</v>
      </c>
      <c r="E53" s="1">
        <f>VLOOKUP($B53&amp;"__wt",'SegEnds_Xtal_BW#'!$A:$Z,5,FALSE)</f>
        <v>48</v>
      </c>
      <c r="F53" s="1">
        <f>VLOOKUP($B53&amp;"__wt",'SegEnds_Xtal_BW#'!$A:$Z,6,FALSE)</f>
        <v>51</v>
      </c>
      <c r="G53" s="1">
        <v>37</v>
      </c>
      <c r="H53" s="12">
        <f>VLOOKUP($B53&amp;"__wt",'SegEnds_Xtal_BW#'!$A:$Z,8,FALSE)</f>
        <v>67</v>
      </c>
      <c r="I53" s="1">
        <f>VLOOKUP($B53&amp;"__wt",'SegEnds_Xtal_BW#'!$A:$Z,9,FALSE)</f>
        <v>49</v>
      </c>
      <c r="J53" s="1">
        <f>VLOOKUP($B53&amp;"__wt",'SegEnds_Xtal_BW#'!$A:$Z,10,FALSE)</f>
        <v>52</v>
      </c>
      <c r="K53" s="12">
        <v>18</v>
      </c>
      <c r="L53" s="1">
        <f>VLOOKUP($B53&amp;"__wt",'SegEnds_Xtal_BW#'!$A:$Z,12,FALSE)</f>
        <v>56</v>
      </c>
      <c r="M53" s="1">
        <f>VLOOKUP($B53&amp;"__wt",'SegEnds_Xtal_BW#'!$A:$Z,13,FALSE)</f>
        <v>50</v>
      </c>
      <c r="N53" s="12">
        <f>VLOOKUP($B53&amp;"__wt",'SegEnds_Xtal_BW#'!$A:$Z,14,FALSE)</f>
        <v>57</v>
      </c>
      <c r="O53" s="89">
        <f>VLOOKUP($B53&amp;"__wt",'SegEnds_Xtal_BW#'!$A:$Z,15,FALSE)</f>
        <v>38</v>
      </c>
      <c r="P53" s="1">
        <f>VLOOKUP($B53&amp;"__wt",'SegEnds_Xtal_BW#'!$A:$Z,16,FALSE)</f>
        <v>69</v>
      </c>
      <c r="Q53" s="1">
        <f>VLOOKUP($B53&amp;"__wt",'SegEnds_Xtal_BW#'!$A:$Z,17,FALSE)</f>
        <v>50</v>
      </c>
      <c r="R53" s="1">
        <f>VLOOKUP($B53&amp;"__wt",'SegEnds_Xtal_BW#'!$A:$Z,18,FALSE)</f>
        <v>52</v>
      </c>
      <c r="S53" s="1">
        <v>35</v>
      </c>
      <c r="T53" s="1">
        <f t="array" ref="T53">INDEX('ICL3'!$G$2:$G$40,MATCH(MIN(ABS(AH53-'ICL3'!$F$2:$F$40)),ABS(AH53-'ICL3'!$F$2:$F$40),0))</f>
        <v>75</v>
      </c>
      <c r="U53" s="1">
        <f t="array" ref="U53">INDEX('ICL3'!$H$2:$H$40,MATCH(MIN(ABS(AH53-'ICL3'!$F$2:$F$40)),ABS(AH53-'ICL3'!$F$2:$F$40),0))</f>
        <v>24</v>
      </c>
      <c r="V53" s="1">
        <v>61</v>
      </c>
      <c r="W53" s="1">
        <v>31</v>
      </c>
      <c r="X53" s="1">
        <f>VLOOKUP($B53&amp;"__wt",'SegEnds_Xtal_BW#'!$A:$Z,24,FALSE)</f>
        <v>56</v>
      </c>
      <c r="Y53" s="1">
        <f>VLOOKUP($B53&amp;"__wt",'SegEnds_Xtal_BW#'!$A:$Z,25,FALSE)</f>
        <v>47</v>
      </c>
      <c r="Z53" s="1">
        <f>VLOOKUP($B53&amp;"__wt",'SegEnds_Xtal_BW#'!$A:$Z,26,FALSE)</f>
        <v>59</v>
      </c>
      <c r="AA53" s="27" t="str">
        <f>VLOOKUP(A53,Classification!A:B,2,FALSE)</f>
        <v>A</v>
      </c>
      <c r="AB53" s="1">
        <f>VLOOKUP(A53,'SegEnds_NonXtal_Prot#'!A:AL,10,FALSE)-VLOOKUP(A53,'SegEnds_NonXtal_Prot#'!A:AL,7,FALSE)</f>
        <v>15</v>
      </c>
      <c r="AC53" s="1">
        <f>VLOOKUP(A53,'SegEnds_NonXtal_Prot#'!A:AL,13,FALSE)-VLOOKUP(A53,'SegEnds_NonXtal_Prot#'!A:AL,10,FALSE)</f>
        <v>20</v>
      </c>
      <c r="AD53" s="1">
        <f>VLOOKUP(A53,'SegEnds_NonXtal_Prot#'!A:AL,16,FALSE)-VLOOKUP(A53,'SegEnds_NonXtal_Prot#'!A:AL,10,FALSE)</f>
        <v>52</v>
      </c>
      <c r="AE53" s="1">
        <f>VLOOKUP(A53,'SegEnds_NonXtal_Prot#'!A:AL,22,FALSE)-VLOOKUP(A53,'SegEnds_NonXtal_Prot#'!A:AL,19,FALSE)</f>
        <v>20</v>
      </c>
      <c r="AF53" s="1">
        <f>VLOOKUP(A53,'SegEnds_NonXtal_Prot#'!A:AL,28,FALSE)-VLOOKUP(A53,'SegEnds_NonXtal_Prot#'!A:AL,25,FALSE)</f>
        <v>22</v>
      </c>
      <c r="AG53" s="1">
        <f>VLOOKUP(A53,'SegEnds_NonXtal_Prot#'!A:AL,28,FALSE)-VLOOKUP(A53,'SegEnds_NonXtal_Prot#'!A:AL,22,FALSE)</f>
        <v>50</v>
      </c>
      <c r="AH53" s="1">
        <f>VLOOKUP(A53,'SegEnds_NonXtal_Prot#'!A:AL,31,FALSE)-VLOOKUP(A53,'SegEnds_NonXtal_Prot#'!A:AL,28,FALSE)</f>
        <v>180</v>
      </c>
      <c r="AI53" s="1">
        <f>VLOOKUP(A53,'SegEnds_NonXtal_Prot#'!A:AL,34,FALSE)-VLOOKUP(A53,'SegEnds_NonXtal_Prot#'!A:AL,31,FALSE)</f>
        <v>35</v>
      </c>
      <c r="AJ53" s="1" t="str">
        <f>IF(ISERROR(MATCH(A53,'SegEnds_Xtal_Prot#'!B:B, 0)), "NoXtal", "Xtal")</f>
        <v>Xtal</v>
      </c>
    </row>
    <row r="54" spans="1:36" x14ac:dyDescent="0.2">
      <c r="A54" s="1" t="s">
        <v>147</v>
      </c>
      <c r="B54" s="1" t="str">
        <f>VLOOKUP(A54,Xtal_Templ!A:B,2,FALSE)</f>
        <v>acm2_human</v>
      </c>
      <c r="C54" s="5">
        <f>VLOOKUP($B54&amp;"__wt",'SegEnds_Xtal_BW#'!$A:$Z,3,FALSE)</f>
        <v>28</v>
      </c>
      <c r="D54" s="1">
        <f>VLOOKUP($B54&amp;"__wt",'SegEnds_Xtal_BW#'!$A:$Z,4,FALSE)</f>
        <v>60</v>
      </c>
      <c r="E54" s="1">
        <f>VLOOKUP($B54&amp;"__wt",'SegEnds_Xtal_BW#'!$A:$Z,5,FALSE)</f>
        <v>48</v>
      </c>
      <c r="F54" s="1">
        <f>VLOOKUP($B54&amp;"__wt",'SegEnds_Xtal_BW#'!$A:$Z,6,FALSE)</f>
        <v>51</v>
      </c>
      <c r="G54" s="1">
        <v>37</v>
      </c>
      <c r="H54" s="12">
        <f>VLOOKUP($B54&amp;"__wt",'SegEnds_Xtal_BW#'!$A:$Z,8,FALSE)</f>
        <v>67</v>
      </c>
      <c r="I54" s="1">
        <f>VLOOKUP($B54&amp;"__wt",'SegEnds_Xtal_BW#'!$A:$Z,9,FALSE)</f>
        <v>49</v>
      </c>
      <c r="J54" s="1">
        <f>VLOOKUP($B54&amp;"__wt",'SegEnds_Xtal_BW#'!$A:$Z,10,FALSE)</f>
        <v>52</v>
      </c>
      <c r="K54" s="12">
        <v>18</v>
      </c>
      <c r="L54" s="1">
        <f>VLOOKUP($B54&amp;"__wt",'SegEnds_Xtal_BW#'!$A:$Z,12,FALSE)</f>
        <v>56</v>
      </c>
      <c r="M54" s="1">
        <f>VLOOKUP($B54&amp;"__wt",'SegEnds_Xtal_BW#'!$A:$Z,13,FALSE)</f>
        <v>50</v>
      </c>
      <c r="N54" s="12">
        <f>VLOOKUP($B54&amp;"__wt",'SegEnds_Xtal_BW#'!$A:$Z,14,FALSE)</f>
        <v>57</v>
      </c>
      <c r="O54" s="89">
        <f>VLOOKUP($B54&amp;"__wt",'SegEnds_Xtal_BW#'!$A:$Z,15,FALSE)</f>
        <v>38</v>
      </c>
      <c r="P54" s="1">
        <f>VLOOKUP($B54&amp;"__wt",'SegEnds_Xtal_BW#'!$A:$Z,16,FALSE)</f>
        <v>69</v>
      </c>
      <c r="Q54" s="1">
        <f>VLOOKUP($B54&amp;"__wt",'SegEnds_Xtal_BW#'!$A:$Z,17,FALSE)</f>
        <v>50</v>
      </c>
      <c r="R54" s="1">
        <f>VLOOKUP($B54&amp;"__wt",'SegEnds_Xtal_BW#'!$A:$Z,18,FALSE)</f>
        <v>52</v>
      </c>
      <c r="S54" s="1">
        <v>35</v>
      </c>
      <c r="T54" s="1">
        <f t="array" ref="T54">INDEX('ICL3'!$G$2:$G$40,MATCH(MIN(ABS(AH54-'ICL3'!$F$2:$F$40)),ABS(AH54-'ICL3'!$F$2:$F$40),0))</f>
        <v>75</v>
      </c>
      <c r="U54" s="1">
        <f t="array" ref="U54">INDEX('ICL3'!$H$2:$H$40,MATCH(MIN(ABS(AH54-'ICL3'!$F$2:$F$40)),ABS(AH54-'ICL3'!$F$2:$F$40),0))</f>
        <v>24</v>
      </c>
      <c r="V54" s="1">
        <v>61</v>
      </c>
      <c r="W54" s="1">
        <v>31</v>
      </c>
      <c r="X54" s="1">
        <f>VLOOKUP($B54&amp;"__wt",'SegEnds_Xtal_BW#'!$A:$Z,24,FALSE)</f>
        <v>56</v>
      </c>
      <c r="Y54" s="1">
        <f>VLOOKUP($B54&amp;"__wt",'SegEnds_Xtal_BW#'!$A:$Z,25,FALSE)</f>
        <v>47</v>
      </c>
      <c r="Z54" s="1">
        <f>VLOOKUP($B54&amp;"__wt",'SegEnds_Xtal_BW#'!$A:$Z,26,FALSE)</f>
        <v>59</v>
      </c>
      <c r="AA54" s="27" t="str">
        <f>VLOOKUP(A54,Classification!A:B,2,FALSE)</f>
        <v>A</v>
      </c>
      <c r="AB54" s="1">
        <f>VLOOKUP(A54,'SegEnds_NonXtal_Prot#'!A:AL,10,FALSE)-VLOOKUP(A54,'SegEnds_NonXtal_Prot#'!A:AL,7,FALSE)</f>
        <v>15</v>
      </c>
      <c r="AC54" s="1">
        <f>VLOOKUP(A54,'SegEnds_NonXtal_Prot#'!A:AL,13,FALSE)-VLOOKUP(A54,'SegEnds_NonXtal_Prot#'!A:AL,10,FALSE)</f>
        <v>20</v>
      </c>
      <c r="AD54" s="1">
        <f>VLOOKUP(A54,'SegEnds_NonXtal_Prot#'!A:AL,16,FALSE)-VLOOKUP(A54,'SegEnds_NonXtal_Prot#'!A:AL,10,FALSE)</f>
        <v>52</v>
      </c>
      <c r="AE54" s="1">
        <f>VLOOKUP(A54,'SegEnds_NonXtal_Prot#'!A:AL,22,FALSE)-VLOOKUP(A54,'SegEnds_NonXtal_Prot#'!A:AL,19,FALSE)</f>
        <v>20</v>
      </c>
      <c r="AF54" s="1">
        <f>VLOOKUP(A54,'SegEnds_NonXtal_Prot#'!A:AL,28,FALSE)-VLOOKUP(A54,'SegEnds_NonXtal_Prot#'!A:AL,25,FALSE)</f>
        <v>22</v>
      </c>
      <c r="AG54" s="1">
        <f>VLOOKUP(A54,'SegEnds_NonXtal_Prot#'!A:AL,28,FALSE)-VLOOKUP(A54,'SegEnds_NonXtal_Prot#'!A:AL,22,FALSE)</f>
        <v>50</v>
      </c>
      <c r="AH54" s="1">
        <f>VLOOKUP(A54,'SegEnds_NonXtal_Prot#'!A:AL,31,FALSE)-VLOOKUP(A54,'SegEnds_NonXtal_Prot#'!A:AL,28,FALSE)</f>
        <v>204</v>
      </c>
      <c r="AI54" s="1">
        <f>VLOOKUP(A54,'SegEnds_NonXtal_Prot#'!A:AL,34,FALSE)-VLOOKUP(A54,'SegEnds_NonXtal_Prot#'!A:AL,31,FALSE)</f>
        <v>35</v>
      </c>
      <c r="AJ54" s="1" t="str">
        <f>IF(ISERROR(MATCH(A54,'SegEnds_Xtal_Prot#'!B:B, 0)), "NoXtal", "Xtal")</f>
        <v>Xtal</v>
      </c>
    </row>
    <row r="55" spans="1:36" x14ac:dyDescent="0.2">
      <c r="A55" s="1" t="s">
        <v>148</v>
      </c>
      <c r="B55" s="1" t="str">
        <f>VLOOKUP(A55,Xtal_Templ!A:B,2,FALSE)</f>
        <v>acm3_rat</v>
      </c>
      <c r="C55" s="5">
        <f>VLOOKUP($B55&amp;"__wt",'SegEnds_Xtal_BW#'!$A:$Z,3,FALSE)</f>
        <v>29</v>
      </c>
      <c r="D55" s="1">
        <f>VLOOKUP($B55&amp;"__wt",'SegEnds_Xtal_BW#'!$A:$Z,4,FALSE)</f>
        <v>60</v>
      </c>
      <c r="E55" s="1">
        <f>VLOOKUP($B55&amp;"__wt",'SegEnds_Xtal_BW#'!$A:$Z,5,FALSE)</f>
        <v>48</v>
      </c>
      <c r="F55" s="1">
        <f>VLOOKUP($B55&amp;"__wt",'SegEnds_Xtal_BW#'!$A:$Z,6,FALSE)</f>
        <v>51</v>
      </c>
      <c r="G55" s="1">
        <v>37</v>
      </c>
      <c r="H55" s="12">
        <f>VLOOKUP($B55&amp;"__wt",'SegEnds_Xtal_BW#'!$A:$Z,8,FALSE)</f>
        <v>67</v>
      </c>
      <c r="I55" s="1">
        <f>VLOOKUP($B55&amp;"__wt",'SegEnds_Xtal_BW#'!$A:$Z,9,FALSE)</f>
        <v>49</v>
      </c>
      <c r="J55" s="1">
        <f>VLOOKUP($B55&amp;"__wt",'SegEnds_Xtal_BW#'!$A:$Z,10,FALSE)</f>
        <v>52</v>
      </c>
      <c r="K55" s="12">
        <v>18</v>
      </c>
      <c r="L55" s="1">
        <f>VLOOKUP($B55&amp;"__wt",'SegEnds_Xtal_BW#'!$A:$Z,12,FALSE)</f>
        <v>56</v>
      </c>
      <c r="M55" s="1">
        <f>VLOOKUP($B55&amp;"__wt",'SegEnds_Xtal_BW#'!$A:$Z,13,FALSE)</f>
        <v>50</v>
      </c>
      <c r="N55" s="12">
        <v>57</v>
      </c>
      <c r="O55" s="89">
        <v>38</v>
      </c>
      <c r="P55" s="1">
        <f>VLOOKUP($B55&amp;"__wt",'SegEnds_Xtal_BW#'!$A:$Z,16,FALSE)</f>
        <v>69</v>
      </c>
      <c r="Q55" s="1">
        <f>VLOOKUP($B55&amp;"__wt",'SegEnds_Xtal_BW#'!$A:$Z,17,FALSE)</f>
        <v>50</v>
      </c>
      <c r="R55" s="1">
        <f>VLOOKUP($B55&amp;"__wt",'SegEnds_Xtal_BW#'!$A:$Z,18,FALSE)</f>
        <v>52</v>
      </c>
      <c r="S55" s="1">
        <v>35</v>
      </c>
      <c r="T55" s="1">
        <f t="array" ref="T55">INDEX('ICL3'!$G$2:$G$40,MATCH(MIN(ABS(AH55-'ICL3'!$F$2:$F$40)),ABS(AH55-'ICL3'!$F$2:$F$40),0))</f>
        <v>75</v>
      </c>
      <c r="U55" s="1">
        <f t="array" ref="U55">INDEX('ICL3'!$H$2:$H$40,MATCH(MIN(ABS(AH55-'ICL3'!$F$2:$F$40)),ABS(AH55-'ICL3'!$F$2:$F$40),0))</f>
        <v>24</v>
      </c>
      <c r="V55" s="1">
        <v>61</v>
      </c>
      <c r="W55" s="1">
        <v>31</v>
      </c>
      <c r="X55" s="1">
        <f>VLOOKUP($B55&amp;"__wt",'SegEnds_Xtal_BW#'!$A:$Z,24,FALSE)</f>
        <v>56</v>
      </c>
      <c r="Y55" s="1">
        <f>VLOOKUP($B55&amp;"__wt",'SegEnds_Xtal_BW#'!$A:$Z,25,FALSE)</f>
        <v>47</v>
      </c>
      <c r="Z55" s="1">
        <f>VLOOKUP($B55&amp;"__wt",'SegEnds_Xtal_BW#'!$A:$Z,26,FALSE)</f>
        <v>58</v>
      </c>
      <c r="AA55" s="27" t="str">
        <f>VLOOKUP(A55,Classification!A:B,2,FALSE)</f>
        <v>A</v>
      </c>
      <c r="AB55" s="1">
        <f>VLOOKUP(A55,'SegEnds_NonXtal_Prot#'!A:AL,10,FALSE)-VLOOKUP(A55,'SegEnds_NonXtal_Prot#'!A:AL,7,FALSE)</f>
        <v>15</v>
      </c>
      <c r="AC55" s="1">
        <f>VLOOKUP(A55,'SegEnds_NonXtal_Prot#'!A:AL,13,FALSE)-VLOOKUP(A55,'SegEnds_NonXtal_Prot#'!A:AL,10,FALSE)</f>
        <v>20</v>
      </c>
      <c r="AD55" s="1">
        <f>VLOOKUP(A55,'SegEnds_NonXtal_Prot#'!A:AL,16,FALSE)-VLOOKUP(A55,'SegEnds_NonXtal_Prot#'!A:AL,10,FALSE)</f>
        <v>52</v>
      </c>
      <c r="AE55" s="1">
        <f>VLOOKUP(A55,'SegEnds_NonXtal_Prot#'!A:AL,22,FALSE)-VLOOKUP(A55,'SegEnds_NonXtal_Prot#'!A:AL,19,FALSE)</f>
        <v>20</v>
      </c>
      <c r="AF55" s="1">
        <f>VLOOKUP(A55,'SegEnds_NonXtal_Prot#'!A:AL,28,FALSE)-VLOOKUP(A55,'SegEnds_NonXtal_Prot#'!A:AL,25,FALSE)</f>
        <v>22</v>
      </c>
      <c r="AG55" s="1">
        <f>VLOOKUP(A55,'SegEnds_NonXtal_Prot#'!A:AL,28,FALSE)-VLOOKUP(A55,'SegEnds_NonXtal_Prot#'!A:AL,22,FALSE)</f>
        <v>50</v>
      </c>
      <c r="AH55" s="1">
        <f>VLOOKUP(A55,'SegEnds_NonXtal_Prot#'!A:AL,31,FALSE)-VLOOKUP(A55,'SegEnds_NonXtal_Prot#'!A:AL,28,FALSE)</f>
        <v>263</v>
      </c>
      <c r="AI55" s="1">
        <f>VLOOKUP(A55,'SegEnds_NonXtal_Prot#'!A:AL,34,FALSE)-VLOOKUP(A55,'SegEnds_NonXtal_Prot#'!A:AL,31,FALSE)</f>
        <v>35</v>
      </c>
      <c r="AJ55" s="1" t="str">
        <f>IF(ISERROR(MATCH(A55,'SegEnds_Xtal_Prot#'!B:B, 0)), "NoXtal", "Xtal")</f>
        <v>NoXtal</v>
      </c>
    </row>
    <row r="56" spans="1:36" x14ac:dyDescent="0.2">
      <c r="A56" s="4" t="s">
        <v>910</v>
      </c>
      <c r="B56" s="4" t="str">
        <f>VLOOKUP(A56,Xtal_Templ!A:B,2,FALSE)</f>
        <v>acm3_rat</v>
      </c>
      <c r="C56" s="5">
        <f>VLOOKUP($B56&amp;"__wt",'SegEnds_Xtal_BW#'!$A:$Z,3,FALSE)</f>
        <v>29</v>
      </c>
      <c r="D56" s="4">
        <f>VLOOKUP($B56&amp;"__wt",'SegEnds_Xtal_BW#'!$A:$Z,4,FALSE)</f>
        <v>60</v>
      </c>
      <c r="E56" s="4">
        <f>VLOOKUP($B56&amp;"__wt",'SegEnds_Xtal_BW#'!$A:$Z,5,FALSE)</f>
        <v>48</v>
      </c>
      <c r="F56" s="4">
        <f>VLOOKUP($B56&amp;"__wt",'SegEnds_Xtal_BW#'!$A:$Z,6,FALSE)</f>
        <v>51</v>
      </c>
      <c r="G56" s="4">
        <v>37</v>
      </c>
      <c r="H56" s="11">
        <f>VLOOKUP($B56&amp;"__wt",'SegEnds_Xtal_BW#'!$A:$Z,8,FALSE)</f>
        <v>67</v>
      </c>
      <c r="I56" s="4">
        <f>VLOOKUP($B56&amp;"__wt",'SegEnds_Xtal_BW#'!$A:$Z,9,FALSE)</f>
        <v>49</v>
      </c>
      <c r="J56" s="4">
        <f>VLOOKUP($B56&amp;"__wt",'SegEnds_Xtal_BW#'!$A:$Z,10,FALSE)</f>
        <v>52</v>
      </c>
      <c r="K56" s="11">
        <v>18</v>
      </c>
      <c r="L56" s="4">
        <f>VLOOKUP($B56&amp;"__wt",'SegEnds_Xtal_BW#'!$A:$Z,12,FALSE)</f>
        <v>56</v>
      </c>
      <c r="M56" s="4">
        <f>VLOOKUP($B56&amp;"__wt",'SegEnds_Xtal_BW#'!$A:$Z,13,FALSE)</f>
        <v>50</v>
      </c>
      <c r="N56" s="12">
        <f>VLOOKUP($B56&amp;"__wt",'SegEnds_Xtal_BW#'!$A:$Z,14,FALSE)</f>
        <v>57</v>
      </c>
      <c r="O56" s="89">
        <f>VLOOKUP($B56&amp;"__wt",'SegEnds_Xtal_BW#'!$A:$Z,15,FALSE)</f>
        <v>38</v>
      </c>
      <c r="P56" s="4">
        <f>VLOOKUP($B56&amp;"__wt",'SegEnds_Xtal_BW#'!$A:$Z,16,FALSE)</f>
        <v>69</v>
      </c>
      <c r="Q56" s="4">
        <f>VLOOKUP($B56&amp;"__wt",'SegEnds_Xtal_BW#'!$A:$Z,17,FALSE)</f>
        <v>50</v>
      </c>
      <c r="R56" s="4">
        <f>VLOOKUP($B56&amp;"__wt",'SegEnds_Xtal_BW#'!$A:$Z,18,FALSE)</f>
        <v>52</v>
      </c>
      <c r="S56" s="4">
        <v>35</v>
      </c>
      <c r="T56" s="4">
        <f t="array" ref="T56">INDEX('ICL3'!$G$2:$G$40,MATCH(MIN(ABS(AH56-'ICL3'!$F$2:$F$40)),ABS(AH56-'ICL3'!$F$2:$F$40),0))</f>
        <v>75</v>
      </c>
      <c r="U56" s="4">
        <f t="array" ref="U56">INDEX('ICL3'!$H$2:$H$40,MATCH(MIN(ABS(AH56-'ICL3'!$F$2:$F$40)),ABS(AH56-'ICL3'!$F$2:$F$40),0))</f>
        <v>24</v>
      </c>
      <c r="V56" s="4">
        <v>61</v>
      </c>
      <c r="W56" s="4">
        <v>31</v>
      </c>
      <c r="X56" s="4">
        <f>VLOOKUP($B56&amp;"__wt",'SegEnds_Xtal_BW#'!$A:$Z,24,FALSE)</f>
        <v>56</v>
      </c>
      <c r="Y56" s="4">
        <f>VLOOKUP($B56&amp;"__wt",'SegEnds_Xtal_BW#'!$A:$Z,25,FALSE)</f>
        <v>47</v>
      </c>
      <c r="Z56" s="4">
        <f>VLOOKUP($B56&amp;"__wt",'SegEnds_Xtal_BW#'!$A:$Z,26,FALSE)</f>
        <v>58</v>
      </c>
      <c r="AA56" s="27" t="str">
        <f>VLOOKUP(A56,Classification!A:B,2,FALSE)</f>
        <v>A</v>
      </c>
      <c r="AB56" s="4">
        <f>VLOOKUP(A56,'SegEnds_NonXtal_Prot#'!A:AL,10,FALSE)-VLOOKUP(A56,'SegEnds_NonXtal_Prot#'!A:AL,7,FALSE)</f>
        <v>15</v>
      </c>
      <c r="AC56" s="4">
        <f>VLOOKUP(A56,'SegEnds_NonXtal_Prot#'!A:AL,13,FALSE)-VLOOKUP(A56,'SegEnds_NonXtal_Prot#'!A:AL,10,FALSE)</f>
        <v>20</v>
      </c>
      <c r="AD56" s="4">
        <f>VLOOKUP(A56,'SegEnds_NonXtal_Prot#'!A:AL,16,FALSE)-VLOOKUP(A56,'SegEnds_NonXtal_Prot#'!A:AL,10,FALSE)</f>
        <v>52</v>
      </c>
      <c r="AE56" s="1">
        <f>VLOOKUP(A56,'SegEnds_NonXtal_Prot#'!A:AL,22,FALSE)-VLOOKUP(A56,'SegEnds_NonXtal_Prot#'!A:AL,19,FALSE)</f>
        <v>20</v>
      </c>
      <c r="AF56" s="4">
        <f>VLOOKUP(A56,'SegEnds_NonXtal_Prot#'!A:AL,28,FALSE)-VLOOKUP(A56,'SegEnds_NonXtal_Prot#'!A:AL,25,FALSE)</f>
        <v>22</v>
      </c>
      <c r="AG56" s="1">
        <f>VLOOKUP(A56,'SegEnds_NonXtal_Prot#'!A:AL,28,FALSE)-VLOOKUP(A56,'SegEnds_NonXtal_Prot#'!A:AL,22,FALSE)</f>
        <v>50</v>
      </c>
      <c r="AH56" s="4">
        <f>VLOOKUP(A56,'SegEnds_NonXtal_Prot#'!A:AL,31,FALSE)-VLOOKUP(A56,'SegEnds_NonXtal_Prot#'!A:AL,28,FALSE)</f>
        <v>263</v>
      </c>
      <c r="AI56" s="4">
        <f>VLOOKUP(A56,'SegEnds_NonXtal_Prot#'!A:AL,34,FALSE)-VLOOKUP(A56,'SegEnds_NonXtal_Prot#'!A:AL,31,FALSE)</f>
        <v>35</v>
      </c>
      <c r="AJ56" s="1" t="str">
        <f>IF(ISERROR(MATCH(A56,'SegEnds_Xtal_Prot#'!B:B, 0)), "NoXtal", "Xtal")</f>
        <v>Xtal</v>
      </c>
    </row>
    <row r="57" spans="1:36" x14ac:dyDescent="0.2">
      <c r="A57" s="1" t="s">
        <v>149</v>
      </c>
      <c r="B57" s="1" t="str">
        <f>VLOOKUP(A57,Xtal_Templ!A:B,2,FALSE)</f>
        <v>acm4_human</v>
      </c>
      <c r="C57" s="5">
        <f>VLOOKUP($B57&amp;"__wt",'SegEnds_Xtal_BW#'!$A:$Z,3,FALSE)</f>
        <v>26</v>
      </c>
      <c r="D57" s="1">
        <f>VLOOKUP($B57&amp;"__wt",'SegEnds_Xtal_BW#'!$A:$Z,4,FALSE)</f>
        <v>60</v>
      </c>
      <c r="E57" s="1">
        <f>VLOOKUP($B57&amp;"__wt",'SegEnds_Xtal_BW#'!$A:$Z,5,FALSE)</f>
        <v>48</v>
      </c>
      <c r="F57" s="1">
        <f>VLOOKUP($B57&amp;"__wt",'SegEnds_Xtal_BW#'!$A:$Z,6,FALSE)</f>
        <v>51</v>
      </c>
      <c r="G57" s="1">
        <v>37</v>
      </c>
      <c r="H57" s="12">
        <f>VLOOKUP($B57&amp;"__wt",'SegEnds_Xtal_BW#'!$A:$Z,8,FALSE)</f>
        <v>67</v>
      </c>
      <c r="I57" s="1">
        <f>VLOOKUP($B57&amp;"__wt",'SegEnds_Xtal_BW#'!$A:$Z,9,FALSE)</f>
        <v>49</v>
      </c>
      <c r="J57" s="1">
        <f>VLOOKUP($B57&amp;"__wt",'SegEnds_Xtal_BW#'!$A:$Z,10,FALSE)</f>
        <v>52</v>
      </c>
      <c r="K57" s="12">
        <v>18</v>
      </c>
      <c r="L57" s="1">
        <f>VLOOKUP($B57&amp;"__wt",'SegEnds_Xtal_BW#'!$A:$Z,12,FALSE)</f>
        <v>56</v>
      </c>
      <c r="M57" s="1">
        <f>VLOOKUP($B57&amp;"__wt",'SegEnds_Xtal_BW#'!$A:$Z,13,FALSE)</f>
        <v>50</v>
      </c>
      <c r="N57" s="12">
        <f>VLOOKUP($B57&amp;"__wt",'SegEnds_Xtal_BW#'!$A:$Z,14,FALSE)</f>
        <v>57</v>
      </c>
      <c r="O57" s="89">
        <f>VLOOKUP($B57&amp;"__wt",'SegEnds_Xtal_BW#'!$A:$Z,15,FALSE)</f>
        <v>38</v>
      </c>
      <c r="P57" s="1">
        <f>VLOOKUP($B57&amp;"__wt",'SegEnds_Xtal_BW#'!$A:$Z,16,FALSE)</f>
        <v>69</v>
      </c>
      <c r="Q57" s="1">
        <f>VLOOKUP($B57&amp;"__wt",'SegEnds_Xtal_BW#'!$A:$Z,17,FALSE)</f>
        <v>50</v>
      </c>
      <c r="R57" s="1">
        <f>VLOOKUP($B57&amp;"__wt",'SegEnds_Xtal_BW#'!$A:$Z,18,FALSE)</f>
        <v>52</v>
      </c>
      <c r="S57" s="1">
        <v>35</v>
      </c>
      <c r="T57" s="1">
        <f t="array" ref="T57">INDEX('ICL3'!$G$2:$G$40,MATCH(MIN(ABS(AH57-'ICL3'!$F$2:$F$40)),ABS(AH57-'ICL3'!$F$2:$F$40),0))</f>
        <v>75</v>
      </c>
      <c r="U57" s="1">
        <f t="array" ref="U57">INDEX('ICL3'!$H$2:$H$40,MATCH(MIN(ABS(AH57-'ICL3'!$F$2:$F$40)),ABS(AH57-'ICL3'!$F$2:$F$40),0))</f>
        <v>24</v>
      </c>
      <c r="V57" s="1">
        <v>61</v>
      </c>
      <c r="W57" s="1">
        <v>31</v>
      </c>
      <c r="X57" s="1">
        <f>VLOOKUP($B57&amp;"__wt",'SegEnds_Xtal_BW#'!$A:$Z,24,FALSE)</f>
        <v>56</v>
      </c>
      <c r="Y57" s="1">
        <f>VLOOKUP($B57&amp;"__wt",'SegEnds_Xtal_BW#'!$A:$Z,25,FALSE)</f>
        <v>47</v>
      </c>
      <c r="Z57" s="1">
        <f>VLOOKUP($B57&amp;"__wt",'SegEnds_Xtal_BW#'!$A:$Z,26,FALSE)</f>
        <v>59</v>
      </c>
      <c r="AA57" s="27" t="str">
        <f>VLOOKUP(A57,Classification!A:B,2,FALSE)</f>
        <v>A</v>
      </c>
      <c r="AB57" s="1">
        <f>VLOOKUP(A57,'SegEnds_NonXtal_Prot#'!A:AL,10,FALSE)-VLOOKUP(A57,'SegEnds_NonXtal_Prot#'!A:AL,7,FALSE)</f>
        <v>15</v>
      </c>
      <c r="AC57" s="1">
        <f>VLOOKUP(A57,'SegEnds_NonXtal_Prot#'!A:AL,13,FALSE)-VLOOKUP(A57,'SegEnds_NonXtal_Prot#'!A:AL,10,FALSE)</f>
        <v>20</v>
      </c>
      <c r="AD57" s="1">
        <f>VLOOKUP(A57,'SegEnds_NonXtal_Prot#'!A:AL,16,FALSE)-VLOOKUP(A57,'SegEnds_NonXtal_Prot#'!A:AL,10,FALSE)</f>
        <v>52</v>
      </c>
      <c r="AE57" s="1">
        <f>VLOOKUP(A57,'SegEnds_NonXtal_Prot#'!A:AL,22,FALSE)-VLOOKUP(A57,'SegEnds_NonXtal_Prot#'!A:AL,19,FALSE)</f>
        <v>20</v>
      </c>
      <c r="AF57" s="1">
        <f>VLOOKUP(A57,'SegEnds_NonXtal_Prot#'!A:AL,28,FALSE)-VLOOKUP(A57,'SegEnds_NonXtal_Prot#'!A:AL,25,FALSE)</f>
        <v>22</v>
      </c>
      <c r="AG57" s="1">
        <f>VLOOKUP(A57,'SegEnds_NonXtal_Prot#'!A:AL,28,FALSE)-VLOOKUP(A57,'SegEnds_NonXtal_Prot#'!A:AL,22,FALSE)</f>
        <v>50</v>
      </c>
      <c r="AH57" s="1">
        <f>VLOOKUP(A57,'SegEnds_NonXtal_Prot#'!A:AL,31,FALSE)-VLOOKUP(A57,'SegEnds_NonXtal_Prot#'!A:AL,28,FALSE)</f>
        <v>208</v>
      </c>
      <c r="AI57" s="1">
        <f>VLOOKUP(A57,'SegEnds_NonXtal_Prot#'!A:AL,34,FALSE)-VLOOKUP(A57,'SegEnds_NonXtal_Prot#'!A:AL,31,FALSE)</f>
        <v>35</v>
      </c>
      <c r="AJ57" s="1" t="str">
        <f>IF(ISERROR(MATCH(A57,'SegEnds_Xtal_Prot#'!B:B, 0)), "NoXtal", "Xtal")</f>
        <v>Xtal</v>
      </c>
    </row>
    <row r="58" spans="1:36" x14ac:dyDescent="0.2">
      <c r="A58" s="1" t="s">
        <v>150</v>
      </c>
      <c r="B58" s="1" t="str">
        <f>VLOOKUP(A58,Xtal_Templ!A:B,2,FALSE)</f>
        <v>acm3_rat</v>
      </c>
      <c r="C58" s="5">
        <f>VLOOKUP($B58&amp;"__wt",'SegEnds_Xtal_BW#'!$A:$Z,3,FALSE)</f>
        <v>29</v>
      </c>
      <c r="D58" s="1">
        <f>VLOOKUP($B58&amp;"__wt",'SegEnds_Xtal_BW#'!$A:$Z,4,FALSE)</f>
        <v>60</v>
      </c>
      <c r="E58" s="1">
        <f>VLOOKUP($B58&amp;"__wt",'SegEnds_Xtal_BW#'!$A:$Z,5,FALSE)</f>
        <v>48</v>
      </c>
      <c r="F58" s="1">
        <f>VLOOKUP($B58&amp;"__wt",'SegEnds_Xtal_BW#'!$A:$Z,6,FALSE)</f>
        <v>51</v>
      </c>
      <c r="G58" s="1">
        <v>37</v>
      </c>
      <c r="H58" s="12">
        <f>VLOOKUP($B58&amp;"__wt",'SegEnds_Xtal_BW#'!$A:$Z,8,FALSE)</f>
        <v>67</v>
      </c>
      <c r="I58" s="1">
        <f>VLOOKUP($B58&amp;"__wt",'SegEnds_Xtal_BW#'!$A:$Z,9,FALSE)</f>
        <v>49</v>
      </c>
      <c r="J58" s="1">
        <f>VLOOKUP($B58&amp;"__wt",'SegEnds_Xtal_BW#'!$A:$Z,10,FALSE)</f>
        <v>52</v>
      </c>
      <c r="K58" s="12">
        <v>18</v>
      </c>
      <c r="L58" s="1">
        <f>VLOOKUP($B58&amp;"__wt",'SegEnds_Xtal_BW#'!$A:$Z,12,FALSE)</f>
        <v>56</v>
      </c>
      <c r="M58" s="1">
        <f>VLOOKUP($B58&amp;"__wt",'SegEnds_Xtal_BW#'!$A:$Z,13,FALSE)</f>
        <v>50</v>
      </c>
      <c r="N58" s="12">
        <v>57</v>
      </c>
      <c r="O58" s="89">
        <v>38</v>
      </c>
      <c r="P58" s="1">
        <f>VLOOKUP($B58&amp;"__wt",'SegEnds_Xtal_BW#'!$A:$Z,16,FALSE)</f>
        <v>69</v>
      </c>
      <c r="Q58" s="1">
        <f>VLOOKUP($B58&amp;"__wt",'SegEnds_Xtal_BW#'!$A:$Z,17,FALSE)</f>
        <v>50</v>
      </c>
      <c r="R58" s="1">
        <f>VLOOKUP($B58&amp;"__wt",'SegEnds_Xtal_BW#'!$A:$Z,18,FALSE)</f>
        <v>52</v>
      </c>
      <c r="S58" s="1">
        <v>35</v>
      </c>
      <c r="T58" s="1">
        <f t="array" ref="T58">INDEX('ICL3'!$G$2:$G$40,MATCH(MIN(ABS(AH58-'ICL3'!$F$2:$F$40)),ABS(AH58-'ICL3'!$F$2:$F$40),0))</f>
        <v>75</v>
      </c>
      <c r="U58" s="1">
        <f t="array" ref="U58">INDEX('ICL3'!$H$2:$H$40,MATCH(MIN(ABS(AH58-'ICL3'!$F$2:$F$40)),ABS(AH58-'ICL3'!$F$2:$F$40),0))</f>
        <v>24</v>
      </c>
      <c r="V58" s="1">
        <v>61</v>
      </c>
      <c r="W58" s="1">
        <v>31</v>
      </c>
      <c r="X58" s="1">
        <f>VLOOKUP($B58&amp;"__wt",'SegEnds_Xtal_BW#'!$A:$Z,24,FALSE)</f>
        <v>56</v>
      </c>
      <c r="Y58" s="1">
        <f>VLOOKUP($B58&amp;"__wt",'SegEnds_Xtal_BW#'!$A:$Z,25,FALSE)</f>
        <v>47</v>
      </c>
      <c r="Z58" s="1">
        <f>VLOOKUP($B58&amp;"__wt",'SegEnds_Xtal_BW#'!$A:$Z,26,FALSE)</f>
        <v>58</v>
      </c>
      <c r="AA58" s="27" t="str">
        <f>VLOOKUP(A58,Classification!A:B,2,FALSE)</f>
        <v>A</v>
      </c>
      <c r="AB58" s="1">
        <f>VLOOKUP(A58,'SegEnds_NonXtal_Prot#'!A:AL,10,FALSE)-VLOOKUP(A58,'SegEnds_NonXtal_Prot#'!A:AL,7,FALSE)</f>
        <v>15</v>
      </c>
      <c r="AC58" s="1">
        <f>VLOOKUP(A58,'SegEnds_NonXtal_Prot#'!A:AL,13,FALSE)-VLOOKUP(A58,'SegEnds_NonXtal_Prot#'!A:AL,10,FALSE)</f>
        <v>20</v>
      </c>
      <c r="AD58" s="1">
        <f>VLOOKUP(A58,'SegEnds_NonXtal_Prot#'!A:AL,16,FALSE)-VLOOKUP(A58,'SegEnds_NonXtal_Prot#'!A:AL,10,FALSE)</f>
        <v>52</v>
      </c>
      <c r="AE58" s="1">
        <f>VLOOKUP(A58,'SegEnds_NonXtal_Prot#'!A:AL,22,FALSE)-VLOOKUP(A58,'SegEnds_NonXtal_Prot#'!A:AL,19,FALSE)</f>
        <v>20</v>
      </c>
      <c r="AF58" s="1">
        <f>VLOOKUP(A58,'SegEnds_NonXtal_Prot#'!A:AL,28,FALSE)-VLOOKUP(A58,'SegEnds_NonXtal_Prot#'!A:AL,25,FALSE)</f>
        <v>22</v>
      </c>
      <c r="AG58" s="1">
        <f>VLOOKUP(A58,'SegEnds_NonXtal_Prot#'!A:AL,28,FALSE)-VLOOKUP(A58,'SegEnds_NonXtal_Prot#'!A:AL,22,FALSE)</f>
        <v>50</v>
      </c>
      <c r="AH58" s="1">
        <f>VLOOKUP(A58,'SegEnds_NonXtal_Prot#'!A:AL,31,FALSE)-VLOOKUP(A58,'SegEnds_NonXtal_Prot#'!A:AL,28,FALSE)</f>
        <v>252</v>
      </c>
      <c r="AI58" s="1">
        <f>VLOOKUP(A58,'SegEnds_NonXtal_Prot#'!A:AL,34,FALSE)-VLOOKUP(A58,'SegEnds_NonXtal_Prot#'!A:AL,31,FALSE)</f>
        <v>35</v>
      </c>
      <c r="AJ58" s="1" t="str">
        <f>IF(ISERROR(MATCH(A58,'SegEnds_Xtal_Prot#'!B:B, 0)), "NoXtal", "Xtal")</f>
        <v>NoXtal</v>
      </c>
    </row>
    <row r="59" spans="1:36" x14ac:dyDescent="0.2">
      <c r="A59" s="1" t="s">
        <v>151</v>
      </c>
      <c r="B59" s="1" t="str">
        <f>VLOOKUP(A59,Xtal_Templ!A:B,2,FALSE)</f>
        <v>s1pr1_human</v>
      </c>
      <c r="C59" s="5">
        <f>VLOOKUP($B59&amp;"__wt",'SegEnds_Xtal_BW#'!$A:$Z,3,FALSE)</f>
        <v>29</v>
      </c>
      <c r="D59" s="1">
        <f>VLOOKUP($B59&amp;"__wt",'SegEnds_Xtal_BW#'!$A:$Z,4,FALSE)</f>
        <v>60</v>
      </c>
      <c r="E59" s="1">
        <f>VLOOKUP($B59&amp;"__wt",'SegEnds_Xtal_BW#'!$A:$Z,5,FALSE)</f>
        <v>48</v>
      </c>
      <c r="F59" s="1">
        <f>VLOOKUP($B59&amp;"__wt",'SegEnds_Xtal_BW#'!$A:$Z,6,FALSE)</f>
        <v>51</v>
      </c>
      <c r="G59" s="1">
        <v>37</v>
      </c>
      <c r="H59" s="12">
        <v>67</v>
      </c>
      <c r="I59" s="1" t="s">
        <v>23</v>
      </c>
      <c r="J59" s="1" t="s">
        <v>23</v>
      </c>
      <c r="K59" s="12">
        <v>18</v>
      </c>
      <c r="L59" s="1">
        <f>VLOOKUP($B59&amp;"__wt",'SegEnds_Xtal_BW#'!$A:$Z,12,FALSE)</f>
        <v>56</v>
      </c>
      <c r="M59" s="1">
        <f>VLOOKUP($B59&amp;"__wt",'SegEnds_Xtal_BW#'!$A:$Z,13,FALSE)</f>
        <v>50</v>
      </c>
      <c r="N59" s="12">
        <v>57</v>
      </c>
      <c r="O59" s="89">
        <f>VLOOKUP($B59&amp;"__wt",'SegEnds_Xtal_BW#'!$A:$Z,15,FALSE)</f>
        <v>38</v>
      </c>
      <c r="P59" s="1">
        <f>VLOOKUP($B59&amp;"__wt",'SegEnds_Xtal_BW#'!$A:$Z,16,FALSE)</f>
        <v>63</v>
      </c>
      <c r="Q59" s="1" t="str">
        <f>VLOOKUP($B59&amp;"__wt",'SegEnds_Xtal_BW#'!$A:$Z,17,FALSE)</f>
        <v>-</v>
      </c>
      <c r="R59" s="1" t="str">
        <f>VLOOKUP($B59&amp;"__wt",'SegEnds_Xtal_BW#'!$A:$Z,18,FALSE)</f>
        <v>-</v>
      </c>
      <c r="S59" s="111">
        <v>33</v>
      </c>
      <c r="T59" s="1">
        <f t="array" ref="T59">INDEX('ICL3'!$G$2:$G$40,MATCH(MIN(ABS(AH59-'ICL3'!$F$2:$F$40)),ABS(AH59-'ICL3'!$F$2:$F$40),0))</f>
        <v>66</v>
      </c>
      <c r="U59" s="1">
        <f t="array" ref="U59">INDEX('ICL3'!$H$2:$H$40,MATCH(MIN(ABS(AH59-'ICL3'!$F$2:$F$40)),ABS(AH59-'ICL3'!$F$2:$F$40),0))</f>
        <v>30</v>
      </c>
      <c r="V59" s="1">
        <v>61</v>
      </c>
      <c r="W59" s="1">
        <v>28</v>
      </c>
      <c r="X59" s="1">
        <f>VLOOKUP($B59&amp;"__wt",'SegEnds_Xtal_BW#'!$A:$Z,24,FALSE)</f>
        <v>56</v>
      </c>
      <c r="Y59" s="1">
        <f>VLOOKUP($B59&amp;"__wt",'SegEnds_Xtal_BW#'!$A:$Z,25,FALSE)</f>
        <v>47</v>
      </c>
      <c r="Z59" s="1">
        <f>VLOOKUP($B59&amp;"__wt",'SegEnds_Xtal_BW#'!$A:$Z,26,FALSE)</f>
        <v>59</v>
      </c>
      <c r="AA59" s="27" t="str">
        <f>VLOOKUP(A59,Classification!A:B,2,FALSE)</f>
        <v>A</v>
      </c>
      <c r="AB59" s="1">
        <f>VLOOKUP(A59,'SegEnds_NonXtal_Prot#'!A:AL,10,FALSE)-VLOOKUP(A59,'SegEnds_NonXtal_Prot#'!A:AL,7,FALSE)</f>
        <v>15</v>
      </c>
      <c r="AC59" s="1" t="e">
        <f>VLOOKUP(A59,'SegEnds_NonXtal_Prot#'!A:AL,13,FALSE)-VLOOKUP(A59,'SegEnds_NonXtal_Prot#'!A:AL,10,FALSE)</f>
        <v>#VALUE!</v>
      </c>
      <c r="AD59" s="1">
        <f>VLOOKUP(A59,'SegEnds_NonXtal_Prot#'!A:AL,16,FALSE)-VLOOKUP(A59,'SegEnds_NonXtal_Prot#'!A:AL,10,FALSE)</f>
        <v>58</v>
      </c>
      <c r="AE59" s="1">
        <f>VLOOKUP(A59,'SegEnds_NonXtal_Prot#'!A:AL,22,FALSE)-VLOOKUP(A59,'SegEnds_NonXtal_Prot#'!A:AL,19,FALSE)</f>
        <v>20</v>
      </c>
      <c r="AF59" s="1" t="e">
        <f>VLOOKUP(A59,'SegEnds_NonXtal_Prot#'!A:AL,28,FALSE)-VLOOKUP(A59,'SegEnds_NonXtal_Prot#'!A:AL,25,FALSE)</f>
        <v>#VALUE!</v>
      </c>
      <c r="AG59" s="1">
        <f>VLOOKUP(A59,'SegEnds_NonXtal_Prot#'!A:AL,28,FALSE)-VLOOKUP(A59,'SegEnds_NonXtal_Prot#'!A:AL,22,FALSE)</f>
        <v>40</v>
      </c>
      <c r="AH59" s="1">
        <f>VLOOKUP(A59,'SegEnds_NonXtal_Prot#'!A:AL,31,FALSE)-VLOOKUP(A59,'SegEnds_NonXtal_Prot#'!A:AL,28,FALSE)</f>
        <v>39</v>
      </c>
      <c r="AI59" s="1">
        <f>VLOOKUP(A59,'SegEnds_NonXtal_Prot#'!A:AL,34,FALSE)-VLOOKUP(A59,'SegEnds_NonXtal_Prot#'!A:AL,31,FALSE)</f>
        <v>39</v>
      </c>
      <c r="AJ59" s="1" t="str">
        <f>IF(ISERROR(MATCH(A59,'SegEnds_Xtal_Prot#'!B:B, 0)), "NoXtal", "Xtal")</f>
        <v>NoXtal</v>
      </c>
    </row>
    <row r="60" spans="1:36" x14ac:dyDescent="0.2">
      <c r="A60" s="1" t="s">
        <v>152</v>
      </c>
      <c r="B60" s="1" t="str">
        <f>VLOOKUP(A60,Xtal_Templ!A:B,2,FALSE)</f>
        <v>5ht1b_human</v>
      </c>
      <c r="C60" s="5">
        <f>VLOOKUP($B60&amp;"__wt",'SegEnds_Xtal_BW#'!$A:$Z,3,FALSE)</f>
        <v>29</v>
      </c>
      <c r="D60" s="1">
        <f>VLOOKUP($B60&amp;"__wt",'SegEnds_Xtal_BW#'!$A:$Z,4,FALSE)</f>
        <v>60</v>
      </c>
      <c r="E60" s="1">
        <f>VLOOKUP($B60&amp;"__wt",'SegEnds_Xtal_BW#'!$A:$Z,5,FALSE)</f>
        <v>48</v>
      </c>
      <c r="F60" s="1">
        <f>VLOOKUP($B60&amp;"__wt",'SegEnds_Xtal_BW#'!$A:$Z,6,FALSE)</f>
        <v>51</v>
      </c>
      <c r="G60" s="1">
        <v>37</v>
      </c>
      <c r="H60" s="12">
        <f>VLOOKUP($B60&amp;"__wt",'SegEnds_Xtal_BW#'!$A:$Z,8,FALSE)</f>
        <v>67</v>
      </c>
      <c r="I60" s="1">
        <f>VLOOKUP($B60&amp;"__wt",'SegEnds_Xtal_BW#'!$A:$Z,9,FALSE)</f>
        <v>49</v>
      </c>
      <c r="J60" s="1">
        <f>VLOOKUP($B60&amp;"__wt",'SegEnds_Xtal_BW#'!$A:$Z,10,FALSE)</f>
        <v>52</v>
      </c>
      <c r="K60" s="12">
        <v>18</v>
      </c>
      <c r="L60" s="1">
        <f>VLOOKUP($B60&amp;"__wt",'SegEnds_Xtal_BW#'!$A:$Z,12,FALSE)</f>
        <v>56</v>
      </c>
      <c r="M60" s="1">
        <f>VLOOKUP($B60&amp;"__wt",'SegEnds_Xtal_BW#'!$A:$Z,13,FALSE)</f>
        <v>50</v>
      </c>
      <c r="N60" s="12">
        <v>57</v>
      </c>
      <c r="O60" s="89">
        <v>38</v>
      </c>
      <c r="P60" s="1">
        <f>VLOOKUP($B60&amp;"__wt",'SegEnds_Xtal_BW#'!$A:$Z,16,FALSE)</f>
        <v>63</v>
      </c>
      <c r="Q60" s="1">
        <f>VLOOKUP($B60&amp;"__wt",'SegEnds_Xtal_BW#'!$A:$Z,17,FALSE)</f>
        <v>50</v>
      </c>
      <c r="R60" s="1">
        <f>VLOOKUP($B60&amp;"__wt",'SegEnds_Xtal_BW#'!$A:$Z,18,FALSE)</f>
        <v>52</v>
      </c>
      <c r="S60" s="1">
        <v>35</v>
      </c>
      <c r="T60" s="1">
        <f t="array" ref="T60">INDEX('ICL3'!$G$2:$G$40,MATCH(MIN(ABS(AH60-'ICL3'!$F$2:$F$40)),ABS(AH60-'ICL3'!$F$2:$F$40),0))</f>
        <v>76</v>
      </c>
      <c r="U60" s="1">
        <f t="array" ref="U60">INDEX('ICL3'!$H$2:$H$40,MATCH(MIN(ABS(AH60-'ICL3'!$F$2:$F$40)),ABS(AH60-'ICL3'!$F$2:$F$40),0))</f>
        <v>24</v>
      </c>
      <c r="V60" s="1">
        <v>61</v>
      </c>
      <c r="W60" s="1">
        <v>31</v>
      </c>
      <c r="X60" s="1">
        <f>VLOOKUP($B60&amp;"__wt",'SegEnds_Xtal_BW#'!$A:$Z,24,FALSE)</f>
        <v>56</v>
      </c>
      <c r="Y60" s="1">
        <f>VLOOKUP($B60&amp;"__wt",'SegEnds_Xtal_BW#'!$A:$Z,25,FALSE)</f>
        <v>47</v>
      </c>
      <c r="Z60" s="1">
        <f>VLOOKUP($B60&amp;"__wt",'SegEnds_Xtal_BW#'!$A:$Z,26,FALSE)</f>
        <v>58</v>
      </c>
      <c r="AA60" s="27" t="str">
        <f>VLOOKUP(A60,Classification!A:B,2,FALSE)</f>
        <v>A</v>
      </c>
      <c r="AB60" s="1">
        <f>VLOOKUP(A60,'SegEnds_NonXtal_Prot#'!A:AL,10,FALSE)-VLOOKUP(A60,'SegEnds_NonXtal_Prot#'!A:AL,7,FALSE)</f>
        <v>15</v>
      </c>
      <c r="AC60" s="1">
        <f>VLOOKUP(A60,'SegEnds_NonXtal_Prot#'!A:AL,13,FALSE)-VLOOKUP(A60,'SegEnds_NonXtal_Prot#'!A:AL,10,FALSE)</f>
        <v>20</v>
      </c>
      <c r="AD60" s="1">
        <f>VLOOKUP(A60,'SegEnds_NonXtal_Prot#'!A:AL,16,FALSE)-VLOOKUP(A60,'SegEnds_NonXtal_Prot#'!A:AL,10,FALSE)</f>
        <v>52</v>
      </c>
      <c r="AE60" s="1">
        <f>VLOOKUP(A60,'SegEnds_NonXtal_Prot#'!A:AL,22,FALSE)-VLOOKUP(A60,'SegEnds_NonXtal_Prot#'!A:AL,19,FALSE)</f>
        <v>20</v>
      </c>
      <c r="AF60" s="1">
        <f>VLOOKUP(A60,'SegEnds_NonXtal_Prot#'!A:AL,28,FALSE)-VLOOKUP(A60,'SegEnds_NonXtal_Prot#'!A:AL,25,FALSE)</f>
        <v>20</v>
      </c>
      <c r="AG60" s="1">
        <f>VLOOKUP(A60,'SegEnds_NonXtal_Prot#'!A:AL,28,FALSE)-VLOOKUP(A60,'SegEnds_NonXtal_Prot#'!A:AL,22,FALSE)</f>
        <v>45</v>
      </c>
      <c r="AH60" s="1">
        <f>VLOOKUP(A60,'SegEnds_NonXtal_Prot#'!A:AL,31,FALSE)-VLOOKUP(A60,'SegEnds_NonXtal_Prot#'!A:AL,28,FALSE)</f>
        <v>91</v>
      </c>
      <c r="AI60" s="1">
        <f>VLOOKUP(A60,'SegEnds_NonXtal_Prot#'!A:AL,34,FALSE)-VLOOKUP(A60,'SegEnds_NonXtal_Prot#'!A:AL,31,FALSE)</f>
        <v>36</v>
      </c>
      <c r="AJ60" s="1" t="str">
        <f>IF(ISERROR(MATCH(A60,'SegEnds_Xtal_Prot#'!B:B, 0)), "NoXtal", "Xtal")</f>
        <v>NoXtal</v>
      </c>
    </row>
    <row r="61" spans="1:36" x14ac:dyDescent="0.2">
      <c r="A61" s="1" t="s">
        <v>153</v>
      </c>
      <c r="B61" s="1" t="str">
        <f>VLOOKUP(A61,Xtal_Templ!A:B,2,FALSE)</f>
        <v>drd3_human</v>
      </c>
      <c r="C61" s="5">
        <f>VLOOKUP($B61&amp;"__wt",'SegEnds_Xtal_BW#'!$A:$Z,3,FALSE)</f>
        <v>29</v>
      </c>
      <c r="D61" s="1">
        <f>VLOOKUP($B61&amp;"__wt",'SegEnds_Xtal_BW#'!$A:$Z,4,FALSE)</f>
        <v>60</v>
      </c>
      <c r="E61" s="1">
        <f>VLOOKUP($B61&amp;"__wt",'SegEnds_Xtal_BW#'!$A:$Z,5,FALSE)</f>
        <v>48</v>
      </c>
      <c r="F61" s="1">
        <f>VLOOKUP($B61&amp;"__wt",'SegEnds_Xtal_BW#'!$A:$Z,6,FALSE)</f>
        <v>51</v>
      </c>
      <c r="G61" s="1">
        <v>37</v>
      </c>
      <c r="H61" s="12">
        <f>VLOOKUP($B61&amp;"__wt",'SegEnds_Xtal_BW#'!$A:$Z,8,FALSE)</f>
        <v>67</v>
      </c>
      <c r="I61" s="1">
        <f>VLOOKUP($B61&amp;"__wt",'SegEnds_Xtal_BW#'!$A:$Z,9,FALSE)</f>
        <v>49</v>
      </c>
      <c r="J61" s="1">
        <f>VLOOKUP($B61&amp;"__wt",'SegEnds_Xtal_BW#'!$A:$Z,10,FALSE)</f>
        <v>52</v>
      </c>
      <c r="K61" s="12">
        <v>18</v>
      </c>
      <c r="L61" s="1">
        <f>VLOOKUP($B61&amp;"__wt",'SegEnds_Xtal_BW#'!$A:$Z,12,FALSE)</f>
        <v>56</v>
      </c>
      <c r="M61" s="1">
        <f>VLOOKUP($B61&amp;"__wt",'SegEnds_Xtal_BW#'!$A:$Z,13,FALSE)</f>
        <v>50</v>
      </c>
      <c r="N61" s="12">
        <v>57</v>
      </c>
      <c r="O61" s="89">
        <v>38</v>
      </c>
      <c r="P61" s="1">
        <f>VLOOKUP($B61&amp;"__wt",'SegEnds_Xtal_BW#'!$A:$Z,16,FALSE)</f>
        <v>63</v>
      </c>
      <c r="Q61" s="1">
        <f>VLOOKUP($B61&amp;"__wt",'SegEnds_Xtal_BW#'!$A:$Z,17,FALSE)</f>
        <v>50</v>
      </c>
      <c r="R61" s="1">
        <f>VLOOKUP($B61&amp;"__wt",'SegEnds_Xtal_BW#'!$A:$Z,18,FALSE)</f>
        <v>52</v>
      </c>
      <c r="S61" s="1">
        <v>35</v>
      </c>
      <c r="T61" s="1">
        <f t="array" ref="T61">INDEX('ICL3'!$G$2:$G$40,MATCH(MIN(ABS(AH61-'ICL3'!$F$2:$F$40)),ABS(AH61-'ICL3'!$F$2:$F$40),0))</f>
        <v>74</v>
      </c>
      <c r="U61" s="1">
        <f t="array" ref="U61">INDEX('ICL3'!$H$2:$H$40,MATCH(MIN(ABS(AH61-'ICL3'!$F$2:$F$40)),ABS(AH61-'ICL3'!$F$2:$F$40),0))</f>
        <v>24</v>
      </c>
      <c r="V61" s="1">
        <v>61</v>
      </c>
      <c r="W61" s="1">
        <v>31</v>
      </c>
      <c r="X61" s="1">
        <f>VLOOKUP($B61&amp;"__wt",'SegEnds_Xtal_BW#'!$A:$Z,24,FALSE)</f>
        <v>56</v>
      </c>
      <c r="Y61" s="1">
        <f>VLOOKUP($B61&amp;"__wt",'SegEnds_Xtal_BW#'!$A:$Z,25,FALSE)</f>
        <v>47</v>
      </c>
      <c r="Z61" s="1">
        <f>VLOOKUP($B61&amp;"__wt",'SegEnds_Xtal_BW#'!$A:$Z,26,FALSE)</f>
        <v>59</v>
      </c>
      <c r="AA61" s="27" t="str">
        <f>VLOOKUP(A61,Classification!A:B,2,FALSE)</f>
        <v>A</v>
      </c>
      <c r="AB61" s="1">
        <f>VLOOKUP(A61,'SegEnds_NonXtal_Prot#'!A:AL,10,FALSE)-VLOOKUP(A61,'SegEnds_NonXtal_Prot#'!A:AL,7,FALSE)</f>
        <v>15</v>
      </c>
      <c r="AC61" s="1">
        <f>VLOOKUP(A61,'SegEnds_NonXtal_Prot#'!A:AL,13,FALSE)-VLOOKUP(A61,'SegEnds_NonXtal_Prot#'!A:AL,10,FALSE)</f>
        <v>20</v>
      </c>
      <c r="AD61" s="1">
        <f>VLOOKUP(A61,'SegEnds_NonXtal_Prot#'!A:AL,16,FALSE)-VLOOKUP(A61,'SegEnds_NonXtal_Prot#'!A:AL,10,FALSE)</f>
        <v>52</v>
      </c>
      <c r="AE61" s="1">
        <f>VLOOKUP(A61,'SegEnds_NonXtal_Prot#'!A:AL,22,FALSE)-VLOOKUP(A61,'SegEnds_NonXtal_Prot#'!A:AL,19,FALSE)</f>
        <v>20</v>
      </c>
      <c r="AF61" s="1">
        <f>VLOOKUP(A61,'SegEnds_NonXtal_Prot#'!A:AL,28,FALSE)-VLOOKUP(A61,'SegEnds_NonXtal_Prot#'!A:AL,25,FALSE)</f>
        <v>20</v>
      </c>
      <c r="AG61" s="1">
        <f>VLOOKUP(A61,'SegEnds_NonXtal_Prot#'!A:AL,28,FALSE)-VLOOKUP(A61,'SegEnds_NonXtal_Prot#'!A:AL,22,FALSE)</f>
        <v>45</v>
      </c>
      <c r="AH61" s="1">
        <f>VLOOKUP(A61,'SegEnds_NonXtal_Prot#'!A:AL,31,FALSE)-VLOOKUP(A61,'SegEnds_NonXtal_Prot#'!A:AL,28,FALSE)</f>
        <v>94</v>
      </c>
      <c r="AI61" s="1">
        <f>VLOOKUP(A61,'SegEnds_NonXtal_Prot#'!A:AL,34,FALSE)-VLOOKUP(A61,'SegEnds_NonXtal_Prot#'!A:AL,31,FALSE)</f>
        <v>36</v>
      </c>
      <c r="AJ61" s="1" t="str">
        <f>IF(ISERROR(MATCH(A61,'SegEnds_Xtal_Prot#'!B:B, 0)), "NoXtal", "Xtal")</f>
        <v>NoXtal</v>
      </c>
    </row>
    <row r="62" spans="1:36" x14ac:dyDescent="0.2">
      <c r="A62" s="1" t="s">
        <v>154</v>
      </c>
      <c r="B62" s="1" t="str">
        <f>VLOOKUP(A62,Xtal_Templ!A:B,2,FALSE)</f>
        <v>adrb2_human</v>
      </c>
      <c r="C62" s="5">
        <f>VLOOKUP($B62&amp;"__wt",'SegEnds_Xtal_BW#'!$A:$Z,3,FALSE)</f>
        <v>25</v>
      </c>
      <c r="D62" s="1">
        <f>VLOOKUP($B62&amp;"__wt",'SegEnds_Xtal_BW#'!$A:$Z,4,FALSE)</f>
        <v>60</v>
      </c>
      <c r="E62" s="1">
        <f>VLOOKUP($B62&amp;"__wt",'SegEnds_Xtal_BW#'!$A:$Z,5,FALSE)</f>
        <v>48</v>
      </c>
      <c r="F62" s="1">
        <f>VLOOKUP($B62&amp;"__wt",'SegEnds_Xtal_BW#'!$A:$Z,6,FALSE)</f>
        <v>51</v>
      </c>
      <c r="G62" s="1">
        <v>37</v>
      </c>
      <c r="H62" s="12">
        <f>VLOOKUP($B62&amp;"__wt",'SegEnds_Xtal_BW#'!$A:$Z,8,FALSE)</f>
        <v>67</v>
      </c>
      <c r="I62" s="1">
        <f>VLOOKUP($B62&amp;"__wt",'SegEnds_Xtal_BW#'!$A:$Z,9,FALSE)</f>
        <v>49</v>
      </c>
      <c r="J62" s="1">
        <f>VLOOKUP($B62&amp;"__wt",'SegEnds_Xtal_BW#'!$A:$Z,10,FALSE)</f>
        <v>52</v>
      </c>
      <c r="K62" s="12">
        <v>18</v>
      </c>
      <c r="L62" s="1">
        <f>VLOOKUP($B62&amp;"__wt",'SegEnds_Xtal_BW#'!$A:$Z,12,FALSE)</f>
        <v>56</v>
      </c>
      <c r="M62" s="1">
        <f>VLOOKUP($B62&amp;"__wt",'SegEnds_Xtal_BW#'!$A:$Z,13,FALSE)</f>
        <v>50</v>
      </c>
      <c r="N62" s="12">
        <v>57</v>
      </c>
      <c r="O62" s="89">
        <v>38</v>
      </c>
      <c r="P62" s="1">
        <f>VLOOKUP($B62&amp;"__wt",'SegEnds_Xtal_BW#'!$A:$Z,16,FALSE)</f>
        <v>64</v>
      </c>
      <c r="Q62" s="1">
        <f>VLOOKUP($B62&amp;"__wt",'SegEnds_Xtal_BW#'!$A:$Z,17,FALSE)</f>
        <v>50</v>
      </c>
      <c r="R62" s="1">
        <f>VLOOKUP($B62&amp;"__wt",'SegEnds_Xtal_BW#'!$A:$Z,18,FALSE)</f>
        <v>52</v>
      </c>
      <c r="S62" s="1">
        <v>35</v>
      </c>
      <c r="T62" s="1">
        <f t="array" ref="T62">INDEX('ICL3'!$G$2:$G$40,MATCH(MIN(ABS(AH62-'ICL3'!$F$2:$F$40)),ABS(AH62-'ICL3'!$F$2:$F$40),0))</f>
        <v>74</v>
      </c>
      <c r="U62" s="1">
        <f t="array" ref="U62">INDEX('ICL3'!$H$2:$H$40,MATCH(MIN(ABS(AH62-'ICL3'!$F$2:$F$40)),ABS(AH62-'ICL3'!$F$2:$F$40),0))</f>
        <v>24</v>
      </c>
      <c r="V62" s="1">
        <v>61</v>
      </c>
      <c r="W62" s="1">
        <v>31</v>
      </c>
      <c r="X62" s="1">
        <f>VLOOKUP($B62&amp;"__wt",'SegEnds_Xtal_BW#'!$A:$Z,24,FALSE)</f>
        <v>55</v>
      </c>
      <c r="Y62" s="1">
        <f>VLOOKUP($B62&amp;"__wt",'SegEnds_Xtal_BW#'!$A:$Z,25,FALSE)</f>
        <v>47</v>
      </c>
      <c r="Z62" s="1">
        <f>VLOOKUP($B62&amp;"__wt",'SegEnds_Xtal_BW#'!$A:$Z,26,FALSE)</f>
        <v>59</v>
      </c>
      <c r="AA62" s="27" t="str">
        <f>VLOOKUP(A62,Classification!A:B,2,FALSE)</f>
        <v>A</v>
      </c>
      <c r="AB62" s="1">
        <f>VLOOKUP(A62,'SegEnds_NonXtal_Prot#'!A:AL,10,FALSE)-VLOOKUP(A62,'SegEnds_NonXtal_Prot#'!A:AL,7,FALSE)</f>
        <v>15</v>
      </c>
      <c r="AC62" s="1">
        <f>VLOOKUP(A62,'SegEnds_NonXtal_Prot#'!A:AL,13,FALSE)-VLOOKUP(A62,'SegEnds_NonXtal_Prot#'!A:AL,10,FALSE)</f>
        <v>20</v>
      </c>
      <c r="AD62" s="1">
        <f>VLOOKUP(A62,'SegEnds_NonXtal_Prot#'!A:AL,16,FALSE)-VLOOKUP(A62,'SegEnds_NonXtal_Prot#'!A:AL,10,FALSE)</f>
        <v>52</v>
      </c>
      <c r="AE62" s="1">
        <f>VLOOKUP(A62,'SegEnds_NonXtal_Prot#'!A:AL,22,FALSE)-VLOOKUP(A62,'SegEnds_NonXtal_Prot#'!A:AL,19,FALSE)</f>
        <v>20</v>
      </c>
      <c r="AF62" s="1">
        <f>VLOOKUP(A62,'SegEnds_NonXtal_Prot#'!A:AL,28,FALSE)-VLOOKUP(A62,'SegEnds_NonXtal_Prot#'!A:AL,25,FALSE)</f>
        <v>20</v>
      </c>
      <c r="AG62" s="1">
        <f>VLOOKUP(A62,'SegEnds_NonXtal_Prot#'!A:AL,28,FALSE)-VLOOKUP(A62,'SegEnds_NonXtal_Prot#'!A:AL,22,FALSE)</f>
        <v>45</v>
      </c>
      <c r="AH62" s="1">
        <f>VLOOKUP(A62,'SegEnds_NonXtal_Prot#'!A:AL,31,FALSE)-VLOOKUP(A62,'SegEnds_NonXtal_Prot#'!A:AL,28,FALSE)</f>
        <v>97</v>
      </c>
      <c r="AI62" s="1">
        <f>VLOOKUP(A62,'SegEnds_NonXtal_Prot#'!A:AL,34,FALSE)-VLOOKUP(A62,'SegEnds_NonXtal_Prot#'!A:AL,31,FALSE)</f>
        <v>36</v>
      </c>
      <c r="AJ62" s="1" t="str">
        <f>IF(ISERROR(MATCH(A62,'SegEnds_Xtal_Prot#'!B:B, 0)), "NoXtal", "Xtal")</f>
        <v>NoXtal</v>
      </c>
    </row>
    <row r="63" spans="1:36" x14ac:dyDescent="0.2">
      <c r="A63" s="1" t="s">
        <v>155</v>
      </c>
      <c r="B63" s="1" t="str">
        <f>VLOOKUP(A63,Xtal_Templ!A:B,2,FALSE)</f>
        <v>drd3_human</v>
      </c>
      <c r="C63" s="5">
        <f>VLOOKUP($B63&amp;"__wt",'SegEnds_Xtal_BW#'!$A:$Z,3,FALSE)</f>
        <v>29</v>
      </c>
      <c r="D63" s="1">
        <f>VLOOKUP($B63&amp;"__wt",'SegEnds_Xtal_BW#'!$A:$Z,4,FALSE)</f>
        <v>60</v>
      </c>
      <c r="E63" s="1">
        <f>VLOOKUP($B63&amp;"__wt",'SegEnds_Xtal_BW#'!$A:$Z,5,FALSE)</f>
        <v>48</v>
      </c>
      <c r="F63" s="1">
        <f>VLOOKUP($B63&amp;"__wt",'SegEnds_Xtal_BW#'!$A:$Z,6,FALSE)</f>
        <v>51</v>
      </c>
      <c r="G63" s="1">
        <v>37</v>
      </c>
      <c r="H63" s="12">
        <f>VLOOKUP($B63&amp;"__wt",'SegEnds_Xtal_BW#'!$A:$Z,8,FALSE)</f>
        <v>67</v>
      </c>
      <c r="I63" s="1">
        <f>VLOOKUP($B63&amp;"__wt",'SegEnds_Xtal_BW#'!$A:$Z,9,FALSE)</f>
        <v>49</v>
      </c>
      <c r="J63" s="1">
        <f>VLOOKUP($B63&amp;"__wt",'SegEnds_Xtal_BW#'!$A:$Z,10,FALSE)</f>
        <v>52</v>
      </c>
      <c r="K63" s="12">
        <v>18</v>
      </c>
      <c r="L63" s="1">
        <f>VLOOKUP($B63&amp;"__wt",'SegEnds_Xtal_BW#'!$A:$Z,12,FALSE)</f>
        <v>56</v>
      </c>
      <c r="M63" s="1">
        <f>VLOOKUP($B63&amp;"__wt",'SegEnds_Xtal_BW#'!$A:$Z,13,FALSE)</f>
        <v>50</v>
      </c>
      <c r="N63" s="12">
        <v>57</v>
      </c>
      <c r="O63" s="89">
        <v>38</v>
      </c>
      <c r="P63" s="1">
        <f>VLOOKUP($B63&amp;"__wt",'SegEnds_Xtal_BW#'!$A:$Z,16,FALSE)</f>
        <v>63</v>
      </c>
      <c r="Q63" s="1">
        <f>VLOOKUP($B63&amp;"__wt",'SegEnds_Xtal_BW#'!$A:$Z,17,FALSE)</f>
        <v>50</v>
      </c>
      <c r="R63" s="1">
        <f>VLOOKUP($B63&amp;"__wt",'SegEnds_Xtal_BW#'!$A:$Z,18,FALSE)</f>
        <v>52</v>
      </c>
      <c r="S63" s="1">
        <v>35</v>
      </c>
      <c r="T63" s="1">
        <f t="array" ref="T63">INDEX('ICL3'!$G$2:$G$40,MATCH(MIN(ABS(AH63-'ICL3'!$F$2:$F$40)),ABS(AH63-'ICL3'!$F$2:$F$40),0))</f>
        <v>75</v>
      </c>
      <c r="U63" s="1">
        <f t="array" ref="U63">INDEX('ICL3'!$H$2:$H$40,MATCH(MIN(ABS(AH63-'ICL3'!$F$2:$F$40)),ABS(AH63-'ICL3'!$F$2:$F$40),0))</f>
        <v>24</v>
      </c>
      <c r="V63" s="1">
        <v>61</v>
      </c>
      <c r="W63" s="1">
        <v>32</v>
      </c>
      <c r="X63" s="1">
        <f>VLOOKUP($B63&amp;"__wt",'SegEnds_Xtal_BW#'!$A:$Z,24,FALSE)</f>
        <v>56</v>
      </c>
      <c r="Y63" s="1">
        <f>VLOOKUP($B63&amp;"__wt",'SegEnds_Xtal_BW#'!$A:$Z,25,FALSE)</f>
        <v>47</v>
      </c>
      <c r="Z63" s="1">
        <f>VLOOKUP($B63&amp;"__wt",'SegEnds_Xtal_BW#'!$A:$Z,26,FALSE)</f>
        <v>59</v>
      </c>
      <c r="AA63" s="27" t="str">
        <f>VLOOKUP(A63,Classification!A:B,2,FALSE)</f>
        <v>A</v>
      </c>
      <c r="AB63" s="1">
        <f>VLOOKUP(A63,'SegEnds_NonXtal_Prot#'!A:AL,10,FALSE)-VLOOKUP(A63,'SegEnds_NonXtal_Prot#'!A:AL,7,FALSE)</f>
        <v>15</v>
      </c>
      <c r="AC63" s="1">
        <f>VLOOKUP(A63,'SegEnds_NonXtal_Prot#'!A:AL,13,FALSE)-VLOOKUP(A63,'SegEnds_NonXtal_Prot#'!A:AL,10,FALSE)</f>
        <v>20</v>
      </c>
      <c r="AD63" s="1">
        <f>VLOOKUP(A63,'SegEnds_NonXtal_Prot#'!A:AL,16,FALSE)-VLOOKUP(A63,'SegEnds_NonXtal_Prot#'!A:AL,10,FALSE)</f>
        <v>52</v>
      </c>
      <c r="AE63" s="1">
        <f>VLOOKUP(A63,'SegEnds_NonXtal_Prot#'!A:AL,22,FALSE)-VLOOKUP(A63,'SegEnds_NonXtal_Prot#'!A:AL,19,FALSE)</f>
        <v>20</v>
      </c>
      <c r="AF63" s="1">
        <f>VLOOKUP(A63,'SegEnds_NonXtal_Prot#'!A:AL,28,FALSE)-VLOOKUP(A63,'SegEnds_NonXtal_Prot#'!A:AL,25,FALSE)</f>
        <v>20</v>
      </c>
      <c r="AG63" s="1">
        <f>VLOOKUP(A63,'SegEnds_NonXtal_Prot#'!A:AL,28,FALSE)-VLOOKUP(A63,'SegEnds_NonXtal_Prot#'!A:AL,22,FALSE)</f>
        <v>50</v>
      </c>
      <c r="AH63" s="1">
        <f>VLOOKUP(A63,'SegEnds_NonXtal_Prot#'!A:AL,31,FALSE)-VLOOKUP(A63,'SegEnds_NonXtal_Prot#'!A:AL,28,FALSE)</f>
        <v>181</v>
      </c>
      <c r="AI63" s="1">
        <f>VLOOKUP(A63,'SegEnds_NonXtal_Prot#'!A:AL,34,FALSE)-VLOOKUP(A63,'SegEnds_NonXtal_Prot#'!A:AL,31,FALSE)</f>
        <v>34</v>
      </c>
      <c r="AJ63" s="1" t="str">
        <f>IF(ISERROR(MATCH(A63,'SegEnds_Xtal_Prot#'!B:B, 0)), "NoXtal", "Xtal")</f>
        <v>NoXtal</v>
      </c>
    </row>
    <row r="64" spans="1:36" x14ac:dyDescent="0.2">
      <c r="A64" s="1" t="s">
        <v>156</v>
      </c>
      <c r="B64" s="1" t="str">
        <f>VLOOKUP(A64,Xtal_Templ!A:B,2,FALSE)</f>
        <v>drd3_human</v>
      </c>
      <c r="C64" s="5">
        <f>VLOOKUP($B64&amp;"__wt",'SegEnds_Xtal_BW#'!$A:$Z,3,FALSE)</f>
        <v>29</v>
      </c>
      <c r="D64" s="1">
        <f>VLOOKUP($B64&amp;"__wt",'SegEnds_Xtal_BW#'!$A:$Z,4,FALSE)</f>
        <v>60</v>
      </c>
      <c r="E64" s="1">
        <f>VLOOKUP($B64&amp;"__wt",'SegEnds_Xtal_BW#'!$A:$Z,5,FALSE)</f>
        <v>48</v>
      </c>
      <c r="F64" s="1">
        <f>VLOOKUP($B64&amp;"__wt",'SegEnds_Xtal_BW#'!$A:$Z,6,FALSE)</f>
        <v>51</v>
      </c>
      <c r="G64" s="1">
        <v>37</v>
      </c>
      <c r="H64" s="12">
        <f>VLOOKUP($B64&amp;"__wt",'SegEnds_Xtal_BW#'!$A:$Z,8,FALSE)</f>
        <v>67</v>
      </c>
      <c r="I64" s="1">
        <f>VLOOKUP($B64&amp;"__wt",'SegEnds_Xtal_BW#'!$A:$Z,9,FALSE)</f>
        <v>49</v>
      </c>
      <c r="J64" s="1">
        <f>VLOOKUP($B64&amp;"__wt",'SegEnds_Xtal_BW#'!$A:$Z,10,FALSE)</f>
        <v>52</v>
      </c>
      <c r="K64" s="12">
        <v>18</v>
      </c>
      <c r="L64" s="1">
        <f>VLOOKUP($B64&amp;"__wt",'SegEnds_Xtal_BW#'!$A:$Z,12,FALSE)</f>
        <v>56</v>
      </c>
      <c r="M64" s="1">
        <f>VLOOKUP($B64&amp;"__wt",'SegEnds_Xtal_BW#'!$A:$Z,13,FALSE)</f>
        <v>50</v>
      </c>
      <c r="N64" s="12">
        <v>57</v>
      </c>
      <c r="O64" s="89">
        <v>38</v>
      </c>
      <c r="P64" s="1">
        <f>VLOOKUP($B64&amp;"__wt",'SegEnds_Xtal_BW#'!$A:$Z,16,FALSE)</f>
        <v>63</v>
      </c>
      <c r="Q64" s="1">
        <f>VLOOKUP($B64&amp;"__wt",'SegEnds_Xtal_BW#'!$A:$Z,17,FALSE)</f>
        <v>50</v>
      </c>
      <c r="R64" s="1">
        <f>VLOOKUP($B64&amp;"__wt",'SegEnds_Xtal_BW#'!$A:$Z,18,FALSE)</f>
        <v>52</v>
      </c>
      <c r="S64" s="1">
        <v>35</v>
      </c>
      <c r="T64" s="1">
        <f t="array" ref="T64">INDEX('ICL3'!$G$2:$G$40,MATCH(MIN(ABS(AH64-'ICL3'!$F$2:$F$40)),ABS(AH64-'ICL3'!$F$2:$F$40),0))</f>
        <v>75</v>
      </c>
      <c r="U64" s="1">
        <f t="array" ref="U64">INDEX('ICL3'!$H$2:$H$40,MATCH(MIN(ABS(AH64-'ICL3'!$F$2:$F$40)),ABS(AH64-'ICL3'!$F$2:$F$40),0))</f>
        <v>24</v>
      </c>
      <c r="V64" s="1">
        <v>61</v>
      </c>
      <c r="W64" s="1">
        <v>31</v>
      </c>
      <c r="X64" s="1">
        <f>VLOOKUP($B64&amp;"__wt",'SegEnds_Xtal_BW#'!$A:$Z,24,FALSE)</f>
        <v>56</v>
      </c>
      <c r="Y64" s="1">
        <f>VLOOKUP($B64&amp;"__wt",'SegEnds_Xtal_BW#'!$A:$Z,25,FALSE)</f>
        <v>47</v>
      </c>
      <c r="Z64" s="1">
        <f>VLOOKUP($B64&amp;"__wt",'SegEnds_Xtal_BW#'!$A:$Z,26,FALSE)</f>
        <v>59</v>
      </c>
      <c r="AA64" s="27" t="str">
        <f>VLOOKUP(A64,Classification!A:B,2,FALSE)</f>
        <v>A</v>
      </c>
      <c r="AB64" s="1">
        <f>VLOOKUP(A64,'SegEnds_NonXtal_Prot#'!A:AL,10,FALSE)-VLOOKUP(A64,'SegEnds_NonXtal_Prot#'!A:AL,7,FALSE)</f>
        <v>15</v>
      </c>
      <c r="AC64" s="1">
        <f>VLOOKUP(A64,'SegEnds_NonXtal_Prot#'!A:AL,13,FALSE)-VLOOKUP(A64,'SegEnds_NonXtal_Prot#'!A:AL,10,FALSE)</f>
        <v>20</v>
      </c>
      <c r="AD64" s="1">
        <f>VLOOKUP(A64,'SegEnds_NonXtal_Prot#'!A:AL,16,FALSE)-VLOOKUP(A64,'SegEnds_NonXtal_Prot#'!A:AL,10,FALSE)</f>
        <v>52</v>
      </c>
      <c r="AE64" s="1">
        <f>VLOOKUP(A64,'SegEnds_NonXtal_Prot#'!A:AL,22,FALSE)-VLOOKUP(A64,'SegEnds_NonXtal_Prot#'!A:AL,19,FALSE)</f>
        <v>20</v>
      </c>
      <c r="AF64" s="1">
        <f>VLOOKUP(A64,'SegEnds_NonXtal_Prot#'!A:AL,28,FALSE)-VLOOKUP(A64,'SegEnds_NonXtal_Prot#'!A:AL,25,FALSE)</f>
        <v>20</v>
      </c>
      <c r="AG64" s="1">
        <f>VLOOKUP(A64,'SegEnds_NonXtal_Prot#'!A:AL,28,FALSE)-VLOOKUP(A64,'SegEnds_NonXtal_Prot#'!A:AL,22,FALSE)</f>
        <v>47</v>
      </c>
      <c r="AH64" s="1">
        <f>VLOOKUP(A64,'SegEnds_NonXtal_Prot#'!A:AL,31,FALSE)-VLOOKUP(A64,'SegEnds_NonXtal_Prot#'!A:AL,28,FALSE)</f>
        <v>199</v>
      </c>
      <c r="AI64" s="1">
        <f>VLOOKUP(A64,'SegEnds_NonXtal_Prot#'!A:AL,34,FALSE)-VLOOKUP(A64,'SegEnds_NonXtal_Prot#'!A:AL,31,FALSE)</f>
        <v>37</v>
      </c>
      <c r="AJ64" s="1" t="str">
        <f>IF(ISERROR(MATCH(A64,'SegEnds_Xtal_Prot#'!B:B, 0)), "NoXtal", "Xtal")</f>
        <v>NoXtal</v>
      </c>
    </row>
    <row r="65" spans="1:36" x14ac:dyDescent="0.2">
      <c r="A65" s="1" t="s">
        <v>157</v>
      </c>
      <c r="B65" s="1" t="str">
        <f>VLOOKUP(A65,Xtal_Templ!A:B,2,FALSE)</f>
        <v>drd3_human</v>
      </c>
      <c r="C65" s="5">
        <f>VLOOKUP($B65&amp;"__wt",'SegEnds_Xtal_BW#'!$A:$Z,3,FALSE)</f>
        <v>29</v>
      </c>
      <c r="D65" s="1">
        <f>VLOOKUP($B65&amp;"__wt",'SegEnds_Xtal_BW#'!$A:$Z,4,FALSE)</f>
        <v>60</v>
      </c>
      <c r="E65" s="1">
        <f>VLOOKUP($B65&amp;"__wt",'SegEnds_Xtal_BW#'!$A:$Z,5,FALSE)</f>
        <v>48</v>
      </c>
      <c r="F65" s="1">
        <f>VLOOKUP($B65&amp;"__wt",'SegEnds_Xtal_BW#'!$A:$Z,6,FALSE)</f>
        <v>51</v>
      </c>
      <c r="G65" s="1">
        <v>37</v>
      </c>
      <c r="H65" s="12">
        <f>VLOOKUP($B65&amp;"__wt",'SegEnds_Xtal_BW#'!$A:$Z,8,FALSE)</f>
        <v>67</v>
      </c>
      <c r="I65" s="1">
        <f>VLOOKUP($B65&amp;"__wt",'SegEnds_Xtal_BW#'!$A:$Z,9,FALSE)</f>
        <v>49</v>
      </c>
      <c r="J65" s="1">
        <f>VLOOKUP($B65&amp;"__wt",'SegEnds_Xtal_BW#'!$A:$Z,10,FALSE)</f>
        <v>52</v>
      </c>
      <c r="K65" s="12">
        <v>18</v>
      </c>
      <c r="L65" s="1">
        <f>VLOOKUP($B65&amp;"__wt",'SegEnds_Xtal_BW#'!$A:$Z,12,FALSE)</f>
        <v>56</v>
      </c>
      <c r="M65" s="1">
        <f>VLOOKUP($B65&amp;"__wt",'SegEnds_Xtal_BW#'!$A:$Z,13,FALSE)</f>
        <v>50</v>
      </c>
      <c r="N65" s="12">
        <v>57</v>
      </c>
      <c r="O65" s="89">
        <v>38</v>
      </c>
      <c r="P65" s="1">
        <f>VLOOKUP($B65&amp;"__wt",'SegEnds_Xtal_BW#'!$A:$Z,16,FALSE)</f>
        <v>63</v>
      </c>
      <c r="Q65" s="1">
        <f>VLOOKUP($B65&amp;"__wt",'SegEnds_Xtal_BW#'!$A:$Z,17,FALSE)</f>
        <v>50</v>
      </c>
      <c r="R65" s="1">
        <f>VLOOKUP($B65&amp;"__wt",'SegEnds_Xtal_BW#'!$A:$Z,18,FALSE)</f>
        <v>52</v>
      </c>
      <c r="S65" s="1">
        <v>35</v>
      </c>
      <c r="T65" s="1">
        <f t="array" ref="T65">INDEX('ICL3'!$G$2:$G$40,MATCH(MIN(ABS(AH65-'ICL3'!$F$2:$F$40)),ABS(AH65-'ICL3'!$F$2:$F$40),0))</f>
        <v>75</v>
      </c>
      <c r="U65" s="1">
        <f t="array" ref="U65">INDEX('ICL3'!$H$2:$H$40,MATCH(MIN(ABS(AH65-'ICL3'!$F$2:$F$40)),ABS(AH65-'ICL3'!$F$2:$F$40),0))</f>
        <v>24</v>
      </c>
      <c r="V65" s="1">
        <v>61</v>
      </c>
      <c r="W65" s="1">
        <v>31</v>
      </c>
      <c r="X65" s="1">
        <f>VLOOKUP($B65&amp;"__wt",'SegEnds_Xtal_BW#'!$A:$Z,24,FALSE)</f>
        <v>56</v>
      </c>
      <c r="Y65" s="1">
        <f>VLOOKUP($B65&amp;"__wt",'SegEnds_Xtal_BW#'!$A:$Z,25,FALSE)</f>
        <v>47</v>
      </c>
      <c r="Z65" s="1">
        <f>VLOOKUP($B65&amp;"__wt",'SegEnds_Xtal_BW#'!$A:$Z,26,FALSE)</f>
        <v>59</v>
      </c>
      <c r="AA65" s="27" t="str">
        <f>VLOOKUP(A65,Classification!A:B,2,FALSE)</f>
        <v>A</v>
      </c>
      <c r="AB65" s="1">
        <f>VLOOKUP(A65,'SegEnds_NonXtal_Prot#'!A:AL,10,FALSE)-VLOOKUP(A65,'SegEnds_NonXtal_Prot#'!A:AL,7,FALSE)</f>
        <v>15</v>
      </c>
      <c r="AC65" s="1">
        <f>VLOOKUP(A65,'SegEnds_NonXtal_Prot#'!A:AL,13,FALSE)-VLOOKUP(A65,'SegEnds_NonXtal_Prot#'!A:AL,10,FALSE)</f>
        <v>20</v>
      </c>
      <c r="AD65" s="1">
        <f>VLOOKUP(A65,'SegEnds_NonXtal_Prot#'!A:AL,16,FALSE)-VLOOKUP(A65,'SegEnds_NonXtal_Prot#'!A:AL,10,FALSE)</f>
        <v>52</v>
      </c>
      <c r="AE65" s="1">
        <f>VLOOKUP(A65,'SegEnds_NonXtal_Prot#'!A:AL,22,FALSE)-VLOOKUP(A65,'SegEnds_NonXtal_Prot#'!A:AL,19,FALSE)</f>
        <v>20</v>
      </c>
      <c r="AF65" s="1">
        <f>VLOOKUP(A65,'SegEnds_NonXtal_Prot#'!A:AL,28,FALSE)-VLOOKUP(A65,'SegEnds_NonXtal_Prot#'!A:AL,25,FALSE)</f>
        <v>20</v>
      </c>
      <c r="AG65" s="1">
        <f>VLOOKUP(A65,'SegEnds_NonXtal_Prot#'!A:AL,28,FALSE)-VLOOKUP(A65,'SegEnds_NonXtal_Prot#'!A:AL,22,FALSE)</f>
        <v>46</v>
      </c>
      <c r="AH65" s="1">
        <f>VLOOKUP(A65,'SegEnds_NonXtal_Prot#'!A:AL,31,FALSE)-VLOOKUP(A65,'SegEnds_NonXtal_Prot#'!A:AL,28,FALSE)</f>
        <v>175</v>
      </c>
      <c r="AI65" s="1">
        <f>VLOOKUP(A65,'SegEnds_NonXtal_Prot#'!A:AL,34,FALSE)-VLOOKUP(A65,'SegEnds_NonXtal_Prot#'!A:AL,31,FALSE)</f>
        <v>37</v>
      </c>
      <c r="AJ65" s="1" t="str">
        <f>IF(ISERROR(MATCH(A65,'SegEnds_Xtal_Prot#'!B:B, 0)), "NoXtal", "Xtal")</f>
        <v>NoXtal</v>
      </c>
    </row>
    <row r="66" spans="1:36" x14ac:dyDescent="0.2">
      <c r="A66" s="1" t="s">
        <v>125</v>
      </c>
      <c r="B66" s="1" t="str">
        <f>VLOOKUP(A66,Xtal_Templ!A:B,2,FALSE)</f>
        <v>adrb2_human</v>
      </c>
      <c r="C66" s="5">
        <f>VLOOKUP($B66&amp;"__wt",'SegEnds_Xtal_BW#'!$A:$Z,3,FALSE)</f>
        <v>25</v>
      </c>
      <c r="D66" s="1">
        <f>VLOOKUP($B66&amp;"__wt",'SegEnds_Xtal_BW#'!$A:$Z,4,FALSE)</f>
        <v>60</v>
      </c>
      <c r="E66" s="1">
        <f>VLOOKUP($B66&amp;"__wt",'SegEnds_Xtal_BW#'!$A:$Z,5,FALSE)</f>
        <v>48</v>
      </c>
      <c r="F66" s="1">
        <f>VLOOKUP($B66&amp;"__wt",'SegEnds_Xtal_BW#'!$A:$Z,6,FALSE)</f>
        <v>51</v>
      </c>
      <c r="G66" s="1">
        <v>37</v>
      </c>
      <c r="H66" s="12">
        <f>VLOOKUP($B66&amp;"__wt",'SegEnds_Xtal_BW#'!$A:$Z,8,FALSE)</f>
        <v>67</v>
      </c>
      <c r="I66" s="1">
        <f>VLOOKUP($B66&amp;"__wt",'SegEnds_Xtal_BW#'!$A:$Z,9,FALSE)</f>
        <v>49</v>
      </c>
      <c r="J66" s="1">
        <f>VLOOKUP($B66&amp;"__wt",'SegEnds_Xtal_BW#'!$A:$Z,10,FALSE)</f>
        <v>52</v>
      </c>
      <c r="K66" s="12">
        <v>18</v>
      </c>
      <c r="L66" s="1">
        <f>VLOOKUP($B66&amp;"__wt",'SegEnds_Xtal_BW#'!$A:$Z,12,FALSE)</f>
        <v>56</v>
      </c>
      <c r="M66" s="1">
        <f>VLOOKUP($B66&amp;"__wt",'SegEnds_Xtal_BW#'!$A:$Z,13,FALSE)</f>
        <v>50</v>
      </c>
      <c r="N66" s="12">
        <v>57</v>
      </c>
      <c r="O66" s="89">
        <v>38</v>
      </c>
      <c r="P66" s="1">
        <f>VLOOKUP($B66&amp;"__wt",'SegEnds_Xtal_BW#'!$A:$Z,16,FALSE)</f>
        <v>64</v>
      </c>
      <c r="Q66" s="1">
        <f>VLOOKUP($B66&amp;"__wt",'SegEnds_Xtal_BW#'!$A:$Z,17,FALSE)</f>
        <v>50</v>
      </c>
      <c r="R66" s="1">
        <f>VLOOKUP($B66&amp;"__wt",'SegEnds_Xtal_BW#'!$A:$Z,18,FALSE)</f>
        <v>52</v>
      </c>
      <c r="S66" s="1">
        <v>35</v>
      </c>
      <c r="T66" s="1">
        <f t="array" ref="T66">INDEX('ICL3'!$G$2:$G$40,MATCH(MIN(ABS(AH66-'ICL3'!$F$2:$F$40)),ABS(AH66-'ICL3'!$F$2:$F$40),0))</f>
        <v>74</v>
      </c>
      <c r="U66" s="1">
        <f t="array" ref="U66">INDEX('ICL3'!$H$2:$H$40,MATCH(MIN(ABS(AH66-'ICL3'!$F$2:$F$40)),ABS(AH66-'ICL3'!$F$2:$F$40),0))</f>
        <v>24</v>
      </c>
      <c r="V66" s="1">
        <v>61</v>
      </c>
      <c r="W66" s="1">
        <v>31</v>
      </c>
      <c r="X66" s="1">
        <f>VLOOKUP($B66&amp;"__wt",'SegEnds_Xtal_BW#'!$A:$Z,24,FALSE)</f>
        <v>55</v>
      </c>
      <c r="Y66" s="1">
        <f>VLOOKUP($B66&amp;"__wt",'SegEnds_Xtal_BW#'!$A:$Z,25,FALSE)</f>
        <v>47</v>
      </c>
      <c r="Z66" s="1">
        <f>VLOOKUP($B66&amp;"__wt",'SegEnds_Xtal_BW#'!$A:$Z,26,FALSE)</f>
        <v>59</v>
      </c>
      <c r="AA66" s="27" t="str">
        <f>VLOOKUP(A66,Classification!A:B,2,FALSE)</f>
        <v>A</v>
      </c>
      <c r="AB66" s="1">
        <f>VLOOKUP(A66,'SegEnds_NonXtal_Prot#'!A:AL,10,FALSE)-VLOOKUP(A66,'SegEnds_NonXtal_Prot#'!A:AL,7,FALSE)</f>
        <v>15</v>
      </c>
      <c r="AC66" s="1">
        <f>VLOOKUP(A66,'SegEnds_NonXtal_Prot#'!A:AL,13,FALSE)-VLOOKUP(A66,'SegEnds_NonXtal_Prot#'!A:AL,10,FALSE)</f>
        <v>20</v>
      </c>
      <c r="AD66" s="1">
        <f>VLOOKUP(A66,'SegEnds_NonXtal_Prot#'!A:AL,16,FALSE)-VLOOKUP(A66,'SegEnds_NonXtal_Prot#'!A:AL,10,FALSE)</f>
        <v>52</v>
      </c>
      <c r="AE66" s="1">
        <f>VLOOKUP(A66,'SegEnds_NonXtal_Prot#'!A:AL,22,FALSE)-VLOOKUP(A66,'SegEnds_NonXtal_Prot#'!A:AL,19,FALSE)</f>
        <v>20</v>
      </c>
      <c r="AF66" s="1">
        <f>VLOOKUP(A66,'SegEnds_NonXtal_Prot#'!A:AL,28,FALSE)-VLOOKUP(A66,'SegEnds_NonXtal_Prot#'!A:AL,25,FALSE)</f>
        <v>20</v>
      </c>
      <c r="AG66" s="1">
        <f>VLOOKUP(A66,'SegEnds_NonXtal_Prot#'!A:AL,28,FALSE)-VLOOKUP(A66,'SegEnds_NonXtal_Prot#'!A:AL,22,FALSE)</f>
        <v>53</v>
      </c>
      <c r="AH66" s="1">
        <f>VLOOKUP(A66,'SegEnds_NonXtal_Prot#'!A:AL,31,FALSE)-VLOOKUP(A66,'SegEnds_NonXtal_Prot#'!A:AL,28,FALSE)</f>
        <v>103</v>
      </c>
      <c r="AI66" s="1">
        <f>VLOOKUP(A66,'SegEnds_NonXtal_Prot#'!A:AL,34,FALSE)-VLOOKUP(A66,'SegEnds_NonXtal_Prot#'!A:AL,31,FALSE)</f>
        <v>35</v>
      </c>
      <c r="AJ66" s="1" t="str">
        <f>IF(ISERROR(MATCH(A66,'SegEnds_Xtal_Prot#'!B:B, 0)), "NoXtal", "Xtal")</f>
        <v>NoXtal</v>
      </c>
    </row>
    <row r="67" spans="1:36" x14ac:dyDescent="0.2">
      <c r="A67" s="1" t="s">
        <v>912</v>
      </c>
      <c r="B67" s="1" t="str">
        <f>VLOOKUP(A67,Xtal_Templ!A:B,2,FALSE)</f>
        <v>adrb1_melga</v>
      </c>
      <c r="C67" s="5">
        <f>VLOOKUP($B67&amp;"__wt",'SegEnds_Xtal_BW#'!$A:$Z,3,FALSE)</f>
        <v>24</v>
      </c>
      <c r="D67" s="1">
        <f>VLOOKUP($B67&amp;"__wt",'SegEnds_Xtal_BW#'!$A:$Z,4,FALSE)</f>
        <v>60</v>
      </c>
      <c r="E67" s="1">
        <f>VLOOKUP($B67&amp;"__wt",'SegEnds_Xtal_BW#'!$A:$Z,5,FALSE)</f>
        <v>48</v>
      </c>
      <c r="F67" s="1">
        <f>VLOOKUP($B67&amp;"__wt",'SegEnds_Xtal_BW#'!$A:$Z,6,FALSE)</f>
        <v>51</v>
      </c>
      <c r="G67" s="1">
        <v>37</v>
      </c>
      <c r="H67" s="12">
        <f>VLOOKUP($B67&amp;"__wt",'SegEnds_Xtal_BW#'!$A:$Z,8,FALSE)</f>
        <v>67</v>
      </c>
      <c r="I67" s="1">
        <f>VLOOKUP($B67&amp;"__wt",'SegEnds_Xtal_BW#'!$A:$Z,9,FALSE)</f>
        <v>49</v>
      </c>
      <c r="J67" s="1">
        <f>VLOOKUP($B67&amp;"__wt",'SegEnds_Xtal_BW#'!$A:$Z,10,FALSE)</f>
        <v>52</v>
      </c>
      <c r="K67" s="12">
        <v>18</v>
      </c>
      <c r="L67" s="1">
        <f>VLOOKUP($B67&amp;"__wt",'SegEnds_Xtal_BW#'!$A:$Z,12,FALSE)</f>
        <v>56</v>
      </c>
      <c r="M67" s="1">
        <f>VLOOKUP($B67&amp;"__wt",'SegEnds_Xtal_BW#'!$A:$Z,13,FALSE)</f>
        <v>50</v>
      </c>
      <c r="N67" s="12">
        <f>VLOOKUP($B67&amp;"__wt",'SegEnds_Xtal_BW#'!$A:$Z,14,FALSE)</f>
        <v>57</v>
      </c>
      <c r="O67" s="89">
        <f>VLOOKUP($B67&amp;"__wt",'SegEnds_Xtal_BW#'!$A:$Z,15,FALSE)</f>
        <v>38</v>
      </c>
      <c r="P67" s="1">
        <f>VLOOKUP($B67&amp;"__wt",'SegEnds_Xtal_BW#'!$A:$Z,16,FALSE)</f>
        <v>64</v>
      </c>
      <c r="Q67" s="1">
        <f>VLOOKUP($B67&amp;"__wt",'SegEnds_Xtal_BW#'!$A:$Z,17,FALSE)</f>
        <v>50</v>
      </c>
      <c r="R67" s="1">
        <f>VLOOKUP($B67&amp;"__wt",'SegEnds_Xtal_BW#'!$A:$Z,18,FALSE)</f>
        <v>52</v>
      </c>
      <c r="S67" s="1">
        <v>35</v>
      </c>
      <c r="T67" s="1">
        <f t="array" ref="T67">INDEX('ICL3'!$G$2:$G$40,MATCH(MIN(ABS(AH67-'ICL3'!$F$2:$F$40)),ABS(AH67-'ICL3'!$F$2:$F$40),0))</f>
        <v>76</v>
      </c>
      <c r="U67" s="1">
        <v>20</v>
      </c>
      <c r="V67" s="1">
        <v>61</v>
      </c>
      <c r="W67" s="1">
        <v>31</v>
      </c>
      <c r="X67" s="1">
        <f>VLOOKUP($B67&amp;"__wt",'SegEnds_Xtal_BW#'!$A:$Z,24,FALSE)</f>
        <v>55</v>
      </c>
      <c r="Y67" s="1">
        <f>VLOOKUP($B67&amp;"__wt",'SegEnds_Xtal_BW#'!$A:$Z,25,FALSE)</f>
        <v>47</v>
      </c>
      <c r="Z67" s="1">
        <f>VLOOKUP($B67&amp;"__wt",'SegEnds_Xtal_BW#'!$A:$Z,26,FALSE)</f>
        <v>59</v>
      </c>
      <c r="AA67" s="27" t="str">
        <f>VLOOKUP(A67,Classification!A:B,2,FALSE)</f>
        <v>A</v>
      </c>
      <c r="AB67" s="1">
        <f>VLOOKUP(A67,'SegEnds_NonXtal_Prot#'!A:AL,10,FALSE)-VLOOKUP(A67,'SegEnds_NonXtal_Prot#'!A:AL,7,FALSE)</f>
        <v>15</v>
      </c>
      <c r="AC67" s="1">
        <f>VLOOKUP(A67,'SegEnds_NonXtal_Prot#'!A:AL,13,FALSE)-VLOOKUP(A67,'SegEnds_NonXtal_Prot#'!A:AL,10,FALSE)</f>
        <v>20</v>
      </c>
      <c r="AD67" s="1">
        <f>VLOOKUP(A67,'SegEnds_NonXtal_Prot#'!A:AL,16,FALSE)-VLOOKUP(A67,'SegEnds_NonXtal_Prot#'!A:AL,10,FALSE)</f>
        <v>52</v>
      </c>
      <c r="AE67" s="1">
        <f>VLOOKUP(A67,'SegEnds_NonXtal_Prot#'!A:AL,22,FALSE)-VLOOKUP(A67,'SegEnds_NonXtal_Prot#'!A:AL,19,FALSE)</f>
        <v>20</v>
      </c>
      <c r="AF67" s="1">
        <f>VLOOKUP(A67,'SegEnds_NonXtal_Prot#'!A:AL,28,FALSE)-VLOOKUP(A67,'SegEnds_NonXtal_Prot#'!A:AL,25,FALSE)</f>
        <v>20</v>
      </c>
      <c r="AG67" s="1">
        <f>VLOOKUP(A67,'SegEnds_NonXtal_Prot#'!A:AL,28,FALSE)-VLOOKUP(A67,'SegEnds_NonXtal_Prot#'!A:AL,22,FALSE)</f>
        <v>53</v>
      </c>
      <c r="AH67" s="1">
        <f>VLOOKUP(A67,'SegEnds_NonXtal_Prot#'!A:AL,31,FALSE)-VLOOKUP(A67,'SegEnds_NonXtal_Prot#'!A:AL,28,FALSE)</f>
        <v>86</v>
      </c>
      <c r="AI67" s="1">
        <f>VLOOKUP(A67,'SegEnds_NonXtal_Prot#'!A:AL,34,FALSE)-VLOOKUP(A67,'SegEnds_NonXtal_Prot#'!A:AL,31,FALSE)</f>
        <v>35</v>
      </c>
      <c r="AJ67" s="1" t="str">
        <f>IF(ISERROR(MATCH(A67,'SegEnds_Xtal_Prot#'!B:B, 0)), "NoXtal", "Xtal")</f>
        <v>Xtal</v>
      </c>
    </row>
    <row r="68" spans="1:36" x14ac:dyDescent="0.2">
      <c r="A68" s="1" t="s">
        <v>126</v>
      </c>
      <c r="B68" s="1" t="str">
        <f>VLOOKUP(A68,Xtal_Templ!A:B,2,FALSE)</f>
        <v>adrb2_human</v>
      </c>
      <c r="C68" s="5">
        <f>VLOOKUP($B68&amp;"__wt",'SegEnds_Xtal_BW#'!$A:$Z,3,FALSE)</f>
        <v>25</v>
      </c>
      <c r="D68" s="1">
        <f>VLOOKUP($B68&amp;"__wt",'SegEnds_Xtal_BW#'!$A:$Z,4,FALSE)</f>
        <v>60</v>
      </c>
      <c r="E68" s="1">
        <f>VLOOKUP($B68&amp;"__wt",'SegEnds_Xtal_BW#'!$A:$Z,5,FALSE)</f>
        <v>48</v>
      </c>
      <c r="F68" s="1">
        <f>VLOOKUP($B68&amp;"__wt",'SegEnds_Xtal_BW#'!$A:$Z,6,FALSE)</f>
        <v>51</v>
      </c>
      <c r="G68" s="1">
        <v>37</v>
      </c>
      <c r="H68" s="12">
        <f>VLOOKUP($B68&amp;"__wt",'SegEnds_Xtal_BW#'!$A:$Z,8,FALSE)</f>
        <v>67</v>
      </c>
      <c r="I68" s="1">
        <f>VLOOKUP($B68&amp;"__wt",'SegEnds_Xtal_BW#'!$A:$Z,9,FALSE)</f>
        <v>49</v>
      </c>
      <c r="J68" s="1">
        <f>VLOOKUP($B68&amp;"__wt",'SegEnds_Xtal_BW#'!$A:$Z,10,FALSE)</f>
        <v>52</v>
      </c>
      <c r="K68" s="12">
        <v>18</v>
      </c>
      <c r="L68" s="1">
        <f>VLOOKUP($B68&amp;"__wt",'SegEnds_Xtal_BW#'!$A:$Z,12,FALSE)</f>
        <v>56</v>
      </c>
      <c r="M68" s="1">
        <f>VLOOKUP($B68&amp;"__wt",'SegEnds_Xtal_BW#'!$A:$Z,13,FALSE)</f>
        <v>50</v>
      </c>
      <c r="N68" s="12">
        <f>VLOOKUP($B68&amp;"__wt",'SegEnds_Xtal_BW#'!$A:$Z,14,FALSE)</f>
        <v>57</v>
      </c>
      <c r="O68" s="89">
        <f>VLOOKUP($B68&amp;"__wt",'SegEnds_Xtal_BW#'!$A:$Z,15,FALSE)</f>
        <v>38</v>
      </c>
      <c r="P68" s="1">
        <f>VLOOKUP($B68&amp;"__wt",'SegEnds_Xtal_BW#'!$A:$Z,16,FALSE)</f>
        <v>64</v>
      </c>
      <c r="Q68" s="1">
        <f>VLOOKUP($B68&amp;"__wt",'SegEnds_Xtal_BW#'!$A:$Z,17,FALSE)</f>
        <v>50</v>
      </c>
      <c r="R68" s="1">
        <f>VLOOKUP($B68&amp;"__wt",'SegEnds_Xtal_BW#'!$A:$Z,18,FALSE)</f>
        <v>52</v>
      </c>
      <c r="S68" s="1">
        <v>35</v>
      </c>
      <c r="T68" s="1">
        <f t="array" ref="T68">INDEX('ICL3'!$G$2:$G$40,MATCH(MIN(ABS(AH68-'ICL3'!$F$2:$F$40)),ABS(AH68-'ICL3'!$F$2:$F$40),0))</f>
        <v>76</v>
      </c>
      <c r="U68" s="1">
        <f t="array" ref="U68">INDEX('ICL3'!$H$2:$H$40,MATCH(MIN(ABS(AH68-'ICL3'!$F$2:$F$40)),ABS(AH68-'ICL3'!$F$2:$F$40),0))</f>
        <v>24</v>
      </c>
      <c r="V68" s="1">
        <v>61</v>
      </c>
      <c r="W68" s="1">
        <v>31</v>
      </c>
      <c r="X68" s="1">
        <f>VLOOKUP($B68&amp;"__wt",'SegEnds_Xtal_BW#'!$A:$Z,24,FALSE)</f>
        <v>55</v>
      </c>
      <c r="Y68" s="1">
        <f>VLOOKUP($B68&amp;"__wt",'SegEnds_Xtal_BW#'!$A:$Z,25,FALSE)</f>
        <v>47</v>
      </c>
      <c r="Z68" s="1">
        <f>VLOOKUP($B68&amp;"__wt",'SegEnds_Xtal_BW#'!$A:$Z,26,FALSE)</f>
        <v>59</v>
      </c>
      <c r="AA68" s="27" t="str">
        <f>VLOOKUP(A68,Classification!A:B,2,FALSE)</f>
        <v>A</v>
      </c>
      <c r="AB68" s="1">
        <f>VLOOKUP(A68,'SegEnds_NonXtal_Prot#'!A:AL,10,FALSE)-VLOOKUP(A68,'SegEnds_NonXtal_Prot#'!A:AL,7,FALSE)</f>
        <v>15</v>
      </c>
      <c r="AC68" s="1">
        <f>VLOOKUP(A68,'SegEnds_NonXtal_Prot#'!A:AL,13,FALSE)-VLOOKUP(A68,'SegEnds_NonXtal_Prot#'!A:AL,10,FALSE)</f>
        <v>20</v>
      </c>
      <c r="AD68" s="1">
        <f>VLOOKUP(A68,'SegEnds_NonXtal_Prot#'!A:AL,16,FALSE)-VLOOKUP(A68,'SegEnds_NonXtal_Prot#'!A:AL,10,FALSE)</f>
        <v>52</v>
      </c>
      <c r="AE68" s="1">
        <f>VLOOKUP(A68,'SegEnds_NonXtal_Prot#'!A:AL,22,FALSE)-VLOOKUP(A68,'SegEnds_NonXtal_Prot#'!A:AL,19,FALSE)</f>
        <v>20</v>
      </c>
      <c r="AF68" s="1">
        <f>VLOOKUP(A68,'SegEnds_NonXtal_Prot#'!A:AL,28,FALSE)-VLOOKUP(A68,'SegEnds_NonXtal_Prot#'!A:AL,25,FALSE)</f>
        <v>20</v>
      </c>
      <c r="AG68" s="1">
        <f>VLOOKUP(A68,'SegEnds_NonXtal_Prot#'!A:AL,28,FALSE)-VLOOKUP(A68,'SegEnds_NonXtal_Prot#'!A:AL,22,FALSE)</f>
        <v>53</v>
      </c>
      <c r="AH68" s="1">
        <f>VLOOKUP(A68,'SegEnds_NonXtal_Prot#'!A:AL,31,FALSE)-VLOOKUP(A68,'SegEnds_NonXtal_Prot#'!A:AL,28,FALSE)</f>
        <v>77</v>
      </c>
      <c r="AI68" s="1">
        <f>VLOOKUP(A68,'SegEnds_NonXtal_Prot#'!A:AL,34,FALSE)-VLOOKUP(A68,'SegEnds_NonXtal_Prot#'!A:AL,31,FALSE)</f>
        <v>35</v>
      </c>
      <c r="AJ68" s="1" t="str">
        <f>IF(ISERROR(MATCH(A68,'SegEnds_Xtal_Prot#'!B:B, 0)), "NoXtal", "Xtal")</f>
        <v>Xtal</v>
      </c>
    </row>
    <row r="69" spans="1:36" x14ac:dyDescent="0.2">
      <c r="A69" s="1" t="s">
        <v>102</v>
      </c>
      <c r="B69" s="1" t="str">
        <f>VLOOKUP(A69,Xtal_Templ!A:B,2,FALSE)</f>
        <v>adrb2_human</v>
      </c>
      <c r="C69" s="5">
        <f>VLOOKUP($B69&amp;"__wt",'SegEnds_Xtal_BW#'!$A:$Z,3,FALSE)</f>
        <v>25</v>
      </c>
      <c r="D69" s="1">
        <f>VLOOKUP($B69&amp;"__wt",'SegEnds_Xtal_BW#'!$A:$Z,4,FALSE)</f>
        <v>60</v>
      </c>
      <c r="E69" s="1">
        <f>VLOOKUP($B69&amp;"__wt",'SegEnds_Xtal_BW#'!$A:$Z,5,FALSE)</f>
        <v>48</v>
      </c>
      <c r="F69" s="1">
        <f>VLOOKUP($B69&amp;"__wt",'SegEnds_Xtal_BW#'!$A:$Z,6,FALSE)</f>
        <v>51</v>
      </c>
      <c r="G69" s="1">
        <v>37</v>
      </c>
      <c r="H69" s="12">
        <f>VLOOKUP($B69&amp;"__wt",'SegEnds_Xtal_BW#'!$A:$Z,8,FALSE)</f>
        <v>67</v>
      </c>
      <c r="I69" s="1">
        <f>VLOOKUP($B69&amp;"__wt",'SegEnds_Xtal_BW#'!$A:$Z,9,FALSE)</f>
        <v>49</v>
      </c>
      <c r="J69" s="1">
        <f>VLOOKUP($B69&amp;"__wt",'SegEnds_Xtal_BW#'!$A:$Z,10,FALSE)</f>
        <v>52</v>
      </c>
      <c r="K69" s="12">
        <v>18</v>
      </c>
      <c r="L69" s="1">
        <f>VLOOKUP($B69&amp;"__wt",'SegEnds_Xtal_BW#'!$A:$Z,12,FALSE)</f>
        <v>56</v>
      </c>
      <c r="M69" s="1">
        <f>VLOOKUP($B69&amp;"__wt",'SegEnds_Xtal_BW#'!$A:$Z,13,FALSE)</f>
        <v>50</v>
      </c>
      <c r="N69" s="12">
        <v>57</v>
      </c>
      <c r="O69" s="89">
        <v>38</v>
      </c>
      <c r="P69" s="1">
        <f>VLOOKUP($B69&amp;"__wt",'SegEnds_Xtal_BW#'!$A:$Z,16,FALSE)</f>
        <v>64</v>
      </c>
      <c r="Q69" s="1">
        <f>VLOOKUP($B69&amp;"__wt",'SegEnds_Xtal_BW#'!$A:$Z,17,FALSE)</f>
        <v>50</v>
      </c>
      <c r="R69" s="1">
        <f>VLOOKUP($B69&amp;"__wt",'SegEnds_Xtal_BW#'!$A:$Z,18,FALSE)</f>
        <v>52</v>
      </c>
      <c r="S69" s="1">
        <v>35</v>
      </c>
      <c r="T69" s="1">
        <f t="array" ref="T69">INDEX('ICL3'!$G$2:$G$40,MATCH(MIN(ABS(AH69-'ICL3'!$F$2:$F$40)),ABS(AH69-'ICL3'!$F$2:$F$40),0))</f>
        <v>76</v>
      </c>
      <c r="U69" s="1">
        <f t="array" ref="U69">INDEX('ICL3'!$H$2:$H$40,MATCH(MIN(ABS(AH69-'ICL3'!$F$2:$F$40)),ABS(AH69-'ICL3'!$F$2:$F$40),0))</f>
        <v>24</v>
      </c>
      <c r="V69" s="1">
        <v>61</v>
      </c>
      <c r="W69" s="1">
        <v>31</v>
      </c>
      <c r="X69" s="6">
        <f>VLOOKUP($B69&amp;"__wt",'SegEnds_Xtal_BW#'!$A:$Z,24,FALSE)</f>
        <v>55</v>
      </c>
      <c r="Y69" s="1">
        <f>VLOOKUP($B69&amp;"__wt",'SegEnds_Xtal_BW#'!$A:$Z,25,FALSE)</f>
        <v>47</v>
      </c>
      <c r="Z69" s="1">
        <f>VLOOKUP($B69&amp;"__wt",'SegEnds_Xtal_BW#'!$A:$Z,26,FALSE)</f>
        <v>59</v>
      </c>
      <c r="AA69" s="27" t="str">
        <f>VLOOKUP(A69,Classification!A:B,2,FALSE)</f>
        <v>A</v>
      </c>
      <c r="AB69" s="1">
        <f>VLOOKUP(A69,'SegEnds_NonXtal_Prot#'!A:AL,10,FALSE)-VLOOKUP(A69,'SegEnds_NonXtal_Prot#'!A:AL,7,FALSE)</f>
        <v>15</v>
      </c>
      <c r="AC69" s="1">
        <f>VLOOKUP(A69,'SegEnds_NonXtal_Prot#'!A:AL,13,FALSE)-VLOOKUP(A69,'SegEnds_NonXtal_Prot#'!A:AL,10,FALSE)</f>
        <v>20</v>
      </c>
      <c r="AD69" s="1">
        <f>VLOOKUP(A69,'SegEnds_NonXtal_Prot#'!A:AL,16,FALSE)-VLOOKUP(A69,'SegEnds_NonXtal_Prot#'!A:AL,10,FALSE)</f>
        <v>52</v>
      </c>
      <c r="AE69" s="1">
        <f>VLOOKUP(A69,'SegEnds_NonXtal_Prot#'!A:AL,22,FALSE)-VLOOKUP(A69,'SegEnds_NonXtal_Prot#'!A:AL,19,FALSE)</f>
        <v>20</v>
      </c>
      <c r="AF69" s="1">
        <f>VLOOKUP(A69,'SegEnds_NonXtal_Prot#'!A:AL,28,FALSE)-VLOOKUP(A69,'SegEnds_NonXtal_Prot#'!A:AL,25,FALSE)</f>
        <v>20</v>
      </c>
      <c r="AG69" s="1">
        <f>VLOOKUP(A69,'SegEnds_NonXtal_Prot#'!A:AL,28,FALSE)-VLOOKUP(A69,'SegEnds_NonXtal_Prot#'!A:AL,22,FALSE)</f>
        <v>54</v>
      </c>
      <c r="AH69" s="1">
        <f>VLOOKUP(A69,'SegEnds_NonXtal_Prot#'!A:AL,31,FALSE)-VLOOKUP(A69,'SegEnds_NonXtal_Prot#'!A:AL,28,FALSE)</f>
        <v>91</v>
      </c>
      <c r="AI69" s="1">
        <f>VLOOKUP(A69,'SegEnds_NonXtal_Prot#'!A:AL,34,FALSE)-VLOOKUP(A69,'SegEnds_NonXtal_Prot#'!A:AL,31,FALSE)</f>
        <v>36</v>
      </c>
      <c r="AJ69" s="1" t="str">
        <f>IF(ISERROR(MATCH(A69,'SegEnds_Xtal_Prot#'!B:B, 0)), "NoXtal", "Xtal")</f>
        <v>NoXtal</v>
      </c>
    </row>
    <row r="70" spans="1:36" x14ac:dyDescent="0.2">
      <c r="A70" s="1" t="s">
        <v>158</v>
      </c>
      <c r="B70" s="1" t="str">
        <f>VLOOKUP(A70,Xtal_Templ!A:B,2,FALSE)</f>
        <v>agtr1_human</v>
      </c>
      <c r="C70" s="5">
        <f>VLOOKUP($B70&amp;"__wt",'SegEnds_Xtal_BW#'!$A:$Z,3,FALSE)</f>
        <v>30</v>
      </c>
      <c r="D70" s="1">
        <f>VLOOKUP($B70&amp;"__wt",'SegEnds_Xtal_BW#'!$A:$Z,4,FALSE)</f>
        <v>60</v>
      </c>
      <c r="E70" s="1">
        <f>VLOOKUP($B70&amp;"__wt",'SegEnds_Xtal_BW#'!$A:$Z,5,FALSE)</f>
        <v>48</v>
      </c>
      <c r="F70" s="1">
        <f>VLOOKUP($B70&amp;"__wt",'SegEnds_Xtal_BW#'!$A:$Z,6,FALSE)</f>
        <v>51</v>
      </c>
      <c r="G70" s="1">
        <v>37</v>
      </c>
      <c r="H70" s="12">
        <f>VLOOKUP($B70&amp;"__wt",'SegEnds_Xtal_BW#'!$A:$Z,8,FALSE)</f>
        <v>66</v>
      </c>
      <c r="I70" s="1">
        <f>VLOOKUP($B70&amp;"__wt",'SegEnds_Xtal_BW#'!$A:$Z,9,FALSE)</f>
        <v>49</v>
      </c>
      <c r="J70" s="1">
        <f>VLOOKUP($B70&amp;"__wt",'SegEnds_Xtal_BW#'!$A:$Z,10,FALSE)</f>
        <v>52</v>
      </c>
      <c r="K70" s="12">
        <v>18</v>
      </c>
      <c r="L70" s="1">
        <f>VLOOKUP($B70&amp;"__wt",'SegEnds_Xtal_BW#'!$A:$Z,12,FALSE)</f>
        <v>56</v>
      </c>
      <c r="M70" s="1">
        <f>VLOOKUP($B70&amp;"__wt",'SegEnds_Xtal_BW#'!$A:$Z,13,FALSE)</f>
        <v>50</v>
      </c>
      <c r="N70" s="12">
        <f>VLOOKUP($B70&amp;"__wt",'SegEnds_Xtal_BW#'!$A:$Z,14,FALSE)</f>
        <v>57</v>
      </c>
      <c r="O70" s="89">
        <f>VLOOKUP($B70&amp;"__wt",'SegEnds_Xtal_BW#'!$A:$Z,15,FALSE)</f>
        <v>38</v>
      </c>
      <c r="P70" s="1">
        <f>VLOOKUP($B70&amp;"__wt",'SegEnds_Xtal_BW#'!$A:$Z,16,FALSE)</f>
        <v>64</v>
      </c>
      <c r="Q70" s="1">
        <f>VLOOKUP($B70&amp;"__wt",'SegEnds_Xtal_BW#'!$A:$Z,17,FALSE)</f>
        <v>50</v>
      </c>
      <c r="R70" s="1">
        <f>VLOOKUP($B70&amp;"__wt",'SegEnds_Xtal_BW#'!$A:$Z,18,FALSE)</f>
        <v>52</v>
      </c>
      <c r="S70" s="1">
        <f>VLOOKUP($B70&amp;"__wt",'SegEnds_Xtal_BW#'!$A:$Z,19,FALSE)</f>
        <v>34</v>
      </c>
      <c r="T70" s="1">
        <f t="array" ref="T70">INDEX('ICL3'!$G$2:$G$40,MATCH(MIN(ABS(AH70-'ICL3'!$F$2:$F$40)),ABS(AH70-'ICL3'!$F$2:$F$40),0))</f>
        <v>68</v>
      </c>
      <c r="U70" s="1">
        <f t="array" ref="U70">INDEX('ICL3'!$H$2:$H$40,MATCH(MIN(ABS(AH70-'ICL3'!$F$2:$F$40)),ABS(AH70-'ICL3'!$F$2:$F$40),0))</f>
        <v>24</v>
      </c>
      <c r="V70" s="1">
        <v>64</v>
      </c>
      <c r="W70" s="1">
        <v>24</v>
      </c>
      <c r="X70" s="6">
        <f>VLOOKUP($B70&amp;"__wt",'SegEnds_Xtal_BW#'!$A:$Z,24,FALSE)</f>
        <v>56</v>
      </c>
      <c r="Y70" s="1">
        <f>VLOOKUP($B70&amp;"__wt",'SegEnds_Xtal_BW#'!$A:$Z,25,FALSE)</f>
        <v>47</v>
      </c>
      <c r="Z70" s="1">
        <f>VLOOKUP($B70&amp;"__wt",'SegEnds_Xtal_BW#'!$A:$Z,26,FALSE)</f>
        <v>61</v>
      </c>
      <c r="AA70" s="27" t="str">
        <f>VLOOKUP(A70,Classification!A:B,2,FALSE)</f>
        <v>A</v>
      </c>
      <c r="AB70" s="1">
        <f>VLOOKUP(A70,'SegEnds_NonXtal_Prot#'!A:AL,10,FALSE)-VLOOKUP(A70,'SegEnds_NonXtal_Prot#'!A:AL,7,FALSE)</f>
        <v>15</v>
      </c>
      <c r="AC70" s="1">
        <f>VLOOKUP(A70,'SegEnds_NonXtal_Prot#'!A:AL,13,FALSE)-VLOOKUP(A70,'SegEnds_NonXtal_Prot#'!A:AL,10,FALSE)</f>
        <v>20</v>
      </c>
      <c r="AD70" s="1">
        <f>VLOOKUP(A70,'SegEnds_NonXtal_Prot#'!A:AL,16,FALSE)-VLOOKUP(A70,'SegEnds_NonXtal_Prot#'!A:AL,10,FALSE)</f>
        <v>52</v>
      </c>
      <c r="AE70" s="1">
        <f>VLOOKUP(A70,'SegEnds_NonXtal_Prot#'!A:AL,22,FALSE)-VLOOKUP(A70,'SegEnds_NonXtal_Prot#'!A:AL,19,FALSE)</f>
        <v>20</v>
      </c>
      <c r="AF70" s="1">
        <f>VLOOKUP(A70,'SegEnds_NonXtal_Prot#'!A:AL,28,FALSE)-VLOOKUP(A70,'SegEnds_NonXtal_Prot#'!A:AL,25,FALSE)</f>
        <v>27</v>
      </c>
      <c r="AG70" s="1">
        <f>VLOOKUP(A70,'SegEnds_NonXtal_Prot#'!A:AL,28,FALSE)-VLOOKUP(A70,'SegEnds_NonXtal_Prot#'!A:AL,22,FALSE)</f>
        <v>54</v>
      </c>
      <c r="AH70" s="1">
        <f>VLOOKUP(A70,'SegEnds_NonXtal_Prot#'!A:AL,31,FALSE)-VLOOKUP(A70,'SegEnds_NonXtal_Prot#'!A:AL,28,FALSE)</f>
        <v>48</v>
      </c>
      <c r="AI70" s="1">
        <f>VLOOKUP(A70,'SegEnds_NonXtal_Prot#'!A:AL,34,FALSE)-VLOOKUP(A70,'SegEnds_NonXtal_Prot#'!A:AL,31,FALSE)</f>
        <v>44</v>
      </c>
      <c r="AJ70" s="1" t="str">
        <f>IF(ISERROR(MATCH(A70,'SegEnds_Xtal_Prot#'!B:B, 0)), "NoXtal", "Xtal")</f>
        <v>Xtal</v>
      </c>
    </row>
    <row r="71" spans="1:36" x14ac:dyDescent="0.2">
      <c r="A71" s="1" t="s">
        <v>160</v>
      </c>
      <c r="B71" s="1" t="str">
        <f>VLOOKUP(A71,Xtal_Templ!A:B,2,FALSE)</f>
        <v>apj_human</v>
      </c>
      <c r="C71" s="5">
        <f>VLOOKUP($B71&amp;"__wt",'SegEnds_Xtal_BW#'!$A:$Z,3,FALSE)</f>
        <v>33</v>
      </c>
      <c r="D71" s="1">
        <f>VLOOKUP($B71&amp;"__wt",'SegEnds_Xtal_BW#'!$A:$Z,4,FALSE)</f>
        <v>60</v>
      </c>
      <c r="E71" s="1">
        <f>VLOOKUP($B71&amp;"__wt",'SegEnds_Xtal_BW#'!$A:$Z,5,FALSE)</f>
        <v>48</v>
      </c>
      <c r="F71" s="1">
        <f>VLOOKUP($B71&amp;"__wt",'SegEnds_Xtal_BW#'!$A:$Z,6,FALSE)</f>
        <v>52</v>
      </c>
      <c r="G71" s="1">
        <v>37</v>
      </c>
      <c r="H71" s="12">
        <f>VLOOKUP($B71&amp;"__wt",'SegEnds_Xtal_BW#'!$A:$Z,8,FALSE)</f>
        <v>67</v>
      </c>
      <c r="I71" s="1">
        <f>VLOOKUP($B71&amp;"__wt",'SegEnds_Xtal_BW#'!$A:$Z,9,FALSE)</f>
        <v>49</v>
      </c>
      <c r="J71" s="1">
        <f>VLOOKUP($B71&amp;"__wt",'SegEnds_Xtal_BW#'!$A:$Z,10,FALSE)</f>
        <v>52</v>
      </c>
      <c r="K71" s="12">
        <v>18</v>
      </c>
      <c r="L71" s="1">
        <f>VLOOKUP($B71&amp;"__wt",'SegEnds_Xtal_BW#'!$A:$Z,12,FALSE)</f>
        <v>56</v>
      </c>
      <c r="M71" s="1">
        <f>VLOOKUP($B71&amp;"__wt",'SegEnds_Xtal_BW#'!$A:$Z,13,FALSE)</f>
        <v>50</v>
      </c>
      <c r="N71" s="12">
        <v>57</v>
      </c>
      <c r="O71" s="89">
        <v>38</v>
      </c>
      <c r="P71" s="1">
        <f>VLOOKUP($B71&amp;"__wt",'SegEnds_Xtal_BW#'!$A:$Z,16,FALSE)</f>
        <v>64</v>
      </c>
      <c r="Q71" s="1">
        <f>VLOOKUP($B71&amp;"__wt",'SegEnds_Xtal_BW#'!$A:$Z,17,FALSE)</f>
        <v>50</v>
      </c>
      <c r="R71" s="1">
        <f>VLOOKUP($B71&amp;"__wt",'SegEnds_Xtal_BW#'!$A:$Z,18,FALSE)</f>
        <v>52</v>
      </c>
      <c r="S71" s="1">
        <f>VLOOKUP($B71&amp;"__wt",'SegEnds_Xtal_BW#'!$A:$Z,19,FALSE)</f>
        <v>30</v>
      </c>
      <c r="T71" s="1">
        <f t="array" ref="T71">INDEX('ICL3'!$G$2:$G$40,MATCH(MIN(ABS(AH71-'ICL3'!$F$2:$F$40)),ABS(AH71-'ICL3'!$F$2:$F$40),0))</f>
        <v>72</v>
      </c>
      <c r="U71" s="1">
        <f t="array" ref="U71">INDEX('ICL3'!$H$2:$H$40,MATCH(MIN(ABS(AH71-'ICL3'!$F$2:$F$40)),ABS(AH71-'ICL3'!$F$2:$F$40),0))</f>
        <v>29</v>
      </c>
      <c r="V71" s="111">
        <v>63</v>
      </c>
      <c r="W71" s="1">
        <v>24</v>
      </c>
      <c r="X71" s="1">
        <f>VLOOKUP($B71&amp;"__wt",'SegEnds_Xtal_BW#'!$A:$Z,24,FALSE)</f>
        <v>56</v>
      </c>
      <c r="Y71" s="1">
        <f>VLOOKUP($B71&amp;"__wt",'SegEnds_Xtal_BW#'!$A:$Z,25,FALSE)</f>
        <v>47</v>
      </c>
      <c r="Z71" s="1">
        <f>VLOOKUP($B71&amp;"__wt",'SegEnds_Xtal_BW#'!$A:$Z,26,FALSE)</f>
        <v>61</v>
      </c>
      <c r="AA71" s="27" t="str">
        <f>VLOOKUP(A71,Classification!A:B,2,FALSE)</f>
        <v>A</v>
      </c>
      <c r="AB71" s="1">
        <f>VLOOKUP(A71,'SegEnds_NonXtal_Prot#'!A:AL,10,FALSE)-VLOOKUP(A71,'SegEnds_NonXtal_Prot#'!A:AL,7,FALSE)</f>
        <v>16</v>
      </c>
      <c r="AC71" s="1">
        <f>VLOOKUP(A71,'SegEnds_NonXtal_Prot#'!A:AL,13,FALSE)-VLOOKUP(A71,'SegEnds_NonXtal_Prot#'!A:AL,10,FALSE)</f>
        <v>20</v>
      </c>
      <c r="AD71" s="1">
        <f>VLOOKUP(A71,'SegEnds_NonXtal_Prot#'!A:AL,16,FALSE)-VLOOKUP(A71,'SegEnds_NonXtal_Prot#'!A:AL,10,FALSE)</f>
        <v>52</v>
      </c>
      <c r="AE71" s="1">
        <f>VLOOKUP(A71,'SegEnds_NonXtal_Prot#'!A:AL,22,FALSE)-VLOOKUP(A71,'SegEnds_NonXtal_Prot#'!A:AL,19,FALSE)</f>
        <v>20</v>
      </c>
      <c r="AF71" s="1">
        <f>VLOOKUP(A71,'SegEnds_NonXtal_Prot#'!A:AL,28,FALSE)-VLOOKUP(A71,'SegEnds_NonXtal_Prot#'!A:AL,25,FALSE)</f>
        <v>32</v>
      </c>
      <c r="AG71" s="1">
        <f>VLOOKUP(A71,'SegEnds_NonXtal_Prot#'!A:AL,28,FALSE)-VLOOKUP(A71,'SegEnds_NonXtal_Prot#'!A:AL,22,FALSE)</f>
        <v>59</v>
      </c>
      <c r="AH71" s="1">
        <f>VLOOKUP(A71,'SegEnds_NonXtal_Prot#'!A:AL,31,FALSE)-VLOOKUP(A71,'SegEnds_NonXtal_Prot#'!A:AL,28,FALSE)</f>
        <v>50</v>
      </c>
      <c r="AI71" s="1">
        <f>VLOOKUP(A71,'SegEnds_NonXtal_Prot#'!A:AL,34,FALSE)-VLOOKUP(A71,'SegEnds_NonXtal_Prot#'!A:AL,31,FALSE)</f>
        <v>43</v>
      </c>
      <c r="AJ71" s="1" t="str">
        <f>IF(ISERROR(MATCH(A71,'SegEnds_Xtal_Prot#'!B:B, 0)), "NoXtal", "Xtal")</f>
        <v>Xtal</v>
      </c>
    </row>
    <row r="72" spans="1:36" x14ac:dyDescent="0.2">
      <c r="A72" s="1" t="s">
        <v>161</v>
      </c>
      <c r="B72" s="1" t="str">
        <f>VLOOKUP(A72,Xtal_Templ!A:B,2,FALSE)</f>
        <v>agtr1_human</v>
      </c>
      <c r="C72" s="5">
        <f>VLOOKUP($B72&amp;"__wt",'SegEnds_Xtal_BW#'!$A:$Z,3,FALSE)</f>
        <v>30</v>
      </c>
      <c r="D72" s="1">
        <f>VLOOKUP($B72&amp;"__wt",'SegEnds_Xtal_BW#'!$A:$Z,4,FALSE)</f>
        <v>60</v>
      </c>
      <c r="E72" s="1">
        <f>VLOOKUP($B72&amp;"__wt",'SegEnds_Xtal_BW#'!$A:$Z,5,FALSE)</f>
        <v>48</v>
      </c>
      <c r="F72" s="1">
        <f>VLOOKUP($B72&amp;"__wt",'SegEnds_Xtal_BW#'!$A:$Z,6,FALSE)</f>
        <v>51</v>
      </c>
      <c r="G72" s="1">
        <v>37</v>
      </c>
      <c r="H72" s="12">
        <f>VLOOKUP($B72&amp;"__wt",'SegEnds_Xtal_BW#'!$A:$Z,8,FALSE)</f>
        <v>66</v>
      </c>
      <c r="I72" s="1">
        <f>VLOOKUP($B72&amp;"__wt",'SegEnds_Xtal_BW#'!$A:$Z,9,FALSE)</f>
        <v>49</v>
      </c>
      <c r="J72" s="1">
        <f>VLOOKUP($B72&amp;"__wt",'SegEnds_Xtal_BW#'!$A:$Z,10,FALSE)</f>
        <v>52</v>
      </c>
      <c r="K72" s="12">
        <v>18</v>
      </c>
      <c r="L72" s="1">
        <f>VLOOKUP($B72&amp;"__wt",'SegEnds_Xtal_BW#'!$A:$Z,12,FALSE)</f>
        <v>56</v>
      </c>
      <c r="M72" s="1">
        <f>VLOOKUP($B72&amp;"__wt",'SegEnds_Xtal_BW#'!$A:$Z,13,FALSE)</f>
        <v>50</v>
      </c>
      <c r="N72" s="12">
        <v>57</v>
      </c>
      <c r="O72" s="89">
        <v>38</v>
      </c>
      <c r="P72" s="1">
        <f>VLOOKUP($B72&amp;"__wt",'SegEnds_Xtal_BW#'!$A:$Z,16,FALSE)</f>
        <v>64</v>
      </c>
      <c r="Q72" s="1">
        <f>VLOOKUP($B72&amp;"__wt",'SegEnds_Xtal_BW#'!$A:$Z,17,FALSE)</f>
        <v>50</v>
      </c>
      <c r="R72" s="1">
        <f>VLOOKUP($B72&amp;"__wt",'SegEnds_Xtal_BW#'!$A:$Z,18,FALSE)</f>
        <v>52</v>
      </c>
      <c r="S72" s="1">
        <f>VLOOKUP($B72&amp;"__wt",'SegEnds_Xtal_BW#'!$A:$Z,19,FALSE)</f>
        <v>34</v>
      </c>
      <c r="T72" s="1">
        <f t="array" ref="T72">INDEX('ICL3'!$G$2:$G$40,MATCH(MIN(ABS(AH72-'ICL3'!$F$2:$F$40)),ABS(AH72-'ICL3'!$F$2:$F$40),0))</f>
        <v>68</v>
      </c>
      <c r="U72" s="1">
        <f t="array" ref="U72">INDEX('ICL3'!$H$2:$H$40,MATCH(MIN(ABS(AH72-'ICL3'!$F$2:$F$40)),ABS(AH72-'ICL3'!$F$2:$F$40),0))</f>
        <v>23</v>
      </c>
      <c r="V72" s="1">
        <v>64</v>
      </c>
      <c r="W72" s="1">
        <v>24</v>
      </c>
      <c r="X72" s="1">
        <f>VLOOKUP($B72&amp;"__wt",'SegEnds_Xtal_BW#'!$A:$Z,24,FALSE)</f>
        <v>56</v>
      </c>
      <c r="Y72" s="1">
        <f>VLOOKUP($B72&amp;"__wt",'SegEnds_Xtal_BW#'!$A:$Z,25,FALSE)</f>
        <v>47</v>
      </c>
      <c r="Z72" s="1">
        <f>VLOOKUP($B72&amp;"__wt",'SegEnds_Xtal_BW#'!$A:$Z,26,FALSE)</f>
        <v>61</v>
      </c>
      <c r="AA72" s="27" t="str">
        <f>VLOOKUP(A72,Classification!A:B,2,FALSE)</f>
        <v>A</v>
      </c>
      <c r="AB72" s="1">
        <f>VLOOKUP(A72,'SegEnds_NonXtal_Prot#'!A:AL,10,FALSE)-VLOOKUP(A72,'SegEnds_NonXtal_Prot#'!A:AL,7,FALSE)</f>
        <v>15</v>
      </c>
      <c r="AC72" s="1">
        <f>VLOOKUP(A72,'SegEnds_NonXtal_Prot#'!A:AL,13,FALSE)-VLOOKUP(A72,'SegEnds_NonXtal_Prot#'!A:AL,10,FALSE)</f>
        <v>20</v>
      </c>
      <c r="AD72" s="1">
        <f>VLOOKUP(A72,'SegEnds_NonXtal_Prot#'!A:AL,16,FALSE)-VLOOKUP(A72,'SegEnds_NonXtal_Prot#'!A:AL,10,FALSE)</f>
        <v>52</v>
      </c>
      <c r="AE72" s="1">
        <f>VLOOKUP(A72,'SegEnds_NonXtal_Prot#'!A:AL,22,FALSE)-VLOOKUP(A72,'SegEnds_NonXtal_Prot#'!A:AL,19,FALSE)</f>
        <v>20</v>
      </c>
      <c r="AF72" s="1">
        <f>VLOOKUP(A72,'SegEnds_NonXtal_Prot#'!A:AL,28,FALSE)-VLOOKUP(A72,'SegEnds_NonXtal_Prot#'!A:AL,25,FALSE)</f>
        <v>25</v>
      </c>
      <c r="AG72" s="1">
        <f>VLOOKUP(A72,'SegEnds_NonXtal_Prot#'!A:AL,28,FALSE)-VLOOKUP(A72,'SegEnds_NonXtal_Prot#'!A:AL,22,FALSE)</f>
        <v>52</v>
      </c>
      <c r="AH72" s="1">
        <f>VLOOKUP(A72,'SegEnds_NonXtal_Prot#'!A:AL,31,FALSE)-VLOOKUP(A72,'SegEnds_NonXtal_Prot#'!A:AL,28,FALSE)</f>
        <v>51</v>
      </c>
      <c r="AI72" s="1">
        <f>VLOOKUP(A72,'SegEnds_NonXtal_Prot#'!A:AL,34,FALSE)-VLOOKUP(A72,'SegEnds_NonXtal_Prot#'!A:AL,31,FALSE)</f>
        <v>44</v>
      </c>
      <c r="AJ72" s="1" t="str">
        <f>IF(ISERROR(MATCH(A72,'SegEnds_Xtal_Prot#'!B:B, 0)), "NoXtal", "Xtal")</f>
        <v>NoXtal</v>
      </c>
    </row>
    <row r="73" spans="1:36" x14ac:dyDescent="0.2">
      <c r="A73" s="1" t="s">
        <v>162</v>
      </c>
      <c r="B73" s="1" t="str">
        <f>VLOOKUP(A73,Xtal_Templ!A:B,2,FALSE)</f>
        <v>agtr2_human</v>
      </c>
      <c r="C73" s="5">
        <f>VLOOKUP($B73&amp;"__wt",'SegEnds_Xtal_BW#'!$A:$Z,3,FALSE)</f>
        <v>33</v>
      </c>
      <c r="D73" s="1">
        <f>VLOOKUP($B73&amp;"__wt",'SegEnds_Xtal_BW#'!$A:$Z,4,FALSE)</f>
        <v>60</v>
      </c>
      <c r="E73" s="1" t="str">
        <f>VLOOKUP($B73&amp;"__wt",'SegEnds_Xtal_BW#'!$A:$Z,5,FALSE)</f>
        <v>-</v>
      </c>
      <c r="F73" s="1" t="str">
        <f>VLOOKUP($B73&amp;"__wt",'SegEnds_Xtal_BW#'!$A:$Z,6,FALSE)</f>
        <v>-</v>
      </c>
      <c r="G73" s="1">
        <v>37</v>
      </c>
      <c r="H73" s="12">
        <f>VLOOKUP($B73&amp;"__wt",'SegEnds_Xtal_BW#'!$A:$Z,8,FALSE)</f>
        <v>66</v>
      </c>
      <c r="I73" s="1">
        <f>VLOOKUP($B73&amp;"__wt",'SegEnds_Xtal_BW#'!$A:$Z,9,FALSE)</f>
        <v>47</v>
      </c>
      <c r="J73" s="1">
        <f>VLOOKUP($B73&amp;"__wt",'SegEnds_Xtal_BW#'!$A:$Z,10,FALSE)</f>
        <v>52</v>
      </c>
      <c r="K73" s="12">
        <v>18</v>
      </c>
      <c r="L73" s="1">
        <f>VLOOKUP($B73&amp;"__wt",'SegEnds_Xtal_BW#'!$A:$Z,12,FALSE)</f>
        <v>56</v>
      </c>
      <c r="M73" s="111">
        <v>50</v>
      </c>
      <c r="N73" s="12">
        <v>57</v>
      </c>
      <c r="O73" s="89">
        <f>VLOOKUP($B73&amp;"__wt",'SegEnds_Xtal_BW#'!$A:$Z,15,FALSE)</f>
        <v>38</v>
      </c>
      <c r="P73" s="1">
        <f>VLOOKUP($B73&amp;"__wt",'SegEnds_Xtal_BW#'!$A:$Z,16,FALSE)</f>
        <v>64</v>
      </c>
      <c r="Q73" s="1">
        <f>VLOOKUP($B73&amp;"__wt",'SegEnds_Xtal_BW#'!$A:$Z,17,FALSE)</f>
        <v>50</v>
      </c>
      <c r="R73" s="1">
        <f>VLOOKUP($B73&amp;"__wt",'SegEnds_Xtal_BW#'!$A:$Z,18,FALSE)</f>
        <v>52</v>
      </c>
      <c r="S73" s="1">
        <f>VLOOKUP($B73&amp;"__wt",'SegEnds_Xtal_BW#'!$A:$Z,19,FALSE)</f>
        <v>30</v>
      </c>
      <c r="T73" s="1">
        <f t="array" ref="T73">INDEX('ICL3'!$G$2:$G$40,MATCH(MIN(ABS(AH73-'ICL3'!$F$2:$F$40)),ABS(AH73-'ICL3'!$F$2:$F$40),0))</f>
        <v>68</v>
      </c>
      <c r="U73" s="1">
        <f t="array" ref="U73">INDEX('ICL3'!$H$2:$H$40,MATCH(MIN(ABS(AH73-'ICL3'!$F$2:$F$40)),ABS(AH73-'ICL3'!$F$2:$F$40),0))</f>
        <v>24</v>
      </c>
      <c r="V73" s="1">
        <v>64</v>
      </c>
      <c r="W73" s="1">
        <v>24</v>
      </c>
      <c r="X73" s="1">
        <f>VLOOKUP($B73&amp;"__wt",'SegEnds_Xtal_BW#'!$A:$Z,24,FALSE)</f>
        <v>56</v>
      </c>
      <c r="Y73" s="1">
        <f>VLOOKUP($B73&amp;"__wt",'SegEnds_Xtal_BW#'!$A:$Z,25,FALSE)</f>
        <v>47</v>
      </c>
      <c r="Z73" s="1">
        <f>VLOOKUP($B73&amp;"__wt",'SegEnds_Xtal_BW#'!$A:$Z,26,FALSE)</f>
        <v>61</v>
      </c>
      <c r="AA73" s="27" t="str">
        <f>VLOOKUP(A73,Classification!A:B,2,FALSE)</f>
        <v>A</v>
      </c>
      <c r="AB73" s="1">
        <f>VLOOKUP(A73,'SegEnds_NonXtal_Prot#'!A:AL,10,FALSE)-VLOOKUP(A73,'SegEnds_NonXtal_Prot#'!A:AL,7,FALSE)</f>
        <v>15</v>
      </c>
      <c r="AC73" s="1">
        <f>VLOOKUP(A73,'SegEnds_NonXtal_Prot#'!A:AL,13,FALSE)-VLOOKUP(A73,'SegEnds_NonXtal_Prot#'!A:AL,10,FALSE)</f>
        <v>20</v>
      </c>
      <c r="AD73" s="1">
        <f>VLOOKUP(A73,'SegEnds_NonXtal_Prot#'!A:AL,16,FALSE)-VLOOKUP(A73,'SegEnds_NonXtal_Prot#'!A:AL,10,FALSE)</f>
        <v>52</v>
      </c>
      <c r="AE73" s="1">
        <f>VLOOKUP(A73,'SegEnds_NonXtal_Prot#'!A:AL,22,FALSE)-VLOOKUP(A73,'SegEnds_NonXtal_Prot#'!A:AL,19,FALSE)</f>
        <v>20</v>
      </c>
      <c r="AF73" s="1">
        <f>VLOOKUP(A73,'SegEnds_NonXtal_Prot#'!A:AL,28,FALSE)-VLOOKUP(A73,'SegEnds_NonXtal_Prot#'!A:AL,25,FALSE)</f>
        <v>25</v>
      </c>
      <c r="AG73" s="1">
        <f>VLOOKUP(A73,'SegEnds_NonXtal_Prot#'!A:AL,28,FALSE)-VLOOKUP(A73,'SegEnds_NonXtal_Prot#'!A:AL,22,FALSE)</f>
        <v>54</v>
      </c>
      <c r="AH73" s="1">
        <f>VLOOKUP(A73,'SegEnds_NonXtal_Prot#'!A:AL,31,FALSE)-VLOOKUP(A73,'SegEnds_NonXtal_Prot#'!A:AL,28,FALSE)</f>
        <v>49</v>
      </c>
      <c r="AI73" s="1">
        <f>VLOOKUP(A73,'SegEnds_NonXtal_Prot#'!A:AL,34,FALSE)-VLOOKUP(A73,'SegEnds_NonXtal_Prot#'!A:AL,31,FALSE)</f>
        <v>44</v>
      </c>
      <c r="AJ73" s="1" t="str">
        <f>IF(ISERROR(MATCH(A73,'SegEnds_Xtal_Prot#'!B:B, 0)), "NoXtal", "Xtal")</f>
        <v>NoXtal</v>
      </c>
    </row>
    <row r="74" spans="1:36" x14ac:dyDescent="0.2">
      <c r="A74" s="1" t="s">
        <v>163</v>
      </c>
      <c r="B74" s="1" t="str">
        <f>VLOOKUP(A74,Xtal_Templ!A:B,2,FALSE)</f>
        <v>ednrb_human</v>
      </c>
      <c r="C74" s="5">
        <f>VLOOKUP($B74&amp;"__wt",'SegEnds_Xtal_BW#'!$A:$Z,3,FALSE)</f>
        <v>22</v>
      </c>
      <c r="D74" s="1">
        <f>VLOOKUP($B74&amp;"__wt",'SegEnds_Xtal_BW#'!$A:$Z,4,FALSE)</f>
        <v>60</v>
      </c>
      <c r="E74" s="1">
        <f>VLOOKUP($B74&amp;"__wt",'SegEnds_Xtal_BW#'!$A:$Z,5,FALSE)</f>
        <v>48</v>
      </c>
      <c r="F74" s="1">
        <f>VLOOKUP($B74&amp;"__wt",'SegEnds_Xtal_BW#'!$A:$Z,6,FALSE)</f>
        <v>52</v>
      </c>
      <c r="G74" s="1">
        <v>37</v>
      </c>
      <c r="H74" s="12">
        <f>VLOOKUP($B74&amp;"__wt",'SegEnds_Xtal_BW#'!$A:$Z,8,FALSE)</f>
        <v>67</v>
      </c>
      <c r="I74" s="1">
        <f>VLOOKUP($B74&amp;"__wt",'SegEnds_Xtal_BW#'!$A:$Z,9,FALSE)</f>
        <v>49</v>
      </c>
      <c r="J74" s="1">
        <f>VLOOKUP($B74&amp;"__wt",'SegEnds_Xtal_BW#'!$A:$Z,10,FALSE)</f>
        <v>52</v>
      </c>
      <c r="K74" s="12">
        <v>18</v>
      </c>
      <c r="L74" s="1">
        <f>VLOOKUP($B74&amp;"__wt",'SegEnds_Xtal_BW#'!$A:$Z,12,FALSE)</f>
        <v>56</v>
      </c>
      <c r="M74" s="1">
        <f>VLOOKUP($B74&amp;"__wt",'SegEnds_Xtal_BW#'!$A:$Z,13,FALSE)</f>
        <v>50</v>
      </c>
      <c r="N74" s="12">
        <v>57</v>
      </c>
      <c r="O74" s="89">
        <v>38</v>
      </c>
      <c r="P74" s="1">
        <f>VLOOKUP($B74&amp;"__wt",'SegEnds_Xtal_BW#'!$A:$Z,16,FALSE)</f>
        <v>64</v>
      </c>
      <c r="Q74" s="1">
        <f>VLOOKUP($B74&amp;"__wt",'SegEnds_Xtal_BW#'!$A:$Z,17,FALSE)</f>
        <v>50</v>
      </c>
      <c r="R74" s="1">
        <f>VLOOKUP($B74&amp;"__wt",'SegEnds_Xtal_BW#'!$A:$Z,18,FALSE)</f>
        <v>52</v>
      </c>
      <c r="S74" s="1">
        <f>VLOOKUP($B74&amp;"__wt",'SegEnds_Xtal_BW#'!$A:$Z,19,FALSE)</f>
        <v>29</v>
      </c>
      <c r="T74" s="1">
        <f t="array" ref="T74">INDEX('ICL3'!$G$2:$G$40,MATCH(MIN(ABS(AH74-'ICL3'!$F$2:$F$40)),ABS(AH74-'ICL3'!$F$2:$F$40),0))</f>
        <v>72</v>
      </c>
      <c r="U74" s="1">
        <f t="array" ref="U74">INDEX('ICL3'!$H$2:$H$40,MATCH(MIN(ABS(AH74-'ICL3'!$F$2:$F$40)),ABS(AH74-'ICL3'!$F$2:$F$40),0))</f>
        <v>24</v>
      </c>
      <c r="V74" s="1">
        <v>61</v>
      </c>
      <c r="W74" s="1">
        <v>28</v>
      </c>
      <c r="X74" s="1">
        <f>VLOOKUP($B74&amp;"__wt",'SegEnds_Xtal_BW#'!$A:$Z,24,FALSE)</f>
        <v>56</v>
      </c>
      <c r="Y74" s="1">
        <f>VLOOKUP($B74&amp;"__wt",'SegEnds_Xtal_BW#'!$A:$Z,25,FALSE)</f>
        <v>47</v>
      </c>
      <c r="Z74" s="1">
        <f>VLOOKUP($B74&amp;"__wt",'SegEnds_Xtal_BW#'!$A:$Z,26,FALSE)</f>
        <v>60</v>
      </c>
      <c r="AA74" s="27" t="str">
        <f>VLOOKUP(A74,Classification!A:B,2,FALSE)</f>
        <v>A</v>
      </c>
      <c r="AB74" s="1">
        <f>VLOOKUP(A74,'SegEnds_NonXtal_Prot#'!A:AL,10,FALSE)-VLOOKUP(A74,'SegEnds_NonXtal_Prot#'!A:AL,7,FALSE)</f>
        <v>15</v>
      </c>
      <c r="AC74" s="1">
        <f>VLOOKUP(A74,'SegEnds_NonXtal_Prot#'!A:AL,13,FALSE)-VLOOKUP(A74,'SegEnds_NonXtal_Prot#'!A:AL,10,FALSE)</f>
        <v>20</v>
      </c>
      <c r="AD74" s="1">
        <f>VLOOKUP(A74,'SegEnds_NonXtal_Prot#'!A:AL,16,FALSE)-VLOOKUP(A74,'SegEnds_NonXtal_Prot#'!A:AL,10,FALSE)</f>
        <v>52</v>
      </c>
      <c r="AE74" s="1">
        <f>VLOOKUP(A74,'SegEnds_NonXtal_Prot#'!A:AL,22,FALSE)-VLOOKUP(A74,'SegEnds_NonXtal_Prot#'!A:AL,19,FALSE)</f>
        <v>20</v>
      </c>
      <c r="AF74" s="1">
        <f>VLOOKUP(A74,'SegEnds_NonXtal_Prot#'!A:AL,28,FALSE)-VLOOKUP(A74,'SegEnds_NonXtal_Prot#'!A:AL,25,FALSE)</f>
        <v>26</v>
      </c>
      <c r="AG74" s="1">
        <f>VLOOKUP(A74,'SegEnds_NonXtal_Prot#'!A:AL,28,FALSE)-VLOOKUP(A74,'SegEnds_NonXtal_Prot#'!A:AL,22,FALSE)</f>
        <v>57</v>
      </c>
      <c r="AH74" s="1">
        <f>VLOOKUP(A74,'SegEnds_NonXtal_Prot#'!A:AL,31,FALSE)-VLOOKUP(A74,'SegEnds_NonXtal_Prot#'!A:AL,28,FALSE)</f>
        <v>57</v>
      </c>
      <c r="AI74" s="1">
        <f>VLOOKUP(A74,'SegEnds_NonXtal_Prot#'!A:AL,34,FALSE)-VLOOKUP(A74,'SegEnds_NonXtal_Prot#'!A:AL,31,FALSE)</f>
        <v>41</v>
      </c>
      <c r="AJ74" s="1" t="str">
        <f>IF(ISERROR(MATCH(A74,'SegEnds_Xtal_Prot#'!B:B, 0)), "NoXtal", "Xtal")</f>
        <v>NoXtal</v>
      </c>
    </row>
    <row r="75" spans="1:36" x14ac:dyDescent="0.2">
      <c r="A75" s="1" t="s">
        <v>164</v>
      </c>
      <c r="B75" s="1" t="str">
        <f>VLOOKUP(A75,Xtal_Templ!A:B,2,FALSE)</f>
        <v>agtr1_human</v>
      </c>
      <c r="C75" s="5">
        <f>VLOOKUP($B75&amp;"__wt",'SegEnds_Xtal_BW#'!$A:$Z,3,FALSE)</f>
        <v>30</v>
      </c>
      <c r="D75" s="1">
        <f>VLOOKUP($B75&amp;"__wt",'SegEnds_Xtal_BW#'!$A:$Z,4,FALSE)</f>
        <v>60</v>
      </c>
      <c r="E75" s="1">
        <f>VLOOKUP($B75&amp;"__wt",'SegEnds_Xtal_BW#'!$A:$Z,5,FALSE)</f>
        <v>48</v>
      </c>
      <c r="F75" s="1">
        <f>VLOOKUP($B75&amp;"__wt",'SegEnds_Xtal_BW#'!$A:$Z,6,FALSE)</f>
        <v>51</v>
      </c>
      <c r="G75" s="1">
        <v>37</v>
      </c>
      <c r="H75" s="12">
        <f>VLOOKUP($B75&amp;"__wt",'SegEnds_Xtal_BW#'!$A:$Z,8,FALSE)</f>
        <v>66</v>
      </c>
      <c r="I75" s="1">
        <f>VLOOKUP($B75&amp;"__wt",'SegEnds_Xtal_BW#'!$A:$Z,9,FALSE)</f>
        <v>49</v>
      </c>
      <c r="J75" s="1">
        <f>VLOOKUP($B75&amp;"__wt",'SegEnds_Xtal_BW#'!$A:$Z,10,FALSE)</f>
        <v>52</v>
      </c>
      <c r="K75" s="12">
        <v>18</v>
      </c>
      <c r="L75" s="1">
        <f>VLOOKUP($B75&amp;"__wt",'SegEnds_Xtal_BW#'!$A:$Z,12,FALSE)</f>
        <v>56</v>
      </c>
      <c r="M75" s="1">
        <f>VLOOKUP($B75&amp;"__wt",'SegEnds_Xtal_BW#'!$A:$Z,13,FALSE)</f>
        <v>50</v>
      </c>
      <c r="N75" s="12">
        <v>57</v>
      </c>
      <c r="O75" s="89">
        <v>38</v>
      </c>
      <c r="P75" s="1">
        <f>VLOOKUP($B75&amp;"__wt",'SegEnds_Xtal_BW#'!$A:$Z,16,FALSE)</f>
        <v>64</v>
      </c>
      <c r="Q75" s="1">
        <f>VLOOKUP($B75&amp;"__wt",'SegEnds_Xtal_BW#'!$A:$Z,17,FALSE)</f>
        <v>50</v>
      </c>
      <c r="R75" s="1">
        <f>VLOOKUP($B75&amp;"__wt",'SegEnds_Xtal_BW#'!$A:$Z,18,FALSE)</f>
        <v>52</v>
      </c>
      <c r="S75" s="1">
        <f>VLOOKUP($B75&amp;"__wt",'SegEnds_Xtal_BW#'!$A:$Z,19,FALSE)</f>
        <v>34</v>
      </c>
      <c r="T75" s="1">
        <f t="array" ref="T75">INDEX('ICL3'!$G$2:$G$40,MATCH(MIN(ABS(AH75-'ICL3'!$F$2:$F$40)),ABS(AH75-'ICL3'!$F$2:$F$40),0))</f>
        <v>68</v>
      </c>
      <c r="U75" s="1">
        <f t="array" ref="U75">INDEX('ICL3'!$H$2:$H$40,MATCH(MIN(ABS(AH75-'ICL3'!$F$2:$F$40)),ABS(AH75-'ICL3'!$F$2:$F$40),0))</f>
        <v>28</v>
      </c>
      <c r="V75" s="1">
        <v>61</v>
      </c>
      <c r="W75" s="1">
        <v>28</v>
      </c>
      <c r="X75" s="1">
        <f>VLOOKUP($B75&amp;"__wt",'SegEnds_Xtal_BW#'!$A:$Z,24,FALSE)</f>
        <v>56</v>
      </c>
      <c r="Y75" s="1">
        <f>VLOOKUP($B75&amp;"__wt",'SegEnds_Xtal_BW#'!$A:$Z,25,FALSE)</f>
        <v>47</v>
      </c>
      <c r="Z75" s="1">
        <f>VLOOKUP($B75&amp;"__wt",'SegEnds_Xtal_BW#'!$A:$Z,26,FALSE)</f>
        <v>61</v>
      </c>
      <c r="AA75" s="27" t="str">
        <f>VLOOKUP(A75,Classification!A:B,2,FALSE)</f>
        <v>A</v>
      </c>
      <c r="AB75" s="1" t="e">
        <f>VLOOKUP(A75,'SegEnds_NonXtal_Prot#'!A:AL,10,FALSE)-VLOOKUP(A75,'SegEnds_NonXtal_Prot#'!A:AL,7,FALSE)</f>
        <v>#VALUE!</v>
      </c>
      <c r="AC75" s="1">
        <f>VLOOKUP(A75,'SegEnds_NonXtal_Prot#'!A:AL,13,FALSE)-VLOOKUP(A75,'SegEnds_NonXtal_Prot#'!A:AL,10,FALSE)</f>
        <v>20</v>
      </c>
      <c r="AD75" s="1">
        <f>VLOOKUP(A75,'SegEnds_NonXtal_Prot#'!A:AL,16,FALSE)-VLOOKUP(A75,'SegEnds_NonXtal_Prot#'!A:AL,10,FALSE)</f>
        <v>52</v>
      </c>
      <c r="AE75" s="1">
        <f>VLOOKUP(A75,'SegEnds_NonXtal_Prot#'!A:AL,22,FALSE)-VLOOKUP(A75,'SegEnds_NonXtal_Prot#'!A:AL,19,FALSE)</f>
        <v>20</v>
      </c>
      <c r="AF75" s="1">
        <f>VLOOKUP(A75,'SegEnds_NonXtal_Prot#'!A:AL,28,FALSE)-VLOOKUP(A75,'SegEnds_NonXtal_Prot#'!A:AL,25,FALSE)</f>
        <v>176</v>
      </c>
      <c r="AG75" s="1">
        <f>VLOOKUP(A75,'SegEnds_NonXtal_Prot#'!A:AL,28,FALSE)-VLOOKUP(A75,'SegEnds_NonXtal_Prot#'!A:AL,22,FALSE)</f>
        <v>201</v>
      </c>
      <c r="AH75" s="1">
        <f>VLOOKUP(A75,'SegEnds_NonXtal_Prot#'!A:AL,31,FALSE)-VLOOKUP(A75,'SegEnds_NonXtal_Prot#'!A:AL,28,FALSE)</f>
        <v>44</v>
      </c>
      <c r="AI75" s="1">
        <f>VLOOKUP(A75,'SegEnds_NonXtal_Prot#'!A:AL,34,FALSE)-VLOOKUP(A75,'SegEnds_NonXtal_Prot#'!A:AL,31,FALSE)</f>
        <v>40</v>
      </c>
      <c r="AJ75" s="1" t="str">
        <f>IF(ISERROR(MATCH(A75,'SegEnds_Xtal_Prot#'!B:B, 0)), "NoXtal", "Xtal")</f>
        <v>NoXtal</v>
      </c>
    </row>
    <row r="76" spans="1:36" x14ac:dyDescent="0.2">
      <c r="A76" s="1" t="s">
        <v>165</v>
      </c>
      <c r="B76" s="1" t="str">
        <f>VLOOKUP(A76,Xtal_Templ!A:B,2,FALSE)</f>
        <v>agtr1_human</v>
      </c>
      <c r="C76" s="5">
        <f>VLOOKUP($B76&amp;"__wt",'SegEnds_Xtal_BW#'!$A:$Z,3,FALSE)</f>
        <v>30</v>
      </c>
      <c r="D76" s="1">
        <f>VLOOKUP($B76&amp;"__wt",'SegEnds_Xtal_BW#'!$A:$Z,4,FALSE)</f>
        <v>60</v>
      </c>
      <c r="E76" s="1">
        <f>VLOOKUP($B76&amp;"__wt",'SegEnds_Xtal_BW#'!$A:$Z,5,FALSE)</f>
        <v>48</v>
      </c>
      <c r="F76" s="1">
        <f>VLOOKUP($B76&amp;"__wt",'SegEnds_Xtal_BW#'!$A:$Z,6,FALSE)</f>
        <v>51</v>
      </c>
      <c r="G76" s="1">
        <v>37</v>
      </c>
      <c r="H76" s="12">
        <f>VLOOKUP($B76&amp;"__wt",'SegEnds_Xtal_BW#'!$A:$Z,8,FALSE)</f>
        <v>66</v>
      </c>
      <c r="I76" s="1">
        <f>VLOOKUP($B76&amp;"__wt",'SegEnds_Xtal_BW#'!$A:$Z,9,FALSE)</f>
        <v>49</v>
      </c>
      <c r="J76" s="1">
        <f>VLOOKUP($B76&amp;"__wt",'SegEnds_Xtal_BW#'!$A:$Z,10,FALSE)</f>
        <v>52</v>
      </c>
      <c r="K76" s="12">
        <v>18</v>
      </c>
      <c r="L76" s="1">
        <f>VLOOKUP($B76&amp;"__wt",'SegEnds_Xtal_BW#'!$A:$Z,12,FALSE)</f>
        <v>56</v>
      </c>
      <c r="M76" s="1">
        <f>VLOOKUP($B76&amp;"__wt",'SegEnds_Xtal_BW#'!$A:$Z,13,FALSE)</f>
        <v>50</v>
      </c>
      <c r="N76" s="12">
        <v>57</v>
      </c>
      <c r="O76" s="89">
        <v>38</v>
      </c>
      <c r="P76" s="1">
        <f>VLOOKUP($B76&amp;"__wt",'SegEnds_Xtal_BW#'!$A:$Z,16,FALSE)</f>
        <v>64</v>
      </c>
      <c r="Q76" s="1">
        <f>VLOOKUP($B76&amp;"__wt",'SegEnds_Xtal_BW#'!$A:$Z,17,FALSE)</f>
        <v>50</v>
      </c>
      <c r="R76" s="1">
        <f>VLOOKUP($B76&amp;"__wt",'SegEnds_Xtal_BW#'!$A:$Z,18,FALSE)</f>
        <v>52</v>
      </c>
      <c r="S76" s="1">
        <f>VLOOKUP($B76&amp;"__wt",'SegEnds_Xtal_BW#'!$A:$Z,19,FALSE)</f>
        <v>34</v>
      </c>
      <c r="T76" s="1">
        <f t="array" ref="T76">INDEX('ICL3'!$G$2:$G$40,MATCH(MIN(ABS(AH76-'ICL3'!$F$2:$F$40)),ABS(AH76-'ICL3'!$F$2:$F$40),0))</f>
        <v>68</v>
      </c>
      <c r="U76" s="1">
        <f t="array" ref="U76">INDEX('ICL3'!$H$2:$H$40,MATCH(MIN(ABS(AH76-'ICL3'!$F$2:$F$40)),ABS(AH76-'ICL3'!$F$2:$F$40),0))</f>
        <v>30</v>
      </c>
      <c r="V76" s="1">
        <v>61</v>
      </c>
      <c r="W76" s="1">
        <v>28</v>
      </c>
      <c r="X76" s="1">
        <f>VLOOKUP($B76&amp;"__wt",'SegEnds_Xtal_BW#'!$A:$Z,24,FALSE)</f>
        <v>56</v>
      </c>
      <c r="Y76" s="1">
        <f>VLOOKUP($B76&amp;"__wt",'SegEnds_Xtal_BW#'!$A:$Z,25,FALSE)</f>
        <v>47</v>
      </c>
      <c r="Z76" s="1">
        <f>VLOOKUP($B76&amp;"__wt",'SegEnds_Xtal_BW#'!$A:$Z,26,FALSE)</f>
        <v>61</v>
      </c>
      <c r="AA76" s="27" t="str">
        <f>VLOOKUP(A76,Classification!A:B,2,FALSE)</f>
        <v>A</v>
      </c>
      <c r="AB76" s="1" t="e">
        <f>VLOOKUP(A76,'SegEnds_NonXtal_Prot#'!A:AL,10,FALSE)-VLOOKUP(A76,'SegEnds_NonXtal_Prot#'!A:AL,7,FALSE)</f>
        <v>#VALUE!</v>
      </c>
      <c r="AC76" s="1">
        <f>VLOOKUP(A76,'SegEnds_NonXtal_Prot#'!A:AL,13,FALSE)-VLOOKUP(A76,'SegEnds_NonXtal_Prot#'!A:AL,10,FALSE)</f>
        <v>20</v>
      </c>
      <c r="AD76" s="1">
        <f>VLOOKUP(A76,'SegEnds_NonXtal_Prot#'!A:AL,16,FALSE)-VLOOKUP(A76,'SegEnds_NonXtal_Prot#'!A:AL,10,FALSE)</f>
        <v>52</v>
      </c>
      <c r="AE76" s="1">
        <f>VLOOKUP(A76,'SegEnds_NonXtal_Prot#'!A:AL,22,FALSE)-VLOOKUP(A76,'SegEnds_NonXtal_Prot#'!A:AL,19,FALSE)</f>
        <v>20</v>
      </c>
      <c r="AF76" s="1">
        <f>VLOOKUP(A76,'SegEnds_NonXtal_Prot#'!A:AL,28,FALSE)-VLOOKUP(A76,'SegEnds_NonXtal_Prot#'!A:AL,25,FALSE)</f>
        <v>26</v>
      </c>
      <c r="AG76" s="1">
        <f>VLOOKUP(A76,'SegEnds_NonXtal_Prot#'!A:AL,28,FALSE)-VLOOKUP(A76,'SegEnds_NonXtal_Prot#'!A:AL,22,FALSE)</f>
        <v>53</v>
      </c>
      <c r="AH76" s="1">
        <f>VLOOKUP(A76,'SegEnds_NonXtal_Prot#'!A:AL,31,FALSE)-VLOOKUP(A76,'SegEnds_NonXtal_Prot#'!A:AL,28,FALSE)</f>
        <v>43</v>
      </c>
      <c r="AI76" s="1">
        <f>VLOOKUP(A76,'SegEnds_NonXtal_Prot#'!A:AL,34,FALSE)-VLOOKUP(A76,'SegEnds_NonXtal_Prot#'!A:AL,31,FALSE)</f>
        <v>40</v>
      </c>
      <c r="AJ76" s="1" t="str">
        <f>IF(ISERROR(MATCH(A76,'SegEnds_Xtal_Prot#'!B:B, 0)), "NoXtal", "Xtal")</f>
        <v>NoXtal</v>
      </c>
    </row>
    <row r="77" spans="1:36" x14ac:dyDescent="0.2">
      <c r="A77" s="1" t="s">
        <v>166</v>
      </c>
      <c r="B77" s="1" t="str">
        <f>VLOOKUP(A77,Xtal_Templ!A:B,2,FALSE)</f>
        <v>agtr1_human</v>
      </c>
      <c r="C77" s="5">
        <f>VLOOKUP($B77&amp;"__wt",'SegEnds_Xtal_BW#'!$A:$Z,3,FALSE)</f>
        <v>30</v>
      </c>
      <c r="D77" s="1">
        <f>VLOOKUP($B77&amp;"__wt",'SegEnds_Xtal_BW#'!$A:$Z,4,FALSE)</f>
        <v>60</v>
      </c>
      <c r="E77" s="1">
        <f>VLOOKUP($B77&amp;"__wt",'SegEnds_Xtal_BW#'!$A:$Z,5,FALSE)</f>
        <v>48</v>
      </c>
      <c r="F77" s="1">
        <f>VLOOKUP($B77&amp;"__wt",'SegEnds_Xtal_BW#'!$A:$Z,6,FALSE)</f>
        <v>51</v>
      </c>
      <c r="G77" s="1">
        <v>37</v>
      </c>
      <c r="H77" s="12">
        <f>VLOOKUP($B77&amp;"__wt",'SegEnds_Xtal_BW#'!$A:$Z,8,FALSE)</f>
        <v>66</v>
      </c>
      <c r="I77" s="1">
        <f>VLOOKUP($B77&amp;"__wt",'SegEnds_Xtal_BW#'!$A:$Z,9,FALSE)</f>
        <v>49</v>
      </c>
      <c r="J77" s="1">
        <f>VLOOKUP($B77&amp;"__wt",'SegEnds_Xtal_BW#'!$A:$Z,10,FALSE)</f>
        <v>52</v>
      </c>
      <c r="K77" s="12">
        <v>18</v>
      </c>
      <c r="L77" s="1">
        <f>VLOOKUP($B77&amp;"__wt",'SegEnds_Xtal_BW#'!$A:$Z,12,FALSE)</f>
        <v>56</v>
      </c>
      <c r="M77" s="1">
        <f>VLOOKUP($B77&amp;"__wt",'SegEnds_Xtal_BW#'!$A:$Z,13,FALSE)</f>
        <v>50</v>
      </c>
      <c r="N77" s="12">
        <v>57</v>
      </c>
      <c r="O77" s="89">
        <v>38</v>
      </c>
      <c r="P77" s="1">
        <f>VLOOKUP($B77&amp;"__wt",'SegEnds_Xtal_BW#'!$A:$Z,16,FALSE)</f>
        <v>64</v>
      </c>
      <c r="Q77" s="1">
        <f>VLOOKUP($B77&amp;"__wt",'SegEnds_Xtal_BW#'!$A:$Z,17,FALSE)</f>
        <v>50</v>
      </c>
      <c r="R77" s="1">
        <f>VLOOKUP($B77&amp;"__wt",'SegEnds_Xtal_BW#'!$A:$Z,18,FALSE)</f>
        <v>52</v>
      </c>
      <c r="S77" s="1">
        <f>VLOOKUP($B77&amp;"__wt",'SegEnds_Xtal_BW#'!$A:$Z,19,FALSE)</f>
        <v>34</v>
      </c>
      <c r="T77" s="1">
        <f t="array" ref="T77">INDEX('ICL3'!$G$2:$G$40,MATCH(MIN(ABS(AH77-'ICL3'!$F$2:$F$40)),ABS(AH77-'ICL3'!$F$2:$F$40),0))</f>
        <v>64</v>
      </c>
      <c r="U77" s="1">
        <f t="array" ref="U77">INDEX('ICL3'!$H$2:$H$31,MATCH(MIN(ABS(AH77-'ICL3'!$F$2:$F$31)),ABS(AH77-'ICL3'!$F$2:$F$31),0))</f>
        <v>34</v>
      </c>
      <c r="V77" s="1">
        <v>61</v>
      </c>
      <c r="W77" s="1">
        <v>28</v>
      </c>
      <c r="X77" s="1">
        <f>VLOOKUP($B77&amp;"__wt",'SegEnds_Xtal_BW#'!$A:$Z,24,FALSE)</f>
        <v>56</v>
      </c>
      <c r="Y77" s="1">
        <f>VLOOKUP($B77&amp;"__wt",'SegEnds_Xtal_BW#'!$A:$Z,25,FALSE)</f>
        <v>47</v>
      </c>
      <c r="Z77" s="1">
        <f>VLOOKUP($B77&amp;"__wt",'SegEnds_Xtal_BW#'!$A:$Z,26,FALSE)</f>
        <v>61</v>
      </c>
      <c r="AA77" s="27" t="str">
        <f>VLOOKUP(A77,Classification!A:B,2,FALSE)</f>
        <v>A</v>
      </c>
      <c r="AB77" s="1" t="e">
        <f>VLOOKUP(A77,'SegEnds_NonXtal_Prot#'!A:AL,10,FALSE)-VLOOKUP(A77,'SegEnds_NonXtal_Prot#'!A:AL,7,FALSE)</f>
        <v>#VALUE!</v>
      </c>
      <c r="AC77" s="1">
        <f>VLOOKUP(A77,'SegEnds_NonXtal_Prot#'!A:AL,13,FALSE)-VLOOKUP(A77,'SegEnds_NonXtal_Prot#'!A:AL,10,FALSE)</f>
        <v>20</v>
      </c>
      <c r="AD77" s="1">
        <f>VLOOKUP(A77,'SegEnds_NonXtal_Prot#'!A:AL,16,FALSE)-VLOOKUP(A77,'SegEnds_NonXtal_Prot#'!A:AL,10,FALSE)</f>
        <v>52</v>
      </c>
      <c r="AE77" s="1">
        <f>VLOOKUP(A77,'SegEnds_NonXtal_Prot#'!A:AL,22,FALSE)-VLOOKUP(A77,'SegEnds_NonXtal_Prot#'!A:AL,19,FALSE)</f>
        <v>20</v>
      </c>
      <c r="AF77" s="1">
        <f>VLOOKUP(A77,'SegEnds_NonXtal_Prot#'!A:AL,28,FALSE)-VLOOKUP(A77,'SegEnds_NonXtal_Prot#'!A:AL,25,FALSE)</f>
        <v>26</v>
      </c>
      <c r="AG77" s="1">
        <f>VLOOKUP(A77,'SegEnds_NonXtal_Prot#'!A:AL,28,FALSE)-VLOOKUP(A77,'SegEnds_NonXtal_Prot#'!A:AL,22,FALSE)</f>
        <v>53</v>
      </c>
      <c r="AH77" s="1">
        <f>VLOOKUP(A77,'SegEnds_NonXtal_Prot#'!A:AL,31,FALSE)-VLOOKUP(A77,'SegEnds_NonXtal_Prot#'!A:AL,28,FALSE)</f>
        <v>36</v>
      </c>
      <c r="AI77" s="1">
        <f>VLOOKUP(A77,'SegEnds_NonXtal_Prot#'!A:AL,34,FALSE)-VLOOKUP(A77,'SegEnds_NonXtal_Prot#'!A:AL,31,FALSE)</f>
        <v>40</v>
      </c>
      <c r="AJ77" s="1" t="str">
        <f>IF(ISERROR(MATCH(A77,'SegEnds_Xtal_Prot#'!B:B, 0)), "NoXtal", "Xtal")</f>
        <v>NoXtal</v>
      </c>
    </row>
    <row r="78" spans="1:36" x14ac:dyDescent="0.2">
      <c r="A78" s="1" t="s">
        <v>167</v>
      </c>
      <c r="B78" s="1" t="str">
        <f>VLOOKUP(A78,Xtal_Templ!A:B,2,FALSE)</f>
        <v>ox2r_human</v>
      </c>
      <c r="C78" s="5">
        <f>VLOOKUP($B78&amp;"__wt",'SegEnds_Xtal_BW#'!$A:$Z,3,FALSE)</f>
        <v>31</v>
      </c>
      <c r="D78" s="1">
        <f>VLOOKUP($B78&amp;"__wt",'SegEnds_Xtal_BW#'!$A:$Z,4,FALSE)</f>
        <v>60</v>
      </c>
      <c r="E78" s="1">
        <f>VLOOKUP($B78&amp;"__wt",'SegEnds_Xtal_BW#'!$A:$Z,5,FALSE)</f>
        <v>48</v>
      </c>
      <c r="F78" s="1">
        <f>VLOOKUP($B78&amp;"__wt",'SegEnds_Xtal_BW#'!$A:$Z,6,FALSE)</f>
        <v>51</v>
      </c>
      <c r="G78" s="1">
        <v>37</v>
      </c>
      <c r="H78" s="12">
        <f>VLOOKUP($B78&amp;"__wt",'SegEnds_Xtal_BW#'!$A:$Z,8,FALSE)</f>
        <v>67</v>
      </c>
      <c r="I78" s="1">
        <f>VLOOKUP($B78&amp;"__wt",'SegEnds_Xtal_BW#'!$A:$Z,9,FALSE)</f>
        <v>49</v>
      </c>
      <c r="J78" s="1">
        <f>VLOOKUP($B78&amp;"__wt",'SegEnds_Xtal_BW#'!$A:$Z,10,FALSE)</f>
        <v>52</v>
      </c>
      <c r="K78" s="12">
        <v>18</v>
      </c>
      <c r="L78" s="1">
        <f>VLOOKUP($B78&amp;"__wt",'SegEnds_Xtal_BW#'!$A:$Z,12,FALSE)</f>
        <v>56</v>
      </c>
      <c r="M78" s="1">
        <f>VLOOKUP($B78&amp;"__wt",'SegEnds_Xtal_BW#'!$A:$Z,13,FALSE)</f>
        <v>50</v>
      </c>
      <c r="N78" s="12">
        <v>57</v>
      </c>
      <c r="O78" s="89">
        <f>VLOOKUP($B78&amp;"__wt",'SegEnds_Xtal_BW#'!$A:$Z,15,FALSE)</f>
        <v>38</v>
      </c>
      <c r="P78" s="1">
        <f>VLOOKUP($B78&amp;"__wt",'SegEnds_Xtal_BW#'!$A:$Z,16,FALSE)</f>
        <v>64</v>
      </c>
      <c r="Q78" s="1">
        <f>VLOOKUP($B78&amp;"__wt",'SegEnds_Xtal_BW#'!$A:$Z,17,FALSE)</f>
        <v>50</v>
      </c>
      <c r="R78" s="1">
        <f>VLOOKUP($B78&amp;"__wt",'SegEnds_Xtal_BW#'!$A:$Z,18,FALSE)</f>
        <v>52</v>
      </c>
      <c r="S78" s="1">
        <f>VLOOKUP($B78&amp;"__wt",'SegEnds_Xtal_BW#'!$A:$Z,19,FALSE)</f>
        <v>32</v>
      </c>
      <c r="T78" s="1">
        <f t="array" ref="T78">INDEX('ICL3'!$G$2:$G$40,MATCH(MIN(ABS(AH78-'ICL3'!$F$2:$F$40)),ABS(AH78-'ICL3'!$F$2:$F$40),0))</f>
        <v>74</v>
      </c>
      <c r="U78" s="1">
        <f t="array" ref="U78">INDEX('ICL3'!$H$2:$H$40,MATCH(MIN(ABS(AH78-'ICL3'!$F$2:$F$40)),ABS(AH78-'ICL3'!$F$2:$F$40),0))</f>
        <v>24</v>
      </c>
      <c r="V78" s="1">
        <v>61</v>
      </c>
      <c r="W78" s="1">
        <v>28</v>
      </c>
      <c r="X78" s="1">
        <f>VLOOKUP($B78&amp;"__wt",'SegEnds_Xtal_BW#'!$A:$Z,24,FALSE)</f>
        <v>56</v>
      </c>
      <c r="Y78" s="1">
        <f>VLOOKUP($B78&amp;"__wt",'SegEnds_Xtal_BW#'!$A:$Z,25,FALSE)</f>
        <v>47</v>
      </c>
      <c r="Z78" s="1">
        <f>VLOOKUP($B78&amp;"__wt",'SegEnds_Xtal_BW#'!$A:$Z,26,FALSE)</f>
        <v>58</v>
      </c>
      <c r="AA78" s="27" t="str">
        <f>VLOOKUP(A78,Classification!A:B,2,FALSE)</f>
        <v>A</v>
      </c>
      <c r="AB78" s="1">
        <f>VLOOKUP(A78,'SegEnds_NonXtal_Prot#'!A:AL,10,FALSE)-VLOOKUP(A78,'SegEnds_NonXtal_Prot#'!A:AL,7,FALSE)</f>
        <v>15</v>
      </c>
      <c r="AC78" s="1">
        <f>VLOOKUP(A78,'SegEnds_NonXtal_Prot#'!A:AL,13,FALSE)-VLOOKUP(A78,'SegEnds_NonXtal_Prot#'!A:AL,10,FALSE)</f>
        <v>20</v>
      </c>
      <c r="AD78" s="1">
        <f>VLOOKUP(A78,'SegEnds_NonXtal_Prot#'!A:AL,16,FALSE)-VLOOKUP(A78,'SegEnds_NonXtal_Prot#'!A:AL,10,FALSE)</f>
        <v>52</v>
      </c>
      <c r="AE78" s="1">
        <f>VLOOKUP(A78,'SegEnds_NonXtal_Prot#'!A:AL,22,FALSE)-VLOOKUP(A78,'SegEnds_NonXtal_Prot#'!A:AL,19,FALSE)</f>
        <v>20</v>
      </c>
      <c r="AF78" s="1">
        <f>VLOOKUP(A78,'SegEnds_NonXtal_Prot#'!A:AL,28,FALSE)-VLOOKUP(A78,'SegEnds_NonXtal_Prot#'!A:AL,25,FALSE)</f>
        <v>25</v>
      </c>
      <c r="AG78" s="1">
        <f>VLOOKUP(A78,'SegEnds_NonXtal_Prot#'!A:AL,28,FALSE)-VLOOKUP(A78,'SegEnds_NonXtal_Prot#'!A:AL,22,FALSE)</f>
        <v>55</v>
      </c>
      <c r="AH78" s="1">
        <f>VLOOKUP(A78,'SegEnds_NonXtal_Prot#'!A:AL,31,FALSE)-VLOOKUP(A78,'SegEnds_NonXtal_Prot#'!A:AL,28,FALSE)</f>
        <v>107</v>
      </c>
      <c r="AI78" s="1">
        <f>VLOOKUP(A78,'SegEnds_NonXtal_Prot#'!A:AL,34,FALSE)-VLOOKUP(A78,'SegEnds_NonXtal_Prot#'!A:AL,31,FALSE)</f>
        <v>39</v>
      </c>
      <c r="AJ78" s="1" t="str">
        <f>IF(ISERROR(MATCH(A78,'SegEnds_Xtal_Prot#'!B:B, 0)), "NoXtal", "Xtal")</f>
        <v>NoXtal</v>
      </c>
    </row>
    <row r="79" spans="1:36" x14ac:dyDescent="0.2">
      <c r="A79" s="1" t="s">
        <v>168</v>
      </c>
      <c r="B79" s="1" t="str">
        <f>VLOOKUP(A79,Xtal_Templ!A:B,2,FALSE)</f>
        <v>ccr5_human</v>
      </c>
      <c r="C79" s="5">
        <f>VLOOKUP($B79&amp;"__wt",'SegEnds_Xtal_BW#'!$A:$Z,3,FALSE)</f>
        <v>24</v>
      </c>
      <c r="D79" s="1">
        <f>VLOOKUP($B79&amp;"__wt",'SegEnds_Xtal_BW#'!$A:$Z,4,FALSE)</f>
        <v>60</v>
      </c>
      <c r="E79" s="1">
        <f>VLOOKUP($B79&amp;"__wt",'SegEnds_Xtal_BW#'!$A:$Z,5,FALSE)</f>
        <v>48</v>
      </c>
      <c r="F79" s="1">
        <f>VLOOKUP($B79&amp;"__wt",'SegEnds_Xtal_BW#'!$A:$Z,6,FALSE)</f>
        <v>51</v>
      </c>
      <c r="G79" s="1">
        <v>37</v>
      </c>
      <c r="H79" s="12">
        <v>66</v>
      </c>
      <c r="I79" s="1">
        <f>VLOOKUP($B79&amp;"__wt",'SegEnds_Xtal_BW#'!$A:$Z,9,FALSE)</f>
        <v>49</v>
      </c>
      <c r="J79" s="1">
        <f>VLOOKUP($B79&amp;"__wt",'SegEnds_Xtal_BW#'!$A:$Z,10,FALSE)</f>
        <v>52</v>
      </c>
      <c r="K79" s="12">
        <v>21</v>
      </c>
      <c r="L79" s="1">
        <f>VLOOKUP($B79&amp;"__wt",'SegEnds_Xtal_BW#'!$A:$Z,12,FALSE)</f>
        <v>56</v>
      </c>
      <c r="M79" s="1">
        <f>VLOOKUP($B79&amp;"__wt",'SegEnds_Xtal_BW#'!$A:$Z,13,FALSE)</f>
        <v>50</v>
      </c>
      <c r="N79" s="12">
        <v>57</v>
      </c>
      <c r="O79" s="89">
        <f>VLOOKUP($B79&amp;"__wt",'SegEnds_Xtal_BW#'!$A:$Z,15,FALSE)</f>
        <v>38</v>
      </c>
      <c r="P79" s="1">
        <f>VLOOKUP($B79&amp;"__wt",'SegEnds_Xtal_BW#'!$A:$Z,16,FALSE)</f>
        <v>64</v>
      </c>
      <c r="Q79" s="1">
        <f>VLOOKUP($B79&amp;"__wt",'SegEnds_Xtal_BW#'!$A:$Z,17,FALSE)</f>
        <v>50</v>
      </c>
      <c r="R79" s="1">
        <f>VLOOKUP($B79&amp;"__wt",'SegEnds_Xtal_BW#'!$A:$Z,18,FALSE)</f>
        <v>52</v>
      </c>
      <c r="S79" s="1">
        <f>VLOOKUP($B79&amp;"__wt",'SegEnds_Xtal_BW#'!$A:$Z,19,FALSE)</f>
        <v>30</v>
      </c>
      <c r="T79" s="1">
        <f t="array" ref="T79">INDEX('ICL3'!$G$2:$G$40,MATCH(MIN(ABS(AH79-'ICL3'!$F$2:$F$40)),ABS(AH79-'ICL3'!$F$2:$F$40),0))</f>
        <v>68</v>
      </c>
      <c r="U79" s="1">
        <f t="array" ref="U79">INDEX('ICL3'!$H$2:$H$40,MATCH(MIN(ABS(AH79-'ICL3'!$F$2:$F$40)),ABS(AH79-'ICL3'!$F$2:$F$40),0))</f>
        <v>30</v>
      </c>
      <c r="V79" s="1">
        <v>65</v>
      </c>
      <c r="W79" s="1">
        <v>24</v>
      </c>
      <c r="X79" s="1">
        <f>VLOOKUP($B79&amp;"__wt",'SegEnds_Xtal_BW#'!$A:$Z,24,FALSE)</f>
        <v>56</v>
      </c>
      <c r="Y79" s="1">
        <f>VLOOKUP($B79&amp;"__wt",'SegEnds_Xtal_BW#'!$A:$Z,25,FALSE)</f>
        <v>47</v>
      </c>
      <c r="Z79" s="1">
        <f>VLOOKUP($B79&amp;"__wt",'SegEnds_Xtal_BW#'!$A:$Z,26,FALSE)</f>
        <v>59</v>
      </c>
      <c r="AA79" s="27" t="str">
        <f>VLOOKUP(A79,Classification!A:B,2,FALSE)</f>
        <v>A</v>
      </c>
      <c r="AB79" s="1">
        <f>VLOOKUP(A79,'SegEnds_NonXtal_Prot#'!A:AL,10,FALSE)-VLOOKUP(A79,'SegEnds_NonXtal_Prot#'!A:AL,7,FALSE)</f>
        <v>15</v>
      </c>
      <c r="AC79" s="1">
        <f>VLOOKUP(A79,'SegEnds_NonXtal_Prot#'!A:AL,13,FALSE)-VLOOKUP(A79,'SegEnds_NonXtal_Prot#'!A:AL,10,FALSE)</f>
        <v>19</v>
      </c>
      <c r="AD79" s="1">
        <f>VLOOKUP(A79,'SegEnds_NonXtal_Prot#'!A:AL,16,FALSE)-VLOOKUP(A79,'SegEnds_NonXtal_Prot#'!A:AL,10,FALSE)</f>
        <v>51</v>
      </c>
      <c r="AE79" s="1">
        <f>VLOOKUP(A79,'SegEnds_NonXtal_Prot#'!A:AL,22,FALSE)-VLOOKUP(A79,'SegEnds_NonXtal_Prot#'!A:AL,19,FALSE)</f>
        <v>20</v>
      </c>
      <c r="AF79" s="1">
        <f>VLOOKUP(A79,'SegEnds_NonXtal_Prot#'!A:AL,28,FALSE)-VLOOKUP(A79,'SegEnds_NonXtal_Prot#'!A:AL,25,FALSE)</f>
        <v>28</v>
      </c>
      <c r="AG79" s="1">
        <f>VLOOKUP(A79,'SegEnds_NonXtal_Prot#'!A:AL,28,FALSE)-VLOOKUP(A79,'SegEnds_NonXtal_Prot#'!A:AL,22,FALSE)</f>
        <v>53</v>
      </c>
      <c r="AH79" s="1">
        <f>VLOOKUP(A79,'SegEnds_NonXtal_Prot#'!A:AL,31,FALSE)-VLOOKUP(A79,'SegEnds_NonXtal_Prot#'!A:AL,28,FALSE)</f>
        <v>43</v>
      </c>
      <c r="AI79" s="1">
        <f>VLOOKUP(A79,'SegEnds_NonXtal_Prot#'!A:AL,34,FALSE)-VLOOKUP(A79,'SegEnds_NonXtal_Prot#'!A:AL,31,FALSE)</f>
        <v>44</v>
      </c>
      <c r="AJ79" s="1" t="str">
        <f>IF(ISERROR(MATCH(A79,'SegEnds_Xtal_Prot#'!B:B, 0)), "NoXtal", "Xtal")</f>
        <v>NoXtal</v>
      </c>
    </row>
    <row r="80" spans="1:36" x14ac:dyDescent="0.2">
      <c r="A80" s="1" t="s">
        <v>170</v>
      </c>
      <c r="B80" s="1" t="str">
        <f>VLOOKUP(A80,Xtal_Templ!A:B,2,FALSE)</f>
        <v>ccr2_human</v>
      </c>
      <c r="C80" s="5">
        <f>VLOOKUP($B80&amp;"__wt",'SegEnds_Xtal_BW#'!$A:$Z,3,FALSE)</f>
        <v>27</v>
      </c>
      <c r="D80" s="1">
        <f>VLOOKUP($B80&amp;"__wt",'SegEnds_Xtal_BW#'!$A:$Z,4,FALSE)</f>
        <v>60</v>
      </c>
      <c r="E80" s="1">
        <f>VLOOKUP($B80&amp;"__wt",'SegEnds_Xtal_BW#'!$A:$Z,5,FALSE)</f>
        <v>48</v>
      </c>
      <c r="F80" s="1">
        <f>VLOOKUP($B80&amp;"__wt",'SegEnds_Xtal_BW#'!$A:$Z,6,FALSE)</f>
        <v>51</v>
      </c>
      <c r="G80" s="1">
        <v>37</v>
      </c>
      <c r="H80" s="12">
        <v>66</v>
      </c>
      <c r="I80" s="1">
        <f>VLOOKUP($B80&amp;"__wt",'SegEnds_Xtal_BW#'!$A:$Z,9,FALSE)</f>
        <v>49</v>
      </c>
      <c r="J80" s="1">
        <f>VLOOKUP($B80&amp;"__wt",'SegEnds_Xtal_BW#'!$A:$Z,10,FALSE)</f>
        <v>52</v>
      </c>
      <c r="K80" s="12">
        <v>24</v>
      </c>
      <c r="L80" s="1">
        <f>VLOOKUP($B80&amp;"__wt",'SegEnds_Xtal_BW#'!$A:$Z,12,FALSE)</f>
        <v>56</v>
      </c>
      <c r="M80" s="1">
        <f>VLOOKUP($B80&amp;"__wt",'SegEnds_Xtal_BW#'!$A:$Z,13,FALSE)</f>
        <v>50</v>
      </c>
      <c r="N80" s="12">
        <f>VLOOKUP($B80&amp;"__wt",'SegEnds_Xtal_BW#'!$A:$Z,14,FALSE)</f>
        <v>57</v>
      </c>
      <c r="O80" s="89">
        <f>VLOOKUP($B80&amp;"__wt",'SegEnds_Xtal_BW#'!$A:$Z,15,FALSE)</f>
        <v>38</v>
      </c>
      <c r="P80" s="1">
        <f>VLOOKUP($B80&amp;"__wt",'SegEnds_Xtal_BW#'!$A:$Z,16,FALSE)</f>
        <v>64</v>
      </c>
      <c r="Q80" s="1">
        <f>VLOOKUP($B80&amp;"__wt",'SegEnds_Xtal_BW#'!$A:$Z,17,FALSE)</f>
        <v>50</v>
      </c>
      <c r="R80" s="1">
        <f>VLOOKUP($B80&amp;"__wt",'SegEnds_Xtal_BW#'!$A:$Z,18,FALSE)</f>
        <v>52</v>
      </c>
      <c r="S80" s="1">
        <f>VLOOKUP($B80&amp;"__wt",'SegEnds_Xtal_BW#'!$A:$Z,19,FALSE)</f>
        <v>31</v>
      </c>
      <c r="T80" s="1">
        <f t="array" ref="T80">INDEX('ICL3'!$G$2:$G$40,MATCH(MIN(ABS(AH80-'ICL3'!$F$2:$F$40)),ABS(AH80-'ICL3'!$F$2:$F$40),0))</f>
        <v>68</v>
      </c>
      <c r="U80" s="1">
        <f t="array" ref="U80">INDEX('ICL3'!$H$2:$H$40,MATCH(MIN(ABS(AH80-'ICL3'!$F$2:$F$40)),ABS(AH80-'ICL3'!$F$2:$F$40),0))</f>
        <v>28</v>
      </c>
      <c r="V80" s="1">
        <v>65</v>
      </c>
      <c r="W80" s="1">
        <v>24</v>
      </c>
      <c r="X80" s="1">
        <f>VLOOKUP($B80&amp;"__wt",'SegEnds_Xtal_BW#'!$A:$Z,24,FALSE)</f>
        <v>56</v>
      </c>
      <c r="Y80" s="1">
        <f>VLOOKUP($B80&amp;"__wt",'SegEnds_Xtal_BW#'!$A:$Z,25,FALSE)</f>
        <v>47</v>
      </c>
      <c r="Z80" s="1">
        <f>VLOOKUP($B80&amp;"__wt",'SegEnds_Xtal_BW#'!$A:$Z,26,FALSE)</f>
        <v>58</v>
      </c>
      <c r="AA80" s="27" t="str">
        <f>VLOOKUP(A80,Classification!A:B,2,FALSE)</f>
        <v>A</v>
      </c>
      <c r="AB80" s="1">
        <f>VLOOKUP(A80,'SegEnds_NonXtal_Prot#'!A:AL,10,FALSE)-VLOOKUP(A80,'SegEnds_NonXtal_Prot#'!A:AL,7,FALSE)</f>
        <v>15</v>
      </c>
      <c r="AC80" s="1">
        <f>VLOOKUP(A80,'SegEnds_NonXtal_Prot#'!A:AL,13,FALSE)-VLOOKUP(A80,'SegEnds_NonXtal_Prot#'!A:AL,10,FALSE)</f>
        <v>18</v>
      </c>
      <c r="AD80" s="1">
        <f>VLOOKUP(A80,'SegEnds_NonXtal_Prot#'!A:AL,16,FALSE)-VLOOKUP(A80,'SegEnds_NonXtal_Prot#'!A:AL,10,FALSE)</f>
        <v>50</v>
      </c>
      <c r="AE80" s="1">
        <f>VLOOKUP(A80,'SegEnds_NonXtal_Prot#'!A:AL,22,FALSE)-VLOOKUP(A80,'SegEnds_NonXtal_Prot#'!A:AL,19,FALSE)</f>
        <v>20</v>
      </c>
      <c r="AF80" s="1">
        <f>VLOOKUP(A80,'SegEnds_NonXtal_Prot#'!A:AL,28,FALSE)-VLOOKUP(A80,'SegEnds_NonXtal_Prot#'!A:AL,25,FALSE)</f>
        <v>24</v>
      </c>
      <c r="AG80" s="1">
        <f>VLOOKUP(A80,'SegEnds_NonXtal_Prot#'!A:AL,28,FALSE)-VLOOKUP(A80,'SegEnds_NonXtal_Prot#'!A:AL,22,FALSE)</f>
        <v>49</v>
      </c>
      <c r="AH80" s="1">
        <f>VLOOKUP(A80,'SegEnds_NonXtal_Prot#'!A:AL,31,FALSE)-VLOOKUP(A80,'SegEnds_NonXtal_Prot#'!A:AL,28,FALSE)</f>
        <v>44</v>
      </c>
      <c r="AI80" s="1">
        <f>VLOOKUP(A80,'SegEnds_NonXtal_Prot#'!A:AL,34,FALSE)-VLOOKUP(A80,'SegEnds_NonXtal_Prot#'!A:AL,31,FALSE)</f>
        <v>44</v>
      </c>
      <c r="AJ80" s="1" t="str">
        <f>IF(ISERROR(MATCH(A80,'SegEnds_Xtal_Prot#'!B:B, 0)), "NoXtal", "Xtal")</f>
        <v>Xtal</v>
      </c>
    </row>
    <row r="81" spans="1:36" x14ac:dyDescent="0.2">
      <c r="A81" s="1" t="s">
        <v>171</v>
      </c>
      <c r="B81" s="1" t="str">
        <f>VLOOKUP(A81,Xtal_Templ!A:B,2,FALSE)</f>
        <v>ccr5_human</v>
      </c>
      <c r="C81" s="5">
        <f>VLOOKUP($B81&amp;"__wt",'SegEnds_Xtal_BW#'!$A:$Z,3,FALSE)</f>
        <v>24</v>
      </c>
      <c r="D81" s="1">
        <f>VLOOKUP($B81&amp;"__wt",'SegEnds_Xtal_BW#'!$A:$Z,4,FALSE)</f>
        <v>60</v>
      </c>
      <c r="E81" s="1">
        <f>VLOOKUP($B81&amp;"__wt",'SegEnds_Xtal_BW#'!$A:$Z,5,FALSE)</f>
        <v>48</v>
      </c>
      <c r="F81" s="1">
        <f>VLOOKUP($B81&amp;"__wt",'SegEnds_Xtal_BW#'!$A:$Z,6,FALSE)</f>
        <v>51</v>
      </c>
      <c r="G81" s="1">
        <v>37</v>
      </c>
      <c r="H81" s="12">
        <v>66</v>
      </c>
      <c r="I81" s="1">
        <f>VLOOKUP($B81&amp;"__wt",'SegEnds_Xtal_BW#'!$A:$Z,9,FALSE)</f>
        <v>49</v>
      </c>
      <c r="J81" s="1">
        <f>VLOOKUP($B81&amp;"__wt",'SegEnds_Xtal_BW#'!$A:$Z,10,FALSE)</f>
        <v>52</v>
      </c>
      <c r="K81" s="12">
        <v>21</v>
      </c>
      <c r="L81" s="1">
        <f>VLOOKUP($B81&amp;"__wt",'SegEnds_Xtal_BW#'!$A:$Z,12,FALSE)</f>
        <v>56</v>
      </c>
      <c r="M81" s="1">
        <f>VLOOKUP($B81&amp;"__wt",'SegEnds_Xtal_BW#'!$A:$Z,13,FALSE)</f>
        <v>50</v>
      </c>
      <c r="N81" s="12">
        <v>57</v>
      </c>
      <c r="O81" s="89">
        <f>VLOOKUP($B81&amp;"__wt",'SegEnds_Xtal_BW#'!$A:$Z,15,FALSE)</f>
        <v>38</v>
      </c>
      <c r="P81" s="1">
        <f>VLOOKUP($B81&amp;"__wt",'SegEnds_Xtal_BW#'!$A:$Z,16,FALSE)</f>
        <v>64</v>
      </c>
      <c r="Q81" s="1">
        <f>VLOOKUP($B81&amp;"__wt",'SegEnds_Xtal_BW#'!$A:$Z,17,FALSE)</f>
        <v>50</v>
      </c>
      <c r="R81" s="1">
        <f>VLOOKUP($B81&amp;"__wt",'SegEnds_Xtal_BW#'!$A:$Z,18,FALSE)</f>
        <v>52</v>
      </c>
      <c r="S81" s="1">
        <f>VLOOKUP($B81&amp;"__wt",'SegEnds_Xtal_BW#'!$A:$Z,19,FALSE)</f>
        <v>30</v>
      </c>
      <c r="T81" s="1">
        <f t="array" ref="T81">INDEX('ICL3'!$G$2:$G$40,MATCH(MIN(ABS(AH81-'ICL3'!$F$2:$F$40)),ABS(AH81-'ICL3'!$F$2:$F$40),0))</f>
        <v>68</v>
      </c>
      <c r="U81" s="1">
        <f t="array" ref="U81">INDEX('ICL3'!$H$2:$H$40,MATCH(MIN(ABS(AH81-'ICL3'!$F$2:$F$40)),ABS(AH81-'ICL3'!$F$2:$F$40),0))</f>
        <v>30</v>
      </c>
      <c r="V81" s="1">
        <v>65</v>
      </c>
      <c r="W81" s="1">
        <v>24</v>
      </c>
      <c r="X81" s="1">
        <f>VLOOKUP($B81&amp;"__wt",'SegEnds_Xtal_BW#'!$A:$Z,24,FALSE)</f>
        <v>56</v>
      </c>
      <c r="Y81" s="1">
        <f>VLOOKUP($B81&amp;"__wt",'SegEnds_Xtal_BW#'!$A:$Z,25,FALSE)</f>
        <v>47</v>
      </c>
      <c r="Z81" s="1">
        <f>VLOOKUP($B81&amp;"__wt",'SegEnds_Xtal_BW#'!$A:$Z,26,FALSE)</f>
        <v>59</v>
      </c>
      <c r="AA81" s="27" t="str">
        <f>VLOOKUP(A81,Classification!A:B,2,FALSE)</f>
        <v>A</v>
      </c>
      <c r="AB81" s="1">
        <f>VLOOKUP(A81,'SegEnds_NonXtal_Prot#'!A:AL,10,FALSE)-VLOOKUP(A81,'SegEnds_NonXtal_Prot#'!A:AL,7,FALSE)</f>
        <v>15</v>
      </c>
      <c r="AC81" s="1">
        <f>VLOOKUP(A81,'SegEnds_NonXtal_Prot#'!A:AL,13,FALSE)-VLOOKUP(A81,'SegEnds_NonXtal_Prot#'!A:AL,10,FALSE)</f>
        <v>19</v>
      </c>
      <c r="AD81" s="1">
        <f>VLOOKUP(A81,'SegEnds_NonXtal_Prot#'!A:AL,16,FALSE)-VLOOKUP(A81,'SegEnds_NonXtal_Prot#'!A:AL,10,FALSE)</f>
        <v>51</v>
      </c>
      <c r="AE81" s="1">
        <f>VLOOKUP(A81,'SegEnds_NonXtal_Prot#'!A:AL,22,FALSE)-VLOOKUP(A81,'SegEnds_NonXtal_Prot#'!A:AL,19,FALSE)</f>
        <v>20</v>
      </c>
      <c r="AF81" s="1">
        <f>VLOOKUP(A81,'SegEnds_NonXtal_Prot#'!A:AL,28,FALSE)-VLOOKUP(A81,'SegEnds_NonXtal_Prot#'!A:AL,25,FALSE)</f>
        <v>28</v>
      </c>
      <c r="AG81" s="1">
        <f>VLOOKUP(A81,'SegEnds_NonXtal_Prot#'!A:AL,28,FALSE)-VLOOKUP(A81,'SegEnds_NonXtal_Prot#'!A:AL,22,FALSE)</f>
        <v>53</v>
      </c>
      <c r="AH81" s="1">
        <f>VLOOKUP(A81,'SegEnds_NonXtal_Prot#'!A:AL,31,FALSE)-VLOOKUP(A81,'SegEnds_NonXtal_Prot#'!A:AL,28,FALSE)</f>
        <v>43</v>
      </c>
      <c r="AI81" s="1">
        <f>VLOOKUP(A81,'SegEnds_NonXtal_Prot#'!A:AL,34,FALSE)-VLOOKUP(A81,'SegEnds_NonXtal_Prot#'!A:AL,31,FALSE)</f>
        <v>44</v>
      </c>
      <c r="AJ81" s="1" t="str">
        <f>IF(ISERROR(MATCH(A81,'SegEnds_Xtal_Prot#'!B:B, 0)), "NoXtal", "Xtal")</f>
        <v>NoXtal</v>
      </c>
    </row>
    <row r="82" spans="1:36" x14ac:dyDescent="0.2">
      <c r="A82" s="1" t="s">
        <v>172</v>
      </c>
      <c r="B82" s="1" t="str">
        <f>VLOOKUP(A82,Xtal_Templ!A:B,2,FALSE)</f>
        <v>ccr5_human</v>
      </c>
      <c r="C82" s="5">
        <f>VLOOKUP($B82&amp;"__wt",'SegEnds_Xtal_BW#'!$A:$Z,3,FALSE)</f>
        <v>24</v>
      </c>
      <c r="D82" s="1">
        <f>VLOOKUP($B82&amp;"__wt",'SegEnds_Xtal_BW#'!$A:$Z,4,FALSE)</f>
        <v>60</v>
      </c>
      <c r="E82" s="1">
        <f>VLOOKUP($B82&amp;"__wt",'SegEnds_Xtal_BW#'!$A:$Z,5,FALSE)</f>
        <v>48</v>
      </c>
      <c r="F82" s="1">
        <f>VLOOKUP($B82&amp;"__wt",'SegEnds_Xtal_BW#'!$A:$Z,6,FALSE)</f>
        <v>51</v>
      </c>
      <c r="G82" s="1">
        <v>37</v>
      </c>
      <c r="H82" s="12">
        <v>66</v>
      </c>
      <c r="I82" s="1">
        <f>VLOOKUP($B82&amp;"__wt",'SegEnds_Xtal_BW#'!$A:$Z,9,FALSE)</f>
        <v>49</v>
      </c>
      <c r="J82" s="1">
        <f>VLOOKUP($B82&amp;"__wt",'SegEnds_Xtal_BW#'!$A:$Z,10,FALSE)</f>
        <v>52</v>
      </c>
      <c r="K82" s="12">
        <v>24</v>
      </c>
      <c r="L82" s="1">
        <f>VLOOKUP($B82&amp;"__wt",'SegEnds_Xtal_BW#'!$A:$Z,12,FALSE)</f>
        <v>56</v>
      </c>
      <c r="M82" s="1">
        <f>VLOOKUP($B82&amp;"__wt",'SegEnds_Xtal_BW#'!$A:$Z,13,FALSE)</f>
        <v>50</v>
      </c>
      <c r="N82" s="12">
        <v>57</v>
      </c>
      <c r="O82" s="89">
        <v>38</v>
      </c>
      <c r="P82" s="1">
        <f>VLOOKUP($B82&amp;"__wt",'SegEnds_Xtal_BW#'!$A:$Z,16,FALSE)</f>
        <v>64</v>
      </c>
      <c r="Q82" s="1">
        <f>VLOOKUP($B82&amp;"__wt",'SegEnds_Xtal_BW#'!$A:$Z,17,FALSE)</f>
        <v>50</v>
      </c>
      <c r="R82" s="1">
        <f>VLOOKUP($B82&amp;"__wt",'SegEnds_Xtal_BW#'!$A:$Z,18,FALSE)</f>
        <v>52</v>
      </c>
      <c r="S82" s="1">
        <f>VLOOKUP($B82&amp;"__wt",'SegEnds_Xtal_BW#'!$A:$Z,19,FALSE)</f>
        <v>30</v>
      </c>
      <c r="T82" s="1">
        <f t="array" ref="T82">INDEX('ICL3'!$G$2:$G$40,MATCH(MIN(ABS(AH82-'ICL3'!$F$2:$F$40)),ABS(AH82-'ICL3'!$F$2:$F$40),0))</f>
        <v>68</v>
      </c>
      <c r="U82" s="1">
        <f t="array" ref="U82">INDEX('ICL3'!$H$2:$H$40,MATCH(MIN(ABS(AH82-'ICL3'!$F$2:$F$40)),ABS(AH82-'ICL3'!$F$2:$F$40),0))</f>
        <v>30</v>
      </c>
      <c r="V82" s="1">
        <v>65</v>
      </c>
      <c r="W82" s="1">
        <v>24</v>
      </c>
      <c r="X82" s="1">
        <f>VLOOKUP($B82&amp;"__wt",'SegEnds_Xtal_BW#'!$A:$Z,24,FALSE)</f>
        <v>56</v>
      </c>
      <c r="Y82" s="1">
        <f>VLOOKUP($B82&amp;"__wt",'SegEnds_Xtal_BW#'!$A:$Z,25,FALSE)</f>
        <v>47</v>
      </c>
      <c r="Z82" s="1">
        <f>VLOOKUP($B82&amp;"__wt",'SegEnds_Xtal_BW#'!$A:$Z,26,FALSE)</f>
        <v>59</v>
      </c>
      <c r="AA82" s="27" t="str">
        <f>VLOOKUP(A82,Classification!A:B,2,FALSE)</f>
        <v>A</v>
      </c>
      <c r="AB82" s="1">
        <f>VLOOKUP(A82,'SegEnds_NonXtal_Prot#'!A:AL,10,FALSE)-VLOOKUP(A82,'SegEnds_NonXtal_Prot#'!A:AL,7,FALSE)</f>
        <v>15</v>
      </c>
      <c r="AC82" s="1">
        <f>VLOOKUP(A82,'SegEnds_NonXtal_Prot#'!A:AL,13,FALSE)-VLOOKUP(A82,'SegEnds_NonXtal_Prot#'!A:AL,10,FALSE)</f>
        <v>18</v>
      </c>
      <c r="AD82" s="1">
        <f>VLOOKUP(A82,'SegEnds_NonXtal_Prot#'!A:AL,16,FALSE)-VLOOKUP(A82,'SegEnds_NonXtal_Prot#'!A:AL,10,FALSE)</f>
        <v>50</v>
      </c>
      <c r="AE82" s="1">
        <f>VLOOKUP(A82,'SegEnds_NonXtal_Prot#'!A:AL,22,FALSE)-VLOOKUP(A82,'SegEnds_NonXtal_Prot#'!A:AL,19,FALSE)</f>
        <v>20</v>
      </c>
      <c r="AF82" s="1">
        <f>VLOOKUP(A82,'SegEnds_NonXtal_Prot#'!A:AL,28,FALSE)-VLOOKUP(A82,'SegEnds_NonXtal_Prot#'!A:AL,25,FALSE)</f>
        <v>27</v>
      </c>
      <c r="AG82" s="1">
        <f>VLOOKUP(A82,'SegEnds_NonXtal_Prot#'!A:AL,28,FALSE)-VLOOKUP(A82,'SegEnds_NonXtal_Prot#'!A:AL,22,FALSE)</f>
        <v>52</v>
      </c>
      <c r="AH82" s="1">
        <f>VLOOKUP(A82,'SegEnds_NonXtal_Prot#'!A:AL,31,FALSE)-VLOOKUP(A82,'SegEnds_NonXtal_Prot#'!A:AL,28,FALSE)</f>
        <v>43</v>
      </c>
      <c r="AI82" s="1">
        <f>VLOOKUP(A82,'SegEnds_NonXtal_Prot#'!A:AL,34,FALSE)-VLOOKUP(A82,'SegEnds_NonXtal_Prot#'!A:AL,31,FALSE)</f>
        <v>44</v>
      </c>
      <c r="AJ82" s="1" t="str">
        <f>IF(ISERROR(MATCH(A82,'SegEnds_Xtal_Prot#'!B:B, 0)), "NoXtal", "Xtal")</f>
        <v>NoXtal</v>
      </c>
    </row>
    <row r="83" spans="1:36" x14ac:dyDescent="0.2">
      <c r="A83" s="1" t="s">
        <v>173</v>
      </c>
      <c r="B83" s="1" t="str">
        <f>VLOOKUP(A83,Xtal_Templ!A:B,2,FALSE)</f>
        <v>ccr5_human</v>
      </c>
      <c r="C83" s="5">
        <f>VLOOKUP($B83&amp;"__wt",'SegEnds_Xtal_BW#'!$A:$Z,3,FALSE)</f>
        <v>24</v>
      </c>
      <c r="D83" s="1">
        <f>VLOOKUP($B83&amp;"__wt",'SegEnds_Xtal_BW#'!$A:$Z,4,FALSE)</f>
        <v>60</v>
      </c>
      <c r="E83" s="1">
        <f>VLOOKUP($B83&amp;"__wt",'SegEnds_Xtal_BW#'!$A:$Z,5,FALSE)</f>
        <v>48</v>
      </c>
      <c r="F83" s="1">
        <f>VLOOKUP($B83&amp;"__wt",'SegEnds_Xtal_BW#'!$A:$Z,6,FALSE)</f>
        <v>51</v>
      </c>
      <c r="G83" s="1">
        <v>37</v>
      </c>
      <c r="H83" s="12">
        <v>66</v>
      </c>
      <c r="I83" s="1">
        <f>VLOOKUP($B83&amp;"__wt",'SegEnds_Xtal_BW#'!$A:$Z,9,FALSE)</f>
        <v>49</v>
      </c>
      <c r="J83" s="1">
        <f>VLOOKUP($B83&amp;"__wt",'SegEnds_Xtal_BW#'!$A:$Z,10,FALSE)</f>
        <v>52</v>
      </c>
      <c r="K83" s="12">
        <v>24</v>
      </c>
      <c r="L83" s="1">
        <f>VLOOKUP($B83&amp;"__wt",'SegEnds_Xtal_BW#'!$A:$Z,12,FALSE)</f>
        <v>56</v>
      </c>
      <c r="M83" s="1">
        <f>VLOOKUP($B83&amp;"__wt",'SegEnds_Xtal_BW#'!$A:$Z,13,FALSE)</f>
        <v>50</v>
      </c>
      <c r="N83" s="12">
        <f>VLOOKUP($B83&amp;"__wt",'SegEnds_Xtal_BW#'!$A:$Z,14,FALSE)</f>
        <v>57</v>
      </c>
      <c r="O83" s="89">
        <f>VLOOKUP($B83&amp;"__wt",'SegEnds_Xtal_BW#'!$A:$Z,15,FALSE)</f>
        <v>38</v>
      </c>
      <c r="P83" s="1">
        <f>VLOOKUP($B83&amp;"__wt",'SegEnds_Xtal_BW#'!$A:$Z,16,FALSE)</f>
        <v>64</v>
      </c>
      <c r="Q83" s="1">
        <f>VLOOKUP($B83&amp;"__wt",'SegEnds_Xtal_BW#'!$A:$Z,17,FALSE)</f>
        <v>50</v>
      </c>
      <c r="R83" s="1">
        <f>VLOOKUP($B83&amp;"__wt",'SegEnds_Xtal_BW#'!$A:$Z,18,FALSE)</f>
        <v>52</v>
      </c>
      <c r="S83" s="1">
        <f>VLOOKUP($B83&amp;"__wt",'SegEnds_Xtal_BW#'!$A:$Z,19,FALSE)</f>
        <v>30</v>
      </c>
      <c r="T83" s="1">
        <f t="array" ref="T83">INDEX('ICL3'!$G$2:$G$40,MATCH(MIN(ABS(AH83-'ICL3'!$F$2:$F$40)),ABS(AH83-'ICL3'!$F$2:$F$40),0))</f>
        <v>68</v>
      </c>
      <c r="U83" s="1">
        <f t="array" ref="U83">INDEX('ICL3'!$H$2:$H$40,MATCH(MIN(ABS(AH83-'ICL3'!$F$2:$F$40)),ABS(AH83-'ICL3'!$F$2:$F$40),0))</f>
        <v>28</v>
      </c>
      <c r="V83" s="1">
        <v>65</v>
      </c>
      <c r="W83" s="1">
        <v>24</v>
      </c>
      <c r="X83" s="1">
        <f>VLOOKUP($B83&amp;"__wt",'SegEnds_Xtal_BW#'!$A:$Z,24,FALSE)</f>
        <v>56</v>
      </c>
      <c r="Y83" s="1">
        <f>VLOOKUP($B83&amp;"__wt",'SegEnds_Xtal_BW#'!$A:$Z,25,FALSE)</f>
        <v>47</v>
      </c>
      <c r="Z83" s="1">
        <f>VLOOKUP($B83&amp;"__wt",'SegEnds_Xtal_BW#'!$A:$Z,26,FALSE)</f>
        <v>59</v>
      </c>
      <c r="AA83" s="27" t="str">
        <f>VLOOKUP(A83,Classification!A:B,2,FALSE)</f>
        <v>A</v>
      </c>
      <c r="AB83" s="1">
        <f>VLOOKUP(A83,'SegEnds_NonXtal_Prot#'!A:AL,10,FALSE)-VLOOKUP(A83,'SegEnds_NonXtal_Prot#'!A:AL,7,FALSE)</f>
        <v>15</v>
      </c>
      <c r="AC83" s="1">
        <f>VLOOKUP(A83,'SegEnds_NonXtal_Prot#'!A:AL,13,FALSE)-VLOOKUP(A83,'SegEnds_NonXtal_Prot#'!A:AL,10,FALSE)</f>
        <v>18</v>
      </c>
      <c r="AD83" s="1">
        <f>VLOOKUP(A83,'SegEnds_NonXtal_Prot#'!A:AL,16,FALSE)-VLOOKUP(A83,'SegEnds_NonXtal_Prot#'!A:AL,10,FALSE)</f>
        <v>50</v>
      </c>
      <c r="AE83" s="1">
        <f>VLOOKUP(A83,'SegEnds_NonXtal_Prot#'!A:AL,22,FALSE)-VLOOKUP(A83,'SegEnds_NonXtal_Prot#'!A:AL,19,FALSE)</f>
        <v>20</v>
      </c>
      <c r="AF83" s="1">
        <f>VLOOKUP(A83,'SegEnds_NonXtal_Prot#'!A:AL,28,FALSE)-VLOOKUP(A83,'SegEnds_NonXtal_Prot#'!A:AL,25,FALSE)</f>
        <v>28</v>
      </c>
      <c r="AG83" s="1">
        <f>VLOOKUP(A83,'SegEnds_NonXtal_Prot#'!A:AL,28,FALSE)-VLOOKUP(A83,'SegEnds_NonXtal_Prot#'!A:AL,22,FALSE)</f>
        <v>53</v>
      </c>
      <c r="AH83" s="1">
        <f>VLOOKUP(A83,'SegEnds_NonXtal_Prot#'!A:AL,31,FALSE)-VLOOKUP(A83,'SegEnds_NonXtal_Prot#'!A:AL,28,FALSE)</f>
        <v>44</v>
      </c>
      <c r="AI83" s="1">
        <f>VLOOKUP(A83,'SegEnds_NonXtal_Prot#'!A:AL,34,FALSE)-VLOOKUP(A83,'SegEnds_NonXtal_Prot#'!A:AL,31,FALSE)</f>
        <v>44</v>
      </c>
      <c r="AJ83" s="1" t="str">
        <f>IF(ISERROR(MATCH(A83,'SegEnds_Xtal_Prot#'!B:B, 0)), "NoXtal", "Xtal")</f>
        <v>Xtal</v>
      </c>
    </row>
    <row r="84" spans="1:36" x14ac:dyDescent="0.2">
      <c r="A84" s="1" t="s">
        <v>176</v>
      </c>
      <c r="B84" s="1" t="str">
        <f>VLOOKUP(A84,Xtal_Templ!A:B,2,FALSE)</f>
        <v>ccr5_human</v>
      </c>
      <c r="C84" s="5">
        <f>VLOOKUP($B84&amp;"__wt",'SegEnds_Xtal_BW#'!$A:$Z,3,FALSE)</f>
        <v>24</v>
      </c>
      <c r="D84" s="1">
        <f>VLOOKUP($B84&amp;"__wt",'SegEnds_Xtal_BW#'!$A:$Z,4,FALSE)</f>
        <v>60</v>
      </c>
      <c r="E84" s="1">
        <f>VLOOKUP($B84&amp;"__wt",'SegEnds_Xtal_BW#'!$A:$Z,5,FALSE)</f>
        <v>48</v>
      </c>
      <c r="F84" s="1">
        <f>VLOOKUP($B84&amp;"__wt",'SegEnds_Xtal_BW#'!$A:$Z,6,FALSE)</f>
        <v>51</v>
      </c>
      <c r="G84" s="1">
        <v>37</v>
      </c>
      <c r="H84" s="12">
        <v>66</v>
      </c>
      <c r="I84" s="1">
        <f>VLOOKUP($B84&amp;"__wt",'SegEnds_Xtal_BW#'!$A:$Z,9,FALSE)</f>
        <v>49</v>
      </c>
      <c r="J84" s="1">
        <f>VLOOKUP($B84&amp;"__wt",'SegEnds_Xtal_BW#'!$A:$Z,10,FALSE)</f>
        <v>52</v>
      </c>
      <c r="K84" s="12">
        <v>24</v>
      </c>
      <c r="L84" s="1">
        <f>VLOOKUP($B84&amp;"__wt",'SegEnds_Xtal_BW#'!$A:$Z,12,FALSE)</f>
        <v>56</v>
      </c>
      <c r="M84" s="1">
        <f>VLOOKUP($B84&amp;"__wt",'SegEnds_Xtal_BW#'!$A:$Z,13,FALSE)</f>
        <v>50</v>
      </c>
      <c r="N84" s="12">
        <v>57</v>
      </c>
      <c r="O84" s="89">
        <v>38</v>
      </c>
      <c r="P84" s="1">
        <f>VLOOKUP($B84&amp;"__wt",'SegEnds_Xtal_BW#'!$A:$Z,16,FALSE)</f>
        <v>64</v>
      </c>
      <c r="Q84" s="1">
        <f>VLOOKUP($B84&amp;"__wt",'SegEnds_Xtal_BW#'!$A:$Z,17,FALSE)</f>
        <v>50</v>
      </c>
      <c r="R84" s="1">
        <f>VLOOKUP($B84&amp;"__wt",'SegEnds_Xtal_BW#'!$A:$Z,18,FALSE)</f>
        <v>52</v>
      </c>
      <c r="S84" s="1">
        <f>VLOOKUP($B84&amp;"__wt",'SegEnds_Xtal_BW#'!$A:$Z,19,FALSE)</f>
        <v>30</v>
      </c>
      <c r="T84" s="1">
        <f t="array" ref="T84">INDEX('ICL3'!$G$2:$G$40,MATCH(MIN(ABS(AH84-'ICL3'!$F$2:$F$40)),ABS(AH84-'ICL3'!$F$2:$F$40),0))</f>
        <v>68</v>
      </c>
      <c r="U84" s="1">
        <f t="array" ref="U84">INDEX('ICL3'!$H$2:$H$40,MATCH(MIN(ABS(AH84-'ICL3'!$F$2:$F$40)),ABS(AH84-'ICL3'!$F$2:$F$40),0))</f>
        <v>30</v>
      </c>
      <c r="V84" s="1">
        <v>65</v>
      </c>
      <c r="W84" s="1">
        <v>24</v>
      </c>
      <c r="X84" s="1">
        <f>VLOOKUP($B84&amp;"__wt",'SegEnds_Xtal_BW#'!$A:$Z,24,FALSE)</f>
        <v>56</v>
      </c>
      <c r="Y84" s="1">
        <f>VLOOKUP($B84&amp;"__wt",'SegEnds_Xtal_BW#'!$A:$Z,25,FALSE)</f>
        <v>47</v>
      </c>
      <c r="Z84" s="1">
        <f>VLOOKUP($B84&amp;"__wt",'SegEnds_Xtal_BW#'!$A:$Z,26,FALSE)</f>
        <v>59</v>
      </c>
      <c r="AA84" s="27" t="str">
        <f>VLOOKUP(A84,Classification!A:B,2,FALSE)</f>
        <v>A</v>
      </c>
      <c r="AB84" s="1">
        <f>VLOOKUP(A84,'SegEnds_NonXtal_Prot#'!A:AL,10,FALSE)-VLOOKUP(A84,'SegEnds_NonXtal_Prot#'!A:AL,7,FALSE)</f>
        <v>15</v>
      </c>
      <c r="AC84" s="1">
        <f>VLOOKUP(A84,'SegEnds_NonXtal_Prot#'!A:AL,13,FALSE)-VLOOKUP(A84,'SegEnds_NonXtal_Prot#'!A:AL,10,FALSE)</f>
        <v>18</v>
      </c>
      <c r="AD84" s="1">
        <f>VLOOKUP(A84,'SegEnds_NonXtal_Prot#'!A:AL,16,FALSE)-VLOOKUP(A84,'SegEnds_NonXtal_Prot#'!A:AL,10,FALSE)</f>
        <v>50</v>
      </c>
      <c r="AE84" s="1">
        <f>VLOOKUP(A84,'SegEnds_NonXtal_Prot#'!A:AL,22,FALSE)-VLOOKUP(A84,'SegEnds_NonXtal_Prot#'!A:AL,19,FALSE)</f>
        <v>20</v>
      </c>
      <c r="AF84" s="1">
        <f>VLOOKUP(A84,'SegEnds_NonXtal_Prot#'!A:AL,28,FALSE)-VLOOKUP(A84,'SegEnds_NonXtal_Prot#'!A:AL,25,FALSE)</f>
        <v>27</v>
      </c>
      <c r="AG84" s="1">
        <f>VLOOKUP(A84,'SegEnds_NonXtal_Prot#'!A:AL,28,FALSE)-VLOOKUP(A84,'SegEnds_NonXtal_Prot#'!A:AL,22,FALSE)</f>
        <v>52</v>
      </c>
      <c r="AH84" s="1">
        <f>VLOOKUP(A84,'SegEnds_NonXtal_Prot#'!A:AL,31,FALSE)-VLOOKUP(A84,'SegEnds_NonXtal_Prot#'!A:AL,28,FALSE)</f>
        <v>43</v>
      </c>
      <c r="AI84" s="1">
        <f>VLOOKUP(A84,'SegEnds_NonXtal_Prot#'!A:AL,34,FALSE)-VLOOKUP(A84,'SegEnds_NonXtal_Prot#'!A:AL,31,FALSE)</f>
        <v>44</v>
      </c>
      <c r="AJ84" s="1" t="str">
        <f>IF(ISERROR(MATCH(A84,'SegEnds_Xtal_Prot#'!B:B, 0)), "NoXtal", "Xtal")</f>
        <v>NoXtal</v>
      </c>
    </row>
    <row r="85" spans="1:36" x14ac:dyDescent="0.2">
      <c r="A85" s="1" t="s">
        <v>179</v>
      </c>
      <c r="B85" s="1" t="str">
        <f>VLOOKUP(A85,Xtal_Templ!A:B,2,FALSE)</f>
        <v>p2ry1_human</v>
      </c>
      <c r="C85" s="5">
        <f>VLOOKUP($B85&amp;"__wt",'SegEnds_Xtal_BW#'!$A:$Z,3,FALSE)</f>
        <v>30</v>
      </c>
      <c r="D85" s="1">
        <f>VLOOKUP($B85&amp;"__wt",'SegEnds_Xtal_BW#'!$A:$Z,4,FALSE)</f>
        <v>60</v>
      </c>
      <c r="E85" s="1" t="str">
        <f>VLOOKUP($B85&amp;"__wt",'SegEnds_Xtal_BW#'!$A:$Z,5,FALSE)</f>
        <v>-</v>
      </c>
      <c r="F85" s="1" t="str">
        <f>VLOOKUP($B85&amp;"__wt",'SegEnds_Xtal_BW#'!$A:$Z,6,FALSE)</f>
        <v>-</v>
      </c>
      <c r="G85" s="1">
        <v>37</v>
      </c>
      <c r="H85" s="12">
        <f>VLOOKUP($B85&amp;"__wt",'SegEnds_Xtal_BW#'!$A:$Z,8,FALSE)</f>
        <v>66</v>
      </c>
      <c r="I85" s="1">
        <f>VLOOKUP($B85&amp;"__wt",'SegEnds_Xtal_BW#'!$A:$Z,9,FALSE)</f>
        <v>49</v>
      </c>
      <c r="J85" s="1">
        <f>VLOOKUP($B85&amp;"__wt",'SegEnds_Xtal_BW#'!$A:$Z,10,FALSE)</f>
        <v>52</v>
      </c>
      <c r="K85" s="12">
        <v>18</v>
      </c>
      <c r="L85" s="1">
        <f>VLOOKUP($B85&amp;"__wt",'SegEnds_Xtal_BW#'!$A:$Z,12,FALSE)</f>
        <v>56</v>
      </c>
      <c r="M85" s="1">
        <f>VLOOKUP($B85&amp;"__wt",'SegEnds_Xtal_BW#'!$A:$Z,13,FALSE)</f>
        <v>50</v>
      </c>
      <c r="N85" s="12">
        <v>57</v>
      </c>
      <c r="O85" s="89">
        <f>VLOOKUP($B85&amp;"__wt",'SegEnds_Xtal_BW#'!$A:$Z,15,FALSE)</f>
        <v>38</v>
      </c>
      <c r="P85" s="1">
        <f>VLOOKUP($B85&amp;"__wt",'SegEnds_Xtal_BW#'!$A:$Z,16,FALSE)</f>
        <v>64</v>
      </c>
      <c r="Q85" s="1">
        <f>VLOOKUP($B85&amp;"__wt",'SegEnds_Xtal_BW#'!$A:$Z,17,FALSE)</f>
        <v>50</v>
      </c>
      <c r="R85" s="1">
        <f>VLOOKUP($B85&amp;"__wt",'SegEnds_Xtal_BW#'!$A:$Z,18,FALSE)</f>
        <v>52</v>
      </c>
      <c r="S85" s="1">
        <f>VLOOKUP($B85&amp;"__wt",'SegEnds_Xtal_BW#'!$A:$Z,19,FALSE)</f>
        <v>32</v>
      </c>
      <c r="T85" s="1">
        <f t="array" ref="T85">INDEX('ICL3'!$G$2:$G$40,MATCH(MIN(ABS(AH85-'ICL3'!$F$2:$F$40)),ABS(AH85-'ICL3'!$F$2:$F$40),0))</f>
        <v>67</v>
      </c>
      <c r="U85" s="1">
        <f t="array" ref="U85">INDEX('ICL3'!$H$2:$H$40,MATCH(MIN(ABS(AH85-'ICL3'!$F$2:$F$40)),ABS(AH85-'ICL3'!$F$2:$F$40),0))</f>
        <v>26</v>
      </c>
      <c r="V85" s="1">
        <v>64</v>
      </c>
      <c r="W85" s="1">
        <v>24</v>
      </c>
      <c r="X85" s="1">
        <f>VLOOKUP($B85&amp;"__wt",'SegEnds_Xtal_BW#'!$A:$Z,24,FALSE)</f>
        <v>56</v>
      </c>
      <c r="Y85" s="1">
        <f>VLOOKUP($B85&amp;"__wt",'SegEnds_Xtal_BW#'!$A:$Z,25,FALSE)</f>
        <v>47</v>
      </c>
      <c r="Z85" s="1">
        <f>VLOOKUP($B85&amp;"__wt",'SegEnds_Xtal_BW#'!$A:$Z,26,FALSE)</f>
        <v>59</v>
      </c>
      <c r="AA85" s="27" t="str">
        <f>VLOOKUP(A85,Classification!A:B,2,FALSE)</f>
        <v>A</v>
      </c>
      <c r="AB85" s="1" t="e">
        <f>VLOOKUP(A85,'SegEnds_NonXtal_Prot#'!A:AL,10,FALSE)-VLOOKUP(A85,'SegEnds_NonXtal_Prot#'!A:AL,7,FALSE)</f>
        <v>#VALUE!</v>
      </c>
      <c r="AC85" s="1">
        <f>VLOOKUP(A85,'SegEnds_NonXtal_Prot#'!A:AL,13,FALSE)-VLOOKUP(A85,'SegEnds_NonXtal_Prot#'!A:AL,10,FALSE)</f>
        <v>20</v>
      </c>
      <c r="AD85" s="1">
        <f>VLOOKUP(A85,'SegEnds_NonXtal_Prot#'!A:AL,16,FALSE)-VLOOKUP(A85,'SegEnds_NonXtal_Prot#'!A:AL,10,FALSE)</f>
        <v>52</v>
      </c>
      <c r="AE85" s="1">
        <f>VLOOKUP(A85,'SegEnds_NonXtal_Prot#'!A:AL,22,FALSE)-VLOOKUP(A85,'SegEnds_NonXtal_Prot#'!A:AL,19,FALSE)</f>
        <v>20</v>
      </c>
      <c r="AF85" s="1">
        <f>VLOOKUP(A85,'SegEnds_NonXtal_Prot#'!A:AL,28,FALSE)-VLOOKUP(A85,'SegEnds_NonXtal_Prot#'!A:AL,25,FALSE)</f>
        <v>28</v>
      </c>
      <c r="AG85" s="1">
        <f>VLOOKUP(A85,'SegEnds_NonXtal_Prot#'!A:AL,28,FALSE)-VLOOKUP(A85,'SegEnds_NonXtal_Prot#'!A:AL,22,FALSE)</f>
        <v>53</v>
      </c>
      <c r="AH85" s="1">
        <f>VLOOKUP(A85,'SegEnds_NonXtal_Prot#'!A:AL,31,FALSE)-VLOOKUP(A85,'SegEnds_NonXtal_Prot#'!A:AL,28,FALSE)</f>
        <v>47</v>
      </c>
      <c r="AI85" s="1">
        <f>VLOOKUP(A85,'SegEnds_NonXtal_Prot#'!A:AL,34,FALSE)-VLOOKUP(A85,'SegEnds_NonXtal_Prot#'!A:AL,31,FALSE)</f>
        <v>44</v>
      </c>
      <c r="AJ85" s="1" t="str">
        <f>IF(ISERROR(MATCH(A85,'SegEnds_Xtal_Prot#'!B:B, 0)), "NoXtal", "Xtal")</f>
        <v>NoXtal</v>
      </c>
    </row>
    <row r="86" spans="1:36" x14ac:dyDescent="0.2">
      <c r="A86" s="1" t="s">
        <v>180</v>
      </c>
      <c r="B86" s="1" t="str">
        <f>VLOOKUP(A86,Xtal_Templ!A:B,2,FALSE)</f>
        <v>p2ry1_human</v>
      </c>
      <c r="C86" s="5">
        <f>VLOOKUP($B86&amp;"__wt",'SegEnds_Xtal_BW#'!$A:$Z,3,FALSE)</f>
        <v>30</v>
      </c>
      <c r="D86" s="1">
        <f>VLOOKUP($B86&amp;"__wt",'SegEnds_Xtal_BW#'!$A:$Z,4,FALSE)</f>
        <v>60</v>
      </c>
      <c r="E86" s="1" t="str">
        <f>VLOOKUP($B86&amp;"__wt",'SegEnds_Xtal_BW#'!$A:$Z,5,FALSE)</f>
        <v>-</v>
      </c>
      <c r="F86" s="1" t="str">
        <f>VLOOKUP($B86&amp;"__wt",'SegEnds_Xtal_BW#'!$A:$Z,6,FALSE)</f>
        <v>-</v>
      </c>
      <c r="G86" s="1">
        <v>37</v>
      </c>
      <c r="H86" s="12">
        <f>VLOOKUP($B86&amp;"__wt",'SegEnds_Xtal_BW#'!$A:$Z,8,FALSE)</f>
        <v>66</v>
      </c>
      <c r="I86" s="1">
        <f>VLOOKUP($B86&amp;"__wt",'SegEnds_Xtal_BW#'!$A:$Z,9,FALSE)</f>
        <v>49</v>
      </c>
      <c r="J86" s="1">
        <f>VLOOKUP($B86&amp;"__wt",'SegEnds_Xtal_BW#'!$A:$Z,10,FALSE)</f>
        <v>52</v>
      </c>
      <c r="K86" s="12">
        <v>18</v>
      </c>
      <c r="L86" s="1">
        <f>VLOOKUP($B86&amp;"__wt",'SegEnds_Xtal_BW#'!$A:$Z,12,FALSE)</f>
        <v>56</v>
      </c>
      <c r="M86" s="1">
        <f>VLOOKUP($B86&amp;"__wt",'SegEnds_Xtal_BW#'!$A:$Z,13,FALSE)</f>
        <v>50</v>
      </c>
      <c r="N86" s="12">
        <v>57</v>
      </c>
      <c r="O86" s="89">
        <f>VLOOKUP($B86&amp;"__wt",'SegEnds_Xtal_BW#'!$A:$Z,15,FALSE)</f>
        <v>38</v>
      </c>
      <c r="P86" s="1">
        <f>VLOOKUP($B86&amp;"__wt",'SegEnds_Xtal_BW#'!$A:$Z,16,FALSE)</f>
        <v>64</v>
      </c>
      <c r="Q86" s="1">
        <f>VLOOKUP($B86&amp;"__wt",'SegEnds_Xtal_BW#'!$A:$Z,17,FALSE)</f>
        <v>50</v>
      </c>
      <c r="R86" s="1">
        <f>VLOOKUP($B86&amp;"__wt",'SegEnds_Xtal_BW#'!$A:$Z,18,FALSE)</f>
        <v>52</v>
      </c>
      <c r="S86" s="1">
        <f>VLOOKUP($B86&amp;"__wt",'SegEnds_Xtal_BW#'!$A:$Z,19,FALSE)</f>
        <v>32</v>
      </c>
      <c r="T86" s="1">
        <f t="array" ref="T86">INDEX('ICL3'!$G$2:$G$40,MATCH(MIN(ABS(AH86-'ICL3'!$F$2:$F$40)),ABS(AH86-'ICL3'!$F$2:$F$40),0))</f>
        <v>68</v>
      </c>
      <c r="U86" s="1">
        <f t="array" ref="U86">INDEX('ICL3'!$H$2:$H$40,MATCH(MIN(ABS(AH86-'ICL3'!$F$2:$F$40)),ABS(AH86-'ICL3'!$F$2:$F$40),0))</f>
        <v>24</v>
      </c>
      <c r="V86" s="1">
        <v>61</v>
      </c>
      <c r="W86" s="1">
        <v>28</v>
      </c>
      <c r="X86" s="1">
        <f>VLOOKUP($B86&amp;"__wt",'SegEnds_Xtal_BW#'!$A:$Z,24,FALSE)</f>
        <v>56</v>
      </c>
      <c r="Y86" s="1">
        <f>VLOOKUP($B86&amp;"__wt",'SegEnds_Xtal_BW#'!$A:$Z,25,FALSE)</f>
        <v>47</v>
      </c>
      <c r="Z86" s="1">
        <f>VLOOKUP($B86&amp;"__wt",'SegEnds_Xtal_BW#'!$A:$Z,26,FALSE)</f>
        <v>59</v>
      </c>
      <c r="AA86" s="27" t="str">
        <f>VLOOKUP(A86,Classification!A:B,2,FALSE)</f>
        <v>A</v>
      </c>
      <c r="AB86" s="1" t="e">
        <f>VLOOKUP(A86,'SegEnds_NonXtal_Prot#'!A:AL,10,FALSE)-VLOOKUP(A86,'SegEnds_NonXtal_Prot#'!A:AL,7,FALSE)</f>
        <v>#VALUE!</v>
      </c>
      <c r="AC86" s="1">
        <f>VLOOKUP(A86,'SegEnds_NonXtal_Prot#'!A:AL,13,FALSE)-VLOOKUP(A86,'SegEnds_NonXtal_Prot#'!A:AL,10,FALSE)</f>
        <v>20</v>
      </c>
      <c r="AD86" s="1">
        <f>VLOOKUP(A86,'SegEnds_NonXtal_Prot#'!A:AL,16,FALSE)-VLOOKUP(A86,'SegEnds_NonXtal_Prot#'!A:AL,10,FALSE)</f>
        <v>52</v>
      </c>
      <c r="AE86" s="1">
        <f>VLOOKUP(A86,'SegEnds_NonXtal_Prot#'!A:AL,22,FALSE)-VLOOKUP(A86,'SegEnds_NonXtal_Prot#'!A:AL,19,FALSE)</f>
        <v>20</v>
      </c>
      <c r="AF86" s="1">
        <f>VLOOKUP(A86,'SegEnds_NonXtal_Prot#'!A:AL,28,FALSE)-VLOOKUP(A86,'SegEnds_NonXtal_Prot#'!A:AL,25,FALSE)</f>
        <v>26</v>
      </c>
      <c r="AG86" s="1">
        <f>VLOOKUP(A86,'SegEnds_NonXtal_Prot#'!A:AL,28,FALSE)-VLOOKUP(A86,'SegEnds_NonXtal_Prot#'!A:AL,22,FALSE)</f>
        <v>50</v>
      </c>
      <c r="AH86" s="1">
        <f>VLOOKUP(A86,'SegEnds_NonXtal_Prot#'!A:AL,31,FALSE)-VLOOKUP(A86,'SegEnds_NonXtal_Prot#'!A:AL,28,FALSE)</f>
        <v>49</v>
      </c>
      <c r="AI86" s="1">
        <f>VLOOKUP(A86,'SegEnds_NonXtal_Prot#'!A:AL,34,FALSE)-VLOOKUP(A86,'SegEnds_NonXtal_Prot#'!A:AL,31,FALSE)</f>
        <v>40</v>
      </c>
      <c r="AJ86" s="1" t="str">
        <f>IF(ISERROR(MATCH(A86,'SegEnds_Xtal_Prot#'!B:B, 0)), "NoXtal", "Xtal")</f>
        <v>NoXtal</v>
      </c>
    </row>
    <row r="87" spans="1:36" x14ac:dyDescent="0.2">
      <c r="A87" s="1" t="s">
        <v>181</v>
      </c>
      <c r="B87" s="1" t="str">
        <f>VLOOKUP(A87,Xtal_Templ!A:B,2,FALSE)</f>
        <v>agtr1_human</v>
      </c>
      <c r="C87" s="5">
        <f>VLOOKUP($B87&amp;"__wt",'SegEnds_Xtal_BW#'!$A:$Z,3,FALSE)</f>
        <v>30</v>
      </c>
      <c r="D87" s="1">
        <f>VLOOKUP($B87&amp;"__wt",'SegEnds_Xtal_BW#'!$A:$Z,4,FALSE)</f>
        <v>60</v>
      </c>
      <c r="E87" s="1">
        <f>VLOOKUP($B87&amp;"__wt",'SegEnds_Xtal_BW#'!$A:$Z,5,FALSE)</f>
        <v>48</v>
      </c>
      <c r="F87" s="1">
        <f>VLOOKUP($B87&amp;"__wt",'SegEnds_Xtal_BW#'!$A:$Z,6,FALSE)</f>
        <v>51</v>
      </c>
      <c r="G87" s="1">
        <v>37</v>
      </c>
      <c r="H87" s="12">
        <f>VLOOKUP($B87&amp;"__wt",'SegEnds_Xtal_BW#'!$A:$Z,8,FALSE)</f>
        <v>66</v>
      </c>
      <c r="I87" s="1">
        <f>VLOOKUP($B87&amp;"__wt",'SegEnds_Xtal_BW#'!$A:$Z,9,FALSE)</f>
        <v>49</v>
      </c>
      <c r="J87" s="1">
        <f>VLOOKUP($B87&amp;"__wt",'SegEnds_Xtal_BW#'!$A:$Z,10,FALSE)</f>
        <v>52</v>
      </c>
      <c r="K87" s="12">
        <v>18</v>
      </c>
      <c r="L87" s="1">
        <f>VLOOKUP($B87&amp;"__wt",'SegEnds_Xtal_BW#'!$A:$Z,12,FALSE)</f>
        <v>56</v>
      </c>
      <c r="M87" s="1">
        <f>VLOOKUP($B87&amp;"__wt",'SegEnds_Xtal_BW#'!$A:$Z,13,FALSE)</f>
        <v>50</v>
      </c>
      <c r="N87" s="12">
        <v>57</v>
      </c>
      <c r="O87" s="89">
        <v>38</v>
      </c>
      <c r="P87" s="1">
        <f>VLOOKUP($B87&amp;"__wt",'SegEnds_Xtal_BW#'!$A:$Z,16,FALSE)</f>
        <v>64</v>
      </c>
      <c r="Q87" s="1">
        <f>VLOOKUP($B87&amp;"__wt",'SegEnds_Xtal_BW#'!$A:$Z,17,FALSE)</f>
        <v>50</v>
      </c>
      <c r="R87" s="1">
        <f>VLOOKUP($B87&amp;"__wt",'SegEnds_Xtal_BW#'!$A:$Z,18,FALSE)</f>
        <v>52</v>
      </c>
      <c r="S87" s="1">
        <f>VLOOKUP($B87&amp;"__wt",'SegEnds_Xtal_BW#'!$A:$Z,19,FALSE)</f>
        <v>34</v>
      </c>
      <c r="T87" s="1">
        <f t="array" ref="T87">INDEX('ICL3'!$G$2:$G$40,MATCH(MIN(ABS(AH87-'ICL3'!$F$2:$F$40)),ABS(AH87-'ICL3'!$F$2:$F$40),0))</f>
        <v>68</v>
      </c>
      <c r="U87" s="1">
        <f t="array" ref="U87">INDEX('ICL3'!$H$2:$H$40,MATCH(MIN(ABS(AH87-'ICL3'!$F$2:$F$40)),ABS(AH87-'ICL3'!$F$2:$F$40),0))</f>
        <v>30</v>
      </c>
      <c r="V87" s="1">
        <v>61</v>
      </c>
      <c r="W87" s="1">
        <v>28</v>
      </c>
      <c r="X87" s="1">
        <f>VLOOKUP($B87&amp;"__wt",'SegEnds_Xtal_BW#'!$A:$Z,24,FALSE)</f>
        <v>56</v>
      </c>
      <c r="Y87" s="1">
        <f>VLOOKUP($B87&amp;"__wt",'SegEnds_Xtal_BW#'!$A:$Z,25,FALSE)</f>
        <v>47</v>
      </c>
      <c r="Z87" s="1">
        <f>VLOOKUP($B87&amp;"__wt",'SegEnds_Xtal_BW#'!$A:$Z,26,FALSE)</f>
        <v>61</v>
      </c>
      <c r="AA87" s="27" t="str">
        <f>VLOOKUP(A87,Classification!A:B,2,FALSE)</f>
        <v>A</v>
      </c>
      <c r="AB87" s="1" t="e">
        <f>VLOOKUP(A87,'SegEnds_NonXtal_Prot#'!A:AL,10,FALSE)-VLOOKUP(A87,'SegEnds_NonXtal_Prot#'!A:AL,7,FALSE)</f>
        <v>#VALUE!</v>
      </c>
      <c r="AC87" s="1">
        <f>VLOOKUP(A87,'SegEnds_NonXtal_Prot#'!A:AL,13,FALSE)-VLOOKUP(A87,'SegEnds_NonXtal_Prot#'!A:AL,10,FALSE)</f>
        <v>20</v>
      </c>
      <c r="AD87" s="1">
        <f>VLOOKUP(A87,'SegEnds_NonXtal_Prot#'!A:AL,16,FALSE)-VLOOKUP(A87,'SegEnds_NonXtal_Prot#'!A:AL,10,FALSE)</f>
        <v>52</v>
      </c>
      <c r="AE87" s="1">
        <f>VLOOKUP(A87,'SegEnds_NonXtal_Prot#'!A:AL,22,FALSE)-VLOOKUP(A87,'SegEnds_NonXtal_Prot#'!A:AL,19,FALSE)</f>
        <v>20</v>
      </c>
      <c r="AF87" s="1">
        <f>VLOOKUP(A87,'SegEnds_NonXtal_Prot#'!A:AL,28,FALSE)-VLOOKUP(A87,'SegEnds_NonXtal_Prot#'!A:AL,25,FALSE)</f>
        <v>43</v>
      </c>
      <c r="AG87" s="1">
        <f>VLOOKUP(A87,'SegEnds_NonXtal_Prot#'!A:AL,28,FALSE)-VLOOKUP(A87,'SegEnds_NonXtal_Prot#'!A:AL,22,FALSE)</f>
        <v>68</v>
      </c>
      <c r="AH87" s="1">
        <f>VLOOKUP(A87,'SegEnds_NonXtal_Prot#'!A:AL,31,FALSE)-VLOOKUP(A87,'SegEnds_NonXtal_Prot#'!A:AL,28,FALSE)</f>
        <v>43</v>
      </c>
      <c r="AI87" s="1">
        <f>VLOOKUP(A87,'SegEnds_NonXtal_Prot#'!A:AL,34,FALSE)-VLOOKUP(A87,'SegEnds_NonXtal_Prot#'!A:AL,31,FALSE)</f>
        <v>38</v>
      </c>
      <c r="AJ87" s="1" t="str">
        <f>IF(ISERROR(MATCH(A87,'SegEnds_Xtal_Prot#'!B:B, 0)), "NoXtal", "Xtal")</f>
        <v>NoXtal</v>
      </c>
    </row>
    <row r="88" spans="1:36" x14ac:dyDescent="0.2">
      <c r="A88" s="1" t="s">
        <v>182</v>
      </c>
      <c r="B88" s="1" t="str">
        <f>VLOOKUP(A88,Xtal_Templ!A:B,2,FALSE)</f>
        <v>cnr1_human</v>
      </c>
      <c r="C88" s="5">
        <f>VLOOKUP($B88&amp;"__wt",'SegEnds_Xtal_BW#'!$A:$Z,3,FALSE)</f>
        <v>28</v>
      </c>
      <c r="D88" s="1">
        <f>VLOOKUP($B88&amp;"__wt",'SegEnds_Xtal_BW#'!$A:$Z,4,FALSE)</f>
        <v>60</v>
      </c>
      <c r="E88" s="1">
        <f>VLOOKUP($B88&amp;"__wt",'SegEnds_Xtal_BW#'!$A:$Z,5,FALSE)</f>
        <v>48</v>
      </c>
      <c r="F88" s="1">
        <f>VLOOKUP($B88&amp;"__wt",'SegEnds_Xtal_BW#'!$A:$Z,6,FALSE)</f>
        <v>51</v>
      </c>
      <c r="G88" s="1">
        <f>VLOOKUP($B88&amp;"__wt",'SegEnds_Xtal_BW#'!$A:$Z,7,FALSE)</f>
        <v>37</v>
      </c>
      <c r="H88" s="12">
        <f>VLOOKUP($B88&amp;"__wt",'SegEnds_Xtal_BW#'!$A:$Z,8,FALSE)</f>
        <v>66</v>
      </c>
      <c r="I88" s="1" t="str">
        <f>VLOOKUP($B88&amp;"__wt",'SegEnds_Xtal_BW#'!$A:$Z,9,FALSE)</f>
        <v>-</v>
      </c>
      <c r="J88" s="1" t="str">
        <f>VLOOKUP($B88&amp;"__wt",'SegEnds_Xtal_BW#'!$A:$Z,10,FALSE)</f>
        <v>-</v>
      </c>
      <c r="K88" s="12">
        <f>VLOOKUP($B88&amp;"__wt",'SegEnds_Xtal_BW#'!$A:$Z,11,FALSE)</f>
        <v>21</v>
      </c>
      <c r="L88" s="1">
        <f>VLOOKUP($B88&amp;"__wt",'SegEnds_Xtal_BW#'!$A:$Z,12,FALSE)</f>
        <v>56</v>
      </c>
      <c r="M88" s="1">
        <f>VLOOKUP($B88&amp;"__wt",'SegEnds_Xtal_BW#'!$A:$Z,13,FALSE)</f>
        <v>50</v>
      </c>
      <c r="N88" s="12">
        <f>VLOOKUP($B88&amp;"__wt",'SegEnds_Xtal_BW#'!$A:$Z,14,FALSE)</f>
        <v>57</v>
      </c>
      <c r="O88" s="89">
        <f>VLOOKUP($B88&amp;"__wt",'SegEnds_Xtal_BW#'!$A:$Z,15,FALSE)</f>
        <v>38</v>
      </c>
      <c r="P88" s="1">
        <f>VLOOKUP($B88&amp;"__wt",'SegEnds_Xtal_BW#'!$A:$Z,16,FALSE)</f>
        <v>63</v>
      </c>
      <c r="Q88" s="1" t="str">
        <f>VLOOKUP($B88&amp;"__wt",'SegEnds_Xtal_BW#'!$A:$Z,17,FALSE)</f>
        <v>-</v>
      </c>
      <c r="R88" s="1" t="str">
        <f>VLOOKUP($B88&amp;"__wt",'SegEnds_Xtal_BW#'!$A:$Z,18,FALSE)</f>
        <v>-</v>
      </c>
      <c r="S88" s="1">
        <f>VLOOKUP($B88&amp;"__wt",'SegEnds_Xtal_BW#'!$A:$Z,19,FALSE)</f>
        <v>36</v>
      </c>
      <c r="T88" s="1">
        <f t="array" ref="T88">INDEX('ICL3'!$G$2:$G$40,MATCH(MIN(ABS(AH88-'ICL3'!$F$2:$F$40)),ABS(AH88-'ICL3'!$F$2:$F$40),0))</f>
        <v>76</v>
      </c>
      <c r="U88" s="1">
        <f t="array" ref="U88">INDEX('ICL3'!$H$2:$H$40,MATCH(MIN(ABS(AH88-'ICL3'!$F$2:$F$40)),ABS(AH88-'ICL3'!$F$2:$F$40),0))</f>
        <v>24</v>
      </c>
      <c r="V88" s="1">
        <f>VLOOKUP($B88&amp;"__wt",'SegEnds_Xtal_BW#'!$A:$Z,22,FALSE)</f>
        <v>61</v>
      </c>
      <c r="W88" s="1">
        <f>VLOOKUP($B88&amp;"__wt",'SegEnds_Xtal_BW#'!$A:$Z,23,FALSE)</f>
        <v>28</v>
      </c>
      <c r="X88" s="1">
        <f>VLOOKUP($B88&amp;"__wt",'SegEnds_Xtal_BW#'!$A:$Z,24,FALSE)</f>
        <v>56</v>
      </c>
      <c r="Y88" s="1">
        <f>VLOOKUP($B88&amp;"__wt",'SegEnds_Xtal_BW#'!$A:$Z,25,FALSE)</f>
        <v>47</v>
      </c>
      <c r="Z88" s="1">
        <f>VLOOKUP($B88&amp;"__wt",'SegEnds_Xtal_BW#'!$A:$Z,26,FALSE)</f>
        <v>59</v>
      </c>
      <c r="AA88" s="27" t="str">
        <f>VLOOKUP(A88,Classification!A:B,2,FALSE)</f>
        <v>A</v>
      </c>
      <c r="AB88" s="1">
        <f>VLOOKUP(A88,'SegEnds_NonXtal_Prot#'!A:AL,10,FALSE)-VLOOKUP(A88,'SegEnds_NonXtal_Prot#'!A:AL,7,FALSE)</f>
        <v>16</v>
      </c>
      <c r="AC88" s="1" t="e">
        <f>VLOOKUP(A88,'SegEnds_NonXtal_Prot#'!A:AL,13,FALSE)-VLOOKUP(A88,'SegEnds_NonXtal_Prot#'!A:AL,10,FALSE)</f>
        <v>#VALUE!</v>
      </c>
      <c r="AD88" s="1">
        <f>VLOOKUP(A88,'SegEnds_NonXtal_Prot#'!A:AL,16,FALSE)-VLOOKUP(A88,'SegEnds_NonXtal_Prot#'!A:AL,10,FALSE)</f>
        <v>51</v>
      </c>
      <c r="AE88" s="1">
        <f>VLOOKUP(A88,'SegEnds_NonXtal_Prot#'!A:AL,22,FALSE)-VLOOKUP(A88,'SegEnds_NonXtal_Prot#'!A:AL,19,FALSE)</f>
        <v>20</v>
      </c>
      <c r="AF88" s="1" t="e">
        <f>VLOOKUP(A88,'SegEnds_NonXtal_Prot#'!A:AL,28,FALSE)-VLOOKUP(A88,'SegEnds_NonXtal_Prot#'!A:AL,25,FALSE)</f>
        <v>#VALUE!</v>
      </c>
      <c r="AG88" s="1">
        <f>VLOOKUP(A88,'SegEnds_NonXtal_Prot#'!A:AL,28,FALSE)-VLOOKUP(A88,'SegEnds_NonXtal_Prot#'!A:AL,22,FALSE)</f>
        <v>45</v>
      </c>
      <c r="AH88" s="1">
        <f>VLOOKUP(A88,'SegEnds_NonXtal_Prot#'!A:AL,31,FALSE)-VLOOKUP(A88,'SegEnds_NonXtal_Prot#'!A:AL,28,FALSE)</f>
        <v>72</v>
      </c>
      <c r="AI88" s="1">
        <f>VLOOKUP(A88,'SegEnds_NonXtal_Prot#'!A:AL,34,FALSE)-VLOOKUP(A88,'SegEnds_NonXtal_Prot#'!A:AL,31,FALSE)</f>
        <v>36</v>
      </c>
      <c r="AJ88" s="1" t="str">
        <f>IF(ISERROR(MATCH(A88,'SegEnds_Xtal_Prot#'!B:B, 0)), "NoXtal", "Xtal")</f>
        <v>Xtal</v>
      </c>
    </row>
    <row r="89" spans="1:36" x14ac:dyDescent="0.2">
      <c r="A89" s="1" t="s">
        <v>183</v>
      </c>
      <c r="B89" s="1" t="str">
        <f>VLOOKUP(A89,Xtal_Templ!A:B,2,FALSE)</f>
        <v>cnr1_human</v>
      </c>
      <c r="C89" s="5">
        <f>VLOOKUP($B89&amp;"__wt",'SegEnds_Xtal_BW#'!$A:$Z,3,FALSE)</f>
        <v>28</v>
      </c>
      <c r="D89" s="1">
        <f>VLOOKUP($B89&amp;"__wt",'SegEnds_Xtal_BW#'!$A:$Z,4,FALSE)</f>
        <v>60</v>
      </c>
      <c r="E89" s="1">
        <f>VLOOKUP($B89&amp;"__wt",'SegEnds_Xtal_BW#'!$A:$Z,5,FALSE)</f>
        <v>48</v>
      </c>
      <c r="F89" s="1">
        <f>VLOOKUP($B89&amp;"__wt",'SegEnds_Xtal_BW#'!$A:$Z,6,FALSE)</f>
        <v>51</v>
      </c>
      <c r="G89" s="1">
        <v>37</v>
      </c>
      <c r="H89" s="12">
        <v>66</v>
      </c>
      <c r="I89" s="1">
        <v>48</v>
      </c>
      <c r="J89" s="1">
        <v>52</v>
      </c>
      <c r="K89" s="12">
        <v>21</v>
      </c>
      <c r="L89" s="1">
        <f>VLOOKUP($B89&amp;"__wt",'SegEnds_Xtal_BW#'!$A:$Z,12,FALSE)</f>
        <v>56</v>
      </c>
      <c r="M89" s="1">
        <f>VLOOKUP($B89&amp;"__wt",'SegEnds_Xtal_BW#'!$A:$Z,13,FALSE)</f>
        <v>50</v>
      </c>
      <c r="N89" s="12">
        <v>57</v>
      </c>
      <c r="O89" s="89">
        <f>VLOOKUP($B89&amp;"__wt",'SegEnds_Xtal_BW#'!$A:$Z,15,FALSE)</f>
        <v>38</v>
      </c>
      <c r="P89" s="1">
        <f>VLOOKUP($B89&amp;"__wt",'SegEnds_Xtal_BW#'!$A:$Z,16,FALSE)</f>
        <v>63</v>
      </c>
      <c r="Q89" s="1" t="str">
        <f>VLOOKUP($B89&amp;"__wt",'SegEnds_Xtal_BW#'!$A:$Z,17,FALSE)</f>
        <v>-</v>
      </c>
      <c r="R89" s="1" t="str">
        <f>VLOOKUP($B89&amp;"__wt",'SegEnds_Xtal_BW#'!$A:$Z,18,FALSE)</f>
        <v>-</v>
      </c>
      <c r="S89" s="1">
        <f>VLOOKUP($B89&amp;"__wt",'SegEnds_Xtal_BW#'!$A:$Z,19,FALSE)</f>
        <v>36</v>
      </c>
      <c r="T89" s="1">
        <f t="array" ref="T89">INDEX('ICL3'!$G$2:$G$40,MATCH(MIN(ABS(AH89-'ICL3'!$F$2:$F$40)),ABS(AH89-'ICL3'!$F$2:$F$40),0))</f>
        <v>74</v>
      </c>
      <c r="U89" s="1">
        <f t="array" ref="U89">INDEX('ICL3'!$H$2:$H$40,MATCH(MIN(ABS(AH89-'ICL3'!$F$2:$F$40)),ABS(AH89-'ICL3'!$F$2:$F$40),0))</f>
        <v>21</v>
      </c>
      <c r="V89" s="1">
        <v>61</v>
      </c>
      <c r="W89" s="1">
        <v>31</v>
      </c>
      <c r="X89" s="1">
        <f>VLOOKUP($B89&amp;"__wt",'SegEnds_Xtal_BW#'!$A:$Z,24,FALSE)</f>
        <v>56</v>
      </c>
      <c r="Y89" s="1">
        <f>VLOOKUP($B89&amp;"__wt",'SegEnds_Xtal_BW#'!$A:$Z,25,FALSE)</f>
        <v>47</v>
      </c>
      <c r="Z89" s="1">
        <f>VLOOKUP($B89&amp;"__wt",'SegEnds_Xtal_BW#'!$A:$Z,26,FALSE)</f>
        <v>59</v>
      </c>
      <c r="AA89" s="27" t="str">
        <f>VLOOKUP(A89,Classification!A:B,2,FALSE)</f>
        <v>A</v>
      </c>
      <c r="AB89" s="1">
        <f>VLOOKUP(A89,'SegEnds_NonXtal_Prot#'!A:AL,10,FALSE)-VLOOKUP(A89,'SegEnds_NonXtal_Prot#'!A:AL,7,FALSE)</f>
        <v>16</v>
      </c>
      <c r="AC89" s="1" t="e">
        <f>VLOOKUP(A89,'SegEnds_NonXtal_Prot#'!A:AL,13,FALSE)-VLOOKUP(A89,'SegEnds_NonXtal_Prot#'!A:AL,10,FALSE)</f>
        <v>#VALUE!</v>
      </c>
      <c r="AD89" s="1">
        <f>VLOOKUP(A89,'SegEnds_NonXtal_Prot#'!A:AL,16,FALSE)-VLOOKUP(A89,'SegEnds_NonXtal_Prot#'!A:AL,10,FALSE)</f>
        <v>51</v>
      </c>
      <c r="AE89" s="1">
        <f>VLOOKUP(A89,'SegEnds_NonXtal_Prot#'!A:AL,22,FALSE)-VLOOKUP(A89,'SegEnds_NonXtal_Prot#'!A:AL,19,FALSE)</f>
        <v>20</v>
      </c>
      <c r="AF89" s="1" t="e">
        <f>VLOOKUP(A89,'SegEnds_NonXtal_Prot#'!A:AL,28,FALSE)-VLOOKUP(A89,'SegEnds_NonXtal_Prot#'!A:AL,25,FALSE)</f>
        <v>#VALUE!</v>
      </c>
      <c r="AG89" s="1">
        <f>VLOOKUP(A89,'SegEnds_NonXtal_Prot#'!A:AL,28,FALSE)-VLOOKUP(A89,'SegEnds_NonXtal_Prot#'!A:AL,22,FALSE)</f>
        <v>43</v>
      </c>
      <c r="AH89" s="1">
        <f>VLOOKUP(A89,'SegEnds_NonXtal_Prot#'!A:AL,31,FALSE)-VLOOKUP(A89,'SegEnds_NonXtal_Prot#'!A:AL,28,FALSE)</f>
        <v>59</v>
      </c>
      <c r="AI89" s="1">
        <f>VLOOKUP(A89,'SegEnds_NonXtal_Prot#'!A:AL,34,FALSE)-VLOOKUP(A89,'SegEnds_NonXtal_Prot#'!A:AL,31,FALSE)</f>
        <v>36</v>
      </c>
      <c r="AJ89" s="1" t="str">
        <f>IF(ISERROR(MATCH(A89,'SegEnds_Xtal_Prot#'!B:B, 0)), "NoXtal", "Xtal")</f>
        <v>NoXtal</v>
      </c>
    </row>
    <row r="90" spans="1:36" x14ac:dyDescent="0.2">
      <c r="A90" s="1" t="s">
        <v>184</v>
      </c>
      <c r="B90" s="1" t="str">
        <f>VLOOKUP(A90,Xtal_Templ!A:B,2,FALSE)</f>
        <v>ccr5_human</v>
      </c>
      <c r="C90" s="5">
        <f>VLOOKUP($B90&amp;"__wt",'SegEnds_Xtal_BW#'!$A:$Z,3,FALSE)</f>
        <v>24</v>
      </c>
      <c r="D90" s="1">
        <f>VLOOKUP($B90&amp;"__wt",'SegEnds_Xtal_BW#'!$A:$Z,4,FALSE)</f>
        <v>60</v>
      </c>
      <c r="E90" s="1">
        <f>VLOOKUP($B90&amp;"__wt",'SegEnds_Xtal_BW#'!$A:$Z,5,FALSE)</f>
        <v>48</v>
      </c>
      <c r="F90" s="1">
        <f>VLOOKUP($B90&amp;"__wt",'SegEnds_Xtal_BW#'!$A:$Z,6,FALSE)</f>
        <v>51</v>
      </c>
      <c r="G90" s="1">
        <v>37</v>
      </c>
      <c r="H90" s="12">
        <v>66</v>
      </c>
      <c r="I90" s="1">
        <f>VLOOKUP($B90&amp;"__wt",'SegEnds_Xtal_BW#'!$A:$Z,9,FALSE)</f>
        <v>49</v>
      </c>
      <c r="J90" s="1">
        <f>VLOOKUP($B90&amp;"__wt",'SegEnds_Xtal_BW#'!$A:$Z,10,FALSE)</f>
        <v>52</v>
      </c>
      <c r="K90" s="12">
        <v>24</v>
      </c>
      <c r="L90" s="1">
        <f>VLOOKUP($B90&amp;"__wt",'SegEnds_Xtal_BW#'!$A:$Z,12,FALSE)</f>
        <v>56</v>
      </c>
      <c r="M90" s="1">
        <f>VLOOKUP($B90&amp;"__wt",'SegEnds_Xtal_BW#'!$A:$Z,13,FALSE)</f>
        <v>50</v>
      </c>
      <c r="N90" s="12">
        <v>57</v>
      </c>
      <c r="O90" s="89">
        <v>38</v>
      </c>
      <c r="P90" s="1">
        <f>VLOOKUP($B90&amp;"__wt",'SegEnds_Xtal_BW#'!$A:$Z,16,FALSE)</f>
        <v>64</v>
      </c>
      <c r="Q90" s="1">
        <f>VLOOKUP($B90&amp;"__wt",'SegEnds_Xtal_BW#'!$A:$Z,17,FALSE)</f>
        <v>50</v>
      </c>
      <c r="R90" s="1">
        <f>VLOOKUP($B90&amp;"__wt",'SegEnds_Xtal_BW#'!$A:$Z,18,FALSE)</f>
        <v>52</v>
      </c>
      <c r="S90" s="1">
        <f>VLOOKUP($B90&amp;"__wt",'SegEnds_Xtal_BW#'!$A:$Z,19,FALSE)</f>
        <v>30</v>
      </c>
      <c r="T90" s="1">
        <f t="array" ref="T90">INDEX('ICL3'!$G$2:$G$40,MATCH(MIN(ABS(AH90-'ICL3'!$F$2:$F$40)),ABS(AH90-'ICL3'!$F$2:$F$40),0))</f>
        <v>68</v>
      </c>
      <c r="U90" s="1">
        <f t="array" ref="U90">INDEX('ICL3'!$H$2:$H$40,MATCH(MIN(ABS(AH90-'ICL3'!$F$2:$F$40)),ABS(AH90-'ICL3'!$F$2:$F$40),0))</f>
        <v>30</v>
      </c>
      <c r="V90" s="1">
        <v>64</v>
      </c>
      <c r="W90" s="1">
        <v>24</v>
      </c>
      <c r="X90" s="1">
        <f>VLOOKUP($B90&amp;"__wt",'SegEnds_Xtal_BW#'!$A:$Z,24,FALSE)</f>
        <v>56</v>
      </c>
      <c r="Y90" s="1">
        <f>VLOOKUP($B90&amp;"__wt",'SegEnds_Xtal_BW#'!$A:$Z,25,FALSE)</f>
        <v>47</v>
      </c>
      <c r="Z90" s="1">
        <f>VLOOKUP($B90&amp;"__wt",'SegEnds_Xtal_BW#'!$A:$Z,26,FALSE)</f>
        <v>59</v>
      </c>
      <c r="AA90" s="27" t="str">
        <f>VLOOKUP(A90,Classification!A:B,2,FALSE)</f>
        <v>A</v>
      </c>
      <c r="AB90" s="1">
        <f>VLOOKUP(A90,'SegEnds_NonXtal_Prot#'!A:AL,10,FALSE)-VLOOKUP(A90,'SegEnds_NonXtal_Prot#'!A:AL,7,FALSE)</f>
        <v>15</v>
      </c>
      <c r="AC90" s="1" t="e">
        <f>VLOOKUP(A90,'SegEnds_NonXtal_Prot#'!A:AL,13,FALSE)-VLOOKUP(A90,'SegEnds_NonXtal_Prot#'!A:AL,10,FALSE)</f>
        <v>#VALUE!</v>
      </c>
      <c r="AD90" s="1">
        <f>VLOOKUP(A90,'SegEnds_NonXtal_Prot#'!A:AL,16,FALSE)-VLOOKUP(A90,'SegEnds_NonXtal_Prot#'!A:AL,10,FALSE)</f>
        <v>50</v>
      </c>
      <c r="AE90" s="1">
        <f>VLOOKUP(A90,'SegEnds_NonXtal_Prot#'!A:AL,22,FALSE)-VLOOKUP(A90,'SegEnds_NonXtal_Prot#'!A:AL,19,FALSE)</f>
        <v>20</v>
      </c>
      <c r="AF90" s="1">
        <f>VLOOKUP(A90,'SegEnds_NonXtal_Prot#'!A:AL,28,FALSE)-VLOOKUP(A90,'SegEnds_NonXtal_Prot#'!A:AL,25,FALSE)</f>
        <v>28</v>
      </c>
      <c r="AG90" s="1">
        <f>VLOOKUP(A90,'SegEnds_NonXtal_Prot#'!A:AL,28,FALSE)-VLOOKUP(A90,'SegEnds_NonXtal_Prot#'!A:AL,22,FALSE)</f>
        <v>49</v>
      </c>
      <c r="AH90" s="1">
        <f>VLOOKUP(A90,'SegEnds_NonXtal_Prot#'!A:AL,31,FALSE)-VLOOKUP(A90,'SegEnds_NonXtal_Prot#'!A:AL,28,FALSE)</f>
        <v>43</v>
      </c>
      <c r="AI90" s="1">
        <f>VLOOKUP(A90,'SegEnds_NonXtal_Prot#'!A:AL,34,FALSE)-VLOOKUP(A90,'SegEnds_NonXtal_Prot#'!A:AL,31,FALSE)</f>
        <v>44</v>
      </c>
      <c r="AJ90" s="1" t="str">
        <f>IF(ISERROR(MATCH(A90,'SegEnds_Xtal_Prot#'!B:B, 0)), "NoXtal", "Xtal")</f>
        <v>NoXtal</v>
      </c>
    </row>
    <row r="91" spans="1:36" x14ac:dyDescent="0.2">
      <c r="A91" s="1" t="s">
        <v>187</v>
      </c>
      <c r="B91" s="1" t="str">
        <f>VLOOKUP(A91,Xtal_Templ!A:B,2,FALSE)</f>
        <v>cxcr4_human</v>
      </c>
      <c r="C91" s="5">
        <f>VLOOKUP($B91&amp;"__wt",'SegEnds_Xtal_BW#'!$A:$Z,3,FALSE)</f>
        <v>24</v>
      </c>
      <c r="D91" s="1">
        <f>VLOOKUP($B91&amp;"__wt",'SegEnds_Xtal_BW#'!$A:$Z,4,FALSE)</f>
        <v>60</v>
      </c>
      <c r="E91" s="1">
        <f>VLOOKUP($B91&amp;"__wt",'SegEnds_Xtal_BW#'!$A:$Z,5,FALSE)</f>
        <v>48</v>
      </c>
      <c r="F91" s="1">
        <f>VLOOKUP($B91&amp;"__wt",'SegEnds_Xtal_BW#'!$A:$Z,6,FALSE)</f>
        <v>51</v>
      </c>
      <c r="G91" s="1">
        <v>37</v>
      </c>
      <c r="H91" s="12">
        <v>66</v>
      </c>
      <c r="I91" s="1">
        <f>VLOOKUP($B91&amp;"__wt",'SegEnds_Xtal_BW#'!$A:$Z,9,FALSE)</f>
        <v>49</v>
      </c>
      <c r="J91" s="1">
        <f>VLOOKUP($B91&amp;"__wt",'SegEnds_Xtal_BW#'!$A:$Z,10,FALSE)</f>
        <v>52</v>
      </c>
      <c r="K91" s="12">
        <v>24</v>
      </c>
      <c r="L91" s="1">
        <f>VLOOKUP($B91&amp;"__wt",'SegEnds_Xtal_BW#'!$A:$Z,12,FALSE)</f>
        <v>56</v>
      </c>
      <c r="M91" s="1">
        <f>VLOOKUP($B91&amp;"__wt",'SegEnds_Xtal_BW#'!$A:$Z,13,FALSE)</f>
        <v>50</v>
      </c>
      <c r="N91" s="12">
        <v>57</v>
      </c>
      <c r="O91" s="89">
        <v>38</v>
      </c>
      <c r="P91" s="1">
        <f>VLOOKUP($B91&amp;"__wt",'SegEnds_Xtal_BW#'!$A:$Z,16,FALSE)</f>
        <v>64</v>
      </c>
      <c r="Q91" s="1">
        <f>VLOOKUP($B91&amp;"__wt",'SegEnds_Xtal_BW#'!$A:$Z,17,FALSE)</f>
        <v>50</v>
      </c>
      <c r="R91" s="1">
        <f>VLOOKUP($B91&amp;"__wt",'SegEnds_Xtal_BW#'!$A:$Z,18,FALSE)</f>
        <v>52</v>
      </c>
      <c r="S91" s="1">
        <f>VLOOKUP($B91&amp;"__wt",'SegEnds_Xtal_BW#'!$A:$Z,19,FALSE)</f>
        <v>32</v>
      </c>
      <c r="T91" s="1">
        <f t="array" ref="T91">INDEX('ICL3'!$G$2:$G$40,MATCH(MIN(ABS(AH91-'ICL3'!$F$2:$F$40)),ABS(AH91-'ICL3'!$F$2:$F$40),0))</f>
        <v>68</v>
      </c>
      <c r="U91" s="1">
        <f t="array" ref="U91">INDEX('ICL3'!$H$2:$H$40,MATCH(MIN(ABS(AH91-'ICL3'!$F$2:$F$40)),ABS(AH91-'ICL3'!$F$2:$F$40),0))</f>
        <v>30</v>
      </c>
      <c r="V91" s="1">
        <v>64</v>
      </c>
      <c r="W91" s="1">
        <v>24</v>
      </c>
      <c r="X91" s="1">
        <f>VLOOKUP($B91&amp;"__wt",'SegEnds_Xtal_BW#'!$A:$Z,24,FALSE)</f>
        <v>56</v>
      </c>
      <c r="Y91" s="1">
        <f>VLOOKUP($B91&amp;"__wt",'SegEnds_Xtal_BW#'!$A:$Z,25,FALSE)</f>
        <v>47</v>
      </c>
      <c r="Z91" s="1">
        <f>VLOOKUP($B91&amp;"__wt",'SegEnds_Xtal_BW#'!$A:$Z,26,FALSE)</f>
        <v>59</v>
      </c>
      <c r="AA91" s="27" t="str">
        <f>VLOOKUP(A91,Classification!A:B,2,FALSE)</f>
        <v>A</v>
      </c>
      <c r="AB91" s="1">
        <f>VLOOKUP(A91,'SegEnds_NonXtal_Prot#'!A:AL,10,FALSE)-VLOOKUP(A91,'SegEnds_NonXtal_Prot#'!A:AL,7,FALSE)</f>
        <v>15</v>
      </c>
      <c r="AC91" s="1">
        <f>VLOOKUP(A91,'SegEnds_NonXtal_Prot#'!A:AL,13,FALSE)-VLOOKUP(A91,'SegEnds_NonXtal_Prot#'!A:AL,10,FALSE)</f>
        <v>18</v>
      </c>
      <c r="AD91" s="1">
        <f>VLOOKUP(A91,'SegEnds_NonXtal_Prot#'!A:AL,16,FALSE)-VLOOKUP(A91,'SegEnds_NonXtal_Prot#'!A:AL,10,FALSE)</f>
        <v>50</v>
      </c>
      <c r="AE91" s="1">
        <f>VLOOKUP(A91,'SegEnds_NonXtal_Prot#'!A:AL,22,FALSE)-VLOOKUP(A91,'SegEnds_NonXtal_Prot#'!A:AL,19,FALSE)</f>
        <v>20</v>
      </c>
      <c r="AF91" s="1">
        <f>VLOOKUP(A91,'SegEnds_NonXtal_Prot#'!A:AL,28,FALSE)-VLOOKUP(A91,'SegEnds_NonXtal_Prot#'!A:AL,25,FALSE)</f>
        <v>24</v>
      </c>
      <c r="AG91" s="1">
        <f>VLOOKUP(A91,'SegEnds_NonXtal_Prot#'!A:AL,28,FALSE)-VLOOKUP(A91,'SegEnds_NonXtal_Prot#'!A:AL,22,FALSE)</f>
        <v>51</v>
      </c>
      <c r="AH91" s="1">
        <f>VLOOKUP(A91,'SegEnds_NonXtal_Prot#'!A:AL,31,FALSE)-VLOOKUP(A91,'SegEnds_NonXtal_Prot#'!A:AL,28,FALSE)</f>
        <v>43</v>
      </c>
      <c r="AI91" s="1">
        <f>VLOOKUP(A91,'SegEnds_NonXtal_Prot#'!A:AL,34,FALSE)-VLOOKUP(A91,'SegEnds_NonXtal_Prot#'!A:AL,31,FALSE)</f>
        <v>45</v>
      </c>
      <c r="AJ91" s="1" t="str">
        <f>IF(ISERROR(MATCH(A91,'SegEnds_Xtal_Prot#'!B:B, 0)), "NoXtal", "Xtal")</f>
        <v>NoXtal</v>
      </c>
    </row>
    <row r="92" spans="1:36" x14ac:dyDescent="0.2">
      <c r="A92" s="1" t="s">
        <v>1172</v>
      </c>
      <c r="B92" s="1" t="str">
        <f>VLOOKUP(A92,Xtal_Templ!A:B,2,FALSE)</f>
        <v>cxcr4_human</v>
      </c>
      <c r="C92" s="5">
        <f>VLOOKUP($B92&amp;"__wt",'SegEnds_Xtal_BW#'!$A:$Z,3,FALSE)</f>
        <v>24</v>
      </c>
      <c r="D92" s="1">
        <f>VLOOKUP($B92&amp;"__wt",'SegEnds_Xtal_BW#'!$A:$Z,4,FALSE)</f>
        <v>60</v>
      </c>
      <c r="E92" s="1">
        <f>VLOOKUP($B92&amp;"__wt",'SegEnds_Xtal_BW#'!$A:$Z,5,FALSE)</f>
        <v>48</v>
      </c>
      <c r="F92" s="1">
        <f>VLOOKUP($B92&amp;"__wt",'SegEnds_Xtal_BW#'!$A:$Z,6,FALSE)</f>
        <v>51</v>
      </c>
      <c r="G92" s="1">
        <v>37</v>
      </c>
      <c r="H92" s="12">
        <v>66</v>
      </c>
      <c r="I92" s="1">
        <f>VLOOKUP($B92&amp;"__wt",'SegEnds_Xtal_BW#'!$A:$Z,9,FALSE)</f>
        <v>49</v>
      </c>
      <c r="J92" s="1">
        <f>VLOOKUP($B92&amp;"__wt",'SegEnds_Xtal_BW#'!$A:$Z,10,FALSE)</f>
        <v>52</v>
      </c>
      <c r="K92" s="12">
        <v>24</v>
      </c>
      <c r="L92" s="1">
        <f>VLOOKUP($B92&amp;"__wt",'SegEnds_Xtal_BW#'!$A:$Z,12,FALSE)</f>
        <v>56</v>
      </c>
      <c r="M92" s="1">
        <f>VLOOKUP($B92&amp;"__wt",'SegEnds_Xtal_BW#'!$A:$Z,13,FALSE)</f>
        <v>50</v>
      </c>
      <c r="N92" s="12">
        <f>VLOOKUP($B92&amp;"__wt",'SegEnds_Xtal_BW#'!$A:$Z,14,FALSE)</f>
        <v>57</v>
      </c>
      <c r="O92" s="89">
        <f>VLOOKUP($B92&amp;"__wt",'SegEnds_Xtal_BW#'!$A:$Z,15,FALSE)</f>
        <v>38</v>
      </c>
      <c r="P92" s="1">
        <f>VLOOKUP($B92&amp;"__wt",'SegEnds_Xtal_BW#'!$A:$Z,16,FALSE)</f>
        <v>64</v>
      </c>
      <c r="Q92" s="1">
        <f>VLOOKUP($B92&amp;"__wt",'SegEnds_Xtal_BW#'!$A:$Z,17,FALSE)</f>
        <v>50</v>
      </c>
      <c r="R92" s="1">
        <f>VLOOKUP($B92&amp;"__wt",'SegEnds_Xtal_BW#'!$A:$Z,18,FALSE)</f>
        <v>52</v>
      </c>
      <c r="S92" s="1">
        <f>VLOOKUP($B92&amp;"__wt",'SegEnds_Xtal_BW#'!$A:$Z,19,FALSE)</f>
        <v>32</v>
      </c>
      <c r="T92" s="1">
        <f t="array" ref="T92">INDEX('ICL3'!$G$2:$G$40,MATCH(MIN(ABS(AH92-'ICL3'!$F$2:$F$40)),ABS(AH92-'ICL3'!$F$2:$F$40),0))</f>
        <v>68</v>
      </c>
      <c r="U92" s="1">
        <f t="array" ref="U92">INDEX('ICL3'!$H$2:$H$40,MATCH(MIN(ABS(AH92-'ICL3'!$F$2:$F$40)),ABS(AH92-'ICL3'!$F$2:$F$40),0))</f>
        <v>30</v>
      </c>
      <c r="V92" s="1">
        <v>64</v>
      </c>
      <c r="W92" s="1">
        <v>24</v>
      </c>
      <c r="X92" s="1">
        <f>VLOOKUP($B92&amp;"__wt",'SegEnds_Xtal_BW#'!$A:$Z,24,FALSE)</f>
        <v>56</v>
      </c>
      <c r="Y92" s="1">
        <f>VLOOKUP($B92&amp;"__wt",'SegEnds_Xtal_BW#'!$A:$Z,25,FALSE)</f>
        <v>47</v>
      </c>
      <c r="Z92" s="1">
        <f>VLOOKUP($B92&amp;"__wt",'SegEnds_Xtal_BW#'!$A:$Z,26,FALSE)</f>
        <v>59</v>
      </c>
      <c r="AA92" s="27" t="str">
        <f>VLOOKUP(A92,Classification!A:B,2,FALSE)</f>
        <v>A</v>
      </c>
      <c r="AB92" s="1">
        <f>VLOOKUP(A92,'SegEnds_NonXtal_Prot#'!A:AL,10,FALSE)-VLOOKUP(A92,'SegEnds_NonXtal_Prot#'!A:AL,7,FALSE)</f>
        <v>15</v>
      </c>
      <c r="AC92" s="1">
        <f>VLOOKUP(A92,'SegEnds_NonXtal_Prot#'!A:AL,13,FALSE)-VLOOKUP(A92,'SegEnds_NonXtal_Prot#'!A:AL,10,FALSE)</f>
        <v>18</v>
      </c>
      <c r="AD92" s="1">
        <f>VLOOKUP(A92,'SegEnds_NonXtal_Prot#'!A:AL,16,FALSE)-VLOOKUP(A92,'SegEnds_NonXtal_Prot#'!A:AL,10,FALSE)</f>
        <v>50</v>
      </c>
      <c r="AE92" s="1">
        <f>VLOOKUP(A92,'SegEnds_NonXtal_Prot#'!A:AL,22,FALSE)-VLOOKUP(A92,'SegEnds_NonXtal_Prot#'!A:AL,19,FALSE)</f>
        <v>20</v>
      </c>
      <c r="AF92" s="1">
        <f>VLOOKUP(A92,'SegEnds_NonXtal_Prot#'!A:AL,28,FALSE)-VLOOKUP(A92,'SegEnds_NonXtal_Prot#'!A:AL,25,FALSE)</f>
        <v>25</v>
      </c>
      <c r="AG92" s="1">
        <f>VLOOKUP(A92,'SegEnds_NonXtal_Prot#'!A:AL,28,FALSE)-VLOOKUP(A92,'SegEnds_NonXtal_Prot#'!A:AL,22,FALSE)</f>
        <v>50</v>
      </c>
      <c r="AH92" s="1">
        <f>VLOOKUP(A92,'SegEnds_NonXtal_Prot#'!A:AL,31,FALSE)-VLOOKUP(A92,'SegEnds_NonXtal_Prot#'!A:AL,28,FALSE)</f>
        <v>43</v>
      </c>
      <c r="AI92" s="1">
        <f>VLOOKUP(A92,'SegEnds_NonXtal_Prot#'!A:AL,34,FALSE)-VLOOKUP(A92,'SegEnds_NonXtal_Prot#'!A:AL,31,FALSE)</f>
        <v>45</v>
      </c>
      <c r="AJ92" s="1" t="str">
        <f>IF(ISERROR(MATCH(A92,'SegEnds_Xtal_Prot#'!B:B, 0)), "NoXtal", "Xtal")</f>
        <v>Xtal</v>
      </c>
    </row>
    <row r="93" spans="1:36" x14ac:dyDescent="0.2">
      <c r="A93" s="1" t="s">
        <v>188</v>
      </c>
      <c r="B93" s="1" t="str">
        <f>VLOOKUP(A93,Xtal_Templ!A:B,2,FALSE)</f>
        <v>cxcr4_human</v>
      </c>
      <c r="C93" s="5">
        <f>VLOOKUP($B93&amp;"__wt",'SegEnds_Xtal_BW#'!$A:$Z,3,FALSE)</f>
        <v>24</v>
      </c>
      <c r="D93" s="1">
        <f>VLOOKUP($B93&amp;"__wt",'SegEnds_Xtal_BW#'!$A:$Z,4,FALSE)</f>
        <v>60</v>
      </c>
      <c r="E93" s="1">
        <f>VLOOKUP($B93&amp;"__wt",'SegEnds_Xtal_BW#'!$A:$Z,5,FALSE)</f>
        <v>48</v>
      </c>
      <c r="F93" s="1">
        <f>VLOOKUP($B93&amp;"__wt",'SegEnds_Xtal_BW#'!$A:$Z,6,FALSE)</f>
        <v>51</v>
      </c>
      <c r="G93" s="1">
        <v>37</v>
      </c>
      <c r="H93" s="12">
        <v>66</v>
      </c>
      <c r="I93" s="1">
        <f>VLOOKUP($B93&amp;"__wt",'SegEnds_Xtal_BW#'!$A:$Z,9,FALSE)</f>
        <v>49</v>
      </c>
      <c r="J93" s="1">
        <f>VLOOKUP($B93&amp;"__wt",'SegEnds_Xtal_BW#'!$A:$Z,10,FALSE)</f>
        <v>52</v>
      </c>
      <c r="K93" s="12">
        <v>24</v>
      </c>
      <c r="L93" s="1">
        <f>VLOOKUP($B93&amp;"__wt",'SegEnds_Xtal_BW#'!$A:$Z,12,FALSE)</f>
        <v>56</v>
      </c>
      <c r="M93" s="1">
        <f>VLOOKUP($B93&amp;"__wt",'SegEnds_Xtal_BW#'!$A:$Z,13,FALSE)</f>
        <v>50</v>
      </c>
      <c r="N93" s="12">
        <v>57</v>
      </c>
      <c r="O93" s="89">
        <v>38</v>
      </c>
      <c r="P93" s="1">
        <f>VLOOKUP($B93&amp;"__wt",'SegEnds_Xtal_BW#'!$A:$Z,16,FALSE)</f>
        <v>64</v>
      </c>
      <c r="Q93" s="1">
        <f>VLOOKUP($B93&amp;"__wt",'SegEnds_Xtal_BW#'!$A:$Z,17,FALSE)</f>
        <v>50</v>
      </c>
      <c r="R93" s="1">
        <f>VLOOKUP($B93&amp;"__wt",'SegEnds_Xtal_BW#'!$A:$Z,18,FALSE)</f>
        <v>52</v>
      </c>
      <c r="S93" s="1">
        <f>VLOOKUP($B93&amp;"__wt",'SegEnds_Xtal_BW#'!$A:$Z,19,FALSE)</f>
        <v>32</v>
      </c>
      <c r="T93" s="1">
        <f t="array" ref="T93">INDEX('ICL3'!$G$2:$G$40,MATCH(MIN(ABS(AH93-'ICL3'!$F$2:$F$40)),ABS(AH93-'ICL3'!$F$2:$F$40),0))</f>
        <v>68</v>
      </c>
      <c r="U93" s="1">
        <f t="array" ref="U93">INDEX('ICL3'!$H$2:$H$40,MATCH(MIN(ABS(AH93-'ICL3'!$F$2:$F$40)),ABS(AH93-'ICL3'!$F$2:$F$40),0))</f>
        <v>28</v>
      </c>
      <c r="V93" s="1">
        <v>64</v>
      </c>
      <c r="W93" s="1">
        <v>24</v>
      </c>
      <c r="X93" s="1">
        <f>VLOOKUP($B93&amp;"__wt",'SegEnds_Xtal_BW#'!$A:$Z,24,FALSE)</f>
        <v>56</v>
      </c>
      <c r="Y93" s="1">
        <f>VLOOKUP($B93&amp;"__wt",'SegEnds_Xtal_BW#'!$A:$Z,25,FALSE)</f>
        <v>47</v>
      </c>
      <c r="Z93" s="1">
        <f>VLOOKUP($B93&amp;"__wt",'SegEnds_Xtal_BW#'!$A:$Z,26,FALSE)</f>
        <v>59</v>
      </c>
      <c r="AA93" s="27" t="str">
        <f>VLOOKUP(A93,Classification!A:B,2,FALSE)</f>
        <v>A</v>
      </c>
      <c r="AB93" s="1">
        <f>VLOOKUP(A93,'SegEnds_NonXtal_Prot#'!A:AL,10,FALSE)-VLOOKUP(A93,'SegEnds_NonXtal_Prot#'!A:AL,7,FALSE)</f>
        <v>15</v>
      </c>
      <c r="AC93" s="1">
        <f>VLOOKUP(A93,'SegEnds_NonXtal_Prot#'!A:AL,13,FALSE)-VLOOKUP(A93,'SegEnds_NonXtal_Prot#'!A:AL,10,FALSE)</f>
        <v>18</v>
      </c>
      <c r="AD93" s="1">
        <f>VLOOKUP(A93,'SegEnds_NonXtal_Prot#'!A:AL,16,FALSE)-VLOOKUP(A93,'SegEnds_NonXtal_Prot#'!A:AL,10,FALSE)</f>
        <v>50</v>
      </c>
      <c r="AE93" s="1">
        <f>VLOOKUP(A93,'SegEnds_NonXtal_Prot#'!A:AL,22,FALSE)-VLOOKUP(A93,'SegEnds_NonXtal_Prot#'!A:AL,19,FALSE)</f>
        <v>20</v>
      </c>
      <c r="AF93" s="1">
        <f>VLOOKUP(A93,'SegEnds_NonXtal_Prot#'!A:AL,28,FALSE)-VLOOKUP(A93,'SegEnds_NonXtal_Prot#'!A:AL,25,FALSE)</f>
        <v>28</v>
      </c>
      <c r="AG93" s="1">
        <f>VLOOKUP(A93,'SegEnds_NonXtal_Prot#'!A:AL,28,FALSE)-VLOOKUP(A93,'SegEnds_NonXtal_Prot#'!A:AL,22,FALSE)</f>
        <v>56</v>
      </c>
      <c r="AH93" s="1">
        <f>VLOOKUP(A93,'SegEnds_NonXtal_Prot#'!A:AL,31,FALSE)-VLOOKUP(A93,'SegEnds_NonXtal_Prot#'!A:AL,28,FALSE)</f>
        <v>44</v>
      </c>
      <c r="AI93" s="1">
        <f>VLOOKUP(A93,'SegEnds_NonXtal_Prot#'!A:AL,34,FALSE)-VLOOKUP(A93,'SegEnds_NonXtal_Prot#'!A:AL,31,FALSE)</f>
        <v>45</v>
      </c>
      <c r="AJ93" s="1" t="str">
        <f>IF(ISERROR(MATCH(A93,'SegEnds_Xtal_Prot#'!B:B, 0)), "NoXtal", "Xtal")</f>
        <v>NoXtal</v>
      </c>
    </row>
    <row r="94" spans="1:36" x14ac:dyDescent="0.2">
      <c r="A94" s="1" t="s">
        <v>190</v>
      </c>
      <c r="B94" s="1" t="str">
        <f>VLOOKUP(A94,Xtal_Templ!A:B,2,FALSE)</f>
        <v>adrb2_human</v>
      </c>
      <c r="C94" s="5">
        <f>VLOOKUP($B94&amp;"__wt",'SegEnds_Xtal_BW#'!$A:$Z,3,FALSE)</f>
        <v>25</v>
      </c>
      <c r="D94" s="1">
        <f>VLOOKUP($B94&amp;"__wt",'SegEnds_Xtal_BW#'!$A:$Z,4,FALSE)</f>
        <v>60</v>
      </c>
      <c r="E94" s="1">
        <f>VLOOKUP($B94&amp;"__wt",'SegEnds_Xtal_BW#'!$A:$Z,5,FALSE)</f>
        <v>48</v>
      </c>
      <c r="F94" s="1">
        <f>VLOOKUP($B94&amp;"__wt",'SegEnds_Xtal_BW#'!$A:$Z,6,FALSE)</f>
        <v>51</v>
      </c>
      <c r="G94" s="1">
        <v>37</v>
      </c>
      <c r="H94" s="12">
        <v>66</v>
      </c>
      <c r="I94" s="1">
        <f>VLOOKUP($B94&amp;"__wt",'SegEnds_Xtal_BW#'!$A:$Z,9,FALSE)</f>
        <v>49</v>
      </c>
      <c r="J94" s="1">
        <f>VLOOKUP($B94&amp;"__wt",'SegEnds_Xtal_BW#'!$A:$Z,10,FALSE)</f>
        <v>52</v>
      </c>
      <c r="K94" s="12">
        <v>21</v>
      </c>
      <c r="L94" s="1">
        <f>VLOOKUP($B94&amp;"__wt",'SegEnds_Xtal_BW#'!$A:$Z,12,FALSE)</f>
        <v>56</v>
      </c>
      <c r="M94" s="1">
        <f>VLOOKUP($B94&amp;"__wt",'SegEnds_Xtal_BW#'!$A:$Z,13,FALSE)</f>
        <v>50</v>
      </c>
      <c r="N94" s="12">
        <v>57</v>
      </c>
      <c r="O94" s="89">
        <v>38</v>
      </c>
      <c r="P94" s="1">
        <f>VLOOKUP($B94&amp;"__wt",'SegEnds_Xtal_BW#'!$A:$Z,16,FALSE)</f>
        <v>64</v>
      </c>
      <c r="Q94" s="1">
        <f>VLOOKUP($B94&amp;"__wt",'SegEnds_Xtal_BW#'!$A:$Z,17,FALSE)</f>
        <v>50</v>
      </c>
      <c r="R94" s="1">
        <f>VLOOKUP($B94&amp;"__wt",'SegEnds_Xtal_BW#'!$A:$Z,18,FALSE)</f>
        <v>52</v>
      </c>
      <c r="S94" s="1">
        <v>35</v>
      </c>
      <c r="T94" s="1">
        <f t="array" ref="T94">INDEX('ICL3'!$G$2:$G$40,MATCH(MIN(ABS(AH94-'ICL3'!$F$2:$F$40)),ABS(AH94-'ICL3'!$F$2:$F$40),0))</f>
        <v>76</v>
      </c>
      <c r="U94" s="1">
        <f t="array" ref="U94">INDEX('ICL3'!$H$2:$H$40,MATCH(MIN(ABS(AH94-'ICL3'!$F$2:$F$40)),ABS(AH94-'ICL3'!$F$2:$F$40),0))</f>
        <v>24</v>
      </c>
      <c r="V94" s="1">
        <v>61</v>
      </c>
      <c r="W94" s="1">
        <v>28</v>
      </c>
      <c r="X94" s="1">
        <f>VLOOKUP($B94&amp;"__wt",'SegEnds_Xtal_BW#'!$A:$Z,24,FALSE)</f>
        <v>55</v>
      </c>
      <c r="Y94" s="1">
        <f>VLOOKUP($B94&amp;"__wt",'SegEnds_Xtal_BW#'!$A:$Z,25,FALSE)</f>
        <v>47</v>
      </c>
      <c r="Z94" s="1">
        <f>VLOOKUP($B94&amp;"__wt",'SegEnds_Xtal_BW#'!$A:$Z,26,FALSE)</f>
        <v>59</v>
      </c>
      <c r="AA94" s="27" t="str">
        <f>VLOOKUP(A94,Classification!A:B,2,FALSE)</f>
        <v>A</v>
      </c>
      <c r="AB94" s="1">
        <f>VLOOKUP(A94,'SegEnds_NonXtal_Prot#'!A:AL,10,FALSE)-VLOOKUP(A94,'SegEnds_NonXtal_Prot#'!A:AL,7,FALSE)</f>
        <v>16</v>
      </c>
      <c r="AC94" s="1">
        <f>VLOOKUP(A94,'SegEnds_NonXtal_Prot#'!A:AL,13,FALSE)-VLOOKUP(A94,'SegEnds_NonXtal_Prot#'!A:AL,10,FALSE)</f>
        <v>20</v>
      </c>
      <c r="AD94" s="1">
        <f>VLOOKUP(A94,'SegEnds_NonXtal_Prot#'!A:AL,16,FALSE)-VLOOKUP(A94,'SegEnds_NonXtal_Prot#'!A:AL,10,FALSE)</f>
        <v>51</v>
      </c>
      <c r="AE94" s="1">
        <f>VLOOKUP(A94,'SegEnds_NonXtal_Prot#'!A:AL,22,FALSE)-VLOOKUP(A94,'SegEnds_NonXtal_Prot#'!A:AL,19,FALSE)</f>
        <v>20</v>
      </c>
      <c r="AF94" s="1">
        <f>VLOOKUP(A94,'SegEnds_NonXtal_Prot#'!A:AL,28,FALSE)-VLOOKUP(A94,'SegEnds_NonXtal_Prot#'!A:AL,25,FALSE)</f>
        <v>20</v>
      </c>
      <c r="AG94" s="1">
        <f>VLOOKUP(A94,'SegEnds_NonXtal_Prot#'!A:AL,28,FALSE)-VLOOKUP(A94,'SegEnds_NonXtal_Prot#'!A:AL,22,FALSE)</f>
        <v>58</v>
      </c>
      <c r="AH94" s="1">
        <f>VLOOKUP(A94,'SegEnds_NonXtal_Prot#'!A:AL,31,FALSE)-VLOOKUP(A94,'SegEnds_NonXtal_Prot#'!A:AL,28,FALSE)</f>
        <v>81</v>
      </c>
      <c r="AI94" s="1">
        <f>VLOOKUP(A94,'SegEnds_NonXtal_Prot#'!A:AL,34,FALSE)-VLOOKUP(A94,'SegEnds_NonXtal_Prot#'!A:AL,31,FALSE)</f>
        <v>41</v>
      </c>
      <c r="AJ94" s="1" t="str">
        <f>IF(ISERROR(MATCH(A94,'SegEnds_Xtal_Prot#'!B:B, 0)), "NoXtal", "Xtal")</f>
        <v>NoXtal</v>
      </c>
    </row>
    <row r="95" spans="1:36" x14ac:dyDescent="0.2">
      <c r="A95" s="1" t="s">
        <v>193</v>
      </c>
      <c r="B95" s="1" t="str">
        <f>VLOOKUP(A95,Xtal_Templ!A:B,2,FALSE)</f>
        <v>drd3_human</v>
      </c>
      <c r="C95" s="5">
        <f>VLOOKUP($B95&amp;"__wt",'SegEnds_Xtal_BW#'!$A:$Z,3,FALSE)</f>
        <v>29</v>
      </c>
      <c r="D95" s="1">
        <f>VLOOKUP($B95&amp;"__wt",'SegEnds_Xtal_BW#'!$A:$Z,4,FALSE)</f>
        <v>60</v>
      </c>
      <c r="E95" s="1">
        <f>VLOOKUP($B95&amp;"__wt",'SegEnds_Xtal_BW#'!$A:$Z,5,FALSE)</f>
        <v>48</v>
      </c>
      <c r="F95" s="1">
        <f>VLOOKUP($B95&amp;"__wt",'SegEnds_Xtal_BW#'!$A:$Z,6,FALSE)</f>
        <v>51</v>
      </c>
      <c r="G95" s="1">
        <v>37</v>
      </c>
      <c r="H95" s="12">
        <f>VLOOKUP($B95&amp;"__wt",'SegEnds_Xtal_BW#'!$A:$Z,8,FALSE)</f>
        <v>67</v>
      </c>
      <c r="I95" s="1">
        <f>VLOOKUP($B95&amp;"__wt",'SegEnds_Xtal_BW#'!$A:$Z,9,FALSE)</f>
        <v>49</v>
      </c>
      <c r="J95" s="1">
        <f>VLOOKUP($B95&amp;"__wt",'SegEnds_Xtal_BW#'!$A:$Z,10,FALSE)</f>
        <v>52</v>
      </c>
      <c r="K95" s="12">
        <v>18</v>
      </c>
      <c r="L95" s="1">
        <f>VLOOKUP($B95&amp;"__wt",'SegEnds_Xtal_BW#'!$A:$Z,12,FALSE)</f>
        <v>56</v>
      </c>
      <c r="M95" s="1">
        <f>VLOOKUP($B95&amp;"__wt",'SegEnds_Xtal_BW#'!$A:$Z,13,FALSE)</f>
        <v>50</v>
      </c>
      <c r="N95" s="12">
        <v>57</v>
      </c>
      <c r="O95" s="89">
        <f>VLOOKUP($B95&amp;"__wt",'SegEnds_Xtal_BW#'!$A:$Z,15,FALSE)</f>
        <v>38</v>
      </c>
      <c r="P95" s="1">
        <f>VLOOKUP($B95&amp;"__wt",'SegEnds_Xtal_BW#'!$A:$Z,16,FALSE)</f>
        <v>63</v>
      </c>
      <c r="Q95" s="1">
        <f>VLOOKUP($B95&amp;"__wt",'SegEnds_Xtal_BW#'!$A:$Z,17,FALSE)</f>
        <v>50</v>
      </c>
      <c r="R95" s="1">
        <f>VLOOKUP($B95&amp;"__wt",'SegEnds_Xtal_BW#'!$A:$Z,18,FALSE)</f>
        <v>52</v>
      </c>
      <c r="S95" s="1">
        <v>35</v>
      </c>
      <c r="T95" s="1">
        <f t="array" ref="T95">INDEX('ICL3'!$G$2:$G$40,MATCH(MIN(ABS(AH95-'ICL3'!$F$2:$F$40)),ABS(AH95-'ICL3'!$F$2:$F$40),0))</f>
        <v>75</v>
      </c>
      <c r="U95" s="1">
        <f t="array" ref="U95">INDEX('ICL3'!$H$2:$H$40,MATCH(MIN(ABS(AH95-'ICL3'!$F$2:$F$40)),ABS(AH95-'ICL3'!$F$2:$F$40),0))</f>
        <v>24</v>
      </c>
      <c r="V95" s="1">
        <v>60</v>
      </c>
      <c r="W95" s="1">
        <v>31</v>
      </c>
      <c r="X95" s="1">
        <f>VLOOKUP($B95&amp;"__wt",'SegEnds_Xtal_BW#'!$A:$Z,24,FALSE)</f>
        <v>56</v>
      </c>
      <c r="Y95" s="1">
        <f>VLOOKUP($B95&amp;"__wt",'SegEnds_Xtal_BW#'!$A:$Z,25,FALSE)</f>
        <v>47</v>
      </c>
      <c r="Z95" s="1">
        <f>VLOOKUP($B95&amp;"__wt",'SegEnds_Xtal_BW#'!$A:$Z,26,FALSE)</f>
        <v>59</v>
      </c>
      <c r="AA95" s="27" t="str">
        <f>VLOOKUP(A95,Classification!A:B,2,FALSE)</f>
        <v>A</v>
      </c>
      <c r="AB95" s="1">
        <f>VLOOKUP(A95,'SegEnds_NonXtal_Prot#'!A:AL,10,FALSE)-VLOOKUP(A95,'SegEnds_NonXtal_Prot#'!A:AL,7,FALSE)</f>
        <v>15</v>
      </c>
      <c r="AC95" s="1">
        <f>VLOOKUP(A95,'SegEnds_NonXtal_Prot#'!A:AL,13,FALSE)-VLOOKUP(A95,'SegEnds_NonXtal_Prot#'!A:AL,10,FALSE)</f>
        <v>21</v>
      </c>
      <c r="AD95" s="1">
        <f>VLOOKUP(A95,'SegEnds_NonXtal_Prot#'!A:AL,16,FALSE)-VLOOKUP(A95,'SegEnds_NonXtal_Prot#'!A:AL,10,FALSE)</f>
        <v>53</v>
      </c>
      <c r="AE95" s="1">
        <f>VLOOKUP(A95,'SegEnds_NonXtal_Prot#'!A:AL,22,FALSE)-VLOOKUP(A95,'SegEnds_NonXtal_Prot#'!A:AL,19,FALSE)</f>
        <v>20</v>
      </c>
      <c r="AF95" s="1">
        <f>VLOOKUP(A95,'SegEnds_NonXtal_Prot#'!A:AL,28,FALSE)-VLOOKUP(A95,'SegEnds_NonXtal_Prot#'!A:AL,25,FALSE)</f>
        <v>19</v>
      </c>
      <c r="AG95" s="1">
        <f>VLOOKUP(A95,'SegEnds_NonXtal_Prot#'!A:AL,28,FALSE)-VLOOKUP(A95,'SegEnds_NonXtal_Prot#'!A:AL,22,FALSE)</f>
        <v>44</v>
      </c>
      <c r="AH95" s="1">
        <f>VLOOKUP(A95,'SegEnds_NonXtal_Prot#'!A:AL,31,FALSE)-VLOOKUP(A95,'SegEnds_NonXtal_Prot#'!A:AL,28,FALSE)</f>
        <v>205</v>
      </c>
      <c r="AI95" s="1">
        <f>VLOOKUP(A95,'SegEnds_NonXtal_Prot#'!A:AL,34,FALSE)-VLOOKUP(A95,'SegEnds_NonXtal_Prot#'!A:AL,31,FALSE)</f>
        <v>36</v>
      </c>
      <c r="AJ95" s="1" t="str">
        <f>IF(ISERROR(MATCH(A95,'SegEnds_Xtal_Prot#'!B:B, 0)), "NoXtal", "Xtal")</f>
        <v>NoXtal</v>
      </c>
    </row>
    <row r="96" spans="1:36" x14ac:dyDescent="0.2">
      <c r="A96" s="1" t="s">
        <v>194</v>
      </c>
      <c r="B96" s="1" t="str">
        <f>VLOOKUP(A96,Xtal_Templ!A:B,2,FALSE)</f>
        <v>adrb2_human</v>
      </c>
      <c r="C96" s="5">
        <f>VLOOKUP($B96&amp;"__wt",'SegEnds_Xtal_BW#'!$A:$Z,3,FALSE)</f>
        <v>25</v>
      </c>
      <c r="D96" s="1">
        <f>VLOOKUP($B96&amp;"__wt",'SegEnds_Xtal_BW#'!$A:$Z,4,FALSE)</f>
        <v>60</v>
      </c>
      <c r="E96" s="1">
        <f>VLOOKUP($B96&amp;"__wt",'SegEnds_Xtal_BW#'!$A:$Z,5,FALSE)</f>
        <v>48</v>
      </c>
      <c r="F96" s="1">
        <f>VLOOKUP($B96&amp;"__wt",'SegEnds_Xtal_BW#'!$A:$Z,6,FALSE)</f>
        <v>51</v>
      </c>
      <c r="G96" s="1">
        <v>37</v>
      </c>
      <c r="H96" s="12">
        <v>66</v>
      </c>
      <c r="I96" s="1">
        <f>VLOOKUP($B96&amp;"__wt",'SegEnds_Xtal_BW#'!$A:$Z,9,FALSE)</f>
        <v>49</v>
      </c>
      <c r="J96" s="1">
        <f>VLOOKUP($B96&amp;"__wt",'SegEnds_Xtal_BW#'!$A:$Z,10,FALSE)</f>
        <v>52</v>
      </c>
      <c r="K96" s="12">
        <v>21</v>
      </c>
      <c r="L96" s="1">
        <f>VLOOKUP($B96&amp;"__wt",'SegEnds_Xtal_BW#'!$A:$Z,12,FALSE)</f>
        <v>56</v>
      </c>
      <c r="M96" s="1">
        <f>VLOOKUP($B96&amp;"__wt",'SegEnds_Xtal_BW#'!$A:$Z,13,FALSE)</f>
        <v>50</v>
      </c>
      <c r="N96" s="12">
        <v>57</v>
      </c>
      <c r="O96" s="89">
        <v>38</v>
      </c>
      <c r="P96" s="1">
        <f>VLOOKUP($B96&amp;"__wt",'SegEnds_Xtal_BW#'!$A:$Z,16,FALSE)</f>
        <v>64</v>
      </c>
      <c r="Q96" s="1">
        <f>VLOOKUP($B96&amp;"__wt",'SegEnds_Xtal_BW#'!$A:$Z,17,FALSE)</f>
        <v>50</v>
      </c>
      <c r="R96" s="1">
        <f>VLOOKUP($B96&amp;"__wt",'SegEnds_Xtal_BW#'!$A:$Z,18,FALSE)</f>
        <v>52</v>
      </c>
      <c r="S96" s="1">
        <v>35</v>
      </c>
      <c r="T96" s="1">
        <f t="array" ref="T96">INDEX('ICL3'!$G$2:$G$40,MATCH(MIN(ABS(AH96-'ICL3'!$F$2:$F$40)),ABS(AH96-'ICL3'!$F$2:$F$40),0))</f>
        <v>76</v>
      </c>
      <c r="U96" s="1">
        <f t="array" ref="U96">INDEX('ICL3'!$H$2:$H$40,MATCH(MIN(ABS(AH96-'ICL3'!$F$2:$F$40)),ABS(AH96-'ICL3'!$F$2:$F$40),0))</f>
        <v>24</v>
      </c>
      <c r="V96" s="1">
        <v>64</v>
      </c>
      <c r="W96" s="1">
        <v>24</v>
      </c>
      <c r="X96" s="6">
        <f>VLOOKUP($B96&amp;"__wt",'SegEnds_Xtal_BW#'!$A:$Z,24,FALSE)</f>
        <v>55</v>
      </c>
      <c r="Y96" s="1">
        <f>VLOOKUP($B96&amp;"__wt",'SegEnds_Xtal_BW#'!$A:$Z,25,FALSE)</f>
        <v>47</v>
      </c>
      <c r="Z96" s="1">
        <f>VLOOKUP($B96&amp;"__wt",'SegEnds_Xtal_BW#'!$A:$Z,26,FALSE)</f>
        <v>59</v>
      </c>
      <c r="AA96" s="27" t="str">
        <f>VLOOKUP(A96,Classification!A:B,2,FALSE)</f>
        <v>A</v>
      </c>
      <c r="AB96" s="1">
        <f>VLOOKUP(A96,'SegEnds_NonXtal_Prot#'!A:AL,10,FALSE)-VLOOKUP(A96,'SegEnds_NonXtal_Prot#'!A:AL,7,FALSE)</f>
        <v>16</v>
      </c>
      <c r="AC96" s="1">
        <f>VLOOKUP(A96,'SegEnds_NonXtal_Prot#'!A:AL,13,FALSE)-VLOOKUP(A96,'SegEnds_NonXtal_Prot#'!A:AL,10,FALSE)</f>
        <v>20</v>
      </c>
      <c r="AD96" s="1">
        <f>VLOOKUP(A96,'SegEnds_NonXtal_Prot#'!A:AL,16,FALSE)-VLOOKUP(A96,'SegEnds_NonXtal_Prot#'!A:AL,10,FALSE)</f>
        <v>51</v>
      </c>
      <c r="AE96" s="1">
        <f>VLOOKUP(A96,'SegEnds_NonXtal_Prot#'!A:AL,22,FALSE)-VLOOKUP(A96,'SegEnds_NonXtal_Prot#'!A:AL,19,FALSE)</f>
        <v>20</v>
      </c>
      <c r="AF96" s="1">
        <f>VLOOKUP(A96,'SegEnds_NonXtal_Prot#'!A:AL,28,FALSE)-VLOOKUP(A96,'SegEnds_NonXtal_Prot#'!A:AL,25,FALSE)</f>
        <v>20</v>
      </c>
      <c r="AG96" s="1">
        <f>VLOOKUP(A96,'SegEnds_NonXtal_Prot#'!A:AL,28,FALSE)-VLOOKUP(A96,'SegEnds_NonXtal_Prot#'!A:AL,22,FALSE)</f>
        <v>72</v>
      </c>
      <c r="AH96" s="1">
        <f>VLOOKUP(A96,'SegEnds_NonXtal_Prot#'!A:AL,31,FALSE)-VLOOKUP(A96,'SegEnds_NonXtal_Prot#'!A:AL,28,FALSE)</f>
        <v>74</v>
      </c>
      <c r="AI96" s="1">
        <f>VLOOKUP(A96,'SegEnds_NonXtal_Prot#'!A:AL,34,FALSE)-VLOOKUP(A96,'SegEnds_NonXtal_Prot#'!A:AL,31,FALSE)</f>
        <v>45</v>
      </c>
      <c r="AJ96" s="1" t="str">
        <f>IF(ISERROR(MATCH(A96,'SegEnds_Xtal_Prot#'!B:B, 0)), "NoXtal", "Xtal")</f>
        <v>NoXtal</v>
      </c>
    </row>
    <row r="97" spans="1:36" x14ac:dyDescent="0.2">
      <c r="A97" s="1" t="s">
        <v>195</v>
      </c>
      <c r="B97" s="1" t="str">
        <f>VLOOKUP(A97,Xtal_Templ!A:B,2,FALSE)</f>
        <v>ednrb_human</v>
      </c>
      <c r="C97" s="5">
        <f>VLOOKUP($B97&amp;"__wt",'SegEnds_Xtal_BW#'!$A:$Z,3,FALSE)</f>
        <v>22</v>
      </c>
      <c r="D97" s="1">
        <f>VLOOKUP($B97&amp;"__wt",'SegEnds_Xtal_BW#'!$A:$Z,4,FALSE)</f>
        <v>60</v>
      </c>
      <c r="E97" s="1">
        <f>VLOOKUP($B97&amp;"__wt",'SegEnds_Xtal_BW#'!$A:$Z,5,FALSE)</f>
        <v>48</v>
      </c>
      <c r="F97" s="1">
        <f>VLOOKUP($B97&amp;"__wt",'SegEnds_Xtal_BW#'!$A:$Z,6,FALSE)</f>
        <v>52</v>
      </c>
      <c r="G97" s="1">
        <v>38</v>
      </c>
      <c r="H97" s="12">
        <v>67</v>
      </c>
      <c r="I97" s="1">
        <f>VLOOKUP($B97&amp;"__wt",'SegEnds_Xtal_BW#'!$A:$Z,9,FALSE)</f>
        <v>49</v>
      </c>
      <c r="J97" s="1">
        <f>VLOOKUP($B97&amp;"__wt",'SegEnds_Xtal_BW#'!$A:$Z,10,FALSE)</f>
        <v>52</v>
      </c>
      <c r="K97" s="9">
        <v>21</v>
      </c>
      <c r="L97" s="1">
        <f>VLOOKUP($B97&amp;"__wt",'SegEnds_Xtal_BW#'!$A:$Z,12,FALSE)</f>
        <v>56</v>
      </c>
      <c r="M97" s="1">
        <f>VLOOKUP($B97&amp;"__wt",'SegEnds_Xtal_BW#'!$A:$Z,13,FALSE)</f>
        <v>50</v>
      </c>
      <c r="N97" s="12">
        <v>57</v>
      </c>
      <c r="O97" s="89">
        <f>VLOOKUP($B97&amp;"__wt",'SegEnds_Xtal_BW#'!$A:$Z,15,FALSE)</f>
        <v>38</v>
      </c>
      <c r="P97" s="1">
        <f>VLOOKUP($B97&amp;"__wt",'SegEnds_Xtal_BW#'!$A:$Z,16,FALSE)</f>
        <v>64</v>
      </c>
      <c r="Q97" s="1">
        <f>VLOOKUP($B97&amp;"__wt",'SegEnds_Xtal_BW#'!$A:$Z,17,FALSE)</f>
        <v>50</v>
      </c>
      <c r="R97" s="1">
        <f>VLOOKUP($B97&amp;"__wt",'SegEnds_Xtal_BW#'!$A:$Z,18,FALSE)</f>
        <v>52</v>
      </c>
      <c r="S97" s="1">
        <f>VLOOKUP($B97&amp;"__wt",'SegEnds_Xtal_BW#'!$A:$Z,19,FALSE)</f>
        <v>29</v>
      </c>
      <c r="T97" s="1">
        <f t="array" ref="T97">INDEX('ICL3'!$G$2:$G$40,MATCH(MIN(ABS(AH97-'ICL3'!$F$2:$F$40)),ABS(AH97-'ICL3'!$F$2:$F$40),0))</f>
        <v>72</v>
      </c>
      <c r="U97" s="1">
        <f t="array" ref="U97">INDEX('ICL3'!$H$2:$H$40,MATCH(MIN(ABS(AH97-'ICL3'!$F$2:$F$40)),ABS(AH97-'ICL3'!$F$2:$F$40),0))</f>
        <v>24</v>
      </c>
      <c r="V97" s="1">
        <v>62</v>
      </c>
      <c r="W97" s="1">
        <v>24</v>
      </c>
      <c r="X97" s="1">
        <f>VLOOKUP($B97&amp;"__wt",'SegEnds_Xtal_BW#'!$A:$Z,24,FALSE)</f>
        <v>56</v>
      </c>
      <c r="Y97" s="1">
        <f>VLOOKUP($B97&amp;"__wt",'SegEnds_Xtal_BW#'!$A:$Z,25,FALSE)</f>
        <v>47</v>
      </c>
      <c r="Z97" s="1">
        <f>VLOOKUP($B97&amp;"__wt",'SegEnds_Xtal_BW#'!$A:$Z,26,FALSE)</f>
        <v>60</v>
      </c>
      <c r="AA97" s="27" t="str">
        <f>VLOOKUP(A97,Classification!A:B,2,FALSE)</f>
        <v>A</v>
      </c>
      <c r="AB97" s="1">
        <f>VLOOKUP(A97,'SegEnds_NonXtal_Prot#'!A:AL,10,FALSE)-VLOOKUP(A97,'SegEnds_NonXtal_Prot#'!A:AL,7,FALSE)</f>
        <v>15</v>
      </c>
      <c r="AC97" s="1">
        <f>VLOOKUP(A97,'SegEnds_NonXtal_Prot#'!A:AL,13,FALSE)-VLOOKUP(A97,'SegEnds_NonXtal_Prot#'!A:AL,10,FALSE)</f>
        <v>20</v>
      </c>
      <c r="AD97" s="1">
        <f>VLOOKUP(A97,'SegEnds_NonXtal_Prot#'!A:AL,16,FALSE)-VLOOKUP(A97,'SegEnds_NonXtal_Prot#'!A:AL,10,FALSE)</f>
        <v>57</v>
      </c>
      <c r="AE97" s="1">
        <f>VLOOKUP(A97,'SegEnds_NonXtal_Prot#'!A:AL,22,FALSE)-VLOOKUP(A97,'SegEnds_NonXtal_Prot#'!A:AL,19,FALSE)</f>
        <v>20</v>
      </c>
      <c r="AF97" s="1">
        <f>VLOOKUP(A97,'SegEnds_NonXtal_Prot#'!A:AL,28,FALSE)-VLOOKUP(A97,'SegEnds_NonXtal_Prot#'!A:AL,25,FALSE)</f>
        <v>28</v>
      </c>
      <c r="AG97" s="1">
        <f>VLOOKUP(A97,'SegEnds_NonXtal_Prot#'!A:AL,28,FALSE)-VLOOKUP(A97,'SegEnds_NonXtal_Prot#'!A:AL,22,FALSE)</f>
        <v>57</v>
      </c>
      <c r="AH97" s="1">
        <f>VLOOKUP(A97,'SegEnds_NonXtal_Prot#'!A:AL,31,FALSE)-VLOOKUP(A97,'SegEnds_NonXtal_Prot#'!A:AL,28,FALSE)</f>
        <v>54</v>
      </c>
      <c r="AI97" s="1">
        <f>VLOOKUP(A97,'SegEnds_NonXtal_Prot#'!A:AL,34,FALSE)-VLOOKUP(A97,'SegEnds_NonXtal_Prot#'!A:AL,31,FALSE)</f>
        <v>45</v>
      </c>
      <c r="AJ97" s="1" t="str">
        <f>IF(ISERROR(MATCH(A97,'SegEnds_Xtal_Prot#'!B:B, 0)), "NoXtal", "Xtal")</f>
        <v>NoXtal</v>
      </c>
    </row>
    <row r="98" spans="1:36" x14ac:dyDescent="0.2">
      <c r="A98" s="1" t="s">
        <v>196</v>
      </c>
      <c r="B98" s="1" t="str">
        <f>VLOOKUP(A98,Xtal_Templ!A:B,2,FALSE)</f>
        <v>ednrb_human</v>
      </c>
      <c r="C98" s="5">
        <f>VLOOKUP($B98&amp;"__wt",'SegEnds_Xtal_BW#'!$A:$Z,3,FALSE)</f>
        <v>22</v>
      </c>
      <c r="D98" s="1">
        <f>VLOOKUP($B98&amp;"__wt",'SegEnds_Xtal_BW#'!$A:$Z,4,FALSE)</f>
        <v>60</v>
      </c>
      <c r="E98" s="1">
        <f>VLOOKUP($B98&amp;"__wt",'SegEnds_Xtal_BW#'!$A:$Z,5,FALSE)</f>
        <v>48</v>
      </c>
      <c r="F98" s="1">
        <f>VLOOKUP($B98&amp;"__wt",'SegEnds_Xtal_BW#'!$A:$Z,6,FALSE)</f>
        <v>52</v>
      </c>
      <c r="G98" s="1">
        <v>38</v>
      </c>
      <c r="H98" s="12">
        <f>VLOOKUP($B98&amp;"__wt",'SegEnds_Xtal_BW#'!$A:$Z,8,FALSE)</f>
        <v>67</v>
      </c>
      <c r="I98" s="1">
        <f>VLOOKUP($B98&amp;"__wt",'SegEnds_Xtal_BW#'!$A:$Z,9,FALSE)</f>
        <v>49</v>
      </c>
      <c r="J98" s="1">
        <f>VLOOKUP($B98&amp;"__wt",'SegEnds_Xtal_BW#'!$A:$Z,10,FALSE)</f>
        <v>52</v>
      </c>
      <c r="K98" s="12">
        <v>21</v>
      </c>
      <c r="L98" s="1">
        <f>VLOOKUP($B98&amp;"__wt",'SegEnds_Xtal_BW#'!$A:$Z,12,FALSE)</f>
        <v>56</v>
      </c>
      <c r="M98" s="1">
        <f>VLOOKUP($B98&amp;"__wt",'SegEnds_Xtal_BW#'!$A:$Z,13,FALSE)</f>
        <v>50</v>
      </c>
      <c r="N98" s="12">
        <f>VLOOKUP($B98&amp;"__wt",'SegEnds_Xtal_BW#'!$A:$Z,14,FALSE)</f>
        <v>57</v>
      </c>
      <c r="O98" s="89">
        <f>VLOOKUP($B98&amp;"__wt",'SegEnds_Xtal_BW#'!$A:$Z,15,FALSE)</f>
        <v>38</v>
      </c>
      <c r="P98" s="1">
        <f>VLOOKUP($B98&amp;"__wt",'SegEnds_Xtal_BW#'!$A:$Z,16,FALSE)</f>
        <v>64</v>
      </c>
      <c r="Q98" s="1">
        <f>VLOOKUP($B98&amp;"__wt",'SegEnds_Xtal_BW#'!$A:$Z,17,FALSE)</f>
        <v>50</v>
      </c>
      <c r="R98" s="1">
        <f>VLOOKUP($B98&amp;"__wt",'SegEnds_Xtal_BW#'!$A:$Z,18,FALSE)</f>
        <v>52</v>
      </c>
      <c r="S98" s="1">
        <f>VLOOKUP($B98&amp;"__wt",'SegEnds_Xtal_BW#'!$A:$Z,19,FALSE)</f>
        <v>29</v>
      </c>
      <c r="T98" s="1">
        <f t="array" ref="T98">INDEX('ICL3'!$G$2:$G$40,MATCH(MIN(ABS(AH98-'ICL3'!$F$2:$F$40)),ABS(AH98-'ICL3'!$F$2:$F$40),0))</f>
        <v>72</v>
      </c>
      <c r="U98" s="1">
        <f t="array" ref="U98">INDEX('ICL3'!$H$2:$H$40,MATCH(MIN(ABS(AH98-'ICL3'!$F$2:$F$40)),ABS(AH98-'ICL3'!$F$2:$F$40),0))</f>
        <v>24</v>
      </c>
      <c r="V98" s="1">
        <v>62</v>
      </c>
      <c r="W98" s="1">
        <v>24</v>
      </c>
      <c r="X98" s="1">
        <f>VLOOKUP($B98&amp;"__wt",'SegEnds_Xtal_BW#'!$A:$Z,24,FALSE)</f>
        <v>56</v>
      </c>
      <c r="Y98" s="1">
        <f>VLOOKUP($B98&amp;"__wt",'SegEnds_Xtal_BW#'!$A:$Z,25,FALSE)</f>
        <v>47</v>
      </c>
      <c r="Z98" s="1">
        <f>VLOOKUP($B98&amp;"__wt",'SegEnds_Xtal_BW#'!$A:$Z,26,FALSE)</f>
        <v>60</v>
      </c>
      <c r="AA98" s="27" t="str">
        <f>VLOOKUP(A98,Classification!A:B,2,FALSE)</f>
        <v>A</v>
      </c>
      <c r="AB98" s="1">
        <f>VLOOKUP(A98,'SegEnds_NonXtal_Prot#'!A:AL,10,FALSE)-VLOOKUP(A98,'SegEnds_NonXtal_Prot#'!A:AL,7,FALSE)</f>
        <v>15</v>
      </c>
      <c r="AC98" s="1">
        <f>VLOOKUP(A98,'SegEnds_NonXtal_Prot#'!A:AL,13,FALSE)-VLOOKUP(A98,'SegEnds_NonXtal_Prot#'!A:AL,10,FALSE)</f>
        <v>20</v>
      </c>
      <c r="AD98" s="1">
        <f>VLOOKUP(A98,'SegEnds_NonXtal_Prot#'!A:AL,16,FALSE)-VLOOKUP(A98,'SegEnds_NonXtal_Prot#'!A:AL,10,FALSE)</f>
        <v>52</v>
      </c>
      <c r="AE98" s="1">
        <f>VLOOKUP(A98,'SegEnds_NonXtal_Prot#'!A:AL,22,FALSE)-VLOOKUP(A98,'SegEnds_NonXtal_Prot#'!A:AL,19,FALSE)</f>
        <v>20</v>
      </c>
      <c r="AF98" s="1">
        <f>VLOOKUP(A98,'SegEnds_NonXtal_Prot#'!A:AL,28,FALSE)-VLOOKUP(A98,'SegEnds_NonXtal_Prot#'!A:AL,25,FALSE)</f>
        <v>30</v>
      </c>
      <c r="AG98" s="1">
        <f>VLOOKUP(A98,'SegEnds_NonXtal_Prot#'!A:AL,28,FALSE)-VLOOKUP(A98,'SegEnds_NonXtal_Prot#'!A:AL,22,FALSE)</f>
        <v>59</v>
      </c>
      <c r="AH98" s="1">
        <f>VLOOKUP(A98,'SegEnds_NonXtal_Prot#'!A:AL,31,FALSE)-VLOOKUP(A98,'SegEnds_NonXtal_Prot#'!A:AL,28,FALSE)</f>
        <v>53</v>
      </c>
      <c r="AI98" s="1">
        <f>VLOOKUP(A98,'SegEnds_NonXtal_Prot#'!A:AL,34,FALSE)-VLOOKUP(A98,'SegEnds_NonXtal_Prot#'!A:AL,31,FALSE)</f>
        <v>45</v>
      </c>
      <c r="AJ98" s="1" t="str">
        <f>IF(ISERROR(MATCH(A98,'SegEnds_Xtal_Prot#'!B:B, 0)), "NoXtal", "Xtal")</f>
        <v>Xtal</v>
      </c>
    </row>
    <row r="99" spans="1:36" x14ac:dyDescent="0.2">
      <c r="A99" s="1" t="s">
        <v>197</v>
      </c>
      <c r="B99" s="1" t="str">
        <f>VLOOKUP(A99,Xtal_Templ!A:B,2,FALSE)</f>
        <v>ednrb_human</v>
      </c>
      <c r="C99" s="5">
        <f>VLOOKUP($B99&amp;"__wt",'SegEnds_Xtal_BW#'!$A:$Z,3,FALSE)</f>
        <v>22</v>
      </c>
      <c r="D99" s="1">
        <f>VLOOKUP($B99&amp;"__wt",'SegEnds_Xtal_BW#'!$A:$Z,4,FALSE)</f>
        <v>60</v>
      </c>
      <c r="E99" s="1">
        <f>VLOOKUP($B99&amp;"__wt",'SegEnds_Xtal_BW#'!$A:$Z,5,FALSE)</f>
        <v>48</v>
      </c>
      <c r="F99" s="1">
        <f>VLOOKUP($B99&amp;"__wt",'SegEnds_Xtal_BW#'!$A:$Z,6,FALSE)</f>
        <v>52</v>
      </c>
      <c r="G99" s="1">
        <v>37</v>
      </c>
      <c r="H99" s="12">
        <f>VLOOKUP($B99&amp;"__wt",'SegEnds_Xtal_BW#'!$A:$Z,8,FALSE)</f>
        <v>67</v>
      </c>
      <c r="I99" s="1">
        <f>VLOOKUP($B99&amp;"__wt",'SegEnds_Xtal_BW#'!$A:$Z,9,FALSE)</f>
        <v>49</v>
      </c>
      <c r="J99" s="1">
        <f>VLOOKUP($B99&amp;"__wt",'SegEnds_Xtal_BW#'!$A:$Z,10,FALSE)</f>
        <v>52</v>
      </c>
      <c r="K99" s="12">
        <v>21</v>
      </c>
      <c r="L99" s="1">
        <f>VLOOKUP($B99&amp;"__wt",'SegEnds_Xtal_BW#'!$A:$Z,12,FALSE)</f>
        <v>56</v>
      </c>
      <c r="M99" s="1">
        <f>VLOOKUP($B99&amp;"__wt",'SegEnds_Xtal_BW#'!$A:$Z,13,FALSE)</f>
        <v>50</v>
      </c>
      <c r="N99" s="12">
        <v>57</v>
      </c>
      <c r="O99" s="89">
        <v>38</v>
      </c>
      <c r="P99" s="1">
        <f>VLOOKUP($B99&amp;"__wt",'SegEnds_Xtal_BW#'!$A:$Z,16,FALSE)</f>
        <v>64</v>
      </c>
      <c r="Q99" s="1">
        <f>VLOOKUP($B99&amp;"__wt",'SegEnds_Xtal_BW#'!$A:$Z,17,FALSE)</f>
        <v>50</v>
      </c>
      <c r="R99" s="1">
        <f>VLOOKUP($B99&amp;"__wt",'SegEnds_Xtal_BW#'!$A:$Z,18,FALSE)</f>
        <v>52</v>
      </c>
      <c r="S99" s="1">
        <f>VLOOKUP($B99&amp;"__wt",'SegEnds_Xtal_BW#'!$A:$Z,19,FALSE)</f>
        <v>29</v>
      </c>
      <c r="T99" s="1">
        <f t="array" ref="T99">INDEX('ICL3'!$G$2:$G$40,MATCH(MIN(ABS(AH99-'ICL3'!$F$2:$F$40)),ABS(AH99-'ICL3'!$F$2:$F$40),0))</f>
        <v>72</v>
      </c>
      <c r="U99" s="1">
        <f t="array" ref="U99">INDEX('ICL3'!$H$2:$H$40,MATCH(MIN(ABS(AH99-'ICL3'!$F$2:$F$40)),ABS(AH99-'ICL3'!$F$2:$F$40),0))</f>
        <v>24</v>
      </c>
      <c r="V99" s="1">
        <v>61</v>
      </c>
      <c r="W99" s="1">
        <v>28</v>
      </c>
      <c r="X99" s="1">
        <f>VLOOKUP($B99&amp;"__wt",'SegEnds_Xtal_BW#'!$A:$Z,24,FALSE)</f>
        <v>56</v>
      </c>
      <c r="Y99" s="1">
        <f>VLOOKUP($B99&amp;"__wt",'SegEnds_Xtal_BW#'!$A:$Z,25,FALSE)</f>
        <v>47</v>
      </c>
      <c r="Z99" s="1">
        <f>VLOOKUP($B99&amp;"__wt",'SegEnds_Xtal_BW#'!$A:$Z,26,FALSE)</f>
        <v>60</v>
      </c>
      <c r="AA99" s="27" t="str">
        <f>VLOOKUP(A99,Classification!A:B,2,FALSE)</f>
        <v>A</v>
      </c>
      <c r="AB99" s="1">
        <f>VLOOKUP(A99,'SegEnds_NonXtal_Prot#'!A:AL,10,FALSE)-VLOOKUP(A99,'SegEnds_NonXtal_Prot#'!A:AL,7,FALSE)</f>
        <v>15</v>
      </c>
      <c r="AC99" s="1" t="e">
        <f>VLOOKUP(A99,'SegEnds_NonXtal_Prot#'!A:AL,13,FALSE)-VLOOKUP(A99,'SegEnds_NonXtal_Prot#'!A:AL,10,FALSE)</f>
        <v>#VALUE!</v>
      </c>
      <c r="AD99" s="1">
        <f>VLOOKUP(A99,'SegEnds_NonXtal_Prot#'!A:AL,16,FALSE)-VLOOKUP(A99,'SegEnds_NonXtal_Prot#'!A:AL,10,FALSE)</f>
        <v>52</v>
      </c>
      <c r="AE99" s="1">
        <f>VLOOKUP(A99,'SegEnds_NonXtal_Prot#'!A:AL,22,FALSE)-VLOOKUP(A99,'SegEnds_NonXtal_Prot#'!A:AL,19,FALSE)</f>
        <v>20</v>
      </c>
      <c r="AF99" s="1">
        <f>VLOOKUP(A99,'SegEnds_NonXtal_Prot#'!A:AL,28,FALSE)-VLOOKUP(A99,'SegEnds_NonXtal_Prot#'!A:AL,25,FALSE)</f>
        <v>35</v>
      </c>
      <c r="AG99" s="1">
        <f>VLOOKUP(A99,'SegEnds_NonXtal_Prot#'!A:AL,28,FALSE)-VLOOKUP(A99,'SegEnds_NonXtal_Prot#'!A:AL,22,FALSE)</f>
        <v>65</v>
      </c>
      <c r="AH99" s="1">
        <f>VLOOKUP(A99,'SegEnds_NonXtal_Prot#'!A:AL,31,FALSE)-VLOOKUP(A99,'SegEnds_NonXtal_Prot#'!A:AL,28,FALSE)</f>
        <v>53</v>
      </c>
      <c r="AI99" s="1">
        <f>VLOOKUP(A99,'SegEnds_NonXtal_Prot#'!A:AL,34,FALSE)-VLOOKUP(A99,'SegEnds_NonXtal_Prot#'!A:AL,31,FALSE)</f>
        <v>39</v>
      </c>
      <c r="AJ99" s="1" t="str">
        <f>IF(ISERROR(MATCH(A99,'SegEnds_Xtal_Prot#'!B:B, 0)), "NoXtal", "Xtal")</f>
        <v>NoXtal</v>
      </c>
    </row>
    <row r="100" spans="1:36" x14ac:dyDescent="0.2">
      <c r="A100" s="1" t="s">
        <v>1173</v>
      </c>
      <c r="B100" s="1" t="str">
        <f>VLOOKUP(A100,Xtal_Templ!A:B,2,FALSE)</f>
        <v>ffar1_human</v>
      </c>
      <c r="C100" s="5">
        <f>VLOOKUP($B100&amp;"__wt",'SegEnds_Xtal_BW#'!$A:$Z,3,FALSE)</f>
        <v>31</v>
      </c>
      <c r="D100" s="1">
        <f>VLOOKUP($B100&amp;"__wt",'SegEnds_Xtal_BW#'!$A:$Z,4,FALSE)</f>
        <v>64</v>
      </c>
      <c r="E100" s="1" t="str">
        <f>VLOOKUP($B100&amp;"__wt",'SegEnds_Xtal_BW#'!$A:$Z,5,FALSE)</f>
        <v>-</v>
      </c>
      <c r="F100" s="1" t="str">
        <f>VLOOKUP($B100&amp;"__wt",'SegEnds_Xtal_BW#'!$A:$Z,6,FALSE)</f>
        <v>-</v>
      </c>
      <c r="G100" s="1">
        <v>37</v>
      </c>
      <c r="H100" s="12">
        <f>VLOOKUP($B100&amp;"__wt",'SegEnds_Xtal_BW#'!$A:$Z,8,FALSE)</f>
        <v>67</v>
      </c>
      <c r="I100" s="1">
        <f>VLOOKUP($B100&amp;"__wt",'SegEnds_Xtal_BW#'!$A:$Z,9,FALSE)</f>
        <v>49</v>
      </c>
      <c r="J100" s="1">
        <f>VLOOKUP($B100&amp;"__wt",'SegEnds_Xtal_BW#'!$A:$Z,10,FALSE)</f>
        <v>52</v>
      </c>
      <c r="K100" s="12">
        <v>18</v>
      </c>
      <c r="L100" s="1">
        <f>VLOOKUP($B100&amp;"__wt",'SegEnds_Xtal_BW#'!$A:$Z,12,FALSE)</f>
        <v>56</v>
      </c>
      <c r="M100" s="1">
        <f>VLOOKUP($B100&amp;"__wt",'SegEnds_Xtal_BW#'!$A:$Z,13,FALSE)</f>
        <v>50</v>
      </c>
      <c r="N100" s="12">
        <f>VLOOKUP($B100&amp;"__wt",'SegEnds_Xtal_BW#'!$A:$Z,14,FALSE)</f>
        <v>57</v>
      </c>
      <c r="O100" s="89">
        <f>VLOOKUP($B100&amp;"__wt",'SegEnds_Xtal_BW#'!$A:$Z,15,FALSE)</f>
        <v>38</v>
      </c>
      <c r="P100" s="1">
        <f>VLOOKUP($B100&amp;"__wt",'SegEnds_Xtal_BW#'!$A:$Z,16,FALSE)</f>
        <v>65</v>
      </c>
      <c r="Q100" s="1">
        <f>VLOOKUP($B100&amp;"__wt",'SegEnds_Xtal_BW#'!$A:$Z,17,FALSE)</f>
        <v>50</v>
      </c>
      <c r="R100" s="1">
        <f>VLOOKUP($B100&amp;"__wt",'SegEnds_Xtal_BW#'!$A:$Z,18,FALSE)</f>
        <v>52</v>
      </c>
      <c r="S100" s="1">
        <f>VLOOKUP($B100&amp;"__wt",'SegEnds_Xtal_BW#'!$A:$Z,19,FALSE)</f>
        <v>31</v>
      </c>
      <c r="T100" s="1">
        <f t="array" ref="T100">INDEX('ICL3'!$G$2:$G$40,MATCH(MIN(ABS(AH100-'ICL3'!$F$2:$F$40)),ABS(AH100-'ICL3'!$F$2:$F$40),0))</f>
        <v>67</v>
      </c>
      <c r="U100" s="1">
        <f t="array" ref="U100">INDEX('ICL3'!$H$2:$H$40,MATCH(MIN(ABS(AH100-'ICL3'!$F$2:$F$40)),ABS(AH100-'ICL3'!$F$2:$F$40),0))</f>
        <v>28</v>
      </c>
      <c r="V100" s="1">
        <v>61</v>
      </c>
      <c r="W100" s="1">
        <v>32</v>
      </c>
      <c r="X100" s="1">
        <f>VLOOKUP($B100&amp;"__wt",'SegEnds_Xtal_BW#'!$A:$Z,24,FALSE)</f>
        <v>56</v>
      </c>
      <c r="Y100" s="1">
        <f>VLOOKUP($B100&amp;"__wt",'SegEnds_Xtal_BW#'!$A:$Z,25,FALSE)</f>
        <v>47</v>
      </c>
      <c r="Z100" s="1">
        <f>VLOOKUP($B100&amp;"__wt",'SegEnds_Xtal_BW#'!$A:$Z,26,FALSE)</f>
        <v>61</v>
      </c>
      <c r="AA100" s="27" t="str">
        <f>VLOOKUP(A100,Classification!A:B,2,FALSE)</f>
        <v>A</v>
      </c>
      <c r="AB100" s="1" t="e">
        <f>VLOOKUP(A100,'SegEnds_NonXtal_Prot#'!A:AL,10,FALSE)-VLOOKUP(A100,'SegEnds_NonXtal_Prot#'!A:AL,7,FALSE)</f>
        <v>#VALUE!</v>
      </c>
      <c r="AC100" s="1">
        <f>VLOOKUP(A100,'SegEnds_NonXtal_Prot#'!A:AL,13,FALSE)-VLOOKUP(A100,'SegEnds_NonXtal_Prot#'!A:AL,10,FALSE)</f>
        <v>20</v>
      </c>
      <c r="AD100" s="1">
        <f>VLOOKUP(A100,'SegEnds_NonXtal_Prot#'!A:AL,16,FALSE)-VLOOKUP(A100,'SegEnds_NonXtal_Prot#'!A:AL,10,FALSE)</f>
        <v>52</v>
      </c>
      <c r="AE100" s="1">
        <f>VLOOKUP(A100,'SegEnds_NonXtal_Prot#'!A:AL,22,FALSE)-VLOOKUP(A100,'SegEnds_NonXtal_Prot#'!A:AL,19,FALSE)</f>
        <v>20</v>
      </c>
      <c r="AF100" s="1">
        <f>VLOOKUP(A100,'SegEnds_NonXtal_Prot#'!A:AL,28,FALSE)-VLOOKUP(A100,'SegEnds_NonXtal_Prot#'!A:AL,25,FALSE)</f>
        <v>24</v>
      </c>
      <c r="AG100" s="1">
        <f>VLOOKUP(A100,'SegEnds_NonXtal_Prot#'!A:AL,28,FALSE)-VLOOKUP(A100,'SegEnds_NonXtal_Prot#'!A:AL,22,FALSE)</f>
        <v>63</v>
      </c>
      <c r="AH100" s="1">
        <f>VLOOKUP(A100,'SegEnds_NonXtal_Prot#'!A:AL,31,FALSE)-VLOOKUP(A100,'SegEnds_NonXtal_Prot#'!A:AL,28,FALSE)</f>
        <v>45</v>
      </c>
      <c r="AI100" s="1">
        <f>VLOOKUP(A100,'SegEnds_NonXtal_Prot#'!A:AL,34,FALSE)-VLOOKUP(A100,'SegEnds_NonXtal_Prot#'!A:AL,31,FALSE)</f>
        <v>34</v>
      </c>
      <c r="AJ100" s="1" t="str">
        <f>IF(ISERROR(MATCH(A100,'SegEnds_Xtal_Prot#'!B:B, 0)), "NoXtal", "Xtal")</f>
        <v>Xtal</v>
      </c>
    </row>
    <row r="101" spans="1:36" x14ac:dyDescent="0.2">
      <c r="A101" s="1" t="s">
        <v>198</v>
      </c>
      <c r="B101" s="1" t="str">
        <f>VLOOKUP(A101,Xtal_Templ!A:B,2,FALSE)</f>
        <v>par2_human</v>
      </c>
      <c r="C101" s="5">
        <f>VLOOKUP($B101&amp;"__wt",'SegEnds_Xtal_BW#'!$A:$Z,3,FALSE)</f>
        <v>28</v>
      </c>
      <c r="D101" s="1">
        <f>VLOOKUP($B101&amp;"__wt",'SegEnds_Xtal_BW#'!$A:$Z,4,FALSE)</f>
        <v>60</v>
      </c>
      <c r="E101" s="1" t="str">
        <f>VLOOKUP($B101&amp;"__wt",'SegEnds_Xtal_BW#'!$A:$Z,5,FALSE)</f>
        <v>-</v>
      </c>
      <c r="F101" s="1" t="str">
        <f>VLOOKUP($B101&amp;"__wt",'SegEnds_Xtal_BW#'!$A:$Z,6,FALSE)</f>
        <v>-</v>
      </c>
      <c r="G101" s="1">
        <v>37</v>
      </c>
      <c r="H101" s="12">
        <f>VLOOKUP($B101&amp;"__wt",'SegEnds_Xtal_BW#'!$A:$Z,8,FALSE)</f>
        <v>66</v>
      </c>
      <c r="I101" s="1">
        <f>VLOOKUP($B101&amp;"__wt",'SegEnds_Xtal_BW#'!$A:$Z,9,FALSE)</f>
        <v>47</v>
      </c>
      <c r="J101" s="1">
        <f>VLOOKUP($B101&amp;"__wt",'SegEnds_Xtal_BW#'!$A:$Z,10,FALSE)</f>
        <v>52</v>
      </c>
      <c r="K101" s="12">
        <v>18</v>
      </c>
      <c r="L101" s="1">
        <f>VLOOKUP($B101&amp;"__wt",'SegEnds_Xtal_BW#'!$A:$Z,12,FALSE)</f>
        <v>56</v>
      </c>
      <c r="M101" s="1">
        <f>VLOOKUP($B101&amp;"__wt",'SegEnds_Xtal_BW#'!$A:$Z,13,FALSE)</f>
        <v>50</v>
      </c>
      <c r="N101" s="12">
        <v>57</v>
      </c>
      <c r="O101" s="89">
        <f>VLOOKUP($B101&amp;"__wt",'SegEnds_Xtal_BW#'!$A:$Z,15,FALSE)</f>
        <v>38</v>
      </c>
      <c r="P101" s="1">
        <f>VLOOKUP($B101&amp;"__wt",'SegEnds_Xtal_BW#'!$A:$Z,16,FALSE)</f>
        <v>62</v>
      </c>
      <c r="Q101" s="1">
        <f>VLOOKUP($B101&amp;"__wt",'SegEnds_Xtal_BW#'!$A:$Z,17,FALSE)</f>
        <v>50</v>
      </c>
      <c r="R101" s="1">
        <f>VLOOKUP($B101&amp;"__wt",'SegEnds_Xtal_BW#'!$A:$Z,18,FALSE)</f>
        <v>52</v>
      </c>
      <c r="S101" s="1">
        <f>VLOOKUP($B101&amp;"__wt",'SegEnds_Xtal_BW#'!$A:$Z,19,FALSE)</f>
        <v>31</v>
      </c>
      <c r="T101" s="1">
        <f t="array" ref="T101">INDEX('ICL3'!$G$2:$G$40,MATCH(MIN(ABS(AH101-'ICL3'!$F$2:$F$40)),ABS(AH101-'ICL3'!$F$2:$F$40),0))</f>
        <v>67</v>
      </c>
      <c r="U101" s="1">
        <f t="array" ref="U101">INDEX('ICL3'!$H$2:$H$40,MATCH(MIN(ABS(AH101-'ICL3'!$F$2:$F$40)),ABS(AH101-'ICL3'!$F$2:$F$40),0))</f>
        <v>26</v>
      </c>
      <c r="V101" s="1">
        <v>61</v>
      </c>
      <c r="W101" s="1">
        <v>33</v>
      </c>
      <c r="X101" s="1">
        <f>VLOOKUP($B101&amp;"__wt",'SegEnds_Xtal_BW#'!$A:$Z,24,FALSE)</f>
        <v>56</v>
      </c>
      <c r="Y101" s="1">
        <f>VLOOKUP($B101&amp;"__wt",'SegEnds_Xtal_BW#'!$A:$Z,25,FALSE)</f>
        <v>47</v>
      </c>
      <c r="Z101" s="1">
        <f>VLOOKUP($B101&amp;"__wt",'SegEnds_Xtal_BW#'!$A:$Z,26,FALSE)</f>
        <v>61</v>
      </c>
      <c r="AA101" s="27" t="str">
        <f>VLOOKUP(A101,Classification!A:B,2,FALSE)</f>
        <v>A</v>
      </c>
      <c r="AB101" s="1" t="e">
        <f>VLOOKUP(A101,'SegEnds_NonXtal_Prot#'!A:AL,10,FALSE)-VLOOKUP(A101,'SegEnds_NonXtal_Prot#'!A:AL,7,FALSE)</f>
        <v>#VALUE!</v>
      </c>
      <c r="AC101" s="1">
        <f>VLOOKUP(A101,'SegEnds_NonXtal_Prot#'!A:AL,13,FALSE)-VLOOKUP(A101,'SegEnds_NonXtal_Prot#'!A:AL,10,FALSE)</f>
        <v>20</v>
      </c>
      <c r="AD101" s="1">
        <f>VLOOKUP(A101,'SegEnds_NonXtal_Prot#'!A:AL,16,FALSE)-VLOOKUP(A101,'SegEnds_NonXtal_Prot#'!A:AL,10,FALSE)</f>
        <v>52</v>
      </c>
      <c r="AE101" s="1">
        <f>VLOOKUP(A101,'SegEnds_NonXtal_Prot#'!A:AL,22,FALSE)-VLOOKUP(A101,'SegEnds_NonXtal_Prot#'!A:AL,19,FALSE)</f>
        <v>20</v>
      </c>
      <c r="AF101" s="1">
        <f>VLOOKUP(A101,'SegEnds_NonXtal_Prot#'!A:AL,28,FALSE)-VLOOKUP(A101,'SegEnds_NonXtal_Prot#'!A:AL,25,FALSE)</f>
        <v>27</v>
      </c>
      <c r="AG101" s="1">
        <f>VLOOKUP(A101,'SegEnds_NonXtal_Prot#'!A:AL,28,FALSE)-VLOOKUP(A101,'SegEnds_NonXtal_Prot#'!A:AL,22,FALSE)</f>
        <v>57</v>
      </c>
      <c r="AH101" s="1">
        <f>VLOOKUP(A101,'SegEnds_NonXtal_Prot#'!A:AL,31,FALSE)-VLOOKUP(A101,'SegEnds_NonXtal_Prot#'!A:AL,28,FALSE)</f>
        <v>46</v>
      </c>
      <c r="AI101" s="1">
        <f>VLOOKUP(A101,'SegEnds_NonXtal_Prot#'!A:AL,34,FALSE)-VLOOKUP(A101,'SegEnds_NonXtal_Prot#'!A:AL,31,FALSE)</f>
        <v>33</v>
      </c>
      <c r="AJ101" s="1" t="str">
        <f>IF(ISERROR(MATCH(A101,'SegEnds_Xtal_Prot#'!B:B, 0)), "NoXtal", "Xtal")</f>
        <v>NoXtal</v>
      </c>
    </row>
    <row r="102" spans="1:36" x14ac:dyDescent="0.2">
      <c r="A102" s="1" t="s">
        <v>199</v>
      </c>
      <c r="B102" s="1" t="str">
        <f>VLOOKUP(A102,Xtal_Templ!A:B,2,FALSE)</f>
        <v>par1_human</v>
      </c>
      <c r="C102" s="5">
        <f>VLOOKUP($B102&amp;"__wt",'SegEnds_Xtal_BW#'!$A:$Z,3,FALSE)</f>
        <v>29</v>
      </c>
      <c r="D102" s="1">
        <f>VLOOKUP($B102&amp;"__wt",'SegEnds_Xtal_BW#'!$A:$Z,4,FALSE)</f>
        <v>60</v>
      </c>
      <c r="E102" s="1">
        <f>VLOOKUP($B102&amp;"__wt",'SegEnds_Xtal_BW#'!$A:$Z,5,FALSE)</f>
        <v>48</v>
      </c>
      <c r="F102" s="1">
        <f>VLOOKUP($B102&amp;"__wt",'SegEnds_Xtal_BW#'!$A:$Z,6,FALSE)</f>
        <v>51</v>
      </c>
      <c r="G102" s="1">
        <v>37</v>
      </c>
      <c r="H102" s="12">
        <f>VLOOKUP($B102&amp;"__wt",'SegEnds_Xtal_BW#'!$A:$Z,8,FALSE)</f>
        <v>66</v>
      </c>
      <c r="I102" s="1">
        <f>VLOOKUP($B102&amp;"__wt",'SegEnds_Xtal_BW#'!$A:$Z,9,FALSE)</f>
        <v>49</v>
      </c>
      <c r="J102" s="1">
        <f>VLOOKUP($B102&amp;"__wt",'SegEnds_Xtal_BW#'!$A:$Z,10,FALSE)</f>
        <v>52</v>
      </c>
      <c r="K102" s="12">
        <v>18</v>
      </c>
      <c r="L102" s="1">
        <f>VLOOKUP($B102&amp;"__wt",'SegEnds_Xtal_BW#'!$A:$Z,12,FALSE)</f>
        <v>56</v>
      </c>
      <c r="M102" s="1">
        <f>VLOOKUP($B102&amp;"__wt",'SegEnds_Xtal_BW#'!$A:$Z,13,FALSE)</f>
        <v>50</v>
      </c>
      <c r="N102" s="12">
        <v>57</v>
      </c>
      <c r="O102" s="89">
        <f>VLOOKUP($B102&amp;"__wt",'SegEnds_Xtal_BW#'!$A:$Z,15,FALSE)</f>
        <v>38</v>
      </c>
      <c r="P102" s="1">
        <f>VLOOKUP($B102&amp;"__wt",'SegEnds_Xtal_BW#'!$A:$Z,16,FALSE)</f>
        <v>63</v>
      </c>
      <c r="Q102" s="1">
        <f>VLOOKUP($B102&amp;"__wt",'SegEnds_Xtal_BW#'!$A:$Z,17,FALSE)</f>
        <v>50</v>
      </c>
      <c r="R102" s="1">
        <f>VLOOKUP($B102&amp;"__wt",'SegEnds_Xtal_BW#'!$A:$Z,18,FALSE)</f>
        <v>52</v>
      </c>
      <c r="S102" s="1">
        <f>VLOOKUP($B102&amp;"__wt",'SegEnds_Xtal_BW#'!$A:$Z,19,FALSE)</f>
        <v>32</v>
      </c>
      <c r="T102" s="1">
        <f t="array" ref="T102">INDEX('ICL3'!$G$2:$G$40,MATCH(MIN(ABS(AH102-'ICL3'!$F$2:$F$40)),ABS(AH102-'ICL3'!$F$2:$F$40),0))</f>
        <v>68</v>
      </c>
      <c r="U102" s="1">
        <f t="array" ref="U102">INDEX('ICL3'!$H$2:$H$40,MATCH(MIN(ABS(AH102-'ICL3'!$F$2:$F$40)),ABS(AH102-'ICL3'!$F$2:$F$40),0))</f>
        <v>28</v>
      </c>
      <c r="V102" s="1">
        <v>61</v>
      </c>
      <c r="W102" s="1">
        <v>33</v>
      </c>
      <c r="X102" s="1">
        <f>VLOOKUP($B102&amp;"__wt",'SegEnds_Xtal_BW#'!$A:$Z,24,FALSE)</f>
        <v>56</v>
      </c>
      <c r="Y102" s="1">
        <f>VLOOKUP($B102&amp;"__wt",'SegEnds_Xtal_BW#'!$A:$Z,25,FALSE)</f>
        <v>47</v>
      </c>
      <c r="Z102" s="1">
        <f>VLOOKUP($B102&amp;"__wt",'SegEnds_Xtal_BW#'!$A:$Z,26,FALSE)</f>
        <v>61</v>
      </c>
      <c r="AA102" s="27" t="str">
        <f>VLOOKUP(A102,Classification!A:B,2,FALSE)</f>
        <v>A</v>
      </c>
      <c r="AB102" s="1" t="e">
        <f>VLOOKUP(A102,'SegEnds_NonXtal_Prot#'!A:AL,10,FALSE)-VLOOKUP(A102,'SegEnds_NonXtal_Prot#'!A:AL,7,FALSE)</f>
        <v>#VALUE!</v>
      </c>
      <c r="AC102" s="1">
        <f>VLOOKUP(A102,'SegEnds_NonXtal_Prot#'!A:AL,13,FALSE)-VLOOKUP(A102,'SegEnds_NonXtal_Prot#'!A:AL,10,FALSE)</f>
        <v>20</v>
      </c>
      <c r="AD102" s="1">
        <f>VLOOKUP(A102,'SegEnds_NonXtal_Prot#'!A:AL,16,FALSE)-VLOOKUP(A102,'SegEnds_NonXtal_Prot#'!A:AL,10,FALSE)</f>
        <v>52</v>
      </c>
      <c r="AE102" s="1">
        <f>VLOOKUP(A102,'SegEnds_NonXtal_Prot#'!A:AL,22,FALSE)-VLOOKUP(A102,'SegEnds_NonXtal_Prot#'!A:AL,19,FALSE)</f>
        <v>20</v>
      </c>
      <c r="AF102" s="1">
        <f>VLOOKUP(A102,'SegEnds_NonXtal_Prot#'!A:AL,28,FALSE)-VLOOKUP(A102,'SegEnds_NonXtal_Prot#'!A:AL,25,FALSE)</f>
        <v>27</v>
      </c>
      <c r="AG102" s="1">
        <f>VLOOKUP(A102,'SegEnds_NonXtal_Prot#'!A:AL,28,FALSE)-VLOOKUP(A102,'SegEnds_NonXtal_Prot#'!A:AL,22,FALSE)</f>
        <v>56</v>
      </c>
      <c r="AH102" s="1">
        <f>VLOOKUP(A102,'SegEnds_NonXtal_Prot#'!A:AL,31,FALSE)-VLOOKUP(A102,'SegEnds_NonXtal_Prot#'!A:AL,28,FALSE)</f>
        <v>44</v>
      </c>
      <c r="AI102" s="1">
        <f>VLOOKUP(A102,'SegEnds_NonXtal_Prot#'!A:AL,34,FALSE)-VLOOKUP(A102,'SegEnds_NonXtal_Prot#'!A:AL,31,FALSE)</f>
        <v>33</v>
      </c>
      <c r="AJ102" s="1" t="str">
        <f>IF(ISERROR(MATCH(A102,'SegEnds_Xtal_Prot#'!B:B, 0)), "NoXtal", "Xtal")</f>
        <v>NoXtal</v>
      </c>
    </row>
    <row r="103" spans="1:36" x14ac:dyDescent="0.2">
      <c r="A103" s="4" t="s">
        <v>200</v>
      </c>
      <c r="B103" s="4" t="str">
        <f>VLOOKUP(A103,Xtal_Templ!A:B,2,FALSE)</f>
        <v>ox2r_human</v>
      </c>
      <c r="C103" s="5">
        <f>VLOOKUP($B103&amp;"__wt",'SegEnds_Xtal_BW#'!$A:$Z,3,FALSE)</f>
        <v>31</v>
      </c>
      <c r="D103" s="4">
        <f>VLOOKUP($B103&amp;"__wt",'SegEnds_Xtal_BW#'!$A:$Z,4,FALSE)</f>
        <v>60</v>
      </c>
      <c r="E103" s="4">
        <f>VLOOKUP($B103&amp;"__wt",'SegEnds_Xtal_BW#'!$A:$Z,5,FALSE)</f>
        <v>48</v>
      </c>
      <c r="F103" s="4">
        <f>VLOOKUP($B103&amp;"__wt",'SegEnds_Xtal_BW#'!$A:$Z,6,FALSE)</f>
        <v>51</v>
      </c>
      <c r="G103" s="4">
        <v>37</v>
      </c>
      <c r="H103" s="11">
        <v>66</v>
      </c>
      <c r="I103" s="4">
        <f>VLOOKUP($B103&amp;"__wt",'SegEnds_Xtal_BW#'!$A:$Z,9,FALSE)</f>
        <v>49</v>
      </c>
      <c r="J103" s="4">
        <f>VLOOKUP($B103&amp;"__wt",'SegEnds_Xtal_BW#'!$A:$Z,10,FALSE)</f>
        <v>52</v>
      </c>
      <c r="K103" s="11">
        <v>21</v>
      </c>
      <c r="L103" s="4">
        <f>VLOOKUP($B103&amp;"__wt",'SegEnds_Xtal_BW#'!$A:$Z,12,FALSE)</f>
        <v>56</v>
      </c>
      <c r="M103" s="4">
        <f>VLOOKUP($B103&amp;"__wt",'SegEnds_Xtal_BW#'!$A:$Z,13,FALSE)</f>
        <v>50</v>
      </c>
      <c r="N103" s="11">
        <v>57</v>
      </c>
      <c r="O103" s="89">
        <f>VLOOKUP($B103&amp;"__wt",'SegEnds_Xtal_BW#'!$A:$Z,15,FALSE)</f>
        <v>38</v>
      </c>
      <c r="P103" s="4">
        <f>VLOOKUP($B103&amp;"__wt",'SegEnds_Xtal_BW#'!$A:$Z,16,FALSE)</f>
        <v>64</v>
      </c>
      <c r="Q103" s="4">
        <f>VLOOKUP($B103&amp;"__wt",'SegEnds_Xtal_BW#'!$A:$Z,17,FALSE)</f>
        <v>50</v>
      </c>
      <c r="R103" s="4">
        <f>VLOOKUP($B103&amp;"__wt",'SegEnds_Xtal_BW#'!$A:$Z,18,FALSE)</f>
        <v>52</v>
      </c>
      <c r="S103" s="4">
        <f>VLOOKUP($B103&amp;"__wt",'SegEnds_Xtal_BW#'!$A:$Z,19,FALSE)</f>
        <v>32</v>
      </c>
      <c r="T103" s="4">
        <f t="array" ref="T103">INDEX('ICL3'!$G$2:$G$40,MATCH(MIN(ABS(AH103-'ICL3'!$F$2:$F$40)),ABS(AH103-'ICL3'!$F$2:$F$40),0))</f>
        <v>76</v>
      </c>
      <c r="U103" s="4">
        <f t="array" ref="U103">INDEX('ICL3'!$H$2:$H$40,MATCH(MIN(ABS(AH103-'ICL3'!$F$2:$F$40)),ABS(AH103-'ICL3'!$F$2:$F$40),0))</f>
        <v>24</v>
      </c>
      <c r="V103" s="4">
        <v>61</v>
      </c>
      <c r="W103" s="4">
        <v>28</v>
      </c>
      <c r="X103" s="4">
        <f>VLOOKUP($B103&amp;"__wt",'SegEnds_Xtal_BW#'!$A:$Z,24,FALSE)</f>
        <v>56</v>
      </c>
      <c r="Y103" s="4">
        <f>VLOOKUP($B103&amp;"__wt",'SegEnds_Xtal_BW#'!$A:$Z,25,FALSE)</f>
        <v>47</v>
      </c>
      <c r="Z103" s="4">
        <f>VLOOKUP($B103&amp;"__wt",'SegEnds_Xtal_BW#'!$A:$Z,26,FALSE)</f>
        <v>58</v>
      </c>
      <c r="AA103" s="27" t="str">
        <f>VLOOKUP(A103,Classification!A:B,2,FALSE)</f>
        <v>A</v>
      </c>
      <c r="AB103" s="4" t="e">
        <f>VLOOKUP(A103,'SegEnds_NonXtal_Prot#'!A:AL,10,FALSE)-VLOOKUP(A103,'SegEnds_NonXtal_Prot#'!A:AL,7,FALSE)</f>
        <v>#VALUE!</v>
      </c>
      <c r="AC103" s="4">
        <f>VLOOKUP(A103,'SegEnds_NonXtal_Prot#'!A:AL,13,FALSE)-VLOOKUP(A103,'SegEnds_NonXtal_Prot#'!A:AL,10,FALSE)</f>
        <v>19</v>
      </c>
      <c r="AD103" s="4">
        <f>VLOOKUP(A103,'SegEnds_NonXtal_Prot#'!A:AL,16,FALSE)-VLOOKUP(A103,'SegEnds_NonXtal_Prot#'!A:AL,10,FALSE)</f>
        <v>51</v>
      </c>
      <c r="AE103" s="1">
        <f>VLOOKUP(A103,'SegEnds_NonXtal_Prot#'!A:AL,22,FALSE)-VLOOKUP(A103,'SegEnds_NonXtal_Prot#'!A:AL,19,FALSE)</f>
        <v>20</v>
      </c>
      <c r="AF103" s="4">
        <f>VLOOKUP(A103,'SegEnds_NonXtal_Prot#'!A:AL,28,FALSE)-VLOOKUP(A103,'SegEnds_NonXtal_Prot#'!A:AL,25,FALSE)</f>
        <v>25</v>
      </c>
      <c r="AG103" s="1">
        <f>VLOOKUP(A103,'SegEnds_NonXtal_Prot#'!A:AL,28,FALSE)-VLOOKUP(A103,'SegEnds_NonXtal_Prot#'!A:AL,22,FALSE)</f>
        <v>56</v>
      </c>
      <c r="AH103" s="4">
        <f>VLOOKUP(A103,'SegEnds_NonXtal_Prot#'!A:AL,31,FALSE)-VLOOKUP(A103,'SegEnds_NonXtal_Prot#'!A:AL,28,FALSE)</f>
        <v>76</v>
      </c>
      <c r="AI103" s="4">
        <f>VLOOKUP(A103,'SegEnds_NonXtal_Prot#'!A:AL,34,FALSE)-VLOOKUP(A103,'SegEnds_NonXtal_Prot#'!A:AL,31,FALSE)</f>
        <v>39</v>
      </c>
      <c r="AJ103" s="1" t="str">
        <f>IF(ISERROR(MATCH(A103,'SegEnds_Xtal_Prot#'!B:B, 0)), "NoXtal", "Xtal")</f>
        <v>NoXtal</v>
      </c>
    </row>
    <row r="104" spans="1:36" x14ac:dyDescent="0.2">
      <c r="A104" s="1" t="s">
        <v>201</v>
      </c>
      <c r="B104" s="1" t="str">
        <f>VLOOKUP(A104,Xtal_Templ!A:B,2,FALSE)</f>
        <v>agtr1_human</v>
      </c>
      <c r="C104" s="5">
        <f>VLOOKUP($B104&amp;"__wt",'SegEnds_Xtal_BW#'!$A:$Z,3,FALSE)</f>
        <v>30</v>
      </c>
      <c r="D104" s="1">
        <f>VLOOKUP($B104&amp;"__wt",'SegEnds_Xtal_BW#'!$A:$Z,4,FALSE)</f>
        <v>60</v>
      </c>
      <c r="E104" s="1">
        <f>VLOOKUP($B104&amp;"__wt",'SegEnds_Xtal_BW#'!$A:$Z,5,FALSE)</f>
        <v>48</v>
      </c>
      <c r="F104" s="1">
        <f>VLOOKUP($B104&amp;"__wt",'SegEnds_Xtal_BW#'!$A:$Z,6,FALSE)</f>
        <v>51</v>
      </c>
      <c r="G104" s="1">
        <v>37</v>
      </c>
      <c r="H104" s="12">
        <f>VLOOKUP($B104&amp;"__wt",'SegEnds_Xtal_BW#'!$A:$Z,8,FALSE)</f>
        <v>66</v>
      </c>
      <c r="I104" s="1">
        <f>VLOOKUP($B104&amp;"__wt",'SegEnds_Xtal_BW#'!$A:$Z,9,FALSE)</f>
        <v>49</v>
      </c>
      <c r="J104" s="1">
        <f>VLOOKUP($B104&amp;"__wt",'SegEnds_Xtal_BW#'!$A:$Z,10,FALSE)</f>
        <v>52</v>
      </c>
      <c r="K104" s="12">
        <v>18</v>
      </c>
      <c r="L104" s="1">
        <f>VLOOKUP($B104&amp;"__wt",'SegEnds_Xtal_BW#'!$A:$Z,12,FALSE)</f>
        <v>56</v>
      </c>
      <c r="M104" s="1">
        <f>VLOOKUP($B104&amp;"__wt",'SegEnds_Xtal_BW#'!$A:$Z,13,FALSE)</f>
        <v>50</v>
      </c>
      <c r="N104" s="12">
        <v>57</v>
      </c>
      <c r="O104" s="89">
        <v>38</v>
      </c>
      <c r="P104" s="1">
        <f>VLOOKUP($B104&amp;"__wt",'SegEnds_Xtal_BW#'!$A:$Z,16,FALSE)</f>
        <v>64</v>
      </c>
      <c r="Q104" s="1">
        <f>VLOOKUP($B104&amp;"__wt",'SegEnds_Xtal_BW#'!$A:$Z,17,FALSE)</f>
        <v>50</v>
      </c>
      <c r="R104" s="1">
        <f>VLOOKUP($B104&amp;"__wt",'SegEnds_Xtal_BW#'!$A:$Z,18,FALSE)</f>
        <v>52</v>
      </c>
      <c r="S104" s="1">
        <f>VLOOKUP($B104&amp;"__wt",'SegEnds_Xtal_BW#'!$A:$Z,19,FALSE)</f>
        <v>34</v>
      </c>
      <c r="T104" s="1">
        <f t="array" ref="T104">INDEX('ICL3'!$G$2:$G$40,MATCH(MIN(ABS(AH104-'ICL3'!$F$2:$F$40)),ABS(AH104-'ICL3'!$F$2:$F$40),0))</f>
        <v>68</v>
      </c>
      <c r="U104" s="1">
        <f t="array" ref="U104">INDEX('ICL3'!$H$2:$H$40,MATCH(MIN(ABS(AH104-'ICL3'!$F$2:$F$40)),ABS(AH104-'ICL3'!$F$2:$F$40),0))</f>
        <v>30</v>
      </c>
      <c r="V104" s="1">
        <v>61</v>
      </c>
      <c r="W104" s="1">
        <v>28</v>
      </c>
      <c r="X104" s="1">
        <f>VLOOKUP($B104&amp;"__wt",'SegEnds_Xtal_BW#'!$A:$Z,24,FALSE)</f>
        <v>56</v>
      </c>
      <c r="Y104" s="1">
        <f>VLOOKUP($B104&amp;"__wt",'SegEnds_Xtal_BW#'!$A:$Z,25,FALSE)</f>
        <v>47</v>
      </c>
      <c r="Z104" s="1">
        <f>VLOOKUP($B104&amp;"__wt",'SegEnds_Xtal_BW#'!$A:$Z,26,FALSE)</f>
        <v>61</v>
      </c>
      <c r="AA104" s="27" t="str">
        <f>VLOOKUP(A104,Classification!A:B,2,FALSE)</f>
        <v>A</v>
      </c>
      <c r="AB104" s="1" t="e">
        <f>VLOOKUP(A104,'SegEnds_NonXtal_Prot#'!A:AL,10,FALSE)-VLOOKUP(A104,'SegEnds_NonXtal_Prot#'!A:AL,7,FALSE)</f>
        <v>#VALUE!</v>
      </c>
      <c r="AC104" s="1">
        <f>VLOOKUP(A104,'SegEnds_NonXtal_Prot#'!A:AL,13,FALSE)-VLOOKUP(A104,'SegEnds_NonXtal_Prot#'!A:AL,10,FALSE)</f>
        <v>20</v>
      </c>
      <c r="AD104" s="1">
        <f>VLOOKUP(A104,'SegEnds_NonXtal_Prot#'!A:AL,16,FALSE)-VLOOKUP(A104,'SegEnds_NonXtal_Prot#'!A:AL,10,FALSE)</f>
        <v>52</v>
      </c>
      <c r="AE104" s="1">
        <f>VLOOKUP(A104,'SegEnds_NonXtal_Prot#'!A:AL,22,FALSE)-VLOOKUP(A104,'SegEnds_NonXtal_Prot#'!A:AL,19,FALSE)</f>
        <v>20</v>
      </c>
      <c r="AF104" s="1">
        <f>VLOOKUP(A104,'SegEnds_NonXtal_Prot#'!A:AL,28,FALSE)-VLOOKUP(A104,'SegEnds_NonXtal_Prot#'!A:AL,25,FALSE)</f>
        <v>37</v>
      </c>
      <c r="AG104" s="1">
        <f>VLOOKUP(A104,'SegEnds_NonXtal_Prot#'!A:AL,28,FALSE)-VLOOKUP(A104,'SegEnds_NonXtal_Prot#'!A:AL,22,FALSE)</f>
        <v>63</v>
      </c>
      <c r="AH104" s="1">
        <f>VLOOKUP(A104,'SegEnds_NonXtal_Prot#'!A:AL,31,FALSE)-VLOOKUP(A104,'SegEnds_NonXtal_Prot#'!A:AL,28,FALSE)</f>
        <v>43</v>
      </c>
      <c r="AI104" s="1">
        <f>VLOOKUP(A104,'SegEnds_NonXtal_Prot#'!A:AL,34,FALSE)-VLOOKUP(A104,'SegEnds_NonXtal_Prot#'!A:AL,31,FALSE)</f>
        <v>42</v>
      </c>
      <c r="AJ104" s="1" t="str">
        <f>IF(ISERROR(MATCH(A104,'SegEnds_Xtal_Prot#'!B:B, 0)), "NoXtal", "Xtal")</f>
        <v>NoXtal</v>
      </c>
    </row>
    <row r="105" spans="1:36" x14ac:dyDescent="0.2">
      <c r="A105" s="1" t="s">
        <v>202</v>
      </c>
      <c r="B105" s="1" t="str">
        <f>VLOOKUP(A105,Xtal_Templ!A:B,2,FALSE)</f>
        <v>cxcr4_human</v>
      </c>
      <c r="C105" s="5">
        <f>VLOOKUP($B105&amp;"__wt",'SegEnds_Xtal_BW#'!$A:$Z,3,FALSE)</f>
        <v>24</v>
      </c>
      <c r="D105" s="1">
        <f>VLOOKUP($B105&amp;"__wt",'SegEnds_Xtal_BW#'!$A:$Z,4,FALSE)</f>
        <v>60</v>
      </c>
      <c r="E105" s="1">
        <f>VLOOKUP($B105&amp;"__wt",'SegEnds_Xtal_BW#'!$A:$Z,5,FALSE)</f>
        <v>48</v>
      </c>
      <c r="F105" s="1">
        <f>VLOOKUP($B105&amp;"__wt",'SegEnds_Xtal_BW#'!$A:$Z,6,FALSE)</f>
        <v>51</v>
      </c>
      <c r="G105" s="1">
        <v>37</v>
      </c>
      <c r="H105" s="12">
        <f>VLOOKUP($B105&amp;"__wt",'SegEnds_Xtal_BW#'!$A:$Z,8,FALSE)</f>
        <v>66</v>
      </c>
      <c r="I105" s="1">
        <f>VLOOKUP($B105&amp;"__wt",'SegEnds_Xtal_BW#'!$A:$Z,9,FALSE)</f>
        <v>49</v>
      </c>
      <c r="J105" s="1">
        <f>VLOOKUP($B105&amp;"__wt",'SegEnds_Xtal_BW#'!$A:$Z,10,FALSE)</f>
        <v>52</v>
      </c>
      <c r="K105" s="12">
        <v>18</v>
      </c>
      <c r="L105" s="1">
        <f>VLOOKUP($B105&amp;"__wt",'SegEnds_Xtal_BW#'!$A:$Z,12,FALSE)</f>
        <v>56</v>
      </c>
      <c r="M105" s="1">
        <f>VLOOKUP($B105&amp;"__wt",'SegEnds_Xtal_BW#'!$A:$Z,13,FALSE)</f>
        <v>50</v>
      </c>
      <c r="N105" s="12">
        <v>57</v>
      </c>
      <c r="O105" s="89">
        <v>38</v>
      </c>
      <c r="P105" s="1">
        <f>VLOOKUP($B105&amp;"__wt",'SegEnds_Xtal_BW#'!$A:$Z,16,FALSE)</f>
        <v>64</v>
      </c>
      <c r="Q105" s="1">
        <f>VLOOKUP($B105&amp;"__wt",'SegEnds_Xtal_BW#'!$A:$Z,17,FALSE)</f>
        <v>50</v>
      </c>
      <c r="R105" s="1">
        <f>VLOOKUP($B105&amp;"__wt",'SegEnds_Xtal_BW#'!$A:$Z,18,FALSE)</f>
        <v>52</v>
      </c>
      <c r="S105" s="1">
        <f>VLOOKUP($B105&amp;"__wt",'SegEnds_Xtal_BW#'!$A:$Z,19,FALSE)</f>
        <v>32</v>
      </c>
      <c r="T105" s="1">
        <f t="array" ref="T105">INDEX('ICL3'!$G$2:$G$40,MATCH(MIN(ABS(AH105-'ICL3'!$F$2:$F$40)),ABS(AH105-'ICL3'!$F$2:$F$40),0))</f>
        <v>68</v>
      </c>
      <c r="U105" s="1">
        <f t="array" ref="U105">INDEX('ICL3'!$H$2:$H$40,MATCH(MIN(ABS(AH105-'ICL3'!$F$2:$F$40)),ABS(AH105-'ICL3'!$F$2:$F$40),0))</f>
        <v>30</v>
      </c>
      <c r="V105" s="1">
        <v>61</v>
      </c>
      <c r="W105" s="1">
        <v>24</v>
      </c>
      <c r="X105" s="1">
        <f>VLOOKUP($B105&amp;"__wt",'SegEnds_Xtal_BW#'!$A:$Z,24,FALSE)</f>
        <v>56</v>
      </c>
      <c r="Y105" s="1">
        <f>VLOOKUP($B105&amp;"__wt",'SegEnds_Xtal_BW#'!$A:$Z,25,FALSE)</f>
        <v>47</v>
      </c>
      <c r="Z105" s="1">
        <f>VLOOKUP($B105&amp;"__wt",'SegEnds_Xtal_BW#'!$A:$Z,26,FALSE)</f>
        <v>59</v>
      </c>
      <c r="AA105" s="27" t="str">
        <f>VLOOKUP(A105,Classification!A:B,2,FALSE)</f>
        <v>A</v>
      </c>
      <c r="AB105" s="1" t="e">
        <f>VLOOKUP(A105,'SegEnds_NonXtal_Prot#'!A:AL,10,FALSE)-VLOOKUP(A105,'SegEnds_NonXtal_Prot#'!A:AL,7,FALSE)</f>
        <v>#VALUE!</v>
      </c>
      <c r="AC105" s="1">
        <f>VLOOKUP(A105,'SegEnds_NonXtal_Prot#'!A:AL,13,FALSE)-VLOOKUP(A105,'SegEnds_NonXtal_Prot#'!A:AL,10,FALSE)</f>
        <v>20</v>
      </c>
      <c r="AD105" s="1">
        <f>VLOOKUP(A105,'SegEnds_NonXtal_Prot#'!A:AL,16,FALSE)-VLOOKUP(A105,'SegEnds_NonXtal_Prot#'!A:AL,10,FALSE)</f>
        <v>52</v>
      </c>
      <c r="AE105" s="1">
        <f>VLOOKUP(A105,'SegEnds_NonXtal_Prot#'!A:AL,22,FALSE)-VLOOKUP(A105,'SegEnds_NonXtal_Prot#'!A:AL,19,FALSE)</f>
        <v>20</v>
      </c>
      <c r="AF105" s="1">
        <f>VLOOKUP(A105,'SegEnds_NonXtal_Prot#'!A:AL,28,FALSE)-VLOOKUP(A105,'SegEnds_NonXtal_Prot#'!A:AL,25,FALSE)</f>
        <v>37</v>
      </c>
      <c r="AG105" s="1">
        <f>VLOOKUP(A105,'SegEnds_NonXtal_Prot#'!A:AL,28,FALSE)-VLOOKUP(A105,'SegEnds_NonXtal_Prot#'!A:AL,22,FALSE)</f>
        <v>63</v>
      </c>
      <c r="AH105" s="1">
        <f>VLOOKUP(A105,'SegEnds_NonXtal_Prot#'!A:AL,31,FALSE)-VLOOKUP(A105,'SegEnds_NonXtal_Prot#'!A:AL,28,FALSE)</f>
        <v>43</v>
      </c>
      <c r="AI105" s="1">
        <f>VLOOKUP(A105,'SegEnds_NonXtal_Prot#'!A:AL,34,FALSE)-VLOOKUP(A105,'SegEnds_NonXtal_Prot#'!A:AL,31,FALSE)</f>
        <v>43</v>
      </c>
      <c r="AJ105" s="1" t="str">
        <f>IF(ISERROR(MATCH(A105,'SegEnds_Xtal_Prot#'!B:B, 0)), "NoXtal", "Xtal")</f>
        <v>NoXtal</v>
      </c>
    </row>
    <row r="106" spans="1:36" x14ac:dyDescent="0.2">
      <c r="A106" s="1" t="s">
        <v>203</v>
      </c>
      <c r="B106" s="1" t="str">
        <f>VLOOKUP(A106,Xtal_Templ!A:B,2,FALSE)</f>
        <v>cxcr4_human</v>
      </c>
      <c r="C106" s="5">
        <f>VLOOKUP($B106&amp;"__wt",'SegEnds_Xtal_BW#'!$A:$Z,3,FALSE)</f>
        <v>24</v>
      </c>
      <c r="D106" s="1">
        <f>VLOOKUP($B106&amp;"__wt",'SegEnds_Xtal_BW#'!$A:$Z,4,FALSE)</f>
        <v>60</v>
      </c>
      <c r="E106" s="1">
        <f>VLOOKUP($B106&amp;"__wt",'SegEnds_Xtal_BW#'!$A:$Z,5,FALSE)</f>
        <v>48</v>
      </c>
      <c r="F106" s="1">
        <f>VLOOKUP($B106&amp;"__wt",'SegEnds_Xtal_BW#'!$A:$Z,6,FALSE)</f>
        <v>51</v>
      </c>
      <c r="G106" s="1">
        <v>37</v>
      </c>
      <c r="H106" s="12">
        <f>VLOOKUP($B106&amp;"__wt",'SegEnds_Xtal_BW#'!$A:$Z,8,FALSE)</f>
        <v>66</v>
      </c>
      <c r="I106" s="1">
        <f>VLOOKUP($B106&amp;"__wt",'SegEnds_Xtal_BW#'!$A:$Z,9,FALSE)</f>
        <v>49</v>
      </c>
      <c r="J106" s="1">
        <f>VLOOKUP($B106&amp;"__wt",'SegEnds_Xtal_BW#'!$A:$Z,10,FALSE)</f>
        <v>52</v>
      </c>
      <c r="K106" s="12">
        <v>18</v>
      </c>
      <c r="L106" s="1">
        <f>VLOOKUP($B106&amp;"__wt",'SegEnds_Xtal_BW#'!$A:$Z,12,FALSE)</f>
        <v>56</v>
      </c>
      <c r="M106" s="1">
        <f>VLOOKUP($B106&amp;"__wt",'SegEnds_Xtal_BW#'!$A:$Z,13,FALSE)</f>
        <v>50</v>
      </c>
      <c r="N106" s="12">
        <v>57</v>
      </c>
      <c r="O106" s="89">
        <v>38</v>
      </c>
      <c r="P106" s="1">
        <f>VLOOKUP($B106&amp;"__wt",'SegEnds_Xtal_BW#'!$A:$Z,16,FALSE)</f>
        <v>64</v>
      </c>
      <c r="Q106" s="1">
        <f>VLOOKUP($B106&amp;"__wt",'SegEnds_Xtal_BW#'!$A:$Z,17,FALSE)</f>
        <v>50</v>
      </c>
      <c r="R106" s="1">
        <f>VLOOKUP($B106&amp;"__wt",'SegEnds_Xtal_BW#'!$A:$Z,18,FALSE)</f>
        <v>52</v>
      </c>
      <c r="S106" s="1">
        <f>VLOOKUP($B106&amp;"__wt",'SegEnds_Xtal_BW#'!$A:$Z,19,FALSE)</f>
        <v>32</v>
      </c>
      <c r="T106" s="1">
        <f t="array" ref="T106">INDEX('ICL3'!$G$2:$G$40,MATCH(MIN(ABS(AH106-'ICL3'!$F$2:$F$40)),ABS(AH106-'ICL3'!$F$2:$F$40),0))</f>
        <v>68</v>
      </c>
      <c r="U106" s="1">
        <f t="array" ref="U106">INDEX('ICL3'!$H$2:$H$40,MATCH(MIN(ABS(AH106-'ICL3'!$F$2:$F$40)),ABS(AH106-'ICL3'!$F$2:$F$40),0))</f>
        <v>30</v>
      </c>
      <c r="V106" s="1">
        <v>61</v>
      </c>
      <c r="W106" s="1">
        <v>24</v>
      </c>
      <c r="X106" s="1">
        <f>VLOOKUP($B106&amp;"__wt",'SegEnds_Xtal_BW#'!$A:$Z,24,FALSE)</f>
        <v>56</v>
      </c>
      <c r="Y106" s="1">
        <f>VLOOKUP($B106&amp;"__wt",'SegEnds_Xtal_BW#'!$A:$Z,25,FALSE)</f>
        <v>47</v>
      </c>
      <c r="Z106" s="1">
        <f>VLOOKUP($B106&amp;"__wt",'SegEnds_Xtal_BW#'!$A:$Z,26,FALSE)</f>
        <v>59</v>
      </c>
      <c r="AA106" s="27" t="str">
        <f>VLOOKUP(A106,Classification!A:B,2,FALSE)</f>
        <v>A</v>
      </c>
      <c r="AB106" s="1" t="e">
        <f>VLOOKUP(A106,'SegEnds_NonXtal_Prot#'!A:AL,10,FALSE)-VLOOKUP(A106,'SegEnds_NonXtal_Prot#'!A:AL,7,FALSE)</f>
        <v>#VALUE!</v>
      </c>
      <c r="AC106" s="1">
        <f>VLOOKUP(A106,'SegEnds_NonXtal_Prot#'!A:AL,13,FALSE)-VLOOKUP(A106,'SegEnds_NonXtal_Prot#'!A:AL,10,FALSE)</f>
        <v>20</v>
      </c>
      <c r="AD106" s="1">
        <f>VLOOKUP(A106,'SegEnds_NonXtal_Prot#'!A:AL,16,FALSE)-VLOOKUP(A106,'SegEnds_NonXtal_Prot#'!A:AL,10,FALSE)</f>
        <v>52</v>
      </c>
      <c r="AE106" s="1">
        <f>VLOOKUP(A106,'SegEnds_NonXtal_Prot#'!A:AL,22,FALSE)-VLOOKUP(A106,'SegEnds_NonXtal_Prot#'!A:AL,19,FALSE)</f>
        <v>20</v>
      </c>
      <c r="AF106" s="1">
        <f>VLOOKUP(A106,'SegEnds_NonXtal_Prot#'!A:AL,28,FALSE)-VLOOKUP(A106,'SegEnds_NonXtal_Prot#'!A:AL,25,FALSE)</f>
        <v>37</v>
      </c>
      <c r="AG106" s="1">
        <f>VLOOKUP(A106,'SegEnds_NonXtal_Prot#'!A:AL,28,FALSE)-VLOOKUP(A106,'SegEnds_NonXtal_Prot#'!A:AL,22,FALSE)</f>
        <v>63</v>
      </c>
      <c r="AH106" s="1">
        <f>VLOOKUP(A106,'SegEnds_NonXtal_Prot#'!A:AL,31,FALSE)-VLOOKUP(A106,'SegEnds_NonXtal_Prot#'!A:AL,28,FALSE)</f>
        <v>43</v>
      </c>
      <c r="AI106" s="1">
        <f>VLOOKUP(A106,'SegEnds_NonXtal_Prot#'!A:AL,34,FALSE)-VLOOKUP(A106,'SegEnds_NonXtal_Prot#'!A:AL,31,FALSE)</f>
        <v>43</v>
      </c>
      <c r="AJ106" s="1" t="str">
        <f>IF(ISERROR(MATCH(A106,'SegEnds_Xtal_Prot#'!B:B, 0)), "NoXtal", "Xtal")</f>
        <v>NoXtal</v>
      </c>
    </row>
    <row r="107" spans="1:36" x14ac:dyDescent="0.2">
      <c r="A107" s="1" t="s">
        <v>204</v>
      </c>
      <c r="B107" s="1" t="str">
        <f>VLOOKUP(A107,Xtal_Templ!A:B,2,FALSE)</f>
        <v>aa2ar_human</v>
      </c>
      <c r="C107" s="5">
        <f>VLOOKUP($B107&amp;"__wt",'SegEnds_Xtal_BW#'!$A:$Z,3,FALSE)</f>
        <v>27</v>
      </c>
      <c r="D107" s="1">
        <f>VLOOKUP($B107&amp;"__wt",'SegEnds_Xtal_BW#'!$A:$Z,4,FALSE)</f>
        <v>60</v>
      </c>
      <c r="E107" s="1">
        <f>VLOOKUP($B107&amp;"__wt",'SegEnds_Xtal_BW#'!$A:$Z,5,FALSE)</f>
        <v>48</v>
      </c>
      <c r="F107" s="1">
        <f>VLOOKUP($B107&amp;"__wt",'SegEnds_Xtal_BW#'!$A:$Z,6,FALSE)</f>
        <v>51</v>
      </c>
      <c r="G107" s="1">
        <v>37</v>
      </c>
      <c r="H107" s="12">
        <f>VLOOKUP($B107&amp;"__wt",'SegEnds_Xtal_BW#'!$A:$Z,8,FALSE)</f>
        <v>67</v>
      </c>
      <c r="I107" s="1">
        <v>49</v>
      </c>
      <c r="J107" s="1">
        <f>VLOOKUP($B107&amp;"__wt",'SegEnds_Xtal_BW#'!$A:$Z,10,FALSE)</f>
        <v>52</v>
      </c>
      <c r="K107" s="12">
        <v>18</v>
      </c>
      <c r="L107" s="1">
        <f>VLOOKUP($B107&amp;"__wt",'SegEnds_Xtal_BW#'!$A:$Z,12,FALSE)</f>
        <v>56</v>
      </c>
      <c r="M107" s="1">
        <f>VLOOKUP($B107&amp;"__wt",'SegEnds_Xtal_BW#'!$A:$Z,13,FALSE)</f>
        <v>50</v>
      </c>
      <c r="N107" s="12">
        <v>57</v>
      </c>
      <c r="O107" s="89">
        <f>VLOOKUP($B107&amp;"__wt",'SegEnds_Xtal_BW#'!$A:$Z,15,FALSE)</f>
        <v>38</v>
      </c>
      <c r="P107" s="1">
        <f>VLOOKUP($B107&amp;"__wt",'SegEnds_Xtal_BW#'!$A:$Z,16,FALSE)</f>
        <v>63</v>
      </c>
      <c r="Q107" s="1">
        <f>VLOOKUP($B107&amp;"__wt",'SegEnds_Xtal_BW#'!$A:$Z,17,FALSE)</f>
        <v>50</v>
      </c>
      <c r="R107" s="1">
        <f>VLOOKUP($B107&amp;"__wt",'SegEnds_Xtal_BW#'!$A:$Z,18,FALSE)</f>
        <v>52</v>
      </c>
      <c r="S107" s="1">
        <f>VLOOKUP($B107&amp;"__wt",'SegEnds_Xtal_BW#'!$A:$Z,19,FALSE)</f>
        <v>34</v>
      </c>
      <c r="T107" s="1">
        <f t="array" ref="T107">INDEX('ICL3'!$G$2:$G$40,MATCH(MIN(ABS(AH107-'ICL3'!$F$2:$F$40)),ABS(AH107-'ICL3'!$F$2:$F$40),0))</f>
        <v>67</v>
      </c>
      <c r="U107" s="1">
        <f t="array" ref="U107">INDEX('ICL3'!$H$2:$H$40,MATCH(MIN(ABS(AH107-'ICL3'!$F$2:$F$40)),ABS(AH107-'ICL3'!$F$2:$F$40),0))</f>
        <v>26</v>
      </c>
      <c r="V107" s="1">
        <v>61</v>
      </c>
      <c r="W107" s="1">
        <v>31</v>
      </c>
      <c r="X107" s="1">
        <f>VLOOKUP($B107&amp;"__wt",'SegEnds_Xtal_BW#'!$A:$Z,24,FALSE)</f>
        <v>56</v>
      </c>
      <c r="Y107" s="1">
        <f>VLOOKUP($B107&amp;"__wt",'SegEnds_Xtal_BW#'!$A:$Z,25,FALSE)</f>
        <v>47</v>
      </c>
      <c r="Z107" s="1">
        <f>VLOOKUP($B107&amp;"__wt",'SegEnds_Xtal_BW#'!$A:$Z,26,FALSE)</f>
        <v>69</v>
      </c>
      <c r="AA107" s="27" t="str">
        <f>VLOOKUP(A107,Classification!A:B,2,FALSE)</f>
        <v>A</v>
      </c>
      <c r="AB107" s="1">
        <f>VLOOKUP(A107,'SegEnds_NonXtal_Prot#'!A:AL,10,FALSE)-VLOOKUP(A107,'SegEnds_NonXtal_Prot#'!A:AL,7,FALSE)</f>
        <v>14</v>
      </c>
      <c r="AC107" s="1">
        <f>VLOOKUP(A107,'SegEnds_NonXtal_Prot#'!A:AL,13,FALSE)-VLOOKUP(A107,'SegEnds_NonXtal_Prot#'!A:AL,10,FALSE)</f>
        <v>28</v>
      </c>
      <c r="AD107" s="1">
        <f>VLOOKUP(A107,'SegEnds_NonXtal_Prot#'!A:AL,16,FALSE)-VLOOKUP(A107,'SegEnds_NonXtal_Prot#'!A:AL,10,FALSE)</f>
        <v>59</v>
      </c>
      <c r="AE107" s="1">
        <f>VLOOKUP(A107,'SegEnds_NonXtal_Prot#'!A:AL,22,FALSE)-VLOOKUP(A107,'SegEnds_NonXtal_Prot#'!A:AL,19,FALSE)</f>
        <v>20</v>
      </c>
      <c r="AF107" s="1">
        <f>VLOOKUP(A107,'SegEnds_NonXtal_Prot#'!A:AL,28,FALSE)-VLOOKUP(A107,'SegEnds_NonXtal_Prot#'!A:AL,25,FALSE)</f>
        <v>24</v>
      </c>
      <c r="AG107" s="1">
        <f>VLOOKUP(A107,'SegEnds_NonXtal_Prot#'!A:AL,28,FALSE)-VLOOKUP(A107,'SegEnds_NonXtal_Prot#'!A:AL,22,FALSE)</f>
        <v>47</v>
      </c>
      <c r="AH107" s="1">
        <f>VLOOKUP(A107,'SegEnds_NonXtal_Prot#'!A:AL,31,FALSE)-VLOOKUP(A107,'SegEnds_NonXtal_Prot#'!A:AL,28,FALSE)</f>
        <v>46</v>
      </c>
      <c r="AI107" s="1">
        <f>VLOOKUP(A107,'SegEnds_NonXtal_Prot#'!A:AL,34,FALSE)-VLOOKUP(A107,'SegEnds_NonXtal_Prot#'!A:AL,31,FALSE)</f>
        <v>36</v>
      </c>
      <c r="AJ107" s="1" t="str">
        <f>IF(ISERROR(MATCH(A107,'SegEnds_Xtal_Prot#'!B:B, 0)), "NoXtal", "Xtal")</f>
        <v>NoXtal</v>
      </c>
    </row>
    <row r="108" spans="1:36" x14ac:dyDescent="0.2">
      <c r="A108" s="1" t="s">
        <v>205</v>
      </c>
      <c r="B108" s="1" t="str">
        <f>VLOOKUP(A108,Xtal_Templ!A:B,2,FALSE)</f>
        <v>oprk_human</v>
      </c>
      <c r="C108" s="5">
        <f>VLOOKUP($B108&amp;"__wt",'SegEnds_Xtal_BW#'!$A:$Z,3,FALSE)</f>
        <v>30</v>
      </c>
      <c r="D108" s="1">
        <f>VLOOKUP($B108&amp;"__wt",'SegEnds_Xtal_BW#'!$A:$Z,4,FALSE)</f>
        <v>60</v>
      </c>
      <c r="E108" s="1">
        <f>VLOOKUP($B108&amp;"__wt",'SegEnds_Xtal_BW#'!$A:$Z,5,FALSE)</f>
        <v>48</v>
      </c>
      <c r="F108" s="1">
        <f>VLOOKUP($B108&amp;"__wt",'SegEnds_Xtal_BW#'!$A:$Z,6,FALSE)</f>
        <v>51</v>
      </c>
      <c r="G108" s="1">
        <v>37</v>
      </c>
      <c r="H108" s="12">
        <f>VLOOKUP($B108&amp;"__wt",'SegEnds_Xtal_BW#'!$A:$Z,8,FALSE)</f>
        <v>66</v>
      </c>
      <c r="I108" s="1">
        <f>VLOOKUP($B108&amp;"__wt",'SegEnds_Xtal_BW#'!$A:$Z,9,FALSE)</f>
        <v>49</v>
      </c>
      <c r="J108" s="1">
        <f>VLOOKUP($B108&amp;"__wt",'SegEnds_Xtal_BW#'!$A:$Z,10,FALSE)</f>
        <v>52</v>
      </c>
      <c r="K108" s="12">
        <v>18</v>
      </c>
      <c r="L108" s="1">
        <f>VLOOKUP($B108&amp;"__wt",'SegEnds_Xtal_BW#'!$A:$Z,12,FALSE)</f>
        <v>56</v>
      </c>
      <c r="M108" s="1">
        <f>VLOOKUP($B108&amp;"__wt",'SegEnds_Xtal_BW#'!$A:$Z,13,FALSE)</f>
        <v>50</v>
      </c>
      <c r="N108" s="12">
        <v>57</v>
      </c>
      <c r="O108" s="89">
        <f>VLOOKUP($B108&amp;"__wt",'SegEnds_Xtal_BW#'!$A:$Z,15,FALSE)</f>
        <v>38</v>
      </c>
      <c r="P108" s="1">
        <f>VLOOKUP($B108&amp;"__wt",'SegEnds_Xtal_BW#'!$A:$Z,16,FALSE)</f>
        <v>64</v>
      </c>
      <c r="Q108" s="1">
        <f>VLOOKUP($B108&amp;"__wt",'SegEnds_Xtal_BW#'!$A:$Z,17,FALSE)</f>
        <v>50</v>
      </c>
      <c r="R108" s="1">
        <f>VLOOKUP($B108&amp;"__wt",'SegEnds_Xtal_BW#'!$A:$Z,18,FALSE)</f>
        <v>52</v>
      </c>
      <c r="S108" s="1">
        <f>VLOOKUP($B108&amp;"__wt",'SegEnds_Xtal_BW#'!$A:$Z,19,FALSE)</f>
        <v>31</v>
      </c>
      <c r="T108" s="1">
        <f t="array" ref="T108">INDEX('ICL3'!$G$2:$G$40,MATCH(MIN(ABS(AH108-'ICL3'!$F$2:$F$40)),ABS(AH108-'ICL3'!$F$2:$F$40),0))</f>
        <v>72</v>
      </c>
      <c r="U108" s="1">
        <f t="array" ref="U108">INDEX('ICL3'!$H$2:$H$40,MATCH(MIN(ABS(AH108-'ICL3'!$F$2:$F$40)),ABS(AH108-'ICL3'!$F$2:$F$40),0))</f>
        <v>29</v>
      </c>
      <c r="V108" s="1">
        <v>61</v>
      </c>
      <c r="W108" s="1">
        <v>28</v>
      </c>
      <c r="X108" s="1">
        <f>VLOOKUP($B108&amp;"__wt",'SegEnds_Xtal_BW#'!$A:$Z,24,FALSE)</f>
        <v>56</v>
      </c>
      <c r="Y108" s="1">
        <f>VLOOKUP($B108&amp;"__wt",'SegEnds_Xtal_BW#'!$A:$Z,25,FALSE)</f>
        <v>47</v>
      </c>
      <c r="Z108" s="1">
        <f>VLOOKUP($B108&amp;"__wt",'SegEnds_Xtal_BW#'!$A:$Z,26,FALSE)</f>
        <v>59</v>
      </c>
      <c r="AA108" s="27" t="str">
        <f>VLOOKUP(A108,Classification!A:B,2,FALSE)</f>
        <v>A</v>
      </c>
      <c r="AB108" s="1" t="e">
        <f>VLOOKUP(A108,'SegEnds_NonXtal_Prot#'!A:AL,10,FALSE)-VLOOKUP(A108,'SegEnds_NonXtal_Prot#'!A:AL,7,FALSE)</f>
        <v>#VALUE!</v>
      </c>
      <c r="AC108" s="1">
        <f>VLOOKUP(A108,'SegEnds_NonXtal_Prot#'!A:AL,13,FALSE)-VLOOKUP(A108,'SegEnds_NonXtal_Prot#'!A:AL,10,FALSE)</f>
        <v>20</v>
      </c>
      <c r="AD108" s="1">
        <f>VLOOKUP(A108,'SegEnds_NonXtal_Prot#'!A:AL,16,FALSE)-VLOOKUP(A108,'SegEnds_NonXtal_Prot#'!A:AL,10,FALSE)</f>
        <v>52</v>
      </c>
      <c r="AE108" s="1">
        <f>VLOOKUP(A108,'SegEnds_NonXtal_Prot#'!A:AL,22,FALSE)-VLOOKUP(A108,'SegEnds_NonXtal_Prot#'!A:AL,19,FALSE)</f>
        <v>20</v>
      </c>
      <c r="AF108" s="1">
        <f>VLOOKUP(A108,'SegEnds_NonXtal_Prot#'!A:AL,28,FALSE)-VLOOKUP(A108,'SegEnds_NonXtal_Prot#'!A:AL,25,FALSE)</f>
        <v>25</v>
      </c>
      <c r="AG108" s="1">
        <f>VLOOKUP(A108,'SegEnds_NonXtal_Prot#'!A:AL,28,FALSE)-VLOOKUP(A108,'SegEnds_NonXtal_Prot#'!A:AL,22,FALSE)</f>
        <v>52</v>
      </c>
      <c r="AH108" s="1">
        <f>VLOOKUP(A108,'SegEnds_NonXtal_Prot#'!A:AL,31,FALSE)-VLOOKUP(A108,'SegEnds_NonXtal_Prot#'!A:AL,28,FALSE)</f>
        <v>50</v>
      </c>
      <c r="AI108" s="1">
        <f>VLOOKUP(A108,'SegEnds_NonXtal_Prot#'!A:AL,34,FALSE)-VLOOKUP(A108,'SegEnds_NonXtal_Prot#'!A:AL,31,FALSE)</f>
        <v>38</v>
      </c>
      <c r="AJ108" s="1" t="str">
        <f>IF(ISERROR(MATCH(A108,'SegEnds_Xtal_Prot#'!B:B, 0)), "NoXtal", "Xtal")</f>
        <v>NoXtal</v>
      </c>
    </row>
    <row r="109" spans="1:36" x14ac:dyDescent="0.2">
      <c r="A109" s="1" t="s">
        <v>206</v>
      </c>
      <c r="B109" s="1" t="str">
        <f>VLOOKUP(A109,Xtal_Templ!A:B,2,FALSE)</f>
        <v>oprk_human</v>
      </c>
      <c r="C109" s="5">
        <f>VLOOKUP($B109&amp;"__wt",'SegEnds_Xtal_BW#'!$A:$Z,3,FALSE)</f>
        <v>30</v>
      </c>
      <c r="D109" s="1">
        <f>VLOOKUP($B109&amp;"__wt",'SegEnds_Xtal_BW#'!$A:$Z,4,FALSE)</f>
        <v>60</v>
      </c>
      <c r="E109" s="1">
        <f>VLOOKUP($B109&amp;"__wt",'SegEnds_Xtal_BW#'!$A:$Z,5,FALSE)</f>
        <v>48</v>
      </c>
      <c r="F109" s="1">
        <f>VLOOKUP($B109&amp;"__wt",'SegEnds_Xtal_BW#'!$A:$Z,6,FALSE)</f>
        <v>51</v>
      </c>
      <c r="G109" s="1">
        <v>37</v>
      </c>
      <c r="H109" s="12">
        <f>VLOOKUP($B109&amp;"__wt",'SegEnds_Xtal_BW#'!$A:$Z,8,FALSE)</f>
        <v>66</v>
      </c>
      <c r="I109" s="1">
        <f>VLOOKUP($B109&amp;"__wt",'SegEnds_Xtal_BW#'!$A:$Z,9,FALSE)</f>
        <v>49</v>
      </c>
      <c r="J109" s="1">
        <f>VLOOKUP($B109&amp;"__wt",'SegEnds_Xtal_BW#'!$A:$Z,10,FALSE)</f>
        <v>52</v>
      </c>
      <c r="K109" s="12">
        <v>18</v>
      </c>
      <c r="L109" s="1">
        <f>VLOOKUP($B109&amp;"__wt",'SegEnds_Xtal_BW#'!$A:$Z,12,FALSE)</f>
        <v>56</v>
      </c>
      <c r="M109" s="1">
        <f>VLOOKUP($B109&amp;"__wt",'SegEnds_Xtal_BW#'!$A:$Z,13,FALSE)</f>
        <v>50</v>
      </c>
      <c r="N109" s="12">
        <v>57</v>
      </c>
      <c r="O109" s="89">
        <f>VLOOKUP($B109&amp;"__wt",'SegEnds_Xtal_BW#'!$A:$Z,15,FALSE)</f>
        <v>38</v>
      </c>
      <c r="P109" s="1">
        <f>VLOOKUP($B109&amp;"__wt",'SegEnds_Xtal_BW#'!$A:$Z,16,FALSE)</f>
        <v>64</v>
      </c>
      <c r="Q109" s="1">
        <f>VLOOKUP($B109&amp;"__wt",'SegEnds_Xtal_BW#'!$A:$Z,17,FALSE)</f>
        <v>50</v>
      </c>
      <c r="R109" s="1">
        <f>VLOOKUP($B109&amp;"__wt",'SegEnds_Xtal_BW#'!$A:$Z,18,FALSE)</f>
        <v>52</v>
      </c>
      <c r="S109" s="1">
        <f>VLOOKUP($B109&amp;"__wt",'SegEnds_Xtal_BW#'!$A:$Z,19,FALSE)</f>
        <v>31</v>
      </c>
      <c r="T109" s="1">
        <f t="array" ref="T109">INDEX('ICL3'!$G$2:$G$40,MATCH(MIN(ABS(AH109-'ICL3'!$F$2:$F$40)),ABS(AH109-'ICL3'!$F$2:$F$40),0))</f>
        <v>72</v>
      </c>
      <c r="U109" s="1">
        <f t="array" ref="U109">INDEX('ICL3'!$H$2:$H$40,MATCH(MIN(ABS(AH109-'ICL3'!$F$2:$F$40)),ABS(AH109-'ICL3'!$F$2:$F$40),0))</f>
        <v>24</v>
      </c>
      <c r="V109" s="1">
        <v>61</v>
      </c>
      <c r="W109" s="1">
        <v>28</v>
      </c>
      <c r="X109" s="1">
        <f>VLOOKUP($B109&amp;"__wt",'SegEnds_Xtal_BW#'!$A:$Z,24,FALSE)</f>
        <v>56</v>
      </c>
      <c r="Y109" s="1">
        <f>VLOOKUP($B109&amp;"__wt",'SegEnds_Xtal_BW#'!$A:$Z,25,FALSE)</f>
        <v>47</v>
      </c>
      <c r="Z109" s="1">
        <f>VLOOKUP($B109&amp;"__wt",'SegEnds_Xtal_BW#'!$A:$Z,26,FALSE)</f>
        <v>59</v>
      </c>
      <c r="AA109" s="27" t="str">
        <f>VLOOKUP(A109,Classification!A:B,2,FALSE)</f>
        <v>A</v>
      </c>
      <c r="AB109" s="1">
        <f>VLOOKUP(A109,'SegEnds_NonXtal_Prot#'!A:AL,10,FALSE)-VLOOKUP(A109,'SegEnds_NonXtal_Prot#'!A:AL,7,FALSE)</f>
        <v>15</v>
      </c>
      <c r="AC109" s="1">
        <f>VLOOKUP(A109,'SegEnds_NonXtal_Prot#'!A:AL,13,FALSE)-VLOOKUP(A109,'SegEnds_NonXtal_Prot#'!A:AL,10,FALSE)</f>
        <v>20</v>
      </c>
      <c r="AD109" s="1">
        <f>VLOOKUP(A109,'SegEnds_NonXtal_Prot#'!A:AL,16,FALSE)-VLOOKUP(A109,'SegEnds_NonXtal_Prot#'!A:AL,10,FALSE)</f>
        <v>52</v>
      </c>
      <c r="AE109" s="1">
        <f>VLOOKUP(A109,'SegEnds_NonXtal_Prot#'!A:AL,22,FALSE)-VLOOKUP(A109,'SegEnds_NonXtal_Prot#'!A:AL,19,FALSE)</f>
        <v>20</v>
      </c>
      <c r="AF109" s="1">
        <f>VLOOKUP(A109,'SegEnds_NonXtal_Prot#'!A:AL,28,FALSE)-VLOOKUP(A109,'SegEnds_NonXtal_Prot#'!A:AL,25,FALSE)</f>
        <v>24</v>
      </c>
      <c r="AG109" s="1">
        <f>VLOOKUP(A109,'SegEnds_NonXtal_Prot#'!A:AL,28,FALSE)-VLOOKUP(A109,'SegEnds_NonXtal_Prot#'!A:AL,22,FALSE)</f>
        <v>49</v>
      </c>
      <c r="AH109" s="1">
        <f>VLOOKUP(A109,'SegEnds_NonXtal_Prot#'!A:AL,31,FALSE)-VLOOKUP(A109,'SegEnds_NonXtal_Prot#'!A:AL,28,FALSE)</f>
        <v>52</v>
      </c>
      <c r="AI109" s="1">
        <f>VLOOKUP(A109,'SegEnds_NonXtal_Prot#'!A:AL,34,FALSE)-VLOOKUP(A109,'SegEnds_NonXtal_Prot#'!A:AL,31,FALSE)</f>
        <v>38</v>
      </c>
      <c r="AJ109" s="1" t="str">
        <f>IF(ISERROR(MATCH(A109,'SegEnds_Xtal_Prot#'!B:B, 0)), "NoXtal", "Xtal")</f>
        <v>NoXtal</v>
      </c>
    </row>
    <row r="110" spans="1:36" x14ac:dyDescent="0.2">
      <c r="A110" s="1" t="s">
        <v>207</v>
      </c>
      <c r="B110" s="1" t="str">
        <f>VLOOKUP(A110,Xtal_Templ!A:B,2,FALSE)</f>
        <v>oprk_human</v>
      </c>
      <c r="C110" s="5">
        <f>VLOOKUP($B110&amp;"__wt",'SegEnds_Xtal_BW#'!$A:$Z,3,FALSE)</f>
        <v>30</v>
      </c>
      <c r="D110" s="1">
        <f>VLOOKUP($B110&amp;"__wt",'SegEnds_Xtal_BW#'!$A:$Z,4,FALSE)</f>
        <v>60</v>
      </c>
      <c r="E110" s="1">
        <f>VLOOKUP($B110&amp;"__wt",'SegEnds_Xtal_BW#'!$A:$Z,5,FALSE)</f>
        <v>48</v>
      </c>
      <c r="F110" s="1">
        <f>VLOOKUP($B110&amp;"__wt",'SegEnds_Xtal_BW#'!$A:$Z,6,FALSE)</f>
        <v>51</v>
      </c>
      <c r="G110" s="1">
        <v>37</v>
      </c>
      <c r="H110" s="12">
        <f>VLOOKUP($B110&amp;"__wt",'SegEnds_Xtal_BW#'!$A:$Z,8,FALSE)</f>
        <v>66</v>
      </c>
      <c r="I110" s="1">
        <f>VLOOKUP($B110&amp;"__wt",'SegEnds_Xtal_BW#'!$A:$Z,9,FALSE)</f>
        <v>49</v>
      </c>
      <c r="J110" s="1">
        <f>VLOOKUP($B110&amp;"__wt",'SegEnds_Xtal_BW#'!$A:$Z,10,FALSE)</f>
        <v>52</v>
      </c>
      <c r="K110" s="12">
        <v>18</v>
      </c>
      <c r="L110" s="1">
        <f>VLOOKUP($B110&amp;"__wt",'SegEnds_Xtal_BW#'!$A:$Z,12,FALSE)</f>
        <v>56</v>
      </c>
      <c r="M110" s="1">
        <f>VLOOKUP($B110&amp;"__wt",'SegEnds_Xtal_BW#'!$A:$Z,13,FALSE)</f>
        <v>50</v>
      </c>
      <c r="N110" s="12">
        <v>57</v>
      </c>
      <c r="O110" s="89">
        <f>VLOOKUP($B110&amp;"__wt",'SegEnds_Xtal_BW#'!$A:$Z,15,FALSE)</f>
        <v>38</v>
      </c>
      <c r="P110" s="1">
        <f>VLOOKUP($B110&amp;"__wt",'SegEnds_Xtal_BW#'!$A:$Z,16,FALSE)</f>
        <v>64</v>
      </c>
      <c r="Q110" s="1">
        <f>VLOOKUP($B110&amp;"__wt",'SegEnds_Xtal_BW#'!$A:$Z,17,FALSE)</f>
        <v>50</v>
      </c>
      <c r="R110" s="1">
        <f>VLOOKUP($B110&amp;"__wt",'SegEnds_Xtal_BW#'!$A:$Z,18,FALSE)</f>
        <v>52</v>
      </c>
      <c r="S110" s="1">
        <f>VLOOKUP($B110&amp;"__wt",'SegEnds_Xtal_BW#'!$A:$Z,19,FALSE)</f>
        <v>31</v>
      </c>
      <c r="T110" s="1">
        <f t="array" ref="T110">INDEX('ICL3'!$G$2:$G$40,MATCH(MIN(ABS(AH110-'ICL3'!$F$2:$F$40)),ABS(AH110-'ICL3'!$F$2:$F$40),0))</f>
        <v>72</v>
      </c>
      <c r="U110" s="1">
        <f t="array" ref="U110">INDEX('ICL3'!$H$2:$H$40,MATCH(MIN(ABS(AH110-'ICL3'!$F$2:$F$40)),ABS(AH110-'ICL3'!$F$2:$F$40),0))</f>
        <v>24</v>
      </c>
      <c r="V110" s="1">
        <v>61</v>
      </c>
      <c r="W110" s="1">
        <v>28</v>
      </c>
      <c r="X110" s="1">
        <f>VLOOKUP($B110&amp;"__wt",'SegEnds_Xtal_BW#'!$A:$Z,24,FALSE)</f>
        <v>56</v>
      </c>
      <c r="Y110" s="1">
        <f>VLOOKUP($B110&amp;"__wt",'SegEnds_Xtal_BW#'!$A:$Z,25,FALSE)</f>
        <v>47</v>
      </c>
      <c r="Z110" s="1">
        <f>VLOOKUP($B110&amp;"__wt",'SegEnds_Xtal_BW#'!$A:$Z,26,FALSE)</f>
        <v>59</v>
      </c>
      <c r="AA110" s="27" t="str">
        <f>VLOOKUP(A110,Classification!A:B,2,FALSE)</f>
        <v>A</v>
      </c>
      <c r="AB110" s="1">
        <f>VLOOKUP(A110,'SegEnds_NonXtal_Prot#'!A:AL,10,FALSE)-VLOOKUP(A110,'SegEnds_NonXtal_Prot#'!A:AL,7,FALSE)</f>
        <v>19</v>
      </c>
      <c r="AC110" s="1">
        <f>VLOOKUP(A110,'SegEnds_NonXtal_Prot#'!A:AL,13,FALSE)-VLOOKUP(A110,'SegEnds_NonXtal_Prot#'!A:AL,10,FALSE)</f>
        <v>20</v>
      </c>
      <c r="AD110" s="1">
        <f>VLOOKUP(A110,'SegEnds_NonXtal_Prot#'!A:AL,16,FALSE)-VLOOKUP(A110,'SegEnds_NonXtal_Prot#'!A:AL,10,FALSE)</f>
        <v>52</v>
      </c>
      <c r="AE110" s="1">
        <f>VLOOKUP(A110,'SegEnds_NonXtal_Prot#'!A:AL,22,FALSE)-VLOOKUP(A110,'SegEnds_NonXtal_Prot#'!A:AL,19,FALSE)</f>
        <v>20</v>
      </c>
      <c r="AF110" s="1">
        <f>VLOOKUP(A110,'SegEnds_NonXtal_Prot#'!A:AL,28,FALSE)-VLOOKUP(A110,'SegEnds_NonXtal_Prot#'!A:AL,25,FALSE)</f>
        <v>24</v>
      </c>
      <c r="AG110" s="1">
        <f>VLOOKUP(A110,'SegEnds_NonXtal_Prot#'!A:AL,28,FALSE)-VLOOKUP(A110,'SegEnds_NonXtal_Prot#'!A:AL,22,FALSE)</f>
        <v>49</v>
      </c>
      <c r="AH110" s="1">
        <f>VLOOKUP(A110,'SegEnds_NonXtal_Prot#'!A:AL,31,FALSE)-VLOOKUP(A110,'SegEnds_NonXtal_Prot#'!A:AL,28,FALSE)</f>
        <v>54</v>
      </c>
      <c r="AI110" s="1">
        <f>VLOOKUP(A110,'SegEnds_NonXtal_Prot#'!A:AL,34,FALSE)-VLOOKUP(A110,'SegEnds_NonXtal_Prot#'!A:AL,31,FALSE)</f>
        <v>38</v>
      </c>
      <c r="AJ110" s="1" t="str">
        <f>IF(ISERROR(MATCH(A110,'SegEnds_Xtal_Prot#'!B:B, 0)), "NoXtal", "Xtal")</f>
        <v>NoXtal</v>
      </c>
    </row>
    <row r="111" spans="1:36" x14ac:dyDescent="0.2">
      <c r="A111" s="1" t="s">
        <v>208</v>
      </c>
      <c r="B111" s="1" t="str">
        <f>VLOOKUP(A111,Xtal_Templ!A:B,2,FALSE)</f>
        <v>ox2r_human</v>
      </c>
      <c r="C111" s="5">
        <f>VLOOKUP($B111&amp;"__wt",'SegEnds_Xtal_BW#'!$A:$Z,3,FALSE)</f>
        <v>31</v>
      </c>
      <c r="D111" s="1">
        <f>VLOOKUP($B111&amp;"__wt",'SegEnds_Xtal_BW#'!$A:$Z,4,FALSE)</f>
        <v>60</v>
      </c>
      <c r="E111" s="1">
        <f>VLOOKUP($B111&amp;"__wt",'SegEnds_Xtal_BW#'!$A:$Z,5,FALSE)</f>
        <v>48</v>
      </c>
      <c r="F111" s="1">
        <f>VLOOKUP($B111&amp;"__wt",'SegEnds_Xtal_BW#'!$A:$Z,6,FALSE)</f>
        <v>51</v>
      </c>
      <c r="G111" s="1">
        <v>37</v>
      </c>
      <c r="H111" s="12">
        <f>VLOOKUP($B111&amp;"__wt",'SegEnds_Xtal_BW#'!$A:$Z,8,FALSE)</f>
        <v>67</v>
      </c>
      <c r="I111" s="1">
        <f>VLOOKUP($B111&amp;"__wt",'SegEnds_Xtal_BW#'!$A:$Z,9,FALSE)</f>
        <v>49</v>
      </c>
      <c r="J111" s="1">
        <f>VLOOKUP($B111&amp;"__wt",'SegEnds_Xtal_BW#'!$A:$Z,10,FALSE)</f>
        <v>52</v>
      </c>
      <c r="K111" s="12">
        <v>18</v>
      </c>
      <c r="L111" s="1">
        <f>VLOOKUP($B111&amp;"__wt",'SegEnds_Xtal_BW#'!$A:$Z,12,FALSE)</f>
        <v>56</v>
      </c>
      <c r="M111" s="1">
        <f>VLOOKUP($B111&amp;"__wt",'SegEnds_Xtal_BW#'!$A:$Z,13,FALSE)</f>
        <v>50</v>
      </c>
      <c r="N111" s="12">
        <v>57</v>
      </c>
      <c r="O111" s="89">
        <f>VLOOKUP($B111&amp;"__wt",'SegEnds_Xtal_BW#'!$A:$Z,15,FALSE)</f>
        <v>38</v>
      </c>
      <c r="P111" s="1">
        <f>VLOOKUP($B111&amp;"__wt",'SegEnds_Xtal_BW#'!$A:$Z,16,FALSE)</f>
        <v>64</v>
      </c>
      <c r="Q111" s="1">
        <f>VLOOKUP($B111&amp;"__wt",'SegEnds_Xtal_BW#'!$A:$Z,17,FALSE)</f>
        <v>50</v>
      </c>
      <c r="R111" s="1">
        <f>VLOOKUP($B111&amp;"__wt",'SegEnds_Xtal_BW#'!$A:$Z,18,FALSE)</f>
        <v>52</v>
      </c>
      <c r="S111" s="1">
        <f>VLOOKUP($B111&amp;"__wt",'SegEnds_Xtal_BW#'!$A:$Z,19,FALSE)</f>
        <v>32</v>
      </c>
      <c r="T111" s="1">
        <f t="array" ref="T111">INDEX('ICL3'!$G$2:$G$40,MATCH(MIN(ABS(AH111-'ICL3'!$F$2:$F$40)),ABS(AH111-'ICL3'!$F$2:$F$40),0))</f>
        <v>76</v>
      </c>
      <c r="U111" s="1">
        <f t="array" ref="U111">INDEX('ICL3'!$H$2:$H$40,MATCH(MIN(ABS(AH111-'ICL3'!$F$2:$F$40)),ABS(AH111-'ICL3'!$F$2:$F$40),0))</f>
        <v>24</v>
      </c>
      <c r="V111" s="1">
        <v>61</v>
      </c>
      <c r="W111" s="1">
        <v>28</v>
      </c>
      <c r="X111" s="1">
        <f>VLOOKUP($B111&amp;"__wt",'SegEnds_Xtal_BW#'!$A:$Z,24,FALSE)</f>
        <v>56</v>
      </c>
      <c r="Y111" s="1">
        <f>VLOOKUP($B111&amp;"__wt",'SegEnds_Xtal_BW#'!$A:$Z,25,FALSE)</f>
        <v>47</v>
      </c>
      <c r="Z111" s="1">
        <f>VLOOKUP($B111&amp;"__wt",'SegEnds_Xtal_BW#'!$A:$Z,26,FALSE)</f>
        <v>58</v>
      </c>
      <c r="AA111" s="27" t="str">
        <f>VLOOKUP(A111,Classification!A:B,2,FALSE)</f>
        <v>A</v>
      </c>
      <c r="AB111" s="1">
        <f>VLOOKUP(A111,'SegEnds_NonXtal_Prot#'!A:AL,10,FALSE)-VLOOKUP(A111,'SegEnds_NonXtal_Prot#'!A:AL,7,FALSE)</f>
        <v>15</v>
      </c>
      <c r="AC111" s="1">
        <f>VLOOKUP(A111,'SegEnds_NonXtal_Prot#'!A:AL,13,FALSE)-VLOOKUP(A111,'SegEnds_NonXtal_Prot#'!A:AL,10,FALSE)</f>
        <v>20</v>
      </c>
      <c r="AD111" s="1">
        <f>VLOOKUP(A111,'SegEnds_NonXtal_Prot#'!A:AL,16,FALSE)-VLOOKUP(A111,'SegEnds_NonXtal_Prot#'!A:AL,10,FALSE)</f>
        <v>52</v>
      </c>
      <c r="AE111" s="1">
        <f>VLOOKUP(A111,'SegEnds_NonXtal_Prot#'!A:AL,22,FALSE)-VLOOKUP(A111,'SegEnds_NonXtal_Prot#'!A:AL,19,FALSE)</f>
        <v>20</v>
      </c>
      <c r="AF111" s="1">
        <f>VLOOKUP(A111,'SegEnds_NonXtal_Prot#'!A:AL,28,FALSE)-VLOOKUP(A111,'SegEnds_NonXtal_Prot#'!A:AL,25,FALSE)</f>
        <v>25</v>
      </c>
      <c r="AG111" s="1">
        <f>VLOOKUP(A111,'SegEnds_NonXtal_Prot#'!A:AL,28,FALSE)-VLOOKUP(A111,'SegEnds_NonXtal_Prot#'!A:AL,22,FALSE)</f>
        <v>51</v>
      </c>
      <c r="AH111" s="1">
        <f>VLOOKUP(A111,'SegEnds_NonXtal_Prot#'!A:AL,31,FALSE)-VLOOKUP(A111,'SegEnds_NonXtal_Prot#'!A:AL,28,FALSE)</f>
        <v>118</v>
      </c>
      <c r="AI111" s="1">
        <f>VLOOKUP(A111,'SegEnds_NonXtal_Prot#'!A:AL,34,FALSE)-VLOOKUP(A111,'SegEnds_NonXtal_Prot#'!A:AL,31,FALSE)</f>
        <v>39</v>
      </c>
      <c r="AJ111" s="1" t="str">
        <f>IF(ISERROR(MATCH(A111,'SegEnds_Xtal_Prot#'!B:B, 0)), "NoXtal", "Xtal")</f>
        <v>NoXtal</v>
      </c>
    </row>
    <row r="112" spans="1:36" x14ac:dyDescent="0.2">
      <c r="A112" s="1" t="s">
        <v>209</v>
      </c>
      <c r="B112" s="1" t="str">
        <f>VLOOKUP(A112,Xtal_Templ!A:B,2,FALSE)</f>
        <v>ntr1_rat</v>
      </c>
      <c r="C112" s="5">
        <f>VLOOKUP($B112&amp;"__wt",'SegEnds_Xtal_BW#'!$A:$Z,3,FALSE)</f>
        <v>29</v>
      </c>
      <c r="D112" s="1">
        <f>VLOOKUP($B112&amp;"__wt",'SegEnds_Xtal_BW#'!$A:$Z,4,FALSE)</f>
        <v>60</v>
      </c>
      <c r="E112" s="1">
        <f>VLOOKUP($B112&amp;"__wt",'SegEnds_Xtal_BW#'!$A:$Z,5,FALSE)</f>
        <v>48</v>
      </c>
      <c r="F112" s="1">
        <f>VLOOKUP($B112&amp;"__wt",'SegEnds_Xtal_BW#'!$A:$Z,6,FALSE)</f>
        <v>51</v>
      </c>
      <c r="G112" s="1">
        <v>37</v>
      </c>
      <c r="H112" s="12">
        <v>67</v>
      </c>
      <c r="I112" s="1">
        <f>VLOOKUP($B112&amp;"__wt",'SegEnds_Xtal_BW#'!$A:$Z,9,FALSE)</f>
        <v>49</v>
      </c>
      <c r="J112" s="1">
        <f>VLOOKUP($B112&amp;"__wt",'SegEnds_Xtal_BW#'!$A:$Z,10,FALSE)</f>
        <v>52</v>
      </c>
      <c r="K112" s="12">
        <v>18</v>
      </c>
      <c r="L112" s="1">
        <f>VLOOKUP($B112&amp;"__wt",'SegEnds_Xtal_BW#'!$A:$Z,12,FALSE)</f>
        <v>56</v>
      </c>
      <c r="M112" s="1">
        <f>VLOOKUP($B112&amp;"__wt",'SegEnds_Xtal_BW#'!$A:$Z,13,FALSE)</f>
        <v>50</v>
      </c>
      <c r="N112" s="12">
        <v>57</v>
      </c>
      <c r="O112" s="89">
        <f>VLOOKUP($B112&amp;"__wt",'SegEnds_Xtal_BW#'!$A:$Z,15,FALSE)</f>
        <v>38</v>
      </c>
      <c r="P112" s="1">
        <f>VLOOKUP($B112&amp;"__wt",'SegEnds_Xtal_BW#'!$A:$Z,16,FALSE)</f>
        <v>64</v>
      </c>
      <c r="Q112" s="1">
        <f>VLOOKUP($B112&amp;"__wt",'SegEnds_Xtal_BW#'!$A:$Z,17,FALSE)</f>
        <v>50</v>
      </c>
      <c r="R112" s="1">
        <f>VLOOKUP($B112&amp;"__wt",'SegEnds_Xtal_BW#'!$A:$Z,18,FALSE)</f>
        <v>52</v>
      </c>
      <c r="S112" s="1">
        <f>VLOOKUP($B112&amp;"__wt",'SegEnds_Xtal_BW#'!$A:$Z,19,FALSE)</f>
        <v>32</v>
      </c>
      <c r="T112" s="1">
        <f t="array" ref="T112">INDEX('ICL3'!$G$2:$G$40,MATCH(MIN(ABS(AH112-'ICL3'!$F$2:$F$40)),ABS(AH112-'ICL3'!$F$2:$F$40),0))</f>
        <v>72</v>
      </c>
      <c r="U112" s="1">
        <f t="array" ref="U112">INDEX('ICL3'!$H$2:$H$40,MATCH(MIN(ABS(AH112-'ICL3'!$F$2:$F$40)),ABS(AH112-'ICL3'!$F$2:$F$40),0))</f>
        <v>24</v>
      </c>
      <c r="V112" s="1">
        <v>61</v>
      </c>
      <c r="W112" s="1">
        <v>28</v>
      </c>
      <c r="X112" s="1">
        <f>VLOOKUP($B112&amp;"__wt",'SegEnds_Xtal_BW#'!$A:$Z,24,FALSE)</f>
        <v>56</v>
      </c>
      <c r="Y112" s="1">
        <f>VLOOKUP($B112&amp;"__wt",'SegEnds_Xtal_BW#'!$A:$Z,25,FALSE)</f>
        <v>47</v>
      </c>
      <c r="Z112" s="1">
        <f>VLOOKUP($B112&amp;"__wt",'SegEnds_Xtal_BW#'!$A:$Z,26,FALSE)</f>
        <v>58</v>
      </c>
      <c r="AA112" s="27" t="str">
        <f>VLOOKUP(A112,Classification!A:B,2,FALSE)</f>
        <v>A</v>
      </c>
      <c r="AB112" s="1">
        <f>VLOOKUP(A112,'SegEnds_NonXtal_Prot#'!A:AL,10,FALSE)-VLOOKUP(A112,'SegEnds_NonXtal_Prot#'!A:AL,7,FALSE)</f>
        <v>15</v>
      </c>
      <c r="AC112" s="1">
        <f>VLOOKUP(A112,'SegEnds_NonXtal_Prot#'!A:AL,13,FALSE)-VLOOKUP(A112,'SegEnds_NonXtal_Prot#'!A:AL,10,FALSE)</f>
        <v>20</v>
      </c>
      <c r="AD112" s="1">
        <f>VLOOKUP(A112,'SegEnds_NonXtal_Prot#'!A:AL,16,FALSE)-VLOOKUP(A112,'SegEnds_NonXtal_Prot#'!A:AL,10,FALSE)</f>
        <v>52</v>
      </c>
      <c r="AE112" s="1">
        <f>VLOOKUP(A112,'SegEnds_NonXtal_Prot#'!A:AL,22,FALSE)-VLOOKUP(A112,'SegEnds_NonXtal_Prot#'!A:AL,19,FALSE)</f>
        <v>20</v>
      </c>
      <c r="AF112" s="1">
        <f>VLOOKUP(A112,'SegEnds_NonXtal_Prot#'!A:AL,28,FALSE)-VLOOKUP(A112,'SegEnds_NonXtal_Prot#'!A:AL,25,FALSE)</f>
        <v>26</v>
      </c>
      <c r="AG112" s="1">
        <f>VLOOKUP(A112,'SegEnds_NonXtal_Prot#'!A:AL,28,FALSE)-VLOOKUP(A112,'SegEnds_NonXtal_Prot#'!A:AL,22,FALSE)</f>
        <v>56</v>
      </c>
      <c r="AH112" s="1">
        <f>VLOOKUP(A112,'SegEnds_NonXtal_Prot#'!A:AL,31,FALSE)-VLOOKUP(A112,'SegEnds_NonXtal_Prot#'!A:AL,28,FALSE)</f>
        <v>54</v>
      </c>
      <c r="AI112" s="1">
        <f>VLOOKUP(A112,'SegEnds_NonXtal_Prot#'!A:AL,34,FALSE)-VLOOKUP(A112,'SegEnds_NonXtal_Prot#'!A:AL,31,FALSE)</f>
        <v>42</v>
      </c>
      <c r="AJ112" s="1" t="str">
        <f>IF(ISERROR(MATCH(A112,'SegEnds_Xtal_Prot#'!B:B, 0)), "NoXtal", "Xtal")</f>
        <v>NoXtal</v>
      </c>
    </row>
    <row r="113" spans="1:36" x14ac:dyDescent="0.2">
      <c r="A113" s="1" t="s">
        <v>212</v>
      </c>
      <c r="B113" s="1" t="str">
        <f>VLOOKUP(A113,Xtal_Templ!A:B,2,FALSE)</f>
        <v>ccr5_human</v>
      </c>
      <c r="C113" s="5">
        <f>VLOOKUP($B113&amp;"__wt",'SegEnds_Xtal_BW#'!$A:$Z,3,FALSE)</f>
        <v>24</v>
      </c>
      <c r="D113" s="1">
        <f>VLOOKUP($B113&amp;"__wt",'SegEnds_Xtal_BW#'!$A:$Z,4,FALSE)</f>
        <v>60</v>
      </c>
      <c r="E113" s="1">
        <f>VLOOKUP($B113&amp;"__wt",'SegEnds_Xtal_BW#'!$A:$Z,5,FALSE)</f>
        <v>48</v>
      </c>
      <c r="F113" s="1">
        <f>VLOOKUP($B113&amp;"__wt",'SegEnds_Xtal_BW#'!$A:$Z,6,FALSE)</f>
        <v>51</v>
      </c>
      <c r="G113" s="1">
        <v>37</v>
      </c>
      <c r="H113" s="12">
        <f>VLOOKUP($B113&amp;"__wt",'SegEnds_Xtal_BW#'!$A:$Z,8,FALSE)</f>
        <v>66</v>
      </c>
      <c r="I113" s="1">
        <f>VLOOKUP($B113&amp;"__wt",'SegEnds_Xtal_BW#'!$A:$Z,9,FALSE)</f>
        <v>49</v>
      </c>
      <c r="J113" s="1">
        <f>VLOOKUP($B113&amp;"__wt",'SegEnds_Xtal_BW#'!$A:$Z,10,FALSE)</f>
        <v>52</v>
      </c>
      <c r="K113" s="12">
        <v>18</v>
      </c>
      <c r="L113" s="1">
        <f>VLOOKUP($B113&amp;"__wt",'SegEnds_Xtal_BW#'!$A:$Z,12,FALSE)</f>
        <v>56</v>
      </c>
      <c r="M113" s="1">
        <f>VLOOKUP($B113&amp;"__wt",'SegEnds_Xtal_BW#'!$A:$Z,13,FALSE)</f>
        <v>50</v>
      </c>
      <c r="N113" s="12">
        <v>57</v>
      </c>
      <c r="O113" s="89">
        <v>38</v>
      </c>
      <c r="P113" s="1">
        <f>VLOOKUP($B113&amp;"__wt",'SegEnds_Xtal_BW#'!$A:$Z,16,FALSE)</f>
        <v>64</v>
      </c>
      <c r="Q113" s="1">
        <f>VLOOKUP($B113&amp;"__wt",'SegEnds_Xtal_BW#'!$A:$Z,17,FALSE)</f>
        <v>50</v>
      </c>
      <c r="R113" s="1">
        <f>VLOOKUP($B113&amp;"__wt",'SegEnds_Xtal_BW#'!$A:$Z,18,FALSE)</f>
        <v>52</v>
      </c>
      <c r="S113" s="1">
        <v>35</v>
      </c>
      <c r="T113" s="1">
        <f t="array" ref="T113">INDEX('ICL3'!$G$2:$G$40,MATCH(MIN(ABS(AH113-'ICL3'!$F$2:$F$40)),ABS(AH113-'ICL3'!$F$2:$F$40),0))</f>
        <v>75</v>
      </c>
      <c r="U113" s="1">
        <f t="array" ref="U113">INDEX('ICL3'!$H$2:$H$40,MATCH(MIN(ABS(AH113-'ICL3'!$F$2:$F$40)),ABS(AH113-'ICL3'!$F$2:$F$40),0))</f>
        <v>24</v>
      </c>
      <c r="V113" s="1">
        <v>61</v>
      </c>
      <c r="W113" s="1">
        <v>31</v>
      </c>
      <c r="X113" s="1">
        <f>VLOOKUP($B113&amp;"__wt",'SegEnds_Xtal_BW#'!$A:$Z,24,FALSE)</f>
        <v>56</v>
      </c>
      <c r="Y113" s="1">
        <f>VLOOKUP($B113&amp;"__wt",'SegEnds_Xtal_BW#'!$A:$Z,25,FALSE)</f>
        <v>47</v>
      </c>
      <c r="Z113" s="1">
        <f>VLOOKUP($B113&amp;"__wt",'SegEnds_Xtal_BW#'!$A:$Z,26,FALSE)</f>
        <v>59</v>
      </c>
      <c r="AA113" s="27" t="str">
        <f>VLOOKUP(A113,Classification!A:B,2,FALSE)</f>
        <v>A</v>
      </c>
      <c r="AB113" s="1">
        <f>VLOOKUP(A113,'SegEnds_NonXtal_Prot#'!A:AL,10,FALSE)-VLOOKUP(A113,'SegEnds_NonXtal_Prot#'!A:AL,7,FALSE)</f>
        <v>15</v>
      </c>
      <c r="AC113" s="1">
        <f>VLOOKUP(A113,'SegEnds_NonXtal_Prot#'!A:AL,13,FALSE)-VLOOKUP(A113,'SegEnds_NonXtal_Prot#'!A:AL,10,FALSE)</f>
        <v>20</v>
      </c>
      <c r="AD113" s="1">
        <f>VLOOKUP(A113,'SegEnds_NonXtal_Prot#'!A:AL,16,FALSE)-VLOOKUP(A113,'SegEnds_NonXtal_Prot#'!A:AL,10,FALSE)</f>
        <v>52</v>
      </c>
      <c r="AE113" s="1">
        <f>VLOOKUP(A113,'SegEnds_NonXtal_Prot#'!A:AL,22,FALSE)-VLOOKUP(A113,'SegEnds_NonXtal_Prot#'!A:AL,19,FALSE)</f>
        <v>20</v>
      </c>
      <c r="AF113" s="1">
        <f>VLOOKUP(A113,'SegEnds_NonXtal_Prot#'!A:AL,28,FALSE)-VLOOKUP(A113,'SegEnds_NonXtal_Prot#'!A:AL,25,FALSE)</f>
        <v>22</v>
      </c>
      <c r="AG113" s="1">
        <f>VLOOKUP(A113,'SegEnds_NonXtal_Prot#'!A:AL,28,FALSE)-VLOOKUP(A113,'SegEnds_NonXtal_Prot#'!A:AL,22,FALSE)</f>
        <v>48</v>
      </c>
      <c r="AH113" s="1">
        <f>VLOOKUP(A113,'SegEnds_NonXtal_Prot#'!A:AL,31,FALSE)-VLOOKUP(A113,'SegEnds_NonXtal_Prot#'!A:AL,28,FALSE)</f>
        <v>210</v>
      </c>
      <c r="AI113" s="1">
        <f>VLOOKUP(A113,'SegEnds_NonXtal_Prot#'!A:AL,34,FALSE)-VLOOKUP(A113,'SegEnds_NonXtal_Prot#'!A:AL,31,FALSE)</f>
        <v>37</v>
      </c>
      <c r="AJ113" s="1" t="str">
        <f>IF(ISERROR(MATCH(A113,'SegEnds_Xtal_Prot#'!B:B, 0)), "NoXtal", "Xtal")</f>
        <v>NoXtal</v>
      </c>
    </row>
    <row r="114" spans="1:36" x14ac:dyDescent="0.2">
      <c r="A114" s="1" t="s">
        <v>213</v>
      </c>
      <c r="B114" s="1" t="str">
        <f>VLOOKUP(A114,Xtal_Templ!A:B,2,FALSE)</f>
        <v>5ht2b_human</v>
      </c>
      <c r="C114" s="5">
        <f>VLOOKUP($B114&amp;"__wt",'SegEnds_Xtal_BW#'!$A:$Z,3,FALSE)</f>
        <v>32</v>
      </c>
      <c r="D114" s="1">
        <f>VLOOKUP($B114&amp;"__wt",'SegEnds_Xtal_BW#'!$A:$Z,4,FALSE)</f>
        <v>60</v>
      </c>
      <c r="E114" s="1">
        <f>VLOOKUP($B114&amp;"__wt",'SegEnds_Xtal_BW#'!$A:$Z,5,FALSE)</f>
        <v>48</v>
      </c>
      <c r="F114" s="1">
        <f>VLOOKUP($B114&amp;"__wt",'SegEnds_Xtal_BW#'!$A:$Z,6,FALSE)</f>
        <v>51</v>
      </c>
      <c r="G114" s="1">
        <v>37</v>
      </c>
      <c r="H114" s="111">
        <v>66</v>
      </c>
      <c r="I114" s="1">
        <f>VLOOKUP($B114&amp;"__wt",'SegEnds_Xtal_BW#'!$A:$Z,9,FALSE)</f>
        <v>49</v>
      </c>
      <c r="J114" s="1">
        <f>VLOOKUP($B114&amp;"__wt",'SegEnds_Xtal_BW#'!$A:$Z,10,FALSE)</f>
        <v>52</v>
      </c>
      <c r="K114" s="12">
        <v>18</v>
      </c>
      <c r="L114" s="1">
        <f>VLOOKUP($B114&amp;"__wt",'SegEnds_Xtal_BW#'!$A:$Z,12,FALSE)</f>
        <v>56</v>
      </c>
      <c r="M114" s="1">
        <f>VLOOKUP($B114&amp;"__wt",'SegEnds_Xtal_BW#'!$A:$Z,13,FALSE)</f>
        <v>50</v>
      </c>
      <c r="N114" s="12">
        <v>57</v>
      </c>
      <c r="O114" s="89">
        <v>38</v>
      </c>
      <c r="P114" s="1">
        <f>VLOOKUP($B114&amp;"__wt",'SegEnds_Xtal_BW#'!$A:$Z,16,FALSE)</f>
        <v>64</v>
      </c>
      <c r="Q114" s="1">
        <f>VLOOKUP($B114&amp;"__wt",'SegEnds_Xtal_BW#'!$A:$Z,17,FALSE)</f>
        <v>50</v>
      </c>
      <c r="R114" s="1">
        <f>VLOOKUP($B114&amp;"__wt",'SegEnds_Xtal_BW#'!$A:$Z,18,FALSE)</f>
        <v>52</v>
      </c>
      <c r="S114" s="1">
        <v>35</v>
      </c>
      <c r="T114" s="1">
        <f t="array" ref="T114">INDEX('ICL3'!$G$2:$G$40,MATCH(MIN(ABS(AH114-'ICL3'!$F$2:$F$40)),ABS(AH114-'ICL3'!$F$2:$F$40),0))</f>
        <v>74</v>
      </c>
      <c r="U114" s="1">
        <f t="array" ref="U114">INDEX('ICL3'!$H$2:$H$40,MATCH(MIN(ABS(AH114-'ICL3'!$F$2:$F$40)),ABS(AH114-'ICL3'!$F$2:$F$40),0))</f>
        <v>21</v>
      </c>
      <c r="V114" s="1">
        <v>61</v>
      </c>
      <c r="W114" s="1">
        <v>31</v>
      </c>
      <c r="X114" s="1">
        <f>VLOOKUP($B114&amp;"__wt",'SegEnds_Xtal_BW#'!$A:$Z,24,FALSE)</f>
        <v>56</v>
      </c>
      <c r="Y114" s="1">
        <f>VLOOKUP($B114&amp;"__wt",'SegEnds_Xtal_BW#'!$A:$Z,25,FALSE)</f>
        <v>47</v>
      </c>
      <c r="Z114" s="1">
        <f>VLOOKUP($B114&amp;"__wt",'SegEnds_Xtal_BW#'!$A:$Z,26,FALSE)</f>
        <v>58</v>
      </c>
      <c r="AA114" s="27" t="str">
        <f>VLOOKUP(A114,Classification!A:B,2,FALSE)</f>
        <v>A</v>
      </c>
      <c r="AB114" s="1" t="e">
        <f>VLOOKUP(A114,'SegEnds_NonXtal_Prot#'!A:AL,10,FALSE)-VLOOKUP(A114,'SegEnds_NonXtal_Prot#'!A:AL,7,FALSE)</f>
        <v>#VALUE!</v>
      </c>
      <c r="AC114" s="1" t="e">
        <f>VLOOKUP(A114,'SegEnds_NonXtal_Prot#'!A:AL,13,FALSE)-VLOOKUP(A114,'SegEnds_NonXtal_Prot#'!A:AL,10,FALSE)</f>
        <v>#VALUE!</v>
      </c>
      <c r="AD114" s="1">
        <f>VLOOKUP(A114,'SegEnds_NonXtal_Prot#'!A:AL,16,FALSE)-VLOOKUP(A114,'SegEnds_NonXtal_Prot#'!A:AL,10,FALSE)</f>
        <v>52</v>
      </c>
      <c r="AE114" s="1">
        <f>VLOOKUP(A114,'SegEnds_NonXtal_Prot#'!A:AL,22,FALSE)-VLOOKUP(A114,'SegEnds_NonXtal_Prot#'!A:AL,19,FALSE)</f>
        <v>20</v>
      </c>
      <c r="AF114" s="1">
        <f>VLOOKUP(A114,'SegEnds_NonXtal_Prot#'!A:AL,28,FALSE)-VLOOKUP(A114,'SegEnds_NonXtal_Prot#'!A:AL,25,FALSE)</f>
        <v>21</v>
      </c>
      <c r="AG114" s="1">
        <f>VLOOKUP(A114,'SegEnds_NonXtal_Prot#'!A:AL,28,FALSE)-VLOOKUP(A114,'SegEnds_NonXtal_Prot#'!A:AL,22,FALSE)</f>
        <v>46</v>
      </c>
      <c r="AH114" s="1">
        <f>VLOOKUP(A114,'SegEnds_NonXtal_Prot#'!A:AL,31,FALSE)-VLOOKUP(A114,'SegEnds_NonXtal_Prot#'!A:AL,28,FALSE)</f>
        <v>64</v>
      </c>
      <c r="AI114" s="1">
        <f>VLOOKUP(A114,'SegEnds_NonXtal_Prot#'!A:AL,34,FALSE)-VLOOKUP(A114,'SegEnds_NonXtal_Prot#'!A:AL,31,FALSE)</f>
        <v>36</v>
      </c>
      <c r="AJ114" s="1" t="str">
        <f>IF(ISERROR(MATCH(A114,'SegEnds_Xtal_Prot#'!B:B, 0)), "NoXtal", "Xtal")</f>
        <v>NoXtal</v>
      </c>
    </row>
    <row r="115" spans="1:36" x14ac:dyDescent="0.2">
      <c r="A115" s="1" t="s">
        <v>217</v>
      </c>
      <c r="B115" s="1" t="str">
        <f>VLOOKUP(A115,Xtal_Templ!A:B,2,FALSE)</f>
        <v>hrh1_human</v>
      </c>
      <c r="C115" s="5">
        <f>VLOOKUP($B115&amp;"__wt",'SegEnds_Xtal_BW#'!$A:$Z,3,FALSE)</f>
        <v>34</v>
      </c>
      <c r="D115" s="1">
        <f>VLOOKUP($B115&amp;"__wt",'SegEnds_Xtal_BW#'!$A:$Z,4,FALSE)</f>
        <v>60</v>
      </c>
      <c r="E115" s="1">
        <f>VLOOKUP($B115&amp;"__wt",'SegEnds_Xtal_BW#'!$A:$Z,5,FALSE)</f>
        <v>48</v>
      </c>
      <c r="F115" s="1">
        <f>VLOOKUP($B115&amp;"__wt",'SegEnds_Xtal_BW#'!$A:$Z,6,FALSE)</f>
        <v>51</v>
      </c>
      <c r="G115" s="1">
        <v>37</v>
      </c>
      <c r="H115" s="12">
        <v>66</v>
      </c>
      <c r="I115" s="1">
        <f>VLOOKUP($B115&amp;"__wt",'SegEnds_Xtal_BW#'!$A:$Z,9,FALSE)</f>
        <v>49</v>
      </c>
      <c r="J115" s="1">
        <f>VLOOKUP($B115&amp;"__wt",'SegEnds_Xtal_BW#'!$A:$Z,10,FALSE)</f>
        <v>52</v>
      </c>
      <c r="K115" s="12">
        <v>21</v>
      </c>
      <c r="L115" s="1">
        <f>VLOOKUP($B115&amp;"__wt",'SegEnds_Xtal_BW#'!$A:$Z,12,FALSE)</f>
        <v>56</v>
      </c>
      <c r="M115" s="1">
        <f>VLOOKUP($B115&amp;"__wt",'SegEnds_Xtal_BW#'!$A:$Z,13,FALSE)</f>
        <v>50</v>
      </c>
      <c r="N115" s="12">
        <v>57</v>
      </c>
      <c r="O115" s="89">
        <v>38</v>
      </c>
      <c r="P115" s="1">
        <f>VLOOKUP($B115&amp;"__wt",'SegEnds_Xtal_BW#'!$A:$Z,16,FALSE)</f>
        <v>62</v>
      </c>
      <c r="Q115" s="1">
        <f>VLOOKUP($B115&amp;"__wt",'SegEnds_Xtal_BW#'!$A:$Z,17,FALSE)</f>
        <v>50</v>
      </c>
      <c r="R115" s="1">
        <f>VLOOKUP($B115&amp;"__wt",'SegEnds_Xtal_BW#'!$A:$Z,18,FALSE)</f>
        <v>52</v>
      </c>
      <c r="S115" s="1">
        <f>VLOOKUP($B115&amp;"__wt",'SegEnds_Xtal_BW#'!$A:$Z,19,FALSE)</f>
        <v>35</v>
      </c>
      <c r="T115" s="1">
        <f t="array" ref="T115">INDEX('ICL3'!$G$2:$G$40,MATCH(MIN(ABS(AH115-'ICL3'!$F$2:$F$40)),ABS(AH115-'ICL3'!$F$2:$F$40),0))</f>
        <v>68</v>
      </c>
      <c r="U115" s="1">
        <f t="array" ref="U115">INDEX('ICL3'!$H$2:$H$40,MATCH(MIN(ABS(AH115-'ICL3'!$F$2:$F$40)),ABS(AH115-'ICL3'!$F$2:$F$40),0))</f>
        <v>28</v>
      </c>
      <c r="V115" s="1">
        <v>61</v>
      </c>
      <c r="W115" s="1">
        <v>28</v>
      </c>
      <c r="X115" s="1">
        <f>VLOOKUP($B115&amp;"__wt",'SegEnds_Xtal_BW#'!$A:$Z,24,FALSE)</f>
        <v>56</v>
      </c>
      <c r="Y115" s="1">
        <f>VLOOKUP($B115&amp;"__wt",'SegEnds_Xtal_BW#'!$A:$Z,25,FALSE)</f>
        <v>47</v>
      </c>
      <c r="Z115" s="1">
        <f>VLOOKUP($B115&amp;"__wt",'SegEnds_Xtal_BW#'!$A:$Z,26,FALSE)</f>
        <v>59</v>
      </c>
      <c r="AA115" s="27" t="str">
        <f>VLOOKUP(A115,Classification!A:B,2,FALSE)</f>
        <v>A</v>
      </c>
      <c r="AB115" s="1">
        <f>VLOOKUP(A115,'SegEnds_NonXtal_Prot#'!A:AL,10,FALSE)-VLOOKUP(A115,'SegEnds_NonXtal_Prot#'!A:AL,7,FALSE)</f>
        <v>15</v>
      </c>
      <c r="AC115" s="1">
        <f>VLOOKUP(A115,'SegEnds_NonXtal_Prot#'!A:AL,13,FALSE)-VLOOKUP(A115,'SegEnds_NonXtal_Prot#'!A:AL,10,FALSE)</f>
        <v>19</v>
      </c>
      <c r="AD115" s="1">
        <f>VLOOKUP(A115,'SegEnds_NonXtal_Prot#'!A:AL,16,FALSE)-VLOOKUP(A115,'SegEnds_NonXtal_Prot#'!A:AL,10,FALSE)</f>
        <v>51</v>
      </c>
      <c r="AE115" s="1">
        <f>VLOOKUP(A115,'SegEnds_NonXtal_Prot#'!A:AL,22,FALSE)-VLOOKUP(A115,'SegEnds_NonXtal_Prot#'!A:AL,19,FALSE)</f>
        <v>20</v>
      </c>
      <c r="AF115" s="1">
        <f>VLOOKUP(A115,'SegEnds_NonXtal_Prot#'!A:AL,28,FALSE)-VLOOKUP(A115,'SegEnds_NonXtal_Prot#'!A:AL,25,FALSE)</f>
        <v>30</v>
      </c>
      <c r="AG115" s="1">
        <f>VLOOKUP(A115,'SegEnds_NonXtal_Prot#'!A:AL,28,FALSE)-VLOOKUP(A115,'SegEnds_NonXtal_Prot#'!A:AL,22,FALSE)</f>
        <v>56</v>
      </c>
      <c r="AH115" s="1">
        <f>VLOOKUP(A115,'SegEnds_NonXtal_Prot#'!A:AL,31,FALSE)-VLOOKUP(A115,'SegEnds_NonXtal_Prot#'!A:AL,28,FALSE)</f>
        <v>44</v>
      </c>
      <c r="AI115" s="1">
        <f>VLOOKUP(A115,'SegEnds_NonXtal_Prot#'!A:AL,34,FALSE)-VLOOKUP(A115,'SegEnds_NonXtal_Prot#'!A:AL,31,FALSE)</f>
        <v>40</v>
      </c>
      <c r="AJ115" s="1" t="str">
        <f>IF(ISERROR(MATCH(A115,'SegEnds_Xtal_Prot#'!B:B, 0)), "NoXtal", "Xtal")</f>
        <v>NoXtal</v>
      </c>
    </row>
    <row r="116" spans="1:36" x14ac:dyDescent="0.2">
      <c r="A116" s="1" t="s">
        <v>220</v>
      </c>
      <c r="B116" s="1" t="str">
        <f>VLOOKUP(A116,Xtal_Templ!A:B,2,FALSE)</f>
        <v>5ht1b_human</v>
      </c>
      <c r="C116" s="5">
        <f>VLOOKUP($B116&amp;"__wt",'SegEnds_Xtal_BW#'!$A:$Z,3,FALSE)</f>
        <v>29</v>
      </c>
      <c r="D116" s="1">
        <f>VLOOKUP($B116&amp;"__wt",'SegEnds_Xtal_BW#'!$A:$Z,4,FALSE)</f>
        <v>60</v>
      </c>
      <c r="E116" s="1">
        <f>VLOOKUP($B116&amp;"__wt",'SegEnds_Xtal_BW#'!$A:$Z,5,FALSE)</f>
        <v>48</v>
      </c>
      <c r="F116" s="1">
        <f>VLOOKUP($B116&amp;"__wt",'SegEnds_Xtal_BW#'!$A:$Z,6,FALSE)</f>
        <v>51</v>
      </c>
      <c r="G116" s="1">
        <v>37</v>
      </c>
      <c r="H116" s="12">
        <v>66</v>
      </c>
      <c r="I116" s="1">
        <f>VLOOKUP($B116&amp;"__wt",'SegEnds_Xtal_BW#'!$A:$Z,9,FALSE)</f>
        <v>49</v>
      </c>
      <c r="J116" s="1">
        <f>VLOOKUP($B116&amp;"__wt",'SegEnds_Xtal_BW#'!$A:$Z,10,FALSE)</f>
        <v>52</v>
      </c>
      <c r="K116" s="12">
        <v>24</v>
      </c>
      <c r="L116" s="1">
        <f>VLOOKUP($B116&amp;"__wt",'SegEnds_Xtal_BW#'!$A:$Z,12,FALSE)</f>
        <v>56</v>
      </c>
      <c r="M116" s="1">
        <f>VLOOKUP($B116&amp;"__wt",'SegEnds_Xtal_BW#'!$A:$Z,13,FALSE)</f>
        <v>50</v>
      </c>
      <c r="N116" s="12">
        <v>57</v>
      </c>
      <c r="O116" s="89">
        <v>38</v>
      </c>
      <c r="P116" s="1">
        <f>VLOOKUP($B116&amp;"__wt",'SegEnds_Xtal_BW#'!$A:$Z,16,FALSE)</f>
        <v>63</v>
      </c>
      <c r="Q116" s="1">
        <f>VLOOKUP($B116&amp;"__wt",'SegEnds_Xtal_BW#'!$A:$Z,17,FALSE)</f>
        <v>50</v>
      </c>
      <c r="R116" s="1">
        <f>VLOOKUP($B116&amp;"__wt",'SegEnds_Xtal_BW#'!$A:$Z,18,FALSE)</f>
        <v>52</v>
      </c>
      <c r="S116" s="1">
        <v>35</v>
      </c>
      <c r="T116" s="1">
        <f t="array" ref="T116">INDEX('ICL3'!$G$2:$G$40,MATCH(MIN(ABS(AH116-'ICL3'!$F$2:$F$40)),ABS(AH116-'ICL3'!$F$2:$F$40),0))</f>
        <v>76</v>
      </c>
      <c r="U116" s="1">
        <f t="array" ref="U116">INDEX('ICL3'!$H$2:$H$40,MATCH(MIN(ABS(AH116-'ICL3'!$F$2:$F$40)),ABS(AH116-'ICL3'!$F$2:$F$40),0))</f>
        <v>24</v>
      </c>
      <c r="V116" s="1">
        <v>58</v>
      </c>
      <c r="W116" s="1">
        <v>36</v>
      </c>
      <c r="X116" s="1">
        <f>VLOOKUP($B116&amp;"__wt",'SegEnds_Xtal_BW#'!$A:$Z,24,FALSE)</f>
        <v>56</v>
      </c>
      <c r="Y116" s="1">
        <f>VLOOKUP($B116&amp;"__wt",'SegEnds_Xtal_BW#'!$A:$Z,25,FALSE)</f>
        <v>47</v>
      </c>
      <c r="Z116" s="1">
        <f>VLOOKUP($B116&amp;"__wt",'SegEnds_Xtal_BW#'!$A:$Z,26,FALSE)</f>
        <v>58</v>
      </c>
      <c r="AA116" s="27" t="str">
        <f>VLOOKUP(A116,Classification!A:B,2,FALSE)</f>
        <v>A</v>
      </c>
      <c r="AB116" s="1">
        <f>VLOOKUP(A116,'SegEnds_NonXtal_Prot#'!A:AL,10,FALSE)-VLOOKUP(A116,'SegEnds_NonXtal_Prot#'!A:AL,7,FALSE)</f>
        <v>16</v>
      </c>
      <c r="AC116" s="1">
        <f>VLOOKUP(A116,'SegEnds_NonXtal_Prot#'!A:AL,13,FALSE)-VLOOKUP(A116,'SegEnds_NonXtal_Prot#'!A:AL,10,FALSE)</f>
        <v>18</v>
      </c>
      <c r="AD116" s="1">
        <f>VLOOKUP(A116,'SegEnds_NonXtal_Prot#'!A:AL,16,FALSE)-VLOOKUP(A116,'SegEnds_NonXtal_Prot#'!A:AL,10,FALSE)</f>
        <v>50</v>
      </c>
      <c r="AE116" s="1">
        <f>VLOOKUP(A116,'SegEnds_NonXtal_Prot#'!A:AL,22,FALSE)-VLOOKUP(A116,'SegEnds_NonXtal_Prot#'!A:AL,19,FALSE)</f>
        <v>20</v>
      </c>
      <c r="AF116" s="1" t="e">
        <f>VLOOKUP(A116,'SegEnds_NonXtal_Prot#'!A:AL,28,FALSE)-VLOOKUP(A116,'SegEnds_NonXtal_Prot#'!A:AL,25,FALSE)</f>
        <v>#VALUE!</v>
      </c>
      <c r="AG116" s="1">
        <f>VLOOKUP(A116,'SegEnds_NonXtal_Prot#'!A:AL,28,FALSE)-VLOOKUP(A116,'SegEnds_NonXtal_Prot#'!A:AL,22,FALSE)</f>
        <v>38</v>
      </c>
      <c r="AH116" s="1">
        <f>VLOOKUP(A116,'SegEnds_NonXtal_Prot#'!A:AL,31,FALSE)-VLOOKUP(A116,'SegEnds_NonXtal_Prot#'!A:AL,28,FALSE)</f>
        <v>68</v>
      </c>
      <c r="AI116" s="1">
        <f>VLOOKUP(A116,'SegEnds_NonXtal_Prot#'!A:AL,34,FALSE)-VLOOKUP(A116,'SegEnds_NonXtal_Prot#'!A:AL,31,FALSE)</f>
        <v>30</v>
      </c>
      <c r="AJ116" s="1" t="str">
        <f>IF(ISERROR(MATCH(A116,'SegEnds_Xtal_Prot#'!B:B, 0)), "NoXtal", "Xtal")</f>
        <v>NoXtal</v>
      </c>
    </row>
    <row r="117" spans="1:36" x14ac:dyDescent="0.2">
      <c r="A117" s="1" t="s">
        <v>224</v>
      </c>
      <c r="B117" s="1" t="str">
        <f>VLOOKUP(A117,Xtal_Templ!A:B,2,FALSE)</f>
        <v>ntr1_rat</v>
      </c>
      <c r="C117" s="5">
        <f>VLOOKUP($B117&amp;"__wt",'SegEnds_Xtal_BW#'!$A:$Z,3,FALSE)</f>
        <v>29</v>
      </c>
      <c r="D117" s="1">
        <f>VLOOKUP($B117&amp;"__wt",'SegEnds_Xtal_BW#'!$A:$Z,4,FALSE)</f>
        <v>60</v>
      </c>
      <c r="E117" s="1">
        <f>VLOOKUP($B117&amp;"__wt",'SegEnds_Xtal_BW#'!$A:$Z,5,FALSE)</f>
        <v>48</v>
      </c>
      <c r="F117" s="1">
        <f>VLOOKUP($B117&amp;"__wt",'SegEnds_Xtal_BW#'!$A:$Z,6,FALSE)</f>
        <v>51</v>
      </c>
      <c r="G117" s="1">
        <v>37</v>
      </c>
      <c r="H117" s="12">
        <v>67</v>
      </c>
      <c r="I117" s="1">
        <f>VLOOKUP($B117&amp;"__wt",'SegEnds_Xtal_BW#'!$A:$Z,9,FALSE)</f>
        <v>49</v>
      </c>
      <c r="J117" s="1">
        <f>VLOOKUP($B117&amp;"__wt",'SegEnds_Xtal_BW#'!$A:$Z,10,FALSE)</f>
        <v>52</v>
      </c>
      <c r="K117" s="12">
        <v>18</v>
      </c>
      <c r="L117" s="1">
        <f>VLOOKUP($B117&amp;"__wt",'SegEnds_Xtal_BW#'!$A:$Z,12,FALSE)</f>
        <v>56</v>
      </c>
      <c r="M117" s="1">
        <f>VLOOKUP($B117&amp;"__wt",'SegEnds_Xtal_BW#'!$A:$Z,13,FALSE)</f>
        <v>50</v>
      </c>
      <c r="N117" s="12">
        <v>57</v>
      </c>
      <c r="O117" s="89">
        <f>VLOOKUP($B117&amp;"__wt",'SegEnds_Xtal_BW#'!$A:$Z,15,FALSE)</f>
        <v>38</v>
      </c>
      <c r="P117" s="1">
        <f>VLOOKUP($B117&amp;"__wt",'SegEnds_Xtal_BW#'!$A:$Z,16,FALSE)</f>
        <v>64</v>
      </c>
      <c r="Q117" s="1">
        <f>VLOOKUP($B117&amp;"__wt",'SegEnds_Xtal_BW#'!$A:$Z,17,FALSE)</f>
        <v>50</v>
      </c>
      <c r="R117" s="1">
        <f>VLOOKUP($B117&amp;"__wt",'SegEnds_Xtal_BW#'!$A:$Z,18,FALSE)</f>
        <v>52</v>
      </c>
      <c r="S117" s="1">
        <v>35</v>
      </c>
      <c r="T117" s="1">
        <f t="array" ref="T117">INDEX('ICL3'!$G$2:$G$40,MATCH(MIN(ABS(AH117-'ICL3'!$F$2:$F$40)),ABS(AH117-'ICL3'!$F$2:$F$40),0))</f>
        <v>68</v>
      </c>
      <c r="U117" s="1">
        <f t="array" ref="U117">INDEX('ICL3'!$H$2:$H$40,MATCH(MIN(ABS(AH117-'ICL3'!$F$2:$F$40)),ABS(AH117-'ICL3'!$F$2:$F$40),0))</f>
        <v>24</v>
      </c>
      <c r="V117" s="1">
        <v>61</v>
      </c>
      <c r="W117" s="1">
        <v>28</v>
      </c>
      <c r="X117" s="1">
        <f>VLOOKUP($B117&amp;"__wt",'SegEnds_Xtal_BW#'!$A:$Z,24,FALSE)</f>
        <v>56</v>
      </c>
      <c r="Y117" s="1">
        <f>VLOOKUP($B117&amp;"__wt",'SegEnds_Xtal_BW#'!$A:$Z,25,FALSE)</f>
        <v>47</v>
      </c>
      <c r="Z117" s="1">
        <f>VLOOKUP($B117&amp;"__wt",'SegEnds_Xtal_BW#'!$A:$Z,26,FALSE)</f>
        <v>58</v>
      </c>
      <c r="AA117" s="27" t="str">
        <f>VLOOKUP(A117,Classification!A:B,2,FALSE)</f>
        <v>A</v>
      </c>
      <c r="AB117" s="1" t="e">
        <f>VLOOKUP(A117,'SegEnds_NonXtal_Prot#'!A:AL,10,FALSE)-VLOOKUP(A117,'SegEnds_NonXtal_Prot#'!A:AL,7,FALSE)</f>
        <v>#VALUE!</v>
      </c>
      <c r="AC117" s="1">
        <f>VLOOKUP(A117,'SegEnds_NonXtal_Prot#'!A:AL,13,FALSE)-VLOOKUP(A117,'SegEnds_NonXtal_Prot#'!A:AL,10,FALSE)</f>
        <v>20</v>
      </c>
      <c r="AD117" s="1">
        <f>VLOOKUP(A117,'SegEnds_NonXtal_Prot#'!A:AL,16,FALSE)-VLOOKUP(A117,'SegEnds_NonXtal_Prot#'!A:AL,10,FALSE)</f>
        <v>52</v>
      </c>
      <c r="AE117" s="1">
        <f>VLOOKUP(A117,'SegEnds_NonXtal_Prot#'!A:AL,22,FALSE)-VLOOKUP(A117,'SegEnds_NonXtal_Prot#'!A:AL,19,FALSE)</f>
        <v>20</v>
      </c>
      <c r="AF117" s="1">
        <f>VLOOKUP(A117,'SegEnds_NonXtal_Prot#'!A:AL,28,FALSE)-VLOOKUP(A117,'SegEnds_NonXtal_Prot#'!A:AL,25,FALSE)</f>
        <v>22</v>
      </c>
      <c r="AG117" s="1">
        <f>VLOOKUP(A117,'SegEnds_NonXtal_Prot#'!A:AL,28,FALSE)-VLOOKUP(A117,'SegEnds_NonXtal_Prot#'!A:AL,22,FALSE)</f>
        <v>48</v>
      </c>
      <c r="AH117" s="1">
        <f>VLOOKUP(A117,'SegEnds_NonXtal_Prot#'!A:AL,31,FALSE)-VLOOKUP(A117,'SegEnds_NonXtal_Prot#'!A:AL,28,FALSE)</f>
        <v>48</v>
      </c>
      <c r="AI117" s="1">
        <f>VLOOKUP(A117,'SegEnds_NonXtal_Prot#'!A:AL,34,FALSE)-VLOOKUP(A117,'SegEnds_NonXtal_Prot#'!A:AL,31,FALSE)</f>
        <v>40</v>
      </c>
      <c r="AJ117" s="1" t="str">
        <f>IF(ISERROR(MATCH(A117,'SegEnds_Xtal_Prot#'!B:B, 0)), "NoXtal", "Xtal")</f>
        <v>NoXtal</v>
      </c>
    </row>
    <row r="118" spans="1:36" x14ac:dyDescent="0.2">
      <c r="A118" s="1" t="s">
        <v>225</v>
      </c>
      <c r="B118" s="1" t="str">
        <f>VLOOKUP(A118,Xtal_Templ!A:B,2,FALSE)</f>
        <v>ox2r_human</v>
      </c>
      <c r="C118" s="5">
        <f>VLOOKUP($B118&amp;"__wt",'SegEnds_Xtal_BW#'!$A:$Z,3,FALSE)</f>
        <v>31</v>
      </c>
      <c r="D118" s="1">
        <f>VLOOKUP($B118&amp;"__wt",'SegEnds_Xtal_BW#'!$A:$Z,4,FALSE)</f>
        <v>60</v>
      </c>
      <c r="E118" s="1">
        <f>VLOOKUP($B118&amp;"__wt",'SegEnds_Xtal_BW#'!$A:$Z,5,FALSE)</f>
        <v>48</v>
      </c>
      <c r="F118" s="1">
        <f>VLOOKUP($B118&amp;"__wt",'SegEnds_Xtal_BW#'!$A:$Z,6,FALSE)</f>
        <v>51</v>
      </c>
      <c r="G118" s="1">
        <v>37</v>
      </c>
      <c r="H118" s="12">
        <f>VLOOKUP($B118&amp;"__wt",'SegEnds_Xtal_BW#'!$A:$Z,8,FALSE)</f>
        <v>67</v>
      </c>
      <c r="I118" s="1">
        <f>VLOOKUP($B118&amp;"__wt",'SegEnds_Xtal_BW#'!$A:$Z,9,FALSE)</f>
        <v>49</v>
      </c>
      <c r="J118" s="1">
        <f>VLOOKUP($B118&amp;"__wt",'SegEnds_Xtal_BW#'!$A:$Z,10,FALSE)</f>
        <v>52</v>
      </c>
      <c r="K118" s="12">
        <v>18</v>
      </c>
      <c r="L118" s="1">
        <f>VLOOKUP($B118&amp;"__wt",'SegEnds_Xtal_BW#'!$A:$Z,12,FALSE)</f>
        <v>56</v>
      </c>
      <c r="M118" s="1">
        <f>VLOOKUP($B118&amp;"__wt",'SegEnds_Xtal_BW#'!$A:$Z,13,FALSE)</f>
        <v>50</v>
      </c>
      <c r="N118" s="12">
        <v>57</v>
      </c>
      <c r="O118" s="89">
        <f>VLOOKUP($B118&amp;"__wt",'SegEnds_Xtal_BW#'!$A:$Z,15,FALSE)</f>
        <v>38</v>
      </c>
      <c r="P118" s="1">
        <v>63</v>
      </c>
      <c r="Q118" s="1">
        <f>VLOOKUP($B118&amp;"__wt",'SegEnds_Xtal_BW#'!$A:$Z,17,FALSE)</f>
        <v>50</v>
      </c>
      <c r="R118" s="1">
        <f>VLOOKUP($B118&amp;"__wt",'SegEnds_Xtal_BW#'!$A:$Z,18,FALSE)</f>
        <v>52</v>
      </c>
      <c r="S118" s="1">
        <v>35</v>
      </c>
      <c r="T118" s="1">
        <f t="array" ref="T118">INDEX('ICL3'!$G$2:$G$40,MATCH(MIN(ABS(AH118-'ICL3'!$F$2:$F$40)),ABS(AH118-'ICL3'!$F$2:$F$40),0))</f>
        <v>76</v>
      </c>
      <c r="U118" s="1">
        <f t="array" ref="U118">INDEX('ICL3'!$H$2:$H$40,MATCH(MIN(ABS(AH118-'ICL3'!$F$2:$F$40)),ABS(AH118-'ICL3'!$F$2:$F$40),0))</f>
        <v>24</v>
      </c>
      <c r="V118" s="1">
        <v>61</v>
      </c>
      <c r="W118" s="1">
        <v>32</v>
      </c>
      <c r="X118" s="1">
        <f>VLOOKUP($B118&amp;"__wt",'SegEnds_Xtal_BW#'!$A:$Z,24,FALSE)</f>
        <v>56</v>
      </c>
      <c r="Y118" s="1">
        <f>VLOOKUP($B118&amp;"__wt",'SegEnds_Xtal_BW#'!$A:$Z,25,FALSE)</f>
        <v>47</v>
      </c>
      <c r="Z118" s="1">
        <f>VLOOKUP($B118&amp;"__wt",'SegEnds_Xtal_BW#'!$A:$Z,26,FALSE)</f>
        <v>58</v>
      </c>
      <c r="AA118" s="27" t="str">
        <f>VLOOKUP(A118,Classification!A:B,2,FALSE)</f>
        <v>A</v>
      </c>
      <c r="AB118" s="1">
        <f>VLOOKUP(A118,'SegEnds_NonXtal_Prot#'!A:AL,10,FALSE)-VLOOKUP(A118,'SegEnds_NonXtal_Prot#'!A:AL,7,FALSE)</f>
        <v>14</v>
      </c>
      <c r="AC118" s="1">
        <f>VLOOKUP(A118,'SegEnds_NonXtal_Prot#'!A:AL,13,FALSE)-VLOOKUP(A118,'SegEnds_NonXtal_Prot#'!A:AL,10,FALSE)</f>
        <v>24</v>
      </c>
      <c r="AD118" s="1">
        <f>VLOOKUP(A118,'SegEnds_NonXtal_Prot#'!A:AL,16,FALSE)-VLOOKUP(A118,'SegEnds_NonXtal_Prot#'!A:AL,10,FALSE)</f>
        <v>56</v>
      </c>
      <c r="AE118" s="1">
        <f>VLOOKUP(A118,'SegEnds_NonXtal_Prot#'!A:AL,22,FALSE)-VLOOKUP(A118,'SegEnds_NonXtal_Prot#'!A:AL,19,FALSE)</f>
        <v>20</v>
      </c>
      <c r="AF118" s="1">
        <f>VLOOKUP(A118,'SegEnds_NonXtal_Prot#'!A:AL,28,FALSE)-VLOOKUP(A118,'SegEnds_NonXtal_Prot#'!A:AL,25,FALSE)</f>
        <v>23</v>
      </c>
      <c r="AG118" s="1">
        <f>VLOOKUP(A118,'SegEnds_NonXtal_Prot#'!A:AL,28,FALSE)-VLOOKUP(A118,'SegEnds_NonXtal_Prot#'!A:AL,22,FALSE)</f>
        <v>49</v>
      </c>
      <c r="AH118" s="1">
        <f>VLOOKUP(A118,'SegEnds_NonXtal_Prot#'!A:AL,31,FALSE)-VLOOKUP(A118,'SegEnds_NonXtal_Prot#'!A:AL,28,FALSE)</f>
        <v>76</v>
      </c>
      <c r="AI118" s="1">
        <f>VLOOKUP(A118,'SegEnds_NonXtal_Prot#'!A:AL,34,FALSE)-VLOOKUP(A118,'SegEnds_NonXtal_Prot#'!A:AL,31,FALSE)</f>
        <v>34</v>
      </c>
      <c r="AJ118" s="1" t="str">
        <f>IF(ISERROR(MATCH(A118,'SegEnds_Xtal_Prot#'!B:B, 0)), "NoXtal", "Xtal")</f>
        <v>NoXtal</v>
      </c>
    </row>
    <row r="119" spans="1:36" x14ac:dyDescent="0.2">
      <c r="A119" s="1" t="s">
        <v>227</v>
      </c>
      <c r="B119" s="1" t="str">
        <f>VLOOKUP(A119,Xtal_Templ!A:B,2,FALSE)</f>
        <v>5ht1b_human</v>
      </c>
      <c r="C119" s="5">
        <f>VLOOKUP($B119&amp;"__wt",'SegEnds_Xtal_BW#'!$A:$Z,3,FALSE)</f>
        <v>29</v>
      </c>
      <c r="D119" s="1">
        <f>VLOOKUP($B119&amp;"__wt",'SegEnds_Xtal_BW#'!$A:$Z,4,FALSE)</f>
        <v>60</v>
      </c>
      <c r="E119" s="1">
        <f>VLOOKUP($B119&amp;"__wt",'SegEnds_Xtal_BW#'!$A:$Z,5,FALSE)</f>
        <v>48</v>
      </c>
      <c r="F119" s="1">
        <f>VLOOKUP($B119&amp;"__wt",'SegEnds_Xtal_BW#'!$A:$Z,6,FALSE)</f>
        <v>51</v>
      </c>
      <c r="G119" s="1">
        <v>37</v>
      </c>
      <c r="H119" s="12">
        <f>VLOOKUP($B119&amp;"__wt",'SegEnds_Xtal_BW#'!$A:$Z,8,FALSE)</f>
        <v>67</v>
      </c>
      <c r="I119" s="1">
        <f>VLOOKUP($B119&amp;"__wt",'SegEnds_Xtal_BW#'!$A:$Z,9,FALSE)</f>
        <v>49</v>
      </c>
      <c r="J119" s="1">
        <f>VLOOKUP($B119&amp;"__wt",'SegEnds_Xtal_BW#'!$A:$Z,10,FALSE)</f>
        <v>52</v>
      </c>
      <c r="K119" s="12">
        <v>18</v>
      </c>
      <c r="L119" s="1">
        <f>VLOOKUP($B119&amp;"__wt",'SegEnds_Xtal_BW#'!$A:$Z,12,FALSE)</f>
        <v>56</v>
      </c>
      <c r="M119" s="1">
        <f>VLOOKUP($B119&amp;"__wt",'SegEnds_Xtal_BW#'!$A:$Z,13,FALSE)</f>
        <v>50</v>
      </c>
      <c r="N119" s="12">
        <f>VLOOKUP($B119&amp;"__wt",'SegEnds_Xtal_BW#'!$A:$Z,14,FALSE)</f>
        <v>57</v>
      </c>
      <c r="O119" s="89">
        <v>38</v>
      </c>
      <c r="P119" s="1">
        <v>63</v>
      </c>
      <c r="Q119" s="1">
        <f>VLOOKUP($B119&amp;"__wt",'SegEnds_Xtal_BW#'!$A:$Z,17,FALSE)</f>
        <v>50</v>
      </c>
      <c r="R119" s="1">
        <f>VLOOKUP($B119&amp;"__wt",'SegEnds_Xtal_BW#'!$A:$Z,18,FALSE)</f>
        <v>52</v>
      </c>
      <c r="S119" s="1">
        <v>35</v>
      </c>
      <c r="T119" s="1">
        <f t="array" ref="T119">INDEX('ICL3'!$G$2:$G$40,MATCH(MIN(ABS(AH119-'ICL3'!$F$2:$F$40)),ABS(AH119-'ICL3'!$F$2:$F$40),0))</f>
        <v>76</v>
      </c>
      <c r="U119" s="1">
        <f t="array" ref="U119">INDEX('ICL3'!$H$2:$H$40,MATCH(MIN(ABS(AH119-'ICL3'!$F$2:$F$40)),ABS(AH119-'ICL3'!$F$2:$F$40),0))</f>
        <v>24</v>
      </c>
      <c r="V119" s="1">
        <v>61</v>
      </c>
      <c r="W119" s="1">
        <v>31</v>
      </c>
      <c r="X119" s="1">
        <f>VLOOKUP($B119&amp;"__wt",'SegEnds_Xtal_BW#'!$A:$Z,24,FALSE)</f>
        <v>56</v>
      </c>
      <c r="Y119" s="1">
        <f>VLOOKUP($B119&amp;"__wt",'SegEnds_Xtal_BW#'!$A:$Z,25,FALSE)</f>
        <v>47</v>
      </c>
      <c r="Z119" s="1">
        <f>VLOOKUP($B119&amp;"__wt",'SegEnds_Xtal_BW#'!$A:$Z,26,FALSE)</f>
        <v>58</v>
      </c>
      <c r="AA119" s="27" t="str">
        <f>VLOOKUP(A119,Classification!A:B,2,FALSE)</f>
        <v>A</v>
      </c>
      <c r="AB119" s="1">
        <f>VLOOKUP(A119,'SegEnds_NonXtal_Prot#'!A:AL,10,FALSE)-VLOOKUP(A119,'SegEnds_NonXtal_Prot#'!A:AL,7,FALSE)</f>
        <v>15</v>
      </c>
      <c r="AC119" s="1">
        <f>VLOOKUP(A119,'SegEnds_NonXtal_Prot#'!A:AL,13,FALSE)-VLOOKUP(A119,'SegEnds_NonXtal_Prot#'!A:AL,10,FALSE)</f>
        <v>20</v>
      </c>
      <c r="AD119" s="1">
        <f>VLOOKUP(A119,'SegEnds_NonXtal_Prot#'!A:AL,16,FALSE)-VLOOKUP(A119,'SegEnds_NonXtal_Prot#'!A:AL,10,FALSE)</f>
        <v>52</v>
      </c>
      <c r="AE119" s="1">
        <f>VLOOKUP(A119,'SegEnds_NonXtal_Prot#'!A:AL,22,FALSE)-VLOOKUP(A119,'SegEnds_NonXtal_Prot#'!A:AL,19,FALSE)</f>
        <v>20</v>
      </c>
      <c r="AF119" s="1">
        <f>VLOOKUP(A119,'SegEnds_NonXtal_Prot#'!A:AL,28,FALSE)-VLOOKUP(A119,'SegEnds_NonXtal_Prot#'!A:AL,25,FALSE)</f>
        <v>22</v>
      </c>
      <c r="AG119" s="1">
        <f>VLOOKUP(A119,'SegEnds_NonXtal_Prot#'!A:AL,28,FALSE)-VLOOKUP(A119,'SegEnds_NonXtal_Prot#'!A:AL,22,FALSE)</f>
        <v>48</v>
      </c>
      <c r="AH119" s="1">
        <f>VLOOKUP(A119,'SegEnds_NonXtal_Prot#'!A:AL,31,FALSE)-VLOOKUP(A119,'SegEnds_NonXtal_Prot#'!A:AL,28,FALSE)</f>
        <v>85</v>
      </c>
      <c r="AI119" s="1">
        <f>VLOOKUP(A119,'SegEnds_NonXtal_Prot#'!A:AL,34,FALSE)-VLOOKUP(A119,'SegEnds_NonXtal_Prot#'!A:AL,31,FALSE)</f>
        <v>36</v>
      </c>
      <c r="AJ119" s="1" t="str">
        <f>IF(ISERROR(MATCH(A119,'SegEnds_Xtal_Prot#'!B:B, 0)), "NoXtal", "Xtal")</f>
        <v>NoXtal</v>
      </c>
    </row>
    <row r="120" spans="1:36" x14ac:dyDescent="0.2">
      <c r="A120" s="1" t="s">
        <v>228</v>
      </c>
      <c r="B120" s="1" t="str">
        <f>VLOOKUP(A120,Xtal_Templ!A:B,2,FALSE)</f>
        <v>ox2r_human</v>
      </c>
      <c r="C120" s="5">
        <f>VLOOKUP($B120&amp;"__wt",'SegEnds_Xtal_BW#'!$A:$Z,3,FALSE)</f>
        <v>31</v>
      </c>
      <c r="D120" s="1">
        <f>VLOOKUP($B120&amp;"__wt",'SegEnds_Xtal_BW#'!$A:$Z,4,FALSE)</f>
        <v>60</v>
      </c>
      <c r="E120" s="1">
        <f>VLOOKUP($B120&amp;"__wt",'SegEnds_Xtal_BW#'!$A:$Z,5,FALSE)</f>
        <v>48</v>
      </c>
      <c r="F120" s="1">
        <f>VLOOKUP($B120&amp;"__wt",'SegEnds_Xtal_BW#'!$A:$Z,6,FALSE)</f>
        <v>51</v>
      </c>
      <c r="G120" s="1">
        <v>37</v>
      </c>
      <c r="H120" s="12">
        <f>VLOOKUP($B120&amp;"__wt",'SegEnds_Xtal_BW#'!$A:$Z,8,FALSE)</f>
        <v>67</v>
      </c>
      <c r="I120" s="1">
        <f>VLOOKUP($B120&amp;"__wt",'SegEnds_Xtal_BW#'!$A:$Z,9,FALSE)</f>
        <v>49</v>
      </c>
      <c r="J120" s="1">
        <f>VLOOKUP($B120&amp;"__wt",'SegEnds_Xtal_BW#'!$A:$Z,10,FALSE)</f>
        <v>52</v>
      </c>
      <c r="K120" s="12">
        <v>18</v>
      </c>
      <c r="L120" s="1">
        <f>VLOOKUP($B120&amp;"__wt",'SegEnds_Xtal_BW#'!$A:$Z,12,FALSE)</f>
        <v>56</v>
      </c>
      <c r="M120" s="1">
        <f>VLOOKUP($B120&amp;"__wt",'SegEnds_Xtal_BW#'!$A:$Z,13,FALSE)</f>
        <v>50</v>
      </c>
      <c r="N120" s="12">
        <v>57</v>
      </c>
      <c r="O120" s="89">
        <f>VLOOKUP($B120&amp;"__wt",'SegEnds_Xtal_BW#'!$A:$Z,15,FALSE)</f>
        <v>38</v>
      </c>
      <c r="P120" s="1">
        <f>VLOOKUP($B120&amp;"__wt",'SegEnds_Xtal_BW#'!$A:$Z,16,FALSE)</f>
        <v>64</v>
      </c>
      <c r="Q120" s="1">
        <f>VLOOKUP($B120&amp;"__wt",'SegEnds_Xtal_BW#'!$A:$Z,17,FALSE)</f>
        <v>50</v>
      </c>
      <c r="R120" s="1">
        <f>VLOOKUP($B120&amp;"__wt",'SegEnds_Xtal_BW#'!$A:$Z,18,FALSE)</f>
        <v>52</v>
      </c>
      <c r="S120" s="1">
        <v>35</v>
      </c>
      <c r="T120" s="1">
        <f t="array" ref="T120">INDEX('ICL3'!$G$2:$G$40,MATCH(MIN(ABS(AH120-'ICL3'!$F$2:$F$40)),ABS(AH120-'ICL3'!$F$2:$F$40),0))</f>
        <v>74</v>
      </c>
      <c r="U120" s="1">
        <f t="array" ref="U120">INDEX('ICL3'!$H$2:$H$40,MATCH(MIN(ABS(AH120-'ICL3'!$F$2:$F$40)),ABS(AH120-'ICL3'!$F$2:$F$40),0))</f>
        <v>24</v>
      </c>
      <c r="V120" s="1">
        <v>61</v>
      </c>
      <c r="W120" s="1">
        <v>32</v>
      </c>
      <c r="X120" s="1">
        <f>VLOOKUP($B120&amp;"__wt",'SegEnds_Xtal_BW#'!$A:$Z,24,FALSE)</f>
        <v>56</v>
      </c>
      <c r="Y120" s="1">
        <f>VLOOKUP($B120&amp;"__wt",'SegEnds_Xtal_BW#'!$A:$Z,25,FALSE)</f>
        <v>47</v>
      </c>
      <c r="Z120" s="1">
        <f>VLOOKUP($B120&amp;"__wt",'SegEnds_Xtal_BW#'!$A:$Z,26,FALSE)</f>
        <v>58</v>
      </c>
      <c r="AA120" s="27" t="str">
        <f>VLOOKUP(A120,Classification!A:B,2,FALSE)</f>
        <v>A</v>
      </c>
      <c r="AB120" s="1">
        <f>VLOOKUP(A120,'SegEnds_NonXtal_Prot#'!A:AL,10,FALSE)-VLOOKUP(A120,'SegEnds_NonXtal_Prot#'!A:AL,7,FALSE)</f>
        <v>14</v>
      </c>
      <c r="AC120" s="1">
        <f>VLOOKUP(A120,'SegEnds_NonXtal_Prot#'!A:AL,13,FALSE)-VLOOKUP(A120,'SegEnds_NonXtal_Prot#'!A:AL,10,FALSE)</f>
        <v>25</v>
      </c>
      <c r="AD120" s="1">
        <f>VLOOKUP(A120,'SegEnds_NonXtal_Prot#'!A:AL,16,FALSE)-VLOOKUP(A120,'SegEnds_NonXtal_Prot#'!A:AL,10,FALSE)</f>
        <v>57</v>
      </c>
      <c r="AE120" s="1">
        <f>VLOOKUP(A120,'SegEnds_NonXtal_Prot#'!A:AL,22,FALSE)-VLOOKUP(A120,'SegEnds_NonXtal_Prot#'!A:AL,19,FALSE)</f>
        <v>20</v>
      </c>
      <c r="AF120" s="1">
        <f>VLOOKUP(A120,'SegEnds_NonXtal_Prot#'!A:AL,28,FALSE)-VLOOKUP(A120,'SegEnds_NonXtal_Prot#'!A:AL,25,FALSE)</f>
        <v>23</v>
      </c>
      <c r="AG120" s="1">
        <f>VLOOKUP(A120,'SegEnds_NonXtal_Prot#'!A:AL,28,FALSE)-VLOOKUP(A120,'SegEnds_NonXtal_Prot#'!A:AL,22,FALSE)</f>
        <v>49</v>
      </c>
      <c r="AH120" s="1">
        <f>VLOOKUP(A120,'SegEnds_NonXtal_Prot#'!A:AL,31,FALSE)-VLOOKUP(A120,'SegEnds_NonXtal_Prot#'!A:AL,28,FALSE)</f>
        <v>96</v>
      </c>
      <c r="AI120" s="1">
        <f>VLOOKUP(A120,'SegEnds_NonXtal_Prot#'!A:AL,34,FALSE)-VLOOKUP(A120,'SegEnds_NonXtal_Prot#'!A:AL,31,FALSE)</f>
        <v>34</v>
      </c>
      <c r="AJ120" s="1" t="str">
        <f>IF(ISERROR(MATCH(A120,'SegEnds_Xtal_Prot#'!B:B, 0)), "NoXtal", "Xtal")</f>
        <v>NoXtal</v>
      </c>
    </row>
    <row r="121" spans="1:36" x14ac:dyDescent="0.2">
      <c r="A121" s="1" t="s">
        <v>229</v>
      </c>
      <c r="B121" s="1" t="str">
        <f>VLOOKUP(A121,Xtal_Templ!A:B,2,FALSE)</f>
        <v>p2y12_human</v>
      </c>
      <c r="C121" s="5">
        <f>VLOOKUP($B121&amp;"__wt",'SegEnds_Xtal_BW#'!$A:$Z,3,FALSE)</f>
        <v>28</v>
      </c>
      <c r="D121" s="1">
        <f>VLOOKUP($B121&amp;"__wt",'SegEnds_Xtal_BW#'!$A:$Z,4,FALSE)</f>
        <v>60</v>
      </c>
      <c r="E121" s="1" t="str">
        <f>VLOOKUP($B121&amp;"__wt",'SegEnds_Xtal_BW#'!$A:$Z,5,FALSE)</f>
        <v>-</v>
      </c>
      <c r="F121" s="1" t="str">
        <f>VLOOKUP($B121&amp;"__wt",'SegEnds_Xtal_BW#'!$A:$Z,6,FALSE)</f>
        <v>-</v>
      </c>
      <c r="G121" s="1">
        <v>37</v>
      </c>
      <c r="H121" s="12">
        <f>VLOOKUP($B121&amp;"__wt",'SegEnds_Xtal_BW#'!$A:$Z,8,FALSE)</f>
        <v>66</v>
      </c>
      <c r="I121" s="1" t="str">
        <f>VLOOKUP($B121&amp;"__wt",'SegEnds_Xtal_BW#'!$A:$Z,9,FALSE)</f>
        <v>-</v>
      </c>
      <c r="J121" s="1" t="str">
        <f>VLOOKUP($B121&amp;"__wt",'SegEnds_Xtal_BW#'!$A:$Z,10,FALSE)</f>
        <v>-</v>
      </c>
      <c r="K121" s="12">
        <v>18</v>
      </c>
      <c r="L121" s="1">
        <f>VLOOKUP($B121&amp;"__wt",'SegEnds_Xtal_BW#'!$A:$Z,12,FALSE)</f>
        <v>56</v>
      </c>
      <c r="M121" s="1">
        <f>VLOOKUP($B121&amp;"__wt",'SegEnds_Xtal_BW#'!$A:$Z,13,FALSE)</f>
        <v>50</v>
      </c>
      <c r="N121" s="12">
        <v>57</v>
      </c>
      <c r="O121" s="89">
        <f>VLOOKUP($B121&amp;"__wt",'SegEnds_Xtal_BW#'!$A:$Z,15,FALSE)</f>
        <v>38</v>
      </c>
      <c r="P121" s="1">
        <f>VLOOKUP($B121&amp;"__wt",'SegEnds_Xtal_BW#'!$A:$Z,16,FALSE)</f>
        <v>64</v>
      </c>
      <c r="Q121" s="1">
        <f>VLOOKUP($B121&amp;"__wt",'SegEnds_Xtal_BW#'!$A:$Z,17,FALSE)</f>
        <v>50</v>
      </c>
      <c r="R121" s="1">
        <f>VLOOKUP($B121&amp;"__wt",'SegEnds_Xtal_BW#'!$A:$Z,18,FALSE)</f>
        <v>52</v>
      </c>
      <c r="S121" s="1">
        <f>VLOOKUP($B121&amp;"__wt",'SegEnds_Xtal_BW#'!$A:$Z,19,FALSE)</f>
        <v>30</v>
      </c>
      <c r="T121" s="1">
        <f t="array" ref="T121">INDEX('ICL3'!$G$2:$G$40,MATCH(MIN(ABS(AH121-'ICL3'!$F$2:$F$40)),ABS(AH121-'ICL3'!$F$2:$F$40),0))</f>
        <v>67</v>
      </c>
      <c r="U121" s="1">
        <f t="array" ref="U121">INDEX('ICL3'!$H$2:$H$40,MATCH(MIN(ABS(AH121-'ICL3'!$F$2:$F$40)),ABS(AH121-'ICL3'!$F$2:$F$40),0))</f>
        <v>26</v>
      </c>
      <c r="V121" s="1">
        <v>64</v>
      </c>
      <c r="W121" s="1">
        <v>24</v>
      </c>
      <c r="X121" s="1">
        <f>VLOOKUP($B121&amp;"__wt",'SegEnds_Xtal_BW#'!$A:$Z,24,FALSE)</f>
        <v>56</v>
      </c>
      <c r="Y121" s="1">
        <f>VLOOKUP($B121&amp;"__wt",'SegEnds_Xtal_BW#'!$A:$Z,25,FALSE)</f>
        <v>47</v>
      </c>
      <c r="Z121" s="1">
        <f>VLOOKUP($B121&amp;"__wt",'SegEnds_Xtal_BW#'!$A:$Z,26,FALSE)</f>
        <v>57</v>
      </c>
      <c r="AA121" s="27" t="str">
        <f>VLOOKUP(A121,Classification!A:B,2,FALSE)</f>
        <v>A</v>
      </c>
      <c r="AB121" s="1" t="e">
        <f>VLOOKUP(A121,'SegEnds_NonXtal_Prot#'!A:AL,10,FALSE)-VLOOKUP(A121,'SegEnds_NonXtal_Prot#'!A:AL,7,FALSE)</f>
        <v>#VALUE!</v>
      </c>
      <c r="AC121" s="1" t="e">
        <f>VLOOKUP(A121,'SegEnds_NonXtal_Prot#'!A:AL,13,FALSE)-VLOOKUP(A121,'SegEnds_NonXtal_Prot#'!A:AL,10,FALSE)</f>
        <v>#VALUE!</v>
      </c>
      <c r="AD121" s="1">
        <f>VLOOKUP(A121,'SegEnds_NonXtal_Prot#'!A:AL,16,FALSE)-VLOOKUP(A121,'SegEnds_NonXtal_Prot#'!A:AL,10,FALSE)</f>
        <v>52</v>
      </c>
      <c r="AE121" s="1">
        <f>VLOOKUP(A121,'SegEnds_NonXtal_Prot#'!A:AL,22,FALSE)-VLOOKUP(A121,'SegEnds_NonXtal_Prot#'!A:AL,19,FALSE)</f>
        <v>20</v>
      </c>
      <c r="AF121" s="1">
        <f>VLOOKUP(A121,'SegEnds_NonXtal_Prot#'!A:AL,28,FALSE)-VLOOKUP(A121,'SegEnds_NonXtal_Prot#'!A:AL,25,FALSE)</f>
        <v>26</v>
      </c>
      <c r="AG121" s="1">
        <f>VLOOKUP(A121,'SegEnds_NonXtal_Prot#'!A:AL,28,FALSE)-VLOOKUP(A121,'SegEnds_NonXtal_Prot#'!A:AL,22,FALSE)</f>
        <v>52</v>
      </c>
      <c r="AH121" s="1">
        <f>VLOOKUP(A121,'SegEnds_NonXtal_Prot#'!A:AL,31,FALSE)-VLOOKUP(A121,'SegEnds_NonXtal_Prot#'!A:AL,28,FALSE)</f>
        <v>47</v>
      </c>
      <c r="AI121" s="1">
        <f>VLOOKUP(A121,'SegEnds_NonXtal_Prot#'!A:AL,34,FALSE)-VLOOKUP(A121,'SegEnds_NonXtal_Prot#'!A:AL,31,FALSE)</f>
        <v>44</v>
      </c>
      <c r="AJ121" s="1" t="str">
        <f>IF(ISERROR(MATCH(A121,'SegEnds_Xtal_Prot#'!B:B, 0)), "NoXtal", "Xtal")</f>
        <v>NoXtal</v>
      </c>
    </row>
    <row r="122" spans="1:36" x14ac:dyDescent="0.2">
      <c r="A122" s="1" t="s">
        <v>230</v>
      </c>
      <c r="B122" s="1" t="str">
        <f>VLOOKUP(A122,Xtal_Templ!A:B,2,FALSE)</f>
        <v>ox1r_human</v>
      </c>
      <c r="C122" s="5">
        <f>VLOOKUP($B122&amp;"__wt",'SegEnds_Xtal_BW#'!$A:$Z,3,FALSE)</f>
        <v>32</v>
      </c>
      <c r="D122" s="1">
        <f>VLOOKUP($B122&amp;"__wt",'SegEnds_Xtal_BW#'!$A:$Z,4,FALSE)</f>
        <v>60</v>
      </c>
      <c r="E122" s="1">
        <f>VLOOKUP($B122&amp;"__wt",'SegEnds_Xtal_BW#'!$A:$Z,5,FALSE)</f>
        <v>48</v>
      </c>
      <c r="F122" s="1">
        <f>VLOOKUP($B122&amp;"__wt",'SegEnds_Xtal_BW#'!$A:$Z,6,FALSE)</f>
        <v>51</v>
      </c>
      <c r="G122" s="1">
        <v>37</v>
      </c>
      <c r="H122" s="12">
        <f>VLOOKUP($B122&amp;"__wt",'SegEnds_Xtal_BW#'!$A:$Z,8,FALSE)</f>
        <v>67</v>
      </c>
      <c r="I122" s="1">
        <f>VLOOKUP($B122&amp;"__wt",'SegEnds_Xtal_BW#'!$A:$Z,9,FALSE)</f>
        <v>49</v>
      </c>
      <c r="J122" s="1">
        <f>VLOOKUP($B122&amp;"__wt",'SegEnds_Xtal_BW#'!$A:$Z,10,FALSE)</f>
        <v>52</v>
      </c>
      <c r="K122" s="12">
        <v>18</v>
      </c>
      <c r="L122" s="1">
        <f>VLOOKUP($B122&amp;"__wt",'SegEnds_Xtal_BW#'!$A:$Z,12,FALSE)</f>
        <v>56</v>
      </c>
      <c r="M122" s="1">
        <f>VLOOKUP($B122&amp;"__wt",'SegEnds_Xtal_BW#'!$A:$Z,13,FALSE)</f>
        <v>50</v>
      </c>
      <c r="N122" s="12">
        <v>57</v>
      </c>
      <c r="O122" s="89">
        <f>VLOOKUP($B122&amp;"__wt",'SegEnds_Xtal_BW#'!$A:$Z,15,FALSE)</f>
        <v>38</v>
      </c>
      <c r="P122" s="1">
        <f>VLOOKUP($B122&amp;"__wt",'SegEnds_Xtal_BW#'!$A:$Z,16,FALSE)</f>
        <v>64</v>
      </c>
      <c r="Q122" s="1">
        <f>VLOOKUP($B122&amp;"__wt",'SegEnds_Xtal_BW#'!$A:$Z,17,FALSE)</f>
        <v>50</v>
      </c>
      <c r="R122" s="1">
        <f>VLOOKUP($B122&amp;"__wt",'SegEnds_Xtal_BW#'!$A:$Z,18,FALSE)</f>
        <v>52</v>
      </c>
      <c r="S122" s="1">
        <v>35</v>
      </c>
      <c r="T122" s="1">
        <f t="array" ref="T122">INDEX('ICL3'!$G$2:$G$40,MATCH(MIN(ABS(AH122-'ICL3'!$F$2:$F$40)),ABS(AH122-'ICL3'!$F$2:$F$40),0))</f>
        <v>74</v>
      </c>
      <c r="U122" s="1">
        <f t="array" ref="U122">INDEX('ICL3'!$H$2:$H$40,MATCH(MIN(ABS(AH122-'ICL3'!$F$2:$F$40)),ABS(AH122-'ICL3'!$F$2:$F$40),0))</f>
        <v>21</v>
      </c>
      <c r="V122" s="1">
        <v>61</v>
      </c>
      <c r="W122" s="1">
        <v>31</v>
      </c>
      <c r="X122" s="1">
        <f>VLOOKUP($B122&amp;"__wt",'SegEnds_Xtal_BW#'!$A:$Z,24,FALSE)</f>
        <v>56</v>
      </c>
      <c r="Y122" s="1">
        <f>VLOOKUP($B122&amp;"__wt",'SegEnds_Xtal_BW#'!$A:$Z,25,FALSE)</f>
        <v>47</v>
      </c>
      <c r="Z122" s="1">
        <f>VLOOKUP($B122&amp;"__wt",'SegEnds_Xtal_BW#'!$A:$Z,26,FALSE)</f>
        <v>58</v>
      </c>
      <c r="AA122" s="27" t="str">
        <f>VLOOKUP(A122,Classification!A:B,2,FALSE)</f>
        <v>A</v>
      </c>
      <c r="AB122" s="1">
        <f>VLOOKUP(A122,'SegEnds_NonXtal_Prot#'!A:AL,10,FALSE)-VLOOKUP(A122,'SegEnds_NonXtal_Prot#'!A:AL,7,FALSE)</f>
        <v>15</v>
      </c>
      <c r="AC122" s="1">
        <f>VLOOKUP(A122,'SegEnds_NonXtal_Prot#'!A:AL,13,FALSE)-VLOOKUP(A122,'SegEnds_NonXtal_Prot#'!A:AL,10,FALSE)</f>
        <v>21</v>
      </c>
      <c r="AD122" s="1">
        <f>VLOOKUP(A122,'SegEnds_NonXtal_Prot#'!A:AL,16,FALSE)-VLOOKUP(A122,'SegEnds_NonXtal_Prot#'!A:AL,10,FALSE)</f>
        <v>53</v>
      </c>
      <c r="AE122" s="1">
        <f>VLOOKUP(A122,'SegEnds_NonXtal_Prot#'!A:AL,22,FALSE)-VLOOKUP(A122,'SegEnds_NonXtal_Prot#'!A:AL,19,FALSE)</f>
        <v>20</v>
      </c>
      <c r="AF122" s="1">
        <f>VLOOKUP(A122,'SegEnds_NonXtal_Prot#'!A:AL,28,FALSE)-VLOOKUP(A122,'SegEnds_NonXtal_Prot#'!A:AL,25,FALSE)</f>
        <v>61</v>
      </c>
      <c r="AG122" s="1">
        <f>VLOOKUP(A122,'SegEnds_NonXtal_Prot#'!A:AL,28,FALSE)-VLOOKUP(A122,'SegEnds_NonXtal_Prot#'!A:AL,22,FALSE)</f>
        <v>87</v>
      </c>
      <c r="AH122" s="1">
        <f>VLOOKUP(A122,'SegEnds_NonXtal_Prot#'!A:AL,31,FALSE)-VLOOKUP(A122,'SegEnds_NonXtal_Prot#'!A:AL,28,FALSE)</f>
        <v>66</v>
      </c>
      <c r="AI122" s="1">
        <f>VLOOKUP(A122,'SegEnds_NonXtal_Prot#'!A:AL,34,FALSE)-VLOOKUP(A122,'SegEnds_NonXtal_Prot#'!A:AL,31,FALSE)</f>
        <v>36</v>
      </c>
      <c r="AJ122" s="1" t="str">
        <f>IF(ISERROR(MATCH(A122,'SegEnds_Xtal_Prot#'!B:B, 0)), "NoXtal", "Xtal")</f>
        <v>NoXtal</v>
      </c>
    </row>
    <row r="123" spans="1:36" x14ac:dyDescent="0.2">
      <c r="A123" s="1" t="s">
        <v>233</v>
      </c>
      <c r="B123" s="1" t="str">
        <f>VLOOKUP(A123,Xtal_Templ!A:B,2,FALSE)</f>
        <v>apj_human</v>
      </c>
      <c r="C123" s="5">
        <f>VLOOKUP($B123&amp;"__wt",'SegEnds_Xtal_BW#'!$A:$Z,3,FALSE)</f>
        <v>33</v>
      </c>
      <c r="D123" s="1">
        <f>VLOOKUP($B123&amp;"__wt",'SegEnds_Xtal_BW#'!$A:$Z,4,FALSE)</f>
        <v>60</v>
      </c>
      <c r="E123" s="1">
        <f>VLOOKUP($B123&amp;"__wt",'SegEnds_Xtal_BW#'!$A:$Z,5,FALSE)</f>
        <v>48</v>
      </c>
      <c r="F123" s="1">
        <f>VLOOKUP($B123&amp;"__wt",'SegEnds_Xtal_BW#'!$A:$Z,6,FALSE)</f>
        <v>52</v>
      </c>
      <c r="G123" s="1">
        <v>37</v>
      </c>
      <c r="H123" s="12">
        <f>VLOOKUP($B123&amp;"__wt",'SegEnds_Xtal_BW#'!$A:$Z,8,FALSE)</f>
        <v>67</v>
      </c>
      <c r="I123" s="1">
        <f>VLOOKUP($B123&amp;"__wt",'SegEnds_Xtal_BW#'!$A:$Z,9,FALSE)</f>
        <v>49</v>
      </c>
      <c r="J123" s="1">
        <f>VLOOKUP($B123&amp;"__wt",'SegEnds_Xtal_BW#'!$A:$Z,10,FALSE)</f>
        <v>52</v>
      </c>
      <c r="K123" s="12">
        <v>18</v>
      </c>
      <c r="L123" s="1">
        <f>VLOOKUP($B123&amp;"__wt",'SegEnds_Xtal_BW#'!$A:$Z,12,FALSE)</f>
        <v>56</v>
      </c>
      <c r="M123" s="1">
        <f>VLOOKUP($B123&amp;"__wt",'SegEnds_Xtal_BW#'!$A:$Z,13,FALSE)</f>
        <v>50</v>
      </c>
      <c r="N123" s="12">
        <v>57</v>
      </c>
      <c r="O123" s="89">
        <v>38</v>
      </c>
      <c r="P123" s="1">
        <f>VLOOKUP($B123&amp;"__wt",'SegEnds_Xtal_BW#'!$A:$Z,16,FALSE)</f>
        <v>64</v>
      </c>
      <c r="Q123" s="1">
        <f>VLOOKUP($B123&amp;"__wt",'SegEnds_Xtal_BW#'!$A:$Z,17,FALSE)</f>
        <v>50</v>
      </c>
      <c r="R123" s="1">
        <f>VLOOKUP($B123&amp;"__wt",'SegEnds_Xtal_BW#'!$A:$Z,18,FALSE)</f>
        <v>52</v>
      </c>
      <c r="S123" s="1">
        <f>VLOOKUP($B123&amp;"__wt",'SegEnds_Xtal_BW#'!$A:$Z,19,FALSE)</f>
        <v>30</v>
      </c>
      <c r="T123" s="1">
        <f t="array" ref="T123">INDEX('ICL3'!$G$2:$G$40,MATCH(MIN(ABS(AH123-'ICL3'!$F$2:$F$40)),ABS(AH123-'ICL3'!$F$2:$F$40),0))</f>
        <v>68</v>
      </c>
      <c r="U123" s="1">
        <f t="array" ref="U123">INDEX('ICL3'!$H$2:$H$40,MATCH(MIN(ABS(AH123-'ICL3'!$F$2:$F$40)),ABS(AH123-'ICL3'!$F$2:$F$40),0))</f>
        <v>30</v>
      </c>
      <c r="V123" s="1">
        <v>64</v>
      </c>
      <c r="W123" s="1">
        <v>24</v>
      </c>
      <c r="X123" s="1">
        <f>VLOOKUP($B123&amp;"__wt",'SegEnds_Xtal_BW#'!$A:$Z,24,FALSE)</f>
        <v>56</v>
      </c>
      <c r="Y123" s="1">
        <f>VLOOKUP($B123&amp;"__wt",'SegEnds_Xtal_BW#'!$A:$Z,25,FALSE)</f>
        <v>47</v>
      </c>
      <c r="Z123" s="1">
        <f>VLOOKUP($B123&amp;"__wt",'SegEnds_Xtal_BW#'!$A:$Z,26,FALSE)</f>
        <v>61</v>
      </c>
      <c r="AA123" s="27" t="str">
        <f>VLOOKUP(A123,Classification!A:B,2,FALSE)</f>
        <v>A</v>
      </c>
      <c r="AB123" s="1">
        <f>VLOOKUP(A123,'SegEnds_NonXtal_Prot#'!A:AL,10,FALSE)-VLOOKUP(A123,'SegEnds_NonXtal_Prot#'!A:AL,7,FALSE)</f>
        <v>15</v>
      </c>
      <c r="AC123" s="1">
        <f>VLOOKUP(A123,'SegEnds_NonXtal_Prot#'!A:AL,13,FALSE)-VLOOKUP(A123,'SegEnds_NonXtal_Prot#'!A:AL,10,FALSE)</f>
        <v>20</v>
      </c>
      <c r="AD123" s="1">
        <f>VLOOKUP(A123,'SegEnds_NonXtal_Prot#'!A:AL,16,FALSE)-VLOOKUP(A123,'SegEnds_NonXtal_Prot#'!A:AL,10,FALSE)</f>
        <v>52</v>
      </c>
      <c r="AE123" s="1">
        <f>VLOOKUP(A123,'SegEnds_NonXtal_Prot#'!A:AL,22,FALSE)-VLOOKUP(A123,'SegEnds_NonXtal_Prot#'!A:AL,19,FALSE)</f>
        <v>20</v>
      </c>
      <c r="AF123" s="1">
        <f>VLOOKUP(A123,'SegEnds_NonXtal_Prot#'!A:AL,28,FALSE)-VLOOKUP(A123,'SegEnds_NonXtal_Prot#'!A:AL,25,FALSE)</f>
        <v>28</v>
      </c>
      <c r="AG123" s="1">
        <f>VLOOKUP(A123,'SegEnds_NonXtal_Prot#'!A:AL,28,FALSE)-VLOOKUP(A123,'SegEnds_NonXtal_Prot#'!A:AL,22,FALSE)</f>
        <v>52</v>
      </c>
      <c r="AH123" s="1">
        <f>VLOOKUP(A123,'SegEnds_NonXtal_Prot#'!A:AL,31,FALSE)-VLOOKUP(A123,'SegEnds_NonXtal_Prot#'!A:AL,28,FALSE)</f>
        <v>43</v>
      </c>
      <c r="AI123" s="1">
        <f>VLOOKUP(A123,'SegEnds_NonXtal_Prot#'!A:AL,34,FALSE)-VLOOKUP(A123,'SegEnds_NonXtal_Prot#'!A:AL,31,FALSE)</f>
        <v>44</v>
      </c>
      <c r="AJ123" s="1" t="str">
        <f>IF(ISERROR(MATCH(A123,'SegEnds_Xtal_Prot#'!B:B, 0)), "NoXtal", "Xtal")</f>
        <v>NoXtal</v>
      </c>
    </row>
    <row r="124" spans="1:36" x14ac:dyDescent="0.2">
      <c r="A124" s="1" t="s">
        <v>234</v>
      </c>
      <c r="B124" s="1" t="str">
        <f>VLOOKUP(A124,Xtal_Templ!A:B,2,FALSE)</f>
        <v>oprk_human</v>
      </c>
      <c r="C124" s="5">
        <f>VLOOKUP($B124&amp;"__wt",'SegEnds_Xtal_BW#'!$A:$Z,3,FALSE)</f>
        <v>30</v>
      </c>
      <c r="D124" s="1">
        <f>VLOOKUP($B124&amp;"__wt",'SegEnds_Xtal_BW#'!$A:$Z,4,FALSE)</f>
        <v>60</v>
      </c>
      <c r="E124" s="1">
        <f>VLOOKUP($B124&amp;"__wt",'SegEnds_Xtal_BW#'!$A:$Z,5,FALSE)</f>
        <v>48</v>
      </c>
      <c r="F124" s="1">
        <f>VLOOKUP($B124&amp;"__wt",'SegEnds_Xtal_BW#'!$A:$Z,6,FALSE)</f>
        <v>51</v>
      </c>
      <c r="G124" s="1">
        <v>37</v>
      </c>
      <c r="H124" s="12">
        <f>VLOOKUP($B124&amp;"__wt",'SegEnds_Xtal_BW#'!$A:$Z,8,FALSE)</f>
        <v>66</v>
      </c>
      <c r="I124" s="1">
        <f>VLOOKUP($B124&amp;"__wt",'SegEnds_Xtal_BW#'!$A:$Z,9,FALSE)</f>
        <v>49</v>
      </c>
      <c r="J124" s="1">
        <f>VLOOKUP($B124&amp;"__wt",'SegEnds_Xtal_BW#'!$A:$Z,10,FALSE)</f>
        <v>52</v>
      </c>
      <c r="K124" s="12">
        <v>18</v>
      </c>
      <c r="L124" s="1">
        <f>VLOOKUP($B124&amp;"__wt",'SegEnds_Xtal_BW#'!$A:$Z,12,FALSE)</f>
        <v>56</v>
      </c>
      <c r="M124" s="1">
        <f>VLOOKUP($B124&amp;"__wt",'SegEnds_Xtal_BW#'!$A:$Z,13,FALSE)</f>
        <v>50</v>
      </c>
      <c r="N124" s="12">
        <v>57</v>
      </c>
      <c r="O124" s="89">
        <f>VLOOKUP($B124&amp;"__wt",'SegEnds_Xtal_BW#'!$A:$Z,15,FALSE)</f>
        <v>38</v>
      </c>
      <c r="P124" s="1">
        <f>VLOOKUP($B124&amp;"__wt",'SegEnds_Xtal_BW#'!$A:$Z,16,FALSE)</f>
        <v>64</v>
      </c>
      <c r="Q124" s="1">
        <f>VLOOKUP($B124&amp;"__wt",'SegEnds_Xtal_BW#'!$A:$Z,17,FALSE)</f>
        <v>50</v>
      </c>
      <c r="R124" s="1">
        <f>VLOOKUP($B124&amp;"__wt",'SegEnds_Xtal_BW#'!$A:$Z,18,FALSE)</f>
        <v>52</v>
      </c>
      <c r="S124" s="1">
        <f>VLOOKUP($B124&amp;"__wt",'SegEnds_Xtal_BW#'!$A:$Z,19,FALSE)</f>
        <v>31</v>
      </c>
      <c r="T124" s="1">
        <f t="array" ref="T124">INDEX('ICL3'!$G$2:$G$40,MATCH(MIN(ABS(AH124-'ICL3'!$F$2:$F$40)),ABS(AH124-'ICL3'!$F$2:$F$40),0))</f>
        <v>68</v>
      </c>
      <c r="U124" s="1">
        <f t="array" ref="U124">INDEX('ICL3'!$H$2:$H$40,MATCH(MIN(ABS(AH124-'ICL3'!$F$2:$F$40)),ABS(AH124-'ICL3'!$F$2:$F$40),0))</f>
        <v>23</v>
      </c>
      <c r="V124" s="1">
        <v>64</v>
      </c>
      <c r="W124" s="1">
        <v>24</v>
      </c>
      <c r="X124" s="1">
        <f>VLOOKUP($B124&amp;"__wt",'SegEnds_Xtal_BW#'!$A:$Z,24,FALSE)</f>
        <v>56</v>
      </c>
      <c r="Y124" s="1">
        <f>VLOOKUP($B124&amp;"__wt",'SegEnds_Xtal_BW#'!$A:$Z,25,FALSE)</f>
        <v>47</v>
      </c>
      <c r="Z124" s="1">
        <f>VLOOKUP($B124&amp;"__wt",'SegEnds_Xtal_BW#'!$A:$Z,26,FALSE)</f>
        <v>59</v>
      </c>
      <c r="AA124" s="27" t="str">
        <f>VLOOKUP(A124,Classification!A:B,2,FALSE)</f>
        <v>A</v>
      </c>
      <c r="AB124" s="1">
        <f>VLOOKUP(A124,'SegEnds_NonXtal_Prot#'!A:AL,10,FALSE)-VLOOKUP(A124,'SegEnds_NonXtal_Prot#'!A:AL,7,FALSE)</f>
        <v>15</v>
      </c>
      <c r="AC124" s="1">
        <f>VLOOKUP(A124,'SegEnds_NonXtal_Prot#'!A:AL,13,FALSE)-VLOOKUP(A124,'SegEnds_NonXtal_Prot#'!A:AL,10,FALSE)</f>
        <v>20</v>
      </c>
      <c r="AD124" s="1">
        <f>VLOOKUP(A124,'SegEnds_NonXtal_Prot#'!A:AL,16,FALSE)-VLOOKUP(A124,'SegEnds_NonXtal_Prot#'!A:AL,10,FALSE)</f>
        <v>52</v>
      </c>
      <c r="AE124" s="1">
        <f>VLOOKUP(A124,'SegEnds_NonXtal_Prot#'!A:AL,22,FALSE)-VLOOKUP(A124,'SegEnds_NonXtal_Prot#'!A:AL,19,FALSE)</f>
        <v>20</v>
      </c>
      <c r="AF124" s="1">
        <f>VLOOKUP(A124,'SegEnds_NonXtal_Prot#'!A:AL,28,FALSE)-VLOOKUP(A124,'SegEnds_NonXtal_Prot#'!A:AL,25,FALSE)</f>
        <v>27</v>
      </c>
      <c r="AG124" s="1">
        <f>VLOOKUP(A124,'SegEnds_NonXtal_Prot#'!A:AL,28,FALSE)-VLOOKUP(A124,'SegEnds_NonXtal_Prot#'!A:AL,22,FALSE)</f>
        <v>52</v>
      </c>
      <c r="AH124" s="1">
        <f>VLOOKUP(A124,'SegEnds_NonXtal_Prot#'!A:AL,31,FALSE)-VLOOKUP(A124,'SegEnds_NonXtal_Prot#'!A:AL,28,FALSE)</f>
        <v>51</v>
      </c>
      <c r="AI124" s="1">
        <f>VLOOKUP(A124,'SegEnds_NonXtal_Prot#'!A:AL,34,FALSE)-VLOOKUP(A124,'SegEnds_NonXtal_Prot#'!A:AL,31,FALSE)</f>
        <v>46</v>
      </c>
      <c r="AJ124" s="1" t="str">
        <f>IF(ISERROR(MATCH(A124,'SegEnds_Xtal_Prot#'!B:B, 0)), "NoXtal", "Xtal")</f>
        <v>NoXtal</v>
      </c>
    </row>
    <row r="125" spans="1:36" x14ac:dyDescent="0.2">
      <c r="A125" s="1" t="s">
        <v>236</v>
      </c>
      <c r="B125" s="1" t="str">
        <f>VLOOKUP(A125,Xtal_Templ!A:B,2,FALSE)</f>
        <v>ccr5_human</v>
      </c>
      <c r="C125" s="5">
        <f>VLOOKUP($B125&amp;"__wt",'SegEnds_Xtal_BW#'!$A:$Z,3,FALSE)</f>
        <v>24</v>
      </c>
      <c r="D125" s="1">
        <f>VLOOKUP($B125&amp;"__wt",'SegEnds_Xtal_BW#'!$A:$Z,4,FALSE)</f>
        <v>60</v>
      </c>
      <c r="E125" s="1">
        <f>VLOOKUP($B125&amp;"__wt",'SegEnds_Xtal_BW#'!$A:$Z,5,FALSE)</f>
        <v>48</v>
      </c>
      <c r="F125" s="1">
        <f>VLOOKUP($B125&amp;"__wt",'SegEnds_Xtal_BW#'!$A:$Z,6,FALSE)</f>
        <v>51</v>
      </c>
      <c r="G125" s="1">
        <v>37</v>
      </c>
      <c r="H125" s="12">
        <v>66</v>
      </c>
      <c r="I125" s="1">
        <f>VLOOKUP($B125&amp;"__wt",'SegEnds_Xtal_BW#'!$A:$Z,9,FALSE)</f>
        <v>49</v>
      </c>
      <c r="J125" s="1">
        <f>VLOOKUP($B125&amp;"__wt",'SegEnds_Xtal_BW#'!$A:$Z,10,FALSE)</f>
        <v>52</v>
      </c>
      <c r="K125" s="12">
        <v>24</v>
      </c>
      <c r="L125" s="1">
        <f>VLOOKUP($B125&amp;"__wt",'SegEnds_Xtal_BW#'!$A:$Z,12,FALSE)</f>
        <v>56</v>
      </c>
      <c r="M125" s="1">
        <f>VLOOKUP($B125&amp;"__wt",'SegEnds_Xtal_BW#'!$A:$Z,13,FALSE)</f>
        <v>50</v>
      </c>
      <c r="N125" s="12">
        <v>57</v>
      </c>
      <c r="O125" s="89">
        <f>VLOOKUP($B125&amp;"__wt",'SegEnds_Xtal_BW#'!$A:$Z,15,FALSE)</f>
        <v>38</v>
      </c>
      <c r="P125" s="1">
        <f>VLOOKUP($B125&amp;"__wt",'SegEnds_Xtal_BW#'!$A:$Z,16,FALSE)</f>
        <v>64</v>
      </c>
      <c r="Q125" s="1">
        <f>VLOOKUP($B125&amp;"__wt",'SegEnds_Xtal_BW#'!$A:$Z,17,FALSE)</f>
        <v>50</v>
      </c>
      <c r="R125" s="1">
        <f>VLOOKUP($B125&amp;"__wt",'SegEnds_Xtal_BW#'!$A:$Z,18,FALSE)</f>
        <v>52</v>
      </c>
      <c r="S125" s="1">
        <v>34</v>
      </c>
      <c r="T125" s="1">
        <f t="array" ref="T125">INDEX('ICL3'!$G$2:$G$40,MATCH(MIN(ABS(AH125-'ICL3'!$F$2:$F$40)),ABS(AH125-'ICL3'!$F$2:$F$40),0))</f>
        <v>68</v>
      </c>
      <c r="U125" s="1">
        <f t="array" ref="U125">INDEX('ICL3'!$H$2:$H$40,MATCH(MIN(ABS(AH125-'ICL3'!$F$2:$F$40)),ABS(AH125-'ICL3'!$F$2:$F$40),0))</f>
        <v>24</v>
      </c>
      <c r="V125" s="1">
        <v>64</v>
      </c>
      <c r="W125" s="1">
        <v>24</v>
      </c>
      <c r="X125" s="6">
        <f>VLOOKUP($B125&amp;"__wt",'SegEnds_Xtal_BW#'!$A:$Z,24,FALSE)</f>
        <v>56</v>
      </c>
      <c r="Y125" s="1">
        <f>VLOOKUP($B125&amp;"__wt",'SegEnds_Xtal_BW#'!$A:$Z,25,FALSE)</f>
        <v>47</v>
      </c>
      <c r="Z125" s="1">
        <f>VLOOKUP($B125&amp;"__wt",'SegEnds_Xtal_BW#'!$A:$Z,26,FALSE)</f>
        <v>59</v>
      </c>
      <c r="AA125" s="27" t="str">
        <f>VLOOKUP(A125,Classification!A:B,2,FALSE)</f>
        <v>A</v>
      </c>
      <c r="AB125" s="1">
        <f>VLOOKUP(A125,'SegEnds_NonXtal_Prot#'!A:AL,10,FALSE)-VLOOKUP(A125,'SegEnds_NonXtal_Prot#'!A:AL,7,FALSE)</f>
        <v>15</v>
      </c>
      <c r="AC125" s="1">
        <f>VLOOKUP(A125,'SegEnds_NonXtal_Prot#'!A:AL,13,FALSE)-VLOOKUP(A125,'SegEnds_NonXtal_Prot#'!A:AL,10,FALSE)</f>
        <v>19</v>
      </c>
      <c r="AD125" s="1">
        <f>VLOOKUP(A125,'SegEnds_NonXtal_Prot#'!A:AL,16,FALSE)-VLOOKUP(A125,'SegEnds_NonXtal_Prot#'!A:AL,10,FALSE)</f>
        <v>50</v>
      </c>
      <c r="AE125" s="1">
        <f>VLOOKUP(A125,'SegEnds_NonXtal_Prot#'!A:AL,22,FALSE)-VLOOKUP(A125,'SegEnds_NonXtal_Prot#'!A:AL,19,FALSE)</f>
        <v>20</v>
      </c>
      <c r="AF125" s="1">
        <f>VLOOKUP(A125,'SegEnds_NonXtal_Prot#'!A:AL,28,FALSE)-VLOOKUP(A125,'SegEnds_NonXtal_Prot#'!A:AL,25,FALSE)</f>
        <v>21</v>
      </c>
      <c r="AG125" s="1">
        <f>VLOOKUP(A125,'SegEnds_NonXtal_Prot#'!A:AL,28,FALSE)-VLOOKUP(A125,'SegEnds_NonXtal_Prot#'!A:AL,22,FALSE)</f>
        <v>44</v>
      </c>
      <c r="AH125" s="1">
        <f>VLOOKUP(A125,'SegEnds_NonXtal_Prot#'!A:AL,31,FALSE)-VLOOKUP(A125,'SegEnds_NonXtal_Prot#'!A:AL,28,FALSE)</f>
        <v>48</v>
      </c>
      <c r="AI125" s="1">
        <f>VLOOKUP(A125,'SegEnds_NonXtal_Prot#'!A:AL,34,FALSE)-VLOOKUP(A125,'SegEnds_NonXtal_Prot#'!A:AL,31,FALSE)</f>
        <v>47</v>
      </c>
      <c r="AJ125" s="1" t="str">
        <f>IF(ISERROR(MATCH(A125,'SegEnds_Xtal_Prot#'!B:B, 0)), "NoXtal", "Xtal")</f>
        <v>NoXtal</v>
      </c>
    </row>
    <row r="126" spans="1:36" x14ac:dyDescent="0.2">
      <c r="A126" s="1" t="s">
        <v>237</v>
      </c>
      <c r="B126" s="1" t="str">
        <f>VLOOKUP(A126,Xtal_Templ!A:B,2,FALSE)</f>
        <v>agtr1_human</v>
      </c>
      <c r="C126" s="5">
        <f>VLOOKUP($B126&amp;"__wt",'SegEnds_Xtal_BW#'!$A:$Z,3,FALSE)</f>
        <v>30</v>
      </c>
      <c r="D126" s="1">
        <f>VLOOKUP($B126&amp;"__wt",'SegEnds_Xtal_BW#'!$A:$Z,4,FALSE)</f>
        <v>60</v>
      </c>
      <c r="E126" s="1">
        <f>VLOOKUP($B126&amp;"__wt",'SegEnds_Xtal_BW#'!$A:$Z,5,FALSE)</f>
        <v>48</v>
      </c>
      <c r="F126" s="1">
        <f>VLOOKUP($B126&amp;"__wt",'SegEnds_Xtal_BW#'!$A:$Z,6,FALSE)</f>
        <v>51</v>
      </c>
      <c r="G126" s="1">
        <v>37</v>
      </c>
      <c r="H126" s="12">
        <f>VLOOKUP($B126&amp;"__wt",'SegEnds_Xtal_BW#'!$A:$Z,8,FALSE)</f>
        <v>66</v>
      </c>
      <c r="I126" s="1">
        <f>VLOOKUP($B126&amp;"__wt",'SegEnds_Xtal_BW#'!$A:$Z,9,FALSE)</f>
        <v>49</v>
      </c>
      <c r="J126" s="1">
        <f>VLOOKUP($B126&amp;"__wt",'SegEnds_Xtal_BW#'!$A:$Z,10,FALSE)</f>
        <v>52</v>
      </c>
      <c r="K126" s="12">
        <v>18</v>
      </c>
      <c r="L126" s="1">
        <f>VLOOKUP($B126&amp;"__wt",'SegEnds_Xtal_BW#'!$A:$Z,12,FALSE)</f>
        <v>56</v>
      </c>
      <c r="M126" s="1">
        <f>VLOOKUP($B126&amp;"__wt",'SegEnds_Xtal_BW#'!$A:$Z,13,FALSE)</f>
        <v>50</v>
      </c>
      <c r="N126" s="12">
        <v>57</v>
      </c>
      <c r="O126" s="89">
        <v>38</v>
      </c>
      <c r="P126" s="1">
        <f>VLOOKUP($B126&amp;"__wt",'SegEnds_Xtal_BW#'!$A:$Z,16,FALSE)</f>
        <v>64</v>
      </c>
      <c r="Q126" s="1">
        <f>VLOOKUP($B126&amp;"__wt",'SegEnds_Xtal_BW#'!$A:$Z,17,FALSE)</f>
        <v>50</v>
      </c>
      <c r="R126" s="1">
        <f>VLOOKUP($B126&amp;"__wt",'SegEnds_Xtal_BW#'!$A:$Z,18,FALSE)</f>
        <v>52</v>
      </c>
      <c r="S126" s="1">
        <f>VLOOKUP($B126&amp;"__wt",'SegEnds_Xtal_BW#'!$A:$Z,19,FALSE)</f>
        <v>34</v>
      </c>
      <c r="T126" s="1">
        <f t="array" ref="T126">INDEX('ICL3'!$G$2:$G$40,MATCH(MIN(ABS(AH126-'ICL3'!$F$2:$F$40)),ABS(AH126-'ICL3'!$F$2:$F$40),0))</f>
        <v>68</v>
      </c>
      <c r="U126" s="1">
        <f t="array" ref="U126">INDEX('ICL3'!$H$2:$H$40,MATCH(MIN(ABS(AH126-'ICL3'!$F$2:$F$40)),ABS(AH126-'ICL3'!$F$2:$F$40),0))</f>
        <v>30</v>
      </c>
      <c r="V126" s="1">
        <v>61</v>
      </c>
      <c r="W126" s="1">
        <v>28</v>
      </c>
      <c r="X126" s="1">
        <f>VLOOKUP($B126&amp;"__wt",'SegEnds_Xtal_BW#'!$A:$Z,24,FALSE)</f>
        <v>56</v>
      </c>
      <c r="Y126" s="1">
        <f>VLOOKUP($B126&amp;"__wt",'SegEnds_Xtal_BW#'!$A:$Z,25,FALSE)</f>
        <v>47</v>
      </c>
      <c r="Z126" s="1">
        <f>VLOOKUP($B126&amp;"__wt",'SegEnds_Xtal_BW#'!$A:$Z,26,FALSE)</f>
        <v>61</v>
      </c>
      <c r="AA126" s="27" t="str">
        <f>VLOOKUP(A126,Classification!A:B,2,FALSE)</f>
        <v>A</v>
      </c>
      <c r="AB126" s="1" t="e">
        <f>VLOOKUP(A126,'SegEnds_NonXtal_Prot#'!A:AL,10,FALSE)-VLOOKUP(A126,'SegEnds_NonXtal_Prot#'!A:AL,7,FALSE)</f>
        <v>#VALUE!</v>
      </c>
      <c r="AC126" s="1">
        <f>VLOOKUP(A126,'SegEnds_NonXtal_Prot#'!A:AL,13,FALSE)-VLOOKUP(A126,'SegEnds_NonXtal_Prot#'!A:AL,10,FALSE)</f>
        <v>20</v>
      </c>
      <c r="AD126" s="1">
        <f>VLOOKUP(A126,'SegEnds_NonXtal_Prot#'!A:AL,16,FALSE)-VLOOKUP(A126,'SegEnds_NonXtal_Prot#'!A:AL,10,FALSE)</f>
        <v>52</v>
      </c>
      <c r="AE126" s="1">
        <f>VLOOKUP(A126,'SegEnds_NonXtal_Prot#'!A:AL,22,FALSE)-VLOOKUP(A126,'SegEnds_NonXtal_Prot#'!A:AL,19,FALSE)</f>
        <v>20</v>
      </c>
      <c r="AF126" s="1">
        <f>VLOOKUP(A126,'SegEnds_NonXtal_Prot#'!A:AL,28,FALSE)-VLOOKUP(A126,'SegEnds_NonXtal_Prot#'!A:AL,25,FALSE)</f>
        <v>31</v>
      </c>
      <c r="AG126" s="1">
        <f>VLOOKUP(A126,'SegEnds_NonXtal_Prot#'!A:AL,28,FALSE)-VLOOKUP(A126,'SegEnds_NonXtal_Prot#'!A:AL,22,FALSE)</f>
        <v>56</v>
      </c>
      <c r="AH126" s="1">
        <f>VLOOKUP(A126,'SegEnds_NonXtal_Prot#'!A:AL,31,FALSE)-VLOOKUP(A126,'SegEnds_NonXtal_Prot#'!A:AL,28,FALSE)</f>
        <v>43</v>
      </c>
      <c r="AI126" s="1">
        <f>VLOOKUP(A126,'SegEnds_NonXtal_Prot#'!A:AL,34,FALSE)-VLOOKUP(A126,'SegEnds_NonXtal_Prot#'!A:AL,31,FALSE)</f>
        <v>40</v>
      </c>
      <c r="AJ126" s="1" t="str">
        <f>IF(ISERROR(MATCH(A126,'SegEnds_Xtal_Prot#'!B:B, 0)), "NoXtal", "Xtal")</f>
        <v>NoXtal</v>
      </c>
    </row>
    <row r="127" spans="1:36" x14ac:dyDescent="0.2">
      <c r="A127" s="4" t="s">
        <v>238</v>
      </c>
      <c r="B127" s="4" t="str">
        <f>VLOOKUP(A127,Xtal_Templ!A:B,2,FALSE)</f>
        <v>lpar1_human</v>
      </c>
      <c r="C127" s="5">
        <f>VLOOKUP($B127&amp;"__wt",'SegEnds_Xtal_BW#'!$A:$Z,3,FALSE)</f>
        <v>30</v>
      </c>
      <c r="D127" s="4">
        <f>VLOOKUP($B127&amp;"__wt",'SegEnds_Xtal_BW#'!$A:$Z,4,FALSE)</f>
        <v>60</v>
      </c>
      <c r="E127" s="4">
        <f>VLOOKUP($B127&amp;"__wt",'SegEnds_Xtal_BW#'!$A:$Z,5,FALSE)</f>
        <v>48</v>
      </c>
      <c r="F127" s="4">
        <f>VLOOKUP($B127&amp;"__wt",'SegEnds_Xtal_BW#'!$A:$Z,6,FALSE)</f>
        <v>51</v>
      </c>
      <c r="G127" s="4">
        <v>37</v>
      </c>
      <c r="H127" s="11">
        <v>62</v>
      </c>
      <c r="I127" s="4">
        <v>48</v>
      </c>
      <c r="J127" s="4">
        <v>52</v>
      </c>
      <c r="K127" s="11">
        <v>24</v>
      </c>
      <c r="L127" s="4">
        <f>VLOOKUP($B127&amp;"__wt",'SegEnds_Xtal_BW#'!$A:$Z,12,FALSE)</f>
        <v>56</v>
      </c>
      <c r="M127" s="4">
        <f>VLOOKUP($B127&amp;"__wt",'SegEnds_Xtal_BW#'!$A:$Z,13,FALSE)</f>
        <v>50</v>
      </c>
      <c r="N127" s="11">
        <v>57</v>
      </c>
      <c r="O127" s="90">
        <v>38</v>
      </c>
      <c r="P127" s="4">
        <f>VLOOKUP($B127&amp;"__wt",'SegEnds_Xtal_BW#'!$A:$Z,16,FALSE)</f>
        <v>63</v>
      </c>
      <c r="Q127" s="4" t="str">
        <f>VLOOKUP($B127&amp;"__wt",'SegEnds_Xtal_BW#'!$A:$Z,17,FALSE)</f>
        <v>-</v>
      </c>
      <c r="R127" s="4" t="str">
        <f>VLOOKUP($B127&amp;"__wt",'SegEnds_Xtal_BW#'!$A:$Z,18,FALSE)</f>
        <v>-</v>
      </c>
      <c r="S127" s="4">
        <f>VLOOKUP($B127&amp;"__wt",'SegEnds_Xtal_BW#'!$A:$Z,19,FALSE)</f>
        <v>36</v>
      </c>
      <c r="T127" s="4">
        <f t="array" ref="T127">INDEX('ICL3'!$G$2:$G$40,MATCH(MIN(ABS(AH127-'ICL3'!$F$2:$F$40)),ABS(AH127-'ICL3'!$F$2:$F$40),0))</f>
        <v>72</v>
      </c>
      <c r="U127" s="4">
        <f t="array" ref="U127">INDEX('ICL3'!$H$2:$H$40,MATCH(MIN(ABS(AH127-'ICL3'!$F$2:$F$40)),ABS(AH127-'ICL3'!$F$2:$F$40),0))</f>
        <v>24</v>
      </c>
      <c r="V127" s="4">
        <v>61</v>
      </c>
      <c r="W127" s="4">
        <v>34</v>
      </c>
      <c r="X127" s="4">
        <f>VLOOKUP($B127&amp;"__wt",'SegEnds_Xtal_BW#'!$A:$Z,24,FALSE)</f>
        <v>56</v>
      </c>
      <c r="Y127" s="4">
        <f>VLOOKUP($B127&amp;"__wt",'SegEnds_Xtal_BW#'!$A:$Z,25,FALSE)</f>
        <v>47</v>
      </c>
      <c r="Z127" s="4">
        <f>VLOOKUP($B127&amp;"__wt",'SegEnds_Xtal_BW#'!$A:$Z,26,FALSE)</f>
        <v>59</v>
      </c>
      <c r="AA127" s="27" t="str">
        <f>VLOOKUP(A127,Classification!A:B,2,FALSE)</f>
        <v>A</v>
      </c>
      <c r="AB127" s="4" t="e">
        <f>VLOOKUP(A127,'SegEnds_NonXtal_Prot#'!A:AL,10,FALSE)-VLOOKUP(A127,'SegEnds_NonXtal_Prot#'!A:AL,7,FALSE)</f>
        <v>#VALUE!</v>
      </c>
      <c r="AC127" s="4">
        <f>VLOOKUP(A127,'SegEnds_NonXtal_Prot#'!A:AL,13,FALSE)-VLOOKUP(A127,'SegEnds_NonXtal_Prot#'!A:AL,10,FALSE)</f>
        <v>15</v>
      </c>
      <c r="AD127" s="4">
        <f>VLOOKUP(A127,'SegEnds_NonXtal_Prot#'!A:AL,16,FALSE)-VLOOKUP(A127,'SegEnds_NonXtal_Prot#'!A:AL,10,FALSE)</f>
        <v>48</v>
      </c>
      <c r="AE127" s="1">
        <f>VLOOKUP(A127,'SegEnds_NonXtal_Prot#'!A:AL,22,FALSE)-VLOOKUP(A127,'SegEnds_NonXtal_Prot#'!A:AL,19,FALSE)</f>
        <v>20</v>
      </c>
      <c r="AF127" s="4" t="e">
        <f>VLOOKUP(A127,'SegEnds_NonXtal_Prot#'!A:AL,28,FALSE)-VLOOKUP(A127,'SegEnds_NonXtal_Prot#'!A:AL,25,FALSE)</f>
        <v>#VALUE!</v>
      </c>
      <c r="AG127" s="1">
        <f>VLOOKUP(A127,'SegEnds_NonXtal_Prot#'!A:AL,28,FALSE)-VLOOKUP(A127,'SegEnds_NonXtal_Prot#'!A:AL,22,FALSE)</f>
        <v>44</v>
      </c>
      <c r="AH127" s="4">
        <f>VLOOKUP(A127,'SegEnds_NonXtal_Prot#'!A:AL,31,FALSE)-VLOOKUP(A127,'SegEnds_NonXtal_Prot#'!A:AL,28,FALSE)</f>
        <v>57</v>
      </c>
      <c r="AI127" s="4">
        <f>VLOOKUP(A127,'SegEnds_NonXtal_Prot#'!A:AL,34,FALSE)-VLOOKUP(A127,'SegEnds_NonXtal_Prot#'!A:AL,31,FALSE)</f>
        <v>32</v>
      </c>
      <c r="AJ127" s="1" t="str">
        <f>IF(ISERROR(MATCH(A127,'SegEnds_Xtal_Prot#'!B:B, 0)), "NoXtal", "Xtal")</f>
        <v>NoXtal</v>
      </c>
    </row>
    <row r="128" spans="1:36" x14ac:dyDescent="0.2">
      <c r="A128" s="1" t="s">
        <v>239</v>
      </c>
      <c r="B128" s="1" t="str">
        <f>VLOOKUP(A128,Xtal_Templ!A:B,2,FALSE)</f>
        <v>agtr1_human</v>
      </c>
      <c r="C128" s="5">
        <f>VLOOKUP($B128&amp;"__wt",'SegEnds_Xtal_BW#'!$A:$Z,3,FALSE)</f>
        <v>30</v>
      </c>
      <c r="D128" s="1">
        <f>VLOOKUP($B128&amp;"__wt",'SegEnds_Xtal_BW#'!$A:$Z,4,FALSE)</f>
        <v>60</v>
      </c>
      <c r="E128" s="1">
        <f>VLOOKUP($B128&amp;"__wt",'SegEnds_Xtal_BW#'!$A:$Z,5,FALSE)</f>
        <v>48</v>
      </c>
      <c r="F128" s="1">
        <f>VLOOKUP($B128&amp;"__wt",'SegEnds_Xtal_BW#'!$A:$Z,6,FALSE)</f>
        <v>51</v>
      </c>
      <c r="G128" s="1">
        <v>37</v>
      </c>
      <c r="H128" s="12">
        <f>VLOOKUP($B128&amp;"__wt",'SegEnds_Xtal_BW#'!$A:$Z,8,FALSE)</f>
        <v>66</v>
      </c>
      <c r="I128" s="1">
        <f>VLOOKUP($B128&amp;"__wt",'SegEnds_Xtal_BW#'!$A:$Z,9,FALSE)</f>
        <v>49</v>
      </c>
      <c r="J128" s="1">
        <f>VLOOKUP($B128&amp;"__wt",'SegEnds_Xtal_BW#'!$A:$Z,10,FALSE)</f>
        <v>52</v>
      </c>
      <c r="K128" s="12">
        <v>18</v>
      </c>
      <c r="L128" s="1">
        <f>VLOOKUP($B128&amp;"__wt",'SegEnds_Xtal_BW#'!$A:$Z,12,FALSE)</f>
        <v>56</v>
      </c>
      <c r="M128" s="1">
        <f>VLOOKUP($B128&amp;"__wt",'SegEnds_Xtal_BW#'!$A:$Z,13,FALSE)</f>
        <v>50</v>
      </c>
      <c r="N128" s="12">
        <v>57</v>
      </c>
      <c r="O128" s="89">
        <v>38</v>
      </c>
      <c r="P128" s="1">
        <f>VLOOKUP($B128&amp;"__wt",'SegEnds_Xtal_BW#'!$A:$Z,16,FALSE)</f>
        <v>64</v>
      </c>
      <c r="Q128" s="1">
        <f>VLOOKUP($B128&amp;"__wt",'SegEnds_Xtal_BW#'!$A:$Z,17,FALSE)</f>
        <v>50</v>
      </c>
      <c r="R128" s="1">
        <f>VLOOKUP($B128&amp;"__wt",'SegEnds_Xtal_BW#'!$A:$Z,18,FALSE)</f>
        <v>52</v>
      </c>
      <c r="S128" s="1">
        <f>VLOOKUP($B128&amp;"__wt",'SegEnds_Xtal_BW#'!$A:$Z,19,FALSE)</f>
        <v>34</v>
      </c>
      <c r="T128" s="1">
        <f t="array" ref="T128">INDEX('ICL3'!$G$2:$G$40,MATCH(MIN(ABS(AH128-'ICL3'!$F$2:$F$40)),ABS(AH128-'ICL3'!$F$2:$F$40),0))</f>
        <v>68</v>
      </c>
      <c r="U128" s="1">
        <f t="array" ref="U128">INDEX('ICL3'!$H$2:$H$40,MATCH(MIN(ABS(AH128-'ICL3'!$F$2:$F$40)),ABS(AH128-'ICL3'!$F$2:$F$40),0))</f>
        <v>24</v>
      </c>
      <c r="V128" s="1">
        <v>61</v>
      </c>
      <c r="W128" s="1">
        <v>24</v>
      </c>
      <c r="X128" s="1">
        <f>VLOOKUP($B128&amp;"__wt",'SegEnds_Xtal_BW#'!$A:$Z,24,FALSE)</f>
        <v>56</v>
      </c>
      <c r="Y128" s="1">
        <f>VLOOKUP($B128&amp;"__wt",'SegEnds_Xtal_BW#'!$A:$Z,25,FALSE)</f>
        <v>47</v>
      </c>
      <c r="Z128" s="1">
        <f>VLOOKUP($B128&amp;"__wt",'SegEnds_Xtal_BW#'!$A:$Z,26,FALSE)</f>
        <v>61</v>
      </c>
      <c r="AA128" s="27" t="str">
        <f>VLOOKUP(A128,Classification!A:B,2,FALSE)</f>
        <v>A</v>
      </c>
      <c r="AB128" s="1" t="e">
        <f>VLOOKUP(A128,'SegEnds_NonXtal_Prot#'!A:AL,10,FALSE)-VLOOKUP(A128,'SegEnds_NonXtal_Prot#'!A:AL,7,FALSE)</f>
        <v>#VALUE!</v>
      </c>
      <c r="AC128" s="1">
        <f>VLOOKUP(A128,'SegEnds_NonXtal_Prot#'!A:AL,13,FALSE)-VLOOKUP(A128,'SegEnds_NonXtal_Prot#'!A:AL,10,FALSE)</f>
        <v>20</v>
      </c>
      <c r="AD128" s="1">
        <f>VLOOKUP(A128,'SegEnds_NonXtal_Prot#'!A:AL,16,FALSE)-VLOOKUP(A128,'SegEnds_NonXtal_Prot#'!A:AL,10,FALSE)</f>
        <v>52</v>
      </c>
      <c r="AE128" s="1">
        <f>VLOOKUP(A128,'SegEnds_NonXtal_Prot#'!A:AL,22,FALSE)-VLOOKUP(A128,'SegEnds_NonXtal_Prot#'!A:AL,19,FALSE)</f>
        <v>20</v>
      </c>
      <c r="AF128" s="1">
        <f>VLOOKUP(A128,'SegEnds_NonXtal_Prot#'!A:AL,28,FALSE)-VLOOKUP(A128,'SegEnds_NonXtal_Prot#'!A:AL,25,FALSE)</f>
        <v>24</v>
      </c>
      <c r="AG128" s="1">
        <f>VLOOKUP(A128,'SegEnds_NonXtal_Prot#'!A:AL,28,FALSE)-VLOOKUP(A128,'SegEnds_NonXtal_Prot#'!A:AL,22,FALSE)</f>
        <v>49</v>
      </c>
      <c r="AH128" s="1">
        <f>VLOOKUP(A128,'SegEnds_NonXtal_Prot#'!A:AL,31,FALSE)-VLOOKUP(A128,'SegEnds_NonXtal_Prot#'!A:AL,28,FALSE)</f>
        <v>49</v>
      </c>
      <c r="AI128" s="1">
        <f>VLOOKUP(A128,'SegEnds_NonXtal_Prot#'!A:AL,34,FALSE)-VLOOKUP(A128,'SegEnds_NonXtal_Prot#'!A:AL,31,FALSE)</f>
        <v>43</v>
      </c>
      <c r="AJ128" s="1" t="str">
        <f>IF(ISERROR(MATCH(A128,'SegEnds_Xtal_Prot#'!B:B, 0)), "NoXtal", "Xtal")</f>
        <v>NoXtal</v>
      </c>
    </row>
    <row r="129" spans="1:36" x14ac:dyDescent="0.2">
      <c r="A129" s="1" t="s">
        <v>240</v>
      </c>
      <c r="B129" s="1" t="str">
        <f>VLOOKUP(A129,Xtal_Templ!A:B,2,FALSE)</f>
        <v>apj_human</v>
      </c>
      <c r="C129" s="5">
        <f>VLOOKUP($B129&amp;"__wt",'SegEnds_Xtal_BW#'!$A:$Z,3,FALSE)</f>
        <v>33</v>
      </c>
      <c r="D129" s="1">
        <f>VLOOKUP($B129&amp;"__wt",'SegEnds_Xtal_BW#'!$A:$Z,4,FALSE)</f>
        <v>60</v>
      </c>
      <c r="E129" s="1">
        <f>VLOOKUP($B129&amp;"__wt",'SegEnds_Xtal_BW#'!$A:$Z,5,FALSE)</f>
        <v>48</v>
      </c>
      <c r="F129" s="1">
        <f>VLOOKUP($B129&amp;"__wt",'SegEnds_Xtal_BW#'!$A:$Z,6,FALSE)</f>
        <v>52</v>
      </c>
      <c r="G129" s="1">
        <v>37</v>
      </c>
      <c r="H129" s="12">
        <f>VLOOKUP($B129&amp;"__wt",'SegEnds_Xtal_BW#'!$A:$Z,8,FALSE)</f>
        <v>67</v>
      </c>
      <c r="I129" s="1">
        <f>VLOOKUP($B129&amp;"__wt",'SegEnds_Xtal_BW#'!$A:$Z,9,FALSE)</f>
        <v>49</v>
      </c>
      <c r="J129" s="1">
        <f>VLOOKUP($B129&amp;"__wt",'SegEnds_Xtal_BW#'!$A:$Z,10,FALSE)</f>
        <v>52</v>
      </c>
      <c r="K129" s="12">
        <v>18</v>
      </c>
      <c r="L129" s="1">
        <f>VLOOKUP($B129&amp;"__wt",'SegEnds_Xtal_BW#'!$A:$Z,12,FALSE)</f>
        <v>56</v>
      </c>
      <c r="M129" s="1">
        <f>VLOOKUP($B129&amp;"__wt",'SegEnds_Xtal_BW#'!$A:$Z,13,FALSE)</f>
        <v>50</v>
      </c>
      <c r="N129" s="12">
        <v>57</v>
      </c>
      <c r="O129" s="89">
        <f>VLOOKUP($B129&amp;"__wt",'SegEnds_Xtal_BW#'!$A:$Z,15,FALSE)</f>
        <v>38</v>
      </c>
      <c r="P129" s="1">
        <f>VLOOKUP($B129&amp;"__wt",'SegEnds_Xtal_BW#'!$A:$Z,16,FALSE)</f>
        <v>64</v>
      </c>
      <c r="Q129" s="1">
        <f>VLOOKUP($B129&amp;"__wt",'SegEnds_Xtal_BW#'!$A:$Z,17,FALSE)</f>
        <v>50</v>
      </c>
      <c r="R129" s="1">
        <f>VLOOKUP($B129&amp;"__wt",'SegEnds_Xtal_BW#'!$A:$Z,18,FALSE)</f>
        <v>52</v>
      </c>
      <c r="S129" s="1">
        <f>VLOOKUP($B129&amp;"__wt",'SegEnds_Xtal_BW#'!$A:$Z,19,FALSE)</f>
        <v>30</v>
      </c>
      <c r="T129" s="1">
        <f t="array" ref="T129">INDEX('ICL3'!$G$2:$G$40,MATCH(MIN(ABS(AH129-'ICL3'!$F$2:$F$40)),ABS(AH129-'ICL3'!$F$2:$F$40),0))</f>
        <v>67</v>
      </c>
      <c r="U129" s="1">
        <f t="array" ref="U129">INDEX('ICL3'!$H$2:$H$40,MATCH(MIN(ABS(AH129-'ICL3'!$F$2:$F$40)),ABS(AH129-'ICL3'!$F$2:$F$40),0))</f>
        <v>26</v>
      </c>
      <c r="V129" s="1">
        <v>64</v>
      </c>
      <c r="W129" s="1">
        <v>24</v>
      </c>
      <c r="X129" s="1">
        <f>VLOOKUP($B129&amp;"__wt",'SegEnds_Xtal_BW#'!$A:$Z,24,FALSE)</f>
        <v>56</v>
      </c>
      <c r="Y129" s="1">
        <f>VLOOKUP($B129&amp;"__wt",'SegEnds_Xtal_BW#'!$A:$Z,25,FALSE)</f>
        <v>47</v>
      </c>
      <c r="Z129" s="1">
        <f>VLOOKUP($B129&amp;"__wt",'SegEnds_Xtal_BW#'!$A:$Z,26,FALSE)</f>
        <v>61</v>
      </c>
      <c r="AA129" s="27" t="str">
        <f>VLOOKUP(A129,Classification!A:B,2,FALSE)</f>
        <v>A</v>
      </c>
      <c r="AB129" s="1" t="e">
        <f>VLOOKUP(A129,'SegEnds_NonXtal_Prot#'!A:AL,10,FALSE)-VLOOKUP(A129,'SegEnds_NonXtal_Prot#'!A:AL,7,FALSE)</f>
        <v>#VALUE!</v>
      </c>
      <c r="AC129" s="1">
        <f>VLOOKUP(A129,'SegEnds_NonXtal_Prot#'!A:AL,13,FALSE)-VLOOKUP(A129,'SegEnds_NonXtal_Prot#'!A:AL,10,FALSE)</f>
        <v>20</v>
      </c>
      <c r="AD129" s="1">
        <f>VLOOKUP(A129,'SegEnds_NonXtal_Prot#'!A:AL,16,FALSE)-VLOOKUP(A129,'SegEnds_NonXtal_Prot#'!A:AL,10,FALSE)</f>
        <v>52</v>
      </c>
      <c r="AE129" s="1">
        <f>VLOOKUP(A129,'SegEnds_NonXtal_Prot#'!A:AL,22,FALSE)-VLOOKUP(A129,'SegEnds_NonXtal_Prot#'!A:AL,19,FALSE)</f>
        <v>20</v>
      </c>
      <c r="AF129" s="1">
        <f>VLOOKUP(A129,'SegEnds_NonXtal_Prot#'!A:AL,28,FALSE)-VLOOKUP(A129,'SegEnds_NonXtal_Prot#'!A:AL,25,FALSE)</f>
        <v>23</v>
      </c>
      <c r="AG129" s="1">
        <f>VLOOKUP(A129,'SegEnds_NonXtal_Prot#'!A:AL,28,FALSE)-VLOOKUP(A129,'SegEnds_NonXtal_Prot#'!A:AL,22,FALSE)</f>
        <v>48</v>
      </c>
      <c r="AH129" s="1">
        <f>VLOOKUP(A129,'SegEnds_NonXtal_Prot#'!A:AL,31,FALSE)-VLOOKUP(A129,'SegEnds_NonXtal_Prot#'!A:AL,28,FALSE)</f>
        <v>46</v>
      </c>
      <c r="AI129" s="1">
        <f>VLOOKUP(A129,'SegEnds_NonXtal_Prot#'!A:AL,34,FALSE)-VLOOKUP(A129,'SegEnds_NonXtal_Prot#'!A:AL,31,FALSE)</f>
        <v>44</v>
      </c>
      <c r="AJ129" s="1" t="str">
        <f>IF(ISERROR(MATCH(A129,'SegEnds_Xtal_Prot#'!B:B, 0)), "NoXtal", "Xtal")</f>
        <v>NoXtal</v>
      </c>
    </row>
    <row r="130" spans="1:36" x14ac:dyDescent="0.2">
      <c r="A130" s="1" t="s">
        <v>241</v>
      </c>
      <c r="B130" s="1" t="str">
        <f>VLOOKUP(A130,Xtal_Templ!A:B,2,FALSE)</f>
        <v>oprk_human</v>
      </c>
      <c r="C130" s="5">
        <f>VLOOKUP($B130&amp;"__wt",'SegEnds_Xtal_BW#'!$A:$Z,3,FALSE)</f>
        <v>30</v>
      </c>
      <c r="D130" s="1">
        <f>VLOOKUP($B130&amp;"__wt",'SegEnds_Xtal_BW#'!$A:$Z,4,FALSE)</f>
        <v>60</v>
      </c>
      <c r="E130" s="1">
        <f>VLOOKUP($B130&amp;"__wt",'SegEnds_Xtal_BW#'!$A:$Z,5,FALSE)</f>
        <v>48</v>
      </c>
      <c r="F130" s="1">
        <f>VLOOKUP($B130&amp;"__wt",'SegEnds_Xtal_BW#'!$A:$Z,6,FALSE)</f>
        <v>51</v>
      </c>
      <c r="G130" s="1">
        <v>37</v>
      </c>
      <c r="H130" s="12">
        <v>66</v>
      </c>
      <c r="I130" s="1">
        <f>VLOOKUP($B130&amp;"__wt",'SegEnds_Xtal_BW#'!$A:$Z,9,FALSE)</f>
        <v>49</v>
      </c>
      <c r="J130" s="1">
        <f>VLOOKUP($B130&amp;"__wt",'SegEnds_Xtal_BW#'!$A:$Z,10,FALSE)</f>
        <v>52</v>
      </c>
      <c r="K130" s="12">
        <v>21</v>
      </c>
      <c r="L130" s="1">
        <f>VLOOKUP($B130&amp;"__wt",'SegEnds_Xtal_BW#'!$A:$Z,12,FALSE)</f>
        <v>56</v>
      </c>
      <c r="M130" s="1">
        <f>VLOOKUP($B130&amp;"__wt",'SegEnds_Xtal_BW#'!$A:$Z,13,FALSE)</f>
        <v>50</v>
      </c>
      <c r="N130" s="12">
        <v>57</v>
      </c>
      <c r="O130" s="89">
        <v>38</v>
      </c>
      <c r="P130" s="1">
        <f>VLOOKUP($B130&amp;"__wt",'SegEnds_Xtal_BW#'!$A:$Z,16,FALSE)</f>
        <v>64</v>
      </c>
      <c r="Q130" s="1">
        <f>VLOOKUP($B130&amp;"__wt",'SegEnds_Xtal_BW#'!$A:$Z,17,FALSE)</f>
        <v>50</v>
      </c>
      <c r="R130" s="1">
        <f>VLOOKUP($B130&amp;"__wt",'SegEnds_Xtal_BW#'!$A:$Z,18,FALSE)</f>
        <v>52</v>
      </c>
      <c r="S130" s="1">
        <f>VLOOKUP($B130&amp;"__wt",'SegEnds_Xtal_BW#'!$A:$Z,19,FALSE)</f>
        <v>31</v>
      </c>
      <c r="T130" s="1">
        <f t="array" ref="T130">INDEX('ICL3'!$G$2:$G$40,MATCH(MIN(ABS(AH130-'ICL3'!$F$2:$F$40)),ABS(AH130-'ICL3'!$F$2:$F$40),0))</f>
        <v>68</v>
      </c>
      <c r="U130" s="1">
        <f t="array" ref="U130">INDEX('ICL3'!$H$2:$H$40,MATCH(MIN(ABS(AH130-'ICL3'!$F$2:$F$40)),ABS(AH130-'ICL3'!$F$2:$F$40),0))</f>
        <v>24</v>
      </c>
      <c r="V130" s="1">
        <v>61</v>
      </c>
      <c r="W130" s="1">
        <v>31</v>
      </c>
      <c r="X130" s="1">
        <f>VLOOKUP($B130&amp;"__wt",'SegEnds_Xtal_BW#'!$A:$Z,24,FALSE)</f>
        <v>56</v>
      </c>
      <c r="Y130" s="1">
        <f>VLOOKUP($B130&amp;"__wt",'SegEnds_Xtal_BW#'!$A:$Z,25,FALSE)</f>
        <v>47</v>
      </c>
      <c r="Z130" s="1">
        <f>VLOOKUP($B130&amp;"__wt",'SegEnds_Xtal_BW#'!$A:$Z,26,FALSE)</f>
        <v>59</v>
      </c>
      <c r="AA130" s="27" t="str">
        <f>VLOOKUP(A130,Classification!A:B,2,FALSE)</f>
        <v>A</v>
      </c>
      <c r="AB130" s="1" t="e">
        <f>VLOOKUP(A130,'SegEnds_NonXtal_Prot#'!A:AL,10,FALSE)-VLOOKUP(A130,'SegEnds_NonXtal_Prot#'!A:AL,7,FALSE)</f>
        <v>#VALUE!</v>
      </c>
      <c r="AC130" s="1">
        <f>VLOOKUP(A130,'SegEnds_NonXtal_Prot#'!A:AL,13,FALSE)-VLOOKUP(A130,'SegEnds_NonXtal_Prot#'!A:AL,10,FALSE)</f>
        <v>19</v>
      </c>
      <c r="AD130" s="1">
        <f>VLOOKUP(A130,'SegEnds_NonXtal_Prot#'!A:AL,16,FALSE)-VLOOKUP(A130,'SegEnds_NonXtal_Prot#'!A:AL,10,FALSE)</f>
        <v>51</v>
      </c>
      <c r="AE130" s="1">
        <f>VLOOKUP(A130,'SegEnds_NonXtal_Prot#'!A:AL,22,FALSE)-VLOOKUP(A130,'SegEnds_NonXtal_Prot#'!A:AL,19,FALSE)</f>
        <v>20</v>
      </c>
      <c r="AF130" s="1">
        <f>VLOOKUP(A130,'SegEnds_NonXtal_Prot#'!A:AL,28,FALSE)-VLOOKUP(A130,'SegEnds_NonXtal_Prot#'!A:AL,25,FALSE)</f>
        <v>27</v>
      </c>
      <c r="AG130" s="1">
        <f>VLOOKUP(A130,'SegEnds_NonXtal_Prot#'!A:AL,28,FALSE)-VLOOKUP(A130,'SegEnds_NonXtal_Prot#'!A:AL,22,FALSE)</f>
        <v>53</v>
      </c>
      <c r="AH130" s="1">
        <f>VLOOKUP(A130,'SegEnds_NonXtal_Prot#'!A:AL,31,FALSE)-VLOOKUP(A130,'SegEnds_NonXtal_Prot#'!A:AL,28,FALSE)</f>
        <v>48</v>
      </c>
      <c r="AI130" s="1">
        <f>VLOOKUP(A130,'SegEnds_NonXtal_Prot#'!A:AL,34,FALSE)-VLOOKUP(A130,'SegEnds_NonXtal_Prot#'!A:AL,31,FALSE)</f>
        <v>36</v>
      </c>
      <c r="AJ130" s="1" t="str">
        <f>IF(ISERROR(MATCH(A130,'SegEnds_Xtal_Prot#'!B:B, 0)), "NoXtal", "Xtal")</f>
        <v>NoXtal</v>
      </c>
    </row>
    <row r="131" spans="1:36" x14ac:dyDescent="0.2">
      <c r="A131" s="1" t="s">
        <v>243</v>
      </c>
      <c r="B131" s="1" t="str">
        <f>VLOOKUP(A131,Xtal_Templ!A:B,2,FALSE)</f>
        <v>oprk_human</v>
      </c>
      <c r="C131" s="5">
        <f>VLOOKUP($B131&amp;"__wt",'SegEnds_Xtal_BW#'!$A:$Z,3,FALSE)</f>
        <v>30</v>
      </c>
      <c r="D131" s="1">
        <f>VLOOKUP($B131&amp;"__wt",'SegEnds_Xtal_BW#'!$A:$Z,4,FALSE)</f>
        <v>60</v>
      </c>
      <c r="E131" s="1">
        <f>VLOOKUP($B131&amp;"__wt",'SegEnds_Xtal_BW#'!$A:$Z,5,FALSE)</f>
        <v>48</v>
      </c>
      <c r="F131" s="1">
        <f>VLOOKUP($B131&amp;"__wt",'SegEnds_Xtal_BW#'!$A:$Z,6,FALSE)</f>
        <v>51</v>
      </c>
      <c r="G131" s="1">
        <v>37</v>
      </c>
      <c r="H131" s="12">
        <v>66</v>
      </c>
      <c r="I131" s="1">
        <f>VLOOKUP($B131&amp;"__wt",'SegEnds_Xtal_BW#'!$A:$Z,9,FALSE)</f>
        <v>49</v>
      </c>
      <c r="J131" s="1">
        <f>VLOOKUP($B131&amp;"__wt",'SegEnds_Xtal_BW#'!$A:$Z,10,FALSE)</f>
        <v>52</v>
      </c>
      <c r="K131" s="12">
        <v>24</v>
      </c>
      <c r="L131" s="1">
        <f>VLOOKUP($B131&amp;"__wt",'SegEnds_Xtal_BW#'!$A:$Z,12,FALSE)</f>
        <v>56</v>
      </c>
      <c r="M131" s="1">
        <f>VLOOKUP($B131&amp;"__wt",'SegEnds_Xtal_BW#'!$A:$Z,13,FALSE)</f>
        <v>50</v>
      </c>
      <c r="N131" s="12">
        <v>57</v>
      </c>
      <c r="O131" s="89">
        <v>38</v>
      </c>
      <c r="P131" s="1">
        <f>VLOOKUP($B131&amp;"__wt",'SegEnds_Xtal_BW#'!$A:$Z,16,FALSE)</f>
        <v>64</v>
      </c>
      <c r="Q131" s="1">
        <f>VLOOKUP($B131&amp;"__wt",'SegEnds_Xtal_BW#'!$A:$Z,17,FALSE)</f>
        <v>50</v>
      </c>
      <c r="R131" s="1">
        <f>VLOOKUP($B131&amp;"__wt",'SegEnds_Xtal_BW#'!$A:$Z,18,FALSE)</f>
        <v>52</v>
      </c>
      <c r="S131" s="111">
        <v>38</v>
      </c>
      <c r="T131" s="1">
        <f t="array" ref="T131">INDEX('ICL3'!$G$2:$G$40,MATCH(MIN(ABS(AH131-'ICL3'!$F$2:$F$40)),ABS(AH131-'ICL3'!$F$2:$F$40),0))</f>
        <v>68</v>
      </c>
      <c r="U131" s="1">
        <f t="array" ref="U131">INDEX('ICL3'!$H$2:$H$40,MATCH(MIN(ABS(AH131-'ICL3'!$F$2:$F$40)),ABS(AH131-'ICL3'!$F$2:$F$40),0))</f>
        <v>24</v>
      </c>
      <c r="V131" s="1">
        <v>61</v>
      </c>
      <c r="W131" s="1">
        <v>28</v>
      </c>
      <c r="X131" s="1">
        <f>VLOOKUP($B131&amp;"__wt",'SegEnds_Xtal_BW#'!$A:$Z,24,FALSE)</f>
        <v>56</v>
      </c>
      <c r="Y131" s="1">
        <f>VLOOKUP($B131&amp;"__wt",'SegEnds_Xtal_BW#'!$A:$Z,25,FALSE)</f>
        <v>47</v>
      </c>
      <c r="Z131" s="1">
        <f>VLOOKUP($B131&amp;"__wt",'SegEnds_Xtal_BW#'!$A:$Z,26,FALSE)</f>
        <v>59</v>
      </c>
      <c r="AA131" s="27" t="str">
        <f>VLOOKUP(A131,Classification!A:B,2,FALSE)</f>
        <v>A</v>
      </c>
      <c r="AB131" s="1">
        <f>VLOOKUP(A131,'SegEnds_NonXtal_Prot#'!A:AL,10,FALSE)-VLOOKUP(A131,'SegEnds_NonXtal_Prot#'!A:AL,7,FALSE)</f>
        <v>15</v>
      </c>
      <c r="AC131" s="1" t="e">
        <f>VLOOKUP(A131,'SegEnds_NonXtal_Prot#'!A:AL,13,FALSE)-VLOOKUP(A131,'SegEnds_NonXtal_Prot#'!A:AL,10,FALSE)</f>
        <v>#VALUE!</v>
      </c>
      <c r="AD131" s="1">
        <f>VLOOKUP(A131,'SegEnds_NonXtal_Prot#'!A:AL,16,FALSE)-VLOOKUP(A131,'SegEnds_NonXtal_Prot#'!A:AL,10,FALSE)</f>
        <v>49</v>
      </c>
      <c r="AE131" s="1">
        <f>VLOOKUP(A131,'SegEnds_NonXtal_Prot#'!A:AL,22,FALSE)-VLOOKUP(A131,'SegEnds_NonXtal_Prot#'!A:AL,19,FALSE)</f>
        <v>20</v>
      </c>
      <c r="AF131" s="1" t="e">
        <f>VLOOKUP(A131,'SegEnds_NonXtal_Prot#'!A:AL,28,FALSE)-VLOOKUP(A131,'SegEnds_NonXtal_Prot#'!A:AL,25,FALSE)</f>
        <v>#VALUE!</v>
      </c>
      <c r="AG131" s="1">
        <f>VLOOKUP(A131,'SegEnds_NonXtal_Prot#'!A:AL,28,FALSE)-VLOOKUP(A131,'SegEnds_NonXtal_Prot#'!A:AL,22,FALSE)</f>
        <v>33</v>
      </c>
      <c r="AH131" s="1">
        <f>VLOOKUP(A131,'SegEnds_NonXtal_Prot#'!A:AL,31,FALSE)-VLOOKUP(A131,'SegEnds_NonXtal_Prot#'!A:AL,28,FALSE)</f>
        <v>48</v>
      </c>
      <c r="AI131" s="1">
        <f>VLOOKUP(A131,'SegEnds_NonXtal_Prot#'!A:AL,34,FALSE)-VLOOKUP(A131,'SegEnds_NonXtal_Prot#'!A:AL,31,FALSE)</f>
        <v>38</v>
      </c>
      <c r="AJ131" s="1" t="str">
        <f>IF(ISERROR(MATCH(A131,'SegEnds_Xtal_Prot#'!B:B, 0)), "NoXtal", "Xtal")</f>
        <v>NoXtal</v>
      </c>
    </row>
    <row r="132" spans="1:36" x14ac:dyDescent="0.2">
      <c r="A132" s="1" t="s">
        <v>244</v>
      </c>
      <c r="B132" s="1" t="str">
        <f>VLOOKUP(A132,Xtal_Templ!A:B,2,FALSE)</f>
        <v>5ht2b_human</v>
      </c>
      <c r="C132" s="5">
        <f>VLOOKUP($B132&amp;"__wt",'SegEnds_Xtal_BW#'!$A:$Z,3,FALSE)</f>
        <v>32</v>
      </c>
      <c r="D132" s="1">
        <f>VLOOKUP($B132&amp;"__wt",'SegEnds_Xtal_BW#'!$A:$Z,4,FALSE)</f>
        <v>60</v>
      </c>
      <c r="E132" s="1">
        <f>VLOOKUP($B132&amp;"__wt",'SegEnds_Xtal_BW#'!$A:$Z,5,FALSE)</f>
        <v>48</v>
      </c>
      <c r="F132" s="1">
        <f>VLOOKUP($B132&amp;"__wt",'SegEnds_Xtal_BW#'!$A:$Z,6,FALSE)</f>
        <v>51</v>
      </c>
      <c r="G132" s="1">
        <v>37</v>
      </c>
      <c r="H132" s="111">
        <v>66</v>
      </c>
      <c r="I132" s="1">
        <f>VLOOKUP($B132&amp;"__wt",'SegEnds_Xtal_BW#'!$A:$Z,9,FALSE)</f>
        <v>49</v>
      </c>
      <c r="J132" s="1">
        <f>VLOOKUP($B132&amp;"__wt",'SegEnds_Xtal_BW#'!$A:$Z,10,FALSE)</f>
        <v>52</v>
      </c>
      <c r="K132" s="12">
        <v>18</v>
      </c>
      <c r="L132" s="1">
        <f>VLOOKUP($B132&amp;"__wt",'SegEnds_Xtal_BW#'!$A:$Z,12,FALSE)</f>
        <v>56</v>
      </c>
      <c r="M132" s="1">
        <f>VLOOKUP($B132&amp;"__wt",'SegEnds_Xtal_BW#'!$A:$Z,13,FALSE)</f>
        <v>50</v>
      </c>
      <c r="N132" s="12">
        <v>57</v>
      </c>
      <c r="O132" s="89">
        <v>38</v>
      </c>
      <c r="P132" s="1">
        <f>VLOOKUP($B132&amp;"__wt",'SegEnds_Xtal_BW#'!$A:$Z,16,FALSE)</f>
        <v>64</v>
      </c>
      <c r="Q132" s="1">
        <f>VLOOKUP($B132&amp;"__wt",'SegEnds_Xtal_BW#'!$A:$Z,17,FALSE)</f>
        <v>50</v>
      </c>
      <c r="R132" s="1">
        <f>VLOOKUP($B132&amp;"__wt",'SegEnds_Xtal_BW#'!$A:$Z,18,FALSE)</f>
        <v>52</v>
      </c>
      <c r="S132" s="1">
        <v>35</v>
      </c>
      <c r="T132" s="1">
        <f t="array" ref="T132">INDEX('ICL3'!$G$2:$G$40,MATCH(MIN(ABS(AH132-'ICL3'!$F$2:$F$40)),ABS(AH132-'ICL3'!$F$2:$F$40),0))</f>
        <v>74</v>
      </c>
      <c r="U132" s="1">
        <f t="array" ref="U132">INDEX('ICL3'!$H$2:$H$40,MATCH(MIN(ABS(AH132-'ICL3'!$F$2:$F$40)),ABS(AH132-'ICL3'!$F$2:$F$40),0))</f>
        <v>21</v>
      </c>
      <c r="V132" s="1">
        <v>61</v>
      </c>
      <c r="W132" s="1">
        <v>32</v>
      </c>
      <c r="X132" s="1">
        <f>VLOOKUP($B132&amp;"__wt",'SegEnds_Xtal_BW#'!$A:$Z,24,FALSE)</f>
        <v>56</v>
      </c>
      <c r="Y132" s="1">
        <f>VLOOKUP($B132&amp;"__wt",'SegEnds_Xtal_BW#'!$A:$Z,25,FALSE)</f>
        <v>47</v>
      </c>
      <c r="Z132" s="1">
        <f>VLOOKUP($B132&amp;"__wt",'SegEnds_Xtal_BW#'!$A:$Z,26,FALSE)</f>
        <v>58</v>
      </c>
      <c r="AA132" s="27" t="str">
        <f>VLOOKUP(A132,Classification!A:B,2,FALSE)</f>
        <v>A</v>
      </c>
      <c r="AB132" s="1">
        <f>VLOOKUP(A132,'SegEnds_NonXtal_Prot#'!A:AL,10,FALSE)-VLOOKUP(A132,'SegEnds_NonXtal_Prot#'!A:AL,7,FALSE)</f>
        <v>16</v>
      </c>
      <c r="AC132" s="1" t="e">
        <f>VLOOKUP(A132,'SegEnds_NonXtal_Prot#'!A:AL,13,FALSE)-VLOOKUP(A132,'SegEnds_NonXtal_Prot#'!A:AL,10,FALSE)</f>
        <v>#VALUE!</v>
      </c>
      <c r="AD132" s="1">
        <f>VLOOKUP(A132,'SegEnds_NonXtal_Prot#'!A:AL,16,FALSE)-VLOOKUP(A132,'SegEnds_NonXtal_Prot#'!A:AL,10,FALSE)</f>
        <v>52</v>
      </c>
      <c r="AE132" s="1">
        <f>VLOOKUP(A132,'SegEnds_NonXtal_Prot#'!A:AL,22,FALSE)-VLOOKUP(A132,'SegEnds_NonXtal_Prot#'!A:AL,19,FALSE)</f>
        <v>20</v>
      </c>
      <c r="AF132" s="1">
        <f>VLOOKUP(A132,'SegEnds_NonXtal_Prot#'!A:AL,28,FALSE)-VLOOKUP(A132,'SegEnds_NonXtal_Prot#'!A:AL,25,FALSE)</f>
        <v>21</v>
      </c>
      <c r="AG132" s="1">
        <f>VLOOKUP(A132,'SegEnds_NonXtal_Prot#'!A:AL,28,FALSE)-VLOOKUP(A132,'SegEnds_NonXtal_Prot#'!A:AL,22,FALSE)</f>
        <v>48</v>
      </c>
      <c r="AH132" s="1">
        <f>VLOOKUP(A132,'SegEnds_NonXtal_Prot#'!A:AL,31,FALSE)-VLOOKUP(A132,'SegEnds_NonXtal_Prot#'!A:AL,28,FALSE)</f>
        <v>65</v>
      </c>
      <c r="AI132" s="1">
        <f>VLOOKUP(A132,'SegEnds_NonXtal_Prot#'!A:AL,34,FALSE)-VLOOKUP(A132,'SegEnds_NonXtal_Prot#'!A:AL,31,FALSE)</f>
        <v>34</v>
      </c>
      <c r="AJ132" s="1" t="str">
        <f>IF(ISERROR(MATCH(A132,'SegEnds_Xtal_Prot#'!B:B, 0)), "NoXtal", "Xtal")</f>
        <v>NoXtal</v>
      </c>
    </row>
    <row r="133" spans="1:36" x14ac:dyDescent="0.2">
      <c r="A133" s="1" t="s">
        <v>246</v>
      </c>
      <c r="B133" s="1" t="str">
        <f>VLOOKUP(A133,Xtal_Templ!A:B,2,FALSE)</f>
        <v>agtr1_human</v>
      </c>
      <c r="C133" s="5">
        <f>VLOOKUP($B133&amp;"__wt",'SegEnds_Xtal_BW#'!$A:$Z,3,FALSE)</f>
        <v>30</v>
      </c>
      <c r="D133" s="1">
        <f>VLOOKUP($B133&amp;"__wt",'SegEnds_Xtal_BW#'!$A:$Z,4,FALSE)</f>
        <v>60</v>
      </c>
      <c r="E133" s="1">
        <f>VLOOKUP($B133&amp;"__wt",'SegEnds_Xtal_BW#'!$A:$Z,5,FALSE)</f>
        <v>48</v>
      </c>
      <c r="F133" s="1">
        <f>VLOOKUP($B133&amp;"__wt",'SegEnds_Xtal_BW#'!$A:$Z,6,FALSE)</f>
        <v>51</v>
      </c>
      <c r="G133" s="1">
        <v>37</v>
      </c>
      <c r="H133" s="12">
        <f>VLOOKUP($B133&amp;"__wt",'SegEnds_Xtal_BW#'!$A:$Z,8,FALSE)</f>
        <v>66</v>
      </c>
      <c r="I133" s="1">
        <f>VLOOKUP($B133&amp;"__wt",'SegEnds_Xtal_BW#'!$A:$Z,9,FALSE)</f>
        <v>49</v>
      </c>
      <c r="J133" s="1">
        <f>VLOOKUP($B133&amp;"__wt",'SegEnds_Xtal_BW#'!$A:$Z,10,FALSE)</f>
        <v>52</v>
      </c>
      <c r="K133" s="12">
        <v>18</v>
      </c>
      <c r="L133" s="1">
        <f>VLOOKUP($B133&amp;"__wt",'SegEnds_Xtal_BW#'!$A:$Z,12,FALSE)</f>
        <v>56</v>
      </c>
      <c r="M133" s="1">
        <f>VLOOKUP($B133&amp;"__wt",'SegEnds_Xtal_BW#'!$A:$Z,13,FALSE)</f>
        <v>50</v>
      </c>
      <c r="N133" s="12">
        <v>57</v>
      </c>
      <c r="O133" s="89">
        <f>VLOOKUP($B133&amp;"__wt",'SegEnds_Xtal_BW#'!$A:$Z,15,FALSE)</f>
        <v>38</v>
      </c>
      <c r="P133" s="1">
        <f>VLOOKUP($B133&amp;"__wt",'SegEnds_Xtal_BW#'!$A:$Z,16,FALSE)</f>
        <v>64</v>
      </c>
      <c r="Q133" s="1">
        <f>VLOOKUP($B133&amp;"__wt",'SegEnds_Xtal_BW#'!$A:$Z,17,FALSE)</f>
        <v>50</v>
      </c>
      <c r="R133" s="1">
        <f>VLOOKUP($B133&amp;"__wt",'SegEnds_Xtal_BW#'!$A:$Z,18,FALSE)</f>
        <v>52</v>
      </c>
      <c r="S133" s="1">
        <f>VLOOKUP($B133&amp;"__wt",'SegEnds_Xtal_BW#'!$A:$Z,19,FALSE)</f>
        <v>34</v>
      </c>
      <c r="T133" s="1">
        <f t="array" ref="T133">INDEX('ICL3'!$G$2:$G$40,MATCH(MIN(ABS(AH133-'ICL3'!$F$2:$F$40)),ABS(AH133-'ICL3'!$F$2:$F$40),0))</f>
        <v>67</v>
      </c>
      <c r="U133" s="1">
        <f t="array" ref="U133">INDEX('ICL3'!$H$2:$H$40,MATCH(MIN(ABS(AH133-'ICL3'!$F$2:$F$40)),ABS(AH133-'ICL3'!$F$2:$F$40),0))</f>
        <v>28</v>
      </c>
      <c r="V133" s="1">
        <v>64</v>
      </c>
      <c r="W133" s="1">
        <v>24</v>
      </c>
      <c r="X133" s="1">
        <f>VLOOKUP($B133&amp;"__wt",'SegEnds_Xtal_BW#'!$A:$Z,24,FALSE)</f>
        <v>56</v>
      </c>
      <c r="Y133" s="1">
        <f>VLOOKUP($B133&amp;"__wt",'SegEnds_Xtal_BW#'!$A:$Z,25,FALSE)</f>
        <v>47</v>
      </c>
      <c r="Z133" s="1">
        <f>VLOOKUP($B133&amp;"__wt",'SegEnds_Xtal_BW#'!$A:$Z,26,FALSE)</f>
        <v>61</v>
      </c>
      <c r="AA133" s="27" t="str">
        <f>VLOOKUP(A133,Classification!A:B,2,FALSE)</f>
        <v>A</v>
      </c>
      <c r="AB133" s="1">
        <f>VLOOKUP(A133,'SegEnds_NonXtal_Prot#'!A:AL,10,FALSE)-VLOOKUP(A133,'SegEnds_NonXtal_Prot#'!A:AL,7,FALSE)</f>
        <v>15</v>
      </c>
      <c r="AC133" s="1">
        <f>VLOOKUP(A133,'SegEnds_NonXtal_Prot#'!A:AL,13,FALSE)-VLOOKUP(A133,'SegEnds_NonXtal_Prot#'!A:AL,10,FALSE)</f>
        <v>20</v>
      </c>
      <c r="AD133" s="1">
        <f>VLOOKUP(A133,'SegEnds_NonXtal_Prot#'!A:AL,16,FALSE)-VLOOKUP(A133,'SegEnds_NonXtal_Prot#'!A:AL,10,FALSE)</f>
        <v>52</v>
      </c>
      <c r="AE133" s="1">
        <f>VLOOKUP(A133,'SegEnds_NonXtal_Prot#'!A:AL,22,FALSE)-VLOOKUP(A133,'SegEnds_NonXtal_Prot#'!A:AL,19,FALSE)</f>
        <v>20</v>
      </c>
      <c r="AF133" s="1">
        <f>VLOOKUP(A133,'SegEnds_NonXtal_Prot#'!A:AL,28,FALSE)-VLOOKUP(A133,'SegEnds_NonXtal_Prot#'!A:AL,25,FALSE)</f>
        <v>23</v>
      </c>
      <c r="AG133" s="1">
        <f>VLOOKUP(A133,'SegEnds_NonXtal_Prot#'!A:AL,28,FALSE)-VLOOKUP(A133,'SegEnds_NonXtal_Prot#'!A:AL,22,FALSE)</f>
        <v>50</v>
      </c>
      <c r="AH133" s="1">
        <f>VLOOKUP(A133,'SegEnds_NonXtal_Prot#'!A:AL,31,FALSE)-VLOOKUP(A133,'SegEnds_NonXtal_Prot#'!A:AL,28,FALSE)</f>
        <v>45</v>
      </c>
      <c r="AI133" s="1">
        <f>VLOOKUP(A133,'SegEnds_NonXtal_Prot#'!A:AL,34,FALSE)-VLOOKUP(A133,'SegEnds_NonXtal_Prot#'!A:AL,31,FALSE)</f>
        <v>45</v>
      </c>
      <c r="AJ133" s="1" t="str">
        <f>IF(ISERROR(MATCH(A133,'SegEnds_Xtal_Prot#'!B:B, 0)), "NoXtal", "Xtal")</f>
        <v>NoXtal</v>
      </c>
    </row>
    <row r="134" spans="1:36" x14ac:dyDescent="0.2">
      <c r="A134" s="1" t="s">
        <v>247</v>
      </c>
      <c r="B134" s="1" t="str">
        <f>VLOOKUP(A134,Xtal_Templ!A:B,2,FALSE)</f>
        <v>ox2r_human</v>
      </c>
      <c r="C134" s="5">
        <f>VLOOKUP($B134&amp;"__wt",'SegEnds_Xtal_BW#'!$A:$Z,3,FALSE)</f>
        <v>31</v>
      </c>
      <c r="D134" s="1">
        <f>VLOOKUP($B134&amp;"__wt",'SegEnds_Xtal_BW#'!$A:$Z,4,FALSE)</f>
        <v>60</v>
      </c>
      <c r="E134" s="1">
        <f>VLOOKUP($B134&amp;"__wt",'SegEnds_Xtal_BW#'!$A:$Z,5,FALSE)</f>
        <v>48</v>
      </c>
      <c r="F134" s="1">
        <f>VLOOKUP($B134&amp;"__wt",'SegEnds_Xtal_BW#'!$A:$Z,6,FALSE)</f>
        <v>51</v>
      </c>
      <c r="G134" s="1">
        <v>37</v>
      </c>
      <c r="H134" s="12">
        <f>VLOOKUP($B134&amp;"__wt",'SegEnds_Xtal_BW#'!$A:$Z,8,FALSE)</f>
        <v>67</v>
      </c>
      <c r="I134" s="1">
        <f>VLOOKUP($B134&amp;"__wt",'SegEnds_Xtal_BW#'!$A:$Z,9,FALSE)</f>
        <v>49</v>
      </c>
      <c r="J134" s="1">
        <f>VLOOKUP($B134&amp;"__wt",'SegEnds_Xtal_BW#'!$A:$Z,10,FALSE)</f>
        <v>52</v>
      </c>
      <c r="K134" s="12">
        <v>21</v>
      </c>
      <c r="L134" s="1">
        <f>VLOOKUP($B134&amp;"__wt",'SegEnds_Xtal_BW#'!$A:$Z,12,FALSE)</f>
        <v>56</v>
      </c>
      <c r="M134" s="1">
        <f>VLOOKUP($B134&amp;"__wt",'SegEnds_Xtal_BW#'!$A:$Z,13,FALSE)</f>
        <v>50</v>
      </c>
      <c r="N134" s="12">
        <v>57</v>
      </c>
      <c r="O134" s="89">
        <v>38</v>
      </c>
      <c r="P134" s="1">
        <f>VLOOKUP($B134&amp;"__wt",'SegEnds_Xtal_BW#'!$A:$Z,16,FALSE)</f>
        <v>64</v>
      </c>
      <c r="Q134" s="1">
        <f>VLOOKUP($B134&amp;"__wt",'SegEnds_Xtal_BW#'!$A:$Z,17,FALSE)</f>
        <v>50</v>
      </c>
      <c r="R134" s="1">
        <f>VLOOKUP($B134&amp;"__wt",'SegEnds_Xtal_BW#'!$A:$Z,18,FALSE)</f>
        <v>52</v>
      </c>
      <c r="S134" s="1">
        <v>35</v>
      </c>
      <c r="T134" s="1">
        <f t="array" ref="T134">INDEX('ICL3'!$G$2:$G$40,MATCH(MIN(ABS(AH134-'ICL3'!$F$2:$F$40)),ABS(AH134-'ICL3'!$F$2:$F$40),0))</f>
        <v>76</v>
      </c>
      <c r="U134" s="1">
        <f t="array" ref="U134">INDEX('ICL3'!$H$2:$H$40,MATCH(MIN(ABS(AH134-'ICL3'!$F$2:$F$40)),ABS(AH134-'ICL3'!$F$2:$F$40),0))</f>
        <v>24</v>
      </c>
      <c r="V134" s="1">
        <v>61</v>
      </c>
      <c r="W134" s="1">
        <v>31</v>
      </c>
      <c r="X134" s="1">
        <f>VLOOKUP($B134&amp;"__wt",'SegEnds_Xtal_BW#'!$A:$Z,24,FALSE)</f>
        <v>56</v>
      </c>
      <c r="Y134" s="1">
        <f>VLOOKUP($B134&amp;"__wt",'SegEnds_Xtal_BW#'!$A:$Z,25,FALSE)</f>
        <v>47</v>
      </c>
      <c r="Z134" s="1">
        <f>VLOOKUP($B134&amp;"__wt",'SegEnds_Xtal_BW#'!$A:$Z,26,FALSE)</f>
        <v>58</v>
      </c>
      <c r="AA134" s="27" t="str">
        <f>VLOOKUP(A134,Classification!A:B,2,FALSE)</f>
        <v>A</v>
      </c>
      <c r="AB134" s="1">
        <f>VLOOKUP(A134,'SegEnds_NonXtal_Prot#'!A:AL,10,FALSE)-VLOOKUP(A134,'SegEnds_NonXtal_Prot#'!A:AL,7,FALSE)</f>
        <v>16</v>
      </c>
      <c r="AC134" s="1" t="e">
        <f>VLOOKUP(A134,'SegEnds_NonXtal_Prot#'!A:AL,13,FALSE)-VLOOKUP(A134,'SegEnds_NonXtal_Prot#'!A:AL,10,FALSE)</f>
        <v>#VALUE!</v>
      </c>
      <c r="AD134" s="1">
        <f>VLOOKUP(A134,'SegEnds_NonXtal_Prot#'!A:AL,16,FALSE)-VLOOKUP(A134,'SegEnds_NonXtal_Prot#'!A:AL,10,FALSE)</f>
        <v>52</v>
      </c>
      <c r="AE134" s="1">
        <f>VLOOKUP(A134,'SegEnds_NonXtal_Prot#'!A:AL,22,FALSE)-VLOOKUP(A134,'SegEnds_NonXtal_Prot#'!A:AL,19,FALSE)</f>
        <v>20</v>
      </c>
      <c r="AF134" s="1">
        <f>VLOOKUP(A134,'SegEnds_NonXtal_Prot#'!A:AL,28,FALSE)-VLOOKUP(A134,'SegEnds_NonXtal_Prot#'!A:AL,25,FALSE)</f>
        <v>25</v>
      </c>
      <c r="AG134" s="1">
        <f>VLOOKUP(A134,'SegEnds_NonXtal_Prot#'!A:AL,28,FALSE)-VLOOKUP(A134,'SegEnds_NonXtal_Prot#'!A:AL,22,FALSE)</f>
        <v>53</v>
      </c>
      <c r="AH134" s="1">
        <f>VLOOKUP(A134,'SegEnds_NonXtal_Prot#'!A:AL,31,FALSE)-VLOOKUP(A134,'SegEnds_NonXtal_Prot#'!A:AL,28,FALSE)</f>
        <v>72</v>
      </c>
      <c r="AI134" s="1">
        <f>VLOOKUP(A134,'SegEnds_NonXtal_Prot#'!A:AL,34,FALSE)-VLOOKUP(A134,'SegEnds_NonXtal_Prot#'!A:AL,31,FALSE)</f>
        <v>35</v>
      </c>
      <c r="AJ134" s="1" t="str">
        <f>IF(ISERROR(MATCH(A134,'SegEnds_Xtal_Prot#'!B:B, 0)), "NoXtal", "Xtal")</f>
        <v>NoXtal</v>
      </c>
    </row>
    <row r="135" spans="1:36" x14ac:dyDescent="0.2">
      <c r="A135" s="1" t="s">
        <v>249</v>
      </c>
      <c r="B135" s="1" t="str">
        <f>VLOOKUP(A135,Xtal_Templ!A:B,2,FALSE)</f>
        <v>s1pr1_human</v>
      </c>
      <c r="C135" s="5">
        <f>VLOOKUP($B135&amp;"__wt",'SegEnds_Xtal_BW#'!$A:$Z,3,FALSE)</f>
        <v>29</v>
      </c>
      <c r="D135" s="1">
        <f>VLOOKUP($B135&amp;"__wt",'SegEnds_Xtal_BW#'!$A:$Z,4,FALSE)</f>
        <v>60</v>
      </c>
      <c r="E135" s="1">
        <f>VLOOKUP($B135&amp;"__wt",'SegEnds_Xtal_BW#'!$A:$Z,5,FALSE)</f>
        <v>48</v>
      </c>
      <c r="F135" s="1">
        <f>VLOOKUP($B135&amp;"__wt",'SegEnds_Xtal_BW#'!$A:$Z,6,FALSE)</f>
        <v>51</v>
      </c>
      <c r="G135" s="1">
        <v>37</v>
      </c>
      <c r="H135" s="12">
        <v>62</v>
      </c>
      <c r="I135" s="1">
        <v>48</v>
      </c>
      <c r="J135" s="1">
        <v>52</v>
      </c>
      <c r="K135" s="12">
        <v>24</v>
      </c>
      <c r="L135" s="1">
        <f>VLOOKUP($B135&amp;"__wt",'SegEnds_Xtal_BW#'!$A:$Z,12,FALSE)</f>
        <v>56</v>
      </c>
      <c r="M135" s="1">
        <f>VLOOKUP($B135&amp;"__wt",'SegEnds_Xtal_BW#'!$A:$Z,13,FALSE)</f>
        <v>50</v>
      </c>
      <c r="N135" s="12">
        <v>57</v>
      </c>
      <c r="O135" s="89">
        <v>38</v>
      </c>
      <c r="P135" s="1">
        <f>VLOOKUP($B135&amp;"__wt",'SegEnds_Xtal_BW#'!$A:$Z,16,FALSE)</f>
        <v>63</v>
      </c>
      <c r="Q135" s="1" t="str">
        <f>VLOOKUP($B135&amp;"__wt",'SegEnds_Xtal_BW#'!$A:$Z,17,FALSE)</f>
        <v>-</v>
      </c>
      <c r="R135" s="1" t="str">
        <f>VLOOKUP($B135&amp;"__wt",'SegEnds_Xtal_BW#'!$A:$Z,18,FALSE)</f>
        <v>-</v>
      </c>
      <c r="S135" s="1">
        <f>VLOOKUP($B135&amp;"__wt",'SegEnds_Xtal_BW#'!$A:$Z,19,FALSE)</f>
        <v>36</v>
      </c>
      <c r="T135" s="1">
        <f t="array" ref="T135">INDEX('ICL3'!$G$2:$G$40,MATCH(MIN(ABS(AH135-'ICL3'!$F$2:$F$40)),ABS(AH135-'ICL3'!$F$2:$F$40),0))</f>
        <v>72</v>
      </c>
      <c r="U135" s="1">
        <f t="array" ref="U135">INDEX('ICL3'!$H$2:$H$40,MATCH(MIN(ABS(AH135-'ICL3'!$F$2:$F$40)),ABS(AH135-'ICL3'!$F$2:$F$40),0))</f>
        <v>24</v>
      </c>
      <c r="V135" s="1">
        <v>61</v>
      </c>
      <c r="W135" s="1">
        <v>34</v>
      </c>
      <c r="X135" s="1">
        <f>VLOOKUP($B135&amp;"__wt",'SegEnds_Xtal_BW#'!$A:$Z,24,FALSE)</f>
        <v>56</v>
      </c>
      <c r="Y135" s="1">
        <f>VLOOKUP($B135&amp;"__wt",'SegEnds_Xtal_BW#'!$A:$Z,25,FALSE)</f>
        <v>47</v>
      </c>
      <c r="Z135" s="1">
        <f>VLOOKUP($B135&amp;"__wt",'SegEnds_Xtal_BW#'!$A:$Z,26,FALSE)</f>
        <v>59</v>
      </c>
      <c r="AA135" s="27" t="str">
        <f>VLOOKUP(A135,Classification!A:B,2,FALSE)</f>
        <v>A</v>
      </c>
      <c r="AB135" s="1">
        <f>VLOOKUP(A135,'SegEnds_NonXtal_Prot#'!A:AL,10,FALSE)-VLOOKUP(A135,'SegEnds_NonXtal_Prot#'!A:AL,7,FALSE)</f>
        <v>15</v>
      </c>
      <c r="AC135" s="1">
        <f>VLOOKUP(A135,'SegEnds_NonXtal_Prot#'!A:AL,13,FALSE)-VLOOKUP(A135,'SegEnds_NonXtal_Prot#'!A:AL,10,FALSE)</f>
        <v>15</v>
      </c>
      <c r="AD135" s="1">
        <f>VLOOKUP(A135,'SegEnds_NonXtal_Prot#'!A:AL,16,FALSE)-VLOOKUP(A135,'SegEnds_NonXtal_Prot#'!A:AL,10,FALSE)</f>
        <v>48</v>
      </c>
      <c r="AE135" s="1">
        <f>VLOOKUP(A135,'SegEnds_NonXtal_Prot#'!A:AL,22,FALSE)-VLOOKUP(A135,'SegEnds_NonXtal_Prot#'!A:AL,19,FALSE)</f>
        <v>20</v>
      </c>
      <c r="AF135" s="1" t="e">
        <f>VLOOKUP(A135,'SegEnds_NonXtal_Prot#'!A:AL,28,FALSE)-VLOOKUP(A135,'SegEnds_NonXtal_Prot#'!A:AL,25,FALSE)</f>
        <v>#VALUE!</v>
      </c>
      <c r="AG135" s="1">
        <f>VLOOKUP(A135,'SegEnds_NonXtal_Prot#'!A:AL,28,FALSE)-VLOOKUP(A135,'SegEnds_NonXtal_Prot#'!A:AL,22,FALSE)</f>
        <v>44</v>
      </c>
      <c r="AH135" s="1">
        <f>VLOOKUP(A135,'SegEnds_NonXtal_Prot#'!A:AL,31,FALSE)-VLOOKUP(A135,'SegEnds_NonXtal_Prot#'!A:AL,28,FALSE)</f>
        <v>57</v>
      </c>
      <c r="AI135" s="1">
        <f>VLOOKUP(A135,'SegEnds_NonXtal_Prot#'!A:AL,34,FALSE)-VLOOKUP(A135,'SegEnds_NonXtal_Prot#'!A:AL,31,FALSE)</f>
        <v>32</v>
      </c>
      <c r="AJ135" s="1" t="str">
        <f>IF(ISERROR(MATCH(A135,'SegEnds_Xtal_Prot#'!B:B, 0)), "NoXtal", "Xtal")</f>
        <v>NoXtal</v>
      </c>
    </row>
    <row r="136" spans="1:36" x14ac:dyDescent="0.2">
      <c r="A136" s="1" t="s">
        <v>250</v>
      </c>
      <c r="B136" s="1" t="str">
        <f>VLOOKUP(A136,Xtal_Templ!A:B,2,FALSE)</f>
        <v>oprd_human</v>
      </c>
      <c r="C136" s="5">
        <f>VLOOKUP($B136&amp;"__wt",'SegEnds_Xtal_BW#'!$A:$Z,3,FALSE)</f>
        <v>22</v>
      </c>
      <c r="D136" s="1">
        <f>VLOOKUP($B136&amp;"__wt",'SegEnds_Xtal_BW#'!$A:$Z,4,FALSE)</f>
        <v>60</v>
      </c>
      <c r="E136" s="1">
        <f>VLOOKUP($B136&amp;"__wt",'SegEnds_Xtal_BW#'!$A:$Z,5,FALSE)</f>
        <v>48</v>
      </c>
      <c r="F136" s="1">
        <f>VLOOKUP($B136&amp;"__wt",'SegEnds_Xtal_BW#'!$A:$Z,6,FALSE)</f>
        <v>51</v>
      </c>
      <c r="G136" s="1">
        <v>37</v>
      </c>
      <c r="H136" s="12">
        <f>VLOOKUP($B136&amp;"__wt",'SegEnds_Xtal_BW#'!$A:$Z,8,FALSE)</f>
        <v>66</v>
      </c>
      <c r="I136" s="1">
        <f>VLOOKUP($B136&amp;"__wt",'SegEnds_Xtal_BW#'!$A:$Z,9,FALSE)</f>
        <v>49</v>
      </c>
      <c r="J136" s="1">
        <f>VLOOKUP($B136&amp;"__wt",'SegEnds_Xtal_BW#'!$A:$Z,10,FALSE)</f>
        <v>52</v>
      </c>
      <c r="K136" s="12">
        <v>18</v>
      </c>
      <c r="L136" s="1">
        <f>VLOOKUP($B136&amp;"__wt",'SegEnds_Xtal_BW#'!$A:$Z,12,FALSE)</f>
        <v>56</v>
      </c>
      <c r="M136" s="1">
        <f>VLOOKUP($B136&amp;"__wt",'SegEnds_Xtal_BW#'!$A:$Z,13,FALSE)</f>
        <v>50</v>
      </c>
      <c r="N136" s="12">
        <v>57</v>
      </c>
      <c r="O136" s="89">
        <f>VLOOKUP($B136&amp;"__wt",'SegEnds_Xtal_BW#'!$A:$Z,15,FALSE)</f>
        <v>38</v>
      </c>
      <c r="P136" s="1">
        <f>VLOOKUP($B136&amp;"__wt",'SegEnds_Xtal_BW#'!$A:$Z,16,FALSE)</f>
        <v>64</v>
      </c>
      <c r="Q136" s="1">
        <f>VLOOKUP($B136&amp;"__wt",'SegEnds_Xtal_BW#'!$A:$Z,17,FALSE)</f>
        <v>50</v>
      </c>
      <c r="R136" s="1">
        <f>VLOOKUP($B136&amp;"__wt",'SegEnds_Xtal_BW#'!$A:$Z,18,FALSE)</f>
        <v>52</v>
      </c>
      <c r="S136" s="1">
        <f>VLOOKUP($B136&amp;"__wt",'SegEnds_Xtal_BW#'!$A:$Z,19,FALSE)</f>
        <v>31</v>
      </c>
      <c r="T136" s="1">
        <f t="array" ref="T136">INDEX('ICL3'!$G$2:$G$40,MATCH(MIN(ABS(AH136-'ICL3'!$F$2:$F$40)),ABS(AH136-'ICL3'!$F$2:$F$40),0))</f>
        <v>68</v>
      </c>
      <c r="U136" s="1">
        <f t="array" ref="U136">INDEX('ICL3'!$H$2:$H$40,MATCH(MIN(ABS(AH136-'ICL3'!$F$2:$F$40)),ABS(AH136-'ICL3'!$F$2:$F$40),0))</f>
        <v>24</v>
      </c>
      <c r="V136" s="1">
        <v>61</v>
      </c>
      <c r="W136" s="1">
        <v>28</v>
      </c>
      <c r="X136" s="1">
        <f>VLOOKUP($B136&amp;"__wt",'SegEnds_Xtal_BW#'!$A:$Z,24,FALSE)</f>
        <v>56</v>
      </c>
      <c r="Y136" s="1">
        <f>VLOOKUP($B136&amp;"__wt",'SegEnds_Xtal_BW#'!$A:$Z,25,FALSE)</f>
        <v>47</v>
      </c>
      <c r="Z136" s="1">
        <f>VLOOKUP($B136&amp;"__wt",'SegEnds_Xtal_BW#'!$A:$Z,26,FALSE)</f>
        <v>60</v>
      </c>
      <c r="AA136" s="27" t="str">
        <f>VLOOKUP(A136,Classification!A:B,2,FALSE)</f>
        <v>A</v>
      </c>
      <c r="AB136" s="1">
        <f>VLOOKUP(A136,'SegEnds_NonXtal_Prot#'!A:AL,10,FALSE)-VLOOKUP(A136,'SegEnds_NonXtal_Prot#'!A:AL,7,FALSE)</f>
        <v>15</v>
      </c>
      <c r="AC136" s="1">
        <f>VLOOKUP(A136,'SegEnds_NonXtal_Prot#'!A:AL,13,FALSE)-VLOOKUP(A136,'SegEnds_NonXtal_Prot#'!A:AL,10,FALSE)</f>
        <v>20</v>
      </c>
      <c r="AD136" s="1">
        <f>VLOOKUP(A136,'SegEnds_NonXtal_Prot#'!A:AL,16,FALSE)-VLOOKUP(A136,'SegEnds_NonXtal_Prot#'!A:AL,10,FALSE)</f>
        <v>52</v>
      </c>
      <c r="AE136" s="1">
        <f>VLOOKUP(A136,'SegEnds_NonXtal_Prot#'!A:AL,22,FALSE)-VLOOKUP(A136,'SegEnds_NonXtal_Prot#'!A:AL,19,FALSE)</f>
        <v>20</v>
      </c>
      <c r="AF136" s="1">
        <f>VLOOKUP(A136,'SegEnds_NonXtal_Prot#'!A:AL,28,FALSE)-VLOOKUP(A136,'SegEnds_NonXtal_Prot#'!A:AL,25,FALSE)</f>
        <v>27</v>
      </c>
      <c r="AG136" s="1">
        <f>VLOOKUP(A136,'SegEnds_NonXtal_Prot#'!A:AL,28,FALSE)-VLOOKUP(A136,'SegEnds_NonXtal_Prot#'!A:AL,22,FALSE)</f>
        <v>50</v>
      </c>
      <c r="AH136" s="1">
        <f>VLOOKUP(A136,'SegEnds_NonXtal_Prot#'!A:AL,31,FALSE)-VLOOKUP(A136,'SegEnds_NonXtal_Prot#'!A:AL,28,FALSE)</f>
        <v>48</v>
      </c>
      <c r="AI136" s="1">
        <f>VLOOKUP(A136,'SegEnds_NonXtal_Prot#'!A:AL,34,FALSE)-VLOOKUP(A136,'SegEnds_NonXtal_Prot#'!A:AL,31,FALSE)</f>
        <v>42</v>
      </c>
      <c r="AJ136" s="1" t="str">
        <f>IF(ISERROR(MATCH(A136,'SegEnds_Xtal_Prot#'!B:B, 0)), "NoXtal", "Xtal")</f>
        <v>NoXtal</v>
      </c>
    </row>
    <row r="137" spans="1:36" x14ac:dyDescent="0.2">
      <c r="A137" s="1" t="s">
        <v>251</v>
      </c>
      <c r="B137" s="1" t="str">
        <f>VLOOKUP(A137,Xtal_Templ!A:B,2,FALSE)</f>
        <v>oprk_human</v>
      </c>
      <c r="C137" s="5">
        <f>VLOOKUP($B137&amp;"__wt",'SegEnds_Xtal_BW#'!$A:$Z,3,FALSE)</f>
        <v>30</v>
      </c>
      <c r="D137" s="1">
        <f>VLOOKUP($B137&amp;"__wt",'SegEnds_Xtal_BW#'!$A:$Z,4,FALSE)</f>
        <v>60</v>
      </c>
      <c r="E137" s="1">
        <f>VLOOKUP($B137&amp;"__wt",'SegEnds_Xtal_BW#'!$A:$Z,5,FALSE)</f>
        <v>48</v>
      </c>
      <c r="F137" s="1">
        <f>VLOOKUP($B137&amp;"__wt",'SegEnds_Xtal_BW#'!$A:$Z,6,FALSE)</f>
        <v>51</v>
      </c>
      <c r="G137" s="1">
        <v>37</v>
      </c>
      <c r="H137" s="12">
        <v>66</v>
      </c>
      <c r="I137" s="1">
        <f>VLOOKUP($B137&amp;"__wt",'SegEnds_Xtal_BW#'!$A:$Z,9,FALSE)</f>
        <v>49</v>
      </c>
      <c r="J137" s="1">
        <f>VLOOKUP($B137&amp;"__wt",'SegEnds_Xtal_BW#'!$A:$Z,10,FALSE)</f>
        <v>52</v>
      </c>
      <c r="K137" s="12">
        <v>21</v>
      </c>
      <c r="L137" s="1">
        <f>VLOOKUP($B137&amp;"__wt",'SegEnds_Xtal_BW#'!$A:$Z,12,FALSE)</f>
        <v>56</v>
      </c>
      <c r="M137" s="1">
        <f>VLOOKUP($B137&amp;"__wt",'SegEnds_Xtal_BW#'!$A:$Z,13,FALSE)</f>
        <v>50</v>
      </c>
      <c r="N137" s="12">
        <v>57</v>
      </c>
      <c r="O137" s="89">
        <v>38</v>
      </c>
      <c r="P137" s="1">
        <f>VLOOKUP($B137&amp;"__wt",'SegEnds_Xtal_BW#'!$A:$Z,16,FALSE)</f>
        <v>64</v>
      </c>
      <c r="Q137" s="1">
        <f>VLOOKUP($B137&amp;"__wt",'SegEnds_Xtal_BW#'!$A:$Z,17,FALSE)</f>
        <v>50</v>
      </c>
      <c r="R137" s="1">
        <f>VLOOKUP($B137&amp;"__wt",'SegEnds_Xtal_BW#'!$A:$Z,18,FALSE)</f>
        <v>52</v>
      </c>
      <c r="S137" s="1">
        <f>VLOOKUP($B137&amp;"__wt",'SegEnds_Xtal_BW#'!$A:$Z,19,FALSE)</f>
        <v>31</v>
      </c>
      <c r="T137" s="1">
        <f t="array" ref="T137">INDEX('ICL3'!$G$2:$G$40,MATCH(MIN(ABS(AH137-'ICL3'!$F$2:$F$40)),ABS(AH137-'ICL3'!$F$2:$F$40),0))</f>
        <v>68</v>
      </c>
      <c r="U137" s="1">
        <f t="array" ref="U137">INDEX('ICL3'!$H$2:$H$40,MATCH(MIN(ABS(AH137-'ICL3'!$F$2:$F$40)),ABS(AH137-'ICL3'!$F$2:$F$40),0))</f>
        <v>30</v>
      </c>
      <c r="V137" s="1">
        <v>61</v>
      </c>
      <c r="W137" s="1">
        <v>28</v>
      </c>
      <c r="X137" s="1">
        <f>VLOOKUP($B137&amp;"__wt",'SegEnds_Xtal_BW#'!$A:$Z,24,FALSE)</f>
        <v>56</v>
      </c>
      <c r="Y137" s="1">
        <f>VLOOKUP($B137&amp;"__wt",'SegEnds_Xtal_BW#'!$A:$Z,25,FALSE)</f>
        <v>47</v>
      </c>
      <c r="Z137" s="1">
        <f>VLOOKUP($B137&amp;"__wt",'SegEnds_Xtal_BW#'!$A:$Z,26,FALSE)</f>
        <v>59</v>
      </c>
      <c r="AA137" s="27" t="str">
        <f>VLOOKUP(A137,Classification!A:B,2,FALSE)</f>
        <v>A</v>
      </c>
      <c r="AB137" s="1" t="e">
        <f>VLOOKUP(A137,'SegEnds_NonXtal_Prot#'!A:AL,10,FALSE)-VLOOKUP(A137,'SegEnds_NonXtal_Prot#'!A:AL,7,FALSE)</f>
        <v>#VALUE!</v>
      </c>
      <c r="AC137" s="1">
        <f>VLOOKUP(A137,'SegEnds_NonXtal_Prot#'!A:AL,13,FALSE)-VLOOKUP(A137,'SegEnds_NonXtal_Prot#'!A:AL,10,FALSE)</f>
        <v>19</v>
      </c>
      <c r="AD137" s="1">
        <f>VLOOKUP(A137,'SegEnds_NonXtal_Prot#'!A:AL,16,FALSE)-VLOOKUP(A137,'SegEnds_NonXtal_Prot#'!A:AL,10,FALSE)</f>
        <v>51</v>
      </c>
      <c r="AE137" s="1">
        <f>VLOOKUP(A137,'SegEnds_NonXtal_Prot#'!A:AL,22,FALSE)-VLOOKUP(A137,'SegEnds_NonXtal_Prot#'!A:AL,19,FALSE)</f>
        <v>20</v>
      </c>
      <c r="AF137" s="1">
        <f>VLOOKUP(A137,'SegEnds_NonXtal_Prot#'!A:AL,28,FALSE)-VLOOKUP(A137,'SegEnds_NonXtal_Prot#'!A:AL,25,FALSE)</f>
        <v>37</v>
      </c>
      <c r="AG137" s="1">
        <f>VLOOKUP(A137,'SegEnds_NonXtal_Prot#'!A:AL,28,FALSE)-VLOOKUP(A137,'SegEnds_NonXtal_Prot#'!A:AL,22,FALSE)</f>
        <v>62</v>
      </c>
      <c r="AH137" s="1">
        <f>VLOOKUP(A137,'SegEnds_NonXtal_Prot#'!A:AL,31,FALSE)-VLOOKUP(A137,'SegEnds_NonXtal_Prot#'!A:AL,28,FALSE)</f>
        <v>43</v>
      </c>
      <c r="AI137" s="1">
        <f>VLOOKUP(A137,'SegEnds_NonXtal_Prot#'!A:AL,34,FALSE)-VLOOKUP(A137,'SegEnds_NonXtal_Prot#'!A:AL,31,FALSE)</f>
        <v>42</v>
      </c>
      <c r="AJ137" s="1" t="str">
        <f>IF(ISERROR(MATCH(A137,'SegEnds_Xtal_Prot#'!B:B, 0)), "NoXtal", "Xtal")</f>
        <v>NoXtal</v>
      </c>
    </row>
    <row r="138" spans="1:36" x14ac:dyDescent="0.2">
      <c r="A138" s="1" t="s">
        <v>252</v>
      </c>
      <c r="B138" s="1" t="str">
        <f>VLOOKUP(A138,Xtal_Templ!A:B,2,FALSE)</f>
        <v>agtr1_human</v>
      </c>
      <c r="C138" s="5">
        <f>VLOOKUP($B138&amp;"__wt",'SegEnds_Xtal_BW#'!$A:$Z,3,FALSE)</f>
        <v>30</v>
      </c>
      <c r="D138" s="1">
        <f>VLOOKUP($B138&amp;"__wt",'SegEnds_Xtal_BW#'!$A:$Z,4,FALSE)</f>
        <v>60</v>
      </c>
      <c r="E138" s="1">
        <f>VLOOKUP($B138&amp;"__wt",'SegEnds_Xtal_BW#'!$A:$Z,5,FALSE)</f>
        <v>48</v>
      </c>
      <c r="F138" s="1">
        <f>VLOOKUP($B138&amp;"__wt",'SegEnds_Xtal_BW#'!$A:$Z,6,FALSE)</f>
        <v>51</v>
      </c>
      <c r="G138" s="1">
        <v>37</v>
      </c>
      <c r="H138" s="12">
        <f>VLOOKUP($B138&amp;"__wt",'SegEnds_Xtal_BW#'!$A:$Z,8,FALSE)</f>
        <v>66</v>
      </c>
      <c r="I138" s="1">
        <f>VLOOKUP($B138&amp;"__wt",'SegEnds_Xtal_BW#'!$A:$Z,9,FALSE)</f>
        <v>49</v>
      </c>
      <c r="J138" s="1">
        <f>VLOOKUP($B138&amp;"__wt",'SegEnds_Xtal_BW#'!$A:$Z,10,FALSE)</f>
        <v>52</v>
      </c>
      <c r="K138" s="12">
        <v>18</v>
      </c>
      <c r="L138" s="1">
        <f>VLOOKUP($B138&amp;"__wt",'SegEnds_Xtal_BW#'!$A:$Z,12,FALSE)</f>
        <v>56</v>
      </c>
      <c r="M138" s="1">
        <f>VLOOKUP($B138&amp;"__wt",'SegEnds_Xtal_BW#'!$A:$Z,13,FALSE)</f>
        <v>50</v>
      </c>
      <c r="N138" s="12">
        <v>57</v>
      </c>
      <c r="O138" s="89">
        <v>38</v>
      </c>
      <c r="P138" s="1">
        <f>VLOOKUP($B138&amp;"__wt",'SegEnds_Xtal_BW#'!$A:$Z,16,FALSE)</f>
        <v>64</v>
      </c>
      <c r="Q138" s="1">
        <f>VLOOKUP($B138&amp;"__wt",'SegEnds_Xtal_BW#'!$A:$Z,17,FALSE)</f>
        <v>50</v>
      </c>
      <c r="R138" s="1">
        <f>VLOOKUP($B138&amp;"__wt",'SegEnds_Xtal_BW#'!$A:$Z,18,FALSE)</f>
        <v>52</v>
      </c>
      <c r="S138" s="1">
        <f>VLOOKUP($B138&amp;"__wt",'SegEnds_Xtal_BW#'!$A:$Z,19,FALSE)</f>
        <v>34</v>
      </c>
      <c r="T138" s="1">
        <f t="array" ref="T138">INDEX('ICL3'!$G$2:$G$40,MATCH(MIN(ABS(AH138-'ICL3'!$F$2:$F$40)),ABS(AH138-'ICL3'!$F$2:$F$40),0))</f>
        <v>68</v>
      </c>
      <c r="U138" s="1">
        <f t="array" ref="U138">INDEX('ICL3'!$H$2:$H$40,MATCH(MIN(ABS(AH138-'ICL3'!$F$2:$F$40)),ABS(AH138-'ICL3'!$F$2:$F$40),0))</f>
        <v>30</v>
      </c>
      <c r="V138" s="1">
        <v>61</v>
      </c>
      <c r="W138" s="1">
        <v>31</v>
      </c>
      <c r="X138" s="1">
        <f>VLOOKUP($B138&amp;"__wt",'SegEnds_Xtal_BW#'!$A:$Z,24,FALSE)</f>
        <v>56</v>
      </c>
      <c r="Y138" s="1">
        <f>VLOOKUP($B138&amp;"__wt",'SegEnds_Xtal_BW#'!$A:$Z,25,FALSE)</f>
        <v>47</v>
      </c>
      <c r="Z138" s="1">
        <f>VLOOKUP($B138&amp;"__wt",'SegEnds_Xtal_BW#'!$A:$Z,26,FALSE)</f>
        <v>61</v>
      </c>
      <c r="AA138" s="27" t="str">
        <f>VLOOKUP(A138,Classification!A:B,2,FALSE)</f>
        <v>A</v>
      </c>
      <c r="AB138" s="1" t="e">
        <f>VLOOKUP(A138,'SegEnds_NonXtal_Prot#'!A:AL,10,FALSE)-VLOOKUP(A138,'SegEnds_NonXtal_Prot#'!A:AL,7,FALSE)</f>
        <v>#VALUE!</v>
      </c>
      <c r="AC138" s="1">
        <f>VLOOKUP(A138,'SegEnds_NonXtal_Prot#'!A:AL,13,FALSE)-VLOOKUP(A138,'SegEnds_NonXtal_Prot#'!A:AL,10,FALSE)</f>
        <v>20</v>
      </c>
      <c r="AD138" s="1">
        <f>VLOOKUP(A138,'SegEnds_NonXtal_Prot#'!A:AL,16,FALSE)-VLOOKUP(A138,'SegEnds_NonXtal_Prot#'!A:AL,10,FALSE)</f>
        <v>52</v>
      </c>
      <c r="AE138" s="1">
        <f>VLOOKUP(A138,'SegEnds_NonXtal_Prot#'!A:AL,22,FALSE)-VLOOKUP(A138,'SegEnds_NonXtal_Prot#'!A:AL,19,FALSE)</f>
        <v>20</v>
      </c>
      <c r="AF138" s="1">
        <f>VLOOKUP(A138,'SegEnds_NonXtal_Prot#'!A:AL,28,FALSE)-VLOOKUP(A138,'SegEnds_NonXtal_Prot#'!A:AL,25,FALSE)</f>
        <v>38</v>
      </c>
      <c r="AG138" s="1">
        <f>VLOOKUP(A138,'SegEnds_NonXtal_Prot#'!A:AL,28,FALSE)-VLOOKUP(A138,'SegEnds_NonXtal_Prot#'!A:AL,22,FALSE)</f>
        <v>64</v>
      </c>
      <c r="AH138" s="1">
        <f>VLOOKUP(A138,'SegEnds_NonXtal_Prot#'!A:AL,31,FALSE)-VLOOKUP(A138,'SegEnds_NonXtal_Prot#'!A:AL,28,FALSE)</f>
        <v>43</v>
      </c>
      <c r="AI138" s="1">
        <f>VLOOKUP(A138,'SegEnds_NonXtal_Prot#'!A:AL,34,FALSE)-VLOOKUP(A138,'SegEnds_NonXtal_Prot#'!A:AL,31,FALSE)</f>
        <v>36</v>
      </c>
      <c r="AJ138" s="1" t="str">
        <f>IF(ISERROR(MATCH(A138,'SegEnds_Xtal_Prot#'!B:B, 0)), "NoXtal", "Xtal")</f>
        <v>NoXtal</v>
      </c>
    </row>
    <row r="139" spans="1:36" x14ac:dyDescent="0.2">
      <c r="A139" s="1" t="s">
        <v>253</v>
      </c>
      <c r="B139" s="1" t="str">
        <f>VLOOKUP(A139,Xtal_Templ!A:B,2,FALSE)</f>
        <v>par1_human</v>
      </c>
      <c r="C139" s="5">
        <f>VLOOKUP($B139&amp;"__wt",'SegEnds_Xtal_BW#'!$A:$Z,3,FALSE)</f>
        <v>29</v>
      </c>
      <c r="D139" s="1">
        <f>VLOOKUP($B139&amp;"__wt",'SegEnds_Xtal_BW#'!$A:$Z,4,FALSE)</f>
        <v>60</v>
      </c>
      <c r="E139" s="1">
        <f>VLOOKUP($B139&amp;"__wt",'SegEnds_Xtal_BW#'!$A:$Z,5,FALSE)</f>
        <v>48</v>
      </c>
      <c r="F139" s="1">
        <f>VLOOKUP($B139&amp;"__wt",'SegEnds_Xtal_BW#'!$A:$Z,6,FALSE)</f>
        <v>51</v>
      </c>
      <c r="G139" s="1">
        <v>37</v>
      </c>
      <c r="H139" s="12">
        <f>VLOOKUP($B139&amp;"__wt",'SegEnds_Xtal_BW#'!$A:$Z,8,FALSE)</f>
        <v>66</v>
      </c>
      <c r="I139" s="1">
        <f>VLOOKUP($B139&amp;"__wt",'SegEnds_Xtal_BW#'!$A:$Z,9,FALSE)</f>
        <v>49</v>
      </c>
      <c r="J139" s="1">
        <f>VLOOKUP($B139&amp;"__wt",'SegEnds_Xtal_BW#'!$A:$Z,10,FALSE)</f>
        <v>52</v>
      </c>
      <c r="K139" s="12">
        <v>18</v>
      </c>
      <c r="L139" s="1">
        <f>VLOOKUP($B139&amp;"__wt",'SegEnds_Xtal_BW#'!$A:$Z,12,FALSE)</f>
        <v>56</v>
      </c>
      <c r="M139" s="1">
        <f>VLOOKUP($B139&amp;"__wt",'SegEnds_Xtal_BW#'!$A:$Z,13,FALSE)</f>
        <v>50</v>
      </c>
      <c r="N139" s="12">
        <v>57</v>
      </c>
      <c r="O139" s="89">
        <f>VLOOKUP($B139&amp;"__wt",'SegEnds_Xtal_BW#'!$A:$Z,15,FALSE)</f>
        <v>38</v>
      </c>
      <c r="P139" s="1">
        <f>VLOOKUP($B139&amp;"__wt",'SegEnds_Xtal_BW#'!$A:$Z,16,FALSE)</f>
        <v>63</v>
      </c>
      <c r="Q139" s="1">
        <f>VLOOKUP($B139&amp;"__wt",'SegEnds_Xtal_BW#'!$A:$Z,17,FALSE)</f>
        <v>50</v>
      </c>
      <c r="R139" s="1">
        <f>VLOOKUP($B139&amp;"__wt",'SegEnds_Xtal_BW#'!$A:$Z,18,FALSE)</f>
        <v>52</v>
      </c>
      <c r="S139" s="1">
        <f>VLOOKUP($B139&amp;"__wt",'SegEnds_Xtal_BW#'!$A:$Z,19,FALSE)</f>
        <v>32</v>
      </c>
      <c r="T139" s="1">
        <f t="array" ref="T139">INDEX('ICL3'!$G$2:$G$40,MATCH(MIN(ABS(AH139-'ICL3'!$F$2:$F$40)),ABS(AH139-'ICL3'!$F$2:$F$40),0))</f>
        <v>68</v>
      </c>
      <c r="U139" s="1">
        <f t="array" ref="U139">INDEX('ICL3'!$H$2:$H$40,MATCH(MIN(ABS(AH139-'ICL3'!$F$2:$F$40)),ABS(AH139-'ICL3'!$F$2:$F$40),0))</f>
        <v>23</v>
      </c>
      <c r="V139" s="1">
        <v>61</v>
      </c>
      <c r="W139" s="1">
        <v>24</v>
      </c>
      <c r="X139" s="1">
        <f>VLOOKUP($B139&amp;"__wt",'SegEnds_Xtal_BW#'!$A:$Z,24,FALSE)</f>
        <v>56</v>
      </c>
      <c r="Y139" s="1">
        <f>VLOOKUP($B139&amp;"__wt",'SegEnds_Xtal_BW#'!$A:$Z,25,FALSE)</f>
        <v>47</v>
      </c>
      <c r="Z139" s="1">
        <f>VLOOKUP($B139&amp;"__wt",'SegEnds_Xtal_BW#'!$A:$Z,26,FALSE)</f>
        <v>61</v>
      </c>
      <c r="AA139" s="27" t="str">
        <f>VLOOKUP(A139,Classification!A:B,2,FALSE)</f>
        <v>A</v>
      </c>
      <c r="AB139" s="1" t="e">
        <f>VLOOKUP(A139,'SegEnds_NonXtal_Prot#'!A:AL,10,FALSE)-VLOOKUP(A139,'SegEnds_NonXtal_Prot#'!A:AL,7,FALSE)</f>
        <v>#VALUE!</v>
      </c>
      <c r="AC139" s="1">
        <f>VLOOKUP(A139,'SegEnds_NonXtal_Prot#'!A:AL,13,FALSE)-VLOOKUP(A139,'SegEnds_NonXtal_Prot#'!A:AL,10,FALSE)</f>
        <v>20</v>
      </c>
      <c r="AD139" s="1">
        <f>VLOOKUP(A139,'SegEnds_NonXtal_Prot#'!A:AL,16,FALSE)-VLOOKUP(A139,'SegEnds_NonXtal_Prot#'!A:AL,10,FALSE)</f>
        <v>52</v>
      </c>
      <c r="AE139" s="1">
        <f>VLOOKUP(A139,'SegEnds_NonXtal_Prot#'!A:AL,22,FALSE)-VLOOKUP(A139,'SegEnds_NonXtal_Prot#'!A:AL,19,FALSE)</f>
        <v>20</v>
      </c>
      <c r="AF139" s="1">
        <f>VLOOKUP(A139,'SegEnds_NonXtal_Prot#'!A:AL,28,FALSE)-VLOOKUP(A139,'SegEnds_NonXtal_Prot#'!A:AL,25,FALSE)</f>
        <v>26</v>
      </c>
      <c r="AG139" s="1">
        <f>VLOOKUP(A139,'SegEnds_NonXtal_Prot#'!A:AL,28,FALSE)-VLOOKUP(A139,'SegEnds_NonXtal_Prot#'!A:AL,22,FALSE)</f>
        <v>51</v>
      </c>
      <c r="AH139" s="1">
        <f>VLOOKUP(A139,'SegEnds_NonXtal_Prot#'!A:AL,31,FALSE)-VLOOKUP(A139,'SegEnds_NonXtal_Prot#'!A:AL,28,FALSE)</f>
        <v>51</v>
      </c>
      <c r="AI139" s="1">
        <f>VLOOKUP(A139,'SegEnds_NonXtal_Prot#'!A:AL,34,FALSE)-VLOOKUP(A139,'SegEnds_NonXtal_Prot#'!A:AL,31,FALSE)</f>
        <v>43</v>
      </c>
      <c r="AJ139" s="1" t="str">
        <f>IF(ISERROR(MATCH(A139,'SegEnds_Xtal_Prot#'!B:B, 0)), "NoXtal", "Xtal")</f>
        <v>NoXtal</v>
      </c>
    </row>
    <row r="140" spans="1:36" x14ac:dyDescent="0.2">
      <c r="A140" s="1" t="s">
        <v>254</v>
      </c>
      <c r="B140" s="1" t="str">
        <f>VLOOKUP(A140,Xtal_Templ!A:B,2,FALSE)</f>
        <v>ccr2_human</v>
      </c>
      <c r="C140" s="5">
        <f>VLOOKUP($B140&amp;"__wt",'SegEnds_Xtal_BW#'!$A:$Z,3,FALSE)</f>
        <v>27</v>
      </c>
      <c r="D140" s="1">
        <f>VLOOKUP($B140&amp;"__wt",'SegEnds_Xtal_BW#'!$A:$Z,4,FALSE)</f>
        <v>60</v>
      </c>
      <c r="E140" s="1">
        <f>VLOOKUP($B140&amp;"__wt",'SegEnds_Xtal_BW#'!$A:$Z,5,FALSE)</f>
        <v>48</v>
      </c>
      <c r="F140" s="1">
        <f>VLOOKUP($B140&amp;"__wt",'SegEnds_Xtal_BW#'!$A:$Z,6,FALSE)</f>
        <v>51</v>
      </c>
      <c r="G140" s="1">
        <v>37</v>
      </c>
      <c r="H140" s="12">
        <v>66</v>
      </c>
      <c r="I140" s="1">
        <f>VLOOKUP($B140&amp;"__wt",'SegEnds_Xtal_BW#'!$A:$Z,9,FALSE)</f>
        <v>49</v>
      </c>
      <c r="J140" s="1">
        <f>VLOOKUP($B140&amp;"__wt",'SegEnds_Xtal_BW#'!$A:$Z,10,FALSE)</f>
        <v>52</v>
      </c>
      <c r="K140" s="12">
        <v>24</v>
      </c>
      <c r="L140" s="1">
        <f>VLOOKUP($B140&amp;"__wt",'SegEnds_Xtal_BW#'!$A:$Z,12,FALSE)</f>
        <v>56</v>
      </c>
      <c r="M140" s="1">
        <f>VLOOKUP($B140&amp;"__wt",'SegEnds_Xtal_BW#'!$A:$Z,13,FALSE)</f>
        <v>50</v>
      </c>
      <c r="N140" s="12">
        <v>57</v>
      </c>
      <c r="O140" s="89">
        <v>38</v>
      </c>
      <c r="P140" s="1">
        <f>VLOOKUP($B140&amp;"__wt",'SegEnds_Xtal_BW#'!$A:$Z,16,FALSE)</f>
        <v>64</v>
      </c>
      <c r="Q140" s="1">
        <f>VLOOKUP($B140&amp;"__wt",'SegEnds_Xtal_BW#'!$A:$Z,17,FALSE)</f>
        <v>50</v>
      </c>
      <c r="R140" s="1">
        <f>VLOOKUP($B140&amp;"__wt",'SegEnds_Xtal_BW#'!$A:$Z,18,FALSE)</f>
        <v>52</v>
      </c>
      <c r="S140" s="1">
        <v>35</v>
      </c>
      <c r="T140" s="1">
        <f t="array" ref="T140">INDEX('ICL3'!$G$2:$G$40,MATCH(MIN(ABS(AH140-'ICL3'!$F$2:$F$40)),ABS(AH140-'ICL3'!$F$2:$F$40),0))</f>
        <v>68</v>
      </c>
      <c r="U140" s="1">
        <f t="array" ref="U140">INDEX('ICL3'!$H$2:$H$40,MATCH(MIN(ABS(AH140-'ICL3'!$F$2:$F$40)),ABS(AH140-'ICL3'!$F$2:$F$40),0))</f>
        <v>24</v>
      </c>
      <c r="V140" s="1">
        <v>61</v>
      </c>
      <c r="W140" s="1">
        <v>28</v>
      </c>
      <c r="X140" s="1">
        <f>VLOOKUP($B140&amp;"__wt",'SegEnds_Xtal_BW#'!$A:$Z,24,FALSE)</f>
        <v>56</v>
      </c>
      <c r="Y140" s="1">
        <f>VLOOKUP($B140&amp;"__wt",'SegEnds_Xtal_BW#'!$A:$Z,25,FALSE)</f>
        <v>47</v>
      </c>
      <c r="Z140" s="1">
        <f>VLOOKUP($B140&amp;"__wt",'SegEnds_Xtal_BW#'!$A:$Z,26,FALSE)</f>
        <v>58</v>
      </c>
      <c r="AA140" s="27" t="str">
        <f>VLOOKUP(A140,Classification!A:B,2,FALSE)</f>
        <v>A</v>
      </c>
      <c r="AB140" s="1">
        <f>VLOOKUP(A140,'SegEnds_NonXtal_Prot#'!A:AL,10,FALSE)-VLOOKUP(A140,'SegEnds_NonXtal_Prot#'!A:AL,7,FALSE)</f>
        <v>15</v>
      </c>
      <c r="AC140" s="1" t="e">
        <f>VLOOKUP(A140,'SegEnds_NonXtal_Prot#'!A:AL,13,FALSE)-VLOOKUP(A140,'SegEnds_NonXtal_Prot#'!A:AL,10,FALSE)</f>
        <v>#VALUE!</v>
      </c>
      <c r="AD140" s="1">
        <f>VLOOKUP(A140,'SegEnds_NonXtal_Prot#'!A:AL,16,FALSE)-VLOOKUP(A140,'SegEnds_NonXtal_Prot#'!A:AL,10,FALSE)</f>
        <v>48</v>
      </c>
      <c r="AE140" s="1">
        <f>VLOOKUP(A140,'SegEnds_NonXtal_Prot#'!A:AL,22,FALSE)-VLOOKUP(A140,'SegEnds_NonXtal_Prot#'!A:AL,19,FALSE)</f>
        <v>20</v>
      </c>
      <c r="AF140" s="1">
        <f>VLOOKUP(A140,'SegEnds_NonXtal_Prot#'!A:AL,28,FALSE)-VLOOKUP(A140,'SegEnds_NonXtal_Prot#'!A:AL,25,FALSE)</f>
        <v>21</v>
      </c>
      <c r="AG140" s="1">
        <f>VLOOKUP(A140,'SegEnds_NonXtal_Prot#'!A:AL,28,FALSE)-VLOOKUP(A140,'SegEnds_NonXtal_Prot#'!A:AL,22,FALSE)</f>
        <v>42</v>
      </c>
      <c r="AH140" s="1">
        <f>VLOOKUP(A140,'SegEnds_NonXtal_Prot#'!A:AL,31,FALSE)-VLOOKUP(A140,'SegEnds_NonXtal_Prot#'!A:AL,28,FALSE)</f>
        <v>49</v>
      </c>
      <c r="AI140" s="1">
        <f>VLOOKUP(A140,'SegEnds_NonXtal_Prot#'!A:AL,34,FALSE)-VLOOKUP(A140,'SegEnds_NonXtal_Prot#'!A:AL,31,FALSE)</f>
        <v>41</v>
      </c>
      <c r="AJ140" s="1" t="str">
        <f>IF(ISERROR(MATCH(A140,'SegEnds_Xtal_Prot#'!B:B, 0)), "NoXtal", "Xtal")</f>
        <v>NoXtal</v>
      </c>
    </row>
    <row r="141" spans="1:36" x14ac:dyDescent="0.2">
      <c r="A141" s="1" t="s">
        <v>255</v>
      </c>
      <c r="B141" s="1" t="str">
        <f>VLOOKUP(A141,Xtal_Templ!A:B,2,FALSE)</f>
        <v>ednrb_human</v>
      </c>
      <c r="C141" s="5">
        <f>VLOOKUP($B141&amp;"__wt",'SegEnds_Xtal_BW#'!$A:$Z,3,FALSE)</f>
        <v>22</v>
      </c>
      <c r="D141" s="1">
        <f>VLOOKUP($B141&amp;"__wt",'SegEnds_Xtal_BW#'!$A:$Z,4,FALSE)</f>
        <v>60</v>
      </c>
      <c r="E141" s="1">
        <f>VLOOKUP($B141&amp;"__wt",'SegEnds_Xtal_BW#'!$A:$Z,5,FALSE)</f>
        <v>48</v>
      </c>
      <c r="F141" s="1">
        <f>VLOOKUP($B141&amp;"__wt",'SegEnds_Xtal_BW#'!$A:$Z,6,FALSE)</f>
        <v>52</v>
      </c>
      <c r="G141" s="1">
        <v>37</v>
      </c>
      <c r="H141" s="12">
        <f>VLOOKUP($B141&amp;"__wt",'SegEnds_Xtal_BW#'!$A:$Z,8,FALSE)</f>
        <v>67</v>
      </c>
      <c r="I141" s="1">
        <f>VLOOKUP($B141&amp;"__wt",'SegEnds_Xtal_BW#'!$A:$Z,9,FALSE)</f>
        <v>49</v>
      </c>
      <c r="J141" s="1">
        <f>VLOOKUP($B141&amp;"__wt",'SegEnds_Xtal_BW#'!$A:$Z,10,FALSE)</f>
        <v>52</v>
      </c>
      <c r="K141" s="12">
        <v>18</v>
      </c>
      <c r="L141" s="1">
        <f>VLOOKUP($B141&amp;"__wt",'SegEnds_Xtal_BW#'!$A:$Z,12,FALSE)</f>
        <v>56</v>
      </c>
      <c r="M141" s="1">
        <f>VLOOKUP($B141&amp;"__wt",'SegEnds_Xtal_BW#'!$A:$Z,13,FALSE)</f>
        <v>50</v>
      </c>
      <c r="N141" s="12">
        <v>57</v>
      </c>
      <c r="O141" s="89">
        <v>38</v>
      </c>
      <c r="P141" s="1">
        <f>VLOOKUP($B141&amp;"__wt",'SegEnds_Xtal_BW#'!$A:$Z,16,FALSE)</f>
        <v>64</v>
      </c>
      <c r="Q141" s="1">
        <f>VLOOKUP($B141&amp;"__wt",'SegEnds_Xtal_BW#'!$A:$Z,17,FALSE)</f>
        <v>50</v>
      </c>
      <c r="R141" s="1">
        <f>VLOOKUP($B141&amp;"__wt",'SegEnds_Xtal_BW#'!$A:$Z,18,FALSE)</f>
        <v>52</v>
      </c>
      <c r="S141" s="1">
        <f>VLOOKUP($B141&amp;"__wt",'SegEnds_Xtal_BW#'!$A:$Z,19,FALSE)</f>
        <v>29</v>
      </c>
      <c r="T141" s="1">
        <f t="array" ref="T141">INDEX('ICL3'!$G$2:$G$40,MATCH(MIN(ABS(AH141-'ICL3'!$F$2:$F$40)),ABS(AH141-'ICL3'!$F$2:$F$40),0))</f>
        <v>72</v>
      </c>
      <c r="U141" s="1">
        <f t="array" ref="U141">INDEX('ICL3'!$H$2:$H$40,MATCH(MIN(ABS(AH141-'ICL3'!$F$2:$F$40)),ABS(AH141-'ICL3'!$F$2:$F$40),0))</f>
        <v>24</v>
      </c>
      <c r="V141" s="1">
        <v>61</v>
      </c>
      <c r="W141" s="1">
        <v>28</v>
      </c>
      <c r="X141" s="1">
        <f>VLOOKUP($B141&amp;"__wt",'SegEnds_Xtal_BW#'!$A:$Z,24,FALSE)</f>
        <v>56</v>
      </c>
      <c r="Y141" s="1">
        <f>VLOOKUP($B141&amp;"__wt",'SegEnds_Xtal_BW#'!$A:$Z,25,FALSE)</f>
        <v>47</v>
      </c>
      <c r="Z141" s="1">
        <f>VLOOKUP($B141&amp;"__wt",'SegEnds_Xtal_BW#'!$A:$Z,26,FALSE)</f>
        <v>60</v>
      </c>
      <c r="AA141" s="27" t="str">
        <f>VLOOKUP(A141,Classification!A:B,2,FALSE)</f>
        <v>A</v>
      </c>
      <c r="AB141" s="1">
        <f>VLOOKUP(A141,'SegEnds_NonXtal_Prot#'!A:AL,10,FALSE)-VLOOKUP(A141,'SegEnds_NonXtal_Prot#'!A:AL,7,FALSE)</f>
        <v>15</v>
      </c>
      <c r="AC141" s="1">
        <f>VLOOKUP(A141,'SegEnds_NonXtal_Prot#'!A:AL,13,FALSE)-VLOOKUP(A141,'SegEnds_NonXtal_Prot#'!A:AL,10,FALSE)</f>
        <v>20</v>
      </c>
      <c r="AD141" s="1">
        <f>VLOOKUP(A141,'SegEnds_NonXtal_Prot#'!A:AL,16,FALSE)-VLOOKUP(A141,'SegEnds_NonXtal_Prot#'!A:AL,10,FALSE)</f>
        <v>52</v>
      </c>
      <c r="AE141" s="1">
        <f>VLOOKUP(A141,'SegEnds_NonXtal_Prot#'!A:AL,22,FALSE)-VLOOKUP(A141,'SegEnds_NonXtal_Prot#'!A:AL,19,FALSE)</f>
        <v>20</v>
      </c>
      <c r="AF141" s="1">
        <f>VLOOKUP(A141,'SegEnds_NonXtal_Prot#'!A:AL,28,FALSE)-VLOOKUP(A141,'SegEnds_NonXtal_Prot#'!A:AL,25,FALSE)</f>
        <v>35</v>
      </c>
      <c r="AG141" s="1">
        <f>VLOOKUP(A141,'SegEnds_NonXtal_Prot#'!A:AL,28,FALSE)-VLOOKUP(A141,'SegEnds_NonXtal_Prot#'!A:AL,22,FALSE)</f>
        <v>67</v>
      </c>
      <c r="AH141" s="1">
        <f>VLOOKUP(A141,'SegEnds_NonXtal_Prot#'!A:AL,31,FALSE)-VLOOKUP(A141,'SegEnds_NonXtal_Prot#'!A:AL,28,FALSE)</f>
        <v>53</v>
      </c>
      <c r="AI141" s="1">
        <f>VLOOKUP(A141,'SegEnds_NonXtal_Prot#'!A:AL,34,FALSE)-VLOOKUP(A141,'SegEnds_NonXtal_Prot#'!A:AL,31,FALSE)</f>
        <v>39</v>
      </c>
      <c r="AJ141" s="1" t="str">
        <f>IF(ISERROR(MATCH(A141,'SegEnds_Xtal_Prot#'!B:B, 0)), "NoXtal", "Xtal")</f>
        <v>NoXtal</v>
      </c>
    </row>
    <row r="142" spans="1:36" x14ac:dyDescent="0.2">
      <c r="A142" s="1" t="s">
        <v>256</v>
      </c>
      <c r="B142" s="1" t="str">
        <f>VLOOKUP(A142,Xtal_Templ!A:B,2,FALSE)</f>
        <v>ntr1_rat</v>
      </c>
      <c r="C142" s="5">
        <f>VLOOKUP($B142&amp;"__wt",'SegEnds_Xtal_BW#'!$A:$Z,3,FALSE)</f>
        <v>29</v>
      </c>
      <c r="D142" s="1">
        <f>VLOOKUP($B142&amp;"__wt",'SegEnds_Xtal_BW#'!$A:$Z,4,FALSE)</f>
        <v>60</v>
      </c>
      <c r="E142" s="1">
        <f>VLOOKUP($B142&amp;"__wt",'SegEnds_Xtal_BW#'!$A:$Z,5,FALSE)</f>
        <v>48</v>
      </c>
      <c r="F142" s="1">
        <f>VLOOKUP($B142&amp;"__wt",'SegEnds_Xtal_BW#'!$A:$Z,6,FALSE)</f>
        <v>51</v>
      </c>
      <c r="G142" s="1">
        <v>37</v>
      </c>
      <c r="H142" s="12">
        <f>VLOOKUP($B142&amp;"__wt",'SegEnds_Xtal_BW#'!$A:$Z,8,FALSE)</f>
        <v>68</v>
      </c>
      <c r="I142" s="1">
        <f>VLOOKUP($B142&amp;"__wt",'SegEnds_Xtal_BW#'!$A:$Z,9,FALSE)</f>
        <v>49</v>
      </c>
      <c r="J142" s="1">
        <f>VLOOKUP($B142&amp;"__wt",'SegEnds_Xtal_BW#'!$A:$Z,10,FALSE)</f>
        <v>52</v>
      </c>
      <c r="K142" s="12">
        <v>18</v>
      </c>
      <c r="L142" s="1">
        <f>VLOOKUP($B142&amp;"__wt",'SegEnds_Xtal_BW#'!$A:$Z,12,FALSE)</f>
        <v>56</v>
      </c>
      <c r="M142" s="1">
        <f>VLOOKUP($B142&amp;"__wt",'SegEnds_Xtal_BW#'!$A:$Z,13,FALSE)</f>
        <v>50</v>
      </c>
      <c r="N142" s="12">
        <v>57</v>
      </c>
      <c r="O142" s="89">
        <f>VLOOKUP($B142&amp;"__wt",'SegEnds_Xtal_BW#'!$A:$Z,15,FALSE)</f>
        <v>38</v>
      </c>
      <c r="P142" s="1">
        <f>VLOOKUP($B142&amp;"__wt",'SegEnds_Xtal_BW#'!$A:$Z,16,FALSE)</f>
        <v>64</v>
      </c>
      <c r="Q142" s="1">
        <f>VLOOKUP($B142&amp;"__wt",'SegEnds_Xtal_BW#'!$A:$Z,17,FALSE)</f>
        <v>50</v>
      </c>
      <c r="R142" s="1">
        <f>VLOOKUP($B142&amp;"__wt",'SegEnds_Xtal_BW#'!$A:$Z,18,FALSE)</f>
        <v>52</v>
      </c>
      <c r="S142" s="1">
        <v>35</v>
      </c>
      <c r="T142" s="1">
        <f t="array" ref="T142">INDEX('ICL3'!$G$2:$G$40,MATCH(MIN(ABS(AH142-'ICL3'!$F$2:$F$40)),ABS(AH142-'ICL3'!$F$2:$F$40),0))</f>
        <v>76</v>
      </c>
      <c r="U142" s="1">
        <f t="array" ref="U142">INDEX('ICL3'!$H$2:$H$40,MATCH(MIN(ABS(AH142-'ICL3'!$F$2:$F$40)),ABS(AH142-'ICL3'!$F$2:$F$40),0))</f>
        <v>24</v>
      </c>
      <c r="V142" s="1">
        <v>61</v>
      </c>
      <c r="W142" s="1">
        <v>24</v>
      </c>
      <c r="X142" s="1">
        <f>VLOOKUP($B142&amp;"__wt",'SegEnds_Xtal_BW#'!$A:$Z,24,FALSE)</f>
        <v>56</v>
      </c>
      <c r="Y142" s="1">
        <f>VLOOKUP($B142&amp;"__wt",'SegEnds_Xtal_BW#'!$A:$Z,25,FALSE)</f>
        <v>47</v>
      </c>
      <c r="Z142" s="1">
        <f>VLOOKUP($B142&amp;"__wt",'SegEnds_Xtal_BW#'!$A:$Z,26,FALSE)</f>
        <v>58</v>
      </c>
      <c r="AA142" s="27" t="str">
        <f>VLOOKUP(A142,Classification!A:B,2,FALSE)</f>
        <v>A</v>
      </c>
      <c r="AB142" s="1" t="e">
        <f>VLOOKUP(A142,'SegEnds_NonXtal_Prot#'!A:AL,10,FALSE)-VLOOKUP(A142,'SegEnds_NonXtal_Prot#'!A:AL,7,FALSE)</f>
        <v>#VALUE!</v>
      </c>
      <c r="AC142" s="1" t="e">
        <f>VLOOKUP(A142,'SegEnds_NonXtal_Prot#'!A:AL,13,FALSE)-VLOOKUP(A142,'SegEnds_NonXtal_Prot#'!A:AL,10,FALSE)</f>
        <v>#VALUE!</v>
      </c>
      <c r="AD142" s="1">
        <f>VLOOKUP(A142,'SegEnds_NonXtal_Prot#'!A:AL,16,FALSE)-VLOOKUP(A142,'SegEnds_NonXtal_Prot#'!A:AL,10,FALSE)</f>
        <v>54</v>
      </c>
      <c r="AE142" s="1">
        <f>VLOOKUP(A142,'SegEnds_NonXtal_Prot#'!A:AL,22,FALSE)-VLOOKUP(A142,'SegEnds_NonXtal_Prot#'!A:AL,19,FALSE)</f>
        <v>20</v>
      </c>
      <c r="AF142" s="1">
        <f>VLOOKUP(A142,'SegEnds_NonXtal_Prot#'!A:AL,28,FALSE)-VLOOKUP(A142,'SegEnds_NonXtal_Prot#'!A:AL,25,FALSE)</f>
        <v>21</v>
      </c>
      <c r="AG142" s="1">
        <f>VLOOKUP(A142,'SegEnds_NonXtal_Prot#'!A:AL,28,FALSE)-VLOOKUP(A142,'SegEnds_NonXtal_Prot#'!A:AL,22,FALSE)</f>
        <v>71</v>
      </c>
      <c r="AH142" s="1">
        <f>VLOOKUP(A142,'SegEnds_NonXtal_Prot#'!A:AL,31,FALSE)-VLOOKUP(A142,'SegEnds_NonXtal_Prot#'!A:AL,28,FALSE)</f>
        <v>67</v>
      </c>
      <c r="AI142" s="1">
        <f>VLOOKUP(A142,'SegEnds_NonXtal_Prot#'!A:AL,34,FALSE)-VLOOKUP(A142,'SegEnds_NonXtal_Prot#'!A:AL,31,FALSE)</f>
        <v>43</v>
      </c>
      <c r="AJ142" s="1" t="str">
        <f>IF(ISERROR(MATCH(A142,'SegEnds_Xtal_Prot#'!B:B, 0)), "NoXtal", "Xtal")</f>
        <v>NoXtal</v>
      </c>
    </row>
    <row r="143" spans="1:36" x14ac:dyDescent="0.2">
      <c r="A143" s="1" t="s">
        <v>257</v>
      </c>
      <c r="B143" s="1" t="str">
        <f>VLOOKUP(A143,Xtal_Templ!A:B,2,FALSE)</f>
        <v>par2_human</v>
      </c>
      <c r="C143" s="5">
        <f>VLOOKUP($B143&amp;"__wt",'SegEnds_Xtal_BW#'!$A:$Z,3,FALSE)</f>
        <v>28</v>
      </c>
      <c r="D143" s="1">
        <f>VLOOKUP($B143&amp;"__wt",'SegEnds_Xtal_BW#'!$A:$Z,4,FALSE)</f>
        <v>60</v>
      </c>
      <c r="E143" s="1" t="str">
        <f>VLOOKUP($B143&amp;"__wt",'SegEnds_Xtal_BW#'!$A:$Z,5,FALSE)</f>
        <v>-</v>
      </c>
      <c r="F143" s="1" t="str">
        <f>VLOOKUP($B143&amp;"__wt",'SegEnds_Xtal_BW#'!$A:$Z,6,FALSE)</f>
        <v>-</v>
      </c>
      <c r="G143" s="1">
        <v>37</v>
      </c>
      <c r="H143" s="12">
        <f>VLOOKUP($B143&amp;"__wt",'SegEnds_Xtal_BW#'!$A:$Z,8,FALSE)</f>
        <v>66</v>
      </c>
      <c r="I143" s="1">
        <f>VLOOKUP($B143&amp;"__wt",'SegEnds_Xtal_BW#'!$A:$Z,9,FALSE)</f>
        <v>47</v>
      </c>
      <c r="J143" s="1">
        <f>VLOOKUP($B143&amp;"__wt",'SegEnds_Xtal_BW#'!$A:$Z,10,FALSE)</f>
        <v>52</v>
      </c>
      <c r="K143" s="12">
        <v>18</v>
      </c>
      <c r="L143" s="1">
        <f>VLOOKUP($B143&amp;"__wt",'SegEnds_Xtal_BW#'!$A:$Z,12,FALSE)</f>
        <v>56</v>
      </c>
      <c r="M143" s="1">
        <f>VLOOKUP($B143&amp;"__wt",'SegEnds_Xtal_BW#'!$A:$Z,13,FALSE)</f>
        <v>50</v>
      </c>
      <c r="N143" s="12">
        <v>57</v>
      </c>
      <c r="O143" s="89">
        <f>VLOOKUP($B143&amp;"__wt",'SegEnds_Xtal_BW#'!$A:$Z,15,FALSE)</f>
        <v>38</v>
      </c>
      <c r="P143" s="1">
        <f>VLOOKUP($B143&amp;"__wt",'SegEnds_Xtal_BW#'!$A:$Z,16,FALSE)</f>
        <v>62</v>
      </c>
      <c r="Q143" s="1">
        <f>VLOOKUP($B143&amp;"__wt",'SegEnds_Xtal_BW#'!$A:$Z,17,FALSE)</f>
        <v>50</v>
      </c>
      <c r="R143" s="1">
        <f>VLOOKUP($B143&amp;"__wt",'SegEnds_Xtal_BW#'!$A:$Z,18,FALSE)</f>
        <v>52</v>
      </c>
      <c r="S143" s="1">
        <f>VLOOKUP($B143&amp;"__wt",'SegEnds_Xtal_BW#'!$A:$Z,19,FALSE)</f>
        <v>31</v>
      </c>
      <c r="T143" s="1">
        <f t="array" ref="T143">INDEX('ICL3'!$G$2:$G$40,MATCH(MIN(ABS(AH143-'ICL3'!$F$2:$F$40)),ABS(AH143-'ICL3'!$F$2:$F$40),0))</f>
        <v>67</v>
      </c>
      <c r="U143" s="1">
        <f t="array" ref="U143">INDEX('ICL3'!$H$2:$H$40,MATCH(MIN(ABS(AH143-'ICL3'!$F$2:$F$40)),ABS(AH143-'ICL3'!$F$2:$F$40),0))</f>
        <v>26</v>
      </c>
      <c r="V143" s="1">
        <v>64</v>
      </c>
      <c r="W143" s="1">
        <v>24</v>
      </c>
      <c r="X143" s="1">
        <f>VLOOKUP($B143&amp;"__wt",'SegEnds_Xtal_BW#'!$A:$Z,24,FALSE)</f>
        <v>56</v>
      </c>
      <c r="Y143" s="1">
        <f>VLOOKUP($B143&amp;"__wt",'SegEnds_Xtal_BW#'!$A:$Z,25,FALSE)</f>
        <v>47</v>
      </c>
      <c r="Z143" s="1">
        <f>VLOOKUP($B143&amp;"__wt",'SegEnds_Xtal_BW#'!$A:$Z,26,FALSE)</f>
        <v>61</v>
      </c>
      <c r="AA143" s="27" t="str">
        <f>VLOOKUP(A143,Classification!A:B,2,FALSE)</f>
        <v>A</v>
      </c>
      <c r="AB143" s="1" t="e">
        <f>VLOOKUP(A143,'SegEnds_NonXtal_Prot#'!A:AL,10,FALSE)-VLOOKUP(A143,'SegEnds_NonXtal_Prot#'!A:AL,7,FALSE)</f>
        <v>#VALUE!</v>
      </c>
      <c r="AC143" s="1">
        <f>VLOOKUP(A143,'SegEnds_NonXtal_Prot#'!A:AL,13,FALSE)-VLOOKUP(A143,'SegEnds_NonXtal_Prot#'!A:AL,10,FALSE)</f>
        <v>20</v>
      </c>
      <c r="AD143" s="1">
        <f>VLOOKUP(A143,'SegEnds_NonXtal_Prot#'!A:AL,16,FALSE)-VLOOKUP(A143,'SegEnds_NonXtal_Prot#'!A:AL,10,FALSE)</f>
        <v>52</v>
      </c>
      <c r="AE143" s="1">
        <f>VLOOKUP(A143,'SegEnds_NonXtal_Prot#'!A:AL,22,FALSE)-VLOOKUP(A143,'SegEnds_NonXtal_Prot#'!A:AL,19,FALSE)</f>
        <v>20</v>
      </c>
      <c r="AF143" s="1">
        <f>VLOOKUP(A143,'SegEnds_NonXtal_Prot#'!A:AL,28,FALSE)-VLOOKUP(A143,'SegEnds_NonXtal_Prot#'!A:AL,25,FALSE)</f>
        <v>25</v>
      </c>
      <c r="AG143" s="1">
        <f>VLOOKUP(A143,'SegEnds_NonXtal_Prot#'!A:AL,28,FALSE)-VLOOKUP(A143,'SegEnds_NonXtal_Prot#'!A:AL,22,FALSE)</f>
        <v>51</v>
      </c>
      <c r="AH143" s="1">
        <f>VLOOKUP(A143,'SegEnds_NonXtal_Prot#'!A:AL,31,FALSE)-VLOOKUP(A143,'SegEnds_NonXtal_Prot#'!A:AL,28,FALSE)</f>
        <v>46</v>
      </c>
      <c r="AI143" s="1">
        <f>VLOOKUP(A143,'SegEnds_NonXtal_Prot#'!A:AL,34,FALSE)-VLOOKUP(A143,'SegEnds_NonXtal_Prot#'!A:AL,31,FALSE)</f>
        <v>44</v>
      </c>
      <c r="AJ143" s="1" t="str">
        <f>IF(ISERROR(MATCH(A143,'SegEnds_Xtal_Prot#'!B:B, 0)), "NoXtal", "Xtal")</f>
        <v>NoXtal</v>
      </c>
    </row>
    <row r="144" spans="1:36" x14ac:dyDescent="0.2">
      <c r="A144" s="1" t="s">
        <v>258</v>
      </c>
      <c r="B144" s="1" t="str">
        <f>VLOOKUP(A144,Xtal_Templ!A:B,2,FALSE)</f>
        <v>par1_human</v>
      </c>
      <c r="C144" s="5">
        <f>VLOOKUP($B144&amp;"__wt",'SegEnds_Xtal_BW#'!$A:$Z,3,FALSE)</f>
        <v>29</v>
      </c>
      <c r="D144" s="1">
        <f>VLOOKUP($B144&amp;"__wt",'SegEnds_Xtal_BW#'!$A:$Z,4,FALSE)</f>
        <v>60</v>
      </c>
      <c r="E144" s="1">
        <f>VLOOKUP($B144&amp;"__wt",'SegEnds_Xtal_BW#'!$A:$Z,5,FALSE)</f>
        <v>48</v>
      </c>
      <c r="F144" s="1">
        <f>VLOOKUP($B144&amp;"__wt",'SegEnds_Xtal_BW#'!$A:$Z,6,FALSE)</f>
        <v>51</v>
      </c>
      <c r="G144" s="1">
        <v>37</v>
      </c>
      <c r="H144" s="12">
        <f>VLOOKUP($B144&amp;"__wt",'SegEnds_Xtal_BW#'!$A:$Z,8,FALSE)</f>
        <v>66</v>
      </c>
      <c r="I144" s="1">
        <f>VLOOKUP($B144&amp;"__wt",'SegEnds_Xtal_BW#'!$A:$Z,9,FALSE)</f>
        <v>49</v>
      </c>
      <c r="J144" s="1">
        <f>VLOOKUP($B144&amp;"__wt",'SegEnds_Xtal_BW#'!$A:$Z,10,FALSE)</f>
        <v>52</v>
      </c>
      <c r="K144" s="12">
        <v>18</v>
      </c>
      <c r="L144" s="1">
        <f>VLOOKUP($B144&amp;"__wt",'SegEnds_Xtal_BW#'!$A:$Z,12,FALSE)</f>
        <v>56</v>
      </c>
      <c r="M144" s="1">
        <f>VLOOKUP($B144&amp;"__wt",'SegEnds_Xtal_BW#'!$A:$Z,13,FALSE)</f>
        <v>50</v>
      </c>
      <c r="N144" s="12">
        <v>57</v>
      </c>
      <c r="O144" s="89">
        <f>VLOOKUP($B144&amp;"__wt",'SegEnds_Xtal_BW#'!$A:$Z,15,FALSE)</f>
        <v>38</v>
      </c>
      <c r="P144" s="1">
        <f>VLOOKUP($B144&amp;"__wt",'SegEnds_Xtal_BW#'!$A:$Z,16,FALSE)</f>
        <v>63</v>
      </c>
      <c r="Q144" s="1">
        <f>VLOOKUP($B144&amp;"__wt",'SegEnds_Xtal_BW#'!$A:$Z,17,FALSE)</f>
        <v>50</v>
      </c>
      <c r="R144" s="1">
        <f>VLOOKUP($B144&amp;"__wt",'SegEnds_Xtal_BW#'!$A:$Z,18,FALSE)</f>
        <v>52</v>
      </c>
      <c r="S144" s="1">
        <f>VLOOKUP($B144&amp;"__wt",'SegEnds_Xtal_BW#'!$A:$Z,19,FALSE)</f>
        <v>32</v>
      </c>
      <c r="T144" s="1">
        <f t="array" ref="T144">INDEX('ICL3'!$G$2:$G$40,MATCH(MIN(ABS(AH144-'ICL3'!$F$2:$F$40)),ABS(AH144-'ICL3'!$F$2:$F$40),0))</f>
        <v>68</v>
      </c>
      <c r="U144" s="1">
        <f t="array" ref="U144">INDEX('ICL3'!$H$2:$H$40,MATCH(MIN(ABS(AH144-'ICL3'!$F$2:$F$40)),ABS(AH144-'ICL3'!$F$2:$F$40),0))</f>
        <v>28</v>
      </c>
      <c r="V144" s="1">
        <v>61</v>
      </c>
      <c r="W144" s="1">
        <v>33</v>
      </c>
      <c r="X144" s="1">
        <f>VLOOKUP($B144&amp;"__wt",'SegEnds_Xtal_BW#'!$A:$Z,24,FALSE)</f>
        <v>56</v>
      </c>
      <c r="Y144" s="1">
        <f>VLOOKUP($B144&amp;"__wt",'SegEnds_Xtal_BW#'!$A:$Z,25,FALSE)</f>
        <v>47</v>
      </c>
      <c r="Z144" s="1">
        <f>VLOOKUP($B144&amp;"__wt",'SegEnds_Xtal_BW#'!$A:$Z,26,FALSE)</f>
        <v>61</v>
      </c>
      <c r="AA144" s="27" t="str">
        <f>VLOOKUP(A144,Classification!A:B,2,FALSE)</f>
        <v>A</v>
      </c>
      <c r="AB144" s="1" t="e">
        <f>VLOOKUP(A144,'SegEnds_NonXtal_Prot#'!A:AL,10,FALSE)-VLOOKUP(A144,'SegEnds_NonXtal_Prot#'!A:AL,7,FALSE)</f>
        <v>#VALUE!</v>
      </c>
      <c r="AC144" s="1">
        <f>VLOOKUP(A144,'SegEnds_NonXtal_Prot#'!A:AL,13,FALSE)-VLOOKUP(A144,'SegEnds_NonXtal_Prot#'!A:AL,10,FALSE)</f>
        <v>20</v>
      </c>
      <c r="AD144" s="1">
        <f>VLOOKUP(A144,'SegEnds_NonXtal_Prot#'!A:AL,16,FALSE)-VLOOKUP(A144,'SegEnds_NonXtal_Prot#'!A:AL,10,FALSE)</f>
        <v>52</v>
      </c>
      <c r="AE144" s="1">
        <f>VLOOKUP(A144,'SegEnds_NonXtal_Prot#'!A:AL,22,FALSE)-VLOOKUP(A144,'SegEnds_NonXtal_Prot#'!A:AL,19,FALSE)</f>
        <v>20</v>
      </c>
      <c r="AF144" s="1">
        <f>VLOOKUP(A144,'SegEnds_NonXtal_Prot#'!A:AL,28,FALSE)-VLOOKUP(A144,'SegEnds_NonXtal_Prot#'!A:AL,25,FALSE)</f>
        <v>27</v>
      </c>
      <c r="AG144" s="1">
        <f>VLOOKUP(A144,'SegEnds_NonXtal_Prot#'!A:AL,28,FALSE)-VLOOKUP(A144,'SegEnds_NonXtal_Prot#'!A:AL,22,FALSE)</f>
        <v>56</v>
      </c>
      <c r="AH144" s="1">
        <f>VLOOKUP(A144,'SegEnds_NonXtal_Prot#'!A:AL,31,FALSE)-VLOOKUP(A144,'SegEnds_NonXtal_Prot#'!A:AL,28,FALSE)</f>
        <v>44</v>
      </c>
      <c r="AI144" s="1">
        <f>VLOOKUP(A144,'SegEnds_NonXtal_Prot#'!A:AL,34,FALSE)-VLOOKUP(A144,'SegEnds_NonXtal_Prot#'!A:AL,31,FALSE)</f>
        <v>33</v>
      </c>
      <c r="AJ144" s="1" t="str">
        <f>IF(ISERROR(MATCH(A144,'SegEnds_Xtal_Prot#'!B:B, 0)), "NoXtal", "Xtal")</f>
        <v>NoXtal</v>
      </c>
    </row>
    <row r="145" spans="1:36" x14ac:dyDescent="0.2">
      <c r="A145" s="1" t="s">
        <v>260</v>
      </c>
      <c r="B145" s="1" t="str">
        <f>VLOOKUP(A145,Xtal_Templ!A:B,2,FALSE)</f>
        <v>5ht2b_human</v>
      </c>
      <c r="C145" s="5">
        <f>VLOOKUP($B145&amp;"__wt",'SegEnds_Xtal_BW#'!$A:$Z,3,FALSE)</f>
        <v>32</v>
      </c>
      <c r="D145" s="1">
        <f>VLOOKUP($B145&amp;"__wt",'SegEnds_Xtal_BW#'!$A:$Z,4,FALSE)</f>
        <v>60</v>
      </c>
      <c r="E145" s="1">
        <f>VLOOKUP($B145&amp;"__wt",'SegEnds_Xtal_BW#'!$A:$Z,5,FALSE)</f>
        <v>48</v>
      </c>
      <c r="F145" s="1">
        <f>VLOOKUP($B145&amp;"__wt",'SegEnds_Xtal_BW#'!$A:$Z,6,FALSE)</f>
        <v>51</v>
      </c>
      <c r="G145" s="1">
        <v>37</v>
      </c>
      <c r="H145" s="111">
        <v>66</v>
      </c>
      <c r="I145" s="1">
        <f>VLOOKUP($B145&amp;"__wt",'SegEnds_Xtal_BW#'!$A:$Z,9,FALSE)</f>
        <v>49</v>
      </c>
      <c r="J145" s="1">
        <f>VLOOKUP($B145&amp;"__wt",'SegEnds_Xtal_BW#'!$A:$Z,10,FALSE)</f>
        <v>52</v>
      </c>
      <c r="K145" s="12">
        <v>18</v>
      </c>
      <c r="L145" s="1">
        <f>VLOOKUP($B145&amp;"__wt",'SegEnds_Xtal_BW#'!$A:$Z,12,FALSE)</f>
        <v>56</v>
      </c>
      <c r="M145" s="1">
        <f>VLOOKUP($B145&amp;"__wt",'SegEnds_Xtal_BW#'!$A:$Z,13,FALSE)</f>
        <v>50</v>
      </c>
      <c r="N145" s="12">
        <v>57</v>
      </c>
      <c r="O145" s="89">
        <v>38</v>
      </c>
      <c r="P145" s="1">
        <f>VLOOKUP($B145&amp;"__wt",'SegEnds_Xtal_BW#'!$A:$Z,16,FALSE)</f>
        <v>64</v>
      </c>
      <c r="Q145" s="1">
        <f>VLOOKUP($B145&amp;"__wt",'SegEnds_Xtal_BW#'!$A:$Z,17,FALSE)</f>
        <v>50</v>
      </c>
      <c r="R145" s="1">
        <f>VLOOKUP($B145&amp;"__wt",'SegEnds_Xtal_BW#'!$A:$Z,18,FALSE)</f>
        <v>52</v>
      </c>
      <c r="S145" s="1">
        <v>35</v>
      </c>
      <c r="T145" s="1">
        <f t="array" ref="T145">INDEX('ICL3'!$G$2:$G$40,MATCH(MIN(ABS(AH145-'ICL3'!$F$2:$F$40)),ABS(AH145-'ICL3'!$F$2:$F$40),0))</f>
        <v>74</v>
      </c>
      <c r="U145" s="1">
        <f t="array" ref="U145">INDEX('ICL3'!$H$2:$H$40,MATCH(MIN(ABS(AH145-'ICL3'!$F$2:$F$40)),ABS(AH145-'ICL3'!$F$2:$F$40),0))</f>
        <v>21</v>
      </c>
      <c r="V145" s="1">
        <v>61</v>
      </c>
      <c r="W145" s="1">
        <v>32</v>
      </c>
      <c r="X145" s="1">
        <f>VLOOKUP($B145&amp;"__wt",'SegEnds_Xtal_BW#'!$A:$Z,24,FALSE)</f>
        <v>56</v>
      </c>
      <c r="Y145" s="1">
        <f>VLOOKUP($B145&amp;"__wt",'SegEnds_Xtal_BW#'!$A:$Z,25,FALSE)</f>
        <v>47</v>
      </c>
      <c r="Z145" s="1">
        <f>VLOOKUP($B145&amp;"__wt",'SegEnds_Xtal_BW#'!$A:$Z,26,FALSE)</f>
        <v>58</v>
      </c>
      <c r="AA145" s="27" t="str">
        <f>VLOOKUP(A145,Classification!A:B,2,FALSE)</f>
        <v>A</v>
      </c>
      <c r="AB145" s="1">
        <f>VLOOKUP(A145,'SegEnds_NonXtal_Prot#'!A:AL,10,FALSE)-VLOOKUP(A145,'SegEnds_NonXtal_Prot#'!A:AL,7,FALSE)</f>
        <v>16</v>
      </c>
      <c r="AC145" s="1" t="e">
        <f>VLOOKUP(A145,'SegEnds_NonXtal_Prot#'!A:AL,13,FALSE)-VLOOKUP(A145,'SegEnds_NonXtal_Prot#'!A:AL,10,FALSE)</f>
        <v>#VALUE!</v>
      </c>
      <c r="AD145" s="1">
        <f>VLOOKUP(A145,'SegEnds_NonXtal_Prot#'!A:AL,16,FALSE)-VLOOKUP(A145,'SegEnds_NonXtal_Prot#'!A:AL,10,FALSE)</f>
        <v>52</v>
      </c>
      <c r="AE145" s="1">
        <f>VLOOKUP(A145,'SegEnds_NonXtal_Prot#'!A:AL,22,FALSE)-VLOOKUP(A145,'SegEnds_NonXtal_Prot#'!A:AL,19,FALSE)</f>
        <v>20</v>
      </c>
      <c r="AF145" s="1">
        <f>VLOOKUP(A145,'SegEnds_NonXtal_Prot#'!A:AL,28,FALSE)-VLOOKUP(A145,'SegEnds_NonXtal_Prot#'!A:AL,25,FALSE)</f>
        <v>21</v>
      </c>
      <c r="AG145" s="1">
        <f>VLOOKUP(A145,'SegEnds_NonXtal_Prot#'!A:AL,28,FALSE)-VLOOKUP(A145,'SegEnds_NonXtal_Prot#'!A:AL,22,FALSE)</f>
        <v>48</v>
      </c>
      <c r="AH145" s="1">
        <f>VLOOKUP(A145,'SegEnds_NonXtal_Prot#'!A:AL,31,FALSE)-VLOOKUP(A145,'SegEnds_NonXtal_Prot#'!A:AL,28,FALSE)</f>
        <v>66</v>
      </c>
      <c r="AI145" s="1">
        <f>VLOOKUP(A145,'SegEnds_NonXtal_Prot#'!A:AL,34,FALSE)-VLOOKUP(A145,'SegEnds_NonXtal_Prot#'!A:AL,31,FALSE)</f>
        <v>34</v>
      </c>
      <c r="AJ145" s="1" t="str">
        <f>IF(ISERROR(MATCH(A145,'SegEnds_Xtal_Prot#'!B:B, 0)), "NoXtal", "Xtal")</f>
        <v>NoXtal</v>
      </c>
    </row>
    <row r="146" spans="1:36" x14ac:dyDescent="0.2">
      <c r="A146" s="1" t="s">
        <v>261</v>
      </c>
      <c r="B146" s="1" t="str">
        <f>VLOOKUP(A146,Xtal_Templ!A:B,2,FALSE)</f>
        <v>oprk_human</v>
      </c>
      <c r="C146" s="5">
        <f>VLOOKUP($B146&amp;"__wt",'SegEnds_Xtal_BW#'!$A:$Z,3,FALSE)</f>
        <v>30</v>
      </c>
      <c r="D146" s="1">
        <f>VLOOKUP($B146&amp;"__wt",'SegEnds_Xtal_BW#'!$A:$Z,4,FALSE)</f>
        <v>60</v>
      </c>
      <c r="E146" s="1">
        <f>VLOOKUP($B146&amp;"__wt",'SegEnds_Xtal_BW#'!$A:$Z,5,FALSE)</f>
        <v>48</v>
      </c>
      <c r="F146" s="1">
        <f>VLOOKUP($B146&amp;"__wt",'SegEnds_Xtal_BW#'!$A:$Z,6,FALSE)</f>
        <v>51</v>
      </c>
      <c r="G146" s="1">
        <v>37</v>
      </c>
      <c r="H146" s="12">
        <v>66</v>
      </c>
      <c r="I146" s="1">
        <f>VLOOKUP($B146&amp;"__wt",'SegEnds_Xtal_BW#'!$A:$Z,9,FALSE)</f>
        <v>49</v>
      </c>
      <c r="J146" s="1">
        <f>VLOOKUP($B146&amp;"__wt",'SegEnds_Xtal_BW#'!$A:$Z,10,FALSE)</f>
        <v>52</v>
      </c>
      <c r="K146" s="12">
        <v>24</v>
      </c>
      <c r="L146" s="1">
        <f>VLOOKUP($B146&amp;"__wt",'SegEnds_Xtal_BW#'!$A:$Z,12,FALSE)</f>
        <v>56</v>
      </c>
      <c r="M146" s="1">
        <f>VLOOKUP($B146&amp;"__wt",'SegEnds_Xtal_BW#'!$A:$Z,13,FALSE)</f>
        <v>50</v>
      </c>
      <c r="N146" s="12">
        <v>57</v>
      </c>
      <c r="O146" s="89">
        <v>38</v>
      </c>
      <c r="P146" s="1">
        <f>VLOOKUP($B146&amp;"__wt",'SegEnds_Xtal_BW#'!$A:$Z,16,FALSE)</f>
        <v>64</v>
      </c>
      <c r="Q146" s="1">
        <f>VLOOKUP($B146&amp;"__wt",'SegEnds_Xtal_BW#'!$A:$Z,17,FALSE)</f>
        <v>50</v>
      </c>
      <c r="R146" s="1">
        <f>VLOOKUP($B146&amp;"__wt",'SegEnds_Xtal_BW#'!$A:$Z,18,FALSE)</f>
        <v>52</v>
      </c>
      <c r="S146" s="1">
        <f>VLOOKUP($B146&amp;"__wt",'SegEnds_Xtal_BW#'!$A:$Z,19,FALSE)</f>
        <v>31</v>
      </c>
      <c r="T146" s="1">
        <f t="array" ref="T146">INDEX('ICL3'!$G$2:$G$40,MATCH(MIN(ABS(AH146-'ICL3'!$F$2:$F$40)),ABS(AH146-'ICL3'!$F$2:$F$40),0))</f>
        <v>68</v>
      </c>
      <c r="U146" s="1">
        <f t="array" ref="U146">INDEX('ICL3'!$H$2:$H$40,MATCH(MIN(ABS(AH146-'ICL3'!$F$2:$F$40)),ABS(AH146-'ICL3'!$F$2:$F$40),0))</f>
        <v>24</v>
      </c>
      <c r="V146" s="1">
        <v>64</v>
      </c>
      <c r="W146" s="1">
        <v>24</v>
      </c>
      <c r="X146" s="1">
        <f>VLOOKUP($B146&amp;"__wt",'SegEnds_Xtal_BW#'!$A:$Z,24,FALSE)</f>
        <v>56</v>
      </c>
      <c r="Y146" s="1">
        <f>VLOOKUP($B146&amp;"__wt",'SegEnds_Xtal_BW#'!$A:$Z,25,FALSE)</f>
        <v>47</v>
      </c>
      <c r="Z146" s="1">
        <f>VLOOKUP($B146&amp;"__wt",'SegEnds_Xtal_BW#'!$A:$Z,26,FALSE)</f>
        <v>59</v>
      </c>
      <c r="AA146" s="27" t="str">
        <f>VLOOKUP(A146,Classification!A:B,2,FALSE)</f>
        <v>A</v>
      </c>
      <c r="AB146" s="1" t="e">
        <f>VLOOKUP(A146,'SegEnds_NonXtal_Prot#'!A:AL,10,FALSE)-VLOOKUP(A146,'SegEnds_NonXtal_Prot#'!A:AL,7,FALSE)</f>
        <v>#VALUE!</v>
      </c>
      <c r="AC146" s="1" t="e">
        <f>VLOOKUP(A146,'SegEnds_NonXtal_Prot#'!A:AL,13,FALSE)-VLOOKUP(A146,'SegEnds_NonXtal_Prot#'!A:AL,10,FALSE)</f>
        <v>#VALUE!</v>
      </c>
      <c r="AD146" s="1">
        <f>VLOOKUP(A146,'SegEnds_NonXtal_Prot#'!A:AL,16,FALSE)-VLOOKUP(A146,'SegEnds_NonXtal_Prot#'!A:AL,10,FALSE)</f>
        <v>49</v>
      </c>
      <c r="AE146" s="1">
        <f>VLOOKUP(A146,'SegEnds_NonXtal_Prot#'!A:AL,22,FALSE)-VLOOKUP(A146,'SegEnds_NonXtal_Prot#'!A:AL,19,FALSE)</f>
        <v>20</v>
      </c>
      <c r="AF146" s="1">
        <f>VLOOKUP(A146,'SegEnds_NonXtal_Prot#'!A:AL,28,FALSE)-VLOOKUP(A146,'SegEnds_NonXtal_Prot#'!A:AL,25,FALSE)</f>
        <v>25</v>
      </c>
      <c r="AG146" s="1">
        <f>VLOOKUP(A146,'SegEnds_NonXtal_Prot#'!A:AL,28,FALSE)-VLOOKUP(A146,'SegEnds_NonXtal_Prot#'!A:AL,22,FALSE)</f>
        <v>47</v>
      </c>
      <c r="AH146" s="1">
        <f>VLOOKUP(A146,'SegEnds_NonXtal_Prot#'!A:AL,31,FALSE)-VLOOKUP(A146,'SegEnds_NonXtal_Prot#'!A:AL,28,FALSE)</f>
        <v>48</v>
      </c>
      <c r="AI146" s="1">
        <f>VLOOKUP(A146,'SegEnds_NonXtal_Prot#'!A:AL,34,FALSE)-VLOOKUP(A146,'SegEnds_NonXtal_Prot#'!A:AL,31,FALSE)</f>
        <v>44</v>
      </c>
      <c r="AJ146" s="1" t="str">
        <f>IF(ISERROR(MATCH(A146,'SegEnds_Xtal_Prot#'!B:B, 0)), "NoXtal", "Xtal")</f>
        <v>NoXtal</v>
      </c>
    </row>
    <row r="147" spans="1:36" x14ac:dyDescent="0.2">
      <c r="A147" s="1" t="s">
        <v>262</v>
      </c>
      <c r="B147" s="1" t="str">
        <f>VLOOKUP(A147,Xtal_Templ!A:B,2,FALSE)</f>
        <v>s1pr1_human</v>
      </c>
      <c r="C147" s="5">
        <f>VLOOKUP($B147&amp;"__wt",'SegEnds_Xtal_BW#'!$A:$Z,3,FALSE)</f>
        <v>29</v>
      </c>
      <c r="D147" s="1">
        <f>VLOOKUP($B147&amp;"__wt",'SegEnds_Xtal_BW#'!$A:$Z,4,FALSE)</f>
        <v>60</v>
      </c>
      <c r="E147" s="1">
        <f>VLOOKUP($B147&amp;"__wt",'SegEnds_Xtal_BW#'!$A:$Z,5,FALSE)</f>
        <v>48</v>
      </c>
      <c r="F147" s="1">
        <f>VLOOKUP($B147&amp;"__wt",'SegEnds_Xtal_BW#'!$A:$Z,6,FALSE)</f>
        <v>51</v>
      </c>
      <c r="G147" s="1">
        <v>37</v>
      </c>
      <c r="H147" s="12">
        <v>62</v>
      </c>
      <c r="I147" s="1">
        <v>48</v>
      </c>
      <c r="J147" s="1">
        <v>52</v>
      </c>
      <c r="K147" s="12">
        <v>24</v>
      </c>
      <c r="L147" s="1">
        <f>VLOOKUP($B147&amp;"__wt",'SegEnds_Xtal_BW#'!$A:$Z,12,FALSE)</f>
        <v>56</v>
      </c>
      <c r="M147" s="1">
        <f>VLOOKUP($B147&amp;"__wt",'SegEnds_Xtal_BW#'!$A:$Z,13,FALSE)</f>
        <v>50</v>
      </c>
      <c r="N147" s="12">
        <v>57</v>
      </c>
      <c r="O147" s="89">
        <v>38</v>
      </c>
      <c r="P147" s="1">
        <f>VLOOKUP($B147&amp;"__wt",'SegEnds_Xtal_BW#'!$A:$Z,16,FALSE)</f>
        <v>63</v>
      </c>
      <c r="Q147" s="1" t="str">
        <f>VLOOKUP($B147&amp;"__wt",'SegEnds_Xtal_BW#'!$A:$Z,17,FALSE)</f>
        <v>-</v>
      </c>
      <c r="R147" s="1" t="str">
        <f>VLOOKUP($B147&amp;"__wt",'SegEnds_Xtal_BW#'!$A:$Z,18,FALSE)</f>
        <v>-</v>
      </c>
      <c r="S147" s="1">
        <f>VLOOKUP($B147&amp;"__wt",'SegEnds_Xtal_BW#'!$A:$Z,19,FALSE)</f>
        <v>36</v>
      </c>
      <c r="T147" s="1">
        <f t="array" ref="T147">INDEX('ICL3'!$G$2:$G$40,MATCH(MIN(ABS(AH147-'ICL3'!$F$2:$F$40)),ABS(AH147-'ICL3'!$F$2:$F$40),0))</f>
        <v>72</v>
      </c>
      <c r="U147" s="1">
        <f t="array" ref="U147">INDEX('ICL3'!$H$2:$H$40,MATCH(MIN(ABS(AH147-'ICL3'!$F$2:$F$40)),ABS(AH147-'ICL3'!$F$2:$F$40),0))</f>
        <v>24</v>
      </c>
      <c r="V147" s="1">
        <v>61</v>
      </c>
      <c r="W147" s="1">
        <v>34</v>
      </c>
      <c r="X147" s="1">
        <f>VLOOKUP($B147&amp;"__wt",'SegEnds_Xtal_BW#'!$A:$Z,24,FALSE)</f>
        <v>56</v>
      </c>
      <c r="Y147" s="1">
        <f>VLOOKUP($B147&amp;"__wt",'SegEnds_Xtal_BW#'!$A:$Z,25,FALSE)</f>
        <v>47</v>
      </c>
      <c r="Z147" s="1">
        <f>VLOOKUP($B147&amp;"__wt",'SegEnds_Xtal_BW#'!$A:$Z,26,FALSE)</f>
        <v>59</v>
      </c>
      <c r="AA147" s="27" t="str">
        <f>VLOOKUP(A147,Classification!A:B,2,FALSE)</f>
        <v>A</v>
      </c>
      <c r="AB147" s="1">
        <f>VLOOKUP(A147,'SegEnds_NonXtal_Prot#'!A:AL,10,FALSE)-VLOOKUP(A147,'SegEnds_NonXtal_Prot#'!A:AL,7,FALSE)</f>
        <v>15</v>
      </c>
      <c r="AC147" s="1">
        <f>VLOOKUP(A147,'SegEnds_NonXtal_Prot#'!A:AL,13,FALSE)-VLOOKUP(A147,'SegEnds_NonXtal_Prot#'!A:AL,10,FALSE)</f>
        <v>15</v>
      </c>
      <c r="AD147" s="1">
        <f>VLOOKUP(A147,'SegEnds_NonXtal_Prot#'!A:AL,16,FALSE)-VLOOKUP(A147,'SegEnds_NonXtal_Prot#'!A:AL,10,FALSE)</f>
        <v>48</v>
      </c>
      <c r="AE147" s="1">
        <f>VLOOKUP(A147,'SegEnds_NonXtal_Prot#'!A:AL,22,FALSE)-VLOOKUP(A147,'SegEnds_NonXtal_Prot#'!A:AL,19,FALSE)</f>
        <v>20</v>
      </c>
      <c r="AF147" s="1" t="e">
        <f>VLOOKUP(A147,'SegEnds_NonXtal_Prot#'!A:AL,28,FALSE)-VLOOKUP(A147,'SegEnds_NonXtal_Prot#'!A:AL,25,FALSE)</f>
        <v>#VALUE!</v>
      </c>
      <c r="AG147" s="1">
        <f>VLOOKUP(A147,'SegEnds_NonXtal_Prot#'!A:AL,28,FALSE)-VLOOKUP(A147,'SegEnds_NonXtal_Prot#'!A:AL,22,FALSE)</f>
        <v>44</v>
      </c>
      <c r="AH147" s="1">
        <f>VLOOKUP(A147,'SegEnds_NonXtal_Prot#'!A:AL,31,FALSE)-VLOOKUP(A147,'SegEnds_NonXtal_Prot#'!A:AL,28,FALSE)</f>
        <v>57</v>
      </c>
      <c r="AI147" s="1">
        <f>VLOOKUP(A147,'SegEnds_NonXtal_Prot#'!A:AL,34,FALSE)-VLOOKUP(A147,'SegEnds_NonXtal_Prot#'!A:AL,31,FALSE)</f>
        <v>32</v>
      </c>
      <c r="AJ147" s="1" t="str">
        <f>IF(ISERROR(MATCH(A147,'SegEnds_Xtal_Prot#'!B:B, 0)), "NoXtal", "Xtal")</f>
        <v>NoXtal</v>
      </c>
    </row>
    <row r="148" spans="1:36" x14ac:dyDescent="0.2">
      <c r="A148" s="1" t="s">
        <v>263</v>
      </c>
      <c r="B148" s="1" t="str">
        <f>VLOOKUP(A148,Xtal_Templ!A:B,2,FALSE)</f>
        <v>ox2r_human</v>
      </c>
      <c r="C148" s="5">
        <f>VLOOKUP($B148&amp;"__wt",'SegEnds_Xtal_BW#'!$A:$Z,3,FALSE)</f>
        <v>31</v>
      </c>
      <c r="D148" s="1">
        <f>VLOOKUP($B148&amp;"__wt",'SegEnds_Xtal_BW#'!$A:$Z,4,FALSE)</f>
        <v>60</v>
      </c>
      <c r="E148" s="1">
        <f>VLOOKUP($B148&amp;"__wt",'SegEnds_Xtal_BW#'!$A:$Z,5,FALSE)</f>
        <v>48</v>
      </c>
      <c r="F148" s="1">
        <f>VLOOKUP($B148&amp;"__wt",'SegEnds_Xtal_BW#'!$A:$Z,6,FALSE)</f>
        <v>51</v>
      </c>
      <c r="G148" s="1">
        <v>37</v>
      </c>
      <c r="H148" s="12">
        <f>VLOOKUP($B148&amp;"__wt",'SegEnds_Xtal_BW#'!$A:$Z,8,FALSE)</f>
        <v>67</v>
      </c>
      <c r="I148" s="1">
        <f>VLOOKUP($B148&amp;"__wt",'SegEnds_Xtal_BW#'!$A:$Z,9,FALSE)</f>
        <v>49</v>
      </c>
      <c r="J148" s="1">
        <f>VLOOKUP($B148&amp;"__wt",'SegEnds_Xtal_BW#'!$A:$Z,10,FALSE)</f>
        <v>52</v>
      </c>
      <c r="K148" s="12">
        <v>18</v>
      </c>
      <c r="L148" s="1">
        <f>VLOOKUP($B148&amp;"__wt",'SegEnds_Xtal_BW#'!$A:$Z,12,FALSE)</f>
        <v>56</v>
      </c>
      <c r="M148" s="1">
        <f>VLOOKUP($B148&amp;"__wt",'SegEnds_Xtal_BW#'!$A:$Z,13,FALSE)</f>
        <v>50</v>
      </c>
      <c r="N148" s="12">
        <v>57</v>
      </c>
      <c r="O148" s="89">
        <f>VLOOKUP($B148&amp;"__wt",'SegEnds_Xtal_BW#'!$A:$Z,15,FALSE)</f>
        <v>38</v>
      </c>
      <c r="P148" s="1">
        <f>VLOOKUP($B148&amp;"__wt",'SegEnds_Xtal_BW#'!$A:$Z,16,FALSE)</f>
        <v>64</v>
      </c>
      <c r="Q148" s="1">
        <f>VLOOKUP($B148&amp;"__wt",'SegEnds_Xtal_BW#'!$A:$Z,17,FALSE)</f>
        <v>50</v>
      </c>
      <c r="R148" s="1">
        <f>VLOOKUP($B148&amp;"__wt",'SegEnds_Xtal_BW#'!$A:$Z,18,FALSE)</f>
        <v>52</v>
      </c>
      <c r="S148" s="1">
        <v>35</v>
      </c>
      <c r="T148" s="1">
        <f t="array" ref="T148">INDEX('ICL3'!$G$2:$G$40,MATCH(MIN(ABS(AH148-'ICL3'!$F$2:$F$40)),ABS(AH148-'ICL3'!$F$2:$F$40),0))</f>
        <v>76</v>
      </c>
      <c r="U148" s="1">
        <f t="array" ref="U148">INDEX('ICL3'!$H$2:$H$40,MATCH(MIN(ABS(AH148-'ICL3'!$F$2:$F$40)),ABS(AH148-'ICL3'!$F$2:$F$40),0))</f>
        <v>24</v>
      </c>
      <c r="V148" s="1">
        <v>61</v>
      </c>
      <c r="W148" s="1">
        <v>31</v>
      </c>
      <c r="X148" s="1">
        <f>VLOOKUP($B148&amp;"__wt",'SegEnds_Xtal_BW#'!$A:$Z,24,FALSE)</f>
        <v>56</v>
      </c>
      <c r="Y148" s="1">
        <f>VLOOKUP($B148&amp;"__wt",'SegEnds_Xtal_BW#'!$A:$Z,25,FALSE)</f>
        <v>47</v>
      </c>
      <c r="Z148" s="1">
        <f>VLOOKUP($B148&amp;"__wt",'SegEnds_Xtal_BW#'!$A:$Z,26,FALSE)</f>
        <v>58</v>
      </c>
      <c r="AA148" s="27" t="str">
        <f>VLOOKUP(A148,Classification!A:B,2,FALSE)</f>
        <v>A</v>
      </c>
      <c r="AB148" s="1" t="e">
        <f>VLOOKUP(A148,'SegEnds_NonXtal_Prot#'!A:AL,10,FALSE)-VLOOKUP(A148,'SegEnds_NonXtal_Prot#'!A:AL,7,FALSE)</f>
        <v>#VALUE!</v>
      </c>
      <c r="AC148" s="1">
        <f>VLOOKUP(A148,'SegEnds_NonXtal_Prot#'!A:AL,13,FALSE)-VLOOKUP(A148,'SegEnds_NonXtal_Prot#'!A:AL,10,FALSE)</f>
        <v>21</v>
      </c>
      <c r="AD148" s="1">
        <f>VLOOKUP(A148,'SegEnds_NonXtal_Prot#'!A:AL,16,FALSE)-VLOOKUP(A148,'SegEnds_NonXtal_Prot#'!A:AL,10,FALSE)</f>
        <v>54</v>
      </c>
      <c r="AE148" s="1">
        <f>VLOOKUP(A148,'SegEnds_NonXtal_Prot#'!A:AL,22,FALSE)-VLOOKUP(A148,'SegEnds_NonXtal_Prot#'!A:AL,19,FALSE)</f>
        <v>20</v>
      </c>
      <c r="AF148" s="1">
        <f>VLOOKUP(A148,'SegEnds_NonXtal_Prot#'!A:AL,28,FALSE)-VLOOKUP(A148,'SegEnds_NonXtal_Prot#'!A:AL,25,FALSE)</f>
        <v>25</v>
      </c>
      <c r="AG148" s="1">
        <f>VLOOKUP(A148,'SegEnds_NonXtal_Prot#'!A:AL,28,FALSE)-VLOOKUP(A148,'SegEnds_NonXtal_Prot#'!A:AL,22,FALSE)</f>
        <v>53</v>
      </c>
      <c r="AH148" s="1">
        <f>VLOOKUP(A148,'SegEnds_NonXtal_Prot#'!A:AL,31,FALSE)-VLOOKUP(A148,'SegEnds_NonXtal_Prot#'!A:AL,28,FALSE)</f>
        <v>82</v>
      </c>
      <c r="AI148" s="1">
        <f>VLOOKUP(A148,'SegEnds_NonXtal_Prot#'!A:AL,34,FALSE)-VLOOKUP(A148,'SegEnds_NonXtal_Prot#'!A:AL,31,FALSE)</f>
        <v>36</v>
      </c>
      <c r="AJ148" s="1" t="str">
        <f>IF(ISERROR(MATCH(A148,'SegEnds_Xtal_Prot#'!B:B, 0)), "NoXtal", "Xtal")</f>
        <v>NoXtal</v>
      </c>
    </row>
    <row r="149" spans="1:36" x14ac:dyDescent="0.2">
      <c r="A149" s="1" t="s">
        <v>267</v>
      </c>
      <c r="B149" s="1" t="str">
        <f>VLOOKUP(A149,Xtal_Templ!A:B,2,FALSE)</f>
        <v>ox1r_human</v>
      </c>
      <c r="C149" s="5">
        <f>VLOOKUP($B149&amp;"__wt",'SegEnds_Xtal_BW#'!$A:$Z,3,FALSE)</f>
        <v>32</v>
      </c>
      <c r="D149" s="1">
        <f>VLOOKUP($B149&amp;"__wt",'SegEnds_Xtal_BW#'!$A:$Z,4,FALSE)</f>
        <v>60</v>
      </c>
      <c r="E149" s="1">
        <f>VLOOKUP($B149&amp;"__wt",'SegEnds_Xtal_BW#'!$A:$Z,5,FALSE)</f>
        <v>48</v>
      </c>
      <c r="F149" s="1">
        <f>VLOOKUP($B149&amp;"__wt",'SegEnds_Xtal_BW#'!$A:$Z,6,FALSE)</f>
        <v>51</v>
      </c>
      <c r="G149" s="1">
        <v>37</v>
      </c>
      <c r="H149" s="12">
        <f>VLOOKUP($B149&amp;"__wt",'SegEnds_Xtal_BW#'!$A:$Z,8,FALSE)</f>
        <v>67</v>
      </c>
      <c r="I149" s="1">
        <f>VLOOKUP($B149&amp;"__wt",'SegEnds_Xtal_BW#'!$A:$Z,9,FALSE)</f>
        <v>49</v>
      </c>
      <c r="J149" s="1">
        <f>VLOOKUP($B149&amp;"__wt",'SegEnds_Xtal_BW#'!$A:$Z,10,FALSE)</f>
        <v>52</v>
      </c>
      <c r="K149" s="12">
        <v>21</v>
      </c>
      <c r="L149" s="1">
        <f>VLOOKUP($B149&amp;"__wt",'SegEnds_Xtal_BW#'!$A:$Z,12,FALSE)</f>
        <v>56</v>
      </c>
      <c r="M149" s="1">
        <f>VLOOKUP($B149&amp;"__wt",'SegEnds_Xtal_BW#'!$A:$Z,13,FALSE)</f>
        <v>50</v>
      </c>
      <c r="N149" s="12">
        <v>57</v>
      </c>
      <c r="O149" s="89">
        <v>38</v>
      </c>
      <c r="P149" s="1">
        <f>VLOOKUP($B149&amp;"__wt",'SegEnds_Xtal_BW#'!$A:$Z,16,FALSE)</f>
        <v>64</v>
      </c>
      <c r="Q149" s="1">
        <f>VLOOKUP($B149&amp;"__wt",'SegEnds_Xtal_BW#'!$A:$Z,17,FALSE)</f>
        <v>50</v>
      </c>
      <c r="R149" s="1">
        <f>VLOOKUP($B149&amp;"__wt",'SegEnds_Xtal_BW#'!$A:$Z,18,FALSE)</f>
        <v>52</v>
      </c>
      <c r="S149" s="1">
        <f>VLOOKUP($B149&amp;"__wt",'SegEnds_Xtal_BW#'!$A:$Z,19,FALSE)</f>
        <v>32</v>
      </c>
      <c r="T149" s="1">
        <f t="array" ref="T149">INDEX('ICL3'!$G$2:$G$40,MATCH(MIN(ABS(AH149-'ICL3'!$F$2:$F$40)),ABS(AH149-'ICL3'!$F$2:$F$40),0))</f>
        <v>76</v>
      </c>
      <c r="U149" s="1">
        <f t="array" ref="U149">INDEX('ICL3'!$H$2:$H$40,MATCH(MIN(ABS(AH149-'ICL3'!$F$2:$F$40)),ABS(AH149-'ICL3'!$F$2:$F$40),0))</f>
        <v>24</v>
      </c>
      <c r="V149" s="1">
        <v>61</v>
      </c>
      <c r="W149" s="1">
        <v>31</v>
      </c>
      <c r="X149" s="1">
        <f>VLOOKUP($B149&amp;"__wt",'SegEnds_Xtal_BW#'!$A:$Z,24,FALSE)</f>
        <v>56</v>
      </c>
      <c r="Y149" s="1">
        <f>VLOOKUP($B149&amp;"__wt",'SegEnds_Xtal_BW#'!$A:$Z,25,FALSE)</f>
        <v>47</v>
      </c>
      <c r="Z149" s="1">
        <f>VLOOKUP($B149&amp;"__wt",'SegEnds_Xtal_BW#'!$A:$Z,26,FALSE)</f>
        <v>58</v>
      </c>
      <c r="AA149" s="27" t="str">
        <f>VLOOKUP(A149,Classification!A:B,2,FALSE)</f>
        <v>A</v>
      </c>
      <c r="AB149" s="1">
        <f>VLOOKUP(A149,'SegEnds_NonXtal_Prot#'!A:AL,10,FALSE)-VLOOKUP(A149,'SegEnds_NonXtal_Prot#'!A:AL,7,FALSE)</f>
        <v>16</v>
      </c>
      <c r="AC149" s="1" t="e">
        <f>VLOOKUP(A149,'SegEnds_NonXtal_Prot#'!A:AL,13,FALSE)-VLOOKUP(A149,'SegEnds_NonXtal_Prot#'!A:AL,10,FALSE)</f>
        <v>#VALUE!</v>
      </c>
      <c r="AD149" s="1">
        <f>VLOOKUP(A149,'SegEnds_NonXtal_Prot#'!A:AL,16,FALSE)-VLOOKUP(A149,'SegEnds_NonXtal_Prot#'!A:AL,10,FALSE)</f>
        <v>52</v>
      </c>
      <c r="AE149" s="1">
        <f>VLOOKUP(A149,'SegEnds_NonXtal_Prot#'!A:AL,22,FALSE)-VLOOKUP(A149,'SegEnds_NonXtal_Prot#'!A:AL,19,FALSE)</f>
        <v>20</v>
      </c>
      <c r="AF149" s="1">
        <f>VLOOKUP(A149,'SegEnds_NonXtal_Prot#'!A:AL,28,FALSE)-VLOOKUP(A149,'SegEnds_NonXtal_Prot#'!A:AL,25,FALSE)</f>
        <v>28</v>
      </c>
      <c r="AG149" s="1">
        <f>VLOOKUP(A149,'SegEnds_NonXtal_Prot#'!A:AL,28,FALSE)-VLOOKUP(A149,'SegEnds_NonXtal_Prot#'!A:AL,22,FALSE)</f>
        <v>53</v>
      </c>
      <c r="AH149" s="1">
        <f>VLOOKUP(A149,'SegEnds_NonXtal_Prot#'!A:AL,31,FALSE)-VLOOKUP(A149,'SegEnds_NonXtal_Prot#'!A:AL,28,FALSE)</f>
        <v>72</v>
      </c>
      <c r="AI149" s="1">
        <f>VLOOKUP(A149,'SegEnds_NonXtal_Prot#'!A:AL,34,FALSE)-VLOOKUP(A149,'SegEnds_NonXtal_Prot#'!A:AL,31,FALSE)</f>
        <v>35</v>
      </c>
      <c r="AJ149" s="1" t="str">
        <f>IF(ISERROR(MATCH(A149,'SegEnds_Xtal_Prot#'!B:B, 0)), "NoXtal", "Xtal")</f>
        <v>NoXtal</v>
      </c>
    </row>
    <row r="150" spans="1:36" x14ac:dyDescent="0.2">
      <c r="A150" s="1" t="s">
        <v>268</v>
      </c>
      <c r="B150" s="1" t="str">
        <f>VLOOKUP(A150,Xtal_Templ!A:B,2,FALSE)</f>
        <v>oprm_mouse</v>
      </c>
      <c r="C150" s="5">
        <f>VLOOKUP($B150&amp;"__wt",'SegEnds_Xtal_BW#'!$A:$Z,3,FALSE)</f>
        <v>29</v>
      </c>
      <c r="D150" s="1">
        <f>VLOOKUP($B150&amp;"__wt",'SegEnds_Xtal_BW#'!$A:$Z,4,FALSE)</f>
        <v>60</v>
      </c>
      <c r="E150" s="1">
        <f>VLOOKUP($B150&amp;"__wt",'SegEnds_Xtal_BW#'!$A:$Z,5,FALSE)</f>
        <v>48</v>
      </c>
      <c r="F150" s="1">
        <f>VLOOKUP($B150&amp;"__wt",'SegEnds_Xtal_BW#'!$A:$Z,6,FALSE)</f>
        <v>51</v>
      </c>
      <c r="G150" s="1">
        <v>37</v>
      </c>
      <c r="H150" s="12">
        <v>67</v>
      </c>
      <c r="I150" s="1">
        <f>VLOOKUP($B150&amp;"__wt",'SegEnds_Xtal_BW#'!$A:$Z,9,FALSE)</f>
        <v>49</v>
      </c>
      <c r="J150" s="1">
        <f>VLOOKUP($B150&amp;"__wt",'SegEnds_Xtal_BW#'!$A:$Z,10,FALSE)</f>
        <v>52</v>
      </c>
      <c r="K150" s="12">
        <v>18</v>
      </c>
      <c r="L150" s="1">
        <f>VLOOKUP($B150&amp;"__wt",'SegEnds_Xtal_BW#'!$A:$Z,12,FALSE)</f>
        <v>56</v>
      </c>
      <c r="M150" s="1">
        <f>VLOOKUP($B150&amp;"__wt",'SegEnds_Xtal_BW#'!$A:$Z,13,FALSE)</f>
        <v>50</v>
      </c>
      <c r="N150" s="12">
        <v>57</v>
      </c>
      <c r="O150" s="89">
        <f>VLOOKUP($B150&amp;"__wt",'SegEnds_Xtal_BW#'!$A:$Z,15,FALSE)</f>
        <v>38</v>
      </c>
      <c r="P150" s="1">
        <f>VLOOKUP($B150&amp;"__wt",'SegEnds_Xtal_BW#'!$A:$Z,16,FALSE)</f>
        <v>64</v>
      </c>
      <c r="Q150" s="1">
        <f>VLOOKUP($B150&amp;"__wt",'SegEnds_Xtal_BW#'!$A:$Z,17,FALSE)</f>
        <v>50</v>
      </c>
      <c r="R150" s="1">
        <f>VLOOKUP($B150&amp;"__wt",'SegEnds_Xtal_BW#'!$A:$Z,18,FALSE)</f>
        <v>52</v>
      </c>
      <c r="S150" s="1">
        <f>VLOOKUP($B150&amp;"__wt",'SegEnds_Xtal_BW#'!$A:$Z,19,FALSE)</f>
        <v>31</v>
      </c>
      <c r="T150" s="1">
        <f t="array" ref="T150">INDEX('ICL3'!$G$2:$G$40,MATCH(MIN(ABS(AH150-'ICL3'!$F$2:$F$40)),ABS(AH150-'ICL3'!$F$2:$F$40),0))</f>
        <v>68</v>
      </c>
      <c r="U150" s="1">
        <f t="array" ref="U150">INDEX('ICL3'!$H$2:$H$40,MATCH(MIN(ABS(AH150-'ICL3'!$F$2:$F$40)),ABS(AH150-'ICL3'!$F$2:$F$40),0))</f>
        <v>23</v>
      </c>
      <c r="V150" s="1">
        <v>61</v>
      </c>
      <c r="W150" s="1">
        <v>28</v>
      </c>
      <c r="X150" s="1">
        <f>VLOOKUP($B150&amp;"__wt",'SegEnds_Xtal_BW#'!$A:$Z,24,FALSE)</f>
        <v>56</v>
      </c>
      <c r="Y150" s="1">
        <f>VLOOKUP($B150&amp;"__wt",'SegEnds_Xtal_BW#'!$A:$Z,25,FALSE)</f>
        <v>47</v>
      </c>
      <c r="Z150" s="1">
        <f>VLOOKUP($B150&amp;"__wt",'SegEnds_Xtal_BW#'!$A:$Z,26,FALSE)</f>
        <v>59</v>
      </c>
      <c r="AA150" s="27" t="str">
        <f>VLOOKUP(A150,Classification!A:B,2,FALSE)</f>
        <v>A</v>
      </c>
      <c r="AB150" s="1" t="e">
        <f>VLOOKUP(A150,'SegEnds_NonXtal_Prot#'!A:AL,10,FALSE)-VLOOKUP(A150,'SegEnds_NonXtal_Prot#'!A:AL,7,FALSE)</f>
        <v>#VALUE!</v>
      </c>
      <c r="AC150" s="1">
        <f>VLOOKUP(A150,'SegEnds_NonXtal_Prot#'!A:AL,13,FALSE)-VLOOKUP(A150,'SegEnds_NonXtal_Prot#'!A:AL,10,FALSE)</f>
        <v>20</v>
      </c>
      <c r="AD150" s="1">
        <f>VLOOKUP(A150,'SegEnds_NonXtal_Prot#'!A:AL,16,FALSE)-VLOOKUP(A150,'SegEnds_NonXtal_Prot#'!A:AL,10,FALSE)</f>
        <v>56</v>
      </c>
      <c r="AE150" s="1">
        <f>VLOOKUP(A150,'SegEnds_NonXtal_Prot#'!A:AL,22,FALSE)-VLOOKUP(A150,'SegEnds_NonXtal_Prot#'!A:AL,19,FALSE)</f>
        <v>20</v>
      </c>
      <c r="AF150" s="1" t="e">
        <f>VLOOKUP(A150,'SegEnds_NonXtal_Prot#'!A:AL,28,FALSE)-VLOOKUP(A150,'SegEnds_NonXtal_Prot#'!A:AL,25,FALSE)</f>
        <v>#VALUE!</v>
      </c>
      <c r="AG150" s="1">
        <f>VLOOKUP(A150,'SegEnds_NonXtal_Prot#'!A:AL,28,FALSE)-VLOOKUP(A150,'SegEnds_NonXtal_Prot#'!A:AL,22,FALSE)</f>
        <v>53</v>
      </c>
      <c r="AH150" s="1">
        <f>VLOOKUP(A150,'SegEnds_NonXtal_Prot#'!A:AL,31,FALSE)-VLOOKUP(A150,'SegEnds_NonXtal_Prot#'!A:AL,28,FALSE)</f>
        <v>51</v>
      </c>
      <c r="AI150" s="1">
        <f>VLOOKUP(A150,'SegEnds_NonXtal_Prot#'!A:AL,34,FALSE)-VLOOKUP(A150,'SegEnds_NonXtal_Prot#'!A:AL,31,FALSE)</f>
        <v>42</v>
      </c>
      <c r="AJ150" s="1" t="str">
        <f>IF(ISERROR(MATCH(A150,'SegEnds_Xtal_Prot#'!B:B, 0)), "NoXtal", "Xtal")</f>
        <v>NoXtal</v>
      </c>
    </row>
    <row r="151" spans="1:36" x14ac:dyDescent="0.2">
      <c r="A151" s="1" t="s">
        <v>270</v>
      </c>
      <c r="B151" s="1" t="str">
        <f>VLOOKUP(A151,Xtal_Templ!A:B,2,FALSE)</f>
        <v>ednrb_human</v>
      </c>
      <c r="C151" s="5">
        <f>VLOOKUP($B151&amp;"__wt",'SegEnds_Xtal_BW#'!$A:$Z,3,FALSE)</f>
        <v>22</v>
      </c>
      <c r="D151" s="1">
        <f>VLOOKUP($B151&amp;"__wt",'SegEnds_Xtal_BW#'!$A:$Z,4,FALSE)</f>
        <v>60</v>
      </c>
      <c r="E151" s="1">
        <f>VLOOKUP($B151&amp;"__wt",'SegEnds_Xtal_BW#'!$A:$Z,5,FALSE)</f>
        <v>48</v>
      </c>
      <c r="F151" s="1">
        <f>VLOOKUP($B151&amp;"__wt",'SegEnds_Xtal_BW#'!$A:$Z,6,FALSE)</f>
        <v>52</v>
      </c>
      <c r="G151" s="1">
        <v>37</v>
      </c>
      <c r="H151" s="12">
        <f>VLOOKUP($B151&amp;"__wt",'SegEnds_Xtal_BW#'!$A:$Z,8,FALSE)</f>
        <v>67</v>
      </c>
      <c r="I151" s="1">
        <f>VLOOKUP($B151&amp;"__wt",'SegEnds_Xtal_BW#'!$A:$Z,9,FALSE)</f>
        <v>49</v>
      </c>
      <c r="J151" s="1">
        <f>VLOOKUP($B151&amp;"__wt",'SegEnds_Xtal_BW#'!$A:$Z,10,FALSE)</f>
        <v>52</v>
      </c>
      <c r="K151" s="12">
        <v>21</v>
      </c>
      <c r="L151" s="1">
        <f>VLOOKUP($B151&amp;"__wt",'SegEnds_Xtal_BW#'!$A:$Z,12,FALSE)</f>
        <v>56</v>
      </c>
      <c r="M151" s="1">
        <f>VLOOKUP($B151&amp;"__wt",'SegEnds_Xtal_BW#'!$A:$Z,13,FALSE)</f>
        <v>50</v>
      </c>
      <c r="N151" s="12">
        <v>57</v>
      </c>
      <c r="O151" s="89">
        <v>38</v>
      </c>
      <c r="P151" s="1">
        <f>VLOOKUP($B151&amp;"__wt",'SegEnds_Xtal_BW#'!$A:$Z,16,FALSE)</f>
        <v>64</v>
      </c>
      <c r="Q151" s="1">
        <f>VLOOKUP($B151&amp;"__wt",'SegEnds_Xtal_BW#'!$A:$Z,17,FALSE)</f>
        <v>50</v>
      </c>
      <c r="R151" s="1">
        <f>VLOOKUP($B151&amp;"__wt",'SegEnds_Xtal_BW#'!$A:$Z,18,FALSE)</f>
        <v>52</v>
      </c>
      <c r="S151" s="1">
        <f>VLOOKUP($B151&amp;"__wt",'SegEnds_Xtal_BW#'!$A:$Z,19,FALSE)</f>
        <v>29</v>
      </c>
      <c r="T151" s="1">
        <f t="array" ref="T151">INDEX('ICL3'!$G$2:$G$40,MATCH(MIN(ABS(AH151-'ICL3'!$F$2:$F$40)),ABS(AH151-'ICL3'!$F$2:$F$40),0))</f>
        <v>74</v>
      </c>
      <c r="U151" s="1">
        <f t="array" ref="U151">INDEX('ICL3'!$H$2:$H$40,MATCH(MIN(ABS(AH151-'ICL3'!$F$2:$F$40)),ABS(AH151-'ICL3'!$F$2:$F$40),0))</f>
        <v>24</v>
      </c>
      <c r="V151" s="1">
        <v>61</v>
      </c>
      <c r="W151" s="1">
        <v>33</v>
      </c>
      <c r="X151" s="1">
        <f>VLOOKUP($B151&amp;"__wt",'SegEnds_Xtal_BW#'!$A:$Z,24,FALSE)</f>
        <v>56</v>
      </c>
      <c r="Y151" s="1">
        <f>VLOOKUP($B151&amp;"__wt",'SegEnds_Xtal_BW#'!$A:$Z,25,FALSE)</f>
        <v>47</v>
      </c>
      <c r="Z151" s="1">
        <f>VLOOKUP($B151&amp;"__wt",'SegEnds_Xtal_BW#'!$A:$Z,26,FALSE)</f>
        <v>60</v>
      </c>
      <c r="AA151" s="27" t="str">
        <f>VLOOKUP(A151,Classification!A:B,2,FALSE)</f>
        <v>A</v>
      </c>
      <c r="AB151" s="1">
        <f>VLOOKUP(A151,'SegEnds_NonXtal_Prot#'!A:AL,10,FALSE)-VLOOKUP(A151,'SegEnds_NonXtal_Prot#'!A:AL,7,FALSE)</f>
        <v>15</v>
      </c>
      <c r="AC151" s="1" t="e">
        <f>VLOOKUP(A151,'SegEnds_NonXtal_Prot#'!A:AL,13,FALSE)-VLOOKUP(A151,'SegEnds_NonXtal_Prot#'!A:AL,10,FALSE)</f>
        <v>#VALUE!</v>
      </c>
      <c r="AD151" s="1">
        <f>VLOOKUP(A151,'SegEnds_NonXtal_Prot#'!A:AL,16,FALSE)-VLOOKUP(A151,'SegEnds_NonXtal_Prot#'!A:AL,10,FALSE)</f>
        <v>52</v>
      </c>
      <c r="AE151" s="1">
        <f>VLOOKUP(A151,'SegEnds_NonXtal_Prot#'!A:AL,22,FALSE)-VLOOKUP(A151,'SegEnds_NonXtal_Prot#'!A:AL,19,FALSE)</f>
        <v>20</v>
      </c>
      <c r="AF151" s="1">
        <f>VLOOKUP(A151,'SegEnds_NonXtal_Prot#'!A:AL,28,FALSE)-VLOOKUP(A151,'SegEnds_NonXtal_Prot#'!A:AL,25,FALSE)</f>
        <v>67</v>
      </c>
      <c r="AG151" s="1">
        <f>VLOOKUP(A151,'SegEnds_NonXtal_Prot#'!A:AL,28,FALSE)-VLOOKUP(A151,'SegEnds_NonXtal_Prot#'!A:AL,22,FALSE)</f>
        <v>90</v>
      </c>
      <c r="AH151" s="1">
        <f>VLOOKUP(A151,'SegEnds_NonXtal_Prot#'!A:AL,31,FALSE)-VLOOKUP(A151,'SegEnds_NonXtal_Prot#'!A:AL,28,FALSE)</f>
        <v>99</v>
      </c>
      <c r="AI151" s="1">
        <f>VLOOKUP(A151,'SegEnds_NonXtal_Prot#'!A:AL,34,FALSE)-VLOOKUP(A151,'SegEnds_NonXtal_Prot#'!A:AL,31,FALSE)</f>
        <v>33</v>
      </c>
      <c r="AJ151" s="1" t="str">
        <f>IF(ISERROR(MATCH(A151,'SegEnds_Xtal_Prot#'!B:B, 0)), "NoXtal", "Xtal")</f>
        <v>NoXtal</v>
      </c>
    </row>
    <row r="152" spans="1:36" x14ac:dyDescent="0.2">
      <c r="A152" s="1" t="s">
        <v>271</v>
      </c>
      <c r="B152" s="1" t="str">
        <f>VLOOKUP(A152,Xtal_Templ!A:B,2,FALSE)</f>
        <v>ox1r_human</v>
      </c>
      <c r="C152" s="5">
        <f>VLOOKUP($B152&amp;"__wt",'SegEnds_Xtal_BW#'!$A:$Z,3,FALSE)</f>
        <v>32</v>
      </c>
      <c r="D152" s="1">
        <f>VLOOKUP($B152&amp;"__wt",'SegEnds_Xtal_BW#'!$A:$Z,4,FALSE)</f>
        <v>60</v>
      </c>
      <c r="E152" s="1">
        <f>VLOOKUP($B152&amp;"__wt",'SegEnds_Xtal_BW#'!$A:$Z,5,FALSE)</f>
        <v>48</v>
      </c>
      <c r="F152" s="1">
        <f>VLOOKUP($B152&amp;"__wt",'SegEnds_Xtal_BW#'!$A:$Z,6,FALSE)</f>
        <v>51</v>
      </c>
      <c r="G152" s="1">
        <v>37</v>
      </c>
      <c r="H152" s="12">
        <f>VLOOKUP($B152&amp;"__wt",'SegEnds_Xtal_BW#'!$A:$Z,8,FALSE)</f>
        <v>67</v>
      </c>
      <c r="I152" s="1">
        <f>VLOOKUP($B152&amp;"__wt",'SegEnds_Xtal_BW#'!$A:$Z,9,FALSE)</f>
        <v>49</v>
      </c>
      <c r="J152" s="1">
        <f>VLOOKUP($B152&amp;"__wt",'SegEnds_Xtal_BW#'!$A:$Z,10,FALSE)</f>
        <v>52</v>
      </c>
      <c r="K152" s="12">
        <v>18</v>
      </c>
      <c r="L152" s="1">
        <f>VLOOKUP($B152&amp;"__wt",'SegEnds_Xtal_BW#'!$A:$Z,12,FALSE)</f>
        <v>56</v>
      </c>
      <c r="M152" s="1">
        <f>VLOOKUP($B152&amp;"__wt",'SegEnds_Xtal_BW#'!$A:$Z,13,FALSE)</f>
        <v>50</v>
      </c>
      <c r="N152" s="12">
        <v>57</v>
      </c>
      <c r="O152" s="89">
        <f>VLOOKUP($B152&amp;"__wt",'SegEnds_Xtal_BW#'!$A:$Z,15,FALSE)</f>
        <v>38</v>
      </c>
      <c r="P152" s="1">
        <f>VLOOKUP($B152&amp;"__wt",'SegEnds_Xtal_BW#'!$A:$Z,16,FALSE)</f>
        <v>64</v>
      </c>
      <c r="Q152" s="1">
        <f>VLOOKUP($B152&amp;"__wt",'SegEnds_Xtal_BW#'!$A:$Z,17,FALSE)</f>
        <v>50</v>
      </c>
      <c r="R152" s="1">
        <f>VLOOKUP($B152&amp;"__wt",'SegEnds_Xtal_BW#'!$A:$Z,18,FALSE)</f>
        <v>52</v>
      </c>
      <c r="S152" s="1">
        <v>35</v>
      </c>
      <c r="T152" s="1">
        <f t="array" ref="T152">INDEX('ICL3'!$G$2:$G$40,MATCH(MIN(ABS(AH152-'ICL3'!$F$2:$F$40)),ABS(AH152-'ICL3'!$F$2:$F$40),0))</f>
        <v>76</v>
      </c>
      <c r="U152" s="1">
        <f t="array" ref="U152">INDEX('ICL3'!$H$2:$H$40,MATCH(MIN(ABS(AH152-'ICL3'!$F$2:$F$40)),ABS(AH152-'ICL3'!$F$2:$F$40),0))</f>
        <v>24</v>
      </c>
      <c r="V152" s="1">
        <v>61</v>
      </c>
      <c r="W152" s="1">
        <v>31</v>
      </c>
      <c r="X152" s="1">
        <f>VLOOKUP($B152&amp;"__wt",'SegEnds_Xtal_BW#'!$A:$Z,24,FALSE)</f>
        <v>56</v>
      </c>
      <c r="Y152" s="1">
        <f>VLOOKUP($B152&amp;"__wt",'SegEnds_Xtal_BW#'!$A:$Z,25,FALSE)</f>
        <v>47</v>
      </c>
      <c r="Z152" s="1">
        <f>VLOOKUP($B152&amp;"__wt",'SegEnds_Xtal_BW#'!$A:$Z,26,FALSE)</f>
        <v>58</v>
      </c>
      <c r="AA152" s="27" t="str">
        <f>VLOOKUP(A152,Classification!A:B,2,FALSE)</f>
        <v>A</v>
      </c>
      <c r="AB152" s="1">
        <f>VLOOKUP(A152,'SegEnds_NonXtal_Prot#'!A:AL,10,FALSE)-VLOOKUP(A152,'SegEnds_NonXtal_Prot#'!A:AL,7,FALSE)</f>
        <v>15</v>
      </c>
      <c r="AC152" s="1">
        <f>VLOOKUP(A152,'SegEnds_NonXtal_Prot#'!A:AL,13,FALSE)-VLOOKUP(A152,'SegEnds_NonXtal_Prot#'!A:AL,10,FALSE)</f>
        <v>21</v>
      </c>
      <c r="AD152" s="1">
        <f>VLOOKUP(A152,'SegEnds_NonXtal_Prot#'!A:AL,16,FALSE)-VLOOKUP(A152,'SegEnds_NonXtal_Prot#'!A:AL,10,FALSE)</f>
        <v>53</v>
      </c>
      <c r="AE152" s="1">
        <f>VLOOKUP(A152,'SegEnds_NonXtal_Prot#'!A:AL,22,FALSE)-VLOOKUP(A152,'SegEnds_NonXtal_Prot#'!A:AL,19,FALSE)</f>
        <v>20</v>
      </c>
      <c r="AF152" s="1">
        <f>VLOOKUP(A152,'SegEnds_NonXtal_Prot#'!A:AL,28,FALSE)-VLOOKUP(A152,'SegEnds_NonXtal_Prot#'!A:AL,25,FALSE)</f>
        <v>61</v>
      </c>
      <c r="AG152" s="1">
        <f>VLOOKUP(A152,'SegEnds_NonXtal_Prot#'!A:AL,28,FALSE)-VLOOKUP(A152,'SegEnds_NonXtal_Prot#'!A:AL,22,FALSE)</f>
        <v>87</v>
      </c>
      <c r="AH152" s="1">
        <f>VLOOKUP(A152,'SegEnds_NonXtal_Prot#'!A:AL,31,FALSE)-VLOOKUP(A152,'SegEnds_NonXtal_Prot#'!A:AL,28,FALSE)</f>
        <v>67</v>
      </c>
      <c r="AI152" s="1">
        <f>VLOOKUP(A152,'SegEnds_NonXtal_Prot#'!A:AL,34,FALSE)-VLOOKUP(A152,'SegEnds_NonXtal_Prot#'!A:AL,31,FALSE)</f>
        <v>36</v>
      </c>
      <c r="AJ152" s="1" t="str">
        <f>IF(ISERROR(MATCH(A152,'SegEnds_Xtal_Prot#'!B:B, 0)), "NoXtal", "Xtal")</f>
        <v>NoXtal</v>
      </c>
    </row>
    <row r="153" spans="1:36" x14ac:dyDescent="0.2">
      <c r="A153" s="1" t="s">
        <v>272</v>
      </c>
      <c r="B153" s="1" t="str">
        <f>VLOOKUP(A153,Xtal_Templ!A:B,2,FALSE)</f>
        <v>p2y12_human</v>
      </c>
      <c r="C153" s="5">
        <f>VLOOKUP($B153&amp;"__wt",'SegEnds_Xtal_BW#'!$A:$Z,3,FALSE)</f>
        <v>28</v>
      </c>
      <c r="D153" s="1">
        <f>VLOOKUP($B153&amp;"__wt",'SegEnds_Xtal_BW#'!$A:$Z,4,FALSE)</f>
        <v>60</v>
      </c>
      <c r="E153" s="1" t="str">
        <f>VLOOKUP($B153&amp;"__wt",'SegEnds_Xtal_BW#'!$A:$Z,5,FALSE)</f>
        <v>-</v>
      </c>
      <c r="F153" s="1" t="str">
        <f>VLOOKUP($B153&amp;"__wt",'SegEnds_Xtal_BW#'!$A:$Z,6,FALSE)</f>
        <v>-</v>
      </c>
      <c r="G153" s="1">
        <v>37</v>
      </c>
      <c r="H153" s="12">
        <f>VLOOKUP($B153&amp;"__wt",'SegEnds_Xtal_BW#'!$A:$Z,8,FALSE)</f>
        <v>66</v>
      </c>
      <c r="I153" s="1" t="str">
        <f>VLOOKUP($B153&amp;"__wt",'SegEnds_Xtal_BW#'!$A:$Z,9,FALSE)</f>
        <v>-</v>
      </c>
      <c r="J153" s="1" t="str">
        <f>VLOOKUP($B153&amp;"__wt",'SegEnds_Xtal_BW#'!$A:$Z,10,FALSE)</f>
        <v>-</v>
      </c>
      <c r="K153" s="12">
        <v>18</v>
      </c>
      <c r="L153" s="1">
        <f>VLOOKUP($B153&amp;"__wt",'SegEnds_Xtal_BW#'!$A:$Z,12,FALSE)</f>
        <v>56</v>
      </c>
      <c r="M153" s="1">
        <f>VLOOKUP($B153&amp;"__wt",'SegEnds_Xtal_BW#'!$A:$Z,13,FALSE)</f>
        <v>50</v>
      </c>
      <c r="N153" s="12">
        <v>57</v>
      </c>
      <c r="O153" s="89">
        <f>VLOOKUP($B153&amp;"__wt",'SegEnds_Xtal_BW#'!$A:$Z,15,FALSE)</f>
        <v>38</v>
      </c>
      <c r="P153" s="1">
        <f>VLOOKUP($B153&amp;"__wt",'SegEnds_Xtal_BW#'!$A:$Z,16,FALSE)</f>
        <v>64</v>
      </c>
      <c r="Q153" s="1">
        <f>VLOOKUP($B153&amp;"__wt",'SegEnds_Xtal_BW#'!$A:$Z,17,FALSE)</f>
        <v>50</v>
      </c>
      <c r="R153" s="1">
        <f>VLOOKUP($B153&amp;"__wt",'SegEnds_Xtal_BW#'!$A:$Z,18,FALSE)</f>
        <v>52</v>
      </c>
      <c r="S153" s="1">
        <f>VLOOKUP($B153&amp;"__wt",'SegEnds_Xtal_BW#'!$A:$Z,19,FALSE)</f>
        <v>30</v>
      </c>
      <c r="T153" s="1">
        <f t="array" ref="T153">INDEX('ICL3'!$G$2:$G$40,MATCH(MIN(ABS(AH153-'ICL3'!$F$2:$F$40)),ABS(AH153-'ICL3'!$F$2:$F$40),0))</f>
        <v>68</v>
      </c>
      <c r="U153" s="1">
        <f t="array" ref="U153">INDEX('ICL3'!$H$2:$H$40,MATCH(MIN(ABS(AH153-'ICL3'!$F$2:$F$40)),ABS(AH153-'ICL3'!$F$2:$F$40),0))</f>
        <v>24</v>
      </c>
      <c r="V153" s="1">
        <v>64</v>
      </c>
      <c r="W153" s="1">
        <v>24</v>
      </c>
      <c r="X153" s="1">
        <f>VLOOKUP($B153&amp;"__wt",'SegEnds_Xtal_BW#'!$A:$Z,24,FALSE)</f>
        <v>56</v>
      </c>
      <c r="Y153" s="1">
        <f>VLOOKUP($B153&amp;"__wt",'SegEnds_Xtal_BW#'!$A:$Z,25,FALSE)</f>
        <v>47</v>
      </c>
      <c r="Z153" s="1">
        <f>VLOOKUP($B153&amp;"__wt",'SegEnds_Xtal_BW#'!$A:$Z,26,FALSE)</f>
        <v>57</v>
      </c>
      <c r="AA153" s="27" t="str">
        <f>VLOOKUP(A153,Classification!A:B,2,FALSE)</f>
        <v>A</v>
      </c>
      <c r="AB153" s="1" t="e">
        <f>VLOOKUP(A153,'SegEnds_NonXtal_Prot#'!A:AL,10,FALSE)-VLOOKUP(A153,'SegEnds_NonXtal_Prot#'!A:AL,7,FALSE)</f>
        <v>#VALUE!</v>
      </c>
      <c r="AC153" s="1">
        <f>VLOOKUP(A153,'SegEnds_NonXtal_Prot#'!A:AL,13,FALSE)-VLOOKUP(A153,'SegEnds_NonXtal_Prot#'!A:AL,10,FALSE)</f>
        <v>20</v>
      </c>
      <c r="AD153" s="1">
        <f>VLOOKUP(A153,'SegEnds_NonXtal_Prot#'!A:AL,16,FALSE)-VLOOKUP(A153,'SegEnds_NonXtal_Prot#'!A:AL,10,FALSE)</f>
        <v>52</v>
      </c>
      <c r="AE153" s="1">
        <f>VLOOKUP(A153,'SegEnds_NonXtal_Prot#'!A:AL,22,FALSE)-VLOOKUP(A153,'SegEnds_NonXtal_Prot#'!A:AL,19,FALSE)</f>
        <v>20</v>
      </c>
      <c r="AF153" s="1">
        <f>VLOOKUP(A153,'SegEnds_NonXtal_Prot#'!A:AL,28,FALSE)-VLOOKUP(A153,'SegEnds_NonXtal_Prot#'!A:AL,25,FALSE)</f>
        <v>26</v>
      </c>
      <c r="AG153" s="1">
        <f>VLOOKUP(A153,'SegEnds_NonXtal_Prot#'!A:AL,28,FALSE)-VLOOKUP(A153,'SegEnds_NonXtal_Prot#'!A:AL,22,FALSE)</f>
        <v>52</v>
      </c>
      <c r="AH153" s="1">
        <f>VLOOKUP(A153,'SegEnds_NonXtal_Prot#'!A:AL,31,FALSE)-VLOOKUP(A153,'SegEnds_NonXtal_Prot#'!A:AL,28,FALSE)</f>
        <v>49</v>
      </c>
      <c r="AI153" s="1">
        <f>VLOOKUP(A153,'SegEnds_NonXtal_Prot#'!A:AL,34,FALSE)-VLOOKUP(A153,'SegEnds_NonXtal_Prot#'!A:AL,31,FALSE)</f>
        <v>44</v>
      </c>
      <c r="AJ153" s="1" t="str">
        <f>IF(ISERROR(MATCH(A153,'SegEnds_Xtal_Prot#'!B:B, 0)), "NoXtal", "Xtal")</f>
        <v>NoXtal</v>
      </c>
    </row>
    <row r="154" spans="1:36" x14ac:dyDescent="0.2">
      <c r="A154" s="1" t="s">
        <v>273</v>
      </c>
      <c r="B154" s="1" t="str">
        <f>VLOOKUP(A154,Xtal_Templ!A:B,2,FALSE)</f>
        <v>ox1r_human</v>
      </c>
      <c r="C154" s="5">
        <f>VLOOKUP($B154&amp;"__wt",'SegEnds_Xtal_BW#'!$A:$Z,3,FALSE)</f>
        <v>32</v>
      </c>
      <c r="D154" s="1">
        <f>VLOOKUP($B154&amp;"__wt",'SegEnds_Xtal_BW#'!$A:$Z,4,FALSE)</f>
        <v>60</v>
      </c>
      <c r="E154" s="1">
        <f>VLOOKUP($B154&amp;"__wt",'SegEnds_Xtal_BW#'!$A:$Z,5,FALSE)</f>
        <v>48</v>
      </c>
      <c r="F154" s="1">
        <f>VLOOKUP($B154&amp;"__wt",'SegEnds_Xtal_BW#'!$A:$Z,6,FALSE)</f>
        <v>51</v>
      </c>
      <c r="G154" s="1">
        <v>37</v>
      </c>
      <c r="H154" s="12">
        <f>VLOOKUP($B154&amp;"__wt",'SegEnds_Xtal_BW#'!$A:$Z,8,FALSE)</f>
        <v>67</v>
      </c>
      <c r="I154" s="1">
        <f>VLOOKUP($B154&amp;"__wt",'SegEnds_Xtal_BW#'!$A:$Z,9,FALSE)</f>
        <v>49</v>
      </c>
      <c r="J154" s="1">
        <f>VLOOKUP($B154&amp;"__wt",'SegEnds_Xtal_BW#'!$A:$Z,10,FALSE)</f>
        <v>52</v>
      </c>
      <c r="K154" s="12">
        <v>18</v>
      </c>
      <c r="L154" s="1">
        <f>VLOOKUP($B154&amp;"__wt",'SegEnds_Xtal_BW#'!$A:$Z,12,FALSE)</f>
        <v>56</v>
      </c>
      <c r="M154" s="1">
        <f>VLOOKUP($B154&amp;"__wt",'SegEnds_Xtal_BW#'!$A:$Z,13,FALSE)</f>
        <v>50</v>
      </c>
      <c r="N154" s="12">
        <v>57</v>
      </c>
      <c r="O154" s="89">
        <f>VLOOKUP($B154&amp;"__wt",'SegEnds_Xtal_BW#'!$A:$Z,15,FALSE)</f>
        <v>38</v>
      </c>
      <c r="P154" s="1">
        <f>VLOOKUP($B154&amp;"__wt",'SegEnds_Xtal_BW#'!$A:$Z,16,FALSE)</f>
        <v>64</v>
      </c>
      <c r="Q154" s="1">
        <f>VLOOKUP($B154&amp;"__wt",'SegEnds_Xtal_BW#'!$A:$Z,17,FALSE)</f>
        <v>50</v>
      </c>
      <c r="R154" s="1">
        <f>VLOOKUP($B154&amp;"__wt",'SegEnds_Xtal_BW#'!$A:$Z,18,FALSE)</f>
        <v>52</v>
      </c>
      <c r="S154" s="1">
        <v>35</v>
      </c>
      <c r="T154" s="1">
        <f t="array" ref="T154">INDEX('ICL3'!$G$2:$G$40,MATCH(MIN(ABS(AH154-'ICL3'!$F$2:$F$40)),ABS(AH154-'ICL3'!$F$2:$F$40),0))</f>
        <v>74</v>
      </c>
      <c r="U154" s="1">
        <f t="array" ref="U154">INDEX('ICL3'!$H$2:$H$40,MATCH(MIN(ABS(AH154-'ICL3'!$F$2:$F$40)),ABS(AH154-'ICL3'!$F$2:$F$40),0))</f>
        <v>21</v>
      </c>
      <c r="V154" s="1">
        <v>61</v>
      </c>
      <c r="W154" s="1">
        <v>32</v>
      </c>
      <c r="X154" s="1">
        <f>VLOOKUP($B154&amp;"__wt",'SegEnds_Xtal_BW#'!$A:$Z,24,FALSE)</f>
        <v>56</v>
      </c>
      <c r="Y154" s="1">
        <f>VLOOKUP($B154&amp;"__wt",'SegEnds_Xtal_BW#'!$A:$Z,25,FALSE)</f>
        <v>47</v>
      </c>
      <c r="Z154" s="1">
        <f>VLOOKUP($B154&amp;"__wt",'SegEnds_Xtal_BW#'!$A:$Z,26,FALSE)</f>
        <v>58</v>
      </c>
      <c r="AA154" s="27" t="str">
        <f>VLOOKUP(A154,Classification!A:B,2,FALSE)</f>
        <v>A</v>
      </c>
      <c r="AB154" s="1">
        <f>VLOOKUP(A154,'SegEnds_NonXtal_Prot#'!A:AL,10,FALSE)-VLOOKUP(A154,'SegEnds_NonXtal_Prot#'!A:AL,7,FALSE)</f>
        <v>15</v>
      </c>
      <c r="AC154" s="1" t="e">
        <f>VLOOKUP(A154,'SegEnds_NonXtal_Prot#'!A:AL,13,FALSE)-VLOOKUP(A154,'SegEnds_NonXtal_Prot#'!A:AL,10,FALSE)</f>
        <v>#VALUE!</v>
      </c>
      <c r="AD154" s="1">
        <f>VLOOKUP(A154,'SegEnds_NonXtal_Prot#'!A:AL,16,FALSE)-VLOOKUP(A154,'SegEnds_NonXtal_Prot#'!A:AL,10,FALSE)</f>
        <v>61</v>
      </c>
      <c r="AE154" s="1">
        <f>VLOOKUP(A154,'SegEnds_NonXtal_Prot#'!A:AL,22,FALSE)-VLOOKUP(A154,'SegEnds_NonXtal_Prot#'!A:AL,19,FALSE)</f>
        <v>20</v>
      </c>
      <c r="AF154" s="1" t="e">
        <f>VLOOKUP(A154,'SegEnds_NonXtal_Prot#'!A:AL,28,FALSE)-VLOOKUP(A154,'SegEnds_NonXtal_Prot#'!A:AL,25,FALSE)</f>
        <v>#VALUE!</v>
      </c>
      <c r="AG154" s="1">
        <f>VLOOKUP(A154,'SegEnds_NonXtal_Prot#'!A:AL,28,FALSE)-VLOOKUP(A154,'SegEnds_NonXtal_Prot#'!A:AL,22,FALSE)</f>
        <v>72</v>
      </c>
      <c r="AH154" s="1">
        <f>VLOOKUP(A154,'SegEnds_NonXtal_Prot#'!A:AL,31,FALSE)-VLOOKUP(A154,'SegEnds_NonXtal_Prot#'!A:AL,28,FALSE)</f>
        <v>61</v>
      </c>
      <c r="AI154" s="1">
        <f>VLOOKUP(A154,'SegEnds_NonXtal_Prot#'!A:AL,34,FALSE)-VLOOKUP(A154,'SegEnds_NonXtal_Prot#'!A:AL,31,FALSE)</f>
        <v>34</v>
      </c>
      <c r="AJ154" s="1" t="str">
        <f>IF(ISERROR(MATCH(A154,'SegEnds_Xtal_Prot#'!B:B, 0)), "NoXtal", "Xtal")</f>
        <v>NoXtal</v>
      </c>
    </row>
    <row r="155" spans="1:36" x14ac:dyDescent="0.2">
      <c r="A155" s="1" t="s">
        <v>274</v>
      </c>
      <c r="B155" s="1" t="str">
        <f>VLOOKUP(A155,Xtal_Templ!A:B,2,FALSE)</f>
        <v>ednrb_human</v>
      </c>
      <c r="C155" s="5">
        <f>VLOOKUP($B155&amp;"__wt",'SegEnds_Xtal_BW#'!$A:$Z,3,FALSE)</f>
        <v>22</v>
      </c>
      <c r="D155" s="1">
        <f>VLOOKUP($B155&amp;"__wt",'SegEnds_Xtal_BW#'!$A:$Z,4,FALSE)</f>
        <v>60</v>
      </c>
      <c r="E155" s="1">
        <f>VLOOKUP($B155&amp;"__wt",'SegEnds_Xtal_BW#'!$A:$Z,5,FALSE)</f>
        <v>48</v>
      </c>
      <c r="F155" s="1">
        <f>VLOOKUP($B155&amp;"__wt",'SegEnds_Xtal_BW#'!$A:$Z,6,FALSE)</f>
        <v>52</v>
      </c>
      <c r="G155" s="1">
        <v>37</v>
      </c>
      <c r="H155" s="12">
        <f>VLOOKUP($B155&amp;"__wt",'SegEnds_Xtal_BW#'!$A:$Z,8,FALSE)</f>
        <v>67</v>
      </c>
      <c r="I155" s="1">
        <f>VLOOKUP($B155&amp;"__wt",'SegEnds_Xtal_BW#'!$A:$Z,9,FALSE)</f>
        <v>49</v>
      </c>
      <c r="J155" s="1">
        <f>VLOOKUP($B155&amp;"__wt",'SegEnds_Xtal_BW#'!$A:$Z,10,FALSE)</f>
        <v>52</v>
      </c>
      <c r="K155" s="12">
        <v>18</v>
      </c>
      <c r="L155" s="1">
        <f>VLOOKUP($B155&amp;"__wt",'SegEnds_Xtal_BW#'!$A:$Z,12,FALSE)</f>
        <v>56</v>
      </c>
      <c r="M155" s="1">
        <f>VLOOKUP($B155&amp;"__wt",'SegEnds_Xtal_BW#'!$A:$Z,13,FALSE)</f>
        <v>50</v>
      </c>
      <c r="N155" s="12">
        <v>57</v>
      </c>
      <c r="O155" s="89">
        <v>38</v>
      </c>
      <c r="P155" s="1">
        <f>VLOOKUP($B155&amp;"__wt",'SegEnds_Xtal_BW#'!$A:$Z,16,FALSE)</f>
        <v>64</v>
      </c>
      <c r="Q155" s="1">
        <f>VLOOKUP($B155&amp;"__wt",'SegEnds_Xtal_BW#'!$A:$Z,17,FALSE)</f>
        <v>50</v>
      </c>
      <c r="R155" s="1">
        <f>VLOOKUP($B155&amp;"__wt",'SegEnds_Xtal_BW#'!$A:$Z,18,FALSE)</f>
        <v>52</v>
      </c>
      <c r="S155" s="1">
        <f>VLOOKUP($B155&amp;"__wt",'SegEnds_Xtal_BW#'!$A:$Z,19,FALSE)</f>
        <v>29</v>
      </c>
      <c r="T155" s="1">
        <f t="array" ref="T155">INDEX('ICL3'!$G$2:$G$40,MATCH(MIN(ABS(AH155-'ICL3'!$F$2:$F$40)),ABS(AH155-'ICL3'!$F$2:$F$40),0))</f>
        <v>72</v>
      </c>
      <c r="U155" s="1">
        <f t="array" ref="U155">INDEX('ICL3'!$H$2:$H$40,MATCH(MIN(ABS(AH155-'ICL3'!$F$2:$F$40)),ABS(AH155-'ICL3'!$F$2:$F$40),0))</f>
        <v>24</v>
      </c>
      <c r="V155" s="1">
        <v>61</v>
      </c>
      <c r="W155" s="1">
        <v>28</v>
      </c>
      <c r="X155" s="1">
        <f>VLOOKUP($B155&amp;"__wt",'SegEnds_Xtal_BW#'!$A:$Z,24,FALSE)</f>
        <v>56</v>
      </c>
      <c r="Y155" s="1">
        <f>VLOOKUP($B155&amp;"__wt",'SegEnds_Xtal_BW#'!$A:$Z,25,FALSE)</f>
        <v>47</v>
      </c>
      <c r="Z155" s="1">
        <f>VLOOKUP($B155&amp;"__wt",'SegEnds_Xtal_BW#'!$A:$Z,26,FALSE)</f>
        <v>60</v>
      </c>
      <c r="AA155" s="27" t="str">
        <f>VLOOKUP(A155,Classification!A:B,2,FALSE)</f>
        <v>A</v>
      </c>
      <c r="AB155" s="1">
        <f>VLOOKUP(A155,'SegEnds_NonXtal_Prot#'!A:AL,10,FALSE)-VLOOKUP(A155,'SegEnds_NonXtal_Prot#'!A:AL,7,FALSE)</f>
        <v>15</v>
      </c>
      <c r="AC155" s="1">
        <f>VLOOKUP(A155,'SegEnds_NonXtal_Prot#'!A:AL,13,FALSE)-VLOOKUP(A155,'SegEnds_NonXtal_Prot#'!A:AL,10,FALSE)</f>
        <v>20</v>
      </c>
      <c r="AD155" s="1">
        <f>VLOOKUP(A155,'SegEnds_NonXtal_Prot#'!A:AL,16,FALSE)-VLOOKUP(A155,'SegEnds_NonXtal_Prot#'!A:AL,10,FALSE)</f>
        <v>52</v>
      </c>
      <c r="AE155" s="1">
        <f>VLOOKUP(A155,'SegEnds_NonXtal_Prot#'!A:AL,22,FALSE)-VLOOKUP(A155,'SegEnds_NonXtal_Prot#'!A:AL,19,FALSE)</f>
        <v>20</v>
      </c>
      <c r="AF155" s="1">
        <f>VLOOKUP(A155,'SegEnds_NonXtal_Prot#'!A:AL,28,FALSE)-VLOOKUP(A155,'SegEnds_NonXtal_Prot#'!A:AL,25,FALSE)</f>
        <v>26</v>
      </c>
      <c r="AG155" s="1">
        <f>VLOOKUP(A155,'SegEnds_NonXtal_Prot#'!A:AL,28,FALSE)-VLOOKUP(A155,'SegEnds_NonXtal_Prot#'!A:AL,22,FALSE)</f>
        <v>57</v>
      </c>
      <c r="AH155" s="1">
        <f>VLOOKUP(A155,'SegEnds_NonXtal_Prot#'!A:AL,31,FALSE)-VLOOKUP(A155,'SegEnds_NonXtal_Prot#'!A:AL,28,FALSE)</f>
        <v>57</v>
      </c>
      <c r="AI155" s="1">
        <f>VLOOKUP(A155,'SegEnds_NonXtal_Prot#'!A:AL,34,FALSE)-VLOOKUP(A155,'SegEnds_NonXtal_Prot#'!A:AL,31,FALSE)</f>
        <v>40</v>
      </c>
      <c r="AJ155" s="1" t="str">
        <f>IF(ISERROR(MATCH(A155,'SegEnds_Xtal_Prot#'!B:B, 0)), "NoXtal", "Xtal")</f>
        <v>NoXtal</v>
      </c>
    </row>
    <row r="156" spans="1:36" x14ac:dyDescent="0.2">
      <c r="A156" s="1" t="s">
        <v>275</v>
      </c>
      <c r="B156" s="1" t="str">
        <f>VLOOKUP(A156,Xtal_Templ!A:B,2,FALSE)</f>
        <v>p2ry1_human</v>
      </c>
      <c r="C156" s="5">
        <f>VLOOKUP($B156&amp;"__wt",'SegEnds_Xtal_BW#'!$A:$Z,3,FALSE)</f>
        <v>30</v>
      </c>
      <c r="D156" s="1">
        <f>VLOOKUP($B156&amp;"__wt",'SegEnds_Xtal_BW#'!$A:$Z,4,FALSE)</f>
        <v>60</v>
      </c>
      <c r="E156" s="1" t="str">
        <f>VLOOKUP($B156&amp;"__wt",'SegEnds_Xtal_BW#'!$A:$Z,5,FALSE)</f>
        <v>-</v>
      </c>
      <c r="F156" s="1" t="str">
        <f>VLOOKUP($B156&amp;"__wt",'SegEnds_Xtal_BW#'!$A:$Z,6,FALSE)</f>
        <v>-</v>
      </c>
      <c r="G156" s="1">
        <v>37</v>
      </c>
      <c r="H156" s="12">
        <f>VLOOKUP($B156&amp;"__wt",'SegEnds_Xtal_BW#'!$A:$Z,8,FALSE)</f>
        <v>66</v>
      </c>
      <c r="I156" s="1">
        <f>VLOOKUP($B156&amp;"__wt",'SegEnds_Xtal_BW#'!$A:$Z,9,FALSE)</f>
        <v>49</v>
      </c>
      <c r="J156" s="1">
        <f>VLOOKUP($B156&amp;"__wt",'SegEnds_Xtal_BW#'!$A:$Z,10,FALSE)</f>
        <v>52</v>
      </c>
      <c r="K156" s="12">
        <v>18</v>
      </c>
      <c r="L156" s="1">
        <f>VLOOKUP($B156&amp;"__wt",'SegEnds_Xtal_BW#'!$A:$Z,12,FALSE)</f>
        <v>56</v>
      </c>
      <c r="M156" s="1">
        <f>VLOOKUP($B156&amp;"__wt",'SegEnds_Xtal_BW#'!$A:$Z,13,FALSE)</f>
        <v>50</v>
      </c>
      <c r="N156" s="12">
        <v>57</v>
      </c>
      <c r="O156" s="89">
        <f>VLOOKUP($B156&amp;"__wt",'SegEnds_Xtal_BW#'!$A:$Z,15,FALSE)</f>
        <v>38</v>
      </c>
      <c r="P156" s="1">
        <f>VLOOKUP($B156&amp;"__wt",'SegEnds_Xtal_BW#'!$A:$Z,16,FALSE)</f>
        <v>64</v>
      </c>
      <c r="Q156" s="1">
        <f>VLOOKUP($B156&amp;"__wt",'SegEnds_Xtal_BW#'!$A:$Z,17,FALSE)</f>
        <v>50</v>
      </c>
      <c r="R156" s="1">
        <f>VLOOKUP($B156&amp;"__wt",'SegEnds_Xtal_BW#'!$A:$Z,18,FALSE)</f>
        <v>52</v>
      </c>
      <c r="S156" s="1">
        <f>VLOOKUP($B156&amp;"__wt",'SegEnds_Xtal_BW#'!$A:$Z,19,FALSE)</f>
        <v>32</v>
      </c>
      <c r="T156" s="1">
        <f t="array" ref="T156">INDEX('ICL3'!$G$2:$G$40,MATCH(MIN(ABS(AH156-'ICL3'!$F$2:$F$40)),ABS(AH156-'ICL3'!$F$2:$F$40),0))</f>
        <v>67</v>
      </c>
      <c r="U156" s="1">
        <f t="array" ref="U156">INDEX('ICL3'!$H$2:$H$40,MATCH(MIN(ABS(AH156-'ICL3'!$F$2:$F$40)),ABS(AH156-'ICL3'!$F$2:$F$40),0))</f>
        <v>26</v>
      </c>
      <c r="V156" s="1">
        <v>61</v>
      </c>
      <c r="W156" s="1">
        <v>28</v>
      </c>
      <c r="X156" s="1">
        <f>VLOOKUP($B156&amp;"__wt",'SegEnds_Xtal_BW#'!$A:$Z,24,FALSE)</f>
        <v>56</v>
      </c>
      <c r="Y156" s="1">
        <f>VLOOKUP($B156&amp;"__wt",'SegEnds_Xtal_BW#'!$A:$Z,25,FALSE)</f>
        <v>47</v>
      </c>
      <c r="Z156" s="1">
        <f>VLOOKUP($B156&amp;"__wt",'SegEnds_Xtal_BW#'!$A:$Z,26,FALSE)</f>
        <v>59</v>
      </c>
      <c r="AA156" s="27" t="str">
        <f>VLOOKUP(A156,Classification!A:B,2,FALSE)</f>
        <v>A</v>
      </c>
      <c r="AB156" s="1" t="e">
        <f>VLOOKUP(A156,'SegEnds_NonXtal_Prot#'!A:AL,10,FALSE)-VLOOKUP(A156,'SegEnds_NonXtal_Prot#'!A:AL,7,FALSE)</f>
        <v>#VALUE!</v>
      </c>
      <c r="AC156" s="1">
        <f>VLOOKUP(A156,'SegEnds_NonXtal_Prot#'!A:AL,13,FALSE)-VLOOKUP(A156,'SegEnds_NonXtal_Prot#'!A:AL,10,FALSE)</f>
        <v>20</v>
      </c>
      <c r="AD156" s="1">
        <f>VLOOKUP(A156,'SegEnds_NonXtal_Prot#'!A:AL,16,FALSE)-VLOOKUP(A156,'SegEnds_NonXtal_Prot#'!A:AL,10,FALSE)</f>
        <v>52</v>
      </c>
      <c r="AE156" s="1">
        <f>VLOOKUP(A156,'SegEnds_NonXtal_Prot#'!A:AL,22,FALSE)-VLOOKUP(A156,'SegEnds_NonXtal_Prot#'!A:AL,19,FALSE)</f>
        <v>20</v>
      </c>
      <c r="AF156" s="1">
        <f>VLOOKUP(A156,'SegEnds_NonXtal_Prot#'!A:AL,28,FALSE)-VLOOKUP(A156,'SegEnds_NonXtal_Prot#'!A:AL,25,FALSE)</f>
        <v>23</v>
      </c>
      <c r="AG156" s="1">
        <f>VLOOKUP(A156,'SegEnds_NonXtal_Prot#'!A:AL,28,FALSE)-VLOOKUP(A156,'SegEnds_NonXtal_Prot#'!A:AL,22,FALSE)</f>
        <v>48</v>
      </c>
      <c r="AH156" s="1">
        <f>VLOOKUP(A156,'SegEnds_NonXtal_Prot#'!A:AL,31,FALSE)-VLOOKUP(A156,'SegEnds_NonXtal_Prot#'!A:AL,28,FALSE)</f>
        <v>47</v>
      </c>
      <c r="AI156" s="1">
        <f>VLOOKUP(A156,'SegEnds_NonXtal_Prot#'!A:AL,34,FALSE)-VLOOKUP(A156,'SegEnds_NonXtal_Prot#'!A:AL,31,FALSE)</f>
        <v>40</v>
      </c>
      <c r="AJ156" s="1" t="str">
        <f>IF(ISERROR(MATCH(A156,'SegEnds_Xtal_Prot#'!B:B, 0)), "NoXtal", "Xtal")</f>
        <v>NoXtal</v>
      </c>
    </row>
    <row r="157" spans="1:36" x14ac:dyDescent="0.2">
      <c r="A157" s="1" t="s">
        <v>276</v>
      </c>
      <c r="B157" s="1" t="str">
        <f>VLOOKUP(A157,Xtal_Templ!A:B,2,FALSE)</f>
        <v>oprk_human</v>
      </c>
      <c r="C157" s="5">
        <f>VLOOKUP($B157&amp;"__wt",'SegEnds_Xtal_BW#'!$A:$Z,3,FALSE)</f>
        <v>30</v>
      </c>
      <c r="D157" s="1">
        <f>VLOOKUP($B157&amp;"__wt",'SegEnds_Xtal_BW#'!$A:$Z,4,FALSE)</f>
        <v>60</v>
      </c>
      <c r="E157" s="1">
        <f>VLOOKUP($B157&amp;"__wt",'SegEnds_Xtal_BW#'!$A:$Z,5,FALSE)</f>
        <v>48</v>
      </c>
      <c r="F157" s="1">
        <f>VLOOKUP($B157&amp;"__wt",'SegEnds_Xtal_BW#'!$A:$Z,6,FALSE)</f>
        <v>51</v>
      </c>
      <c r="G157" s="1">
        <v>37</v>
      </c>
      <c r="H157" s="12">
        <f>VLOOKUP($B157&amp;"__wt",'SegEnds_Xtal_BW#'!$A:$Z,8,FALSE)</f>
        <v>66</v>
      </c>
      <c r="I157" s="1">
        <f>VLOOKUP($B157&amp;"__wt",'SegEnds_Xtal_BW#'!$A:$Z,9,FALSE)</f>
        <v>49</v>
      </c>
      <c r="J157" s="1">
        <f>VLOOKUP($B157&amp;"__wt",'SegEnds_Xtal_BW#'!$A:$Z,10,FALSE)</f>
        <v>52</v>
      </c>
      <c r="K157" s="12">
        <v>18</v>
      </c>
      <c r="L157" s="1">
        <f>VLOOKUP($B157&amp;"__wt",'SegEnds_Xtal_BW#'!$A:$Z,12,FALSE)</f>
        <v>56</v>
      </c>
      <c r="M157" s="1">
        <f>VLOOKUP($B157&amp;"__wt",'SegEnds_Xtal_BW#'!$A:$Z,13,FALSE)</f>
        <v>50</v>
      </c>
      <c r="N157" s="12">
        <v>57</v>
      </c>
      <c r="O157" s="89">
        <f>VLOOKUP($B157&amp;"__wt",'SegEnds_Xtal_BW#'!$A:$Z,15,FALSE)</f>
        <v>38</v>
      </c>
      <c r="P157" s="1">
        <f>VLOOKUP($B157&amp;"__wt",'SegEnds_Xtal_BW#'!$A:$Z,16,FALSE)</f>
        <v>64</v>
      </c>
      <c r="Q157" s="1">
        <f>VLOOKUP($B157&amp;"__wt",'SegEnds_Xtal_BW#'!$A:$Z,17,FALSE)</f>
        <v>50</v>
      </c>
      <c r="R157" s="1">
        <f>VLOOKUP($B157&amp;"__wt",'SegEnds_Xtal_BW#'!$A:$Z,18,FALSE)</f>
        <v>52</v>
      </c>
      <c r="S157" s="1">
        <f>VLOOKUP($B157&amp;"__wt",'SegEnds_Xtal_BW#'!$A:$Z,19,FALSE)</f>
        <v>31</v>
      </c>
      <c r="T157" s="1">
        <f t="array" ref="T157">INDEX('ICL3'!$G$2:$G$40,MATCH(MIN(ABS(AH157-'ICL3'!$F$2:$F$40)),ABS(AH157-'ICL3'!$F$2:$F$40),0))</f>
        <v>67</v>
      </c>
      <c r="U157" s="1">
        <f t="array" ref="U157">INDEX('ICL3'!$H$2:$H$40,MATCH(MIN(ABS(AH157-'ICL3'!$F$2:$F$40)),ABS(AH157-'ICL3'!$F$2:$F$40),0))</f>
        <v>26</v>
      </c>
      <c r="V157" s="1">
        <v>64</v>
      </c>
      <c r="W157" s="1">
        <v>24</v>
      </c>
      <c r="X157" s="1">
        <f>VLOOKUP($B157&amp;"__wt",'SegEnds_Xtal_BW#'!$A:$Z,24,FALSE)</f>
        <v>56</v>
      </c>
      <c r="Y157" s="1">
        <f>VLOOKUP($B157&amp;"__wt",'SegEnds_Xtal_BW#'!$A:$Z,25,FALSE)</f>
        <v>47</v>
      </c>
      <c r="Z157" s="1">
        <f>VLOOKUP($B157&amp;"__wt",'SegEnds_Xtal_BW#'!$A:$Z,26,FALSE)</f>
        <v>59</v>
      </c>
      <c r="AA157" s="27" t="str">
        <f>VLOOKUP(A157,Classification!A:B,2,FALSE)</f>
        <v>A</v>
      </c>
      <c r="AB157" s="1" t="e">
        <f>VLOOKUP(A157,'SegEnds_NonXtal_Prot#'!A:AL,10,FALSE)-VLOOKUP(A157,'SegEnds_NonXtal_Prot#'!A:AL,7,FALSE)</f>
        <v>#VALUE!</v>
      </c>
      <c r="AC157" s="1">
        <f>VLOOKUP(A157,'SegEnds_NonXtal_Prot#'!A:AL,13,FALSE)-VLOOKUP(A157,'SegEnds_NonXtal_Prot#'!A:AL,10,FALSE)</f>
        <v>20</v>
      </c>
      <c r="AD157" s="1">
        <f>VLOOKUP(A157,'SegEnds_NonXtal_Prot#'!A:AL,16,FALSE)-VLOOKUP(A157,'SegEnds_NonXtal_Prot#'!A:AL,10,FALSE)</f>
        <v>52</v>
      </c>
      <c r="AE157" s="1">
        <f>VLOOKUP(A157,'SegEnds_NonXtal_Prot#'!A:AL,22,FALSE)-VLOOKUP(A157,'SegEnds_NonXtal_Prot#'!A:AL,19,FALSE)</f>
        <v>20</v>
      </c>
      <c r="AF157" s="1">
        <f>VLOOKUP(A157,'SegEnds_NonXtal_Prot#'!A:AL,28,FALSE)-VLOOKUP(A157,'SegEnds_NonXtal_Prot#'!A:AL,25,FALSE)</f>
        <v>23</v>
      </c>
      <c r="AG157" s="1">
        <f>VLOOKUP(A157,'SegEnds_NonXtal_Prot#'!A:AL,28,FALSE)-VLOOKUP(A157,'SegEnds_NonXtal_Prot#'!A:AL,22,FALSE)</f>
        <v>48</v>
      </c>
      <c r="AH157" s="1">
        <f>VLOOKUP(A157,'SegEnds_NonXtal_Prot#'!A:AL,31,FALSE)-VLOOKUP(A157,'SegEnds_NonXtal_Prot#'!A:AL,28,FALSE)</f>
        <v>46</v>
      </c>
      <c r="AI157" s="1">
        <f>VLOOKUP(A157,'SegEnds_NonXtal_Prot#'!A:AL,34,FALSE)-VLOOKUP(A157,'SegEnds_NonXtal_Prot#'!A:AL,31,FALSE)</f>
        <v>45</v>
      </c>
      <c r="AJ157" s="1" t="str">
        <f>IF(ISERROR(MATCH(A157,'SegEnds_Xtal_Prot#'!B:B, 0)), "NoXtal", "Xtal")</f>
        <v>NoXtal</v>
      </c>
    </row>
    <row r="158" spans="1:36" x14ac:dyDescent="0.2">
      <c r="A158" s="1" t="s">
        <v>277</v>
      </c>
      <c r="B158" s="1" t="str">
        <f>VLOOKUP(A158,Xtal_Templ!A:B,2,FALSE)</f>
        <v>p2ry1_human</v>
      </c>
      <c r="C158" s="5">
        <f>VLOOKUP($B158&amp;"__wt",'SegEnds_Xtal_BW#'!$A:$Z,3,FALSE)</f>
        <v>30</v>
      </c>
      <c r="D158" s="1">
        <f>VLOOKUP($B158&amp;"__wt",'SegEnds_Xtal_BW#'!$A:$Z,4,FALSE)</f>
        <v>60</v>
      </c>
      <c r="E158" s="1" t="str">
        <f>VLOOKUP($B158&amp;"__wt",'SegEnds_Xtal_BW#'!$A:$Z,5,FALSE)</f>
        <v>-</v>
      </c>
      <c r="F158" s="1" t="str">
        <f>VLOOKUP($B158&amp;"__wt",'SegEnds_Xtal_BW#'!$A:$Z,6,FALSE)</f>
        <v>-</v>
      </c>
      <c r="G158" s="1">
        <v>37</v>
      </c>
      <c r="H158" s="12">
        <f>VLOOKUP($B158&amp;"__wt",'SegEnds_Xtal_BW#'!$A:$Z,8,FALSE)</f>
        <v>66</v>
      </c>
      <c r="I158" s="1">
        <f>VLOOKUP($B158&amp;"__wt",'SegEnds_Xtal_BW#'!$A:$Z,9,FALSE)</f>
        <v>49</v>
      </c>
      <c r="J158" s="1">
        <f>VLOOKUP($B158&amp;"__wt",'SegEnds_Xtal_BW#'!$A:$Z,10,FALSE)</f>
        <v>52</v>
      </c>
      <c r="K158" s="12">
        <v>18</v>
      </c>
      <c r="L158" s="1">
        <f>VLOOKUP($B158&amp;"__wt",'SegEnds_Xtal_BW#'!$A:$Z,12,FALSE)</f>
        <v>56</v>
      </c>
      <c r="M158" s="1">
        <f>VLOOKUP($B158&amp;"__wt",'SegEnds_Xtal_BW#'!$A:$Z,13,FALSE)</f>
        <v>50</v>
      </c>
      <c r="N158" s="12">
        <v>57</v>
      </c>
      <c r="O158" s="89">
        <f>VLOOKUP($B158&amp;"__wt",'SegEnds_Xtal_BW#'!$A:$Z,15,FALSE)</f>
        <v>38</v>
      </c>
      <c r="P158" s="1">
        <f>VLOOKUP($B158&amp;"__wt",'SegEnds_Xtal_BW#'!$A:$Z,16,FALSE)</f>
        <v>64</v>
      </c>
      <c r="Q158" s="1">
        <f>VLOOKUP($B158&amp;"__wt",'SegEnds_Xtal_BW#'!$A:$Z,17,FALSE)</f>
        <v>50</v>
      </c>
      <c r="R158" s="1">
        <f>VLOOKUP($B158&amp;"__wt",'SegEnds_Xtal_BW#'!$A:$Z,18,FALSE)</f>
        <v>52</v>
      </c>
      <c r="S158" s="1">
        <f>VLOOKUP($B158&amp;"__wt",'SegEnds_Xtal_BW#'!$A:$Z,19,FALSE)</f>
        <v>32</v>
      </c>
      <c r="T158" s="1">
        <f t="array" ref="T158">INDEX('ICL3'!$G$2:$G$40,MATCH(MIN(ABS(AH158-'ICL3'!$F$2:$F$40)),ABS(AH158-'ICL3'!$F$2:$F$40),0))</f>
        <v>67</v>
      </c>
      <c r="U158" s="1">
        <f t="array" ref="U158">INDEX('ICL3'!$H$2:$H$40,MATCH(MIN(ABS(AH158-'ICL3'!$F$2:$F$40)),ABS(AH158-'ICL3'!$F$2:$F$40),0))</f>
        <v>26</v>
      </c>
      <c r="V158" s="1">
        <v>64</v>
      </c>
      <c r="W158" s="1">
        <v>24</v>
      </c>
      <c r="X158" s="1">
        <f>VLOOKUP($B158&amp;"__wt",'SegEnds_Xtal_BW#'!$A:$Z,24,FALSE)</f>
        <v>56</v>
      </c>
      <c r="Y158" s="1">
        <f>VLOOKUP($B158&amp;"__wt",'SegEnds_Xtal_BW#'!$A:$Z,25,FALSE)</f>
        <v>47</v>
      </c>
      <c r="Z158" s="1">
        <f>VLOOKUP($B158&amp;"__wt",'SegEnds_Xtal_BW#'!$A:$Z,26,FALSE)</f>
        <v>59</v>
      </c>
      <c r="AA158" s="27" t="str">
        <f>VLOOKUP(A158,Classification!A:B,2,FALSE)</f>
        <v>A</v>
      </c>
      <c r="AB158" s="1" t="e">
        <f>VLOOKUP(A158,'SegEnds_NonXtal_Prot#'!A:AL,10,FALSE)-VLOOKUP(A158,'SegEnds_NonXtal_Prot#'!A:AL,7,FALSE)</f>
        <v>#VALUE!</v>
      </c>
      <c r="AC158" s="1">
        <f>VLOOKUP(A158,'SegEnds_NonXtal_Prot#'!A:AL,13,FALSE)-VLOOKUP(A158,'SegEnds_NonXtal_Prot#'!A:AL,10,FALSE)</f>
        <v>20</v>
      </c>
      <c r="AD158" s="1">
        <f>VLOOKUP(A158,'SegEnds_NonXtal_Prot#'!A:AL,16,FALSE)-VLOOKUP(A158,'SegEnds_NonXtal_Prot#'!A:AL,10,FALSE)</f>
        <v>52</v>
      </c>
      <c r="AE158" s="1">
        <f>VLOOKUP(A158,'SegEnds_NonXtal_Prot#'!A:AL,22,FALSE)-VLOOKUP(A158,'SegEnds_NonXtal_Prot#'!A:AL,19,FALSE)</f>
        <v>20</v>
      </c>
      <c r="AF158" s="1">
        <f>VLOOKUP(A158,'SegEnds_NonXtal_Prot#'!A:AL,28,FALSE)-VLOOKUP(A158,'SegEnds_NonXtal_Prot#'!A:AL,25,FALSE)</f>
        <v>23</v>
      </c>
      <c r="AG158" s="1">
        <f>VLOOKUP(A158,'SegEnds_NonXtal_Prot#'!A:AL,28,FALSE)-VLOOKUP(A158,'SegEnds_NonXtal_Prot#'!A:AL,22,FALSE)</f>
        <v>48</v>
      </c>
      <c r="AH158" s="1">
        <f>VLOOKUP(A158,'SegEnds_NonXtal_Prot#'!A:AL,31,FALSE)-VLOOKUP(A158,'SegEnds_NonXtal_Prot#'!A:AL,28,FALSE)</f>
        <v>46</v>
      </c>
      <c r="AI158" s="1">
        <f>VLOOKUP(A158,'SegEnds_NonXtal_Prot#'!A:AL,34,FALSE)-VLOOKUP(A158,'SegEnds_NonXtal_Prot#'!A:AL,31,FALSE)</f>
        <v>45</v>
      </c>
      <c r="AJ158" s="1" t="str">
        <f>IF(ISERROR(MATCH(A158,'SegEnds_Xtal_Prot#'!B:B, 0)), "NoXtal", "Xtal")</f>
        <v>NoXtal</v>
      </c>
    </row>
    <row r="159" spans="1:36" x14ac:dyDescent="0.2">
      <c r="A159" s="1" t="s">
        <v>278</v>
      </c>
      <c r="B159" s="1" t="str">
        <f>VLOOKUP(A159,Xtal_Templ!A:B,2,FALSE)</f>
        <v>hrh1_human</v>
      </c>
      <c r="C159" s="5">
        <f>VLOOKUP($B159&amp;"__wt",'SegEnds_Xtal_BW#'!$A:$Z,3,FALSE)</f>
        <v>34</v>
      </c>
      <c r="D159" s="1">
        <f>VLOOKUP($B159&amp;"__wt",'SegEnds_Xtal_BW#'!$A:$Z,4,FALSE)</f>
        <v>60</v>
      </c>
      <c r="E159" s="1">
        <f>VLOOKUP($B159&amp;"__wt",'SegEnds_Xtal_BW#'!$A:$Z,5,FALSE)</f>
        <v>48</v>
      </c>
      <c r="F159" s="1">
        <f>VLOOKUP($B159&amp;"__wt",'SegEnds_Xtal_BW#'!$A:$Z,6,FALSE)</f>
        <v>51</v>
      </c>
      <c r="G159" s="1">
        <v>37</v>
      </c>
      <c r="H159" s="12">
        <f>VLOOKUP($B159&amp;"__wt",'SegEnds_Xtal_BW#'!$A:$Z,8,FALSE)</f>
        <v>67</v>
      </c>
      <c r="I159" s="1">
        <f>VLOOKUP($B159&amp;"__wt",'SegEnds_Xtal_BW#'!$A:$Z,9,FALSE)</f>
        <v>49</v>
      </c>
      <c r="J159" s="1">
        <f>VLOOKUP($B159&amp;"__wt",'SegEnds_Xtal_BW#'!$A:$Z,10,FALSE)</f>
        <v>52</v>
      </c>
      <c r="K159" s="12">
        <v>18</v>
      </c>
      <c r="L159" s="1">
        <f>VLOOKUP($B159&amp;"__wt",'SegEnds_Xtal_BW#'!$A:$Z,12,FALSE)</f>
        <v>56</v>
      </c>
      <c r="M159" s="1">
        <f>VLOOKUP($B159&amp;"__wt",'SegEnds_Xtal_BW#'!$A:$Z,13,FALSE)</f>
        <v>50</v>
      </c>
      <c r="N159" s="12">
        <f>VLOOKUP($B159&amp;"__wt",'SegEnds_Xtal_BW#'!$A:$Z,14,FALSE)</f>
        <v>57</v>
      </c>
      <c r="O159" s="89">
        <f>VLOOKUP($B159&amp;"__wt",'SegEnds_Xtal_BW#'!$A:$Z,15,FALSE)</f>
        <v>38</v>
      </c>
      <c r="P159" s="1">
        <f>VLOOKUP($B159&amp;"__wt",'SegEnds_Xtal_BW#'!$A:$Z,16,FALSE)</f>
        <v>62</v>
      </c>
      <c r="Q159" s="1">
        <f>VLOOKUP($B159&amp;"__wt",'SegEnds_Xtal_BW#'!$A:$Z,17,FALSE)</f>
        <v>50</v>
      </c>
      <c r="R159" s="1">
        <f>VLOOKUP($B159&amp;"__wt",'SegEnds_Xtal_BW#'!$A:$Z,18,FALSE)</f>
        <v>52</v>
      </c>
      <c r="S159" s="1">
        <v>35</v>
      </c>
      <c r="T159" s="1">
        <f t="array" ref="T159">INDEX('ICL3'!$G$2:$G$40,MATCH(MIN(ABS(AH159-'ICL3'!$F$2:$F$40)),ABS(AH159-'ICL3'!$F$2:$F$40),0))</f>
        <v>76</v>
      </c>
      <c r="U159" s="1">
        <f t="array" ref="U159">INDEX('ICL3'!$H$2:$H$40,MATCH(MIN(ABS(AH159-'ICL3'!$F$2:$F$40)),ABS(AH159-'ICL3'!$F$2:$F$40),0))</f>
        <v>24</v>
      </c>
      <c r="V159" s="1">
        <v>61</v>
      </c>
      <c r="W159" s="1">
        <v>31</v>
      </c>
      <c r="X159" s="1">
        <f>VLOOKUP($B159&amp;"__wt",'SegEnds_Xtal_BW#'!$A:$Z,24,FALSE)</f>
        <v>56</v>
      </c>
      <c r="Y159" s="1">
        <f>VLOOKUP($B159&amp;"__wt",'SegEnds_Xtal_BW#'!$A:$Z,25,FALSE)</f>
        <v>47</v>
      </c>
      <c r="Z159" s="1">
        <f>VLOOKUP($B159&amp;"__wt",'SegEnds_Xtal_BW#'!$A:$Z,26,FALSE)</f>
        <v>59</v>
      </c>
      <c r="AA159" s="27" t="str">
        <f>VLOOKUP(A159,Classification!A:B,2,FALSE)</f>
        <v>A</v>
      </c>
      <c r="AB159" s="1">
        <f>VLOOKUP(A159,'SegEnds_NonXtal_Prot#'!A:AL,10,FALSE)-VLOOKUP(A159,'SegEnds_NonXtal_Prot#'!A:AL,7,FALSE)</f>
        <v>15</v>
      </c>
      <c r="AC159" s="1">
        <f>VLOOKUP(A159,'SegEnds_NonXtal_Prot#'!A:AL,13,FALSE)-VLOOKUP(A159,'SegEnds_NonXtal_Prot#'!A:AL,10,FALSE)</f>
        <v>20</v>
      </c>
      <c r="AD159" s="1">
        <f>VLOOKUP(A159,'SegEnds_NonXtal_Prot#'!A:AL,16,FALSE)-VLOOKUP(A159,'SegEnds_NonXtal_Prot#'!A:AL,10,FALSE)</f>
        <v>52</v>
      </c>
      <c r="AE159" s="1">
        <f>VLOOKUP(A159,'SegEnds_NonXtal_Prot#'!A:AL,22,FALSE)-VLOOKUP(A159,'SegEnds_NonXtal_Prot#'!A:AL,19,FALSE)</f>
        <v>20</v>
      </c>
      <c r="AF159" s="1">
        <f>VLOOKUP(A159,'SegEnds_NonXtal_Prot#'!A:AL,28,FALSE)-VLOOKUP(A159,'SegEnds_NonXtal_Prot#'!A:AL,25,FALSE)</f>
        <v>22</v>
      </c>
      <c r="AG159" s="1">
        <f>VLOOKUP(A159,'SegEnds_NonXtal_Prot#'!A:AL,28,FALSE)-VLOOKUP(A159,'SegEnds_NonXtal_Prot#'!A:AL,22,FALSE)</f>
        <v>50</v>
      </c>
      <c r="AH159" s="1">
        <f>VLOOKUP(A159,'SegEnds_NonXtal_Prot#'!A:AL,31,FALSE)-VLOOKUP(A159,'SegEnds_NonXtal_Prot#'!A:AL,28,FALSE)</f>
        <v>228</v>
      </c>
      <c r="AI159" s="1">
        <f>VLOOKUP(A159,'SegEnds_NonXtal_Prot#'!A:AL,34,FALSE)-VLOOKUP(A159,'SegEnds_NonXtal_Prot#'!A:AL,31,FALSE)</f>
        <v>35</v>
      </c>
      <c r="AJ159" s="1" t="str">
        <f>IF(ISERROR(MATCH(A159,'SegEnds_Xtal_Prot#'!B:B, 0)), "NoXtal", "Xtal")</f>
        <v>Xtal</v>
      </c>
    </row>
    <row r="160" spans="1:36" x14ac:dyDescent="0.2">
      <c r="A160" s="1" t="s">
        <v>279</v>
      </c>
      <c r="B160" s="1" t="str">
        <f>VLOOKUP(A160,Xtal_Templ!A:B,2,FALSE)</f>
        <v>adrb2_human</v>
      </c>
      <c r="C160" s="5">
        <f>VLOOKUP($B160&amp;"__wt",'SegEnds_Xtal_BW#'!$A:$Z,3,FALSE)</f>
        <v>25</v>
      </c>
      <c r="D160" s="1">
        <f>VLOOKUP($B160&amp;"__wt",'SegEnds_Xtal_BW#'!$A:$Z,4,FALSE)</f>
        <v>60</v>
      </c>
      <c r="E160" s="1">
        <f>VLOOKUP($B160&amp;"__wt",'SegEnds_Xtal_BW#'!$A:$Z,5,FALSE)</f>
        <v>48</v>
      </c>
      <c r="F160" s="1">
        <f>VLOOKUP($B160&amp;"__wt",'SegEnds_Xtal_BW#'!$A:$Z,6,FALSE)</f>
        <v>51</v>
      </c>
      <c r="G160" s="1">
        <v>37</v>
      </c>
      <c r="H160" s="12">
        <f>VLOOKUP($B160&amp;"__wt",'SegEnds_Xtal_BW#'!$A:$Z,8,FALSE)</f>
        <v>67</v>
      </c>
      <c r="I160" s="1">
        <f>VLOOKUP($B160&amp;"__wt",'SegEnds_Xtal_BW#'!$A:$Z,9,FALSE)</f>
        <v>49</v>
      </c>
      <c r="J160" s="1">
        <f>VLOOKUP($B160&amp;"__wt",'SegEnds_Xtal_BW#'!$A:$Z,10,FALSE)</f>
        <v>52</v>
      </c>
      <c r="K160" s="12">
        <v>18</v>
      </c>
      <c r="L160" s="1">
        <f>VLOOKUP($B160&amp;"__wt",'SegEnds_Xtal_BW#'!$A:$Z,12,FALSE)</f>
        <v>56</v>
      </c>
      <c r="M160" s="1">
        <f>VLOOKUP($B160&amp;"__wt",'SegEnds_Xtal_BW#'!$A:$Z,13,FALSE)</f>
        <v>50</v>
      </c>
      <c r="N160" s="12">
        <v>57</v>
      </c>
      <c r="O160" s="89">
        <v>38</v>
      </c>
      <c r="P160" s="1">
        <f>VLOOKUP($B160&amp;"__wt",'SegEnds_Xtal_BW#'!$A:$Z,16,FALSE)</f>
        <v>64</v>
      </c>
      <c r="Q160" s="1">
        <f>VLOOKUP($B160&amp;"__wt",'SegEnds_Xtal_BW#'!$A:$Z,17,FALSE)</f>
        <v>50</v>
      </c>
      <c r="R160" s="1">
        <f>VLOOKUP($B160&amp;"__wt",'SegEnds_Xtal_BW#'!$A:$Z,18,FALSE)</f>
        <v>52</v>
      </c>
      <c r="S160" s="1">
        <v>35</v>
      </c>
      <c r="T160" s="1">
        <f t="array" ref="T160">INDEX('ICL3'!$G$2:$G$40,MATCH(MIN(ABS(AH160-'ICL3'!$F$2:$F$40)),ABS(AH160-'ICL3'!$F$2:$F$40),0))</f>
        <v>73</v>
      </c>
      <c r="U160" s="1">
        <f t="array" ref="U160">INDEX('ICL3'!$H$2:$H$40,MATCH(MIN(ABS(AH160-'ICL3'!$F$2:$F$40)),ABS(AH160-'ICL3'!$F$2:$F$40),0))</f>
        <v>22</v>
      </c>
      <c r="V160" s="1">
        <v>61</v>
      </c>
      <c r="W160" s="1">
        <v>31</v>
      </c>
      <c r="X160" s="1">
        <f>VLOOKUP($B160&amp;"__wt",'SegEnds_Xtal_BW#'!$A:$Z,24,FALSE)</f>
        <v>55</v>
      </c>
      <c r="Y160" s="1">
        <f>VLOOKUP($B160&amp;"__wt",'SegEnds_Xtal_BW#'!$A:$Z,25,FALSE)</f>
        <v>47</v>
      </c>
      <c r="Z160" s="1">
        <f>VLOOKUP($B160&amp;"__wt",'SegEnds_Xtal_BW#'!$A:$Z,26,FALSE)</f>
        <v>59</v>
      </c>
      <c r="AA160" s="27" t="str">
        <f>VLOOKUP(A160,Classification!A:B,2,FALSE)</f>
        <v>A</v>
      </c>
      <c r="AB160" s="1">
        <f>VLOOKUP(A160,'SegEnds_NonXtal_Prot#'!A:AL,10,FALSE)-VLOOKUP(A160,'SegEnds_NonXtal_Prot#'!A:AL,7,FALSE)</f>
        <v>15</v>
      </c>
      <c r="AC160" s="1">
        <f>VLOOKUP(A160,'SegEnds_NonXtal_Prot#'!A:AL,13,FALSE)-VLOOKUP(A160,'SegEnds_NonXtal_Prot#'!A:AL,10,FALSE)</f>
        <v>20</v>
      </c>
      <c r="AD160" s="1">
        <f>VLOOKUP(A160,'SegEnds_NonXtal_Prot#'!A:AL,16,FALSE)-VLOOKUP(A160,'SegEnds_NonXtal_Prot#'!A:AL,10,FALSE)</f>
        <v>52</v>
      </c>
      <c r="AE160" s="1">
        <f>VLOOKUP(A160,'SegEnds_NonXtal_Prot#'!A:AL,22,FALSE)-VLOOKUP(A160,'SegEnds_NonXtal_Prot#'!A:AL,19,FALSE)</f>
        <v>20</v>
      </c>
      <c r="AF160" s="1">
        <f>VLOOKUP(A160,'SegEnds_NonXtal_Prot#'!A:AL,28,FALSE)-VLOOKUP(A160,'SegEnds_NonXtal_Prot#'!A:AL,25,FALSE)</f>
        <v>20</v>
      </c>
      <c r="AG160" s="1">
        <f>VLOOKUP(A160,'SegEnds_NonXtal_Prot#'!A:AL,28,FALSE)-VLOOKUP(A160,'SegEnds_NonXtal_Prot#'!A:AL,22,FALSE)</f>
        <v>51</v>
      </c>
      <c r="AH160" s="1">
        <f>VLOOKUP(A160,'SegEnds_NonXtal_Prot#'!A:AL,31,FALSE)-VLOOKUP(A160,'SegEnds_NonXtal_Prot#'!A:AL,28,FALSE)</f>
        <v>55</v>
      </c>
      <c r="AI160" s="1">
        <f>VLOOKUP(A160,'SegEnds_NonXtal_Prot#'!A:AL,34,FALSE)-VLOOKUP(A160,'SegEnds_NonXtal_Prot#'!A:AL,31,FALSE)</f>
        <v>36</v>
      </c>
      <c r="AJ160" s="1" t="str">
        <f>IF(ISERROR(MATCH(A160,'SegEnds_Xtal_Prot#'!B:B, 0)), "NoXtal", "Xtal")</f>
        <v>NoXtal</v>
      </c>
    </row>
    <row r="161" spans="1:36" x14ac:dyDescent="0.2">
      <c r="A161" s="1" t="s">
        <v>282</v>
      </c>
      <c r="B161" s="1" t="str">
        <f>VLOOKUP(A161,Xtal_Templ!A:B,2,FALSE)</f>
        <v>oprk_human</v>
      </c>
      <c r="C161" s="5">
        <f>VLOOKUP($B161&amp;"__wt",'SegEnds_Xtal_BW#'!$A:$Z,3,FALSE)</f>
        <v>30</v>
      </c>
      <c r="D161" s="1">
        <f>VLOOKUP($B161&amp;"__wt",'SegEnds_Xtal_BW#'!$A:$Z,4,FALSE)</f>
        <v>60</v>
      </c>
      <c r="E161" s="1">
        <f>VLOOKUP($B161&amp;"__wt",'SegEnds_Xtal_BW#'!$A:$Z,5,FALSE)</f>
        <v>48</v>
      </c>
      <c r="F161" s="1">
        <f>VLOOKUP($B161&amp;"__wt",'SegEnds_Xtal_BW#'!$A:$Z,6,FALSE)</f>
        <v>51</v>
      </c>
      <c r="G161" s="1">
        <v>37</v>
      </c>
      <c r="H161" s="12">
        <f>VLOOKUP($B161&amp;"__wt",'SegEnds_Xtal_BW#'!$A:$Z,8,FALSE)</f>
        <v>66</v>
      </c>
      <c r="I161" s="1">
        <f>VLOOKUP($B161&amp;"__wt",'SegEnds_Xtal_BW#'!$A:$Z,9,FALSE)</f>
        <v>49</v>
      </c>
      <c r="J161" s="1">
        <f>VLOOKUP($B161&amp;"__wt",'SegEnds_Xtal_BW#'!$A:$Z,10,FALSE)</f>
        <v>52</v>
      </c>
      <c r="K161" s="12">
        <v>18</v>
      </c>
      <c r="L161" s="1">
        <f>VLOOKUP($B161&amp;"__wt",'SegEnds_Xtal_BW#'!$A:$Z,12,FALSE)</f>
        <v>56</v>
      </c>
      <c r="M161" s="1">
        <f>VLOOKUP($B161&amp;"__wt",'SegEnds_Xtal_BW#'!$A:$Z,13,FALSE)</f>
        <v>50</v>
      </c>
      <c r="N161" s="12">
        <v>57</v>
      </c>
      <c r="O161" s="89">
        <f>VLOOKUP($B161&amp;"__wt",'SegEnds_Xtal_BW#'!$A:$Z,15,FALSE)</f>
        <v>38</v>
      </c>
      <c r="P161" s="1">
        <f>VLOOKUP($B161&amp;"__wt",'SegEnds_Xtal_BW#'!$A:$Z,16,FALSE)</f>
        <v>64</v>
      </c>
      <c r="Q161" s="1">
        <f>VLOOKUP($B161&amp;"__wt",'SegEnds_Xtal_BW#'!$A:$Z,17,FALSE)</f>
        <v>50</v>
      </c>
      <c r="R161" s="1">
        <f>VLOOKUP($B161&amp;"__wt",'SegEnds_Xtal_BW#'!$A:$Z,18,FALSE)</f>
        <v>52</v>
      </c>
      <c r="S161" s="1">
        <f>VLOOKUP($B161&amp;"__wt",'SegEnds_Xtal_BW#'!$A:$Z,19,FALSE)</f>
        <v>31</v>
      </c>
      <c r="T161" s="1">
        <f t="array" ref="T161">INDEX('ICL3'!$G$2:$G$40,MATCH(MIN(ABS(AH161-'ICL3'!$F$2:$F$40)),ABS(AH161-'ICL3'!$F$2:$F$40),0))</f>
        <v>74</v>
      </c>
      <c r="U161" s="1">
        <f t="array" ref="U161">INDEX('ICL3'!$H$2:$H$40,MATCH(MIN(ABS(AH161-'ICL3'!$F$2:$F$40)),ABS(AH161-'ICL3'!$F$2:$F$40),0))</f>
        <v>21</v>
      </c>
      <c r="V161" s="1">
        <v>61</v>
      </c>
      <c r="W161" s="1">
        <v>28</v>
      </c>
      <c r="X161" s="1">
        <f>VLOOKUP($B161&amp;"__wt",'SegEnds_Xtal_BW#'!$A:$Z,24,FALSE)</f>
        <v>56</v>
      </c>
      <c r="Y161" s="1">
        <f>VLOOKUP($B161&amp;"__wt",'SegEnds_Xtal_BW#'!$A:$Z,25,FALSE)</f>
        <v>47</v>
      </c>
      <c r="Z161" s="1">
        <f>VLOOKUP($B161&amp;"__wt",'SegEnds_Xtal_BW#'!$A:$Z,26,FALSE)</f>
        <v>59</v>
      </c>
      <c r="AA161" s="27" t="str">
        <f>VLOOKUP(A161,Classification!A:B,2,FALSE)</f>
        <v>A</v>
      </c>
      <c r="AB161" s="1">
        <f>VLOOKUP(A161,'SegEnds_NonXtal_Prot#'!A:AL,10,FALSE)-VLOOKUP(A161,'SegEnds_NonXtal_Prot#'!A:AL,7,FALSE)</f>
        <v>15</v>
      </c>
      <c r="AC161" s="1">
        <f>VLOOKUP(A161,'SegEnds_NonXtal_Prot#'!A:AL,13,FALSE)-VLOOKUP(A161,'SegEnds_NonXtal_Prot#'!A:AL,10,FALSE)</f>
        <v>20</v>
      </c>
      <c r="AD161" s="1">
        <f>VLOOKUP(A161,'SegEnds_NonXtal_Prot#'!A:AL,16,FALSE)-VLOOKUP(A161,'SegEnds_NonXtal_Prot#'!A:AL,10,FALSE)</f>
        <v>52</v>
      </c>
      <c r="AE161" s="1">
        <f>VLOOKUP(A161,'SegEnds_NonXtal_Prot#'!A:AL,22,FALSE)-VLOOKUP(A161,'SegEnds_NonXtal_Prot#'!A:AL,19,FALSE)</f>
        <v>20</v>
      </c>
      <c r="AF161" s="1">
        <f>VLOOKUP(A161,'SegEnds_NonXtal_Prot#'!A:AL,28,FALSE)-VLOOKUP(A161,'SegEnds_NonXtal_Prot#'!A:AL,25,FALSE)</f>
        <v>25</v>
      </c>
      <c r="AG161" s="1">
        <f>VLOOKUP(A161,'SegEnds_NonXtal_Prot#'!A:AL,28,FALSE)-VLOOKUP(A161,'SegEnds_NonXtal_Prot#'!A:AL,22,FALSE)</f>
        <v>49</v>
      </c>
      <c r="AH161" s="1">
        <f>VLOOKUP(A161,'SegEnds_NonXtal_Prot#'!A:AL,31,FALSE)-VLOOKUP(A161,'SegEnds_NonXtal_Prot#'!A:AL,28,FALSE)</f>
        <v>62</v>
      </c>
      <c r="AI161" s="1">
        <f>VLOOKUP(A161,'SegEnds_NonXtal_Prot#'!A:AL,34,FALSE)-VLOOKUP(A161,'SegEnds_NonXtal_Prot#'!A:AL,31,FALSE)</f>
        <v>42</v>
      </c>
      <c r="AJ161" s="1" t="str">
        <f>IF(ISERROR(MATCH(A161,'SegEnds_Xtal_Prot#'!B:B, 0)), "NoXtal", "Xtal")</f>
        <v>NoXtal</v>
      </c>
    </row>
    <row r="162" spans="1:36" x14ac:dyDescent="0.2">
      <c r="A162" s="1" t="s">
        <v>283</v>
      </c>
      <c r="B162" s="1" t="str">
        <f>VLOOKUP(A162,Xtal_Templ!A:B,2,FALSE)</f>
        <v>agtr1_human</v>
      </c>
      <c r="C162" s="5">
        <f>VLOOKUP($B162&amp;"__wt",'SegEnds_Xtal_BW#'!$A:$Z,3,FALSE)</f>
        <v>30</v>
      </c>
      <c r="D162" s="1">
        <f>VLOOKUP($B162&amp;"__wt",'SegEnds_Xtal_BW#'!$A:$Z,4,FALSE)</f>
        <v>60</v>
      </c>
      <c r="E162" s="1">
        <f>VLOOKUP($B162&amp;"__wt",'SegEnds_Xtal_BW#'!$A:$Z,5,FALSE)</f>
        <v>48</v>
      </c>
      <c r="F162" s="1">
        <f>VLOOKUP($B162&amp;"__wt",'SegEnds_Xtal_BW#'!$A:$Z,6,FALSE)</f>
        <v>51</v>
      </c>
      <c r="G162" s="1">
        <v>37</v>
      </c>
      <c r="H162" s="12">
        <v>67</v>
      </c>
      <c r="I162" s="1">
        <f>VLOOKUP($B162&amp;"__wt",'SegEnds_Xtal_BW#'!$A:$Z,9,FALSE)</f>
        <v>49</v>
      </c>
      <c r="J162" s="1">
        <f>VLOOKUP($B162&amp;"__wt",'SegEnds_Xtal_BW#'!$A:$Z,10,FALSE)</f>
        <v>52</v>
      </c>
      <c r="K162" s="12">
        <v>18</v>
      </c>
      <c r="L162" s="1">
        <f>VLOOKUP($B162&amp;"__wt",'SegEnds_Xtal_BW#'!$A:$Z,12,FALSE)</f>
        <v>56</v>
      </c>
      <c r="M162" s="1">
        <f>VLOOKUP($B162&amp;"__wt",'SegEnds_Xtal_BW#'!$A:$Z,13,FALSE)</f>
        <v>50</v>
      </c>
      <c r="N162" s="12">
        <v>57</v>
      </c>
      <c r="O162" s="89">
        <f>VLOOKUP($B162&amp;"__wt",'SegEnds_Xtal_BW#'!$A:$Z,15,FALSE)</f>
        <v>38</v>
      </c>
      <c r="P162" s="1">
        <f>VLOOKUP($B162&amp;"__wt",'SegEnds_Xtal_BW#'!$A:$Z,16,FALSE)</f>
        <v>64</v>
      </c>
      <c r="Q162" s="1">
        <f>VLOOKUP($B162&amp;"__wt",'SegEnds_Xtal_BW#'!$A:$Z,17,FALSE)</f>
        <v>50</v>
      </c>
      <c r="R162" s="1">
        <f>VLOOKUP($B162&amp;"__wt",'SegEnds_Xtal_BW#'!$A:$Z,18,FALSE)</f>
        <v>52</v>
      </c>
      <c r="S162" s="1">
        <f>VLOOKUP($B162&amp;"__wt",'SegEnds_Xtal_BW#'!$A:$Z,19,FALSE)</f>
        <v>34</v>
      </c>
      <c r="T162" s="1">
        <f t="array" ref="T162">INDEX('ICL3'!$G$2:$G$40,MATCH(MIN(ABS(AH162-'ICL3'!$F$2:$F$40)),ABS(AH162-'ICL3'!$F$2:$F$40),0))</f>
        <v>67</v>
      </c>
      <c r="U162" s="1">
        <f t="array" ref="U162">INDEX('ICL3'!$H$2:$H$40,MATCH(MIN(ABS(AH162-'ICL3'!$F$2:$F$40)),ABS(AH162-'ICL3'!$F$2:$F$40),0))</f>
        <v>28</v>
      </c>
      <c r="V162" s="1">
        <v>61</v>
      </c>
      <c r="W162" s="1">
        <v>31</v>
      </c>
      <c r="X162" s="1">
        <f>VLOOKUP($B162&amp;"__wt",'SegEnds_Xtal_BW#'!$A:$Z,24,FALSE)</f>
        <v>56</v>
      </c>
      <c r="Y162" s="1">
        <f>VLOOKUP($B162&amp;"__wt",'SegEnds_Xtal_BW#'!$A:$Z,25,FALSE)</f>
        <v>47</v>
      </c>
      <c r="Z162" s="1">
        <f>VLOOKUP($B162&amp;"__wt",'SegEnds_Xtal_BW#'!$A:$Z,26,FALSE)</f>
        <v>61</v>
      </c>
      <c r="AA162" s="27" t="str">
        <f>VLOOKUP(A162,Classification!A:B,2,FALSE)</f>
        <v>A</v>
      </c>
      <c r="AB162" s="1" t="e">
        <f>VLOOKUP(A162,'SegEnds_NonXtal_Prot#'!A:AL,10,FALSE)-VLOOKUP(A162,'SegEnds_NonXtal_Prot#'!A:AL,7,FALSE)</f>
        <v>#VALUE!</v>
      </c>
      <c r="AC162" s="1" t="e">
        <f>VLOOKUP(A162,'SegEnds_NonXtal_Prot#'!A:AL,13,FALSE)-VLOOKUP(A162,'SegEnds_NonXtal_Prot#'!A:AL,10,FALSE)</f>
        <v>#VALUE!</v>
      </c>
      <c r="AD162" s="1">
        <f>VLOOKUP(A162,'SegEnds_NonXtal_Prot#'!A:AL,16,FALSE)-VLOOKUP(A162,'SegEnds_NonXtal_Prot#'!A:AL,10,FALSE)</f>
        <v>59</v>
      </c>
      <c r="AE162" s="1">
        <f>VLOOKUP(A162,'SegEnds_NonXtal_Prot#'!A:AL,22,FALSE)-VLOOKUP(A162,'SegEnds_NonXtal_Prot#'!A:AL,19,FALSE)</f>
        <v>20</v>
      </c>
      <c r="AF162" s="1">
        <f>VLOOKUP(A162,'SegEnds_NonXtal_Prot#'!A:AL,28,FALSE)-VLOOKUP(A162,'SegEnds_NonXtal_Prot#'!A:AL,25,FALSE)</f>
        <v>24</v>
      </c>
      <c r="AG162" s="1">
        <f>VLOOKUP(A162,'SegEnds_NonXtal_Prot#'!A:AL,28,FALSE)-VLOOKUP(A162,'SegEnds_NonXtal_Prot#'!A:AL,22,FALSE)</f>
        <v>47</v>
      </c>
      <c r="AH162" s="1">
        <f>VLOOKUP(A162,'SegEnds_NonXtal_Prot#'!A:AL,31,FALSE)-VLOOKUP(A162,'SegEnds_NonXtal_Prot#'!A:AL,28,FALSE)</f>
        <v>45</v>
      </c>
      <c r="AI162" s="1">
        <f>VLOOKUP(A162,'SegEnds_NonXtal_Prot#'!A:AL,34,FALSE)-VLOOKUP(A162,'SegEnds_NonXtal_Prot#'!A:AL,31,FALSE)</f>
        <v>36</v>
      </c>
      <c r="AJ162" s="1" t="str">
        <f>IF(ISERROR(MATCH(A162,'SegEnds_Xtal_Prot#'!B:B, 0)), "NoXtal", "Xtal")</f>
        <v>NoXtal</v>
      </c>
    </row>
    <row r="163" spans="1:36" x14ac:dyDescent="0.2">
      <c r="A163" s="1" t="s">
        <v>284</v>
      </c>
      <c r="B163" s="1" t="str">
        <f>VLOOKUP(A163,Xtal_Templ!A:B,2,FALSE)</f>
        <v>aa2ar_human</v>
      </c>
      <c r="C163" s="5">
        <f>VLOOKUP($B163&amp;"__wt",'SegEnds_Xtal_BW#'!$A:$Z,3,FALSE)</f>
        <v>27</v>
      </c>
      <c r="D163" s="1">
        <f>VLOOKUP($B163&amp;"__wt",'SegEnds_Xtal_BW#'!$A:$Z,4,FALSE)</f>
        <v>60</v>
      </c>
      <c r="E163" s="1">
        <f>VLOOKUP($B163&amp;"__wt",'SegEnds_Xtal_BW#'!$A:$Z,5,FALSE)</f>
        <v>48</v>
      </c>
      <c r="F163" s="1">
        <f>VLOOKUP($B163&amp;"__wt",'SegEnds_Xtal_BW#'!$A:$Z,6,FALSE)</f>
        <v>51</v>
      </c>
      <c r="G163" s="1">
        <v>37</v>
      </c>
      <c r="H163" s="12">
        <f>VLOOKUP($B163&amp;"__wt",'SegEnds_Xtal_BW#'!$A:$Z,8,FALSE)</f>
        <v>67</v>
      </c>
      <c r="I163" s="1">
        <v>49</v>
      </c>
      <c r="J163" s="1">
        <f>VLOOKUP($B163&amp;"__wt",'SegEnds_Xtal_BW#'!$A:$Z,10,FALSE)</f>
        <v>52</v>
      </c>
      <c r="K163" s="12">
        <v>18</v>
      </c>
      <c r="L163" s="1">
        <f>VLOOKUP($B163&amp;"__wt",'SegEnds_Xtal_BW#'!$A:$Z,12,FALSE)</f>
        <v>56</v>
      </c>
      <c r="M163" s="1">
        <f>VLOOKUP($B163&amp;"__wt",'SegEnds_Xtal_BW#'!$A:$Z,13,FALSE)</f>
        <v>50</v>
      </c>
      <c r="N163" s="12">
        <v>57</v>
      </c>
      <c r="O163" s="89">
        <f>VLOOKUP($B163&amp;"__wt",'SegEnds_Xtal_BW#'!$A:$Z,15,FALSE)</f>
        <v>38</v>
      </c>
      <c r="P163" s="1">
        <f>VLOOKUP($B163&amp;"__wt",'SegEnds_Xtal_BW#'!$A:$Z,16,FALSE)</f>
        <v>63</v>
      </c>
      <c r="Q163" s="1">
        <f>VLOOKUP($B163&amp;"__wt",'SegEnds_Xtal_BW#'!$A:$Z,17,FALSE)</f>
        <v>50</v>
      </c>
      <c r="R163" s="1">
        <f>VLOOKUP($B163&amp;"__wt",'SegEnds_Xtal_BW#'!$A:$Z,18,FALSE)</f>
        <v>52</v>
      </c>
      <c r="S163" s="1">
        <f>VLOOKUP($B163&amp;"__wt",'SegEnds_Xtal_BW#'!$A:$Z,19,FALSE)</f>
        <v>34</v>
      </c>
      <c r="T163" s="1">
        <f t="array" ref="T163">INDEX('ICL3'!$G$2:$G$40,MATCH(MIN(ABS(AH163-'ICL3'!$F$2:$F$40)),ABS(AH163-'ICL3'!$F$2:$F$40),0))</f>
        <v>67</v>
      </c>
      <c r="U163" s="1">
        <f t="array" ref="U163">INDEX('ICL3'!$H$2:$H$40,MATCH(MIN(ABS(AH163-'ICL3'!$F$2:$F$40)),ABS(AH163-'ICL3'!$F$2:$F$40),0))</f>
        <v>28</v>
      </c>
      <c r="V163" s="1">
        <v>61</v>
      </c>
      <c r="W163" s="1">
        <v>31</v>
      </c>
      <c r="X163" s="1">
        <f>VLOOKUP($B163&amp;"__wt",'SegEnds_Xtal_BW#'!$A:$Z,24,FALSE)</f>
        <v>56</v>
      </c>
      <c r="Y163" s="1">
        <f>VLOOKUP($B163&amp;"__wt",'SegEnds_Xtal_BW#'!$A:$Z,25,FALSE)</f>
        <v>47</v>
      </c>
      <c r="Z163" s="1">
        <f>VLOOKUP($B163&amp;"__wt",'SegEnds_Xtal_BW#'!$A:$Z,26,FALSE)</f>
        <v>69</v>
      </c>
      <c r="AA163" s="27" t="str">
        <f>VLOOKUP(A163,Classification!A:B,2,FALSE)</f>
        <v>A</v>
      </c>
      <c r="AB163" s="1" t="e">
        <f>VLOOKUP(A163,'SegEnds_NonXtal_Prot#'!A:AL,10,FALSE)-VLOOKUP(A163,'SegEnds_NonXtal_Prot#'!A:AL,7,FALSE)</f>
        <v>#VALUE!</v>
      </c>
      <c r="AC163" s="1" t="e">
        <f>VLOOKUP(A163,'SegEnds_NonXtal_Prot#'!A:AL,13,FALSE)-VLOOKUP(A163,'SegEnds_NonXtal_Prot#'!A:AL,10,FALSE)</f>
        <v>#VALUE!</v>
      </c>
      <c r="AD163" s="1">
        <f>VLOOKUP(A163,'SegEnds_NonXtal_Prot#'!A:AL,16,FALSE)-VLOOKUP(A163,'SegEnds_NonXtal_Prot#'!A:AL,10,FALSE)</f>
        <v>59</v>
      </c>
      <c r="AE163" s="1">
        <f>VLOOKUP(A163,'SegEnds_NonXtal_Prot#'!A:AL,22,FALSE)-VLOOKUP(A163,'SegEnds_NonXtal_Prot#'!A:AL,19,FALSE)</f>
        <v>20</v>
      </c>
      <c r="AF163" s="1">
        <f>VLOOKUP(A163,'SegEnds_NonXtal_Prot#'!A:AL,28,FALSE)-VLOOKUP(A163,'SegEnds_NonXtal_Prot#'!A:AL,25,FALSE)</f>
        <v>24</v>
      </c>
      <c r="AG163" s="1">
        <f>VLOOKUP(A163,'SegEnds_NonXtal_Prot#'!A:AL,28,FALSE)-VLOOKUP(A163,'SegEnds_NonXtal_Prot#'!A:AL,22,FALSE)</f>
        <v>47</v>
      </c>
      <c r="AH163" s="1">
        <f>VLOOKUP(A163,'SegEnds_NonXtal_Prot#'!A:AL,31,FALSE)-VLOOKUP(A163,'SegEnds_NonXtal_Prot#'!A:AL,28,FALSE)</f>
        <v>45</v>
      </c>
      <c r="AI163" s="1">
        <f>VLOOKUP(A163,'SegEnds_NonXtal_Prot#'!A:AL,34,FALSE)-VLOOKUP(A163,'SegEnds_NonXtal_Prot#'!A:AL,31,FALSE)</f>
        <v>36</v>
      </c>
      <c r="AJ163" s="1" t="str">
        <f>IF(ISERROR(MATCH(A163,'SegEnds_Xtal_Prot#'!B:B, 0)), "NoXtal", "Xtal")</f>
        <v>NoXtal</v>
      </c>
    </row>
    <row r="164" spans="1:36" x14ac:dyDescent="0.2">
      <c r="A164" s="1" t="s">
        <v>285</v>
      </c>
      <c r="B164" s="1" t="str">
        <f>VLOOKUP(A164,Xtal_Templ!A:B,2,FALSE)</f>
        <v>adrb2_human</v>
      </c>
      <c r="C164" s="5">
        <f>VLOOKUP($B164&amp;"__wt",'SegEnds_Xtal_BW#'!$A:$Z,3,FALSE)</f>
        <v>25</v>
      </c>
      <c r="D164" s="1">
        <f>VLOOKUP($B164&amp;"__wt",'SegEnds_Xtal_BW#'!$A:$Z,4,FALSE)</f>
        <v>60</v>
      </c>
      <c r="E164" s="1">
        <f>VLOOKUP($B164&amp;"__wt",'SegEnds_Xtal_BW#'!$A:$Z,5,FALSE)</f>
        <v>48</v>
      </c>
      <c r="F164" s="1">
        <f>VLOOKUP($B164&amp;"__wt",'SegEnds_Xtal_BW#'!$A:$Z,6,FALSE)</f>
        <v>51</v>
      </c>
      <c r="G164" s="1">
        <v>37</v>
      </c>
      <c r="H164" s="12">
        <f>VLOOKUP($B164&amp;"__wt",'SegEnds_Xtal_BW#'!$A:$Z,8,FALSE)</f>
        <v>67</v>
      </c>
      <c r="I164" s="1">
        <f>VLOOKUP($B164&amp;"__wt",'SegEnds_Xtal_BW#'!$A:$Z,9,FALSE)</f>
        <v>49</v>
      </c>
      <c r="J164" s="1">
        <f>VLOOKUP($B164&amp;"__wt",'SegEnds_Xtal_BW#'!$A:$Z,10,FALSE)</f>
        <v>52</v>
      </c>
      <c r="K164" s="12">
        <v>18</v>
      </c>
      <c r="L164" s="1">
        <f>VLOOKUP($B164&amp;"__wt",'SegEnds_Xtal_BW#'!$A:$Z,12,FALSE)</f>
        <v>56</v>
      </c>
      <c r="M164" s="1">
        <f>VLOOKUP($B164&amp;"__wt",'SegEnds_Xtal_BW#'!$A:$Z,13,FALSE)</f>
        <v>50</v>
      </c>
      <c r="N164" s="12">
        <v>57</v>
      </c>
      <c r="O164" s="89">
        <f>VLOOKUP($B164&amp;"__wt",'SegEnds_Xtal_BW#'!$A:$Z,15,FALSE)</f>
        <v>38</v>
      </c>
      <c r="P164" s="1">
        <f>VLOOKUP($B164&amp;"__wt",'SegEnds_Xtal_BW#'!$A:$Z,16,FALSE)</f>
        <v>64</v>
      </c>
      <c r="Q164" s="1">
        <f>VLOOKUP($B164&amp;"__wt",'SegEnds_Xtal_BW#'!$A:$Z,17,FALSE)</f>
        <v>50</v>
      </c>
      <c r="R164" s="1">
        <f>VLOOKUP($B164&amp;"__wt",'SegEnds_Xtal_BW#'!$A:$Z,18,FALSE)</f>
        <v>52</v>
      </c>
      <c r="S164" s="1">
        <v>35</v>
      </c>
      <c r="T164" s="1">
        <f t="array" ref="T164">INDEX('ICL3'!$G$2:$G$40,MATCH(MIN(ABS(AH164-'ICL3'!$F$2:$F$40)),ABS(AH164-'ICL3'!$F$2:$F$40),0))</f>
        <v>67</v>
      </c>
      <c r="U164" s="1">
        <f t="array" ref="U164">INDEX('ICL3'!$H$2:$H$40,MATCH(MIN(ABS(AH164-'ICL3'!$F$2:$F$40)),ABS(AH164-'ICL3'!$F$2:$F$40),0))</f>
        <v>28</v>
      </c>
      <c r="V164" s="1">
        <v>61</v>
      </c>
      <c r="W164" s="1">
        <v>31</v>
      </c>
      <c r="X164" s="1">
        <f>VLOOKUP($B164&amp;"__wt",'SegEnds_Xtal_BW#'!$A:$Z,24,FALSE)</f>
        <v>55</v>
      </c>
      <c r="Y164" s="1">
        <f>VLOOKUP($B164&amp;"__wt",'SegEnds_Xtal_BW#'!$A:$Z,25,FALSE)</f>
        <v>47</v>
      </c>
      <c r="Z164" s="1">
        <f>VLOOKUP($B164&amp;"__wt",'SegEnds_Xtal_BW#'!$A:$Z,26,FALSE)</f>
        <v>59</v>
      </c>
      <c r="AA164" s="27" t="str">
        <f>VLOOKUP(A164,Classification!A:B,2,FALSE)</f>
        <v>A</v>
      </c>
      <c r="AB164" s="1" t="e">
        <f>VLOOKUP(A164,'SegEnds_NonXtal_Prot#'!A:AL,10,FALSE)-VLOOKUP(A164,'SegEnds_NonXtal_Prot#'!A:AL,7,FALSE)</f>
        <v>#VALUE!</v>
      </c>
      <c r="AC164" s="1" t="e">
        <f>VLOOKUP(A164,'SegEnds_NonXtal_Prot#'!A:AL,13,FALSE)-VLOOKUP(A164,'SegEnds_NonXtal_Prot#'!A:AL,10,FALSE)</f>
        <v>#VALUE!</v>
      </c>
      <c r="AD164" s="1">
        <f>VLOOKUP(A164,'SegEnds_NonXtal_Prot#'!A:AL,16,FALSE)-VLOOKUP(A164,'SegEnds_NonXtal_Prot#'!A:AL,10,FALSE)</f>
        <v>59</v>
      </c>
      <c r="AE164" s="1">
        <f>VLOOKUP(A164,'SegEnds_NonXtal_Prot#'!A:AL,22,FALSE)-VLOOKUP(A164,'SegEnds_NonXtal_Prot#'!A:AL,19,FALSE)</f>
        <v>20</v>
      </c>
      <c r="AF164" s="1">
        <f>VLOOKUP(A164,'SegEnds_NonXtal_Prot#'!A:AL,28,FALSE)-VLOOKUP(A164,'SegEnds_NonXtal_Prot#'!A:AL,25,FALSE)</f>
        <v>26</v>
      </c>
      <c r="AG164" s="1">
        <f>VLOOKUP(A164,'SegEnds_NonXtal_Prot#'!A:AL,28,FALSE)-VLOOKUP(A164,'SegEnds_NonXtal_Prot#'!A:AL,22,FALSE)</f>
        <v>49</v>
      </c>
      <c r="AH164" s="1">
        <f>VLOOKUP(A164,'SegEnds_NonXtal_Prot#'!A:AL,31,FALSE)-VLOOKUP(A164,'SegEnds_NonXtal_Prot#'!A:AL,28,FALSE)</f>
        <v>45</v>
      </c>
      <c r="AI164" s="1">
        <f>VLOOKUP(A164,'SegEnds_NonXtal_Prot#'!A:AL,34,FALSE)-VLOOKUP(A164,'SegEnds_NonXtal_Prot#'!A:AL,31,FALSE)</f>
        <v>36</v>
      </c>
      <c r="AJ164" s="1" t="str">
        <f>IF(ISERROR(MATCH(A164,'SegEnds_Xtal_Prot#'!B:B, 0)), "NoXtal", "Xtal")</f>
        <v>NoXtal</v>
      </c>
    </row>
    <row r="165" spans="1:36" x14ac:dyDescent="0.2">
      <c r="A165" s="1" t="s">
        <v>288</v>
      </c>
      <c r="B165" s="1" t="str">
        <f>VLOOKUP(A165,Xtal_Templ!A:B,2,FALSE)</f>
        <v>oprk_human</v>
      </c>
      <c r="C165" s="5">
        <f>VLOOKUP($B165&amp;"__wt",'SegEnds_Xtal_BW#'!$A:$Z,3,FALSE)</f>
        <v>30</v>
      </c>
      <c r="D165" s="1">
        <f>VLOOKUP($B165&amp;"__wt",'SegEnds_Xtal_BW#'!$A:$Z,4,FALSE)</f>
        <v>60</v>
      </c>
      <c r="E165" s="1">
        <f>VLOOKUP($B165&amp;"__wt",'SegEnds_Xtal_BW#'!$A:$Z,5,FALSE)</f>
        <v>48</v>
      </c>
      <c r="F165" s="1">
        <f>VLOOKUP($B165&amp;"__wt",'SegEnds_Xtal_BW#'!$A:$Z,6,FALSE)</f>
        <v>51</v>
      </c>
      <c r="G165" s="1">
        <v>37</v>
      </c>
      <c r="H165" s="12">
        <v>66</v>
      </c>
      <c r="I165" s="1">
        <f>VLOOKUP($B165&amp;"__wt",'SegEnds_Xtal_BW#'!$A:$Z,9,FALSE)</f>
        <v>49</v>
      </c>
      <c r="J165" s="1">
        <f>VLOOKUP($B165&amp;"__wt",'SegEnds_Xtal_BW#'!$A:$Z,10,FALSE)</f>
        <v>52</v>
      </c>
      <c r="K165" s="12">
        <v>21</v>
      </c>
      <c r="L165" s="1">
        <f>VLOOKUP($B165&amp;"__wt",'SegEnds_Xtal_BW#'!$A:$Z,12,FALSE)</f>
        <v>56</v>
      </c>
      <c r="M165" s="1">
        <f>VLOOKUP($B165&amp;"__wt",'SegEnds_Xtal_BW#'!$A:$Z,13,FALSE)</f>
        <v>50</v>
      </c>
      <c r="N165" s="12">
        <v>57</v>
      </c>
      <c r="O165" s="89">
        <v>38</v>
      </c>
      <c r="P165" s="1">
        <f>VLOOKUP($B165&amp;"__wt",'SegEnds_Xtal_BW#'!$A:$Z,16,FALSE)</f>
        <v>64</v>
      </c>
      <c r="Q165" s="1">
        <f>VLOOKUP($B165&amp;"__wt",'SegEnds_Xtal_BW#'!$A:$Z,17,FALSE)</f>
        <v>50</v>
      </c>
      <c r="R165" s="1">
        <f>VLOOKUP($B165&amp;"__wt",'SegEnds_Xtal_BW#'!$A:$Z,18,FALSE)</f>
        <v>52</v>
      </c>
      <c r="S165" s="1">
        <f>VLOOKUP($B165&amp;"__wt",'SegEnds_Xtal_BW#'!$A:$Z,19,FALSE)</f>
        <v>31</v>
      </c>
      <c r="T165" s="1">
        <f t="array" ref="T165">INDEX('ICL3'!$G$2:$G$40,MATCH(MIN(ABS(AH165-'ICL3'!$F$2:$F$40)),ABS(AH165-'ICL3'!$F$2:$F$40),0))</f>
        <v>68</v>
      </c>
      <c r="U165" s="1">
        <f t="array" ref="U165">INDEX('ICL3'!$H$2:$H$40,MATCH(MIN(ABS(AH165-'ICL3'!$F$2:$F$40)),ABS(AH165-'ICL3'!$F$2:$F$40),0))</f>
        <v>24</v>
      </c>
      <c r="V165" s="1">
        <v>64</v>
      </c>
      <c r="W165" s="1">
        <v>24</v>
      </c>
      <c r="X165" s="1">
        <f>VLOOKUP($B165&amp;"__wt",'SegEnds_Xtal_BW#'!$A:$Z,24,FALSE)</f>
        <v>56</v>
      </c>
      <c r="Y165" s="1">
        <f>VLOOKUP($B165&amp;"__wt",'SegEnds_Xtal_BW#'!$A:$Z,25,FALSE)</f>
        <v>47</v>
      </c>
      <c r="Z165" s="1">
        <f>VLOOKUP($B165&amp;"__wt",'SegEnds_Xtal_BW#'!$A:$Z,26,FALSE)</f>
        <v>59</v>
      </c>
      <c r="AA165" s="27" t="str">
        <f>VLOOKUP(A165,Classification!A:B,2,FALSE)</f>
        <v>A</v>
      </c>
      <c r="AB165" s="1">
        <f>VLOOKUP(A165,'SegEnds_NonXtal_Prot#'!A:AL,10,FALSE)-VLOOKUP(A165,'SegEnds_NonXtal_Prot#'!A:AL,7,FALSE)</f>
        <v>15</v>
      </c>
      <c r="AC165" s="1">
        <f>VLOOKUP(A165,'SegEnds_NonXtal_Prot#'!A:AL,13,FALSE)-VLOOKUP(A165,'SegEnds_NonXtal_Prot#'!A:AL,10,FALSE)</f>
        <v>19</v>
      </c>
      <c r="AD165" s="1">
        <f>VLOOKUP(A165,'SegEnds_NonXtal_Prot#'!A:AL,16,FALSE)-VLOOKUP(A165,'SegEnds_NonXtal_Prot#'!A:AL,10,FALSE)</f>
        <v>51</v>
      </c>
      <c r="AE165" s="1">
        <f>VLOOKUP(A165,'SegEnds_NonXtal_Prot#'!A:AL,22,FALSE)-VLOOKUP(A165,'SegEnds_NonXtal_Prot#'!A:AL,19,FALSE)</f>
        <v>20</v>
      </c>
      <c r="AF165" s="1">
        <f>VLOOKUP(A165,'SegEnds_NonXtal_Prot#'!A:AL,28,FALSE)-VLOOKUP(A165,'SegEnds_NonXtal_Prot#'!A:AL,25,FALSE)</f>
        <v>28</v>
      </c>
      <c r="AG165" s="1">
        <f>VLOOKUP(A165,'SegEnds_NonXtal_Prot#'!A:AL,28,FALSE)-VLOOKUP(A165,'SegEnds_NonXtal_Prot#'!A:AL,22,FALSE)</f>
        <v>53</v>
      </c>
      <c r="AH165" s="1">
        <f>VLOOKUP(A165,'SegEnds_NonXtal_Prot#'!A:AL,31,FALSE)-VLOOKUP(A165,'SegEnds_NonXtal_Prot#'!A:AL,28,FALSE)</f>
        <v>48</v>
      </c>
      <c r="AI165" s="1">
        <f>VLOOKUP(A165,'SegEnds_NonXtal_Prot#'!A:AL,34,FALSE)-VLOOKUP(A165,'SegEnds_NonXtal_Prot#'!A:AL,31,FALSE)</f>
        <v>44</v>
      </c>
      <c r="AJ165" s="1" t="str">
        <f>IF(ISERROR(MATCH(A165,'SegEnds_Xtal_Prot#'!B:B, 0)), "NoXtal", "Xtal")</f>
        <v>NoXtal</v>
      </c>
    </row>
    <row r="166" spans="1:36" x14ac:dyDescent="0.2">
      <c r="A166" s="1" t="s">
        <v>289</v>
      </c>
      <c r="B166" s="1" t="str">
        <f>VLOOKUP(A166,Xtal_Templ!A:B,2,FALSE)</f>
        <v>par2_human</v>
      </c>
      <c r="C166" s="5">
        <f>VLOOKUP($B166&amp;"__wt",'SegEnds_Xtal_BW#'!$A:$Z,3,FALSE)</f>
        <v>28</v>
      </c>
      <c r="D166" s="1">
        <f>VLOOKUP($B166&amp;"__wt",'SegEnds_Xtal_BW#'!$A:$Z,4,FALSE)</f>
        <v>60</v>
      </c>
      <c r="E166" s="1" t="str">
        <f>VLOOKUP($B166&amp;"__wt",'SegEnds_Xtal_BW#'!$A:$Z,5,FALSE)</f>
        <v>-</v>
      </c>
      <c r="F166" s="1" t="str">
        <f>VLOOKUP($B166&amp;"__wt",'SegEnds_Xtal_BW#'!$A:$Z,6,FALSE)</f>
        <v>-</v>
      </c>
      <c r="G166" s="1">
        <v>37</v>
      </c>
      <c r="H166" s="12">
        <v>66</v>
      </c>
      <c r="I166" s="1">
        <f>VLOOKUP($B166&amp;"__wt",'SegEnds_Xtal_BW#'!$A:$Z,9,FALSE)</f>
        <v>47</v>
      </c>
      <c r="J166" s="1">
        <f>VLOOKUP($B166&amp;"__wt",'SegEnds_Xtal_BW#'!$A:$Z,10,FALSE)</f>
        <v>52</v>
      </c>
      <c r="K166" s="12">
        <v>21</v>
      </c>
      <c r="L166" s="1">
        <f>VLOOKUP($B166&amp;"__wt",'SegEnds_Xtal_BW#'!$A:$Z,12,FALSE)</f>
        <v>56</v>
      </c>
      <c r="M166" s="1">
        <f>VLOOKUP($B166&amp;"__wt",'SegEnds_Xtal_BW#'!$A:$Z,13,FALSE)</f>
        <v>50</v>
      </c>
      <c r="N166" s="12">
        <v>57</v>
      </c>
      <c r="O166" s="89">
        <v>38</v>
      </c>
      <c r="P166" s="1">
        <f>VLOOKUP($B166&amp;"__wt",'SegEnds_Xtal_BW#'!$A:$Z,16,FALSE)</f>
        <v>62</v>
      </c>
      <c r="Q166" s="1">
        <f>VLOOKUP($B166&amp;"__wt",'SegEnds_Xtal_BW#'!$A:$Z,17,FALSE)</f>
        <v>50</v>
      </c>
      <c r="R166" s="1">
        <f>VLOOKUP($B166&amp;"__wt",'SegEnds_Xtal_BW#'!$A:$Z,18,FALSE)</f>
        <v>52</v>
      </c>
      <c r="S166" s="1">
        <f>VLOOKUP($B166&amp;"__wt",'SegEnds_Xtal_BW#'!$A:$Z,19,FALSE)</f>
        <v>31</v>
      </c>
      <c r="T166" s="1">
        <f t="array" ref="T166">INDEX('ICL3'!$G$2:$G$40,MATCH(MIN(ABS(AH166-'ICL3'!$F$2:$F$40)),ABS(AH166-'ICL3'!$F$2:$F$40),0))</f>
        <v>67</v>
      </c>
      <c r="U166" s="1">
        <f t="array" ref="U166">INDEX('ICL3'!$H$2:$H$40,MATCH(MIN(ABS(AH166-'ICL3'!$F$2:$F$40)),ABS(AH166-'ICL3'!$F$2:$F$40),0))</f>
        <v>26</v>
      </c>
      <c r="V166" s="1">
        <v>64</v>
      </c>
      <c r="W166" s="1">
        <v>24</v>
      </c>
      <c r="X166" s="1">
        <f>VLOOKUP($B166&amp;"__wt",'SegEnds_Xtal_BW#'!$A:$Z,24,FALSE)</f>
        <v>56</v>
      </c>
      <c r="Y166" s="1">
        <f>VLOOKUP($B166&amp;"__wt",'SegEnds_Xtal_BW#'!$A:$Z,25,FALSE)</f>
        <v>47</v>
      </c>
      <c r="Z166" s="1">
        <f>VLOOKUP($B166&amp;"__wt",'SegEnds_Xtal_BW#'!$A:$Z,26,FALSE)</f>
        <v>61</v>
      </c>
      <c r="AA166" s="27" t="str">
        <f>VLOOKUP(A166,Classification!A:B,2,FALSE)</f>
        <v>A</v>
      </c>
      <c r="AB166" s="1">
        <f>VLOOKUP(A166,'SegEnds_NonXtal_Prot#'!A:AL,10,FALSE)-VLOOKUP(A166,'SegEnds_NonXtal_Prot#'!A:AL,7,FALSE)</f>
        <v>15</v>
      </c>
      <c r="AC166" s="1">
        <f>VLOOKUP(A166,'SegEnds_NonXtal_Prot#'!A:AL,13,FALSE)-VLOOKUP(A166,'SegEnds_NonXtal_Prot#'!A:AL,10,FALSE)</f>
        <v>19</v>
      </c>
      <c r="AD166" s="1">
        <f>VLOOKUP(A166,'SegEnds_NonXtal_Prot#'!A:AL,16,FALSE)-VLOOKUP(A166,'SegEnds_NonXtal_Prot#'!A:AL,10,FALSE)</f>
        <v>51</v>
      </c>
      <c r="AE166" s="1">
        <f>VLOOKUP(A166,'SegEnds_NonXtal_Prot#'!A:AL,22,FALSE)-VLOOKUP(A166,'SegEnds_NonXtal_Prot#'!A:AL,19,FALSE)</f>
        <v>20</v>
      </c>
      <c r="AF166" s="1">
        <f>VLOOKUP(A166,'SegEnds_NonXtal_Prot#'!A:AL,28,FALSE)-VLOOKUP(A166,'SegEnds_NonXtal_Prot#'!A:AL,25,FALSE)</f>
        <v>28</v>
      </c>
      <c r="AG166" s="1">
        <f>VLOOKUP(A166,'SegEnds_NonXtal_Prot#'!A:AL,28,FALSE)-VLOOKUP(A166,'SegEnds_NonXtal_Prot#'!A:AL,22,FALSE)</f>
        <v>57</v>
      </c>
      <c r="AH166" s="1">
        <f>VLOOKUP(A166,'SegEnds_NonXtal_Prot#'!A:AL,31,FALSE)-VLOOKUP(A166,'SegEnds_NonXtal_Prot#'!A:AL,28,FALSE)</f>
        <v>46</v>
      </c>
      <c r="AI166" s="1">
        <f>VLOOKUP(A166,'SegEnds_NonXtal_Prot#'!A:AL,34,FALSE)-VLOOKUP(A166,'SegEnds_NonXtal_Prot#'!A:AL,31,FALSE)</f>
        <v>45</v>
      </c>
      <c r="AJ166" s="1" t="str">
        <f>IF(ISERROR(MATCH(A166,'SegEnds_Xtal_Prot#'!B:B, 0)), "NoXtal", "Xtal")</f>
        <v>NoXtal</v>
      </c>
    </row>
    <row r="167" spans="1:36" x14ac:dyDescent="0.2">
      <c r="A167" s="1" t="s">
        <v>290</v>
      </c>
      <c r="B167" s="1" t="str">
        <f>VLOOKUP(A167,Xtal_Templ!A:B,2,FALSE)</f>
        <v>agtr1_human</v>
      </c>
      <c r="C167" s="5">
        <f>VLOOKUP($B167&amp;"__wt",'SegEnds_Xtal_BW#'!$A:$Z,3,FALSE)</f>
        <v>30</v>
      </c>
      <c r="D167" s="1">
        <f>VLOOKUP($B167&amp;"__wt",'SegEnds_Xtal_BW#'!$A:$Z,4,FALSE)</f>
        <v>60</v>
      </c>
      <c r="E167" s="1">
        <f>VLOOKUP($B167&amp;"__wt",'SegEnds_Xtal_BW#'!$A:$Z,5,FALSE)</f>
        <v>48</v>
      </c>
      <c r="F167" s="1">
        <f>VLOOKUP($B167&amp;"__wt",'SegEnds_Xtal_BW#'!$A:$Z,6,FALSE)</f>
        <v>51</v>
      </c>
      <c r="G167" s="1">
        <v>37</v>
      </c>
      <c r="H167" s="12">
        <v>66</v>
      </c>
      <c r="I167" s="1">
        <f>VLOOKUP($B167&amp;"__wt",'SegEnds_Xtal_BW#'!$A:$Z,9,FALSE)</f>
        <v>49</v>
      </c>
      <c r="J167" s="1">
        <f>VLOOKUP($B167&amp;"__wt",'SegEnds_Xtal_BW#'!$A:$Z,10,FALSE)</f>
        <v>52</v>
      </c>
      <c r="K167" s="12">
        <v>21</v>
      </c>
      <c r="L167" s="1">
        <f>VLOOKUP($B167&amp;"__wt",'SegEnds_Xtal_BW#'!$A:$Z,12,FALSE)</f>
        <v>56</v>
      </c>
      <c r="M167" s="1">
        <f>VLOOKUP($B167&amp;"__wt",'SegEnds_Xtal_BW#'!$A:$Z,13,FALSE)</f>
        <v>50</v>
      </c>
      <c r="N167" s="12">
        <v>57</v>
      </c>
      <c r="O167" s="89">
        <f>VLOOKUP($B167&amp;"__wt",'SegEnds_Xtal_BW#'!$A:$Z,15,FALSE)</f>
        <v>38</v>
      </c>
      <c r="P167" s="1">
        <f>VLOOKUP($B167&amp;"__wt",'SegEnds_Xtal_BW#'!$A:$Z,16,FALSE)</f>
        <v>64</v>
      </c>
      <c r="Q167" s="1">
        <f>VLOOKUP($B167&amp;"__wt",'SegEnds_Xtal_BW#'!$A:$Z,17,FALSE)</f>
        <v>50</v>
      </c>
      <c r="R167" s="1">
        <f>VLOOKUP($B167&amp;"__wt",'SegEnds_Xtal_BW#'!$A:$Z,18,FALSE)</f>
        <v>52</v>
      </c>
      <c r="S167" s="1">
        <f>VLOOKUP($B167&amp;"__wt",'SegEnds_Xtal_BW#'!$A:$Z,19,FALSE)</f>
        <v>34</v>
      </c>
      <c r="T167" s="1">
        <f t="array" ref="T167">INDEX('ICL3'!$G$2:$G$40,MATCH(MIN(ABS(AH167-'ICL3'!$F$2:$F$40)),ABS(AH167-'ICL3'!$F$2:$F$40),0))</f>
        <v>68</v>
      </c>
      <c r="U167" s="1">
        <f t="array" ref="U167">INDEX('ICL3'!$H$2:$H$40,MATCH(MIN(ABS(AH167-'ICL3'!$F$2:$F$40)),ABS(AH167-'ICL3'!$F$2:$F$40),0))</f>
        <v>24</v>
      </c>
      <c r="V167" s="1">
        <v>64</v>
      </c>
      <c r="W167" s="1">
        <v>24</v>
      </c>
      <c r="X167" s="1">
        <f>VLOOKUP($B167&amp;"__wt",'SegEnds_Xtal_BW#'!$A:$Z,24,FALSE)</f>
        <v>56</v>
      </c>
      <c r="Y167" s="1">
        <f>VLOOKUP($B167&amp;"__wt",'SegEnds_Xtal_BW#'!$A:$Z,25,FALSE)</f>
        <v>47</v>
      </c>
      <c r="Z167" s="1">
        <f>VLOOKUP($B167&amp;"__wt",'SegEnds_Xtal_BW#'!$A:$Z,26,FALSE)</f>
        <v>61</v>
      </c>
      <c r="AA167" s="27" t="str">
        <f>VLOOKUP(A167,Classification!A:B,2,FALSE)</f>
        <v>A</v>
      </c>
      <c r="AB167" s="1">
        <f>VLOOKUP(A167,'SegEnds_NonXtal_Prot#'!A:AL,10,FALSE)-VLOOKUP(A167,'SegEnds_NonXtal_Prot#'!A:AL,7,FALSE)</f>
        <v>15</v>
      </c>
      <c r="AC167" s="1">
        <f>VLOOKUP(A167,'SegEnds_NonXtal_Prot#'!A:AL,13,FALSE)-VLOOKUP(A167,'SegEnds_NonXtal_Prot#'!A:AL,10,FALSE)</f>
        <v>19</v>
      </c>
      <c r="AD167" s="1">
        <f>VLOOKUP(A167,'SegEnds_NonXtal_Prot#'!A:AL,16,FALSE)-VLOOKUP(A167,'SegEnds_NonXtal_Prot#'!A:AL,10,FALSE)</f>
        <v>51</v>
      </c>
      <c r="AE167" s="1">
        <f>VLOOKUP(A167,'SegEnds_NonXtal_Prot#'!A:AL,22,FALSE)-VLOOKUP(A167,'SegEnds_NonXtal_Prot#'!A:AL,19,FALSE)</f>
        <v>20</v>
      </c>
      <c r="AF167" s="1">
        <f>VLOOKUP(A167,'SegEnds_NonXtal_Prot#'!A:AL,28,FALSE)-VLOOKUP(A167,'SegEnds_NonXtal_Prot#'!A:AL,25,FALSE)</f>
        <v>28</v>
      </c>
      <c r="AG167" s="1">
        <f>VLOOKUP(A167,'SegEnds_NonXtal_Prot#'!A:AL,28,FALSE)-VLOOKUP(A167,'SegEnds_NonXtal_Prot#'!A:AL,22,FALSE)</f>
        <v>55</v>
      </c>
      <c r="AH167" s="1">
        <f>VLOOKUP(A167,'SegEnds_NonXtal_Prot#'!A:AL,31,FALSE)-VLOOKUP(A167,'SegEnds_NonXtal_Prot#'!A:AL,28,FALSE)</f>
        <v>48</v>
      </c>
      <c r="AI167" s="1">
        <f>VLOOKUP(A167,'SegEnds_NonXtal_Prot#'!A:AL,34,FALSE)-VLOOKUP(A167,'SegEnds_NonXtal_Prot#'!A:AL,31,FALSE)</f>
        <v>44</v>
      </c>
      <c r="AJ167" s="1" t="str">
        <f>IF(ISERROR(MATCH(A167,'SegEnds_Xtal_Prot#'!B:B, 0)), "NoXtal", "Xtal")</f>
        <v>NoXtal</v>
      </c>
    </row>
    <row r="168" spans="1:36" x14ac:dyDescent="0.2">
      <c r="A168" s="1" t="s">
        <v>291</v>
      </c>
      <c r="B168" s="1" t="str">
        <f>VLOOKUP(A168,Xtal_Templ!A:B,2,FALSE)</f>
        <v>hrh1_human</v>
      </c>
      <c r="C168" s="5">
        <f>VLOOKUP($B168&amp;"__wt",'SegEnds_Xtal_BW#'!$A:$Z,3,FALSE)</f>
        <v>34</v>
      </c>
      <c r="D168" s="1">
        <f>VLOOKUP($B168&amp;"__wt",'SegEnds_Xtal_BW#'!$A:$Z,4,FALSE)</f>
        <v>60</v>
      </c>
      <c r="E168" s="1">
        <f>VLOOKUP($B168&amp;"__wt",'SegEnds_Xtal_BW#'!$A:$Z,5,FALSE)</f>
        <v>48</v>
      </c>
      <c r="F168" s="1">
        <f>VLOOKUP($B168&amp;"__wt",'SegEnds_Xtal_BW#'!$A:$Z,6,FALSE)</f>
        <v>51</v>
      </c>
      <c r="G168" s="1">
        <v>37</v>
      </c>
      <c r="H168" s="12">
        <f>VLOOKUP($B168&amp;"__wt",'SegEnds_Xtal_BW#'!$A:$Z,8,FALSE)</f>
        <v>67</v>
      </c>
      <c r="I168" s="1">
        <v>49</v>
      </c>
      <c r="J168" s="1">
        <f>VLOOKUP($B168&amp;"__wt",'SegEnds_Xtal_BW#'!$A:$Z,10,FALSE)</f>
        <v>52</v>
      </c>
      <c r="K168" s="12">
        <v>18</v>
      </c>
      <c r="L168" s="1">
        <f>VLOOKUP($B168&amp;"__wt",'SegEnds_Xtal_BW#'!$A:$Z,12,FALSE)</f>
        <v>56</v>
      </c>
      <c r="M168" s="1">
        <f>VLOOKUP($B168&amp;"__wt",'SegEnds_Xtal_BW#'!$A:$Z,13,FALSE)</f>
        <v>50</v>
      </c>
      <c r="N168" s="12">
        <v>57</v>
      </c>
      <c r="O168" s="89">
        <f>VLOOKUP($B168&amp;"__wt",'SegEnds_Xtal_BW#'!$A:$Z,15,FALSE)</f>
        <v>38</v>
      </c>
      <c r="P168" s="1">
        <f>VLOOKUP($B168&amp;"__wt",'SegEnds_Xtal_BW#'!$A:$Z,16,FALSE)</f>
        <v>62</v>
      </c>
      <c r="Q168" s="1">
        <f>VLOOKUP($B168&amp;"__wt",'SegEnds_Xtal_BW#'!$A:$Z,17,FALSE)</f>
        <v>50</v>
      </c>
      <c r="R168" s="1">
        <f>VLOOKUP($B168&amp;"__wt",'SegEnds_Xtal_BW#'!$A:$Z,18,FALSE)</f>
        <v>52</v>
      </c>
      <c r="S168" s="1">
        <f>VLOOKUP($B168&amp;"__wt",'SegEnds_Xtal_BW#'!$A:$Z,19,FALSE)</f>
        <v>35</v>
      </c>
      <c r="T168" s="1">
        <f t="array" ref="T168">INDEX('ICL3'!$G$2:$G$40,MATCH(MIN(ABS(AH168-'ICL3'!$F$2:$F$40)),ABS(AH168-'ICL3'!$F$2:$F$40),0))</f>
        <v>67</v>
      </c>
      <c r="U168" s="1">
        <f t="array" ref="U168">INDEX('ICL3'!$H$2:$H$40,MATCH(MIN(ABS(AH168-'ICL3'!$F$2:$F$40)),ABS(AH168-'ICL3'!$F$2:$F$40),0))</f>
        <v>26</v>
      </c>
      <c r="V168" s="1">
        <v>61</v>
      </c>
      <c r="W168" s="1">
        <v>31</v>
      </c>
      <c r="X168" s="1">
        <f>VLOOKUP($B168&amp;"__wt",'SegEnds_Xtal_BW#'!$A:$Z,24,FALSE)</f>
        <v>56</v>
      </c>
      <c r="Y168" s="1">
        <f>VLOOKUP($B168&amp;"__wt",'SegEnds_Xtal_BW#'!$A:$Z,25,FALSE)</f>
        <v>47</v>
      </c>
      <c r="Z168" s="1">
        <f>VLOOKUP($B168&amp;"__wt",'SegEnds_Xtal_BW#'!$A:$Z,26,FALSE)</f>
        <v>59</v>
      </c>
      <c r="AA168" s="27" t="str">
        <f>VLOOKUP(A168,Classification!A:B,2,FALSE)</f>
        <v>A</v>
      </c>
      <c r="AB168" s="1">
        <f>VLOOKUP(A168,'SegEnds_NonXtal_Prot#'!A:AL,10,FALSE)-VLOOKUP(A168,'SegEnds_NonXtal_Prot#'!A:AL,7,FALSE)</f>
        <v>14</v>
      </c>
      <c r="AC168" s="1">
        <f>VLOOKUP(A168,'SegEnds_NonXtal_Prot#'!A:AL,13,FALSE)-VLOOKUP(A168,'SegEnds_NonXtal_Prot#'!A:AL,10,FALSE)</f>
        <v>28</v>
      </c>
      <c r="AD168" s="1">
        <f>VLOOKUP(A168,'SegEnds_NonXtal_Prot#'!A:AL,16,FALSE)-VLOOKUP(A168,'SegEnds_NonXtal_Prot#'!A:AL,10,FALSE)</f>
        <v>59</v>
      </c>
      <c r="AE168" s="1">
        <f>VLOOKUP(A168,'SegEnds_NonXtal_Prot#'!A:AL,22,FALSE)-VLOOKUP(A168,'SegEnds_NonXtal_Prot#'!A:AL,19,FALSE)</f>
        <v>20</v>
      </c>
      <c r="AF168" s="1">
        <f>VLOOKUP(A168,'SegEnds_NonXtal_Prot#'!A:AL,28,FALSE)-VLOOKUP(A168,'SegEnds_NonXtal_Prot#'!A:AL,25,FALSE)</f>
        <v>24</v>
      </c>
      <c r="AG168" s="1">
        <f>VLOOKUP(A168,'SegEnds_NonXtal_Prot#'!A:AL,28,FALSE)-VLOOKUP(A168,'SegEnds_NonXtal_Prot#'!A:AL,22,FALSE)</f>
        <v>47</v>
      </c>
      <c r="AH168" s="1">
        <f>VLOOKUP(A168,'SegEnds_NonXtal_Prot#'!A:AL,31,FALSE)-VLOOKUP(A168,'SegEnds_NonXtal_Prot#'!A:AL,28,FALSE)</f>
        <v>46</v>
      </c>
      <c r="AI168" s="1">
        <f>VLOOKUP(A168,'SegEnds_NonXtal_Prot#'!A:AL,34,FALSE)-VLOOKUP(A168,'SegEnds_NonXtal_Prot#'!A:AL,31,FALSE)</f>
        <v>36</v>
      </c>
      <c r="AJ168" s="1" t="str">
        <f>IF(ISERROR(MATCH(A168,'SegEnds_Xtal_Prot#'!B:B, 0)), "NoXtal", "Xtal")</f>
        <v>NoXtal</v>
      </c>
    </row>
    <row r="169" spans="1:36" x14ac:dyDescent="0.2">
      <c r="A169" s="1" t="s">
        <v>292</v>
      </c>
      <c r="B169" s="1" t="str">
        <f>VLOOKUP(A169,Xtal_Templ!A:B,2,FALSE)</f>
        <v>agtr1_human</v>
      </c>
      <c r="C169" s="5">
        <f>VLOOKUP($B169&amp;"__wt",'SegEnds_Xtal_BW#'!$A:$Z,3,FALSE)</f>
        <v>30</v>
      </c>
      <c r="D169" s="1">
        <f>VLOOKUP($B169&amp;"__wt",'SegEnds_Xtal_BW#'!$A:$Z,4,FALSE)</f>
        <v>60</v>
      </c>
      <c r="E169" s="1">
        <f>VLOOKUP($B169&amp;"__wt",'SegEnds_Xtal_BW#'!$A:$Z,5,FALSE)</f>
        <v>48</v>
      </c>
      <c r="F169" s="1">
        <f>VLOOKUP($B169&amp;"__wt",'SegEnds_Xtal_BW#'!$A:$Z,6,FALSE)</f>
        <v>51</v>
      </c>
      <c r="G169" s="1">
        <v>37</v>
      </c>
      <c r="H169" s="12">
        <v>66</v>
      </c>
      <c r="I169" s="1">
        <f>VLOOKUP($B169&amp;"__wt",'SegEnds_Xtal_BW#'!$A:$Z,9,FALSE)</f>
        <v>49</v>
      </c>
      <c r="J169" s="1">
        <f>VLOOKUP($B169&amp;"__wt",'SegEnds_Xtal_BW#'!$A:$Z,10,FALSE)</f>
        <v>52</v>
      </c>
      <c r="K169" s="12">
        <v>21</v>
      </c>
      <c r="L169" s="1">
        <f>VLOOKUP($B169&amp;"__wt",'SegEnds_Xtal_BW#'!$A:$Z,12,FALSE)</f>
        <v>56</v>
      </c>
      <c r="M169" s="1">
        <f>VLOOKUP($B169&amp;"__wt",'SegEnds_Xtal_BW#'!$A:$Z,13,FALSE)</f>
        <v>50</v>
      </c>
      <c r="N169" s="12">
        <v>57</v>
      </c>
      <c r="O169" s="89">
        <v>38</v>
      </c>
      <c r="P169" s="1">
        <f>VLOOKUP($B169&amp;"__wt",'SegEnds_Xtal_BW#'!$A:$Z,16,FALSE)</f>
        <v>64</v>
      </c>
      <c r="Q169" s="1">
        <f>VLOOKUP($B169&amp;"__wt",'SegEnds_Xtal_BW#'!$A:$Z,17,FALSE)</f>
        <v>50</v>
      </c>
      <c r="R169" s="1">
        <f>VLOOKUP($B169&amp;"__wt",'SegEnds_Xtal_BW#'!$A:$Z,18,FALSE)</f>
        <v>52</v>
      </c>
      <c r="S169" s="1">
        <f>VLOOKUP($B169&amp;"__wt",'SegEnds_Xtal_BW#'!$A:$Z,19,FALSE)</f>
        <v>34</v>
      </c>
      <c r="T169" s="1">
        <f t="array" ref="T169">INDEX('ICL3'!$G$2:$G$40,MATCH(MIN(ABS(AH169-'ICL3'!$F$2:$F$40)),ABS(AH169-'ICL3'!$F$2:$F$40),0))</f>
        <v>68</v>
      </c>
      <c r="U169" s="1">
        <f t="array" ref="U169">INDEX('ICL3'!$H$2:$H$40,MATCH(MIN(ABS(AH169-'ICL3'!$F$2:$F$40)),ABS(AH169-'ICL3'!$F$2:$F$40),0))</f>
        <v>30</v>
      </c>
      <c r="V169" s="1">
        <v>64</v>
      </c>
      <c r="W169" s="1">
        <v>24</v>
      </c>
      <c r="X169" s="1">
        <f>VLOOKUP($B169&amp;"__wt",'SegEnds_Xtal_BW#'!$A:$Z,24,FALSE)</f>
        <v>56</v>
      </c>
      <c r="Y169" s="1">
        <f>VLOOKUP($B169&amp;"__wt",'SegEnds_Xtal_BW#'!$A:$Z,25,FALSE)</f>
        <v>47</v>
      </c>
      <c r="Z169" s="1">
        <f>VLOOKUP($B169&amp;"__wt",'SegEnds_Xtal_BW#'!$A:$Z,26,FALSE)</f>
        <v>61</v>
      </c>
      <c r="AA169" s="27" t="str">
        <f>VLOOKUP(A169,Classification!A:B,2,FALSE)</f>
        <v>A</v>
      </c>
      <c r="AB169" s="1">
        <f>VLOOKUP(A169,'SegEnds_NonXtal_Prot#'!A:AL,10,FALSE)-VLOOKUP(A169,'SegEnds_NonXtal_Prot#'!A:AL,7,FALSE)</f>
        <v>15</v>
      </c>
      <c r="AC169" s="1">
        <f>VLOOKUP(A169,'SegEnds_NonXtal_Prot#'!A:AL,13,FALSE)-VLOOKUP(A169,'SegEnds_NonXtal_Prot#'!A:AL,10,FALSE)</f>
        <v>19</v>
      </c>
      <c r="AD169" s="1">
        <f>VLOOKUP(A169,'SegEnds_NonXtal_Prot#'!A:AL,16,FALSE)-VLOOKUP(A169,'SegEnds_NonXtal_Prot#'!A:AL,10,FALSE)</f>
        <v>51</v>
      </c>
      <c r="AE169" s="1">
        <f>VLOOKUP(A169,'SegEnds_NonXtal_Prot#'!A:AL,22,FALSE)-VLOOKUP(A169,'SegEnds_NonXtal_Prot#'!A:AL,19,FALSE)</f>
        <v>20</v>
      </c>
      <c r="AF169" s="1">
        <f>VLOOKUP(A169,'SegEnds_NonXtal_Prot#'!A:AL,28,FALSE)-VLOOKUP(A169,'SegEnds_NonXtal_Prot#'!A:AL,25,FALSE)</f>
        <v>25</v>
      </c>
      <c r="AG169" s="1">
        <f>VLOOKUP(A169,'SegEnds_NonXtal_Prot#'!A:AL,28,FALSE)-VLOOKUP(A169,'SegEnds_NonXtal_Prot#'!A:AL,22,FALSE)</f>
        <v>51</v>
      </c>
      <c r="AH169" s="1">
        <f>VLOOKUP(A169,'SegEnds_NonXtal_Prot#'!A:AL,31,FALSE)-VLOOKUP(A169,'SegEnds_NonXtal_Prot#'!A:AL,28,FALSE)</f>
        <v>43</v>
      </c>
      <c r="AI169" s="1">
        <f>VLOOKUP(A169,'SegEnds_NonXtal_Prot#'!A:AL,34,FALSE)-VLOOKUP(A169,'SegEnds_NonXtal_Prot#'!A:AL,31,FALSE)</f>
        <v>46</v>
      </c>
      <c r="AJ169" s="1" t="str">
        <f>IF(ISERROR(MATCH(A169,'SegEnds_Xtal_Prot#'!B:B, 0)), "NoXtal", "Xtal")</f>
        <v>NoXtal</v>
      </c>
    </row>
    <row r="170" spans="1:36" x14ac:dyDescent="0.2">
      <c r="A170" s="1" t="s">
        <v>293</v>
      </c>
      <c r="B170" s="1" t="str">
        <f>VLOOKUP(A170,Xtal_Templ!A:B,2,FALSE)</f>
        <v>ntr1_rat</v>
      </c>
      <c r="C170" s="5">
        <f>VLOOKUP($B170&amp;"__wt",'SegEnds_Xtal_BW#'!$A:$Z,3,FALSE)</f>
        <v>29</v>
      </c>
      <c r="D170" s="1">
        <f>VLOOKUP($B170&amp;"__wt",'SegEnds_Xtal_BW#'!$A:$Z,4,FALSE)</f>
        <v>60</v>
      </c>
      <c r="E170" s="1">
        <f>VLOOKUP($B170&amp;"__wt",'SegEnds_Xtal_BW#'!$A:$Z,5,FALSE)</f>
        <v>48</v>
      </c>
      <c r="F170" s="1">
        <f>VLOOKUP($B170&amp;"__wt",'SegEnds_Xtal_BW#'!$A:$Z,6,FALSE)</f>
        <v>51</v>
      </c>
      <c r="G170" s="1">
        <v>37</v>
      </c>
      <c r="H170" s="12">
        <v>66</v>
      </c>
      <c r="I170" s="1">
        <f>VLOOKUP($B170&amp;"__wt",'SegEnds_Xtal_BW#'!$A:$Z,9,FALSE)</f>
        <v>49</v>
      </c>
      <c r="J170" s="1">
        <f>VLOOKUP($B170&amp;"__wt",'SegEnds_Xtal_BW#'!$A:$Z,10,FALSE)</f>
        <v>52</v>
      </c>
      <c r="K170" s="12">
        <v>21</v>
      </c>
      <c r="L170" s="1">
        <f>VLOOKUP($B170&amp;"__wt",'SegEnds_Xtal_BW#'!$A:$Z,12,FALSE)</f>
        <v>56</v>
      </c>
      <c r="M170" s="1">
        <f>VLOOKUP($B170&amp;"__wt",'SegEnds_Xtal_BW#'!$A:$Z,13,FALSE)</f>
        <v>50</v>
      </c>
      <c r="N170" s="12">
        <v>57</v>
      </c>
      <c r="O170" s="89">
        <v>38</v>
      </c>
      <c r="P170" s="1">
        <f>VLOOKUP($B170&amp;"__wt",'SegEnds_Xtal_BW#'!$A:$Z,16,FALSE)</f>
        <v>64</v>
      </c>
      <c r="Q170" s="1">
        <f>VLOOKUP($B170&amp;"__wt",'SegEnds_Xtal_BW#'!$A:$Z,17,FALSE)</f>
        <v>50</v>
      </c>
      <c r="R170" s="1">
        <f>VLOOKUP($B170&amp;"__wt",'SegEnds_Xtal_BW#'!$A:$Z,18,FALSE)</f>
        <v>52</v>
      </c>
      <c r="S170" s="1">
        <v>35</v>
      </c>
      <c r="T170" s="1">
        <f t="array" ref="T170">INDEX('ICL3'!$G$2:$G$40,MATCH(MIN(ABS(AH170-'ICL3'!$F$2:$F$40)),ABS(AH170-'ICL3'!$F$2:$F$40),0))</f>
        <v>67</v>
      </c>
      <c r="U170" s="1">
        <f t="array" ref="U170">INDEX('ICL3'!$H$2:$H$40,MATCH(MIN(ABS(AH170-'ICL3'!$F$2:$F$40)),ABS(AH170-'ICL3'!$F$2:$F$40),0))</f>
        <v>26</v>
      </c>
      <c r="V170" s="1">
        <v>64</v>
      </c>
      <c r="W170" s="1">
        <v>24</v>
      </c>
      <c r="X170" s="1">
        <f>VLOOKUP($B170&amp;"__wt",'SegEnds_Xtal_BW#'!$A:$Z,24,FALSE)</f>
        <v>56</v>
      </c>
      <c r="Y170" s="1">
        <f>VLOOKUP($B170&amp;"__wt",'SegEnds_Xtal_BW#'!$A:$Z,25,FALSE)</f>
        <v>47</v>
      </c>
      <c r="Z170" s="1">
        <f>VLOOKUP($B170&amp;"__wt",'SegEnds_Xtal_BW#'!$A:$Z,26,FALSE)</f>
        <v>58</v>
      </c>
      <c r="AA170" s="27" t="str">
        <f>VLOOKUP(A170,Classification!A:B,2,FALSE)</f>
        <v>A</v>
      </c>
      <c r="AB170" s="1">
        <f>VLOOKUP(A170,'SegEnds_NonXtal_Prot#'!A:AL,10,FALSE)-VLOOKUP(A170,'SegEnds_NonXtal_Prot#'!A:AL,7,FALSE)</f>
        <v>17</v>
      </c>
      <c r="AC170" s="1">
        <f>VLOOKUP(A170,'SegEnds_NonXtal_Prot#'!A:AL,13,FALSE)-VLOOKUP(A170,'SegEnds_NonXtal_Prot#'!A:AL,10,FALSE)</f>
        <v>19</v>
      </c>
      <c r="AD170" s="1">
        <f>VLOOKUP(A170,'SegEnds_NonXtal_Prot#'!A:AL,16,FALSE)-VLOOKUP(A170,'SegEnds_NonXtal_Prot#'!A:AL,10,FALSE)</f>
        <v>51</v>
      </c>
      <c r="AE170" s="1">
        <f>VLOOKUP(A170,'SegEnds_NonXtal_Prot#'!A:AL,22,FALSE)-VLOOKUP(A170,'SegEnds_NonXtal_Prot#'!A:AL,19,FALSE)</f>
        <v>20</v>
      </c>
      <c r="AF170" s="1">
        <f>VLOOKUP(A170,'SegEnds_NonXtal_Prot#'!A:AL,28,FALSE)-VLOOKUP(A170,'SegEnds_NonXtal_Prot#'!A:AL,25,FALSE)</f>
        <v>22</v>
      </c>
      <c r="AG170" s="1">
        <f>VLOOKUP(A170,'SegEnds_NonXtal_Prot#'!A:AL,28,FALSE)-VLOOKUP(A170,'SegEnds_NonXtal_Prot#'!A:AL,22,FALSE)</f>
        <v>47</v>
      </c>
      <c r="AH170" s="1">
        <f>VLOOKUP(A170,'SegEnds_NonXtal_Prot#'!A:AL,31,FALSE)-VLOOKUP(A170,'SegEnds_NonXtal_Prot#'!A:AL,28,FALSE)</f>
        <v>46</v>
      </c>
      <c r="AI170" s="1">
        <f>VLOOKUP(A170,'SegEnds_NonXtal_Prot#'!A:AL,34,FALSE)-VLOOKUP(A170,'SegEnds_NonXtal_Prot#'!A:AL,31,FALSE)</f>
        <v>46</v>
      </c>
      <c r="AJ170" s="1" t="str">
        <f>IF(ISERROR(MATCH(A170,'SegEnds_Xtal_Prot#'!B:B, 0)), "NoXtal", "Xtal")</f>
        <v>NoXtal</v>
      </c>
    </row>
    <row r="171" spans="1:36" x14ac:dyDescent="0.2">
      <c r="A171" s="1" t="s">
        <v>294</v>
      </c>
      <c r="B171" s="1" t="str">
        <f>VLOOKUP(A171,Xtal_Templ!A:B,2,FALSE)</f>
        <v>agtr1_human</v>
      </c>
      <c r="C171" s="5">
        <f>VLOOKUP($B171&amp;"__wt",'SegEnds_Xtal_BW#'!$A:$Z,3,FALSE)</f>
        <v>30</v>
      </c>
      <c r="D171" s="1">
        <f>VLOOKUP($B171&amp;"__wt",'SegEnds_Xtal_BW#'!$A:$Z,4,FALSE)</f>
        <v>60</v>
      </c>
      <c r="E171" s="1">
        <f>VLOOKUP($B171&amp;"__wt",'SegEnds_Xtal_BW#'!$A:$Z,5,FALSE)</f>
        <v>48</v>
      </c>
      <c r="F171" s="1">
        <f>VLOOKUP($B171&amp;"__wt",'SegEnds_Xtal_BW#'!$A:$Z,6,FALSE)</f>
        <v>51</v>
      </c>
      <c r="G171" s="1">
        <v>37</v>
      </c>
      <c r="H171" s="12">
        <v>67</v>
      </c>
      <c r="I171" s="1">
        <f>VLOOKUP($B171&amp;"__wt",'SegEnds_Xtal_BW#'!$A:$Z,9,FALSE)</f>
        <v>49</v>
      </c>
      <c r="J171" s="1">
        <f>VLOOKUP($B171&amp;"__wt",'SegEnds_Xtal_BW#'!$A:$Z,10,FALSE)</f>
        <v>52</v>
      </c>
      <c r="K171" s="12">
        <v>18</v>
      </c>
      <c r="L171" s="1">
        <f>VLOOKUP($B171&amp;"__wt",'SegEnds_Xtal_BW#'!$A:$Z,12,FALSE)</f>
        <v>56</v>
      </c>
      <c r="M171" s="1">
        <f>VLOOKUP($B171&amp;"__wt",'SegEnds_Xtal_BW#'!$A:$Z,13,FALSE)</f>
        <v>50</v>
      </c>
      <c r="N171" s="12">
        <v>57</v>
      </c>
      <c r="O171" s="89">
        <f>VLOOKUP($B171&amp;"__wt",'SegEnds_Xtal_BW#'!$A:$Z,15,FALSE)</f>
        <v>38</v>
      </c>
      <c r="P171" s="1">
        <f>VLOOKUP($B171&amp;"__wt",'SegEnds_Xtal_BW#'!$A:$Z,16,FALSE)</f>
        <v>64</v>
      </c>
      <c r="Q171" s="1">
        <f>VLOOKUP($B171&amp;"__wt",'SegEnds_Xtal_BW#'!$A:$Z,17,FALSE)</f>
        <v>50</v>
      </c>
      <c r="R171" s="1">
        <f>VLOOKUP($B171&amp;"__wt",'SegEnds_Xtal_BW#'!$A:$Z,18,FALSE)</f>
        <v>52</v>
      </c>
      <c r="S171" s="1">
        <f>VLOOKUP($B171&amp;"__wt",'SegEnds_Xtal_BW#'!$A:$Z,19,FALSE)</f>
        <v>34</v>
      </c>
      <c r="T171" s="1">
        <f t="array" ref="T171">INDEX('ICL3'!$G$2:$G$40,MATCH(MIN(ABS(AH171-'ICL3'!$F$2:$F$40)),ABS(AH171-'ICL3'!$F$2:$F$40),0))</f>
        <v>68</v>
      </c>
      <c r="U171" s="1">
        <f t="array" ref="U171">INDEX('ICL3'!$H$2:$H$40,MATCH(MIN(ABS(AH171-'ICL3'!$F$2:$F$40)),ABS(AH171-'ICL3'!$F$2:$F$40),0))</f>
        <v>30</v>
      </c>
      <c r="V171" s="1">
        <v>61</v>
      </c>
      <c r="W171" s="1">
        <v>32</v>
      </c>
      <c r="X171" s="1">
        <f>VLOOKUP($B171&amp;"__wt",'SegEnds_Xtal_BW#'!$A:$Z,24,FALSE)</f>
        <v>56</v>
      </c>
      <c r="Y171" s="1">
        <f>VLOOKUP($B171&amp;"__wt",'SegEnds_Xtal_BW#'!$A:$Z,25,FALSE)</f>
        <v>47</v>
      </c>
      <c r="Z171" s="1">
        <f>VLOOKUP($B171&amp;"__wt",'SegEnds_Xtal_BW#'!$A:$Z,26,FALSE)</f>
        <v>61</v>
      </c>
      <c r="AA171" s="27" t="str">
        <f>VLOOKUP(A171,Classification!A:B,2,FALSE)</f>
        <v>A</v>
      </c>
      <c r="AB171" s="1" t="e">
        <f>VLOOKUP(A171,'SegEnds_NonXtal_Prot#'!A:AL,10,FALSE)-VLOOKUP(A171,'SegEnds_NonXtal_Prot#'!A:AL,7,FALSE)</f>
        <v>#VALUE!</v>
      </c>
      <c r="AC171" s="1" t="e">
        <f>VLOOKUP(A171,'SegEnds_NonXtal_Prot#'!A:AL,13,FALSE)-VLOOKUP(A171,'SegEnds_NonXtal_Prot#'!A:AL,10,FALSE)</f>
        <v>#VALUE!</v>
      </c>
      <c r="AD171" s="1">
        <f>VLOOKUP(A171,'SegEnds_NonXtal_Prot#'!A:AL,16,FALSE)-VLOOKUP(A171,'SegEnds_NonXtal_Prot#'!A:AL,10,FALSE)</f>
        <v>53</v>
      </c>
      <c r="AE171" s="1">
        <f>VLOOKUP(A171,'SegEnds_NonXtal_Prot#'!A:AL,22,FALSE)-VLOOKUP(A171,'SegEnds_NonXtal_Prot#'!A:AL,19,FALSE)</f>
        <v>20</v>
      </c>
      <c r="AF171" s="1" t="e">
        <f>VLOOKUP(A171,'SegEnds_NonXtal_Prot#'!A:AL,28,FALSE)-VLOOKUP(A171,'SegEnds_NonXtal_Prot#'!A:AL,25,FALSE)</f>
        <v>#VALUE!</v>
      </c>
      <c r="AG171" s="1">
        <f>VLOOKUP(A171,'SegEnds_NonXtal_Prot#'!A:AL,28,FALSE)-VLOOKUP(A171,'SegEnds_NonXtal_Prot#'!A:AL,22,FALSE)</f>
        <v>44</v>
      </c>
      <c r="AH171" s="1">
        <f>VLOOKUP(A171,'SegEnds_NonXtal_Prot#'!A:AL,31,FALSE)-VLOOKUP(A171,'SegEnds_NonXtal_Prot#'!A:AL,28,FALSE)</f>
        <v>42</v>
      </c>
      <c r="AI171" s="1">
        <f>VLOOKUP(A171,'SegEnds_NonXtal_Prot#'!A:AL,34,FALSE)-VLOOKUP(A171,'SegEnds_NonXtal_Prot#'!A:AL,31,FALSE)</f>
        <v>34</v>
      </c>
      <c r="AJ171" s="1" t="str">
        <f>IF(ISERROR(MATCH(A171,'SegEnds_Xtal_Prot#'!B:B, 0)), "NoXtal", "Xtal")</f>
        <v>NoXtal</v>
      </c>
    </row>
    <row r="172" spans="1:36" x14ac:dyDescent="0.2">
      <c r="A172" s="1" t="s">
        <v>295</v>
      </c>
      <c r="B172" s="1" t="str">
        <f>VLOOKUP(A172,Xtal_Templ!A:B,2,FALSE)</f>
        <v>ccr9_human</v>
      </c>
      <c r="C172" s="5">
        <f>VLOOKUP($B172&amp;"__wt",'SegEnds_Xtal_BW#'!$A:$Z,3,FALSE)</f>
        <v>27</v>
      </c>
      <c r="D172" s="1">
        <f>VLOOKUP($B172&amp;"__wt",'SegEnds_Xtal_BW#'!$A:$Z,4,FALSE)</f>
        <v>60</v>
      </c>
      <c r="E172" s="1">
        <f>VLOOKUP($B172&amp;"__wt",'SegEnds_Xtal_BW#'!$A:$Z,5,FALSE)</f>
        <v>48</v>
      </c>
      <c r="F172" s="1">
        <f>VLOOKUP($B172&amp;"__wt",'SegEnds_Xtal_BW#'!$A:$Z,6,FALSE)</f>
        <v>51</v>
      </c>
      <c r="G172" s="1">
        <v>37</v>
      </c>
      <c r="H172" s="12">
        <f>VLOOKUP($B172&amp;"__wt",'SegEnds_Xtal_BW#'!$A:$Z,8,FALSE)</f>
        <v>66</v>
      </c>
      <c r="I172" s="1">
        <f>VLOOKUP($B172&amp;"__wt",'SegEnds_Xtal_BW#'!$A:$Z,9,FALSE)</f>
        <v>49</v>
      </c>
      <c r="J172" s="1">
        <f>VLOOKUP($B172&amp;"__wt",'SegEnds_Xtal_BW#'!$A:$Z,10,FALSE)</f>
        <v>52</v>
      </c>
      <c r="K172" s="12">
        <v>18</v>
      </c>
      <c r="L172" s="1">
        <f>VLOOKUP($B172&amp;"__wt",'SegEnds_Xtal_BW#'!$A:$Z,12,FALSE)</f>
        <v>56</v>
      </c>
      <c r="M172" s="1">
        <f>VLOOKUP($B172&amp;"__wt",'SegEnds_Xtal_BW#'!$A:$Z,13,FALSE)</f>
        <v>50</v>
      </c>
      <c r="N172" s="12">
        <v>57</v>
      </c>
      <c r="O172" s="89">
        <v>38</v>
      </c>
      <c r="P172" s="1">
        <f>VLOOKUP($B172&amp;"__wt",'SegEnds_Xtal_BW#'!$A:$Z,16,FALSE)</f>
        <v>64</v>
      </c>
      <c r="Q172" s="1">
        <f>VLOOKUP($B172&amp;"__wt",'SegEnds_Xtal_BW#'!$A:$Z,17,FALSE)</f>
        <v>50</v>
      </c>
      <c r="R172" s="1">
        <f>VLOOKUP($B172&amp;"__wt",'SegEnds_Xtal_BW#'!$A:$Z,18,FALSE)</f>
        <v>52</v>
      </c>
      <c r="S172" s="1">
        <f>VLOOKUP($B172&amp;"__wt",'SegEnds_Xtal_BW#'!$A:$Z,19,FALSE)</f>
        <v>33</v>
      </c>
      <c r="T172" s="1">
        <f t="array" ref="T172">INDEX('ICL3'!$G$2:$G$40,MATCH(MIN(ABS(AH172-'ICL3'!$F$2:$F$40)),ABS(AH172-'ICL3'!$F$2:$F$40),0))</f>
        <v>68</v>
      </c>
      <c r="U172" s="1">
        <f t="array" ref="U172">INDEX('ICL3'!$H$2:$H$40,MATCH(MIN(ABS(AH172-'ICL3'!$F$2:$F$40)),ABS(AH172-'ICL3'!$F$2:$F$40),0))</f>
        <v>30</v>
      </c>
      <c r="V172" s="1">
        <v>61</v>
      </c>
      <c r="W172" s="1">
        <v>34</v>
      </c>
      <c r="X172" s="1">
        <f>VLOOKUP($B172&amp;"__wt",'SegEnds_Xtal_BW#'!$A:$Z,24,FALSE)</f>
        <v>56</v>
      </c>
      <c r="Y172" s="1">
        <f>VLOOKUP($B172&amp;"__wt",'SegEnds_Xtal_BW#'!$A:$Z,25,FALSE)</f>
        <v>47</v>
      </c>
      <c r="Z172" s="1">
        <f>VLOOKUP($B172&amp;"__wt",'SegEnds_Xtal_BW#'!$A:$Z,26,FALSE)</f>
        <v>67</v>
      </c>
      <c r="AA172" s="27" t="str">
        <f>VLOOKUP(A172,Classification!A:B,2,FALSE)</f>
        <v>A</v>
      </c>
      <c r="AB172" s="1" t="e">
        <f>VLOOKUP(A172,'SegEnds_NonXtal_Prot#'!A:AL,10,FALSE)-VLOOKUP(A172,'SegEnds_NonXtal_Prot#'!A:AL,7,FALSE)</f>
        <v>#VALUE!</v>
      </c>
      <c r="AC172" s="1" t="e">
        <f>VLOOKUP(A172,'SegEnds_NonXtal_Prot#'!A:AL,13,FALSE)-VLOOKUP(A172,'SegEnds_NonXtal_Prot#'!A:AL,10,FALSE)</f>
        <v>#VALUE!</v>
      </c>
      <c r="AD172" s="1">
        <f>VLOOKUP(A172,'SegEnds_NonXtal_Prot#'!A:AL,16,FALSE)-VLOOKUP(A172,'SegEnds_NonXtal_Prot#'!A:AL,10,FALSE)</f>
        <v>52</v>
      </c>
      <c r="AE172" s="1">
        <f>VLOOKUP(A172,'SegEnds_NonXtal_Prot#'!A:AL,22,FALSE)-VLOOKUP(A172,'SegEnds_NonXtal_Prot#'!A:AL,19,FALSE)</f>
        <v>20</v>
      </c>
      <c r="AF172" s="1" t="e">
        <f>VLOOKUP(A172,'SegEnds_NonXtal_Prot#'!A:AL,28,FALSE)-VLOOKUP(A172,'SegEnds_NonXtal_Prot#'!A:AL,25,FALSE)</f>
        <v>#VALUE!</v>
      </c>
      <c r="AG172" s="1">
        <f>VLOOKUP(A172,'SegEnds_NonXtal_Prot#'!A:AL,28,FALSE)-VLOOKUP(A172,'SegEnds_NonXtal_Prot#'!A:AL,22,FALSE)</f>
        <v>39</v>
      </c>
      <c r="AH172" s="1">
        <f>VLOOKUP(A172,'SegEnds_NonXtal_Prot#'!A:AL,31,FALSE)-VLOOKUP(A172,'SegEnds_NonXtal_Prot#'!A:AL,28,FALSE)</f>
        <v>42</v>
      </c>
      <c r="AI172" s="1">
        <f>VLOOKUP(A172,'SegEnds_NonXtal_Prot#'!A:AL,34,FALSE)-VLOOKUP(A172,'SegEnds_NonXtal_Prot#'!A:AL,31,FALSE)</f>
        <v>32</v>
      </c>
      <c r="AJ172" s="1" t="str">
        <f>IF(ISERROR(MATCH(A172,'SegEnds_Xtal_Prot#'!B:B, 0)), "NoXtal", "Xtal")</f>
        <v>NoXtal</v>
      </c>
    </row>
    <row r="173" spans="1:36" x14ac:dyDescent="0.2">
      <c r="A173" s="1" t="s">
        <v>296</v>
      </c>
      <c r="B173" s="1" t="str">
        <f>VLOOKUP(A173,Xtal_Templ!A:B,2,FALSE)</f>
        <v>lpar1_human</v>
      </c>
      <c r="C173" s="5">
        <f>VLOOKUP($B173&amp;"__wt",'SegEnds_Xtal_BW#'!$A:$Z,3,FALSE)</f>
        <v>30</v>
      </c>
      <c r="D173" s="1">
        <f>VLOOKUP($B173&amp;"__wt",'SegEnds_Xtal_BW#'!$A:$Z,4,FALSE)</f>
        <v>60</v>
      </c>
      <c r="E173" s="1">
        <f>VLOOKUP($B173&amp;"__wt",'SegEnds_Xtal_BW#'!$A:$Z,5,FALSE)</f>
        <v>48</v>
      </c>
      <c r="F173" s="1">
        <f>VLOOKUP($B173&amp;"__wt",'SegEnds_Xtal_BW#'!$A:$Z,6,FALSE)</f>
        <v>51</v>
      </c>
      <c r="G173" s="1">
        <v>37</v>
      </c>
      <c r="H173" s="12">
        <v>67</v>
      </c>
      <c r="I173" s="1" t="s">
        <v>23</v>
      </c>
      <c r="J173" s="1" t="s">
        <v>23</v>
      </c>
      <c r="K173" s="12">
        <v>18</v>
      </c>
      <c r="L173" s="1">
        <f>VLOOKUP($B173&amp;"__wt",'SegEnds_Xtal_BW#'!$A:$Z,12,FALSE)</f>
        <v>56</v>
      </c>
      <c r="M173" s="1">
        <f>VLOOKUP($B173&amp;"__wt",'SegEnds_Xtal_BW#'!$A:$Z,13,FALSE)</f>
        <v>50</v>
      </c>
      <c r="N173" s="12">
        <v>57</v>
      </c>
      <c r="O173" s="89">
        <f>VLOOKUP($B173&amp;"__wt",'SegEnds_Xtal_BW#'!$A:$Z,15,FALSE)</f>
        <v>38</v>
      </c>
      <c r="P173" s="1">
        <f>VLOOKUP($B173&amp;"__wt",'SegEnds_Xtal_BW#'!$A:$Z,16,FALSE)</f>
        <v>63</v>
      </c>
      <c r="Q173" s="1" t="str">
        <f>VLOOKUP($B173&amp;"__wt",'SegEnds_Xtal_BW#'!$A:$Z,17,FALSE)</f>
        <v>-</v>
      </c>
      <c r="R173" s="1" t="str">
        <f>VLOOKUP($B173&amp;"__wt",'SegEnds_Xtal_BW#'!$A:$Z,18,FALSE)</f>
        <v>-</v>
      </c>
      <c r="S173" s="111">
        <v>33</v>
      </c>
      <c r="T173" s="1">
        <f t="array" ref="T173">INDEX('ICL3'!$G$2:$G$40,MATCH(MIN(ABS(AH173-'ICL3'!$F$2:$F$40)),ABS(AH173-'ICL3'!$F$2:$F$40),0))</f>
        <v>68</v>
      </c>
      <c r="U173" s="111">
        <v>27</v>
      </c>
      <c r="V173" s="1">
        <v>61</v>
      </c>
      <c r="W173" s="1">
        <v>28</v>
      </c>
      <c r="X173" s="1">
        <f>VLOOKUP($B173&amp;"__wt",'SegEnds_Xtal_BW#'!$A:$Z,24,FALSE)</f>
        <v>56</v>
      </c>
      <c r="Y173" s="1">
        <f>VLOOKUP($B173&amp;"__wt",'SegEnds_Xtal_BW#'!$A:$Z,25,FALSE)</f>
        <v>47</v>
      </c>
      <c r="Z173" s="1">
        <f>VLOOKUP($B173&amp;"__wt",'SegEnds_Xtal_BW#'!$A:$Z,26,FALSE)</f>
        <v>59</v>
      </c>
      <c r="AA173" s="27" t="str">
        <f>VLOOKUP(A173,Classification!A:B,2,FALSE)</f>
        <v>A</v>
      </c>
      <c r="AB173" s="1">
        <f>VLOOKUP(A173,'SegEnds_NonXtal_Prot#'!A:AL,10,FALSE)-VLOOKUP(A173,'SegEnds_NonXtal_Prot#'!A:AL,7,FALSE)</f>
        <v>15</v>
      </c>
      <c r="AC173" s="1" t="e">
        <f>VLOOKUP(A173,'SegEnds_NonXtal_Prot#'!A:AL,13,FALSE)-VLOOKUP(A173,'SegEnds_NonXtal_Prot#'!A:AL,10,FALSE)</f>
        <v>#VALUE!</v>
      </c>
      <c r="AD173" s="1">
        <f>VLOOKUP(A173,'SegEnds_NonXtal_Prot#'!A:AL,16,FALSE)-VLOOKUP(A173,'SegEnds_NonXtal_Prot#'!A:AL,10,FALSE)</f>
        <v>58</v>
      </c>
      <c r="AE173" s="1">
        <f>VLOOKUP(A173,'SegEnds_NonXtal_Prot#'!A:AL,22,FALSE)-VLOOKUP(A173,'SegEnds_NonXtal_Prot#'!A:AL,19,FALSE)</f>
        <v>20</v>
      </c>
      <c r="AF173" s="1" t="e">
        <f>VLOOKUP(A173,'SegEnds_NonXtal_Prot#'!A:AL,28,FALSE)-VLOOKUP(A173,'SegEnds_NonXtal_Prot#'!A:AL,25,FALSE)</f>
        <v>#VALUE!</v>
      </c>
      <c r="AG173" s="1">
        <f>VLOOKUP(A173,'SegEnds_NonXtal_Prot#'!A:AL,28,FALSE)-VLOOKUP(A173,'SegEnds_NonXtal_Prot#'!A:AL,22,FALSE)</f>
        <v>40</v>
      </c>
      <c r="AH173" s="1">
        <f>VLOOKUP(A173,'SegEnds_NonXtal_Prot#'!A:AL,31,FALSE)-VLOOKUP(A173,'SegEnds_NonXtal_Prot#'!A:AL,28,FALSE)</f>
        <v>48</v>
      </c>
      <c r="AI173" s="1">
        <f>VLOOKUP(A173,'SegEnds_NonXtal_Prot#'!A:AL,34,FALSE)-VLOOKUP(A173,'SegEnds_NonXtal_Prot#'!A:AL,31,FALSE)</f>
        <v>39</v>
      </c>
      <c r="AJ173" s="1" t="str">
        <f>IF(ISERROR(MATCH(A173,'SegEnds_Xtal_Prot#'!B:B, 0)), "NoXtal", "Xtal")</f>
        <v>NoXtal</v>
      </c>
    </row>
    <row r="174" spans="1:36" x14ac:dyDescent="0.2">
      <c r="A174" s="1" t="s">
        <v>297</v>
      </c>
      <c r="B174" s="1" t="str">
        <f>VLOOKUP(A174,Xtal_Templ!A:B,2,FALSE)</f>
        <v>s1pr1_human</v>
      </c>
      <c r="C174" s="5">
        <f>VLOOKUP($B174&amp;"__wt",'SegEnds_Xtal_BW#'!$A:$Z,3,FALSE)</f>
        <v>29</v>
      </c>
      <c r="D174" s="1">
        <f>VLOOKUP($B174&amp;"__wt",'SegEnds_Xtal_BW#'!$A:$Z,4,FALSE)</f>
        <v>60</v>
      </c>
      <c r="E174" s="1">
        <f>VLOOKUP($B174&amp;"__wt",'SegEnds_Xtal_BW#'!$A:$Z,5,FALSE)</f>
        <v>48</v>
      </c>
      <c r="F174" s="1">
        <f>VLOOKUP($B174&amp;"__wt",'SegEnds_Xtal_BW#'!$A:$Z,6,FALSE)</f>
        <v>51</v>
      </c>
      <c r="G174" s="1">
        <v>37</v>
      </c>
      <c r="H174" s="12">
        <v>67</v>
      </c>
      <c r="I174" s="1" t="s">
        <v>23</v>
      </c>
      <c r="J174" s="1" t="s">
        <v>23</v>
      </c>
      <c r="K174" s="12">
        <v>18</v>
      </c>
      <c r="L174" s="1">
        <f>VLOOKUP($B174&amp;"__wt",'SegEnds_Xtal_BW#'!$A:$Z,12,FALSE)</f>
        <v>56</v>
      </c>
      <c r="M174" s="1">
        <f>VLOOKUP($B174&amp;"__wt",'SegEnds_Xtal_BW#'!$A:$Z,13,FALSE)</f>
        <v>50</v>
      </c>
      <c r="N174" s="12">
        <v>57</v>
      </c>
      <c r="O174" s="89">
        <f>VLOOKUP($B174&amp;"__wt",'SegEnds_Xtal_BW#'!$A:$Z,15,FALSE)</f>
        <v>38</v>
      </c>
      <c r="P174" s="1">
        <f>VLOOKUP($B174&amp;"__wt",'SegEnds_Xtal_BW#'!$A:$Z,16,FALSE)</f>
        <v>63</v>
      </c>
      <c r="Q174" s="1" t="str">
        <f>VLOOKUP($B174&amp;"__wt",'SegEnds_Xtal_BW#'!$A:$Z,17,FALSE)</f>
        <v>-</v>
      </c>
      <c r="R174" s="1" t="str">
        <f>VLOOKUP($B174&amp;"__wt",'SegEnds_Xtal_BW#'!$A:$Z,18,FALSE)</f>
        <v>-</v>
      </c>
      <c r="S174" s="111">
        <v>33</v>
      </c>
      <c r="T174" s="1">
        <f t="array" ref="T174">INDEX('ICL3'!$G$2:$G$40,MATCH(MIN(ABS(AH174-'ICL3'!$F$2:$F$40)),ABS(AH174-'ICL3'!$F$2:$F$40),0))</f>
        <v>67</v>
      </c>
      <c r="U174" s="111">
        <v>27</v>
      </c>
      <c r="V174" s="1">
        <v>61</v>
      </c>
      <c r="W174" s="1">
        <v>28</v>
      </c>
      <c r="X174" s="1">
        <f>VLOOKUP($B174&amp;"__wt",'SegEnds_Xtal_BW#'!$A:$Z,24,FALSE)</f>
        <v>56</v>
      </c>
      <c r="Y174" s="1">
        <f>VLOOKUP($B174&amp;"__wt",'SegEnds_Xtal_BW#'!$A:$Z,25,FALSE)</f>
        <v>47</v>
      </c>
      <c r="Z174" s="1">
        <f>VLOOKUP($B174&amp;"__wt",'SegEnds_Xtal_BW#'!$A:$Z,26,FALSE)</f>
        <v>59</v>
      </c>
      <c r="AA174" s="27" t="str">
        <f>VLOOKUP(A174,Classification!A:B,2,FALSE)</f>
        <v>A</v>
      </c>
      <c r="AB174" s="1">
        <f>VLOOKUP(A174,'SegEnds_NonXtal_Prot#'!A:AL,10,FALSE)-VLOOKUP(A174,'SegEnds_NonXtal_Prot#'!A:AL,7,FALSE)</f>
        <v>15</v>
      </c>
      <c r="AC174" s="1" t="e">
        <f>VLOOKUP(A174,'SegEnds_NonXtal_Prot#'!A:AL,13,FALSE)-VLOOKUP(A174,'SegEnds_NonXtal_Prot#'!A:AL,10,FALSE)</f>
        <v>#VALUE!</v>
      </c>
      <c r="AD174" s="1">
        <f>VLOOKUP(A174,'SegEnds_NonXtal_Prot#'!A:AL,16,FALSE)-VLOOKUP(A174,'SegEnds_NonXtal_Prot#'!A:AL,10,FALSE)</f>
        <v>57</v>
      </c>
      <c r="AE174" s="1">
        <f>VLOOKUP(A174,'SegEnds_NonXtal_Prot#'!A:AL,22,FALSE)-VLOOKUP(A174,'SegEnds_NonXtal_Prot#'!A:AL,19,FALSE)</f>
        <v>20</v>
      </c>
      <c r="AF174" s="1" t="e">
        <f>VLOOKUP(A174,'SegEnds_NonXtal_Prot#'!A:AL,28,FALSE)-VLOOKUP(A174,'SegEnds_NonXtal_Prot#'!A:AL,25,FALSE)</f>
        <v>#VALUE!</v>
      </c>
      <c r="AG174" s="1">
        <f>VLOOKUP(A174,'SegEnds_NonXtal_Prot#'!A:AL,28,FALSE)-VLOOKUP(A174,'SegEnds_NonXtal_Prot#'!A:AL,22,FALSE)</f>
        <v>40</v>
      </c>
      <c r="AH174" s="1">
        <f>VLOOKUP(A174,'SegEnds_NonXtal_Prot#'!A:AL,31,FALSE)-VLOOKUP(A174,'SegEnds_NonXtal_Prot#'!A:AL,28,FALSE)</f>
        <v>46</v>
      </c>
      <c r="AI174" s="1">
        <f>VLOOKUP(A174,'SegEnds_NonXtal_Prot#'!A:AL,34,FALSE)-VLOOKUP(A174,'SegEnds_NonXtal_Prot#'!A:AL,31,FALSE)</f>
        <v>39</v>
      </c>
      <c r="AJ174" s="1" t="str">
        <f>IF(ISERROR(MATCH(A174,'SegEnds_Xtal_Prot#'!B:B, 0)), "NoXtal", "Xtal")</f>
        <v>NoXtal</v>
      </c>
    </row>
    <row r="175" spans="1:36" x14ac:dyDescent="0.2">
      <c r="A175" s="1" t="s">
        <v>298</v>
      </c>
      <c r="B175" s="1" t="str">
        <f>VLOOKUP(A175,Xtal_Templ!A:B,2,FALSE)</f>
        <v>lpar1_human</v>
      </c>
      <c r="C175" s="5">
        <f>VLOOKUP($B175&amp;"__wt",'SegEnds_Xtal_BW#'!$A:$Z,3,FALSE)</f>
        <v>30</v>
      </c>
      <c r="D175" s="1">
        <f>VLOOKUP($B175&amp;"__wt",'SegEnds_Xtal_BW#'!$A:$Z,4,FALSE)</f>
        <v>60</v>
      </c>
      <c r="E175" s="1">
        <f>VLOOKUP($B175&amp;"__wt",'SegEnds_Xtal_BW#'!$A:$Z,5,FALSE)</f>
        <v>48</v>
      </c>
      <c r="F175" s="1">
        <f>VLOOKUP($B175&amp;"__wt",'SegEnds_Xtal_BW#'!$A:$Z,6,FALSE)</f>
        <v>51</v>
      </c>
      <c r="G175" s="1">
        <v>37</v>
      </c>
      <c r="H175" s="12">
        <f>VLOOKUP($B175&amp;"__wt",'SegEnds_Xtal_BW#'!$A:$Z,8,FALSE)</f>
        <v>63</v>
      </c>
      <c r="I175" s="1">
        <v>49</v>
      </c>
      <c r="J175" s="1">
        <f>VLOOKUP($B175&amp;"__wt",'SegEnds_Xtal_BW#'!$A:$Z,10,FALSE)</f>
        <v>53</v>
      </c>
      <c r="K175" s="12">
        <v>18</v>
      </c>
      <c r="L175" s="1">
        <f>VLOOKUP($B175&amp;"__wt",'SegEnds_Xtal_BW#'!$A:$Z,12,FALSE)</f>
        <v>56</v>
      </c>
      <c r="M175" s="1">
        <f>VLOOKUP($B175&amp;"__wt",'SegEnds_Xtal_BW#'!$A:$Z,13,FALSE)</f>
        <v>50</v>
      </c>
      <c r="N175" s="12">
        <v>57</v>
      </c>
      <c r="O175" s="89">
        <f>VLOOKUP($B175&amp;"__wt",'SegEnds_Xtal_BW#'!$A:$Z,15,FALSE)</f>
        <v>38</v>
      </c>
      <c r="P175" s="1">
        <f>VLOOKUP($B175&amp;"__wt",'SegEnds_Xtal_BW#'!$A:$Z,16,FALSE)</f>
        <v>63</v>
      </c>
      <c r="Q175" s="1" t="str">
        <f>VLOOKUP($B175&amp;"__wt",'SegEnds_Xtal_BW#'!$A:$Z,17,FALSE)</f>
        <v>-</v>
      </c>
      <c r="R175" s="1" t="str">
        <f>VLOOKUP($B175&amp;"__wt",'SegEnds_Xtal_BW#'!$A:$Z,18,FALSE)</f>
        <v>-</v>
      </c>
      <c r="S175" s="111">
        <v>33</v>
      </c>
      <c r="T175" s="1">
        <f t="array" ref="T175">INDEX('ICL3'!$G$2:$G$40,MATCH(MIN(ABS(AH175-'ICL3'!$F$2:$F$40)),ABS(AH175-'ICL3'!$F$2:$F$40),0))</f>
        <v>67</v>
      </c>
      <c r="U175" s="111">
        <v>27</v>
      </c>
      <c r="V175" s="1">
        <v>61</v>
      </c>
      <c r="W175" s="1">
        <v>28</v>
      </c>
      <c r="X175" s="1">
        <f>VLOOKUP($B175&amp;"__wt",'SegEnds_Xtal_BW#'!$A:$Z,24,FALSE)</f>
        <v>56</v>
      </c>
      <c r="Y175" s="1">
        <f>VLOOKUP($B175&amp;"__wt",'SegEnds_Xtal_BW#'!$A:$Z,25,FALSE)</f>
        <v>47</v>
      </c>
      <c r="Z175" s="1">
        <f>VLOOKUP($B175&amp;"__wt",'SegEnds_Xtal_BW#'!$A:$Z,26,FALSE)</f>
        <v>59</v>
      </c>
      <c r="AA175" s="27" t="str">
        <f>VLOOKUP(A175,Classification!A:B,2,FALSE)</f>
        <v>A</v>
      </c>
      <c r="AB175" s="1">
        <f>VLOOKUP(A175,'SegEnds_NonXtal_Prot#'!A:AL,10,FALSE)-VLOOKUP(A175,'SegEnds_NonXtal_Prot#'!A:AL,7,FALSE)</f>
        <v>15</v>
      </c>
      <c r="AC175" s="1" t="e">
        <f>VLOOKUP(A175,'SegEnds_NonXtal_Prot#'!A:AL,13,FALSE)-VLOOKUP(A175,'SegEnds_NonXtal_Prot#'!A:AL,10,FALSE)</f>
        <v>#VALUE!</v>
      </c>
      <c r="AD175" s="1">
        <f>VLOOKUP(A175,'SegEnds_NonXtal_Prot#'!A:AL,16,FALSE)-VLOOKUP(A175,'SegEnds_NonXtal_Prot#'!A:AL,10,FALSE)</f>
        <v>58</v>
      </c>
      <c r="AE175" s="1">
        <f>VLOOKUP(A175,'SegEnds_NonXtal_Prot#'!A:AL,22,FALSE)-VLOOKUP(A175,'SegEnds_NonXtal_Prot#'!A:AL,19,FALSE)</f>
        <v>20</v>
      </c>
      <c r="AF175" s="1" t="e">
        <f>VLOOKUP(A175,'SegEnds_NonXtal_Prot#'!A:AL,28,FALSE)-VLOOKUP(A175,'SegEnds_NonXtal_Prot#'!A:AL,25,FALSE)</f>
        <v>#VALUE!</v>
      </c>
      <c r="AG175" s="1">
        <f>VLOOKUP(A175,'SegEnds_NonXtal_Prot#'!A:AL,28,FALSE)-VLOOKUP(A175,'SegEnds_NonXtal_Prot#'!A:AL,22,FALSE)</f>
        <v>40</v>
      </c>
      <c r="AH175" s="1">
        <f>VLOOKUP(A175,'SegEnds_NonXtal_Prot#'!A:AL,31,FALSE)-VLOOKUP(A175,'SegEnds_NonXtal_Prot#'!A:AL,28,FALSE)</f>
        <v>46</v>
      </c>
      <c r="AI175" s="1">
        <f>VLOOKUP(A175,'SegEnds_NonXtal_Prot#'!A:AL,34,FALSE)-VLOOKUP(A175,'SegEnds_NonXtal_Prot#'!A:AL,31,FALSE)</f>
        <v>39</v>
      </c>
      <c r="AJ175" s="1" t="str">
        <f>IF(ISERROR(MATCH(A175,'SegEnds_Xtal_Prot#'!B:B, 0)), "NoXtal", "Xtal")</f>
        <v>NoXtal</v>
      </c>
    </row>
    <row r="176" spans="1:36" x14ac:dyDescent="0.2">
      <c r="A176" s="1" t="s">
        <v>299</v>
      </c>
      <c r="B176" s="1" t="str">
        <f>VLOOKUP(A176,Xtal_Templ!A:B,2,FALSE)</f>
        <v>oprk_human</v>
      </c>
      <c r="C176" s="5">
        <f>VLOOKUP($B176&amp;"__wt",'SegEnds_Xtal_BW#'!$A:$Z,3,FALSE)</f>
        <v>30</v>
      </c>
      <c r="D176" s="1">
        <f>VLOOKUP($B176&amp;"__wt",'SegEnds_Xtal_BW#'!$A:$Z,4,FALSE)</f>
        <v>60</v>
      </c>
      <c r="E176" s="1">
        <f>VLOOKUP($B176&amp;"__wt",'SegEnds_Xtal_BW#'!$A:$Z,5,FALSE)</f>
        <v>48</v>
      </c>
      <c r="F176" s="1">
        <f>VLOOKUP($B176&amp;"__wt",'SegEnds_Xtal_BW#'!$A:$Z,6,FALSE)</f>
        <v>51</v>
      </c>
      <c r="G176" s="1">
        <v>37</v>
      </c>
      <c r="H176" s="12">
        <f>VLOOKUP($B176&amp;"__wt",'SegEnds_Xtal_BW#'!$A:$Z,8,FALSE)</f>
        <v>66</v>
      </c>
      <c r="I176" s="1">
        <f>VLOOKUP($B176&amp;"__wt",'SegEnds_Xtal_BW#'!$A:$Z,9,FALSE)</f>
        <v>49</v>
      </c>
      <c r="J176" s="1">
        <f>VLOOKUP($B176&amp;"__wt",'SegEnds_Xtal_BW#'!$A:$Z,10,FALSE)</f>
        <v>52</v>
      </c>
      <c r="K176" s="12">
        <v>18</v>
      </c>
      <c r="L176" s="1">
        <f>VLOOKUP($B176&amp;"__wt",'SegEnds_Xtal_BW#'!$A:$Z,12,FALSE)</f>
        <v>56</v>
      </c>
      <c r="M176" s="1">
        <f>VLOOKUP($B176&amp;"__wt",'SegEnds_Xtal_BW#'!$A:$Z,13,FALSE)</f>
        <v>50</v>
      </c>
      <c r="N176" s="12">
        <v>57</v>
      </c>
      <c r="O176" s="89">
        <v>38</v>
      </c>
      <c r="P176" s="1">
        <f>VLOOKUP($B176&amp;"__wt",'SegEnds_Xtal_BW#'!$A:$Z,16,FALSE)</f>
        <v>64</v>
      </c>
      <c r="Q176" s="1">
        <f>VLOOKUP($B176&amp;"__wt",'SegEnds_Xtal_BW#'!$A:$Z,17,FALSE)</f>
        <v>50</v>
      </c>
      <c r="R176" s="1">
        <f>VLOOKUP($B176&amp;"__wt",'SegEnds_Xtal_BW#'!$A:$Z,18,FALSE)</f>
        <v>52</v>
      </c>
      <c r="S176" s="1">
        <f>VLOOKUP($B176&amp;"__wt",'SegEnds_Xtal_BW#'!$A:$Z,19,FALSE)</f>
        <v>31</v>
      </c>
      <c r="T176" s="1">
        <f t="array" ref="T176">INDEX('ICL3'!$G$2:$G$40,MATCH(MIN(ABS(AH176-'ICL3'!$F$2:$F$40)),ABS(AH176-'ICL3'!$F$2:$F$40),0))</f>
        <v>68</v>
      </c>
      <c r="U176" s="1">
        <f t="array" ref="U176">INDEX('ICL3'!$H$2:$H$40,MATCH(MIN(ABS(AH176-'ICL3'!$F$2:$F$40)),ABS(AH176-'ICL3'!$F$2:$F$40),0))</f>
        <v>23</v>
      </c>
      <c r="V176" s="1">
        <v>61</v>
      </c>
      <c r="W176" s="1">
        <v>31</v>
      </c>
      <c r="X176" s="1">
        <f>VLOOKUP($B176&amp;"__wt",'SegEnds_Xtal_BW#'!$A:$Z,24,FALSE)</f>
        <v>56</v>
      </c>
      <c r="Y176" s="1">
        <f>VLOOKUP($B176&amp;"__wt",'SegEnds_Xtal_BW#'!$A:$Z,25,FALSE)</f>
        <v>47</v>
      </c>
      <c r="Z176" s="1">
        <f>VLOOKUP($B176&amp;"__wt",'SegEnds_Xtal_BW#'!$A:$Z,26,FALSE)</f>
        <v>59</v>
      </c>
      <c r="AA176" s="27" t="str">
        <f>VLOOKUP(A176,Classification!A:B,2,FALSE)</f>
        <v>A</v>
      </c>
      <c r="AB176" s="1">
        <f>VLOOKUP(A176,'SegEnds_NonXtal_Prot#'!A:AL,10,FALSE)-VLOOKUP(A176,'SegEnds_NonXtal_Prot#'!A:AL,7,FALSE)</f>
        <v>18</v>
      </c>
      <c r="AC176" s="1">
        <f>VLOOKUP(A176,'SegEnds_NonXtal_Prot#'!A:AL,13,FALSE)-VLOOKUP(A176,'SegEnds_NonXtal_Prot#'!A:AL,10,FALSE)</f>
        <v>20</v>
      </c>
      <c r="AD176" s="1">
        <f>VLOOKUP(A176,'SegEnds_NonXtal_Prot#'!A:AL,16,FALSE)-VLOOKUP(A176,'SegEnds_NonXtal_Prot#'!A:AL,10,FALSE)</f>
        <v>52</v>
      </c>
      <c r="AE176" s="1">
        <f>VLOOKUP(A176,'SegEnds_NonXtal_Prot#'!A:AL,22,FALSE)-VLOOKUP(A176,'SegEnds_NonXtal_Prot#'!A:AL,19,FALSE)</f>
        <v>20</v>
      </c>
      <c r="AF176" s="1">
        <f>VLOOKUP(A176,'SegEnds_NonXtal_Prot#'!A:AL,28,FALSE)-VLOOKUP(A176,'SegEnds_NonXtal_Prot#'!A:AL,25,FALSE)</f>
        <v>26</v>
      </c>
      <c r="AG176" s="1">
        <f>VLOOKUP(A176,'SegEnds_NonXtal_Prot#'!A:AL,28,FALSE)-VLOOKUP(A176,'SegEnds_NonXtal_Prot#'!A:AL,22,FALSE)</f>
        <v>52</v>
      </c>
      <c r="AH176" s="1">
        <f>VLOOKUP(A176,'SegEnds_NonXtal_Prot#'!A:AL,31,FALSE)-VLOOKUP(A176,'SegEnds_NonXtal_Prot#'!A:AL,28,FALSE)</f>
        <v>51</v>
      </c>
      <c r="AI176" s="1">
        <f>VLOOKUP(A176,'SegEnds_NonXtal_Prot#'!A:AL,34,FALSE)-VLOOKUP(A176,'SegEnds_NonXtal_Prot#'!A:AL,31,FALSE)</f>
        <v>37</v>
      </c>
      <c r="AJ176" s="1" t="str">
        <f>IF(ISERROR(MATCH(A176,'SegEnds_Xtal_Prot#'!B:B, 0)), "NoXtal", "Xtal")</f>
        <v>NoXtal</v>
      </c>
    </row>
    <row r="177" spans="1:36" x14ac:dyDescent="0.2">
      <c r="A177" s="1" t="s">
        <v>300</v>
      </c>
      <c r="B177" s="1" t="str">
        <f>VLOOKUP(A177,Xtal_Templ!A:B,2,FALSE)</f>
        <v>oprd_human</v>
      </c>
      <c r="C177" s="5">
        <f>VLOOKUP($B177&amp;"__wt",'SegEnds_Xtal_BW#'!$A:$Z,3,FALSE)</f>
        <v>22</v>
      </c>
      <c r="D177" s="1">
        <f>VLOOKUP($B177&amp;"__wt",'SegEnds_Xtal_BW#'!$A:$Z,4,FALSE)</f>
        <v>60</v>
      </c>
      <c r="E177" s="1">
        <f>VLOOKUP($B177&amp;"__wt",'SegEnds_Xtal_BW#'!$A:$Z,5,FALSE)</f>
        <v>48</v>
      </c>
      <c r="F177" s="1">
        <f>VLOOKUP($B177&amp;"__wt",'SegEnds_Xtal_BW#'!$A:$Z,6,FALSE)</f>
        <v>51</v>
      </c>
      <c r="G177" s="1">
        <v>37</v>
      </c>
      <c r="H177" s="12">
        <f>VLOOKUP($B177&amp;"__wt",'SegEnds_Xtal_BW#'!$A:$Z,8,FALSE)</f>
        <v>66</v>
      </c>
      <c r="I177" s="1">
        <f>VLOOKUP($B177&amp;"__wt",'SegEnds_Xtal_BW#'!$A:$Z,9,FALSE)</f>
        <v>49</v>
      </c>
      <c r="J177" s="1">
        <f>VLOOKUP($B177&amp;"__wt",'SegEnds_Xtal_BW#'!$A:$Z,10,FALSE)</f>
        <v>52</v>
      </c>
      <c r="K177" s="12">
        <v>18</v>
      </c>
      <c r="L177" s="1">
        <f>VLOOKUP($B177&amp;"__wt",'SegEnds_Xtal_BW#'!$A:$Z,12,FALSE)</f>
        <v>56</v>
      </c>
      <c r="M177" s="1">
        <f>VLOOKUP($B177&amp;"__wt",'SegEnds_Xtal_BW#'!$A:$Z,13,FALSE)</f>
        <v>50</v>
      </c>
      <c r="N177" s="12">
        <v>57</v>
      </c>
      <c r="O177" s="89">
        <f>VLOOKUP($B177&amp;"__wt",'SegEnds_Xtal_BW#'!$A:$Z,15,FALSE)</f>
        <v>38</v>
      </c>
      <c r="P177" s="1">
        <f>VLOOKUP($B177&amp;"__wt",'SegEnds_Xtal_BW#'!$A:$Z,16,FALSE)</f>
        <v>64</v>
      </c>
      <c r="Q177" s="1">
        <f>VLOOKUP($B177&amp;"__wt",'SegEnds_Xtal_BW#'!$A:$Z,17,FALSE)</f>
        <v>50</v>
      </c>
      <c r="R177" s="1">
        <f>VLOOKUP($B177&amp;"__wt",'SegEnds_Xtal_BW#'!$A:$Z,18,FALSE)</f>
        <v>52</v>
      </c>
      <c r="S177" s="1">
        <f>VLOOKUP($B177&amp;"__wt",'SegEnds_Xtal_BW#'!$A:$Z,19,FALSE)</f>
        <v>31</v>
      </c>
      <c r="T177" s="1">
        <f t="array" ref="T177">INDEX('ICL3'!$G$2:$G$40,MATCH(MIN(ABS(AH177-'ICL3'!$F$2:$F$40)),ABS(AH177-'ICL3'!$F$2:$F$40),0))</f>
        <v>72</v>
      </c>
      <c r="U177" s="1">
        <f t="array" ref="U177">INDEX('ICL3'!$H$2:$H$40,MATCH(MIN(ABS(AH177-'ICL3'!$F$2:$F$40)),ABS(AH177-'ICL3'!$F$2:$F$40),0))</f>
        <v>24</v>
      </c>
      <c r="V177" s="1">
        <v>61</v>
      </c>
      <c r="W177" s="1">
        <v>31</v>
      </c>
      <c r="X177" s="1">
        <f>VLOOKUP($B177&amp;"__wt",'SegEnds_Xtal_BW#'!$A:$Z,24,FALSE)</f>
        <v>56</v>
      </c>
      <c r="Y177" s="1">
        <f>VLOOKUP($B177&amp;"__wt",'SegEnds_Xtal_BW#'!$A:$Z,25,FALSE)</f>
        <v>47</v>
      </c>
      <c r="Z177" s="1">
        <f>VLOOKUP($B177&amp;"__wt",'SegEnds_Xtal_BW#'!$A:$Z,26,FALSE)</f>
        <v>60</v>
      </c>
      <c r="AA177" s="27" t="str">
        <f>VLOOKUP(A177,Classification!A:B,2,FALSE)</f>
        <v>A</v>
      </c>
      <c r="AB177" s="1" t="e">
        <f>VLOOKUP(A177,'SegEnds_NonXtal_Prot#'!A:AL,10,FALSE)-VLOOKUP(A177,'SegEnds_NonXtal_Prot#'!A:AL,7,FALSE)</f>
        <v>#VALUE!</v>
      </c>
      <c r="AC177" s="1">
        <f>VLOOKUP(A177,'SegEnds_NonXtal_Prot#'!A:AL,13,FALSE)-VLOOKUP(A177,'SegEnds_NonXtal_Prot#'!A:AL,10,FALSE)</f>
        <v>20</v>
      </c>
      <c r="AD177" s="1">
        <f>VLOOKUP(A177,'SegEnds_NonXtal_Prot#'!A:AL,16,FALSE)-VLOOKUP(A177,'SegEnds_NonXtal_Prot#'!A:AL,10,FALSE)</f>
        <v>52</v>
      </c>
      <c r="AE177" s="1">
        <f>VLOOKUP(A177,'SegEnds_NonXtal_Prot#'!A:AL,22,FALSE)-VLOOKUP(A177,'SegEnds_NonXtal_Prot#'!A:AL,19,FALSE)</f>
        <v>20</v>
      </c>
      <c r="AF177" s="1">
        <f>VLOOKUP(A177,'SegEnds_NonXtal_Prot#'!A:AL,28,FALSE)-VLOOKUP(A177,'SegEnds_NonXtal_Prot#'!A:AL,25,FALSE)</f>
        <v>25</v>
      </c>
      <c r="AG177" s="1">
        <f>VLOOKUP(A177,'SegEnds_NonXtal_Prot#'!A:AL,28,FALSE)-VLOOKUP(A177,'SegEnds_NonXtal_Prot#'!A:AL,22,FALSE)</f>
        <v>51</v>
      </c>
      <c r="AH177" s="1">
        <f>VLOOKUP(A177,'SegEnds_NonXtal_Prot#'!A:AL,31,FALSE)-VLOOKUP(A177,'SegEnds_NonXtal_Prot#'!A:AL,28,FALSE)</f>
        <v>57</v>
      </c>
      <c r="AI177" s="1">
        <f>VLOOKUP(A177,'SegEnds_NonXtal_Prot#'!A:AL,34,FALSE)-VLOOKUP(A177,'SegEnds_NonXtal_Prot#'!A:AL,31,FALSE)</f>
        <v>37</v>
      </c>
      <c r="AJ177" s="1" t="str">
        <f>IF(ISERROR(MATCH(A177,'SegEnds_Xtal_Prot#'!B:B, 0)), "NoXtal", "Xtal")</f>
        <v>NoXtal</v>
      </c>
    </row>
    <row r="178" spans="1:36" x14ac:dyDescent="0.2">
      <c r="A178" s="1" t="s">
        <v>301</v>
      </c>
      <c r="B178" s="1" t="str">
        <f>VLOOKUP(A178,Xtal_Templ!A:B,2,FALSE)</f>
        <v>agtr1_human</v>
      </c>
      <c r="C178" s="5">
        <f>VLOOKUP($B178&amp;"__wt",'SegEnds_Xtal_BW#'!$A:$Z,3,FALSE)</f>
        <v>30</v>
      </c>
      <c r="D178" s="1">
        <f>VLOOKUP($B178&amp;"__wt",'SegEnds_Xtal_BW#'!$A:$Z,4,FALSE)</f>
        <v>60</v>
      </c>
      <c r="E178" s="1">
        <f>VLOOKUP($B178&amp;"__wt",'SegEnds_Xtal_BW#'!$A:$Z,5,FALSE)</f>
        <v>48</v>
      </c>
      <c r="F178" s="1">
        <f>VLOOKUP($B178&amp;"__wt",'SegEnds_Xtal_BW#'!$A:$Z,6,FALSE)</f>
        <v>51</v>
      </c>
      <c r="G178" s="1">
        <v>37</v>
      </c>
      <c r="H178" s="12">
        <v>66</v>
      </c>
      <c r="I178" s="1">
        <f>VLOOKUP($B178&amp;"__wt",'SegEnds_Xtal_BW#'!$A:$Z,9,FALSE)</f>
        <v>49</v>
      </c>
      <c r="J178" s="1">
        <f>VLOOKUP($B178&amp;"__wt",'SegEnds_Xtal_BW#'!$A:$Z,10,FALSE)</f>
        <v>52</v>
      </c>
      <c r="K178" s="12">
        <v>21</v>
      </c>
      <c r="L178" s="1">
        <f>VLOOKUP($B178&amp;"__wt",'SegEnds_Xtal_BW#'!$A:$Z,12,FALSE)</f>
        <v>56</v>
      </c>
      <c r="M178" s="1">
        <f>VLOOKUP($B178&amp;"__wt",'SegEnds_Xtal_BW#'!$A:$Z,13,FALSE)</f>
        <v>50</v>
      </c>
      <c r="N178" s="12">
        <v>57</v>
      </c>
      <c r="O178" s="89">
        <v>38</v>
      </c>
      <c r="P178" s="1">
        <f>VLOOKUP($B178&amp;"__wt",'SegEnds_Xtal_BW#'!$A:$Z,16,FALSE)</f>
        <v>64</v>
      </c>
      <c r="Q178" s="1">
        <f>VLOOKUP($B178&amp;"__wt",'SegEnds_Xtal_BW#'!$A:$Z,17,FALSE)</f>
        <v>50</v>
      </c>
      <c r="R178" s="1">
        <f>VLOOKUP($B178&amp;"__wt",'SegEnds_Xtal_BW#'!$A:$Z,18,FALSE)</f>
        <v>52</v>
      </c>
      <c r="S178" s="1">
        <f>VLOOKUP($B178&amp;"__wt",'SegEnds_Xtal_BW#'!$A:$Z,19,FALSE)</f>
        <v>34</v>
      </c>
      <c r="T178" s="1">
        <f t="array" ref="T178">INDEX('ICL3'!$G$2:$G$40,MATCH(MIN(ABS(AH178-'ICL3'!$F$2:$F$40)),ABS(AH178-'ICL3'!$F$2:$F$40),0))</f>
        <v>68</v>
      </c>
      <c r="U178" s="1">
        <f t="array" ref="U178">INDEX('ICL3'!$H$2:$H$40,MATCH(MIN(ABS(AH178-'ICL3'!$F$2:$F$40)),ABS(AH178-'ICL3'!$F$2:$F$40),0))</f>
        <v>28</v>
      </c>
      <c r="V178" s="1">
        <v>61</v>
      </c>
      <c r="W178" s="1">
        <v>31</v>
      </c>
      <c r="X178" s="1">
        <f>VLOOKUP($B178&amp;"__wt",'SegEnds_Xtal_BW#'!$A:$Z,24,FALSE)</f>
        <v>56</v>
      </c>
      <c r="Y178" s="1">
        <f>VLOOKUP($B178&amp;"__wt",'SegEnds_Xtal_BW#'!$A:$Z,25,FALSE)</f>
        <v>47</v>
      </c>
      <c r="Z178" s="1">
        <f>VLOOKUP($B178&amp;"__wt",'SegEnds_Xtal_BW#'!$A:$Z,26,FALSE)</f>
        <v>61</v>
      </c>
      <c r="AA178" s="27" t="str">
        <f>VLOOKUP(A178,Classification!A:B,2,FALSE)</f>
        <v>A</v>
      </c>
      <c r="AB178" s="1" t="e">
        <f>VLOOKUP(A178,'SegEnds_NonXtal_Prot#'!A:AL,10,FALSE)-VLOOKUP(A178,'SegEnds_NonXtal_Prot#'!A:AL,7,FALSE)</f>
        <v>#VALUE!</v>
      </c>
      <c r="AC178" s="1" t="e">
        <f>VLOOKUP(A178,'SegEnds_NonXtal_Prot#'!A:AL,13,FALSE)-VLOOKUP(A178,'SegEnds_NonXtal_Prot#'!A:AL,10,FALSE)</f>
        <v>#VALUE!</v>
      </c>
      <c r="AD178" s="1">
        <f>VLOOKUP(A178,'SegEnds_NonXtal_Prot#'!A:AL,16,FALSE)-VLOOKUP(A178,'SegEnds_NonXtal_Prot#'!A:AL,10,FALSE)</f>
        <v>51</v>
      </c>
      <c r="AE178" s="1">
        <f>VLOOKUP(A178,'SegEnds_NonXtal_Prot#'!A:AL,22,FALSE)-VLOOKUP(A178,'SegEnds_NonXtal_Prot#'!A:AL,19,FALSE)</f>
        <v>20</v>
      </c>
      <c r="AF178" s="1" t="e">
        <f>VLOOKUP(A178,'SegEnds_NonXtal_Prot#'!A:AL,28,FALSE)-VLOOKUP(A178,'SegEnds_NonXtal_Prot#'!A:AL,25,FALSE)</f>
        <v>#VALUE!</v>
      </c>
      <c r="AG178" s="1">
        <f>VLOOKUP(A178,'SegEnds_NonXtal_Prot#'!A:AL,28,FALSE)-VLOOKUP(A178,'SegEnds_NonXtal_Prot#'!A:AL,22,FALSE)</f>
        <v>42</v>
      </c>
      <c r="AH178" s="1">
        <f>VLOOKUP(A178,'SegEnds_NonXtal_Prot#'!A:AL,31,FALSE)-VLOOKUP(A178,'SegEnds_NonXtal_Prot#'!A:AL,28,FALSE)</f>
        <v>44</v>
      </c>
      <c r="AI178" s="1">
        <f>VLOOKUP(A178,'SegEnds_NonXtal_Prot#'!A:AL,34,FALSE)-VLOOKUP(A178,'SegEnds_NonXtal_Prot#'!A:AL,31,FALSE)</f>
        <v>37</v>
      </c>
      <c r="AJ178" s="1" t="str">
        <f>IF(ISERROR(MATCH(A178,'SegEnds_Xtal_Prot#'!B:B, 0)), "NoXtal", "Xtal")</f>
        <v>NoXtal</v>
      </c>
    </row>
    <row r="179" spans="1:36" x14ac:dyDescent="0.2">
      <c r="A179" s="1" t="s">
        <v>302</v>
      </c>
      <c r="B179" s="1" t="str">
        <f>VLOOKUP(A179,Xtal_Templ!A:B,2,FALSE)</f>
        <v>cxcr4_human</v>
      </c>
      <c r="C179" s="5">
        <f>VLOOKUP($B179&amp;"__wt",'SegEnds_Xtal_BW#'!$A:$Z,3,FALSE)</f>
        <v>24</v>
      </c>
      <c r="D179" s="1">
        <f>VLOOKUP($B179&amp;"__wt",'SegEnds_Xtal_BW#'!$A:$Z,4,FALSE)</f>
        <v>60</v>
      </c>
      <c r="E179" s="1">
        <f>VLOOKUP($B179&amp;"__wt",'SegEnds_Xtal_BW#'!$A:$Z,5,FALSE)</f>
        <v>48</v>
      </c>
      <c r="F179" s="1">
        <f>VLOOKUP($B179&amp;"__wt",'SegEnds_Xtal_BW#'!$A:$Z,6,FALSE)</f>
        <v>51</v>
      </c>
      <c r="G179" s="1">
        <v>37</v>
      </c>
      <c r="H179" s="12">
        <f>VLOOKUP($B179&amp;"__wt",'SegEnds_Xtal_BW#'!$A:$Z,8,FALSE)</f>
        <v>66</v>
      </c>
      <c r="I179" s="1">
        <f>VLOOKUP($B179&amp;"__wt",'SegEnds_Xtal_BW#'!$A:$Z,9,FALSE)</f>
        <v>49</v>
      </c>
      <c r="J179" s="1">
        <f>VLOOKUP($B179&amp;"__wt",'SegEnds_Xtal_BW#'!$A:$Z,10,FALSE)</f>
        <v>52</v>
      </c>
      <c r="K179" s="12">
        <v>21</v>
      </c>
      <c r="L179" s="1">
        <f>VLOOKUP($B179&amp;"__wt",'SegEnds_Xtal_BW#'!$A:$Z,12,FALSE)</f>
        <v>56</v>
      </c>
      <c r="M179" s="1">
        <f>VLOOKUP($B179&amp;"__wt",'SegEnds_Xtal_BW#'!$A:$Z,13,FALSE)</f>
        <v>50</v>
      </c>
      <c r="N179" s="12">
        <v>57</v>
      </c>
      <c r="O179" s="89">
        <v>38</v>
      </c>
      <c r="P179" s="1">
        <f>VLOOKUP($B179&amp;"__wt",'SegEnds_Xtal_BW#'!$A:$Z,16,FALSE)</f>
        <v>64</v>
      </c>
      <c r="Q179" s="1">
        <f>VLOOKUP($B179&amp;"__wt",'SegEnds_Xtal_BW#'!$A:$Z,17,FALSE)</f>
        <v>50</v>
      </c>
      <c r="R179" s="1">
        <f>VLOOKUP($B179&amp;"__wt",'SegEnds_Xtal_BW#'!$A:$Z,18,FALSE)</f>
        <v>52</v>
      </c>
      <c r="S179" s="1">
        <f>VLOOKUP($B179&amp;"__wt",'SegEnds_Xtal_BW#'!$A:$Z,19,FALSE)</f>
        <v>32</v>
      </c>
      <c r="T179" s="1">
        <f t="array" ref="T179">INDEX('ICL3'!$G$2:$G$40,MATCH(MIN(ABS(AH179-'ICL3'!$F$2:$F$40)),ABS(AH179-'ICL3'!$F$2:$F$40),0))</f>
        <v>68</v>
      </c>
      <c r="U179" s="1">
        <f t="array" ref="U179">INDEX('ICL3'!$H$2:$H$40,MATCH(MIN(ABS(AH179-'ICL3'!$F$2:$F$40)),ABS(AH179-'ICL3'!$F$2:$F$40),0))</f>
        <v>30</v>
      </c>
      <c r="V179" s="1">
        <v>61</v>
      </c>
      <c r="W179" s="1">
        <v>32</v>
      </c>
      <c r="X179" s="1">
        <f>VLOOKUP($B179&amp;"__wt",'SegEnds_Xtal_BW#'!$A:$Z,24,FALSE)</f>
        <v>56</v>
      </c>
      <c r="Y179" s="1">
        <f>VLOOKUP($B179&amp;"__wt",'SegEnds_Xtal_BW#'!$A:$Z,25,FALSE)</f>
        <v>47</v>
      </c>
      <c r="Z179" s="1">
        <f>VLOOKUP($B179&amp;"__wt",'SegEnds_Xtal_BW#'!$A:$Z,26,FALSE)</f>
        <v>59</v>
      </c>
      <c r="AA179" s="27" t="str">
        <f>VLOOKUP(A179,Classification!A:B,2,FALSE)</f>
        <v>A</v>
      </c>
      <c r="AB179" s="1" t="e">
        <f>VLOOKUP(A179,'SegEnds_NonXtal_Prot#'!A:AL,10,FALSE)-VLOOKUP(A179,'SegEnds_NonXtal_Prot#'!A:AL,7,FALSE)</f>
        <v>#VALUE!</v>
      </c>
      <c r="AC179" s="1" t="e">
        <f>VLOOKUP(A179,'SegEnds_NonXtal_Prot#'!A:AL,13,FALSE)-VLOOKUP(A179,'SegEnds_NonXtal_Prot#'!A:AL,10,FALSE)</f>
        <v>#VALUE!</v>
      </c>
      <c r="AD179" s="1">
        <f>VLOOKUP(A179,'SegEnds_NonXtal_Prot#'!A:AL,16,FALSE)-VLOOKUP(A179,'SegEnds_NonXtal_Prot#'!A:AL,10,FALSE)</f>
        <v>52</v>
      </c>
      <c r="AE179" s="1">
        <f>VLOOKUP(A179,'SegEnds_NonXtal_Prot#'!A:AL,22,FALSE)-VLOOKUP(A179,'SegEnds_NonXtal_Prot#'!A:AL,19,FALSE)</f>
        <v>20</v>
      </c>
      <c r="AF179" s="1" t="e">
        <f>VLOOKUP(A179,'SegEnds_NonXtal_Prot#'!A:AL,28,FALSE)-VLOOKUP(A179,'SegEnds_NonXtal_Prot#'!A:AL,25,FALSE)</f>
        <v>#VALUE!</v>
      </c>
      <c r="AG179" s="1">
        <f>VLOOKUP(A179,'SegEnds_NonXtal_Prot#'!A:AL,28,FALSE)-VLOOKUP(A179,'SegEnds_NonXtal_Prot#'!A:AL,22,FALSE)</f>
        <v>42</v>
      </c>
      <c r="AH179" s="1">
        <f>VLOOKUP(A179,'SegEnds_NonXtal_Prot#'!A:AL,31,FALSE)-VLOOKUP(A179,'SegEnds_NonXtal_Prot#'!A:AL,28,FALSE)</f>
        <v>42</v>
      </c>
      <c r="AI179" s="1">
        <f>VLOOKUP(A179,'SegEnds_NonXtal_Prot#'!A:AL,34,FALSE)-VLOOKUP(A179,'SegEnds_NonXtal_Prot#'!A:AL,31,FALSE)</f>
        <v>34</v>
      </c>
      <c r="AJ179" s="1" t="str">
        <f>IF(ISERROR(MATCH(A179,'SegEnds_Xtal_Prot#'!B:B, 0)), "NoXtal", "Xtal")</f>
        <v>NoXtal</v>
      </c>
    </row>
    <row r="180" spans="1:36" x14ac:dyDescent="0.2">
      <c r="A180" s="1" t="s">
        <v>303</v>
      </c>
      <c r="B180" s="1" t="str">
        <f>VLOOKUP(A180,Xtal_Templ!A:B,2,FALSE)</f>
        <v>agtr1_human</v>
      </c>
      <c r="C180" s="5">
        <f>VLOOKUP($B180&amp;"__wt",'SegEnds_Xtal_BW#'!$A:$Z,3,FALSE)</f>
        <v>30</v>
      </c>
      <c r="D180" s="1">
        <f>VLOOKUP($B180&amp;"__wt",'SegEnds_Xtal_BW#'!$A:$Z,4,FALSE)</f>
        <v>60</v>
      </c>
      <c r="E180" s="1">
        <f>VLOOKUP($B180&amp;"__wt",'SegEnds_Xtal_BW#'!$A:$Z,5,FALSE)</f>
        <v>48</v>
      </c>
      <c r="F180" s="1">
        <f>VLOOKUP($B180&amp;"__wt",'SegEnds_Xtal_BW#'!$A:$Z,6,FALSE)</f>
        <v>51</v>
      </c>
      <c r="G180" s="1">
        <v>37</v>
      </c>
      <c r="H180" s="12">
        <f>VLOOKUP($B180&amp;"__wt",'SegEnds_Xtal_BW#'!$A:$Z,8,FALSE)</f>
        <v>66</v>
      </c>
      <c r="I180" s="1">
        <f>VLOOKUP($B180&amp;"__wt",'SegEnds_Xtal_BW#'!$A:$Z,9,FALSE)</f>
        <v>49</v>
      </c>
      <c r="J180" s="1">
        <f>VLOOKUP($B180&amp;"__wt",'SegEnds_Xtal_BW#'!$A:$Z,10,FALSE)</f>
        <v>52</v>
      </c>
      <c r="K180" s="12">
        <v>21</v>
      </c>
      <c r="L180" s="1">
        <f>VLOOKUP($B180&amp;"__wt",'SegEnds_Xtal_BW#'!$A:$Z,12,FALSE)</f>
        <v>56</v>
      </c>
      <c r="M180" s="1">
        <f>VLOOKUP($B180&amp;"__wt",'SegEnds_Xtal_BW#'!$A:$Z,13,FALSE)</f>
        <v>50</v>
      </c>
      <c r="N180" s="12">
        <v>57</v>
      </c>
      <c r="O180" s="89">
        <v>38</v>
      </c>
      <c r="P180" s="1">
        <f>VLOOKUP($B180&amp;"__wt",'SegEnds_Xtal_BW#'!$A:$Z,16,FALSE)</f>
        <v>64</v>
      </c>
      <c r="Q180" s="1">
        <f>VLOOKUP($B180&amp;"__wt",'SegEnds_Xtal_BW#'!$A:$Z,17,FALSE)</f>
        <v>50</v>
      </c>
      <c r="R180" s="1">
        <f>VLOOKUP($B180&amp;"__wt",'SegEnds_Xtal_BW#'!$A:$Z,18,FALSE)</f>
        <v>52</v>
      </c>
      <c r="S180" s="1">
        <f>VLOOKUP($B180&amp;"__wt",'SegEnds_Xtal_BW#'!$A:$Z,19,FALSE)</f>
        <v>34</v>
      </c>
      <c r="T180" s="1">
        <f t="array" ref="T180">INDEX('ICL3'!$G$2:$G$40,MATCH(MIN(ABS(AH180-'ICL3'!$F$2:$F$40)),ABS(AH180-'ICL3'!$F$2:$F$40),0))</f>
        <v>68</v>
      </c>
      <c r="U180" s="1">
        <f t="array" ref="U180">INDEX('ICL3'!$H$2:$H$40,MATCH(MIN(ABS(AH180-'ICL3'!$F$2:$F$40)),ABS(AH180-'ICL3'!$F$2:$F$40),0))</f>
        <v>30</v>
      </c>
      <c r="V180" s="1">
        <v>61</v>
      </c>
      <c r="W180" s="1">
        <v>32</v>
      </c>
      <c r="X180" s="1">
        <f>VLOOKUP($B180&amp;"__wt",'SegEnds_Xtal_BW#'!$A:$Z,24,FALSE)</f>
        <v>56</v>
      </c>
      <c r="Y180" s="1">
        <f>VLOOKUP($B180&amp;"__wt",'SegEnds_Xtal_BW#'!$A:$Z,25,FALSE)</f>
        <v>47</v>
      </c>
      <c r="Z180" s="1">
        <f>VLOOKUP($B180&amp;"__wt",'SegEnds_Xtal_BW#'!$A:$Z,26,FALSE)</f>
        <v>61</v>
      </c>
      <c r="AA180" s="27" t="str">
        <f>VLOOKUP(A180,Classification!A:B,2,FALSE)</f>
        <v>A</v>
      </c>
      <c r="AB180" s="1" t="e">
        <f>VLOOKUP(A180,'SegEnds_NonXtal_Prot#'!A:AL,10,FALSE)-VLOOKUP(A180,'SegEnds_NonXtal_Prot#'!A:AL,7,FALSE)</f>
        <v>#VALUE!</v>
      </c>
      <c r="AC180" s="1" t="e">
        <f>VLOOKUP(A180,'SegEnds_NonXtal_Prot#'!A:AL,13,FALSE)-VLOOKUP(A180,'SegEnds_NonXtal_Prot#'!A:AL,10,FALSE)</f>
        <v>#VALUE!</v>
      </c>
      <c r="AD180" s="1">
        <f>VLOOKUP(A180,'SegEnds_NonXtal_Prot#'!A:AL,16,FALSE)-VLOOKUP(A180,'SegEnds_NonXtal_Prot#'!A:AL,10,FALSE)</f>
        <v>52</v>
      </c>
      <c r="AE180" s="1">
        <f>VLOOKUP(A180,'SegEnds_NonXtal_Prot#'!A:AL,22,FALSE)-VLOOKUP(A180,'SegEnds_NonXtal_Prot#'!A:AL,19,FALSE)</f>
        <v>20</v>
      </c>
      <c r="AF180" s="1" t="e">
        <f>VLOOKUP(A180,'SegEnds_NonXtal_Prot#'!A:AL,28,FALSE)-VLOOKUP(A180,'SegEnds_NonXtal_Prot#'!A:AL,25,FALSE)</f>
        <v>#VALUE!</v>
      </c>
      <c r="AG180" s="1">
        <f>VLOOKUP(A180,'SegEnds_NonXtal_Prot#'!A:AL,28,FALSE)-VLOOKUP(A180,'SegEnds_NonXtal_Prot#'!A:AL,22,FALSE)</f>
        <v>43</v>
      </c>
      <c r="AH180" s="1">
        <f>VLOOKUP(A180,'SegEnds_NonXtal_Prot#'!A:AL,31,FALSE)-VLOOKUP(A180,'SegEnds_NonXtal_Prot#'!A:AL,28,FALSE)</f>
        <v>43</v>
      </c>
      <c r="AI180" s="1">
        <f>VLOOKUP(A180,'SegEnds_NonXtal_Prot#'!A:AL,34,FALSE)-VLOOKUP(A180,'SegEnds_NonXtal_Prot#'!A:AL,31,FALSE)</f>
        <v>34</v>
      </c>
      <c r="AJ180" s="1" t="str">
        <f>IF(ISERROR(MATCH(A180,'SegEnds_Xtal_Prot#'!B:B, 0)), "NoXtal", "Xtal")</f>
        <v>NoXtal</v>
      </c>
    </row>
    <row r="181" spans="1:36" x14ac:dyDescent="0.2">
      <c r="A181" s="1" t="s">
        <v>304</v>
      </c>
      <c r="B181" s="1" t="str">
        <f>VLOOKUP(A181,Xtal_Templ!A:B,2,FALSE)</f>
        <v>agtr1_human</v>
      </c>
      <c r="C181" s="5">
        <f>VLOOKUP($B181&amp;"__wt",'SegEnds_Xtal_BW#'!$A:$Z,3,FALSE)</f>
        <v>30</v>
      </c>
      <c r="D181" s="1">
        <f>VLOOKUP($B181&amp;"__wt",'SegEnds_Xtal_BW#'!$A:$Z,4,FALSE)</f>
        <v>60</v>
      </c>
      <c r="E181" s="1">
        <f>VLOOKUP($B181&amp;"__wt",'SegEnds_Xtal_BW#'!$A:$Z,5,FALSE)</f>
        <v>48</v>
      </c>
      <c r="F181" s="1">
        <f>VLOOKUP($B181&amp;"__wt",'SegEnds_Xtal_BW#'!$A:$Z,6,FALSE)</f>
        <v>51</v>
      </c>
      <c r="G181" s="1">
        <v>37</v>
      </c>
      <c r="H181" s="12">
        <v>63</v>
      </c>
      <c r="I181" s="1">
        <f>VLOOKUP($B181&amp;"__wt",'SegEnds_Xtal_BW#'!$A:$Z,9,FALSE)</f>
        <v>49</v>
      </c>
      <c r="J181" s="1">
        <f>VLOOKUP($B181&amp;"__wt",'SegEnds_Xtal_BW#'!$A:$Z,10,FALSE)</f>
        <v>52</v>
      </c>
      <c r="K181" s="12">
        <v>26</v>
      </c>
      <c r="L181" s="1">
        <f>VLOOKUP($B181&amp;"__wt",'SegEnds_Xtal_BW#'!$A:$Z,12,FALSE)</f>
        <v>56</v>
      </c>
      <c r="M181" s="1">
        <f>VLOOKUP($B181&amp;"__wt",'SegEnds_Xtal_BW#'!$A:$Z,13,FALSE)</f>
        <v>50</v>
      </c>
      <c r="N181" s="12">
        <v>57</v>
      </c>
      <c r="O181" s="89">
        <v>38</v>
      </c>
      <c r="P181" s="1">
        <f>VLOOKUP($B181&amp;"__wt",'SegEnds_Xtal_BW#'!$A:$Z,16,FALSE)</f>
        <v>64</v>
      </c>
      <c r="Q181" s="1">
        <f>VLOOKUP($B181&amp;"__wt",'SegEnds_Xtal_BW#'!$A:$Z,17,FALSE)</f>
        <v>50</v>
      </c>
      <c r="R181" s="1">
        <f>VLOOKUP($B181&amp;"__wt",'SegEnds_Xtal_BW#'!$A:$Z,18,FALSE)</f>
        <v>52</v>
      </c>
      <c r="S181" s="1">
        <f>VLOOKUP($B181&amp;"__wt",'SegEnds_Xtal_BW#'!$A:$Z,19,FALSE)</f>
        <v>34</v>
      </c>
      <c r="T181" s="1">
        <f t="array" ref="T181">INDEX('ICL3'!$G$2:$G$40,MATCH(MIN(ABS(AH181-'ICL3'!$F$2:$F$40)),ABS(AH181-'ICL3'!$F$2:$F$40),0))</f>
        <v>67</v>
      </c>
      <c r="U181" s="1">
        <f t="array" ref="U181">INDEX('ICL3'!$H$2:$H$40,MATCH(MIN(ABS(AH181-'ICL3'!$F$2:$F$40)),ABS(AH181-'ICL3'!$F$2:$F$40),0))</f>
        <v>30</v>
      </c>
      <c r="V181" s="1">
        <v>61</v>
      </c>
      <c r="W181" s="1">
        <v>32</v>
      </c>
      <c r="X181" s="1">
        <f>VLOOKUP($B181&amp;"__wt",'SegEnds_Xtal_BW#'!$A:$Z,24,FALSE)</f>
        <v>56</v>
      </c>
      <c r="Y181" s="1">
        <f>VLOOKUP($B181&amp;"__wt",'SegEnds_Xtal_BW#'!$A:$Z,25,FALSE)</f>
        <v>47</v>
      </c>
      <c r="Z181" s="1">
        <f>VLOOKUP($B181&amp;"__wt",'SegEnds_Xtal_BW#'!$A:$Z,26,FALSE)</f>
        <v>61</v>
      </c>
      <c r="AA181" s="27" t="str">
        <f>VLOOKUP(A181,Classification!A:B,2,FALSE)</f>
        <v>A</v>
      </c>
      <c r="AB181" s="1" t="e">
        <f>VLOOKUP(A181,'SegEnds_NonXtal_Prot#'!A:AL,10,FALSE)-VLOOKUP(A181,'SegEnds_NonXtal_Prot#'!A:AL,7,FALSE)</f>
        <v>#VALUE!</v>
      </c>
      <c r="AC181" s="1" t="e">
        <f>VLOOKUP(A181,'SegEnds_NonXtal_Prot#'!A:AL,13,FALSE)-VLOOKUP(A181,'SegEnds_NonXtal_Prot#'!A:AL,10,FALSE)</f>
        <v>#VALUE!</v>
      </c>
      <c r="AD181" s="1">
        <f>VLOOKUP(A181,'SegEnds_NonXtal_Prot#'!A:AL,16,FALSE)-VLOOKUP(A181,'SegEnds_NonXtal_Prot#'!A:AL,10,FALSE)</f>
        <v>46</v>
      </c>
      <c r="AE181" s="1">
        <f>VLOOKUP(A181,'SegEnds_NonXtal_Prot#'!A:AL,22,FALSE)-VLOOKUP(A181,'SegEnds_NonXtal_Prot#'!A:AL,19,FALSE)</f>
        <v>20</v>
      </c>
      <c r="AF181" s="1" t="e">
        <f>VLOOKUP(A181,'SegEnds_NonXtal_Prot#'!A:AL,28,FALSE)-VLOOKUP(A181,'SegEnds_NonXtal_Prot#'!A:AL,25,FALSE)</f>
        <v>#VALUE!</v>
      </c>
      <c r="AG181" s="1">
        <f>VLOOKUP(A181,'SegEnds_NonXtal_Prot#'!A:AL,28,FALSE)-VLOOKUP(A181,'SegEnds_NonXtal_Prot#'!A:AL,22,FALSE)</f>
        <v>42</v>
      </c>
      <c r="AH181" s="1">
        <f>VLOOKUP(A181,'SegEnds_NonXtal_Prot#'!A:AL,31,FALSE)-VLOOKUP(A181,'SegEnds_NonXtal_Prot#'!A:AL,28,FALSE)</f>
        <v>41</v>
      </c>
      <c r="AI181" s="1">
        <f>VLOOKUP(A181,'SegEnds_NonXtal_Prot#'!A:AL,34,FALSE)-VLOOKUP(A181,'SegEnds_NonXtal_Prot#'!A:AL,31,FALSE)</f>
        <v>34</v>
      </c>
      <c r="AJ181" s="1" t="str">
        <f>IF(ISERROR(MATCH(A181,'SegEnds_Xtal_Prot#'!B:B, 0)), "NoXtal", "Xtal")</f>
        <v>NoXtal</v>
      </c>
    </row>
    <row r="182" spans="1:36" x14ac:dyDescent="0.2">
      <c r="A182" s="1" t="s">
        <v>305</v>
      </c>
      <c r="B182" s="1" t="str">
        <f>VLOOKUP(A182,Xtal_Templ!A:B,2,FALSE)</f>
        <v>agtr1_human</v>
      </c>
      <c r="C182" s="5">
        <f>VLOOKUP($B182&amp;"__wt",'SegEnds_Xtal_BW#'!$A:$Z,3,FALSE)</f>
        <v>30</v>
      </c>
      <c r="D182" s="1">
        <f>VLOOKUP($B182&amp;"__wt",'SegEnds_Xtal_BW#'!$A:$Z,4,FALSE)</f>
        <v>60</v>
      </c>
      <c r="E182" s="1">
        <f>VLOOKUP($B182&amp;"__wt",'SegEnds_Xtal_BW#'!$A:$Z,5,FALSE)</f>
        <v>48</v>
      </c>
      <c r="F182" s="1">
        <f>VLOOKUP($B182&amp;"__wt",'SegEnds_Xtal_BW#'!$A:$Z,6,FALSE)</f>
        <v>51</v>
      </c>
      <c r="G182" s="1">
        <v>37</v>
      </c>
      <c r="H182" s="12">
        <v>66</v>
      </c>
      <c r="I182" s="1">
        <f>VLOOKUP($B182&amp;"__wt",'SegEnds_Xtal_BW#'!$A:$Z,9,FALSE)</f>
        <v>49</v>
      </c>
      <c r="J182" s="1">
        <f>VLOOKUP($B182&amp;"__wt",'SegEnds_Xtal_BW#'!$A:$Z,10,FALSE)</f>
        <v>52</v>
      </c>
      <c r="K182" s="12">
        <v>24</v>
      </c>
      <c r="L182" s="1">
        <f>VLOOKUP($B182&amp;"__wt",'SegEnds_Xtal_BW#'!$A:$Z,12,FALSE)</f>
        <v>56</v>
      </c>
      <c r="M182" s="1">
        <f>VLOOKUP($B182&amp;"__wt",'SegEnds_Xtal_BW#'!$A:$Z,13,FALSE)</f>
        <v>50</v>
      </c>
      <c r="N182" s="12">
        <v>57</v>
      </c>
      <c r="O182" s="89">
        <v>38</v>
      </c>
      <c r="P182" s="1">
        <f>VLOOKUP($B182&amp;"__wt",'SegEnds_Xtal_BW#'!$A:$Z,16,FALSE)</f>
        <v>64</v>
      </c>
      <c r="Q182" s="1">
        <f>VLOOKUP($B182&amp;"__wt",'SegEnds_Xtal_BW#'!$A:$Z,17,FALSE)</f>
        <v>50</v>
      </c>
      <c r="R182" s="1">
        <f>VLOOKUP($B182&amp;"__wt",'SegEnds_Xtal_BW#'!$A:$Z,18,FALSE)</f>
        <v>52</v>
      </c>
      <c r="S182" s="1">
        <f>VLOOKUP($B182&amp;"__wt",'SegEnds_Xtal_BW#'!$A:$Z,19,FALSE)</f>
        <v>34</v>
      </c>
      <c r="T182" s="1">
        <f t="array" ref="T182">INDEX('ICL3'!$G$2:$G$40,MATCH(MIN(ABS(AH182-'ICL3'!$F$2:$F$40)),ABS(AH182-'ICL3'!$F$2:$F$40),0))</f>
        <v>68</v>
      </c>
      <c r="U182" s="1">
        <f t="array" ref="U182">INDEX('ICL3'!$H$2:$H$40,MATCH(MIN(ABS(AH182-'ICL3'!$F$2:$F$40)),ABS(AH182-'ICL3'!$F$2:$F$40),0))</f>
        <v>30</v>
      </c>
      <c r="V182" s="1">
        <v>61</v>
      </c>
      <c r="W182" s="1">
        <v>28</v>
      </c>
      <c r="X182" s="1">
        <f>VLOOKUP($B182&amp;"__wt",'SegEnds_Xtal_BW#'!$A:$Z,24,FALSE)</f>
        <v>56</v>
      </c>
      <c r="Y182" s="1">
        <f>VLOOKUP($B182&amp;"__wt",'SegEnds_Xtal_BW#'!$A:$Z,25,FALSE)</f>
        <v>47</v>
      </c>
      <c r="Z182" s="1">
        <f>VLOOKUP($B182&amp;"__wt",'SegEnds_Xtal_BW#'!$A:$Z,26,FALSE)</f>
        <v>61</v>
      </c>
      <c r="AA182" s="27" t="str">
        <f>VLOOKUP(A182,Classification!A:B,2,FALSE)</f>
        <v>A</v>
      </c>
      <c r="AB182" s="1" t="e">
        <f>VLOOKUP(A182,'SegEnds_NonXtal_Prot#'!A:AL,10,FALSE)-VLOOKUP(A182,'SegEnds_NonXtal_Prot#'!A:AL,7,FALSE)</f>
        <v>#VALUE!</v>
      </c>
      <c r="AC182" s="1" t="e">
        <f>VLOOKUP(A182,'SegEnds_NonXtal_Prot#'!A:AL,13,FALSE)-VLOOKUP(A182,'SegEnds_NonXtal_Prot#'!A:AL,10,FALSE)</f>
        <v>#VALUE!</v>
      </c>
      <c r="AD182" s="1">
        <f>VLOOKUP(A182,'SegEnds_NonXtal_Prot#'!A:AL,16,FALSE)-VLOOKUP(A182,'SegEnds_NonXtal_Prot#'!A:AL,10,FALSE)</f>
        <v>48</v>
      </c>
      <c r="AE182" s="1">
        <f>VLOOKUP(A182,'SegEnds_NonXtal_Prot#'!A:AL,22,FALSE)-VLOOKUP(A182,'SegEnds_NonXtal_Prot#'!A:AL,19,FALSE)</f>
        <v>20</v>
      </c>
      <c r="AF182" s="1" t="e">
        <f>VLOOKUP(A182,'SegEnds_NonXtal_Prot#'!A:AL,28,FALSE)-VLOOKUP(A182,'SegEnds_NonXtal_Prot#'!A:AL,25,FALSE)</f>
        <v>#VALUE!</v>
      </c>
      <c r="AG182" s="1">
        <f>VLOOKUP(A182,'SegEnds_NonXtal_Prot#'!A:AL,28,FALSE)-VLOOKUP(A182,'SegEnds_NonXtal_Prot#'!A:AL,22,FALSE)</f>
        <v>42</v>
      </c>
      <c r="AH182" s="1">
        <f>VLOOKUP(A182,'SegEnds_NonXtal_Prot#'!A:AL,31,FALSE)-VLOOKUP(A182,'SegEnds_NonXtal_Prot#'!A:AL,28,FALSE)</f>
        <v>42</v>
      </c>
      <c r="AI182" s="1">
        <f>VLOOKUP(A182,'SegEnds_NonXtal_Prot#'!A:AL,34,FALSE)-VLOOKUP(A182,'SegEnds_NonXtal_Prot#'!A:AL,31,FALSE)</f>
        <v>38</v>
      </c>
      <c r="AJ182" s="1" t="str">
        <f>IF(ISERROR(MATCH(A182,'SegEnds_Xtal_Prot#'!B:B, 0)), "NoXtal", "Xtal")</f>
        <v>NoXtal</v>
      </c>
    </row>
    <row r="183" spans="1:36" x14ac:dyDescent="0.2">
      <c r="A183" s="1" t="s">
        <v>306</v>
      </c>
      <c r="B183" s="1" t="str">
        <f>VLOOKUP(A183,Xtal_Templ!A:B,2,FALSE)</f>
        <v>agtr1_human</v>
      </c>
      <c r="C183" s="5">
        <f>VLOOKUP($B183&amp;"__wt",'SegEnds_Xtal_BW#'!$A:$Z,3,FALSE)</f>
        <v>30</v>
      </c>
      <c r="D183" s="1">
        <f>VLOOKUP($B183&amp;"__wt",'SegEnds_Xtal_BW#'!$A:$Z,4,FALSE)</f>
        <v>60</v>
      </c>
      <c r="E183" s="1">
        <f>VLOOKUP($B183&amp;"__wt",'SegEnds_Xtal_BW#'!$A:$Z,5,FALSE)</f>
        <v>48</v>
      </c>
      <c r="F183" s="1">
        <f>VLOOKUP($B183&amp;"__wt",'SegEnds_Xtal_BW#'!$A:$Z,6,FALSE)</f>
        <v>51</v>
      </c>
      <c r="G183" s="1">
        <v>37</v>
      </c>
      <c r="H183" s="12">
        <f>VLOOKUP($B183&amp;"__wt",'SegEnds_Xtal_BW#'!$A:$Z,8,FALSE)</f>
        <v>66</v>
      </c>
      <c r="I183" s="1">
        <f>VLOOKUP($B183&amp;"__wt",'SegEnds_Xtal_BW#'!$A:$Z,9,FALSE)</f>
        <v>49</v>
      </c>
      <c r="J183" s="1">
        <f>VLOOKUP($B183&amp;"__wt",'SegEnds_Xtal_BW#'!$A:$Z,10,FALSE)</f>
        <v>52</v>
      </c>
      <c r="K183" s="12">
        <v>21</v>
      </c>
      <c r="L183" s="1">
        <f>VLOOKUP($B183&amp;"__wt",'SegEnds_Xtal_BW#'!$A:$Z,12,FALSE)</f>
        <v>56</v>
      </c>
      <c r="M183" s="1">
        <f>VLOOKUP($B183&amp;"__wt",'SegEnds_Xtal_BW#'!$A:$Z,13,FALSE)</f>
        <v>50</v>
      </c>
      <c r="N183" s="12">
        <v>57</v>
      </c>
      <c r="O183" s="89">
        <f>VLOOKUP($B183&amp;"__wt",'SegEnds_Xtal_BW#'!$A:$Z,15,FALSE)</f>
        <v>38</v>
      </c>
      <c r="P183" s="1">
        <f>VLOOKUP($B183&amp;"__wt",'SegEnds_Xtal_BW#'!$A:$Z,16,FALSE)</f>
        <v>64</v>
      </c>
      <c r="Q183" s="1">
        <f>VLOOKUP($B183&amp;"__wt",'SegEnds_Xtal_BW#'!$A:$Z,17,FALSE)</f>
        <v>50</v>
      </c>
      <c r="R183" s="1">
        <f>VLOOKUP($B183&amp;"__wt",'SegEnds_Xtal_BW#'!$A:$Z,18,FALSE)</f>
        <v>52</v>
      </c>
      <c r="S183" s="1">
        <f>VLOOKUP($B183&amp;"__wt",'SegEnds_Xtal_BW#'!$A:$Z,19,FALSE)</f>
        <v>34</v>
      </c>
      <c r="T183" s="1">
        <f t="array" ref="T183">INDEX('ICL3'!$G$2:$G$40,MATCH(MIN(ABS(AH183-'ICL3'!$F$2:$F$40)),ABS(AH183-'ICL3'!$F$2:$F$40),0))</f>
        <v>68</v>
      </c>
      <c r="U183" s="1">
        <f t="array" ref="U183">INDEX('ICL3'!$H$2:$H$40,MATCH(MIN(ABS(AH183-'ICL3'!$F$2:$F$40)),ABS(AH183-'ICL3'!$F$2:$F$40),0))</f>
        <v>30</v>
      </c>
      <c r="V183" s="1">
        <v>61</v>
      </c>
      <c r="W183" s="1">
        <v>28</v>
      </c>
      <c r="X183" s="1">
        <f>VLOOKUP($B183&amp;"__wt",'SegEnds_Xtal_BW#'!$A:$Z,24,FALSE)</f>
        <v>56</v>
      </c>
      <c r="Y183" s="1">
        <f>VLOOKUP($B183&amp;"__wt",'SegEnds_Xtal_BW#'!$A:$Z,25,FALSE)</f>
        <v>47</v>
      </c>
      <c r="Z183" s="1">
        <f>VLOOKUP($B183&amp;"__wt",'SegEnds_Xtal_BW#'!$A:$Z,26,FALSE)</f>
        <v>61</v>
      </c>
      <c r="AA183" s="27" t="str">
        <f>VLOOKUP(A183,Classification!A:B,2,FALSE)</f>
        <v>A</v>
      </c>
      <c r="AB183" s="1" t="e">
        <f>VLOOKUP(A183,'SegEnds_NonXtal_Prot#'!A:AL,10,FALSE)-VLOOKUP(A183,'SegEnds_NonXtal_Prot#'!A:AL,7,FALSE)</f>
        <v>#VALUE!</v>
      </c>
      <c r="AC183" s="1" t="e">
        <f>VLOOKUP(A183,'SegEnds_NonXtal_Prot#'!A:AL,13,FALSE)-VLOOKUP(A183,'SegEnds_NonXtal_Prot#'!A:AL,10,FALSE)</f>
        <v>#VALUE!</v>
      </c>
      <c r="AD183" s="1">
        <f>VLOOKUP(A183,'SegEnds_NonXtal_Prot#'!A:AL,16,FALSE)-VLOOKUP(A183,'SegEnds_NonXtal_Prot#'!A:AL,10,FALSE)</f>
        <v>52</v>
      </c>
      <c r="AE183" s="1">
        <f>VLOOKUP(A183,'SegEnds_NonXtal_Prot#'!A:AL,22,FALSE)-VLOOKUP(A183,'SegEnds_NonXtal_Prot#'!A:AL,19,FALSE)</f>
        <v>20</v>
      </c>
      <c r="AF183" s="1" t="e">
        <f>VLOOKUP(A183,'SegEnds_NonXtal_Prot#'!A:AL,28,FALSE)-VLOOKUP(A183,'SegEnds_NonXtal_Prot#'!A:AL,25,FALSE)</f>
        <v>#VALUE!</v>
      </c>
      <c r="AG183" s="1">
        <f>VLOOKUP(A183,'SegEnds_NonXtal_Prot#'!A:AL,28,FALSE)-VLOOKUP(A183,'SegEnds_NonXtal_Prot#'!A:AL,22,FALSE)</f>
        <v>42</v>
      </c>
      <c r="AH183" s="1">
        <f>VLOOKUP(A183,'SegEnds_NonXtal_Prot#'!A:AL,31,FALSE)-VLOOKUP(A183,'SegEnds_NonXtal_Prot#'!A:AL,28,FALSE)</f>
        <v>42</v>
      </c>
      <c r="AI183" s="1">
        <f>VLOOKUP(A183,'SegEnds_NonXtal_Prot#'!A:AL,34,FALSE)-VLOOKUP(A183,'SegEnds_NonXtal_Prot#'!A:AL,31,FALSE)</f>
        <v>38</v>
      </c>
      <c r="AJ183" s="1" t="str">
        <f>IF(ISERROR(MATCH(A183,'SegEnds_Xtal_Prot#'!B:B, 0)), "NoXtal", "Xtal")</f>
        <v>NoXtal</v>
      </c>
    </row>
    <row r="184" spans="1:36" x14ac:dyDescent="0.2">
      <c r="A184" s="1" t="s">
        <v>307</v>
      </c>
      <c r="B184" s="1" t="str">
        <f>VLOOKUP(A184,Xtal_Templ!A:B,2,FALSE)</f>
        <v>agtr1_human</v>
      </c>
      <c r="C184" s="5">
        <f>VLOOKUP($B184&amp;"__wt",'SegEnds_Xtal_BW#'!$A:$Z,3,FALSE)</f>
        <v>30</v>
      </c>
      <c r="D184" s="1">
        <f>VLOOKUP($B184&amp;"__wt",'SegEnds_Xtal_BW#'!$A:$Z,4,FALSE)</f>
        <v>60</v>
      </c>
      <c r="E184" s="1">
        <f>VLOOKUP($B184&amp;"__wt",'SegEnds_Xtal_BW#'!$A:$Z,5,FALSE)</f>
        <v>48</v>
      </c>
      <c r="F184" s="1">
        <f>VLOOKUP($B184&amp;"__wt",'SegEnds_Xtal_BW#'!$A:$Z,6,FALSE)</f>
        <v>51</v>
      </c>
      <c r="G184" s="1">
        <v>37</v>
      </c>
      <c r="H184" s="12">
        <v>66</v>
      </c>
      <c r="I184" s="1">
        <f>VLOOKUP($B184&amp;"__wt",'SegEnds_Xtal_BW#'!$A:$Z,9,FALSE)</f>
        <v>49</v>
      </c>
      <c r="J184" s="1">
        <f>VLOOKUP($B184&amp;"__wt",'SegEnds_Xtal_BW#'!$A:$Z,10,FALSE)</f>
        <v>52</v>
      </c>
      <c r="K184" s="12">
        <v>24</v>
      </c>
      <c r="L184" s="1">
        <f>VLOOKUP($B184&amp;"__wt",'SegEnds_Xtal_BW#'!$A:$Z,12,FALSE)</f>
        <v>56</v>
      </c>
      <c r="M184" s="1">
        <f>VLOOKUP($B184&amp;"__wt",'SegEnds_Xtal_BW#'!$A:$Z,13,FALSE)</f>
        <v>50</v>
      </c>
      <c r="N184" s="12">
        <v>57</v>
      </c>
      <c r="O184" s="89">
        <v>38</v>
      </c>
      <c r="P184" s="1">
        <f>VLOOKUP($B184&amp;"__wt",'SegEnds_Xtal_BW#'!$A:$Z,16,FALSE)</f>
        <v>64</v>
      </c>
      <c r="Q184" s="1">
        <f>VLOOKUP($B184&amp;"__wt",'SegEnds_Xtal_BW#'!$A:$Z,17,FALSE)</f>
        <v>50</v>
      </c>
      <c r="R184" s="1">
        <f>VLOOKUP($B184&amp;"__wt",'SegEnds_Xtal_BW#'!$A:$Z,18,FALSE)</f>
        <v>52</v>
      </c>
      <c r="S184" s="1">
        <f>VLOOKUP($B184&amp;"__wt",'SegEnds_Xtal_BW#'!$A:$Z,19,FALSE)</f>
        <v>34</v>
      </c>
      <c r="T184" s="1">
        <f t="array" ref="T184">INDEX('ICL3'!$G$2:$G$40,MATCH(MIN(ABS(AH184-'ICL3'!$F$2:$F$40)),ABS(AH184-'ICL3'!$F$2:$F$40),0))</f>
        <v>68</v>
      </c>
      <c r="U184" s="1">
        <f t="array" ref="U184">INDEX('ICL3'!$H$2:$H$40,MATCH(MIN(ABS(AH184-'ICL3'!$F$2:$F$40)),ABS(AH184-'ICL3'!$F$2:$F$40),0))</f>
        <v>30</v>
      </c>
      <c r="V184" s="1">
        <v>61</v>
      </c>
      <c r="W184" s="1">
        <v>28</v>
      </c>
      <c r="X184" s="1">
        <f>VLOOKUP($B184&amp;"__wt",'SegEnds_Xtal_BW#'!$A:$Z,24,FALSE)</f>
        <v>56</v>
      </c>
      <c r="Y184" s="1">
        <f>VLOOKUP($B184&amp;"__wt",'SegEnds_Xtal_BW#'!$A:$Z,25,FALSE)</f>
        <v>47</v>
      </c>
      <c r="Z184" s="1">
        <f>VLOOKUP($B184&amp;"__wt",'SegEnds_Xtal_BW#'!$A:$Z,26,FALSE)</f>
        <v>61</v>
      </c>
      <c r="AA184" s="27" t="str">
        <f>VLOOKUP(A184,Classification!A:B,2,FALSE)</f>
        <v>A</v>
      </c>
      <c r="AB184" s="1" t="e">
        <f>VLOOKUP(A184,'SegEnds_NonXtal_Prot#'!A:AL,10,FALSE)-VLOOKUP(A184,'SegEnds_NonXtal_Prot#'!A:AL,7,FALSE)</f>
        <v>#VALUE!</v>
      </c>
      <c r="AC184" s="1" t="e">
        <f>VLOOKUP(A184,'SegEnds_NonXtal_Prot#'!A:AL,13,FALSE)-VLOOKUP(A184,'SegEnds_NonXtal_Prot#'!A:AL,10,FALSE)</f>
        <v>#VALUE!</v>
      </c>
      <c r="AD184" s="1">
        <f>VLOOKUP(A184,'SegEnds_NonXtal_Prot#'!A:AL,16,FALSE)-VLOOKUP(A184,'SegEnds_NonXtal_Prot#'!A:AL,10,FALSE)</f>
        <v>48</v>
      </c>
      <c r="AE184" s="1">
        <f>VLOOKUP(A184,'SegEnds_NonXtal_Prot#'!A:AL,22,FALSE)-VLOOKUP(A184,'SegEnds_NonXtal_Prot#'!A:AL,19,FALSE)</f>
        <v>20</v>
      </c>
      <c r="AF184" s="1" t="e">
        <f>VLOOKUP(A184,'SegEnds_NonXtal_Prot#'!A:AL,28,FALSE)-VLOOKUP(A184,'SegEnds_NonXtal_Prot#'!A:AL,25,FALSE)</f>
        <v>#VALUE!</v>
      </c>
      <c r="AG184" s="1">
        <f>VLOOKUP(A184,'SegEnds_NonXtal_Prot#'!A:AL,28,FALSE)-VLOOKUP(A184,'SegEnds_NonXtal_Prot#'!A:AL,22,FALSE)</f>
        <v>42</v>
      </c>
      <c r="AH184" s="1">
        <f>VLOOKUP(A184,'SegEnds_NonXtal_Prot#'!A:AL,31,FALSE)-VLOOKUP(A184,'SegEnds_NonXtal_Prot#'!A:AL,28,FALSE)</f>
        <v>42</v>
      </c>
      <c r="AI184" s="1">
        <f>VLOOKUP(A184,'SegEnds_NonXtal_Prot#'!A:AL,34,FALSE)-VLOOKUP(A184,'SegEnds_NonXtal_Prot#'!A:AL,31,FALSE)</f>
        <v>38</v>
      </c>
      <c r="AJ184" s="1" t="str">
        <f>IF(ISERROR(MATCH(A184,'SegEnds_Xtal_Prot#'!B:B, 0)), "NoXtal", "Xtal")</f>
        <v>NoXtal</v>
      </c>
    </row>
    <row r="185" spans="1:36" x14ac:dyDescent="0.2">
      <c r="A185" s="1" t="s">
        <v>308</v>
      </c>
      <c r="B185" s="1" t="str">
        <f>VLOOKUP(A185,Xtal_Templ!A:B,2,FALSE)</f>
        <v>oprm_mouse</v>
      </c>
      <c r="C185" s="5">
        <f>VLOOKUP($B185&amp;"__wt",'SegEnds_Xtal_BW#'!$A:$Z,3,FALSE)</f>
        <v>29</v>
      </c>
      <c r="D185" s="1">
        <f>VLOOKUP($B185&amp;"__wt",'SegEnds_Xtal_BW#'!$A:$Z,4,FALSE)</f>
        <v>60</v>
      </c>
      <c r="E185" s="1">
        <f>VLOOKUP($B185&amp;"__wt",'SegEnds_Xtal_BW#'!$A:$Z,5,FALSE)</f>
        <v>48</v>
      </c>
      <c r="F185" s="1">
        <f>VLOOKUP($B185&amp;"__wt",'SegEnds_Xtal_BW#'!$A:$Z,6,FALSE)</f>
        <v>51</v>
      </c>
      <c r="G185" s="1">
        <v>37</v>
      </c>
      <c r="H185" s="12">
        <v>66</v>
      </c>
      <c r="I185" s="1">
        <f>VLOOKUP($B185&amp;"__wt",'SegEnds_Xtal_BW#'!$A:$Z,9,FALSE)</f>
        <v>49</v>
      </c>
      <c r="J185" s="1">
        <f>VLOOKUP($B185&amp;"__wt",'SegEnds_Xtal_BW#'!$A:$Z,10,FALSE)</f>
        <v>52</v>
      </c>
      <c r="K185" s="12">
        <v>24</v>
      </c>
      <c r="L185" s="1">
        <f>VLOOKUP($B185&amp;"__wt",'SegEnds_Xtal_BW#'!$A:$Z,12,FALSE)</f>
        <v>56</v>
      </c>
      <c r="M185" s="1">
        <f>VLOOKUP($B185&amp;"__wt",'SegEnds_Xtal_BW#'!$A:$Z,13,FALSE)</f>
        <v>50</v>
      </c>
      <c r="N185" s="12">
        <v>57</v>
      </c>
      <c r="O185" s="89">
        <v>38</v>
      </c>
      <c r="P185" s="1">
        <f>VLOOKUP($B185&amp;"__wt",'SegEnds_Xtal_BW#'!$A:$Z,16,FALSE)</f>
        <v>64</v>
      </c>
      <c r="Q185" s="1">
        <f>VLOOKUP($B185&amp;"__wt",'SegEnds_Xtal_BW#'!$A:$Z,17,FALSE)</f>
        <v>50</v>
      </c>
      <c r="R185" s="1">
        <f>VLOOKUP($B185&amp;"__wt",'SegEnds_Xtal_BW#'!$A:$Z,18,FALSE)</f>
        <v>52</v>
      </c>
      <c r="S185" s="1">
        <f>VLOOKUP($B185&amp;"__wt",'SegEnds_Xtal_BW#'!$A:$Z,19,FALSE)</f>
        <v>31</v>
      </c>
      <c r="T185" s="1">
        <f t="array" ref="T185">INDEX('ICL3'!$G$2:$G$40,MATCH(MIN(ABS(AH185-'ICL3'!$F$2:$F$40)),ABS(AH185-'ICL3'!$F$2:$F$40),0))</f>
        <v>68</v>
      </c>
      <c r="U185" s="1">
        <f t="array" ref="U185">INDEX('ICL3'!$H$2:$H$40,MATCH(MIN(ABS(AH185-'ICL3'!$F$2:$F$40)),ABS(AH185-'ICL3'!$F$2:$F$40),0))</f>
        <v>30</v>
      </c>
      <c r="V185" s="1">
        <v>61</v>
      </c>
      <c r="W185" s="1">
        <v>28</v>
      </c>
      <c r="X185" s="1">
        <f>VLOOKUP($B185&amp;"__wt",'SegEnds_Xtal_BW#'!$A:$Z,24,FALSE)</f>
        <v>56</v>
      </c>
      <c r="Y185" s="1">
        <f>VLOOKUP($B185&amp;"__wt",'SegEnds_Xtal_BW#'!$A:$Z,25,FALSE)</f>
        <v>47</v>
      </c>
      <c r="Z185" s="1">
        <f>VLOOKUP($B185&amp;"__wt",'SegEnds_Xtal_BW#'!$A:$Z,26,FALSE)</f>
        <v>59</v>
      </c>
      <c r="AA185" s="27" t="str">
        <f>VLOOKUP(A185,Classification!A:B,2,FALSE)</f>
        <v>A</v>
      </c>
      <c r="AB185" s="1" t="e">
        <f>VLOOKUP(A185,'SegEnds_NonXtal_Prot#'!A:AL,10,FALSE)-VLOOKUP(A185,'SegEnds_NonXtal_Prot#'!A:AL,7,FALSE)</f>
        <v>#VALUE!</v>
      </c>
      <c r="AC185" s="1" t="e">
        <f>VLOOKUP(A185,'SegEnds_NonXtal_Prot#'!A:AL,13,FALSE)-VLOOKUP(A185,'SegEnds_NonXtal_Prot#'!A:AL,10,FALSE)</f>
        <v>#VALUE!</v>
      </c>
      <c r="AD185" s="1">
        <f>VLOOKUP(A185,'SegEnds_NonXtal_Prot#'!A:AL,16,FALSE)-VLOOKUP(A185,'SegEnds_NonXtal_Prot#'!A:AL,10,FALSE)</f>
        <v>48</v>
      </c>
      <c r="AE185" s="1">
        <f>VLOOKUP(A185,'SegEnds_NonXtal_Prot#'!A:AL,22,FALSE)-VLOOKUP(A185,'SegEnds_NonXtal_Prot#'!A:AL,19,FALSE)</f>
        <v>20</v>
      </c>
      <c r="AF185" s="1" t="e">
        <f>VLOOKUP(A185,'SegEnds_NonXtal_Prot#'!A:AL,28,FALSE)-VLOOKUP(A185,'SegEnds_NonXtal_Prot#'!A:AL,25,FALSE)</f>
        <v>#VALUE!</v>
      </c>
      <c r="AG185" s="1">
        <f>VLOOKUP(A185,'SegEnds_NonXtal_Prot#'!A:AL,28,FALSE)-VLOOKUP(A185,'SegEnds_NonXtal_Prot#'!A:AL,22,FALSE)</f>
        <v>42</v>
      </c>
      <c r="AH185" s="1">
        <f>VLOOKUP(A185,'SegEnds_NonXtal_Prot#'!A:AL,31,FALSE)-VLOOKUP(A185,'SegEnds_NonXtal_Prot#'!A:AL,28,FALSE)</f>
        <v>42</v>
      </c>
      <c r="AI185" s="1">
        <f>VLOOKUP(A185,'SegEnds_NonXtal_Prot#'!A:AL,34,FALSE)-VLOOKUP(A185,'SegEnds_NonXtal_Prot#'!A:AL,31,FALSE)</f>
        <v>38</v>
      </c>
      <c r="AJ185" s="1" t="str">
        <f>IF(ISERROR(MATCH(A185,'SegEnds_Xtal_Prot#'!B:B, 0)), "NoXtal", "Xtal")</f>
        <v>NoXtal</v>
      </c>
    </row>
    <row r="186" spans="1:36" x14ac:dyDescent="0.2">
      <c r="A186" s="1" t="s">
        <v>309</v>
      </c>
      <c r="B186" s="1" t="str">
        <f>VLOOKUP(A186,Xtal_Templ!A:B,2,FALSE)</f>
        <v>s1pr1_human</v>
      </c>
      <c r="C186" s="5">
        <f>VLOOKUP($B186&amp;"__wt",'SegEnds_Xtal_BW#'!$A:$Z,3,FALSE)</f>
        <v>29</v>
      </c>
      <c r="D186" s="1">
        <f>VLOOKUP($B186&amp;"__wt",'SegEnds_Xtal_BW#'!$A:$Z,4,FALSE)</f>
        <v>60</v>
      </c>
      <c r="E186" s="1">
        <f>VLOOKUP($B186&amp;"__wt",'SegEnds_Xtal_BW#'!$A:$Z,5,FALSE)</f>
        <v>48</v>
      </c>
      <c r="F186" s="1">
        <f>VLOOKUP($B186&amp;"__wt",'SegEnds_Xtal_BW#'!$A:$Z,6,FALSE)</f>
        <v>51</v>
      </c>
      <c r="G186" s="1">
        <v>37</v>
      </c>
      <c r="H186" s="12">
        <v>67</v>
      </c>
      <c r="I186" s="1" t="s">
        <v>23</v>
      </c>
      <c r="J186" s="1" t="s">
        <v>23</v>
      </c>
      <c r="K186" s="12">
        <v>18</v>
      </c>
      <c r="L186" s="1">
        <f>VLOOKUP($B186&amp;"__wt",'SegEnds_Xtal_BW#'!$A:$Z,12,FALSE)</f>
        <v>56</v>
      </c>
      <c r="M186" s="1">
        <f>VLOOKUP($B186&amp;"__wt",'SegEnds_Xtal_BW#'!$A:$Z,13,FALSE)</f>
        <v>50</v>
      </c>
      <c r="N186" s="12">
        <v>57</v>
      </c>
      <c r="O186" s="89">
        <f>VLOOKUP($B186&amp;"__wt",'SegEnds_Xtal_BW#'!$A:$Z,15,FALSE)</f>
        <v>38</v>
      </c>
      <c r="P186" s="1">
        <f>VLOOKUP($B186&amp;"__wt",'SegEnds_Xtal_BW#'!$A:$Z,16,FALSE)</f>
        <v>63</v>
      </c>
      <c r="Q186" s="1" t="str">
        <f>VLOOKUP($B186&amp;"__wt",'SegEnds_Xtal_BW#'!$A:$Z,17,FALSE)</f>
        <v>-</v>
      </c>
      <c r="R186" s="1" t="str">
        <f>VLOOKUP($B186&amp;"__wt",'SegEnds_Xtal_BW#'!$A:$Z,18,FALSE)</f>
        <v>-</v>
      </c>
      <c r="S186" s="111">
        <v>33</v>
      </c>
      <c r="T186" s="1">
        <f t="array" ref="T186">INDEX('ICL3'!$G$2:$G$40,MATCH(MIN(ABS(AH186-'ICL3'!$F$2:$F$40)),ABS(AH186-'ICL3'!$F$2:$F$40),0))</f>
        <v>67</v>
      </c>
      <c r="U186" s="111">
        <v>27</v>
      </c>
      <c r="V186" s="1">
        <v>61</v>
      </c>
      <c r="W186" s="1">
        <v>28</v>
      </c>
      <c r="X186" s="1">
        <f>VLOOKUP($B186&amp;"__wt",'SegEnds_Xtal_BW#'!$A:$Z,24,FALSE)</f>
        <v>56</v>
      </c>
      <c r="Y186" s="1">
        <f>VLOOKUP($B186&amp;"__wt",'SegEnds_Xtal_BW#'!$A:$Z,25,FALSE)</f>
        <v>47</v>
      </c>
      <c r="Z186" s="1">
        <f>VLOOKUP($B186&amp;"__wt",'SegEnds_Xtal_BW#'!$A:$Z,26,FALSE)</f>
        <v>59</v>
      </c>
      <c r="AA186" s="27" t="str">
        <f>VLOOKUP(A186,Classification!A:B,2,FALSE)</f>
        <v>A</v>
      </c>
      <c r="AB186" s="1">
        <f>VLOOKUP(A186,'SegEnds_NonXtal_Prot#'!A:AL,10,FALSE)-VLOOKUP(A186,'SegEnds_NonXtal_Prot#'!A:AL,7,FALSE)</f>
        <v>15</v>
      </c>
      <c r="AC186" s="1" t="e">
        <f>VLOOKUP(A186,'SegEnds_NonXtal_Prot#'!A:AL,13,FALSE)-VLOOKUP(A186,'SegEnds_NonXtal_Prot#'!A:AL,10,FALSE)</f>
        <v>#VALUE!</v>
      </c>
      <c r="AD186" s="1">
        <f>VLOOKUP(A186,'SegEnds_NonXtal_Prot#'!A:AL,16,FALSE)-VLOOKUP(A186,'SegEnds_NonXtal_Prot#'!A:AL,10,FALSE)</f>
        <v>58</v>
      </c>
      <c r="AE186" s="1">
        <f>VLOOKUP(A186,'SegEnds_NonXtal_Prot#'!A:AL,22,FALSE)-VLOOKUP(A186,'SegEnds_NonXtal_Prot#'!A:AL,19,FALSE)</f>
        <v>20</v>
      </c>
      <c r="AF186" s="1" t="e">
        <f>VLOOKUP(A186,'SegEnds_NonXtal_Prot#'!A:AL,28,FALSE)-VLOOKUP(A186,'SegEnds_NonXtal_Prot#'!A:AL,25,FALSE)</f>
        <v>#VALUE!</v>
      </c>
      <c r="AG186" s="1">
        <f>VLOOKUP(A186,'SegEnds_NonXtal_Prot#'!A:AL,28,FALSE)-VLOOKUP(A186,'SegEnds_NonXtal_Prot#'!A:AL,22,FALSE)</f>
        <v>40</v>
      </c>
      <c r="AH186" s="1">
        <f>VLOOKUP(A186,'SegEnds_NonXtal_Prot#'!A:AL,31,FALSE)-VLOOKUP(A186,'SegEnds_NonXtal_Prot#'!A:AL,28,FALSE)</f>
        <v>47</v>
      </c>
      <c r="AI186" s="1">
        <f>VLOOKUP(A186,'SegEnds_NonXtal_Prot#'!A:AL,34,FALSE)-VLOOKUP(A186,'SegEnds_NonXtal_Prot#'!A:AL,31,FALSE)</f>
        <v>39</v>
      </c>
      <c r="AJ186" s="1" t="str">
        <f>IF(ISERROR(MATCH(A186,'SegEnds_Xtal_Prot#'!B:B, 0)), "NoXtal", "Xtal")</f>
        <v>NoXtal</v>
      </c>
    </row>
    <row r="187" spans="1:36" x14ac:dyDescent="0.2">
      <c r="A187" s="1" t="s">
        <v>310</v>
      </c>
      <c r="B187" s="1" t="str">
        <f>VLOOKUP(A187,Xtal_Templ!A:B,2,FALSE)</f>
        <v>ntr1_rat</v>
      </c>
      <c r="C187" s="5">
        <f>VLOOKUP($B187&amp;"__wt",'SegEnds_Xtal_BW#'!$A:$Z,3,FALSE)</f>
        <v>29</v>
      </c>
      <c r="D187" s="1">
        <f>VLOOKUP($B187&amp;"__wt",'SegEnds_Xtal_BW#'!$A:$Z,4,FALSE)</f>
        <v>60</v>
      </c>
      <c r="E187" s="1">
        <f>VLOOKUP($B187&amp;"__wt",'SegEnds_Xtal_BW#'!$A:$Z,5,FALSE)</f>
        <v>48</v>
      </c>
      <c r="F187" s="1">
        <f>VLOOKUP($B187&amp;"__wt",'SegEnds_Xtal_BW#'!$A:$Z,6,FALSE)</f>
        <v>51</v>
      </c>
      <c r="G187" s="1">
        <v>37</v>
      </c>
      <c r="H187" s="12">
        <v>67</v>
      </c>
      <c r="I187" s="1">
        <f>VLOOKUP($B187&amp;"__wt",'SegEnds_Xtal_BW#'!$A:$Z,9,FALSE)</f>
        <v>49</v>
      </c>
      <c r="J187" s="1">
        <f>VLOOKUP($B187&amp;"__wt",'SegEnds_Xtal_BW#'!$A:$Z,10,FALSE)</f>
        <v>52</v>
      </c>
      <c r="K187" s="12">
        <v>18</v>
      </c>
      <c r="L187" s="1">
        <f>VLOOKUP($B187&amp;"__wt",'SegEnds_Xtal_BW#'!$A:$Z,12,FALSE)</f>
        <v>56</v>
      </c>
      <c r="M187" s="1">
        <f>VLOOKUP($B187&amp;"__wt",'SegEnds_Xtal_BW#'!$A:$Z,13,FALSE)</f>
        <v>50</v>
      </c>
      <c r="N187" s="12">
        <v>57</v>
      </c>
      <c r="O187" s="89">
        <f>VLOOKUP($B187&amp;"__wt",'SegEnds_Xtal_BW#'!$A:$Z,15,FALSE)</f>
        <v>38</v>
      </c>
      <c r="P187" s="1">
        <f>VLOOKUP($B187&amp;"__wt",'SegEnds_Xtal_BW#'!$A:$Z,16,FALSE)</f>
        <v>64</v>
      </c>
      <c r="Q187" s="1">
        <f>VLOOKUP($B187&amp;"__wt",'SegEnds_Xtal_BW#'!$A:$Z,17,FALSE)</f>
        <v>50</v>
      </c>
      <c r="R187" s="1">
        <f>VLOOKUP($B187&amp;"__wt",'SegEnds_Xtal_BW#'!$A:$Z,18,FALSE)</f>
        <v>52</v>
      </c>
      <c r="S187" s="1">
        <f>VLOOKUP($B187&amp;"__wt",'SegEnds_Xtal_BW#'!$A:$Z,19,FALSE)</f>
        <v>32</v>
      </c>
      <c r="T187" s="1">
        <f t="array" ref="T187">INDEX('ICL3'!$G$2:$G$40,MATCH(MIN(ABS(AH187-'ICL3'!$F$2:$F$40)),ABS(AH187-'ICL3'!$F$2:$F$40),0))</f>
        <v>72</v>
      </c>
      <c r="U187" s="1">
        <f t="array" ref="U187">INDEX('ICL3'!$H$2:$H$40,MATCH(MIN(ABS(AH187-'ICL3'!$F$2:$F$40)),ABS(AH187-'ICL3'!$F$2:$F$40),0))</f>
        <v>24</v>
      </c>
      <c r="V187" s="1">
        <v>61</v>
      </c>
      <c r="W187" s="1">
        <v>28</v>
      </c>
      <c r="X187" s="1">
        <f>VLOOKUP($B187&amp;"__wt",'SegEnds_Xtal_BW#'!$A:$Z,24,FALSE)</f>
        <v>56</v>
      </c>
      <c r="Y187" s="1">
        <f>VLOOKUP($B187&amp;"__wt",'SegEnds_Xtal_BW#'!$A:$Z,25,FALSE)</f>
        <v>47</v>
      </c>
      <c r="Z187" s="1">
        <f>VLOOKUP($B187&amp;"__wt",'SegEnds_Xtal_BW#'!$A:$Z,26,FALSE)</f>
        <v>58</v>
      </c>
      <c r="AA187" s="27" t="str">
        <f>VLOOKUP(A187,Classification!A:B,2,FALSE)</f>
        <v>A</v>
      </c>
      <c r="AB187" s="1">
        <f>VLOOKUP(A187,'SegEnds_NonXtal_Prot#'!A:AL,10,FALSE)-VLOOKUP(A187,'SegEnds_NonXtal_Prot#'!A:AL,7,FALSE)</f>
        <v>15</v>
      </c>
      <c r="AC187" s="1">
        <f>VLOOKUP(A187,'SegEnds_NonXtal_Prot#'!A:AL,13,FALSE)-VLOOKUP(A187,'SegEnds_NonXtal_Prot#'!A:AL,10,FALSE)</f>
        <v>20</v>
      </c>
      <c r="AD187" s="1">
        <f>VLOOKUP(A187,'SegEnds_NonXtal_Prot#'!A:AL,16,FALSE)-VLOOKUP(A187,'SegEnds_NonXtal_Prot#'!A:AL,10,FALSE)</f>
        <v>52</v>
      </c>
      <c r="AE187" s="1">
        <f>VLOOKUP(A187,'SegEnds_NonXtal_Prot#'!A:AL,22,FALSE)-VLOOKUP(A187,'SegEnds_NonXtal_Prot#'!A:AL,19,FALSE)</f>
        <v>20</v>
      </c>
      <c r="AF187" s="1">
        <f>VLOOKUP(A187,'SegEnds_NonXtal_Prot#'!A:AL,28,FALSE)-VLOOKUP(A187,'SegEnds_NonXtal_Prot#'!A:AL,25,FALSE)</f>
        <v>24</v>
      </c>
      <c r="AG187" s="1">
        <f>VLOOKUP(A187,'SegEnds_NonXtal_Prot#'!A:AL,28,FALSE)-VLOOKUP(A187,'SegEnds_NonXtal_Prot#'!A:AL,22,FALSE)</f>
        <v>96</v>
      </c>
      <c r="AH187" s="1">
        <f>VLOOKUP(A187,'SegEnds_NonXtal_Prot#'!A:AL,31,FALSE)-VLOOKUP(A187,'SegEnds_NonXtal_Prot#'!A:AL,28,FALSE)</f>
        <v>54</v>
      </c>
      <c r="AI187" s="1">
        <f>VLOOKUP(A187,'SegEnds_NonXtal_Prot#'!A:AL,34,FALSE)-VLOOKUP(A187,'SegEnds_NonXtal_Prot#'!A:AL,31,FALSE)</f>
        <v>39</v>
      </c>
      <c r="AJ187" s="1" t="str">
        <f>IF(ISERROR(MATCH(A187,'SegEnds_Xtal_Prot#'!B:B, 0)), "NoXtal", "Xtal")</f>
        <v>NoXtal</v>
      </c>
    </row>
    <row r="188" spans="1:36" x14ac:dyDescent="0.2">
      <c r="A188" s="1" t="s">
        <v>311</v>
      </c>
      <c r="B188" s="1" t="str">
        <f>VLOOKUP(A188,Xtal_Templ!A:B,2,FALSE)</f>
        <v>ox2r_human</v>
      </c>
      <c r="C188" s="5">
        <f>VLOOKUP($B188&amp;"__wt",'SegEnds_Xtal_BW#'!$A:$Z,3,FALSE)</f>
        <v>31</v>
      </c>
      <c r="D188" s="1">
        <f>VLOOKUP($B188&amp;"__wt",'SegEnds_Xtal_BW#'!$A:$Z,4,FALSE)</f>
        <v>60</v>
      </c>
      <c r="E188" s="1">
        <f>VLOOKUP($B188&amp;"__wt",'SegEnds_Xtal_BW#'!$A:$Z,5,FALSE)</f>
        <v>48</v>
      </c>
      <c r="F188" s="1">
        <f>VLOOKUP($B188&amp;"__wt",'SegEnds_Xtal_BW#'!$A:$Z,6,FALSE)</f>
        <v>51</v>
      </c>
      <c r="G188" s="1">
        <v>37</v>
      </c>
      <c r="H188" s="12">
        <f>VLOOKUP($B188&amp;"__wt",'SegEnds_Xtal_BW#'!$A:$Z,8,FALSE)</f>
        <v>67</v>
      </c>
      <c r="I188" s="1">
        <f>VLOOKUP($B188&amp;"__wt",'SegEnds_Xtal_BW#'!$A:$Z,9,FALSE)</f>
        <v>49</v>
      </c>
      <c r="J188" s="1">
        <f>VLOOKUP($B188&amp;"__wt",'SegEnds_Xtal_BW#'!$A:$Z,10,FALSE)</f>
        <v>52</v>
      </c>
      <c r="K188" s="12">
        <v>18</v>
      </c>
      <c r="L188" s="1">
        <f>VLOOKUP($B188&amp;"__wt",'SegEnds_Xtal_BW#'!$A:$Z,12,FALSE)</f>
        <v>56</v>
      </c>
      <c r="M188" s="1">
        <f>VLOOKUP($B188&amp;"__wt",'SegEnds_Xtal_BW#'!$A:$Z,13,FALSE)</f>
        <v>50</v>
      </c>
      <c r="N188" s="12">
        <v>57</v>
      </c>
      <c r="O188" s="89">
        <f>VLOOKUP($B188&amp;"__wt",'SegEnds_Xtal_BW#'!$A:$Z,15,FALSE)</f>
        <v>38</v>
      </c>
      <c r="P188" s="1">
        <f>VLOOKUP($B188&amp;"__wt",'SegEnds_Xtal_BW#'!$A:$Z,16,FALSE)</f>
        <v>64</v>
      </c>
      <c r="Q188" s="1">
        <f>VLOOKUP($B188&amp;"__wt",'SegEnds_Xtal_BW#'!$A:$Z,17,FALSE)</f>
        <v>50</v>
      </c>
      <c r="R188" s="1">
        <f>VLOOKUP($B188&amp;"__wt",'SegEnds_Xtal_BW#'!$A:$Z,18,FALSE)</f>
        <v>52</v>
      </c>
      <c r="S188" s="1">
        <v>35</v>
      </c>
      <c r="T188" s="1">
        <f t="array" ref="T188">INDEX('ICL3'!$G$2:$G$40,MATCH(MIN(ABS(AH188-'ICL3'!$F$2:$F$40)),ABS(AH188-'ICL3'!$F$2:$F$40),0))</f>
        <v>72</v>
      </c>
      <c r="U188" s="1">
        <f t="array" ref="U188">INDEX('ICL3'!$H$2:$H$40,MATCH(MIN(ABS(AH188-'ICL3'!$F$2:$F$40)),ABS(AH188-'ICL3'!$F$2:$F$40),0))</f>
        <v>24</v>
      </c>
      <c r="V188" s="1">
        <v>61</v>
      </c>
      <c r="W188" s="1">
        <v>28</v>
      </c>
      <c r="X188" s="1">
        <f>VLOOKUP($B188&amp;"__wt",'SegEnds_Xtal_BW#'!$A:$Z,24,FALSE)</f>
        <v>56</v>
      </c>
      <c r="Y188" s="1">
        <f>VLOOKUP($B188&amp;"__wt",'SegEnds_Xtal_BW#'!$A:$Z,25,FALSE)</f>
        <v>47</v>
      </c>
      <c r="Z188" s="1">
        <f>VLOOKUP($B188&amp;"__wt",'SegEnds_Xtal_BW#'!$A:$Z,26,FALSE)</f>
        <v>58</v>
      </c>
      <c r="AA188" s="27" t="str">
        <f>VLOOKUP(A188,Classification!A:B,2,FALSE)</f>
        <v>A</v>
      </c>
      <c r="AB188" s="1">
        <f>VLOOKUP(A188,'SegEnds_NonXtal_Prot#'!A:AL,10,FALSE)-VLOOKUP(A188,'SegEnds_NonXtal_Prot#'!A:AL,7,FALSE)</f>
        <v>15</v>
      </c>
      <c r="AC188" s="1">
        <f>VLOOKUP(A188,'SegEnds_NonXtal_Prot#'!A:AL,13,FALSE)-VLOOKUP(A188,'SegEnds_NonXtal_Prot#'!A:AL,10,FALSE)</f>
        <v>20</v>
      </c>
      <c r="AD188" s="1">
        <f>VLOOKUP(A188,'SegEnds_NonXtal_Prot#'!A:AL,16,FALSE)-VLOOKUP(A188,'SegEnds_NonXtal_Prot#'!A:AL,10,FALSE)</f>
        <v>52</v>
      </c>
      <c r="AE188" s="1">
        <f>VLOOKUP(A188,'SegEnds_NonXtal_Prot#'!A:AL,22,FALSE)-VLOOKUP(A188,'SegEnds_NonXtal_Prot#'!A:AL,19,FALSE)</f>
        <v>20</v>
      </c>
      <c r="AF188" s="1">
        <f>VLOOKUP(A188,'SegEnds_NonXtal_Prot#'!A:AL,28,FALSE)-VLOOKUP(A188,'SegEnds_NonXtal_Prot#'!A:AL,25,FALSE)</f>
        <v>22</v>
      </c>
      <c r="AG188" s="1">
        <f>VLOOKUP(A188,'SegEnds_NonXtal_Prot#'!A:AL,28,FALSE)-VLOOKUP(A188,'SegEnds_NonXtal_Prot#'!A:AL,22,FALSE)</f>
        <v>47</v>
      </c>
      <c r="AH188" s="1">
        <f>VLOOKUP(A188,'SegEnds_NonXtal_Prot#'!A:AL,31,FALSE)-VLOOKUP(A188,'SegEnds_NonXtal_Prot#'!A:AL,28,FALSE)</f>
        <v>54</v>
      </c>
      <c r="AI188" s="1">
        <f>VLOOKUP(A188,'SegEnds_NonXtal_Prot#'!A:AL,34,FALSE)-VLOOKUP(A188,'SegEnds_NonXtal_Prot#'!A:AL,31,FALSE)</f>
        <v>39</v>
      </c>
      <c r="AJ188" s="1" t="str">
        <f>IF(ISERROR(MATCH(A188,'SegEnds_Xtal_Prot#'!B:B, 0)), "NoXtal", "Xtal")</f>
        <v>NoXtal</v>
      </c>
    </row>
    <row r="189" spans="1:36" x14ac:dyDescent="0.2">
      <c r="A189" s="1" t="s">
        <v>312</v>
      </c>
      <c r="B189" s="1" t="str">
        <f>VLOOKUP(A189,Xtal_Templ!A:B,2,FALSE)</f>
        <v>ox2r_human</v>
      </c>
      <c r="C189" s="5">
        <f>VLOOKUP($B189&amp;"__wt",'SegEnds_Xtal_BW#'!$A:$Z,3,FALSE)</f>
        <v>31</v>
      </c>
      <c r="D189" s="1">
        <f>VLOOKUP($B189&amp;"__wt",'SegEnds_Xtal_BW#'!$A:$Z,4,FALSE)</f>
        <v>60</v>
      </c>
      <c r="E189" s="1">
        <f>VLOOKUP($B189&amp;"__wt",'SegEnds_Xtal_BW#'!$A:$Z,5,FALSE)</f>
        <v>48</v>
      </c>
      <c r="F189" s="1">
        <f>VLOOKUP($B189&amp;"__wt",'SegEnds_Xtal_BW#'!$A:$Z,6,FALSE)</f>
        <v>51</v>
      </c>
      <c r="G189" s="1">
        <v>37</v>
      </c>
      <c r="H189" s="12">
        <f>VLOOKUP($B189&amp;"__wt",'SegEnds_Xtal_BW#'!$A:$Z,8,FALSE)</f>
        <v>67</v>
      </c>
      <c r="I189" s="1">
        <f>VLOOKUP($B189&amp;"__wt",'SegEnds_Xtal_BW#'!$A:$Z,9,FALSE)</f>
        <v>49</v>
      </c>
      <c r="J189" s="1">
        <f>VLOOKUP($B189&amp;"__wt",'SegEnds_Xtal_BW#'!$A:$Z,10,FALSE)</f>
        <v>52</v>
      </c>
      <c r="K189" s="12">
        <v>18</v>
      </c>
      <c r="L189" s="1">
        <f>VLOOKUP($B189&amp;"__wt",'SegEnds_Xtal_BW#'!$A:$Z,12,FALSE)</f>
        <v>56</v>
      </c>
      <c r="M189" s="1">
        <f>VLOOKUP($B189&amp;"__wt",'SegEnds_Xtal_BW#'!$A:$Z,13,FALSE)</f>
        <v>50</v>
      </c>
      <c r="N189" s="12">
        <v>57</v>
      </c>
      <c r="O189" s="89">
        <f>VLOOKUP($B189&amp;"__wt",'SegEnds_Xtal_BW#'!$A:$Z,15,FALSE)</f>
        <v>38</v>
      </c>
      <c r="P189" s="1">
        <f>VLOOKUP($B189&amp;"__wt",'SegEnds_Xtal_BW#'!$A:$Z,16,FALSE)</f>
        <v>64</v>
      </c>
      <c r="Q189" s="1">
        <f>VLOOKUP($B189&amp;"__wt",'SegEnds_Xtal_BW#'!$A:$Z,17,FALSE)</f>
        <v>50</v>
      </c>
      <c r="R189" s="1">
        <f>VLOOKUP($B189&amp;"__wt",'SegEnds_Xtal_BW#'!$A:$Z,18,FALSE)</f>
        <v>52</v>
      </c>
      <c r="S189" s="1">
        <v>35</v>
      </c>
      <c r="T189" s="1">
        <f t="array" ref="T189">INDEX('ICL3'!$G$2:$G$40,MATCH(MIN(ABS(AH189-'ICL3'!$F$2:$F$40)),ABS(AH189-'ICL3'!$F$2:$F$40),0))</f>
        <v>72</v>
      </c>
      <c r="U189" s="1">
        <f t="array" ref="U189">INDEX('ICL3'!$H$2:$H$40,MATCH(MIN(ABS(AH189-'ICL3'!$F$2:$F$40)),ABS(AH189-'ICL3'!$F$2:$F$40),0))</f>
        <v>24</v>
      </c>
      <c r="V189" s="1">
        <v>61</v>
      </c>
      <c r="W189" s="1">
        <v>28</v>
      </c>
      <c r="X189" s="1">
        <f>VLOOKUP($B189&amp;"__wt",'SegEnds_Xtal_BW#'!$A:$Z,24,FALSE)</f>
        <v>56</v>
      </c>
      <c r="Y189" s="1">
        <f>VLOOKUP($B189&amp;"__wt",'SegEnds_Xtal_BW#'!$A:$Z,25,FALSE)</f>
        <v>47</v>
      </c>
      <c r="Z189" s="1">
        <f>VLOOKUP($B189&amp;"__wt",'SegEnds_Xtal_BW#'!$A:$Z,26,FALSE)</f>
        <v>58</v>
      </c>
      <c r="AA189" s="27" t="str">
        <f>VLOOKUP(A189,Classification!A:B,2,FALSE)</f>
        <v>A</v>
      </c>
      <c r="AB189" s="1">
        <f>VLOOKUP(A189,'SegEnds_NonXtal_Prot#'!A:AL,10,FALSE)-VLOOKUP(A189,'SegEnds_NonXtal_Prot#'!A:AL,7,FALSE)</f>
        <v>15</v>
      </c>
      <c r="AC189" s="1">
        <f>VLOOKUP(A189,'SegEnds_NonXtal_Prot#'!A:AL,13,FALSE)-VLOOKUP(A189,'SegEnds_NonXtal_Prot#'!A:AL,10,FALSE)</f>
        <v>20</v>
      </c>
      <c r="AD189" s="1">
        <f>VLOOKUP(A189,'SegEnds_NonXtal_Prot#'!A:AL,16,FALSE)-VLOOKUP(A189,'SegEnds_NonXtal_Prot#'!A:AL,10,FALSE)</f>
        <v>52</v>
      </c>
      <c r="AE189" s="1">
        <f>VLOOKUP(A189,'SegEnds_NonXtal_Prot#'!A:AL,22,FALSE)-VLOOKUP(A189,'SegEnds_NonXtal_Prot#'!A:AL,19,FALSE)</f>
        <v>20</v>
      </c>
      <c r="AF189" s="1">
        <f>VLOOKUP(A189,'SegEnds_NonXtal_Prot#'!A:AL,28,FALSE)-VLOOKUP(A189,'SegEnds_NonXtal_Prot#'!A:AL,25,FALSE)</f>
        <v>22</v>
      </c>
      <c r="AG189" s="1">
        <f>VLOOKUP(A189,'SegEnds_NonXtal_Prot#'!A:AL,28,FALSE)-VLOOKUP(A189,'SegEnds_NonXtal_Prot#'!A:AL,22,FALSE)</f>
        <v>47</v>
      </c>
      <c r="AH189" s="1">
        <f>VLOOKUP(A189,'SegEnds_NonXtal_Prot#'!A:AL,31,FALSE)-VLOOKUP(A189,'SegEnds_NonXtal_Prot#'!A:AL,28,FALSE)</f>
        <v>54</v>
      </c>
      <c r="AI189" s="1">
        <f>VLOOKUP(A189,'SegEnds_NonXtal_Prot#'!A:AL,34,FALSE)-VLOOKUP(A189,'SegEnds_NonXtal_Prot#'!A:AL,31,FALSE)</f>
        <v>39</v>
      </c>
      <c r="AJ189" s="1" t="str">
        <f>IF(ISERROR(MATCH(A189,'SegEnds_Xtal_Prot#'!B:B, 0)), "NoXtal", "Xtal")</f>
        <v>NoXtal</v>
      </c>
    </row>
    <row r="190" spans="1:36" x14ac:dyDescent="0.2">
      <c r="A190" s="1" t="s">
        <v>313</v>
      </c>
      <c r="B190" s="1" t="str">
        <f>VLOOKUP(A190,Xtal_Templ!A:B,2,FALSE)</f>
        <v>ox2r_human</v>
      </c>
      <c r="C190" s="5">
        <f>VLOOKUP($B190&amp;"__wt",'SegEnds_Xtal_BW#'!$A:$Z,3,FALSE)</f>
        <v>31</v>
      </c>
      <c r="D190" s="1">
        <f>VLOOKUP($B190&amp;"__wt",'SegEnds_Xtal_BW#'!$A:$Z,4,FALSE)</f>
        <v>60</v>
      </c>
      <c r="E190" s="1">
        <f>VLOOKUP($B190&amp;"__wt",'SegEnds_Xtal_BW#'!$A:$Z,5,FALSE)</f>
        <v>48</v>
      </c>
      <c r="F190" s="1">
        <f>VLOOKUP($B190&amp;"__wt",'SegEnds_Xtal_BW#'!$A:$Z,6,FALSE)</f>
        <v>51</v>
      </c>
      <c r="G190" s="1">
        <v>37</v>
      </c>
      <c r="H190" s="12">
        <f>VLOOKUP($B190&amp;"__wt",'SegEnds_Xtal_BW#'!$A:$Z,8,FALSE)</f>
        <v>67</v>
      </c>
      <c r="I190" s="1">
        <f>VLOOKUP($B190&amp;"__wt",'SegEnds_Xtal_BW#'!$A:$Z,9,FALSE)</f>
        <v>49</v>
      </c>
      <c r="J190" s="1">
        <f>VLOOKUP($B190&amp;"__wt",'SegEnds_Xtal_BW#'!$A:$Z,10,FALSE)</f>
        <v>52</v>
      </c>
      <c r="K190" s="12">
        <v>18</v>
      </c>
      <c r="L190" s="1">
        <f>VLOOKUP($B190&amp;"__wt",'SegEnds_Xtal_BW#'!$A:$Z,12,FALSE)</f>
        <v>56</v>
      </c>
      <c r="M190" s="1">
        <f>VLOOKUP($B190&amp;"__wt",'SegEnds_Xtal_BW#'!$A:$Z,13,FALSE)</f>
        <v>50</v>
      </c>
      <c r="N190" s="12">
        <v>57</v>
      </c>
      <c r="O190" s="89">
        <f>VLOOKUP($B190&amp;"__wt",'SegEnds_Xtal_BW#'!$A:$Z,15,FALSE)</f>
        <v>38</v>
      </c>
      <c r="P190" s="1">
        <f>VLOOKUP($B190&amp;"__wt",'SegEnds_Xtal_BW#'!$A:$Z,16,FALSE)</f>
        <v>64</v>
      </c>
      <c r="Q190" s="1">
        <f>VLOOKUP($B190&amp;"__wt",'SegEnds_Xtal_BW#'!$A:$Z,17,FALSE)</f>
        <v>50</v>
      </c>
      <c r="R190" s="1">
        <f>VLOOKUP($B190&amp;"__wt",'SegEnds_Xtal_BW#'!$A:$Z,18,FALSE)</f>
        <v>52</v>
      </c>
      <c r="S190" s="1">
        <v>35</v>
      </c>
      <c r="T190" s="1">
        <f t="array" ref="T190">INDEX('ICL3'!$G$2:$G$40,MATCH(MIN(ABS(AH190-'ICL3'!$F$2:$F$40)),ABS(AH190-'ICL3'!$F$2:$F$40),0))</f>
        <v>72</v>
      </c>
      <c r="U190" s="1">
        <f t="array" ref="U190">INDEX('ICL3'!$H$2:$H$40,MATCH(MIN(ABS(AH190-'ICL3'!$F$2:$F$40)),ABS(AH190-'ICL3'!$F$2:$F$40),0))</f>
        <v>24</v>
      </c>
      <c r="V190" s="1">
        <v>61</v>
      </c>
      <c r="W190" s="1">
        <v>28</v>
      </c>
      <c r="X190" s="1">
        <f>VLOOKUP($B190&amp;"__wt",'SegEnds_Xtal_BW#'!$A:$Z,24,FALSE)</f>
        <v>56</v>
      </c>
      <c r="Y190" s="1">
        <f>VLOOKUP($B190&amp;"__wt",'SegEnds_Xtal_BW#'!$A:$Z,25,FALSE)</f>
        <v>47</v>
      </c>
      <c r="Z190" s="1">
        <f>VLOOKUP($B190&amp;"__wt",'SegEnds_Xtal_BW#'!$A:$Z,26,FALSE)</f>
        <v>58</v>
      </c>
      <c r="AA190" s="27" t="str">
        <f>VLOOKUP(A190,Classification!A:B,2,FALSE)</f>
        <v>A</v>
      </c>
      <c r="AB190" s="1">
        <f>VLOOKUP(A190,'SegEnds_NonXtal_Prot#'!A:AL,10,FALSE)-VLOOKUP(A190,'SegEnds_NonXtal_Prot#'!A:AL,7,FALSE)</f>
        <v>15</v>
      </c>
      <c r="AC190" s="1">
        <f>VLOOKUP(A190,'SegEnds_NonXtal_Prot#'!A:AL,13,FALSE)-VLOOKUP(A190,'SegEnds_NonXtal_Prot#'!A:AL,10,FALSE)</f>
        <v>20</v>
      </c>
      <c r="AD190" s="1">
        <f>VLOOKUP(A190,'SegEnds_NonXtal_Prot#'!A:AL,16,FALSE)-VLOOKUP(A190,'SegEnds_NonXtal_Prot#'!A:AL,10,FALSE)</f>
        <v>52</v>
      </c>
      <c r="AE190" s="1">
        <f>VLOOKUP(A190,'SegEnds_NonXtal_Prot#'!A:AL,22,FALSE)-VLOOKUP(A190,'SegEnds_NonXtal_Prot#'!A:AL,19,FALSE)</f>
        <v>20</v>
      </c>
      <c r="AF190" s="1">
        <f>VLOOKUP(A190,'SegEnds_NonXtal_Prot#'!A:AL,28,FALSE)-VLOOKUP(A190,'SegEnds_NonXtal_Prot#'!A:AL,25,FALSE)</f>
        <v>22</v>
      </c>
      <c r="AG190" s="1">
        <f>VLOOKUP(A190,'SegEnds_NonXtal_Prot#'!A:AL,28,FALSE)-VLOOKUP(A190,'SegEnds_NonXtal_Prot#'!A:AL,22,FALSE)</f>
        <v>47</v>
      </c>
      <c r="AH190" s="1">
        <f>VLOOKUP(A190,'SegEnds_NonXtal_Prot#'!A:AL,31,FALSE)-VLOOKUP(A190,'SegEnds_NonXtal_Prot#'!A:AL,28,FALSE)</f>
        <v>52</v>
      </c>
      <c r="AI190" s="1">
        <f>VLOOKUP(A190,'SegEnds_NonXtal_Prot#'!A:AL,34,FALSE)-VLOOKUP(A190,'SegEnds_NonXtal_Prot#'!A:AL,31,FALSE)</f>
        <v>39</v>
      </c>
      <c r="AJ190" s="1" t="str">
        <f>IF(ISERROR(MATCH(A190,'SegEnds_Xtal_Prot#'!B:B, 0)), "NoXtal", "Xtal")</f>
        <v>NoXtal</v>
      </c>
    </row>
    <row r="191" spans="1:36" x14ac:dyDescent="0.2">
      <c r="A191" s="1" t="s">
        <v>317</v>
      </c>
      <c r="B191" s="1" t="str">
        <f>VLOOKUP(A191,Xtal_Templ!A:B,2,FALSE)</f>
        <v>ednrb_human</v>
      </c>
      <c r="C191" s="5">
        <f>VLOOKUP($B191&amp;"__wt",'SegEnds_Xtal_BW#'!$A:$Z,3,FALSE)</f>
        <v>22</v>
      </c>
      <c r="D191" s="1">
        <f>VLOOKUP($B191&amp;"__wt",'SegEnds_Xtal_BW#'!$A:$Z,4,FALSE)</f>
        <v>60</v>
      </c>
      <c r="E191" s="1">
        <f>VLOOKUP($B191&amp;"__wt",'SegEnds_Xtal_BW#'!$A:$Z,5,FALSE)</f>
        <v>48</v>
      </c>
      <c r="F191" s="1">
        <f>VLOOKUP($B191&amp;"__wt",'SegEnds_Xtal_BW#'!$A:$Z,6,FALSE)</f>
        <v>52</v>
      </c>
      <c r="G191" s="1">
        <v>37</v>
      </c>
      <c r="H191" s="12">
        <f>VLOOKUP($B191&amp;"__wt",'SegEnds_Xtal_BW#'!$A:$Z,8,FALSE)</f>
        <v>67</v>
      </c>
      <c r="I191" s="1">
        <f>VLOOKUP($B191&amp;"__wt",'SegEnds_Xtal_BW#'!$A:$Z,9,FALSE)</f>
        <v>49</v>
      </c>
      <c r="J191" s="1">
        <f>VLOOKUP($B191&amp;"__wt",'SegEnds_Xtal_BW#'!$A:$Z,10,FALSE)</f>
        <v>52</v>
      </c>
      <c r="K191" s="12">
        <v>18</v>
      </c>
      <c r="L191" s="1">
        <f>VLOOKUP($B191&amp;"__wt",'SegEnds_Xtal_BW#'!$A:$Z,12,FALSE)</f>
        <v>56</v>
      </c>
      <c r="M191" s="1">
        <f>VLOOKUP($B191&amp;"__wt",'SegEnds_Xtal_BW#'!$A:$Z,13,FALSE)</f>
        <v>50</v>
      </c>
      <c r="N191" s="12">
        <v>57</v>
      </c>
      <c r="O191" s="89">
        <v>38</v>
      </c>
      <c r="P191" s="1">
        <f>VLOOKUP($B191&amp;"__wt",'SegEnds_Xtal_BW#'!$A:$Z,16,FALSE)</f>
        <v>64</v>
      </c>
      <c r="Q191" s="1">
        <f>VLOOKUP($B191&amp;"__wt",'SegEnds_Xtal_BW#'!$A:$Z,17,FALSE)</f>
        <v>50</v>
      </c>
      <c r="R191" s="1">
        <f>VLOOKUP($B191&amp;"__wt",'SegEnds_Xtal_BW#'!$A:$Z,18,FALSE)</f>
        <v>52</v>
      </c>
      <c r="S191" s="1">
        <f>VLOOKUP($B191&amp;"__wt",'SegEnds_Xtal_BW#'!$A:$Z,19,FALSE)</f>
        <v>29</v>
      </c>
      <c r="T191" s="1">
        <f t="array" ref="T191">INDEX('ICL3'!$G$2:$G$40,MATCH(MIN(ABS(AH191-'ICL3'!$F$2:$F$40)),ABS(AH191-'ICL3'!$F$2:$F$40),0))</f>
        <v>72</v>
      </c>
      <c r="U191" s="1">
        <f t="array" ref="U191">INDEX('ICL3'!$H$2:$H$40,MATCH(MIN(ABS(AH191-'ICL3'!$F$2:$F$40)),ABS(AH191-'ICL3'!$F$2:$F$40),0))</f>
        <v>24</v>
      </c>
      <c r="V191" s="1">
        <v>61</v>
      </c>
      <c r="W191" s="1">
        <v>28</v>
      </c>
      <c r="X191" s="1">
        <f>VLOOKUP($B191&amp;"__wt",'SegEnds_Xtal_BW#'!$A:$Z,24,FALSE)</f>
        <v>56</v>
      </c>
      <c r="Y191" s="1">
        <f>VLOOKUP($B191&amp;"__wt",'SegEnds_Xtal_BW#'!$A:$Z,25,FALSE)</f>
        <v>47</v>
      </c>
      <c r="Z191" s="1">
        <f>VLOOKUP($B191&amp;"__wt",'SegEnds_Xtal_BW#'!$A:$Z,26,FALSE)</f>
        <v>60</v>
      </c>
      <c r="AA191" s="27" t="str">
        <f>VLOOKUP(A191,Classification!A:B,2,FALSE)</f>
        <v>A</v>
      </c>
      <c r="AB191" s="1">
        <f>VLOOKUP(A191,'SegEnds_NonXtal_Prot#'!A:AL,10,FALSE)-VLOOKUP(A191,'SegEnds_NonXtal_Prot#'!A:AL,7,FALSE)</f>
        <v>15</v>
      </c>
      <c r="AC191" s="1">
        <f>VLOOKUP(A191,'SegEnds_NonXtal_Prot#'!A:AL,13,FALSE)-VLOOKUP(A191,'SegEnds_NonXtal_Prot#'!A:AL,10,FALSE)</f>
        <v>20</v>
      </c>
      <c r="AD191" s="1">
        <f>VLOOKUP(A191,'SegEnds_NonXtal_Prot#'!A:AL,16,FALSE)-VLOOKUP(A191,'SegEnds_NonXtal_Prot#'!A:AL,10,FALSE)</f>
        <v>52</v>
      </c>
      <c r="AE191" s="1">
        <f>VLOOKUP(A191,'SegEnds_NonXtal_Prot#'!A:AL,22,FALSE)-VLOOKUP(A191,'SegEnds_NonXtal_Prot#'!A:AL,19,FALSE)</f>
        <v>20</v>
      </c>
      <c r="AF191" s="1">
        <f>VLOOKUP(A191,'SegEnds_NonXtal_Prot#'!A:AL,28,FALSE)-VLOOKUP(A191,'SegEnds_NonXtal_Prot#'!A:AL,25,FALSE)</f>
        <v>26</v>
      </c>
      <c r="AG191" s="1">
        <f>VLOOKUP(A191,'SegEnds_NonXtal_Prot#'!A:AL,28,FALSE)-VLOOKUP(A191,'SegEnds_NonXtal_Prot#'!A:AL,22,FALSE)</f>
        <v>56</v>
      </c>
      <c r="AH191" s="1">
        <f>VLOOKUP(A191,'SegEnds_NonXtal_Prot#'!A:AL,31,FALSE)-VLOOKUP(A191,'SegEnds_NonXtal_Prot#'!A:AL,28,FALSE)</f>
        <v>57</v>
      </c>
      <c r="AI191" s="1">
        <f>VLOOKUP(A191,'SegEnds_NonXtal_Prot#'!A:AL,34,FALSE)-VLOOKUP(A191,'SegEnds_NonXtal_Prot#'!A:AL,31,FALSE)</f>
        <v>40</v>
      </c>
      <c r="AJ191" s="1" t="str">
        <f>IF(ISERROR(MATCH(A191,'SegEnds_Xtal_Prot#'!B:B, 0)), "NoXtal", "Xtal")</f>
        <v>NoXtal</v>
      </c>
    </row>
    <row r="192" spans="1:36" x14ac:dyDescent="0.2">
      <c r="A192" s="4" t="s">
        <v>318</v>
      </c>
      <c r="B192" s="4" t="str">
        <f>VLOOKUP(A192,Xtal_Templ!A:B,2,FALSE)</f>
        <v>ntr1_rat</v>
      </c>
      <c r="C192" s="5">
        <f>VLOOKUP($B192&amp;"__wt",'SegEnds_Xtal_BW#'!$A:$Z,3,FALSE)</f>
        <v>29</v>
      </c>
      <c r="D192" s="4">
        <f>VLOOKUP($B192&amp;"__wt",'SegEnds_Xtal_BW#'!$A:$Z,4,FALSE)</f>
        <v>60</v>
      </c>
      <c r="E192" s="4">
        <f>VLOOKUP($B192&amp;"__wt",'SegEnds_Xtal_BW#'!$A:$Z,5,FALSE)</f>
        <v>48</v>
      </c>
      <c r="F192" s="4">
        <f>VLOOKUP($B192&amp;"__wt",'SegEnds_Xtal_BW#'!$A:$Z,6,FALSE)</f>
        <v>51</v>
      </c>
      <c r="G192" s="4">
        <v>37</v>
      </c>
      <c r="H192" s="11">
        <v>66</v>
      </c>
      <c r="I192" s="4">
        <f>VLOOKUP($B192&amp;"__wt",'SegEnds_Xtal_BW#'!$A:$Z,9,FALSE)</f>
        <v>49</v>
      </c>
      <c r="J192" s="4">
        <f>VLOOKUP($B192&amp;"__wt",'SegEnds_Xtal_BW#'!$A:$Z,10,FALSE)</f>
        <v>52</v>
      </c>
      <c r="K192" s="11">
        <v>18</v>
      </c>
      <c r="L192" s="4">
        <f>VLOOKUP($B192&amp;"__wt",'SegEnds_Xtal_BW#'!$A:$Z,12,FALSE)</f>
        <v>56</v>
      </c>
      <c r="M192" s="4">
        <f>VLOOKUP($B192&amp;"__wt",'SegEnds_Xtal_BW#'!$A:$Z,13,FALSE)</f>
        <v>50</v>
      </c>
      <c r="N192" s="11">
        <v>57</v>
      </c>
      <c r="O192" s="89">
        <f>VLOOKUP($B192&amp;"__wt",'SegEnds_Xtal_BW#'!$A:$Z,15,FALSE)</f>
        <v>38</v>
      </c>
      <c r="P192" s="4">
        <f>VLOOKUP($B192&amp;"__wt",'SegEnds_Xtal_BW#'!$A:$Z,16,FALSE)</f>
        <v>64</v>
      </c>
      <c r="Q192" s="4">
        <f>VLOOKUP($B192&amp;"__wt",'SegEnds_Xtal_BW#'!$A:$Z,17,FALSE)</f>
        <v>50</v>
      </c>
      <c r="R192" s="4">
        <f>VLOOKUP($B192&amp;"__wt",'SegEnds_Xtal_BW#'!$A:$Z,18,FALSE)</f>
        <v>52</v>
      </c>
      <c r="S192" s="4">
        <f>VLOOKUP($B192&amp;"__wt",'SegEnds_Xtal_BW#'!$A:$Z,19,FALSE)</f>
        <v>32</v>
      </c>
      <c r="T192" s="4">
        <f t="array" ref="T192">INDEX('ICL3'!$G$2:$G$40,MATCH(MIN(ABS(AH192-'ICL3'!$F$2:$F$40)),ABS(AH192-'ICL3'!$F$2:$F$40),0))</f>
        <v>76</v>
      </c>
      <c r="U192" s="4">
        <f t="array" ref="U192">INDEX('ICL3'!$H$2:$H$40,MATCH(MIN(ABS(AH192-'ICL3'!$F$2:$F$40)),ABS(AH192-'ICL3'!$F$2:$F$40),0))</f>
        <v>24</v>
      </c>
      <c r="V192" s="4">
        <v>61</v>
      </c>
      <c r="W192" s="4">
        <v>28</v>
      </c>
      <c r="X192" s="4">
        <f>VLOOKUP($B192&amp;"__wt",'SegEnds_Xtal_BW#'!$A:$Z,24,FALSE)</f>
        <v>56</v>
      </c>
      <c r="Y192" s="4">
        <f>VLOOKUP($B192&amp;"__wt",'SegEnds_Xtal_BW#'!$A:$Z,25,FALSE)</f>
        <v>47</v>
      </c>
      <c r="Z192" s="4">
        <f>VLOOKUP($B192&amp;"__wt",'SegEnds_Xtal_BW#'!$A:$Z,26,FALSE)</f>
        <v>58</v>
      </c>
      <c r="AA192" s="27" t="str">
        <f>VLOOKUP(A192,Classification!A:B,2,FALSE)</f>
        <v>A</v>
      </c>
      <c r="AB192" s="4">
        <f>VLOOKUP(A192,'SegEnds_NonXtal_Prot#'!A:AL,10,FALSE)-VLOOKUP(A192,'SegEnds_NonXtal_Prot#'!A:AL,7,FALSE)</f>
        <v>15</v>
      </c>
      <c r="AC192" s="4">
        <f>VLOOKUP(A192,'SegEnds_NonXtal_Prot#'!A:AL,13,FALSE)-VLOOKUP(A192,'SegEnds_NonXtal_Prot#'!A:AL,10,FALSE)</f>
        <v>19</v>
      </c>
      <c r="AD192" s="4">
        <f>VLOOKUP(A192,'SegEnds_NonXtal_Prot#'!A:AL,16,FALSE)-VLOOKUP(A192,'SegEnds_NonXtal_Prot#'!A:AL,10,FALSE)</f>
        <v>53</v>
      </c>
      <c r="AE192" s="1">
        <f>VLOOKUP(A192,'SegEnds_NonXtal_Prot#'!A:AL,22,FALSE)-VLOOKUP(A192,'SegEnds_NonXtal_Prot#'!A:AL,19,FALSE)</f>
        <v>20</v>
      </c>
      <c r="AF192" s="4">
        <f>VLOOKUP(A192,'SegEnds_NonXtal_Prot#'!A:AL,28,FALSE)-VLOOKUP(A192,'SegEnds_NonXtal_Prot#'!A:AL,25,FALSE)</f>
        <v>24</v>
      </c>
      <c r="AG192" s="1">
        <f>VLOOKUP(A192,'SegEnds_NonXtal_Prot#'!A:AL,28,FALSE)-VLOOKUP(A192,'SegEnds_NonXtal_Prot#'!A:AL,22,FALSE)</f>
        <v>57</v>
      </c>
      <c r="AH192" s="4">
        <f>VLOOKUP(A192,'SegEnds_NonXtal_Prot#'!A:AL,31,FALSE)-VLOOKUP(A192,'SegEnds_NonXtal_Prot#'!A:AL,28,FALSE)</f>
        <v>69</v>
      </c>
      <c r="AI192" s="4">
        <f>VLOOKUP(A192,'SegEnds_NonXtal_Prot#'!A:AL,34,FALSE)-VLOOKUP(A192,'SegEnds_NonXtal_Prot#'!A:AL,31,FALSE)</f>
        <v>41</v>
      </c>
      <c r="AJ192" s="1" t="str">
        <f>IF(ISERROR(MATCH(A192,'SegEnds_Xtal_Prot#'!B:B, 0)), "NoXtal", "Xtal")</f>
        <v>NoXtal</v>
      </c>
    </row>
    <row r="193" spans="1:36" x14ac:dyDescent="0.2">
      <c r="A193" s="1" t="s">
        <v>319</v>
      </c>
      <c r="B193" s="1" t="str">
        <f>VLOOKUP(A193,Xtal_Templ!A:B,2,FALSE)</f>
        <v>ntr1_rat</v>
      </c>
      <c r="C193" s="5">
        <f>VLOOKUP($B193&amp;"__wt",'SegEnds_Xtal_BW#'!$A:$Z,3,FALSE)</f>
        <v>29</v>
      </c>
      <c r="D193" s="1">
        <f>VLOOKUP($B193&amp;"__wt",'SegEnds_Xtal_BW#'!$A:$Z,4,FALSE)</f>
        <v>60</v>
      </c>
      <c r="E193" s="1">
        <f>VLOOKUP($B193&amp;"__wt",'SegEnds_Xtal_BW#'!$A:$Z,5,FALSE)</f>
        <v>48</v>
      </c>
      <c r="F193" s="1">
        <f>VLOOKUP($B193&amp;"__wt",'SegEnds_Xtal_BW#'!$A:$Z,6,FALSE)</f>
        <v>51</v>
      </c>
      <c r="G193" s="1">
        <v>37</v>
      </c>
      <c r="H193" s="12">
        <v>66</v>
      </c>
      <c r="I193" s="1">
        <f>VLOOKUP($B193&amp;"__wt",'SegEnds_Xtal_BW#'!$A:$Z,9,FALSE)</f>
        <v>49</v>
      </c>
      <c r="J193" s="1">
        <f>VLOOKUP($B193&amp;"__wt",'SegEnds_Xtal_BW#'!$A:$Z,10,FALSE)</f>
        <v>52</v>
      </c>
      <c r="K193" s="12">
        <v>18</v>
      </c>
      <c r="L193" s="1">
        <f>VLOOKUP($B193&amp;"__wt",'SegEnds_Xtal_BW#'!$A:$Z,12,FALSE)</f>
        <v>56</v>
      </c>
      <c r="M193" s="1">
        <f>VLOOKUP($B193&amp;"__wt",'SegEnds_Xtal_BW#'!$A:$Z,13,FALSE)</f>
        <v>50</v>
      </c>
      <c r="N193" s="12">
        <v>57</v>
      </c>
      <c r="O193" s="89">
        <f>VLOOKUP($B193&amp;"__wt",'SegEnds_Xtal_BW#'!$A:$Z,15,FALSE)</f>
        <v>38</v>
      </c>
      <c r="P193" s="1">
        <f>VLOOKUP($B193&amp;"__wt",'SegEnds_Xtal_BW#'!$A:$Z,16,FALSE)</f>
        <v>64</v>
      </c>
      <c r="Q193" s="1">
        <f>VLOOKUP($B193&amp;"__wt",'SegEnds_Xtal_BW#'!$A:$Z,17,FALSE)</f>
        <v>50</v>
      </c>
      <c r="R193" s="1">
        <f>VLOOKUP($B193&amp;"__wt",'SegEnds_Xtal_BW#'!$A:$Z,18,FALSE)</f>
        <v>52</v>
      </c>
      <c r="S193" s="1">
        <f>VLOOKUP($B193&amp;"__wt",'SegEnds_Xtal_BW#'!$A:$Z,19,FALSE)</f>
        <v>32</v>
      </c>
      <c r="T193" s="1">
        <f t="array" ref="T193">INDEX('ICL3'!$G$2:$G$40,MATCH(MIN(ABS(AH193-'ICL3'!$F$2:$F$40)),ABS(AH193-'ICL3'!$F$2:$F$40),0))</f>
        <v>73</v>
      </c>
      <c r="U193" s="1">
        <f t="array" ref="U193">INDEX('ICL3'!$H$2:$H$40,MATCH(MIN(ABS(AH193-'ICL3'!$F$2:$F$40)),ABS(AH193-'ICL3'!$F$2:$F$40),0))</f>
        <v>22</v>
      </c>
      <c r="V193" s="1">
        <v>61</v>
      </c>
      <c r="W193" s="1">
        <v>28</v>
      </c>
      <c r="X193" s="1">
        <f>VLOOKUP($B193&amp;"__wt",'SegEnds_Xtal_BW#'!$A:$Z,24,FALSE)</f>
        <v>56</v>
      </c>
      <c r="Y193" s="1">
        <f>VLOOKUP($B193&amp;"__wt",'SegEnds_Xtal_BW#'!$A:$Z,25,FALSE)</f>
        <v>47</v>
      </c>
      <c r="Z193" s="1">
        <f>VLOOKUP($B193&amp;"__wt",'SegEnds_Xtal_BW#'!$A:$Z,26,FALSE)</f>
        <v>58</v>
      </c>
      <c r="AA193" s="27" t="str">
        <f>VLOOKUP(A193,Classification!A:B,2,FALSE)</f>
        <v>A</v>
      </c>
      <c r="AB193" s="1">
        <f>VLOOKUP(A193,'SegEnds_NonXtal_Prot#'!A:AL,10,FALSE)-VLOOKUP(A193,'SegEnds_NonXtal_Prot#'!A:AL,7,FALSE)</f>
        <v>15</v>
      </c>
      <c r="AC193" s="1">
        <f>VLOOKUP(A193,'SegEnds_NonXtal_Prot#'!A:AL,13,FALSE)-VLOOKUP(A193,'SegEnds_NonXtal_Prot#'!A:AL,10,FALSE)</f>
        <v>19</v>
      </c>
      <c r="AD193" s="1">
        <f>VLOOKUP(A193,'SegEnds_NonXtal_Prot#'!A:AL,16,FALSE)-VLOOKUP(A193,'SegEnds_NonXtal_Prot#'!A:AL,10,FALSE)</f>
        <v>53</v>
      </c>
      <c r="AE193" s="1">
        <f>VLOOKUP(A193,'SegEnds_NonXtal_Prot#'!A:AL,22,FALSE)-VLOOKUP(A193,'SegEnds_NonXtal_Prot#'!A:AL,19,FALSE)</f>
        <v>20</v>
      </c>
      <c r="AF193" s="1">
        <f>VLOOKUP(A193,'SegEnds_NonXtal_Prot#'!A:AL,28,FALSE)-VLOOKUP(A193,'SegEnds_NonXtal_Prot#'!A:AL,25,FALSE)</f>
        <v>24</v>
      </c>
      <c r="AG193" s="1">
        <f>VLOOKUP(A193,'SegEnds_NonXtal_Prot#'!A:AL,28,FALSE)-VLOOKUP(A193,'SegEnds_NonXtal_Prot#'!A:AL,22,FALSE)</f>
        <v>57</v>
      </c>
      <c r="AH193" s="1">
        <f>VLOOKUP(A193,'SegEnds_NonXtal_Prot#'!A:AL,31,FALSE)-VLOOKUP(A193,'SegEnds_NonXtal_Prot#'!A:AL,28,FALSE)</f>
        <v>55</v>
      </c>
      <c r="AI193" s="1">
        <f>VLOOKUP(A193,'SegEnds_NonXtal_Prot#'!A:AL,34,FALSE)-VLOOKUP(A193,'SegEnds_NonXtal_Prot#'!A:AL,31,FALSE)</f>
        <v>41</v>
      </c>
      <c r="AJ193" s="1" t="str">
        <f>IF(ISERROR(MATCH(A193,'SegEnds_Xtal_Prot#'!B:B, 0)), "NoXtal", "Xtal")</f>
        <v>NoXtal</v>
      </c>
    </row>
    <row r="194" spans="1:36" x14ac:dyDescent="0.2">
      <c r="A194" s="1" t="s">
        <v>127</v>
      </c>
      <c r="B194" s="1" t="str">
        <f>VLOOKUP(A194,Xtal_Templ!A:B,2,FALSE)</f>
        <v>ntr1_rat</v>
      </c>
      <c r="C194" s="5">
        <f>VLOOKUP($B194&amp;"__wt",'SegEnds_Xtal_BW#'!$A:$Z,3,FALSE)</f>
        <v>29</v>
      </c>
      <c r="D194" s="1">
        <f>VLOOKUP($B194&amp;"__wt",'SegEnds_Xtal_BW#'!$A:$Z,4,FALSE)</f>
        <v>60</v>
      </c>
      <c r="E194" s="1">
        <f>VLOOKUP($B194&amp;"__wt",'SegEnds_Xtal_BW#'!$A:$Z,5,FALSE)</f>
        <v>48</v>
      </c>
      <c r="F194" s="1">
        <f>VLOOKUP($B194&amp;"__wt",'SegEnds_Xtal_BW#'!$A:$Z,6,FALSE)</f>
        <v>51</v>
      </c>
      <c r="G194" s="1">
        <v>37</v>
      </c>
      <c r="H194" s="12">
        <f>VLOOKUP($B194&amp;"__wt",'SegEnds_Xtal_BW#'!$A:$Z,8,FALSE)</f>
        <v>68</v>
      </c>
      <c r="I194" s="1">
        <f>VLOOKUP($B194&amp;"__wt",'SegEnds_Xtal_BW#'!$A:$Z,9,FALSE)</f>
        <v>49</v>
      </c>
      <c r="J194" s="1">
        <f>VLOOKUP($B194&amp;"__wt",'SegEnds_Xtal_BW#'!$A:$Z,10,FALSE)</f>
        <v>52</v>
      </c>
      <c r="K194" s="12">
        <v>18</v>
      </c>
      <c r="L194" s="1">
        <f>VLOOKUP($B194&amp;"__wt",'SegEnds_Xtal_BW#'!$A:$Z,12,FALSE)</f>
        <v>56</v>
      </c>
      <c r="M194" s="1">
        <f>VLOOKUP($B194&amp;"__wt",'SegEnds_Xtal_BW#'!$A:$Z,13,FALSE)</f>
        <v>50</v>
      </c>
      <c r="N194" s="12">
        <v>57</v>
      </c>
      <c r="O194" s="89">
        <f>VLOOKUP($B194&amp;"__wt",'SegEnds_Xtal_BW#'!$A:$Z,15,FALSE)</f>
        <v>38</v>
      </c>
      <c r="P194" s="1">
        <f>VLOOKUP($B194&amp;"__wt",'SegEnds_Xtal_BW#'!$A:$Z,16,FALSE)</f>
        <v>64</v>
      </c>
      <c r="Q194" s="1">
        <f>VLOOKUP($B194&amp;"__wt",'SegEnds_Xtal_BW#'!$A:$Z,17,FALSE)</f>
        <v>50</v>
      </c>
      <c r="R194" s="1">
        <f>VLOOKUP($B194&amp;"__wt",'SegEnds_Xtal_BW#'!$A:$Z,18,FALSE)</f>
        <v>52</v>
      </c>
      <c r="S194" s="1">
        <f>VLOOKUP($B194&amp;"__wt",'SegEnds_Xtal_BW#'!$A:$Z,19,FALSE)</f>
        <v>32</v>
      </c>
      <c r="T194" s="1">
        <f t="array" ref="T194">INDEX('ICL3'!$G$2:$G$40,MATCH(MIN(ABS(AH194-'ICL3'!$F$2:$F$40)),ABS(AH194-'ICL3'!$F$2:$F$40),0))</f>
        <v>76</v>
      </c>
      <c r="U194" s="1">
        <f t="array" ref="U194">INDEX('ICL3'!$H$2:$H$40,MATCH(MIN(ABS(AH194-'ICL3'!$F$2:$F$40)),ABS(AH194-'ICL3'!$F$2:$F$40),0))</f>
        <v>24</v>
      </c>
      <c r="V194" s="1">
        <v>61</v>
      </c>
      <c r="W194" s="1">
        <v>24</v>
      </c>
      <c r="X194" s="1">
        <f>VLOOKUP($B194&amp;"__wt",'SegEnds_Xtal_BW#'!$A:$Z,24,FALSE)</f>
        <v>56</v>
      </c>
      <c r="Y194" s="1">
        <f>VLOOKUP($B194&amp;"__wt",'SegEnds_Xtal_BW#'!$A:$Z,25,FALSE)</f>
        <v>47</v>
      </c>
      <c r="Z194" s="1">
        <f>VLOOKUP($B194&amp;"__wt",'SegEnds_Xtal_BW#'!$A:$Z,26,FALSE)</f>
        <v>58</v>
      </c>
      <c r="AA194" s="27" t="str">
        <f>VLOOKUP(A194,Classification!A:B,2,FALSE)</f>
        <v>A</v>
      </c>
      <c r="AB194" s="1">
        <f>VLOOKUP(A194,'SegEnds_NonXtal_Prot#'!A:AL,10,FALSE)-VLOOKUP(A194,'SegEnds_NonXtal_Prot#'!A:AL,7,FALSE)</f>
        <v>18</v>
      </c>
      <c r="AC194" s="1">
        <f>VLOOKUP(A194,'SegEnds_NonXtal_Prot#'!A:AL,13,FALSE)-VLOOKUP(A194,'SegEnds_NonXtal_Prot#'!A:AL,10,FALSE)</f>
        <v>22</v>
      </c>
      <c r="AD194" s="1">
        <f>VLOOKUP(A194,'SegEnds_NonXtal_Prot#'!A:AL,16,FALSE)-VLOOKUP(A194,'SegEnds_NonXtal_Prot#'!A:AL,10,FALSE)</f>
        <v>54</v>
      </c>
      <c r="AE194" s="1">
        <f>VLOOKUP(A194,'SegEnds_NonXtal_Prot#'!A:AL,22,FALSE)-VLOOKUP(A194,'SegEnds_NonXtal_Prot#'!A:AL,19,FALSE)</f>
        <v>20</v>
      </c>
      <c r="AF194" s="1">
        <f>VLOOKUP(A194,'SegEnds_NonXtal_Prot#'!A:AL,28,FALSE)-VLOOKUP(A194,'SegEnds_NonXtal_Prot#'!A:AL,25,FALSE)</f>
        <v>24</v>
      </c>
      <c r="AG194" s="1">
        <f>VLOOKUP(A194,'SegEnds_NonXtal_Prot#'!A:AL,28,FALSE)-VLOOKUP(A194,'SegEnds_NonXtal_Prot#'!A:AL,22,FALSE)</f>
        <v>55</v>
      </c>
      <c r="AH194" s="1">
        <f>VLOOKUP(A194,'SegEnds_NonXtal_Prot#'!A:AL,31,FALSE)-VLOOKUP(A194,'SegEnds_NonXtal_Prot#'!A:AL,28,FALSE)</f>
        <v>70</v>
      </c>
      <c r="AI194" s="1">
        <f>VLOOKUP(A194,'SegEnds_NonXtal_Prot#'!A:AL,34,FALSE)-VLOOKUP(A194,'SegEnds_NonXtal_Prot#'!A:AL,31,FALSE)</f>
        <v>43</v>
      </c>
      <c r="AJ194" s="1" t="str">
        <f>IF(ISERROR(MATCH(A194,'SegEnds_Xtal_Prot#'!B:B, 0)), "NoXtal", "Xtal")</f>
        <v>NoXtal</v>
      </c>
    </row>
    <row r="195" spans="1:36" x14ac:dyDescent="0.2">
      <c r="A195" s="1" t="s">
        <v>914</v>
      </c>
      <c r="B195" s="1" t="str">
        <f>VLOOKUP(A195,Xtal_Templ!A:B,2,FALSE)</f>
        <v>ntr1_rat</v>
      </c>
      <c r="C195" s="5">
        <f>VLOOKUP($B195&amp;"__wt",'SegEnds_Xtal_BW#'!$A:$Z,3,FALSE)</f>
        <v>29</v>
      </c>
      <c r="D195" s="1">
        <f>VLOOKUP($B195&amp;"__wt",'SegEnds_Xtal_BW#'!$A:$Z,4,FALSE)</f>
        <v>60</v>
      </c>
      <c r="E195" s="1">
        <f>VLOOKUP($B195&amp;"__wt",'SegEnds_Xtal_BW#'!$A:$Z,5,FALSE)</f>
        <v>48</v>
      </c>
      <c r="F195" s="1">
        <f>VLOOKUP($B195&amp;"__wt",'SegEnds_Xtal_BW#'!$A:$Z,6,FALSE)</f>
        <v>51</v>
      </c>
      <c r="G195" s="1">
        <v>37</v>
      </c>
      <c r="H195" s="12">
        <f>VLOOKUP($B195&amp;"__wt",'SegEnds_Xtal_BW#'!$A:$Z,8,FALSE)</f>
        <v>68</v>
      </c>
      <c r="I195" s="1">
        <f>VLOOKUP($B195&amp;"__wt",'SegEnds_Xtal_BW#'!$A:$Z,9,FALSE)</f>
        <v>49</v>
      </c>
      <c r="J195" s="1">
        <f>VLOOKUP($B195&amp;"__wt",'SegEnds_Xtal_BW#'!$A:$Z,10,FALSE)</f>
        <v>52</v>
      </c>
      <c r="K195" s="12">
        <v>18</v>
      </c>
      <c r="L195" s="1">
        <f>VLOOKUP($B195&amp;"__wt",'SegEnds_Xtal_BW#'!$A:$Z,12,FALSE)</f>
        <v>56</v>
      </c>
      <c r="M195" s="1">
        <f>VLOOKUP($B195&amp;"__wt",'SegEnds_Xtal_BW#'!$A:$Z,13,FALSE)</f>
        <v>50</v>
      </c>
      <c r="N195" s="12">
        <f>VLOOKUP($B195&amp;"__wt",'SegEnds_Xtal_BW#'!$A:$Z,14,FALSE)</f>
        <v>57</v>
      </c>
      <c r="O195" s="89">
        <f>VLOOKUP($B195&amp;"__wt",'SegEnds_Xtal_BW#'!$A:$Z,15,FALSE)</f>
        <v>38</v>
      </c>
      <c r="P195" s="1">
        <f>VLOOKUP($B195&amp;"__wt",'SegEnds_Xtal_BW#'!$A:$Z,16,FALSE)</f>
        <v>64</v>
      </c>
      <c r="Q195" s="1">
        <f>VLOOKUP($B195&amp;"__wt",'SegEnds_Xtal_BW#'!$A:$Z,17,FALSE)</f>
        <v>50</v>
      </c>
      <c r="R195" s="1">
        <f>VLOOKUP($B195&amp;"__wt",'SegEnds_Xtal_BW#'!$A:$Z,18,FALSE)</f>
        <v>52</v>
      </c>
      <c r="S195" s="1">
        <f>VLOOKUP($B195&amp;"__wt",'SegEnds_Xtal_BW#'!$A:$Z,19,FALSE)</f>
        <v>32</v>
      </c>
      <c r="T195" s="1">
        <f t="array" ref="T195">INDEX('ICL3'!$G$2:$G$40,MATCH(MIN(ABS(AH195-'ICL3'!$F$2:$F$40)),ABS(AH195-'ICL3'!$F$2:$F$40),0))</f>
        <v>76</v>
      </c>
      <c r="U195" s="1">
        <f t="array" ref="U195">INDEX('ICL3'!$H$2:$H$40,MATCH(MIN(ABS(AH195-'ICL3'!$F$2:$F$40)),ABS(AH195-'ICL3'!$F$2:$F$40),0))</f>
        <v>24</v>
      </c>
      <c r="V195" s="1">
        <v>61</v>
      </c>
      <c r="W195" s="1">
        <v>24</v>
      </c>
      <c r="X195" s="1">
        <f>VLOOKUP($B195&amp;"__wt",'SegEnds_Xtal_BW#'!$A:$Z,24,FALSE)</f>
        <v>56</v>
      </c>
      <c r="Y195" s="1">
        <f>VLOOKUP($B195&amp;"__wt",'SegEnds_Xtal_BW#'!$A:$Z,25,FALSE)</f>
        <v>47</v>
      </c>
      <c r="Z195" s="1">
        <f>VLOOKUP($B195&amp;"__wt",'SegEnds_Xtal_BW#'!$A:$Z,26,FALSE)</f>
        <v>58</v>
      </c>
      <c r="AA195" s="27" t="str">
        <f>VLOOKUP(A195,Classification!A:B,2,FALSE)</f>
        <v>A</v>
      </c>
      <c r="AB195" s="1">
        <f>VLOOKUP(A195,'SegEnds_NonXtal_Prot#'!A:AL,10,FALSE)-VLOOKUP(A195,'SegEnds_NonXtal_Prot#'!A:AL,7,FALSE)</f>
        <v>18</v>
      </c>
      <c r="AC195" s="1">
        <f>VLOOKUP(A195,'SegEnds_NonXtal_Prot#'!A:AL,13,FALSE)-VLOOKUP(A195,'SegEnds_NonXtal_Prot#'!A:AL,10,FALSE)</f>
        <v>22</v>
      </c>
      <c r="AD195" s="1">
        <f>VLOOKUP(A195,'SegEnds_NonXtal_Prot#'!A:AL,16,FALSE)-VLOOKUP(A195,'SegEnds_NonXtal_Prot#'!A:AL,10,FALSE)</f>
        <v>54</v>
      </c>
      <c r="AE195" s="1">
        <f>VLOOKUP(A195,'SegEnds_NonXtal_Prot#'!A:AL,22,FALSE)-VLOOKUP(A195,'SegEnds_NonXtal_Prot#'!A:AL,19,FALSE)</f>
        <v>20</v>
      </c>
      <c r="AF195" s="1">
        <f>VLOOKUP(A195,'SegEnds_NonXtal_Prot#'!A:AL,28,FALSE)-VLOOKUP(A195,'SegEnds_NonXtal_Prot#'!A:AL,25,FALSE)</f>
        <v>24</v>
      </c>
      <c r="AG195" s="1">
        <f>VLOOKUP(A195,'SegEnds_NonXtal_Prot#'!A:AL,28,FALSE)-VLOOKUP(A195,'SegEnds_NonXtal_Prot#'!A:AL,22,FALSE)</f>
        <v>55</v>
      </c>
      <c r="AH195" s="1">
        <f>VLOOKUP(A195,'SegEnds_NonXtal_Prot#'!A:AL,31,FALSE)-VLOOKUP(A195,'SegEnds_NonXtal_Prot#'!A:AL,28,FALSE)</f>
        <v>74</v>
      </c>
      <c r="AI195" s="1">
        <f>VLOOKUP(A195,'SegEnds_NonXtal_Prot#'!A:AL,34,FALSE)-VLOOKUP(A195,'SegEnds_NonXtal_Prot#'!A:AL,31,FALSE)</f>
        <v>43</v>
      </c>
      <c r="AJ195" s="1" t="str">
        <f>IF(ISERROR(MATCH(A195,'SegEnds_Xtal_Prot#'!B:B, 0)), "NoXtal", "Xtal")</f>
        <v>Xtal</v>
      </c>
    </row>
    <row r="196" spans="1:36" x14ac:dyDescent="0.2">
      <c r="A196" s="1" t="s">
        <v>330</v>
      </c>
      <c r="B196" s="1" t="str">
        <f>VLOOKUP(A196,Xtal_Templ!A:B,2,FALSE)</f>
        <v>ntr1_rat</v>
      </c>
      <c r="C196" s="5">
        <f>VLOOKUP($B196&amp;"__wt",'SegEnds_Xtal_BW#'!$A:$Z,3,FALSE)</f>
        <v>29</v>
      </c>
      <c r="D196" s="1">
        <f>VLOOKUP($B196&amp;"__wt",'SegEnds_Xtal_BW#'!$A:$Z,4,FALSE)</f>
        <v>60</v>
      </c>
      <c r="E196" s="1">
        <f>VLOOKUP($B196&amp;"__wt",'SegEnds_Xtal_BW#'!$A:$Z,5,FALSE)</f>
        <v>48</v>
      </c>
      <c r="F196" s="1">
        <f>VLOOKUP($B196&amp;"__wt",'SegEnds_Xtal_BW#'!$A:$Z,6,FALSE)</f>
        <v>51</v>
      </c>
      <c r="G196" s="1">
        <v>37</v>
      </c>
      <c r="H196" s="12">
        <f>VLOOKUP($B196&amp;"__wt",'SegEnds_Xtal_BW#'!$A:$Z,8,FALSE)</f>
        <v>68</v>
      </c>
      <c r="I196" s="1">
        <f>VLOOKUP($B196&amp;"__wt",'SegEnds_Xtal_BW#'!$A:$Z,9,FALSE)</f>
        <v>49</v>
      </c>
      <c r="J196" s="1">
        <f>VLOOKUP($B196&amp;"__wt",'SegEnds_Xtal_BW#'!$A:$Z,10,FALSE)</f>
        <v>52</v>
      </c>
      <c r="K196" s="12">
        <v>18</v>
      </c>
      <c r="L196" s="1">
        <f>VLOOKUP($B196&amp;"__wt",'SegEnds_Xtal_BW#'!$A:$Z,12,FALSE)</f>
        <v>56</v>
      </c>
      <c r="M196" s="1">
        <f>VLOOKUP($B196&amp;"__wt",'SegEnds_Xtal_BW#'!$A:$Z,13,FALSE)</f>
        <v>50</v>
      </c>
      <c r="N196" s="12">
        <v>57</v>
      </c>
      <c r="O196" s="89">
        <f>VLOOKUP($B196&amp;"__wt",'SegEnds_Xtal_BW#'!$A:$Z,15,FALSE)</f>
        <v>38</v>
      </c>
      <c r="P196" s="1">
        <f>VLOOKUP($B196&amp;"__wt",'SegEnds_Xtal_BW#'!$A:$Z,16,FALSE)</f>
        <v>64</v>
      </c>
      <c r="Q196" s="1">
        <f>VLOOKUP($B196&amp;"__wt",'SegEnds_Xtal_BW#'!$A:$Z,17,FALSE)</f>
        <v>50</v>
      </c>
      <c r="R196" s="1">
        <f>VLOOKUP($B196&amp;"__wt",'SegEnds_Xtal_BW#'!$A:$Z,18,FALSE)</f>
        <v>52</v>
      </c>
      <c r="S196" s="1">
        <f>VLOOKUP($B196&amp;"__wt",'SegEnds_Xtal_BW#'!$A:$Z,19,FALSE)</f>
        <v>32</v>
      </c>
      <c r="T196" s="1">
        <f t="array" ref="T196">INDEX('ICL3'!$G$2:$G$40,MATCH(MIN(ABS(AH196-'ICL3'!$F$2:$F$40)),ABS(AH196-'ICL3'!$F$2:$F$40),0))</f>
        <v>74</v>
      </c>
      <c r="U196" s="1">
        <f t="array" ref="U196">INDEX('ICL3'!$H$2:$H$40,MATCH(MIN(ABS(AH196-'ICL3'!$F$2:$F$40)),ABS(AH196-'ICL3'!$F$2:$F$40),0))</f>
        <v>24</v>
      </c>
      <c r="V196" s="1">
        <v>61</v>
      </c>
      <c r="W196" s="1">
        <v>24</v>
      </c>
      <c r="X196" s="1">
        <f>VLOOKUP($B196&amp;"__wt",'SegEnds_Xtal_BW#'!$A:$Z,24,FALSE)</f>
        <v>56</v>
      </c>
      <c r="Y196" s="1">
        <f>VLOOKUP($B196&amp;"__wt",'SegEnds_Xtal_BW#'!$A:$Z,25,FALSE)</f>
        <v>47</v>
      </c>
      <c r="Z196" s="1">
        <f>VLOOKUP($B196&amp;"__wt",'SegEnds_Xtal_BW#'!$A:$Z,26,FALSE)</f>
        <v>58</v>
      </c>
      <c r="AA196" s="27" t="str">
        <f>VLOOKUP(A196,Classification!A:B,2,FALSE)</f>
        <v>A</v>
      </c>
      <c r="AB196" s="1" t="e">
        <f>VLOOKUP(A196,'SegEnds_NonXtal_Prot#'!A:AL,10,FALSE)-VLOOKUP(A196,'SegEnds_NonXtal_Prot#'!A:AL,7,FALSE)</f>
        <v>#VALUE!</v>
      </c>
      <c r="AC196" s="1">
        <f>VLOOKUP(A196,'SegEnds_NonXtal_Prot#'!A:AL,13,FALSE)-VLOOKUP(A196,'SegEnds_NonXtal_Prot#'!A:AL,10,FALSE)</f>
        <v>22</v>
      </c>
      <c r="AD196" s="1">
        <f>VLOOKUP(A196,'SegEnds_NonXtal_Prot#'!A:AL,16,FALSE)-VLOOKUP(A196,'SegEnds_NonXtal_Prot#'!A:AL,10,FALSE)</f>
        <v>54</v>
      </c>
      <c r="AE196" s="1">
        <f>VLOOKUP(A196,'SegEnds_NonXtal_Prot#'!A:AL,22,FALSE)-VLOOKUP(A196,'SegEnds_NonXtal_Prot#'!A:AL,19,FALSE)</f>
        <v>20</v>
      </c>
      <c r="AF196" s="1">
        <f>VLOOKUP(A196,'SegEnds_NonXtal_Prot#'!A:AL,28,FALSE)-VLOOKUP(A196,'SegEnds_NonXtal_Prot#'!A:AL,25,FALSE)</f>
        <v>24</v>
      </c>
      <c r="AG196" s="1">
        <f>VLOOKUP(A196,'SegEnds_NonXtal_Prot#'!A:AL,28,FALSE)-VLOOKUP(A196,'SegEnds_NonXtal_Prot#'!A:AL,22,FALSE)</f>
        <v>58</v>
      </c>
      <c r="AH196" s="1">
        <f>VLOOKUP(A196,'SegEnds_NonXtal_Prot#'!A:AL,31,FALSE)-VLOOKUP(A196,'SegEnds_NonXtal_Prot#'!A:AL,28,FALSE)</f>
        <v>94</v>
      </c>
      <c r="AI196" s="1">
        <f>VLOOKUP(A196,'SegEnds_NonXtal_Prot#'!A:AL,34,FALSE)-VLOOKUP(A196,'SegEnds_NonXtal_Prot#'!A:AL,31,FALSE)</f>
        <v>43</v>
      </c>
      <c r="AJ196" s="1" t="str">
        <f>IF(ISERROR(MATCH(A196,'SegEnds_Xtal_Prot#'!B:B, 0)), "NoXtal", "Xtal")</f>
        <v>NoXtal</v>
      </c>
    </row>
    <row r="197" spans="1:36" x14ac:dyDescent="0.2">
      <c r="A197" s="1" t="s">
        <v>331</v>
      </c>
      <c r="B197" s="1" t="str">
        <f>VLOOKUP(A197,Xtal_Templ!A:B,2,FALSE)</f>
        <v>agtr1_human</v>
      </c>
      <c r="C197" s="5">
        <f>VLOOKUP($B197&amp;"__wt",'SegEnds_Xtal_BW#'!$A:$Z,3,FALSE)</f>
        <v>30</v>
      </c>
      <c r="D197" s="1">
        <f>VLOOKUP($B197&amp;"__wt",'SegEnds_Xtal_BW#'!$A:$Z,4,FALSE)</f>
        <v>60</v>
      </c>
      <c r="E197" s="111">
        <v>48</v>
      </c>
      <c r="F197" s="111">
        <v>51</v>
      </c>
      <c r="G197" s="1">
        <v>37</v>
      </c>
      <c r="H197" s="12">
        <f>VLOOKUP($B197&amp;"__wt",'SegEnds_Xtal_BW#'!$A:$Z,8,FALSE)</f>
        <v>66</v>
      </c>
      <c r="I197" s="1">
        <f>VLOOKUP($B197&amp;"__wt",'SegEnds_Xtal_BW#'!$A:$Z,9,FALSE)</f>
        <v>49</v>
      </c>
      <c r="J197" s="1">
        <f>VLOOKUP($B197&amp;"__wt",'SegEnds_Xtal_BW#'!$A:$Z,10,FALSE)</f>
        <v>52</v>
      </c>
      <c r="K197" s="12">
        <v>18</v>
      </c>
      <c r="L197" s="1">
        <f>VLOOKUP($B197&amp;"__wt",'SegEnds_Xtal_BW#'!$A:$Z,12,FALSE)</f>
        <v>56</v>
      </c>
      <c r="M197" s="1">
        <f>VLOOKUP($B197&amp;"__wt",'SegEnds_Xtal_BW#'!$A:$Z,13,FALSE)</f>
        <v>50</v>
      </c>
      <c r="N197" s="12">
        <v>57</v>
      </c>
      <c r="O197" s="89">
        <f>VLOOKUP($B197&amp;"__wt",'SegEnds_Xtal_BW#'!$A:$Z,15,FALSE)</f>
        <v>38</v>
      </c>
      <c r="P197" s="1">
        <f>VLOOKUP($B197&amp;"__wt",'SegEnds_Xtal_BW#'!$A:$Z,16,FALSE)</f>
        <v>64</v>
      </c>
      <c r="Q197" s="1">
        <f>VLOOKUP($B197&amp;"__wt",'SegEnds_Xtal_BW#'!$A:$Z,17,FALSE)</f>
        <v>50</v>
      </c>
      <c r="R197" s="1">
        <f>VLOOKUP($B197&amp;"__wt",'SegEnds_Xtal_BW#'!$A:$Z,18,FALSE)</f>
        <v>52</v>
      </c>
      <c r="S197" s="1">
        <f>VLOOKUP($B197&amp;"__wt",'SegEnds_Xtal_BW#'!$A:$Z,19,FALSE)</f>
        <v>34</v>
      </c>
      <c r="T197" s="1">
        <f t="array" ref="T197">INDEX('ICL3'!$G$2:$G$40,MATCH(MIN(ABS(AH197-'ICL3'!$F$2:$F$40)),ABS(AH197-'ICL3'!$F$2:$F$40),0))</f>
        <v>67</v>
      </c>
      <c r="U197" s="1">
        <f t="array" ref="U197">INDEX('ICL3'!$H$2:$H$40,MATCH(MIN(ABS(AH197-'ICL3'!$F$2:$F$40)),ABS(AH197-'ICL3'!$F$2:$F$40),0))</f>
        <v>26</v>
      </c>
      <c r="V197" s="1">
        <v>61</v>
      </c>
      <c r="W197" s="1">
        <v>28</v>
      </c>
      <c r="X197" s="1">
        <f>VLOOKUP($B197&amp;"__wt",'SegEnds_Xtal_BW#'!$A:$Z,24,FALSE)</f>
        <v>56</v>
      </c>
      <c r="Y197" s="1">
        <f>VLOOKUP($B197&amp;"__wt",'SegEnds_Xtal_BW#'!$A:$Z,25,FALSE)</f>
        <v>47</v>
      </c>
      <c r="Z197" s="1">
        <f>VLOOKUP($B197&amp;"__wt",'SegEnds_Xtal_BW#'!$A:$Z,26,FALSE)</f>
        <v>61</v>
      </c>
      <c r="AA197" s="27" t="str">
        <f>VLOOKUP(A197,Classification!A:B,2,FALSE)</f>
        <v>A</v>
      </c>
      <c r="AB197" s="1">
        <f>VLOOKUP(A197,'SegEnds_NonXtal_Prot#'!A:AL,10,FALSE)-VLOOKUP(A197,'SegEnds_NonXtal_Prot#'!A:AL,7,FALSE)</f>
        <v>15</v>
      </c>
      <c r="AC197" s="1">
        <f>VLOOKUP(A197,'SegEnds_NonXtal_Prot#'!A:AL,13,FALSE)-VLOOKUP(A197,'SegEnds_NonXtal_Prot#'!A:AL,10,FALSE)</f>
        <v>20</v>
      </c>
      <c r="AD197" s="1">
        <f>VLOOKUP(A197,'SegEnds_NonXtal_Prot#'!A:AL,16,FALSE)-VLOOKUP(A197,'SegEnds_NonXtal_Prot#'!A:AL,10,FALSE)</f>
        <v>52</v>
      </c>
      <c r="AE197" s="1">
        <f>VLOOKUP(A197,'SegEnds_NonXtal_Prot#'!A:AL,22,FALSE)-VLOOKUP(A197,'SegEnds_NonXtal_Prot#'!A:AL,19,FALSE)</f>
        <v>20</v>
      </c>
      <c r="AF197" s="1">
        <f>VLOOKUP(A197,'SegEnds_NonXtal_Prot#'!A:AL,28,FALSE)-VLOOKUP(A197,'SegEnds_NonXtal_Prot#'!A:AL,25,FALSE)</f>
        <v>25</v>
      </c>
      <c r="AG197" s="1">
        <f>VLOOKUP(A197,'SegEnds_NonXtal_Prot#'!A:AL,28,FALSE)-VLOOKUP(A197,'SegEnds_NonXtal_Prot#'!A:AL,22,FALSE)</f>
        <v>51</v>
      </c>
      <c r="AH197" s="1">
        <f>VLOOKUP(A197,'SegEnds_NonXtal_Prot#'!A:AL,31,FALSE)-VLOOKUP(A197,'SegEnds_NonXtal_Prot#'!A:AL,28,FALSE)</f>
        <v>46</v>
      </c>
      <c r="AI197" s="1">
        <f>VLOOKUP(A197,'SegEnds_NonXtal_Prot#'!A:AL,34,FALSE)-VLOOKUP(A197,'SegEnds_NonXtal_Prot#'!A:AL,31,FALSE)</f>
        <v>40</v>
      </c>
      <c r="AJ197" s="1" t="str">
        <f>IF(ISERROR(MATCH(A197,'SegEnds_Xtal_Prot#'!B:B, 0)), "NoXtal", "Xtal")</f>
        <v>NoXtal</v>
      </c>
    </row>
    <row r="198" spans="1:36" x14ac:dyDescent="0.2">
      <c r="A198" s="1" t="s">
        <v>333</v>
      </c>
      <c r="B198" s="1" t="str">
        <f>VLOOKUP(A198,Xtal_Templ!A:B,2,FALSE)</f>
        <v>opsd_human</v>
      </c>
      <c r="C198" s="5">
        <f>VLOOKUP($B198&amp;"__wt",'SegEnds_Xtal_BW#'!$A:$Z,3,FALSE)</f>
        <v>29</v>
      </c>
      <c r="D198" s="1">
        <f>VLOOKUP($B198&amp;"__wt",'SegEnds_Xtal_BW#'!$A:$Z,4,FALSE)</f>
        <v>60</v>
      </c>
      <c r="E198" s="1">
        <f>VLOOKUP($B198&amp;"__wt",'SegEnds_Xtal_BW#'!$A:$Z,5,FALSE)</f>
        <v>48</v>
      </c>
      <c r="F198" s="1">
        <f>VLOOKUP($B198&amp;"__wt",'SegEnds_Xtal_BW#'!$A:$Z,6,FALSE)</f>
        <v>51</v>
      </c>
      <c r="G198" s="1">
        <v>37</v>
      </c>
      <c r="H198" s="12">
        <f>VLOOKUP($B198&amp;"__wt",'SegEnds_Xtal_BW#'!$A:$Z,8,FALSE)</f>
        <v>67</v>
      </c>
      <c r="I198" s="1">
        <f>VLOOKUP($B198&amp;"__wt",'SegEnds_Xtal_BW#'!$A:$Z,9,FALSE)</f>
        <v>49</v>
      </c>
      <c r="J198" s="1">
        <f>VLOOKUP($B198&amp;"__wt",'SegEnds_Xtal_BW#'!$A:$Z,10,FALSE)</f>
        <v>52</v>
      </c>
      <c r="K198" s="12">
        <v>18</v>
      </c>
      <c r="L198" s="1">
        <f>VLOOKUP($B198&amp;"__wt",'SegEnds_Xtal_BW#'!$A:$Z,12,FALSE)</f>
        <v>56</v>
      </c>
      <c r="M198" s="1">
        <f>VLOOKUP($B198&amp;"__wt",'SegEnds_Xtal_BW#'!$A:$Z,13,FALSE)</f>
        <v>50</v>
      </c>
      <c r="N198" s="12">
        <v>57</v>
      </c>
      <c r="O198" s="89">
        <f>VLOOKUP($B198&amp;"__wt",'SegEnds_Xtal_BW#'!$A:$Z,15,FALSE)</f>
        <v>38</v>
      </c>
      <c r="P198" s="1">
        <f>VLOOKUP($B198&amp;"__wt",'SegEnds_Xtal_BW#'!$A:$Z,16,FALSE)</f>
        <v>62</v>
      </c>
      <c r="Q198" s="1">
        <f>VLOOKUP($B198&amp;"__wt",'SegEnds_Xtal_BW#'!$A:$Z,17,FALSE)</f>
        <v>50</v>
      </c>
      <c r="R198" s="1">
        <f>VLOOKUP($B198&amp;"__wt",'SegEnds_Xtal_BW#'!$A:$Z,18,FALSE)</f>
        <v>52</v>
      </c>
      <c r="S198" s="1">
        <f>VLOOKUP($B198&amp;"__wt",'SegEnds_Xtal_BW#'!$A:$Z,19,FALSE)</f>
        <v>34</v>
      </c>
      <c r="T198" s="1">
        <f t="array" ref="T198">INDEX('ICL3'!$G$2:$G$40,MATCH(MIN(ABS(AH198-'ICL3'!$F$2:$F$40)),ABS(AH198-'ICL3'!$F$2:$F$40),0))</f>
        <v>74</v>
      </c>
      <c r="U198" s="1">
        <f t="array" ref="U198">INDEX('ICL3'!$H$2:$H$40,MATCH(MIN(ABS(AH198-'ICL3'!$F$2:$F$40)),ABS(AH198-'ICL3'!$F$2:$F$40),0))</f>
        <v>21</v>
      </c>
      <c r="V198" s="1">
        <v>61</v>
      </c>
      <c r="W198" s="1">
        <v>31</v>
      </c>
      <c r="X198" s="1">
        <f>VLOOKUP($B198&amp;"__wt",'SegEnds_Xtal_BW#'!$A:$Z,24,FALSE)</f>
        <v>56</v>
      </c>
      <c r="Y198" s="1">
        <f>VLOOKUP($B198&amp;"__wt",'SegEnds_Xtal_BW#'!$A:$Z,25,FALSE)</f>
        <v>47</v>
      </c>
      <c r="Z198" s="1">
        <f>VLOOKUP($B198&amp;"__wt",'SegEnds_Xtal_BW#'!$A:$Z,26,FALSE)</f>
        <v>59</v>
      </c>
      <c r="AA198" s="27" t="str">
        <f>VLOOKUP(A198,Classification!A:B,2,FALSE)</f>
        <v>A</v>
      </c>
      <c r="AB198" s="1">
        <f>VLOOKUP(A198,'SegEnds_NonXtal_Prot#'!A:AL,10,FALSE)-VLOOKUP(A198,'SegEnds_NonXtal_Prot#'!A:AL,7,FALSE)</f>
        <v>15</v>
      </c>
      <c r="AC198" s="1">
        <f>VLOOKUP(A198,'SegEnds_NonXtal_Prot#'!A:AL,13,FALSE)-VLOOKUP(A198,'SegEnds_NonXtal_Prot#'!A:AL,10,FALSE)</f>
        <v>20</v>
      </c>
      <c r="AD198" s="1">
        <f>VLOOKUP(A198,'SegEnds_NonXtal_Prot#'!A:AL,16,FALSE)-VLOOKUP(A198,'SegEnds_NonXtal_Prot#'!A:AL,10,FALSE)</f>
        <v>52</v>
      </c>
      <c r="AE198" s="1">
        <f>VLOOKUP(A198,'SegEnds_NonXtal_Prot#'!A:AL,22,FALSE)-VLOOKUP(A198,'SegEnds_NonXtal_Prot#'!A:AL,19,FALSE)</f>
        <v>20</v>
      </c>
      <c r="AF198" s="1">
        <f>VLOOKUP(A198,'SegEnds_NonXtal_Prot#'!A:AL,28,FALSE)-VLOOKUP(A198,'SegEnds_NonXtal_Prot#'!A:AL,25,FALSE)</f>
        <v>26</v>
      </c>
      <c r="AG198" s="1">
        <f>VLOOKUP(A198,'SegEnds_NonXtal_Prot#'!A:AL,28,FALSE)-VLOOKUP(A198,'SegEnds_NonXtal_Prot#'!A:AL,22,FALSE)</f>
        <v>52</v>
      </c>
      <c r="AH198" s="1">
        <f>VLOOKUP(A198,'SegEnds_NonXtal_Prot#'!A:AL,31,FALSE)-VLOOKUP(A198,'SegEnds_NonXtal_Prot#'!A:AL,28,FALSE)</f>
        <v>64</v>
      </c>
      <c r="AI198" s="1">
        <f>VLOOKUP(A198,'SegEnds_NonXtal_Prot#'!A:AL,34,FALSE)-VLOOKUP(A198,'SegEnds_NonXtal_Prot#'!A:AL,31,FALSE)</f>
        <v>36</v>
      </c>
      <c r="AJ198" s="1" t="str">
        <f>IF(ISERROR(MATCH(A198,'SegEnds_Xtal_Prot#'!B:B, 0)), "NoXtal", "Xtal")</f>
        <v>NoXtal</v>
      </c>
    </row>
    <row r="199" spans="1:36" x14ac:dyDescent="0.2">
      <c r="A199" s="1" t="s">
        <v>335</v>
      </c>
      <c r="B199" s="1" t="str">
        <f>VLOOKUP(A199,Xtal_Templ!A:B,2,FALSE)</f>
        <v>oprd_human</v>
      </c>
      <c r="C199" s="5">
        <f>VLOOKUP($B199&amp;"__wt",'SegEnds_Xtal_BW#'!$A:$Z,3,FALSE)</f>
        <v>22</v>
      </c>
      <c r="D199" s="1">
        <f>VLOOKUP($B199&amp;"__wt",'SegEnds_Xtal_BW#'!$A:$Z,4,FALSE)</f>
        <v>60</v>
      </c>
      <c r="E199" s="1">
        <f>VLOOKUP($B199&amp;"__wt",'SegEnds_Xtal_BW#'!$A:$Z,5,FALSE)</f>
        <v>48</v>
      </c>
      <c r="F199" s="1">
        <f>VLOOKUP($B199&amp;"__wt",'SegEnds_Xtal_BW#'!$A:$Z,6,FALSE)</f>
        <v>51</v>
      </c>
      <c r="G199" s="1">
        <v>37</v>
      </c>
      <c r="H199" s="12">
        <v>66</v>
      </c>
      <c r="I199" s="1">
        <f>VLOOKUP($B199&amp;"__wt",'SegEnds_Xtal_BW#'!$A:$Z,9,FALSE)</f>
        <v>49</v>
      </c>
      <c r="J199" s="1">
        <f>VLOOKUP($B199&amp;"__wt",'SegEnds_Xtal_BW#'!$A:$Z,10,FALSE)</f>
        <v>52</v>
      </c>
      <c r="K199" s="12">
        <f>VLOOKUP($B199&amp;"__wt",'SegEnds_Xtal_BW#'!$A:$Z,11,FALSE)</f>
        <v>21</v>
      </c>
      <c r="L199" s="1">
        <f>VLOOKUP($B199&amp;"__wt",'SegEnds_Xtal_BW#'!$A:$Z,12,FALSE)</f>
        <v>56</v>
      </c>
      <c r="M199" s="1">
        <f>VLOOKUP($B199&amp;"__wt",'SegEnds_Xtal_BW#'!$A:$Z,13,FALSE)</f>
        <v>50</v>
      </c>
      <c r="N199" s="12">
        <f>VLOOKUP($B199&amp;"__wt",'SegEnds_Xtal_BW#'!$A:$Z,14,FALSE)</f>
        <v>57</v>
      </c>
      <c r="O199" s="89">
        <f>VLOOKUP($B199&amp;"__wt",'SegEnds_Xtal_BW#'!$A:$Z,15,FALSE)</f>
        <v>38</v>
      </c>
      <c r="P199" s="1">
        <f>VLOOKUP($B199&amp;"__wt",'SegEnds_Xtal_BW#'!$A:$Z,16,FALSE)</f>
        <v>64</v>
      </c>
      <c r="Q199" s="1">
        <f>VLOOKUP($B199&amp;"__wt",'SegEnds_Xtal_BW#'!$A:$Z,17,FALSE)</f>
        <v>50</v>
      </c>
      <c r="R199" s="1">
        <f>VLOOKUP($B199&amp;"__wt",'SegEnds_Xtal_BW#'!$A:$Z,18,FALSE)</f>
        <v>52</v>
      </c>
      <c r="S199" s="1">
        <f>VLOOKUP($B199&amp;"__wt",'SegEnds_Xtal_BW#'!$A:$Z,19,FALSE)</f>
        <v>31</v>
      </c>
      <c r="T199" s="1">
        <f t="array" ref="T199">INDEX('ICL3'!$G$2:$G$40,MATCH(MIN(ABS(AH199-'ICL3'!$F$2:$F$40)),ABS(AH199-'ICL3'!$F$2:$F$40),0))</f>
        <v>68</v>
      </c>
      <c r="U199" s="1">
        <f t="array" ref="U199">INDEX('ICL3'!$H$2:$H$40,MATCH(MIN(ABS(AH199-'ICL3'!$F$2:$F$40)),ABS(AH199-'ICL3'!$F$2:$F$40),0))</f>
        <v>23</v>
      </c>
      <c r="V199" s="1">
        <v>61</v>
      </c>
      <c r="W199" s="1">
        <v>28</v>
      </c>
      <c r="X199" s="1">
        <f>VLOOKUP($B199&amp;"__wt",'SegEnds_Xtal_BW#'!$A:$Z,24,FALSE)</f>
        <v>56</v>
      </c>
      <c r="Y199" s="1">
        <f>VLOOKUP($B199&amp;"__wt",'SegEnds_Xtal_BW#'!$A:$Z,25,FALSE)</f>
        <v>47</v>
      </c>
      <c r="Z199" s="1">
        <f>VLOOKUP($B199&amp;"__wt",'SegEnds_Xtal_BW#'!$A:$Z,26,FALSE)</f>
        <v>60</v>
      </c>
      <c r="AA199" s="27" t="str">
        <f>VLOOKUP(A199,Classification!A:B,2,FALSE)</f>
        <v>A</v>
      </c>
      <c r="AB199" s="1">
        <f>VLOOKUP(A199,'SegEnds_NonXtal_Prot#'!A:AL,10,FALSE)-VLOOKUP(A199,'SegEnds_NonXtal_Prot#'!A:AL,7,FALSE)</f>
        <v>15</v>
      </c>
      <c r="AC199" s="1">
        <f>VLOOKUP(A199,'SegEnds_NonXtal_Prot#'!A:AL,13,FALSE)-VLOOKUP(A199,'SegEnds_NonXtal_Prot#'!A:AL,10,FALSE)</f>
        <v>19</v>
      </c>
      <c r="AD199" s="1">
        <f>VLOOKUP(A199,'SegEnds_NonXtal_Prot#'!A:AL,16,FALSE)-VLOOKUP(A199,'SegEnds_NonXtal_Prot#'!A:AL,10,FALSE)</f>
        <v>51</v>
      </c>
      <c r="AE199" s="1">
        <f>VLOOKUP(A199,'SegEnds_NonXtal_Prot#'!A:AL,22,FALSE)-VLOOKUP(A199,'SegEnds_NonXtal_Prot#'!A:AL,19,FALSE)</f>
        <v>20</v>
      </c>
      <c r="AF199" s="1">
        <f>VLOOKUP(A199,'SegEnds_NonXtal_Prot#'!A:AL,28,FALSE)-VLOOKUP(A199,'SegEnds_NonXtal_Prot#'!A:AL,25,FALSE)</f>
        <v>27</v>
      </c>
      <c r="AG199" s="1">
        <f>VLOOKUP(A199,'SegEnds_NonXtal_Prot#'!A:AL,28,FALSE)-VLOOKUP(A199,'SegEnds_NonXtal_Prot#'!A:AL,22,FALSE)</f>
        <v>52</v>
      </c>
      <c r="AH199" s="1">
        <f>VLOOKUP(A199,'SegEnds_NonXtal_Prot#'!A:AL,31,FALSE)-VLOOKUP(A199,'SegEnds_NonXtal_Prot#'!A:AL,28,FALSE)</f>
        <v>51</v>
      </c>
      <c r="AI199" s="1">
        <f>VLOOKUP(A199,'SegEnds_NonXtal_Prot#'!A:AL,34,FALSE)-VLOOKUP(A199,'SegEnds_NonXtal_Prot#'!A:AL,31,FALSE)</f>
        <v>39</v>
      </c>
      <c r="AJ199" s="1" t="str">
        <f>IF(ISERROR(MATCH(A199,'SegEnds_Xtal_Prot#'!B:B, 0)), "NoXtal", "Xtal")</f>
        <v>Xtal</v>
      </c>
    </row>
    <row r="200" spans="1:36" x14ac:dyDescent="0.2">
      <c r="A200" s="1" t="s">
        <v>916</v>
      </c>
      <c r="B200" s="1" t="str">
        <f>VLOOKUP(A200,Xtal_Templ!A:B,2,FALSE)</f>
        <v>oprd_human</v>
      </c>
      <c r="C200" s="5">
        <f>VLOOKUP($B200&amp;"__wt",'SegEnds_Xtal_BW#'!$A:$Z,3,FALSE)</f>
        <v>22</v>
      </c>
      <c r="D200" s="1">
        <f>VLOOKUP($B200&amp;"__wt",'SegEnds_Xtal_BW#'!$A:$Z,4,FALSE)</f>
        <v>60</v>
      </c>
      <c r="E200" s="1">
        <f>VLOOKUP($B200&amp;"__wt",'SegEnds_Xtal_BW#'!$A:$Z,5,FALSE)</f>
        <v>48</v>
      </c>
      <c r="F200" s="1">
        <f>VLOOKUP($B200&amp;"__wt",'SegEnds_Xtal_BW#'!$A:$Z,6,FALSE)</f>
        <v>51</v>
      </c>
      <c r="G200" s="1">
        <v>37</v>
      </c>
      <c r="H200" s="12">
        <v>66</v>
      </c>
      <c r="I200" s="1">
        <f>VLOOKUP($B200&amp;"__wt",'SegEnds_Xtal_BW#'!$A:$Z,9,FALSE)</f>
        <v>49</v>
      </c>
      <c r="J200" s="1">
        <f>VLOOKUP($B200&amp;"__wt",'SegEnds_Xtal_BW#'!$A:$Z,10,FALSE)</f>
        <v>52</v>
      </c>
      <c r="K200" s="12">
        <f>VLOOKUP($B200&amp;"__wt",'SegEnds_Xtal_BW#'!$A:$Z,11,FALSE)</f>
        <v>21</v>
      </c>
      <c r="L200" s="1">
        <f>VLOOKUP($B200&amp;"__wt",'SegEnds_Xtal_BW#'!$A:$Z,12,FALSE)</f>
        <v>56</v>
      </c>
      <c r="M200" s="1">
        <f>VLOOKUP($B200&amp;"__wt",'SegEnds_Xtal_BW#'!$A:$Z,13,FALSE)</f>
        <v>50</v>
      </c>
      <c r="N200" s="12">
        <f>VLOOKUP($B200&amp;"__wt",'SegEnds_Xtal_BW#'!$A:$Z,14,FALSE)</f>
        <v>57</v>
      </c>
      <c r="O200" s="89">
        <f>VLOOKUP($B200&amp;"__wt",'SegEnds_Xtal_BW#'!$A:$Z,15,FALSE)</f>
        <v>38</v>
      </c>
      <c r="P200" s="1">
        <f>VLOOKUP($B200&amp;"__wt",'SegEnds_Xtal_BW#'!$A:$Z,16,FALSE)</f>
        <v>64</v>
      </c>
      <c r="Q200" s="1">
        <f>VLOOKUP($B200&amp;"__wt",'SegEnds_Xtal_BW#'!$A:$Z,17,FALSE)</f>
        <v>50</v>
      </c>
      <c r="R200" s="1">
        <f>VLOOKUP($B200&amp;"__wt",'SegEnds_Xtal_BW#'!$A:$Z,18,FALSE)</f>
        <v>52</v>
      </c>
      <c r="S200" s="1">
        <f>VLOOKUP($B200&amp;"__wt",'SegEnds_Xtal_BW#'!$A:$Z,19,FALSE)</f>
        <v>31</v>
      </c>
      <c r="T200" s="1">
        <f t="array" ref="T200">INDEX('ICL3'!$G$2:$G$40,MATCH(MIN(ABS(AH200-'ICL3'!$F$2:$F$40)),ABS(AH200-'ICL3'!$F$2:$F$40),0))</f>
        <v>68</v>
      </c>
      <c r="U200" s="1">
        <f t="array" ref="U200">INDEX('ICL3'!$H$2:$H$40,MATCH(MIN(ABS(AH200-'ICL3'!$F$2:$F$40)),ABS(AH200-'ICL3'!$F$2:$F$40),0))</f>
        <v>23</v>
      </c>
      <c r="V200" s="1">
        <v>61</v>
      </c>
      <c r="W200" s="1">
        <v>28</v>
      </c>
      <c r="X200" s="1">
        <f>VLOOKUP($B200&amp;"__wt",'SegEnds_Xtal_BW#'!$A:$Z,24,FALSE)</f>
        <v>56</v>
      </c>
      <c r="Y200" s="1">
        <f>VLOOKUP($B200&amp;"__wt",'SegEnds_Xtal_BW#'!$A:$Z,25,FALSE)</f>
        <v>47</v>
      </c>
      <c r="Z200" s="1">
        <f>VLOOKUP($B200&amp;"__wt",'SegEnds_Xtal_BW#'!$A:$Z,26,FALSE)</f>
        <v>60</v>
      </c>
      <c r="AA200" s="27" t="str">
        <f>VLOOKUP(A200,Classification!A:B,2,FALSE)</f>
        <v>A</v>
      </c>
      <c r="AB200" s="1">
        <f>VLOOKUP(A200,'SegEnds_NonXtal_Prot#'!A:AL,10,FALSE)-VLOOKUP(A200,'SegEnds_NonXtal_Prot#'!A:AL,7,FALSE)</f>
        <v>15</v>
      </c>
      <c r="AC200" s="1">
        <f>VLOOKUP(A200,'SegEnds_NonXtal_Prot#'!A:AL,13,FALSE)-VLOOKUP(A200,'SegEnds_NonXtal_Prot#'!A:AL,10,FALSE)</f>
        <v>19</v>
      </c>
      <c r="AD200" s="1">
        <f>VLOOKUP(A200,'SegEnds_NonXtal_Prot#'!A:AL,16,FALSE)-VLOOKUP(A200,'SegEnds_NonXtal_Prot#'!A:AL,10,FALSE)</f>
        <v>51</v>
      </c>
      <c r="AE200" s="1">
        <f>VLOOKUP(A200,'SegEnds_NonXtal_Prot#'!A:AL,22,FALSE)-VLOOKUP(A200,'SegEnds_NonXtal_Prot#'!A:AL,19,FALSE)</f>
        <v>20</v>
      </c>
      <c r="AF200" s="1">
        <f>VLOOKUP(A200,'SegEnds_NonXtal_Prot#'!A:AL,28,FALSE)-VLOOKUP(A200,'SegEnds_NonXtal_Prot#'!A:AL,25,FALSE)</f>
        <v>27</v>
      </c>
      <c r="AG200" s="1">
        <f>VLOOKUP(A200,'SegEnds_NonXtal_Prot#'!A:AL,28,FALSE)-VLOOKUP(A200,'SegEnds_NonXtal_Prot#'!A:AL,22,FALSE)</f>
        <v>52</v>
      </c>
      <c r="AH200" s="1">
        <f>VLOOKUP(A200,'SegEnds_NonXtal_Prot#'!A:AL,31,FALSE)-VLOOKUP(A200,'SegEnds_NonXtal_Prot#'!A:AL,28,FALSE)</f>
        <v>51</v>
      </c>
      <c r="AI200" s="1">
        <f>VLOOKUP(A200,'SegEnds_NonXtal_Prot#'!A:AL,34,FALSE)-VLOOKUP(A200,'SegEnds_NonXtal_Prot#'!A:AL,31,FALSE)</f>
        <v>39</v>
      </c>
      <c r="AJ200" s="1" t="str">
        <f>IF(ISERROR(MATCH(A200,'SegEnds_Xtal_Prot#'!B:B, 0)), "NoXtal", "Xtal")</f>
        <v>Xtal</v>
      </c>
    </row>
    <row r="201" spans="1:36" x14ac:dyDescent="0.2">
      <c r="A201" s="1" t="s">
        <v>336</v>
      </c>
      <c r="B201" s="1" t="str">
        <f>VLOOKUP(A201,Xtal_Templ!A:B,2,FALSE)</f>
        <v>oprk_human</v>
      </c>
      <c r="C201" s="5">
        <f>VLOOKUP($B201&amp;"__wt",'SegEnds_Xtal_BW#'!$A:$Z,3,FALSE)</f>
        <v>30</v>
      </c>
      <c r="D201" s="1">
        <f>VLOOKUP($B201&amp;"__wt",'SegEnds_Xtal_BW#'!$A:$Z,4,FALSE)</f>
        <v>60</v>
      </c>
      <c r="E201" s="1">
        <f>VLOOKUP($B201&amp;"__wt",'SegEnds_Xtal_BW#'!$A:$Z,5,FALSE)</f>
        <v>48</v>
      </c>
      <c r="F201" s="1">
        <f>VLOOKUP($B201&amp;"__wt",'SegEnds_Xtal_BW#'!$A:$Z,6,FALSE)</f>
        <v>51</v>
      </c>
      <c r="G201" s="1">
        <v>37</v>
      </c>
      <c r="H201" s="12">
        <v>66</v>
      </c>
      <c r="I201" s="1">
        <f>VLOOKUP($B201&amp;"__wt",'SegEnds_Xtal_BW#'!$A:$Z,9,FALSE)</f>
        <v>49</v>
      </c>
      <c r="J201" s="1">
        <f>VLOOKUP($B201&amp;"__wt",'SegEnds_Xtal_BW#'!$A:$Z,10,FALSE)</f>
        <v>52</v>
      </c>
      <c r="K201" s="12">
        <f>VLOOKUP($B201&amp;"__wt",'SegEnds_Xtal_BW#'!$A:$Z,11,FALSE)</f>
        <v>21</v>
      </c>
      <c r="L201" s="1">
        <f>VLOOKUP($B201&amp;"__wt",'SegEnds_Xtal_BW#'!$A:$Z,12,FALSE)</f>
        <v>56</v>
      </c>
      <c r="M201" s="1">
        <f>VLOOKUP($B201&amp;"__wt",'SegEnds_Xtal_BW#'!$A:$Z,13,FALSE)</f>
        <v>50</v>
      </c>
      <c r="N201" s="12">
        <f>VLOOKUP($B201&amp;"__wt",'SegEnds_Xtal_BW#'!$A:$Z,14,FALSE)</f>
        <v>57</v>
      </c>
      <c r="O201" s="89">
        <f>VLOOKUP($B201&amp;"__wt",'SegEnds_Xtal_BW#'!$A:$Z,15,FALSE)</f>
        <v>38</v>
      </c>
      <c r="P201" s="1">
        <f>VLOOKUP($B201&amp;"__wt",'SegEnds_Xtal_BW#'!$A:$Z,16,FALSE)</f>
        <v>64</v>
      </c>
      <c r="Q201" s="1">
        <f>VLOOKUP($B201&amp;"__wt",'SegEnds_Xtal_BW#'!$A:$Z,17,FALSE)</f>
        <v>50</v>
      </c>
      <c r="R201" s="1">
        <f>VLOOKUP($B201&amp;"__wt",'SegEnds_Xtal_BW#'!$A:$Z,18,FALSE)</f>
        <v>52</v>
      </c>
      <c r="S201" s="1">
        <f>VLOOKUP($B201&amp;"__wt",'SegEnds_Xtal_BW#'!$A:$Z,19,FALSE)</f>
        <v>31</v>
      </c>
      <c r="T201" s="1">
        <f t="array" ref="T201">INDEX('ICL3'!$G$2:$G$40,MATCH(MIN(ABS(AH201-'ICL3'!$F$2:$F$40)),ABS(AH201-'ICL3'!$F$2:$F$40),0))</f>
        <v>68</v>
      </c>
      <c r="U201" s="1">
        <f t="array" ref="U201">INDEX('ICL3'!$H$2:$H$40,MATCH(MIN(ABS(AH201-'ICL3'!$F$2:$F$40)),ABS(AH201-'ICL3'!$F$2:$F$40),0))</f>
        <v>23</v>
      </c>
      <c r="V201" s="1">
        <v>61</v>
      </c>
      <c r="W201" s="1">
        <v>28</v>
      </c>
      <c r="X201" s="1">
        <f>VLOOKUP($B201&amp;"__wt",'SegEnds_Xtal_BW#'!$A:$Z,24,FALSE)</f>
        <v>56</v>
      </c>
      <c r="Y201" s="1">
        <f>VLOOKUP($B201&amp;"__wt",'SegEnds_Xtal_BW#'!$A:$Z,25,FALSE)</f>
        <v>47</v>
      </c>
      <c r="Z201" s="1">
        <f>VLOOKUP($B201&amp;"__wt",'SegEnds_Xtal_BW#'!$A:$Z,26,FALSE)</f>
        <v>59</v>
      </c>
      <c r="AA201" s="27" t="str">
        <f>VLOOKUP(A201,Classification!A:B,2,FALSE)</f>
        <v>A</v>
      </c>
      <c r="AB201" s="1">
        <f>VLOOKUP(A201,'SegEnds_NonXtal_Prot#'!A:AL,10,FALSE)-VLOOKUP(A201,'SegEnds_NonXtal_Prot#'!A:AL,7,FALSE)</f>
        <v>15</v>
      </c>
      <c r="AC201" s="1">
        <f>VLOOKUP(A201,'SegEnds_NonXtal_Prot#'!A:AL,13,FALSE)-VLOOKUP(A201,'SegEnds_NonXtal_Prot#'!A:AL,10,FALSE)</f>
        <v>19</v>
      </c>
      <c r="AD201" s="1">
        <f>VLOOKUP(A201,'SegEnds_NonXtal_Prot#'!A:AL,16,FALSE)-VLOOKUP(A201,'SegEnds_NonXtal_Prot#'!A:AL,10,FALSE)</f>
        <v>51</v>
      </c>
      <c r="AE201" s="1">
        <f>VLOOKUP(A201,'SegEnds_NonXtal_Prot#'!A:AL,22,FALSE)-VLOOKUP(A201,'SegEnds_NonXtal_Prot#'!A:AL,19,FALSE)</f>
        <v>20</v>
      </c>
      <c r="AF201" s="1">
        <f>VLOOKUP(A201,'SegEnds_NonXtal_Prot#'!A:AL,28,FALSE)-VLOOKUP(A201,'SegEnds_NonXtal_Prot#'!A:AL,25,FALSE)</f>
        <v>28</v>
      </c>
      <c r="AG201" s="1">
        <f>VLOOKUP(A201,'SegEnds_NonXtal_Prot#'!A:AL,28,FALSE)-VLOOKUP(A201,'SegEnds_NonXtal_Prot#'!A:AL,22,FALSE)</f>
        <v>55</v>
      </c>
      <c r="AH201" s="1">
        <f>VLOOKUP(A201,'SegEnds_NonXtal_Prot#'!A:AL,31,FALSE)-VLOOKUP(A201,'SegEnds_NonXtal_Prot#'!A:AL,28,FALSE)</f>
        <v>51</v>
      </c>
      <c r="AI201" s="1">
        <f>VLOOKUP(A201,'SegEnds_NonXtal_Prot#'!A:AL,34,FALSE)-VLOOKUP(A201,'SegEnds_NonXtal_Prot#'!A:AL,31,FALSE)</f>
        <v>38</v>
      </c>
      <c r="AJ201" s="1" t="str">
        <f>IF(ISERROR(MATCH(A201,'SegEnds_Xtal_Prot#'!B:B, 0)), "NoXtal", "Xtal")</f>
        <v>Xtal</v>
      </c>
    </row>
    <row r="202" spans="1:36" x14ac:dyDescent="0.2">
      <c r="A202" s="1" t="s">
        <v>337</v>
      </c>
      <c r="B202" s="1" t="str">
        <f>VLOOKUP(A202,Xtal_Templ!A:B,2,FALSE)</f>
        <v>oprm_mouse</v>
      </c>
      <c r="C202" s="5">
        <f>VLOOKUP($B202&amp;"__wt",'SegEnds_Xtal_BW#'!$A:$Z,3,FALSE)</f>
        <v>29</v>
      </c>
      <c r="D202" s="1">
        <f>VLOOKUP($B202&amp;"__wt",'SegEnds_Xtal_BW#'!$A:$Z,4,FALSE)</f>
        <v>60</v>
      </c>
      <c r="E202" s="1">
        <f>VLOOKUP($B202&amp;"__wt",'SegEnds_Xtal_BW#'!$A:$Z,5,FALSE)</f>
        <v>48</v>
      </c>
      <c r="F202" s="1">
        <f>VLOOKUP($B202&amp;"__wt",'SegEnds_Xtal_BW#'!$A:$Z,6,FALSE)</f>
        <v>51</v>
      </c>
      <c r="G202" s="1">
        <v>37</v>
      </c>
      <c r="H202" s="12">
        <v>66</v>
      </c>
      <c r="I202" s="1">
        <f>VLOOKUP($B202&amp;"__wt",'SegEnds_Xtal_BW#'!$A:$Z,9,FALSE)</f>
        <v>49</v>
      </c>
      <c r="J202" s="1">
        <f>VLOOKUP($B202&amp;"__wt",'SegEnds_Xtal_BW#'!$A:$Z,10,FALSE)</f>
        <v>52</v>
      </c>
      <c r="K202" s="12">
        <v>21</v>
      </c>
      <c r="L202" s="1">
        <f>VLOOKUP($B202&amp;"__wt",'SegEnds_Xtal_BW#'!$A:$Z,12,FALSE)</f>
        <v>56</v>
      </c>
      <c r="M202" s="1">
        <f>VLOOKUP($B202&amp;"__wt",'SegEnds_Xtal_BW#'!$A:$Z,13,FALSE)</f>
        <v>50</v>
      </c>
      <c r="N202" s="12">
        <v>57</v>
      </c>
      <c r="O202" s="89">
        <v>38</v>
      </c>
      <c r="P202" s="1">
        <f>VLOOKUP($B202&amp;"__wt",'SegEnds_Xtal_BW#'!$A:$Z,16,FALSE)</f>
        <v>64</v>
      </c>
      <c r="Q202" s="1">
        <f>VLOOKUP($B202&amp;"__wt",'SegEnds_Xtal_BW#'!$A:$Z,17,FALSE)</f>
        <v>50</v>
      </c>
      <c r="R202" s="1">
        <f>VLOOKUP($B202&amp;"__wt",'SegEnds_Xtal_BW#'!$A:$Z,18,FALSE)</f>
        <v>52</v>
      </c>
      <c r="S202" s="1">
        <f>VLOOKUP($B202&amp;"__wt",'SegEnds_Xtal_BW#'!$A:$Z,19,FALSE)</f>
        <v>31</v>
      </c>
      <c r="T202" s="1">
        <f t="array" ref="T202">INDEX('ICL3'!$G$2:$G$40,MATCH(MIN(ABS(AH202-'ICL3'!$F$2:$F$40)),ABS(AH202-'ICL3'!$F$2:$F$40),0))</f>
        <v>68</v>
      </c>
      <c r="U202" s="1">
        <f t="array" ref="U202">INDEX('ICL3'!$H$2:$H$40,MATCH(MIN(ABS(AH202-'ICL3'!$F$2:$F$40)),ABS(AH202-'ICL3'!$F$2:$F$40),0))</f>
        <v>23</v>
      </c>
      <c r="V202" s="1">
        <v>61</v>
      </c>
      <c r="W202" s="1">
        <v>28</v>
      </c>
      <c r="X202" s="6">
        <f>VLOOKUP($B202&amp;"__wt",'SegEnds_Xtal_BW#'!$A:$Z,24,FALSE)</f>
        <v>56</v>
      </c>
      <c r="Y202" s="1">
        <f>VLOOKUP($B202&amp;"__wt",'SegEnds_Xtal_BW#'!$A:$Z,25,FALSE)</f>
        <v>47</v>
      </c>
      <c r="Z202" s="1">
        <f>VLOOKUP($B202&amp;"__wt",'SegEnds_Xtal_BW#'!$A:$Z,26,FALSE)</f>
        <v>59</v>
      </c>
      <c r="AA202" s="27" t="str">
        <f>VLOOKUP(A202,Classification!A:B,2,FALSE)</f>
        <v>A</v>
      </c>
      <c r="AB202" s="1">
        <f>VLOOKUP(A202,'SegEnds_NonXtal_Prot#'!A:AL,10,FALSE)-VLOOKUP(A202,'SegEnds_NonXtal_Prot#'!A:AL,7,FALSE)</f>
        <v>15</v>
      </c>
      <c r="AC202" s="1">
        <f>VLOOKUP(A202,'SegEnds_NonXtal_Prot#'!A:AL,13,FALSE)-VLOOKUP(A202,'SegEnds_NonXtal_Prot#'!A:AL,10,FALSE)</f>
        <v>19</v>
      </c>
      <c r="AD202" s="1">
        <f>VLOOKUP(A202,'SegEnds_NonXtal_Prot#'!A:AL,16,FALSE)-VLOOKUP(A202,'SegEnds_NonXtal_Prot#'!A:AL,10,FALSE)</f>
        <v>51</v>
      </c>
      <c r="AE202" s="1">
        <f>VLOOKUP(A202,'SegEnds_NonXtal_Prot#'!A:AL,22,FALSE)-VLOOKUP(A202,'SegEnds_NonXtal_Prot#'!A:AL,19,FALSE)</f>
        <v>20</v>
      </c>
      <c r="AF202" s="1">
        <f>VLOOKUP(A202,'SegEnds_NonXtal_Prot#'!A:AL,28,FALSE)-VLOOKUP(A202,'SegEnds_NonXtal_Prot#'!A:AL,25,FALSE)</f>
        <v>27</v>
      </c>
      <c r="AG202" s="1">
        <f>VLOOKUP(A202,'SegEnds_NonXtal_Prot#'!A:AL,28,FALSE)-VLOOKUP(A202,'SegEnds_NonXtal_Prot#'!A:AL,22,FALSE)</f>
        <v>52</v>
      </c>
      <c r="AH202" s="1">
        <f>VLOOKUP(A202,'SegEnds_NonXtal_Prot#'!A:AL,31,FALSE)-VLOOKUP(A202,'SegEnds_NonXtal_Prot#'!A:AL,28,FALSE)</f>
        <v>51</v>
      </c>
      <c r="AI202" s="1">
        <f>VLOOKUP(A202,'SegEnds_NonXtal_Prot#'!A:AL,34,FALSE)-VLOOKUP(A202,'SegEnds_NonXtal_Prot#'!A:AL,31,FALSE)</f>
        <v>38</v>
      </c>
      <c r="AJ202" s="1" t="str">
        <f>IF(ISERROR(MATCH(A202,'SegEnds_Xtal_Prot#'!B:B, 0)), "NoXtal", "Xtal")</f>
        <v>NoXtal</v>
      </c>
    </row>
    <row r="203" spans="1:36" x14ac:dyDescent="0.2">
      <c r="A203" s="1" t="s">
        <v>918</v>
      </c>
      <c r="B203" s="1" t="str">
        <f>VLOOKUP(A203,Xtal_Templ!A:B,2,FALSE)</f>
        <v>oprm_mouse</v>
      </c>
      <c r="C203" s="5">
        <f>VLOOKUP($B203&amp;"__wt",'SegEnds_Xtal_BW#'!$A:$Z,3,FALSE)</f>
        <v>29</v>
      </c>
      <c r="D203" s="1">
        <f>VLOOKUP($B203&amp;"__wt",'SegEnds_Xtal_BW#'!$A:$Z,4,FALSE)</f>
        <v>60</v>
      </c>
      <c r="E203" s="1">
        <f>VLOOKUP($B203&amp;"__wt",'SegEnds_Xtal_BW#'!$A:$Z,5,FALSE)</f>
        <v>48</v>
      </c>
      <c r="F203" s="1">
        <f>VLOOKUP($B203&amp;"__wt",'SegEnds_Xtal_BW#'!$A:$Z,6,FALSE)</f>
        <v>51</v>
      </c>
      <c r="G203" s="1">
        <v>37</v>
      </c>
      <c r="H203" s="12">
        <v>66</v>
      </c>
      <c r="I203" s="1">
        <f>VLOOKUP($B203&amp;"__wt",'SegEnds_Xtal_BW#'!$A:$Z,9,FALSE)</f>
        <v>49</v>
      </c>
      <c r="J203" s="1">
        <f>VLOOKUP($B203&amp;"__wt",'SegEnds_Xtal_BW#'!$A:$Z,10,FALSE)</f>
        <v>52</v>
      </c>
      <c r="K203" s="12">
        <f>VLOOKUP($B203&amp;"__wt",'SegEnds_Xtal_BW#'!$A:$Z,11,FALSE)</f>
        <v>21</v>
      </c>
      <c r="L203" s="1">
        <f>VLOOKUP($B203&amp;"__wt",'SegEnds_Xtal_BW#'!$A:$Z,12,FALSE)</f>
        <v>56</v>
      </c>
      <c r="M203" s="1">
        <f>VLOOKUP($B203&amp;"__wt",'SegEnds_Xtal_BW#'!$A:$Z,13,FALSE)</f>
        <v>50</v>
      </c>
      <c r="N203" s="12">
        <f>VLOOKUP($B203&amp;"__wt",'SegEnds_Xtal_BW#'!$A:$Z,14,FALSE)</f>
        <v>57</v>
      </c>
      <c r="O203" s="89">
        <f>VLOOKUP($B203&amp;"__wt",'SegEnds_Xtal_BW#'!$A:$Z,15,FALSE)</f>
        <v>38</v>
      </c>
      <c r="P203" s="1">
        <f>VLOOKUP($B203&amp;"__wt",'SegEnds_Xtal_BW#'!$A:$Z,16,FALSE)</f>
        <v>64</v>
      </c>
      <c r="Q203" s="1">
        <f>VLOOKUP($B203&amp;"__wt",'SegEnds_Xtal_BW#'!$A:$Z,17,FALSE)</f>
        <v>50</v>
      </c>
      <c r="R203" s="1">
        <f>VLOOKUP($B203&amp;"__wt",'SegEnds_Xtal_BW#'!$A:$Z,18,FALSE)</f>
        <v>52</v>
      </c>
      <c r="S203" s="1">
        <f>VLOOKUP($B203&amp;"__wt",'SegEnds_Xtal_BW#'!$A:$Z,19,FALSE)</f>
        <v>31</v>
      </c>
      <c r="T203" s="1">
        <f t="array" ref="T203">INDEX('ICL3'!$G$2:$G$40,MATCH(MIN(ABS(AH203-'ICL3'!$F$2:$F$40)),ABS(AH203-'ICL3'!$F$2:$F$40),0))</f>
        <v>68</v>
      </c>
      <c r="U203" s="1">
        <f t="array" ref="U203">INDEX('ICL3'!$H$2:$H$40,MATCH(MIN(ABS(AH203-'ICL3'!$F$2:$F$40)),ABS(AH203-'ICL3'!$F$2:$F$40),0))</f>
        <v>23</v>
      </c>
      <c r="V203" s="1">
        <v>61</v>
      </c>
      <c r="W203" s="1">
        <v>28</v>
      </c>
      <c r="X203" s="1">
        <f>VLOOKUP($B203&amp;"__wt",'SegEnds_Xtal_BW#'!$A:$Z,24,FALSE)</f>
        <v>56</v>
      </c>
      <c r="Y203" s="1">
        <f>VLOOKUP($B203&amp;"__wt",'SegEnds_Xtal_BW#'!$A:$Z,25,FALSE)</f>
        <v>47</v>
      </c>
      <c r="Z203" s="1">
        <f>VLOOKUP($B203&amp;"__wt",'SegEnds_Xtal_BW#'!$A:$Z,26,FALSE)</f>
        <v>59</v>
      </c>
      <c r="AA203" s="27" t="str">
        <f>VLOOKUP(A203,Classification!A:B,2,FALSE)</f>
        <v>A</v>
      </c>
      <c r="AB203" s="1">
        <f>VLOOKUP(A203,'SegEnds_NonXtal_Prot#'!A:AL,10,FALSE)-VLOOKUP(A203,'SegEnds_NonXtal_Prot#'!A:AL,7,FALSE)</f>
        <v>15</v>
      </c>
      <c r="AC203" s="1">
        <f>VLOOKUP(A203,'SegEnds_NonXtal_Prot#'!A:AL,13,FALSE)-VLOOKUP(A203,'SegEnds_NonXtal_Prot#'!A:AL,10,FALSE)</f>
        <v>19</v>
      </c>
      <c r="AD203" s="1">
        <f>VLOOKUP(A203,'SegEnds_NonXtal_Prot#'!A:AL,16,FALSE)-VLOOKUP(A203,'SegEnds_NonXtal_Prot#'!A:AL,10,FALSE)</f>
        <v>51</v>
      </c>
      <c r="AE203" s="1">
        <f>VLOOKUP(A203,'SegEnds_NonXtal_Prot#'!A:AL,22,FALSE)-VLOOKUP(A203,'SegEnds_NonXtal_Prot#'!A:AL,19,FALSE)</f>
        <v>20</v>
      </c>
      <c r="AF203" s="1">
        <f>VLOOKUP(A203,'SegEnds_NonXtal_Prot#'!A:AL,28,FALSE)-VLOOKUP(A203,'SegEnds_NonXtal_Prot#'!A:AL,25,FALSE)</f>
        <v>27</v>
      </c>
      <c r="AG203" s="1">
        <f>VLOOKUP(A203,'SegEnds_NonXtal_Prot#'!A:AL,28,FALSE)-VLOOKUP(A203,'SegEnds_NonXtal_Prot#'!A:AL,22,FALSE)</f>
        <v>52</v>
      </c>
      <c r="AH203" s="1">
        <f>VLOOKUP(A203,'SegEnds_NonXtal_Prot#'!A:AL,31,FALSE)-VLOOKUP(A203,'SegEnds_NonXtal_Prot#'!A:AL,28,FALSE)</f>
        <v>51</v>
      </c>
      <c r="AI203" s="1">
        <f>VLOOKUP(A203,'SegEnds_NonXtal_Prot#'!A:AL,34,FALSE)-VLOOKUP(A203,'SegEnds_NonXtal_Prot#'!A:AL,31,FALSE)</f>
        <v>38</v>
      </c>
      <c r="AJ203" s="1" t="str">
        <f>IF(ISERROR(MATCH(A203,'SegEnds_Xtal_Prot#'!B:B, 0)), "NoXtal", "Xtal")</f>
        <v>Xtal</v>
      </c>
    </row>
    <row r="204" spans="1:36" x14ac:dyDescent="0.2">
      <c r="A204" s="1" t="s">
        <v>1174</v>
      </c>
      <c r="B204" s="1" t="str">
        <f>VLOOKUP(A204,Xtal_Templ!A:B,2,FALSE)</f>
        <v>oprx_human</v>
      </c>
      <c r="C204" s="5">
        <f>VLOOKUP($B204&amp;"__wt",'SegEnds_Xtal_BW#'!$A:$Z,3,FALSE)</f>
        <v>29</v>
      </c>
      <c r="D204" s="1">
        <f>VLOOKUP($B204&amp;"__wt",'SegEnds_Xtal_BW#'!$A:$Z,4,FALSE)</f>
        <v>60</v>
      </c>
      <c r="E204" s="1">
        <f>VLOOKUP($B204&amp;"__wt",'SegEnds_Xtal_BW#'!$A:$Z,5,FALSE)</f>
        <v>48</v>
      </c>
      <c r="F204" s="1">
        <f>VLOOKUP($B204&amp;"__wt",'SegEnds_Xtal_BW#'!$A:$Z,6,FALSE)</f>
        <v>51</v>
      </c>
      <c r="G204" s="1">
        <v>37</v>
      </c>
      <c r="H204" s="12">
        <v>66</v>
      </c>
      <c r="I204" s="1">
        <f>VLOOKUP($B204&amp;"__wt",'SegEnds_Xtal_BW#'!$A:$Z,9,FALSE)</f>
        <v>49</v>
      </c>
      <c r="J204" s="1">
        <f>VLOOKUP($B204&amp;"__wt",'SegEnds_Xtal_BW#'!$A:$Z,10,FALSE)</f>
        <v>52</v>
      </c>
      <c r="K204" s="12">
        <f>VLOOKUP($B204&amp;"__wt",'SegEnds_Xtal_BW#'!$A:$Z,11,FALSE)</f>
        <v>21</v>
      </c>
      <c r="L204" s="1">
        <f>VLOOKUP($B204&amp;"__wt",'SegEnds_Xtal_BW#'!$A:$Z,12,FALSE)</f>
        <v>56</v>
      </c>
      <c r="M204" s="1">
        <f>VLOOKUP($B204&amp;"__wt",'SegEnds_Xtal_BW#'!$A:$Z,13,FALSE)</f>
        <v>50</v>
      </c>
      <c r="N204" s="12">
        <f>VLOOKUP($B204&amp;"__wt",'SegEnds_Xtal_BW#'!$A:$Z,14,FALSE)</f>
        <v>57</v>
      </c>
      <c r="O204" s="89">
        <f>VLOOKUP($B204&amp;"__wt",'SegEnds_Xtal_BW#'!$A:$Z,15,FALSE)</f>
        <v>38</v>
      </c>
      <c r="P204" s="1">
        <f>VLOOKUP($B204&amp;"__wt",'SegEnds_Xtal_BW#'!$A:$Z,16,FALSE)</f>
        <v>64</v>
      </c>
      <c r="Q204" s="1">
        <f>VLOOKUP($B204&amp;"__wt",'SegEnds_Xtal_BW#'!$A:$Z,17,FALSE)</f>
        <v>50</v>
      </c>
      <c r="R204" s="1">
        <f>VLOOKUP($B204&amp;"__wt",'SegEnds_Xtal_BW#'!$A:$Z,18,FALSE)</f>
        <v>52</v>
      </c>
      <c r="S204" s="1">
        <f>VLOOKUP($B204&amp;"__wt",'SegEnds_Xtal_BW#'!$A:$Z,19,FALSE)</f>
        <v>31</v>
      </c>
      <c r="T204" s="1">
        <f t="array" ref="T204">INDEX('ICL3'!$G$2:$G$40,MATCH(MIN(ABS(AH204-'ICL3'!$F$2:$F$40)),ABS(AH204-'ICL3'!$F$2:$F$40),0))</f>
        <v>68</v>
      </c>
      <c r="U204" s="1">
        <f t="array" ref="U204">INDEX('ICL3'!$H$2:$H$40,MATCH(MIN(ABS(AH204-'ICL3'!$F$2:$F$40)),ABS(AH204-'ICL3'!$F$2:$F$40),0))</f>
        <v>23</v>
      </c>
      <c r="V204" s="1">
        <v>61</v>
      </c>
      <c r="W204" s="1">
        <v>28</v>
      </c>
      <c r="X204" s="6">
        <f>VLOOKUP($B204&amp;"__wt",'SegEnds_Xtal_BW#'!$A:$Z,24,FALSE)</f>
        <v>56</v>
      </c>
      <c r="Y204" s="1">
        <f>VLOOKUP($B204&amp;"__wt",'SegEnds_Xtal_BW#'!$A:$Z,25,FALSE)</f>
        <v>47</v>
      </c>
      <c r="Z204" s="1">
        <f>VLOOKUP($B204&amp;"__wt",'SegEnds_Xtal_BW#'!$A:$Z,26,FALSE)</f>
        <v>59</v>
      </c>
      <c r="AA204" s="27" t="str">
        <f>VLOOKUP(A204,Classification!A:B,2,FALSE)</f>
        <v>A</v>
      </c>
      <c r="AB204" s="1">
        <f>VLOOKUP(A204,'SegEnds_NonXtal_Prot#'!A:AL,10,FALSE)-VLOOKUP(A204,'SegEnds_NonXtal_Prot#'!A:AL,7,FALSE)</f>
        <v>15</v>
      </c>
      <c r="AC204" s="1">
        <f>VLOOKUP(A204,'SegEnds_NonXtal_Prot#'!A:AL,13,FALSE)-VLOOKUP(A204,'SegEnds_NonXtal_Prot#'!A:AL,10,FALSE)</f>
        <v>19</v>
      </c>
      <c r="AD204" s="1">
        <f>VLOOKUP(A204,'SegEnds_NonXtal_Prot#'!A:AL,16,FALSE)-VLOOKUP(A204,'SegEnds_NonXtal_Prot#'!A:AL,10,FALSE)</f>
        <v>51</v>
      </c>
      <c r="AE204" s="1">
        <f>VLOOKUP(A204,'SegEnds_NonXtal_Prot#'!A:AL,22,FALSE)-VLOOKUP(A204,'SegEnds_NonXtal_Prot#'!A:AL,19,FALSE)</f>
        <v>20</v>
      </c>
      <c r="AF204" s="1">
        <f>VLOOKUP(A204,'SegEnds_NonXtal_Prot#'!A:AL,28,FALSE)-VLOOKUP(A204,'SegEnds_NonXtal_Prot#'!A:AL,25,FALSE)</f>
        <v>27</v>
      </c>
      <c r="AG204" s="1">
        <f>VLOOKUP(A204,'SegEnds_NonXtal_Prot#'!A:AL,28,FALSE)-VLOOKUP(A204,'SegEnds_NonXtal_Prot#'!A:AL,22,FALSE)</f>
        <v>52</v>
      </c>
      <c r="AH204" s="1">
        <f>VLOOKUP(A204,'SegEnds_NonXtal_Prot#'!A:AL,31,FALSE)-VLOOKUP(A204,'SegEnds_NonXtal_Prot#'!A:AL,28,FALSE)</f>
        <v>51</v>
      </c>
      <c r="AI204" s="1">
        <f>VLOOKUP(A204,'SegEnds_NonXtal_Prot#'!A:AL,34,FALSE)-VLOOKUP(A204,'SegEnds_NonXtal_Prot#'!A:AL,31,FALSE)</f>
        <v>38</v>
      </c>
      <c r="AJ204" s="1" t="str">
        <f>IF(ISERROR(MATCH(A204,'SegEnds_Xtal_Prot#'!B:B, 0)), "NoXtal", "Xtal")</f>
        <v>Xtal</v>
      </c>
    </row>
    <row r="205" spans="1:36" x14ac:dyDescent="0.2">
      <c r="A205" s="1" t="s">
        <v>922</v>
      </c>
      <c r="B205" s="1" t="str">
        <f>VLOOKUP(A205,Xtal_Templ!A:B,2,FALSE)</f>
        <v>opsd_todpa</v>
      </c>
      <c r="C205" s="5">
        <f>VLOOKUP($B205&amp;"__wt",'SegEnds_Xtal_BW#'!$A:$Z,3,FALSE)</f>
        <v>29</v>
      </c>
      <c r="D205" s="1">
        <f>VLOOKUP($B205&amp;"__wt",'SegEnds_Xtal_BW#'!$A:$Z,4,FALSE)</f>
        <v>60</v>
      </c>
      <c r="E205" s="1">
        <f>VLOOKUP($B205&amp;"__wt",'SegEnds_Xtal_BW#'!$A:$Z,5,FALSE)</f>
        <v>48</v>
      </c>
      <c r="F205" s="1">
        <f>VLOOKUP($B205&amp;"__wt",'SegEnds_Xtal_BW#'!$A:$Z,6,FALSE)</f>
        <v>51</v>
      </c>
      <c r="G205" s="1">
        <v>37</v>
      </c>
      <c r="H205" s="12">
        <f>VLOOKUP($B205&amp;"__wt",'SegEnds_Xtal_BW#'!$A:$Z,8,FALSE)</f>
        <v>69</v>
      </c>
      <c r="I205" s="1">
        <f>VLOOKUP($B205&amp;"__wt",'SegEnds_Xtal_BW#'!$A:$Z,9,FALSE)</f>
        <v>49</v>
      </c>
      <c r="J205" s="1">
        <f>VLOOKUP($B205&amp;"__wt",'SegEnds_Xtal_BW#'!$A:$Z,10,FALSE)</f>
        <v>52</v>
      </c>
      <c r="K205" s="12">
        <v>18</v>
      </c>
      <c r="L205" s="1">
        <f>VLOOKUP($B205&amp;"__wt",'SegEnds_Xtal_BW#'!$A:$Z,12,FALSE)</f>
        <v>56</v>
      </c>
      <c r="M205" s="1">
        <f>VLOOKUP($B205&amp;"__wt",'SegEnds_Xtal_BW#'!$A:$Z,13,FALSE)</f>
        <v>50</v>
      </c>
      <c r="N205" s="12">
        <f>VLOOKUP($B205&amp;"__wt",'SegEnds_Xtal_BW#'!$A:$Z,14,FALSE)</f>
        <v>57</v>
      </c>
      <c r="O205" s="89">
        <f>VLOOKUP($B205&amp;"__wt",'SegEnds_Xtal_BW#'!$A:$Z,15,FALSE)</f>
        <v>38</v>
      </c>
      <c r="P205" s="1">
        <f>VLOOKUP($B205&amp;"__wt",'SegEnds_Xtal_BW#'!$A:$Z,16,FALSE)</f>
        <v>62</v>
      </c>
      <c r="Q205" s="1">
        <f>VLOOKUP($B205&amp;"__wt",'SegEnds_Xtal_BW#'!$A:$Z,17,FALSE)</f>
        <v>50</v>
      </c>
      <c r="R205" s="1">
        <f>VLOOKUP($B205&amp;"__wt",'SegEnds_Xtal_BW#'!$A:$Z,18,FALSE)</f>
        <v>52</v>
      </c>
      <c r="S205" s="1">
        <f>VLOOKUP($B205&amp;"__wt",'SegEnds_Xtal_BW#'!$A:$Z,19,FALSE)</f>
        <v>32</v>
      </c>
      <c r="T205" s="1">
        <f t="array" ref="T205">INDEX('ICL3'!$G$2:$G$40,MATCH(MIN(ABS(AH205-'ICL3'!$F$2:$F$40)),ABS(AH205-'ICL3'!$F$2:$F$40),0))</f>
        <v>74</v>
      </c>
      <c r="U205" s="1">
        <f t="array" ref="U205">INDEX('ICL3'!$H$2:$H$40,MATCH(MIN(ABS(AH205-'ICL3'!$F$2:$F$40)),ABS(AH205-'ICL3'!$F$2:$F$40),0))</f>
        <v>21</v>
      </c>
      <c r="V205" s="1">
        <v>61</v>
      </c>
      <c r="W205" s="1">
        <v>31</v>
      </c>
      <c r="X205" s="1">
        <f>VLOOKUP($B205&amp;"__wt",'SegEnds_Xtal_BW#'!$A:$Z,24,FALSE)</f>
        <v>56</v>
      </c>
      <c r="Y205" s="1">
        <f>VLOOKUP($B205&amp;"__wt",'SegEnds_Xtal_BW#'!$A:$Z,25,FALSE)</f>
        <v>47</v>
      </c>
      <c r="Z205" s="1">
        <f>VLOOKUP($B205&amp;"__wt",'SegEnds_Xtal_BW#'!$A:$Z,26,FALSE)</f>
        <v>58</v>
      </c>
      <c r="AA205" s="27" t="str">
        <f>VLOOKUP(A205,Classification!A:B,2,FALSE)</f>
        <v>A</v>
      </c>
      <c r="AB205" s="1">
        <f>VLOOKUP(A205,'SegEnds_NonXtal_Prot#'!A:AL,10,FALSE)-VLOOKUP(A205,'SegEnds_NonXtal_Prot#'!A:AL,7,FALSE)</f>
        <v>15</v>
      </c>
      <c r="AC205" s="1">
        <f>VLOOKUP(A205,'SegEnds_NonXtal_Prot#'!A:AL,13,FALSE)-VLOOKUP(A205,'SegEnds_NonXtal_Prot#'!A:AL,10,FALSE)</f>
        <v>21</v>
      </c>
      <c r="AD205" s="1">
        <f>VLOOKUP(A205,'SegEnds_NonXtal_Prot#'!A:AL,16,FALSE)-VLOOKUP(A205,'SegEnds_NonXtal_Prot#'!A:AL,10,FALSE)</f>
        <v>53</v>
      </c>
      <c r="AE205" s="1">
        <f>VLOOKUP(A205,'SegEnds_NonXtal_Prot#'!A:AL,22,FALSE)-VLOOKUP(A205,'SegEnds_NonXtal_Prot#'!A:AL,19,FALSE)</f>
        <v>20</v>
      </c>
      <c r="AF205" s="1">
        <f>VLOOKUP(A205,'SegEnds_NonXtal_Prot#'!A:AL,28,FALSE)-VLOOKUP(A205,'SegEnds_NonXtal_Prot#'!A:AL,25,FALSE)</f>
        <v>26</v>
      </c>
      <c r="AG205" s="1">
        <f>VLOOKUP(A205,'SegEnds_NonXtal_Prot#'!A:AL,28,FALSE)-VLOOKUP(A205,'SegEnds_NonXtal_Prot#'!A:AL,22,FALSE)</f>
        <v>52</v>
      </c>
      <c r="AH205" s="1">
        <f>VLOOKUP(A205,'SegEnds_NonXtal_Prot#'!A:AL,31,FALSE)-VLOOKUP(A205,'SegEnds_NonXtal_Prot#'!A:AL,28,FALSE)</f>
        <v>64</v>
      </c>
      <c r="AI205" s="1">
        <f>VLOOKUP(A205,'SegEnds_NonXtal_Prot#'!A:AL,34,FALSE)-VLOOKUP(A205,'SegEnds_NonXtal_Prot#'!A:AL,31,FALSE)</f>
        <v>36</v>
      </c>
      <c r="AJ205" s="1" t="str">
        <f>IF(ISERROR(MATCH(A205,'SegEnds_Xtal_Prot#'!B:B, 0)), "NoXtal", "Xtal")</f>
        <v>Xtal</v>
      </c>
    </row>
    <row r="206" spans="1:36" x14ac:dyDescent="0.2">
      <c r="A206" s="1" t="s">
        <v>342</v>
      </c>
      <c r="B206" s="1" t="str">
        <f>VLOOKUP(A206,Xtal_Templ!A:B,2,FALSE)</f>
        <v>oprk_human</v>
      </c>
      <c r="C206" s="5">
        <f>VLOOKUP($B206&amp;"__wt",'SegEnds_Xtal_BW#'!$A:$Z,3,FALSE)</f>
        <v>30</v>
      </c>
      <c r="D206" s="1">
        <f>VLOOKUP($B206&amp;"__wt",'SegEnds_Xtal_BW#'!$A:$Z,4,FALSE)</f>
        <v>60</v>
      </c>
      <c r="E206" s="1">
        <f>VLOOKUP($B206&amp;"__wt",'SegEnds_Xtal_BW#'!$A:$Z,5,FALSE)</f>
        <v>48</v>
      </c>
      <c r="F206" s="1">
        <f>VLOOKUP($B206&amp;"__wt",'SegEnds_Xtal_BW#'!$A:$Z,6,FALSE)</f>
        <v>51</v>
      </c>
      <c r="G206" s="1">
        <v>37</v>
      </c>
      <c r="H206" s="12">
        <f>VLOOKUP($B206&amp;"__wt",'SegEnds_Xtal_BW#'!$A:$Z,8,FALSE)</f>
        <v>66</v>
      </c>
      <c r="I206" s="1">
        <f>VLOOKUP($B206&amp;"__wt",'SegEnds_Xtal_BW#'!$A:$Z,9,FALSE)</f>
        <v>49</v>
      </c>
      <c r="J206" s="1">
        <f>VLOOKUP($B206&amp;"__wt",'SegEnds_Xtal_BW#'!$A:$Z,10,FALSE)</f>
        <v>52</v>
      </c>
      <c r="K206" s="12">
        <v>18</v>
      </c>
      <c r="L206" s="1">
        <f>VLOOKUP($B206&amp;"__wt",'SegEnds_Xtal_BW#'!$A:$Z,12,FALSE)</f>
        <v>56</v>
      </c>
      <c r="M206" s="1">
        <f>VLOOKUP($B206&amp;"__wt",'SegEnds_Xtal_BW#'!$A:$Z,13,FALSE)</f>
        <v>50</v>
      </c>
      <c r="N206" s="12">
        <v>57</v>
      </c>
      <c r="O206" s="89">
        <f>VLOOKUP($B206&amp;"__wt",'SegEnds_Xtal_BW#'!$A:$Z,15,FALSE)</f>
        <v>38</v>
      </c>
      <c r="P206" s="1">
        <f>VLOOKUP($B206&amp;"__wt",'SegEnds_Xtal_BW#'!$A:$Z,16,FALSE)</f>
        <v>64</v>
      </c>
      <c r="Q206" s="1">
        <f>VLOOKUP($B206&amp;"__wt",'SegEnds_Xtal_BW#'!$A:$Z,17,FALSE)</f>
        <v>50</v>
      </c>
      <c r="R206" s="1">
        <f>VLOOKUP($B206&amp;"__wt",'SegEnds_Xtal_BW#'!$A:$Z,18,FALSE)</f>
        <v>52</v>
      </c>
      <c r="S206" s="1">
        <f>VLOOKUP($B206&amp;"__wt",'SegEnds_Xtal_BW#'!$A:$Z,19,FALSE)</f>
        <v>31</v>
      </c>
      <c r="T206" s="1">
        <f t="array" ref="T206">INDEX('ICL3'!$G$2:$G$40,MATCH(MIN(ABS(AH206-'ICL3'!$F$2:$F$40)),ABS(AH206-'ICL3'!$F$2:$F$40),0))</f>
        <v>67</v>
      </c>
      <c r="U206" s="1">
        <f t="array" ref="U206">INDEX('ICL3'!$H$2:$H$40,MATCH(MIN(ABS(AH206-'ICL3'!$F$2:$F$40)),ABS(AH206-'ICL3'!$F$2:$F$40),0))</f>
        <v>26</v>
      </c>
      <c r="V206" s="1">
        <v>61</v>
      </c>
      <c r="W206" s="1">
        <v>28</v>
      </c>
      <c r="X206" s="1">
        <f>VLOOKUP($B206&amp;"__wt",'SegEnds_Xtal_BW#'!$A:$Z,24,FALSE)</f>
        <v>56</v>
      </c>
      <c r="Y206" s="1">
        <f>VLOOKUP($B206&amp;"__wt",'SegEnds_Xtal_BW#'!$A:$Z,25,FALSE)</f>
        <v>47</v>
      </c>
      <c r="Z206" s="1">
        <f>VLOOKUP($B206&amp;"__wt",'SegEnds_Xtal_BW#'!$A:$Z,26,FALSE)</f>
        <v>59</v>
      </c>
      <c r="AA206" s="27" t="str">
        <f>VLOOKUP(A206,Classification!A:B,2,FALSE)</f>
        <v>A</v>
      </c>
      <c r="AB206" s="1">
        <f>VLOOKUP(A206,'SegEnds_NonXtal_Prot#'!A:AL,10,FALSE)-VLOOKUP(A206,'SegEnds_NonXtal_Prot#'!A:AL,7,FALSE)</f>
        <v>15</v>
      </c>
      <c r="AC206" s="1">
        <f>VLOOKUP(A206,'SegEnds_NonXtal_Prot#'!A:AL,13,FALSE)-VLOOKUP(A206,'SegEnds_NonXtal_Prot#'!A:AL,10,FALSE)</f>
        <v>20</v>
      </c>
      <c r="AD206" s="1">
        <f>VLOOKUP(A206,'SegEnds_NonXtal_Prot#'!A:AL,16,FALSE)-VLOOKUP(A206,'SegEnds_NonXtal_Prot#'!A:AL,10,FALSE)</f>
        <v>52</v>
      </c>
      <c r="AE206" s="1">
        <f>VLOOKUP(A206,'SegEnds_NonXtal_Prot#'!A:AL,22,FALSE)-VLOOKUP(A206,'SegEnds_NonXtal_Prot#'!A:AL,19,FALSE)</f>
        <v>20</v>
      </c>
      <c r="AF206" s="1">
        <f>VLOOKUP(A206,'SegEnds_NonXtal_Prot#'!A:AL,28,FALSE)-VLOOKUP(A206,'SegEnds_NonXtal_Prot#'!A:AL,25,FALSE)</f>
        <v>27</v>
      </c>
      <c r="AG206" s="1">
        <f>VLOOKUP(A206,'SegEnds_NonXtal_Prot#'!A:AL,28,FALSE)-VLOOKUP(A206,'SegEnds_NonXtal_Prot#'!A:AL,22,FALSE)</f>
        <v>47</v>
      </c>
      <c r="AH206" s="1">
        <f>VLOOKUP(A206,'SegEnds_NonXtal_Prot#'!A:AL,31,FALSE)-VLOOKUP(A206,'SegEnds_NonXtal_Prot#'!A:AL,28,FALSE)</f>
        <v>46</v>
      </c>
      <c r="AI206" s="1">
        <f>VLOOKUP(A206,'SegEnds_NonXtal_Prot#'!A:AL,34,FALSE)-VLOOKUP(A206,'SegEnds_NonXtal_Prot#'!A:AL,31,FALSE)</f>
        <v>42</v>
      </c>
      <c r="AJ206" s="1" t="str">
        <f>IF(ISERROR(MATCH(A206,'SegEnds_Xtal_Prot#'!B:B, 0)), "NoXtal", "Xtal")</f>
        <v>NoXtal</v>
      </c>
    </row>
    <row r="207" spans="1:36" x14ac:dyDescent="0.2">
      <c r="A207" s="1" t="s">
        <v>343</v>
      </c>
      <c r="B207" s="1" t="str">
        <f>VLOOKUP(A207,Xtal_Templ!A:B,2,FALSE)</f>
        <v>p2ry1_human</v>
      </c>
      <c r="C207" s="5">
        <f>VLOOKUP($B207&amp;"__wt",'SegEnds_Xtal_BW#'!$A:$Z,3,FALSE)</f>
        <v>30</v>
      </c>
      <c r="D207" s="1">
        <f>VLOOKUP($B207&amp;"__wt",'SegEnds_Xtal_BW#'!$A:$Z,4,FALSE)</f>
        <v>60</v>
      </c>
      <c r="E207" s="1" t="str">
        <f>VLOOKUP($B207&amp;"__wt",'SegEnds_Xtal_BW#'!$A:$Z,5,FALSE)</f>
        <v>-</v>
      </c>
      <c r="F207" s="1" t="str">
        <f>VLOOKUP($B207&amp;"__wt",'SegEnds_Xtal_BW#'!$A:$Z,6,FALSE)</f>
        <v>-</v>
      </c>
      <c r="G207" s="1">
        <v>37</v>
      </c>
      <c r="H207" s="12">
        <f>VLOOKUP($B207&amp;"__wt",'SegEnds_Xtal_BW#'!$A:$Z,8,FALSE)</f>
        <v>66</v>
      </c>
      <c r="I207" s="1">
        <f>VLOOKUP($B207&amp;"__wt",'SegEnds_Xtal_BW#'!$A:$Z,9,FALSE)</f>
        <v>49</v>
      </c>
      <c r="J207" s="1">
        <f>VLOOKUP($B207&amp;"__wt",'SegEnds_Xtal_BW#'!$A:$Z,10,FALSE)</f>
        <v>52</v>
      </c>
      <c r="K207" s="12">
        <v>18</v>
      </c>
      <c r="L207" s="1">
        <f>VLOOKUP($B207&amp;"__wt",'SegEnds_Xtal_BW#'!$A:$Z,12,FALSE)</f>
        <v>56</v>
      </c>
      <c r="M207" s="1">
        <f>VLOOKUP($B207&amp;"__wt",'SegEnds_Xtal_BW#'!$A:$Z,13,FALSE)</f>
        <v>50</v>
      </c>
      <c r="N207" s="12">
        <v>57</v>
      </c>
      <c r="O207" s="89">
        <f>VLOOKUP($B207&amp;"__wt",'SegEnds_Xtal_BW#'!$A:$Z,15,FALSE)</f>
        <v>38</v>
      </c>
      <c r="P207" s="1">
        <f>VLOOKUP($B207&amp;"__wt",'SegEnds_Xtal_BW#'!$A:$Z,16,FALSE)</f>
        <v>64</v>
      </c>
      <c r="Q207" s="1">
        <f>VLOOKUP($B207&amp;"__wt",'SegEnds_Xtal_BW#'!$A:$Z,17,FALSE)</f>
        <v>50</v>
      </c>
      <c r="R207" s="1">
        <f>VLOOKUP($B207&amp;"__wt",'SegEnds_Xtal_BW#'!$A:$Z,18,FALSE)</f>
        <v>52</v>
      </c>
      <c r="S207" s="1">
        <f>VLOOKUP($B207&amp;"__wt",'SegEnds_Xtal_BW#'!$A:$Z,19,FALSE)</f>
        <v>32</v>
      </c>
      <c r="T207" s="1">
        <f t="array" ref="T207">INDEX('ICL3'!$G$2:$G$40,MATCH(MIN(ABS(AH207-'ICL3'!$F$2:$F$40)),ABS(AH207-'ICL3'!$F$2:$F$40),0))</f>
        <v>67</v>
      </c>
      <c r="U207" s="1">
        <f t="array" ref="U207">INDEX('ICL3'!$H$2:$H$40,MATCH(MIN(ABS(AH207-'ICL3'!$F$2:$F$40)),ABS(AH207-'ICL3'!$F$2:$F$40),0))</f>
        <v>26</v>
      </c>
      <c r="V207" s="1">
        <v>61</v>
      </c>
      <c r="W207" s="1">
        <v>24</v>
      </c>
      <c r="X207" s="1">
        <f>VLOOKUP($B207&amp;"__wt",'SegEnds_Xtal_BW#'!$A:$Z,24,FALSE)</f>
        <v>56</v>
      </c>
      <c r="Y207" s="1">
        <f>VLOOKUP($B207&amp;"__wt",'SegEnds_Xtal_BW#'!$A:$Z,25,FALSE)</f>
        <v>47</v>
      </c>
      <c r="Z207" s="1">
        <f>VLOOKUP($B207&amp;"__wt",'SegEnds_Xtal_BW#'!$A:$Z,26,FALSE)</f>
        <v>59</v>
      </c>
      <c r="AA207" s="27" t="str">
        <f>VLOOKUP(A207,Classification!A:B,2,FALSE)</f>
        <v>A</v>
      </c>
      <c r="AB207" s="1" t="e">
        <f>VLOOKUP(A207,'SegEnds_NonXtal_Prot#'!A:AL,10,FALSE)-VLOOKUP(A207,'SegEnds_NonXtal_Prot#'!A:AL,7,FALSE)</f>
        <v>#VALUE!</v>
      </c>
      <c r="AC207" s="1">
        <f>VLOOKUP(A207,'SegEnds_NonXtal_Prot#'!A:AL,13,FALSE)-VLOOKUP(A207,'SegEnds_NonXtal_Prot#'!A:AL,10,FALSE)</f>
        <v>20</v>
      </c>
      <c r="AD207" s="1">
        <f>VLOOKUP(A207,'SegEnds_NonXtal_Prot#'!A:AL,16,FALSE)-VLOOKUP(A207,'SegEnds_NonXtal_Prot#'!A:AL,10,FALSE)</f>
        <v>52</v>
      </c>
      <c r="AE207" s="1">
        <f>VLOOKUP(A207,'SegEnds_NonXtal_Prot#'!A:AL,22,FALSE)-VLOOKUP(A207,'SegEnds_NonXtal_Prot#'!A:AL,19,FALSE)</f>
        <v>20</v>
      </c>
      <c r="AF207" s="1">
        <f>VLOOKUP(A207,'SegEnds_NonXtal_Prot#'!A:AL,28,FALSE)-VLOOKUP(A207,'SegEnds_NonXtal_Prot#'!A:AL,25,FALSE)</f>
        <v>27</v>
      </c>
      <c r="AG207" s="1">
        <f>VLOOKUP(A207,'SegEnds_NonXtal_Prot#'!A:AL,28,FALSE)-VLOOKUP(A207,'SegEnds_NonXtal_Prot#'!A:AL,22,FALSE)</f>
        <v>52</v>
      </c>
      <c r="AH207" s="1">
        <f>VLOOKUP(A207,'SegEnds_NonXtal_Prot#'!A:AL,31,FALSE)-VLOOKUP(A207,'SegEnds_NonXtal_Prot#'!A:AL,28,FALSE)</f>
        <v>46</v>
      </c>
      <c r="AI207" s="1">
        <f>VLOOKUP(A207,'SegEnds_NonXtal_Prot#'!A:AL,34,FALSE)-VLOOKUP(A207,'SegEnds_NonXtal_Prot#'!A:AL,31,FALSE)</f>
        <v>43</v>
      </c>
      <c r="AJ207" s="1" t="str">
        <f>IF(ISERROR(MATCH(A207,'SegEnds_Xtal_Prot#'!B:B, 0)), "NoXtal", "Xtal")</f>
        <v>NoXtal</v>
      </c>
    </row>
    <row r="208" spans="1:36" x14ac:dyDescent="0.2">
      <c r="A208" s="1" t="s">
        <v>345</v>
      </c>
      <c r="B208" s="1" t="str">
        <f>VLOOKUP(A208,Xtal_Templ!A:B,2,FALSE)</f>
        <v>p2ry1_human</v>
      </c>
      <c r="C208" s="5">
        <f>VLOOKUP($B208&amp;"__wt",'SegEnds_Xtal_BW#'!$A:$Z,3,FALSE)</f>
        <v>30</v>
      </c>
      <c r="D208" s="1">
        <f>VLOOKUP($B208&amp;"__wt",'SegEnds_Xtal_BW#'!$A:$Z,4,FALSE)</f>
        <v>60</v>
      </c>
      <c r="E208" s="1" t="str">
        <f>VLOOKUP($B208&amp;"__wt",'SegEnds_Xtal_BW#'!$A:$Z,5,FALSE)</f>
        <v>-</v>
      </c>
      <c r="F208" s="1" t="str">
        <f>VLOOKUP($B208&amp;"__wt",'SegEnds_Xtal_BW#'!$A:$Z,6,FALSE)</f>
        <v>-</v>
      </c>
      <c r="G208" s="1">
        <v>37</v>
      </c>
      <c r="H208" s="12">
        <f>VLOOKUP($B208&amp;"__wt",'SegEnds_Xtal_BW#'!$A:$Z,8,FALSE)</f>
        <v>66</v>
      </c>
      <c r="I208" s="1">
        <f>VLOOKUP($B208&amp;"__wt",'SegEnds_Xtal_BW#'!$A:$Z,9,FALSE)</f>
        <v>49</v>
      </c>
      <c r="J208" s="1">
        <f>VLOOKUP($B208&amp;"__wt",'SegEnds_Xtal_BW#'!$A:$Z,10,FALSE)</f>
        <v>52</v>
      </c>
      <c r="K208" s="12">
        <v>18</v>
      </c>
      <c r="L208" s="1">
        <f>VLOOKUP($B208&amp;"__wt",'SegEnds_Xtal_BW#'!$A:$Z,12,FALSE)</f>
        <v>56</v>
      </c>
      <c r="M208" s="1">
        <f>VLOOKUP($B208&amp;"__wt",'SegEnds_Xtal_BW#'!$A:$Z,13,FALSE)</f>
        <v>50</v>
      </c>
      <c r="N208" s="12">
        <f>VLOOKUP($B208&amp;"__wt",'SegEnds_Xtal_BW#'!$A:$Z,14,FALSE)</f>
        <v>57</v>
      </c>
      <c r="O208" s="89">
        <f>VLOOKUP($B208&amp;"__wt",'SegEnds_Xtal_BW#'!$A:$Z,15,FALSE)</f>
        <v>38</v>
      </c>
      <c r="P208" s="1">
        <f>VLOOKUP($B208&amp;"__wt",'SegEnds_Xtal_BW#'!$A:$Z,16,FALSE)</f>
        <v>64</v>
      </c>
      <c r="Q208" s="1">
        <f>VLOOKUP($B208&amp;"__wt",'SegEnds_Xtal_BW#'!$A:$Z,17,FALSE)</f>
        <v>50</v>
      </c>
      <c r="R208" s="1">
        <f>VLOOKUP($B208&amp;"__wt",'SegEnds_Xtal_BW#'!$A:$Z,18,FALSE)</f>
        <v>52</v>
      </c>
      <c r="S208" s="1">
        <f>VLOOKUP($B208&amp;"__wt",'SegEnds_Xtal_BW#'!$A:$Z,19,FALSE)</f>
        <v>32</v>
      </c>
      <c r="T208" s="1">
        <v>68</v>
      </c>
      <c r="U208" s="1">
        <v>28</v>
      </c>
      <c r="V208" s="1">
        <v>64</v>
      </c>
      <c r="W208" s="1">
        <v>24</v>
      </c>
      <c r="X208" s="1">
        <f>VLOOKUP($B208&amp;"__wt",'SegEnds_Xtal_BW#'!$A:$Z,24,FALSE)</f>
        <v>56</v>
      </c>
      <c r="Y208" s="1">
        <f>VLOOKUP($B208&amp;"__wt",'SegEnds_Xtal_BW#'!$A:$Z,25,FALSE)</f>
        <v>47</v>
      </c>
      <c r="Z208" s="1">
        <f>VLOOKUP($B208&amp;"__wt",'SegEnds_Xtal_BW#'!$A:$Z,26,FALSE)</f>
        <v>59</v>
      </c>
      <c r="AA208" s="27" t="str">
        <f>VLOOKUP(A208,Classification!A:B,2,FALSE)</f>
        <v>A</v>
      </c>
      <c r="AB208" s="1" t="e">
        <f>VLOOKUP(A208,'SegEnds_NonXtal_Prot#'!A:AL,10,FALSE)-VLOOKUP(A208,'SegEnds_NonXtal_Prot#'!A:AL,7,FALSE)</f>
        <v>#VALUE!</v>
      </c>
      <c r="AC208" s="1">
        <f>VLOOKUP(A208,'SegEnds_NonXtal_Prot#'!A:AL,13,FALSE)-VLOOKUP(A208,'SegEnds_NonXtal_Prot#'!A:AL,10,FALSE)</f>
        <v>20</v>
      </c>
      <c r="AD208" s="1">
        <f>VLOOKUP(A208,'SegEnds_NonXtal_Prot#'!A:AL,16,FALSE)-VLOOKUP(A208,'SegEnds_NonXtal_Prot#'!A:AL,10,FALSE)</f>
        <v>52</v>
      </c>
      <c r="AE208" s="1">
        <f>VLOOKUP(A208,'SegEnds_NonXtal_Prot#'!A:AL,22,FALSE)-VLOOKUP(A208,'SegEnds_NonXtal_Prot#'!A:AL,19,FALSE)</f>
        <v>20</v>
      </c>
      <c r="AF208" s="1">
        <f>VLOOKUP(A208,'SegEnds_NonXtal_Prot#'!A:AL,28,FALSE)-VLOOKUP(A208,'SegEnds_NonXtal_Prot#'!A:AL,25,FALSE)</f>
        <v>27</v>
      </c>
      <c r="AG208" s="1">
        <f>VLOOKUP(A208,'SegEnds_NonXtal_Prot#'!A:AL,28,FALSE)-VLOOKUP(A208,'SegEnds_NonXtal_Prot#'!A:AL,22,FALSE)</f>
        <v>53</v>
      </c>
      <c r="AH208" s="1">
        <f>VLOOKUP(A208,'SegEnds_NonXtal_Prot#'!A:AL,31,FALSE)-VLOOKUP(A208,'SegEnds_NonXtal_Prot#'!A:AL,28,FALSE)</f>
        <v>46</v>
      </c>
      <c r="AI208" s="1">
        <f>VLOOKUP(A208,'SegEnds_NonXtal_Prot#'!A:AL,34,FALSE)-VLOOKUP(A208,'SegEnds_NonXtal_Prot#'!A:AL,31,FALSE)</f>
        <v>46</v>
      </c>
      <c r="AJ208" s="1" t="str">
        <f>IF(ISERROR(MATCH(A208,'SegEnds_Xtal_Prot#'!B:B, 0)), "NoXtal", "Xtal")</f>
        <v>Xtal</v>
      </c>
    </row>
    <row r="209" spans="1:36" x14ac:dyDescent="0.2">
      <c r="A209" s="1" t="s">
        <v>346</v>
      </c>
      <c r="B209" s="1" t="str">
        <f>VLOOKUP(A209,Xtal_Templ!A:B,2,FALSE)</f>
        <v>p2ry1_human</v>
      </c>
      <c r="C209" s="5">
        <f>VLOOKUP($B209&amp;"__wt",'SegEnds_Xtal_BW#'!$A:$Z,3,FALSE)</f>
        <v>30</v>
      </c>
      <c r="D209" s="1">
        <f>VLOOKUP($B209&amp;"__wt",'SegEnds_Xtal_BW#'!$A:$Z,4,FALSE)</f>
        <v>60</v>
      </c>
      <c r="E209" s="1" t="str">
        <f>VLOOKUP($B209&amp;"__wt",'SegEnds_Xtal_BW#'!$A:$Z,5,FALSE)</f>
        <v>-</v>
      </c>
      <c r="F209" s="1" t="str">
        <f>VLOOKUP($B209&amp;"__wt",'SegEnds_Xtal_BW#'!$A:$Z,6,FALSE)</f>
        <v>-</v>
      </c>
      <c r="G209" s="1">
        <v>37</v>
      </c>
      <c r="H209" s="12">
        <f>VLOOKUP($B209&amp;"__wt",'SegEnds_Xtal_BW#'!$A:$Z,8,FALSE)</f>
        <v>66</v>
      </c>
      <c r="I209" s="1">
        <f>VLOOKUP($B209&amp;"__wt",'SegEnds_Xtal_BW#'!$A:$Z,9,FALSE)</f>
        <v>49</v>
      </c>
      <c r="J209" s="1">
        <f>VLOOKUP($B209&amp;"__wt",'SegEnds_Xtal_BW#'!$A:$Z,10,FALSE)</f>
        <v>52</v>
      </c>
      <c r="K209" s="12">
        <v>18</v>
      </c>
      <c r="L209" s="1">
        <f>VLOOKUP($B209&amp;"__wt",'SegEnds_Xtal_BW#'!$A:$Z,12,FALSE)</f>
        <v>56</v>
      </c>
      <c r="M209" s="1">
        <f>VLOOKUP($B209&amp;"__wt",'SegEnds_Xtal_BW#'!$A:$Z,13,FALSE)</f>
        <v>50</v>
      </c>
      <c r="N209" s="12">
        <v>57</v>
      </c>
      <c r="O209" s="89">
        <f>VLOOKUP($B209&amp;"__wt",'SegEnds_Xtal_BW#'!$A:$Z,15,FALSE)</f>
        <v>38</v>
      </c>
      <c r="P209" s="1">
        <f>VLOOKUP($B209&amp;"__wt",'SegEnds_Xtal_BW#'!$A:$Z,16,FALSE)</f>
        <v>64</v>
      </c>
      <c r="Q209" s="1">
        <f>VLOOKUP($B209&amp;"__wt",'SegEnds_Xtal_BW#'!$A:$Z,17,FALSE)</f>
        <v>50</v>
      </c>
      <c r="R209" s="1">
        <f>VLOOKUP($B209&amp;"__wt",'SegEnds_Xtal_BW#'!$A:$Z,18,FALSE)</f>
        <v>52</v>
      </c>
      <c r="S209" s="1">
        <f>VLOOKUP($B209&amp;"__wt",'SegEnds_Xtal_BW#'!$A:$Z,19,FALSE)</f>
        <v>32</v>
      </c>
      <c r="T209" s="1">
        <f t="array" ref="T209">INDEX('ICL3'!$G$2:$G$40,MATCH(MIN(ABS(AH209-'ICL3'!$F$2:$F$40)),ABS(AH209-'ICL3'!$F$2:$F$40),0))</f>
        <v>72</v>
      </c>
      <c r="U209" s="1">
        <f t="array" ref="U209">INDEX('ICL3'!$H$2:$H$40,MATCH(MIN(ABS(AH209-'ICL3'!$F$2:$F$40)),ABS(AH209-'ICL3'!$F$2:$F$40),0))</f>
        <v>29</v>
      </c>
      <c r="V209" s="1">
        <v>61</v>
      </c>
      <c r="W209" s="1">
        <v>24</v>
      </c>
      <c r="X209" s="1">
        <f>VLOOKUP($B209&amp;"__wt",'SegEnds_Xtal_BW#'!$A:$Z,24,FALSE)</f>
        <v>56</v>
      </c>
      <c r="Y209" s="1">
        <f>VLOOKUP($B209&amp;"__wt",'SegEnds_Xtal_BW#'!$A:$Z,25,FALSE)</f>
        <v>47</v>
      </c>
      <c r="Z209" s="1">
        <f>VLOOKUP($B209&amp;"__wt",'SegEnds_Xtal_BW#'!$A:$Z,26,FALSE)</f>
        <v>59</v>
      </c>
      <c r="AA209" s="27" t="str">
        <f>VLOOKUP(A209,Classification!A:B,2,FALSE)</f>
        <v>A</v>
      </c>
      <c r="AB209" s="1" t="e">
        <f>VLOOKUP(A209,'SegEnds_NonXtal_Prot#'!A:AL,10,FALSE)-VLOOKUP(A209,'SegEnds_NonXtal_Prot#'!A:AL,7,FALSE)</f>
        <v>#VALUE!</v>
      </c>
      <c r="AC209" s="1">
        <f>VLOOKUP(A209,'SegEnds_NonXtal_Prot#'!A:AL,13,FALSE)-VLOOKUP(A209,'SegEnds_NonXtal_Prot#'!A:AL,10,FALSE)</f>
        <v>20</v>
      </c>
      <c r="AD209" s="1">
        <f>VLOOKUP(A209,'SegEnds_NonXtal_Prot#'!A:AL,16,FALSE)-VLOOKUP(A209,'SegEnds_NonXtal_Prot#'!A:AL,10,FALSE)</f>
        <v>52</v>
      </c>
      <c r="AE209" s="1">
        <f>VLOOKUP(A209,'SegEnds_NonXtal_Prot#'!A:AL,22,FALSE)-VLOOKUP(A209,'SegEnds_NonXtal_Prot#'!A:AL,19,FALSE)</f>
        <v>20</v>
      </c>
      <c r="AF209" s="1">
        <f>VLOOKUP(A209,'SegEnds_NonXtal_Prot#'!A:AL,28,FALSE)-VLOOKUP(A209,'SegEnds_NonXtal_Prot#'!A:AL,25,FALSE)</f>
        <v>27</v>
      </c>
      <c r="AG209" s="1">
        <f>VLOOKUP(A209,'SegEnds_NonXtal_Prot#'!A:AL,28,FALSE)-VLOOKUP(A209,'SegEnds_NonXtal_Prot#'!A:AL,22,FALSE)</f>
        <v>52</v>
      </c>
      <c r="AH209" s="1">
        <f>VLOOKUP(A209,'SegEnds_NonXtal_Prot#'!A:AL,31,FALSE)-VLOOKUP(A209,'SegEnds_NonXtal_Prot#'!A:AL,28,FALSE)</f>
        <v>50</v>
      </c>
      <c r="AI209" s="1">
        <f>VLOOKUP(A209,'SegEnds_NonXtal_Prot#'!A:AL,34,FALSE)-VLOOKUP(A209,'SegEnds_NonXtal_Prot#'!A:AL,31,FALSE)</f>
        <v>43</v>
      </c>
      <c r="AJ209" s="1" t="str">
        <f>IF(ISERROR(MATCH(A209,'SegEnds_Xtal_Prot#'!B:B, 0)), "NoXtal", "Xtal")</f>
        <v>NoXtal</v>
      </c>
    </row>
    <row r="210" spans="1:36" x14ac:dyDescent="0.2">
      <c r="A210" s="1" t="s">
        <v>347</v>
      </c>
      <c r="B210" s="1" t="str">
        <f>VLOOKUP(A210,Xtal_Templ!A:B,2,FALSE)</f>
        <v>p2ry1_human</v>
      </c>
      <c r="C210" s="5">
        <f>VLOOKUP($B210&amp;"__wt",'SegEnds_Xtal_BW#'!$A:$Z,3,FALSE)</f>
        <v>30</v>
      </c>
      <c r="D210" s="1">
        <f>VLOOKUP($B210&amp;"__wt",'SegEnds_Xtal_BW#'!$A:$Z,4,FALSE)</f>
        <v>60</v>
      </c>
      <c r="E210" s="1" t="str">
        <f>VLOOKUP($B210&amp;"__wt",'SegEnds_Xtal_BW#'!$A:$Z,5,FALSE)</f>
        <v>-</v>
      </c>
      <c r="F210" s="1" t="str">
        <f>VLOOKUP($B210&amp;"__wt",'SegEnds_Xtal_BW#'!$A:$Z,6,FALSE)</f>
        <v>-</v>
      </c>
      <c r="G210" s="1">
        <v>37</v>
      </c>
      <c r="H210" s="12">
        <f>VLOOKUP($B210&amp;"__wt",'SegEnds_Xtal_BW#'!$A:$Z,8,FALSE)</f>
        <v>66</v>
      </c>
      <c r="I210" s="1">
        <f>VLOOKUP($B210&amp;"__wt",'SegEnds_Xtal_BW#'!$A:$Z,9,FALSE)</f>
        <v>49</v>
      </c>
      <c r="J210" s="1">
        <f>VLOOKUP($B210&amp;"__wt",'SegEnds_Xtal_BW#'!$A:$Z,10,FALSE)</f>
        <v>52</v>
      </c>
      <c r="K210" s="12">
        <v>18</v>
      </c>
      <c r="L210" s="1">
        <f>VLOOKUP($B210&amp;"__wt",'SegEnds_Xtal_BW#'!$A:$Z,12,FALSE)</f>
        <v>56</v>
      </c>
      <c r="M210" s="1">
        <f>VLOOKUP($B210&amp;"__wt",'SegEnds_Xtal_BW#'!$A:$Z,13,FALSE)</f>
        <v>50</v>
      </c>
      <c r="N210" s="12">
        <v>57</v>
      </c>
      <c r="O210" s="89">
        <f>VLOOKUP($B210&amp;"__wt",'SegEnds_Xtal_BW#'!$A:$Z,15,FALSE)</f>
        <v>38</v>
      </c>
      <c r="P210" s="1">
        <f>VLOOKUP($B210&amp;"__wt",'SegEnds_Xtal_BW#'!$A:$Z,16,FALSE)</f>
        <v>64</v>
      </c>
      <c r="Q210" s="1">
        <f>VLOOKUP($B210&amp;"__wt",'SegEnds_Xtal_BW#'!$A:$Z,17,FALSE)</f>
        <v>50</v>
      </c>
      <c r="R210" s="1">
        <f>VLOOKUP($B210&amp;"__wt",'SegEnds_Xtal_BW#'!$A:$Z,18,FALSE)</f>
        <v>52</v>
      </c>
      <c r="S210" s="1">
        <f>VLOOKUP($B210&amp;"__wt",'SegEnds_Xtal_BW#'!$A:$Z,19,FALSE)</f>
        <v>32</v>
      </c>
      <c r="T210" s="1">
        <f t="array" ref="T210">INDEX('ICL3'!$G$2:$G$40,MATCH(MIN(ABS(AH210-'ICL3'!$F$2:$F$40)),ABS(AH210-'ICL3'!$F$2:$F$40),0))</f>
        <v>68</v>
      </c>
      <c r="U210" s="1">
        <f t="array" ref="U210">INDEX('ICL3'!$H$2:$H$40,MATCH(MIN(ABS(AH210-'ICL3'!$F$2:$F$40)),ABS(AH210-'ICL3'!$F$2:$F$40),0))</f>
        <v>24</v>
      </c>
      <c r="V210" s="1">
        <v>61</v>
      </c>
      <c r="W210" s="1">
        <v>24</v>
      </c>
      <c r="X210" s="1">
        <f>VLOOKUP($B210&amp;"__wt",'SegEnds_Xtal_BW#'!$A:$Z,24,FALSE)</f>
        <v>56</v>
      </c>
      <c r="Y210" s="1">
        <f>VLOOKUP($B210&amp;"__wt",'SegEnds_Xtal_BW#'!$A:$Z,25,FALSE)</f>
        <v>47</v>
      </c>
      <c r="Z210" s="1">
        <f>VLOOKUP($B210&amp;"__wt",'SegEnds_Xtal_BW#'!$A:$Z,26,FALSE)</f>
        <v>59</v>
      </c>
      <c r="AA210" s="27" t="str">
        <f>VLOOKUP(A210,Classification!A:B,2,FALSE)</f>
        <v>A</v>
      </c>
      <c r="AB210" s="1" t="e">
        <f>VLOOKUP(A210,'SegEnds_NonXtal_Prot#'!A:AL,10,FALSE)-VLOOKUP(A210,'SegEnds_NonXtal_Prot#'!A:AL,7,FALSE)</f>
        <v>#VALUE!</v>
      </c>
      <c r="AC210" s="1">
        <f>VLOOKUP(A210,'SegEnds_NonXtal_Prot#'!A:AL,13,FALSE)-VLOOKUP(A210,'SegEnds_NonXtal_Prot#'!A:AL,10,FALSE)</f>
        <v>20</v>
      </c>
      <c r="AD210" s="1">
        <f>VLOOKUP(A210,'SegEnds_NonXtal_Prot#'!A:AL,16,FALSE)-VLOOKUP(A210,'SegEnds_NonXtal_Prot#'!A:AL,10,FALSE)</f>
        <v>52</v>
      </c>
      <c r="AE210" s="1">
        <f>VLOOKUP(A210,'SegEnds_NonXtal_Prot#'!A:AL,22,FALSE)-VLOOKUP(A210,'SegEnds_NonXtal_Prot#'!A:AL,19,FALSE)</f>
        <v>20</v>
      </c>
      <c r="AF210" s="1">
        <f>VLOOKUP(A210,'SegEnds_NonXtal_Prot#'!A:AL,28,FALSE)-VLOOKUP(A210,'SegEnds_NonXtal_Prot#'!A:AL,25,FALSE)</f>
        <v>27</v>
      </c>
      <c r="AG210" s="1">
        <f>VLOOKUP(A210,'SegEnds_NonXtal_Prot#'!A:AL,28,FALSE)-VLOOKUP(A210,'SegEnds_NonXtal_Prot#'!A:AL,22,FALSE)</f>
        <v>52</v>
      </c>
      <c r="AH210" s="1">
        <f>VLOOKUP(A210,'SegEnds_NonXtal_Prot#'!A:AL,31,FALSE)-VLOOKUP(A210,'SegEnds_NonXtal_Prot#'!A:AL,28,FALSE)</f>
        <v>48</v>
      </c>
      <c r="AI210" s="1">
        <f>VLOOKUP(A210,'SegEnds_NonXtal_Prot#'!A:AL,34,FALSE)-VLOOKUP(A210,'SegEnds_NonXtal_Prot#'!A:AL,31,FALSE)</f>
        <v>43</v>
      </c>
      <c r="AJ210" s="1" t="str">
        <f>IF(ISERROR(MATCH(A210,'SegEnds_Xtal_Prot#'!B:B, 0)), "NoXtal", "Xtal")</f>
        <v>NoXtal</v>
      </c>
    </row>
    <row r="211" spans="1:36" x14ac:dyDescent="0.2">
      <c r="A211" s="1" t="s">
        <v>349</v>
      </c>
      <c r="B211" s="1" t="str">
        <f>VLOOKUP(A211,Xtal_Templ!A:B,2,FALSE)</f>
        <v>par1_human</v>
      </c>
      <c r="C211" s="5">
        <f>VLOOKUP($B211&amp;"__wt",'SegEnds_Xtal_BW#'!$A:$Z,3,FALSE)</f>
        <v>29</v>
      </c>
      <c r="D211" s="1">
        <f>VLOOKUP($B211&amp;"__wt",'SegEnds_Xtal_BW#'!$A:$Z,4,FALSE)</f>
        <v>60</v>
      </c>
      <c r="E211" s="1">
        <f>VLOOKUP($B211&amp;"__wt",'SegEnds_Xtal_BW#'!$A:$Z,5,FALSE)</f>
        <v>48</v>
      </c>
      <c r="F211" s="1">
        <f>VLOOKUP($B211&amp;"__wt",'SegEnds_Xtal_BW#'!$A:$Z,6,FALSE)</f>
        <v>51</v>
      </c>
      <c r="G211" s="1">
        <v>37</v>
      </c>
      <c r="H211" s="12">
        <f>VLOOKUP($B211&amp;"__wt",'SegEnds_Xtal_BW#'!$A:$Z,8,FALSE)</f>
        <v>66</v>
      </c>
      <c r="I211" s="1">
        <f>VLOOKUP($B211&amp;"__wt",'SegEnds_Xtal_BW#'!$A:$Z,9,FALSE)</f>
        <v>49</v>
      </c>
      <c r="J211" s="1">
        <f>VLOOKUP($B211&amp;"__wt",'SegEnds_Xtal_BW#'!$A:$Z,10,FALSE)</f>
        <v>52</v>
      </c>
      <c r="K211" s="12">
        <v>18</v>
      </c>
      <c r="L211" s="1">
        <f>VLOOKUP($B211&amp;"__wt",'SegEnds_Xtal_BW#'!$A:$Z,12,FALSE)</f>
        <v>56</v>
      </c>
      <c r="M211" s="1">
        <f>VLOOKUP($B211&amp;"__wt",'SegEnds_Xtal_BW#'!$A:$Z,13,FALSE)</f>
        <v>50</v>
      </c>
      <c r="N211" s="12">
        <v>57</v>
      </c>
      <c r="O211" s="89">
        <f>VLOOKUP($B211&amp;"__wt",'SegEnds_Xtal_BW#'!$A:$Z,15,FALSE)</f>
        <v>38</v>
      </c>
      <c r="P211" s="1">
        <f>VLOOKUP($B211&amp;"__wt",'SegEnds_Xtal_BW#'!$A:$Z,16,FALSE)</f>
        <v>63</v>
      </c>
      <c r="Q211" s="1">
        <f>VLOOKUP($B211&amp;"__wt",'SegEnds_Xtal_BW#'!$A:$Z,17,FALSE)</f>
        <v>50</v>
      </c>
      <c r="R211" s="1">
        <f>VLOOKUP($B211&amp;"__wt",'SegEnds_Xtal_BW#'!$A:$Z,18,FALSE)</f>
        <v>52</v>
      </c>
      <c r="S211" s="1">
        <f>VLOOKUP($B211&amp;"__wt",'SegEnds_Xtal_BW#'!$A:$Z,19,FALSE)</f>
        <v>32</v>
      </c>
      <c r="T211" s="1">
        <f t="array" ref="T211">INDEX('ICL3'!$G$2:$G$40,MATCH(MIN(ABS(AH211-'ICL3'!$F$2:$F$40)),ABS(AH211-'ICL3'!$F$2:$F$40),0))</f>
        <v>67</v>
      </c>
      <c r="U211" s="1">
        <f t="array" ref="U211">INDEX('ICL3'!$H$2:$H$40,MATCH(MIN(ABS(AH211-'ICL3'!$F$2:$F$40)),ABS(AH211-'ICL3'!$F$2:$F$40),0))</f>
        <v>26</v>
      </c>
      <c r="V211" s="1">
        <v>61</v>
      </c>
      <c r="W211" s="1">
        <v>28</v>
      </c>
      <c r="X211" s="1">
        <f>VLOOKUP($B211&amp;"__wt",'SegEnds_Xtal_BW#'!$A:$Z,24,FALSE)</f>
        <v>56</v>
      </c>
      <c r="Y211" s="1">
        <f>VLOOKUP($B211&amp;"__wt",'SegEnds_Xtal_BW#'!$A:$Z,25,FALSE)</f>
        <v>47</v>
      </c>
      <c r="Z211" s="1">
        <f>VLOOKUP($B211&amp;"__wt",'SegEnds_Xtal_BW#'!$A:$Z,26,FALSE)</f>
        <v>61</v>
      </c>
      <c r="AA211" s="27" t="str">
        <f>VLOOKUP(A211,Classification!A:B,2,FALSE)</f>
        <v>A</v>
      </c>
      <c r="AB211" s="1" t="e">
        <f>VLOOKUP(A211,'SegEnds_NonXtal_Prot#'!A:AL,10,FALSE)-VLOOKUP(A211,'SegEnds_NonXtal_Prot#'!A:AL,7,FALSE)</f>
        <v>#VALUE!</v>
      </c>
      <c r="AC211" s="1">
        <f>VLOOKUP(A211,'SegEnds_NonXtal_Prot#'!A:AL,13,FALSE)-VLOOKUP(A211,'SegEnds_NonXtal_Prot#'!A:AL,10,FALSE)</f>
        <v>20</v>
      </c>
      <c r="AD211" s="1">
        <f>VLOOKUP(A211,'SegEnds_NonXtal_Prot#'!A:AL,16,FALSE)-VLOOKUP(A211,'SegEnds_NonXtal_Prot#'!A:AL,10,FALSE)</f>
        <v>52</v>
      </c>
      <c r="AE211" s="1">
        <f>VLOOKUP(A211,'SegEnds_NonXtal_Prot#'!A:AL,22,FALSE)-VLOOKUP(A211,'SegEnds_NonXtal_Prot#'!A:AL,19,FALSE)</f>
        <v>20</v>
      </c>
      <c r="AF211" s="1">
        <f>VLOOKUP(A211,'SegEnds_NonXtal_Prot#'!A:AL,28,FALSE)-VLOOKUP(A211,'SegEnds_NonXtal_Prot#'!A:AL,25,FALSE)</f>
        <v>30</v>
      </c>
      <c r="AG211" s="1">
        <f>VLOOKUP(A211,'SegEnds_NonXtal_Prot#'!A:AL,28,FALSE)-VLOOKUP(A211,'SegEnds_NonXtal_Prot#'!A:AL,22,FALSE)</f>
        <v>57</v>
      </c>
      <c r="AH211" s="1">
        <f>VLOOKUP(A211,'SegEnds_NonXtal_Prot#'!A:AL,31,FALSE)-VLOOKUP(A211,'SegEnds_NonXtal_Prot#'!A:AL,28,FALSE)</f>
        <v>47</v>
      </c>
      <c r="AI211" s="1">
        <f>VLOOKUP(A211,'SegEnds_NonXtal_Prot#'!A:AL,34,FALSE)-VLOOKUP(A211,'SegEnds_NonXtal_Prot#'!A:AL,31,FALSE)</f>
        <v>38</v>
      </c>
      <c r="AJ211" s="1" t="str">
        <f>IF(ISERROR(MATCH(A211,'SegEnds_Xtal_Prot#'!B:B, 0)), "NoXtal", "Xtal")</f>
        <v>NoXtal</v>
      </c>
    </row>
    <row r="212" spans="1:36" x14ac:dyDescent="0.2">
      <c r="A212" s="1" t="s">
        <v>351</v>
      </c>
      <c r="B212" s="1" t="str">
        <f>VLOOKUP(A212,Xtal_Templ!A:B,2,FALSE)</f>
        <v>p2ry1_human</v>
      </c>
      <c r="C212" s="5">
        <f>VLOOKUP($B212&amp;"__wt",'SegEnds_Xtal_BW#'!$A:$Z,3,FALSE)</f>
        <v>30</v>
      </c>
      <c r="D212" s="1">
        <f>VLOOKUP($B212&amp;"__wt",'SegEnds_Xtal_BW#'!$A:$Z,4,FALSE)</f>
        <v>60</v>
      </c>
      <c r="E212" s="1" t="str">
        <f>VLOOKUP($B212&amp;"__wt",'SegEnds_Xtal_BW#'!$A:$Z,5,FALSE)</f>
        <v>-</v>
      </c>
      <c r="F212" s="1" t="str">
        <f>VLOOKUP($B212&amp;"__wt",'SegEnds_Xtal_BW#'!$A:$Z,6,FALSE)</f>
        <v>-</v>
      </c>
      <c r="G212" s="1">
        <v>37</v>
      </c>
      <c r="H212" s="12">
        <f>VLOOKUP($B212&amp;"__wt",'SegEnds_Xtal_BW#'!$A:$Z,8,FALSE)</f>
        <v>66</v>
      </c>
      <c r="I212" s="1">
        <f>VLOOKUP($B212&amp;"__wt",'SegEnds_Xtal_BW#'!$A:$Z,9,FALSE)</f>
        <v>49</v>
      </c>
      <c r="J212" s="1">
        <f>VLOOKUP($B212&amp;"__wt",'SegEnds_Xtal_BW#'!$A:$Z,10,FALSE)</f>
        <v>52</v>
      </c>
      <c r="K212" s="12">
        <v>18</v>
      </c>
      <c r="L212" s="1">
        <f>VLOOKUP($B212&amp;"__wt",'SegEnds_Xtal_BW#'!$A:$Z,12,FALSE)</f>
        <v>56</v>
      </c>
      <c r="M212" s="1">
        <f>VLOOKUP($B212&amp;"__wt",'SegEnds_Xtal_BW#'!$A:$Z,13,FALSE)</f>
        <v>50</v>
      </c>
      <c r="N212" s="12">
        <v>57</v>
      </c>
      <c r="O212" s="89">
        <f>VLOOKUP($B212&amp;"__wt",'SegEnds_Xtal_BW#'!$A:$Z,15,FALSE)</f>
        <v>38</v>
      </c>
      <c r="P212" s="1">
        <f>VLOOKUP($B212&amp;"__wt",'SegEnds_Xtal_BW#'!$A:$Z,16,FALSE)</f>
        <v>64</v>
      </c>
      <c r="Q212" s="1">
        <f>VLOOKUP($B212&amp;"__wt",'SegEnds_Xtal_BW#'!$A:$Z,17,FALSE)</f>
        <v>50</v>
      </c>
      <c r="R212" s="1">
        <f>VLOOKUP($B212&amp;"__wt",'SegEnds_Xtal_BW#'!$A:$Z,18,FALSE)</f>
        <v>52</v>
      </c>
      <c r="S212" s="1">
        <f>VLOOKUP($B212&amp;"__wt",'SegEnds_Xtal_BW#'!$A:$Z,19,FALSE)</f>
        <v>32</v>
      </c>
      <c r="T212" s="1">
        <f t="array" ref="T212">INDEX('ICL3'!$G$2:$G$40,MATCH(MIN(ABS(AH212-'ICL3'!$F$2:$F$40)),ABS(AH212-'ICL3'!$F$2:$F$40),0))</f>
        <v>67</v>
      </c>
      <c r="U212" s="1">
        <f t="array" ref="U212">INDEX('ICL3'!$H$2:$H$40,MATCH(MIN(ABS(AH212-'ICL3'!$F$2:$F$40)),ABS(AH212-'ICL3'!$F$2:$F$40),0))</f>
        <v>26</v>
      </c>
      <c r="V212" s="1">
        <v>64</v>
      </c>
      <c r="W212" s="1">
        <v>24</v>
      </c>
      <c r="X212" s="1">
        <f>VLOOKUP($B212&amp;"__wt",'SegEnds_Xtal_BW#'!$A:$Z,24,FALSE)</f>
        <v>56</v>
      </c>
      <c r="Y212" s="1">
        <f>VLOOKUP($B212&amp;"__wt",'SegEnds_Xtal_BW#'!$A:$Z,25,FALSE)</f>
        <v>47</v>
      </c>
      <c r="Z212" s="1">
        <f>VLOOKUP($B212&amp;"__wt",'SegEnds_Xtal_BW#'!$A:$Z,26,FALSE)</f>
        <v>59</v>
      </c>
      <c r="AA212" s="27" t="str">
        <f>VLOOKUP(A212,Classification!A:B,2,FALSE)</f>
        <v>A</v>
      </c>
      <c r="AB212" s="1" t="e">
        <f>VLOOKUP(A212,'SegEnds_NonXtal_Prot#'!A:AL,10,FALSE)-VLOOKUP(A212,'SegEnds_NonXtal_Prot#'!A:AL,7,FALSE)</f>
        <v>#VALUE!</v>
      </c>
      <c r="AC212" s="1">
        <f>VLOOKUP(A212,'SegEnds_NonXtal_Prot#'!A:AL,13,FALSE)-VLOOKUP(A212,'SegEnds_NonXtal_Prot#'!A:AL,10,FALSE)</f>
        <v>20</v>
      </c>
      <c r="AD212" s="1">
        <f>VLOOKUP(A212,'SegEnds_NonXtal_Prot#'!A:AL,16,FALSE)-VLOOKUP(A212,'SegEnds_NonXtal_Prot#'!A:AL,10,FALSE)</f>
        <v>52</v>
      </c>
      <c r="AE212" s="1">
        <f>VLOOKUP(A212,'SegEnds_NonXtal_Prot#'!A:AL,22,FALSE)-VLOOKUP(A212,'SegEnds_NonXtal_Prot#'!A:AL,19,FALSE)</f>
        <v>20</v>
      </c>
      <c r="AF212" s="1">
        <f>VLOOKUP(A212,'SegEnds_NonXtal_Prot#'!A:AL,28,FALSE)-VLOOKUP(A212,'SegEnds_NonXtal_Prot#'!A:AL,25,FALSE)</f>
        <v>26</v>
      </c>
      <c r="AG212" s="1">
        <f>VLOOKUP(A212,'SegEnds_NonXtal_Prot#'!A:AL,28,FALSE)-VLOOKUP(A212,'SegEnds_NonXtal_Prot#'!A:AL,22,FALSE)</f>
        <v>63</v>
      </c>
      <c r="AH212" s="1">
        <f>VLOOKUP(A212,'SegEnds_NonXtal_Prot#'!A:AL,31,FALSE)-VLOOKUP(A212,'SegEnds_NonXtal_Prot#'!A:AL,28,FALSE)</f>
        <v>46</v>
      </c>
      <c r="AI212" s="1">
        <f>VLOOKUP(A212,'SegEnds_NonXtal_Prot#'!A:AL,34,FALSE)-VLOOKUP(A212,'SegEnds_NonXtal_Prot#'!A:AL,31,FALSE)</f>
        <v>55</v>
      </c>
      <c r="AJ212" s="1" t="str">
        <f>IF(ISERROR(MATCH(A212,'SegEnds_Xtal_Prot#'!B:B, 0)), "NoXtal", "Xtal")</f>
        <v>NoXtal</v>
      </c>
    </row>
    <row r="213" spans="1:36" x14ac:dyDescent="0.2">
      <c r="A213" s="1" t="s">
        <v>352</v>
      </c>
      <c r="B213" s="1" t="str">
        <f>VLOOKUP(A213,Xtal_Templ!A:B,2,FALSE)</f>
        <v>p2y12_human</v>
      </c>
      <c r="C213" s="5">
        <f>VLOOKUP($B213&amp;"__wt",'SegEnds_Xtal_BW#'!$A:$Z,3,FALSE)</f>
        <v>28</v>
      </c>
      <c r="D213" s="1">
        <f>VLOOKUP($B213&amp;"__wt",'SegEnds_Xtal_BW#'!$A:$Z,4,FALSE)</f>
        <v>60</v>
      </c>
      <c r="E213" s="1" t="str">
        <f>VLOOKUP($B213&amp;"__wt",'SegEnds_Xtal_BW#'!$A:$Z,5,FALSE)</f>
        <v>-</v>
      </c>
      <c r="F213" s="1" t="str">
        <f>VLOOKUP($B213&amp;"__wt",'SegEnds_Xtal_BW#'!$A:$Z,6,FALSE)</f>
        <v>-</v>
      </c>
      <c r="G213" s="1">
        <v>37</v>
      </c>
      <c r="H213" s="12">
        <f>VLOOKUP($B213&amp;"__wt",'SegEnds_Xtal_BW#'!$A:$Z,8,FALSE)</f>
        <v>66</v>
      </c>
      <c r="I213" s="1" t="str">
        <f>VLOOKUP($B213&amp;"__wt",'SegEnds_Xtal_BW#'!$A:$Z,9,FALSE)</f>
        <v>-</v>
      </c>
      <c r="J213" s="1" t="str">
        <f>VLOOKUP($B213&amp;"__wt",'SegEnds_Xtal_BW#'!$A:$Z,10,FALSE)</f>
        <v>-</v>
      </c>
      <c r="K213" s="12">
        <v>18</v>
      </c>
      <c r="L213" s="1">
        <f>VLOOKUP($B213&amp;"__wt",'SegEnds_Xtal_BW#'!$A:$Z,12,FALSE)</f>
        <v>56</v>
      </c>
      <c r="M213" s="1">
        <f>VLOOKUP($B213&amp;"__wt",'SegEnds_Xtal_BW#'!$A:$Z,13,FALSE)</f>
        <v>50</v>
      </c>
      <c r="N213" s="12">
        <f>VLOOKUP($B213&amp;"__wt",'SegEnds_Xtal_BW#'!$A:$Z,14,FALSE)</f>
        <v>57</v>
      </c>
      <c r="O213" s="89">
        <f>VLOOKUP($B213&amp;"__wt",'SegEnds_Xtal_BW#'!$A:$Z,15,FALSE)</f>
        <v>38</v>
      </c>
      <c r="P213" s="1">
        <f>VLOOKUP($B213&amp;"__wt",'SegEnds_Xtal_BW#'!$A:$Z,16,FALSE)</f>
        <v>64</v>
      </c>
      <c r="Q213" s="1">
        <f>VLOOKUP($B213&amp;"__wt",'SegEnds_Xtal_BW#'!$A:$Z,17,FALSE)</f>
        <v>50</v>
      </c>
      <c r="R213" s="1">
        <f>VLOOKUP($B213&amp;"__wt",'SegEnds_Xtal_BW#'!$A:$Z,18,FALSE)</f>
        <v>52</v>
      </c>
      <c r="S213" s="1">
        <f>VLOOKUP($B213&amp;"__wt",'SegEnds_Xtal_BW#'!$A:$Z,19,FALSE)</f>
        <v>30</v>
      </c>
      <c r="T213" s="1">
        <f t="array" ref="T213">INDEX('ICL3'!$G$2:$G$40,MATCH(MIN(ABS(AH213-'ICL3'!$F$2:$F$40)),ABS(AH213-'ICL3'!$F$2:$F$40),0))</f>
        <v>72</v>
      </c>
      <c r="U213" s="1">
        <f t="array" ref="U213">INDEX('ICL3'!$H$2:$H$40,MATCH(MIN(ABS(AH213-'ICL3'!$F$2:$F$40)),ABS(AH213-'ICL3'!$F$2:$F$40),0))</f>
        <v>29</v>
      </c>
      <c r="V213" s="1">
        <v>64</v>
      </c>
      <c r="W213" s="1">
        <v>24</v>
      </c>
      <c r="X213" s="1">
        <f>VLOOKUP($B213&amp;"__wt",'SegEnds_Xtal_BW#'!$A:$Z,24,FALSE)</f>
        <v>56</v>
      </c>
      <c r="Y213" s="1">
        <f>VLOOKUP($B213&amp;"__wt",'SegEnds_Xtal_BW#'!$A:$Z,25,FALSE)</f>
        <v>47</v>
      </c>
      <c r="Z213" s="1">
        <f>VLOOKUP($B213&amp;"__wt",'SegEnds_Xtal_BW#'!$A:$Z,26,FALSE)</f>
        <v>57</v>
      </c>
      <c r="AA213" s="27" t="str">
        <f>VLOOKUP(A213,Classification!A:B,2,FALSE)</f>
        <v>A</v>
      </c>
      <c r="AB213" s="1" t="e">
        <f>VLOOKUP(A213,'SegEnds_NonXtal_Prot#'!A:AL,10,FALSE)-VLOOKUP(A213,'SegEnds_NonXtal_Prot#'!A:AL,7,FALSE)</f>
        <v>#VALUE!</v>
      </c>
      <c r="AC213" s="1" t="e">
        <f>VLOOKUP(A213,'SegEnds_NonXtal_Prot#'!A:AL,13,FALSE)-VLOOKUP(A213,'SegEnds_NonXtal_Prot#'!A:AL,10,FALSE)</f>
        <v>#VALUE!</v>
      </c>
      <c r="AD213" s="1">
        <f>VLOOKUP(A213,'SegEnds_NonXtal_Prot#'!A:AL,16,FALSE)-VLOOKUP(A213,'SegEnds_NonXtal_Prot#'!A:AL,10,FALSE)</f>
        <v>52</v>
      </c>
      <c r="AE213" s="1">
        <f>VLOOKUP(A213,'SegEnds_NonXtal_Prot#'!A:AL,22,FALSE)-VLOOKUP(A213,'SegEnds_NonXtal_Prot#'!A:AL,19,FALSE)</f>
        <v>20</v>
      </c>
      <c r="AF213" s="1">
        <f>VLOOKUP(A213,'SegEnds_NonXtal_Prot#'!A:AL,28,FALSE)-VLOOKUP(A213,'SegEnds_NonXtal_Prot#'!A:AL,25,FALSE)</f>
        <v>26</v>
      </c>
      <c r="AG213" s="1">
        <f>VLOOKUP(A213,'SegEnds_NonXtal_Prot#'!A:AL,28,FALSE)-VLOOKUP(A213,'SegEnds_NonXtal_Prot#'!A:AL,22,FALSE)</f>
        <v>52</v>
      </c>
      <c r="AH213" s="1">
        <f>VLOOKUP(A213,'SegEnds_NonXtal_Prot#'!A:AL,31,FALSE)-VLOOKUP(A213,'SegEnds_NonXtal_Prot#'!A:AL,28,FALSE)</f>
        <v>50</v>
      </c>
      <c r="AI213" s="1">
        <f>VLOOKUP(A213,'SegEnds_NonXtal_Prot#'!A:AL,34,FALSE)-VLOOKUP(A213,'SegEnds_NonXtal_Prot#'!A:AL,31,FALSE)</f>
        <v>44</v>
      </c>
      <c r="AJ213" s="1" t="str">
        <f>IF(ISERROR(MATCH(A213,'SegEnds_Xtal_Prot#'!B:B, 0)), "NoXtal", "Xtal")</f>
        <v>Xtal</v>
      </c>
    </row>
    <row r="214" spans="1:36" x14ac:dyDescent="0.2">
      <c r="A214" s="1" t="s">
        <v>353</v>
      </c>
      <c r="B214" s="1" t="str">
        <f>VLOOKUP(A214,Xtal_Templ!A:B,2,FALSE)</f>
        <v>p2y12_human</v>
      </c>
      <c r="C214" s="5">
        <f>VLOOKUP($B214&amp;"__wt",'SegEnds_Xtal_BW#'!$A:$Z,3,FALSE)</f>
        <v>28</v>
      </c>
      <c r="D214" s="1">
        <f>VLOOKUP($B214&amp;"__wt",'SegEnds_Xtal_BW#'!$A:$Z,4,FALSE)</f>
        <v>60</v>
      </c>
      <c r="E214" s="1" t="str">
        <f>VLOOKUP($B214&amp;"__wt",'SegEnds_Xtal_BW#'!$A:$Z,5,FALSE)</f>
        <v>-</v>
      </c>
      <c r="F214" s="1" t="str">
        <f>VLOOKUP($B214&amp;"__wt",'SegEnds_Xtal_BW#'!$A:$Z,6,FALSE)</f>
        <v>-</v>
      </c>
      <c r="G214" s="1">
        <v>37</v>
      </c>
      <c r="H214" s="12">
        <f>VLOOKUP($B214&amp;"__wt",'SegEnds_Xtal_BW#'!$A:$Z,8,FALSE)</f>
        <v>66</v>
      </c>
      <c r="I214" s="1" t="str">
        <f>VLOOKUP($B214&amp;"__wt",'SegEnds_Xtal_BW#'!$A:$Z,9,FALSE)</f>
        <v>-</v>
      </c>
      <c r="J214" s="1" t="str">
        <f>VLOOKUP($B214&amp;"__wt",'SegEnds_Xtal_BW#'!$A:$Z,10,FALSE)</f>
        <v>-</v>
      </c>
      <c r="K214" s="12">
        <v>18</v>
      </c>
      <c r="L214" s="1">
        <f>VLOOKUP($B214&amp;"__wt",'SegEnds_Xtal_BW#'!$A:$Z,12,FALSE)</f>
        <v>56</v>
      </c>
      <c r="M214" s="1">
        <f>VLOOKUP($B214&amp;"__wt",'SegEnds_Xtal_BW#'!$A:$Z,13,FALSE)</f>
        <v>50</v>
      </c>
      <c r="N214" s="12">
        <v>57</v>
      </c>
      <c r="O214" s="89">
        <f>VLOOKUP($B214&amp;"__wt",'SegEnds_Xtal_BW#'!$A:$Z,15,FALSE)</f>
        <v>38</v>
      </c>
      <c r="P214" s="1">
        <f>VLOOKUP($B214&amp;"__wt",'SegEnds_Xtal_BW#'!$A:$Z,16,FALSE)</f>
        <v>64</v>
      </c>
      <c r="Q214" s="1">
        <f>VLOOKUP($B214&amp;"__wt",'SegEnds_Xtal_BW#'!$A:$Z,17,FALSE)</f>
        <v>50</v>
      </c>
      <c r="R214" s="1">
        <f>VLOOKUP($B214&amp;"__wt",'SegEnds_Xtal_BW#'!$A:$Z,18,FALSE)</f>
        <v>52</v>
      </c>
      <c r="S214" s="1">
        <f>VLOOKUP($B214&amp;"__wt",'SegEnds_Xtal_BW#'!$A:$Z,19,FALSE)</f>
        <v>30</v>
      </c>
      <c r="T214" s="1">
        <f t="array" ref="T214">INDEX('ICL3'!$G$2:$G$40,MATCH(MIN(ABS(AH214-'ICL3'!$F$2:$F$40)),ABS(AH214-'ICL3'!$F$2:$F$40),0))</f>
        <v>72</v>
      </c>
      <c r="U214" s="1">
        <f t="array" ref="U214">INDEX('ICL3'!$H$2:$H$40,MATCH(MIN(ABS(AH214-'ICL3'!$F$2:$F$40)),ABS(AH214-'ICL3'!$F$2:$F$40),0))</f>
        <v>29</v>
      </c>
      <c r="V214" s="1">
        <v>64</v>
      </c>
      <c r="W214" s="1">
        <v>24</v>
      </c>
      <c r="X214" s="1">
        <f>VLOOKUP($B214&amp;"__wt",'SegEnds_Xtal_BW#'!$A:$Z,24,FALSE)</f>
        <v>56</v>
      </c>
      <c r="Y214" s="1">
        <f>VLOOKUP($B214&amp;"__wt",'SegEnds_Xtal_BW#'!$A:$Z,25,FALSE)</f>
        <v>47</v>
      </c>
      <c r="Z214" s="1">
        <f>VLOOKUP($B214&amp;"__wt",'SegEnds_Xtal_BW#'!$A:$Z,26,FALSE)</f>
        <v>57</v>
      </c>
      <c r="AA214" s="27" t="str">
        <f>VLOOKUP(A214,Classification!A:B,2,FALSE)</f>
        <v>A</v>
      </c>
      <c r="AB214" s="1" t="e">
        <f>VLOOKUP(A214,'SegEnds_NonXtal_Prot#'!A:AL,10,FALSE)-VLOOKUP(A214,'SegEnds_NonXtal_Prot#'!A:AL,7,FALSE)</f>
        <v>#VALUE!</v>
      </c>
      <c r="AC214" s="1" t="e">
        <f>VLOOKUP(A214,'SegEnds_NonXtal_Prot#'!A:AL,13,FALSE)-VLOOKUP(A214,'SegEnds_NonXtal_Prot#'!A:AL,10,FALSE)</f>
        <v>#VALUE!</v>
      </c>
      <c r="AD214" s="1">
        <f>VLOOKUP(A214,'SegEnds_NonXtal_Prot#'!A:AL,16,FALSE)-VLOOKUP(A214,'SegEnds_NonXtal_Prot#'!A:AL,10,FALSE)</f>
        <v>52</v>
      </c>
      <c r="AE214" s="1">
        <f>VLOOKUP(A214,'SegEnds_NonXtal_Prot#'!A:AL,22,FALSE)-VLOOKUP(A214,'SegEnds_NonXtal_Prot#'!A:AL,19,FALSE)</f>
        <v>20</v>
      </c>
      <c r="AF214" s="1">
        <f>VLOOKUP(A214,'SegEnds_NonXtal_Prot#'!A:AL,28,FALSE)-VLOOKUP(A214,'SegEnds_NonXtal_Prot#'!A:AL,25,FALSE)</f>
        <v>26</v>
      </c>
      <c r="AG214" s="1">
        <f>VLOOKUP(A214,'SegEnds_NonXtal_Prot#'!A:AL,28,FALSE)-VLOOKUP(A214,'SegEnds_NonXtal_Prot#'!A:AL,22,FALSE)</f>
        <v>52</v>
      </c>
      <c r="AH214" s="1">
        <f>VLOOKUP(A214,'SegEnds_NonXtal_Prot#'!A:AL,31,FALSE)-VLOOKUP(A214,'SegEnds_NonXtal_Prot#'!A:AL,28,FALSE)</f>
        <v>50</v>
      </c>
      <c r="AI214" s="1">
        <f>VLOOKUP(A214,'SegEnds_NonXtal_Prot#'!A:AL,34,FALSE)-VLOOKUP(A214,'SegEnds_NonXtal_Prot#'!A:AL,31,FALSE)</f>
        <v>44</v>
      </c>
      <c r="AJ214" s="1" t="str">
        <f>IF(ISERROR(MATCH(A214,'SegEnds_Xtal_Prot#'!B:B, 0)), "NoXtal", "Xtal")</f>
        <v>NoXtal</v>
      </c>
    </row>
    <row r="215" spans="1:36" x14ac:dyDescent="0.2">
      <c r="A215" s="1" t="s">
        <v>354</v>
      </c>
      <c r="B215" s="1" t="str">
        <f>VLOOKUP(A215,Xtal_Templ!A:B,2,FALSE)</f>
        <v>p2y12_human</v>
      </c>
      <c r="C215" s="5">
        <f>VLOOKUP($B215&amp;"__wt",'SegEnds_Xtal_BW#'!$A:$Z,3,FALSE)</f>
        <v>28</v>
      </c>
      <c r="D215" s="1">
        <f>VLOOKUP($B215&amp;"__wt",'SegEnds_Xtal_BW#'!$A:$Z,4,FALSE)</f>
        <v>60</v>
      </c>
      <c r="E215" s="1" t="str">
        <f>VLOOKUP($B215&amp;"__wt",'SegEnds_Xtal_BW#'!$A:$Z,5,FALSE)</f>
        <v>-</v>
      </c>
      <c r="F215" s="1" t="str">
        <f>VLOOKUP($B215&amp;"__wt",'SegEnds_Xtal_BW#'!$A:$Z,6,FALSE)</f>
        <v>-</v>
      </c>
      <c r="G215" s="1">
        <v>37</v>
      </c>
      <c r="H215" s="12">
        <f>VLOOKUP($B215&amp;"__wt",'SegEnds_Xtal_BW#'!$A:$Z,8,FALSE)</f>
        <v>66</v>
      </c>
      <c r="I215" s="1" t="str">
        <f>VLOOKUP($B215&amp;"__wt",'SegEnds_Xtal_BW#'!$A:$Z,9,FALSE)</f>
        <v>-</v>
      </c>
      <c r="J215" s="1" t="str">
        <f>VLOOKUP($B215&amp;"__wt",'SegEnds_Xtal_BW#'!$A:$Z,10,FALSE)</f>
        <v>-</v>
      </c>
      <c r="K215" s="12">
        <v>18</v>
      </c>
      <c r="L215" s="1">
        <f>VLOOKUP($B215&amp;"__wt",'SegEnds_Xtal_BW#'!$A:$Z,12,FALSE)</f>
        <v>56</v>
      </c>
      <c r="M215" s="1">
        <f>VLOOKUP($B215&amp;"__wt",'SegEnds_Xtal_BW#'!$A:$Z,13,FALSE)</f>
        <v>50</v>
      </c>
      <c r="N215" s="12">
        <v>57</v>
      </c>
      <c r="O215" s="89">
        <f>VLOOKUP($B215&amp;"__wt",'SegEnds_Xtal_BW#'!$A:$Z,15,FALSE)</f>
        <v>38</v>
      </c>
      <c r="P215" s="1">
        <f>VLOOKUP($B215&amp;"__wt",'SegEnds_Xtal_BW#'!$A:$Z,16,FALSE)</f>
        <v>64</v>
      </c>
      <c r="Q215" s="1">
        <f>VLOOKUP($B215&amp;"__wt",'SegEnds_Xtal_BW#'!$A:$Z,17,FALSE)</f>
        <v>50</v>
      </c>
      <c r="R215" s="1">
        <f>VLOOKUP($B215&amp;"__wt",'SegEnds_Xtal_BW#'!$A:$Z,18,FALSE)</f>
        <v>52</v>
      </c>
      <c r="S215" s="1">
        <f>VLOOKUP($B215&amp;"__wt",'SegEnds_Xtal_BW#'!$A:$Z,19,FALSE)</f>
        <v>30</v>
      </c>
      <c r="T215" s="1">
        <f t="array" ref="T215">INDEX('ICL3'!$G$2:$G$40,MATCH(MIN(ABS(AH215-'ICL3'!$F$2:$F$40)),ABS(AH215-'ICL3'!$F$2:$F$40),0))</f>
        <v>72</v>
      </c>
      <c r="U215" s="1">
        <f t="array" ref="U215">INDEX('ICL3'!$H$2:$H$40,MATCH(MIN(ABS(AH215-'ICL3'!$F$2:$F$40)),ABS(AH215-'ICL3'!$F$2:$F$40),0))</f>
        <v>29</v>
      </c>
      <c r="V215" s="1">
        <v>64</v>
      </c>
      <c r="W215" s="1">
        <v>24</v>
      </c>
      <c r="X215" s="1">
        <f>VLOOKUP($B215&amp;"__wt",'SegEnds_Xtal_BW#'!$A:$Z,24,FALSE)</f>
        <v>56</v>
      </c>
      <c r="Y215" s="1">
        <f>VLOOKUP($B215&amp;"__wt",'SegEnds_Xtal_BW#'!$A:$Z,25,FALSE)</f>
        <v>47</v>
      </c>
      <c r="Z215" s="1">
        <f>VLOOKUP($B215&amp;"__wt",'SegEnds_Xtal_BW#'!$A:$Z,26,FALSE)</f>
        <v>57</v>
      </c>
      <c r="AA215" s="27" t="str">
        <f>VLOOKUP(A215,Classification!A:B,2,FALSE)</f>
        <v>A</v>
      </c>
      <c r="AB215" s="1" t="e">
        <f>VLOOKUP(A215,'SegEnds_NonXtal_Prot#'!A:AL,10,FALSE)-VLOOKUP(A215,'SegEnds_NonXtal_Prot#'!A:AL,7,FALSE)</f>
        <v>#VALUE!</v>
      </c>
      <c r="AC215" s="1" t="e">
        <f>VLOOKUP(A215,'SegEnds_NonXtal_Prot#'!A:AL,13,FALSE)-VLOOKUP(A215,'SegEnds_NonXtal_Prot#'!A:AL,10,FALSE)</f>
        <v>#VALUE!</v>
      </c>
      <c r="AD215" s="1">
        <f>VLOOKUP(A215,'SegEnds_NonXtal_Prot#'!A:AL,16,FALSE)-VLOOKUP(A215,'SegEnds_NonXtal_Prot#'!A:AL,10,FALSE)</f>
        <v>52</v>
      </c>
      <c r="AE215" s="1">
        <f>VLOOKUP(A215,'SegEnds_NonXtal_Prot#'!A:AL,22,FALSE)-VLOOKUP(A215,'SegEnds_NonXtal_Prot#'!A:AL,19,FALSE)</f>
        <v>20</v>
      </c>
      <c r="AF215" s="1">
        <f>VLOOKUP(A215,'SegEnds_NonXtal_Prot#'!A:AL,28,FALSE)-VLOOKUP(A215,'SegEnds_NonXtal_Prot#'!A:AL,25,FALSE)</f>
        <v>26</v>
      </c>
      <c r="AG215" s="1">
        <f>VLOOKUP(A215,'SegEnds_NonXtal_Prot#'!A:AL,28,FALSE)-VLOOKUP(A215,'SegEnds_NonXtal_Prot#'!A:AL,22,FALSE)</f>
        <v>52</v>
      </c>
      <c r="AH215" s="1">
        <f>VLOOKUP(A215,'SegEnds_NonXtal_Prot#'!A:AL,31,FALSE)-VLOOKUP(A215,'SegEnds_NonXtal_Prot#'!A:AL,28,FALSE)</f>
        <v>50</v>
      </c>
      <c r="AI215" s="1">
        <f>VLOOKUP(A215,'SegEnds_NonXtal_Prot#'!A:AL,34,FALSE)-VLOOKUP(A215,'SegEnds_NonXtal_Prot#'!A:AL,31,FALSE)</f>
        <v>44</v>
      </c>
      <c r="AJ215" s="1" t="str">
        <f>IF(ISERROR(MATCH(A215,'SegEnds_Xtal_Prot#'!B:B, 0)), "NoXtal", "Xtal")</f>
        <v>NoXtal</v>
      </c>
    </row>
    <row r="216" spans="1:36" x14ac:dyDescent="0.2">
      <c r="A216" s="1" t="s">
        <v>355</v>
      </c>
      <c r="B216" s="1" t="str">
        <f>VLOOKUP(A216,Xtal_Templ!A:B,2,FALSE)</f>
        <v>par1_human</v>
      </c>
      <c r="C216" s="5">
        <f>VLOOKUP($B216&amp;"__wt",'SegEnds_Xtal_BW#'!$A:$Z,3,FALSE)</f>
        <v>29</v>
      </c>
      <c r="D216" s="1">
        <f>VLOOKUP($B216&amp;"__wt",'SegEnds_Xtal_BW#'!$A:$Z,4,FALSE)</f>
        <v>60</v>
      </c>
      <c r="E216" s="1">
        <f>VLOOKUP($B216&amp;"__wt",'SegEnds_Xtal_BW#'!$A:$Z,5,FALSE)</f>
        <v>48</v>
      </c>
      <c r="F216" s="1">
        <f>VLOOKUP($B216&amp;"__wt",'SegEnds_Xtal_BW#'!$A:$Z,6,FALSE)</f>
        <v>51</v>
      </c>
      <c r="G216" s="1">
        <v>37</v>
      </c>
      <c r="H216" s="12">
        <f>VLOOKUP($B216&amp;"__wt",'SegEnds_Xtal_BW#'!$A:$Z,8,FALSE)</f>
        <v>66</v>
      </c>
      <c r="I216" s="1">
        <f>VLOOKUP($B216&amp;"__wt",'SegEnds_Xtal_BW#'!$A:$Z,9,FALSE)</f>
        <v>49</v>
      </c>
      <c r="J216" s="1">
        <f>VLOOKUP($B216&amp;"__wt",'SegEnds_Xtal_BW#'!$A:$Z,10,FALSE)</f>
        <v>52</v>
      </c>
      <c r="K216" s="12">
        <v>18</v>
      </c>
      <c r="L216" s="1">
        <f>VLOOKUP($B216&amp;"__wt",'SegEnds_Xtal_BW#'!$A:$Z,12,FALSE)</f>
        <v>56</v>
      </c>
      <c r="M216" s="1">
        <f>VLOOKUP($B216&amp;"__wt",'SegEnds_Xtal_BW#'!$A:$Z,13,FALSE)</f>
        <v>50</v>
      </c>
      <c r="N216" s="12">
        <f>VLOOKUP($B216&amp;"__wt",'SegEnds_Xtal_BW#'!$A:$Z,14,FALSE)</f>
        <v>57</v>
      </c>
      <c r="O216" s="89">
        <f>VLOOKUP($B216&amp;"__wt",'SegEnds_Xtal_BW#'!$A:$Z,15,FALSE)</f>
        <v>38</v>
      </c>
      <c r="P216" s="1">
        <f>VLOOKUP($B216&amp;"__wt",'SegEnds_Xtal_BW#'!$A:$Z,16,FALSE)</f>
        <v>63</v>
      </c>
      <c r="Q216" s="1">
        <f>VLOOKUP($B216&amp;"__wt",'SegEnds_Xtal_BW#'!$A:$Z,17,FALSE)</f>
        <v>50</v>
      </c>
      <c r="R216" s="1">
        <f>VLOOKUP($B216&amp;"__wt",'SegEnds_Xtal_BW#'!$A:$Z,18,FALSE)</f>
        <v>52</v>
      </c>
      <c r="S216" s="1">
        <f>VLOOKUP($B216&amp;"__wt",'SegEnds_Xtal_BW#'!$A:$Z,19,FALSE)</f>
        <v>32</v>
      </c>
      <c r="T216" s="1">
        <f t="array" ref="T216">INDEX('ICL3'!$G$2:$G$40,MATCH(MIN(ABS(AH216-'ICL3'!$F$2:$F$40)),ABS(AH216-'ICL3'!$F$2:$F$40),0))</f>
        <v>67</v>
      </c>
      <c r="U216" s="1">
        <f t="array" ref="U216">INDEX('ICL3'!$H$2:$H$40,MATCH(MIN(ABS(AH216-'ICL3'!$F$2:$F$40)),ABS(AH216-'ICL3'!$F$2:$F$40),0))</f>
        <v>26</v>
      </c>
      <c r="V216" s="1">
        <v>62</v>
      </c>
      <c r="W216" s="1">
        <v>28</v>
      </c>
      <c r="X216" s="1">
        <f>VLOOKUP($B216&amp;"__wt",'SegEnds_Xtal_BW#'!$A:$Z,24,FALSE)</f>
        <v>56</v>
      </c>
      <c r="Y216" s="1">
        <f>VLOOKUP($B216&amp;"__wt",'SegEnds_Xtal_BW#'!$A:$Z,25,FALSE)</f>
        <v>47</v>
      </c>
      <c r="Z216" s="1">
        <f>VLOOKUP($B216&amp;"__wt",'SegEnds_Xtal_BW#'!$A:$Z,26,FALSE)</f>
        <v>61</v>
      </c>
      <c r="AA216" s="27" t="str">
        <f>VLOOKUP(A216,Classification!A:B,2,FALSE)</f>
        <v>A</v>
      </c>
      <c r="AB216" s="1">
        <f>VLOOKUP(A216,'SegEnds_NonXtal_Prot#'!A:AL,10,FALSE)-VLOOKUP(A216,'SegEnds_NonXtal_Prot#'!A:AL,7,FALSE)</f>
        <v>15</v>
      </c>
      <c r="AC216" s="1">
        <f>VLOOKUP(A216,'SegEnds_NonXtal_Prot#'!A:AL,13,FALSE)-VLOOKUP(A216,'SegEnds_NonXtal_Prot#'!A:AL,10,FALSE)</f>
        <v>20</v>
      </c>
      <c r="AD216" s="1">
        <f>VLOOKUP(A216,'SegEnds_NonXtal_Prot#'!A:AL,16,FALSE)-VLOOKUP(A216,'SegEnds_NonXtal_Prot#'!A:AL,10,FALSE)</f>
        <v>52</v>
      </c>
      <c r="AE216" s="1">
        <f>VLOOKUP(A216,'SegEnds_NonXtal_Prot#'!A:AL,22,FALSE)-VLOOKUP(A216,'SegEnds_NonXtal_Prot#'!A:AL,19,FALSE)</f>
        <v>20</v>
      </c>
      <c r="AF216" s="1">
        <f>VLOOKUP(A216,'SegEnds_NonXtal_Prot#'!A:AL,28,FALSE)-VLOOKUP(A216,'SegEnds_NonXtal_Prot#'!A:AL,25,FALSE)</f>
        <v>28</v>
      </c>
      <c r="AG216" s="1">
        <f>VLOOKUP(A216,'SegEnds_NonXtal_Prot#'!A:AL,28,FALSE)-VLOOKUP(A216,'SegEnds_NonXtal_Prot#'!A:AL,22,FALSE)</f>
        <v>55</v>
      </c>
      <c r="AH216" s="1">
        <f>VLOOKUP(A216,'SegEnds_NonXtal_Prot#'!A:AL,31,FALSE)-VLOOKUP(A216,'SegEnds_NonXtal_Prot#'!A:AL,28,FALSE)</f>
        <v>46</v>
      </c>
      <c r="AI216" s="1">
        <f>VLOOKUP(A216,'SegEnds_NonXtal_Prot#'!A:AL,34,FALSE)-VLOOKUP(A216,'SegEnds_NonXtal_Prot#'!A:AL,31,FALSE)</f>
        <v>40</v>
      </c>
      <c r="AJ216" s="1" t="str">
        <f>IF(ISERROR(MATCH(A216,'SegEnds_Xtal_Prot#'!B:B, 0)), "NoXtal", "Xtal")</f>
        <v>Xtal</v>
      </c>
    </row>
    <row r="217" spans="1:36" x14ac:dyDescent="0.2">
      <c r="A217" s="1" t="s">
        <v>357</v>
      </c>
      <c r="B217" s="1" t="str">
        <f>VLOOKUP(A217,Xtal_Templ!A:B,2,FALSE)</f>
        <v>par2_human</v>
      </c>
      <c r="C217" s="5">
        <f>VLOOKUP($B217&amp;"__wt",'SegEnds_Xtal_BW#'!$A:$Z,3,FALSE)</f>
        <v>28</v>
      </c>
      <c r="D217" s="1">
        <f>VLOOKUP($B217&amp;"__wt",'SegEnds_Xtal_BW#'!$A:$Z,4,FALSE)</f>
        <v>60</v>
      </c>
      <c r="E217" s="1" t="str">
        <f>VLOOKUP($B217&amp;"__wt",'SegEnds_Xtal_BW#'!$A:$Z,5,FALSE)</f>
        <v>-</v>
      </c>
      <c r="F217" s="1" t="str">
        <f>VLOOKUP($B217&amp;"__wt",'SegEnds_Xtal_BW#'!$A:$Z,6,FALSE)</f>
        <v>-</v>
      </c>
      <c r="G217" s="1">
        <v>37</v>
      </c>
      <c r="H217" s="12">
        <f>VLOOKUP($B217&amp;"__wt",'SegEnds_Xtal_BW#'!$A:$Z,8,FALSE)</f>
        <v>66</v>
      </c>
      <c r="I217" s="1">
        <f>VLOOKUP($B217&amp;"__wt",'SegEnds_Xtal_BW#'!$A:$Z,9,FALSE)</f>
        <v>47</v>
      </c>
      <c r="J217" s="1">
        <f>VLOOKUP($B217&amp;"__wt",'SegEnds_Xtal_BW#'!$A:$Z,10,FALSE)</f>
        <v>52</v>
      </c>
      <c r="K217" s="12">
        <v>18</v>
      </c>
      <c r="L217" s="1">
        <f>VLOOKUP($B217&amp;"__wt",'SegEnds_Xtal_BW#'!$A:$Z,12,FALSE)</f>
        <v>56</v>
      </c>
      <c r="M217" s="1">
        <f>VLOOKUP($B217&amp;"__wt",'SegEnds_Xtal_BW#'!$A:$Z,13,FALSE)</f>
        <v>50</v>
      </c>
      <c r="N217" s="12">
        <v>57</v>
      </c>
      <c r="O217" s="89">
        <f>VLOOKUP($B217&amp;"__wt",'SegEnds_Xtal_BW#'!$A:$Z,15,FALSE)</f>
        <v>38</v>
      </c>
      <c r="P217" s="1">
        <f>VLOOKUP($B217&amp;"__wt",'SegEnds_Xtal_BW#'!$A:$Z,16,FALSE)</f>
        <v>62</v>
      </c>
      <c r="Q217" s="1">
        <f>VLOOKUP($B217&amp;"__wt",'SegEnds_Xtal_BW#'!$A:$Z,17,FALSE)</f>
        <v>50</v>
      </c>
      <c r="R217" s="1">
        <f>VLOOKUP($B217&amp;"__wt",'SegEnds_Xtal_BW#'!$A:$Z,18,FALSE)</f>
        <v>52</v>
      </c>
      <c r="S217" s="1">
        <v>35</v>
      </c>
      <c r="T217" s="1">
        <f t="array" ref="T217">INDEX('ICL3'!$G$2:$G$40,MATCH(MIN(ABS(AH217-'ICL3'!$F$2:$F$40)),ABS(AH217-'ICL3'!$F$2:$F$40),0))</f>
        <v>68</v>
      </c>
      <c r="U217" s="1">
        <f t="array" ref="U217">INDEX('ICL3'!$H$2:$H$40,MATCH(MIN(ABS(AH217-'ICL3'!$F$2:$F$40)),ABS(AH217-'ICL3'!$F$2:$F$40),0))</f>
        <v>30</v>
      </c>
      <c r="V217" s="1">
        <v>62</v>
      </c>
      <c r="W217" s="1">
        <v>28</v>
      </c>
      <c r="X217" s="1">
        <f>VLOOKUP($B217&amp;"__wt",'SegEnds_Xtal_BW#'!$A:$Z,24,FALSE)</f>
        <v>56</v>
      </c>
      <c r="Y217" s="1">
        <f>VLOOKUP($B217&amp;"__wt",'SegEnds_Xtal_BW#'!$A:$Z,25,FALSE)</f>
        <v>47</v>
      </c>
      <c r="Z217" s="1">
        <f>VLOOKUP($B217&amp;"__wt",'SegEnds_Xtal_BW#'!$A:$Z,26,FALSE)</f>
        <v>61</v>
      </c>
      <c r="AA217" s="27" t="str">
        <f>VLOOKUP(A217,Classification!A:B,2,FALSE)</f>
        <v>A</v>
      </c>
      <c r="AB217" s="1" t="e">
        <f>VLOOKUP(A217,'SegEnds_NonXtal_Prot#'!A:AL,10,FALSE)-VLOOKUP(A217,'SegEnds_NonXtal_Prot#'!A:AL,7,FALSE)</f>
        <v>#VALUE!</v>
      </c>
      <c r="AC217" s="1">
        <f>VLOOKUP(A217,'SegEnds_NonXtal_Prot#'!A:AL,13,FALSE)-VLOOKUP(A217,'SegEnds_NonXtal_Prot#'!A:AL,10,FALSE)</f>
        <v>20</v>
      </c>
      <c r="AD217" s="1">
        <f>VLOOKUP(A217,'SegEnds_NonXtal_Prot#'!A:AL,16,FALSE)-VLOOKUP(A217,'SegEnds_NonXtal_Prot#'!A:AL,10,FALSE)</f>
        <v>52</v>
      </c>
      <c r="AE217" s="1">
        <f>VLOOKUP(A217,'SegEnds_NonXtal_Prot#'!A:AL,22,FALSE)-VLOOKUP(A217,'SegEnds_NonXtal_Prot#'!A:AL,19,FALSE)</f>
        <v>20</v>
      </c>
      <c r="AF217" s="1">
        <f>VLOOKUP(A217,'SegEnds_NonXtal_Prot#'!A:AL,28,FALSE)-VLOOKUP(A217,'SegEnds_NonXtal_Prot#'!A:AL,25,FALSE)</f>
        <v>22</v>
      </c>
      <c r="AG217" s="1">
        <f>VLOOKUP(A217,'SegEnds_NonXtal_Prot#'!A:AL,28,FALSE)-VLOOKUP(A217,'SegEnds_NonXtal_Prot#'!A:AL,22,FALSE)</f>
        <v>56</v>
      </c>
      <c r="AH217" s="1">
        <f>VLOOKUP(A217,'SegEnds_NonXtal_Prot#'!A:AL,31,FALSE)-VLOOKUP(A217,'SegEnds_NonXtal_Prot#'!A:AL,28,FALSE)</f>
        <v>42</v>
      </c>
      <c r="AI217" s="1">
        <f>VLOOKUP(A217,'SegEnds_NonXtal_Prot#'!A:AL,34,FALSE)-VLOOKUP(A217,'SegEnds_NonXtal_Prot#'!A:AL,31,FALSE)</f>
        <v>39</v>
      </c>
      <c r="AJ217" s="1" t="str">
        <f>IF(ISERROR(MATCH(A217,'SegEnds_Xtal_Prot#'!B:B, 0)), "NoXtal", "Xtal")</f>
        <v>NoXtal</v>
      </c>
    </row>
    <row r="218" spans="1:36" x14ac:dyDescent="0.2">
      <c r="A218" s="1" t="s">
        <v>358</v>
      </c>
      <c r="B218" s="1" t="str">
        <f>VLOOKUP(A218,Xtal_Templ!A:B,2,FALSE)</f>
        <v>par2_human</v>
      </c>
      <c r="C218" s="5">
        <f>VLOOKUP($B218&amp;"__wt",'SegEnds_Xtal_BW#'!$A:$Z,3,FALSE)</f>
        <v>28</v>
      </c>
      <c r="D218" s="1">
        <f>VLOOKUP($B218&amp;"__wt",'SegEnds_Xtal_BW#'!$A:$Z,4,FALSE)</f>
        <v>60</v>
      </c>
      <c r="E218" s="1" t="str">
        <f>VLOOKUP($B218&amp;"__wt",'SegEnds_Xtal_BW#'!$A:$Z,5,FALSE)</f>
        <v>-</v>
      </c>
      <c r="F218" s="1" t="str">
        <f>VLOOKUP($B218&amp;"__wt",'SegEnds_Xtal_BW#'!$A:$Z,6,FALSE)</f>
        <v>-</v>
      </c>
      <c r="G218" s="1">
        <v>37</v>
      </c>
      <c r="H218" s="12">
        <f>VLOOKUP($B218&amp;"__wt",'SegEnds_Xtal_BW#'!$A:$Z,8,FALSE)</f>
        <v>66</v>
      </c>
      <c r="I218" s="1">
        <f>VLOOKUP($B218&amp;"__wt",'SegEnds_Xtal_BW#'!$A:$Z,9,FALSE)</f>
        <v>47</v>
      </c>
      <c r="J218" s="1">
        <f>VLOOKUP($B218&amp;"__wt",'SegEnds_Xtal_BW#'!$A:$Z,10,FALSE)</f>
        <v>52</v>
      </c>
      <c r="K218" s="12">
        <v>18</v>
      </c>
      <c r="L218" s="1">
        <f>VLOOKUP($B218&amp;"__wt",'SegEnds_Xtal_BW#'!$A:$Z,12,FALSE)</f>
        <v>56</v>
      </c>
      <c r="M218" s="1">
        <f>VLOOKUP($B218&amp;"__wt",'SegEnds_Xtal_BW#'!$A:$Z,13,FALSE)</f>
        <v>50</v>
      </c>
      <c r="N218" s="12">
        <v>57</v>
      </c>
      <c r="O218" s="89">
        <f>VLOOKUP($B218&amp;"__wt",'SegEnds_Xtal_BW#'!$A:$Z,15,FALSE)</f>
        <v>38</v>
      </c>
      <c r="P218" s="1">
        <f>VLOOKUP($B218&amp;"__wt",'SegEnds_Xtal_BW#'!$A:$Z,16,FALSE)</f>
        <v>62</v>
      </c>
      <c r="Q218" s="1">
        <f>VLOOKUP($B218&amp;"__wt",'SegEnds_Xtal_BW#'!$A:$Z,17,FALSE)</f>
        <v>50</v>
      </c>
      <c r="R218" s="1">
        <f>VLOOKUP($B218&amp;"__wt",'SegEnds_Xtal_BW#'!$A:$Z,18,FALSE)</f>
        <v>52</v>
      </c>
      <c r="S218" s="1">
        <f>VLOOKUP($B218&amp;"__wt",'SegEnds_Xtal_BW#'!$A:$Z,19,FALSE)</f>
        <v>31</v>
      </c>
      <c r="T218" s="1">
        <f t="array" ref="T218">INDEX('ICL3'!$G$2:$G$40,MATCH(MIN(ABS(AH218-'ICL3'!$F$2:$F$40)),ABS(AH218-'ICL3'!$F$2:$F$40),0))</f>
        <v>68</v>
      </c>
      <c r="U218" s="1">
        <f t="array" ref="U218">INDEX('ICL3'!$H$2:$H$40,MATCH(MIN(ABS(AH218-'ICL3'!$F$2:$F$40)),ABS(AH218-'ICL3'!$F$2:$F$40),0))</f>
        <v>30</v>
      </c>
      <c r="V218" s="1">
        <v>62</v>
      </c>
      <c r="W218" s="1">
        <v>28</v>
      </c>
      <c r="X218" s="1">
        <f>VLOOKUP($B218&amp;"__wt",'SegEnds_Xtal_BW#'!$A:$Z,24,FALSE)</f>
        <v>56</v>
      </c>
      <c r="Y218" s="1">
        <f>VLOOKUP($B218&amp;"__wt",'SegEnds_Xtal_BW#'!$A:$Z,25,FALSE)</f>
        <v>47</v>
      </c>
      <c r="Z218" s="1">
        <f>VLOOKUP($B218&amp;"__wt",'SegEnds_Xtal_BW#'!$A:$Z,26,FALSE)</f>
        <v>61</v>
      </c>
      <c r="AA218" s="27" t="str">
        <f>VLOOKUP(A218,Classification!A:B,2,FALSE)</f>
        <v>A</v>
      </c>
      <c r="AB218" s="1" t="e">
        <f>VLOOKUP(A218,'SegEnds_NonXtal_Prot#'!A:AL,10,FALSE)-VLOOKUP(A218,'SegEnds_NonXtal_Prot#'!A:AL,7,FALSE)</f>
        <v>#VALUE!</v>
      </c>
      <c r="AC218" s="1">
        <f>VLOOKUP(A218,'SegEnds_NonXtal_Prot#'!A:AL,13,FALSE)-VLOOKUP(A218,'SegEnds_NonXtal_Prot#'!A:AL,10,FALSE)</f>
        <v>20</v>
      </c>
      <c r="AD218" s="1">
        <f>VLOOKUP(A218,'SegEnds_NonXtal_Prot#'!A:AL,16,FALSE)-VLOOKUP(A218,'SegEnds_NonXtal_Prot#'!A:AL,10,FALSE)</f>
        <v>52</v>
      </c>
      <c r="AE218" s="1">
        <f>VLOOKUP(A218,'SegEnds_NonXtal_Prot#'!A:AL,22,FALSE)-VLOOKUP(A218,'SegEnds_NonXtal_Prot#'!A:AL,19,FALSE)</f>
        <v>20</v>
      </c>
      <c r="AF218" s="1">
        <f>VLOOKUP(A218,'SegEnds_NonXtal_Prot#'!A:AL,28,FALSE)-VLOOKUP(A218,'SegEnds_NonXtal_Prot#'!A:AL,25,FALSE)</f>
        <v>28</v>
      </c>
      <c r="AG218" s="1">
        <f>VLOOKUP(A218,'SegEnds_NonXtal_Prot#'!A:AL,28,FALSE)-VLOOKUP(A218,'SegEnds_NonXtal_Prot#'!A:AL,22,FALSE)</f>
        <v>55</v>
      </c>
      <c r="AH218" s="1">
        <f>VLOOKUP(A218,'SegEnds_NonXtal_Prot#'!A:AL,31,FALSE)-VLOOKUP(A218,'SegEnds_NonXtal_Prot#'!A:AL,28,FALSE)</f>
        <v>42</v>
      </c>
      <c r="AI218" s="1">
        <f>VLOOKUP(A218,'SegEnds_NonXtal_Prot#'!A:AL,34,FALSE)-VLOOKUP(A218,'SegEnds_NonXtal_Prot#'!A:AL,31,FALSE)</f>
        <v>39</v>
      </c>
      <c r="AJ218" s="1" t="str">
        <f>IF(ISERROR(MATCH(A218,'SegEnds_Xtal_Prot#'!B:B, 0)), "NoXtal", "Xtal")</f>
        <v>NoXtal</v>
      </c>
    </row>
    <row r="219" spans="1:36" x14ac:dyDescent="0.2">
      <c r="A219" s="1" t="s">
        <v>359</v>
      </c>
      <c r="B219" s="1" t="str">
        <f>VLOOKUP(A219,Xtal_Templ!A:B,2,FALSE)</f>
        <v>ntr1_rat</v>
      </c>
      <c r="C219" s="5">
        <f>VLOOKUP($B219&amp;"__wt",'SegEnds_Xtal_BW#'!$A:$Z,3,FALSE)</f>
        <v>29</v>
      </c>
      <c r="D219" s="1">
        <f>VLOOKUP($B219&amp;"__wt",'SegEnds_Xtal_BW#'!$A:$Z,4,FALSE)</f>
        <v>60</v>
      </c>
      <c r="E219" s="1">
        <f>VLOOKUP($B219&amp;"__wt",'SegEnds_Xtal_BW#'!$A:$Z,5,FALSE)</f>
        <v>48</v>
      </c>
      <c r="F219" s="1">
        <f>VLOOKUP($B219&amp;"__wt",'SegEnds_Xtal_BW#'!$A:$Z,6,FALSE)</f>
        <v>51</v>
      </c>
      <c r="G219" s="1">
        <v>37</v>
      </c>
      <c r="H219" s="12">
        <f>VLOOKUP($B219&amp;"__wt",'SegEnds_Xtal_BW#'!$A:$Z,8,FALSE)</f>
        <v>68</v>
      </c>
      <c r="I219" s="1">
        <f>VLOOKUP($B219&amp;"__wt",'SegEnds_Xtal_BW#'!$A:$Z,9,FALSE)</f>
        <v>49</v>
      </c>
      <c r="J219" s="1">
        <f>VLOOKUP($B219&amp;"__wt",'SegEnds_Xtal_BW#'!$A:$Z,10,FALSE)</f>
        <v>52</v>
      </c>
      <c r="K219" s="12">
        <v>18</v>
      </c>
      <c r="L219" s="1">
        <f>VLOOKUP($B219&amp;"__wt",'SegEnds_Xtal_BW#'!$A:$Z,12,FALSE)</f>
        <v>56</v>
      </c>
      <c r="M219" s="1">
        <f>VLOOKUP($B219&amp;"__wt",'SegEnds_Xtal_BW#'!$A:$Z,13,FALSE)</f>
        <v>50</v>
      </c>
      <c r="N219" s="12">
        <v>57</v>
      </c>
      <c r="O219" s="89">
        <f>VLOOKUP($B219&amp;"__wt",'SegEnds_Xtal_BW#'!$A:$Z,15,FALSE)</f>
        <v>38</v>
      </c>
      <c r="P219" s="1">
        <f>VLOOKUP($B219&amp;"__wt",'SegEnds_Xtal_BW#'!$A:$Z,16,FALSE)</f>
        <v>64</v>
      </c>
      <c r="Q219" s="1">
        <f>VLOOKUP($B219&amp;"__wt",'SegEnds_Xtal_BW#'!$A:$Z,17,FALSE)</f>
        <v>50</v>
      </c>
      <c r="R219" s="1">
        <f>VLOOKUP($B219&amp;"__wt",'SegEnds_Xtal_BW#'!$A:$Z,18,FALSE)</f>
        <v>52</v>
      </c>
      <c r="S219" s="1">
        <f>VLOOKUP($B219&amp;"__wt",'SegEnds_Xtal_BW#'!$A:$Z,19,FALSE)</f>
        <v>32</v>
      </c>
      <c r="T219" s="1">
        <f t="array" ref="T219">INDEX('ICL3'!$G$2:$G$40,MATCH(MIN(ABS(AH219-'ICL3'!$F$2:$F$40)),ABS(AH219-'ICL3'!$F$2:$F$40),0))</f>
        <v>76</v>
      </c>
      <c r="U219" s="1">
        <f t="array" ref="U219">INDEX('ICL3'!$H$2:$H$40,MATCH(MIN(ABS(AH219-'ICL3'!$F$2:$F$40)),ABS(AH219-'ICL3'!$F$2:$F$40),0))</f>
        <v>24</v>
      </c>
      <c r="V219" s="1">
        <v>61</v>
      </c>
      <c r="W219" s="1">
        <v>28</v>
      </c>
      <c r="X219" s="6">
        <f>VLOOKUP($B219&amp;"__wt",'SegEnds_Xtal_BW#'!$A:$Z,24,FALSE)</f>
        <v>56</v>
      </c>
      <c r="Y219" s="1">
        <f>VLOOKUP($B219&amp;"__wt",'SegEnds_Xtal_BW#'!$A:$Z,25,FALSE)</f>
        <v>47</v>
      </c>
      <c r="Z219" s="1">
        <f>VLOOKUP($B219&amp;"__wt",'SegEnds_Xtal_BW#'!$A:$Z,26,FALSE)</f>
        <v>58</v>
      </c>
      <c r="AA219" s="27" t="str">
        <f>VLOOKUP(A219,Classification!A:B,2,FALSE)</f>
        <v>A</v>
      </c>
      <c r="AB219" s="1" t="e">
        <f>VLOOKUP(A219,'SegEnds_NonXtal_Prot#'!A:AL,10,FALSE)-VLOOKUP(A219,'SegEnds_NonXtal_Prot#'!A:AL,7,FALSE)</f>
        <v>#VALUE!</v>
      </c>
      <c r="AC219" s="1" t="e">
        <f>VLOOKUP(A219,'SegEnds_NonXtal_Prot#'!A:AL,13,FALSE)-VLOOKUP(A219,'SegEnds_NonXtal_Prot#'!A:AL,10,FALSE)</f>
        <v>#VALUE!</v>
      </c>
      <c r="AD219" s="1">
        <f>VLOOKUP(A219,'SegEnds_NonXtal_Prot#'!A:AL,16,FALSE)-VLOOKUP(A219,'SegEnds_NonXtal_Prot#'!A:AL,10,FALSE)</f>
        <v>58</v>
      </c>
      <c r="AE219" s="1">
        <f>VLOOKUP(A219,'SegEnds_NonXtal_Prot#'!A:AL,22,FALSE)-VLOOKUP(A219,'SegEnds_NonXtal_Prot#'!A:AL,19,FALSE)</f>
        <v>20</v>
      </c>
      <c r="AF219" s="1">
        <f>VLOOKUP(A219,'SegEnds_NonXtal_Prot#'!A:AL,28,FALSE)-VLOOKUP(A219,'SegEnds_NonXtal_Prot#'!A:AL,25,FALSE)</f>
        <v>29</v>
      </c>
      <c r="AG219" s="1">
        <f>VLOOKUP(A219,'SegEnds_NonXtal_Prot#'!A:AL,28,FALSE)-VLOOKUP(A219,'SegEnds_NonXtal_Prot#'!A:AL,22,FALSE)</f>
        <v>55</v>
      </c>
      <c r="AH219" s="1">
        <f>VLOOKUP(A219,'SegEnds_NonXtal_Prot#'!A:AL,31,FALSE)-VLOOKUP(A219,'SegEnds_NonXtal_Prot#'!A:AL,28,FALSE)</f>
        <v>68</v>
      </c>
      <c r="AI219" s="1">
        <f>VLOOKUP(A219,'SegEnds_NonXtal_Prot#'!A:AL,34,FALSE)-VLOOKUP(A219,'SegEnds_NonXtal_Prot#'!A:AL,31,FALSE)</f>
        <v>40</v>
      </c>
      <c r="AJ219" s="1" t="str">
        <f>IF(ISERROR(MATCH(A219,'SegEnds_Xtal_Prot#'!B:B, 0)), "NoXtal", "Xtal")</f>
        <v>NoXtal</v>
      </c>
    </row>
    <row r="220" spans="1:36" x14ac:dyDescent="0.2">
      <c r="A220" s="1" t="s">
        <v>360</v>
      </c>
      <c r="B220" s="1" t="str">
        <f>VLOOKUP(A220,Xtal_Templ!A:B,2,FALSE)</f>
        <v>agtr2_human</v>
      </c>
      <c r="C220" s="5">
        <f>VLOOKUP($B220&amp;"__wt",'SegEnds_Xtal_BW#'!$A:$Z,3,FALSE)</f>
        <v>33</v>
      </c>
      <c r="D220" s="1">
        <f>VLOOKUP($B220&amp;"__wt",'SegEnds_Xtal_BW#'!$A:$Z,4,FALSE)</f>
        <v>60</v>
      </c>
      <c r="E220" s="1" t="str">
        <f>VLOOKUP($B220&amp;"__wt",'SegEnds_Xtal_BW#'!$A:$Z,5,FALSE)</f>
        <v>-</v>
      </c>
      <c r="F220" s="1" t="str">
        <f>VLOOKUP($B220&amp;"__wt",'SegEnds_Xtal_BW#'!$A:$Z,6,FALSE)</f>
        <v>-</v>
      </c>
      <c r="G220" s="1">
        <v>37</v>
      </c>
      <c r="H220" s="12">
        <f>VLOOKUP($B220&amp;"__wt",'SegEnds_Xtal_BW#'!$A:$Z,8,FALSE)</f>
        <v>66</v>
      </c>
      <c r="I220" s="1">
        <f>VLOOKUP($B220&amp;"__wt",'SegEnds_Xtal_BW#'!$A:$Z,9,FALSE)</f>
        <v>47</v>
      </c>
      <c r="J220" s="1">
        <f>VLOOKUP($B220&amp;"__wt",'SegEnds_Xtal_BW#'!$A:$Z,10,FALSE)</f>
        <v>52</v>
      </c>
      <c r="K220" s="12">
        <v>18</v>
      </c>
      <c r="L220" s="1">
        <f>VLOOKUP($B220&amp;"__wt",'SegEnds_Xtal_BW#'!$A:$Z,12,FALSE)</f>
        <v>56</v>
      </c>
      <c r="M220" s="1">
        <f>VLOOKUP($B220&amp;"__wt",'SegEnds_Xtal_BW#'!$A:$Z,13,FALSE)</f>
        <v>50</v>
      </c>
      <c r="N220" s="12">
        <v>57</v>
      </c>
      <c r="O220" s="89">
        <f>VLOOKUP($B220&amp;"__wt",'SegEnds_Xtal_BW#'!$A:$Z,15,FALSE)</f>
        <v>38</v>
      </c>
      <c r="P220" s="1">
        <f>VLOOKUP($B220&amp;"__wt",'SegEnds_Xtal_BW#'!$A:$Z,16,FALSE)</f>
        <v>64</v>
      </c>
      <c r="Q220" s="1">
        <f>VLOOKUP($B220&amp;"__wt",'SegEnds_Xtal_BW#'!$A:$Z,17,FALSE)</f>
        <v>50</v>
      </c>
      <c r="R220" s="1">
        <f>VLOOKUP($B220&amp;"__wt",'SegEnds_Xtal_BW#'!$A:$Z,18,FALSE)</f>
        <v>52</v>
      </c>
      <c r="S220" s="1">
        <f>VLOOKUP($B220&amp;"__wt",'SegEnds_Xtal_BW#'!$A:$Z,19,FALSE)</f>
        <v>30</v>
      </c>
      <c r="T220" s="1">
        <f t="array" ref="T220">INDEX('ICL3'!$G$2:$G$40,MATCH(MIN(ABS(AH220-'ICL3'!$F$2:$F$40)),ABS(AH220-'ICL3'!$F$2:$F$40),0))</f>
        <v>68</v>
      </c>
      <c r="U220" s="1">
        <f t="array" ref="U220">INDEX('ICL3'!$H$2:$H$40,MATCH(MIN(ABS(AH220-'ICL3'!$F$2:$F$40)),ABS(AH220-'ICL3'!$F$2:$F$40),0))</f>
        <v>30</v>
      </c>
      <c r="V220" s="1">
        <v>61</v>
      </c>
      <c r="W220" s="1">
        <v>28</v>
      </c>
      <c r="X220" s="1">
        <f>VLOOKUP($B220&amp;"__wt",'SegEnds_Xtal_BW#'!$A:$Z,24,FALSE)</f>
        <v>56</v>
      </c>
      <c r="Y220" s="1">
        <f>VLOOKUP($B220&amp;"__wt",'SegEnds_Xtal_BW#'!$A:$Z,25,FALSE)</f>
        <v>47</v>
      </c>
      <c r="Z220" s="1">
        <f>VLOOKUP($B220&amp;"__wt",'SegEnds_Xtal_BW#'!$A:$Z,26,FALSE)</f>
        <v>61</v>
      </c>
      <c r="AA220" s="27" t="str">
        <f>VLOOKUP(A220,Classification!A:B,2,FALSE)</f>
        <v>A</v>
      </c>
      <c r="AB220" s="1" t="e">
        <f>VLOOKUP(A220,'SegEnds_NonXtal_Prot#'!A:AL,10,FALSE)-VLOOKUP(A220,'SegEnds_NonXtal_Prot#'!A:AL,7,FALSE)</f>
        <v>#VALUE!</v>
      </c>
      <c r="AC220" s="1">
        <f>VLOOKUP(A220,'SegEnds_NonXtal_Prot#'!A:AL,13,FALSE)-VLOOKUP(A220,'SegEnds_NonXtal_Prot#'!A:AL,10,FALSE)</f>
        <v>20</v>
      </c>
      <c r="AD220" s="1">
        <f>VLOOKUP(A220,'SegEnds_NonXtal_Prot#'!A:AL,16,FALSE)-VLOOKUP(A220,'SegEnds_NonXtal_Prot#'!A:AL,10,FALSE)</f>
        <v>52</v>
      </c>
      <c r="AE220" s="1">
        <f>VLOOKUP(A220,'SegEnds_NonXtal_Prot#'!A:AL,22,FALSE)-VLOOKUP(A220,'SegEnds_NonXtal_Prot#'!A:AL,19,FALSE)</f>
        <v>20</v>
      </c>
      <c r="AF220" s="1">
        <f>VLOOKUP(A220,'SegEnds_NonXtal_Prot#'!A:AL,28,FALSE)-VLOOKUP(A220,'SegEnds_NonXtal_Prot#'!A:AL,25,FALSE)</f>
        <v>36</v>
      </c>
      <c r="AG220" s="1">
        <f>VLOOKUP(A220,'SegEnds_NonXtal_Prot#'!A:AL,28,FALSE)-VLOOKUP(A220,'SegEnds_NonXtal_Prot#'!A:AL,22,FALSE)</f>
        <v>62</v>
      </c>
      <c r="AH220" s="1">
        <f>VLOOKUP(A220,'SegEnds_NonXtal_Prot#'!A:AL,31,FALSE)-VLOOKUP(A220,'SegEnds_NonXtal_Prot#'!A:AL,28,FALSE)</f>
        <v>43</v>
      </c>
      <c r="AI220" s="1">
        <f>VLOOKUP(A220,'SegEnds_NonXtal_Prot#'!A:AL,34,FALSE)-VLOOKUP(A220,'SegEnds_NonXtal_Prot#'!A:AL,31,FALSE)</f>
        <v>40</v>
      </c>
      <c r="AJ220" s="1" t="str">
        <f>IF(ISERROR(MATCH(A220,'SegEnds_Xtal_Prot#'!B:B, 0)), "NoXtal", "Xtal")</f>
        <v>NoXtal</v>
      </c>
    </row>
    <row r="221" spans="1:36" x14ac:dyDescent="0.2">
      <c r="A221" s="1" t="s">
        <v>361</v>
      </c>
      <c r="B221" s="1" t="str">
        <f>VLOOKUP(A221,Xtal_Templ!A:B,2,FALSE)</f>
        <v>cnr1_human</v>
      </c>
      <c r="C221" s="5">
        <f>VLOOKUP($B221&amp;"__wt",'SegEnds_Xtal_BW#'!$A:$Z,3,FALSE)</f>
        <v>28</v>
      </c>
      <c r="D221" s="1">
        <f>VLOOKUP($B221&amp;"__wt",'SegEnds_Xtal_BW#'!$A:$Z,4,FALSE)</f>
        <v>60</v>
      </c>
      <c r="E221" s="1">
        <f>VLOOKUP($B221&amp;"__wt",'SegEnds_Xtal_BW#'!$A:$Z,5,FALSE)</f>
        <v>48</v>
      </c>
      <c r="F221" s="1">
        <f>VLOOKUP($B221&amp;"__wt",'SegEnds_Xtal_BW#'!$A:$Z,6,FALSE)</f>
        <v>51</v>
      </c>
      <c r="G221" s="1">
        <v>37</v>
      </c>
      <c r="H221" s="12">
        <v>66</v>
      </c>
      <c r="I221" s="1" t="str">
        <f>VLOOKUP($B221&amp;"__wt",'SegEnds_Xtal_BW#'!$A:$Z,9,FALSE)</f>
        <v>-</v>
      </c>
      <c r="J221" s="1" t="str">
        <f>VLOOKUP($B221&amp;"__wt",'SegEnds_Xtal_BW#'!$A:$Z,10,FALSE)</f>
        <v>-</v>
      </c>
      <c r="K221" s="12">
        <v>21</v>
      </c>
      <c r="L221" s="1">
        <f>VLOOKUP($B221&amp;"__wt",'SegEnds_Xtal_BW#'!$A:$Z,12,FALSE)</f>
        <v>56</v>
      </c>
      <c r="M221" s="1">
        <f>VLOOKUP($B221&amp;"__wt",'SegEnds_Xtal_BW#'!$A:$Z,13,FALSE)</f>
        <v>50</v>
      </c>
      <c r="N221" s="12">
        <v>57</v>
      </c>
      <c r="O221" s="89">
        <f>VLOOKUP($B221&amp;"__wt",'SegEnds_Xtal_BW#'!$A:$Z,15,FALSE)</f>
        <v>38</v>
      </c>
      <c r="P221" s="1">
        <f>VLOOKUP($B221&amp;"__wt",'SegEnds_Xtal_BW#'!$A:$Z,16,FALSE)</f>
        <v>63</v>
      </c>
      <c r="Q221" s="111">
        <v>50</v>
      </c>
      <c r="R221" s="111">
        <v>52</v>
      </c>
      <c r="S221" s="1">
        <f>VLOOKUP($B221&amp;"__wt",'SegEnds_Xtal_BW#'!$A:$Z,19,FALSE)</f>
        <v>36</v>
      </c>
      <c r="T221" s="1">
        <f t="array" ref="T221">INDEX('ICL3'!$G$2:$G$40,MATCH(MIN(ABS(AH221-'ICL3'!$F$2:$F$40)),ABS(AH221-'ICL3'!$F$2:$F$40),0))</f>
        <v>74</v>
      </c>
      <c r="U221" s="1">
        <f t="array" ref="U221">INDEX('ICL3'!$H$2:$H$40,MATCH(MIN(ABS(AH221-'ICL3'!$F$2:$F$40)),ABS(AH221-'ICL3'!$F$2:$F$40),0))</f>
        <v>24</v>
      </c>
      <c r="V221" s="1">
        <v>61</v>
      </c>
      <c r="W221" s="1">
        <v>31</v>
      </c>
      <c r="X221" s="1">
        <f>VLOOKUP($B221&amp;"__wt",'SegEnds_Xtal_BW#'!$A:$Z,24,FALSE)</f>
        <v>56</v>
      </c>
      <c r="Y221" s="1">
        <f>VLOOKUP($B221&amp;"__wt",'SegEnds_Xtal_BW#'!$A:$Z,25,FALSE)</f>
        <v>47</v>
      </c>
      <c r="Z221" s="1">
        <f>VLOOKUP($B221&amp;"__wt",'SegEnds_Xtal_BW#'!$A:$Z,26,FALSE)</f>
        <v>59</v>
      </c>
      <c r="AA221" s="27" t="str">
        <f>VLOOKUP(A221,Classification!A:B,2,FALSE)</f>
        <v>A</v>
      </c>
      <c r="AB221" s="1">
        <f>VLOOKUP(A221,'SegEnds_NonXtal_Prot#'!A:AL,10,FALSE)-VLOOKUP(A221,'SegEnds_NonXtal_Prot#'!A:AL,7,FALSE)</f>
        <v>20</v>
      </c>
      <c r="AC221" s="1">
        <f>VLOOKUP(A221,'SegEnds_NonXtal_Prot#'!A:AL,13,FALSE)-VLOOKUP(A221,'SegEnds_NonXtal_Prot#'!A:AL,10,FALSE)</f>
        <v>20</v>
      </c>
      <c r="AD221" s="1">
        <f>VLOOKUP(A221,'SegEnds_NonXtal_Prot#'!A:AL,16,FALSE)-VLOOKUP(A221,'SegEnds_NonXtal_Prot#'!A:AL,10,FALSE)</f>
        <v>51</v>
      </c>
      <c r="AE221" s="1">
        <f>VLOOKUP(A221,'SegEnds_NonXtal_Prot#'!A:AL,22,FALSE)-VLOOKUP(A221,'SegEnds_NonXtal_Prot#'!A:AL,19,FALSE)</f>
        <v>20</v>
      </c>
      <c r="AF221" s="1">
        <f>VLOOKUP(A221,'SegEnds_NonXtal_Prot#'!A:AL,28,FALSE)-VLOOKUP(A221,'SegEnds_NonXtal_Prot#'!A:AL,25,FALSE)</f>
        <v>28</v>
      </c>
      <c r="AG221" s="1">
        <f>VLOOKUP(A221,'SegEnds_NonXtal_Prot#'!A:AL,28,FALSE)-VLOOKUP(A221,'SegEnds_NonXtal_Prot#'!A:AL,22,FALSE)</f>
        <v>54</v>
      </c>
      <c r="AH221" s="1">
        <f>VLOOKUP(A221,'SegEnds_NonXtal_Prot#'!A:AL,31,FALSE)-VLOOKUP(A221,'SegEnds_NonXtal_Prot#'!A:AL,28,FALSE)</f>
        <v>96</v>
      </c>
      <c r="AI221" s="1">
        <f>VLOOKUP(A221,'SegEnds_NonXtal_Prot#'!A:AL,34,FALSE)-VLOOKUP(A221,'SegEnds_NonXtal_Prot#'!A:AL,31,FALSE)</f>
        <v>36</v>
      </c>
      <c r="AJ221" s="1" t="str">
        <f>IF(ISERROR(MATCH(A221,'SegEnds_Xtal_Prot#'!B:B, 0)), "NoXtal", "Xtal")</f>
        <v>NoXtal</v>
      </c>
    </row>
    <row r="222" spans="1:36" x14ac:dyDescent="0.2">
      <c r="A222" s="1" t="s">
        <v>362</v>
      </c>
      <c r="B222" s="1" t="str">
        <f>VLOOKUP(A222,Xtal_Templ!A:B,2,FALSE)</f>
        <v>ntr1_rat</v>
      </c>
      <c r="C222" s="5">
        <f>VLOOKUP($B222&amp;"__wt",'SegEnds_Xtal_BW#'!$A:$Z,3,FALSE)</f>
        <v>29</v>
      </c>
      <c r="D222" s="1">
        <f>VLOOKUP($B222&amp;"__wt",'SegEnds_Xtal_BW#'!$A:$Z,4,FALSE)</f>
        <v>60</v>
      </c>
      <c r="E222" s="1">
        <f>VLOOKUP($B222&amp;"__wt",'SegEnds_Xtal_BW#'!$A:$Z,5,FALSE)</f>
        <v>48</v>
      </c>
      <c r="F222" s="1">
        <f>VLOOKUP($B222&amp;"__wt",'SegEnds_Xtal_BW#'!$A:$Z,6,FALSE)</f>
        <v>51</v>
      </c>
      <c r="G222" s="1">
        <v>37</v>
      </c>
      <c r="H222" s="12">
        <f>VLOOKUP($B222&amp;"__wt",'SegEnds_Xtal_BW#'!$A:$Z,8,FALSE)</f>
        <v>68</v>
      </c>
      <c r="I222" s="1">
        <f>VLOOKUP($B222&amp;"__wt",'SegEnds_Xtal_BW#'!$A:$Z,9,FALSE)</f>
        <v>49</v>
      </c>
      <c r="J222" s="1">
        <f>VLOOKUP($B222&amp;"__wt",'SegEnds_Xtal_BW#'!$A:$Z,10,FALSE)</f>
        <v>52</v>
      </c>
      <c r="K222" s="12">
        <v>18</v>
      </c>
      <c r="L222" s="1">
        <f>VLOOKUP($B222&amp;"__wt",'SegEnds_Xtal_BW#'!$A:$Z,12,FALSE)</f>
        <v>56</v>
      </c>
      <c r="M222" s="1">
        <f>VLOOKUP($B222&amp;"__wt",'SegEnds_Xtal_BW#'!$A:$Z,13,FALSE)</f>
        <v>50</v>
      </c>
      <c r="N222" s="12">
        <v>57</v>
      </c>
      <c r="O222" s="89">
        <f>VLOOKUP($B222&amp;"__wt",'SegEnds_Xtal_BW#'!$A:$Z,15,FALSE)</f>
        <v>38</v>
      </c>
      <c r="P222" s="1">
        <f>VLOOKUP($B222&amp;"__wt",'SegEnds_Xtal_BW#'!$A:$Z,16,FALSE)</f>
        <v>64</v>
      </c>
      <c r="Q222" s="1">
        <f>VLOOKUP($B222&amp;"__wt",'SegEnds_Xtal_BW#'!$A:$Z,17,FALSE)</f>
        <v>50</v>
      </c>
      <c r="R222" s="1">
        <f>VLOOKUP($B222&amp;"__wt",'SegEnds_Xtal_BW#'!$A:$Z,18,FALSE)</f>
        <v>52</v>
      </c>
      <c r="S222" s="1">
        <v>35</v>
      </c>
      <c r="T222" s="1">
        <f t="array" ref="T222">INDEX('ICL3'!$G$2:$G$40,MATCH(MIN(ABS(AH222-'ICL3'!$F$2:$F$40)),ABS(AH222-'ICL3'!$F$2:$F$40),0))</f>
        <v>76</v>
      </c>
      <c r="U222" s="1">
        <f t="array" ref="U222">INDEX('ICL3'!$H$2:$H$40,MATCH(MIN(ABS(AH222-'ICL3'!$F$2:$F$40)),ABS(AH222-'ICL3'!$F$2:$F$40),0))</f>
        <v>24</v>
      </c>
      <c r="V222" s="1">
        <v>61</v>
      </c>
      <c r="W222" s="1">
        <v>33</v>
      </c>
      <c r="X222" s="1">
        <f>VLOOKUP($B222&amp;"__wt",'SegEnds_Xtal_BW#'!$A:$Z,24,FALSE)</f>
        <v>56</v>
      </c>
      <c r="Y222" s="1">
        <f>VLOOKUP($B222&amp;"__wt",'SegEnds_Xtal_BW#'!$A:$Z,25,FALSE)</f>
        <v>47</v>
      </c>
      <c r="Z222" s="1">
        <f>VLOOKUP($B222&amp;"__wt",'SegEnds_Xtal_BW#'!$A:$Z,26,FALSE)</f>
        <v>58</v>
      </c>
      <c r="AA222" s="27" t="str">
        <f>VLOOKUP(A222,Classification!A:B,2,FALSE)</f>
        <v>A</v>
      </c>
      <c r="AB222" s="1">
        <f>VLOOKUP(A222,'SegEnds_NonXtal_Prot#'!A:AL,10,FALSE)-VLOOKUP(A222,'SegEnds_NonXtal_Prot#'!A:AL,7,FALSE)</f>
        <v>20</v>
      </c>
      <c r="AC222" s="1" t="e">
        <f>VLOOKUP(A222,'SegEnds_NonXtal_Prot#'!A:AL,13,FALSE)-VLOOKUP(A222,'SegEnds_NonXtal_Prot#'!A:AL,10,FALSE)</f>
        <v>#VALUE!</v>
      </c>
      <c r="AD222" s="1">
        <f>VLOOKUP(A222,'SegEnds_NonXtal_Prot#'!A:AL,16,FALSE)-VLOOKUP(A222,'SegEnds_NonXtal_Prot#'!A:AL,10,FALSE)</f>
        <v>56</v>
      </c>
      <c r="AE222" s="1">
        <f>VLOOKUP(A222,'SegEnds_NonXtal_Prot#'!A:AL,22,FALSE)-VLOOKUP(A222,'SegEnds_NonXtal_Prot#'!A:AL,19,FALSE)</f>
        <v>20</v>
      </c>
      <c r="AF222" s="1">
        <f>VLOOKUP(A222,'SegEnds_NonXtal_Prot#'!A:AL,28,FALSE)-VLOOKUP(A222,'SegEnds_NonXtal_Prot#'!A:AL,25,FALSE)</f>
        <v>22</v>
      </c>
      <c r="AG222" s="1">
        <f>VLOOKUP(A222,'SegEnds_NonXtal_Prot#'!A:AL,28,FALSE)-VLOOKUP(A222,'SegEnds_NonXtal_Prot#'!A:AL,22,FALSE)</f>
        <v>48</v>
      </c>
      <c r="AH222" s="1">
        <f>VLOOKUP(A222,'SegEnds_NonXtal_Prot#'!A:AL,31,FALSE)-VLOOKUP(A222,'SegEnds_NonXtal_Prot#'!A:AL,28,FALSE)</f>
        <v>70</v>
      </c>
      <c r="AI222" s="1">
        <f>VLOOKUP(A222,'SegEnds_NonXtal_Prot#'!A:AL,34,FALSE)-VLOOKUP(A222,'SegEnds_NonXtal_Prot#'!A:AL,31,FALSE)</f>
        <v>33</v>
      </c>
      <c r="AJ222" s="1" t="str">
        <f>IF(ISERROR(MATCH(A222,'SegEnds_Xtal_Prot#'!B:B, 0)), "NoXtal", "Xtal")</f>
        <v>NoXtal</v>
      </c>
    </row>
    <row r="223" spans="1:36" x14ac:dyDescent="0.2">
      <c r="A223" s="1" t="s">
        <v>363</v>
      </c>
      <c r="B223" s="1" t="str">
        <f>VLOOKUP(A223,Xtal_Templ!A:B,2,FALSE)</f>
        <v>s1pr1_human</v>
      </c>
      <c r="C223" s="5">
        <f>VLOOKUP($B223&amp;"__wt",'SegEnds_Xtal_BW#'!$A:$Z,3,FALSE)</f>
        <v>29</v>
      </c>
      <c r="D223" s="1">
        <f>VLOOKUP($B223&amp;"__wt",'SegEnds_Xtal_BW#'!$A:$Z,4,FALSE)</f>
        <v>60</v>
      </c>
      <c r="E223" s="1">
        <f>VLOOKUP($B223&amp;"__wt",'SegEnds_Xtal_BW#'!$A:$Z,5,FALSE)</f>
        <v>48</v>
      </c>
      <c r="F223" s="1">
        <f>VLOOKUP($B223&amp;"__wt",'SegEnds_Xtal_BW#'!$A:$Z,6,FALSE)</f>
        <v>51</v>
      </c>
      <c r="G223" s="1">
        <v>37</v>
      </c>
      <c r="H223" s="12">
        <f>VLOOKUP($B223&amp;"__wt",'SegEnds_Xtal_BW#'!$A:$Z,8,FALSE)</f>
        <v>63</v>
      </c>
      <c r="I223" s="1">
        <v>49</v>
      </c>
      <c r="J223" s="1">
        <f>VLOOKUP($B223&amp;"__wt",'SegEnds_Xtal_BW#'!$A:$Z,10,FALSE)</f>
        <v>53</v>
      </c>
      <c r="K223" s="12">
        <v>18</v>
      </c>
      <c r="L223" s="1">
        <f>VLOOKUP($B223&amp;"__wt",'SegEnds_Xtal_BW#'!$A:$Z,12,FALSE)</f>
        <v>56</v>
      </c>
      <c r="M223" s="1">
        <f>VLOOKUP($B223&amp;"__wt",'SegEnds_Xtal_BW#'!$A:$Z,13,FALSE)</f>
        <v>50</v>
      </c>
      <c r="N223" s="12">
        <v>57</v>
      </c>
      <c r="O223" s="89">
        <f>VLOOKUP($B223&amp;"__wt",'SegEnds_Xtal_BW#'!$A:$Z,15,FALSE)</f>
        <v>38</v>
      </c>
      <c r="P223" s="1">
        <f>VLOOKUP($B223&amp;"__wt",'SegEnds_Xtal_BW#'!$A:$Z,16,FALSE)</f>
        <v>63</v>
      </c>
      <c r="Q223" s="1" t="str">
        <f>VLOOKUP($B223&amp;"__wt",'SegEnds_Xtal_BW#'!$A:$Z,17,FALSE)</f>
        <v>-</v>
      </c>
      <c r="R223" s="1" t="str">
        <f>VLOOKUP($B223&amp;"__wt",'SegEnds_Xtal_BW#'!$A:$Z,18,FALSE)</f>
        <v>-</v>
      </c>
      <c r="S223" s="1">
        <f>VLOOKUP($B223&amp;"__wt",'SegEnds_Xtal_BW#'!$A:$Z,19,FALSE)</f>
        <v>36</v>
      </c>
      <c r="T223" s="1">
        <f t="array" ref="T223">INDEX('ICL3'!$G$2:$G$40,MATCH(MIN(ABS(AH223-'ICL3'!$F$2:$F$40)),ABS(AH223-'ICL3'!$F$2:$F$40),0))</f>
        <v>72</v>
      </c>
      <c r="U223" s="1">
        <f t="array" ref="U223">INDEX('ICL3'!$H$2:$H$40,MATCH(MIN(ABS(AH223-'ICL3'!$F$2:$F$40)),ABS(AH223-'ICL3'!$F$2:$F$40),0))</f>
        <v>24</v>
      </c>
      <c r="V223" s="1">
        <v>64</v>
      </c>
      <c r="W223" s="1">
        <v>24</v>
      </c>
      <c r="X223" s="1">
        <f>VLOOKUP($B223&amp;"__wt",'SegEnds_Xtal_BW#'!$A:$Z,24,FALSE)</f>
        <v>56</v>
      </c>
      <c r="Y223" s="1">
        <f>VLOOKUP($B223&amp;"__wt",'SegEnds_Xtal_BW#'!$A:$Z,25,FALSE)</f>
        <v>47</v>
      </c>
      <c r="Z223" s="1">
        <f>VLOOKUP($B223&amp;"__wt",'SegEnds_Xtal_BW#'!$A:$Z,26,FALSE)</f>
        <v>59</v>
      </c>
      <c r="AA223" s="27" t="str">
        <f>VLOOKUP(A223,Classification!A:B,2,FALSE)</f>
        <v>A</v>
      </c>
      <c r="AB223" s="1" t="e">
        <f>VLOOKUP(A223,'SegEnds_NonXtal_Prot#'!A:AL,10,FALSE)-VLOOKUP(A223,'SegEnds_NonXtal_Prot#'!A:AL,7,FALSE)</f>
        <v>#VALUE!</v>
      </c>
      <c r="AC223" s="1">
        <f>VLOOKUP(A223,'SegEnds_NonXtal_Prot#'!A:AL,13,FALSE)-VLOOKUP(A223,'SegEnds_NonXtal_Prot#'!A:AL,10,FALSE)</f>
        <v>21</v>
      </c>
      <c r="AD223" s="1">
        <f>VLOOKUP(A223,'SegEnds_NonXtal_Prot#'!A:AL,16,FALSE)-VLOOKUP(A223,'SegEnds_NonXtal_Prot#'!A:AL,10,FALSE)</f>
        <v>56</v>
      </c>
      <c r="AE223" s="1">
        <f>VLOOKUP(A223,'SegEnds_NonXtal_Prot#'!A:AL,22,FALSE)-VLOOKUP(A223,'SegEnds_NonXtal_Prot#'!A:AL,19,FALSE)</f>
        <v>20</v>
      </c>
      <c r="AF223" s="1">
        <f>VLOOKUP(A223,'SegEnds_NonXtal_Prot#'!A:AL,28,FALSE)-VLOOKUP(A223,'SegEnds_NonXtal_Prot#'!A:AL,25,FALSE)</f>
        <v>35</v>
      </c>
      <c r="AG223" s="1">
        <f>VLOOKUP(A223,'SegEnds_NonXtal_Prot#'!A:AL,28,FALSE)-VLOOKUP(A223,'SegEnds_NonXtal_Prot#'!A:AL,22,FALSE)</f>
        <v>61</v>
      </c>
      <c r="AH223" s="1">
        <f>VLOOKUP(A223,'SegEnds_NonXtal_Prot#'!A:AL,31,FALSE)-VLOOKUP(A223,'SegEnds_NonXtal_Prot#'!A:AL,28,FALSE)</f>
        <v>54</v>
      </c>
      <c r="AI223" s="1">
        <f>VLOOKUP(A223,'SegEnds_NonXtal_Prot#'!A:AL,34,FALSE)-VLOOKUP(A223,'SegEnds_NonXtal_Prot#'!A:AL,31,FALSE)</f>
        <v>46</v>
      </c>
      <c r="AJ223" s="1" t="str">
        <f>IF(ISERROR(MATCH(A223,'SegEnds_Xtal_Prot#'!B:B, 0)), "NoXtal", "Xtal")</f>
        <v>NoXtal</v>
      </c>
    </row>
    <row r="224" spans="1:36" x14ac:dyDescent="0.2">
      <c r="A224" s="1" t="s">
        <v>364</v>
      </c>
      <c r="B224" s="1" t="str">
        <f>VLOOKUP(A224,Xtal_Templ!A:B,2,FALSE)</f>
        <v>par2_human</v>
      </c>
      <c r="C224" s="5">
        <f>VLOOKUP($B224&amp;"__wt",'SegEnds_Xtal_BW#'!$A:$Z,3,FALSE)</f>
        <v>28</v>
      </c>
      <c r="D224" s="1">
        <f>VLOOKUP($B224&amp;"__wt",'SegEnds_Xtal_BW#'!$A:$Z,4,FALSE)</f>
        <v>60</v>
      </c>
      <c r="E224" s="1" t="str">
        <f>VLOOKUP($B224&amp;"__wt",'SegEnds_Xtal_BW#'!$A:$Z,5,FALSE)</f>
        <v>-</v>
      </c>
      <c r="F224" s="1" t="str">
        <f>VLOOKUP($B224&amp;"__wt",'SegEnds_Xtal_BW#'!$A:$Z,6,FALSE)</f>
        <v>-</v>
      </c>
      <c r="G224" s="1">
        <v>37</v>
      </c>
      <c r="H224" s="12">
        <f>VLOOKUP($B224&amp;"__wt",'SegEnds_Xtal_BW#'!$A:$Z,8,FALSE)</f>
        <v>66</v>
      </c>
      <c r="I224" s="1">
        <f>VLOOKUP($B224&amp;"__wt",'SegEnds_Xtal_BW#'!$A:$Z,9,FALSE)</f>
        <v>47</v>
      </c>
      <c r="J224" s="1">
        <f>VLOOKUP($B224&amp;"__wt",'SegEnds_Xtal_BW#'!$A:$Z,10,FALSE)</f>
        <v>52</v>
      </c>
      <c r="K224" s="12">
        <v>21</v>
      </c>
      <c r="L224" s="1">
        <f>VLOOKUP($B224&amp;"__wt",'SegEnds_Xtal_BW#'!$A:$Z,12,FALSE)</f>
        <v>56</v>
      </c>
      <c r="M224" s="1">
        <f>VLOOKUP($B224&amp;"__wt",'SegEnds_Xtal_BW#'!$A:$Z,13,FALSE)</f>
        <v>50</v>
      </c>
      <c r="N224" s="12">
        <v>57</v>
      </c>
      <c r="O224" s="89">
        <v>38</v>
      </c>
      <c r="P224" s="1">
        <f>VLOOKUP($B224&amp;"__wt",'SegEnds_Xtal_BW#'!$A:$Z,16,FALSE)</f>
        <v>62</v>
      </c>
      <c r="Q224" s="1">
        <f>VLOOKUP($B224&amp;"__wt",'SegEnds_Xtal_BW#'!$A:$Z,17,FALSE)</f>
        <v>50</v>
      </c>
      <c r="R224" s="1">
        <f>VLOOKUP($B224&amp;"__wt",'SegEnds_Xtal_BW#'!$A:$Z,18,FALSE)</f>
        <v>52</v>
      </c>
      <c r="S224" s="1">
        <f>VLOOKUP($B224&amp;"__wt",'SegEnds_Xtal_BW#'!$A:$Z,19,FALSE)</f>
        <v>31</v>
      </c>
      <c r="T224" s="1">
        <f t="array" ref="T224">INDEX('ICL3'!$G$2:$G$40,MATCH(MIN(ABS(AH224-'ICL3'!$F$2:$F$40)),ABS(AH224-'ICL3'!$F$2:$F$40),0))</f>
        <v>76</v>
      </c>
      <c r="U224" s="1">
        <f t="array" ref="U224">INDEX('ICL3'!$H$2:$H$40,MATCH(MIN(ABS(AH224-'ICL3'!$F$2:$F$40)),ABS(AH224-'ICL3'!$F$2:$F$40),0))</f>
        <v>24</v>
      </c>
      <c r="V224" s="1">
        <v>61</v>
      </c>
      <c r="W224" s="1">
        <v>28</v>
      </c>
      <c r="X224" s="1">
        <f>VLOOKUP($B224&amp;"__wt",'SegEnds_Xtal_BW#'!$A:$Z,24,FALSE)</f>
        <v>56</v>
      </c>
      <c r="Y224" s="1">
        <f>VLOOKUP($B224&amp;"__wt",'SegEnds_Xtal_BW#'!$A:$Z,25,FALSE)</f>
        <v>47</v>
      </c>
      <c r="Z224" s="1">
        <f>VLOOKUP($B224&amp;"__wt",'SegEnds_Xtal_BW#'!$A:$Z,26,FALSE)</f>
        <v>61</v>
      </c>
      <c r="AA224" s="27" t="str">
        <f>VLOOKUP(A224,Classification!A:B,2,FALSE)</f>
        <v>A</v>
      </c>
      <c r="AB224" s="1" t="e">
        <f>VLOOKUP(A224,'SegEnds_NonXtal_Prot#'!A:AL,10,FALSE)-VLOOKUP(A224,'SegEnds_NonXtal_Prot#'!A:AL,7,FALSE)</f>
        <v>#VALUE!</v>
      </c>
      <c r="AC224" s="1" t="e">
        <f>VLOOKUP(A224,'SegEnds_NonXtal_Prot#'!A:AL,13,FALSE)-VLOOKUP(A224,'SegEnds_NonXtal_Prot#'!A:AL,10,FALSE)</f>
        <v>#VALUE!</v>
      </c>
      <c r="AD224" s="1">
        <f>VLOOKUP(A224,'SegEnds_NonXtal_Prot#'!A:AL,16,FALSE)-VLOOKUP(A224,'SegEnds_NonXtal_Prot#'!A:AL,10,FALSE)</f>
        <v>52</v>
      </c>
      <c r="AE224" s="1">
        <f>VLOOKUP(A224,'SegEnds_NonXtal_Prot#'!A:AL,22,FALSE)-VLOOKUP(A224,'SegEnds_NonXtal_Prot#'!A:AL,19,FALSE)</f>
        <v>20</v>
      </c>
      <c r="AF224" s="1">
        <f>VLOOKUP(A224,'SegEnds_NonXtal_Prot#'!A:AL,28,FALSE)-VLOOKUP(A224,'SegEnds_NonXtal_Prot#'!A:AL,25,FALSE)</f>
        <v>27</v>
      </c>
      <c r="AG224" s="1">
        <f>VLOOKUP(A224,'SegEnds_NonXtal_Prot#'!A:AL,28,FALSE)-VLOOKUP(A224,'SegEnds_NonXtal_Prot#'!A:AL,22,FALSE)</f>
        <v>53</v>
      </c>
      <c r="AH224" s="1">
        <f>VLOOKUP(A224,'SegEnds_NonXtal_Prot#'!A:AL,31,FALSE)-VLOOKUP(A224,'SegEnds_NonXtal_Prot#'!A:AL,28,FALSE)</f>
        <v>90</v>
      </c>
      <c r="AI224" s="1">
        <f>VLOOKUP(A224,'SegEnds_NonXtal_Prot#'!A:AL,34,FALSE)-VLOOKUP(A224,'SegEnds_NonXtal_Prot#'!A:AL,31,FALSE)</f>
        <v>39</v>
      </c>
      <c r="AJ224" s="1" t="str">
        <f>IF(ISERROR(MATCH(A224,'SegEnds_Xtal_Prot#'!B:B, 0)), "NoXtal", "Xtal")</f>
        <v>NoXtal</v>
      </c>
    </row>
    <row r="225" spans="1:36" x14ac:dyDescent="0.2">
      <c r="A225" s="1" t="s">
        <v>365</v>
      </c>
      <c r="B225" s="1" t="str">
        <f>VLOOKUP(A225,Xtal_Templ!A:B,2,FALSE)</f>
        <v>lpar1_human</v>
      </c>
      <c r="C225" s="5">
        <f>VLOOKUP($B225&amp;"__wt",'SegEnds_Xtal_BW#'!$A:$Z,3,FALSE)</f>
        <v>30</v>
      </c>
      <c r="D225" s="1">
        <f>VLOOKUP($B225&amp;"__wt",'SegEnds_Xtal_BW#'!$A:$Z,4,FALSE)</f>
        <v>60</v>
      </c>
      <c r="E225" s="1">
        <f>VLOOKUP($B225&amp;"__wt",'SegEnds_Xtal_BW#'!$A:$Z,5,FALSE)</f>
        <v>48</v>
      </c>
      <c r="F225" s="1">
        <f>VLOOKUP($B225&amp;"__wt",'SegEnds_Xtal_BW#'!$A:$Z,6,FALSE)</f>
        <v>51</v>
      </c>
      <c r="G225" s="1">
        <v>37</v>
      </c>
      <c r="H225" s="12">
        <f>VLOOKUP($B225&amp;"__wt",'SegEnds_Xtal_BW#'!$A:$Z,8,FALSE)</f>
        <v>63</v>
      </c>
      <c r="I225" s="1">
        <f>VLOOKUP($B225&amp;"__wt",'SegEnds_Xtal_BW#'!$A:$Z,9,FALSE)</f>
        <v>47</v>
      </c>
      <c r="J225" s="1">
        <f>VLOOKUP($B225&amp;"__wt",'SegEnds_Xtal_BW#'!$A:$Z,10,FALSE)</f>
        <v>53</v>
      </c>
      <c r="K225" s="12">
        <v>18</v>
      </c>
      <c r="L225" s="1">
        <f>VLOOKUP($B225&amp;"__wt",'SegEnds_Xtal_BW#'!$A:$Z,12,FALSE)</f>
        <v>56</v>
      </c>
      <c r="M225" s="1">
        <f>VLOOKUP($B225&amp;"__wt",'SegEnds_Xtal_BW#'!$A:$Z,13,FALSE)</f>
        <v>50</v>
      </c>
      <c r="N225" s="12">
        <v>57</v>
      </c>
      <c r="O225" s="89">
        <f>VLOOKUP($B225&amp;"__wt",'SegEnds_Xtal_BW#'!$A:$Z,15,FALSE)</f>
        <v>38</v>
      </c>
      <c r="P225" s="1">
        <f>VLOOKUP($B225&amp;"__wt",'SegEnds_Xtal_BW#'!$A:$Z,16,FALSE)</f>
        <v>63</v>
      </c>
      <c r="Q225" s="111">
        <v>50</v>
      </c>
      <c r="R225" s="111">
        <v>52</v>
      </c>
      <c r="S225" s="1">
        <v>35</v>
      </c>
      <c r="T225" s="1">
        <f t="array" ref="T225">INDEX('ICL3'!$G$2:$G$40,MATCH(MIN(ABS(AH225-'ICL3'!$F$2:$F$40)),ABS(AH225-'ICL3'!$F$2:$F$40),0))</f>
        <v>72</v>
      </c>
      <c r="U225" s="1">
        <f t="array" ref="U225">INDEX('ICL3'!$H$2:$H$40,MATCH(MIN(ABS(AH225-'ICL3'!$F$2:$F$40)),ABS(AH225-'ICL3'!$F$2:$F$40),0))</f>
        <v>29</v>
      </c>
      <c r="V225" s="1">
        <v>61</v>
      </c>
      <c r="W225" s="1">
        <v>31</v>
      </c>
      <c r="X225" s="1">
        <f>VLOOKUP($B225&amp;"__wt",'SegEnds_Xtal_BW#'!$A:$Z,24,FALSE)</f>
        <v>56</v>
      </c>
      <c r="Y225" s="1">
        <f>VLOOKUP($B225&amp;"__wt",'SegEnds_Xtal_BW#'!$A:$Z,25,FALSE)</f>
        <v>47</v>
      </c>
      <c r="Z225" s="1">
        <f>VLOOKUP($B225&amp;"__wt",'SegEnds_Xtal_BW#'!$A:$Z,26,FALSE)</f>
        <v>59</v>
      </c>
      <c r="AA225" s="27" t="str">
        <f>VLOOKUP(A225,Classification!A:B,2,FALSE)</f>
        <v>A</v>
      </c>
      <c r="AB225" s="1">
        <f>VLOOKUP(A225,'SegEnds_NonXtal_Prot#'!A:AL,10,FALSE)-VLOOKUP(A225,'SegEnds_NonXtal_Prot#'!A:AL,7,FALSE)</f>
        <v>19</v>
      </c>
      <c r="AC225" s="1">
        <f>VLOOKUP(A225,'SegEnds_NonXtal_Prot#'!A:AL,13,FALSE)-VLOOKUP(A225,'SegEnds_NonXtal_Prot#'!A:AL,10,FALSE)</f>
        <v>21</v>
      </c>
      <c r="AD225" s="1">
        <f>VLOOKUP(A225,'SegEnds_NonXtal_Prot#'!A:AL,16,FALSE)-VLOOKUP(A225,'SegEnds_NonXtal_Prot#'!A:AL,10,FALSE)</f>
        <v>56</v>
      </c>
      <c r="AE225" s="1">
        <f>VLOOKUP(A225,'SegEnds_NonXtal_Prot#'!A:AL,22,FALSE)-VLOOKUP(A225,'SegEnds_NonXtal_Prot#'!A:AL,19,FALSE)</f>
        <v>20</v>
      </c>
      <c r="AF225" s="1">
        <f>VLOOKUP(A225,'SegEnds_NonXtal_Prot#'!A:AL,28,FALSE)-VLOOKUP(A225,'SegEnds_NonXtal_Prot#'!A:AL,25,FALSE)</f>
        <v>28</v>
      </c>
      <c r="AG225" s="1">
        <f>VLOOKUP(A225,'SegEnds_NonXtal_Prot#'!A:AL,28,FALSE)-VLOOKUP(A225,'SegEnds_NonXtal_Prot#'!A:AL,22,FALSE)</f>
        <v>54</v>
      </c>
      <c r="AH225" s="1">
        <f>VLOOKUP(A225,'SegEnds_NonXtal_Prot#'!A:AL,31,FALSE)-VLOOKUP(A225,'SegEnds_NonXtal_Prot#'!A:AL,28,FALSE)</f>
        <v>50</v>
      </c>
      <c r="AI225" s="1">
        <f>VLOOKUP(A225,'SegEnds_NonXtal_Prot#'!A:AL,34,FALSE)-VLOOKUP(A225,'SegEnds_NonXtal_Prot#'!A:AL,31,FALSE)</f>
        <v>37</v>
      </c>
      <c r="AJ225" s="1" t="str">
        <f>IF(ISERROR(MATCH(A225,'SegEnds_Xtal_Prot#'!B:B, 0)), "NoXtal", "Xtal")</f>
        <v>NoXtal</v>
      </c>
    </row>
    <row r="226" spans="1:36" x14ac:dyDescent="0.2">
      <c r="A226" s="1" t="s">
        <v>366</v>
      </c>
      <c r="B226" s="1" t="str">
        <f>VLOOKUP(A226,Xtal_Templ!A:B,2,FALSE)</f>
        <v>agtr2_human</v>
      </c>
      <c r="C226" s="5">
        <f>VLOOKUP($B226&amp;"__wt",'SegEnds_Xtal_BW#'!$A:$Z,3,FALSE)</f>
        <v>33</v>
      </c>
      <c r="D226" s="1">
        <f>VLOOKUP($B226&amp;"__wt",'SegEnds_Xtal_BW#'!$A:$Z,4,FALSE)</f>
        <v>60</v>
      </c>
      <c r="E226" s="1" t="str">
        <f>VLOOKUP($B226&amp;"__wt",'SegEnds_Xtal_BW#'!$A:$Z,5,FALSE)</f>
        <v>-</v>
      </c>
      <c r="F226" s="1" t="str">
        <f>VLOOKUP($B226&amp;"__wt",'SegEnds_Xtal_BW#'!$A:$Z,6,FALSE)</f>
        <v>-</v>
      </c>
      <c r="G226" s="1">
        <v>37</v>
      </c>
      <c r="H226" s="12">
        <v>67</v>
      </c>
      <c r="I226" s="1">
        <f>VLOOKUP($B226&amp;"__wt",'SegEnds_Xtal_BW#'!$A:$Z,9,FALSE)</f>
        <v>47</v>
      </c>
      <c r="J226" s="1">
        <f>VLOOKUP($B226&amp;"__wt",'SegEnds_Xtal_BW#'!$A:$Z,10,FALSE)</f>
        <v>52</v>
      </c>
      <c r="K226" s="12">
        <v>18</v>
      </c>
      <c r="L226" s="1">
        <f>VLOOKUP($B226&amp;"__wt",'SegEnds_Xtal_BW#'!$A:$Z,12,FALSE)</f>
        <v>56</v>
      </c>
      <c r="M226" s="1">
        <f>VLOOKUP($B226&amp;"__wt",'SegEnds_Xtal_BW#'!$A:$Z,13,FALSE)</f>
        <v>50</v>
      </c>
      <c r="N226" s="12">
        <v>57</v>
      </c>
      <c r="O226" s="89">
        <f>VLOOKUP($B226&amp;"__wt",'SegEnds_Xtal_BW#'!$A:$Z,15,FALSE)</f>
        <v>38</v>
      </c>
      <c r="P226" s="1">
        <f>VLOOKUP($B226&amp;"__wt",'SegEnds_Xtal_BW#'!$A:$Z,16,FALSE)</f>
        <v>64</v>
      </c>
      <c r="Q226" s="1">
        <f>VLOOKUP($B226&amp;"__wt",'SegEnds_Xtal_BW#'!$A:$Z,17,FALSE)</f>
        <v>50</v>
      </c>
      <c r="R226" s="1">
        <f>VLOOKUP($B226&amp;"__wt",'SegEnds_Xtal_BW#'!$A:$Z,18,FALSE)</f>
        <v>52</v>
      </c>
      <c r="S226" s="1">
        <f>VLOOKUP($B226&amp;"__wt",'SegEnds_Xtal_BW#'!$A:$Z,19,FALSE)</f>
        <v>30</v>
      </c>
      <c r="T226" s="1">
        <f t="array" ref="T226">INDEX('ICL3'!$G$2:$G$40,MATCH(MIN(ABS(AH226-'ICL3'!$F$2:$F$40)),ABS(AH226-'ICL3'!$F$2:$F$40),0))</f>
        <v>72</v>
      </c>
      <c r="U226" s="1">
        <f t="array" ref="U226">INDEX('ICL3'!$H$2:$H$40,MATCH(MIN(ABS(AH226-'ICL3'!$F$2:$F$40)),ABS(AH226-'ICL3'!$F$2:$F$40),0))</f>
        <v>24</v>
      </c>
      <c r="V226" s="1">
        <v>61</v>
      </c>
      <c r="W226" s="1">
        <v>31</v>
      </c>
      <c r="X226" s="1">
        <f>VLOOKUP($B226&amp;"__wt",'SegEnds_Xtal_BW#'!$A:$Z,24,FALSE)</f>
        <v>56</v>
      </c>
      <c r="Y226" s="1">
        <f>VLOOKUP($B226&amp;"__wt",'SegEnds_Xtal_BW#'!$A:$Z,25,FALSE)</f>
        <v>47</v>
      </c>
      <c r="Z226" s="1">
        <f>VLOOKUP($B226&amp;"__wt",'SegEnds_Xtal_BW#'!$A:$Z,26,FALSE)</f>
        <v>61</v>
      </c>
      <c r="AA226" s="27" t="str">
        <f>VLOOKUP(A226,Classification!A:B,2,FALSE)</f>
        <v>A</v>
      </c>
      <c r="AB226" s="1" t="e">
        <f>VLOOKUP(A226,'SegEnds_NonXtal_Prot#'!A:AL,10,FALSE)-VLOOKUP(A226,'SegEnds_NonXtal_Prot#'!A:AL,7,FALSE)</f>
        <v>#VALUE!</v>
      </c>
      <c r="AC226" s="1" t="e">
        <f>VLOOKUP(A226,'SegEnds_NonXtal_Prot#'!A:AL,13,FALSE)-VLOOKUP(A226,'SegEnds_NonXtal_Prot#'!A:AL,10,FALSE)</f>
        <v>#VALUE!</v>
      </c>
      <c r="AD226" s="1">
        <f>VLOOKUP(A226,'SegEnds_NonXtal_Prot#'!A:AL,16,FALSE)-VLOOKUP(A226,'SegEnds_NonXtal_Prot#'!A:AL,10,FALSE)</f>
        <v>57</v>
      </c>
      <c r="AE226" s="1">
        <f>VLOOKUP(A226,'SegEnds_NonXtal_Prot#'!A:AL,22,FALSE)-VLOOKUP(A226,'SegEnds_NonXtal_Prot#'!A:AL,19,FALSE)</f>
        <v>20</v>
      </c>
      <c r="AF226" s="1">
        <f>VLOOKUP(A226,'SegEnds_NonXtal_Prot#'!A:AL,28,FALSE)-VLOOKUP(A226,'SegEnds_NonXtal_Prot#'!A:AL,25,FALSE)</f>
        <v>27</v>
      </c>
      <c r="AG226" s="1">
        <f>VLOOKUP(A226,'SegEnds_NonXtal_Prot#'!A:AL,28,FALSE)-VLOOKUP(A226,'SegEnds_NonXtal_Prot#'!A:AL,22,FALSE)</f>
        <v>53</v>
      </c>
      <c r="AH226" s="1">
        <f>VLOOKUP(A226,'SegEnds_NonXtal_Prot#'!A:AL,31,FALSE)-VLOOKUP(A226,'SegEnds_NonXtal_Prot#'!A:AL,28,FALSE)</f>
        <v>57</v>
      </c>
      <c r="AI226" s="1">
        <f>VLOOKUP(A226,'SegEnds_NonXtal_Prot#'!A:AL,34,FALSE)-VLOOKUP(A226,'SegEnds_NonXtal_Prot#'!A:AL,31,FALSE)</f>
        <v>35</v>
      </c>
      <c r="AJ226" s="1" t="str">
        <f>IF(ISERROR(MATCH(A226,'SegEnds_Xtal_Prot#'!B:B, 0)), "NoXtal", "Xtal")</f>
        <v>NoXtal</v>
      </c>
    </row>
    <row r="227" spans="1:36" x14ac:dyDescent="0.2">
      <c r="A227" s="1" t="s">
        <v>370</v>
      </c>
      <c r="B227" s="1" t="str">
        <f>VLOOKUP(A227,Xtal_Templ!A:B,2,FALSE)</f>
        <v>p2ry1_human</v>
      </c>
      <c r="C227" s="5">
        <f>VLOOKUP($B227&amp;"__wt",'SegEnds_Xtal_BW#'!$A:$Z,3,FALSE)</f>
        <v>30</v>
      </c>
      <c r="D227" s="1">
        <f>VLOOKUP($B227&amp;"__wt",'SegEnds_Xtal_BW#'!$A:$Z,4,FALSE)</f>
        <v>60</v>
      </c>
      <c r="E227" s="1" t="str">
        <f>VLOOKUP($B227&amp;"__wt",'SegEnds_Xtal_BW#'!$A:$Z,5,FALSE)</f>
        <v>-</v>
      </c>
      <c r="F227" s="1" t="str">
        <f>VLOOKUP($B227&amp;"__wt",'SegEnds_Xtal_BW#'!$A:$Z,6,FALSE)</f>
        <v>-</v>
      </c>
      <c r="G227" s="1">
        <v>37</v>
      </c>
      <c r="H227" s="12">
        <f>VLOOKUP($B227&amp;"__wt",'SegEnds_Xtal_BW#'!$A:$Z,8,FALSE)</f>
        <v>66</v>
      </c>
      <c r="I227" s="1">
        <f>VLOOKUP($B227&amp;"__wt",'SegEnds_Xtal_BW#'!$A:$Z,9,FALSE)</f>
        <v>49</v>
      </c>
      <c r="J227" s="1">
        <f>VLOOKUP($B227&amp;"__wt",'SegEnds_Xtal_BW#'!$A:$Z,10,FALSE)</f>
        <v>52</v>
      </c>
      <c r="K227" s="12">
        <v>18</v>
      </c>
      <c r="L227" s="1">
        <f>VLOOKUP($B227&amp;"__wt",'SegEnds_Xtal_BW#'!$A:$Z,12,FALSE)</f>
        <v>56</v>
      </c>
      <c r="M227" s="1">
        <f>VLOOKUP($B227&amp;"__wt",'SegEnds_Xtal_BW#'!$A:$Z,13,FALSE)</f>
        <v>50</v>
      </c>
      <c r="N227" s="12">
        <v>57</v>
      </c>
      <c r="O227" s="89">
        <f>VLOOKUP($B227&amp;"__wt",'SegEnds_Xtal_BW#'!$A:$Z,15,FALSE)</f>
        <v>38</v>
      </c>
      <c r="P227" s="1">
        <f>VLOOKUP($B227&amp;"__wt",'SegEnds_Xtal_BW#'!$A:$Z,16,FALSE)</f>
        <v>64</v>
      </c>
      <c r="Q227" s="1">
        <f>VLOOKUP($B227&amp;"__wt",'SegEnds_Xtal_BW#'!$A:$Z,17,FALSE)</f>
        <v>50</v>
      </c>
      <c r="R227" s="1">
        <f>VLOOKUP($B227&amp;"__wt",'SegEnds_Xtal_BW#'!$A:$Z,18,FALSE)</f>
        <v>52</v>
      </c>
      <c r="S227" s="1">
        <f>VLOOKUP($B227&amp;"__wt",'SegEnds_Xtal_BW#'!$A:$Z,19,FALSE)</f>
        <v>32</v>
      </c>
      <c r="T227" s="1">
        <f t="array" ref="T227">INDEX('ICL3'!$G$2:$G$40,MATCH(MIN(ABS(AH227-'ICL3'!$F$2:$F$40)),ABS(AH227-'ICL3'!$F$2:$F$40),0))</f>
        <v>67</v>
      </c>
      <c r="U227" s="1">
        <f t="array" ref="U227">INDEX('ICL3'!$H$2:$H$40,MATCH(MIN(ABS(AH227-'ICL3'!$F$2:$F$40)),ABS(AH227-'ICL3'!$F$2:$F$40),0))</f>
        <v>26</v>
      </c>
      <c r="V227" s="1">
        <v>64</v>
      </c>
      <c r="W227" s="1">
        <v>24</v>
      </c>
      <c r="X227" s="1">
        <f>VLOOKUP($B227&amp;"__wt",'SegEnds_Xtal_BW#'!$A:$Z,24,FALSE)</f>
        <v>56</v>
      </c>
      <c r="Y227" s="1">
        <f>VLOOKUP($B227&amp;"__wt",'SegEnds_Xtal_BW#'!$A:$Z,25,FALSE)</f>
        <v>47</v>
      </c>
      <c r="Z227" s="1">
        <f>VLOOKUP($B227&amp;"__wt",'SegEnds_Xtal_BW#'!$A:$Z,26,FALSE)</f>
        <v>59</v>
      </c>
      <c r="AA227" s="27" t="str">
        <f>VLOOKUP(A227,Classification!A:B,2,FALSE)</f>
        <v>A</v>
      </c>
      <c r="AB227" s="1" t="e">
        <f>VLOOKUP(A227,'SegEnds_NonXtal_Prot#'!A:AL,10,FALSE)-VLOOKUP(A227,'SegEnds_NonXtal_Prot#'!A:AL,7,FALSE)</f>
        <v>#VALUE!</v>
      </c>
      <c r="AC227" s="1">
        <f>VLOOKUP(A227,'SegEnds_NonXtal_Prot#'!A:AL,13,FALSE)-VLOOKUP(A227,'SegEnds_NonXtal_Prot#'!A:AL,10,FALSE)</f>
        <v>20</v>
      </c>
      <c r="AD227" s="1">
        <f>VLOOKUP(A227,'SegEnds_NonXtal_Prot#'!A:AL,16,FALSE)-VLOOKUP(A227,'SegEnds_NonXtal_Prot#'!A:AL,10,FALSE)</f>
        <v>52</v>
      </c>
      <c r="AE227" s="1">
        <f>VLOOKUP(A227,'SegEnds_NonXtal_Prot#'!A:AL,22,FALSE)-VLOOKUP(A227,'SegEnds_NonXtal_Prot#'!A:AL,19,FALSE)</f>
        <v>20</v>
      </c>
      <c r="AF227" s="1">
        <f>VLOOKUP(A227,'SegEnds_NonXtal_Prot#'!A:AL,28,FALSE)-VLOOKUP(A227,'SegEnds_NonXtal_Prot#'!A:AL,25,FALSE)</f>
        <v>25</v>
      </c>
      <c r="AG227" s="1">
        <f>VLOOKUP(A227,'SegEnds_NonXtal_Prot#'!A:AL,28,FALSE)-VLOOKUP(A227,'SegEnds_NonXtal_Prot#'!A:AL,22,FALSE)</f>
        <v>56</v>
      </c>
      <c r="AH227" s="1">
        <f>VLOOKUP(A227,'SegEnds_NonXtal_Prot#'!A:AL,31,FALSE)-VLOOKUP(A227,'SegEnds_NonXtal_Prot#'!A:AL,28,FALSE)</f>
        <v>46</v>
      </c>
      <c r="AI227" s="1">
        <f>VLOOKUP(A227,'SegEnds_NonXtal_Prot#'!A:AL,34,FALSE)-VLOOKUP(A227,'SegEnds_NonXtal_Prot#'!A:AL,31,FALSE)</f>
        <v>46</v>
      </c>
      <c r="AJ227" s="1" t="str">
        <f>IF(ISERROR(MATCH(A227,'SegEnds_Xtal_Prot#'!B:B, 0)), "NoXtal", "Xtal")</f>
        <v>NoXtal</v>
      </c>
    </row>
    <row r="228" spans="1:36" x14ac:dyDescent="0.2">
      <c r="A228" s="1" t="s">
        <v>371</v>
      </c>
      <c r="B228" s="1" t="str">
        <f>VLOOKUP(A228,Xtal_Templ!A:B,2,FALSE)</f>
        <v>p2y12_human</v>
      </c>
      <c r="C228" s="5">
        <f>VLOOKUP($B228&amp;"__wt",'SegEnds_Xtal_BW#'!$A:$Z,3,FALSE)</f>
        <v>28</v>
      </c>
      <c r="D228" s="1">
        <f>VLOOKUP($B228&amp;"__wt",'SegEnds_Xtal_BW#'!$A:$Z,4,FALSE)</f>
        <v>60</v>
      </c>
      <c r="E228" s="1" t="str">
        <f>VLOOKUP($B228&amp;"__wt",'SegEnds_Xtal_BW#'!$A:$Z,5,FALSE)</f>
        <v>-</v>
      </c>
      <c r="F228" s="1" t="str">
        <f>VLOOKUP($B228&amp;"__wt",'SegEnds_Xtal_BW#'!$A:$Z,6,FALSE)</f>
        <v>-</v>
      </c>
      <c r="G228" s="1">
        <v>37</v>
      </c>
      <c r="H228" s="12">
        <f>VLOOKUP($B228&amp;"__wt",'SegEnds_Xtal_BW#'!$A:$Z,8,FALSE)</f>
        <v>66</v>
      </c>
      <c r="I228" s="1" t="str">
        <f>VLOOKUP($B228&amp;"__wt",'SegEnds_Xtal_BW#'!$A:$Z,9,FALSE)</f>
        <v>-</v>
      </c>
      <c r="J228" s="1" t="str">
        <f>VLOOKUP($B228&amp;"__wt",'SegEnds_Xtal_BW#'!$A:$Z,10,FALSE)</f>
        <v>-</v>
      </c>
      <c r="K228" s="12">
        <v>18</v>
      </c>
      <c r="L228" s="1">
        <f>VLOOKUP($B228&amp;"__wt",'SegEnds_Xtal_BW#'!$A:$Z,12,FALSE)</f>
        <v>56</v>
      </c>
      <c r="M228" s="1">
        <f>VLOOKUP($B228&amp;"__wt",'SegEnds_Xtal_BW#'!$A:$Z,13,FALSE)</f>
        <v>50</v>
      </c>
      <c r="N228" s="12">
        <v>57</v>
      </c>
      <c r="O228" s="89">
        <v>38</v>
      </c>
      <c r="P228" s="1">
        <f>VLOOKUP($B228&amp;"__wt",'SegEnds_Xtal_BW#'!$A:$Z,16,FALSE)</f>
        <v>64</v>
      </c>
      <c r="Q228" s="1">
        <f>VLOOKUP($B228&amp;"__wt",'SegEnds_Xtal_BW#'!$A:$Z,17,FALSE)</f>
        <v>50</v>
      </c>
      <c r="R228" s="1">
        <f>VLOOKUP($B228&amp;"__wt",'SegEnds_Xtal_BW#'!$A:$Z,18,FALSE)</f>
        <v>52</v>
      </c>
      <c r="S228" s="1">
        <f>VLOOKUP($B228&amp;"__wt",'SegEnds_Xtal_BW#'!$A:$Z,19,FALSE)</f>
        <v>30</v>
      </c>
      <c r="T228" s="1">
        <f t="array" ref="T228">INDEX('ICL3'!$G$2:$G$40,MATCH(MIN(ABS(AH228-'ICL3'!$F$2:$F$40)),ABS(AH228-'ICL3'!$F$2:$F$40),0))</f>
        <v>68</v>
      </c>
      <c r="U228" s="1">
        <f t="array" ref="U228">INDEX('ICL3'!$H$2:$H$40,MATCH(MIN(ABS(AH228-'ICL3'!$F$2:$F$40)),ABS(AH228-'ICL3'!$F$2:$F$40),0))</f>
        <v>24</v>
      </c>
      <c r="V228" s="1">
        <v>61</v>
      </c>
      <c r="W228" s="1">
        <v>24</v>
      </c>
      <c r="X228" s="1">
        <f>VLOOKUP($B228&amp;"__wt",'SegEnds_Xtal_BW#'!$A:$Z,24,FALSE)</f>
        <v>56</v>
      </c>
      <c r="Y228" s="1">
        <f>VLOOKUP($B228&amp;"__wt",'SegEnds_Xtal_BW#'!$A:$Z,25,FALSE)</f>
        <v>47</v>
      </c>
      <c r="Z228" s="1">
        <f>VLOOKUP($B228&amp;"__wt",'SegEnds_Xtal_BW#'!$A:$Z,26,FALSE)</f>
        <v>57</v>
      </c>
      <c r="AA228" s="27" t="str">
        <f>VLOOKUP(A228,Classification!A:B,2,FALSE)</f>
        <v>A</v>
      </c>
      <c r="AB228" s="1" t="e">
        <f>VLOOKUP(A228,'SegEnds_NonXtal_Prot#'!A:AL,10,FALSE)-VLOOKUP(A228,'SegEnds_NonXtal_Prot#'!A:AL,7,FALSE)</f>
        <v>#VALUE!</v>
      </c>
      <c r="AC228" s="1">
        <f>VLOOKUP(A228,'SegEnds_NonXtal_Prot#'!A:AL,13,FALSE)-VLOOKUP(A228,'SegEnds_NonXtal_Prot#'!A:AL,10,FALSE)</f>
        <v>20</v>
      </c>
      <c r="AD228" s="1">
        <f>VLOOKUP(A228,'SegEnds_NonXtal_Prot#'!A:AL,16,FALSE)-VLOOKUP(A228,'SegEnds_NonXtal_Prot#'!A:AL,10,FALSE)</f>
        <v>52</v>
      </c>
      <c r="AE228" s="1">
        <f>VLOOKUP(A228,'SegEnds_NonXtal_Prot#'!A:AL,22,FALSE)-VLOOKUP(A228,'SegEnds_NonXtal_Prot#'!A:AL,19,FALSE)</f>
        <v>20</v>
      </c>
      <c r="AF228" s="1">
        <f>VLOOKUP(A228,'SegEnds_NonXtal_Prot#'!A:AL,28,FALSE)-VLOOKUP(A228,'SegEnds_NonXtal_Prot#'!A:AL,25,FALSE)</f>
        <v>25</v>
      </c>
      <c r="AG228" s="1">
        <f>VLOOKUP(A228,'SegEnds_NonXtal_Prot#'!A:AL,28,FALSE)-VLOOKUP(A228,'SegEnds_NonXtal_Prot#'!A:AL,22,FALSE)</f>
        <v>56</v>
      </c>
      <c r="AH228" s="1">
        <f>VLOOKUP(A228,'SegEnds_NonXtal_Prot#'!A:AL,31,FALSE)-VLOOKUP(A228,'SegEnds_NonXtal_Prot#'!A:AL,28,FALSE)</f>
        <v>49</v>
      </c>
      <c r="AI228" s="1">
        <f>VLOOKUP(A228,'SegEnds_NonXtal_Prot#'!A:AL,34,FALSE)-VLOOKUP(A228,'SegEnds_NonXtal_Prot#'!A:AL,31,FALSE)</f>
        <v>43</v>
      </c>
      <c r="AJ228" s="1" t="str">
        <f>IF(ISERROR(MATCH(A228,'SegEnds_Xtal_Prot#'!B:B, 0)), "NoXtal", "Xtal")</f>
        <v>NoXtal</v>
      </c>
    </row>
    <row r="229" spans="1:36" x14ac:dyDescent="0.2">
      <c r="A229" s="1" t="s">
        <v>372</v>
      </c>
      <c r="B229" s="1" t="str">
        <f>VLOOKUP(A229,Xtal_Templ!A:B,2,FALSE)</f>
        <v>ox2r_human</v>
      </c>
      <c r="C229" s="5">
        <f>VLOOKUP($B229&amp;"__wt",'SegEnds_Xtal_BW#'!$A:$Z,3,FALSE)</f>
        <v>31</v>
      </c>
      <c r="D229" s="1">
        <f>VLOOKUP($B229&amp;"__wt",'SegEnds_Xtal_BW#'!$A:$Z,4,FALSE)</f>
        <v>60</v>
      </c>
      <c r="E229" s="1">
        <f>VLOOKUP($B229&amp;"__wt",'SegEnds_Xtal_BW#'!$A:$Z,5,FALSE)</f>
        <v>48</v>
      </c>
      <c r="F229" s="1">
        <f>VLOOKUP($B229&amp;"__wt",'SegEnds_Xtal_BW#'!$A:$Z,6,FALSE)</f>
        <v>51</v>
      </c>
      <c r="G229" s="1">
        <v>37</v>
      </c>
      <c r="H229" s="12">
        <f>VLOOKUP($B229&amp;"__wt",'SegEnds_Xtal_BW#'!$A:$Z,8,FALSE)</f>
        <v>67</v>
      </c>
      <c r="I229" s="1">
        <f>VLOOKUP($B229&amp;"__wt",'SegEnds_Xtal_BW#'!$A:$Z,9,FALSE)</f>
        <v>49</v>
      </c>
      <c r="J229" s="1">
        <f>VLOOKUP($B229&amp;"__wt",'SegEnds_Xtal_BW#'!$A:$Z,10,FALSE)</f>
        <v>52</v>
      </c>
      <c r="K229" s="12">
        <v>18</v>
      </c>
      <c r="L229" s="1">
        <f>VLOOKUP($B229&amp;"__wt",'SegEnds_Xtal_BW#'!$A:$Z,12,FALSE)</f>
        <v>56</v>
      </c>
      <c r="M229" s="1">
        <f>VLOOKUP($B229&amp;"__wt",'SegEnds_Xtal_BW#'!$A:$Z,13,FALSE)</f>
        <v>50</v>
      </c>
      <c r="N229" s="12">
        <v>57</v>
      </c>
      <c r="O229" s="89">
        <f>VLOOKUP($B229&amp;"__wt",'SegEnds_Xtal_BW#'!$A:$Z,15,FALSE)</f>
        <v>38</v>
      </c>
      <c r="P229" s="1">
        <f>VLOOKUP($B229&amp;"__wt",'SegEnds_Xtal_BW#'!$A:$Z,16,FALSE)</f>
        <v>64</v>
      </c>
      <c r="Q229" s="1">
        <f>VLOOKUP($B229&amp;"__wt",'SegEnds_Xtal_BW#'!$A:$Z,17,FALSE)</f>
        <v>50</v>
      </c>
      <c r="R229" s="1">
        <f>VLOOKUP($B229&amp;"__wt",'SegEnds_Xtal_BW#'!$A:$Z,18,FALSE)</f>
        <v>52</v>
      </c>
      <c r="S229" s="1">
        <f>VLOOKUP($B229&amp;"__wt",'SegEnds_Xtal_BW#'!$A:$Z,19,FALSE)</f>
        <v>32</v>
      </c>
      <c r="T229" s="1">
        <f t="array" ref="T229">INDEX('ICL3'!$G$2:$G$40,MATCH(MIN(ABS(AH229-'ICL3'!$F$2:$F$40)),ABS(AH229-'ICL3'!$F$2:$F$40),0))</f>
        <v>74</v>
      </c>
      <c r="U229" s="1">
        <f t="array" ref="U229">INDEX('ICL3'!$H$2:$H$40,MATCH(MIN(ABS(AH229-'ICL3'!$F$2:$F$40)),ABS(AH229-'ICL3'!$F$2:$F$40),0))</f>
        <v>21</v>
      </c>
      <c r="V229" s="1">
        <v>61</v>
      </c>
      <c r="W229" s="1">
        <v>28</v>
      </c>
      <c r="X229" s="1">
        <f>VLOOKUP($B229&amp;"__wt",'SegEnds_Xtal_BW#'!$A:$Z,24,FALSE)</f>
        <v>56</v>
      </c>
      <c r="Y229" s="1">
        <f>VLOOKUP($B229&amp;"__wt",'SegEnds_Xtal_BW#'!$A:$Z,25,FALSE)</f>
        <v>47</v>
      </c>
      <c r="Z229" s="1">
        <f>VLOOKUP($B229&amp;"__wt",'SegEnds_Xtal_BW#'!$A:$Z,26,FALSE)</f>
        <v>58</v>
      </c>
      <c r="AA229" s="27" t="str">
        <f>VLOOKUP(A229,Classification!A:B,2,FALSE)</f>
        <v>A</v>
      </c>
      <c r="AB229" s="1">
        <f>VLOOKUP(A229,'SegEnds_NonXtal_Prot#'!A:AL,10,FALSE)-VLOOKUP(A229,'SegEnds_NonXtal_Prot#'!A:AL,7,FALSE)</f>
        <v>15</v>
      </c>
      <c r="AC229" s="1">
        <f>VLOOKUP(A229,'SegEnds_NonXtal_Prot#'!A:AL,13,FALSE)-VLOOKUP(A229,'SegEnds_NonXtal_Prot#'!A:AL,10,FALSE)</f>
        <v>20</v>
      </c>
      <c r="AD229" s="1">
        <f>VLOOKUP(A229,'SegEnds_NonXtal_Prot#'!A:AL,16,FALSE)-VLOOKUP(A229,'SegEnds_NonXtal_Prot#'!A:AL,10,FALSE)</f>
        <v>52</v>
      </c>
      <c r="AE229" s="1">
        <f>VLOOKUP(A229,'SegEnds_NonXtal_Prot#'!A:AL,22,FALSE)-VLOOKUP(A229,'SegEnds_NonXtal_Prot#'!A:AL,19,FALSE)</f>
        <v>20</v>
      </c>
      <c r="AF229" s="1">
        <f>VLOOKUP(A229,'SegEnds_NonXtal_Prot#'!A:AL,28,FALSE)-VLOOKUP(A229,'SegEnds_NonXtal_Prot#'!A:AL,25,FALSE)</f>
        <v>25</v>
      </c>
      <c r="AG229" s="1">
        <f>VLOOKUP(A229,'SegEnds_NonXtal_Prot#'!A:AL,28,FALSE)-VLOOKUP(A229,'SegEnds_NonXtal_Prot#'!A:AL,22,FALSE)</f>
        <v>56</v>
      </c>
      <c r="AH229" s="1">
        <f>VLOOKUP(A229,'SegEnds_NonXtal_Prot#'!A:AL,31,FALSE)-VLOOKUP(A229,'SegEnds_NonXtal_Prot#'!A:AL,28,FALSE)</f>
        <v>62</v>
      </c>
      <c r="AI229" s="1">
        <f>VLOOKUP(A229,'SegEnds_NonXtal_Prot#'!A:AL,34,FALSE)-VLOOKUP(A229,'SegEnds_NonXtal_Prot#'!A:AL,31,FALSE)</f>
        <v>41</v>
      </c>
      <c r="AJ229" s="1" t="str">
        <f>IF(ISERROR(MATCH(A229,'SegEnds_Xtal_Prot#'!B:B, 0)), "NoXtal", "Xtal")</f>
        <v>NoXtal</v>
      </c>
    </row>
    <row r="230" spans="1:36" x14ac:dyDescent="0.2">
      <c r="A230" s="1" t="s">
        <v>374</v>
      </c>
      <c r="B230" s="1" t="str">
        <f>VLOOKUP(A230,Xtal_Templ!A:B,2,FALSE)</f>
        <v>agtr1_human</v>
      </c>
      <c r="C230" s="5">
        <f>VLOOKUP($B230&amp;"__wt",'SegEnds_Xtal_BW#'!$A:$Z,3,FALSE)</f>
        <v>30</v>
      </c>
      <c r="D230" s="1">
        <f>VLOOKUP($B230&amp;"__wt",'SegEnds_Xtal_BW#'!$A:$Z,4,FALSE)</f>
        <v>60</v>
      </c>
      <c r="E230" s="1">
        <f>VLOOKUP($B230&amp;"__wt",'SegEnds_Xtal_BW#'!$A:$Z,5,FALSE)</f>
        <v>48</v>
      </c>
      <c r="F230" s="1">
        <f>VLOOKUP($B230&amp;"__wt",'SegEnds_Xtal_BW#'!$A:$Z,6,FALSE)</f>
        <v>51</v>
      </c>
      <c r="G230" s="1">
        <v>37</v>
      </c>
      <c r="H230" s="12">
        <f>VLOOKUP($B230&amp;"__wt",'SegEnds_Xtal_BW#'!$A:$Z,8,FALSE)</f>
        <v>66</v>
      </c>
      <c r="I230" s="1">
        <f>VLOOKUP($B230&amp;"__wt",'SegEnds_Xtal_BW#'!$A:$Z,9,FALSE)</f>
        <v>49</v>
      </c>
      <c r="J230" s="1">
        <f>VLOOKUP($B230&amp;"__wt",'SegEnds_Xtal_BW#'!$A:$Z,10,FALSE)</f>
        <v>52</v>
      </c>
      <c r="K230" s="12">
        <v>18</v>
      </c>
      <c r="L230" s="1">
        <f>VLOOKUP($B230&amp;"__wt",'SegEnds_Xtal_BW#'!$A:$Z,12,FALSE)</f>
        <v>56</v>
      </c>
      <c r="M230" s="1">
        <f>VLOOKUP($B230&amp;"__wt",'SegEnds_Xtal_BW#'!$A:$Z,13,FALSE)</f>
        <v>50</v>
      </c>
      <c r="N230" s="12">
        <v>57</v>
      </c>
      <c r="O230" s="89">
        <f>VLOOKUP($B230&amp;"__wt",'SegEnds_Xtal_BW#'!$A:$Z,15,FALSE)</f>
        <v>38</v>
      </c>
      <c r="P230" s="1">
        <f>VLOOKUP($B230&amp;"__wt",'SegEnds_Xtal_BW#'!$A:$Z,16,FALSE)</f>
        <v>64</v>
      </c>
      <c r="Q230" s="1">
        <f>VLOOKUP($B230&amp;"__wt",'SegEnds_Xtal_BW#'!$A:$Z,17,FALSE)</f>
        <v>50</v>
      </c>
      <c r="R230" s="1">
        <f>VLOOKUP($B230&amp;"__wt",'SegEnds_Xtal_BW#'!$A:$Z,18,FALSE)</f>
        <v>52</v>
      </c>
      <c r="S230" s="1">
        <f>VLOOKUP($B230&amp;"__wt",'SegEnds_Xtal_BW#'!$A:$Z,19,FALSE)</f>
        <v>34</v>
      </c>
      <c r="T230" s="1">
        <f t="array" ref="T230">INDEX('ICL3'!$G$2:$G$40,MATCH(MIN(ABS(AH230-'ICL3'!$F$2:$F$40)),ABS(AH230-'ICL3'!$F$2:$F$40),0))</f>
        <v>67</v>
      </c>
      <c r="U230" s="1">
        <f t="array" ref="U230">INDEX('ICL3'!$H$2:$H$40,MATCH(MIN(ABS(AH230-'ICL3'!$F$2:$F$40)),ABS(AH230-'ICL3'!$F$2:$F$40),0))</f>
        <v>28</v>
      </c>
      <c r="V230" s="1">
        <v>64</v>
      </c>
      <c r="W230" s="1">
        <v>24</v>
      </c>
      <c r="X230" s="1">
        <f>VLOOKUP($B230&amp;"__wt",'SegEnds_Xtal_BW#'!$A:$Z,24,FALSE)</f>
        <v>56</v>
      </c>
      <c r="Y230" s="1">
        <f>VLOOKUP($B230&amp;"__wt",'SegEnds_Xtal_BW#'!$A:$Z,25,FALSE)</f>
        <v>47</v>
      </c>
      <c r="Z230" s="1">
        <f>VLOOKUP($B230&amp;"__wt",'SegEnds_Xtal_BW#'!$A:$Z,26,FALSE)</f>
        <v>61</v>
      </c>
      <c r="AA230" s="27" t="str">
        <f>VLOOKUP(A230,Classification!A:B,2,FALSE)</f>
        <v>A</v>
      </c>
      <c r="AB230" s="1">
        <f>VLOOKUP(A230,'SegEnds_NonXtal_Prot#'!A:AL,10,FALSE)-VLOOKUP(A230,'SegEnds_NonXtal_Prot#'!A:AL,7,FALSE)</f>
        <v>16</v>
      </c>
      <c r="AC230" s="1">
        <f>VLOOKUP(A230,'SegEnds_NonXtal_Prot#'!A:AL,13,FALSE)-VLOOKUP(A230,'SegEnds_NonXtal_Prot#'!A:AL,10,FALSE)</f>
        <v>20</v>
      </c>
      <c r="AD230" s="1">
        <f>VLOOKUP(A230,'SegEnds_NonXtal_Prot#'!A:AL,16,FALSE)-VLOOKUP(A230,'SegEnds_NonXtal_Prot#'!A:AL,10,FALSE)</f>
        <v>52</v>
      </c>
      <c r="AE230" s="1">
        <f>VLOOKUP(A230,'SegEnds_NonXtal_Prot#'!A:AL,22,FALSE)-VLOOKUP(A230,'SegEnds_NonXtal_Prot#'!A:AL,19,FALSE)</f>
        <v>20</v>
      </c>
      <c r="AF230" s="1">
        <f>VLOOKUP(A230,'SegEnds_NonXtal_Prot#'!A:AL,28,FALSE)-VLOOKUP(A230,'SegEnds_NonXtal_Prot#'!A:AL,25,FALSE)</f>
        <v>25</v>
      </c>
      <c r="AG230" s="1">
        <f>VLOOKUP(A230,'SegEnds_NonXtal_Prot#'!A:AL,28,FALSE)-VLOOKUP(A230,'SegEnds_NonXtal_Prot#'!A:AL,22,FALSE)</f>
        <v>50</v>
      </c>
      <c r="AH230" s="1">
        <f>VLOOKUP(A230,'SegEnds_NonXtal_Prot#'!A:AL,31,FALSE)-VLOOKUP(A230,'SegEnds_NonXtal_Prot#'!A:AL,28,FALSE)</f>
        <v>45</v>
      </c>
      <c r="AI230" s="1">
        <f>VLOOKUP(A230,'SegEnds_NonXtal_Prot#'!A:AL,34,FALSE)-VLOOKUP(A230,'SegEnds_NonXtal_Prot#'!A:AL,31,FALSE)</f>
        <v>45</v>
      </c>
      <c r="AJ230" s="1" t="str">
        <f>IF(ISERROR(MATCH(A230,'SegEnds_Xtal_Prot#'!B:B, 0)), "NoXtal", "Xtal")</f>
        <v>NoXtal</v>
      </c>
    </row>
    <row r="231" spans="1:36" x14ac:dyDescent="0.2">
      <c r="A231" s="1" t="s">
        <v>379</v>
      </c>
      <c r="B231" s="1" t="str">
        <f>VLOOKUP(A231,Xtal_Templ!A:B,2,FALSE)</f>
        <v>s1pr1_human</v>
      </c>
      <c r="C231" s="5">
        <f>VLOOKUP($B231&amp;"__wt",'SegEnds_Xtal_BW#'!$A:$Z,3,FALSE)</f>
        <v>29</v>
      </c>
      <c r="D231" s="1">
        <f>VLOOKUP($B231&amp;"__wt",'SegEnds_Xtal_BW#'!$A:$Z,4,FALSE)</f>
        <v>60</v>
      </c>
      <c r="E231" s="1">
        <f>VLOOKUP($B231&amp;"__wt",'SegEnds_Xtal_BW#'!$A:$Z,5,FALSE)</f>
        <v>48</v>
      </c>
      <c r="F231" s="1">
        <f>VLOOKUP($B231&amp;"__wt",'SegEnds_Xtal_BW#'!$A:$Z,6,FALSE)</f>
        <v>51</v>
      </c>
      <c r="G231" s="1">
        <v>37</v>
      </c>
      <c r="H231" s="12">
        <v>63</v>
      </c>
      <c r="I231" s="1">
        <f>VLOOKUP($B231&amp;"__wt",'SegEnds_Xtal_BW#'!$A:$Z,9,FALSE)</f>
        <v>47</v>
      </c>
      <c r="J231" s="1">
        <f>VLOOKUP($B231&amp;"__wt",'SegEnds_Xtal_BW#'!$A:$Z,10,FALSE)</f>
        <v>53</v>
      </c>
      <c r="K231" s="12">
        <v>21</v>
      </c>
      <c r="L231" s="1">
        <f>VLOOKUP($B231&amp;"__wt",'SegEnds_Xtal_BW#'!$A:$Z,12,FALSE)</f>
        <v>56</v>
      </c>
      <c r="M231" s="1">
        <f>VLOOKUP($B231&amp;"__wt",'SegEnds_Xtal_BW#'!$A:$Z,13,FALSE)</f>
        <v>50</v>
      </c>
      <c r="N231" s="12">
        <v>57</v>
      </c>
      <c r="O231" s="89">
        <v>38</v>
      </c>
      <c r="P231" s="1">
        <f>VLOOKUP($B231&amp;"__wt",'SegEnds_Xtal_BW#'!$A:$Z,16,FALSE)</f>
        <v>63</v>
      </c>
      <c r="Q231" s="1" t="str">
        <f>VLOOKUP($B231&amp;"__wt",'SegEnds_Xtal_BW#'!$A:$Z,17,FALSE)</f>
        <v>-</v>
      </c>
      <c r="R231" s="1" t="str">
        <f>VLOOKUP($B231&amp;"__wt",'SegEnds_Xtal_BW#'!$A:$Z,18,FALSE)</f>
        <v>-</v>
      </c>
      <c r="S231" s="1">
        <f>VLOOKUP($B231&amp;"__wt",'SegEnds_Xtal_BW#'!$A:$Z,19,FALSE)</f>
        <v>36</v>
      </c>
      <c r="T231" s="1">
        <f t="array" ref="T231">INDEX('ICL3'!$G$2:$G$40,MATCH(MIN(ABS(AH231-'ICL3'!$F$2:$F$40)),ABS(AH231-'ICL3'!$F$2:$F$40),0))</f>
        <v>68</v>
      </c>
      <c r="U231" s="1">
        <f t="array" ref="U231">INDEX('ICL3'!$H$2:$H$40,MATCH(MIN(ABS(AH231-'ICL3'!$F$2:$F$40)),ABS(AH231-'ICL3'!$F$2:$F$40),0))</f>
        <v>23</v>
      </c>
      <c r="V231" s="1">
        <v>61</v>
      </c>
      <c r="W231" s="1">
        <v>30</v>
      </c>
      <c r="X231" s="1">
        <f>VLOOKUP($B231&amp;"__wt",'SegEnds_Xtal_BW#'!$A:$Z,24,FALSE)</f>
        <v>56</v>
      </c>
      <c r="Y231" s="1">
        <f>VLOOKUP($B231&amp;"__wt",'SegEnds_Xtal_BW#'!$A:$Z,25,FALSE)</f>
        <v>47</v>
      </c>
      <c r="Z231" s="1">
        <f>VLOOKUP($B231&amp;"__wt",'SegEnds_Xtal_BW#'!$A:$Z,26,FALSE)</f>
        <v>59</v>
      </c>
      <c r="AA231" s="27" t="str">
        <f>VLOOKUP(A231,Classification!A:B,2,FALSE)</f>
        <v>A</v>
      </c>
      <c r="AB231" s="1">
        <f>VLOOKUP(A231,'SegEnds_NonXtal_Prot#'!A:AL,10,FALSE)-VLOOKUP(A231,'SegEnds_NonXtal_Prot#'!A:AL,7,FALSE)</f>
        <v>15</v>
      </c>
      <c r="AC231" s="1">
        <f>VLOOKUP(A231,'SegEnds_NonXtal_Prot#'!A:AL,13,FALSE)-VLOOKUP(A231,'SegEnds_NonXtal_Prot#'!A:AL,10,FALSE)</f>
        <v>18</v>
      </c>
      <c r="AD231" s="1">
        <f>VLOOKUP(A231,'SegEnds_NonXtal_Prot#'!A:AL,16,FALSE)-VLOOKUP(A231,'SegEnds_NonXtal_Prot#'!A:AL,10,FALSE)</f>
        <v>51</v>
      </c>
      <c r="AE231" s="1">
        <f>VLOOKUP(A231,'SegEnds_NonXtal_Prot#'!A:AL,22,FALSE)-VLOOKUP(A231,'SegEnds_NonXtal_Prot#'!A:AL,19,FALSE)</f>
        <v>20</v>
      </c>
      <c r="AF231" s="1" t="e">
        <f>VLOOKUP(A231,'SegEnds_NonXtal_Prot#'!A:AL,28,FALSE)-VLOOKUP(A231,'SegEnds_NonXtal_Prot#'!A:AL,25,FALSE)</f>
        <v>#VALUE!</v>
      </c>
      <c r="AG231" s="1">
        <f>VLOOKUP(A231,'SegEnds_NonXtal_Prot#'!A:AL,28,FALSE)-VLOOKUP(A231,'SegEnds_NonXtal_Prot#'!A:AL,22,FALSE)</f>
        <v>45</v>
      </c>
      <c r="AH231" s="1">
        <f>VLOOKUP(A231,'SegEnds_NonXtal_Prot#'!A:AL,31,FALSE)-VLOOKUP(A231,'SegEnds_NonXtal_Prot#'!A:AL,28,FALSE)</f>
        <v>51</v>
      </c>
      <c r="AI231" s="1">
        <f>VLOOKUP(A231,'SegEnds_NonXtal_Prot#'!A:AL,34,FALSE)-VLOOKUP(A231,'SegEnds_NonXtal_Prot#'!A:AL,31,FALSE)</f>
        <v>38</v>
      </c>
      <c r="AJ231" s="1" t="str">
        <f>IF(ISERROR(MATCH(A231,'SegEnds_Xtal_Prot#'!B:B, 0)), "NoXtal", "Xtal")</f>
        <v>NoXtal</v>
      </c>
    </row>
    <row r="232" spans="1:36" x14ac:dyDescent="0.2">
      <c r="A232" s="1" t="s">
        <v>381</v>
      </c>
      <c r="B232" s="1" t="str">
        <f>VLOOKUP(A232,Xtal_Templ!A:B,2,FALSE)</f>
        <v>oprk_human</v>
      </c>
      <c r="C232" s="5">
        <f>VLOOKUP($B232&amp;"__wt",'SegEnds_Xtal_BW#'!$A:$Z,3,FALSE)</f>
        <v>30</v>
      </c>
      <c r="D232" s="1">
        <f>VLOOKUP($B232&amp;"__wt",'SegEnds_Xtal_BW#'!$A:$Z,4,FALSE)</f>
        <v>60</v>
      </c>
      <c r="E232" s="1">
        <f>VLOOKUP($B232&amp;"__wt",'SegEnds_Xtal_BW#'!$A:$Z,5,FALSE)</f>
        <v>48</v>
      </c>
      <c r="F232" s="1">
        <f>VLOOKUP($B232&amp;"__wt",'SegEnds_Xtal_BW#'!$A:$Z,6,FALSE)</f>
        <v>51</v>
      </c>
      <c r="G232" s="1">
        <v>37</v>
      </c>
      <c r="H232" s="12">
        <v>66</v>
      </c>
      <c r="I232" s="1">
        <f>VLOOKUP($B232&amp;"__wt",'SegEnds_Xtal_BW#'!$A:$Z,9,FALSE)</f>
        <v>49</v>
      </c>
      <c r="J232" s="1">
        <f>VLOOKUP($B232&amp;"__wt",'SegEnds_Xtal_BW#'!$A:$Z,10,FALSE)</f>
        <v>52</v>
      </c>
      <c r="K232" s="12">
        <v>21</v>
      </c>
      <c r="L232" s="1">
        <f>VLOOKUP($B232&amp;"__wt",'SegEnds_Xtal_BW#'!$A:$Z,12,FALSE)</f>
        <v>56</v>
      </c>
      <c r="M232" s="1">
        <f>VLOOKUP($B232&amp;"__wt",'SegEnds_Xtal_BW#'!$A:$Z,13,FALSE)</f>
        <v>50</v>
      </c>
      <c r="N232" s="12">
        <v>57</v>
      </c>
      <c r="O232" s="89">
        <v>38</v>
      </c>
      <c r="P232" s="1">
        <f>VLOOKUP($B232&amp;"__wt",'SegEnds_Xtal_BW#'!$A:$Z,16,FALSE)</f>
        <v>64</v>
      </c>
      <c r="Q232" s="1">
        <f>VLOOKUP($B232&amp;"__wt",'SegEnds_Xtal_BW#'!$A:$Z,17,FALSE)</f>
        <v>50</v>
      </c>
      <c r="R232" s="1">
        <f>VLOOKUP($B232&amp;"__wt",'SegEnds_Xtal_BW#'!$A:$Z,18,FALSE)</f>
        <v>52</v>
      </c>
      <c r="S232" s="1">
        <f>VLOOKUP($B232&amp;"__wt",'SegEnds_Xtal_BW#'!$A:$Z,19,FALSE)</f>
        <v>31</v>
      </c>
      <c r="T232" s="1">
        <f t="array" ref="T232">INDEX('ICL3'!$G$2:$G$40,MATCH(MIN(ABS(AH232-'ICL3'!$F$2:$F$40)),ABS(AH232-'ICL3'!$F$2:$F$40),0))</f>
        <v>68</v>
      </c>
      <c r="U232" s="1">
        <f t="array" ref="U232">INDEX('ICL3'!$H$2:$H$40,MATCH(MIN(ABS(AH232-'ICL3'!$F$2:$F$40)),ABS(AH232-'ICL3'!$F$2:$F$40),0))</f>
        <v>23</v>
      </c>
      <c r="V232" s="1">
        <v>61</v>
      </c>
      <c r="W232" s="1">
        <v>32</v>
      </c>
      <c r="X232" s="1">
        <f>VLOOKUP($B232&amp;"__wt",'SegEnds_Xtal_BW#'!$A:$Z,24,FALSE)</f>
        <v>56</v>
      </c>
      <c r="Y232" s="1">
        <f>VLOOKUP($B232&amp;"__wt",'SegEnds_Xtal_BW#'!$A:$Z,25,FALSE)</f>
        <v>47</v>
      </c>
      <c r="Z232" s="1">
        <f>VLOOKUP($B232&amp;"__wt",'SegEnds_Xtal_BW#'!$A:$Z,26,FALSE)</f>
        <v>59</v>
      </c>
      <c r="AA232" s="27" t="str">
        <f>VLOOKUP(A232,Classification!A:B,2,FALSE)</f>
        <v>A</v>
      </c>
      <c r="AB232" s="1">
        <f>VLOOKUP(A232,'SegEnds_NonXtal_Prot#'!A:AL,10,FALSE)-VLOOKUP(A232,'SegEnds_NonXtal_Prot#'!A:AL,7,FALSE)</f>
        <v>15</v>
      </c>
      <c r="AC232" s="1">
        <f>VLOOKUP(A232,'SegEnds_NonXtal_Prot#'!A:AL,13,FALSE)-VLOOKUP(A232,'SegEnds_NonXtal_Prot#'!A:AL,10,FALSE)</f>
        <v>19</v>
      </c>
      <c r="AD232" s="1">
        <f>VLOOKUP(A232,'SegEnds_NonXtal_Prot#'!A:AL,16,FALSE)-VLOOKUP(A232,'SegEnds_NonXtal_Prot#'!A:AL,10,FALSE)</f>
        <v>51</v>
      </c>
      <c r="AE232" s="1">
        <f>VLOOKUP(A232,'SegEnds_NonXtal_Prot#'!A:AL,22,FALSE)-VLOOKUP(A232,'SegEnds_NonXtal_Prot#'!A:AL,19,FALSE)</f>
        <v>20</v>
      </c>
      <c r="AF232" s="1">
        <f>VLOOKUP(A232,'SegEnds_NonXtal_Prot#'!A:AL,28,FALSE)-VLOOKUP(A232,'SegEnds_NonXtal_Prot#'!A:AL,25,FALSE)</f>
        <v>27</v>
      </c>
      <c r="AG232" s="1">
        <f>VLOOKUP(A232,'SegEnds_NonXtal_Prot#'!A:AL,28,FALSE)-VLOOKUP(A232,'SegEnds_NonXtal_Prot#'!A:AL,22,FALSE)</f>
        <v>53</v>
      </c>
      <c r="AH232" s="1">
        <f>VLOOKUP(A232,'SegEnds_NonXtal_Prot#'!A:AL,31,FALSE)-VLOOKUP(A232,'SegEnds_NonXtal_Prot#'!A:AL,28,FALSE)</f>
        <v>51</v>
      </c>
      <c r="AI232" s="1">
        <f>VLOOKUP(A232,'SegEnds_NonXtal_Prot#'!A:AL,34,FALSE)-VLOOKUP(A232,'SegEnds_NonXtal_Prot#'!A:AL,31,FALSE)</f>
        <v>34</v>
      </c>
      <c r="AJ232" s="1" t="str">
        <f>IF(ISERROR(MATCH(A232,'SegEnds_Xtal_Prot#'!B:B, 0)), "NoXtal", "Xtal")</f>
        <v>NoXtal</v>
      </c>
    </row>
    <row r="233" spans="1:36" x14ac:dyDescent="0.2">
      <c r="A233" s="1" t="s">
        <v>382</v>
      </c>
      <c r="B233" s="1" t="str">
        <f>VLOOKUP(A233,Xtal_Templ!A:B,2,FALSE)</f>
        <v>oprk_human</v>
      </c>
      <c r="C233" s="5">
        <f>VLOOKUP($B233&amp;"__wt",'SegEnds_Xtal_BW#'!$A:$Z,3,FALSE)</f>
        <v>30</v>
      </c>
      <c r="D233" s="1">
        <f>VLOOKUP($B233&amp;"__wt",'SegEnds_Xtal_BW#'!$A:$Z,4,FALSE)</f>
        <v>60</v>
      </c>
      <c r="E233" s="1">
        <f>VLOOKUP($B233&amp;"__wt",'SegEnds_Xtal_BW#'!$A:$Z,5,FALSE)</f>
        <v>48</v>
      </c>
      <c r="F233" s="1">
        <f>VLOOKUP($B233&amp;"__wt",'SegEnds_Xtal_BW#'!$A:$Z,6,FALSE)</f>
        <v>51</v>
      </c>
      <c r="G233" s="1">
        <v>37</v>
      </c>
      <c r="H233" s="12">
        <v>66</v>
      </c>
      <c r="I233" s="1">
        <f>VLOOKUP($B233&amp;"__wt",'SegEnds_Xtal_BW#'!$A:$Z,9,FALSE)</f>
        <v>49</v>
      </c>
      <c r="J233" s="1">
        <f>VLOOKUP($B233&amp;"__wt",'SegEnds_Xtal_BW#'!$A:$Z,10,FALSE)</f>
        <v>52</v>
      </c>
      <c r="K233" s="12">
        <v>21</v>
      </c>
      <c r="L233" s="1">
        <f>VLOOKUP($B233&amp;"__wt",'SegEnds_Xtal_BW#'!$A:$Z,12,FALSE)</f>
        <v>56</v>
      </c>
      <c r="M233" s="1">
        <f>VLOOKUP($B233&amp;"__wt",'SegEnds_Xtal_BW#'!$A:$Z,13,FALSE)</f>
        <v>50</v>
      </c>
      <c r="N233" s="12">
        <v>57</v>
      </c>
      <c r="O233" s="89">
        <v>38</v>
      </c>
      <c r="P233" s="1">
        <f>VLOOKUP($B233&amp;"__wt",'SegEnds_Xtal_BW#'!$A:$Z,16,FALSE)</f>
        <v>64</v>
      </c>
      <c r="Q233" s="1">
        <f>VLOOKUP($B233&amp;"__wt",'SegEnds_Xtal_BW#'!$A:$Z,17,FALSE)</f>
        <v>50</v>
      </c>
      <c r="R233" s="1">
        <f>VLOOKUP($B233&amp;"__wt",'SegEnds_Xtal_BW#'!$A:$Z,18,FALSE)</f>
        <v>52</v>
      </c>
      <c r="S233" s="1">
        <f>VLOOKUP($B233&amp;"__wt",'SegEnds_Xtal_BW#'!$A:$Z,19,FALSE)</f>
        <v>31</v>
      </c>
      <c r="T233" s="1">
        <f t="array" ref="T233">INDEX('ICL3'!$G$2:$G$40,MATCH(MIN(ABS(AH233-'ICL3'!$F$2:$F$40)),ABS(AH233-'ICL3'!$F$2:$F$40),0))</f>
        <v>68</v>
      </c>
      <c r="U233" s="1">
        <f t="array" ref="U233">INDEX('ICL3'!$H$2:$H$40,MATCH(MIN(ABS(AH233-'ICL3'!$F$2:$F$40)),ABS(AH233-'ICL3'!$F$2:$F$40),0))</f>
        <v>23</v>
      </c>
      <c r="V233" s="1">
        <v>61</v>
      </c>
      <c r="W233" s="1">
        <v>28</v>
      </c>
      <c r="X233" s="1">
        <f>VLOOKUP($B233&amp;"__wt",'SegEnds_Xtal_BW#'!$A:$Z,24,FALSE)</f>
        <v>56</v>
      </c>
      <c r="Y233" s="1">
        <f>VLOOKUP($B233&amp;"__wt",'SegEnds_Xtal_BW#'!$A:$Z,25,FALSE)</f>
        <v>47</v>
      </c>
      <c r="Z233" s="1">
        <f>VLOOKUP($B233&amp;"__wt",'SegEnds_Xtal_BW#'!$A:$Z,26,FALSE)</f>
        <v>59</v>
      </c>
      <c r="AA233" s="27" t="str">
        <f>VLOOKUP(A233,Classification!A:B,2,FALSE)</f>
        <v>A</v>
      </c>
      <c r="AB233" s="1">
        <f>VLOOKUP(A233,'SegEnds_NonXtal_Prot#'!A:AL,10,FALSE)-VLOOKUP(A233,'SegEnds_NonXtal_Prot#'!A:AL,7,FALSE)</f>
        <v>15</v>
      </c>
      <c r="AC233" s="1">
        <f>VLOOKUP(A233,'SegEnds_NonXtal_Prot#'!A:AL,13,FALSE)-VLOOKUP(A233,'SegEnds_NonXtal_Prot#'!A:AL,10,FALSE)</f>
        <v>19</v>
      </c>
      <c r="AD233" s="1">
        <f>VLOOKUP(A233,'SegEnds_NonXtal_Prot#'!A:AL,16,FALSE)-VLOOKUP(A233,'SegEnds_NonXtal_Prot#'!A:AL,10,FALSE)</f>
        <v>51</v>
      </c>
      <c r="AE233" s="1">
        <f>VLOOKUP(A233,'SegEnds_NonXtal_Prot#'!A:AL,22,FALSE)-VLOOKUP(A233,'SegEnds_NonXtal_Prot#'!A:AL,19,FALSE)</f>
        <v>20</v>
      </c>
      <c r="AF233" s="1">
        <f>VLOOKUP(A233,'SegEnds_NonXtal_Prot#'!A:AL,28,FALSE)-VLOOKUP(A233,'SegEnds_NonXtal_Prot#'!A:AL,25,FALSE)</f>
        <v>27</v>
      </c>
      <c r="AG233" s="1">
        <f>VLOOKUP(A233,'SegEnds_NonXtal_Prot#'!A:AL,28,FALSE)-VLOOKUP(A233,'SegEnds_NonXtal_Prot#'!A:AL,22,FALSE)</f>
        <v>53</v>
      </c>
      <c r="AH233" s="1">
        <f>VLOOKUP(A233,'SegEnds_NonXtal_Prot#'!A:AL,31,FALSE)-VLOOKUP(A233,'SegEnds_NonXtal_Prot#'!A:AL,28,FALSE)</f>
        <v>51</v>
      </c>
      <c r="AI233" s="1">
        <f>VLOOKUP(A233,'SegEnds_NonXtal_Prot#'!A:AL,34,FALSE)-VLOOKUP(A233,'SegEnds_NonXtal_Prot#'!A:AL,31,FALSE)</f>
        <v>38</v>
      </c>
      <c r="AJ233" s="1" t="str">
        <f>IF(ISERROR(MATCH(A233,'SegEnds_Xtal_Prot#'!B:B, 0)), "NoXtal", "Xtal")</f>
        <v>NoXtal</v>
      </c>
    </row>
    <row r="234" spans="1:36" x14ac:dyDescent="0.2">
      <c r="A234" s="1" t="s">
        <v>383</v>
      </c>
      <c r="B234" s="1" t="str">
        <f>VLOOKUP(A234,Xtal_Templ!A:B,2,FALSE)</f>
        <v>oprk_human</v>
      </c>
      <c r="C234" s="5">
        <f>VLOOKUP($B234&amp;"__wt",'SegEnds_Xtal_BW#'!$A:$Z,3,FALSE)</f>
        <v>30</v>
      </c>
      <c r="D234" s="1">
        <f>VLOOKUP($B234&amp;"__wt",'SegEnds_Xtal_BW#'!$A:$Z,4,FALSE)</f>
        <v>60</v>
      </c>
      <c r="E234" s="1">
        <f>VLOOKUP($B234&amp;"__wt",'SegEnds_Xtal_BW#'!$A:$Z,5,FALSE)</f>
        <v>48</v>
      </c>
      <c r="F234" s="1">
        <f>VLOOKUP($B234&amp;"__wt",'SegEnds_Xtal_BW#'!$A:$Z,6,FALSE)</f>
        <v>51</v>
      </c>
      <c r="G234" s="1">
        <v>37</v>
      </c>
      <c r="H234" s="12">
        <v>66</v>
      </c>
      <c r="I234" s="1">
        <f>VLOOKUP($B234&amp;"__wt",'SegEnds_Xtal_BW#'!$A:$Z,9,FALSE)</f>
        <v>49</v>
      </c>
      <c r="J234" s="1">
        <f>VLOOKUP($B234&amp;"__wt",'SegEnds_Xtal_BW#'!$A:$Z,10,FALSE)</f>
        <v>52</v>
      </c>
      <c r="K234" s="12">
        <v>21</v>
      </c>
      <c r="L234" s="1">
        <f>VLOOKUP($B234&amp;"__wt",'SegEnds_Xtal_BW#'!$A:$Z,12,FALSE)</f>
        <v>56</v>
      </c>
      <c r="M234" s="1">
        <f>VLOOKUP($B234&amp;"__wt",'SegEnds_Xtal_BW#'!$A:$Z,13,FALSE)</f>
        <v>50</v>
      </c>
      <c r="N234" s="12">
        <v>57</v>
      </c>
      <c r="O234" s="89">
        <v>38</v>
      </c>
      <c r="P234" s="1">
        <f>VLOOKUP($B234&amp;"__wt",'SegEnds_Xtal_BW#'!$A:$Z,16,FALSE)</f>
        <v>64</v>
      </c>
      <c r="Q234" s="1">
        <f>VLOOKUP($B234&amp;"__wt",'SegEnds_Xtal_BW#'!$A:$Z,17,FALSE)</f>
        <v>50</v>
      </c>
      <c r="R234" s="1">
        <f>VLOOKUP($B234&amp;"__wt",'SegEnds_Xtal_BW#'!$A:$Z,18,FALSE)</f>
        <v>52</v>
      </c>
      <c r="S234" s="1">
        <f>VLOOKUP($B234&amp;"__wt",'SegEnds_Xtal_BW#'!$A:$Z,19,FALSE)</f>
        <v>31</v>
      </c>
      <c r="T234" s="1">
        <f t="array" ref="T234">INDEX('ICL3'!$G$2:$G$40,MATCH(MIN(ABS(AH234-'ICL3'!$F$2:$F$40)),ABS(AH234-'ICL3'!$F$2:$F$40),0))</f>
        <v>72</v>
      </c>
      <c r="U234" s="1">
        <f t="array" ref="U234">INDEX('ICL3'!$H$2:$H$40,MATCH(MIN(ABS(AH234-'ICL3'!$F$2:$F$40)),ABS(AH234-'ICL3'!$F$2:$F$40),0))</f>
        <v>24</v>
      </c>
      <c r="V234" s="1">
        <v>61</v>
      </c>
      <c r="W234" s="1">
        <v>28</v>
      </c>
      <c r="X234" s="1">
        <f>VLOOKUP($B234&amp;"__wt",'SegEnds_Xtal_BW#'!$A:$Z,24,FALSE)</f>
        <v>56</v>
      </c>
      <c r="Y234" s="1">
        <f>VLOOKUP($B234&amp;"__wt",'SegEnds_Xtal_BW#'!$A:$Z,25,FALSE)</f>
        <v>47</v>
      </c>
      <c r="Z234" s="1">
        <f>VLOOKUP($B234&amp;"__wt",'SegEnds_Xtal_BW#'!$A:$Z,26,FALSE)</f>
        <v>59</v>
      </c>
      <c r="AA234" s="27" t="str">
        <f>VLOOKUP(A234,Classification!A:B,2,FALSE)</f>
        <v>A</v>
      </c>
      <c r="AB234" s="1">
        <f>VLOOKUP(A234,'SegEnds_NonXtal_Prot#'!A:AL,10,FALSE)-VLOOKUP(A234,'SegEnds_NonXtal_Prot#'!A:AL,7,FALSE)</f>
        <v>15</v>
      </c>
      <c r="AC234" s="1">
        <f>VLOOKUP(A234,'SegEnds_NonXtal_Prot#'!A:AL,13,FALSE)-VLOOKUP(A234,'SegEnds_NonXtal_Prot#'!A:AL,10,FALSE)</f>
        <v>19</v>
      </c>
      <c r="AD234" s="1">
        <f>VLOOKUP(A234,'SegEnds_NonXtal_Prot#'!A:AL,16,FALSE)-VLOOKUP(A234,'SegEnds_NonXtal_Prot#'!A:AL,10,FALSE)</f>
        <v>51</v>
      </c>
      <c r="AE234" s="1">
        <f>VLOOKUP(A234,'SegEnds_NonXtal_Prot#'!A:AL,22,FALSE)-VLOOKUP(A234,'SegEnds_NonXtal_Prot#'!A:AL,19,FALSE)</f>
        <v>20</v>
      </c>
      <c r="AF234" s="1">
        <f>VLOOKUP(A234,'SegEnds_NonXtal_Prot#'!A:AL,28,FALSE)-VLOOKUP(A234,'SegEnds_NonXtal_Prot#'!A:AL,25,FALSE)</f>
        <v>27</v>
      </c>
      <c r="AG234" s="1">
        <f>VLOOKUP(A234,'SegEnds_NonXtal_Prot#'!A:AL,28,FALSE)-VLOOKUP(A234,'SegEnds_NonXtal_Prot#'!A:AL,22,FALSE)</f>
        <v>50</v>
      </c>
      <c r="AH234" s="1">
        <f>VLOOKUP(A234,'SegEnds_NonXtal_Prot#'!A:AL,31,FALSE)-VLOOKUP(A234,'SegEnds_NonXtal_Prot#'!A:AL,28,FALSE)</f>
        <v>54</v>
      </c>
      <c r="AI234" s="1">
        <f>VLOOKUP(A234,'SegEnds_NonXtal_Prot#'!A:AL,34,FALSE)-VLOOKUP(A234,'SegEnds_NonXtal_Prot#'!A:AL,31,FALSE)</f>
        <v>38</v>
      </c>
      <c r="AJ234" s="1" t="str">
        <f>IF(ISERROR(MATCH(A234,'SegEnds_Xtal_Prot#'!B:B, 0)), "NoXtal", "Xtal")</f>
        <v>NoXtal</v>
      </c>
    </row>
    <row r="235" spans="1:36" x14ac:dyDescent="0.2">
      <c r="A235" s="1" t="s">
        <v>384</v>
      </c>
      <c r="B235" s="1" t="str">
        <f>VLOOKUP(A235,Xtal_Templ!A:B,2,FALSE)</f>
        <v>oprd_human</v>
      </c>
      <c r="C235" s="5">
        <f>VLOOKUP($B235&amp;"__wt",'SegEnds_Xtal_BW#'!$A:$Z,3,FALSE)</f>
        <v>22</v>
      </c>
      <c r="D235" s="1">
        <f>VLOOKUP($B235&amp;"__wt",'SegEnds_Xtal_BW#'!$A:$Z,4,FALSE)</f>
        <v>60</v>
      </c>
      <c r="E235" s="1">
        <f>VLOOKUP($B235&amp;"__wt",'SegEnds_Xtal_BW#'!$A:$Z,5,FALSE)</f>
        <v>48</v>
      </c>
      <c r="F235" s="1">
        <f>VLOOKUP($B235&amp;"__wt",'SegEnds_Xtal_BW#'!$A:$Z,6,FALSE)</f>
        <v>51</v>
      </c>
      <c r="G235" s="1">
        <v>37</v>
      </c>
      <c r="H235" s="12">
        <v>66</v>
      </c>
      <c r="I235" s="1">
        <f>VLOOKUP($B235&amp;"__wt",'SegEnds_Xtal_BW#'!$A:$Z,9,FALSE)</f>
        <v>49</v>
      </c>
      <c r="J235" s="1">
        <f>VLOOKUP($B235&amp;"__wt",'SegEnds_Xtal_BW#'!$A:$Z,10,FALSE)</f>
        <v>52</v>
      </c>
      <c r="K235" s="12">
        <v>21</v>
      </c>
      <c r="L235" s="1">
        <f>VLOOKUP($B235&amp;"__wt",'SegEnds_Xtal_BW#'!$A:$Z,12,FALSE)</f>
        <v>56</v>
      </c>
      <c r="M235" s="1">
        <f>VLOOKUP($B235&amp;"__wt",'SegEnds_Xtal_BW#'!$A:$Z,13,FALSE)</f>
        <v>50</v>
      </c>
      <c r="N235" s="12">
        <v>57</v>
      </c>
      <c r="O235" s="89">
        <v>38</v>
      </c>
      <c r="P235" s="1">
        <f>VLOOKUP($B235&amp;"__wt",'SegEnds_Xtal_BW#'!$A:$Z,16,FALSE)</f>
        <v>64</v>
      </c>
      <c r="Q235" s="1">
        <f>VLOOKUP($B235&amp;"__wt",'SegEnds_Xtal_BW#'!$A:$Z,17,FALSE)</f>
        <v>50</v>
      </c>
      <c r="R235" s="1">
        <f>VLOOKUP($B235&amp;"__wt",'SegEnds_Xtal_BW#'!$A:$Z,18,FALSE)</f>
        <v>52</v>
      </c>
      <c r="S235" s="1">
        <f>VLOOKUP($B235&amp;"__wt",'SegEnds_Xtal_BW#'!$A:$Z,19,FALSE)</f>
        <v>31</v>
      </c>
      <c r="T235" s="1">
        <f t="array" ref="T235">INDEX('ICL3'!$G$2:$G$40,MATCH(MIN(ABS(AH235-'ICL3'!$F$2:$F$40)),ABS(AH235-'ICL3'!$F$2:$F$40),0))</f>
        <v>68</v>
      </c>
      <c r="U235" s="1">
        <f t="array" ref="U235">INDEX('ICL3'!$H$2:$H$40,MATCH(MIN(ABS(AH235-'ICL3'!$F$2:$F$40)),ABS(AH235-'ICL3'!$F$2:$F$40),0))</f>
        <v>23</v>
      </c>
      <c r="V235" s="1">
        <v>61</v>
      </c>
      <c r="W235" s="1">
        <v>32</v>
      </c>
      <c r="X235" s="1">
        <f>VLOOKUP($B235&amp;"__wt",'SegEnds_Xtal_BW#'!$A:$Z,24,FALSE)</f>
        <v>56</v>
      </c>
      <c r="Y235" s="1">
        <f>VLOOKUP($B235&amp;"__wt",'SegEnds_Xtal_BW#'!$A:$Z,25,FALSE)</f>
        <v>47</v>
      </c>
      <c r="Z235" s="1">
        <f>VLOOKUP($B235&amp;"__wt",'SegEnds_Xtal_BW#'!$A:$Z,26,FALSE)</f>
        <v>60</v>
      </c>
      <c r="AA235" s="27" t="str">
        <f>VLOOKUP(A235,Classification!A:B,2,FALSE)</f>
        <v>A</v>
      </c>
      <c r="AB235" s="1">
        <f>VLOOKUP(A235,'SegEnds_NonXtal_Prot#'!A:AL,10,FALSE)-VLOOKUP(A235,'SegEnds_NonXtal_Prot#'!A:AL,7,FALSE)</f>
        <v>15</v>
      </c>
      <c r="AC235" s="1">
        <f>VLOOKUP(A235,'SegEnds_NonXtal_Prot#'!A:AL,13,FALSE)-VLOOKUP(A235,'SegEnds_NonXtal_Prot#'!A:AL,10,FALSE)</f>
        <v>19</v>
      </c>
      <c r="AD235" s="1">
        <f>VLOOKUP(A235,'SegEnds_NonXtal_Prot#'!A:AL,16,FALSE)-VLOOKUP(A235,'SegEnds_NonXtal_Prot#'!A:AL,10,FALSE)</f>
        <v>51</v>
      </c>
      <c r="AE235" s="1">
        <f>VLOOKUP(A235,'SegEnds_NonXtal_Prot#'!A:AL,22,FALSE)-VLOOKUP(A235,'SegEnds_NonXtal_Prot#'!A:AL,19,FALSE)</f>
        <v>20</v>
      </c>
      <c r="AF235" s="1">
        <f>VLOOKUP(A235,'SegEnds_NonXtal_Prot#'!A:AL,28,FALSE)-VLOOKUP(A235,'SegEnds_NonXtal_Prot#'!A:AL,25,FALSE)</f>
        <v>25</v>
      </c>
      <c r="AG235" s="1">
        <f>VLOOKUP(A235,'SegEnds_NonXtal_Prot#'!A:AL,28,FALSE)-VLOOKUP(A235,'SegEnds_NonXtal_Prot#'!A:AL,22,FALSE)</f>
        <v>52</v>
      </c>
      <c r="AH235" s="1">
        <f>VLOOKUP(A235,'SegEnds_NonXtal_Prot#'!A:AL,31,FALSE)-VLOOKUP(A235,'SegEnds_NonXtal_Prot#'!A:AL,28,FALSE)</f>
        <v>51</v>
      </c>
      <c r="AI235" s="1">
        <f>VLOOKUP(A235,'SegEnds_NonXtal_Prot#'!A:AL,34,FALSE)-VLOOKUP(A235,'SegEnds_NonXtal_Prot#'!A:AL,31,FALSE)</f>
        <v>34</v>
      </c>
      <c r="AJ235" s="1" t="str">
        <f>IF(ISERROR(MATCH(A235,'SegEnds_Xtal_Prot#'!B:B, 0)), "NoXtal", "Xtal")</f>
        <v>NoXtal</v>
      </c>
    </row>
    <row r="236" spans="1:36" x14ac:dyDescent="0.2">
      <c r="A236" s="1" t="s">
        <v>385</v>
      </c>
      <c r="B236" s="1" t="str">
        <f>VLOOKUP(A236,Xtal_Templ!A:B,2,FALSE)</f>
        <v>oprk_human</v>
      </c>
      <c r="C236" s="5">
        <f>VLOOKUP($B236&amp;"__wt",'SegEnds_Xtal_BW#'!$A:$Z,3,FALSE)</f>
        <v>30</v>
      </c>
      <c r="D236" s="1">
        <f>VLOOKUP($B236&amp;"__wt",'SegEnds_Xtal_BW#'!$A:$Z,4,FALSE)</f>
        <v>60</v>
      </c>
      <c r="E236" s="1">
        <f>VLOOKUP($B236&amp;"__wt",'SegEnds_Xtal_BW#'!$A:$Z,5,FALSE)</f>
        <v>48</v>
      </c>
      <c r="F236" s="1">
        <f>VLOOKUP($B236&amp;"__wt",'SegEnds_Xtal_BW#'!$A:$Z,6,FALSE)</f>
        <v>51</v>
      </c>
      <c r="G236" s="1">
        <v>37</v>
      </c>
      <c r="H236" s="12">
        <v>66</v>
      </c>
      <c r="I236" s="1">
        <f>VLOOKUP($B236&amp;"__wt",'SegEnds_Xtal_BW#'!$A:$Z,9,FALSE)</f>
        <v>49</v>
      </c>
      <c r="J236" s="1">
        <f>VLOOKUP($B236&amp;"__wt",'SegEnds_Xtal_BW#'!$A:$Z,10,FALSE)</f>
        <v>52</v>
      </c>
      <c r="K236" s="12">
        <v>21</v>
      </c>
      <c r="L236" s="1">
        <f>VLOOKUP($B236&amp;"__wt",'SegEnds_Xtal_BW#'!$A:$Z,12,FALSE)</f>
        <v>56</v>
      </c>
      <c r="M236" s="1">
        <f>VLOOKUP($B236&amp;"__wt",'SegEnds_Xtal_BW#'!$A:$Z,13,FALSE)</f>
        <v>50</v>
      </c>
      <c r="N236" s="12">
        <v>57</v>
      </c>
      <c r="O236" s="89">
        <v>38</v>
      </c>
      <c r="P236" s="1">
        <f>VLOOKUP($B236&amp;"__wt",'SegEnds_Xtal_BW#'!$A:$Z,16,FALSE)</f>
        <v>64</v>
      </c>
      <c r="Q236" s="1">
        <f>VLOOKUP($B236&amp;"__wt",'SegEnds_Xtal_BW#'!$A:$Z,17,FALSE)</f>
        <v>50</v>
      </c>
      <c r="R236" s="1">
        <f>VLOOKUP($B236&amp;"__wt",'SegEnds_Xtal_BW#'!$A:$Z,18,FALSE)</f>
        <v>52</v>
      </c>
      <c r="S236" s="1">
        <f>VLOOKUP($B236&amp;"__wt",'SegEnds_Xtal_BW#'!$A:$Z,19,FALSE)</f>
        <v>31</v>
      </c>
      <c r="T236" s="1">
        <f t="array" ref="T236">INDEX('ICL3'!$G$2:$G$40,MATCH(MIN(ABS(AH236-'ICL3'!$F$2:$F$40)),ABS(AH236-'ICL3'!$F$2:$F$40),0))</f>
        <v>72</v>
      </c>
      <c r="U236" s="1">
        <f t="array" ref="U236">INDEX('ICL3'!$H$2:$H$40,MATCH(MIN(ABS(AH236-'ICL3'!$F$2:$F$40)),ABS(AH236-'ICL3'!$F$2:$F$40),0))</f>
        <v>29</v>
      </c>
      <c r="V236" s="1">
        <v>61</v>
      </c>
      <c r="W236" s="1">
        <v>28</v>
      </c>
      <c r="X236" s="1">
        <f>VLOOKUP($B236&amp;"__wt",'SegEnds_Xtal_BW#'!$A:$Z,24,FALSE)</f>
        <v>56</v>
      </c>
      <c r="Y236" s="1">
        <f>VLOOKUP($B236&amp;"__wt",'SegEnds_Xtal_BW#'!$A:$Z,25,FALSE)</f>
        <v>47</v>
      </c>
      <c r="Z236" s="1">
        <f>VLOOKUP($B236&amp;"__wt",'SegEnds_Xtal_BW#'!$A:$Z,26,FALSE)</f>
        <v>59</v>
      </c>
      <c r="AA236" s="27" t="str">
        <f>VLOOKUP(A236,Classification!A:B,2,FALSE)</f>
        <v>A</v>
      </c>
      <c r="AB236" s="1">
        <f>VLOOKUP(A236,'SegEnds_NonXtal_Prot#'!A:AL,10,FALSE)-VLOOKUP(A236,'SegEnds_NonXtal_Prot#'!A:AL,7,FALSE)</f>
        <v>15</v>
      </c>
      <c r="AC236" s="1">
        <f>VLOOKUP(A236,'SegEnds_NonXtal_Prot#'!A:AL,13,FALSE)-VLOOKUP(A236,'SegEnds_NonXtal_Prot#'!A:AL,10,FALSE)</f>
        <v>19</v>
      </c>
      <c r="AD236" s="1">
        <f>VLOOKUP(A236,'SegEnds_NonXtal_Prot#'!A:AL,16,FALSE)-VLOOKUP(A236,'SegEnds_NonXtal_Prot#'!A:AL,10,FALSE)</f>
        <v>51</v>
      </c>
      <c r="AE236" s="1">
        <f>VLOOKUP(A236,'SegEnds_NonXtal_Prot#'!A:AL,22,FALSE)-VLOOKUP(A236,'SegEnds_NonXtal_Prot#'!A:AL,19,FALSE)</f>
        <v>20</v>
      </c>
      <c r="AF236" s="1">
        <f>VLOOKUP(A236,'SegEnds_NonXtal_Prot#'!A:AL,28,FALSE)-VLOOKUP(A236,'SegEnds_NonXtal_Prot#'!A:AL,25,FALSE)</f>
        <v>27</v>
      </c>
      <c r="AG236" s="1">
        <f>VLOOKUP(A236,'SegEnds_NonXtal_Prot#'!A:AL,28,FALSE)-VLOOKUP(A236,'SegEnds_NonXtal_Prot#'!A:AL,22,FALSE)</f>
        <v>49</v>
      </c>
      <c r="AH236" s="1">
        <f>VLOOKUP(A236,'SegEnds_NonXtal_Prot#'!A:AL,31,FALSE)-VLOOKUP(A236,'SegEnds_NonXtal_Prot#'!A:AL,28,FALSE)</f>
        <v>50</v>
      </c>
      <c r="AI236" s="1">
        <f>VLOOKUP(A236,'SegEnds_NonXtal_Prot#'!A:AL,34,FALSE)-VLOOKUP(A236,'SegEnds_NonXtal_Prot#'!A:AL,31,FALSE)</f>
        <v>38</v>
      </c>
      <c r="AJ236" s="1" t="str">
        <f>IF(ISERROR(MATCH(A236,'SegEnds_Xtal_Prot#'!B:B, 0)), "NoXtal", "Xtal")</f>
        <v>NoXtal</v>
      </c>
    </row>
    <row r="237" spans="1:36" x14ac:dyDescent="0.2">
      <c r="A237" s="1" t="s">
        <v>386</v>
      </c>
      <c r="B237" s="1" t="str">
        <f>VLOOKUP(A237,Xtal_Templ!A:B,2,FALSE)</f>
        <v>p2ry1_human</v>
      </c>
      <c r="C237" s="5">
        <f>VLOOKUP($B237&amp;"__wt",'SegEnds_Xtal_BW#'!$A:$Z,3,FALSE)</f>
        <v>30</v>
      </c>
      <c r="D237" s="1">
        <f>VLOOKUP($B237&amp;"__wt",'SegEnds_Xtal_BW#'!$A:$Z,4,FALSE)</f>
        <v>60</v>
      </c>
      <c r="E237" s="1" t="str">
        <f>VLOOKUP($B237&amp;"__wt",'SegEnds_Xtal_BW#'!$A:$Z,5,FALSE)</f>
        <v>-</v>
      </c>
      <c r="F237" s="1" t="str">
        <f>VLOOKUP($B237&amp;"__wt",'SegEnds_Xtal_BW#'!$A:$Z,6,FALSE)</f>
        <v>-</v>
      </c>
      <c r="G237" s="1">
        <v>37</v>
      </c>
      <c r="H237" s="12">
        <v>66</v>
      </c>
      <c r="I237" s="1">
        <f>VLOOKUP($B237&amp;"__wt",'SegEnds_Xtal_BW#'!$A:$Z,9,FALSE)</f>
        <v>49</v>
      </c>
      <c r="J237" s="1">
        <f>VLOOKUP($B237&amp;"__wt",'SegEnds_Xtal_BW#'!$A:$Z,10,FALSE)</f>
        <v>52</v>
      </c>
      <c r="K237" s="12">
        <v>21</v>
      </c>
      <c r="L237" s="1">
        <f>VLOOKUP($B237&amp;"__wt",'SegEnds_Xtal_BW#'!$A:$Z,12,FALSE)</f>
        <v>56</v>
      </c>
      <c r="M237" s="1">
        <f>VLOOKUP($B237&amp;"__wt",'SegEnds_Xtal_BW#'!$A:$Z,13,FALSE)</f>
        <v>50</v>
      </c>
      <c r="N237" s="12">
        <v>57</v>
      </c>
      <c r="O237" s="89">
        <f>VLOOKUP($B237&amp;"__wt",'SegEnds_Xtal_BW#'!$A:$Z,15,FALSE)</f>
        <v>38</v>
      </c>
      <c r="P237" s="1">
        <f>VLOOKUP($B237&amp;"__wt",'SegEnds_Xtal_BW#'!$A:$Z,16,FALSE)</f>
        <v>64</v>
      </c>
      <c r="Q237" s="1">
        <f>VLOOKUP($B237&amp;"__wt",'SegEnds_Xtal_BW#'!$A:$Z,17,FALSE)</f>
        <v>50</v>
      </c>
      <c r="R237" s="1">
        <f>VLOOKUP($B237&amp;"__wt",'SegEnds_Xtal_BW#'!$A:$Z,18,FALSE)</f>
        <v>52</v>
      </c>
      <c r="S237" s="1">
        <f>VLOOKUP($B237&amp;"__wt",'SegEnds_Xtal_BW#'!$A:$Z,19,FALSE)</f>
        <v>32</v>
      </c>
      <c r="T237" s="1">
        <f t="array" ref="T237">INDEX('ICL3'!$G$2:$G$40,MATCH(MIN(ABS(AH237-'ICL3'!$F$2:$F$40)),ABS(AH237-'ICL3'!$F$2:$F$40),0))</f>
        <v>68</v>
      </c>
      <c r="U237" s="1">
        <f t="array" ref="U237">INDEX('ICL3'!$H$2:$H$40,MATCH(MIN(ABS(AH237-'ICL3'!$F$2:$F$40)),ABS(AH237-'ICL3'!$F$2:$F$40),0))</f>
        <v>24</v>
      </c>
      <c r="V237" s="1">
        <v>64</v>
      </c>
      <c r="W237" s="1">
        <v>24</v>
      </c>
      <c r="X237" s="6">
        <f>VLOOKUP($B237&amp;"__wt",'SegEnds_Xtal_BW#'!$A:$Z,24,FALSE)</f>
        <v>56</v>
      </c>
      <c r="Y237" s="1">
        <f>VLOOKUP($B237&amp;"__wt",'SegEnds_Xtal_BW#'!$A:$Z,25,FALSE)</f>
        <v>47</v>
      </c>
      <c r="Z237" s="1">
        <f>VLOOKUP($B237&amp;"__wt",'SegEnds_Xtal_BW#'!$A:$Z,26,FALSE)</f>
        <v>59</v>
      </c>
      <c r="AA237" s="27" t="str">
        <f>VLOOKUP(A237,Classification!A:B,2,FALSE)</f>
        <v>A</v>
      </c>
      <c r="AB237" s="1" t="e">
        <f>VLOOKUP(A237,'SegEnds_NonXtal_Prot#'!A:AL,10,FALSE)-VLOOKUP(A237,'SegEnds_NonXtal_Prot#'!A:AL,7,FALSE)</f>
        <v>#VALUE!</v>
      </c>
      <c r="AC237" s="1">
        <f>VLOOKUP(A237,'SegEnds_NonXtal_Prot#'!A:AL,13,FALSE)-VLOOKUP(A237,'SegEnds_NonXtal_Prot#'!A:AL,10,FALSE)</f>
        <v>19</v>
      </c>
      <c r="AD237" s="1">
        <f>VLOOKUP(A237,'SegEnds_NonXtal_Prot#'!A:AL,16,FALSE)-VLOOKUP(A237,'SegEnds_NonXtal_Prot#'!A:AL,10,FALSE)</f>
        <v>51</v>
      </c>
      <c r="AE237" s="1">
        <f>VLOOKUP(A237,'SegEnds_NonXtal_Prot#'!A:AL,22,FALSE)-VLOOKUP(A237,'SegEnds_NonXtal_Prot#'!A:AL,19,FALSE)</f>
        <v>20</v>
      </c>
      <c r="AF237" s="1">
        <f>VLOOKUP(A237,'SegEnds_NonXtal_Prot#'!A:AL,28,FALSE)-VLOOKUP(A237,'SegEnds_NonXtal_Prot#'!A:AL,25,FALSE)</f>
        <v>27</v>
      </c>
      <c r="AG237" s="1">
        <f>VLOOKUP(A237,'SegEnds_NonXtal_Prot#'!A:AL,28,FALSE)-VLOOKUP(A237,'SegEnds_NonXtal_Prot#'!A:AL,22,FALSE)</f>
        <v>52</v>
      </c>
      <c r="AH237" s="1">
        <f>VLOOKUP(A237,'SegEnds_NonXtal_Prot#'!A:AL,31,FALSE)-VLOOKUP(A237,'SegEnds_NonXtal_Prot#'!A:AL,28,FALSE)</f>
        <v>48</v>
      </c>
      <c r="AI237" s="1">
        <f>VLOOKUP(A237,'SegEnds_NonXtal_Prot#'!A:AL,34,FALSE)-VLOOKUP(A237,'SegEnds_NonXtal_Prot#'!A:AL,31,FALSE)</f>
        <v>45</v>
      </c>
      <c r="AJ237" s="1" t="str">
        <f>IF(ISERROR(MATCH(A237,'SegEnds_Xtal_Prot#'!B:B, 0)), "NoXtal", "Xtal")</f>
        <v>NoXtal</v>
      </c>
    </row>
    <row r="238" spans="1:36" x14ac:dyDescent="0.2">
      <c r="A238" s="1" t="s">
        <v>473</v>
      </c>
      <c r="B238" s="1" t="str">
        <f>VLOOKUP(A238,Xtal_Templ!A:B,2,FALSE)</f>
        <v>cnr1_human</v>
      </c>
      <c r="C238" s="5">
        <f>VLOOKUP($B238&amp;"__wt",'SegEnds_Xtal_BW#'!$A:$Z,3,FALSE)</f>
        <v>28</v>
      </c>
      <c r="D238" s="1">
        <f>VLOOKUP($B238&amp;"__wt",'SegEnds_Xtal_BW#'!$A:$Z,4,FALSE)</f>
        <v>60</v>
      </c>
      <c r="E238" s="1">
        <f>VLOOKUP($B238&amp;"__wt",'SegEnds_Xtal_BW#'!$A:$Z,5,FALSE)</f>
        <v>48</v>
      </c>
      <c r="F238" s="1">
        <f>VLOOKUP($B238&amp;"__wt",'SegEnds_Xtal_BW#'!$A:$Z,6,FALSE)</f>
        <v>51</v>
      </c>
      <c r="G238" s="1">
        <v>37</v>
      </c>
      <c r="H238" s="12">
        <v>67</v>
      </c>
      <c r="I238" s="1" t="str">
        <f>VLOOKUP($B238&amp;"__wt",'SegEnds_Xtal_BW#'!$A:$Z,9,FALSE)</f>
        <v>-</v>
      </c>
      <c r="J238" s="1" t="str">
        <f>VLOOKUP($B238&amp;"__wt",'SegEnds_Xtal_BW#'!$A:$Z,10,FALSE)</f>
        <v>-</v>
      </c>
      <c r="K238" s="12">
        <v>18</v>
      </c>
      <c r="L238" s="1">
        <f>VLOOKUP($B238&amp;"__wt",'SegEnds_Xtal_BW#'!$A:$Z,12,FALSE)</f>
        <v>56</v>
      </c>
      <c r="M238" s="1">
        <f>VLOOKUP($B238&amp;"__wt",'SegEnds_Xtal_BW#'!$A:$Z,13,FALSE)</f>
        <v>50</v>
      </c>
      <c r="N238" s="12">
        <v>57</v>
      </c>
      <c r="O238" s="89">
        <f>VLOOKUP($B238&amp;"__wt",'SegEnds_Xtal_BW#'!$A:$Z,15,FALSE)</f>
        <v>38</v>
      </c>
      <c r="P238" s="1">
        <f>VLOOKUP($B238&amp;"__wt",'SegEnds_Xtal_BW#'!$A:$Z,16,FALSE)</f>
        <v>63</v>
      </c>
      <c r="Q238" s="1" t="str">
        <f>VLOOKUP($B238&amp;"__wt",'SegEnds_Xtal_BW#'!$A:$Z,17,FALSE)</f>
        <v>-</v>
      </c>
      <c r="R238" s="1" t="str">
        <f>VLOOKUP($B238&amp;"__wt",'SegEnds_Xtal_BW#'!$A:$Z,18,FALSE)</f>
        <v>-</v>
      </c>
      <c r="S238" s="1">
        <f>VLOOKUP($B238&amp;"__wt",'SegEnds_Xtal_BW#'!$A:$Z,19,FALSE)</f>
        <v>36</v>
      </c>
      <c r="T238" s="1">
        <f t="array" ref="T238">INDEX('ICL3'!$G$2:$G$40,MATCH(MIN(ABS(AH238-'ICL3'!$F$2:$F$40)),ABS(AH238-'ICL3'!$F$2:$F$40),0))</f>
        <v>68</v>
      </c>
      <c r="U238" s="1">
        <f t="array" ref="U238">INDEX('ICL3'!$H$2:$H$40,MATCH(MIN(ABS(AH238-'ICL3'!$F$2:$F$40)),ABS(AH238-'ICL3'!$F$2:$F$40),0))</f>
        <v>30</v>
      </c>
      <c r="V238" s="1">
        <v>64</v>
      </c>
      <c r="W238" s="1">
        <v>24</v>
      </c>
      <c r="X238" s="1">
        <f>VLOOKUP($B238&amp;"__wt",'SegEnds_Xtal_BW#'!$A:$Z,24,FALSE)</f>
        <v>56</v>
      </c>
      <c r="Y238" s="1">
        <f>VLOOKUP($B238&amp;"__wt",'SegEnds_Xtal_BW#'!$A:$Z,25,FALSE)</f>
        <v>47</v>
      </c>
      <c r="Z238" s="1">
        <f>VLOOKUP($B238&amp;"__wt",'SegEnds_Xtal_BW#'!$A:$Z,26,FALSE)</f>
        <v>59</v>
      </c>
      <c r="AA238" s="27" t="str">
        <f>VLOOKUP(A238,Classification!A:B,2,FALSE)</f>
        <v>A</v>
      </c>
      <c r="AB238" s="1" t="e">
        <f>VLOOKUP(A238,'SegEnds_NonXtal_Prot#'!A:AL,10,FALSE)-VLOOKUP(A238,'SegEnds_NonXtal_Prot#'!A:AL,7,FALSE)</f>
        <v>#VALUE!</v>
      </c>
      <c r="AC238" s="1">
        <f>VLOOKUP(A238,'SegEnds_NonXtal_Prot#'!A:AL,13,FALSE)-VLOOKUP(A238,'SegEnds_NonXtal_Prot#'!A:AL,10,FALSE)</f>
        <v>21</v>
      </c>
      <c r="AD238" s="1">
        <f>VLOOKUP(A238,'SegEnds_NonXtal_Prot#'!A:AL,16,FALSE)-VLOOKUP(A238,'SegEnds_NonXtal_Prot#'!A:AL,10,FALSE)</f>
        <v>56</v>
      </c>
      <c r="AE238" s="1">
        <f>VLOOKUP(A238,'SegEnds_NonXtal_Prot#'!A:AL,22,FALSE)-VLOOKUP(A238,'SegEnds_NonXtal_Prot#'!A:AL,19,FALSE)</f>
        <v>20</v>
      </c>
      <c r="AF238" s="1">
        <f>VLOOKUP(A238,'SegEnds_NonXtal_Prot#'!A:AL,28,FALSE)-VLOOKUP(A238,'SegEnds_NonXtal_Prot#'!A:AL,25,FALSE)</f>
        <v>35</v>
      </c>
      <c r="AG238" s="1">
        <f>VLOOKUP(A238,'SegEnds_NonXtal_Prot#'!A:AL,28,FALSE)-VLOOKUP(A238,'SegEnds_NonXtal_Prot#'!A:AL,22,FALSE)</f>
        <v>61</v>
      </c>
      <c r="AH238" s="1">
        <f>VLOOKUP(A238,'SegEnds_NonXtal_Prot#'!A:AL,31,FALSE)-VLOOKUP(A238,'SegEnds_NonXtal_Prot#'!A:AL,28,FALSE)</f>
        <v>42</v>
      </c>
      <c r="AI238" s="1">
        <f>VLOOKUP(A238,'SegEnds_NonXtal_Prot#'!A:AL,34,FALSE)-VLOOKUP(A238,'SegEnds_NonXtal_Prot#'!A:AL,31,FALSE)</f>
        <v>45</v>
      </c>
      <c r="AJ238" s="1" t="str">
        <f>IF(ISERROR(MATCH(A238,'SegEnds_Xtal_Prot#'!B:B, 0)), "NoXtal", "Xtal")</f>
        <v>NoXtal</v>
      </c>
    </row>
    <row r="239" spans="1:36" x14ac:dyDescent="0.2">
      <c r="A239" s="1" t="s">
        <v>387</v>
      </c>
      <c r="B239" s="1" t="str">
        <f>VLOOKUP(A239,Xtal_Templ!A:B,2,FALSE)</f>
        <v>5ht1b_human</v>
      </c>
      <c r="C239" s="5">
        <f>VLOOKUP($B239&amp;"__wt",'SegEnds_Xtal_BW#'!$A:$Z,3,FALSE)</f>
        <v>29</v>
      </c>
      <c r="D239" s="1">
        <f>VLOOKUP($B239&amp;"__wt",'SegEnds_Xtal_BW#'!$A:$Z,4,FALSE)</f>
        <v>60</v>
      </c>
      <c r="E239" s="1">
        <f>VLOOKUP($B239&amp;"__wt",'SegEnds_Xtal_BW#'!$A:$Z,5,FALSE)</f>
        <v>48</v>
      </c>
      <c r="F239" s="1">
        <f>VLOOKUP($B239&amp;"__wt",'SegEnds_Xtal_BW#'!$A:$Z,6,FALSE)</f>
        <v>51</v>
      </c>
      <c r="G239" s="1">
        <v>37</v>
      </c>
      <c r="H239" s="12">
        <f>VLOOKUP($B239&amp;"__wt",'SegEnds_Xtal_BW#'!$A:$Z,8,FALSE)</f>
        <v>67</v>
      </c>
      <c r="I239" s="1">
        <f>VLOOKUP($B239&amp;"__wt",'SegEnds_Xtal_BW#'!$A:$Z,9,FALSE)</f>
        <v>49</v>
      </c>
      <c r="J239" s="1">
        <f>VLOOKUP($B239&amp;"__wt",'SegEnds_Xtal_BW#'!$A:$Z,10,FALSE)</f>
        <v>52</v>
      </c>
      <c r="K239" s="12">
        <v>18</v>
      </c>
      <c r="L239" s="1">
        <f>VLOOKUP($B239&amp;"__wt",'SegEnds_Xtal_BW#'!$A:$Z,12,FALSE)</f>
        <v>56</v>
      </c>
      <c r="M239" s="1">
        <f>VLOOKUP($B239&amp;"__wt",'SegEnds_Xtal_BW#'!$A:$Z,13,FALSE)</f>
        <v>50</v>
      </c>
      <c r="N239" s="12">
        <v>57</v>
      </c>
      <c r="O239" s="89">
        <v>38</v>
      </c>
      <c r="P239" s="1">
        <f>VLOOKUP($B239&amp;"__wt",'SegEnds_Xtal_BW#'!$A:$Z,16,FALSE)</f>
        <v>63</v>
      </c>
      <c r="Q239" s="1">
        <f>VLOOKUP($B239&amp;"__wt",'SegEnds_Xtal_BW#'!$A:$Z,17,FALSE)</f>
        <v>50</v>
      </c>
      <c r="R239" s="1">
        <f>VLOOKUP($B239&amp;"__wt",'SegEnds_Xtal_BW#'!$A:$Z,18,FALSE)</f>
        <v>52</v>
      </c>
      <c r="S239" s="1">
        <v>35</v>
      </c>
      <c r="T239" s="1">
        <f t="array" ref="T239">INDEX('ICL3'!$G$2:$G$40,MATCH(MIN(ABS(AH239-'ICL3'!$F$2:$F$40)),ABS(AH239-'ICL3'!$F$2:$F$40),0))</f>
        <v>74</v>
      </c>
      <c r="U239" s="1">
        <f t="array" ref="U239">INDEX('ICL3'!$H$2:$H$40,MATCH(MIN(ABS(AH239-'ICL3'!$F$2:$F$40)),ABS(AH239-'ICL3'!$F$2:$F$40),0))</f>
        <v>21</v>
      </c>
      <c r="V239" s="1">
        <v>61</v>
      </c>
      <c r="W239" s="1">
        <v>31</v>
      </c>
      <c r="X239" s="1">
        <f>VLOOKUP($B239&amp;"__wt",'SegEnds_Xtal_BW#'!$A:$Z,24,FALSE)</f>
        <v>56</v>
      </c>
      <c r="Y239" s="1">
        <f>VLOOKUP($B239&amp;"__wt",'SegEnds_Xtal_BW#'!$A:$Z,25,FALSE)</f>
        <v>47</v>
      </c>
      <c r="Z239" s="1">
        <f>VLOOKUP($B239&amp;"__wt",'SegEnds_Xtal_BW#'!$A:$Z,26,FALSE)</f>
        <v>58</v>
      </c>
      <c r="AA239" s="27" t="str">
        <f>VLOOKUP(A239,Classification!A:B,2,FALSE)</f>
        <v>A</v>
      </c>
      <c r="AB239" s="1">
        <f>VLOOKUP(A239,'SegEnds_NonXtal_Prot#'!A:AL,10,FALSE)-VLOOKUP(A239,'SegEnds_NonXtal_Prot#'!A:AL,7,FALSE)</f>
        <v>15</v>
      </c>
      <c r="AC239" s="1">
        <f>VLOOKUP(A239,'SegEnds_NonXtal_Prot#'!A:AL,13,FALSE)-VLOOKUP(A239,'SegEnds_NonXtal_Prot#'!A:AL,10,FALSE)</f>
        <v>20</v>
      </c>
      <c r="AD239" s="1">
        <f>VLOOKUP(A239,'SegEnds_NonXtal_Prot#'!A:AL,16,FALSE)-VLOOKUP(A239,'SegEnds_NonXtal_Prot#'!A:AL,10,FALSE)</f>
        <v>52</v>
      </c>
      <c r="AE239" s="1">
        <f>VLOOKUP(A239,'SegEnds_NonXtal_Prot#'!A:AL,22,FALSE)-VLOOKUP(A239,'SegEnds_NonXtal_Prot#'!A:AL,19,FALSE)</f>
        <v>20</v>
      </c>
      <c r="AF239" s="1">
        <f>VLOOKUP(A239,'SegEnds_NonXtal_Prot#'!A:AL,28,FALSE)-VLOOKUP(A239,'SegEnds_NonXtal_Prot#'!A:AL,25,FALSE)</f>
        <v>20</v>
      </c>
      <c r="AG239" s="1">
        <f>VLOOKUP(A239,'SegEnds_NonXtal_Prot#'!A:AL,28,FALSE)-VLOOKUP(A239,'SegEnds_NonXtal_Prot#'!A:AL,22,FALSE)</f>
        <v>54</v>
      </c>
      <c r="AH239" s="1">
        <f>VLOOKUP(A239,'SegEnds_NonXtal_Prot#'!A:AL,31,FALSE)-VLOOKUP(A239,'SegEnds_NonXtal_Prot#'!A:AL,28,FALSE)</f>
        <v>64</v>
      </c>
      <c r="AI239" s="1">
        <f>VLOOKUP(A239,'SegEnds_NonXtal_Prot#'!A:AL,34,FALSE)-VLOOKUP(A239,'SegEnds_NonXtal_Prot#'!A:AL,31,FALSE)</f>
        <v>35</v>
      </c>
      <c r="AJ239" s="1" t="str">
        <f>IF(ISERROR(MATCH(A239,'SegEnds_Xtal_Prot#'!B:B, 0)), "NoXtal", "Xtal")</f>
        <v>NoXtal</v>
      </c>
    </row>
    <row r="240" spans="1:36" x14ac:dyDescent="0.2">
      <c r="A240" s="1" t="s">
        <v>388</v>
      </c>
      <c r="B240" s="1" t="str">
        <f>VLOOKUP(A240,Xtal_Templ!A:B,2,FALSE)</f>
        <v>adrb2_human</v>
      </c>
      <c r="C240" s="5">
        <f>VLOOKUP($B240&amp;"__wt",'SegEnds_Xtal_BW#'!$A:$Z,3,FALSE)</f>
        <v>25</v>
      </c>
      <c r="D240" s="1">
        <f>VLOOKUP($B240&amp;"__wt",'SegEnds_Xtal_BW#'!$A:$Z,4,FALSE)</f>
        <v>60</v>
      </c>
      <c r="E240" s="1">
        <f>VLOOKUP($B240&amp;"__wt",'SegEnds_Xtal_BW#'!$A:$Z,5,FALSE)</f>
        <v>48</v>
      </c>
      <c r="F240" s="1">
        <f>VLOOKUP($B240&amp;"__wt",'SegEnds_Xtal_BW#'!$A:$Z,6,FALSE)</f>
        <v>51</v>
      </c>
      <c r="G240" s="1">
        <v>37</v>
      </c>
      <c r="H240" s="12">
        <f>VLOOKUP($B240&amp;"__wt",'SegEnds_Xtal_BW#'!$A:$Z,8,FALSE)</f>
        <v>67</v>
      </c>
      <c r="I240" s="1">
        <f>VLOOKUP($B240&amp;"__wt",'SegEnds_Xtal_BW#'!$A:$Z,9,FALSE)</f>
        <v>49</v>
      </c>
      <c r="J240" s="1">
        <f>VLOOKUP($B240&amp;"__wt",'SegEnds_Xtal_BW#'!$A:$Z,10,FALSE)</f>
        <v>52</v>
      </c>
      <c r="K240" s="12">
        <v>18</v>
      </c>
      <c r="L240" s="1">
        <f>VLOOKUP($B240&amp;"__wt",'SegEnds_Xtal_BW#'!$A:$Z,12,FALSE)</f>
        <v>56</v>
      </c>
      <c r="M240" s="1">
        <f>VLOOKUP($B240&amp;"__wt",'SegEnds_Xtal_BW#'!$A:$Z,13,FALSE)</f>
        <v>50</v>
      </c>
      <c r="N240" s="12">
        <v>57</v>
      </c>
      <c r="O240" s="89">
        <f>VLOOKUP($B240&amp;"__wt",'SegEnds_Xtal_BW#'!$A:$Z,15,FALSE)</f>
        <v>38</v>
      </c>
      <c r="P240" s="1">
        <f>VLOOKUP($B240&amp;"__wt",'SegEnds_Xtal_BW#'!$A:$Z,16,FALSE)</f>
        <v>64</v>
      </c>
      <c r="Q240" s="1">
        <f>VLOOKUP($B240&amp;"__wt",'SegEnds_Xtal_BW#'!$A:$Z,17,FALSE)</f>
        <v>50</v>
      </c>
      <c r="R240" s="1">
        <f>VLOOKUP($B240&amp;"__wt",'SegEnds_Xtal_BW#'!$A:$Z,18,FALSE)</f>
        <v>52</v>
      </c>
      <c r="S240" s="1">
        <v>35</v>
      </c>
      <c r="T240" s="1">
        <f t="array" ref="T240">INDEX('ICL3'!$G$2:$G$40,MATCH(MIN(ABS(AH240-'ICL3'!$F$2:$F$40)),ABS(AH240-'ICL3'!$F$2:$F$40),0))</f>
        <v>73</v>
      </c>
      <c r="U240" s="1">
        <f t="array" ref="U240">INDEX('ICL3'!$H$2:$H$40,MATCH(MIN(ABS(AH240-'ICL3'!$F$2:$F$40)),ABS(AH240-'ICL3'!$F$2:$F$40),0))</f>
        <v>22</v>
      </c>
      <c r="V240" s="1">
        <v>61</v>
      </c>
      <c r="W240" s="1">
        <v>31</v>
      </c>
      <c r="X240" s="1">
        <f>VLOOKUP($B240&amp;"__wt",'SegEnds_Xtal_BW#'!$A:$Z,24,FALSE)</f>
        <v>55</v>
      </c>
      <c r="Y240" s="1">
        <f>VLOOKUP($B240&amp;"__wt",'SegEnds_Xtal_BW#'!$A:$Z,25,FALSE)</f>
        <v>47</v>
      </c>
      <c r="Z240" s="1">
        <f>VLOOKUP($B240&amp;"__wt",'SegEnds_Xtal_BW#'!$A:$Z,26,FALSE)</f>
        <v>59</v>
      </c>
      <c r="AA240" s="27" t="str">
        <f>VLOOKUP(A240,Classification!A:B,2,FALSE)</f>
        <v>A</v>
      </c>
      <c r="AB240" s="1">
        <f>VLOOKUP(A240,'SegEnds_NonXtal_Prot#'!A:AL,10,FALSE)-VLOOKUP(A240,'SegEnds_NonXtal_Prot#'!A:AL,7,FALSE)</f>
        <v>15</v>
      </c>
      <c r="AC240" s="1">
        <f>VLOOKUP(A240,'SegEnds_NonXtal_Prot#'!A:AL,13,FALSE)-VLOOKUP(A240,'SegEnds_NonXtal_Prot#'!A:AL,10,FALSE)</f>
        <v>20</v>
      </c>
      <c r="AD240" s="1">
        <f>VLOOKUP(A240,'SegEnds_NonXtal_Prot#'!A:AL,16,FALSE)-VLOOKUP(A240,'SegEnds_NonXtal_Prot#'!A:AL,10,FALSE)</f>
        <v>52</v>
      </c>
      <c r="AE240" s="1">
        <f>VLOOKUP(A240,'SegEnds_NonXtal_Prot#'!A:AL,22,FALSE)-VLOOKUP(A240,'SegEnds_NonXtal_Prot#'!A:AL,19,FALSE)</f>
        <v>20</v>
      </c>
      <c r="AF240" s="1">
        <f>VLOOKUP(A240,'SegEnds_NonXtal_Prot#'!A:AL,28,FALSE)-VLOOKUP(A240,'SegEnds_NonXtal_Prot#'!A:AL,25,FALSE)</f>
        <v>20</v>
      </c>
      <c r="AG240" s="1">
        <f>VLOOKUP(A240,'SegEnds_NonXtal_Prot#'!A:AL,28,FALSE)-VLOOKUP(A240,'SegEnds_NonXtal_Prot#'!A:AL,22,FALSE)</f>
        <v>53</v>
      </c>
      <c r="AH240" s="1">
        <f>VLOOKUP(A240,'SegEnds_NonXtal_Prot#'!A:AL,31,FALSE)-VLOOKUP(A240,'SegEnds_NonXtal_Prot#'!A:AL,28,FALSE)</f>
        <v>56</v>
      </c>
      <c r="AI240" s="1">
        <f>VLOOKUP(A240,'SegEnds_NonXtal_Prot#'!A:AL,34,FALSE)-VLOOKUP(A240,'SegEnds_NonXtal_Prot#'!A:AL,31,FALSE)</f>
        <v>35</v>
      </c>
      <c r="AJ240" s="1" t="str">
        <f>IF(ISERROR(MATCH(A240,'SegEnds_Xtal_Prot#'!B:B, 0)), "NoXtal", "Xtal")</f>
        <v>NoXtal</v>
      </c>
    </row>
    <row r="241" spans="1:36" x14ac:dyDescent="0.2">
      <c r="A241" s="1" t="s">
        <v>389</v>
      </c>
      <c r="B241" s="1" t="str">
        <f>VLOOKUP(A241,Xtal_Templ!A:B,2,FALSE)</f>
        <v>adrb2_human</v>
      </c>
      <c r="C241" s="5">
        <f>VLOOKUP($B241&amp;"__wt",'SegEnds_Xtal_BW#'!$A:$Z,3,FALSE)</f>
        <v>25</v>
      </c>
      <c r="D241" s="1">
        <f>VLOOKUP($B241&amp;"__wt",'SegEnds_Xtal_BW#'!$A:$Z,4,FALSE)</f>
        <v>60</v>
      </c>
      <c r="E241" s="1">
        <f>VLOOKUP($B241&amp;"__wt",'SegEnds_Xtal_BW#'!$A:$Z,5,FALSE)</f>
        <v>48</v>
      </c>
      <c r="F241" s="1">
        <f>VLOOKUP($B241&amp;"__wt",'SegEnds_Xtal_BW#'!$A:$Z,6,FALSE)</f>
        <v>51</v>
      </c>
      <c r="G241" s="1">
        <v>37</v>
      </c>
      <c r="H241" s="12">
        <f>VLOOKUP($B241&amp;"__wt",'SegEnds_Xtal_BW#'!$A:$Z,8,FALSE)</f>
        <v>67</v>
      </c>
      <c r="I241" s="1">
        <f>VLOOKUP($B241&amp;"__wt",'SegEnds_Xtal_BW#'!$A:$Z,9,FALSE)</f>
        <v>49</v>
      </c>
      <c r="J241" s="1">
        <f>VLOOKUP($B241&amp;"__wt",'SegEnds_Xtal_BW#'!$A:$Z,10,FALSE)</f>
        <v>52</v>
      </c>
      <c r="K241" s="12">
        <v>18</v>
      </c>
      <c r="L241" s="1">
        <f>VLOOKUP($B241&amp;"__wt",'SegEnds_Xtal_BW#'!$A:$Z,12,FALSE)</f>
        <v>56</v>
      </c>
      <c r="M241" s="1">
        <f>VLOOKUP($B241&amp;"__wt",'SegEnds_Xtal_BW#'!$A:$Z,13,FALSE)</f>
        <v>50</v>
      </c>
      <c r="N241" s="12">
        <v>57</v>
      </c>
      <c r="O241" s="89">
        <f>VLOOKUP($B241&amp;"__wt",'SegEnds_Xtal_BW#'!$A:$Z,15,FALSE)</f>
        <v>38</v>
      </c>
      <c r="P241" s="1">
        <f>VLOOKUP($B241&amp;"__wt",'SegEnds_Xtal_BW#'!$A:$Z,16,FALSE)</f>
        <v>64</v>
      </c>
      <c r="Q241" s="1">
        <f>VLOOKUP($B241&amp;"__wt",'SegEnds_Xtal_BW#'!$A:$Z,17,FALSE)</f>
        <v>50</v>
      </c>
      <c r="R241" s="1">
        <f>VLOOKUP($B241&amp;"__wt",'SegEnds_Xtal_BW#'!$A:$Z,18,FALSE)</f>
        <v>52</v>
      </c>
      <c r="S241" s="1">
        <v>35</v>
      </c>
      <c r="T241" s="1">
        <f t="array" ref="T241">INDEX('ICL3'!$G$2:$G$40,MATCH(MIN(ABS(AH241-'ICL3'!$F$2:$F$40)),ABS(AH241-'ICL3'!$F$2:$F$40),0))</f>
        <v>74</v>
      </c>
      <c r="U241" s="1">
        <f t="array" ref="U241">INDEX('ICL3'!$H$2:$H$40,MATCH(MIN(ABS(AH241-'ICL3'!$F$2:$F$40)),ABS(AH241-'ICL3'!$F$2:$F$40),0))</f>
        <v>21</v>
      </c>
      <c r="V241" s="1">
        <v>61</v>
      </c>
      <c r="W241" s="1">
        <v>31</v>
      </c>
      <c r="X241" s="1">
        <f>VLOOKUP($B241&amp;"__wt",'SegEnds_Xtal_BW#'!$A:$Z,24,FALSE)</f>
        <v>55</v>
      </c>
      <c r="Y241" s="1">
        <f>VLOOKUP($B241&amp;"__wt",'SegEnds_Xtal_BW#'!$A:$Z,25,FALSE)</f>
        <v>47</v>
      </c>
      <c r="Z241" s="1">
        <f>VLOOKUP($B241&amp;"__wt",'SegEnds_Xtal_BW#'!$A:$Z,26,FALSE)</f>
        <v>59</v>
      </c>
      <c r="AA241" s="27" t="str">
        <f>VLOOKUP(A241,Classification!A:B,2,FALSE)</f>
        <v>A</v>
      </c>
      <c r="AB241" s="1">
        <f>VLOOKUP(A241,'SegEnds_NonXtal_Prot#'!A:AL,10,FALSE)-VLOOKUP(A241,'SegEnds_NonXtal_Prot#'!A:AL,7,FALSE)</f>
        <v>15</v>
      </c>
      <c r="AC241" s="1">
        <f>VLOOKUP(A241,'SegEnds_NonXtal_Prot#'!A:AL,13,FALSE)-VLOOKUP(A241,'SegEnds_NonXtal_Prot#'!A:AL,10,FALSE)</f>
        <v>20</v>
      </c>
      <c r="AD241" s="1">
        <f>VLOOKUP(A241,'SegEnds_NonXtal_Prot#'!A:AL,16,FALSE)-VLOOKUP(A241,'SegEnds_NonXtal_Prot#'!A:AL,10,FALSE)</f>
        <v>52</v>
      </c>
      <c r="AE241" s="1">
        <f>VLOOKUP(A241,'SegEnds_NonXtal_Prot#'!A:AL,22,FALSE)-VLOOKUP(A241,'SegEnds_NonXtal_Prot#'!A:AL,19,FALSE)</f>
        <v>20</v>
      </c>
      <c r="AF241" s="1">
        <f>VLOOKUP(A241,'SegEnds_NonXtal_Prot#'!A:AL,28,FALSE)-VLOOKUP(A241,'SegEnds_NonXtal_Prot#'!A:AL,25,FALSE)</f>
        <v>20</v>
      </c>
      <c r="AG241" s="1">
        <f>VLOOKUP(A241,'SegEnds_NonXtal_Prot#'!A:AL,28,FALSE)-VLOOKUP(A241,'SegEnds_NonXtal_Prot#'!A:AL,22,FALSE)</f>
        <v>53</v>
      </c>
      <c r="AH241" s="1">
        <f>VLOOKUP(A241,'SegEnds_NonXtal_Prot#'!A:AL,31,FALSE)-VLOOKUP(A241,'SegEnds_NonXtal_Prot#'!A:AL,28,FALSE)</f>
        <v>62</v>
      </c>
      <c r="AI241" s="1">
        <f>VLOOKUP(A241,'SegEnds_NonXtal_Prot#'!A:AL,34,FALSE)-VLOOKUP(A241,'SegEnds_NonXtal_Prot#'!A:AL,31,FALSE)</f>
        <v>35</v>
      </c>
      <c r="AJ241" s="1" t="str">
        <f>IF(ISERROR(MATCH(A241,'SegEnds_Xtal_Prot#'!B:B, 0)), "NoXtal", "Xtal")</f>
        <v>NoXtal</v>
      </c>
    </row>
    <row r="242" spans="1:36" x14ac:dyDescent="0.2">
      <c r="A242" s="1" t="s">
        <v>390</v>
      </c>
      <c r="B242" s="1" t="str">
        <f>VLOOKUP(A242,Xtal_Templ!A:B,2,FALSE)</f>
        <v>5ht1b_human</v>
      </c>
      <c r="C242" s="5">
        <f>VLOOKUP($B242&amp;"__wt",'SegEnds_Xtal_BW#'!$A:$Z,3,FALSE)</f>
        <v>29</v>
      </c>
      <c r="D242" s="1">
        <f>VLOOKUP($B242&amp;"__wt",'SegEnds_Xtal_BW#'!$A:$Z,4,FALSE)</f>
        <v>60</v>
      </c>
      <c r="E242" s="1">
        <f>VLOOKUP($B242&amp;"__wt",'SegEnds_Xtal_BW#'!$A:$Z,5,FALSE)</f>
        <v>48</v>
      </c>
      <c r="F242" s="1">
        <f>VLOOKUP($B242&amp;"__wt",'SegEnds_Xtal_BW#'!$A:$Z,6,FALSE)</f>
        <v>51</v>
      </c>
      <c r="G242" s="1">
        <v>37</v>
      </c>
      <c r="H242" s="12">
        <f>VLOOKUP($B242&amp;"__wt",'SegEnds_Xtal_BW#'!$A:$Z,8,FALSE)</f>
        <v>67</v>
      </c>
      <c r="I242" s="1">
        <f>VLOOKUP($B242&amp;"__wt",'SegEnds_Xtal_BW#'!$A:$Z,9,FALSE)</f>
        <v>49</v>
      </c>
      <c r="J242" s="1">
        <f>VLOOKUP($B242&amp;"__wt",'SegEnds_Xtal_BW#'!$A:$Z,10,FALSE)</f>
        <v>52</v>
      </c>
      <c r="K242" s="12">
        <v>18</v>
      </c>
      <c r="L242" s="1">
        <f>VLOOKUP($B242&amp;"__wt",'SegEnds_Xtal_BW#'!$A:$Z,12,FALSE)</f>
        <v>56</v>
      </c>
      <c r="M242" s="1">
        <f>VLOOKUP($B242&amp;"__wt",'SegEnds_Xtal_BW#'!$A:$Z,13,FALSE)</f>
        <v>50</v>
      </c>
      <c r="N242" s="12">
        <v>57</v>
      </c>
      <c r="O242" s="89">
        <v>38</v>
      </c>
      <c r="P242" s="1">
        <f>VLOOKUP($B242&amp;"__wt",'SegEnds_Xtal_BW#'!$A:$Z,16,FALSE)</f>
        <v>63</v>
      </c>
      <c r="Q242" s="1">
        <f>VLOOKUP($B242&amp;"__wt",'SegEnds_Xtal_BW#'!$A:$Z,17,FALSE)</f>
        <v>50</v>
      </c>
      <c r="R242" s="1">
        <f>VLOOKUP($B242&amp;"__wt",'SegEnds_Xtal_BW#'!$A:$Z,18,FALSE)</f>
        <v>52</v>
      </c>
      <c r="S242" s="1">
        <v>35</v>
      </c>
      <c r="T242" s="1">
        <f t="array" ref="T242">INDEX('ICL3'!$G$2:$G$40,MATCH(MIN(ABS(AH242-'ICL3'!$F$2:$F$40)),ABS(AH242-'ICL3'!$F$2:$F$40),0))</f>
        <v>73</v>
      </c>
      <c r="U242" s="1">
        <f t="array" ref="U242">INDEX('ICL3'!$H$2:$H$40,MATCH(MIN(ABS(AH242-'ICL3'!$F$2:$F$40)),ABS(AH242-'ICL3'!$F$2:$F$40),0))</f>
        <v>22</v>
      </c>
      <c r="V242" s="1">
        <v>61</v>
      </c>
      <c r="W242" s="1">
        <v>31</v>
      </c>
      <c r="X242" s="1">
        <f>VLOOKUP($B242&amp;"__wt",'SegEnds_Xtal_BW#'!$A:$Z,24,FALSE)</f>
        <v>56</v>
      </c>
      <c r="Y242" s="1">
        <f>VLOOKUP($B242&amp;"__wt",'SegEnds_Xtal_BW#'!$A:$Z,25,FALSE)</f>
        <v>47</v>
      </c>
      <c r="Z242" s="1">
        <f>VLOOKUP($B242&amp;"__wt",'SegEnds_Xtal_BW#'!$A:$Z,26,FALSE)</f>
        <v>58</v>
      </c>
      <c r="AA242" s="27" t="str">
        <f>VLOOKUP(A242,Classification!A:B,2,FALSE)</f>
        <v>A</v>
      </c>
      <c r="AB242" s="1">
        <f>VLOOKUP(A242,'SegEnds_NonXtal_Prot#'!A:AL,10,FALSE)-VLOOKUP(A242,'SegEnds_NonXtal_Prot#'!A:AL,7,FALSE)</f>
        <v>15</v>
      </c>
      <c r="AC242" s="1">
        <f>VLOOKUP(A242,'SegEnds_NonXtal_Prot#'!A:AL,13,FALSE)-VLOOKUP(A242,'SegEnds_NonXtal_Prot#'!A:AL,10,FALSE)</f>
        <v>20</v>
      </c>
      <c r="AD242" s="1">
        <f>VLOOKUP(A242,'SegEnds_NonXtal_Prot#'!A:AL,16,FALSE)-VLOOKUP(A242,'SegEnds_NonXtal_Prot#'!A:AL,10,FALSE)</f>
        <v>52</v>
      </c>
      <c r="AE242" s="1">
        <f>VLOOKUP(A242,'SegEnds_NonXtal_Prot#'!A:AL,22,FALSE)-VLOOKUP(A242,'SegEnds_NonXtal_Prot#'!A:AL,19,FALSE)</f>
        <v>20</v>
      </c>
      <c r="AF242" s="1">
        <f>VLOOKUP(A242,'SegEnds_NonXtal_Prot#'!A:AL,28,FALSE)-VLOOKUP(A242,'SegEnds_NonXtal_Prot#'!A:AL,25,FALSE)</f>
        <v>19</v>
      </c>
      <c r="AG242" s="1">
        <f>VLOOKUP(A242,'SegEnds_NonXtal_Prot#'!A:AL,28,FALSE)-VLOOKUP(A242,'SegEnds_NonXtal_Prot#'!A:AL,22,FALSE)</f>
        <v>52</v>
      </c>
      <c r="AH242" s="1">
        <f>VLOOKUP(A242,'SegEnds_NonXtal_Prot#'!A:AL,31,FALSE)-VLOOKUP(A242,'SegEnds_NonXtal_Prot#'!A:AL,28,FALSE)</f>
        <v>56</v>
      </c>
      <c r="AI242" s="1">
        <f>VLOOKUP(A242,'SegEnds_NonXtal_Prot#'!A:AL,34,FALSE)-VLOOKUP(A242,'SegEnds_NonXtal_Prot#'!A:AL,31,FALSE)</f>
        <v>35</v>
      </c>
      <c r="AJ242" s="1" t="str">
        <f>IF(ISERROR(MATCH(A242,'SegEnds_Xtal_Prot#'!B:B, 0)), "NoXtal", "Xtal")</f>
        <v>NoXtal</v>
      </c>
    </row>
    <row r="243" spans="1:36" x14ac:dyDescent="0.2">
      <c r="A243" s="1" t="s">
        <v>391</v>
      </c>
      <c r="B243" s="1" t="str">
        <f>VLOOKUP(A243,Xtal_Templ!A:B,2,FALSE)</f>
        <v>5ht1b_human</v>
      </c>
      <c r="C243" s="5">
        <f>VLOOKUP($B243&amp;"__wt",'SegEnds_Xtal_BW#'!$A:$Z,3,FALSE)</f>
        <v>29</v>
      </c>
      <c r="D243" s="1">
        <f>VLOOKUP($B243&amp;"__wt",'SegEnds_Xtal_BW#'!$A:$Z,4,FALSE)</f>
        <v>60</v>
      </c>
      <c r="E243" s="1">
        <f>VLOOKUP($B243&amp;"__wt",'SegEnds_Xtal_BW#'!$A:$Z,5,FALSE)</f>
        <v>48</v>
      </c>
      <c r="F243" s="1">
        <f>VLOOKUP($B243&amp;"__wt",'SegEnds_Xtal_BW#'!$A:$Z,6,FALSE)</f>
        <v>51</v>
      </c>
      <c r="G243" s="1">
        <v>37</v>
      </c>
      <c r="H243" s="12">
        <f>VLOOKUP($B243&amp;"__wt",'SegEnds_Xtal_BW#'!$A:$Z,8,FALSE)</f>
        <v>67</v>
      </c>
      <c r="I243" s="1">
        <f>VLOOKUP($B243&amp;"__wt",'SegEnds_Xtal_BW#'!$A:$Z,9,FALSE)</f>
        <v>49</v>
      </c>
      <c r="J243" s="1">
        <f>VLOOKUP($B243&amp;"__wt",'SegEnds_Xtal_BW#'!$A:$Z,10,FALSE)</f>
        <v>52</v>
      </c>
      <c r="K243" s="12">
        <v>18</v>
      </c>
      <c r="L243" s="1">
        <f>VLOOKUP($B243&amp;"__wt",'SegEnds_Xtal_BW#'!$A:$Z,12,FALSE)</f>
        <v>56</v>
      </c>
      <c r="M243" s="1">
        <f>VLOOKUP($B243&amp;"__wt",'SegEnds_Xtal_BW#'!$A:$Z,13,FALSE)</f>
        <v>50</v>
      </c>
      <c r="N243" s="12">
        <v>57</v>
      </c>
      <c r="O243" s="89">
        <v>38</v>
      </c>
      <c r="P243" s="1">
        <f>VLOOKUP($B243&amp;"__wt",'SegEnds_Xtal_BW#'!$A:$Z,16,FALSE)</f>
        <v>63</v>
      </c>
      <c r="Q243" s="1">
        <f>VLOOKUP($B243&amp;"__wt",'SegEnds_Xtal_BW#'!$A:$Z,17,FALSE)</f>
        <v>50</v>
      </c>
      <c r="R243" s="1">
        <f>VLOOKUP($B243&amp;"__wt",'SegEnds_Xtal_BW#'!$A:$Z,18,FALSE)</f>
        <v>52</v>
      </c>
      <c r="S243" s="1">
        <v>35</v>
      </c>
      <c r="T243" s="1">
        <f t="array" ref="T243">INDEX('ICL3'!$G$2:$G$40,MATCH(MIN(ABS(AH243-'ICL3'!$F$2:$F$40)),ABS(AH243-'ICL3'!$F$2:$F$40),0))</f>
        <v>74</v>
      </c>
      <c r="U243" s="1">
        <f t="array" ref="U243">INDEX('ICL3'!$H$2:$H$40,MATCH(MIN(ABS(AH243-'ICL3'!$F$2:$F$40)),ABS(AH243-'ICL3'!$F$2:$F$40),0))</f>
        <v>21</v>
      </c>
      <c r="V243" s="1">
        <v>61</v>
      </c>
      <c r="W243" s="1">
        <v>31</v>
      </c>
      <c r="X243" s="1">
        <f>VLOOKUP($B243&amp;"__wt",'SegEnds_Xtal_BW#'!$A:$Z,24,FALSE)</f>
        <v>56</v>
      </c>
      <c r="Y243" s="1">
        <f>VLOOKUP($B243&amp;"__wt",'SegEnds_Xtal_BW#'!$A:$Z,25,FALSE)</f>
        <v>47</v>
      </c>
      <c r="Z243" s="1">
        <f>VLOOKUP($B243&amp;"__wt",'SegEnds_Xtal_BW#'!$A:$Z,26,FALSE)</f>
        <v>58</v>
      </c>
      <c r="AA243" s="27" t="str">
        <f>VLOOKUP(A243,Classification!A:B,2,FALSE)</f>
        <v>A</v>
      </c>
      <c r="AB243" s="1">
        <f>VLOOKUP(A243,'SegEnds_NonXtal_Prot#'!A:AL,10,FALSE)-VLOOKUP(A243,'SegEnds_NonXtal_Prot#'!A:AL,7,FALSE)</f>
        <v>15</v>
      </c>
      <c r="AC243" s="1">
        <f>VLOOKUP(A243,'SegEnds_NonXtal_Prot#'!A:AL,13,FALSE)-VLOOKUP(A243,'SegEnds_NonXtal_Prot#'!A:AL,10,FALSE)</f>
        <v>20</v>
      </c>
      <c r="AD243" s="1">
        <f>VLOOKUP(A243,'SegEnds_NonXtal_Prot#'!A:AL,16,FALSE)-VLOOKUP(A243,'SegEnds_NonXtal_Prot#'!A:AL,10,FALSE)</f>
        <v>52</v>
      </c>
      <c r="AE243" s="1">
        <f>VLOOKUP(A243,'SegEnds_NonXtal_Prot#'!A:AL,22,FALSE)-VLOOKUP(A243,'SegEnds_NonXtal_Prot#'!A:AL,19,FALSE)</f>
        <v>20</v>
      </c>
      <c r="AF243" s="1">
        <f>VLOOKUP(A243,'SegEnds_NonXtal_Prot#'!A:AL,28,FALSE)-VLOOKUP(A243,'SegEnds_NonXtal_Prot#'!A:AL,25,FALSE)</f>
        <v>19</v>
      </c>
      <c r="AG243" s="1">
        <f>VLOOKUP(A243,'SegEnds_NonXtal_Prot#'!A:AL,28,FALSE)-VLOOKUP(A243,'SegEnds_NonXtal_Prot#'!A:AL,22,FALSE)</f>
        <v>52</v>
      </c>
      <c r="AH243" s="1">
        <f>VLOOKUP(A243,'SegEnds_NonXtal_Prot#'!A:AL,31,FALSE)-VLOOKUP(A243,'SegEnds_NonXtal_Prot#'!A:AL,28,FALSE)</f>
        <v>64</v>
      </c>
      <c r="AI243" s="1">
        <f>VLOOKUP(A243,'SegEnds_NonXtal_Prot#'!A:AL,34,FALSE)-VLOOKUP(A243,'SegEnds_NonXtal_Prot#'!A:AL,31,FALSE)</f>
        <v>35</v>
      </c>
      <c r="AJ243" s="1" t="str">
        <f>IF(ISERROR(MATCH(A243,'SegEnds_Xtal_Prot#'!B:B, 0)), "NoXtal", "Xtal")</f>
        <v>NoXtal</v>
      </c>
    </row>
    <row r="244" spans="1:36" x14ac:dyDescent="0.2">
      <c r="A244" s="1" t="s">
        <v>392</v>
      </c>
      <c r="B244" s="1" t="str">
        <f>VLOOKUP(A244,Xtal_Templ!A:B,2,FALSE)</f>
        <v>5ht1b_human</v>
      </c>
      <c r="C244" s="5">
        <f>VLOOKUP($B244&amp;"__wt",'SegEnds_Xtal_BW#'!$A:$Z,3,FALSE)</f>
        <v>29</v>
      </c>
      <c r="D244" s="1">
        <f>VLOOKUP($B244&amp;"__wt",'SegEnds_Xtal_BW#'!$A:$Z,4,FALSE)</f>
        <v>60</v>
      </c>
      <c r="E244" s="1">
        <f>VLOOKUP($B244&amp;"__wt",'SegEnds_Xtal_BW#'!$A:$Z,5,FALSE)</f>
        <v>48</v>
      </c>
      <c r="F244" s="1">
        <f>VLOOKUP($B244&amp;"__wt",'SegEnds_Xtal_BW#'!$A:$Z,6,FALSE)</f>
        <v>51</v>
      </c>
      <c r="G244" s="1">
        <v>37</v>
      </c>
      <c r="H244" s="12">
        <f>VLOOKUP($B244&amp;"__wt",'SegEnds_Xtal_BW#'!$A:$Z,8,FALSE)</f>
        <v>67</v>
      </c>
      <c r="I244" s="1">
        <f>VLOOKUP($B244&amp;"__wt",'SegEnds_Xtal_BW#'!$A:$Z,9,FALSE)</f>
        <v>49</v>
      </c>
      <c r="J244" s="1">
        <f>VLOOKUP($B244&amp;"__wt",'SegEnds_Xtal_BW#'!$A:$Z,10,FALSE)</f>
        <v>52</v>
      </c>
      <c r="K244" s="12">
        <v>18</v>
      </c>
      <c r="L244" s="1">
        <f>VLOOKUP($B244&amp;"__wt",'SegEnds_Xtal_BW#'!$A:$Z,12,FALSE)</f>
        <v>56</v>
      </c>
      <c r="M244" s="1">
        <f>VLOOKUP($B244&amp;"__wt",'SegEnds_Xtal_BW#'!$A:$Z,13,FALSE)</f>
        <v>50</v>
      </c>
      <c r="N244" s="12">
        <v>57</v>
      </c>
      <c r="O244" s="89">
        <v>38</v>
      </c>
      <c r="P244" s="1">
        <f>VLOOKUP($B244&amp;"__wt",'SegEnds_Xtal_BW#'!$A:$Z,16,FALSE)</f>
        <v>63</v>
      </c>
      <c r="Q244" s="1">
        <f>VLOOKUP($B244&amp;"__wt",'SegEnds_Xtal_BW#'!$A:$Z,17,FALSE)</f>
        <v>50</v>
      </c>
      <c r="R244" s="1">
        <f>VLOOKUP($B244&amp;"__wt",'SegEnds_Xtal_BW#'!$A:$Z,18,FALSE)</f>
        <v>52</v>
      </c>
      <c r="S244" s="1">
        <v>35</v>
      </c>
      <c r="T244" s="1">
        <f t="array" ref="T244">INDEX('ICL3'!$G$2:$G$40,MATCH(MIN(ABS(AH244-'ICL3'!$F$2:$F$40)),ABS(AH244-'ICL3'!$F$2:$F$40),0))</f>
        <v>74</v>
      </c>
      <c r="U244" s="1">
        <f t="array" ref="U244">INDEX('ICL3'!$H$2:$H$40,MATCH(MIN(ABS(AH244-'ICL3'!$F$2:$F$40)),ABS(AH244-'ICL3'!$F$2:$F$40),0))</f>
        <v>21</v>
      </c>
      <c r="V244" s="1">
        <v>61</v>
      </c>
      <c r="W244" s="1">
        <v>31</v>
      </c>
      <c r="X244" s="1">
        <f>VLOOKUP($B244&amp;"__wt",'SegEnds_Xtal_BW#'!$A:$Z,24,FALSE)</f>
        <v>56</v>
      </c>
      <c r="Y244" s="1">
        <f>VLOOKUP($B244&amp;"__wt",'SegEnds_Xtal_BW#'!$A:$Z,25,FALSE)</f>
        <v>47</v>
      </c>
      <c r="Z244" s="1">
        <f>VLOOKUP($B244&amp;"__wt",'SegEnds_Xtal_BW#'!$A:$Z,26,FALSE)</f>
        <v>58</v>
      </c>
      <c r="AA244" s="27" t="str">
        <f>VLOOKUP(A244,Classification!A:B,2,FALSE)</f>
        <v>A</v>
      </c>
      <c r="AB244" s="1">
        <f>VLOOKUP(A244,'SegEnds_NonXtal_Prot#'!A:AL,10,FALSE)-VLOOKUP(A244,'SegEnds_NonXtal_Prot#'!A:AL,7,FALSE)</f>
        <v>15</v>
      </c>
      <c r="AC244" s="1">
        <f>VLOOKUP(A244,'SegEnds_NonXtal_Prot#'!A:AL,13,FALSE)-VLOOKUP(A244,'SegEnds_NonXtal_Prot#'!A:AL,10,FALSE)</f>
        <v>20</v>
      </c>
      <c r="AD244" s="1">
        <f>VLOOKUP(A244,'SegEnds_NonXtal_Prot#'!A:AL,16,FALSE)-VLOOKUP(A244,'SegEnds_NonXtal_Prot#'!A:AL,10,FALSE)</f>
        <v>52</v>
      </c>
      <c r="AE244" s="1">
        <f>VLOOKUP(A244,'SegEnds_NonXtal_Prot#'!A:AL,22,FALSE)-VLOOKUP(A244,'SegEnds_NonXtal_Prot#'!A:AL,19,FALSE)</f>
        <v>20</v>
      </c>
      <c r="AF244" s="1">
        <f>VLOOKUP(A244,'SegEnds_NonXtal_Prot#'!A:AL,28,FALSE)-VLOOKUP(A244,'SegEnds_NonXtal_Prot#'!A:AL,25,FALSE)</f>
        <v>19</v>
      </c>
      <c r="AG244" s="1">
        <f>VLOOKUP(A244,'SegEnds_NonXtal_Prot#'!A:AL,28,FALSE)-VLOOKUP(A244,'SegEnds_NonXtal_Prot#'!A:AL,22,FALSE)</f>
        <v>52</v>
      </c>
      <c r="AH244" s="1">
        <f>VLOOKUP(A244,'SegEnds_NonXtal_Prot#'!A:AL,31,FALSE)-VLOOKUP(A244,'SegEnds_NonXtal_Prot#'!A:AL,28,FALSE)</f>
        <v>64</v>
      </c>
      <c r="AI244" s="1">
        <f>VLOOKUP(A244,'SegEnds_NonXtal_Prot#'!A:AL,34,FALSE)-VLOOKUP(A244,'SegEnds_NonXtal_Prot#'!A:AL,31,FALSE)</f>
        <v>35</v>
      </c>
      <c r="AJ244" s="1" t="str">
        <f>IF(ISERROR(MATCH(A244,'SegEnds_Xtal_Prot#'!B:B, 0)), "NoXtal", "Xtal")</f>
        <v>NoXtal</v>
      </c>
    </row>
    <row r="245" spans="1:36" x14ac:dyDescent="0.2">
      <c r="A245" s="1" t="s">
        <v>393</v>
      </c>
      <c r="B245" s="1" t="str">
        <f>VLOOKUP(A245,Xtal_Templ!A:B,2,FALSE)</f>
        <v>5ht1b_human</v>
      </c>
      <c r="C245" s="5">
        <f>VLOOKUP($B245&amp;"__wt",'SegEnds_Xtal_BW#'!$A:$Z,3,FALSE)</f>
        <v>29</v>
      </c>
      <c r="D245" s="1">
        <f>VLOOKUP($B245&amp;"__wt",'SegEnds_Xtal_BW#'!$A:$Z,4,FALSE)</f>
        <v>60</v>
      </c>
      <c r="E245" s="1">
        <f>VLOOKUP($B245&amp;"__wt",'SegEnds_Xtal_BW#'!$A:$Z,5,FALSE)</f>
        <v>48</v>
      </c>
      <c r="F245" s="1">
        <f>VLOOKUP($B245&amp;"__wt",'SegEnds_Xtal_BW#'!$A:$Z,6,FALSE)</f>
        <v>51</v>
      </c>
      <c r="G245" s="1">
        <v>37</v>
      </c>
      <c r="H245" s="12">
        <f>VLOOKUP($B245&amp;"__wt",'SegEnds_Xtal_BW#'!$A:$Z,8,FALSE)</f>
        <v>67</v>
      </c>
      <c r="I245" s="1">
        <f>VLOOKUP($B245&amp;"__wt",'SegEnds_Xtal_BW#'!$A:$Z,9,FALSE)</f>
        <v>49</v>
      </c>
      <c r="J245" s="1">
        <f>VLOOKUP($B245&amp;"__wt",'SegEnds_Xtal_BW#'!$A:$Z,10,FALSE)</f>
        <v>52</v>
      </c>
      <c r="K245" s="12">
        <v>18</v>
      </c>
      <c r="L245" s="1">
        <f>VLOOKUP($B245&amp;"__wt",'SegEnds_Xtal_BW#'!$A:$Z,12,FALSE)</f>
        <v>56</v>
      </c>
      <c r="M245" s="1">
        <f>VLOOKUP($B245&amp;"__wt",'SegEnds_Xtal_BW#'!$A:$Z,13,FALSE)</f>
        <v>50</v>
      </c>
      <c r="N245" s="12">
        <v>57</v>
      </c>
      <c r="O245" s="89">
        <v>38</v>
      </c>
      <c r="P245" s="1">
        <f>VLOOKUP($B245&amp;"__wt",'SegEnds_Xtal_BW#'!$A:$Z,16,FALSE)</f>
        <v>63</v>
      </c>
      <c r="Q245" s="1">
        <f>VLOOKUP($B245&amp;"__wt",'SegEnds_Xtal_BW#'!$A:$Z,17,FALSE)</f>
        <v>50</v>
      </c>
      <c r="R245" s="1">
        <f>VLOOKUP($B245&amp;"__wt",'SegEnds_Xtal_BW#'!$A:$Z,18,FALSE)</f>
        <v>52</v>
      </c>
      <c r="S245" s="1">
        <v>35</v>
      </c>
      <c r="T245" s="1">
        <f t="array" ref="T245">INDEX('ICL3'!$G$2:$G$40,MATCH(MIN(ABS(AH245-'ICL3'!$F$2:$F$40)),ABS(AH245-'ICL3'!$F$2:$F$40),0))</f>
        <v>74</v>
      </c>
      <c r="U245" s="1">
        <f t="array" ref="U245">INDEX('ICL3'!$H$2:$H$40,MATCH(MIN(ABS(AH245-'ICL3'!$F$2:$F$40)),ABS(AH245-'ICL3'!$F$2:$F$40),0))</f>
        <v>21</v>
      </c>
      <c r="V245" s="1">
        <v>61</v>
      </c>
      <c r="W245" s="1">
        <v>31</v>
      </c>
      <c r="X245" s="1">
        <f>VLOOKUP($B245&amp;"__wt",'SegEnds_Xtal_BW#'!$A:$Z,24,FALSE)</f>
        <v>56</v>
      </c>
      <c r="Y245" s="1">
        <f>VLOOKUP($B245&amp;"__wt",'SegEnds_Xtal_BW#'!$A:$Z,25,FALSE)</f>
        <v>47</v>
      </c>
      <c r="Z245" s="1">
        <f>VLOOKUP($B245&amp;"__wt",'SegEnds_Xtal_BW#'!$A:$Z,26,FALSE)</f>
        <v>58</v>
      </c>
      <c r="AA245" s="27" t="str">
        <f>VLOOKUP(A245,Classification!A:B,2,FALSE)</f>
        <v>A</v>
      </c>
      <c r="AB245" s="1">
        <f>VLOOKUP(A245,'SegEnds_NonXtal_Prot#'!A:AL,10,FALSE)-VLOOKUP(A245,'SegEnds_NonXtal_Prot#'!A:AL,7,FALSE)</f>
        <v>15</v>
      </c>
      <c r="AC245" s="1">
        <f>VLOOKUP(A245,'SegEnds_NonXtal_Prot#'!A:AL,13,FALSE)-VLOOKUP(A245,'SegEnds_NonXtal_Prot#'!A:AL,10,FALSE)</f>
        <v>20</v>
      </c>
      <c r="AD245" s="1">
        <f>VLOOKUP(A245,'SegEnds_NonXtal_Prot#'!A:AL,16,FALSE)-VLOOKUP(A245,'SegEnds_NonXtal_Prot#'!A:AL,10,FALSE)</f>
        <v>52</v>
      </c>
      <c r="AE245" s="1">
        <f>VLOOKUP(A245,'SegEnds_NonXtal_Prot#'!A:AL,22,FALSE)-VLOOKUP(A245,'SegEnds_NonXtal_Prot#'!A:AL,19,FALSE)</f>
        <v>20</v>
      </c>
      <c r="AF245" s="1">
        <f>VLOOKUP(A245,'SegEnds_NonXtal_Prot#'!A:AL,28,FALSE)-VLOOKUP(A245,'SegEnds_NonXtal_Prot#'!A:AL,25,FALSE)</f>
        <v>19</v>
      </c>
      <c r="AG245" s="1">
        <f>VLOOKUP(A245,'SegEnds_NonXtal_Prot#'!A:AL,28,FALSE)-VLOOKUP(A245,'SegEnds_NonXtal_Prot#'!A:AL,22,FALSE)</f>
        <v>52</v>
      </c>
      <c r="AH245" s="1">
        <f>VLOOKUP(A245,'SegEnds_NonXtal_Prot#'!A:AL,31,FALSE)-VLOOKUP(A245,'SegEnds_NonXtal_Prot#'!A:AL,28,FALSE)</f>
        <v>64</v>
      </c>
      <c r="AI245" s="1">
        <f>VLOOKUP(A245,'SegEnds_NonXtal_Prot#'!A:AL,34,FALSE)-VLOOKUP(A245,'SegEnds_NonXtal_Prot#'!A:AL,31,FALSE)</f>
        <v>35</v>
      </c>
      <c r="AJ245" s="1" t="str">
        <f>IF(ISERROR(MATCH(A245,'SegEnds_Xtal_Prot#'!B:B, 0)), "NoXtal", "Xtal")</f>
        <v>NoXtal</v>
      </c>
    </row>
    <row r="246" spans="1:36" x14ac:dyDescent="0.2">
      <c r="A246" s="1" t="s">
        <v>394</v>
      </c>
      <c r="B246" s="1" t="str">
        <f>VLOOKUP(A246,Xtal_Templ!A:B,2,FALSE)</f>
        <v>oprx_human</v>
      </c>
      <c r="C246" s="5">
        <f>VLOOKUP($B246&amp;"__wt",'SegEnds_Xtal_BW#'!$A:$Z,3,FALSE)</f>
        <v>29</v>
      </c>
      <c r="D246" s="1">
        <f>VLOOKUP($B246&amp;"__wt",'SegEnds_Xtal_BW#'!$A:$Z,4,FALSE)</f>
        <v>60</v>
      </c>
      <c r="E246" s="1">
        <f>VLOOKUP($B246&amp;"__wt",'SegEnds_Xtal_BW#'!$A:$Z,5,FALSE)</f>
        <v>48</v>
      </c>
      <c r="F246" s="1">
        <f>VLOOKUP($B246&amp;"__wt",'SegEnds_Xtal_BW#'!$A:$Z,6,FALSE)</f>
        <v>51</v>
      </c>
      <c r="G246" s="1">
        <v>37</v>
      </c>
      <c r="H246" s="12">
        <f>VLOOKUP($B246&amp;"__wt",'SegEnds_Xtal_BW#'!$A:$Z,8,FALSE)</f>
        <v>66</v>
      </c>
      <c r="I246" s="1">
        <f>VLOOKUP($B246&amp;"__wt",'SegEnds_Xtal_BW#'!$A:$Z,9,FALSE)</f>
        <v>49</v>
      </c>
      <c r="J246" s="1">
        <f>VLOOKUP($B246&amp;"__wt",'SegEnds_Xtal_BW#'!$A:$Z,10,FALSE)</f>
        <v>52</v>
      </c>
      <c r="K246" s="12">
        <v>18</v>
      </c>
      <c r="L246" s="1">
        <f>VLOOKUP($B246&amp;"__wt",'SegEnds_Xtal_BW#'!$A:$Z,12,FALSE)</f>
        <v>56</v>
      </c>
      <c r="M246" s="1">
        <f>VLOOKUP($B246&amp;"__wt",'SegEnds_Xtal_BW#'!$A:$Z,13,FALSE)</f>
        <v>50</v>
      </c>
      <c r="N246" s="12">
        <v>57</v>
      </c>
      <c r="O246" s="89">
        <f>VLOOKUP($B246&amp;"__wt",'SegEnds_Xtal_BW#'!$A:$Z,15,FALSE)</f>
        <v>38</v>
      </c>
      <c r="P246" s="1">
        <f>VLOOKUP($B246&amp;"__wt",'SegEnds_Xtal_BW#'!$A:$Z,16,FALSE)</f>
        <v>64</v>
      </c>
      <c r="Q246" s="1">
        <f>VLOOKUP($B246&amp;"__wt",'SegEnds_Xtal_BW#'!$A:$Z,17,FALSE)</f>
        <v>50</v>
      </c>
      <c r="R246" s="1">
        <f>VLOOKUP($B246&amp;"__wt",'SegEnds_Xtal_BW#'!$A:$Z,18,FALSE)</f>
        <v>52</v>
      </c>
      <c r="S246" s="1">
        <f>VLOOKUP($B246&amp;"__wt",'SegEnds_Xtal_BW#'!$A:$Z,19,FALSE)</f>
        <v>31</v>
      </c>
      <c r="T246" s="1">
        <f t="array" ref="T246">INDEX('ICL3'!$G$2:$G$40,MATCH(MIN(ABS(AH246-'ICL3'!$F$2:$F$40)),ABS(AH246-'ICL3'!$F$2:$F$40),0))</f>
        <v>76</v>
      </c>
      <c r="U246" s="1">
        <f t="array" ref="U246">INDEX('ICL3'!$H$2:$H$40,MATCH(MIN(ABS(AH246-'ICL3'!$F$2:$F$40)),ABS(AH246-'ICL3'!$F$2:$F$40),0))</f>
        <v>24</v>
      </c>
      <c r="V246" s="1">
        <v>61</v>
      </c>
      <c r="W246" s="1">
        <v>31</v>
      </c>
      <c r="X246" s="1">
        <f>VLOOKUP($B246&amp;"__wt",'SegEnds_Xtal_BW#'!$A:$Z,24,FALSE)</f>
        <v>56</v>
      </c>
      <c r="Y246" s="1">
        <f>VLOOKUP($B246&amp;"__wt",'SegEnds_Xtal_BW#'!$A:$Z,25,FALSE)</f>
        <v>47</v>
      </c>
      <c r="Z246" s="1">
        <f>VLOOKUP($B246&amp;"__wt",'SegEnds_Xtal_BW#'!$A:$Z,26,FALSE)</f>
        <v>59</v>
      </c>
      <c r="AA246" s="27" t="str">
        <f>VLOOKUP(A246,Classification!A:B,2,FALSE)</f>
        <v>A</v>
      </c>
      <c r="AB246" s="1">
        <f>VLOOKUP(A246,'SegEnds_NonXtal_Prot#'!A:AL,10,FALSE)-VLOOKUP(A246,'SegEnds_NonXtal_Prot#'!A:AL,7,FALSE)</f>
        <v>15</v>
      </c>
      <c r="AC246" s="1">
        <f>VLOOKUP(A246,'SegEnds_NonXtal_Prot#'!A:AL,13,FALSE)-VLOOKUP(A246,'SegEnds_NonXtal_Prot#'!A:AL,10,FALSE)</f>
        <v>20</v>
      </c>
      <c r="AD246" s="1">
        <f>VLOOKUP(A246,'SegEnds_NonXtal_Prot#'!A:AL,16,FALSE)-VLOOKUP(A246,'SegEnds_NonXtal_Prot#'!A:AL,10,FALSE)</f>
        <v>52</v>
      </c>
      <c r="AE246" s="1">
        <f>VLOOKUP(A246,'SegEnds_NonXtal_Prot#'!A:AL,22,FALSE)-VLOOKUP(A246,'SegEnds_NonXtal_Prot#'!A:AL,19,FALSE)</f>
        <v>20</v>
      </c>
      <c r="AF246" s="1">
        <f>VLOOKUP(A246,'SegEnds_NonXtal_Prot#'!A:AL,28,FALSE)-VLOOKUP(A246,'SegEnds_NonXtal_Prot#'!A:AL,25,FALSE)</f>
        <v>24</v>
      </c>
      <c r="AG246" s="1">
        <f>VLOOKUP(A246,'SegEnds_NonXtal_Prot#'!A:AL,28,FALSE)-VLOOKUP(A246,'SegEnds_NonXtal_Prot#'!A:AL,22,FALSE)</f>
        <v>53</v>
      </c>
      <c r="AH246" s="1">
        <f>VLOOKUP(A246,'SegEnds_NonXtal_Prot#'!A:AL,31,FALSE)-VLOOKUP(A246,'SegEnds_NonXtal_Prot#'!A:AL,28,FALSE)</f>
        <v>78</v>
      </c>
      <c r="AI246" s="1">
        <f>VLOOKUP(A246,'SegEnds_NonXtal_Prot#'!A:AL,34,FALSE)-VLOOKUP(A246,'SegEnds_NonXtal_Prot#'!A:AL,31,FALSE)</f>
        <v>36</v>
      </c>
      <c r="AJ246" s="1" t="str">
        <f>IF(ISERROR(MATCH(A246,'SegEnds_Xtal_Prot#'!B:B, 0)), "NoXtal", "Xtal")</f>
        <v>NoXtal</v>
      </c>
    </row>
    <row r="247" spans="1:36" x14ac:dyDescent="0.2">
      <c r="A247" s="1" t="s">
        <v>395</v>
      </c>
      <c r="B247" s="1" t="str">
        <f>VLOOKUP(A247,Xtal_Templ!A:B,2,FALSE)</f>
        <v>aa2ar_human</v>
      </c>
      <c r="C247" s="5">
        <f>VLOOKUP($B247&amp;"__wt",'SegEnds_Xtal_BW#'!$A:$Z,3,FALSE)</f>
        <v>27</v>
      </c>
      <c r="D247" s="1">
        <f>VLOOKUP($B247&amp;"__wt",'SegEnds_Xtal_BW#'!$A:$Z,4,FALSE)</f>
        <v>60</v>
      </c>
      <c r="E247" s="1">
        <f>VLOOKUP($B247&amp;"__wt",'SegEnds_Xtal_BW#'!$A:$Z,5,FALSE)</f>
        <v>48</v>
      </c>
      <c r="F247" s="1">
        <f>VLOOKUP($B247&amp;"__wt",'SegEnds_Xtal_BW#'!$A:$Z,6,FALSE)</f>
        <v>51</v>
      </c>
      <c r="G247" s="1">
        <v>37</v>
      </c>
      <c r="H247" s="12">
        <f>VLOOKUP($B247&amp;"__wt",'SegEnds_Xtal_BW#'!$A:$Z,8,FALSE)</f>
        <v>67</v>
      </c>
      <c r="I247" s="1">
        <v>49</v>
      </c>
      <c r="J247" s="1">
        <f>VLOOKUP($B247&amp;"__wt",'SegEnds_Xtal_BW#'!$A:$Z,10,FALSE)</f>
        <v>52</v>
      </c>
      <c r="K247" s="12">
        <v>18</v>
      </c>
      <c r="L247" s="1">
        <f>VLOOKUP($B247&amp;"__wt",'SegEnds_Xtal_BW#'!$A:$Z,12,FALSE)</f>
        <v>56</v>
      </c>
      <c r="M247" s="1">
        <f>VLOOKUP($B247&amp;"__wt",'SegEnds_Xtal_BW#'!$A:$Z,13,FALSE)</f>
        <v>50</v>
      </c>
      <c r="N247" s="12">
        <v>57</v>
      </c>
      <c r="O247" s="89">
        <f>VLOOKUP($B247&amp;"__wt",'SegEnds_Xtal_BW#'!$A:$Z,15,FALSE)</f>
        <v>38</v>
      </c>
      <c r="P247" s="1">
        <f>VLOOKUP($B247&amp;"__wt",'SegEnds_Xtal_BW#'!$A:$Z,16,FALSE)</f>
        <v>63</v>
      </c>
      <c r="Q247" s="1">
        <f>VLOOKUP($B247&amp;"__wt",'SegEnds_Xtal_BW#'!$A:$Z,17,FALSE)</f>
        <v>50</v>
      </c>
      <c r="R247" s="1">
        <f>VLOOKUP($B247&amp;"__wt",'SegEnds_Xtal_BW#'!$A:$Z,18,FALSE)</f>
        <v>52</v>
      </c>
      <c r="S247" s="1">
        <f>VLOOKUP($B247&amp;"__wt",'SegEnds_Xtal_BW#'!$A:$Z,19,FALSE)</f>
        <v>34</v>
      </c>
      <c r="T247" s="1">
        <f t="array" ref="T247">INDEX('ICL3'!$G$2:$G$40,MATCH(MIN(ABS(AH247-'ICL3'!$F$2:$F$40)),ABS(AH247-'ICL3'!$F$2:$F$40),0))</f>
        <v>67</v>
      </c>
      <c r="U247" s="1">
        <f t="array" ref="U247">INDEX('ICL3'!$H$2:$H$40,MATCH(MIN(ABS(AH247-'ICL3'!$F$2:$F$40)),ABS(AH247-'ICL3'!$F$2:$F$40),0))</f>
        <v>26</v>
      </c>
      <c r="V247" s="1">
        <v>61</v>
      </c>
      <c r="W247" s="1">
        <v>31</v>
      </c>
      <c r="X247" s="1">
        <f>VLOOKUP($B247&amp;"__wt",'SegEnds_Xtal_BW#'!$A:$Z,24,FALSE)</f>
        <v>56</v>
      </c>
      <c r="Y247" s="1">
        <f>VLOOKUP($B247&amp;"__wt",'SegEnds_Xtal_BW#'!$A:$Z,25,FALSE)</f>
        <v>47</v>
      </c>
      <c r="Z247" s="1">
        <f>VLOOKUP($B247&amp;"__wt",'SegEnds_Xtal_BW#'!$A:$Z,26,FALSE)</f>
        <v>69</v>
      </c>
      <c r="AA247" s="27" t="str">
        <f>VLOOKUP(A247,Classification!A:B,2,FALSE)</f>
        <v>A</v>
      </c>
      <c r="AB247" s="1">
        <f>VLOOKUP(A247,'SegEnds_NonXtal_Prot#'!A:AL,10,FALSE)-VLOOKUP(A247,'SegEnds_NonXtal_Prot#'!A:AL,7,FALSE)</f>
        <v>14</v>
      </c>
      <c r="AC247" s="1">
        <f>VLOOKUP(A247,'SegEnds_NonXtal_Prot#'!A:AL,13,FALSE)-VLOOKUP(A247,'SegEnds_NonXtal_Prot#'!A:AL,10,FALSE)</f>
        <v>28</v>
      </c>
      <c r="AD247" s="1">
        <f>VLOOKUP(A247,'SegEnds_NonXtal_Prot#'!A:AL,16,FALSE)-VLOOKUP(A247,'SegEnds_NonXtal_Prot#'!A:AL,10,FALSE)</f>
        <v>59</v>
      </c>
      <c r="AE247" s="1">
        <f>VLOOKUP(A247,'SegEnds_NonXtal_Prot#'!A:AL,22,FALSE)-VLOOKUP(A247,'SegEnds_NonXtal_Prot#'!A:AL,19,FALSE)</f>
        <v>20</v>
      </c>
      <c r="AF247" s="1">
        <f>VLOOKUP(A247,'SegEnds_NonXtal_Prot#'!A:AL,28,FALSE)-VLOOKUP(A247,'SegEnds_NonXtal_Prot#'!A:AL,25,FALSE)</f>
        <v>24</v>
      </c>
      <c r="AG247" s="1">
        <f>VLOOKUP(A247,'SegEnds_NonXtal_Prot#'!A:AL,28,FALSE)-VLOOKUP(A247,'SegEnds_NonXtal_Prot#'!A:AL,22,FALSE)</f>
        <v>47</v>
      </c>
      <c r="AH247" s="1">
        <f>VLOOKUP(A247,'SegEnds_NonXtal_Prot#'!A:AL,31,FALSE)-VLOOKUP(A247,'SegEnds_NonXtal_Prot#'!A:AL,28,FALSE)</f>
        <v>46</v>
      </c>
      <c r="AI247" s="1">
        <f>VLOOKUP(A247,'SegEnds_NonXtal_Prot#'!A:AL,34,FALSE)-VLOOKUP(A247,'SegEnds_NonXtal_Prot#'!A:AL,31,FALSE)</f>
        <v>36</v>
      </c>
      <c r="AJ247" s="1" t="str">
        <f>IF(ISERROR(MATCH(A247,'SegEnds_Xtal_Prot#'!B:B, 0)), "NoXtal", "Xtal")</f>
        <v>NoXtal</v>
      </c>
    </row>
    <row r="248" spans="1:36" x14ac:dyDescent="0.2">
      <c r="A248" s="1" t="s">
        <v>399</v>
      </c>
      <c r="B248" s="1" t="str">
        <f>VLOOKUP(A248,Xtal_Templ!A:B,2,FALSE)</f>
        <v>ntr1_rat</v>
      </c>
      <c r="C248" s="5">
        <f>VLOOKUP($B248&amp;"__wt",'SegEnds_Xtal_BW#'!$A:$Z,3,FALSE)</f>
        <v>29</v>
      </c>
      <c r="D248" s="1">
        <f>VLOOKUP($B248&amp;"__wt",'SegEnds_Xtal_BW#'!$A:$Z,4,FALSE)</f>
        <v>60</v>
      </c>
      <c r="E248" s="1">
        <f>VLOOKUP($B248&amp;"__wt",'SegEnds_Xtal_BW#'!$A:$Z,5,FALSE)</f>
        <v>48</v>
      </c>
      <c r="F248" s="1">
        <f>VLOOKUP($B248&amp;"__wt",'SegEnds_Xtal_BW#'!$A:$Z,6,FALSE)</f>
        <v>51</v>
      </c>
      <c r="G248" s="1">
        <v>37</v>
      </c>
      <c r="H248" s="111">
        <v>66</v>
      </c>
      <c r="I248" s="1">
        <f>VLOOKUP($B248&amp;"__wt",'SegEnds_Xtal_BW#'!$A:$Z,9,FALSE)</f>
        <v>49</v>
      </c>
      <c r="J248" s="1">
        <f>VLOOKUP($B248&amp;"__wt",'SegEnds_Xtal_BW#'!$A:$Z,10,FALSE)</f>
        <v>52</v>
      </c>
      <c r="K248" s="12">
        <v>18</v>
      </c>
      <c r="L248" s="1">
        <f>VLOOKUP($B248&amp;"__wt",'SegEnds_Xtal_BW#'!$A:$Z,12,FALSE)</f>
        <v>56</v>
      </c>
      <c r="M248" s="1">
        <f>VLOOKUP($B248&amp;"__wt",'SegEnds_Xtal_BW#'!$A:$Z,13,FALSE)</f>
        <v>50</v>
      </c>
      <c r="N248" s="12">
        <v>57</v>
      </c>
      <c r="O248" s="89">
        <f>VLOOKUP($B248&amp;"__wt",'SegEnds_Xtal_BW#'!$A:$Z,15,FALSE)</f>
        <v>38</v>
      </c>
      <c r="P248" s="1">
        <f>VLOOKUP($B248&amp;"__wt",'SegEnds_Xtal_BW#'!$A:$Z,16,FALSE)</f>
        <v>64</v>
      </c>
      <c r="Q248" s="1">
        <f>VLOOKUP($B248&amp;"__wt",'SegEnds_Xtal_BW#'!$A:$Z,17,FALSE)</f>
        <v>50</v>
      </c>
      <c r="R248" s="1">
        <f>VLOOKUP($B248&amp;"__wt",'SegEnds_Xtal_BW#'!$A:$Z,18,FALSE)</f>
        <v>52</v>
      </c>
      <c r="S248" s="1">
        <f>VLOOKUP($B248&amp;"__wt",'SegEnds_Xtal_BW#'!$A:$Z,19,FALSE)</f>
        <v>32</v>
      </c>
      <c r="T248" s="1">
        <f t="array" ref="T248">INDEX('ICL3'!$G$2:$G$40,MATCH(MIN(ABS(AH248-'ICL3'!$F$2:$F$40)),ABS(AH248-'ICL3'!$F$2:$F$40),0))</f>
        <v>76</v>
      </c>
      <c r="U248" s="1">
        <f t="array" ref="U248">INDEX('ICL3'!$H$2:$H$40,MATCH(MIN(ABS(AH248-'ICL3'!$F$2:$F$40)),ABS(AH248-'ICL3'!$F$2:$F$40),0))</f>
        <v>24</v>
      </c>
      <c r="V248" s="1">
        <v>61</v>
      </c>
      <c r="W248" s="1">
        <v>31</v>
      </c>
      <c r="X248" s="1">
        <f>VLOOKUP($B248&amp;"__wt",'SegEnds_Xtal_BW#'!$A:$Z,24,FALSE)</f>
        <v>56</v>
      </c>
      <c r="Y248" s="1">
        <f>VLOOKUP($B248&amp;"__wt",'SegEnds_Xtal_BW#'!$A:$Z,25,FALSE)</f>
        <v>47</v>
      </c>
      <c r="Z248" s="1">
        <f>VLOOKUP($B248&amp;"__wt",'SegEnds_Xtal_BW#'!$A:$Z,26,FALSE)</f>
        <v>58</v>
      </c>
      <c r="AA248" s="27" t="str">
        <f>VLOOKUP(A248,Classification!A:B,2,FALSE)</f>
        <v>A</v>
      </c>
      <c r="AB248" s="1">
        <f>VLOOKUP(A248,'SegEnds_NonXtal_Prot#'!A:AL,10,FALSE)-VLOOKUP(A248,'SegEnds_NonXtal_Prot#'!A:AL,7,FALSE)</f>
        <v>16</v>
      </c>
      <c r="AC248" s="1">
        <f>VLOOKUP(A248,'SegEnds_NonXtal_Prot#'!A:AL,13,FALSE)-VLOOKUP(A248,'SegEnds_NonXtal_Prot#'!A:AL,10,FALSE)</f>
        <v>18</v>
      </c>
      <c r="AD248" s="1">
        <f>VLOOKUP(A248,'SegEnds_NonXtal_Prot#'!A:AL,16,FALSE)-VLOOKUP(A248,'SegEnds_NonXtal_Prot#'!A:AL,10,FALSE)</f>
        <v>52</v>
      </c>
      <c r="AE248" s="1">
        <f>VLOOKUP(A248,'SegEnds_NonXtal_Prot#'!A:AL,22,FALSE)-VLOOKUP(A248,'SegEnds_NonXtal_Prot#'!A:AL,19,FALSE)</f>
        <v>20</v>
      </c>
      <c r="AF248" s="1">
        <f>VLOOKUP(A248,'SegEnds_NonXtal_Prot#'!A:AL,28,FALSE)-VLOOKUP(A248,'SegEnds_NonXtal_Prot#'!A:AL,25,FALSE)</f>
        <v>25</v>
      </c>
      <c r="AG248" s="1">
        <f>VLOOKUP(A248,'SegEnds_NonXtal_Prot#'!A:AL,28,FALSE)-VLOOKUP(A248,'SegEnds_NonXtal_Prot#'!A:AL,22,FALSE)</f>
        <v>53</v>
      </c>
      <c r="AH248" s="1">
        <f>VLOOKUP(A248,'SegEnds_NonXtal_Prot#'!A:AL,31,FALSE)-VLOOKUP(A248,'SegEnds_NonXtal_Prot#'!A:AL,28,FALSE)</f>
        <v>69</v>
      </c>
      <c r="AI248" s="1">
        <f>VLOOKUP(A248,'SegEnds_NonXtal_Prot#'!A:AL,34,FALSE)-VLOOKUP(A248,'SegEnds_NonXtal_Prot#'!A:AL,31,FALSE)</f>
        <v>36</v>
      </c>
      <c r="AJ248" s="1" t="str">
        <f>IF(ISERROR(MATCH(A248,'SegEnds_Xtal_Prot#'!B:B, 0)), "NoXtal", "Xtal")</f>
        <v>NoXtal</v>
      </c>
    </row>
    <row r="249" spans="1:36" x14ac:dyDescent="0.2">
      <c r="A249" s="1" t="s">
        <v>400</v>
      </c>
      <c r="B249" s="1" t="str">
        <f>VLOOKUP(A249,Xtal_Templ!A:B,2,FALSE)</f>
        <v>ccr5_human</v>
      </c>
      <c r="C249" s="5">
        <f>VLOOKUP($B249&amp;"__wt",'SegEnds_Xtal_BW#'!$A:$Z,3,FALSE)</f>
        <v>24</v>
      </c>
      <c r="D249" s="1">
        <f>VLOOKUP($B249&amp;"__wt",'SegEnds_Xtal_BW#'!$A:$Z,4,FALSE)</f>
        <v>60</v>
      </c>
      <c r="E249" s="1">
        <f>VLOOKUP($B249&amp;"__wt",'SegEnds_Xtal_BW#'!$A:$Z,5,FALSE)</f>
        <v>48</v>
      </c>
      <c r="F249" s="1">
        <f>VLOOKUP($B249&amp;"__wt",'SegEnds_Xtal_BW#'!$A:$Z,6,FALSE)</f>
        <v>51</v>
      </c>
      <c r="G249" s="1">
        <v>37</v>
      </c>
      <c r="H249" s="12">
        <v>66</v>
      </c>
      <c r="I249" s="1">
        <f>VLOOKUP($B249&amp;"__wt",'SegEnds_Xtal_BW#'!$A:$Z,9,FALSE)</f>
        <v>49</v>
      </c>
      <c r="J249" s="1">
        <f>VLOOKUP($B249&amp;"__wt",'SegEnds_Xtal_BW#'!$A:$Z,10,FALSE)</f>
        <v>52</v>
      </c>
      <c r="K249" s="12">
        <v>24</v>
      </c>
      <c r="L249" s="1">
        <f>VLOOKUP($B249&amp;"__wt",'SegEnds_Xtal_BW#'!$A:$Z,12,FALSE)</f>
        <v>56</v>
      </c>
      <c r="M249" s="1">
        <f>VLOOKUP($B249&amp;"__wt",'SegEnds_Xtal_BW#'!$A:$Z,13,FALSE)</f>
        <v>50</v>
      </c>
      <c r="N249" s="12">
        <v>57</v>
      </c>
      <c r="O249" s="89">
        <v>38</v>
      </c>
      <c r="P249" s="1">
        <f>VLOOKUP($B249&amp;"__wt",'SegEnds_Xtal_BW#'!$A:$Z,16,FALSE)</f>
        <v>64</v>
      </c>
      <c r="Q249" s="1">
        <f>VLOOKUP($B249&amp;"__wt",'SegEnds_Xtal_BW#'!$A:$Z,17,FALSE)</f>
        <v>50</v>
      </c>
      <c r="R249" s="1">
        <f>VLOOKUP($B249&amp;"__wt",'SegEnds_Xtal_BW#'!$A:$Z,18,FALSE)</f>
        <v>52</v>
      </c>
      <c r="S249" s="1">
        <v>35</v>
      </c>
      <c r="T249" s="1">
        <f t="array" ref="T249">INDEX('ICL3'!$G$2:$G$40,MATCH(MIN(ABS(AH249-'ICL3'!$F$2:$F$40)),ABS(AH249-'ICL3'!$F$2:$F$40),0))</f>
        <v>68</v>
      </c>
      <c r="U249" s="1">
        <f t="array" ref="U249">INDEX('ICL3'!$H$2:$H$40,MATCH(MIN(ABS(AH249-'ICL3'!$F$2:$F$40)),ABS(AH249-'ICL3'!$F$2:$F$40),0))</f>
        <v>30</v>
      </c>
      <c r="V249" s="1">
        <v>64</v>
      </c>
      <c r="W249" s="1">
        <v>24</v>
      </c>
      <c r="X249" s="1">
        <f>VLOOKUP($B249&amp;"__wt",'SegEnds_Xtal_BW#'!$A:$Z,24,FALSE)</f>
        <v>56</v>
      </c>
      <c r="Y249" s="1">
        <f>VLOOKUP($B249&amp;"__wt",'SegEnds_Xtal_BW#'!$A:$Z,25,FALSE)</f>
        <v>47</v>
      </c>
      <c r="Z249" s="1">
        <f>VLOOKUP($B249&amp;"__wt",'SegEnds_Xtal_BW#'!$A:$Z,26,FALSE)</f>
        <v>59</v>
      </c>
      <c r="AA249" s="27" t="str">
        <f>VLOOKUP(A249,Classification!A:B,2,FALSE)</f>
        <v>A</v>
      </c>
      <c r="AB249" s="1">
        <f>VLOOKUP(A249,'SegEnds_NonXtal_Prot#'!A:AL,10,FALSE)-VLOOKUP(A249,'SegEnds_NonXtal_Prot#'!A:AL,7,FALSE)</f>
        <v>15</v>
      </c>
      <c r="AC249" s="1">
        <f>VLOOKUP(A249,'SegEnds_NonXtal_Prot#'!A:AL,13,FALSE)-VLOOKUP(A249,'SegEnds_NonXtal_Prot#'!A:AL,10,FALSE)</f>
        <v>18</v>
      </c>
      <c r="AD249" s="1">
        <f>VLOOKUP(A249,'SegEnds_NonXtal_Prot#'!A:AL,16,FALSE)-VLOOKUP(A249,'SegEnds_NonXtal_Prot#'!A:AL,10,FALSE)</f>
        <v>50</v>
      </c>
      <c r="AE249" s="1">
        <f>VLOOKUP(A249,'SegEnds_NonXtal_Prot#'!A:AL,22,FALSE)-VLOOKUP(A249,'SegEnds_NonXtal_Prot#'!A:AL,19,FALSE)</f>
        <v>20</v>
      </c>
      <c r="AF249" s="1">
        <f>VLOOKUP(A249,'SegEnds_NonXtal_Prot#'!A:AL,28,FALSE)-VLOOKUP(A249,'SegEnds_NonXtal_Prot#'!A:AL,25,FALSE)</f>
        <v>22</v>
      </c>
      <c r="AG249" s="1">
        <f>VLOOKUP(A249,'SegEnds_NonXtal_Prot#'!A:AL,28,FALSE)-VLOOKUP(A249,'SegEnds_NonXtal_Prot#'!A:AL,22,FALSE)</f>
        <v>43</v>
      </c>
      <c r="AH249" s="1">
        <f>VLOOKUP(A249,'SegEnds_NonXtal_Prot#'!A:AL,31,FALSE)-VLOOKUP(A249,'SegEnds_NonXtal_Prot#'!A:AL,28,FALSE)</f>
        <v>43</v>
      </c>
      <c r="AI249" s="1">
        <f>VLOOKUP(A249,'SegEnds_NonXtal_Prot#'!A:AL,34,FALSE)-VLOOKUP(A249,'SegEnds_NonXtal_Prot#'!A:AL,31,FALSE)</f>
        <v>44</v>
      </c>
      <c r="AJ249" s="1" t="str">
        <f>IF(ISERROR(MATCH(A249,'SegEnds_Xtal_Prot#'!B:B, 0)), "NoXtal", "Xtal")</f>
        <v>NoXtal</v>
      </c>
    </row>
    <row r="250" spans="1:36" x14ac:dyDescent="0.2">
      <c r="A250" s="1" t="s">
        <v>178</v>
      </c>
      <c r="B250" s="1" t="str">
        <f>VLOOKUP(A250,Xtal_Templ!A:B,2,FALSE)</f>
        <v>ccr5_human</v>
      </c>
      <c r="C250" s="5">
        <f>VLOOKUP($B250&amp;"__wt",'SegEnds_Xtal_BW#'!$A:$Z,3,FALSE)</f>
        <v>24</v>
      </c>
      <c r="D250" s="1">
        <f>VLOOKUP($B250&amp;"__wt",'SegEnds_Xtal_BW#'!$A:$Z,4,FALSE)</f>
        <v>60</v>
      </c>
      <c r="E250" s="1">
        <f>VLOOKUP($B250&amp;"__wt",'SegEnds_Xtal_BW#'!$A:$Z,5,FALSE)</f>
        <v>48</v>
      </c>
      <c r="F250" s="1">
        <f>VLOOKUP($B250&amp;"__wt",'SegEnds_Xtal_BW#'!$A:$Z,6,FALSE)</f>
        <v>51</v>
      </c>
      <c r="G250" s="1">
        <v>37</v>
      </c>
      <c r="H250" s="12">
        <v>63</v>
      </c>
      <c r="I250" s="1">
        <f>VLOOKUP($B250&amp;"__wt",'SegEnds_Xtal_BW#'!$A:$Z,9,FALSE)</f>
        <v>49</v>
      </c>
      <c r="J250" s="1">
        <f>VLOOKUP($B250&amp;"__wt",'SegEnds_Xtal_BW#'!$A:$Z,10,FALSE)</f>
        <v>52</v>
      </c>
      <c r="K250" s="12">
        <v>26</v>
      </c>
      <c r="L250" s="1">
        <f>VLOOKUP($B250&amp;"__wt",'SegEnds_Xtal_BW#'!$A:$Z,12,FALSE)</f>
        <v>56</v>
      </c>
      <c r="M250" s="1">
        <f>VLOOKUP($B250&amp;"__wt",'SegEnds_Xtal_BW#'!$A:$Z,13,FALSE)</f>
        <v>50</v>
      </c>
      <c r="N250" s="12">
        <v>58</v>
      </c>
      <c r="O250" s="89">
        <v>38</v>
      </c>
      <c r="P250" s="1">
        <f>VLOOKUP($B250&amp;"__wt",'SegEnds_Xtal_BW#'!$A:$Z,16,FALSE)</f>
        <v>64</v>
      </c>
      <c r="Q250" s="1">
        <f>VLOOKUP($B250&amp;"__wt",'SegEnds_Xtal_BW#'!$A:$Z,17,FALSE)</f>
        <v>50</v>
      </c>
      <c r="R250" s="1">
        <f>VLOOKUP($B250&amp;"__wt",'SegEnds_Xtal_BW#'!$A:$Z,18,FALSE)</f>
        <v>52</v>
      </c>
      <c r="S250" s="1">
        <f>VLOOKUP($B250&amp;"__wt",'SegEnds_Xtal_BW#'!$A:$Z,19,FALSE)</f>
        <v>30</v>
      </c>
      <c r="T250" s="1">
        <f t="array" ref="T250">INDEX('ICL3'!$G$2:$G$40,MATCH(MIN(ABS(AH250-'ICL3'!$F$2:$F$40)),ABS(AH250-'ICL3'!$F$2:$F$40),0))</f>
        <v>67</v>
      </c>
      <c r="U250" s="1">
        <f t="array" ref="U250">INDEX('ICL3'!$H$2:$H$40,MATCH(MIN(ABS(AH250-'ICL3'!$F$2:$F$40)),ABS(AH250-'ICL3'!$F$2:$F$40),0))</f>
        <v>30</v>
      </c>
      <c r="V250" s="1">
        <v>64</v>
      </c>
      <c r="W250" s="1">
        <v>24</v>
      </c>
      <c r="X250" s="1">
        <f>VLOOKUP($B250&amp;"__wt",'SegEnds_Xtal_BW#'!$A:$Z,24,FALSE)</f>
        <v>56</v>
      </c>
      <c r="Y250" s="1">
        <f>VLOOKUP($B250&amp;"__wt",'SegEnds_Xtal_BW#'!$A:$Z,25,FALSE)</f>
        <v>47</v>
      </c>
      <c r="Z250" s="1">
        <f>VLOOKUP($B250&amp;"__wt",'SegEnds_Xtal_BW#'!$A:$Z,26,FALSE)</f>
        <v>59</v>
      </c>
      <c r="AA250" s="27" t="str">
        <f>VLOOKUP(A250,Classification!A:B,2,FALSE)</f>
        <v>A</v>
      </c>
      <c r="AB250" s="1">
        <f>VLOOKUP(A250,'SegEnds_NonXtal_Prot#'!A:AL,10,FALSE)-VLOOKUP(A250,'SegEnds_NonXtal_Prot#'!A:AL,7,FALSE)</f>
        <v>15</v>
      </c>
      <c r="AC250" s="1" t="e">
        <f>VLOOKUP(A250,'SegEnds_NonXtal_Prot#'!A:AL,13,FALSE)-VLOOKUP(A250,'SegEnds_NonXtal_Prot#'!A:AL,10,FALSE)</f>
        <v>#VALUE!</v>
      </c>
      <c r="AD250" s="1">
        <f>VLOOKUP(A250,'SegEnds_NonXtal_Prot#'!A:AL,16,FALSE)-VLOOKUP(A250,'SegEnds_NonXtal_Prot#'!A:AL,10,FALSE)</f>
        <v>44</v>
      </c>
      <c r="AE250" s="1">
        <f>VLOOKUP(A250,'SegEnds_NonXtal_Prot#'!A:AL,22,FALSE)-VLOOKUP(A250,'SegEnds_NonXtal_Prot#'!A:AL,19,FALSE)</f>
        <v>21</v>
      </c>
      <c r="AF250" s="1">
        <f>VLOOKUP(A250,'SegEnds_NonXtal_Prot#'!A:AL,28,FALSE)-VLOOKUP(A250,'SegEnds_NonXtal_Prot#'!A:AL,25,FALSE)</f>
        <v>31</v>
      </c>
      <c r="AG250" s="1">
        <f>VLOOKUP(A250,'SegEnds_NonXtal_Prot#'!A:AL,28,FALSE)-VLOOKUP(A250,'SegEnds_NonXtal_Prot#'!A:AL,22,FALSE)</f>
        <v>56</v>
      </c>
      <c r="AH250" s="1">
        <f>VLOOKUP(A250,'SegEnds_NonXtal_Prot#'!A:AL,31,FALSE)-VLOOKUP(A250,'SegEnds_NonXtal_Prot#'!A:AL,28,FALSE)</f>
        <v>41</v>
      </c>
      <c r="AI250" s="1">
        <f>VLOOKUP(A250,'SegEnds_NonXtal_Prot#'!A:AL,34,FALSE)-VLOOKUP(A250,'SegEnds_NonXtal_Prot#'!A:AL,31,FALSE)</f>
        <v>44</v>
      </c>
      <c r="AJ250" s="1" t="str">
        <f>IF(ISERROR(MATCH(A250,'SegEnds_Xtal_Prot#'!B:B, 0)), "NoXtal", "Xtal")</f>
        <v>NoXtal</v>
      </c>
    </row>
    <row r="251" spans="1:36" x14ac:dyDescent="0.2">
      <c r="A251" s="1" t="s">
        <v>191</v>
      </c>
      <c r="B251" s="1" t="str">
        <f>VLOOKUP(A251,Xtal_Templ!A:B,2,FALSE)</f>
        <v>drd3_human</v>
      </c>
      <c r="C251" s="5">
        <f>VLOOKUP($B251&amp;"__wt",'SegEnds_Xtal_BW#'!$A:$Z,3,FALSE)</f>
        <v>29</v>
      </c>
      <c r="D251" s="1">
        <f>VLOOKUP($B251&amp;"__wt",'SegEnds_Xtal_BW#'!$A:$Z,4,FALSE)</f>
        <v>60</v>
      </c>
      <c r="E251" s="1">
        <f>VLOOKUP($B251&amp;"__wt",'SegEnds_Xtal_BW#'!$A:$Z,5,FALSE)</f>
        <v>48</v>
      </c>
      <c r="F251" s="1">
        <f>VLOOKUP($B251&amp;"__wt",'SegEnds_Xtal_BW#'!$A:$Z,6,FALSE)</f>
        <v>51</v>
      </c>
      <c r="G251" s="1">
        <v>37</v>
      </c>
      <c r="H251" s="12">
        <f>VLOOKUP($B251&amp;"__wt",'SegEnds_Xtal_BW#'!$A:$Z,8,FALSE)</f>
        <v>67</v>
      </c>
      <c r="I251" s="1">
        <f>VLOOKUP($B251&amp;"__wt",'SegEnds_Xtal_BW#'!$A:$Z,9,FALSE)</f>
        <v>49</v>
      </c>
      <c r="J251" s="1">
        <f>VLOOKUP($B251&amp;"__wt",'SegEnds_Xtal_BW#'!$A:$Z,10,FALSE)</f>
        <v>52</v>
      </c>
      <c r="K251" s="12">
        <v>18</v>
      </c>
      <c r="L251" s="1">
        <f>VLOOKUP($B251&amp;"__wt",'SegEnds_Xtal_BW#'!$A:$Z,12,FALSE)</f>
        <v>56</v>
      </c>
      <c r="M251" s="1">
        <f>VLOOKUP($B251&amp;"__wt",'SegEnds_Xtal_BW#'!$A:$Z,13,FALSE)</f>
        <v>50</v>
      </c>
      <c r="N251" s="12">
        <v>58</v>
      </c>
      <c r="O251" s="89">
        <v>38</v>
      </c>
      <c r="P251" s="1">
        <f>VLOOKUP($B251&amp;"__wt",'SegEnds_Xtal_BW#'!$A:$Z,16,FALSE)</f>
        <v>63</v>
      </c>
      <c r="Q251" s="1">
        <f>VLOOKUP($B251&amp;"__wt",'SegEnds_Xtal_BW#'!$A:$Z,17,FALSE)</f>
        <v>50</v>
      </c>
      <c r="R251" s="1">
        <f>VLOOKUP($B251&amp;"__wt",'SegEnds_Xtal_BW#'!$A:$Z,18,FALSE)</f>
        <v>52</v>
      </c>
      <c r="S251" s="1">
        <v>35</v>
      </c>
      <c r="T251" s="1">
        <f t="array" ref="T251">INDEX('ICL3'!$G$2:$G$40,MATCH(MIN(ABS(AH251-'ICL3'!$F$2:$F$40)),ABS(AH251-'ICL3'!$F$2:$F$40),0))</f>
        <v>75</v>
      </c>
      <c r="U251" s="1">
        <f t="array" ref="U251">INDEX('ICL3'!$H$2:$H$40,MATCH(MIN(ABS(AH251-'ICL3'!$F$2:$F$40)),ABS(AH251-'ICL3'!$F$2:$F$40),0))</f>
        <v>24</v>
      </c>
      <c r="V251" s="1">
        <v>61</v>
      </c>
      <c r="W251" s="1">
        <v>31</v>
      </c>
      <c r="X251" s="1">
        <f>VLOOKUP($B251&amp;"__wt",'SegEnds_Xtal_BW#'!$A:$Z,24,FALSE)</f>
        <v>56</v>
      </c>
      <c r="Y251" s="1">
        <f>VLOOKUP($B251&amp;"__wt",'SegEnds_Xtal_BW#'!$A:$Z,25,FALSE)</f>
        <v>47</v>
      </c>
      <c r="Z251" s="1">
        <f>VLOOKUP($B251&amp;"__wt",'SegEnds_Xtal_BW#'!$A:$Z,26,FALSE)</f>
        <v>59</v>
      </c>
      <c r="AA251" s="27" t="str">
        <f>VLOOKUP(A251,Classification!A:B,2,FALSE)</f>
        <v>A</v>
      </c>
      <c r="AB251" s="1">
        <f>VLOOKUP(A251,'SegEnds_NonXtal_Prot#'!A:AL,10,FALSE)-VLOOKUP(A251,'SegEnds_NonXtal_Prot#'!A:AL,7,FALSE)</f>
        <v>15</v>
      </c>
      <c r="AC251" s="1">
        <f>VLOOKUP(A251,'SegEnds_NonXtal_Prot#'!A:AL,13,FALSE)-VLOOKUP(A251,'SegEnds_NonXtal_Prot#'!A:AL,10,FALSE)</f>
        <v>20</v>
      </c>
      <c r="AD251" s="1">
        <f>VLOOKUP(A251,'SegEnds_NonXtal_Prot#'!A:AL,16,FALSE)-VLOOKUP(A251,'SegEnds_NonXtal_Prot#'!A:AL,10,FALSE)</f>
        <v>52</v>
      </c>
      <c r="AE251" s="1">
        <f>VLOOKUP(A251,'SegEnds_NonXtal_Prot#'!A:AL,22,FALSE)-VLOOKUP(A251,'SegEnds_NonXtal_Prot#'!A:AL,19,FALSE)</f>
        <v>21</v>
      </c>
      <c r="AF251" s="1">
        <f>VLOOKUP(A251,'SegEnds_NonXtal_Prot#'!A:AL,28,FALSE)-VLOOKUP(A251,'SegEnds_NonXtal_Prot#'!A:AL,25,FALSE)</f>
        <v>19</v>
      </c>
      <c r="AG251" s="1">
        <f>VLOOKUP(A251,'SegEnds_NonXtal_Prot#'!A:AL,28,FALSE)-VLOOKUP(A251,'SegEnds_NonXtal_Prot#'!A:AL,22,FALSE)</f>
        <v>41</v>
      </c>
      <c r="AH251" s="1">
        <f>VLOOKUP(A251,'SegEnds_NonXtal_Prot#'!A:AL,31,FALSE)-VLOOKUP(A251,'SegEnds_NonXtal_Prot#'!A:AL,28,FALSE)</f>
        <v>187</v>
      </c>
      <c r="AI251" s="1">
        <f>VLOOKUP(A251,'SegEnds_NonXtal_Prot#'!A:AL,34,FALSE)-VLOOKUP(A251,'SegEnds_NonXtal_Prot#'!A:AL,31,FALSE)</f>
        <v>35</v>
      </c>
      <c r="AJ251" s="1" t="str">
        <f>IF(ISERROR(MATCH(A251,'SegEnds_Xtal_Prot#'!B:B, 0)), "NoXtal", "Xtal")</f>
        <v>NoXtal</v>
      </c>
    </row>
    <row r="252" spans="1:36" x14ac:dyDescent="0.2">
      <c r="A252" s="1" t="s">
        <v>248</v>
      </c>
      <c r="B252" s="1" t="str">
        <f>VLOOKUP(A252,Xtal_Templ!A:B,2,FALSE)</f>
        <v>ox1r_human</v>
      </c>
      <c r="C252" s="5">
        <f>VLOOKUP($B252&amp;"__wt",'SegEnds_Xtal_BW#'!$A:$Z,3,FALSE)</f>
        <v>32</v>
      </c>
      <c r="D252" s="1">
        <f>VLOOKUP($B252&amp;"__wt",'SegEnds_Xtal_BW#'!$A:$Z,4,FALSE)</f>
        <v>60</v>
      </c>
      <c r="E252" s="1">
        <f>VLOOKUP($B252&amp;"__wt",'SegEnds_Xtal_BW#'!$A:$Z,5,FALSE)</f>
        <v>48</v>
      </c>
      <c r="F252" s="1">
        <f>VLOOKUP($B252&amp;"__wt",'SegEnds_Xtal_BW#'!$A:$Z,6,FALSE)</f>
        <v>51</v>
      </c>
      <c r="G252" s="1">
        <v>37</v>
      </c>
      <c r="H252" s="12">
        <f>VLOOKUP($B252&amp;"__wt",'SegEnds_Xtal_BW#'!$A:$Z,8,FALSE)</f>
        <v>67</v>
      </c>
      <c r="I252" s="1">
        <f>VLOOKUP($B252&amp;"__wt",'SegEnds_Xtal_BW#'!$A:$Z,9,FALSE)</f>
        <v>49</v>
      </c>
      <c r="J252" s="1">
        <f>VLOOKUP($B252&amp;"__wt",'SegEnds_Xtal_BW#'!$A:$Z,10,FALSE)</f>
        <v>52</v>
      </c>
      <c r="K252" s="12">
        <v>18</v>
      </c>
      <c r="L252" s="1">
        <f>VLOOKUP($B252&amp;"__wt",'SegEnds_Xtal_BW#'!$A:$Z,12,FALSE)</f>
        <v>56</v>
      </c>
      <c r="M252" s="1">
        <f>VLOOKUP($B252&amp;"__wt",'SegEnds_Xtal_BW#'!$A:$Z,13,FALSE)</f>
        <v>50</v>
      </c>
      <c r="N252" s="12">
        <v>58</v>
      </c>
      <c r="O252" s="89">
        <f>VLOOKUP($B252&amp;"__wt",'SegEnds_Xtal_BW#'!$A:$Z,15,FALSE)</f>
        <v>38</v>
      </c>
      <c r="P252" s="1">
        <f>VLOOKUP($B252&amp;"__wt",'SegEnds_Xtal_BW#'!$A:$Z,16,FALSE)</f>
        <v>64</v>
      </c>
      <c r="Q252" s="1">
        <f>VLOOKUP($B252&amp;"__wt",'SegEnds_Xtal_BW#'!$A:$Z,17,FALSE)</f>
        <v>50</v>
      </c>
      <c r="R252" s="1">
        <f>VLOOKUP($B252&amp;"__wt",'SegEnds_Xtal_BW#'!$A:$Z,18,FALSE)</f>
        <v>52</v>
      </c>
      <c r="S252" s="1">
        <v>35</v>
      </c>
      <c r="T252" s="1">
        <f t="array" ref="T252">INDEX('ICL3'!$G$2:$G$40,MATCH(MIN(ABS(AH252-'ICL3'!$F$2:$F$40)),ABS(AH252-'ICL3'!$F$2:$F$40),0))</f>
        <v>76</v>
      </c>
      <c r="U252" s="1">
        <f t="array" ref="U252">INDEX('ICL3'!$H$2:$H$40,MATCH(MIN(ABS(AH252-'ICL3'!$F$2:$F$40)),ABS(AH252-'ICL3'!$F$2:$F$40),0))</f>
        <v>24</v>
      </c>
      <c r="V252" s="1">
        <v>61</v>
      </c>
      <c r="W252" s="1">
        <v>31</v>
      </c>
      <c r="X252" s="1">
        <f>VLOOKUP($B252&amp;"__wt",'SegEnds_Xtal_BW#'!$A:$Z,24,FALSE)</f>
        <v>56</v>
      </c>
      <c r="Y252" s="1">
        <f>VLOOKUP($B252&amp;"__wt",'SegEnds_Xtal_BW#'!$A:$Z,25,FALSE)</f>
        <v>47</v>
      </c>
      <c r="Z252" s="1">
        <f>VLOOKUP($B252&amp;"__wt",'SegEnds_Xtal_BW#'!$A:$Z,26,FALSE)</f>
        <v>58</v>
      </c>
      <c r="AA252" s="27" t="str">
        <f>VLOOKUP(A252,Classification!A:B,2,FALSE)</f>
        <v>A</v>
      </c>
      <c r="AB252" s="1">
        <f>VLOOKUP(A252,'SegEnds_NonXtal_Prot#'!A:AL,10,FALSE)-VLOOKUP(A252,'SegEnds_NonXtal_Prot#'!A:AL,7,FALSE)</f>
        <v>15</v>
      </c>
      <c r="AC252" s="1" t="e">
        <f>VLOOKUP(A252,'SegEnds_NonXtal_Prot#'!A:AL,13,FALSE)-VLOOKUP(A252,'SegEnds_NonXtal_Prot#'!A:AL,10,FALSE)</f>
        <v>#VALUE!</v>
      </c>
      <c r="AD252" s="1">
        <f>VLOOKUP(A252,'SegEnds_NonXtal_Prot#'!A:AL,16,FALSE)-VLOOKUP(A252,'SegEnds_NonXtal_Prot#'!A:AL,10,FALSE)</f>
        <v>56</v>
      </c>
      <c r="AE252" s="1">
        <f>VLOOKUP(A252,'SegEnds_NonXtal_Prot#'!A:AL,22,FALSE)-VLOOKUP(A252,'SegEnds_NonXtal_Prot#'!A:AL,19,FALSE)</f>
        <v>21</v>
      </c>
      <c r="AF252" s="1">
        <f>VLOOKUP(A252,'SegEnds_NonXtal_Prot#'!A:AL,28,FALSE)-VLOOKUP(A252,'SegEnds_NonXtal_Prot#'!A:AL,25,FALSE)</f>
        <v>18</v>
      </c>
      <c r="AG252" s="1">
        <f>VLOOKUP(A252,'SegEnds_NonXtal_Prot#'!A:AL,28,FALSE)-VLOOKUP(A252,'SegEnds_NonXtal_Prot#'!A:AL,22,FALSE)</f>
        <v>41</v>
      </c>
      <c r="AH252" s="1">
        <f>VLOOKUP(A252,'SegEnds_NonXtal_Prot#'!A:AL,31,FALSE)-VLOOKUP(A252,'SegEnds_NonXtal_Prot#'!A:AL,28,FALSE)</f>
        <v>110</v>
      </c>
      <c r="AI252" s="1">
        <f>VLOOKUP(A252,'SegEnds_NonXtal_Prot#'!A:AL,34,FALSE)-VLOOKUP(A252,'SegEnds_NonXtal_Prot#'!A:AL,31,FALSE)</f>
        <v>36</v>
      </c>
      <c r="AJ252" s="1" t="str">
        <f>IF(ISERROR(MATCH(A252,'SegEnds_Xtal_Prot#'!B:B, 0)), "NoXtal", "Xtal")</f>
        <v>NoXtal</v>
      </c>
    </row>
    <row r="253" spans="1:36" x14ac:dyDescent="0.2">
      <c r="A253" s="1" t="s">
        <v>280</v>
      </c>
      <c r="B253" s="1" t="str">
        <f>VLOOKUP(A253,Xtal_Templ!A:B,2,FALSE)</f>
        <v>hrh1_human</v>
      </c>
      <c r="C253" s="5">
        <f>VLOOKUP($B253&amp;"__wt",'SegEnds_Xtal_BW#'!$A:$Z,3,FALSE)</f>
        <v>34</v>
      </c>
      <c r="D253" s="1">
        <f>VLOOKUP($B253&amp;"__wt",'SegEnds_Xtal_BW#'!$A:$Z,4,FALSE)</f>
        <v>60</v>
      </c>
      <c r="E253" s="1">
        <f>VLOOKUP($B253&amp;"__wt",'SegEnds_Xtal_BW#'!$A:$Z,5,FALSE)</f>
        <v>48</v>
      </c>
      <c r="F253" s="1">
        <f>VLOOKUP($B253&amp;"__wt",'SegEnds_Xtal_BW#'!$A:$Z,6,FALSE)</f>
        <v>51</v>
      </c>
      <c r="G253" s="1">
        <v>37</v>
      </c>
      <c r="H253" s="12">
        <f>VLOOKUP($B253&amp;"__wt",'SegEnds_Xtal_BW#'!$A:$Z,8,FALSE)</f>
        <v>67</v>
      </c>
      <c r="I253" s="1">
        <f>VLOOKUP($B253&amp;"__wt",'SegEnds_Xtal_BW#'!$A:$Z,9,FALSE)</f>
        <v>49</v>
      </c>
      <c r="J253" s="1">
        <f>VLOOKUP($B253&amp;"__wt",'SegEnds_Xtal_BW#'!$A:$Z,10,FALSE)</f>
        <v>52</v>
      </c>
      <c r="K253" s="12">
        <v>18</v>
      </c>
      <c r="L253" s="1">
        <f>VLOOKUP($B253&amp;"__wt",'SegEnds_Xtal_BW#'!$A:$Z,12,FALSE)</f>
        <v>56</v>
      </c>
      <c r="M253" s="1">
        <f>VLOOKUP($B253&amp;"__wt",'SegEnds_Xtal_BW#'!$A:$Z,13,FALSE)</f>
        <v>50</v>
      </c>
      <c r="N253" s="12">
        <v>58</v>
      </c>
      <c r="O253" s="89">
        <f>VLOOKUP($B253&amp;"__wt",'SegEnds_Xtal_BW#'!$A:$Z,15,FALSE)</f>
        <v>38</v>
      </c>
      <c r="P253" s="1">
        <v>63</v>
      </c>
      <c r="Q253" s="1">
        <f>VLOOKUP($B253&amp;"__wt",'SegEnds_Xtal_BW#'!$A:$Z,17,FALSE)</f>
        <v>50</v>
      </c>
      <c r="R253" s="1">
        <f>VLOOKUP($B253&amp;"__wt",'SegEnds_Xtal_BW#'!$A:$Z,18,FALSE)</f>
        <v>52</v>
      </c>
      <c r="S253" s="1">
        <v>35</v>
      </c>
      <c r="T253" s="1">
        <f t="array" ref="T253">INDEX('ICL3'!$G$2:$G$40,MATCH(MIN(ABS(AH253-'ICL3'!$F$2:$F$40)),ABS(AH253-'ICL3'!$F$2:$F$40),0))</f>
        <v>75</v>
      </c>
      <c r="U253" s="1">
        <f t="array" ref="U253">INDEX('ICL3'!$H$2:$H$40,MATCH(MIN(ABS(AH253-'ICL3'!$F$2:$F$40)),ABS(AH253-'ICL3'!$F$2:$F$40),0))</f>
        <v>24</v>
      </c>
      <c r="V253" s="1">
        <v>61</v>
      </c>
      <c r="W253" s="1">
        <v>31</v>
      </c>
      <c r="X253" s="1">
        <f>VLOOKUP($B253&amp;"__wt",'SegEnds_Xtal_BW#'!$A:$Z,24,FALSE)</f>
        <v>56</v>
      </c>
      <c r="Y253" s="1">
        <f>VLOOKUP($B253&amp;"__wt",'SegEnds_Xtal_BW#'!$A:$Z,25,FALSE)</f>
        <v>47</v>
      </c>
      <c r="Z253" s="1">
        <f>VLOOKUP($B253&amp;"__wt",'SegEnds_Xtal_BW#'!$A:$Z,26,FALSE)</f>
        <v>59</v>
      </c>
      <c r="AA253" s="27" t="str">
        <f>VLOOKUP(A253,Classification!A:B,2,FALSE)</f>
        <v>A</v>
      </c>
      <c r="AB253" s="1">
        <f>VLOOKUP(A253,'SegEnds_NonXtal_Prot#'!A:AL,10,FALSE)-VLOOKUP(A253,'SegEnds_NonXtal_Prot#'!A:AL,7,FALSE)</f>
        <v>15</v>
      </c>
      <c r="AC253" s="1">
        <f>VLOOKUP(A253,'SegEnds_NonXtal_Prot#'!A:AL,13,FALSE)-VLOOKUP(A253,'SegEnds_NonXtal_Prot#'!A:AL,10,FALSE)</f>
        <v>20</v>
      </c>
      <c r="AD253" s="1">
        <f>VLOOKUP(A253,'SegEnds_NonXtal_Prot#'!A:AL,16,FALSE)-VLOOKUP(A253,'SegEnds_NonXtal_Prot#'!A:AL,10,FALSE)</f>
        <v>52</v>
      </c>
      <c r="AE253" s="1">
        <f>VLOOKUP(A253,'SegEnds_NonXtal_Prot#'!A:AL,22,FALSE)-VLOOKUP(A253,'SegEnds_NonXtal_Prot#'!A:AL,19,FALSE)</f>
        <v>21</v>
      </c>
      <c r="AF253" s="1">
        <f>VLOOKUP(A253,'SegEnds_NonXtal_Prot#'!A:AL,28,FALSE)-VLOOKUP(A253,'SegEnds_NonXtal_Prot#'!A:AL,25,FALSE)</f>
        <v>22</v>
      </c>
      <c r="AG253" s="1">
        <f>VLOOKUP(A253,'SegEnds_NonXtal_Prot#'!A:AL,28,FALSE)-VLOOKUP(A253,'SegEnds_NonXtal_Prot#'!A:AL,22,FALSE)</f>
        <v>50</v>
      </c>
      <c r="AH253" s="1">
        <f>VLOOKUP(A253,'SegEnds_NonXtal_Prot#'!A:AL,31,FALSE)-VLOOKUP(A253,'SegEnds_NonXtal_Prot#'!A:AL,28,FALSE)</f>
        <v>163</v>
      </c>
      <c r="AI253" s="1">
        <f>VLOOKUP(A253,'SegEnds_NonXtal_Prot#'!A:AL,34,FALSE)-VLOOKUP(A253,'SegEnds_NonXtal_Prot#'!A:AL,31,FALSE)</f>
        <v>36</v>
      </c>
      <c r="AJ253" s="1" t="str">
        <f>IF(ISERROR(MATCH(A253,'SegEnds_Xtal_Prot#'!B:B, 0)), "NoXtal", "Xtal")</f>
        <v>NoXtal</v>
      </c>
    </row>
    <row r="254" spans="1:36" x14ac:dyDescent="0.2">
      <c r="A254" s="1" t="s">
        <v>281</v>
      </c>
      <c r="B254" s="1" t="str">
        <f>VLOOKUP(A254,Xtal_Templ!A:B,2,FALSE)</f>
        <v>acm3_rat</v>
      </c>
      <c r="C254" s="5">
        <f>VLOOKUP($B254&amp;"__wt",'SegEnds_Xtal_BW#'!$A:$Z,3,FALSE)</f>
        <v>29</v>
      </c>
      <c r="D254" s="1">
        <f>VLOOKUP($B254&amp;"__wt",'SegEnds_Xtal_BW#'!$A:$Z,4,FALSE)</f>
        <v>60</v>
      </c>
      <c r="E254" s="1">
        <f>VLOOKUP($B254&amp;"__wt",'SegEnds_Xtal_BW#'!$A:$Z,5,FALSE)</f>
        <v>48</v>
      </c>
      <c r="F254" s="1">
        <f>VLOOKUP($B254&amp;"__wt",'SegEnds_Xtal_BW#'!$A:$Z,6,FALSE)</f>
        <v>51</v>
      </c>
      <c r="G254" s="1">
        <v>37</v>
      </c>
      <c r="H254" s="12">
        <v>66</v>
      </c>
      <c r="I254" s="1">
        <f>VLOOKUP($B254&amp;"__wt",'SegEnds_Xtal_BW#'!$A:$Z,9,FALSE)</f>
        <v>49</v>
      </c>
      <c r="J254" s="1">
        <f>VLOOKUP($B254&amp;"__wt",'SegEnds_Xtal_BW#'!$A:$Z,10,FALSE)</f>
        <v>52</v>
      </c>
      <c r="K254" s="12">
        <v>21</v>
      </c>
      <c r="L254" s="1">
        <f>VLOOKUP($B254&amp;"__wt",'SegEnds_Xtal_BW#'!$A:$Z,12,FALSE)</f>
        <v>56</v>
      </c>
      <c r="M254" s="1">
        <f>VLOOKUP($B254&amp;"__wt",'SegEnds_Xtal_BW#'!$A:$Z,13,FALSE)</f>
        <v>50</v>
      </c>
      <c r="N254" s="12">
        <v>58</v>
      </c>
      <c r="O254" s="89">
        <v>38</v>
      </c>
      <c r="P254" s="1">
        <v>63</v>
      </c>
      <c r="Q254" s="1">
        <f>VLOOKUP($B254&amp;"__wt",'SegEnds_Xtal_BW#'!$A:$Z,17,FALSE)</f>
        <v>50</v>
      </c>
      <c r="R254" s="1">
        <f>VLOOKUP($B254&amp;"__wt",'SegEnds_Xtal_BW#'!$A:$Z,18,FALSE)</f>
        <v>52</v>
      </c>
      <c r="S254" s="1">
        <v>35</v>
      </c>
      <c r="T254" s="1">
        <f t="array" ref="T254">INDEX('ICL3'!$G$2:$G$40,MATCH(MIN(ABS(AH254-'ICL3'!$F$2:$F$40)),ABS(AH254-'ICL3'!$F$2:$F$40),0))</f>
        <v>76</v>
      </c>
      <c r="U254" s="1">
        <f t="array" ref="U254">INDEX('ICL3'!$H$2:$H$40,MATCH(MIN(ABS(AH254-'ICL3'!$F$2:$F$40)),ABS(AH254-'ICL3'!$F$2:$F$40),0))</f>
        <v>24</v>
      </c>
      <c r="V254" s="1">
        <v>61</v>
      </c>
      <c r="W254" s="1">
        <v>31</v>
      </c>
      <c r="X254" s="1">
        <f>VLOOKUP($B254&amp;"__wt",'SegEnds_Xtal_BW#'!$A:$Z,24,FALSE)</f>
        <v>56</v>
      </c>
      <c r="Y254" s="1">
        <f>VLOOKUP($B254&amp;"__wt",'SegEnds_Xtal_BW#'!$A:$Z,25,FALSE)</f>
        <v>47</v>
      </c>
      <c r="Z254" s="1">
        <f>VLOOKUP($B254&amp;"__wt",'SegEnds_Xtal_BW#'!$A:$Z,26,FALSE)</f>
        <v>58</v>
      </c>
      <c r="AA254" s="27" t="str">
        <f>VLOOKUP(A254,Classification!A:B,2,FALSE)</f>
        <v>A</v>
      </c>
      <c r="AB254" s="1">
        <f>VLOOKUP(A254,'SegEnds_NonXtal_Prot#'!A:AL,10,FALSE)-VLOOKUP(A254,'SegEnds_NonXtal_Prot#'!A:AL,7,FALSE)</f>
        <v>15</v>
      </c>
      <c r="AC254" s="1">
        <f>VLOOKUP(A254,'SegEnds_NonXtal_Prot#'!A:AL,13,FALSE)-VLOOKUP(A254,'SegEnds_NonXtal_Prot#'!A:AL,10,FALSE)</f>
        <v>19</v>
      </c>
      <c r="AD254" s="1">
        <f>VLOOKUP(A254,'SegEnds_NonXtal_Prot#'!A:AL,16,FALSE)-VLOOKUP(A254,'SegEnds_NonXtal_Prot#'!A:AL,10,FALSE)</f>
        <v>51</v>
      </c>
      <c r="AE254" s="1">
        <f>VLOOKUP(A254,'SegEnds_NonXtal_Prot#'!A:AL,22,FALSE)-VLOOKUP(A254,'SegEnds_NonXtal_Prot#'!A:AL,19,FALSE)</f>
        <v>21</v>
      </c>
      <c r="AF254" s="1">
        <f>VLOOKUP(A254,'SegEnds_NonXtal_Prot#'!A:AL,28,FALSE)-VLOOKUP(A254,'SegEnds_NonXtal_Prot#'!A:AL,25,FALSE)</f>
        <v>22</v>
      </c>
      <c r="AG254" s="1">
        <f>VLOOKUP(A254,'SegEnds_NonXtal_Prot#'!A:AL,28,FALSE)-VLOOKUP(A254,'SegEnds_NonXtal_Prot#'!A:AL,22,FALSE)</f>
        <v>46</v>
      </c>
      <c r="AH254" s="1">
        <f>VLOOKUP(A254,'SegEnds_NonXtal_Prot#'!A:AL,31,FALSE)-VLOOKUP(A254,'SegEnds_NonXtal_Prot#'!A:AL,28,FALSE)</f>
        <v>132</v>
      </c>
      <c r="AI254" s="1">
        <f>VLOOKUP(A254,'SegEnds_NonXtal_Prot#'!A:AL,34,FALSE)-VLOOKUP(A254,'SegEnds_NonXtal_Prot#'!A:AL,31,FALSE)</f>
        <v>37</v>
      </c>
      <c r="AJ254" s="1" t="str">
        <f>IF(ISERROR(MATCH(A254,'SegEnds_Xtal_Prot#'!B:B, 0)), "NoXtal", "Xtal")</f>
        <v>NoXtal</v>
      </c>
    </row>
    <row r="255" spans="1:36" x14ac:dyDescent="0.2">
      <c r="A255" s="1" t="s">
        <v>348</v>
      </c>
      <c r="B255" s="1" t="str">
        <f>VLOOKUP(A255,Xtal_Templ!A:B,2,FALSE)</f>
        <v>p2ry1_human</v>
      </c>
      <c r="C255" s="5">
        <f>VLOOKUP($B255&amp;"__wt",'SegEnds_Xtal_BW#'!$A:$Z,3,FALSE)</f>
        <v>30</v>
      </c>
      <c r="D255" s="1">
        <f>VLOOKUP($B255&amp;"__wt",'SegEnds_Xtal_BW#'!$A:$Z,4,FALSE)</f>
        <v>60</v>
      </c>
      <c r="E255" s="1" t="str">
        <f>VLOOKUP($B255&amp;"__wt",'SegEnds_Xtal_BW#'!$A:$Z,5,FALSE)</f>
        <v>-</v>
      </c>
      <c r="F255" s="1" t="str">
        <f>VLOOKUP($B255&amp;"__wt",'SegEnds_Xtal_BW#'!$A:$Z,6,FALSE)</f>
        <v>-</v>
      </c>
      <c r="G255" s="1">
        <v>37</v>
      </c>
      <c r="H255" s="12">
        <f>VLOOKUP($B255&amp;"__wt",'SegEnds_Xtal_BW#'!$A:$Z,8,FALSE)</f>
        <v>66</v>
      </c>
      <c r="I255" s="1">
        <f>VLOOKUP($B255&amp;"__wt",'SegEnds_Xtal_BW#'!$A:$Z,9,FALSE)</f>
        <v>49</v>
      </c>
      <c r="J255" s="1">
        <f>VLOOKUP($B255&amp;"__wt",'SegEnds_Xtal_BW#'!$A:$Z,10,FALSE)</f>
        <v>52</v>
      </c>
      <c r="K255" s="12">
        <v>18</v>
      </c>
      <c r="L255" s="1">
        <f>VLOOKUP($B255&amp;"__wt",'SegEnds_Xtal_BW#'!$A:$Z,12,FALSE)</f>
        <v>56</v>
      </c>
      <c r="M255" s="1">
        <f>VLOOKUP($B255&amp;"__wt",'SegEnds_Xtal_BW#'!$A:$Z,13,FALSE)</f>
        <v>50</v>
      </c>
      <c r="N255" s="12">
        <v>58</v>
      </c>
      <c r="O255" s="89">
        <f>VLOOKUP($B255&amp;"__wt",'SegEnds_Xtal_BW#'!$A:$Z,15,FALSE)</f>
        <v>38</v>
      </c>
      <c r="P255" s="1">
        <f>VLOOKUP($B255&amp;"__wt",'SegEnds_Xtal_BW#'!$A:$Z,16,FALSE)</f>
        <v>64</v>
      </c>
      <c r="Q255" s="1">
        <f>VLOOKUP($B255&amp;"__wt",'SegEnds_Xtal_BW#'!$A:$Z,17,FALSE)</f>
        <v>50</v>
      </c>
      <c r="R255" s="1">
        <f>VLOOKUP($B255&amp;"__wt",'SegEnds_Xtal_BW#'!$A:$Z,18,FALSE)</f>
        <v>52</v>
      </c>
      <c r="S255" s="1">
        <f>VLOOKUP($B255&amp;"__wt",'SegEnds_Xtal_BW#'!$A:$Z,19,FALSE)</f>
        <v>32</v>
      </c>
      <c r="T255" s="1">
        <f t="array" ref="T255">INDEX('ICL3'!$G$2:$G$40,MATCH(MIN(ABS(AH255-'ICL3'!$F$2:$F$40)),ABS(AH255-'ICL3'!$F$2:$F$40),0))</f>
        <v>72</v>
      </c>
      <c r="U255" s="1">
        <f t="array" ref="U255">INDEX('ICL3'!$H$2:$H$40,MATCH(MIN(ABS(AH255-'ICL3'!$F$2:$F$40)),ABS(AH255-'ICL3'!$F$2:$F$40),0))</f>
        <v>29</v>
      </c>
      <c r="V255" s="1">
        <v>64</v>
      </c>
      <c r="W255" s="1">
        <v>24</v>
      </c>
      <c r="X255" s="1">
        <f>VLOOKUP($B255&amp;"__wt",'SegEnds_Xtal_BW#'!$A:$Z,24,FALSE)</f>
        <v>56</v>
      </c>
      <c r="Y255" s="1">
        <f>VLOOKUP($B255&amp;"__wt",'SegEnds_Xtal_BW#'!$A:$Z,25,FALSE)</f>
        <v>47</v>
      </c>
      <c r="Z255" s="1">
        <f>VLOOKUP($B255&amp;"__wt",'SegEnds_Xtal_BW#'!$A:$Z,26,FALSE)</f>
        <v>59</v>
      </c>
      <c r="AA255" s="27" t="str">
        <f>VLOOKUP(A255,Classification!A:B,2,FALSE)</f>
        <v>A</v>
      </c>
      <c r="AB255" s="1">
        <f>VLOOKUP(A255,'SegEnds_NonXtal_Prot#'!A:AL,10,FALSE)-VLOOKUP(A255,'SegEnds_NonXtal_Prot#'!A:AL,7,FALSE)</f>
        <v>15</v>
      </c>
      <c r="AC255" s="1">
        <f>VLOOKUP(A255,'SegEnds_NonXtal_Prot#'!A:AL,13,FALSE)-VLOOKUP(A255,'SegEnds_NonXtal_Prot#'!A:AL,10,FALSE)</f>
        <v>20</v>
      </c>
      <c r="AD255" s="1">
        <f>VLOOKUP(A255,'SegEnds_NonXtal_Prot#'!A:AL,16,FALSE)-VLOOKUP(A255,'SegEnds_NonXtal_Prot#'!A:AL,10,FALSE)</f>
        <v>52</v>
      </c>
      <c r="AE255" s="1">
        <f>VLOOKUP(A255,'SegEnds_NonXtal_Prot#'!A:AL,22,FALSE)-VLOOKUP(A255,'SegEnds_NonXtal_Prot#'!A:AL,19,FALSE)</f>
        <v>21</v>
      </c>
      <c r="AF255" s="1">
        <f>VLOOKUP(A255,'SegEnds_NonXtal_Prot#'!A:AL,28,FALSE)-VLOOKUP(A255,'SegEnds_NonXtal_Prot#'!A:AL,25,FALSE)</f>
        <v>27</v>
      </c>
      <c r="AG255" s="1">
        <f>VLOOKUP(A255,'SegEnds_NonXtal_Prot#'!A:AL,28,FALSE)-VLOOKUP(A255,'SegEnds_NonXtal_Prot#'!A:AL,22,FALSE)</f>
        <v>52</v>
      </c>
      <c r="AH255" s="1">
        <f>VLOOKUP(A255,'SegEnds_NonXtal_Prot#'!A:AL,31,FALSE)-VLOOKUP(A255,'SegEnds_NonXtal_Prot#'!A:AL,28,FALSE)</f>
        <v>50</v>
      </c>
      <c r="AI255" s="1">
        <f>VLOOKUP(A255,'SegEnds_NonXtal_Prot#'!A:AL,34,FALSE)-VLOOKUP(A255,'SegEnds_NonXtal_Prot#'!A:AL,31,FALSE)</f>
        <v>44</v>
      </c>
      <c r="AJ255" s="1" t="str">
        <f>IF(ISERROR(MATCH(A255,'SegEnds_Xtal_Prot#'!B:B, 0)), "NoXtal", "Xtal")</f>
        <v>NoXtal</v>
      </c>
    </row>
    <row r="256" spans="1:36" x14ac:dyDescent="0.2">
      <c r="A256" s="12" t="s">
        <v>174</v>
      </c>
      <c r="B256" s="12" t="str">
        <f>VLOOKUP(A256,Xtal_Templ!A:B,2,FALSE)</f>
        <v>ccr9_human</v>
      </c>
      <c r="C256" s="13">
        <f>VLOOKUP($B256&amp;"__wt",'SegEnds_Xtal_BW#'!$A:$Z,3,FALSE)</f>
        <v>27</v>
      </c>
      <c r="D256" s="12">
        <f>VLOOKUP($B256&amp;"__wt",'SegEnds_Xtal_BW#'!$A:$Z,4,FALSE)</f>
        <v>60</v>
      </c>
      <c r="E256" s="12">
        <f>VLOOKUP($B256&amp;"__wt",'SegEnds_Xtal_BW#'!$A:$Z,5,FALSE)</f>
        <v>48</v>
      </c>
      <c r="F256" s="12">
        <f>VLOOKUP($B256&amp;"__wt",'SegEnds_Xtal_BW#'!$A:$Z,6,FALSE)</f>
        <v>51</v>
      </c>
      <c r="G256" s="12">
        <v>37</v>
      </c>
      <c r="H256" s="12">
        <v>66</v>
      </c>
      <c r="I256" s="12">
        <f>VLOOKUP($B256&amp;"__wt",'SegEnds_Xtal_BW#'!$A:$Z,9,FALSE)</f>
        <v>49</v>
      </c>
      <c r="J256" s="12">
        <f>VLOOKUP($B256&amp;"__wt",'SegEnds_Xtal_BW#'!$A:$Z,10,FALSE)</f>
        <v>52</v>
      </c>
      <c r="K256" s="12">
        <v>21</v>
      </c>
      <c r="L256" s="12">
        <f>VLOOKUP($B256&amp;"__wt",'SegEnds_Xtal_BW#'!$A:$Z,12,FALSE)</f>
        <v>56</v>
      </c>
      <c r="M256" s="12">
        <f>VLOOKUP($B256&amp;"__wt",'SegEnds_Xtal_BW#'!$A:$Z,13,FALSE)</f>
        <v>50</v>
      </c>
      <c r="N256" s="12">
        <v>58</v>
      </c>
      <c r="O256" s="89">
        <v>38</v>
      </c>
      <c r="P256" s="12">
        <f>VLOOKUP($B256&amp;"__wt",'SegEnds_Xtal_BW#'!$A:$Z,16,FALSE)</f>
        <v>64</v>
      </c>
      <c r="Q256" s="12">
        <f>VLOOKUP($B256&amp;"__wt",'SegEnds_Xtal_BW#'!$A:$Z,17,FALSE)</f>
        <v>50</v>
      </c>
      <c r="R256" s="12">
        <f>VLOOKUP($B256&amp;"__wt",'SegEnds_Xtal_BW#'!$A:$Z,18,FALSE)</f>
        <v>52</v>
      </c>
      <c r="S256" s="12">
        <f>VLOOKUP($B256&amp;"__wt",'SegEnds_Xtal_BW#'!$A:$Z,19,FALSE)</f>
        <v>33</v>
      </c>
      <c r="T256" s="12">
        <f t="array" ref="T256">INDEX('ICL3'!$G$2:$G$40,MATCH(MIN(ABS(AH256-'ICL3'!$F$2:$F$40)),ABS(AH256-'ICL3'!$F$2:$F$40),0))</f>
        <v>68</v>
      </c>
      <c r="U256" s="12">
        <f t="array" ref="U256">INDEX('ICL3'!$H$2:$H$40,MATCH(MIN(ABS(AH256-'ICL3'!$F$2:$F$40)),ABS(AH256-'ICL3'!$F$2:$F$40),0))</f>
        <v>30</v>
      </c>
      <c r="V256" s="12">
        <v>65</v>
      </c>
      <c r="W256" s="12">
        <v>24</v>
      </c>
      <c r="X256" s="12">
        <f>VLOOKUP($B256&amp;"__wt",'SegEnds_Xtal_BW#'!$A:$Z,24,FALSE)</f>
        <v>56</v>
      </c>
      <c r="Y256" s="12">
        <f>VLOOKUP($B256&amp;"__wt",'SegEnds_Xtal_BW#'!$A:$Z,25,FALSE)</f>
        <v>47</v>
      </c>
      <c r="Z256" s="12">
        <f>VLOOKUP($B256&amp;"__wt",'SegEnds_Xtal_BW#'!$A:$Z,26,FALSE)</f>
        <v>67</v>
      </c>
      <c r="AA256" s="37" t="str">
        <f>VLOOKUP(A256,Classification!A:B,2,FALSE)</f>
        <v>A</v>
      </c>
      <c r="AB256" s="12">
        <f>VLOOKUP(A256,'SegEnds_NonXtal_Prot#'!A:AL,10,FALSE)-VLOOKUP(A256,'SegEnds_NonXtal_Prot#'!A:AL,7,FALSE)</f>
        <v>15</v>
      </c>
      <c r="AC256" s="12">
        <f>VLOOKUP(A256,'SegEnds_NonXtal_Prot#'!A:AL,13,FALSE)-VLOOKUP(A256,'SegEnds_NonXtal_Prot#'!A:AL,10,FALSE)</f>
        <v>19</v>
      </c>
      <c r="AD256" s="12">
        <f>VLOOKUP(A256,'SegEnds_NonXtal_Prot#'!A:AL,16,FALSE)-VLOOKUP(A256,'SegEnds_NonXtal_Prot#'!A:AL,10,FALSE)</f>
        <v>51</v>
      </c>
      <c r="AE256" s="1">
        <f>VLOOKUP(A256,'SegEnds_NonXtal_Prot#'!A:AL,22,FALSE)-VLOOKUP(A256,'SegEnds_NonXtal_Prot#'!A:AL,19,FALSE)</f>
        <v>22</v>
      </c>
      <c r="AF256" s="12">
        <f>VLOOKUP(A256,'SegEnds_NonXtal_Prot#'!A:AL,28,FALSE)-VLOOKUP(A256,'SegEnds_NonXtal_Prot#'!A:AL,25,FALSE)</f>
        <v>29</v>
      </c>
      <c r="AG256" s="1">
        <f>VLOOKUP(A256,'SegEnds_NonXtal_Prot#'!A:AL,28,FALSE)-VLOOKUP(A256,'SegEnds_NonXtal_Prot#'!A:AL,22,FALSE)</f>
        <v>54</v>
      </c>
      <c r="AH256" s="12">
        <f>VLOOKUP(A256,'SegEnds_NonXtal_Prot#'!A:AL,31,FALSE)-VLOOKUP(A256,'SegEnds_NonXtal_Prot#'!A:AL,28,FALSE)</f>
        <v>43</v>
      </c>
      <c r="AI256" s="12">
        <f>VLOOKUP(A256,'SegEnds_NonXtal_Prot#'!A:AL,34,FALSE)-VLOOKUP(A256,'SegEnds_NonXtal_Prot#'!A:AL,31,FALSE)</f>
        <v>44</v>
      </c>
      <c r="AJ256" s="12" t="str">
        <f>IF(ISERROR(MATCH(A256,'SegEnds_Xtal_Prot#'!B:B, 0)), "NoXtal", "Xtal")</f>
        <v>NoXtal</v>
      </c>
    </row>
    <row r="257" spans="1:36" x14ac:dyDescent="0.2">
      <c r="A257" s="12" t="s">
        <v>175</v>
      </c>
      <c r="B257" s="12" t="str">
        <f>VLOOKUP(A257,Xtal_Templ!A:B,2,FALSE)</f>
        <v>ccr9_human</v>
      </c>
      <c r="C257" s="13">
        <f>VLOOKUP($B257&amp;"__wt",'SegEnds_Xtal_BW#'!$A:$Z,3,FALSE)</f>
        <v>27</v>
      </c>
      <c r="D257" s="12">
        <f>VLOOKUP($B257&amp;"__wt",'SegEnds_Xtal_BW#'!$A:$Z,4,FALSE)</f>
        <v>60</v>
      </c>
      <c r="E257" s="12">
        <f>VLOOKUP($B257&amp;"__wt",'SegEnds_Xtal_BW#'!$A:$Z,5,FALSE)</f>
        <v>48</v>
      </c>
      <c r="F257" s="12">
        <f>VLOOKUP($B257&amp;"__wt",'SegEnds_Xtal_BW#'!$A:$Z,6,FALSE)</f>
        <v>51</v>
      </c>
      <c r="G257" s="12">
        <v>37</v>
      </c>
      <c r="H257" s="12">
        <v>66</v>
      </c>
      <c r="I257" s="12">
        <f>VLOOKUP($B257&amp;"__wt",'SegEnds_Xtal_BW#'!$A:$Z,9,FALSE)</f>
        <v>49</v>
      </c>
      <c r="J257" s="12">
        <f>VLOOKUP($B257&amp;"__wt",'SegEnds_Xtal_BW#'!$A:$Z,10,FALSE)</f>
        <v>52</v>
      </c>
      <c r="K257" s="12">
        <v>24</v>
      </c>
      <c r="L257" s="12">
        <f>VLOOKUP($B257&amp;"__wt",'SegEnds_Xtal_BW#'!$A:$Z,12,FALSE)</f>
        <v>56</v>
      </c>
      <c r="M257" s="12">
        <f>VLOOKUP($B257&amp;"__wt",'SegEnds_Xtal_BW#'!$A:$Z,13,FALSE)</f>
        <v>50</v>
      </c>
      <c r="N257" s="12">
        <v>58</v>
      </c>
      <c r="O257" s="89">
        <v>38</v>
      </c>
      <c r="P257" s="12">
        <f>VLOOKUP($B257&amp;"__wt",'SegEnds_Xtal_BW#'!$A:$Z,16,FALSE)</f>
        <v>64</v>
      </c>
      <c r="Q257" s="12">
        <f>VLOOKUP($B257&amp;"__wt",'SegEnds_Xtal_BW#'!$A:$Z,17,FALSE)</f>
        <v>50</v>
      </c>
      <c r="R257" s="12">
        <f>VLOOKUP($B257&amp;"__wt",'SegEnds_Xtal_BW#'!$A:$Z,18,FALSE)</f>
        <v>52</v>
      </c>
      <c r="S257" s="12">
        <f>VLOOKUP($B257&amp;"__wt",'SegEnds_Xtal_BW#'!$A:$Z,19,FALSE)</f>
        <v>33</v>
      </c>
      <c r="T257" s="12">
        <f t="array" ref="T257">INDEX('ICL3'!$G$2:$G$40,MATCH(MIN(ABS(AH257-'ICL3'!$F$2:$F$40)),ABS(AH257-'ICL3'!$F$2:$F$40),0))</f>
        <v>68</v>
      </c>
      <c r="U257" s="12">
        <f t="array" ref="U257">INDEX('ICL3'!$H$2:$H$40,MATCH(MIN(ABS(AH257-'ICL3'!$F$2:$F$40)),ABS(AH257-'ICL3'!$F$2:$F$40),0))</f>
        <v>30</v>
      </c>
      <c r="V257" s="12">
        <v>65</v>
      </c>
      <c r="W257" s="12">
        <v>24</v>
      </c>
      <c r="X257" s="12">
        <f>VLOOKUP($B257&amp;"__wt",'SegEnds_Xtal_BW#'!$A:$Z,24,FALSE)</f>
        <v>56</v>
      </c>
      <c r="Y257" s="12">
        <f>VLOOKUP($B257&amp;"__wt",'SegEnds_Xtal_BW#'!$A:$Z,25,FALSE)</f>
        <v>47</v>
      </c>
      <c r="Z257" s="12">
        <f>VLOOKUP($B257&amp;"__wt",'SegEnds_Xtal_BW#'!$A:$Z,26,FALSE)</f>
        <v>67</v>
      </c>
      <c r="AA257" s="37" t="str">
        <f>VLOOKUP(A257,Classification!A:B,2,FALSE)</f>
        <v>A</v>
      </c>
      <c r="AB257" s="12">
        <f>VLOOKUP(A257,'SegEnds_NonXtal_Prot#'!A:AL,10,FALSE)-VLOOKUP(A257,'SegEnds_NonXtal_Prot#'!A:AL,7,FALSE)</f>
        <v>15</v>
      </c>
      <c r="AC257" s="12">
        <f>VLOOKUP(A257,'SegEnds_NonXtal_Prot#'!A:AL,13,FALSE)-VLOOKUP(A257,'SegEnds_NonXtal_Prot#'!A:AL,10,FALSE)</f>
        <v>18</v>
      </c>
      <c r="AD257" s="12">
        <f>VLOOKUP(A257,'SegEnds_NonXtal_Prot#'!A:AL,16,FALSE)-VLOOKUP(A257,'SegEnds_NonXtal_Prot#'!A:AL,10,FALSE)</f>
        <v>50</v>
      </c>
      <c r="AE257" s="1">
        <f>VLOOKUP(A257,'SegEnds_NonXtal_Prot#'!A:AL,22,FALSE)-VLOOKUP(A257,'SegEnds_NonXtal_Prot#'!A:AL,19,FALSE)</f>
        <v>22</v>
      </c>
      <c r="AF257" s="12">
        <f>VLOOKUP(A257,'SegEnds_NonXtal_Prot#'!A:AL,28,FALSE)-VLOOKUP(A257,'SegEnds_NonXtal_Prot#'!A:AL,25,FALSE)</f>
        <v>25</v>
      </c>
      <c r="AG257" s="1">
        <f>VLOOKUP(A257,'SegEnds_NonXtal_Prot#'!A:AL,28,FALSE)-VLOOKUP(A257,'SegEnds_NonXtal_Prot#'!A:AL,22,FALSE)</f>
        <v>52</v>
      </c>
      <c r="AH257" s="12">
        <f>VLOOKUP(A257,'SegEnds_NonXtal_Prot#'!A:AL,31,FALSE)-VLOOKUP(A257,'SegEnds_NonXtal_Prot#'!A:AL,28,FALSE)</f>
        <v>43</v>
      </c>
      <c r="AI257" s="12">
        <f>VLOOKUP(A257,'SegEnds_NonXtal_Prot#'!A:AL,34,FALSE)-VLOOKUP(A257,'SegEnds_NonXtal_Prot#'!A:AL,31,FALSE)</f>
        <v>45</v>
      </c>
      <c r="AJ257" s="12" t="str">
        <f>IF(ISERROR(MATCH(A257,'SegEnds_Xtal_Prot#'!B:B, 0)), "NoXtal", "Xtal")</f>
        <v>NoXtal</v>
      </c>
    </row>
    <row r="258" spans="1:36" x14ac:dyDescent="0.2">
      <c r="A258" s="12" t="s">
        <v>177</v>
      </c>
      <c r="B258" s="12" t="str">
        <f>VLOOKUP(A258,Xtal_Templ!A:B,2,FALSE)</f>
        <v>ccr9_human</v>
      </c>
      <c r="C258" s="13">
        <f>VLOOKUP($B258&amp;"__wt",'SegEnds_Xtal_BW#'!$A:$Z,3,FALSE)</f>
        <v>27</v>
      </c>
      <c r="D258" s="12">
        <f>VLOOKUP($B258&amp;"__wt",'SegEnds_Xtal_BW#'!$A:$Z,4,FALSE)</f>
        <v>60</v>
      </c>
      <c r="E258" s="12">
        <f>VLOOKUP($B258&amp;"__wt",'SegEnds_Xtal_BW#'!$A:$Z,5,FALSE)</f>
        <v>48</v>
      </c>
      <c r="F258" s="12">
        <f>VLOOKUP($B258&amp;"__wt",'SegEnds_Xtal_BW#'!$A:$Z,6,FALSE)</f>
        <v>51</v>
      </c>
      <c r="G258" s="12">
        <v>37</v>
      </c>
      <c r="H258" s="12">
        <v>66</v>
      </c>
      <c r="I258" s="12">
        <f>VLOOKUP($B258&amp;"__wt",'SegEnds_Xtal_BW#'!$A:$Z,9,FALSE)</f>
        <v>49</v>
      </c>
      <c r="J258" s="12">
        <f>VLOOKUP($B258&amp;"__wt",'SegEnds_Xtal_BW#'!$A:$Z,10,FALSE)</f>
        <v>52</v>
      </c>
      <c r="K258" s="12">
        <v>24</v>
      </c>
      <c r="L258" s="12">
        <f>VLOOKUP($B258&amp;"__wt",'SegEnds_Xtal_BW#'!$A:$Z,12,FALSE)</f>
        <v>56</v>
      </c>
      <c r="M258" s="12">
        <f>VLOOKUP($B258&amp;"__wt",'SegEnds_Xtal_BW#'!$A:$Z,13,FALSE)</f>
        <v>50</v>
      </c>
      <c r="N258" s="12">
        <f>VLOOKUP($B258&amp;"__wt",'SegEnds_Xtal_BW#'!$A:$Z,14,FALSE)</f>
        <v>56</v>
      </c>
      <c r="O258" s="89">
        <f>VLOOKUP($B258&amp;"__wt",'SegEnds_Xtal_BW#'!$A:$Z,15,FALSE)</f>
        <v>35</v>
      </c>
      <c r="P258" s="12">
        <f>VLOOKUP($B258&amp;"__wt",'SegEnds_Xtal_BW#'!$A:$Z,16,FALSE)</f>
        <v>64</v>
      </c>
      <c r="Q258" s="12">
        <f>VLOOKUP($B258&amp;"__wt",'SegEnds_Xtal_BW#'!$A:$Z,17,FALSE)</f>
        <v>50</v>
      </c>
      <c r="R258" s="12">
        <f>VLOOKUP($B258&amp;"__wt",'SegEnds_Xtal_BW#'!$A:$Z,18,FALSE)</f>
        <v>52</v>
      </c>
      <c r="S258" s="12">
        <f>VLOOKUP($B258&amp;"__wt",'SegEnds_Xtal_BW#'!$A:$Z,19,FALSE)</f>
        <v>33</v>
      </c>
      <c r="T258" s="12">
        <f t="array" ref="T258">INDEX('ICL3'!$G$2:$G$40,MATCH(MIN(ABS(AH258-'ICL3'!$F$2:$F$40)),ABS(AH258-'ICL3'!$F$2:$F$40),0))</f>
        <v>68</v>
      </c>
      <c r="U258" s="12">
        <f t="array" ref="U258">INDEX('ICL3'!$H$2:$H$40,MATCH(MIN(ABS(AH258-'ICL3'!$F$2:$F$40)),ABS(AH258-'ICL3'!$F$2:$F$40),0))</f>
        <v>30</v>
      </c>
      <c r="V258" s="12">
        <v>65</v>
      </c>
      <c r="W258" s="12">
        <v>24</v>
      </c>
      <c r="X258" s="12">
        <f>VLOOKUP($B258&amp;"__wt",'SegEnds_Xtal_BW#'!$A:$Z,24,FALSE)</f>
        <v>56</v>
      </c>
      <c r="Y258" s="12">
        <f>VLOOKUP($B258&amp;"__wt",'SegEnds_Xtal_BW#'!$A:$Z,25,FALSE)</f>
        <v>47</v>
      </c>
      <c r="Z258" s="12">
        <f>VLOOKUP($B258&amp;"__wt",'SegEnds_Xtal_BW#'!$A:$Z,26,FALSE)</f>
        <v>67</v>
      </c>
      <c r="AA258" s="37" t="str">
        <f>VLOOKUP(A258,Classification!A:B,2,FALSE)</f>
        <v>A</v>
      </c>
      <c r="AB258" s="12">
        <f>VLOOKUP(A258,'SegEnds_NonXtal_Prot#'!A:AL,10,FALSE)-VLOOKUP(A258,'SegEnds_NonXtal_Prot#'!A:AL,7,FALSE)</f>
        <v>15</v>
      </c>
      <c r="AC258" s="12">
        <f>VLOOKUP(A258,'SegEnds_NonXtal_Prot#'!A:AL,13,FALSE)-VLOOKUP(A258,'SegEnds_NonXtal_Prot#'!A:AL,10,FALSE)</f>
        <v>18</v>
      </c>
      <c r="AD258" s="12">
        <f>VLOOKUP(A258,'SegEnds_NonXtal_Prot#'!A:AL,16,FALSE)-VLOOKUP(A258,'SegEnds_NonXtal_Prot#'!A:AL,10,FALSE)</f>
        <v>50</v>
      </c>
      <c r="AE258" s="1">
        <f>VLOOKUP(A258,'SegEnds_NonXtal_Prot#'!A:AL,22,FALSE)-VLOOKUP(A258,'SegEnds_NonXtal_Prot#'!A:AL,19,FALSE)</f>
        <v>22</v>
      </c>
      <c r="AF258" s="12">
        <f>VLOOKUP(A258,'SegEnds_NonXtal_Prot#'!A:AL,28,FALSE)-VLOOKUP(A258,'SegEnds_NonXtal_Prot#'!A:AL,25,FALSE)</f>
        <v>28</v>
      </c>
      <c r="AG258" s="1">
        <f>VLOOKUP(A258,'SegEnds_NonXtal_Prot#'!A:AL,28,FALSE)-VLOOKUP(A258,'SegEnds_NonXtal_Prot#'!A:AL,22,FALSE)</f>
        <v>53</v>
      </c>
      <c r="AH258" s="12">
        <f>VLOOKUP(A258,'SegEnds_NonXtal_Prot#'!A:AL,31,FALSE)-VLOOKUP(A258,'SegEnds_NonXtal_Prot#'!A:AL,28,FALSE)</f>
        <v>43</v>
      </c>
      <c r="AI258" s="12">
        <f>VLOOKUP(A258,'SegEnds_NonXtal_Prot#'!A:AL,34,FALSE)-VLOOKUP(A258,'SegEnds_NonXtal_Prot#'!A:AL,31,FALSE)</f>
        <v>45</v>
      </c>
      <c r="AJ258" s="12" t="str">
        <f>IF(ISERROR(MATCH(A258,'SegEnds_Xtal_Prot#'!B:B, 0)), "NoXtal", "Xtal")</f>
        <v>Xtal</v>
      </c>
    </row>
    <row r="259" spans="1:36" x14ac:dyDescent="0.2">
      <c r="A259" s="12" t="s">
        <v>189</v>
      </c>
      <c r="B259" s="12" t="str">
        <f>VLOOKUP(A259,Xtal_Templ!A:B,2,FALSE)</f>
        <v>ccr9_human</v>
      </c>
      <c r="C259" s="13">
        <f>VLOOKUP($B259&amp;"__wt",'SegEnds_Xtal_BW#'!$A:$Z,3,FALSE)</f>
        <v>27</v>
      </c>
      <c r="D259" s="12">
        <f>VLOOKUP($B259&amp;"__wt",'SegEnds_Xtal_BW#'!$A:$Z,4,FALSE)</f>
        <v>60</v>
      </c>
      <c r="E259" s="12">
        <f>VLOOKUP($B259&amp;"__wt",'SegEnds_Xtal_BW#'!$A:$Z,5,FALSE)</f>
        <v>48</v>
      </c>
      <c r="F259" s="12">
        <f>VLOOKUP($B259&amp;"__wt",'SegEnds_Xtal_BW#'!$A:$Z,6,FALSE)</f>
        <v>51</v>
      </c>
      <c r="G259" s="12">
        <v>37</v>
      </c>
      <c r="H259" s="12">
        <v>66</v>
      </c>
      <c r="I259" s="12">
        <f>VLOOKUP($B259&amp;"__wt",'SegEnds_Xtal_BW#'!$A:$Z,9,FALSE)</f>
        <v>49</v>
      </c>
      <c r="J259" s="12">
        <f>VLOOKUP($B259&amp;"__wt",'SegEnds_Xtal_BW#'!$A:$Z,10,FALSE)</f>
        <v>52</v>
      </c>
      <c r="K259" s="12">
        <v>24</v>
      </c>
      <c r="L259" s="12">
        <f>VLOOKUP($B259&amp;"__wt",'SegEnds_Xtal_BW#'!$A:$Z,12,FALSE)</f>
        <v>56</v>
      </c>
      <c r="M259" s="12">
        <f>VLOOKUP($B259&amp;"__wt",'SegEnds_Xtal_BW#'!$A:$Z,13,FALSE)</f>
        <v>50</v>
      </c>
      <c r="N259" s="12">
        <v>58</v>
      </c>
      <c r="O259" s="89">
        <v>38</v>
      </c>
      <c r="P259" s="12">
        <f>VLOOKUP($B259&amp;"__wt",'SegEnds_Xtal_BW#'!$A:$Z,16,FALSE)</f>
        <v>64</v>
      </c>
      <c r="Q259" s="12">
        <f>VLOOKUP($B259&amp;"__wt",'SegEnds_Xtal_BW#'!$A:$Z,17,FALSE)</f>
        <v>50</v>
      </c>
      <c r="R259" s="12">
        <f>VLOOKUP($B259&amp;"__wt",'SegEnds_Xtal_BW#'!$A:$Z,18,FALSE)</f>
        <v>52</v>
      </c>
      <c r="S259" s="12">
        <f>VLOOKUP($B259&amp;"__wt",'SegEnds_Xtal_BW#'!$A:$Z,19,FALSE)</f>
        <v>33</v>
      </c>
      <c r="T259" s="12">
        <f t="array" ref="T259">INDEX('ICL3'!$G$2:$G$40,MATCH(MIN(ABS(AH259-'ICL3'!$F$2:$F$40)),ABS(AH259-'ICL3'!$F$2:$F$40),0))</f>
        <v>68</v>
      </c>
      <c r="U259" s="12">
        <f t="array" ref="U259">INDEX('ICL3'!$H$2:$H$40,MATCH(MIN(ABS(AH259-'ICL3'!$F$2:$F$40)),ABS(AH259-'ICL3'!$F$2:$F$40),0))</f>
        <v>30</v>
      </c>
      <c r="V259" s="12">
        <v>61</v>
      </c>
      <c r="W259" s="12">
        <v>28</v>
      </c>
      <c r="X259" s="12">
        <f>VLOOKUP($B259&amp;"__wt",'SegEnds_Xtal_BW#'!$A:$Z,24,FALSE)</f>
        <v>56</v>
      </c>
      <c r="Y259" s="12">
        <f>VLOOKUP($B259&amp;"__wt",'SegEnds_Xtal_BW#'!$A:$Z,25,FALSE)</f>
        <v>47</v>
      </c>
      <c r="Z259" s="12">
        <f>VLOOKUP($B259&amp;"__wt",'SegEnds_Xtal_BW#'!$A:$Z,26,FALSE)</f>
        <v>67</v>
      </c>
      <c r="AA259" s="37" t="str">
        <f>VLOOKUP(A259,Classification!A:B,2,FALSE)</f>
        <v>A</v>
      </c>
      <c r="AB259" s="12">
        <f>VLOOKUP(A259,'SegEnds_NonXtal_Prot#'!A:AL,10,FALSE)-VLOOKUP(A259,'SegEnds_NonXtal_Prot#'!A:AL,7,FALSE)</f>
        <v>15</v>
      </c>
      <c r="AC259" s="12">
        <f>VLOOKUP(A259,'SegEnds_NonXtal_Prot#'!A:AL,13,FALSE)-VLOOKUP(A259,'SegEnds_NonXtal_Prot#'!A:AL,10,FALSE)</f>
        <v>18</v>
      </c>
      <c r="AD259" s="12">
        <f>VLOOKUP(A259,'SegEnds_NonXtal_Prot#'!A:AL,16,FALSE)-VLOOKUP(A259,'SegEnds_NonXtal_Prot#'!A:AL,10,FALSE)</f>
        <v>50</v>
      </c>
      <c r="AE259" s="1">
        <f>VLOOKUP(A259,'SegEnds_NonXtal_Prot#'!A:AL,22,FALSE)-VLOOKUP(A259,'SegEnds_NonXtal_Prot#'!A:AL,19,FALSE)</f>
        <v>22</v>
      </c>
      <c r="AF259" s="12">
        <f>VLOOKUP(A259,'SegEnds_NonXtal_Prot#'!A:AL,28,FALSE)-VLOOKUP(A259,'SegEnds_NonXtal_Prot#'!A:AL,25,FALSE)</f>
        <v>23</v>
      </c>
      <c r="AG259" s="1">
        <f>VLOOKUP(A259,'SegEnds_NonXtal_Prot#'!A:AL,28,FALSE)-VLOOKUP(A259,'SegEnds_NonXtal_Prot#'!A:AL,22,FALSE)</f>
        <v>47</v>
      </c>
      <c r="AH259" s="12">
        <f>VLOOKUP(A259,'SegEnds_NonXtal_Prot#'!A:AL,31,FALSE)-VLOOKUP(A259,'SegEnds_NonXtal_Prot#'!A:AL,28,FALSE)</f>
        <v>43</v>
      </c>
      <c r="AI259" s="12">
        <f>VLOOKUP(A259,'SegEnds_NonXtal_Prot#'!A:AL,34,FALSE)-VLOOKUP(A259,'SegEnds_NonXtal_Prot#'!A:AL,31,FALSE)</f>
        <v>39</v>
      </c>
      <c r="AJ259" s="12" t="str">
        <f>IF(ISERROR(MATCH(A259,'SegEnds_Xtal_Prot#'!B:B, 0)), "NoXtal", "Xtal")</f>
        <v>NoXtal</v>
      </c>
    </row>
    <row r="260" spans="1:36" x14ac:dyDescent="0.2">
      <c r="A260" s="1" t="s">
        <v>192</v>
      </c>
      <c r="B260" s="1" t="str">
        <f>VLOOKUP(A260,Xtal_Templ!A:B,2,FALSE)</f>
        <v>drd3_human</v>
      </c>
      <c r="C260" s="5">
        <f>VLOOKUP($B260&amp;"__wt",'SegEnds_Xtal_BW#'!$A:$Z,3,FALSE)</f>
        <v>29</v>
      </c>
      <c r="D260" s="1">
        <f>VLOOKUP($B260&amp;"__wt",'SegEnds_Xtal_BW#'!$A:$Z,4,FALSE)</f>
        <v>60</v>
      </c>
      <c r="E260" s="1">
        <f>VLOOKUP($B260&amp;"__wt",'SegEnds_Xtal_BW#'!$A:$Z,5,FALSE)</f>
        <v>48</v>
      </c>
      <c r="F260" s="1">
        <f>VLOOKUP($B260&amp;"__wt",'SegEnds_Xtal_BW#'!$A:$Z,6,FALSE)</f>
        <v>51</v>
      </c>
      <c r="G260" s="1">
        <v>37</v>
      </c>
      <c r="H260" s="12">
        <f>VLOOKUP($B260&amp;"__wt",'SegEnds_Xtal_BW#'!$A:$Z,8,FALSE)</f>
        <v>67</v>
      </c>
      <c r="I260" s="1">
        <f>VLOOKUP($B260&amp;"__wt",'SegEnds_Xtal_BW#'!$A:$Z,9,FALSE)</f>
        <v>49</v>
      </c>
      <c r="J260" s="1">
        <f>VLOOKUP($B260&amp;"__wt",'SegEnds_Xtal_BW#'!$A:$Z,10,FALSE)</f>
        <v>52</v>
      </c>
      <c r="K260" s="12">
        <v>18</v>
      </c>
      <c r="L260" s="1">
        <f>VLOOKUP($B260&amp;"__wt",'SegEnds_Xtal_BW#'!$A:$Z,12,FALSE)</f>
        <v>56</v>
      </c>
      <c r="M260" s="1">
        <f>VLOOKUP($B260&amp;"__wt",'SegEnds_Xtal_BW#'!$A:$Z,13,FALSE)</f>
        <v>50</v>
      </c>
      <c r="N260" s="12">
        <f>VLOOKUP($B260&amp;"__wt",'SegEnds_Xtal_BW#'!$A:$Z,14,FALSE)</f>
        <v>58</v>
      </c>
      <c r="O260" s="89">
        <f>VLOOKUP($B260&amp;"__wt",'SegEnds_Xtal_BW#'!$A:$Z,15,FALSE)</f>
        <v>38</v>
      </c>
      <c r="P260" s="1">
        <f>VLOOKUP($B260&amp;"__wt",'SegEnds_Xtal_BW#'!$A:$Z,16,FALSE)</f>
        <v>63</v>
      </c>
      <c r="Q260" s="1">
        <f>VLOOKUP($B260&amp;"__wt",'SegEnds_Xtal_BW#'!$A:$Z,17,FALSE)</f>
        <v>50</v>
      </c>
      <c r="R260" s="1">
        <f>VLOOKUP($B260&amp;"__wt",'SegEnds_Xtal_BW#'!$A:$Z,18,FALSE)</f>
        <v>52</v>
      </c>
      <c r="S260" s="1">
        <v>35</v>
      </c>
      <c r="T260" s="1">
        <f t="array" ref="T260">INDEX('ICL3'!$G$2:$G$40,MATCH(MIN(ABS(AH260-'ICL3'!$F$2:$F$40)),ABS(AH260-'ICL3'!$F$2:$F$40),0))</f>
        <v>76</v>
      </c>
      <c r="U260" s="1">
        <f t="array" ref="U260">INDEX('ICL3'!$H$2:$H$40,MATCH(MIN(ABS(AH260-'ICL3'!$F$2:$F$40)),ABS(AH260-'ICL3'!$F$2:$F$40),0))</f>
        <v>24</v>
      </c>
      <c r="V260" s="1">
        <v>60</v>
      </c>
      <c r="W260" s="1">
        <v>31</v>
      </c>
      <c r="X260" s="1">
        <f>VLOOKUP($B260&amp;"__wt",'SegEnds_Xtal_BW#'!$A:$Z,24,FALSE)</f>
        <v>56</v>
      </c>
      <c r="Y260" s="1">
        <f>VLOOKUP($B260&amp;"__wt",'SegEnds_Xtal_BW#'!$A:$Z,25,FALSE)</f>
        <v>47</v>
      </c>
      <c r="Z260" s="1">
        <f>VLOOKUP($B260&amp;"__wt",'SegEnds_Xtal_BW#'!$A:$Z,26,FALSE)</f>
        <v>59</v>
      </c>
      <c r="AA260" s="27" t="str">
        <f>VLOOKUP(A260,Classification!A:B,2,FALSE)</f>
        <v>A</v>
      </c>
      <c r="AB260" s="1">
        <f>VLOOKUP(A260,'SegEnds_NonXtal_Prot#'!A:AL,10,FALSE)-VLOOKUP(A260,'SegEnds_NonXtal_Prot#'!A:AL,7,FALSE)</f>
        <v>15</v>
      </c>
      <c r="AC260" s="1">
        <f>VLOOKUP(A260,'SegEnds_NonXtal_Prot#'!A:AL,13,FALSE)-VLOOKUP(A260,'SegEnds_NonXtal_Prot#'!A:AL,10,FALSE)</f>
        <v>21</v>
      </c>
      <c r="AD260" s="1">
        <f>VLOOKUP(A260,'SegEnds_NonXtal_Prot#'!A:AL,16,FALSE)-VLOOKUP(A260,'SegEnds_NonXtal_Prot#'!A:AL,10,FALSE)</f>
        <v>53</v>
      </c>
      <c r="AE260" s="1">
        <f>VLOOKUP(A260,'SegEnds_NonXtal_Prot#'!A:AL,22,FALSE)-VLOOKUP(A260,'SegEnds_NonXtal_Prot#'!A:AL,19,FALSE)</f>
        <v>23</v>
      </c>
      <c r="AF260" s="1">
        <f>VLOOKUP(A260,'SegEnds_NonXtal_Prot#'!A:AL,28,FALSE)-VLOOKUP(A260,'SegEnds_NonXtal_Prot#'!A:AL,25,FALSE)</f>
        <v>19</v>
      </c>
      <c r="AG260" s="1">
        <f>VLOOKUP(A260,'SegEnds_NonXtal_Prot#'!A:AL,28,FALSE)-VLOOKUP(A260,'SegEnds_NonXtal_Prot#'!A:AL,22,FALSE)</f>
        <v>42</v>
      </c>
      <c r="AH260" s="1">
        <f>VLOOKUP(A260,'SegEnds_NonXtal_Prot#'!A:AL,31,FALSE)-VLOOKUP(A260,'SegEnds_NonXtal_Prot#'!A:AL,28,FALSE)</f>
        <v>144</v>
      </c>
      <c r="AI260" s="1">
        <f>VLOOKUP(A260,'SegEnds_NonXtal_Prot#'!A:AL,34,FALSE)-VLOOKUP(A260,'SegEnds_NonXtal_Prot#'!A:AL,31,FALSE)</f>
        <v>36</v>
      </c>
      <c r="AJ260" s="1" t="str">
        <f>IF(ISERROR(MATCH(A260,'SegEnds_Xtal_Prot#'!B:B, 0)), "NoXtal", "Xtal")</f>
        <v>Xtal</v>
      </c>
    </row>
    <row r="261" spans="1:36" x14ac:dyDescent="0.2">
      <c r="A261" s="1" t="s">
        <v>142</v>
      </c>
      <c r="B261" s="1" t="str">
        <f>VLOOKUP(A261,Xtal_Templ!A:B,2,FALSE)</f>
        <v>ccr9_human</v>
      </c>
      <c r="C261" s="5">
        <f>VLOOKUP($B261&amp;"__wt",'SegEnds_Xtal_BW#'!$A:$Z,3,FALSE)</f>
        <v>27</v>
      </c>
      <c r="D261" s="1">
        <f>VLOOKUP($B261&amp;"__wt",'SegEnds_Xtal_BW#'!$A:$Z,4,FALSE)</f>
        <v>60</v>
      </c>
      <c r="E261" s="1">
        <f>VLOOKUP($B261&amp;"__wt",'SegEnds_Xtal_BW#'!$A:$Z,5,FALSE)</f>
        <v>48</v>
      </c>
      <c r="F261" s="1">
        <f>VLOOKUP($B261&amp;"__wt",'SegEnds_Xtal_BW#'!$A:$Z,6,FALSE)</f>
        <v>51</v>
      </c>
      <c r="G261" s="1">
        <v>37</v>
      </c>
      <c r="H261" s="12">
        <v>66</v>
      </c>
      <c r="I261" s="1">
        <f>VLOOKUP($B261&amp;"__wt",'SegEnds_Xtal_BW#'!$A:$Z,9,FALSE)</f>
        <v>49</v>
      </c>
      <c r="J261" s="1">
        <f>VLOOKUP($B261&amp;"__wt",'SegEnds_Xtal_BW#'!$A:$Z,10,FALSE)</f>
        <v>52</v>
      </c>
      <c r="K261" s="12">
        <v>24</v>
      </c>
      <c r="L261" s="1">
        <f>VLOOKUP($B261&amp;"__wt",'SegEnds_Xtal_BW#'!$A:$Z,12,FALSE)</f>
        <v>56</v>
      </c>
      <c r="M261" s="1">
        <f>VLOOKUP($B261&amp;"__wt",'SegEnds_Xtal_BW#'!$A:$Z,13,FALSE)</f>
        <v>50</v>
      </c>
      <c r="N261" s="12">
        <f>VLOOKUP($B261&amp;"__wt",'SegEnds_Xtal_BW#'!$A:$Z,14,FALSE)</f>
        <v>56</v>
      </c>
      <c r="O261" s="89">
        <v>38</v>
      </c>
      <c r="P261" s="1">
        <f>VLOOKUP($B261&amp;"__wt",'SegEnds_Xtal_BW#'!$A:$Z,16,FALSE)</f>
        <v>64</v>
      </c>
      <c r="Q261" s="1">
        <f>VLOOKUP($B261&amp;"__wt",'SegEnds_Xtal_BW#'!$A:$Z,17,FALSE)</f>
        <v>50</v>
      </c>
      <c r="R261" s="1">
        <f>VLOOKUP($B261&amp;"__wt",'SegEnds_Xtal_BW#'!$A:$Z,18,FALSE)</f>
        <v>52</v>
      </c>
      <c r="S261" s="1">
        <f>VLOOKUP($B261&amp;"__wt",'SegEnds_Xtal_BW#'!$A:$Z,19,FALSE)</f>
        <v>33</v>
      </c>
      <c r="T261" s="1">
        <f t="array" ref="T261">INDEX('ICL3'!$G$2:$G$40,MATCH(MIN(ABS(AH261-'ICL3'!$F$2:$F$40)),ABS(AH261-'ICL3'!$F$2:$F$40),0))</f>
        <v>64</v>
      </c>
      <c r="U261" s="1">
        <f t="array" ref="U261">INDEX('ICL3'!$H$2:$H$40,MATCH(MIN(ABS(AH261-'ICL3'!$F$2:$F$40)),ABS(AH261-'ICL3'!$F$2:$F$40),0))</f>
        <v>34</v>
      </c>
      <c r="V261" s="1">
        <v>64</v>
      </c>
      <c r="W261" s="1">
        <v>24</v>
      </c>
      <c r="X261" s="1">
        <f>VLOOKUP($B261&amp;"__wt",'SegEnds_Xtal_BW#'!$A:$Z,24,FALSE)</f>
        <v>56</v>
      </c>
      <c r="Y261" s="1">
        <f>VLOOKUP($B261&amp;"__wt",'SegEnds_Xtal_BW#'!$A:$Z,25,FALSE)</f>
        <v>47</v>
      </c>
      <c r="Z261" s="1">
        <f>VLOOKUP($B261&amp;"__wt",'SegEnds_Xtal_BW#'!$A:$Z,26,FALSE)</f>
        <v>67</v>
      </c>
      <c r="AA261" s="27" t="str">
        <f>VLOOKUP(A261,Classification!A:B,2,FALSE)</f>
        <v>A</v>
      </c>
      <c r="AB261" s="1" t="e">
        <f>VLOOKUP(A261,'SegEnds_NonXtal_Prot#'!A:AL,10,FALSE)-VLOOKUP(A261,'SegEnds_NonXtal_Prot#'!A:AL,7,FALSE)</f>
        <v>#VALUE!</v>
      </c>
      <c r="AC261" s="1" t="e">
        <f>VLOOKUP(A261,'SegEnds_NonXtal_Prot#'!A:AL,13,FALSE)-VLOOKUP(A261,'SegEnds_NonXtal_Prot#'!A:AL,10,FALSE)</f>
        <v>#VALUE!</v>
      </c>
      <c r="AD261" s="1">
        <f>VLOOKUP(A261,'SegEnds_NonXtal_Prot#'!A:AL,16,FALSE)-VLOOKUP(A261,'SegEnds_NonXtal_Prot#'!A:AL,10,FALSE)</f>
        <v>48</v>
      </c>
      <c r="AE261" s="1" t="e">
        <f>VLOOKUP(A261,'SegEnds_NonXtal_Prot#'!A:AL,22,FALSE)-VLOOKUP(A261,'SegEnds_NonXtal_Prot#'!A:AL,19,FALSE)</f>
        <v>#VALUE!</v>
      </c>
      <c r="AF261" s="1">
        <f>VLOOKUP(A261,'SegEnds_NonXtal_Prot#'!A:AL,28,FALSE)-VLOOKUP(A261,'SegEnds_NonXtal_Prot#'!A:AL,25,FALSE)</f>
        <v>23</v>
      </c>
      <c r="AG261" s="1">
        <f>VLOOKUP(A261,'SegEnds_NonXtal_Prot#'!A:AL,28,FALSE)-VLOOKUP(A261,'SegEnds_NonXtal_Prot#'!A:AL,22,FALSE)</f>
        <v>44</v>
      </c>
      <c r="AH261" s="1">
        <f>VLOOKUP(A261,'SegEnds_NonXtal_Prot#'!A:AL,31,FALSE)-VLOOKUP(A261,'SegEnds_NonXtal_Prot#'!A:AL,28,FALSE)</f>
        <v>37</v>
      </c>
      <c r="AI261" s="1">
        <f>VLOOKUP(A261,'SegEnds_NonXtal_Prot#'!A:AL,34,FALSE)-VLOOKUP(A261,'SegEnds_NonXtal_Prot#'!A:AL,31,FALSE)</f>
        <v>46</v>
      </c>
      <c r="AJ261" s="1" t="str">
        <f>IF(ISERROR(MATCH(A261,'SegEnds_Xtal_Prot#'!B:B, 0)), "NoXtal", "Xtal")</f>
        <v>NoXtal</v>
      </c>
    </row>
    <row r="262" spans="1:36" x14ac:dyDescent="0.2">
      <c r="A262" s="1" t="s">
        <v>144</v>
      </c>
      <c r="B262" s="1" t="str">
        <f>VLOOKUP(A262,Xtal_Templ!A:B,2,FALSE)</f>
        <v>agtr1_human</v>
      </c>
      <c r="C262" s="5">
        <f>VLOOKUP($B262&amp;"__wt",'SegEnds_Xtal_BW#'!$A:$Z,3,FALSE)</f>
        <v>30</v>
      </c>
      <c r="D262" s="1">
        <f>VLOOKUP($B262&amp;"__wt",'SegEnds_Xtal_BW#'!$A:$Z,4,FALSE)</f>
        <v>60</v>
      </c>
      <c r="E262" s="1">
        <f>VLOOKUP($B262&amp;"__wt",'SegEnds_Xtal_BW#'!$A:$Z,5,FALSE)</f>
        <v>48</v>
      </c>
      <c r="F262" s="1">
        <f>VLOOKUP($B262&amp;"__wt",'SegEnds_Xtal_BW#'!$A:$Z,6,FALSE)</f>
        <v>51</v>
      </c>
      <c r="G262" s="1">
        <v>37</v>
      </c>
      <c r="H262" s="12">
        <f>VLOOKUP($B262&amp;"__wt",'SegEnds_Xtal_BW#'!$A:$Z,8,FALSE)</f>
        <v>66</v>
      </c>
      <c r="I262" s="1">
        <f>VLOOKUP($B262&amp;"__wt",'SegEnds_Xtal_BW#'!$A:$Z,9,FALSE)</f>
        <v>49</v>
      </c>
      <c r="J262" s="1">
        <f>VLOOKUP($B262&amp;"__wt",'SegEnds_Xtal_BW#'!$A:$Z,10,FALSE)</f>
        <v>52</v>
      </c>
      <c r="K262" s="12">
        <v>21</v>
      </c>
      <c r="L262" s="1">
        <f>VLOOKUP($B262&amp;"__wt",'SegEnds_Xtal_BW#'!$A:$Z,12,FALSE)</f>
        <v>56</v>
      </c>
      <c r="M262" s="1">
        <f>VLOOKUP($B262&amp;"__wt",'SegEnds_Xtal_BW#'!$A:$Z,13,FALSE)</f>
        <v>50</v>
      </c>
      <c r="N262" s="12">
        <f>VLOOKUP($B262&amp;"__wt",'SegEnds_Xtal_BW#'!$A:$Z,14,FALSE)</f>
        <v>57</v>
      </c>
      <c r="O262" s="89">
        <f>VLOOKUP($B262&amp;"__wt",'SegEnds_Xtal_BW#'!$A:$Z,15,FALSE)</f>
        <v>38</v>
      </c>
      <c r="P262" s="1">
        <f>VLOOKUP($B262&amp;"__wt",'SegEnds_Xtal_BW#'!$A:$Z,16,FALSE)</f>
        <v>64</v>
      </c>
      <c r="Q262" s="1">
        <f>VLOOKUP($B262&amp;"__wt",'SegEnds_Xtal_BW#'!$A:$Z,17,FALSE)</f>
        <v>50</v>
      </c>
      <c r="R262" s="1">
        <f>VLOOKUP($B262&amp;"__wt",'SegEnds_Xtal_BW#'!$A:$Z,18,FALSE)</f>
        <v>52</v>
      </c>
      <c r="S262" s="1">
        <f>VLOOKUP($B262&amp;"__wt",'SegEnds_Xtal_BW#'!$A:$Z,19,FALSE)</f>
        <v>34</v>
      </c>
      <c r="T262" s="1">
        <f t="array" ref="T262">INDEX('ICL3'!$G$2:$G$40,MATCH(MIN(ABS(AH262-'ICL3'!$F$2:$F$40)),ABS(AH262-'ICL3'!$F$2:$F$40),0))</f>
        <v>68</v>
      </c>
      <c r="U262" s="1">
        <f t="array" ref="U262">INDEX('ICL3'!$H$2:$H$40,MATCH(MIN(ABS(AH262-'ICL3'!$F$2:$F$40)),ABS(AH262-'ICL3'!$F$2:$F$40),0))</f>
        <v>30</v>
      </c>
      <c r="V262" s="1">
        <v>64</v>
      </c>
      <c r="W262" s="1">
        <v>24</v>
      </c>
      <c r="X262" s="1">
        <f>VLOOKUP($B262&amp;"__wt",'SegEnds_Xtal_BW#'!$A:$Z,24,FALSE)</f>
        <v>56</v>
      </c>
      <c r="Y262" s="1">
        <f>VLOOKUP($B262&amp;"__wt",'SegEnds_Xtal_BW#'!$A:$Z,25,FALSE)</f>
        <v>47</v>
      </c>
      <c r="Z262" s="1">
        <f>VLOOKUP($B262&amp;"__wt",'SegEnds_Xtal_BW#'!$A:$Z,26,FALSE)</f>
        <v>61</v>
      </c>
      <c r="AA262" s="27" t="str">
        <f>VLOOKUP(A262,Classification!A:B,2,FALSE)</f>
        <v>A</v>
      </c>
      <c r="AB262" s="1">
        <f>VLOOKUP(A262,'SegEnds_NonXtal_Prot#'!A:AL,10,FALSE)-VLOOKUP(A262,'SegEnds_NonXtal_Prot#'!A:AL,7,FALSE)</f>
        <v>15</v>
      </c>
      <c r="AC262" s="1">
        <f>VLOOKUP(A262,'SegEnds_NonXtal_Prot#'!A:AL,13,FALSE)-VLOOKUP(A262,'SegEnds_NonXtal_Prot#'!A:AL,10,FALSE)</f>
        <v>20</v>
      </c>
      <c r="AD262" s="1">
        <f>VLOOKUP(A262,'SegEnds_NonXtal_Prot#'!A:AL,16,FALSE)-VLOOKUP(A262,'SegEnds_NonXtal_Prot#'!A:AL,10,FALSE)</f>
        <v>52</v>
      </c>
      <c r="AE262" s="1" t="e">
        <f>VLOOKUP(A262,'SegEnds_NonXtal_Prot#'!A:AL,22,FALSE)-VLOOKUP(A262,'SegEnds_NonXtal_Prot#'!A:AL,19,FALSE)</f>
        <v>#VALUE!</v>
      </c>
      <c r="AF262" s="1">
        <f>VLOOKUP(A262,'SegEnds_NonXtal_Prot#'!A:AL,28,FALSE)-VLOOKUP(A262,'SegEnds_NonXtal_Prot#'!A:AL,25,FALSE)</f>
        <v>28</v>
      </c>
      <c r="AG262" s="1">
        <f>VLOOKUP(A262,'SegEnds_NonXtal_Prot#'!A:AL,28,FALSE)-VLOOKUP(A262,'SegEnds_NonXtal_Prot#'!A:AL,22,FALSE)</f>
        <v>55</v>
      </c>
      <c r="AH262" s="1">
        <f>VLOOKUP(A262,'SegEnds_NonXtal_Prot#'!A:AL,31,FALSE)-VLOOKUP(A262,'SegEnds_NonXtal_Prot#'!A:AL,28,FALSE)</f>
        <v>43</v>
      </c>
      <c r="AI262" s="1">
        <f>VLOOKUP(A262,'SegEnds_NonXtal_Prot#'!A:AL,34,FALSE)-VLOOKUP(A262,'SegEnds_NonXtal_Prot#'!A:AL,31,FALSE)</f>
        <v>45</v>
      </c>
      <c r="AJ262" s="1" t="str">
        <f>IF(ISERROR(MATCH(A262,'SegEnds_Xtal_Prot#'!B:B, 0)), "NoXtal", "Xtal")</f>
        <v>NoXtal</v>
      </c>
    </row>
    <row r="263" spans="1:36" x14ac:dyDescent="0.2">
      <c r="A263" s="1" t="s">
        <v>145</v>
      </c>
      <c r="B263" s="1" t="str">
        <f>VLOOKUP(A263,Xtal_Templ!A:B,2,FALSE)</f>
        <v>ccr9_human</v>
      </c>
      <c r="C263" s="5">
        <f>VLOOKUP($B263&amp;"__wt",'SegEnds_Xtal_BW#'!$A:$Z,3,FALSE)</f>
        <v>27</v>
      </c>
      <c r="D263" s="1">
        <f>VLOOKUP($B263&amp;"__wt",'SegEnds_Xtal_BW#'!$A:$Z,4,FALSE)</f>
        <v>60</v>
      </c>
      <c r="E263" s="1">
        <f>VLOOKUP($B263&amp;"__wt",'SegEnds_Xtal_BW#'!$A:$Z,5,FALSE)</f>
        <v>48</v>
      </c>
      <c r="F263" s="1">
        <f>VLOOKUP($B263&amp;"__wt",'SegEnds_Xtal_BW#'!$A:$Z,6,FALSE)</f>
        <v>51</v>
      </c>
      <c r="G263" s="1">
        <v>37</v>
      </c>
      <c r="H263" s="12">
        <v>66</v>
      </c>
      <c r="I263" s="1">
        <f>VLOOKUP($B263&amp;"__wt",'SegEnds_Xtal_BW#'!$A:$Z,9,FALSE)</f>
        <v>49</v>
      </c>
      <c r="J263" s="1">
        <f>VLOOKUP($B263&amp;"__wt",'SegEnds_Xtal_BW#'!$A:$Z,10,FALSE)</f>
        <v>52</v>
      </c>
      <c r="K263" s="111">
        <v>21</v>
      </c>
      <c r="L263" s="1">
        <f>VLOOKUP($B263&amp;"__wt",'SegEnds_Xtal_BW#'!$A:$Z,12,FALSE)</f>
        <v>56</v>
      </c>
      <c r="M263" s="1">
        <f>VLOOKUP($B263&amp;"__wt",'SegEnds_Xtal_BW#'!$A:$Z,13,FALSE)</f>
        <v>50</v>
      </c>
      <c r="N263" s="12">
        <f>VLOOKUP($B263&amp;"__wt",'SegEnds_Xtal_BW#'!$A:$Z,14,FALSE)</f>
        <v>56</v>
      </c>
      <c r="O263" s="89">
        <v>38</v>
      </c>
      <c r="P263" s="1">
        <f>VLOOKUP($B263&amp;"__wt",'SegEnds_Xtal_BW#'!$A:$Z,16,FALSE)</f>
        <v>64</v>
      </c>
      <c r="Q263" s="1">
        <f>VLOOKUP($B263&amp;"__wt",'SegEnds_Xtal_BW#'!$A:$Z,17,FALSE)</f>
        <v>50</v>
      </c>
      <c r="R263" s="1">
        <f>VLOOKUP($B263&amp;"__wt",'SegEnds_Xtal_BW#'!$A:$Z,18,FALSE)</f>
        <v>52</v>
      </c>
      <c r="S263" s="1">
        <f>VLOOKUP($B263&amp;"__wt",'SegEnds_Xtal_BW#'!$A:$Z,19,FALSE)</f>
        <v>33</v>
      </c>
      <c r="T263" s="1">
        <f t="array" ref="T263">INDEX('ICL3'!$G$2:$G$40,MATCH(MIN(ABS(AH263-'ICL3'!$F$2:$F$40)),ABS(AH263-'ICL3'!$F$2:$F$40),0))</f>
        <v>68</v>
      </c>
      <c r="U263" s="1">
        <f t="array" ref="U263">INDEX('ICL3'!$H$2:$H$40,MATCH(MIN(ABS(AH263-'ICL3'!$F$2:$F$40)),ABS(AH263-'ICL3'!$F$2:$F$40),0))</f>
        <v>30</v>
      </c>
      <c r="V263" s="1">
        <v>64</v>
      </c>
      <c r="W263" s="1">
        <v>24</v>
      </c>
      <c r="X263" s="1">
        <f>VLOOKUP($B263&amp;"__wt",'SegEnds_Xtal_BW#'!$A:$Z,24,FALSE)</f>
        <v>56</v>
      </c>
      <c r="Y263" s="1">
        <f>VLOOKUP($B263&amp;"__wt",'SegEnds_Xtal_BW#'!$A:$Z,25,FALSE)</f>
        <v>47</v>
      </c>
      <c r="Z263" s="1">
        <f>VLOOKUP($B263&amp;"__wt",'SegEnds_Xtal_BW#'!$A:$Z,26,FALSE)</f>
        <v>67</v>
      </c>
      <c r="AA263" s="27" t="str">
        <f>VLOOKUP(A263,Classification!A:B,2,FALSE)</f>
        <v>A</v>
      </c>
      <c r="AB263" s="1">
        <f>VLOOKUP(A263,'SegEnds_NonXtal_Prot#'!A:AL,10,FALSE)-VLOOKUP(A263,'SegEnds_NonXtal_Prot#'!A:AL,7,FALSE)</f>
        <v>15</v>
      </c>
      <c r="AC263" s="1">
        <f>VLOOKUP(A263,'SegEnds_NonXtal_Prot#'!A:AL,13,FALSE)-VLOOKUP(A263,'SegEnds_NonXtal_Prot#'!A:AL,10,FALSE)</f>
        <v>18</v>
      </c>
      <c r="AD263" s="1">
        <f>VLOOKUP(A263,'SegEnds_NonXtal_Prot#'!A:AL,16,FALSE)-VLOOKUP(A263,'SegEnds_NonXtal_Prot#'!A:AL,10,FALSE)</f>
        <v>50</v>
      </c>
      <c r="AE263" s="1" t="e">
        <f>VLOOKUP(A263,'SegEnds_NonXtal_Prot#'!A:AL,22,FALSE)-VLOOKUP(A263,'SegEnds_NonXtal_Prot#'!A:AL,19,FALSE)</f>
        <v>#VALUE!</v>
      </c>
      <c r="AF263" s="1">
        <f>VLOOKUP(A263,'SegEnds_NonXtal_Prot#'!A:AL,28,FALSE)-VLOOKUP(A263,'SegEnds_NonXtal_Prot#'!A:AL,25,FALSE)</f>
        <v>28</v>
      </c>
      <c r="AG263" s="1">
        <f>VLOOKUP(A263,'SegEnds_NonXtal_Prot#'!A:AL,28,FALSE)-VLOOKUP(A263,'SegEnds_NonXtal_Prot#'!A:AL,22,FALSE)</f>
        <v>50</v>
      </c>
      <c r="AH263" s="1">
        <f>VLOOKUP(A263,'SegEnds_NonXtal_Prot#'!A:AL,31,FALSE)-VLOOKUP(A263,'SegEnds_NonXtal_Prot#'!A:AL,28,FALSE)</f>
        <v>43</v>
      </c>
      <c r="AI263" s="1">
        <f>VLOOKUP(A263,'SegEnds_NonXtal_Prot#'!A:AL,34,FALSE)-VLOOKUP(A263,'SegEnds_NonXtal_Prot#'!A:AL,31,FALSE)</f>
        <v>45</v>
      </c>
      <c r="AJ263" s="1" t="str">
        <f>IF(ISERROR(MATCH(A263,'SegEnds_Xtal_Prot#'!B:B, 0)), "NoXtal", "Xtal")</f>
        <v>NoXtal</v>
      </c>
    </row>
    <row r="264" spans="1:36" x14ac:dyDescent="0.2">
      <c r="A264" s="1" t="s">
        <v>169</v>
      </c>
      <c r="B264" s="1" t="str">
        <f>VLOOKUP(A264,Xtal_Templ!A:B,2,FALSE)</f>
        <v>ccr9_human</v>
      </c>
      <c r="C264" s="5">
        <f>VLOOKUP($B264&amp;"__wt",'SegEnds_Xtal_BW#'!$A:$Z,3,FALSE)</f>
        <v>27</v>
      </c>
      <c r="D264" s="1">
        <f>VLOOKUP($B264&amp;"__wt",'SegEnds_Xtal_BW#'!$A:$Z,4,FALSE)</f>
        <v>60</v>
      </c>
      <c r="E264" s="1">
        <f>VLOOKUP($B264&amp;"__wt",'SegEnds_Xtal_BW#'!$A:$Z,5,FALSE)</f>
        <v>48</v>
      </c>
      <c r="F264" s="1">
        <f>VLOOKUP($B264&amp;"__wt",'SegEnds_Xtal_BW#'!$A:$Z,6,FALSE)</f>
        <v>51</v>
      </c>
      <c r="G264" s="1">
        <v>37</v>
      </c>
      <c r="H264" s="12">
        <v>66</v>
      </c>
      <c r="I264" s="1">
        <f>VLOOKUP($B264&amp;"__wt",'SegEnds_Xtal_BW#'!$A:$Z,9,FALSE)</f>
        <v>49</v>
      </c>
      <c r="J264" s="1">
        <f>VLOOKUP($B264&amp;"__wt",'SegEnds_Xtal_BW#'!$A:$Z,10,FALSE)</f>
        <v>52</v>
      </c>
      <c r="K264" s="12">
        <v>24</v>
      </c>
      <c r="L264" s="1">
        <f>VLOOKUP($B264&amp;"__wt",'SegEnds_Xtal_BW#'!$A:$Z,12,FALSE)</f>
        <v>56</v>
      </c>
      <c r="M264" s="1">
        <f>VLOOKUP($B264&amp;"__wt",'SegEnds_Xtal_BW#'!$A:$Z,13,FALSE)</f>
        <v>50</v>
      </c>
      <c r="N264" s="12">
        <f>VLOOKUP($B264&amp;"__wt",'SegEnds_Xtal_BW#'!$A:$Z,14,FALSE)</f>
        <v>56</v>
      </c>
      <c r="O264" s="89">
        <v>38</v>
      </c>
      <c r="P264" s="1">
        <f>VLOOKUP($B264&amp;"__wt",'SegEnds_Xtal_BW#'!$A:$Z,16,FALSE)</f>
        <v>64</v>
      </c>
      <c r="Q264" s="1">
        <f>VLOOKUP($B264&amp;"__wt",'SegEnds_Xtal_BW#'!$A:$Z,17,FALSE)</f>
        <v>50</v>
      </c>
      <c r="R264" s="1">
        <f>VLOOKUP($B264&amp;"__wt",'SegEnds_Xtal_BW#'!$A:$Z,18,FALSE)</f>
        <v>52</v>
      </c>
      <c r="S264" s="1">
        <f>VLOOKUP($B264&amp;"__wt",'SegEnds_Xtal_BW#'!$A:$Z,19,FALSE)</f>
        <v>33</v>
      </c>
      <c r="T264" s="1">
        <f t="array" ref="T264">INDEX('ICL3'!$G$2:$G$40,MATCH(MIN(ABS(AH264-'ICL3'!$F$2:$F$40)),ABS(AH264-'ICL3'!$F$2:$F$40),0))</f>
        <v>68</v>
      </c>
      <c r="U264" s="1">
        <f t="array" ref="U264">INDEX('ICL3'!$H$2:$H$40,MATCH(MIN(ABS(AH264-'ICL3'!$F$2:$F$40)),ABS(AH264-'ICL3'!$F$2:$F$40),0))</f>
        <v>30</v>
      </c>
      <c r="V264" s="1">
        <v>65</v>
      </c>
      <c r="W264" s="1">
        <v>24</v>
      </c>
      <c r="X264" s="1">
        <f>VLOOKUP($B264&amp;"__wt",'SegEnds_Xtal_BW#'!$A:$Z,24,FALSE)</f>
        <v>56</v>
      </c>
      <c r="Y264" s="1">
        <f>VLOOKUP($B264&amp;"__wt",'SegEnds_Xtal_BW#'!$A:$Z,25,FALSE)</f>
        <v>47</v>
      </c>
      <c r="Z264" s="1">
        <f>VLOOKUP($B264&amp;"__wt",'SegEnds_Xtal_BW#'!$A:$Z,26,FALSE)</f>
        <v>67</v>
      </c>
      <c r="AA264" s="27" t="str">
        <f>VLOOKUP(A264,Classification!A:B,2,FALSE)</f>
        <v>A</v>
      </c>
      <c r="AB264" s="1">
        <f>VLOOKUP(A264,'SegEnds_NonXtal_Prot#'!A:AL,10,FALSE)-VLOOKUP(A264,'SegEnds_NonXtal_Prot#'!A:AL,7,FALSE)</f>
        <v>16</v>
      </c>
      <c r="AC264" s="1">
        <f>VLOOKUP(A264,'SegEnds_NonXtal_Prot#'!A:AL,13,FALSE)-VLOOKUP(A264,'SegEnds_NonXtal_Prot#'!A:AL,10,FALSE)</f>
        <v>18</v>
      </c>
      <c r="AD264" s="1">
        <f>VLOOKUP(A264,'SegEnds_NonXtal_Prot#'!A:AL,16,FALSE)-VLOOKUP(A264,'SegEnds_NonXtal_Prot#'!A:AL,10,FALSE)</f>
        <v>50</v>
      </c>
      <c r="AE264" s="1" t="e">
        <f>VLOOKUP(A264,'SegEnds_NonXtal_Prot#'!A:AL,22,FALSE)-VLOOKUP(A264,'SegEnds_NonXtal_Prot#'!A:AL,19,FALSE)</f>
        <v>#VALUE!</v>
      </c>
      <c r="AF264" s="1">
        <f>VLOOKUP(A264,'SegEnds_NonXtal_Prot#'!A:AL,28,FALSE)-VLOOKUP(A264,'SegEnds_NonXtal_Prot#'!A:AL,25,FALSE)</f>
        <v>28</v>
      </c>
      <c r="AG264" s="1">
        <f>VLOOKUP(A264,'SegEnds_NonXtal_Prot#'!A:AL,28,FALSE)-VLOOKUP(A264,'SegEnds_NonXtal_Prot#'!A:AL,22,FALSE)</f>
        <v>53</v>
      </c>
      <c r="AH264" s="1">
        <f>VLOOKUP(A264,'SegEnds_NonXtal_Prot#'!A:AL,31,FALSE)-VLOOKUP(A264,'SegEnds_NonXtal_Prot#'!A:AL,28,FALSE)</f>
        <v>43</v>
      </c>
      <c r="AI264" s="1">
        <f>VLOOKUP(A264,'SegEnds_NonXtal_Prot#'!A:AL,34,FALSE)-VLOOKUP(A264,'SegEnds_NonXtal_Prot#'!A:AL,31,FALSE)</f>
        <v>45</v>
      </c>
      <c r="AJ264" s="1" t="str">
        <f>IF(ISERROR(MATCH(A264,'SegEnds_Xtal_Prot#'!B:B, 0)), "NoXtal", "Xtal")</f>
        <v>NoXtal</v>
      </c>
    </row>
    <row r="265" spans="1:36" x14ac:dyDescent="0.2">
      <c r="A265" s="1" t="s">
        <v>214</v>
      </c>
      <c r="B265" s="1" t="str">
        <f>VLOOKUP(A265,Xtal_Templ!A:B,2,FALSE)</f>
        <v>p2ry1_human</v>
      </c>
      <c r="C265" s="5">
        <f>VLOOKUP($B265&amp;"__wt",'SegEnds_Xtal_BW#'!$A:$Z,3,FALSE)</f>
        <v>30</v>
      </c>
      <c r="D265" s="1">
        <f>VLOOKUP($B265&amp;"__wt",'SegEnds_Xtal_BW#'!$A:$Z,4,FALSE)</f>
        <v>60</v>
      </c>
      <c r="E265" s="1" t="str">
        <f>VLOOKUP($B265&amp;"__wt",'SegEnds_Xtal_BW#'!$A:$Z,5,FALSE)</f>
        <v>-</v>
      </c>
      <c r="F265" s="1" t="str">
        <f>VLOOKUP($B265&amp;"__wt",'SegEnds_Xtal_BW#'!$A:$Z,6,FALSE)</f>
        <v>-</v>
      </c>
      <c r="G265" s="1">
        <v>37</v>
      </c>
      <c r="H265" s="12">
        <f>VLOOKUP($B265&amp;"__wt",'SegEnds_Xtal_BW#'!$A:$Z,8,FALSE)</f>
        <v>66</v>
      </c>
      <c r="I265" s="1">
        <f>VLOOKUP($B265&amp;"__wt",'SegEnds_Xtal_BW#'!$A:$Z,9,FALSE)</f>
        <v>49</v>
      </c>
      <c r="J265" s="1">
        <f>VLOOKUP($B265&amp;"__wt",'SegEnds_Xtal_BW#'!$A:$Z,10,FALSE)</f>
        <v>52</v>
      </c>
      <c r="K265" s="12">
        <v>18</v>
      </c>
      <c r="L265" s="1">
        <f>VLOOKUP($B265&amp;"__wt",'SegEnds_Xtal_BW#'!$A:$Z,12,FALSE)</f>
        <v>56</v>
      </c>
      <c r="M265" s="1">
        <f>VLOOKUP($B265&amp;"__wt",'SegEnds_Xtal_BW#'!$A:$Z,13,FALSE)</f>
        <v>50</v>
      </c>
      <c r="N265" s="12">
        <f>VLOOKUP($B265&amp;"__wt",'SegEnds_Xtal_BW#'!$A:$Z,14,FALSE)</f>
        <v>57</v>
      </c>
      <c r="O265" s="89">
        <f>VLOOKUP($B265&amp;"__wt",'SegEnds_Xtal_BW#'!$A:$Z,15,FALSE)</f>
        <v>38</v>
      </c>
      <c r="P265" s="1">
        <f>VLOOKUP($B265&amp;"__wt",'SegEnds_Xtal_BW#'!$A:$Z,16,FALSE)</f>
        <v>64</v>
      </c>
      <c r="Q265" s="1">
        <f>VLOOKUP($B265&amp;"__wt",'SegEnds_Xtal_BW#'!$A:$Z,17,FALSE)</f>
        <v>50</v>
      </c>
      <c r="R265" s="1">
        <f>VLOOKUP($B265&amp;"__wt",'SegEnds_Xtal_BW#'!$A:$Z,18,FALSE)</f>
        <v>52</v>
      </c>
      <c r="S265" s="1">
        <f>VLOOKUP($B265&amp;"__wt",'SegEnds_Xtal_BW#'!$A:$Z,19,FALSE)</f>
        <v>32</v>
      </c>
      <c r="T265" s="1">
        <f t="array" ref="T265">INDEX('ICL3'!$G$2:$G$40,MATCH(MIN(ABS(AH265-'ICL3'!$F$2:$F$40)),ABS(AH265-'ICL3'!$F$2:$F$40),0))</f>
        <v>67</v>
      </c>
      <c r="U265" s="1">
        <f t="array" ref="U265">INDEX('ICL3'!$H$2:$H$40,MATCH(MIN(ABS(AH265-'ICL3'!$F$2:$F$40)),ABS(AH265-'ICL3'!$F$2:$F$40),0))</f>
        <v>26</v>
      </c>
      <c r="V265" s="1">
        <v>64</v>
      </c>
      <c r="W265" s="1">
        <v>24</v>
      </c>
      <c r="X265" s="1">
        <f>VLOOKUP($B265&amp;"__wt",'SegEnds_Xtal_BW#'!$A:$Z,24,FALSE)</f>
        <v>56</v>
      </c>
      <c r="Y265" s="1">
        <f>VLOOKUP($B265&amp;"__wt",'SegEnds_Xtal_BW#'!$A:$Z,25,FALSE)</f>
        <v>47</v>
      </c>
      <c r="Z265" s="1">
        <f>VLOOKUP($B265&amp;"__wt",'SegEnds_Xtal_BW#'!$A:$Z,26,FALSE)</f>
        <v>59</v>
      </c>
      <c r="AA265" s="27" t="str">
        <f>VLOOKUP(A265,Classification!A:B,2,FALSE)</f>
        <v>A</v>
      </c>
      <c r="AB265" s="1" t="e">
        <f>VLOOKUP(A265,'SegEnds_NonXtal_Prot#'!A:AL,10,FALSE)-VLOOKUP(A265,'SegEnds_NonXtal_Prot#'!A:AL,7,FALSE)</f>
        <v>#VALUE!</v>
      </c>
      <c r="AC265" s="1">
        <f>VLOOKUP(A265,'SegEnds_NonXtal_Prot#'!A:AL,13,FALSE)-VLOOKUP(A265,'SegEnds_NonXtal_Prot#'!A:AL,10,FALSE)</f>
        <v>20</v>
      </c>
      <c r="AD265" s="1">
        <f>VLOOKUP(A265,'SegEnds_NonXtal_Prot#'!A:AL,16,FALSE)-VLOOKUP(A265,'SegEnds_NonXtal_Prot#'!A:AL,10,FALSE)</f>
        <v>52</v>
      </c>
      <c r="AE265" s="1" t="e">
        <f>VLOOKUP(A265,'SegEnds_NonXtal_Prot#'!A:AL,22,FALSE)-VLOOKUP(A265,'SegEnds_NonXtal_Prot#'!A:AL,19,FALSE)</f>
        <v>#VALUE!</v>
      </c>
      <c r="AF265" s="1">
        <f>VLOOKUP(A265,'SegEnds_NonXtal_Prot#'!A:AL,28,FALSE)-VLOOKUP(A265,'SegEnds_NonXtal_Prot#'!A:AL,25,FALSE)</f>
        <v>25</v>
      </c>
      <c r="AG265" s="1">
        <f>VLOOKUP(A265,'SegEnds_NonXtal_Prot#'!A:AL,28,FALSE)-VLOOKUP(A265,'SegEnds_NonXtal_Prot#'!A:AL,22,FALSE)</f>
        <v>44</v>
      </c>
      <c r="AH265" s="1">
        <f>VLOOKUP(A265,'SegEnds_NonXtal_Prot#'!A:AL,31,FALSE)-VLOOKUP(A265,'SegEnds_NonXtal_Prot#'!A:AL,28,FALSE)</f>
        <v>46</v>
      </c>
      <c r="AI265" s="1">
        <f>VLOOKUP(A265,'SegEnds_NonXtal_Prot#'!A:AL,34,FALSE)-VLOOKUP(A265,'SegEnds_NonXtal_Prot#'!A:AL,31,FALSE)</f>
        <v>48</v>
      </c>
      <c r="AJ265" s="1" t="str">
        <f>IF(ISERROR(MATCH(A265,'SegEnds_Xtal_Prot#'!B:B, 0)), "NoXtal", "Xtal")</f>
        <v>NoXtal</v>
      </c>
    </row>
    <row r="266" spans="1:36" x14ac:dyDescent="0.2">
      <c r="A266" s="1" t="s">
        <v>215</v>
      </c>
      <c r="B266" s="1" t="str">
        <f>VLOOKUP(A266,Xtal_Templ!A:B,2,FALSE)</f>
        <v>ox1r_human</v>
      </c>
      <c r="C266" s="5">
        <f>VLOOKUP($B266&amp;"__wt",'SegEnds_Xtal_BW#'!$A:$Z,3,FALSE)</f>
        <v>32</v>
      </c>
      <c r="D266" s="1">
        <f>VLOOKUP($B266&amp;"__wt",'SegEnds_Xtal_BW#'!$A:$Z,4,FALSE)</f>
        <v>60</v>
      </c>
      <c r="E266" s="1">
        <f>VLOOKUP($B266&amp;"__wt",'SegEnds_Xtal_BW#'!$A:$Z,5,FALSE)</f>
        <v>48</v>
      </c>
      <c r="F266" s="1">
        <f>VLOOKUP($B266&amp;"__wt",'SegEnds_Xtal_BW#'!$A:$Z,6,FALSE)</f>
        <v>51</v>
      </c>
      <c r="G266" s="1">
        <v>37</v>
      </c>
      <c r="H266" s="12">
        <f>VLOOKUP($B266&amp;"__wt",'SegEnds_Xtal_BW#'!$A:$Z,8,FALSE)</f>
        <v>67</v>
      </c>
      <c r="I266" s="1">
        <f>VLOOKUP($B266&amp;"__wt",'SegEnds_Xtal_BW#'!$A:$Z,9,FALSE)</f>
        <v>49</v>
      </c>
      <c r="J266" s="1">
        <f>VLOOKUP($B266&amp;"__wt",'SegEnds_Xtal_BW#'!$A:$Z,10,FALSE)</f>
        <v>52</v>
      </c>
      <c r="K266" s="12">
        <v>18</v>
      </c>
      <c r="L266" s="1">
        <f>VLOOKUP($B266&amp;"__wt",'SegEnds_Xtal_BW#'!$A:$Z,12,FALSE)</f>
        <v>56</v>
      </c>
      <c r="M266" s="1">
        <f>VLOOKUP($B266&amp;"__wt",'SegEnds_Xtal_BW#'!$A:$Z,13,FALSE)</f>
        <v>50</v>
      </c>
      <c r="N266" s="12">
        <v>56</v>
      </c>
      <c r="O266" s="89">
        <f>VLOOKUP($B266&amp;"__wt",'SegEnds_Xtal_BW#'!$A:$Z,15,FALSE)</f>
        <v>38</v>
      </c>
      <c r="P266" s="1">
        <f>VLOOKUP($B266&amp;"__wt",'SegEnds_Xtal_BW#'!$A:$Z,16,FALSE)</f>
        <v>64</v>
      </c>
      <c r="Q266" s="1">
        <f>VLOOKUP($B266&amp;"__wt",'SegEnds_Xtal_BW#'!$A:$Z,17,FALSE)</f>
        <v>50</v>
      </c>
      <c r="R266" s="1">
        <f>VLOOKUP($B266&amp;"__wt",'SegEnds_Xtal_BW#'!$A:$Z,18,FALSE)</f>
        <v>52</v>
      </c>
      <c r="S266" s="1">
        <f>VLOOKUP($B266&amp;"__wt",'SegEnds_Xtal_BW#'!$A:$Z,19,FALSE)</f>
        <v>32</v>
      </c>
      <c r="T266" s="1">
        <f t="array" ref="T266">INDEX('ICL3'!$G$2:$G$40,MATCH(MIN(ABS(AH266-'ICL3'!$F$2:$F$40)),ABS(AH266-'ICL3'!$F$2:$F$40),0))</f>
        <v>72</v>
      </c>
      <c r="U266" s="1">
        <f t="array" ref="U266">INDEX('ICL3'!$H$2:$H$40,MATCH(MIN(ABS(AH266-'ICL3'!$F$2:$F$40)),ABS(AH266-'ICL3'!$F$2:$F$40),0))</f>
        <v>24</v>
      </c>
      <c r="V266" s="1">
        <v>61</v>
      </c>
      <c r="W266" s="1">
        <v>28</v>
      </c>
      <c r="X266" s="1">
        <f>VLOOKUP($B266&amp;"__wt",'SegEnds_Xtal_BW#'!$A:$Z,24,FALSE)</f>
        <v>56</v>
      </c>
      <c r="Y266" s="1">
        <f>VLOOKUP($B266&amp;"__wt",'SegEnds_Xtal_BW#'!$A:$Z,25,FALSE)</f>
        <v>47</v>
      </c>
      <c r="Z266" s="1">
        <f>VLOOKUP($B266&amp;"__wt",'SegEnds_Xtal_BW#'!$A:$Z,26,FALSE)</f>
        <v>58</v>
      </c>
      <c r="AA266" s="27" t="str">
        <f>VLOOKUP(A266,Classification!A:B,2,FALSE)</f>
        <v>A</v>
      </c>
      <c r="AB266" s="1">
        <f>VLOOKUP(A266,'SegEnds_NonXtal_Prot#'!A:AL,10,FALSE)-VLOOKUP(A266,'SegEnds_NonXtal_Prot#'!A:AL,7,FALSE)</f>
        <v>15</v>
      </c>
      <c r="AC266" s="1" t="e">
        <f>VLOOKUP(A266,'SegEnds_NonXtal_Prot#'!A:AL,13,FALSE)-VLOOKUP(A266,'SegEnds_NonXtal_Prot#'!A:AL,10,FALSE)</f>
        <v>#VALUE!</v>
      </c>
      <c r="AD266" s="1">
        <f>VLOOKUP(A266,'SegEnds_NonXtal_Prot#'!A:AL,16,FALSE)-VLOOKUP(A266,'SegEnds_NonXtal_Prot#'!A:AL,10,FALSE)</f>
        <v>60</v>
      </c>
      <c r="AE266" s="1" t="e">
        <f>VLOOKUP(A266,'SegEnds_NonXtal_Prot#'!A:AL,22,FALSE)-VLOOKUP(A266,'SegEnds_NonXtal_Prot#'!A:AL,19,FALSE)</f>
        <v>#VALUE!</v>
      </c>
      <c r="AF266" s="1">
        <f>VLOOKUP(A266,'SegEnds_NonXtal_Prot#'!A:AL,28,FALSE)-VLOOKUP(A266,'SegEnds_NonXtal_Prot#'!A:AL,25,FALSE)</f>
        <v>27</v>
      </c>
      <c r="AG266" s="1">
        <f>VLOOKUP(A266,'SegEnds_NonXtal_Prot#'!A:AL,28,FALSE)-VLOOKUP(A266,'SegEnds_NonXtal_Prot#'!A:AL,22,FALSE)</f>
        <v>55</v>
      </c>
      <c r="AH266" s="1">
        <f>VLOOKUP(A266,'SegEnds_NonXtal_Prot#'!A:AL,31,FALSE)-VLOOKUP(A266,'SegEnds_NonXtal_Prot#'!A:AL,28,FALSE)</f>
        <v>57</v>
      </c>
      <c r="AI266" s="1">
        <f>VLOOKUP(A266,'SegEnds_NonXtal_Prot#'!A:AL,34,FALSE)-VLOOKUP(A266,'SegEnds_NonXtal_Prot#'!A:AL,31,FALSE)</f>
        <v>38</v>
      </c>
      <c r="AJ266" s="1" t="str">
        <f>IF(ISERROR(MATCH(A266,'SegEnds_Xtal_Prot#'!B:B, 0)), "NoXtal", "Xtal")</f>
        <v>NoXtal</v>
      </c>
    </row>
    <row r="267" spans="1:36" x14ac:dyDescent="0.2">
      <c r="A267" s="1" t="s">
        <v>219</v>
      </c>
      <c r="B267" s="1" t="str">
        <f>VLOOKUP(A267,Xtal_Templ!A:B,2,FALSE)</f>
        <v>agtr1_human</v>
      </c>
      <c r="C267" s="5">
        <f>VLOOKUP($B267&amp;"__wt",'SegEnds_Xtal_BW#'!$A:$Z,3,FALSE)</f>
        <v>30</v>
      </c>
      <c r="D267" s="1">
        <f>VLOOKUP($B267&amp;"__wt",'SegEnds_Xtal_BW#'!$A:$Z,4,FALSE)</f>
        <v>60</v>
      </c>
      <c r="E267" s="1">
        <f>VLOOKUP($B267&amp;"__wt",'SegEnds_Xtal_BW#'!$A:$Z,5,FALSE)</f>
        <v>48</v>
      </c>
      <c r="F267" s="1">
        <f>VLOOKUP($B267&amp;"__wt",'SegEnds_Xtal_BW#'!$A:$Z,6,FALSE)</f>
        <v>51</v>
      </c>
      <c r="G267" s="1">
        <v>37</v>
      </c>
      <c r="H267" s="12">
        <v>63</v>
      </c>
      <c r="I267" s="1">
        <f>VLOOKUP($B267&amp;"__wt",'SegEnds_Xtal_BW#'!$A:$Z,9,FALSE)</f>
        <v>49</v>
      </c>
      <c r="J267" s="1">
        <f>VLOOKUP($B267&amp;"__wt",'SegEnds_Xtal_BW#'!$A:$Z,10,FALSE)</f>
        <v>52</v>
      </c>
      <c r="K267" s="12">
        <v>24</v>
      </c>
      <c r="L267" s="1">
        <f>VLOOKUP($B267&amp;"__wt",'SegEnds_Xtal_BW#'!$A:$Z,12,FALSE)</f>
        <v>56</v>
      </c>
      <c r="M267" s="1">
        <f>VLOOKUP($B267&amp;"__wt",'SegEnds_Xtal_BW#'!$A:$Z,13,FALSE)</f>
        <v>50</v>
      </c>
      <c r="N267" s="12">
        <v>56</v>
      </c>
      <c r="O267" s="89">
        <v>38</v>
      </c>
      <c r="P267" s="1">
        <f>VLOOKUP($B267&amp;"__wt",'SegEnds_Xtal_BW#'!$A:$Z,16,FALSE)</f>
        <v>64</v>
      </c>
      <c r="Q267" s="1">
        <f>VLOOKUP($B267&amp;"__wt",'SegEnds_Xtal_BW#'!$A:$Z,17,FALSE)</f>
        <v>50</v>
      </c>
      <c r="R267" s="1">
        <f>VLOOKUP($B267&amp;"__wt",'SegEnds_Xtal_BW#'!$A:$Z,18,FALSE)</f>
        <v>52</v>
      </c>
      <c r="S267" s="1">
        <f>VLOOKUP($B267&amp;"__wt",'SegEnds_Xtal_BW#'!$A:$Z,19,FALSE)</f>
        <v>34</v>
      </c>
      <c r="T267" s="1">
        <f t="array" ref="T267">INDEX('ICL3'!$G$2:$G$40,MATCH(MIN(ABS(AH267-'ICL3'!$F$2:$F$40)),ABS(AH267-'ICL3'!$F$2:$F$40),0))</f>
        <v>68</v>
      </c>
      <c r="U267" s="1">
        <f t="array" ref="U267">INDEX('ICL3'!$H$2:$H$40,MATCH(MIN(ABS(AH267-'ICL3'!$F$2:$F$40)),ABS(AH267-'ICL3'!$F$2:$F$40),0))</f>
        <v>24</v>
      </c>
      <c r="V267" s="1">
        <v>64</v>
      </c>
      <c r="W267" s="1">
        <v>24</v>
      </c>
      <c r="X267" s="1">
        <f>VLOOKUP($B267&amp;"__wt",'SegEnds_Xtal_BW#'!$A:$Z,24,FALSE)</f>
        <v>56</v>
      </c>
      <c r="Y267" s="1">
        <f>VLOOKUP($B267&amp;"__wt",'SegEnds_Xtal_BW#'!$A:$Z,25,FALSE)</f>
        <v>47</v>
      </c>
      <c r="Z267" s="1">
        <f>VLOOKUP($B267&amp;"__wt",'SegEnds_Xtal_BW#'!$A:$Z,26,FALSE)</f>
        <v>61</v>
      </c>
      <c r="AA267" s="27" t="str">
        <f>VLOOKUP(A267,Classification!A:B,2,FALSE)</f>
        <v>A</v>
      </c>
      <c r="AB267" s="1" t="e">
        <f>VLOOKUP(A267,'SegEnds_NonXtal_Prot#'!A:AL,10,FALSE)-VLOOKUP(A267,'SegEnds_NonXtal_Prot#'!A:AL,7,FALSE)</f>
        <v>#VALUE!</v>
      </c>
      <c r="AC267" s="1">
        <f>VLOOKUP(A267,'SegEnds_NonXtal_Prot#'!A:AL,13,FALSE)-VLOOKUP(A267,'SegEnds_NonXtal_Prot#'!A:AL,10,FALSE)</f>
        <v>17</v>
      </c>
      <c r="AD267" s="1">
        <f>VLOOKUP(A267,'SegEnds_NonXtal_Prot#'!A:AL,16,FALSE)-VLOOKUP(A267,'SegEnds_NonXtal_Prot#'!A:AL,10,FALSE)</f>
        <v>49</v>
      </c>
      <c r="AE267" s="1" t="e">
        <f>VLOOKUP(A267,'SegEnds_NonXtal_Prot#'!A:AL,22,FALSE)-VLOOKUP(A267,'SegEnds_NonXtal_Prot#'!A:AL,19,FALSE)</f>
        <v>#VALUE!</v>
      </c>
      <c r="AF267" s="1" t="e">
        <f>VLOOKUP(A267,'SegEnds_NonXtal_Prot#'!A:AL,28,FALSE)-VLOOKUP(A267,'SegEnds_NonXtal_Prot#'!A:AL,25,FALSE)</f>
        <v>#VALUE!</v>
      </c>
      <c r="AG267" s="1">
        <f>VLOOKUP(A267,'SegEnds_NonXtal_Prot#'!A:AL,28,FALSE)-VLOOKUP(A267,'SegEnds_NonXtal_Prot#'!A:AL,22,FALSE)</f>
        <v>47</v>
      </c>
      <c r="AH267" s="1">
        <f>VLOOKUP(A267,'SegEnds_NonXtal_Prot#'!A:AL,31,FALSE)-VLOOKUP(A267,'SegEnds_NonXtal_Prot#'!A:AL,28,FALSE)</f>
        <v>49</v>
      </c>
      <c r="AI267" s="1">
        <f>VLOOKUP(A267,'SegEnds_NonXtal_Prot#'!A:AL,34,FALSE)-VLOOKUP(A267,'SegEnds_NonXtal_Prot#'!A:AL,31,FALSE)</f>
        <v>45</v>
      </c>
      <c r="AJ267" s="1" t="str">
        <f>IF(ISERROR(MATCH(A267,'SegEnds_Xtal_Prot#'!B:B, 0)), "NoXtal", "Xtal")</f>
        <v>NoXtal</v>
      </c>
    </row>
    <row r="268" spans="1:36" x14ac:dyDescent="0.2">
      <c r="A268" s="1" t="s">
        <v>221</v>
      </c>
      <c r="B268" s="1" t="str">
        <f>VLOOKUP(A268,Xtal_Templ!A:B,2,FALSE)</f>
        <v>s1pr1_human</v>
      </c>
      <c r="C268" s="5">
        <f>VLOOKUP($B268&amp;"__wt",'SegEnds_Xtal_BW#'!$A:$Z,3,FALSE)</f>
        <v>29</v>
      </c>
      <c r="D268" s="1">
        <f>VLOOKUP($B268&amp;"__wt",'SegEnds_Xtal_BW#'!$A:$Z,4,FALSE)</f>
        <v>60</v>
      </c>
      <c r="E268" s="1">
        <f>VLOOKUP($B268&amp;"__wt",'SegEnds_Xtal_BW#'!$A:$Z,5,FALSE)</f>
        <v>48</v>
      </c>
      <c r="F268" s="1">
        <f>VLOOKUP($B268&amp;"__wt",'SegEnds_Xtal_BW#'!$A:$Z,6,FALSE)</f>
        <v>51</v>
      </c>
      <c r="G268" s="1">
        <v>37</v>
      </c>
      <c r="H268" s="12">
        <v>67</v>
      </c>
      <c r="I268" s="1">
        <f>VLOOKUP($B268&amp;"__wt",'SegEnds_Xtal_BW#'!$A:$Z,9,FALSE)</f>
        <v>47</v>
      </c>
      <c r="J268" s="1">
        <f>VLOOKUP($B268&amp;"__wt",'SegEnds_Xtal_BW#'!$A:$Z,10,FALSE)</f>
        <v>53</v>
      </c>
      <c r="K268" s="12">
        <v>18</v>
      </c>
      <c r="L268" s="1">
        <f>VLOOKUP($B268&amp;"__wt",'SegEnds_Xtal_BW#'!$A:$Z,12,FALSE)</f>
        <v>56</v>
      </c>
      <c r="M268" s="1">
        <f>VLOOKUP($B268&amp;"__wt",'SegEnds_Xtal_BW#'!$A:$Z,13,FALSE)</f>
        <v>50</v>
      </c>
      <c r="N268" s="12" t="s">
        <v>23</v>
      </c>
      <c r="O268" s="89">
        <f>VLOOKUP($B268&amp;"__wt",'SegEnds_Xtal_BW#'!$A:$Z,15,FALSE)</f>
        <v>38</v>
      </c>
      <c r="P268" s="1">
        <f>VLOOKUP($B268&amp;"__wt",'SegEnds_Xtal_BW#'!$A:$Z,16,FALSE)</f>
        <v>63</v>
      </c>
      <c r="Q268" s="1" t="str">
        <f>VLOOKUP($B268&amp;"__wt",'SegEnds_Xtal_BW#'!$A:$Z,17,FALSE)</f>
        <v>-</v>
      </c>
      <c r="R268" s="1" t="str">
        <f>VLOOKUP($B268&amp;"__wt",'SegEnds_Xtal_BW#'!$A:$Z,18,FALSE)</f>
        <v>-</v>
      </c>
      <c r="S268" s="1">
        <f>VLOOKUP($B268&amp;"__wt",'SegEnds_Xtal_BW#'!$A:$Z,19,FALSE)</f>
        <v>36</v>
      </c>
      <c r="T268" s="1">
        <f t="array" ref="T268">INDEX('ICL3'!$G$2:$G$40,MATCH(MIN(ABS(AH268-'ICL3'!$F$2:$F$40)),ABS(AH268-'ICL3'!$F$2:$F$40),0))</f>
        <v>76</v>
      </c>
      <c r="U268" s="1">
        <f t="array" ref="U268">INDEX('ICL3'!$H$2:$H$40,MATCH(MIN(ABS(AH268-'ICL3'!$F$2:$F$40)),ABS(AH268-'ICL3'!$F$2:$F$40),0))</f>
        <v>24</v>
      </c>
      <c r="V268" s="1">
        <v>61</v>
      </c>
      <c r="W268" s="1">
        <v>32</v>
      </c>
      <c r="X268" s="1">
        <f>VLOOKUP($B268&amp;"__wt",'SegEnds_Xtal_BW#'!$A:$Z,24,FALSE)</f>
        <v>56</v>
      </c>
      <c r="Y268" s="1">
        <f>VLOOKUP($B268&amp;"__wt",'SegEnds_Xtal_BW#'!$A:$Z,25,FALSE)</f>
        <v>47</v>
      </c>
      <c r="Z268" s="1">
        <f>VLOOKUP($B268&amp;"__wt",'SegEnds_Xtal_BW#'!$A:$Z,26,FALSE)</f>
        <v>59</v>
      </c>
      <c r="AA268" s="27" t="str">
        <f>VLOOKUP(A268,Classification!A:B,2,FALSE)</f>
        <v>A</v>
      </c>
      <c r="AB268" s="1" t="e">
        <f>VLOOKUP(A268,'SegEnds_NonXtal_Prot#'!A:AL,10,FALSE)-VLOOKUP(A268,'SegEnds_NonXtal_Prot#'!A:AL,7,FALSE)</f>
        <v>#VALUE!</v>
      </c>
      <c r="AC268" s="1">
        <f>VLOOKUP(A268,'SegEnds_NonXtal_Prot#'!A:AL,13,FALSE)-VLOOKUP(A268,'SegEnds_NonXtal_Prot#'!A:AL,10,FALSE)</f>
        <v>26</v>
      </c>
      <c r="AD268" s="1">
        <f>VLOOKUP(A268,'SegEnds_NonXtal_Prot#'!A:AL,16,FALSE)-VLOOKUP(A268,'SegEnds_NonXtal_Prot#'!A:AL,10,FALSE)</f>
        <v>69</v>
      </c>
      <c r="AE268" s="1" t="e">
        <f>VLOOKUP(A268,'SegEnds_NonXtal_Prot#'!A:AL,22,FALSE)-VLOOKUP(A268,'SegEnds_NonXtal_Prot#'!A:AL,19,FALSE)</f>
        <v>#VALUE!</v>
      </c>
      <c r="AF268" s="1" t="e">
        <f>VLOOKUP(A268,'SegEnds_NonXtal_Prot#'!A:AL,28,FALSE)-VLOOKUP(A268,'SegEnds_NonXtal_Prot#'!A:AL,25,FALSE)</f>
        <v>#VALUE!</v>
      </c>
      <c r="AG268" s="1">
        <f>VLOOKUP(A268,'SegEnds_NonXtal_Prot#'!A:AL,28,FALSE)-VLOOKUP(A268,'SegEnds_NonXtal_Prot#'!A:AL,22,FALSE)</f>
        <v>53</v>
      </c>
      <c r="AH268" s="1">
        <f>VLOOKUP(A268,'SegEnds_NonXtal_Prot#'!A:AL,31,FALSE)-VLOOKUP(A268,'SegEnds_NonXtal_Prot#'!A:AL,28,FALSE)</f>
        <v>114</v>
      </c>
      <c r="AI268" s="1">
        <f>VLOOKUP(A268,'SegEnds_NonXtal_Prot#'!A:AL,34,FALSE)-VLOOKUP(A268,'SegEnds_NonXtal_Prot#'!A:AL,31,FALSE)</f>
        <v>34</v>
      </c>
      <c r="AJ268" s="1" t="str">
        <f>IF(ISERROR(MATCH(A268,'SegEnds_Xtal_Prot#'!B:B, 0)), "NoXtal", "Xtal")</f>
        <v>NoXtal</v>
      </c>
    </row>
    <row r="269" spans="1:36" x14ac:dyDescent="0.2">
      <c r="A269" s="1" t="s">
        <v>222</v>
      </c>
      <c r="B269" s="1" t="str">
        <f>VLOOKUP(A269,Xtal_Templ!A:B,2,FALSE)</f>
        <v>ox2r_human</v>
      </c>
      <c r="C269" s="5">
        <f>VLOOKUP($B269&amp;"__wt",'SegEnds_Xtal_BW#'!$A:$Z,3,FALSE)</f>
        <v>31</v>
      </c>
      <c r="D269" s="1">
        <f>VLOOKUP($B269&amp;"__wt",'SegEnds_Xtal_BW#'!$A:$Z,4,FALSE)</f>
        <v>60</v>
      </c>
      <c r="E269" s="1">
        <f>VLOOKUP($B269&amp;"__wt",'SegEnds_Xtal_BW#'!$A:$Z,5,FALSE)</f>
        <v>48</v>
      </c>
      <c r="F269" s="1">
        <f>VLOOKUP($B269&amp;"__wt",'SegEnds_Xtal_BW#'!$A:$Z,6,FALSE)</f>
        <v>51</v>
      </c>
      <c r="G269" s="1">
        <v>37</v>
      </c>
      <c r="H269" s="12">
        <f>VLOOKUP($B269&amp;"__wt",'SegEnds_Xtal_BW#'!$A:$Z,8,FALSE)</f>
        <v>67</v>
      </c>
      <c r="I269" s="1">
        <f>VLOOKUP($B269&amp;"__wt",'SegEnds_Xtal_BW#'!$A:$Z,9,FALSE)</f>
        <v>49</v>
      </c>
      <c r="J269" s="1">
        <f>VLOOKUP($B269&amp;"__wt",'SegEnds_Xtal_BW#'!$A:$Z,10,FALSE)</f>
        <v>52</v>
      </c>
      <c r="K269" s="12">
        <v>18</v>
      </c>
      <c r="L269" s="1">
        <f>VLOOKUP($B269&amp;"__wt",'SegEnds_Xtal_BW#'!$A:$Z,12,FALSE)</f>
        <v>56</v>
      </c>
      <c r="M269" s="1">
        <f>VLOOKUP($B269&amp;"__wt",'SegEnds_Xtal_BW#'!$A:$Z,13,FALSE)</f>
        <v>50</v>
      </c>
      <c r="N269" s="12">
        <f>VLOOKUP($B269&amp;"__wt",'SegEnds_Xtal_BW#'!$A:$Z,14,FALSE)</f>
        <v>53</v>
      </c>
      <c r="O269" s="89">
        <f>VLOOKUP($B269&amp;"__wt",'SegEnds_Xtal_BW#'!$A:$Z,15,FALSE)</f>
        <v>38</v>
      </c>
      <c r="P269" s="1">
        <f>VLOOKUP($B269&amp;"__wt",'SegEnds_Xtal_BW#'!$A:$Z,16,FALSE)</f>
        <v>64</v>
      </c>
      <c r="Q269" s="1">
        <f>VLOOKUP($B269&amp;"__wt",'SegEnds_Xtal_BW#'!$A:$Z,17,FALSE)</f>
        <v>50</v>
      </c>
      <c r="R269" s="1">
        <f>VLOOKUP($B269&amp;"__wt",'SegEnds_Xtal_BW#'!$A:$Z,18,FALSE)</f>
        <v>52</v>
      </c>
      <c r="S269" s="1">
        <f>VLOOKUP($B269&amp;"__wt",'SegEnds_Xtal_BW#'!$A:$Z,19,FALSE)</f>
        <v>32</v>
      </c>
      <c r="T269" s="1">
        <f t="array" ref="T269">INDEX('ICL3'!$G$2:$G$40,MATCH(MIN(ABS(AH269-'ICL3'!$F$2:$F$40)),ABS(AH269-'ICL3'!$F$2:$F$40),0))</f>
        <v>74</v>
      </c>
      <c r="U269" s="1">
        <f t="array" ref="U269">INDEX('ICL3'!$H$2:$H$40,MATCH(MIN(ABS(AH269-'ICL3'!$F$2:$F$40)),ABS(AH269-'ICL3'!$F$2:$F$40),0))</f>
        <v>21</v>
      </c>
      <c r="V269" s="1">
        <v>61</v>
      </c>
      <c r="W269" s="1">
        <v>28</v>
      </c>
      <c r="X269" s="1">
        <f>VLOOKUP($B269&amp;"__wt",'SegEnds_Xtal_BW#'!$A:$Z,24,FALSE)</f>
        <v>56</v>
      </c>
      <c r="Y269" s="1">
        <f>VLOOKUP($B269&amp;"__wt",'SegEnds_Xtal_BW#'!$A:$Z,25,FALSE)</f>
        <v>47</v>
      </c>
      <c r="Z269" s="1">
        <f>VLOOKUP($B269&amp;"__wt",'SegEnds_Xtal_BW#'!$A:$Z,26,FALSE)</f>
        <v>58</v>
      </c>
      <c r="AA269" s="27" t="str">
        <f>VLOOKUP(A269,Classification!A:B,2,FALSE)</f>
        <v>A</v>
      </c>
      <c r="AB269" s="1" t="e">
        <f>VLOOKUP(A269,'SegEnds_NonXtal_Prot#'!A:AL,10,FALSE)-VLOOKUP(A269,'SegEnds_NonXtal_Prot#'!A:AL,7,FALSE)</f>
        <v>#VALUE!</v>
      </c>
      <c r="AC269" s="1" t="e">
        <f>VLOOKUP(A269,'SegEnds_NonXtal_Prot#'!A:AL,13,FALSE)-VLOOKUP(A269,'SegEnds_NonXtal_Prot#'!A:AL,10,FALSE)</f>
        <v>#VALUE!</v>
      </c>
      <c r="AD269" s="1">
        <f>VLOOKUP(A269,'SegEnds_NonXtal_Prot#'!A:AL,16,FALSE)-VLOOKUP(A269,'SegEnds_NonXtal_Prot#'!A:AL,10,FALSE)</f>
        <v>54</v>
      </c>
      <c r="AE269" s="1" t="e">
        <f>VLOOKUP(A269,'SegEnds_NonXtal_Prot#'!A:AL,22,FALSE)-VLOOKUP(A269,'SegEnds_NonXtal_Prot#'!A:AL,19,FALSE)</f>
        <v>#VALUE!</v>
      </c>
      <c r="AF269" s="1">
        <f>VLOOKUP(A269,'SegEnds_NonXtal_Prot#'!A:AL,28,FALSE)-VLOOKUP(A269,'SegEnds_NonXtal_Prot#'!A:AL,25,FALSE)</f>
        <v>27</v>
      </c>
      <c r="AG269" s="1">
        <f>VLOOKUP(A269,'SegEnds_NonXtal_Prot#'!A:AL,28,FALSE)-VLOOKUP(A269,'SegEnds_NonXtal_Prot#'!A:AL,22,FALSE)</f>
        <v>75</v>
      </c>
      <c r="AH269" s="1">
        <f>VLOOKUP(A269,'SegEnds_NonXtal_Prot#'!A:AL,31,FALSE)-VLOOKUP(A269,'SegEnds_NonXtal_Prot#'!A:AL,28,FALSE)</f>
        <v>66</v>
      </c>
      <c r="AI269" s="1">
        <f>VLOOKUP(A269,'SegEnds_NonXtal_Prot#'!A:AL,34,FALSE)-VLOOKUP(A269,'SegEnds_NonXtal_Prot#'!A:AL,31,FALSE)</f>
        <v>39</v>
      </c>
      <c r="AJ269" s="1" t="str">
        <f>IF(ISERROR(MATCH(A269,'SegEnds_Xtal_Prot#'!B:B, 0)), "NoXtal", "Xtal")</f>
        <v>NoXtal</v>
      </c>
    </row>
    <row r="270" spans="1:36" x14ac:dyDescent="0.2">
      <c r="A270" s="1" t="s">
        <v>226</v>
      </c>
      <c r="B270" s="1" t="str">
        <f>VLOOKUP(A270,Xtal_Templ!A:B,2,FALSE)</f>
        <v>par1_human</v>
      </c>
      <c r="C270" s="5">
        <f>VLOOKUP($B270&amp;"__wt",'SegEnds_Xtal_BW#'!$A:$Z,3,FALSE)</f>
        <v>29</v>
      </c>
      <c r="D270" s="1">
        <f>VLOOKUP($B270&amp;"__wt",'SegEnds_Xtal_BW#'!$A:$Z,4,FALSE)</f>
        <v>60</v>
      </c>
      <c r="E270" s="1">
        <f>VLOOKUP($B270&amp;"__wt",'SegEnds_Xtal_BW#'!$A:$Z,5,FALSE)</f>
        <v>48</v>
      </c>
      <c r="F270" s="1">
        <f>VLOOKUP($B270&amp;"__wt",'SegEnds_Xtal_BW#'!$A:$Z,6,FALSE)</f>
        <v>51</v>
      </c>
      <c r="G270" s="1">
        <v>37</v>
      </c>
      <c r="H270" s="12">
        <f>VLOOKUP($B270&amp;"__wt",'SegEnds_Xtal_BW#'!$A:$Z,8,FALSE)</f>
        <v>66</v>
      </c>
      <c r="I270" s="1">
        <f>VLOOKUP($B270&amp;"__wt",'SegEnds_Xtal_BW#'!$A:$Z,9,FALSE)</f>
        <v>49</v>
      </c>
      <c r="J270" s="1">
        <f>VLOOKUP($B270&amp;"__wt",'SegEnds_Xtal_BW#'!$A:$Z,10,FALSE)</f>
        <v>52</v>
      </c>
      <c r="K270" s="12">
        <v>18</v>
      </c>
      <c r="L270" s="1">
        <f>VLOOKUP($B270&amp;"__wt",'SegEnds_Xtal_BW#'!$A:$Z,12,FALSE)</f>
        <v>56</v>
      </c>
      <c r="M270" s="1">
        <f>VLOOKUP($B270&amp;"__wt",'SegEnds_Xtal_BW#'!$A:$Z,13,FALSE)</f>
        <v>50</v>
      </c>
      <c r="N270" s="12">
        <v>57</v>
      </c>
      <c r="O270" s="89">
        <f>VLOOKUP($B270&amp;"__wt",'SegEnds_Xtal_BW#'!$A:$Z,15,FALSE)</f>
        <v>38</v>
      </c>
      <c r="P270" s="1">
        <v>63</v>
      </c>
      <c r="Q270" s="1">
        <f>VLOOKUP($B270&amp;"__wt",'SegEnds_Xtal_BW#'!$A:$Z,17,FALSE)</f>
        <v>50</v>
      </c>
      <c r="R270" s="1">
        <f>VLOOKUP($B270&amp;"__wt",'SegEnds_Xtal_BW#'!$A:$Z,18,FALSE)</f>
        <v>52</v>
      </c>
      <c r="S270" s="1">
        <v>35</v>
      </c>
      <c r="T270" s="1">
        <f t="array" ref="T270">INDEX('ICL3'!$G$2:$G$40,MATCH(MIN(ABS(AH270-'ICL3'!$F$2:$F$40)),ABS(AH270-'ICL3'!$F$2:$F$40),0))</f>
        <v>73</v>
      </c>
      <c r="U270" s="1">
        <f t="array" ref="U270">INDEX('ICL3'!$H$2:$H$40,MATCH(MIN(ABS(AH270-'ICL3'!$F$2:$F$40)),ABS(AH270-'ICL3'!$F$2:$F$40),0))</f>
        <v>24</v>
      </c>
      <c r="V270" s="1">
        <v>61</v>
      </c>
      <c r="W270" s="1">
        <v>31</v>
      </c>
      <c r="X270" s="1">
        <f>VLOOKUP($B270&amp;"__wt",'SegEnds_Xtal_BW#'!$A:$Z,24,FALSE)</f>
        <v>56</v>
      </c>
      <c r="Y270" s="1">
        <f>VLOOKUP($B270&amp;"__wt",'SegEnds_Xtal_BW#'!$A:$Z,25,FALSE)</f>
        <v>47</v>
      </c>
      <c r="Z270" s="1">
        <f>VLOOKUP($B270&amp;"__wt",'SegEnds_Xtal_BW#'!$A:$Z,26,FALSE)</f>
        <v>61</v>
      </c>
      <c r="AA270" s="27" t="str">
        <f>VLOOKUP(A270,Classification!A:B,2,FALSE)</f>
        <v>A</v>
      </c>
      <c r="AB270" s="1" t="e">
        <f>VLOOKUP(A270,'SegEnds_NonXtal_Prot#'!A:AL,10,FALSE)-VLOOKUP(A270,'SegEnds_NonXtal_Prot#'!A:AL,7,FALSE)</f>
        <v>#VALUE!</v>
      </c>
      <c r="AC270" s="1" t="e">
        <f>VLOOKUP(A270,'SegEnds_NonXtal_Prot#'!A:AL,13,FALSE)-VLOOKUP(A270,'SegEnds_NonXtal_Prot#'!A:AL,10,FALSE)</f>
        <v>#VALUE!</v>
      </c>
      <c r="AD270" s="1">
        <f>VLOOKUP(A270,'SegEnds_NonXtal_Prot#'!A:AL,16,FALSE)-VLOOKUP(A270,'SegEnds_NonXtal_Prot#'!A:AL,10,FALSE)</f>
        <v>54</v>
      </c>
      <c r="AE270" s="1" t="e">
        <f>VLOOKUP(A270,'SegEnds_NonXtal_Prot#'!A:AL,22,FALSE)-VLOOKUP(A270,'SegEnds_NonXtal_Prot#'!A:AL,19,FALSE)</f>
        <v>#VALUE!</v>
      </c>
      <c r="AF270" s="1">
        <f>VLOOKUP(A270,'SegEnds_NonXtal_Prot#'!A:AL,28,FALSE)-VLOOKUP(A270,'SegEnds_NonXtal_Prot#'!A:AL,25,FALSE)</f>
        <v>22</v>
      </c>
      <c r="AG270" s="1">
        <f>VLOOKUP(A270,'SegEnds_NonXtal_Prot#'!A:AL,28,FALSE)-VLOOKUP(A270,'SegEnds_NonXtal_Prot#'!A:AL,22,FALSE)</f>
        <v>49</v>
      </c>
      <c r="AH270" s="1">
        <f>VLOOKUP(A270,'SegEnds_NonXtal_Prot#'!A:AL,31,FALSE)-VLOOKUP(A270,'SegEnds_NonXtal_Prot#'!A:AL,28,FALSE)</f>
        <v>58</v>
      </c>
      <c r="AI270" s="1">
        <f>VLOOKUP(A270,'SegEnds_NonXtal_Prot#'!A:AL,34,FALSE)-VLOOKUP(A270,'SegEnds_NonXtal_Prot#'!A:AL,31,FALSE)</f>
        <v>35</v>
      </c>
      <c r="AJ270" s="1" t="str">
        <f>IF(ISERROR(MATCH(A270,'SegEnds_Xtal_Prot#'!B:B, 0)), "NoXtal", "Xtal")</f>
        <v>NoXtal</v>
      </c>
    </row>
    <row r="271" spans="1:36" x14ac:dyDescent="0.2">
      <c r="A271" s="1" t="s">
        <v>232</v>
      </c>
      <c r="B271" s="1" t="str">
        <f>VLOOKUP(A271,Xtal_Templ!A:B,2,FALSE)</f>
        <v>ox1r_human</v>
      </c>
      <c r="C271" s="5">
        <f>VLOOKUP($B271&amp;"__wt",'SegEnds_Xtal_BW#'!$A:$Z,3,FALSE)</f>
        <v>32</v>
      </c>
      <c r="D271" s="1">
        <f>VLOOKUP($B271&amp;"__wt",'SegEnds_Xtal_BW#'!$A:$Z,4,FALSE)</f>
        <v>60</v>
      </c>
      <c r="E271" s="1">
        <f>VLOOKUP($B271&amp;"__wt",'SegEnds_Xtal_BW#'!$A:$Z,5,FALSE)</f>
        <v>48</v>
      </c>
      <c r="F271" s="1">
        <f>VLOOKUP($B271&amp;"__wt",'SegEnds_Xtal_BW#'!$A:$Z,6,FALSE)</f>
        <v>51</v>
      </c>
      <c r="G271" s="1">
        <v>37</v>
      </c>
      <c r="H271" s="12">
        <f>VLOOKUP($B271&amp;"__wt",'SegEnds_Xtal_BW#'!$A:$Z,8,FALSE)</f>
        <v>67</v>
      </c>
      <c r="I271" s="1">
        <f>VLOOKUP($B271&amp;"__wt",'SegEnds_Xtal_BW#'!$A:$Z,9,FALSE)</f>
        <v>49</v>
      </c>
      <c r="J271" s="1">
        <f>VLOOKUP($B271&amp;"__wt",'SegEnds_Xtal_BW#'!$A:$Z,10,FALSE)</f>
        <v>52</v>
      </c>
      <c r="K271" s="12">
        <v>18</v>
      </c>
      <c r="L271" s="1">
        <f>VLOOKUP($B271&amp;"__wt",'SegEnds_Xtal_BW#'!$A:$Z,12,FALSE)</f>
        <v>56</v>
      </c>
      <c r="M271" s="1">
        <f>VLOOKUP($B271&amp;"__wt",'SegEnds_Xtal_BW#'!$A:$Z,13,FALSE)</f>
        <v>50</v>
      </c>
      <c r="N271" s="12">
        <v>56</v>
      </c>
      <c r="O271" s="89">
        <f>VLOOKUP($B271&amp;"__wt",'SegEnds_Xtal_BW#'!$A:$Z,15,FALSE)</f>
        <v>38</v>
      </c>
      <c r="P271" s="1">
        <f>VLOOKUP($B271&amp;"__wt",'SegEnds_Xtal_BW#'!$A:$Z,16,FALSE)</f>
        <v>64</v>
      </c>
      <c r="Q271" s="1">
        <f>VLOOKUP($B271&amp;"__wt",'SegEnds_Xtal_BW#'!$A:$Z,17,FALSE)</f>
        <v>50</v>
      </c>
      <c r="R271" s="1">
        <f>VLOOKUP($B271&amp;"__wt",'SegEnds_Xtal_BW#'!$A:$Z,18,FALSE)</f>
        <v>52</v>
      </c>
      <c r="S271" s="1">
        <f>VLOOKUP($B271&amp;"__wt",'SegEnds_Xtal_BW#'!$A:$Z,19,FALSE)</f>
        <v>32</v>
      </c>
      <c r="T271" s="1">
        <f t="array" ref="T271">INDEX('ICL3'!$G$2:$G$40,MATCH(MIN(ABS(AH271-'ICL3'!$F$2:$F$40)),ABS(AH271-'ICL3'!$F$2:$F$40),0))</f>
        <v>74</v>
      </c>
      <c r="U271" s="1">
        <f t="array" ref="U271">INDEX('ICL3'!$H$2:$H$40,MATCH(MIN(ABS(AH271-'ICL3'!$F$2:$F$40)),ABS(AH271-'ICL3'!$F$2:$F$40),0))</f>
        <v>21</v>
      </c>
      <c r="V271" s="1">
        <v>61</v>
      </c>
      <c r="W271" s="1">
        <v>31</v>
      </c>
      <c r="X271" s="1">
        <f>VLOOKUP($B271&amp;"__wt",'SegEnds_Xtal_BW#'!$A:$Z,24,FALSE)</f>
        <v>56</v>
      </c>
      <c r="Y271" s="1">
        <f>VLOOKUP($B271&amp;"__wt",'SegEnds_Xtal_BW#'!$A:$Z,25,FALSE)</f>
        <v>47</v>
      </c>
      <c r="Z271" s="1">
        <f>VLOOKUP($B271&amp;"__wt",'SegEnds_Xtal_BW#'!$A:$Z,26,FALSE)</f>
        <v>58</v>
      </c>
      <c r="AA271" s="27" t="str">
        <f>VLOOKUP(A271,Classification!A:B,2,FALSE)</f>
        <v>A</v>
      </c>
      <c r="AB271" s="1">
        <f>VLOOKUP(A271,'SegEnds_NonXtal_Prot#'!A:AL,10,FALSE)-VLOOKUP(A271,'SegEnds_NonXtal_Prot#'!A:AL,7,FALSE)</f>
        <v>15</v>
      </c>
      <c r="AC271" s="1">
        <f>VLOOKUP(A271,'SegEnds_NonXtal_Prot#'!A:AL,13,FALSE)-VLOOKUP(A271,'SegEnds_NonXtal_Prot#'!A:AL,10,FALSE)</f>
        <v>22</v>
      </c>
      <c r="AD271" s="1">
        <f>VLOOKUP(A271,'SegEnds_NonXtal_Prot#'!A:AL,16,FALSE)-VLOOKUP(A271,'SegEnds_NonXtal_Prot#'!A:AL,10,FALSE)</f>
        <v>55</v>
      </c>
      <c r="AE271" s="1" t="e">
        <f>VLOOKUP(A271,'SegEnds_NonXtal_Prot#'!A:AL,22,FALSE)-VLOOKUP(A271,'SegEnds_NonXtal_Prot#'!A:AL,19,FALSE)</f>
        <v>#VALUE!</v>
      </c>
      <c r="AF271" s="1">
        <f>VLOOKUP(A271,'SegEnds_NonXtal_Prot#'!A:AL,28,FALSE)-VLOOKUP(A271,'SegEnds_NonXtal_Prot#'!A:AL,25,FALSE)</f>
        <v>25</v>
      </c>
      <c r="AG271" s="1">
        <f>VLOOKUP(A271,'SegEnds_NonXtal_Prot#'!A:AL,28,FALSE)-VLOOKUP(A271,'SegEnds_NonXtal_Prot#'!A:AL,22,FALSE)</f>
        <v>50</v>
      </c>
      <c r="AH271" s="1">
        <f>VLOOKUP(A271,'SegEnds_NonXtal_Prot#'!A:AL,31,FALSE)-VLOOKUP(A271,'SegEnds_NonXtal_Prot#'!A:AL,28,FALSE)</f>
        <v>64</v>
      </c>
      <c r="AI271" s="1">
        <f>VLOOKUP(A271,'SegEnds_NonXtal_Prot#'!A:AL,34,FALSE)-VLOOKUP(A271,'SegEnds_NonXtal_Prot#'!A:AL,31,FALSE)</f>
        <v>36</v>
      </c>
      <c r="AJ271" s="1" t="str">
        <f>IF(ISERROR(MATCH(A271,'SegEnds_Xtal_Prot#'!B:B, 0)), "NoXtal", "Xtal")</f>
        <v>NoXtal</v>
      </c>
    </row>
    <row r="272" spans="1:36" s="12" customFormat="1" x14ac:dyDescent="0.2">
      <c r="A272" s="4" t="s">
        <v>235</v>
      </c>
      <c r="B272" s="4" t="str">
        <f>VLOOKUP(A272,Xtal_Templ!A:B,2,FALSE)</f>
        <v>lpar1_human</v>
      </c>
      <c r="C272" s="5">
        <f>VLOOKUP($B272&amp;"__wt",'SegEnds_Xtal_BW#'!$A:$Z,3,FALSE)</f>
        <v>30</v>
      </c>
      <c r="D272" s="4">
        <f>VLOOKUP($B272&amp;"__wt",'SegEnds_Xtal_BW#'!$A:$Z,4,FALSE)</f>
        <v>60</v>
      </c>
      <c r="E272" s="4">
        <f>VLOOKUP($B272&amp;"__wt",'SegEnds_Xtal_BW#'!$A:$Z,5,FALSE)</f>
        <v>48</v>
      </c>
      <c r="F272" s="4">
        <f>VLOOKUP($B272&amp;"__wt",'SegEnds_Xtal_BW#'!$A:$Z,6,FALSE)</f>
        <v>51</v>
      </c>
      <c r="G272" s="4">
        <v>37</v>
      </c>
      <c r="H272" s="11">
        <v>66</v>
      </c>
      <c r="I272" s="4">
        <v>48</v>
      </c>
      <c r="J272" s="4">
        <v>52</v>
      </c>
      <c r="K272" s="11">
        <v>24</v>
      </c>
      <c r="L272" s="4">
        <f>VLOOKUP($B272&amp;"__wt",'SegEnds_Xtal_BW#'!$A:$Z,12,FALSE)</f>
        <v>56</v>
      </c>
      <c r="M272" s="4">
        <f>VLOOKUP($B272&amp;"__wt",'SegEnds_Xtal_BW#'!$A:$Z,13,FALSE)</f>
        <v>50</v>
      </c>
      <c r="N272" s="11">
        <f>VLOOKUP($B272&amp;"__wt",'SegEnds_Xtal_BW#'!$A:$Z,14,FALSE)</f>
        <v>56</v>
      </c>
      <c r="O272" s="90">
        <v>38</v>
      </c>
      <c r="P272" s="4">
        <f>VLOOKUP($B272&amp;"__wt",'SegEnds_Xtal_BW#'!$A:$Z,16,FALSE)</f>
        <v>63</v>
      </c>
      <c r="Q272" s="119">
        <v>50</v>
      </c>
      <c r="R272" s="119">
        <v>52</v>
      </c>
      <c r="S272" s="4">
        <v>35</v>
      </c>
      <c r="T272" s="4">
        <f t="array" ref="T272">INDEX('ICL3'!$G$2:$G$40,MATCH(MIN(ABS(AH272-'ICL3'!$F$2:$F$40)),ABS(AH272-'ICL3'!$F$2:$F$40),0))</f>
        <v>74</v>
      </c>
      <c r="U272" s="4">
        <f t="array" ref="U272">INDEX('ICL3'!$H$2:$H$40,MATCH(MIN(ABS(AH272-'ICL3'!$F$2:$F$40)),ABS(AH272-'ICL3'!$F$2:$F$40),0))</f>
        <v>21</v>
      </c>
      <c r="V272" s="4">
        <v>61</v>
      </c>
      <c r="W272" s="4">
        <v>28</v>
      </c>
      <c r="X272" s="4">
        <f>VLOOKUP($B272&amp;"__wt",'SegEnds_Xtal_BW#'!$A:$Z,24,FALSE)</f>
        <v>56</v>
      </c>
      <c r="Y272" s="4">
        <f>VLOOKUP($B272&amp;"__wt",'SegEnds_Xtal_BW#'!$A:$Z,25,FALSE)</f>
        <v>47</v>
      </c>
      <c r="Z272" s="4">
        <f>VLOOKUP($B272&amp;"__wt",'SegEnds_Xtal_BW#'!$A:$Z,26,FALSE)</f>
        <v>59</v>
      </c>
      <c r="AA272" s="27" t="str">
        <f>VLOOKUP(A272,Classification!A:B,2,FALSE)</f>
        <v>A</v>
      </c>
      <c r="AB272" s="4">
        <f>VLOOKUP(A272,'SegEnds_NonXtal_Prot#'!A:AL,10,FALSE)-VLOOKUP(A272,'SegEnds_NonXtal_Prot#'!A:AL,7,FALSE)</f>
        <v>16</v>
      </c>
      <c r="AC272" s="4" t="e">
        <f>VLOOKUP(A272,'SegEnds_NonXtal_Prot#'!A:AL,13,FALSE)-VLOOKUP(A272,'SegEnds_NonXtal_Prot#'!A:AL,10,FALSE)</f>
        <v>#VALUE!</v>
      </c>
      <c r="AD272" s="4">
        <f>VLOOKUP(A272,'SegEnds_NonXtal_Prot#'!A:AL,16,FALSE)-VLOOKUP(A272,'SegEnds_NonXtal_Prot#'!A:AL,10,FALSE)</f>
        <v>49</v>
      </c>
      <c r="AE272" s="1" t="e">
        <f>VLOOKUP(A272,'SegEnds_NonXtal_Prot#'!A:AL,22,FALSE)-VLOOKUP(A272,'SegEnds_NonXtal_Prot#'!A:AL,19,FALSE)</f>
        <v>#VALUE!</v>
      </c>
      <c r="AF272" s="4">
        <f>VLOOKUP(A272,'SegEnds_NonXtal_Prot#'!A:AL,28,FALSE)-VLOOKUP(A272,'SegEnds_NonXtal_Prot#'!A:AL,25,FALSE)</f>
        <v>21</v>
      </c>
      <c r="AG272" s="1">
        <f>VLOOKUP(A272,'SegEnds_NonXtal_Prot#'!A:AL,28,FALSE)-VLOOKUP(A272,'SegEnds_NonXtal_Prot#'!A:AL,22,FALSE)</f>
        <v>44</v>
      </c>
      <c r="AH272" s="4">
        <f>VLOOKUP(A272,'SegEnds_NonXtal_Prot#'!A:AL,31,FALSE)-VLOOKUP(A272,'SegEnds_NonXtal_Prot#'!A:AL,28,FALSE)</f>
        <v>63</v>
      </c>
      <c r="AI272" s="4">
        <f>VLOOKUP(A272,'SegEnds_NonXtal_Prot#'!A:AL,34,FALSE)-VLOOKUP(A272,'SegEnds_NonXtal_Prot#'!A:AL,31,FALSE)</f>
        <v>38</v>
      </c>
      <c r="AJ272" s="1" t="str">
        <f>IF(ISERROR(MATCH(A272,'SegEnds_Xtal_Prot#'!B:B, 0)), "NoXtal", "Xtal")</f>
        <v>NoXtal</v>
      </c>
    </row>
    <row r="273" spans="1:36" s="12" customFormat="1" x14ac:dyDescent="0.2">
      <c r="A273" s="1" t="s">
        <v>259</v>
      </c>
      <c r="B273" s="1" t="str">
        <f>VLOOKUP(A273,Xtal_Templ!A:B,2,FALSE)</f>
        <v>5ht1b_human</v>
      </c>
      <c r="C273" s="5">
        <f>VLOOKUP($B273&amp;"__wt",'SegEnds_Xtal_BW#'!$A:$Z,3,FALSE)</f>
        <v>29</v>
      </c>
      <c r="D273" s="1">
        <f>VLOOKUP($B273&amp;"__wt",'SegEnds_Xtal_BW#'!$A:$Z,4,FALSE)</f>
        <v>60</v>
      </c>
      <c r="E273" s="1">
        <f>VLOOKUP($B273&amp;"__wt",'SegEnds_Xtal_BW#'!$A:$Z,5,FALSE)</f>
        <v>48</v>
      </c>
      <c r="F273" s="1">
        <f>VLOOKUP($B273&amp;"__wt",'SegEnds_Xtal_BW#'!$A:$Z,6,FALSE)</f>
        <v>51</v>
      </c>
      <c r="G273" s="1">
        <v>37</v>
      </c>
      <c r="H273" s="12">
        <f>VLOOKUP($B273&amp;"__wt",'SegEnds_Xtal_BW#'!$A:$Z,8,FALSE)</f>
        <v>67</v>
      </c>
      <c r="I273" s="1">
        <f>VLOOKUP($B273&amp;"__wt",'SegEnds_Xtal_BW#'!$A:$Z,9,FALSE)</f>
        <v>49</v>
      </c>
      <c r="J273" s="1">
        <f>VLOOKUP($B273&amp;"__wt",'SegEnds_Xtal_BW#'!$A:$Z,10,FALSE)</f>
        <v>52</v>
      </c>
      <c r="K273" s="12">
        <v>18</v>
      </c>
      <c r="L273" s="1">
        <f>VLOOKUP($B273&amp;"__wt",'SegEnds_Xtal_BW#'!$A:$Z,12,FALSE)</f>
        <v>56</v>
      </c>
      <c r="M273" s="1">
        <f>VLOOKUP($B273&amp;"__wt",'SegEnds_Xtal_BW#'!$A:$Z,13,FALSE)</f>
        <v>50</v>
      </c>
      <c r="N273" s="12">
        <f>VLOOKUP($B273&amp;"__wt",'SegEnds_Xtal_BW#'!$A:$Z,14,FALSE)</f>
        <v>57</v>
      </c>
      <c r="O273" s="89">
        <v>38</v>
      </c>
      <c r="P273" s="1">
        <f>VLOOKUP($B273&amp;"__wt",'SegEnds_Xtal_BW#'!$A:$Z,16,FALSE)</f>
        <v>63</v>
      </c>
      <c r="Q273" s="1">
        <f>VLOOKUP($B273&amp;"__wt",'SegEnds_Xtal_BW#'!$A:$Z,17,FALSE)</f>
        <v>50</v>
      </c>
      <c r="R273" s="1">
        <f>VLOOKUP($B273&amp;"__wt",'SegEnds_Xtal_BW#'!$A:$Z,18,FALSE)</f>
        <v>52</v>
      </c>
      <c r="S273" s="1">
        <v>35</v>
      </c>
      <c r="T273" s="1">
        <f t="array" ref="T273">INDEX('ICL3'!$G$2:$G$40,MATCH(MIN(ABS(AH273-'ICL3'!$F$2:$F$40)),ABS(AH273-'ICL3'!$F$2:$F$40),0))</f>
        <v>76</v>
      </c>
      <c r="U273" s="1">
        <f t="array" ref="U273">INDEX('ICL3'!$H$2:$H$40,MATCH(MIN(ABS(AH273-'ICL3'!$F$2:$F$40)),ABS(AH273-'ICL3'!$F$2:$F$40),0))</f>
        <v>24</v>
      </c>
      <c r="V273" s="1">
        <v>61</v>
      </c>
      <c r="W273" s="1">
        <v>28</v>
      </c>
      <c r="X273" s="6">
        <f>VLOOKUP($B273&amp;"__wt",'SegEnds_Xtal_BW#'!$A:$Z,24,FALSE)</f>
        <v>56</v>
      </c>
      <c r="Y273" s="1">
        <f>VLOOKUP($B273&amp;"__wt",'SegEnds_Xtal_BW#'!$A:$Z,25,FALSE)</f>
        <v>47</v>
      </c>
      <c r="Z273" s="1">
        <f>VLOOKUP($B273&amp;"__wt",'SegEnds_Xtal_BW#'!$A:$Z,26,FALSE)</f>
        <v>58</v>
      </c>
      <c r="AA273" s="27" t="str">
        <f>VLOOKUP(A273,Classification!A:B,2,FALSE)</f>
        <v>A</v>
      </c>
      <c r="AB273" s="1">
        <f>VLOOKUP(A273,'SegEnds_NonXtal_Prot#'!A:AL,10,FALSE)-VLOOKUP(A273,'SegEnds_NonXtal_Prot#'!A:AL,7,FALSE)</f>
        <v>15</v>
      </c>
      <c r="AC273" s="1">
        <f>VLOOKUP(A273,'SegEnds_NonXtal_Prot#'!A:AL,13,FALSE)-VLOOKUP(A273,'SegEnds_NonXtal_Prot#'!A:AL,10,FALSE)</f>
        <v>20</v>
      </c>
      <c r="AD273" s="1">
        <f>VLOOKUP(A273,'SegEnds_NonXtal_Prot#'!A:AL,16,FALSE)-VLOOKUP(A273,'SegEnds_NonXtal_Prot#'!A:AL,10,FALSE)</f>
        <v>52</v>
      </c>
      <c r="AE273" s="1" t="e">
        <f>VLOOKUP(A273,'SegEnds_NonXtal_Prot#'!A:AL,22,FALSE)-VLOOKUP(A273,'SegEnds_NonXtal_Prot#'!A:AL,19,FALSE)</f>
        <v>#VALUE!</v>
      </c>
      <c r="AF273" s="1">
        <f>VLOOKUP(A273,'SegEnds_NonXtal_Prot#'!A:AL,28,FALSE)-VLOOKUP(A273,'SegEnds_NonXtal_Prot#'!A:AL,25,FALSE)</f>
        <v>25</v>
      </c>
      <c r="AG273" s="1">
        <f>VLOOKUP(A273,'SegEnds_NonXtal_Prot#'!A:AL,28,FALSE)-VLOOKUP(A273,'SegEnds_NonXtal_Prot#'!A:AL,22,FALSE)</f>
        <v>51</v>
      </c>
      <c r="AH273" s="1">
        <f>VLOOKUP(A273,'SegEnds_NonXtal_Prot#'!A:AL,31,FALSE)-VLOOKUP(A273,'SegEnds_NonXtal_Prot#'!A:AL,28,FALSE)</f>
        <v>75</v>
      </c>
      <c r="AI273" s="1">
        <f>VLOOKUP(A273,'SegEnds_NonXtal_Prot#'!A:AL,34,FALSE)-VLOOKUP(A273,'SegEnds_NonXtal_Prot#'!A:AL,31,FALSE)</f>
        <v>39</v>
      </c>
      <c r="AJ273" s="1" t="str">
        <f>IF(ISERROR(MATCH(A273,'SegEnds_Xtal_Prot#'!B:B, 0)), "NoXtal", "Xtal")</f>
        <v>NoXtal</v>
      </c>
    </row>
    <row r="274" spans="1:36" s="12" customFormat="1" x14ac:dyDescent="0.2">
      <c r="A274" s="1" t="s">
        <v>264</v>
      </c>
      <c r="B274" s="1" t="str">
        <f>VLOOKUP(A274,Xtal_Templ!A:B,2,FALSE)</f>
        <v>drd3_human</v>
      </c>
      <c r="C274" s="5">
        <f>VLOOKUP($B274&amp;"__wt",'SegEnds_Xtal_BW#'!$A:$Z,3,FALSE)</f>
        <v>29</v>
      </c>
      <c r="D274" s="1">
        <f>VLOOKUP($B274&amp;"__wt",'SegEnds_Xtal_BW#'!$A:$Z,4,FALSE)</f>
        <v>60</v>
      </c>
      <c r="E274" s="1">
        <f>VLOOKUP($B274&amp;"__wt",'SegEnds_Xtal_BW#'!$A:$Z,5,FALSE)</f>
        <v>48</v>
      </c>
      <c r="F274" s="1">
        <f>VLOOKUP($B274&amp;"__wt",'SegEnds_Xtal_BW#'!$A:$Z,6,FALSE)</f>
        <v>51</v>
      </c>
      <c r="G274" s="1">
        <v>37</v>
      </c>
      <c r="H274" s="12">
        <f>VLOOKUP($B274&amp;"__wt",'SegEnds_Xtal_BW#'!$A:$Z,8,FALSE)</f>
        <v>67</v>
      </c>
      <c r="I274" s="1">
        <f>VLOOKUP($B274&amp;"__wt",'SegEnds_Xtal_BW#'!$A:$Z,9,FALSE)</f>
        <v>49</v>
      </c>
      <c r="J274" s="1">
        <f>VLOOKUP($B274&amp;"__wt",'SegEnds_Xtal_BW#'!$A:$Z,10,FALSE)</f>
        <v>52</v>
      </c>
      <c r="K274" s="12">
        <v>18</v>
      </c>
      <c r="L274" s="1">
        <f>VLOOKUP($B274&amp;"__wt",'SegEnds_Xtal_BW#'!$A:$Z,12,FALSE)</f>
        <v>56</v>
      </c>
      <c r="M274" s="1">
        <f>VLOOKUP($B274&amp;"__wt",'SegEnds_Xtal_BW#'!$A:$Z,13,FALSE)</f>
        <v>50</v>
      </c>
      <c r="N274" s="12">
        <f>VLOOKUP($B274&amp;"__wt",'SegEnds_Xtal_BW#'!$A:$Z,14,FALSE)</f>
        <v>58</v>
      </c>
      <c r="O274" s="89">
        <f>VLOOKUP($B274&amp;"__wt",'SegEnds_Xtal_BW#'!$A:$Z,15,FALSE)</f>
        <v>38</v>
      </c>
      <c r="P274" s="1">
        <f>VLOOKUP($B274&amp;"__wt",'SegEnds_Xtal_BW#'!$A:$Z,16,FALSE)</f>
        <v>63</v>
      </c>
      <c r="Q274" s="1">
        <f>VLOOKUP($B274&amp;"__wt",'SegEnds_Xtal_BW#'!$A:$Z,17,FALSE)</f>
        <v>50</v>
      </c>
      <c r="R274" s="1">
        <f>VLOOKUP($B274&amp;"__wt",'SegEnds_Xtal_BW#'!$A:$Z,18,FALSE)</f>
        <v>52</v>
      </c>
      <c r="S274" s="1">
        <v>35</v>
      </c>
      <c r="T274" s="1">
        <f t="array" ref="T274">INDEX('ICL3'!$G$2:$G$40,MATCH(MIN(ABS(AH274-'ICL3'!$F$2:$F$40)),ABS(AH274-'ICL3'!$F$2:$F$40),0))</f>
        <v>76</v>
      </c>
      <c r="U274" s="1">
        <f t="array" ref="U274">INDEX('ICL3'!$H$2:$H$40,MATCH(MIN(ABS(AH274-'ICL3'!$F$2:$F$40)),ABS(AH274-'ICL3'!$F$2:$F$40),0))</f>
        <v>24</v>
      </c>
      <c r="V274" s="1">
        <v>58</v>
      </c>
      <c r="W274" s="1">
        <v>35</v>
      </c>
      <c r="X274" s="1">
        <f>VLOOKUP($B274&amp;"__wt",'SegEnds_Xtal_BW#'!$A:$Z,24,FALSE)</f>
        <v>56</v>
      </c>
      <c r="Y274" s="1">
        <f>VLOOKUP($B274&amp;"__wt",'SegEnds_Xtal_BW#'!$A:$Z,25,FALSE)</f>
        <v>47</v>
      </c>
      <c r="Z274" s="1">
        <f>VLOOKUP($B274&amp;"__wt",'SegEnds_Xtal_BW#'!$A:$Z,26,FALSE)</f>
        <v>59</v>
      </c>
      <c r="AA274" s="27" t="str">
        <f>VLOOKUP(A274,Classification!A:B,2,FALSE)</f>
        <v>A</v>
      </c>
      <c r="AB274" s="1" t="e">
        <f>VLOOKUP(A274,'SegEnds_NonXtal_Prot#'!A:AL,10,FALSE)-VLOOKUP(A274,'SegEnds_NonXtal_Prot#'!A:AL,7,FALSE)</f>
        <v>#VALUE!</v>
      </c>
      <c r="AC274" s="1" t="e">
        <f>VLOOKUP(A274,'SegEnds_NonXtal_Prot#'!A:AL,13,FALSE)-VLOOKUP(A274,'SegEnds_NonXtal_Prot#'!A:AL,10,FALSE)</f>
        <v>#VALUE!</v>
      </c>
      <c r="AD274" s="1">
        <f>VLOOKUP(A274,'SegEnds_NonXtal_Prot#'!A:AL,16,FALSE)-VLOOKUP(A274,'SegEnds_NonXtal_Prot#'!A:AL,10,FALSE)</f>
        <v>55</v>
      </c>
      <c r="AE274" s="1" t="e">
        <f>VLOOKUP(A274,'SegEnds_NonXtal_Prot#'!A:AL,22,FALSE)-VLOOKUP(A274,'SegEnds_NonXtal_Prot#'!A:AL,19,FALSE)</f>
        <v>#VALUE!</v>
      </c>
      <c r="AF274" s="1">
        <f>VLOOKUP(A274,'SegEnds_NonXtal_Prot#'!A:AL,28,FALSE)-VLOOKUP(A274,'SegEnds_NonXtal_Prot#'!A:AL,25,FALSE)</f>
        <v>22</v>
      </c>
      <c r="AG274" s="1">
        <f>VLOOKUP(A274,'SegEnds_NonXtal_Prot#'!A:AL,28,FALSE)-VLOOKUP(A274,'SegEnds_NonXtal_Prot#'!A:AL,22,FALSE)</f>
        <v>47</v>
      </c>
      <c r="AH274" s="1">
        <f>VLOOKUP(A274,'SegEnds_NonXtal_Prot#'!A:AL,31,FALSE)-VLOOKUP(A274,'SegEnds_NonXtal_Prot#'!A:AL,28,FALSE)</f>
        <v>72</v>
      </c>
      <c r="AI274" s="1">
        <f>VLOOKUP(A274,'SegEnds_NonXtal_Prot#'!A:AL,34,FALSE)-VLOOKUP(A274,'SegEnds_NonXtal_Prot#'!A:AL,31,FALSE)</f>
        <v>31</v>
      </c>
      <c r="AJ274" s="1" t="str">
        <f>IF(ISERROR(MATCH(A274,'SegEnds_Xtal_Prot#'!B:B, 0)), "NoXtal", "Xtal")</f>
        <v>NoXtal</v>
      </c>
    </row>
    <row r="275" spans="1:36" s="12" customFormat="1" x14ac:dyDescent="0.2">
      <c r="A275" s="1" t="s">
        <v>265</v>
      </c>
      <c r="B275" s="1" t="str">
        <f>VLOOKUP(A275,Xtal_Templ!A:B,2,FALSE)</f>
        <v>5ht2b_human</v>
      </c>
      <c r="C275" s="5">
        <f>VLOOKUP($B275&amp;"__wt",'SegEnds_Xtal_BW#'!$A:$Z,3,FALSE)</f>
        <v>32</v>
      </c>
      <c r="D275" s="1">
        <f>VLOOKUP($B275&amp;"__wt",'SegEnds_Xtal_BW#'!$A:$Z,4,FALSE)</f>
        <v>60</v>
      </c>
      <c r="E275" s="1">
        <f>VLOOKUP($B275&amp;"__wt",'SegEnds_Xtal_BW#'!$A:$Z,5,FALSE)</f>
        <v>48</v>
      </c>
      <c r="F275" s="1">
        <f>VLOOKUP($B275&amp;"__wt",'SegEnds_Xtal_BW#'!$A:$Z,6,FALSE)</f>
        <v>51</v>
      </c>
      <c r="G275" s="1">
        <v>37</v>
      </c>
      <c r="H275" s="12">
        <f>VLOOKUP($B275&amp;"__wt",'SegEnds_Xtal_BW#'!$A:$Z,8,FALSE)</f>
        <v>67</v>
      </c>
      <c r="I275" s="1">
        <f>VLOOKUP($B275&amp;"__wt",'SegEnds_Xtal_BW#'!$A:$Z,9,FALSE)</f>
        <v>49</v>
      </c>
      <c r="J275" s="1">
        <f>VLOOKUP($B275&amp;"__wt",'SegEnds_Xtal_BW#'!$A:$Z,10,FALSE)</f>
        <v>52</v>
      </c>
      <c r="K275" s="12">
        <v>18</v>
      </c>
      <c r="L275" s="1">
        <f>VLOOKUP($B275&amp;"__wt",'SegEnds_Xtal_BW#'!$A:$Z,12,FALSE)</f>
        <v>56</v>
      </c>
      <c r="M275" s="1">
        <f>VLOOKUP($B275&amp;"__wt",'SegEnds_Xtal_BW#'!$A:$Z,13,FALSE)</f>
        <v>50</v>
      </c>
      <c r="N275" s="12">
        <f>VLOOKUP($B275&amp;"__wt",'SegEnds_Xtal_BW#'!$A:$Z,14,FALSE)</f>
        <v>57</v>
      </c>
      <c r="O275" s="89">
        <v>38</v>
      </c>
      <c r="P275" s="1">
        <f>VLOOKUP($B275&amp;"__wt",'SegEnds_Xtal_BW#'!$A:$Z,16,FALSE)</f>
        <v>64</v>
      </c>
      <c r="Q275" s="1">
        <f>VLOOKUP($B275&amp;"__wt",'SegEnds_Xtal_BW#'!$A:$Z,17,FALSE)</f>
        <v>50</v>
      </c>
      <c r="R275" s="1">
        <f>VLOOKUP($B275&amp;"__wt",'SegEnds_Xtal_BW#'!$A:$Z,18,FALSE)</f>
        <v>52</v>
      </c>
      <c r="S275" s="1">
        <v>35</v>
      </c>
      <c r="T275" s="1">
        <f t="array" ref="T275">INDEX('ICL3'!$G$2:$G$40,MATCH(MIN(ABS(AH275-'ICL3'!$F$2:$F$40)),ABS(AH275-'ICL3'!$F$2:$F$40),0))</f>
        <v>76</v>
      </c>
      <c r="U275" s="1">
        <f t="array" ref="U275">INDEX('ICL3'!$H$2:$H$40,MATCH(MIN(ABS(AH275-'ICL3'!$F$2:$F$40)),ABS(AH275-'ICL3'!$F$2:$F$40),0))</f>
        <v>24</v>
      </c>
      <c r="V275" s="1">
        <v>61</v>
      </c>
      <c r="W275" s="1">
        <v>28</v>
      </c>
      <c r="X275" s="1">
        <f>VLOOKUP($B275&amp;"__wt",'SegEnds_Xtal_BW#'!$A:$Z,24,FALSE)</f>
        <v>56</v>
      </c>
      <c r="Y275" s="1">
        <f>VLOOKUP($B275&amp;"__wt",'SegEnds_Xtal_BW#'!$A:$Z,25,FALSE)</f>
        <v>47</v>
      </c>
      <c r="Z275" s="1">
        <f>VLOOKUP($B275&amp;"__wt",'SegEnds_Xtal_BW#'!$A:$Z,26,FALSE)</f>
        <v>58</v>
      </c>
      <c r="AA275" s="27" t="str">
        <f>VLOOKUP(A275,Classification!A:B,2,FALSE)</f>
        <v>A</v>
      </c>
      <c r="AB275" s="1">
        <f>VLOOKUP(A275,'SegEnds_NonXtal_Prot#'!A:AL,10,FALSE)-VLOOKUP(A275,'SegEnds_NonXtal_Prot#'!A:AL,7,FALSE)</f>
        <v>15</v>
      </c>
      <c r="AC275" s="1">
        <f>VLOOKUP(A275,'SegEnds_NonXtal_Prot#'!A:AL,13,FALSE)-VLOOKUP(A275,'SegEnds_NonXtal_Prot#'!A:AL,10,FALSE)</f>
        <v>20</v>
      </c>
      <c r="AD275" s="1">
        <f>VLOOKUP(A275,'SegEnds_NonXtal_Prot#'!A:AL,16,FALSE)-VLOOKUP(A275,'SegEnds_NonXtal_Prot#'!A:AL,10,FALSE)</f>
        <v>52</v>
      </c>
      <c r="AE275" s="1" t="e">
        <f>VLOOKUP(A275,'SegEnds_NonXtal_Prot#'!A:AL,22,FALSE)-VLOOKUP(A275,'SegEnds_NonXtal_Prot#'!A:AL,19,FALSE)</f>
        <v>#VALUE!</v>
      </c>
      <c r="AF275" s="1">
        <f>VLOOKUP(A275,'SegEnds_NonXtal_Prot#'!A:AL,28,FALSE)-VLOOKUP(A275,'SegEnds_NonXtal_Prot#'!A:AL,25,FALSE)</f>
        <v>25</v>
      </c>
      <c r="AG275" s="1">
        <f>VLOOKUP(A275,'SegEnds_NonXtal_Prot#'!A:AL,28,FALSE)-VLOOKUP(A275,'SegEnds_NonXtal_Prot#'!A:AL,22,FALSE)</f>
        <v>51</v>
      </c>
      <c r="AH275" s="1">
        <f>VLOOKUP(A275,'SegEnds_NonXtal_Prot#'!A:AL,31,FALSE)-VLOOKUP(A275,'SegEnds_NonXtal_Prot#'!A:AL,28,FALSE)</f>
        <v>75</v>
      </c>
      <c r="AI275" s="1">
        <f>VLOOKUP(A275,'SegEnds_NonXtal_Prot#'!A:AL,34,FALSE)-VLOOKUP(A275,'SegEnds_NonXtal_Prot#'!A:AL,31,FALSE)</f>
        <v>39</v>
      </c>
      <c r="AJ275" s="1" t="str">
        <f>IF(ISERROR(MATCH(A275,'SegEnds_Xtal_Prot#'!B:B, 0)), "NoXtal", "Xtal")</f>
        <v>NoXtal</v>
      </c>
    </row>
    <row r="276" spans="1:36" x14ac:dyDescent="0.2">
      <c r="A276" s="1" t="s">
        <v>266</v>
      </c>
      <c r="B276" s="1" t="str">
        <f>VLOOKUP(A276,Xtal_Templ!A:B,2,FALSE)</f>
        <v>adrb2_human</v>
      </c>
      <c r="C276" s="5">
        <f>VLOOKUP($B276&amp;"__wt",'SegEnds_Xtal_BW#'!$A:$Z,3,FALSE)</f>
        <v>25</v>
      </c>
      <c r="D276" s="1">
        <f>VLOOKUP($B276&amp;"__wt",'SegEnds_Xtal_BW#'!$A:$Z,4,FALSE)</f>
        <v>60</v>
      </c>
      <c r="E276" s="1">
        <f>VLOOKUP($B276&amp;"__wt",'SegEnds_Xtal_BW#'!$A:$Z,5,FALSE)</f>
        <v>48</v>
      </c>
      <c r="F276" s="1">
        <f>VLOOKUP($B276&amp;"__wt",'SegEnds_Xtal_BW#'!$A:$Z,6,FALSE)</f>
        <v>51</v>
      </c>
      <c r="G276" s="1">
        <v>37</v>
      </c>
      <c r="H276" s="12">
        <v>67</v>
      </c>
      <c r="I276" s="1">
        <f>VLOOKUP($B276&amp;"__wt",'SegEnds_Xtal_BW#'!$A:$Z,9,FALSE)</f>
        <v>49</v>
      </c>
      <c r="J276" s="1">
        <f>VLOOKUP($B276&amp;"__wt",'SegEnds_Xtal_BW#'!$A:$Z,10,FALSE)</f>
        <v>52</v>
      </c>
      <c r="K276" s="12">
        <v>18</v>
      </c>
      <c r="L276" s="1">
        <f>VLOOKUP($B276&amp;"__wt",'SegEnds_Xtal_BW#'!$A:$Z,12,FALSE)</f>
        <v>56</v>
      </c>
      <c r="M276" s="1">
        <f>VLOOKUP($B276&amp;"__wt",'SegEnds_Xtal_BW#'!$A:$Z,13,FALSE)</f>
        <v>50</v>
      </c>
      <c r="N276" s="12">
        <f>VLOOKUP($B276&amp;"__wt",'SegEnds_Xtal_BW#'!$A:$Z,14,FALSE)</f>
        <v>57</v>
      </c>
      <c r="O276" s="89">
        <f>VLOOKUP($B276&amp;"__wt",'SegEnds_Xtal_BW#'!$A:$Z,15,FALSE)</f>
        <v>38</v>
      </c>
      <c r="P276" s="1">
        <f>VLOOKUP($B276&amp;"__wt",'SegEnds_Xtal_BW#'!$A:$Z,16,FALSE)</f>
        <v>64</v>
      </c>
      <c r="Q276" s="1">
        <f>VLOOKUP($B276&amp;"__wt",'SegEnds_Xtal_BW#'!$A:$Z,17,FALSE)</f>
        <v>50</v>
      </c>
      <c r="R276" s="1">
        <f>VLOOKUP($B276&amp;"__wt",'SegEnds_Xtal_BW#'!$A:$Z,18,FALSE)</f>
        <v>52</v>
      </c>
      <c r="S276" s="1">
        <f>VLOOKUP($B276&amp;"__wt",'SegEnds_Xtal_BW#'!$A:$Z,19,FALSE)</f>
        <v>35</v>
      </c>
      <c r="T276" s="1">
        <f t="array" ref="T276">INDEX('ICL3'!$G$2:$G$40,MATCH(MIN(ABS(AH276-'ICL3'!$F$2:$F$40)),ABS(AH276-'ICL3'!$F$2:$F$40),0))</f>
        <v>76</v>
      </c>
      <c r="U276" s="1">
        <f t="array" ref="U276">INDEX('ICL3'!$H$2:$H$40,MATCH(MIN(ABS(AH276-'ICL3'!$F$2:$F$40)),ABS(AH276-'ICL3'!$F$2:$F$40),0))</f>
        <v>24</v>
      </c>
      <c r="V276" s="1">
        <v>61</v>
      </c>
      <c r="W276" s="1">
        <v>31</v>
      </c>
      <c r="X276" s="1">
        <f>VLOOKUP($B276&amp;"__wt",'SegEnds_Xtal_BW#'!$A:$Z,24,FALSE)</f>
        <v>55</v>
      </c>
      <c r="Y276" s="1">
        <f>VLOOKUP($B276&amp;"__wt",'SegEnds_Xtal_BW#'!$A:$Z,25,FALSE)</f>
        <v>47</v>
      </c>
      <c r="Z276" s="1">
        <f>VLOOKUP($B276&amp;"__wt",'SegEnds_Xtal_BW#'!$A:$Z,26,FALSE)</f>
        <v>59</v>
      </c>
      <c r="AA276" s="27" t="str">
        <f>VLOOKUP(A276,Classification!A:B,2,FALSE)</f>
        <v>A</v>
      </c>
      <c r="AB276" s="1">
        <f>VLOOKUP(A276,'SegEnds_NonXtal_Prot#'!A:AL,10,FALSE)-VLOOKUP(A276,'SegEnds_NonXtal_Prot#'!A:AL,7,FALSE)</f>
        <v>15</v>
      </c>
      <c r="AC276" s="1" t="e">
        <f>VLOOKUP(A276,'SegEnds_NonXtal_Prot#'!A:AL,13,FALSE)-VLOOKUP(A276,'SegEnds_NonXtal_Prot#'!A:AL,10,FALSE)</f>
        <v>#VALUE!</v>
      </c>
      <c r="AD276" s="1">
        <f>VLOOKUP(A276,'SegEnds_NonXtal_Prot#'!A:AL,16,FALSE)-VLOOKUP(A276,'SegEnds_NonXtal_Prot#'!A:AL,10,FALSE)</f>
        <v>53</v>
      </c>
      <c r="AE276" s="1" t="e">
        <f>VLOOKUP(A276,'SegEnds_NonXtal_Prot#'!A:AL,22,FALSE)-VLOOKUP(A276,'SegEnds_NonXtal_Prot#'!A:AL,19,FALSE)</f>
        <v>#VALUE!</v>
      </c>
      <c r="AF276" s="1">
        <f>VLOOKUP(A276,'SegEnds_NonXtal_Prot#'!A:AL,28,FALSE)-VLOOKUP(A276,'SegEnds_NonXtal_Prot#'!A:AL,25,FALSE)</f>
        <v>25</v>
      </c>
      <c r="AG276" s="1">
        <f>VLOOKUP(A276,'SegEnds_NonXtal_Prot#'!A:AL,28,FALSE)-VLOOKUP(A276,'SegEnds_NonXtal_Prot#'!A:AL,22,FALSE)</f>
        <v>45</v>
      </c>
      <c r="AH276" s="1">
        <f>VLOOKUP(A276,'SegEnds_NonXtal_Prot#'!A:AL,31,FALSE)-VLOOKUP(A276,'SegEnds_NonXtal_Prot#'!A:AL,28,FALSE)</f>
        <v>122</v>
      </c>
      <c r="AI276" s="1">
        <f>VLOOKUP(A276,'SegEnds_NonXtal_Prot#'!A:AL,34,FALSE)-VLOOKUP(A276,'SegEnds_NonXtal_Prot#'!A:AL,31,FALSE)</f>
        <v>37</v>
      </c>
      <c r="AJ276" s="1" t="str">
        <f>IF(ISERROR(MATCH(A276,'SegEnds_Xtal_Prot#'!B:B, 0)), "NoXtal", "Xtal")</f>
        <v>NoXtal</v>
      </c>
    </row>
    <row r="277" spans="1:36" x14ac:dyDescent="0.2">
      <c r="A277" s="1" t="s">
        <v>269</v>
      </c>
      <c r="B277" s="1" t="str">
        <f>VLOOKUP(A277,Xtal_Templ!A:B,2,FALSE)</f>
        <v>ox2r_human</v>
      </c>
      <c r="C277" s="5">
        <f>VLOOKUP($B277&amp;"__wt",'SegEnds_Xtal_BW#'!$A:$Z,3,FALSE)</f>
        <v>31</v>
      </c>
      <c r="D277" s="1">
        <f>VLOOKUP($B277&amp;"__wt",'SegEnds_Xtal_BW#'!$A:$Z,4,FALSE)</f>
        <v>60</v>
      </c>
      <c r="E277" s="1">
        <f>VLOOKUP($B277&amp;"__wt",'SegEnds_Xtal_BW#'!$A:$Z,5,FALSE)</f>
        <v>48</v>
      </c>
      <c r="F277" s="1">
        <f>VLOOKUP($B277&amp;"__wt",'SegEnds_Xtal_BW#'!$A:$Z,6,FALSE)</f>
        <v>51</v>
      </c>
      <c r="G277" s="1">
        <v>37</v>
      </c>
      <c r="H277" s="12">
        <f>VLOOKUP($B277&amp;"__wt",'SegEnds_Xtal_BW#'!$A:$Z,8,FALSE)</f>
        <v>67</v>
      </c>
      <c r="I277" s="1">
        <f>VLOOKUP($B277&amp;"__wt",'SegEnds_Xtal_BW#'!$A:$Z,9,FALSE)</f>
        <v>49</v>
      </c>
      <c r="J277" s="1">
        <f>VLOOKUP($B277&amp;"__wt",'SegEnds_Xtal_BW#'!$A:$Z,10,FALSE)</f>
        <v>52</v>
      </c>
      <c r="K277" s="12">
        <v>18</v>
      </c>
      <c r="L277" s="1">
        <f>VLOOKUP($B277&amp;"__wt",'SegEnds_Xtal_BW#'!$A:$Z,12,FALSE)</f>
        <v>56</v>
      </c>
      <c r="M277" s="1">
        <f>VLOOKUP($B277&amp;"__wt",'SegEnds_Xtal_BW#'!$A:$Z,13,FALSE)</f>
        <v>50</v>
      </c>
      <c r="N277" s="12">
        <v>56</v>
      </c>
      <c r="O277" s="89">
        <f>VLOOKUP($B277&amp;"__wt",'SegEnds_Xtal_BW#'!$A:$Z,15,FALSE)</f>
        <v>38</v>
      </c>
      <c r="P277" s="1">
        <f>VLOOKUP($B277&amp;"__wt",'SegEnds_Xtal_BW#'!$A:$Z,16,FALSE)</f>
        <v>64</v>
      </c>
      <c r="Q277" s="1">
        <f>VLOOKUP($B277&amp;"__wt",'SegEnds_Xtal_BW#'!$A:$Z,17,FALSE)</f>
        <v>50</v>
      </c>
      <c r="R277" s="1">
        <f>VLOOKUP($B277&amp;"__wt",'SegEnds_Xtal_BW#'!$A:$Z,18,FALSE)</f>
        <v>52</v>
      </c>
      <c r="S277" s="1">
        <f>VLOOKUP($B277&amp;"__wt",'SegEnds_Xtal_BW#'!$A:$Z,19,FALSE)</f>
        <v>32</v>
      </c>
      <c r="T277" s="1">
        <f t="array" ref="T277">INDEX('ICL3'!$G$2:$G$40,MATCH(MIN(ABS(AH277-'ICL3'!$F$2:$F$40)),ABS(AH277-'ICL3'!$F$2:$F$40),0))</f>
        <v>73</v>
      </c>
      <c r="U277" s="1">
        <f t="array" ref="U277">INDEX('ICL3'!$H$2:$H$40,MATCH(MIN(ABS(AH277-'ICL3'!$F$2:$F$40)),ABS(AH277-'ICL3'!$F$2:$F$40),0))</f>
        <v>22</v>
      </c>
      <c r="V277" s="1">
        <v>61</v>
      </c>
      <c r="W277" s="1">
        <v>31</v>
      </c>
      <c r="X277" s="1">
        <f>VLOOKUP($B277&amp;"__wt",'SegEnds_Xtal_BW#'!$A:$Z,24,FALSE)</f>
        <v>56</v>
      </c>
      <c r="Y277" s="1">
        <f>VLOOKUP($B277&amp;"__wt",'SegEnds_Xtal_BW#'!$A:$Z,25,FALSE)</f>
        <v>47</v>
      </c>
      <c r="Z277" s="1">
        <f>VLOOKUP($B277&amp;"__wt",'SegEnds_Xtal_BW#'!$A:$Z,26,FALSE)</f>
        <v>58</v>
      </c>
      <c r="AA277" s="27" t="str">
        <f>VLOOKUP(A277,Classification!A:B,2,FALSE)</f>
        <v>A</v>
      </c>
      <c r="AB277" s="1">
        <f>VLOOKUP(A277,'SegEnds_NonXtal_Prot#'!A:AL,10,FALSE)-VLOOKUP(A277,'SegEnds_NonXtal_Prot#'!A:AL,7,FALSE)</f>
        <v>15</v>
      </c>
      <c r="AC277" s="1">
        <f>VLOOKUP(A277,'SegEnds_NonXtal_Prot#'!A:AL,13,FALSE)-VLOOKUP(A277,'SegEnds_NonXtal_Prot#'!A:AL,10,FALSE)</f>
        <v>20</v>
      </c>
      <c r="AD277" s="1">
        <f>VLOOKUP(A277,'SegEnds_NonXtal_Prot#'!A:AL,16,FALSE)-VLOOKUP(A277,'SegEnds_NonXtal_Prot#'!A:AL,10,FALSE)</f>
        <v>52</v>
      </c>
      <c r="AE277" s="1" t="e">
        <f>VLOOKUP(A277,'SegEnds_NonXtal_Prot#'!A:AL,22,FALSE)-VLOOKUP(A277,'SegEnds_NonXtal_Prot#'!A:AL,19,FALSE)</f>
        <v>#VALUE!</v>
      </c>
      <c r="AF277" s="1">
        <f>VLOOKUP(A277,'SegEnds_NonXtal_Prot#'!A:AL,28,FALSE)-VLOOKUP(A277,'SegEnds_NonXtal_Prot#'!A:AL,25,FALSE)</f>
        <v>27</v>
      </c>
      <c r="AG277" s="1">
        <f>VLOOKUP(A277,'SegEnds_NonXtal_Prot#'!A:AL,28,FALSE)-VLOOKUP(A277,'SegEnds_NonXtal_Prot#'!A:AL,22,FALSE)</f>
        <v>57</v>
      </c>
      <c r="AH277" s="1">
        <f>VLOOKUP(A277,'SegEnds_NonXtal_Prot#'!A:AL,31,FALSE)-VLOOKUP(A277,'SegEnds_NonXtal_Prot#'!A:AL,28,FALSE)</f>
        <v>56</v>
      </c>
      <c r="AI277" s="1">
        <f>VLOOKUP(A277,'SegEnds_NonXtal_Prot#'!A:AL,34,FALSE)-VLOOKUP(A277,'SegEnds_NonXtal_Prot#'!A:AL,31,FALSE)</f>
        <v>35</v>
      </c>
      <c r="AJ277" s="1" t="str">
        <f>IF(ISERROR(MATCH(A277,'SegEnds_Xtal_Prot#'!B:B, 0)), "NoXtal", "Xtal")</f>
        <v>NoXtal</v>
      </c>
    </row>
    <row r="278" spans="1:36" x14ac:dyDescent="0.2">
      <c r="A278" s="1" t="s">
        <v>314</v>
      </c>
      <c r="B278" s="1" t="str">
        <f>VLOOKUP(A278,Xtal_Templ!A:B,2,FALSE)</f>
        <v>ox2r_human</v>
      </c>
      <c r="C278" s="5">
        <f>VLOOKUP($B278&amp;"__wt",'SegEnds_Xtal_BW#'!$A:$Z,3,FALSE)</f>
        <v>31</v>
      </c>
      <c r="D278" s="1">
        <f>VLOOKUP($B278&amp;"__wt",'SegEnds_Xtal_BW#'!$A:$Z,4,FALSE)</f>
        <v>60</v>
      </c>
      <c r="E278" s="1">
        <f>VLOOKUP($B278&amp;"__wt",'SegEnds_Xtal_BW#'!$A:$Z,5,FALSE)</f>
        <v>48</v>
      </c>
      <c r="F278" s="1">
        <f>VLOOKUP($B278&amp;"__wt",'SegEnds_Xtal_BW#'!$A:$Z,6,FALSE)</f>
        <v>51</v>
      </c>
      <c r="G278" s="1">
        <v>37</v>
      </c>
      <c r="H278" s="12">
        <f>VLOOKUP($B278&amp;"__wt",'SegEnds_Xtal_BW#'!$A:$Z,8,FALSE)</f>
        <v>67</v>
      </c>
      <c r="I278" s="1">
        <f>VLOOKUP($B278&amp;"__wt",'SegEnds_Xtal_BW#'!$A:$Z,9,FALSE)</f>
        <v>49</v>
      </c>
      <c r="J278" s="1">
        <f>VLOOKUP($B278&amp;"__wt",'SegEnds_Xtal_BW#'!$A:$Z,10,FALSE)</f>
        <v>52</v>
      </c>
      <c r="K278" s="12">
        <v>18</v>
      </c>
      <c r="L278" s="1">
        <f>VLOOKUP($B278&amp;"__wt",'SegEnds_Xtal_BW#'!$A:$Z,12,FALSE)</f>
        <v>56</v>
      </c>
      <c r="M278" s="1">
        <f>VLOOKUP($B278&amp;"__wt",'SegEnds_Xtal_BW#'!$A:$Z,13,FALSE)</f>
        <v>50</v>
      </c>
      <c r="N278" s="12">
        <v>56</v>
      </c>
      <c r="O278" s="89">
        <f>VLOOKUP($B278&amp;"__wt",'SegEnds_Xtal_BW#'!$A:$Z,15,FALSE)</f>
        <v>38</v>
      </c>
      <c r="P278" s="1">
        <f>VLOOKUP($B278&amp;"__wt",'SegEnds_Xtal_BW#'!$A:$Z,16,FALSE)</f>
        <v>64</v>
      </c>
      <c r="Q278" s="1">
        <f>VLOOKUP($B278&amp;"__wt",'SegEnds_Xtal_BW#'!$A:$Z,17,FALSE)</f>
        <v>50</v>
      </c>
      <c r="R278" s="1">
        <f>VLOOKUP($B278&amp;"__wt",'SegEnds_Xtal_BW#'!$A:$Z,18,FALSE)</f>
        <v>52</v>
      </c>
      <c r="S278" s="1">
        <f>VLOOKUP($B278&amp;"__wt",'SegEnds_Xtal_BW#'!$A:$Z,19,FALSE)</f>
        <v>32</v>
      </c>
      <c r="T278" s="1">
        <f t="array" ref="T278">INDEX('ICL3'!$G$2:$G$40,MATCH(MIN(ABS(AH278-'ICL3'!$F$2:$F$40)),ABS(AH278-'ICL3'!$F$2:$F$40),0))</f>
        <v>73</v>
      </c>
      <c r="U278" s="1">
        <f t="array" ref="U278">INDEX('ICL3'!$H$2:$H$40,MATCH(MIN(ABS(AH278-'ICL3'!$F$2:$F$40)),ABS(AH278-'ICL3'!$F$2:$F$40),0))</f>
        <v>22</v>
      </c>
      <c r="V278" s="1">
        <v>61</v>
      </c>
      <c r="W278" s="1">
        <v>28</v>
      </c>
      <c r="X278" s="1">
        <f>VLOOKUP($B278&amp;"__wt",'SegEnds_Xtal_BW#'!$A:$Z,24,FALSE)</f>
        <v>56</v>
      </c>
      <c r="Y278" s="1">
        <f>VLOOKUP($B278&amp;"__wt",'SegEnds_Xtal_BW#'!$A:$Z,25,FALSE)</f>
        <v>47</v>
      </c>
      <c r="Z278" s="1">
        <f>VLOOKUP($B278&amp;"__wt",'SegEnds_Xtal_BW#'!$A:$Z,26,FALSE)</f>
        <v>58</v>
      </c>
      <c r="AA278" s="27" t="str">
        <f>VLOOKUP(A278,Classification!A:B,2,FALSE)</f>
        <v>A</v>
      </c>
      <c r="AB278" s="1">
        <f>VLOOKUP(A278,'SegEnds_NonXtal_Prot#'!A:AL,10,FALSE)-VLOOKUP(A278,'SegEnds_NonXtal_Prot#'!A:AL,7,FALSE)</f>
        <v>15</v>
      </c>
      <c r="AC278" s="1">
        <f>VLOOKUP(A278,'SegEnds_NonXtal_Prot#'!A:AL,13,FALSE)-VLOOKUP(A278,'SegEnds_NonXtal_Prot#'!A:AL,10,FALSE)</f>
        <v>20</v>
      </c>
      <c r="AD278" s="1">
        <f>VLOOKUP(A278,'SegEnds_NonXtal_Prot#'!A:AL,16,FALSE)-VLOOKUP(A278,'SegEnds_NonXtal_Prot#'!A:AL,10,FALSE)</f>
        <v>52</v>
      </c>
      <c r="AE278" s="1" t="e">
        <f>VLOOKUP(A278,'SegEnds_NonXtal_Prot#'!A:AL,22,FALSE)-VLOOKUP(A278,'SegEnds_NonXtal_Prot#'!A:AL,19,FALSE)</f>
        <v>#VALUE!</v>
      </c>
      <c r="AF278" s="1">
        <f>VLOOKUP(A278,'SegEnds_NonXtal_Prot#'!A:AL,28,FALSE)-VLOOKUP(A278,'SegEnds_NonXtal_Prot#'!A:AL,25,FALSE)</f>
        <v>28</v>
      </c>
      <c r="AG278" s="1">
        <f>VLOOKUP(A278,'SegEnds_NonXtal_Prot#'!A:AL,28,FALSE)-VLOOKUP(A278,'SegEnds_NonXtal_Prot#'!A:AL,22,FALSE)</f>
        <v>53</v>
      </c>
      <c r="AH278" s="1">
        <f>VLOOKUP(A278,'SegEnds_NonXtal_Prot#'!A:AL,31,FALSE)-VLOOKUP(A278,'SegEnds_NonXtal_Prot#'!A:AL,28,FALSE)</f>
        <v>55</v>
      </c>
      <c r="AI278" s="1">
        <f>VLOOKUP(A278,'SegEnds_NonXtal_Prot#'!A:AL,34,FALSE)-VLOOKUP(A278,'SegEnds_NonXtal_Prot#'!A:AL,31,FALSE)</f>
        <v>39</v>
      </c>
      <c r="AJ278" s="1" t="str">
        <f>IF(ISERROR(MATCH(A278,'SegEnds_Xtal_Prot#'!B:B, 0)), "NoXtal", "Xtal")</f>
        <v>NoXtal</v>
      </c>
    </row>
    <row r="279" spans="1:36" x14ac:dyDescent="0.2">
      <c r="A279" s="1" t="s">
        <v>315</v>
      </c>
      <c r="B279" s="1" t="str">
        <f>VLOOKUP(A279,Xtal_Templ!A:B,2,FALSE)</f>
        <v>ox1r_human</v>
      </c>
      <c r="C279" s="5">
        <f>VLOOKUP($B279&amp;"__wt",'SegEnds_Xtal_BW#'!$A:$Z,3,FALSE)</f>
        <v>32</v>
      </c>
      <c r="D279" s="1">
        <f>VLOOKUP($B279&amp;"__wt",'SegEnds_Xtal_BW#'!$A:$Z,4,FALSE)</f>
        <v>60</v>
      </c>
      <c r="E279" s="1">
        <f>VLOOKUP($B279&amp;"__wt",'SegEnds_Xtal_BW#'!$A:$Z,5,FALSE)</f>
        <v>48</v>
      </c>
      <c r="F279" s="1">
        <f>VLOOKUP($B279&amp;"__wt",'SegEnds_Xtal_BW#'!$A:$Z,6,FALSE)</f>
        <v>51</v>
      </c>
      <c r="G279" s="1">
        <v>37</v>
      </c>
      <c r="H279" s="12">
        <f>VLOOKUP($B279&amp;"__wt",'SegEnds_Xtal_BW#'!$A:$Z,8,FALSE)</f>
        <v>67</v>
      </c>
      <c r="I279" s="1">
        <f>VLOOKUP($B279&amp;"__wt",'SegEnds_Xtal_BW#'!$A:$Z,9,FALSE)</f>
        <v>49</v>
      </c>
      <c r="J279" s="1">
        <f>VLOOKUP($B279&amp;"__wt",'SegEnds_Xtal_BW#'!$A:$Z,10,FALSE)</f>
        <v>52</v>
      </c>
      <c r="K279" s="12">
        <v>18</v>
      </c>
      <c r="L279" s="1">
        <f>VLOOKUP($B279&amp;"__wt",'SegEnds_Xtal_BW#'!$A:$Z,12,FALSE)</f>
        <v>56</v>
      </c>
      <c r="M279" s="1">
        <f>VLOOKUP($B279&amp;"__wt",'SegEnds_Xtal_BW#'!$A:$Z,13,FALSE)</f>
        <v>50</v>
      </c>
      <c r="N279" s="12">
        <v>56</v>
      </c>
      <c r="O279" s="89">
        <f>VLOOKUP($B279&amp;"__wt",'SegEnds_Xtal_BW#'!$A:$Z,15,FALSE)</f>
        <v>38</v>
      </c>
      <c r="P279" s="1">
        <f>VLOOKUP($B279&amp;"__wt",'SegEnds_Xtal_BW#'!$A:$Z,16,FALSE)</f>
        <v>64</v>
      </c>
      <c r="Q279" s="1">
        <f>VLOOKUP($B279&amp;"__wt",'SegEnds_Xtal_BW#'!$A:$Z,17,FALSE)</f>
        <v>50</v>
      </c>
      <c r="R279" s="1">
        <f>VLOOKUP($B279&amp;"__wt",'SegEnds_Xtal_BW#'!$A:$Z,18,FALSE)</f>
        <v>52</v>
      </c>
      <c r="S279" s="1">
        <f>VLOOKUP($B279&amp;"__wt",'SegEnds_Xtal_BW#'!$A:$Z,19,FALSE)</f>
        <v>32</v>
      </c>
      <c r="T279" s="1">
        <f t="array" ref="T279">INDEX('ICL3'!$G$2:$G$40,MATCH(MIN(ABS(AH279-'ICL3'!$F$2:$F$40)),ABS(AH279-'ICL3'!$F$2:$F$40),0))</f>
        <v>73</v>
      </c>
      <c r="U279" s="1">
        <f t="array" ref="U279">INDEX('ICL3'!$H$2:$H$40,MATCH(MIN(ABS(AH279-'ICL3'!$F$2:$F$40)),ABS(AH279-'ICL3'!$F$2:$F$40),0))</f>
        <v>22</v>
      </c>
      <c r="V279" s="1">
        <v>61</v>
      </c>
      <c r="W279" s="1">
        <v>28</v>
      </c>
      <c r="X279" s="1">
        <f>VLOOKUP($B279&amp;"__wt",'SegEnds_Xtal_BW#'!$A:$Z,24,FALSE)</f>
        <v>56</v>
      </c>
      <c r="Y279" s="1">
        <f>VLOOKUP($B279&amp;"__wt",'SegEnds_Xtal_BW#'!$A:$Z,25,FALSE)</f>
        <v>47</v>
      </c>
      <c r="Z279" s="1">
        <f>VLOOKUP($B279&amp;"__wt",'SegEnds_Xtal_BW#'!$A:$Z,26,FALSE)</f>
        <v>58</v>
      </c>
      <c r="AA279" s="27" t="str">
        <f>VLOOKUP(A279,Classification!A:B,2,FALSE)</f>
        <v>A</v>
      </c>
      <c r="AB279" s="1">
        <f>VLOOKUP(A279,'SegEnds_NonXtal_Prot#'!A:AL,10,FALSE)-VLOOKUP(A279,'SegEnds_NonXtal_Prot#'!A:AL,7,FALSE)</f>
        <v>15</v>
      </c>
      <c r="AC279" s="1">
        <f>VLOOKUP(A279,'SegEnds_NonXtal_Prot#'!A:AL,13,FALSE)-VLOOKUP(A279,'SegEnds_NonXtal_Prot#'!A:AL,10,FALSE)</f>
        <v>20</v>
      </c>
      <c r="AD279" s="1">
        <f>VLOOKUP(A279,'SegEnds_NonXtal_Prot#'!A:AL,16,FALSE)-VLOOKUP(A279,'SegEnds_NonXtal_Prot#'!A:AL,10,FALSE)</f>
        <v>52</v>
      </c>
      <c r="AE279" s="1" t="e">
        <f>VLOOKUP(A279,'SegEnds_NonXtal_Prot#'!A:AL,22,FALSE)-VLOOKUP(A279,'SegEnds_NonXtal_Prot#'!A:AL,19,FALSE)</f>
        <v>#VALUE!</v>
      </c>
      <c r="AF279" s="1">
        <f>VLOOKUP(A279,'SegEnds_NonXtal_Prot#'!A:AL,28,FALSE)-VLOOKUP(A279,'SegEnds_NonXtal_Prot#'!A:AL,25,FALSE)</f>
        <v>28</v>
      </c>
      <c r="AG279" s="1">
        <f>VLOOKUP(A279,'SegEnds_NonXtal_Prot#'!A:AL,28,FALSE)-VLOOKUP(A279,'SegEnds_NonXtal_Prot#'!A:AL,22,FALSE)</f>
        <v>53</v>
      </c>
      <c r="AH279" s="1">
        <f>VLOOKUP(A279,'SegEnds_NonXtal_Prot#'!A:AL,31,FALSE)-VLOOKUP(A279,'SegEnds_NonXtal_Prot#'!A:AL,28,FALSE)</f>
        <v>56</v>
      </c>
      <c r="AI279" s="1">
        <f>VLOOKUP(A279,'SegEnds_NonXtal_Prot#'!A:AL,34,FALSE)-VLOOKUP(A279,'SegEnds_NonXtal_Prot#'!A:AL,31,FALSE)</f>
        <v>39</v>
      </c>
      <c r="AJ279" s="1" t="str">
        <f>IF(ISERROR(MATCH(A279,'SegEnds_Xtal_Prot#'!B:B, 0)), "NoXtal", "Xtal")</f>
        <v>NoXtal</v>
      </c>
    </row>
    <row r="280" spans="1:36" x14ac:dyDescent="0.2">
      <c r="A280" s="1" t="s">
        <v>316</v>
      </c>
      <c r="B280" s="1" t="str">
        <f>VLOOKUP(A280,Xtal_Templ!A:B,2,FALSE)</f>
        <v>ox2r_human</v>
      </c>
      <c r="C280" s="5">
        <f>VLOOKUP($B280&amp;"__wt",'SegEnds_Xtal_BW#'!$A:$Z,3,FALSE)</f>
        <v>31</v>
      </c>
      <c r="D280" s="1">
        <f>VLOOKUP($B280&amp;"__wt",'SegEnds_Xtal_BW#'!$A:$Z,4,FALSE)</f>
        <v>60</v>
      </c>
      <c r="E280" s="1">
        <f>VLOOKUP($B280&amp;"__wt",'SegEnds_Xtal_BW#'!$A:$Z,5,FALSE)</f>
        <v>48</v>
      </c>
      <c r="F280" s="1">
        <f>VLOOKUP($B280&amp;"__wt",'SegEnds_Xtal_BW#'!$A:$Z,6,FALSE)</f>
        <v>51</v>
      </c>
      <c r="G280" s="1">
        <v>37</v>
      </c>
      <c r="H280" s="12">
        <f>VLOOKUP($B280&amp;"__wt",'SegEnds_Xtal_BW#'!$A:$Z,8,FALSE)</f>
        <v>67</v>
      </c>
      <c r="I280" s="1">
        <f>VLOOKUP($B280&amp;"__wt",'SegEnds_Xtal_BW#'!$A:$Z,9,FALSE)</f>
        <v>49</v>
      </c>
      <c r="J280" s="1">
        <f>VLOOKUP($B280&amp;"__wt",'SegEnds_Xtal_BW#'!$A:$Z,10,FALSE)</f>
        <v>52</v>
      </c>
      <c r="K280" s="12">
        <v>18</v>
      </c>
      <c r="L280" s="1">
        <f>VLOOKUP($B280&amp;"__wt",'SegEnds_Xtal_BW#'!$A:$Z,12,FALSE)</f>
        <v>56</v>
      </c>
      <c r="M280" s="1">
        <f>VLOOKUP($B280&amp;"__wt",'SegEnds_Xtal_BW#'!$A:$Z,13,FALSE)</f>
        <v>50</v>
      </c>
      <c r="N280" s="12">
        <v>56</v>
      </c>
      <c r="O280" s="89">
        <f>VLOOKUP($B280&amp;"__wt",'SegEnds_Xtal_BW#'!$A:$Z,15,FALSE)</f>
        <v>38</v>
      </c>
      <c r="P280" s="1">
        <f>VLOOKUP($B280&amp;"__wt",'SegEnds_Xtal_BW#'!$A:$Z,16,FALSE)</f>
        <v>64</v>
      </c>
      <c r="Q280" s="1">
        <f>VLOOKUP($B280&amp;"__wt",'SegEnds_Xtal_BW#'!$A:$Z,17,FALSE)</f>
        <v>50</v>
      </c>
      <c r="R280" s="1">
        <f>VLOOKUP($B280&amp;"__wt",'SegEnds_Xtal_BW#'!$A:$Z,18,FALSE)</f>
        <v>52</v>
      </c>
      <c r="S280" s="1">
        <f>VLOOKUP($B280&amp;"__wt",'SegEnds_Xtal_BW#'!$A:$Z,19,FALSE)</f>
        <v>32</v>
      </c>
      <c r="T280" s="1">
        <f t="array" ref="T280">INDEX('ICL3'!$G$2:$G$40,MATCH(MIN(ABS(AH280-'ICL3'!$F$2:$F$40)),ABS(AH280-'ICL3'!$F$2:$F$40),0))</f>
        <v>73</v>
      </c>
      <c r="U280" s="1">
        <f t="array" ref="U280">INDEX('ICL3'!$H$2:$H$40,MATCH(MIN(ABS(AH280-'ICL3'!$F$2:$F$40)),ABS(AH280-'ICL3'!$F$2:$F$40),0))</f>
        <v>22</v>
      </c>
      <c r="V280" s="1">
        <v>61</v>
      </c>
      <c r="W280" s="1">
        <v>28</v>
      </c>
      <c r="X280" s="1">
        <f>VLOOKUP($B280&amp;"__wt",'SegEnds_Xtal_BW#'!$A:$Z,24,FALSE)</f>
        <v>56</v>
      </c>
      <c r="Y280" s="1">
        <f>VLOOKUP($B280&amp;"__wt",'SegEnds_Xtal_BW#'!$A:$Z,25,FALSE)</f>
        <v>47</v>
      </c>
      <c r="Z280" s="1">
        <f>VLOOKUP($B280&amp;"__wt",'SegEnds_Xtal_BW#'!$A:$Z,26,FALSE)</f>
        <v>58</v>
      </c>
      <c r="AA280" s="27" t="str">
        <f>VLOOKUP(A280,Classification!A:B,2,FALSE)</f>
        <v>A</v>
      </c>
      <c r="AB280" s="1">
        <f>VLOOKUP(A280,'SegEnds_NonXtal_Prot#'!A:AL,10,FALSE)-VLOOKUP(A280,'SegEnds_NonXtal_Prot#'!A:AL,7,FALSE)</f>
        <v>15</v>
      </c>
      <c r="AC280" s="1">
        <f>VLOOKUP(A280,'SegEnds_NonXtal_Prot#'!A:AL,13,FALSE)-VLOOKUP(A280,'SegEnds_NonXtal_Prot#'!A:AL,10,FALSE)</f>
        <v>20</v>
      </c>
      <c r="AD280" s="1">
        <f>VLOOKUP(A280,'SegEnds_NonXtal_Prot#'!A:AL,16,FALSE)-VLOOKUP(A280,'SegEnds_NonXtal_Prot#'!A:AL,10,FALSE)</f>
        <v>52</v>
      </c>
      <c r="AE280" s="1" t="e">
        <f>VLOOKUP(A280,'SegEnds_NonXtal_Prot#'!A:AL,22,FALSE)-VLOOKUP(A280,'SegEnds_NonXtal_Prot#'!A:AL,19,FALSE)</f>
        <v>#VALUE!</v>
      </c>
      <c r="AF280" s="1">
        <f>VLOOKUP(A280,'SegEnds_NonXtal_Prot#'!A:AL,28,FALSE)-VLOOKUP(A280,'SegEnds_NonXtal_Prot#'!A:AL,25,FALSE)</f>
        <v>26</v>
      </c>
      <c r="AG280" s="1">
        <f>VLOOKUP(A280,'SegEnds_NonXtal_Prot#'!A:AL,28,FALSE)-VLOOKUP(A280,'SegEnds_NonXtal_Prot#'!A:AL,22,FALSE)</f>
        <v>51</v>
      </c>
      <c r="AH280" s="1">
        <f>VLOOKUP(A280,'SegEnds_NonXtal_Prot#'!A:AL,31,FALSE)-VLOOKUP(A280,'SegEnds_NonXtal_Prot#'!A:AL,28,FALSE)</f>
        <v>55</v>
      </c>
      <c r="AI280" s="1">
        <f>VLOOKUP(A280,'SegEnds_NonXtal_Prot#'!A:AL,34,FALSE)-VLOOKUP(A280,'SegEnds_NonXtal_Prot#'!A:AL,31,FALSE)</f>
        <v>39</v>
      </c>
      <c r="AJ280" s="1" t="str">
        <f>IF(ISERROR(MATCH(A280,'SegEnds_Xtal_Prot#'!B:B, 0)), "NoXtal", "Xtal")</f>
        <v>NoXtal</v>
      </c>
    </row>
    <row r="281" spans="1:36" x14ac:dyDescent="0.2">
      <c r="A281" s="1" t="s">
        <v>320</v>
      </c>
      <c r="B281" s="1" t="str">
        <f>VLOOKUP(A281,Xtal_Templ!A:B,2,FALSE)</f>
        <v>oprk_human</v>
      </c>
      <c r="C281" s="5">
        <f>VLOOKUP($B281&amp;"__wt",'SegEnds_Xtal_BW#'!$A:$Z,3,FALSE)</f>
        <v>30</v>
      </c>
      <c r="D281" s="1">
        <f>VLOOKUP($B281&amp;"__wt",'SegEnds_Xtal_BW#'!$A:$Z,4,FALSE)</f>
        <v>60</v>
      </c>
      <c r="E281" s="1">
        <f>VLOOKUP($B281&amp;"__wt",'SegEnds_Xtal_BW#'!$A:$Z,5,FALSE)</f>
        <v>48</v>
      </c>
      <c r="F281" s="1">
        <f>VLOOKUP($B281&amp;"__wt",'SegEnds_Xtal_BW#'!$A:$Z,6,FALSE)</f>
        <v>51</v>
      </c>
      <c r="G281" s="1">
        <v>37</v>
      </c>
      <c r="H281" s="12">
        <v>66</v>
      </c>
      <c r="I281" s="1">
        <f>VLOOKUP($B281&amp;"__wt",'SegEnds_Xtal_BW#'!$A:$Z,9,FALSE)</f>
        <v>49</v>
      </c>
      <c r="J281" s="1">
        <f>VLOOKUP($B281&amp;"__wt",'SegEnds_Xtal_BW#'!$A:$Z,10,FALSE)</f>
        <v>52</v>
      </c>
      <c r="K281" s="12">
        <v>21</v>
      </c>
      <c r="L281" s="1">
        <f>VLOOKUP($B281&amp;"__wt",'SegEnds_Xtal_BW#'!$A:$Z,12,FALSE)</f>
        <v>56</v>
      </c>
      <c r="M281" s="1">
        <f>VLOOKUP($B281&amp;"__wt",'SegEnds_Xtal_BW#'!$A:$Z,13,FALSE)</f>
        <v>50</v>
      </c>
      <c r="N281" s="12">
        <f>VLOOKUP($B281&amp;"__wt",'SegEnds_Xtal_BW#'!$A:$Z,14,FALSE)</f>
        <v>57</v>
      </c>
      <c r="O281" s="89">
        <v>38</v>
      </c>
      <c r="P281" s="1">
        <f>VLOOKUP($B281&amp;"__wt",'SegEnds_Xtal_BW#'!$A:$Z,16,FALSE)</f>
        <v>64</v>
      </c>
      <c r="Q281" s="1">
        <f>VLOOKUP($B281&amp;"__wt",'SegEnds_Xtal_BW#'!$A:$Z,17,FALSE)</f>
        <v>50</v>
      </c>
      <c r="R281" s="1">
        <f>VLOOKUP($B281&amp;"__wt",'SegEnds_Xtal_BW#'!$A:$Z,18,FALSE)</f>
        <v>52</v>
      </c>
      <c r="S281" s="1">
        <f>VLOOKUP($B281&amp;"__wt",'SegEnds_Xtal_BW#'!$A:$Z,19,FALSE)</f>
        <v>31</v>
      </c>
      <c r="T281" s="1">
        <f t="array" ref="T281">INDEX('ICL3'!$G$2:$G$40,MATCH(MIN(ABS(AH281-'ICL3'!$F$2:$F$40)),ABS(AH281-'ICL3'!$F$2:$F$40),0))</f>
        <v>68</v>
      </c>
      <c r="U281" s="1">
        <f t="array" ref="U281">INDEX('ICL3'!$H$2:$H$40,MATCH(MIN(ABS(AH281-'ICL3'!$F$2:$F$40)),ABS(AH281-'ICL3'!$F$2:$F$40),0))</f>
        <v>23</v>
      </c>
      <c r="V281" s="1">
        <v>61</v>
      </c>
      <c r="W281" s="1">
        <v>28</v>
      </c>
      <c r="X281" s="1">
        <f>VLOOKUP($B281&amp;"__wt",'SegEnds_Xtal_BW#'!$A:$Z,24,FALSE)</f>
        <v>56</v>
      </c>
      <c r="Y281" s="1">
        <f>VLOOKUP($B281&amp;"__wt",'SegEnds_Xtal_BW#'!$A:$Z,25,FALSE)</f>
        <v>47</v>
      </c>
      <c r="Z281" s="1">
        <f>VLOOKUP($B281&amp;"__wt",'SegEnds_Xtal_BW#'!$A:$Z,26,FALSE)</f>
        <v>59</v>
      </c>
      <c r="AA281" s="27" t="str">
        <f>VLOOKUP(A281,Classification!A:B,2,FALSE)</f>
        <v>A</v>
      </c>
      <c r="AB281" s="1">
        <f>VLOOKUP(A281,'SegEnds_NonXtal_Prot#'!A:AL,10,FALSE)-VLOOKUP(A281,'SegEnds_NonXtal_Prot#'!A:AL,7,FALSE)</f>
        <v>15</v>
      </c>
      <c r="AC281" s="1">
        <f>VLOOKUP(A281,'SegEnds_NonXtal_Prot#'!A:AL,13,FALSE)-VLOOKUP(A281,'SegEnds_NonXtal_Prot#'!A:AL,10,FALSE)</f>
        <v>19</v>
      </c>
      <c r="AD281" s="1">
        <f>VLOOKUP(A281,'SegEnds_NonXtal_Prot#'!A:AL,16,FALSE)-VLOOKUP(A281,'SegEnds_NonXtal_Prot#'!A:AL,10,FALSE)</f>
        <v>51</v>
      </c>
      <c r="AE281" s="1" t="e">
        <f>VLOOKUP(A281,'SegEnds_NonXtal_Prot#'!A:AL,22,FALSE)-VLOOKUP(A281,'SegEnds_NonXtal_Prot#'!A:AL,19,FALSE)</f>
        <v>#VALUE!</v>
      </c>
      <c r="AF281" s="1">
        <f>VLOOKUP(A281,'SegEnds_NonXtal_Prot#'!A:AL,28,FALSE)-VLOOKUP(A281,'SegEnds_NonXtal_Prot#'!A:AL,25,FALSE)</f>
        <v>27</v>
      </c>
      <c r="AG281" s="1">
        <f>VLOOKUP(A281,'SegEnds_NonXtal_Prot#'!A:AL,28,FALSE)-VLOOKUP(A281,'SegEnds_NonXtal_Prot#'!A:AL,22,FALSE)</f>
        <v>52</v>
      </c>
      <c r="AH281" s="1">
        <f>VLOOKUP(A281,'SegEnds_NonXtal_Prot#'!A:AL,31,FALSE)-VLOOKUP(A281,'SegEnds_NonXtal_Prot#'!A:AL,28,FALSE)</f>
        <v>51</v>
      </c>
      <c r="AI281" s="1">
        <f>VLOOKUP(A281,'SegEnds_NonXtal_Prot#'!A:AL,34,FALSE)-VLOOKUP(A281,'SegEnds_NonXtal_Prot#'!A:AL,31,FALSE)</f>
        <v>38</v>
      </c>
      <c r="AJ281" s="1" t="str">
        <f>IF(ISERROR(MATCH(A281,'SegEnds_Xtal_Prot#'!B:B, 0)), "NoXtal", "Xtal")</f>
        <v>NoXtal</v>
      </c>
    </row>
    <row r="282" spans="1:36" x14ac:dyDescent="0.2">
      <c r="A282" s="1" t="s">
        <v>321</v>
      </c>
      <c r="B282" s="1" t="str">
        <f>VLOOKUP(A282,Xtal_Templ!A:B,2,FALSE)</f>
        <v>oprd_human</v>
      </c>
      <c r="C282" s="5">
        <f>VLOOKUP($B282&amp;"__wt",'SegEnds_Xtal_BW#'!$A:$Z,3,FALSE)</f>
        <v>22</v>
      </c>
      <c r="D282" s="1">
        <f>VLOOKUP($B282&amp;"__wt",'SegEnds_Xtal_BW#'!$A:$Z,4,FALSE)</f>
        <v>60</v>
      </c>
      <c r="E282" s="1">
        <f>VLOOKUP($B282&amp;"__wt",'SegEnds_Xtal_BW#'!$A:$Z,5,FALSE)</f>
        <v>48</v>
      </c>
      <c r="F282" s="1">
        <f>VLOOKUP($B282&amp;"__wt",'SegEnds_Xtal_BW#'!$A:$Z,6,FALSE)</f>
        <v>51</v>
      </c>
      <c r="G282" s="1">
        <v>37</v>
      </c>
      <c r="H282" s="12">
        <v>66</v>
      </c>
      <c r="I282" s="1">
        <f>VLOOKUP($B282&amp;"__wt",'SegEnds_Xtal_BW#'!$A:$Z,9,FALSE)</f>
        <v>49</v>
      </c>
      <c r="J282" s="1">
        <f>VLOOKUP($B282&amp;"__wt",'SegEnds_Xtal_BW#'!$A:$Z,10,FALSE)</f>
        <v>52</v>
      </c>
      <c r="K282" s="12">
        <v>21</v>
      </c>
      <c r="L282" s="1">
        <f>VLOOKUP($B282&amp;"__wt",'SegEnds_Xtal_BW#'!$A:$Z,12,FALSE)</f>
        <v>56</v>
      </c>
      <c r="M282" s="1">
        <f>VLOOKUP($B282&amp;"__wt",'SegEnds_Xtal_BW#'!$A:$Z,13,FALSE)</f>
        <v>50</v>
      </c>
      <c r="N282" s="12">
        <f>VLOOKUP($B282&amp;"__wt",'SegEnds_Xtal_BW#'!$A:$Z,14,FALSE)</f>
        <v>57</v>
      </c>
      <c r="O282" s="89">
        <v>38</v>
      </c>
      <c r="P282" s="1">
        <f>VLOOKUP($B282&amp;"__wt",'SegEnds_Xtal_BW#'!$A:$Z,16,FALSE)</f>
        <v>64</v>
      </c>
      <c r="Q282" s="1">
        <f>VLOOKUP($B282&amp;"__wt",'SegEnds_Xtal_BW#'!$A:$Z,17,FALSE)</f>
        <v>50</v>
      </c>
      <c r="R282" s="1">
        <f>VLOOKUP($B282&amp;"__wt",'SegEnds_Xtal_BW#'!$A:$Z,18,FALSE)</f>
        <v>52</v>
      </c>
      <c r="S282" s="1">
        <f>VLOOKUP($B282&amp;"__wt",'SegEnds_Xtal_BW#'!$A:$Z,19,FALSE)</f>
        <v>31</v>
      </c>
      <c r="T282" s="1">
        <f t="array" ref="T282">INDEX('ICL3'!$G$2:$G$40,MATCH(MIN(ABS(AH282-'ICL3'!$F$2:$F$40)),ABS(AH282-'ICL3'!$F$2:$F$40),0))</f>
        <v>68</v>
      </c>
      <c r="U282" s="1">
        <f t="array" ref="U282">INDEX('ICL3'!$H$2:$H$40,MATCH(MIN(ABS(AH282-'ICL3'!$F$2:$F$40)),ABS(AH282-'ICL3'!$F$2:$F$40),0))</f>
        <v>23</v>
      </c>
      <c r="V282" s="1">
        <v>61</v>
      </c>
      <c r="W282" s="1">
        <v>28</v>
      </c>
      <c r="X282" s="1">
        <f>VLOOKUP($B282&amp;"__wt",'SegEnds_Xtal_BW#'!$A:$Z,24,FALSE)</f>
        <v>56</v>
      </c>
      <c r="Y282" s="1">
        <f>VLOOKUP($B282&amp;"__wt",'SegEnds_Xtal_BW#'!$A:$Z,25,FALSE)</f>
        <v>47</v>
      </c>
      <c r="Z282" s="1">
        <f>VLOOKUP($B282&amp;"__wt",'SegEnds_Xtal_BW#'!$A:$Z,26,FALSE)</f>
        <v>60</v>
      </c>
      <c r="AA282" s="27" t="str">
        <f>VLOOKUP(A282,Classification!A:B,2,FALSE)</f>
        <v>A</v>
      </c>
      <c r="AB282" s="1">
        <f>VLOOKUP(A282,'SegEnds_NonXtal_Prot#'!A:AL,10,FALSE)-VLOOKUP(A282,'SegEnds_NonXtal_Prot#'!A:AL,7,FALSE)</f>
        <v>15</v>
      </c>
      <c r="AC282" s="1">
        <f>VLOOKUP(A282,'SegEnds_NonXtal_Prot#'!A:AL,13,FALSE)-VLOOKUP(A282,'SegEnds_NonXtal_Prot#'!A:AL,10,FALSE)</f>
        <v>19</v>
      </c>
      <c r="AD282" s="1">
        <f>VLOOKUP(A282,'SegEnds_NonXtal_Prot#'!A:AL,16,FALSE)-VLOOKUP(A282,'SegEnds_NonXtal_Prot#'!A:AL,10,FALSE)</f>
        <v>51</v>
      </c>
      <c r="AE282" s="1" t="e">
        <f>VLOOKUP(A282,'SegEnds_NonXtal_Prot#'!A:AL,22,FALSE)-VLOOKUP(A282,'SegEnds_NonXtal_Prot#'!A:AL,19,FALSE)</f>
        <v>#VALUE!</v>
      </c>
      <c r="AF282" s="1">
        <f>VLOOKUP(A282,'SegEnds_NonXtal_Prot#'!A:AL,28,FALSE)-VLOOKUP(A282,'SegEnds_NonXtal_Prot#'!A:AL,25,FALSE)</f>
        <v>27</v>
      </c>
      <c r="AG282" s="1">
        <f>VLOOKUP(A282,'SegEnds_NonXtal_Prot#'!A:AL,28,FALSE)-VLOOKUP(A282,'SegEnds_NonXtal_Prot#'!A:AL,22,FALSE)</f>
        <v>53</v>
      </c>
      <c r="AH282" s="1">
        <f>VLOOKUP(A282,'SegEnds_NonXtal_Prot#'!A:AL,31,FALSE)-VLOOKUP(A282,'SegEnds_NonXtal_Prot#'!A:AL,28,FALSE)</f>
        <v>51</v>
      </c>
      <c r="AI282" s="1">
        <f>VLOOKUP(A282,'SegEnds_NonXtal_Prot#'!A:AL,34,FALSE)-VLOOKUP(A282,'SegEnds_NonXtal_Prot#'!A:AL,31,FALSE)</f>
        <v>38</v>
      </c>
      <c r="AJ282" s="1" t="str">
        <f>IF(ISERROR(MATCH(A282,'SegEnds_Xtal_Prot#'!B:B, 0)), "NoXtal", "Xtal")</f>
        <v>NoXtal</v>
      </c>
    </row>
    <row r="283" spans="1:36" x14ac:dyDescent="0.2">
      <c r="A283" s="1" t="s">
        <v>322</v>
      </c>
      <c r="B283" s="1" t="str">
        <f>VLOOKUP(A283,Xtal_Templ!A:B,2,FALSE)</f>
        <v>ox1r_human</v>
      </c>
      <c r="C283" s="5">
        <f>VLOOKUP($B283&amp;"__wt",'SegEnds_Xtal_BW#'!$A:$Z,3,FALSE)</f>
        <v>32</v>
      </c>
      <c r="D283" s="1">
        <f>VLOOKUP($B283&amp;"__wt",'SegEnds_Xtal_BW#'!$A:$Z,4,FALSE)</f>
        <v>60</v>
      </c>
      <c r="E283" s="1">
        <f>VLOOKUP($B283&amp;"__wt",'SegEnds_Xtal_BW#'!$A:$Z,5,FALSE)</f>
        <v>48</v>
      </c>
      <c r="F283" s="1">
        <f>VLOOKUP($B283&amp;"__wt",'SegEnds_Xtal_BW#'!$A:$Z,6,FALSE)</f>
        <v>51</v>
      </c>
      <c r="G283" s="1">
        <v>37</v>
      </c>
      <c r="H283" s="12">
        <f>VLOOKUP($B283&amp;"__wt",'SegEnds_Xtal_BW#'!$A:$Z,8,FALSE)</f>
        <v>67</v>
      </c>
      <c r="I283" s="1">
        <f>VLOOKUP($B283&amp;"__wt",'SegEnds_Xtal_BW#'!$A:$Z,9,FALSE)</f>
        <v>49</v>
      </c>
      <c r="J283" s="1">
        <f>VLOOKUP($B283&amp;"__wt",'SegEnds_Xtal_BW#'!$A:$Z,10,FALSE)</f>
        <v>52</v>
      </c>
      <c r="K283" s="12">
        <v>18</v>
      </c>
      <c r="L283" s="1">
        <f>VLOOKUP($B283&amp;"__wt",'SegEnds_Xtal_BW#'!$A:$Z,12,FALSE)</f>
        <v>56</v>
      </c>
      <c r="M283" s="1">
        <f>VLOOKUP($B283&amp;"__wt",'SegEnds_Xtal_BW#'!$A:$Z,13,FALSE)</f>
        <v>50</v>
      </c>
      <c r="N283" s="12">
        <v>56</v>
      </c>
      <c r="O283" s="89">
        <f>VLOOKUP($B283&amp;"__wt",'SegEnds_Xtal_BW#'!$A:$Z,15,FALSE)</f>
        <v>38</v>
      </c>
      <c r="P283" s="1">
        <f>VLOOKUP($B283&amp;"__wt",'SegEnds_Xtal_BW#'!$A:$Z,16,FALSE)</f>
        <v>64</v>
      </c>
      <c r="Q283" s="1">
        <f>VLOOKUP($B283&amp;"__wt",'SegEnds_Xtal_BW#'!$A:$Z,17,FALSE)</f>
        <v>50</v>
      </c>
      <c r="R283" s="1">
        <f>VLOOKUP($B283&amp;"__wt",'SegEnds_Xtal_BW#'!$A:$Z,18,FALSE)</f>
        <v>52</v>
      </c>
      <c r="S283" s="1">
        <f>VLOOKUP($B283&amp;"__wt",'SegEnds_Xtal_BW#'!$A:$Z,19,FALSE)</f>
        <v>32</v>
      </c>
      <c r="T283" s="1">
        <f t="array" ref="T283">INDEX('ICL3'!$G$2:$G$40,MATCH(MIN(ABS(AH283-'ICL3'!$F$2:$F$40)),ABS(AH283-'ICL3'!$F$2:$F$40),0))</f>
        <v>72</v>
      </c>
      <c r="U283" s="1">
        <f t="array" ref="U283">INDEX('ICL3'!$H$2:$H$40,MATCH(MIN(ABS(AH283-'ICL3'!$F$2:$F$40)),ABS(AH283-'ICL3'!$F$2:$F$40),0))</f>
        <v>24</v>
      </c>
      <c r="V283" s="1">
        <v>61</v>
      </c>
      <c r="W283" s="1">
        <v>28</v>
      </c>
      <c r="X283" s="1">
        <f>VLOOKUP($B283&amp;"__wt",'SegEnds_Xtal_BW#'!$A:$Z,24,FALSE)</f>
        <v>56</v>
      </c>
      <c r="Y283" s="1">
        <f>VLOOKUP($B283&amp;"__wt",'SegEnds_Xtal_BW#'!$A:$Z,25,FALSE)</f>
        <v>47</v>
      </c>
      <c r="Z283" s="1">
        <f>VLOOKUP($B283&amp;"__wt",'SegEnds_Xtal_BW#'!$A:$Z,26,FALSE)</f>
        <v>58</v>
      </c>
      <c r="AA283" s="27" t="str">
        <f>VLOOKUP(A283,Classification!A:B,2,FALSE)</f>
        <v>A</v>
      </c>
      <c r="AB283" s="1">
        <f>VLOOKUP(A283,'SegEnds_NonXtal_Prot#'!A:AL,10,FALSE)-VLOOKUP(A283,'SegEnds_NonXtal_Prot#'!A:AL,7,FALSE)</f>
        <v>15</v>
      </c>
      <c r="AC283" s="1">
        <f>VLOOKUP(A283,'SegEnds_NonXtal_Prot#'!A:AL,13,FALSE)-VLOOKUP(A283,'SegEnds_NonXtal_Prot#'!A:AL,10,FALSE)</f>
        <v>20</v>
      </c>
      <c r="AD283" s="1">
        <f>VLOOKUP(A283,'SegEnds_NonXtal_Prot#'!A:AL,16,FALSE)-VLOOKUP(A283,'SegEnds_NonXtal_Prot#'!A:AL,10,FALSE)</f>
        <v>52</v>
      </c>
      <c r="AE283" s="1" t="e">
        <f>VLOOKUP(A283,'SegEnds_NonXtal_Prot#'!A:AL,22,FALSE)-VLOOKUP(A283,'SegEnds_NonXtal_Prot#'!A:AL,19,FALSE)</f>
        <v>#VALUE!</v>
      </c>
      <c r="AF283" s="1">
        <f>VLOOKUP(A283,'SegEnds_NonXtal_Prot#'!A:AL,28,FALSE)-VLOOKUP(A283,'SegEnds_NonXtal_Prot#'!A:AL,25,FALSE)</f>
        <v>25</v>
      </c>
      <c r="AG283" s="1">
        <f>VLOOKUP(A283,'SegEnds_NonXtal_Prot#'!A:AL,28,FALSE)-VLOOKUP(A283,'SegEnds_NonXtal_Prot#'!A:AL,22,FALSE)</f>
        <v>62</v>
      </c>
      <c r="AH283" s="1">
        <f>VLOOKUP(A283,'SegEnds_NonXtal_Prot#'!A:AL,31,FALSE)-VLOOKUP(A283,'SegEnds_NonXtal_Prot#'!A:AL,28,FALSE)</f>
        <v>57</v>
      </c>
      <c r="AI283" s="1">
        <f>VLOOKUP(A283,'SegEnds_NonXtal_Prot#'!A:AL,34,FALSE)-VLOOKUP(A283,'SegEnds_NonXtal_Prot#'!A:AL,31,FALSE)</f>
        <v>41</v>
      </c>
      <c r="AJ283" s="1" t="str">
        <f>IF(ISERROR(MATCH(A283,'SegEnds_Xtal_Prot#'!B:B, 0)), "NoXtal", "Xtal")</f>
        <v>NoXtal</v>
      </c>
    </row>
    <row r="284" spans="1:36" x14ac:dyDescent="0.2">
      <c r="A284" s="1" t="s">
        <v>323</v>
      </c>
      <c r="B284" s="1" t="str">
        <f>VLOOKUP(A284,Xtal_Templ!A:B,2,FALSE)</f>
        <v>ox2r_human</v>
      </c>
      <c r="C284" s="5">
        <f>VLOOKUP($B284&amp;"__wt",'SegEnds_Xtal_BW#'!$A:$Z,3,FALSE)</f>
        <v>31</v>
      </c>
      <c r="D284" s="1">
        <f>VLOOKUP($B284&amp;"__wt",'SegEnds_Xtal_BW#'!$A:$Z,4,FALSE)</f>
        <v>60</v>
      </c>
      <c r="E284" s="1">
        <f>VLOOKUP($B284&amp;"__wt",'SegEnds_Xtal_BW#'!$A:$Z,5,FALSE)</f>
        <v>48</v>
      </c>
      <c r="F284" s="1">
        <f>VLOOKUP($B284&amp;"__wt",'SegEnds_Xtal_BW#'!$A:$Z,6,FALSE)</f>
        <v>51</v>
      </c>
      <c r="G284" s="1">
        <v>37</v>
      </c>
      <c r="H284" s="12">
        <f>VLOOKUP($B284&amp;"__wt",'SegEnds_Xtal_BW#'!$A:$Z,8,FALSE)</f>
        <v>67</v>
      </c>
      <c r="I284" s="1">
        <f>VLOOKUP($B284&amp;"__wt",'SegEnds_Xtal_BW#'!$A:$Z,9,FALSE)</f>
        <v>49</v>
      </c>
      <c r="J284" s="1">
        <f>VLOOKUP($B284&amp;"__wt",'SegEnds_Xtal_BW#'!$A:$Z,10,FALSE)</f>
        <v>52</v>
      </c>
      <c r="K284" s="12">
        <v>18</v>
      </c>
      <c r="L284" s="1">
        <f>VLOOKUP($B284&amp;"__wt",'SegEnds_Xtal_BW#'!$A:$Z,12,FALSE)</f>
        <v>56</v>
      </c>
      <c r="M284" s="1">
        <f>VLOOKUP($B284&amp;"__wt",'SegEnds_Xtal_BW#'!$A:$Z,13,FALSE)</f>
        <v>50</v>
      </c>
      <c r="N284" s="12">
        <v>56</v>
      </c>
      <c r="O284" s="89">
        <f>VLOOKUP($B284&amp;"__wt",'SegEnds_Xtal_BW#'!$A:$Z,15,FALSE)</f>
        <v>38</v>
      </c>
      <c r="P284" s="1">
        <f>VLOOKUP($B284&amp;"__wt",'SegEnds_Xtal_BW#'!$A:$Z,16,FALSE)</f>
        <v>64</v>
      </c>
      <c r="Q284" s="1">
        <f>VLOOKUP($B284&amp;"__wt",'SegEnds_Xtal_BW#'!$A:$Z,17,FALSE)</f>
        <v>50</v>
      </c>
      <c r="R284" s="1">
        <f>VLOOKUP($B284&amp;"__wt",'SegEnds_Xtal_BW#'!$A:$Z,18,FALSE)</f>
        <v>52</v>
      </c>
      <c r="S284" s="1">
        <f>VLOOKUP($B284&amp;"__wt",'SegEnds_Xtal_BW#'!$A:$Z,19,FALSE)</f>
        <v>32</v>
      </c>
      <c r="T284" s="1">
        <f t="array" ref="T284">INDEX('ICL3'!$G$2:$G$40,MATCH(MIN(ABS(AH284-'ICL3'!$F$2:$F$40)),ABS(AH284-'ICL3'!$F$2:$F$40),0))</f>
        <v>73</v>
      </c>
      <c r="U284" s="1">
        <f t="array" ref="U284">INDEX('ICL3'!$H$2:$H$40,MATCH(MIN(ABS(AH284-'ICL3'!$F$2:$F$40)),ABS(AH284-'ICL3'!$F$2:$F$40),0))</f>
        <v>24</v>
      </c>
      <c r="V284" s="1">
        <v>61</v>
      </c>
      <c r="W284" s="1">
        <v>28</v>
      </c>
      <c r="X284" s="1">
        <f>VLOOKUP($B284&amp;"__wt",'SegEnds_Xtal_BW#'!$A:$Z,24,FALSE)</f>
        <v>56</v>
      </c>
      <c r="Y284" s="1">
        <f>VLOOKUP($B284&amp;"__wt",'SegEnds_Xtal_BW#'!$A:$Z,25,FALSE)</f>
        <v>47</v>
      </c>
      <c r="Z284" s="1">
        <f>VLOOKUP($B284&amp;"__wt",'SegEnds_Xtal_BW#'!$A:$Z,26,FALSE)</f>
        <v>58</v>
      </c>
      <c r="AA284" s="27" t="str">
        <f>VLOOKUP(A284,Classification!A:B,2,FALSE)</f>
        <v>A</v>
      </c>
      <c r="AB284" s="1">
        <f>VLOOKUP(A284,'SegEnds_NonXtal_Prot#'!A:AL,10,FALSE)-VLOOKUP(A284,'SegEnds_NonXtal_Prot#'!A:AL,7,FALSE)</f>
        <v>15</v>
      </c>
      <c r="AC284" s="1">
        <f>VLOOKUP(A284,'SegEnds_NonXtal_Prot#'!A:AL,13,FALSE)-VLOOKUP(A284,'SegEnds_NonXtal_Prot#'!A:AL,10,FALSE)</f>
        <v>20</v>
      </c>
      <c r="AD284" s="1">
        <f>VLOOKUP(A284,'SegEnds_NonXtal_Prot#'!A:AL,16,FALSE)-VLOOKUP(A284,'SegEnds_NonXtal_Prot#'!A:AL,10,FALSE)</f>
        <v>52</v>
      </c>
      <c r="AE284" s="1" t="e">
        <f>VLOOKUP(A284,'SegEnds_NonXtal_Prot#'!A:AL,22,FALSE)-VLOOKUP(A284,'SegEnds_NonXtal_Prot#'!A:AL,19,FALSE)</f>
        <v>#VALUE!</v>
      </c>
      <c r="AF284" s="1">
        <f>VLOOKUP(A284,'SegEnds_NonXtal_Prot#'!A:AL,28,FALSE)-VLOOKUP(A284,'SegEnds_NonXtal_Prot#'!A:AL,25,FALSE)</f>
        <v>25</v>
      </c>
      <c r="AG284" s="1">
        <f>VLOOKUP(A284,'SegEnds_NonXtal_Prot#'!A:AL,28,FALSE)-VLOOKUP(A284,'SegEnds_NonXtal_Prot#'!A:AL,22,FALSE)</f>
        <v>63</v>
      </c>
      <c r="AH284" s="1">
        <f>VLOOKUP(A284,'SegEnds_NonXtal_Prot#'!A:AL,31,FALSE)-VLOOKUP(A284,'SegEnds_NonXtal_Prot#'!A:AL,28,FALSE)</f>
        <v>58</v>
      </c>
      <c r="AI284" s="1">
        <f>VLOOKUP(A284,'SegEnds_NonXtal_Prot#'!A:AL,34,FALSE)-VLOOKUP(A284,'SegEnds_NonXtal_Prot#'!A:AL,31,FALSE)</f>
        <v>41</v>
      </c>
      <c r="AJ284" s="1" t="str">
        <f>IF(ISERROR(MATCH(A284,'SegEnds_Xtal_Prot#'!B:B, 0)), "NoXtal", "Xtal")</f>
        <v>NoXtal</v>
      </c>
    </row>
    <row r="285" spans="1:36" x14ac:dyDescent="0.2">
      <c r="A285" s="1" t="s">
        <v>325</v>
      </c>
      <c r="B285" s="1" t="str">
        <f>VLOOKUP(A285,Xtal_Templ!A:B,2,FALSE)</f>
        <v>ox1r_human</v>
      </c>
      <c r="C285" s="5">
        <f>VLOOKUP($B285&amp;"__wt",'SegEnds_Xtal_BW#'!$A:$Z,3,FALSE)</f>
        <v>32</v>
      </c>
      <c r="D285" s="1">
        <f>VLOOKUP($B285&amp;"__wt",'SegEnds_Xtal_BW#'!$A:$Z,4,FALSE)</f>
        <v>60</v>
      </c>
      <c r="E285" s="1">
        <f>VLOOKUP($B285&amp;"__wt",'SegEnds_Xtal_BW#'!$A:$Z,5,FALSE)</f>
        <v>48</v>
      </c>
      <c r="F285" s="1">
        <f>VLOOKUP($B285&amp;"__wt",'SegEnds_Xtal_BW#'!$A:$Z,6,FALSE)</f>
        <v>51</v>
      </c>
      <c r="G285" s="1">
        <v>37</v>
      </c>
      <c r="H285" s="12">
        <f>VLOOKUP($B285&amp;"__wt",'SegEnds_Xtal_BW#'!$A:$Z,8,FALSE)</f>
        <v>67</v>
      </c>
      <c r="I285" s="1">
        <f>VLOOKUP($B285&amp;"__wt",'SegEnds_Xtal_BW#'!$A:$Z,9,FALSE)</f>
        <v>49</v>
      </c>
      <c r="J285" s="1">
        <f>VLOOKUP($B285&amp;"__wt",'SegEnds_Xtal_BW#'!$A:$Z,10,FALSE)</f>
        <v>52</v>
      </c>
      <c r="K285" s="12">
        <v>18</v>
      </c>
      <c r="L285" s="1">
        <f>VLOOKUP($B285&amp;"__wt",'SegEnds_Xtal_BW#'!$A:$Z,12,FALSE)</f>
        <v>56</v>
      </c>
      <c r="M285" s="1">
        <f>VLOOKUP($B285&amp;"__wt",'SegEnds_Xtal_BW#'!$A:$Z,13,FALSE)</f>
        <v>50</v>
      </c>
      <c r="N285" s="12">
        <v>56</v>
      </c>
      <c r="O285" s="89">
        <f>VLOOKUP($B285&amp;"__wt",'SegEnds_Xtal_BW#'!$A:$Z,15,FALSE)</f>
        <v>38</v>
      </c>
      <c r="P285" s="1">
        <f>VLOOKUP($B285&amp;"__wt",'SegEnds_Xtal_BW#'!$A:$Z,16,FALSE)</f>
        <v>64</v>
      </c>
      <c r="Q285" s="1">
        <f>VLOOKUP($B285&amp;"__wt",'SegEnds_Xtal_BW#'!$A:$Z,17,FALSE)</f>
        <v>50</v>
      </c>
      <c r="R285" s="1">
        <f>VLOOKUP($B285&amp;"__wt",'SegEnds_Xtal_BW#'!$A:$Z,18,FALSE)</f>
        <v>52</v>
      </c>
      <c r="S285" s="1">
        <f>VLOOKUP($B285&amp;"__wt",'SegEnds_Xtal_BW#'!$A:$Z,19,FALSE)</f>
        <v>32</v>
      </c>
      <c r="T285" s="1">
        <f t="array" ref="T285">INDEX('ICL3'!$G$2:$G$40,MATCH(MIN(ABS(AH285-'ICL3'!$F$2:$F$40)),ABS(AH285-'ICL3'!$F$2:$F$40),0))</f>
        <v>73</v>
      </c>
      <c r="U285" s="1">
        <f t="array" ref="U285">INDEX('ICL3'!$H$2:$H$40,MATCH(MIN(ABS(AH285-'ICL3'!$F$2:$F$40)),ABS(AH285-'ICL3'!$F$2:$F$40),0))</f>
        <v>22</v>
      </c>
      <c r="V285" s="1">
        <v>61</v>
      </c>
      <c r="W285" s="1">
        <v>28</v>
      </c>
      <c r="X285" s="1">
        <f>VLOOKUP($B285&amp;"__wt",'SegEnds_Xtal_BW#'!$A:$Z,24,FALSE)</f>
        <v>56</v>
      </c>
      <c r="Y285" s="1">
        <f>VLOOKUP($B285&amp;"__wt",'SegEnds_Xtal_BW#'!$A:$Z,25,FALSE)</f>
        <v>47</v>
      </c>
      <c r="Z285" s="1">
        <f>VLOOKUP($B285&amp;"__wt",'SegEnds_Xtal_BW#'!$A:$Z,26,FALSE)</f>
        <v>58</v>
      </c>
      <c r="AA285" s="27" t="str">
        <f>VLOOKUP(A285,Classification!A:B,2,FALSE)</f>
        <v>A</v>
      </c>
      <c r="AB285" s="1">
        <f>VLOOKUP(A285,'SegEnds_NonXtal_Prot#'!A:AL,10,FALSE)-VLOOKUP(A285,'SegEnds_NonXtal_Prot#'!A:AL,7,FALSE)</f>
        <v>15</v>
      </c>
      <c r="AC285" s="1">
        <f>VLOOKUP(A285,'SegEnds_NonXtal_Prot#'!A:AL,13,FALSE)-VLOOKUP(A285,'SegEnds_NonXtal_Prot#'!A:AL,10,FALSE)</f>
        <v>20</v>
      </c>
      <c r="AD285" s="1">
        <f>VLOOKUP(A285,'SegEnds_NonXtal_Prot#'!A:AL,16,FALSE)-VLOOKUP(A285,'SegEnds_NonXtal_Prot#'!A:AL,10,FALSE)</f>
        <v>52</v>
      </c>
      <c r="AE285" s="1" t="e">
        <f>VLOOKUP(A285,'SegEnds_NonXtal_Prot#'!A:AL,22,FALSE)-VLOOKUP(A285,'SegEnds_NonXtal_Prot#'!A:AL,19,FALSE)</f>
        <v>#VALUE!</v>
      </c>
      <c r="AF285" s="1">
        <f>VLOOKUP(A285,'SegEnds_NonXtal_Prot#'!A:AL,28,FALSE)-VLOOKUP(A285,'SegEnds_NonXtal_Prot#'!A:AL,25,FALSE)</f>
        <v>25</v>
      </c>
      <c r="AG285" s="1">
        <f>VLOOKUP(A285,'SegEnds_NonXtal_Prot#'!A:AL,28,FALSE)-VLOOKUP(A285,'SegEnds_NonXtal_Prot#'!A:AL,22,FALSE)</f>
        <v>60</v>
      </c>
      <c r="AH285" s="1">
        <f>VLOOKUP(A285,'SegEnds_NonXtal_Prot#'!A:AL,31,FALSE)-VLOOKUP(A285,'SegEnds_NonXtal_Prot#'!A:AL,28,FALSE)</f>
        <v>55</v>
      </c>
      <c r="AI285" s="1">
        <f>VLOOKUP(A285,'SegEnds_NonXtal_Prot#'!A:AL,34,FALSE)-VLOOKUP(A285,'SegEnds_NonXtal_Prot#'!A:AL,31,FALSE)</f>
        <v>39</v>
      </c>
      <c r="AJ285" s="1" t="str">
        <f>IF(ISERROR(MATCH(A285,'SegEnds_Xtal_Prot#'!B:B, 0)), "NoXtal", "Xtal")</f>
        <v>NoXtal</v>
      </c>
    </row>
    <row r="286" spans="1:36" x14ac:dyDescent="0.2">
      <c r="A286" s="1" t="s">
        <v>326</v>
      </c>
      <c r="B286" s="1" t="str">
        <f>VLOOKUP(A286,Xtal_Templ!A:B,2,FALSE)</f>
        <v>ox1r_human</v>
      </c>
      <c r="C286" s="5">
        <f>VLOOKUP($B286&amp;"__wt",'SegEnds_Xtal_BW#'!$A:$Z,3,FALSE)</f>
        <v>32</v>
      </c>
      <c r="D286" s="1">
        <f>VLOOKUP($B286&amp;"__wt",'SegEnds_Xtal_BW#'!$A:$Z,4,FALSE)</f>
        <v>60</v>
      </c>
      <c r="E286" s="1">
        <f>VLOOKUP($B286&amp;"__wt",'SegEnds_Xtal_BW#'!$A:$Z,5,FALSE)</f>
        <v>48</v>
      </c>
      <c r="F286" s="1">
        <f>VLOOKUP($B286&amp;"__wt",'SegEnds_Xtal_BW#'!$A:$Z,6,FALSE)</f>
        <v>51</v>
      </c>
      <c r="G286" s="1">
        <v>37</v>
      </c>
      <c r="H286" s="12">
        <f>VLOOKUP($B286&amp;"__wt",'SegEnds_Xtal_BW#'!$A:$Z,8,FALSE)</f>
        <v>67</v>
      </c>
      <c r="I286" s="1">
        <f>VLOOKUP($B286&amp;"__wt",'SegEnds_Xtal_BW#'!$A:$Z,9,FALSE)</f>
        <v>49</v>
      </c>
      <c r="J286" s="1">
        <f>VLOOKUP($B286&amp;"__wt",'SegEnds_Xtal_BW#'!$A:$Z,10,FALSE)</f>
        <v>52</v>
      </c>
      <c r="K286" s="12">
        <v>18</v>
      </c>
      <c r="L286" s="1">
        <f>VLOOKUP($B286&amp;"__wt",'SegEnds_Xtal_BW#'!$A:$Z,12,FALSE)</f>
        <v>56</v>
      </c>
      <c r="M286" s="1">
        <f>VLOOKUP($B286&amp;"__wt",'SegEnds_Xtal_BW#'!$A:$Z,13,FALSE)</f>
        <v>50</v>
      </c>
      <c r="N286" s="12">
        <v>56</v>
      </c>
      <c r="O286" s="89">
        <f>VLOOKUP($B286&amp;"__wt",'SegEnds_Xtal_BW#'!$A:$Z,15,FALSE)</f>
        <v>38</v>
      </c>
      <c r="P286" s="1">
        <f>VLOOKUP($B286&amp;"__wt",'SegEnds_Xtal_BW#'!$A:$Z,16,FALSE)</f>
        <v>64</v>
      </c>
      <c r="Q286" s="1">
        <f>VLOOKUP($B286&amp;"__wt",'SegEnds_Xtal_BW#'!$A:$Z,17,FALSE)</f>
        <v>50</v>
      </c>
      <c r="R286" s="1">
        <f>VLOOKUP($B286&amp;"__wt",'SegEnds_Xtal_BW#'!$A:$Z,18,FALSE)</f>
        <v>52</v>
      </c>
      <c r="S286" s="1">
        <f>VLOOKUP($B286&amp;"__wt",'SegEnds_Xtal_BW#'!$A:$Z,19,FALSE)</f>
        <v>32</v>
      </c>
      <c r="T286" s="1">
        <f t="array" ref="T286">INDEX('ICL3'!$G$2:$G$40,MATCH(MIN(ABS(AH286-'ICL3'!$F$2:$F$40)),ABS(AH286-'ICL3'!$F$2:$F$40),0))</f>
        <v>72</v>
      </c>
      <c r="U286" s="1">
        <f t="array" ref="U286">INDEX('ICL3'!$H$2:$H$40,MATCH(MIN(ABS(AH286-'ICL3'!$F$2:$F$40)),ABS(AH286-'ICL3'!$F$2:$F$40),0))</f>
        <v>24</v>
      </c>
      <c r="V286" s="1">
        <v>61</v>
      </c>
      <c r="W286" s="1">
        <v>28</v>
      </c>
      <c r="X286" s="1">
        <f>VLOOKUP($B286&amp;"__wt",'SegEnds_Xtal_BW#'!$A:$Z,24,FALSE)</f>
        <v>56</v>
      </c>
      <c r="Y286" s="1">
        <f>VLOOKUP($B286&amp;"__wt",'SegEnds_Xtal_BW#'!$A:$Z,25,FALSE)</f>
        <v>47</v>
      </c>
      <c r="Z286" s="1">
        <f>VLOOKUP($B286&amp;"__wt",'SegEnds_Xtal_BW#'!$A:$Z,26,FALSE)</f>
        <v>58</v>
      </c>
      <c r="AA286" s="27" t="str">
        <f>VLOOKUP(A286,Classification!A:B,2,FALSE)</f>
        <v>A</v>
      </c>
      <c r="AB286" s="1">
        <f>VLOOKUP(A286,'SegEnds_NonXtal_Prot#'!A:AL,10,FALSE)-VLOOKUP(A286,'SegEnds_NonXtal_Prot#'!A:AL,7,FALSE)</f>
        <v>15</v>
      </c>
      <c r="AC286" s="1">
        <f>VLOOKUP(A286,'SegEnds_NonXtal_Prot#'!A:AL,13,FALSE)-VLOOKUP(A286,'SegEnds_NonXtal_Prot#'!A:AL,10,FALSE)</f>
        <v>20</v>
      </c>
      <c r="AD286" s="1">
        <f>VLOOKUP(A286,'SegEnds_NonXtal_Prot#'!A:AL,16,FALSE)-VLOOKUP(A286,'SegEnds_NonXtal_Prot#'!A:AL,10,FALSE)</f>
        <v>52</v>
      </c>
      <c r="AE286" s="1" t="e">
        <f>VLOOKUP(A286,'SegEnds_NonXtal_Prot#'!A:AL,22,FALSE)-VLOOKUP(A286,'SegEnds_NonXtal_Prot#'!A:AL,19,FALSE)</f>
        <v>#VALUE!</v>
      </c>
      <c r="AF286" s="1">
        <f>VLOOKUP(A286,'SegEnds_NonXtal_Prot#'!A:AL,28,FALSE)-VLOOKUP(A286,'SegEnds_NonXtal_Prot#'!A:AL,25,FALSE)</f>
        <v>28</v>
      </c>
      <c r="AG286" s="1">
        <f>VLOOKUP(A286,'SegEnds_NonXtal_Prot#'!A:AL,28,FALSE)-VLOOKUP(A286,'SegEnds_NonXtal_Prot#'!A:AL,22,FALSE)</f>
        <v>58</v>
      </c>
      <c r="AH286" s="1">
        <f>VLOOKUP(A286,'SegEnds_NonXtal_Prot#'!A:AL,31,FALSE)-VLOOKUP(A286,'SegEnds_NonXtal_Prot#'!A:AL,28,FALSE)</f>
        <v>52</v>
      </c>
      <c r="AI286" s="1">
        <f>VLOOKUP(A286,'SegEnds_NonXtal_Prot#'!A:AL,34,FALSE)-VLOOKUP(A286,'SegEnds_NonXtal_Prot#'!A:AL,31,FALSE)</f>
        <v>39</v>
      </c>
      <c r="AJ286" s="1" t="str">
        <f>IF(ISERROR(MATCH(A286,'SegEnds_Xtal_Prot#'!B:B, 0)), "NoXtal", "Xtal")</f>
        <v>NoXtal</v>
      </c>
    </row>
    <row r="287" spans="1:36" x14ac:dyDescent="0.2">
      <c r="A287" s="1" t="s">
        <v>327</v>
      </c>
      <c r="B287" s="1" t="str">
        <f>VLOOKUP(A287,Xtal_Templ!A:B,2,FALSE)</f>
        <v>ox2r_human</v>
      </c>
      <c r="C287" s="5">
        <f>VLOOKUP($B287&amp;"__wt",'SegEnds_Xtal_BW#'!$A:$Z,3,FALSE)</f>
        <v>31</v>
      </c>
      <c r="D287" s="1">
        <f>VLOOKUP($B287&amp;"__wt",'SegEnds_Xtal_BW#'!$A:$Z,4,FALSE)</f>
        <v>60</v>
      </c>
      <c r="E287" s="1">
        <f>VLOOKUP($B287&amp;"__wt",'SegEnds_Xtal_BW#'!$A:$Z,5,FALSE)</f>
        <v>48</v>
      </c>
      <c r="F287" s="1">
        <f>VLOOKUP($B287&amp;"__wt",'SegEnds_Xtal_BW#'!$A:$Z,6,FALSE)</f>
        <v>51</v>
      </c>
      <c r="G287" s="1">
        <v>37</v>
      </c>
      <c r="H287" s="12">
        <f>VLOOKUP($B287&amp;"__wt",'SegEnds_Xtal_BW#'!$A:$Z,8,FALSE)</f>
        <v>67</v>
      </c>
      <c r="I287" s="1">
        <f>VLOOKUP($B287&amp;"__wt",'SegEnds_Xtal_BW#'!$A:$Z,9,FALSE)</f>
        <v>49</v>
      </c>
      <c r="J287" s="1">
        <f>VLOOKUP($B287&amp;"__wt",'SegEnds_Xtal_BW#'!$A:$Z,10,FALSE)</f>
        <v>52</v>
      </c>
      <c r="K287" s="12">
        <v>18</v>
      </c>
      <c r="L287" s="1">
        <f>VLOOKUP($B287&amp;"__wt",'SegEnds_Xtal_BW#'!$A:$Z,12,FALSE)</f>
        <v>56</v>
      </c>
      <c r="M287" s="1">
        <f>VLOOKUP($B287&amp;"__wt",'SegEnds_Xtal_BW#'!$A:$Z,13,FALSE)</f>
        <v>50</v>
      </c>
      <c r="N287" s="12">
        <v>56</v>
      </c>
      <c r="O287" s="89">
        <f>VLOOKUP($B287&amp;"__wt",'SegEnds_Xtal_BW#'!$A:$Z,15,FALSE)</f>
        <v>38</v>
      </c>
      <c r="P287" s="1">
        <f>VLOOKUP($B287&amp;"__wt",'SegEnds_Xtal_BW#'!$A:$Z,16,FALSE)</f>
        <v>64</v>
      </c>
      <c r="Q287" s="1">
        <f>VLOOKUP($B287&amp;"__wt",'SegEnds_Xtal_BW#'!$A:$Z,17,FALSE)</f>
        <v>50</v>
      </c>
      <c r="R287" s="1">
        <f>VLOOKUP($B287&amp;"__wt",'SegEnds_Xtal_BW#'!$A:$Z,18,FALSE)</f>
        <v>52</v>
      </c>
      <c r="S287" s="1">
        <f>VLOOKUP($B287&amp;"__wt",'SegEnds_Xtal_BW#'!$A:$Z,19,FALSE)</f>
        <v>32</v>
      </c>
      <c r="T287" s="1">
        <f t="array" ref="T287">INDEX('ICL3'!$G$2:$G$40,MATCH(MIN(ABS(AH287-'ICL3'!$F$2:$F$40)),ABS(AH287-'ICL3'!$F$2:$F$40),0))</f>
        <v>72</v>
      </c>
      <c r="U287" s="1">
        <f t="array" ref="U287">INDEX('ICL3'!$H$2:$H$40,MATCH(MIN(ABS(AH287-'ICL3'!$F$2:$F$40)),ABS(AH287-'ICL3'!$F$2:$F$40),0))</f>
        <v>24</v>
      </c>
      <c r="V287" s="1">
        <v>61</v>
      </c>
      <c r="W287" s="1">
        <v>28</v>
      </c>
      <c r="X287" s="1">
        <f>VLOOKUP($B287&amp;"__wt",'SegEnds_Xtal_BW#'!$A:$Z,24,FALSE)</f>
        <v>56</v>
      </c>
      <c r="Y287" s="1">
        <f>VLOOKUP($B287&amp;"__wt",'SegEnds_Xtal_BW#'!$A:$Z,25,FALSE)</f>
        <v>47</v>
      </c>
      <c r="Z287" s="1">
        <f>VLOOKUP($B287&amp;"__wt",'SegEnds_Xtal_BW#'!$A:$Z,26,FALSE)</f>
        <v>58</v>
      </c>
      <c r="AA287" s="27" t="str">
        <f>VLOOKUP(A287,Classification!A:B,2,FALSE)</f>
        <v>A</v>
      </c>
      <c r="AB287" s="1">
        <f>VLOOKUP(A287,'SegEnds_NonXtal_Prot#'!A:AL,10,FALSE)-VLOOKUP(A287,'SegEnds_NonXtal_Prot#'!A:AL,7,FALSE)</f>
        <v>15</v>
      </c>
      <c r="AC287" s="1">
        <f>VLOOKUP(A287,'SegEnds_NonXtal_Prot#'!A:AL,13,FALSE)-VLOOKUP(A287,'SegEnds_NonXtal_Prot#'!A:AL,10,FALSE)</f>
        <v>20</v>
      </c>
      <c r="AD287" s="1">
        <f>VLOOKUP(A287,'SegEnds_NonXtal_Prot#'!A:AL,16,FALSE)-VLOOKUP(A287,'SegEnds_NonXtal_Prot#'!A:AL,10,FALSE)</f>
        <v>52</v>
      </c>
      <c r="AE287" s="1" t="e">
        <f>VLOOKUP(A287,'SegEnds_NonXtal_Prot#'!A:AL,22,FALSE)-VLOOKUP(A287,'SegEnds_NonXtal_Prot#'!A:AL,19,FALSE)</f>
        <v>#VALUE!</v>
      </c>
      <c r="AF287" s="1">
        <f>VLOOKUP(A287,'SegEnds_NonXtal_Prot#'!A:AL,28,FALSE)-VLOOKUP(A287,'SegEnds_NonXtal_Prot#'!A:AL,25,FALSE)</f>
        <v>25</v>
      </c>
      <c r="AG287" s="1">
        <f>VLOOKUP(A287,'SegEnds_NonXtal_Prot#'!A:AL,28,FALSE)-VLOOKUP(A287,'SegEnds_NonXtal_Prot#'!A:AL,22,FALSE)</f>
        <v>62</v>
      </c>
      <c r="AH287" s="1">
        <f>VLOOKUP(A287,'SegEnds_NonXtal_Prot#'!A:AL,31,FALSE)-VLOOKUP(A287,'SegEnds_NonXtal_Prot#'!A:AL,28,FALSE)</f>
        <v>54</v>
      </c>
      <c r="AI287" s="1">
        <f>VLOOKUP(A287,'SegEnds_NonXtal_Prot#'!A:AL,34,FALSE)-VLOOKUP(A287,'SegEnds_NonXtal_Prot#'!A:AL,31,FALSE)</f>
        <v>39</v>
      </c>
      <c r="AJ287" s="1" t="str">
        <f>IF(ISERROR(MATCH(A287,'SegEnds_Xtal_Prot#'!B:B, 0)), "NoXtal", "Xtal")</f>
        <v>NoXtal</v>
      </c>
    </row>
    <row r="288" spans="1:36" x14ac:dyDescent="0.2">
      <c r="A288" s="1" t="s">
        <v>328</v>
      </c>
      <c r="B288" s="1" t="str">
        <f>VLOOKUP(A288,Xtal_Templ!A:B,2,FALSE)</f>
        <v>ox2r_human</v>
      </c>
      <c r="C288" s="5">
        <f>VLOOKUP($B288&amp;"__wt",'SegEnds_Xtal_BW#'!$A:$Z,3,FALSE)</f>
        <v>31</v>
      </c>
      <c r="D288" s="1">
        <f>VLOOKUP($B288&amp;"__wt",'SegEnds_Xtal_BW#'!$A:$Z,4,FALSE)</f>
        <v>60</v>
      </c>
      <c r="E288" s="1">
        <f>VLOOKUP($B288&amp;"__wt",'SegEnds_Xtal_BW#'!$A:$Z,5,FALSE)</f>
        <v>48</v>
      </c>
      <c r="F288" s="1">
        <f>VLOOKUP($B288&amp;"__wt",'SegEnds_Xtal_BW#'!$A:$Z,6,FALSE)</f>
        <v>51</v>
      </c>
      <c r="G288" s="1">
        <v>37</v>
      </c>
      <c r="H288" s="12">
        <f>VLOOKUP($B288&amp;"__wt",'SegEnds_Xtal_BW#'!$A:$Z,8,FALSE)</f>
        <v>67</v>
      </c>
      <c r="I288" s="1">
        <f>VLOOKUP($B288&amp;"__wt",'SegEnds_Xtal_BW#'!$A:$Z,9,FALSE)</f>
        <v>49</v>
      </c>
      <c r="J288" s="1">
        <f>VLOOKUP($B288&amp;"__wt",'SegEnds_Xtal_BW#'!$A:$Z,10,FALSE)</f>
        <v>52</v>
      </c>
      <c r="K288" s="12">
        <v>18</v>
      </c>
      <c r="L288" s="1">
        <f>VLOOKUP($B288&amp;"__wt",'SegEnds_Xtal_BW#'!$A:$Z,12,FALSE)</f>
        <v>56</v>
      </c>
      <c r="M288" s="1">
        <f>VLOOKUP($B288&amp;"__wt",'SegEnds_Xtal_BW#'!$A:$Z,13,FALSE)</f>
        <v>50</v>
      </c>
      <c r="N288" s="12">
        <v>56</v>
      </c>
      <c r="O288" s="89">
        <f>VLOOKUP($B288&amp;"__wt",'SegEnds_Xtal_BW#'!$A:$Z,15,FALSE)</f>
        <v>38</v>
      </c>
      <c r="P288" s="1">
        <f>VLOOKUP($B288&amp;"__wt",'SegEnds_Xtal_BW#'!$A:$Z,16,FALSE)</f>
        <v>64</v>
      </c>
      <c r="Q288" s="1">
        <f>VLOOKUP($B288&amp;"__wt",'SegEnds_Xtal_BW#'!$A:$Z,17,FALSE)</f>
        <v>50</v>
      </c>
      <c r="R288" s="1">
        <f>VLOOKUP($B288&amp;"__wt",'SegEnds_Xtal_BW#'!$A:$Z,18,FALSE)</f>
        <v>52</v>
      </c>
      <c r="S288" s="1">
        <f>VLOOKUP($B288&amp;"__wt",'SegEnds_Xtal_BW#'!$A:$Z,19,FALSE)</f>
        <v>32</v>
      </c>
      <c r="T288" s="1">
        <f t="array" ref="T288">INDEX('ICL3'!$G$2:$G$40,MATCH(MIN(ABS(AH288-'ICL3'!$F$2:$F$40)),ABS(AH288-'ICL3'!$F$2:$F$40),0))</f>
        <v>76</v>
      </c>
      <c r="U288" s="1">
        <f t="array" ref="U288">INDEX('ICL3'!$H$2:$H$40,MATCH(MIN(ABS(AH288-'ICL3'!$F$2:$F$40)),ABS(AH288-'ICL3'!$F$2:$F$40),0))</f>
        <v>24</v>
      </c>
      <c r="V288" s="1">
        <v>61</v>
      </c>
      <c r="W288" s="1">
        <v>28</v>
      </c>
      <c r="X288" s="1">
        <f>VLOOKUP($B288&amp;"__wt",'SegEnds_Xtal_BW#'!$A:$Z,24,FALSE)</f>
        <v>56</v>
      </c>
      <c r="Y288" s="1">
        <f>VLOOKUP($B288&amp;"__wt",'SegEnds_Xtal_BW#'!$A:$Z,25,FALSE)</f>
        <v>47</v>
      </c>
      <c r="Z288" s="1">
        <f>VLOOKUP($B288&amp;"__wt",'SegEnds_Xtal_BW#'!$A:$Z,26,FALSE)</f>
        <v>58</v>
      </c>
      <c r="AA288" s="27" t="str">
        <f>VLOOKUP(A288,Classification!A:B,2,FALSE)</f>
        <v>A</v>
      </c>
      <c r="AB288" s="1">
        <f>VLOOKUP(A288,'SegEnds_NonXtal_Prot#'!A:AL,10,FALSE)-VLOOKUP(A288,'SegEnds_NonXtal_Prot#'!A:AL,7,FALSE)</f>
        <v>15</v>
      </c>
      <c r="AC288" s="1">
        <f>VLOOKUP(A288,'SegEnds_NonXtal_Prot#'!A:AL,13,FALSE)-VLOOKUP(A288,'SegEnds_NonXtal_Prot#'!A:AL,10,FALSE)</f>
        <v>20</v>
      </c>
      <c r="AD288" s="1">
        <f>VLOOKUP(A288,'SegEnds_NonXtal_Prot#'!A:AL,16,FALSE)-VLOOKUP(A288,'SegEnds_NonXtal_Prot#'!A:AL,10,FALSE)</f>
        <v>52</v>
      </c>
      <c r="AE288" s="1" t="e">
        <f>VLOOKUP(A288,'SegEnds_NonXtal_Prot#'!A:AL,22,FALSE)-VLOOKUP(A288,'SegEnds_NonXtal_Prot#'!A:AL,19,FALSE)</f>
        <v>#VALUE!</v>
      </c>
      <c r="AF288" s="1">
        <f>VLOOKUP(A288,'SegEnds_NonXtal_Prot#'!A:AL,28,FALSE)-VLOOKUP(A288,'SegEnds_NonXtal_Prot#'!A:AL,25,FALSE)</f>
        <v>25</v>
      </c>
      <c r="AG288" s="1">
        <f>VLOOKUP(A288,'SegEnds_NonXtal_Prot#'!A:AL,28,FALSE)-VLOOKUP(A288,'SegEnds_NonXtal_Prot#'!A:AL,22,FALSE)</f>
        <v>59</v>
      </c>
      <c r="AH288" s="1">
        <f>VLOOKUP(A288,'SegEnds_NonXtal_Prot#'!A:AL,31,FALSE)-VLOOKUP(A288,'SegEnds_NonXtal_Prot#'!A:AL,28,FALSE)</f>
        <v>160</v>
      </c>
      <c r="AI288" s="1">
        <f>VLOOKUP(A288,'SegEnds_NonXtal_Prot#'!A:AL,34,FALSE)-VLOOKUP(A288,'SegEnds_NonXtal_Prot#'!A:AL,31,FALSE)</f>
        <v>39</v>
      </c>
      <c r="AJ288" s="1" t="str">
        <f>IF(ISERROR(MATCH(A288,'SegEnds_Xtal_Prot#'!B:B, 0)), "NoXtal", "Xtal")</f>
        <v>NoXtal</v>
      </c>
    </row>
    <row r="289" spans="1:36" x14ac:dyDescent="0.2">
      <c r="A289" s="1" t="s">
        <v>329</v>
      </c>
      <c r="B289" s="1" t="str">
        <f>VLOOKUP(A289,Xtal_Templ!A:B,2,FALSE)</f>
        <v>ox2r_human</v>
      </c>
      <c r="C289" s="5">
        <f>VLOOKUP($B289&amp;"__wt",'SegEnds_Xtal_BW#'!$A:$Z,3,FALSE)</f>
        <v>31</v>
      </c>
      <c r="D289" s="1">
        <f>VLOOKUP($B289&amp;"__wt",'SegEnds_Xtal_BW#'!$A:$Z,4,FALSE)</f>
        <v>60</v>
      </c>
      <c r="E289" s="1">
        <f>VLOOKUP($B289&amp;"__wt",'SegEnds_Xtal_BW#'!$A:$Z,5,FALSE)</f>
        <v>48</v>
      </c>
      <c r="F289" s="1">
        <f>VLOOKUP($B289&amp;"__wt",'SegEnds_Xtal_BW#'!$A:$Z,6,FALSE)</f>
        <v>51</v>
      </c>
      <c r="G289" s="1">
        <v>37</v>
      </c>
      <c r="H289" s="12">
        <f>VLOOKUP($B289&amp;"__wt",'SegEnds_Xtal_BW#'!$A:$Z,8,FALSE)</f>
        <v>67</v>
      </c>
      <c r="I289" s="1">
        <f>VLOOKUP($B289&amp;"__wt",'SegEnds_Xtal_BW#'!$A:$Z,9,FALSE)</f>
        <v>49</v>
      </c>
      <c r="J289" s="1">
        <f>VLOOKUP($B289&amp;"__wt",'SegEnds_Xtal_BW#'!$A:$Z,10,FALSE)</f>
        <v>52</v>
      </c>
      <c r="K289" s="12">
        <v>18</v>
      </c>
      <c r="L289" s="1">
        <f>VLOOKUP($B289&amp;"__wt",'SegEnds_Xtal_BW#'!$A:$Z,12,FALSE)</f>
        <v>56</v>
      </c>
      <c r="M289" s="1">
        <f>VLOOKUP($B289&amp;"__wt",'SegEnds_Xtal_BW#'!$A:$Z,13,FALSE)</f>
        <v>50</v>
      </c>
      <c r="N289" s="12">
        <f>VLOOKUP($B289&amp;"__wt",'SegEnds_Xtal_BW#'!$A:$Z,14,FALSE)</f>
        <v>53</v>
      </c>
      <c r="O289" s="89">
        <f>VLOOKUP($B289&amp;"__wt",'SegEnds_Xtal_BW#'!$A:$Z,15,FALSE)</f>
        <v>38</v>
      </c>
      <c r="P289" s="1">
        <f>VLOOKUP($B289&amp;"__wt",'SegEnds_Xtal_BW#'!$A:$Z,16,FALSE)</f>
        <v>64</v>
      </c>
      <c r="Q289" s="1">
        <f>VLOOKUP($B289&amp;"__wt",'SegEnds_Xtal_BW#'!$A:$Z,17,FALSE)</f>
        <v>50</v>
      </c>
      <c r="R289" s="1">
        <f>VLOOKUP($B289&amp;"__wt",'SegEnds_Xtal_BW#'!$A:$Z,18,FALSE)</f>
        <v>52</v>
      </c>
      <c r="S289" s="1">
        <f>VLOOKUP($B289&amp;"__wt",'SegEnds_Xtal_BW#'!$A:$Z,19,FALSE)</f>
        <v>32</v>
      </c>
      <c r="T289" s="1">
        <f t="array" ref="T289">INDEX('ICL3'!$G$2:$G$40,MATCH(MIN(ABS(AH289-'ICL3'!$F$2:$F$40)),ABS(AH289-'ICL3'!$F$2:$F$40),0))</f>
        <v>73</v>
      </c>
      <c r="U289" s="1">
        <f t="array" ref="U289">INDEX('ICL3'!$H$2:$H$40,MATCH(MIN(ABS(AH289-'ICL3'!$F$2:$F$40)),ABS(AH289-'ICL3'!$F$2:$F$40),0))</f>
        <v>22</v>
      </c>
      <c r="V289" s="1">
        <v>61</v>
      </c>
      <c r="W289" s="1">
        <v>24</v>
      </c>
      <c r="X289" s="1">
        <f>VLOOKUP($B289&amp;"__wt",'SegEnds_Xtal_BW#'!$A:$Z,24,FALSE)</f>
        <v>56</v>
      </c>
      <c r="Y289" s="1">
        <f>VLOOKUP($B289&amp;"__wt",'SegEnds_Xtal_BW#'!$A:$Z,25,FALSE)</f>
        <v>47</v>
      </c>
      <c r="Z289" s="1">
        <f>VLOOKUP($B289&amp;"__wt",'SegEnds_Xtal_BW#'!$A:$Z,26,FALSE)</f>
        <v>58</v>
      </c>
      <c r="AA289" s="27" t="str">
        <f>VLOOKUP(A289,Classification!A:B,2,FALSE)</f>
        <v>A</v>
      </c>
      <c r="AB289" s="1">
        <f>VLOOKUP(A289,'SegEnds_NonXtal_Prot#'!A:AL,10,FALSE)-VLOOKUP(A289,'SegEnds_NonXtal_Prot#'!A:AL,7,FALSE)</f>
        <v>15</v>
      </c>
      <c r="AC289" s="1">
        <f>VLOOKUP(A289,'SegEnds_NonXtal_Prot#'!A:AL,13,FALSE)-VLOOKUP(A289,'SegEnds_NonXtal_Prot#'!A:AL,10,FALSE)</f>
        <v>20</v>
      </c>
      <c r="AD289" s="1">
        <f>VLOOKUP(A289,'SegEnds_NonXtal_Prot#'!A:AL,16,FALSE)-VLOOKUP(A289,'SegEnds_NonXtal_Prot#'!A:AL,10,FALSE)</f>
        <v>52</v>
      </c>
      <c r="AE289" s="1" t="e">
        <f>VLOOKUP(A289,'SegEnds_NonXtal_Prot#'!A:AL,22,FALSE)-VLOOKUP(A289,'SegEnds_NonXtal_Prot#'!A:AL,19,FALSE)</f>
        <v>#VALUE!</v>
      </c>
      <c r="AF289" s="1" t="e">
        <f>VLOOKUP(A289,'SegEnds_NonXtal_Prot#'!A:AL,28,FALSE)-VLOOKUP(A289,'SegEnds_NonXtal_Prot#'!A:AL,25,FALSE)</f>
        <v>#VALUE!</v>
      </c>
      <c r="AG289" s="1">
        <f>VLOOKUP(A289,'SegEnds_NonXtal_Prot#'!A:AL,28,FALSE)-VLOOKUP(A289,'SegEnds_NonXtal_Prot#'!A:AL,22,FALSE)</f>
        <v>62</v>
      </c>
      <c r="AH289" s="1">
        <f>VLOOKUP(A289,'SegEnds_NonXtal_Prot#'!A:AL,31,FALSE)-VLOOKUP(A289,'SegEnds_NonXtal_Prot#'!A:AL,28,FALSE)</f>
        <v>55</v>
      </c>
      <c r="AI289" s="1" t="e">
        <f>VLOOKUP(A289,'SegEnds_NonXtal_Prot#'!A:AL,34,FALSE)-VLOOKUP(A289,'SegEnds_NonXtal_Prot#'!A:AL,31,FALSE)</f>
        <v>#VALUE!</v>
      </c>
      <c r="AJ289" s="1" t="str">
        <f>IF(ISERROR(MATCH(A289,'SegEnds_Xtal_Prot#'!B:B, 0)), "NoXtal", "Xtal")</f>
        <v>NoXtal</v>
      </c>
    </row>
    <row r="290" spans="1:36" x14ac:dyDescent="0.2">
      <c r="A290" s="1" t="s">
        <v>332</v>
      </c>
      <c r="B290" s="1" t="str">
        <f>VLOOKUP(A290,Xtal_Templ!A:B,2,FALSE)</f>
        <v>opsd_bovin</v>
      </c>
      <c r="C290" s="5">
        <f>VLOOKUP($B290&amp;"__wt",'SegEnds_Xtal_BW#'!$A:$Z,3,FALSE)</f>
        <v>29</v>
      </c>
      <c r="D290" s="1">
        <f>VLOOKUP($B290&amp;"__wt",'SegEnds_Xtal_BW#'!$A:$Z,4,FALSE)</f>
        <v>60</v>
      </c>
      <c r="E290" s="1">
        <f>VLOOKUP($B290&amp;"__wt",'SegEnds_Xtal_BW#'!$A:$Z,5,FALSE)</f>
        <v>48</v>
      </c>
      <c r="F290" s="1">
        <f>VLOOKUP($B290&amp;"__wt",'SegEnds_Xtal_BW#'!$A:$Z,6,FALSE)</f>
        <v>51</v>
      </c>
      <c r="G290" s="1">
        <v>37</v>
      </c>
      <c r="H290" s="12">
        <f>VLOOKUP($B290&amp;"__wt",'SegEnds_Xtal_BW#'!$A:$Z,8,FALSE)</f>
        <v>67</v>
      </c>
      <c r="I290" s="1">
        <f>VLOOKUP($B290&amp;"__wt",'SegEnds_Xtal_BW#'!$A:$Z,9,FALSE)</f>
        <v>49</v>
      </c>
      <c r="J290" s="1">
        <f>VLOOKUP($B290&amp;"__wt",'SegEnds_Xtal_BW#'!$A:$Z,10,FALSE)</f>
        <v>52</v>
      </c>
      <c r="K290" s="12">
        <v>18</v>
      </c>
      <c r="L290" s="1">
        <f>VLOOKUP($B290&amp;"__wt",'SegEnds_Xtal_BW#'!$A:$Z,12,FALSE)</f>
        <v>56</v>
      </c>
      <c r="M290" s="1">
        <f>VLOOKUP($B290&amp;"__wt",'SegEnds_Xtal_BW#'!$A:$Z,13,FALSE)</f>
        <v>50</v>
      </c>
      <c r="N290" s="12">
        <f>VLOOKUP($B290&amp;"__wt",'SegEnds_Xtal_BW#'!$A:$Z,14,FALSE)</f>
        <v>56</v>
      </c>
      <c r="O290" s="89">
        <f>VLOOKUP($B290&amp;"__wt",'SegEnds_Xtal_BW#'!$A:$Z,15,FALSE)</f>
        <v>38</v>
      </c>
      <c r="P290" s="1">
        <f>VLOOKUP($B290&amp;"__wt",'SegEnds_Xtal_BW#'!$A:$Z,16,FALSE)</f>
        <v>62</v>
      </c>
      <c r="Q290" s="1">
        <f>VLOOKUP($B290&amp;"__wt",'SegEnds_Xtal_BW#'!$A:$Z,17,FALSE)</f>
        <v>50</v>
      </c>
      <c r="R290" s="1">
        <f>VLOOKUP($B290&amp;"__wt",'SegEnds_Xtal_BW#'!$A:$Z,18,FALSE)</f>
        <v>52</v>
      </c>
      <c r="S290" s="1">
        <f>VLOOKUP($B290&amp;"__wt",'SegEnds_Xtal_BW#'!$A:$Z,19,FALSE)</f>
        <v>34</v>
      </c>
      <c r="T290" s="1">
        <f t="array" ref="T290">INDEX('ICL3'!$G$2:$G$40,MATCH(MIN(ABS(AH290-'ICL3'!$F$2:$F$40)),ABS(AH290-'ICL3'!$F$2:$F$40),0))</f>
        <v>73</v>
      </c>
      <c r="U290" s="1">
        <f t="array" ref="U290">INDEX('ICL3'!$H$2:$H$40,MATCH(MIN(ABS(AH290-'ICL3'!$F$2:$F$40)),ABS(AH290-'ICL3'!$F$2:$F$40),0))</f>
        <v>22</v>
      </c>
      <c r="V290" s="1">
        <v>61</v>
      </c>
      <c r="W290" s="1">
        <v>31</v>
      </c>
      <c r="X290" s="1">
        <f>VLOOKUP($B290&amp;"__wt",'SegEnds_Xtal_BW#'!$A:$Z,24,FALSE)</f>
        <v>56</v>
      </c>
      <c r="Y290" s="1">
        <f>VLOOKUP($B290&amp;"__wt",'SegEnds_Xtal_BW#'!$A:$Z,25,FALSE)</f>
        <v>47</v>
      </c>
      <c r="Z290" s="1">
        <f>VLOOKUP($B290&amp;"__wt",'SegEnds_Xtal_BW#'!$A:$Z,26,FALSE)</f>
        <v>59</v>
      </c>
      <c r="AA290" s="27" t="str">
        <f>VLOOKUP(A290,Classification!A:B,2,FALSE)</f>
        <v>A</v>
      </c>
      <c r="AB290" s="1">
        <f>VLOOKUP(A290,'SegEnds_NonXtal_Prot#'!A:AL,10,FALSE)-VLOOKUP(A290,'SegEnds_NonXtal_Prot#'!A:AL,7,FALSE)</f>
        <v>15</v>
      </c>
      <c r="AC290" s="1">
        <f>VLOOKUP(A290,'SegEnds_NonXtal_Prot#'!A:AL,13,FALSE)-VLOOKUP(A290,'SegEnds_NonXtal_Prot#'!A:AL,10,FALSE)</f>
        <v>20</v>
      </c>
      <c r="AD290" s="1">
        <f>VLOOKUP(A290,'SegEnds_NonXtal_Prot#'!A:AL,16,FALSE)-VLOOKUP(A290,'SegEnds_NonXtal_Prot#'!A:AL,10,FALSE)</f>
        <v>52</v>
      </c>
      <c r="AE290" s="1" t="e">
        <f>VLOOKUP(A290,'SegEnds_NonXtal_Prot#'!A:AL,22,FALSE)-VLOOKUP(A290,'SegEnds_NonXtal_Prot#'!A:AL,19,FALSE)</f>
        <v>#VALUE!</v>
      </c>
      <c r="AF290" s="1">
        <f>VLOOKUP(A290,'SegEnds_NonXtal_Prot#'!A:AL,28,FALSE)-VLOOKUP(A290,'SegEnds_NonXtal_Prot#'!A:AL,25,FALSE)</f>
        <v>26</v>
      </c>
      <c r="AG290" s="1">
        <f>VLOOKUP(A290,'SegEnds_NonXtal_Prot#'!A:AL,28,FALSE)-VLOOKUP(A290,'SegEnds_NonXtal_Prot#'!A:AL,22,FALSE)</f>
        <v>52</v>
      </c>
      <c r="AH290" s="1">
        <f>VLOOKUP(A290,'SegEnds_NonXtal_Prot#'!A:AL,31,FALSE)-VLOOKUP(A290,'SegEnds_NonXtal_Prot#'!A:AL,28,FALSE)</f>
        <v>56</v>
      </c>
      <c r="AI290" s="1">
        <f>VLOOKUP(A290,'SegEnds_NonXtal_Prot#'!A:AL,34,FALSE)-VLOOKUP(A290,'SegEnds_NonXtal_Prot#'!A:AL,31,FALSE)</f>
        <v>36</v>
      </c>
      <c r="AJ290" s="1" t="str">
        <f>IF(ISERROR(MATCH(A290,'SegEnds_Xtal_Prot#'!B:B, 0)), "NoXtal", "Xtal")</f>
        <v>NoXtal</v>
      </c>
    </row>
    <row r="291" spans="1:36" x14ac:dyDescent="0.2">
      <c r="A291" s="4" t="s">
        <v>344</v>
      </c>
      <c r="B291" s="4" t="str">
        <f>VLOOKUP(A291,Xtal_Templ!A:B,2,FALSE)</f>
        <v>ox1r_human</v>
      </c>
      <c r="C291" s="5">
        <f>VLOOKUP($B291&amp;"__wt",'SegEnds_Xtal_BW#'!$A:$Z,3,FALSE)</f>
        <v>32</v>
      </c>
      <c r="D291" s="4">
        <f>VLOOKUP($B291&amp;"__wt",'SegEnds_Xtal_BW#'!$A:$Z,4,FALSE)</f>
        <v>60</v>
      </c>
      <c r="E291" s="4">
        <f>VLOOKUP($B291&amp;"__wt",'SegEnds_Xtal_BW#'!$A:$Z,5,FALSE)</f>
        <v>48</v>
      </c>
      <c r="F291" s="4">
        <f>VLOOKUP($B291&amp;"__wt",'SegEnds_Xtal_BW#'!$A:$Z,6,FALSE)</f>
        <v>51</v>
      </c>
      <c r="G291" s="4">
        <v>37</v>
      </c>
      <c r="H291" s="11">
        <v>66</v>
      </c>
      <c r="I291" s="4">
        <f>VLOOKUP($B291&amp;"__wt",'SegEnds_Xtal_BW#'!$A:$Z,9,FALSE)</f>
        <v>49</v>
      </c>
      <c r="J291" s="4">
        <f>VLOOKUP($B291&amp;"__wt",'SegEnds_Xtal_BW#'!$A:$Z,10,FALSE)</f>
        <v>52</v>
      </c>
      <c r="K291" s="11">
        <v>18</v>
      </c>
      <c r="L291" s="4">
        <f>VLOOKUP($B291&amp;"__wt",'SegEnds_Xtal_BW#'!$A:$Z,12,FALSE)</f>
        <v>56</v>
      </c>
      <c r="M291" s="4">
        <f>VLOOKUP($B291&amp;"__wt",'SegEnds_Xtal_BW#'!$A:$Z,13,FALSE)</f>
        <v>50</v>
      </c>
      <c r="N291" s="11">
        <v>55</v>
      </c>
      <c r="O291" s="90">
        <v>38</v>
      </c>
      <c r="P291" s="4">
        <f>VLOOKUP($B291&amp;"__wt",'SegEnds_Xtal_BW#'!$A:$Z,16,FALSE)</f>
        <v>64</v>
      </c>
      <c r="Q291" s="4">
        <f>VLOOKUP($B291&amp;"__wt",'SegEnds_Xtal_BW#'!$A:$Z,17,FALSE)</f>
        <v>50</v>
      </c>
      <c r="R291" s="4">
        <f>VLOOKUP($B291&amp;"__wt",'SegEnds_Xtal_BW#'!$A:$Z,18,FALSE)</f>
        <v>52</v>
      </c>
      <c r="S291" s="4">
        <f>VLOOKUP($B291&amp;"__wt",'SegEnds_Xtal_BW#'!$A:$Z,19,FALSE)</f>
        <v>32</v>
      </c>
      <c r="T291" s="4">
        <f t="array" ref="T291">INDEX('ICL3'!$G$2:$G$40,MATCH(MIN(ABS(AH291-'ICL3'!$F$2:$F$40)),ABS(AH291-'ICL3'!$F$2:$F$40),0))</f>
        <v>76</v>
      </c>
      <c r="U291" s="4">
        <f t="array" ref="U291">INDEX('ICL3'!$H$2:$H$40,MATCH(MIN(ABS(AH291-'ICL3'!$F$2:$F$40)),ABS(AH291-'ICL3'!$F$2:$F$40),0))</f>
        <v>24</v>
      </c>
      <c r="V291" s="4">
        <v>61</v>
      </c>
      <c r="W291" s="4">
        <v>31</v>
      </c>
      <c r="X291" s="4">
        <f>VLOOKUP($B291&amp;"__wt",'SegEnds_Xtal_BW#'!$A:$Z,24,FALSE)</f>
        <v>56</v>
      </c>
      <c r="Y291" s="4">
        <f>VLOOKUP($B291&amp;"__wt",'SegEnds_Xtal_BW#'!$A:$Z,25,FALSE)</f>
        <v>47</v>
      </c>
      <c r="Z291" s="4">
        <f>VLOOKUP($B291&amp;"__wt",'SegEnds_Xtal_BW#'!$A:$Z,26,FALSE)</f>
        <v>58</v>
      </c>
      <c r="AA291" s="27" t="str">
        <f>VLOOKUP(A291,Classification!A:B,2,FALSE)</f>
        <v>A</v>
      </c>
      <c r="AB291" s="4">
        <f>VLOOKUP(A291,'SegEnds_NonXtal_Prot#'!A:AL,10,FALSE)-VLOOKUP(A291,'SegEnds_NonXtal_Prot#'!A:AL,7,FALSE)</f>
        <v>15</v>
      </c>
      <c r="AC291" s="4">
        <f>VLOOKUP(A291,'SegEnds_NonXtal_Prot#'!A:AL,13,FALSE)-VLOOKUP(A291,'SegEnds_NonXtal_Prot#'!A:AL,10,FALSE)</f>
        <v>18</v>
      </c>
      <c r="AD291" s="4">
        <f>VLOOKUP(A291,'SegEnds_NonXtal_Prot#'!A:AL,16,FALSE)-VLOOKUP(A291,'SegEnds_NonXtal_Prot#'!A:AL,10,FALSE)</f>
        <v>52</v>
      </c>
      <c r="AE291" s="1" t="e">
        <f>VLOOKUP(A291,'SegEnds_NonXtal_Prot#'!A:AL,22,FALSE)-VLOOKUP(A291,'SegEnds_NonXtal_Prot#'!A:AL,19,FALSE)</f>
        <v>#VALUE!</v>
      </c>
      <c r="AF291" s="4">
        <f>VLOOKUP(A291,'SegEnds_NonXtal_Prot#'!A:AL,28,FALSE)-VLOOKUP(A291,'SegEnds_NonXtal_Prot#'!A:AL,25,FALSE)</f>
        <v>25</v>
      </c>
      <c r="AG291" s="1">
        <f>VLOOKUP(A291,'SegEnds_NonXtal_Prot#'!A:AL,28,FALSE)-VLOOKUP(A291,'SegEnds_NonXtal_Prot#'!A:AL,22,FALSE)</f>
        <v>51</v>
      </c>
      <c r="AH291" s="4">
        <f>VLOOKUP(A291,'SegEnds_NonXtal_Prot#'!A:AL,31,FALSE)-VLOOKUP(A291,'SegEnds_NonXtal_Prot#'!A:AL,28,FALSE)</f>
        <v>78</v>
      </c>
      <c r="AI291" s="4">
        <f>VLOOKUP(A291,'SegEnds_NonXtal_Prot#'!A:AL,34,FALSE)-VLOOKUP(A291,'SegEnds_NonXtal_Prot#'!A:AL,31,FALSE)</f>
        <v>36</v>
      </c>
      <c r="AJ291" s="1" t="str">
        <f>IF(ISERROR(MATCH(A291,'SegEnds_Xtal_Prot#'!B:B, 0)), "NoXtal", "Xtal")</f>
        <v>NoXtal</v>
      </c>
    </row>
    <row r="292" spans="1:36" x14ac:dyDescent="0.2">
      <c r="A292" s="1" t="s">
        <v>367</v>
      </c>
      <c r="B292" s="1" t="str">
        <f>VLOOKUP(A292,Xtal_Templ!A:B,2,FALSE)</f>
        <v>ox1r_human</v>
      </c>
      <c r="C292" s="5">
        <f>VLOOKUP($B292&amp;"__wt",'SegEnds_Xtal_BW#'!$A:$Z,3,FALSE)</f>
        <v>32</v>
      </c>
      <c r="D292" s="1">
        <f>VLOOKUP($B292&amp;"__wt",'SegEnds_Xtal_BW#'!$A:$Z,4,FALSE)</f>
        <v>60</v>
      </c>
      <c r="E292" s="1">
        <f>VLOOKUP($B292&amp;"__wt",'SegEnds_Xtal_BW#'!$A:$Z,5,FALSE)</f>
        <v>48</v>
      </c>
      <c r="F292" s="1">
        <f>VLOOKUP($B292&amp;"__wt",'SegEnds_Xtal_BW#'!$A:$Z,6,FALSE)</f>
        <v>51</v>
      </c>
      <c r="G292" s="1">
        <v>37</v>
      </c>
      <c r="H292" s="12">
        <f>VLOOKUP($B292&amp;"__wt",'SegEnds_Xtal_BW#'!$A:$Z,8,FALSE)</f>
        <v>67</v>
      </c>
      <c r="I292" s="1">
        <f>VLOOKUP($B292&amp;"__wt",'SegEnds_Xtal_BW#'!$A:$Z,9,FALSE)</f>
        <v>49</v>
      </c>
      <c r="J292" s="1">
        <f>VLOOKUP($B292&amp;"__wt",'SegEnds_Xtal_BW#'!$A:$Z,10,FALSE)</f>
        <v>52</v>
      </c>
      <c r="K292" s="12">
        <v>18</v>
      </c>
      <c r="L292" s="1">
        <f>VLOOKUP($B292&amp;"__wt",'SegEnds_Xtal_BW#'!$A:$Z,12,FALSE)</f>
        <v>56</v>
      </c>
      <c r="M292" s="1">
        <f>VLOOKUP($B292&amp;"__wt",'SegEnds_Xtal_BW#'!$A:$Z,13,FALSE)</f>
        <v>50</v>
      </c>
      <c r="N292" s="12">
        <v>56</v>
      </c>
      <c r="O292" s="89">
        <f>VLOOKUP($B292&amp;"__wt",'SegEnds_Xtal_BW#'!$A:$Z,15,FALSE)</f>
        <v>38</v>
      </c>
      <c r="P292" s="1">
        <f>VLOOKUP($B292&amp;"__wt",'SegEnds_Xtal_BW#'!$A:$Z,16,FALSE)</f>
        <v>64</v>
      </c>
      <c r="Q292" s="1">
        <f>VLOOKUP($B292&amp;"__wt",'SegEnds_Xtal_BW#'!$A:$Z,17,FALSE)</f>
        <v>50</v>
      </c>
      <c r="R292" s="1">
        <f>VLOOKUP($B292&amp;"__wt",'SegEnds_Xtal_BW#'!$A:$Z,18,FALSE)</f>
        <v>52</v>
      </c>
      <c r="S292" s="1">
        <f>VLOOKUP($B292&amp;"__wt",'SegEnds_Xtal_BW#'!$A:$Z,19,FALSE)</f>
        <v>32</v>
      </c>
      <c r="T292" s="1">
        <f t="array" ref="T292">INDEX('ICL3'!$G$2:$G$40,MATCH(MIN(ABS(AH292-'ICL3'!$F$2:$F$40)),ABS(AH292-'ICL3'!$F$2:$F$40),0))</f>
        <v>73</v>
      </c>
      <c r="U292" s="1">
        <f t="array" ref="U292">INDEX('ICL3'!$H$2:$H$40,MATCH(MIN(ABS(AH292-'ICL3'!$F$2:$F$40)),ABS(AH292-'ICL3'!$F$2:$F$40),0))</f>
        <v>22</v>
      </c>
      <c r="V292" s="1">
        <v>61</v>
      </c>
      <c r="W292" s="1">
        <v>28</v>
      </c>
      <c r="X292" s="1">
        <f>VLOOKUP($B292&amp;"__wt",'SegEnds_Xtal_BW#'!$A:$Z,24,FALSE)</f>
        <v>56</v>
      </c>
      <c r="Y292" s="1">
        <f>VLOOKUP($B292&amp;"__wt",'SegEnds_Xtal_BW#'!$A:$Z,25,FALSE)</f>
        <v>47</v>
      </c>
      <c r="Z292" s="1">
        <f>VLOOKUP($B292&amp;"__wt",'SegEnds_Xtal_BW#'!$A:$Z,26,FALSE)</f>
        <v>58</v>
      </c>
      <c r="AA292" s="27" t="str">
        <f>VLOOKUP(A292,Classification!A:B,2,FALSE)</f>
        <v>A</v>
      </c>
      <c r="AB292" s="1">
        <f>VLOOKUP(A292,'SegEnds_NonXtal_Prot#'!A:AL,10,FALSE)-VLOOKUP(A292,'SegEnds_NonXtal_Prot#'!A:AL,7,FALSE)</f>
        <v>15</v>
      </c>
      <c r="AC292" s="1">
        <f>VLOOKUP(A292,'SegEnds_NonXtal_Prot#'!A:AL,13,FALSE)-VLOOKUP(A292,'SegEnds_NonXtal_Prot#'!A:AL,10,FALSE)</f>
        <v>22</v>
      </c>
      <c r="AD292" s="1">
        <f>VLOOKUP(A292,'SegEnds_NonXtal_Prot#'!A:AL,16,FALSE)-VLOOKUP(A292,'SegEnds_NonXtal_Prot#'!A:AL,10,FALSE)</f>
        <v>54</v>
      </c>
      <c r="AE292" s="1" t="e">
        <f>VLOOKUP(A292,'SegEnds_NonXtal_Prot#'!A:AL,22,FALSE)-VLOOKUP(A292,'SegEnds_NonXtal_Prot#'!A:AL,19,FALSE)</f>
        <v>#VALUE!</v>
      </c>
      <c r="AF292" s="1">
        <f>VLOOKUP(A292,'SegEnds_NonXtal_Prot#'!A:AL,28,FALSE)-VLOOKUP(A292,'SegEnds_NonXtal_Prot#'!A:AL,25,FALSE)</f>
        <v>27</v>
      </c>
      <c r="AG292" s="1">
        <f>VLOOKUP(A292,'SegEnds_NonXtal_Prot#'!A:AL,28,FALSE)-VLOOKUP(A292,'SegEnds_NonXtal_Prot#'!A:AL,22,FALSE)</f>
        <v>57</v>
      </c>
      <c r="AH292" s="1">
        <f>VLOOKUP(A292,'SegEnds_NonXtal_Prot#'!A:AL,31,FALSE)-VLOOKUP(A292,'SegEnds_NonXtal_Prot#'!A:AL,28,FALSE)</f>
        <v>55</v>
      </c>
      <c r="AI292" s="1">
        <f>VLOOKUP(A292,'SegEnds_NonXtal_Prot#'!A:AL,34,FALSE)-VLOOKUP(A292,'SegEnds_NonXtal_Prot#'!A:AL,31,FALSE)</f>
        <v>40</v>
      </c>
      <c r="AJ292" s="1" t="str">
        <f>IF(ISERROR(MATCH(A292,'SegEnds_Xtal_Prot#'!B:B, 0)), "NoXtal", "Xtal")</f>
        <v>NoXtal</v>
      </c>
    </row>
    <row r="293" spans="1:36" x14ac:dyDescent="0.2">
      <c r="A293" s="1" t="s">
        <v>368</v>
      </c>
      <c r="B293" s="1" t="str">
        <f>VLOOKUP(A293,Xtal_Templ!A:B,2,FALSE)</f>
        <v>ox2r_human</v>
      </c>
      <c r="C293" s="5">
        <f>VLOOKUP($B293&amp;"__wt",'SegEnds_Xtal_BW#'!$A:$Z,3,FALSE)</f>
        <v>31</v>
      </c>
      <c r="D293" s="1">
        <f>VLOOKUP($B293&amp;"__wt",'SegEnds_Xtal_BW#'!$A:$Z,4,FALSE)</f>
        <v>60</v>
      </c>
      <c r="E293" s="1">
        <f>VLOOKUP($B293&amp;"__wt",'SegEnds_Xtal_BW#'!$A:$Z,5,FALSE)</f>
        <v>48</v>
      </c>
      <c r="F293" s="1">
        <f>VLOOKUP($B293&amp;"__wt",'SegEnds_Xtal_BW#'!$A:$Z,6,FALSE)</f>
        <v>51</v>
      </c>
      <c r="G293" s="1">
        <v>37</v>
      </c>
      <c r="H293" s="12">
        <f>VLOOKUP($B293&amp;"__wt",'SegEnds_Xtal_BW#'!$A:$Z,8,FALSE)</f>
        <v>67</v>
      </c>
      <c r="I293" s="1">
        <f>VLOOKUP($B293&amp;"__wt",'SegEnds_Xtal_BW#'!$A:$Z,9,FALSE)</f>
        <v>49</v>
      </c>
      <c r="J293" s="1">
        <f>VLOOKUP($B293&amp;"__wt",'SegEnds_Xtal_BW#'!$A:$Z,10,FALSE)</f>
        <v>52</v>
      </c>
      <c r="K293" s="12">
        <v>18</v>
      </c>
      <c r="L293" s="1">
        <f>VLOOKUP($B293&amp;"__wt",'SegEnds_Xtal_BW#'!$A:$Z,12,FALSE)</f>
        <v>56</v>
      </c>
      <c r="M293" s="1">
        <f>VLOOKUP($B293&amp;"__wt",'SegEnds_Xtal_BW#'!$A:$Z,13,FALSE)</f>
        <v>50</v>
      </c>
      <c r="N293" s="12">
        <v>56</v>
      </c>
      <c r="O293" s="89">
        <f>VLOOKUP($B293&amp;"__wt",'SegEnds_Xtal_BW#'!$A:$Z,15,FALSE)</f>
        <v>38</v>
      </c>
      <c r="P293" s="1">
        <f>VLOOKUP($B293&amp;"__wt",'SegEnds_Xtal_BW#'!$A:$Z,16,FALSE)</f>
        <v>64</v>
      </c>
      <c r="Q293" s="1">
        <f>VLOOKUP($B293&amp;"__wt",'SegEnds_Xtal_BW#'!$A:$Z,17,FALSE)</f>
        <v>50</v>
      </c>
      <c r="R293" s="1">
        <f>VLOOKUP($B293&amp;"__wt",'SegEnds_Xtal_BW#'!$A:$Z,18,FALSE)</f>
        <v>52</v>
      </c>
      <c r="S293" s="1">
        <f>VLOOKUP($B293&amp;"__wt",'SegEnds_Xtal_BW#'!$A:$Z,19,FALSE)</f>
        <v>32</v>
      </c>
      <c r="T293" s="1">
        <f t="array" ref="T293">INDEX('ICL3'!$G$2:$G$40,MATCH(MIN(ABS(AH293-'ICL3'!$F$2:$F$40)),ABS(AH293-'ICL3'!$F$2:$F$40),0))</f>
        <v>73</v>
      </c>
      <c r="U293" s="1">
        <f t="array" ref="U293">INDEX('ICL3'!$H$2:$H$40,MATCH(MIN(ABS(AH293-'ICL3'!$F$2:$F$40)),ABS(AH293-'ICL3'!$F$2:$F$40),0))</f>
        <v>22</v>
      </c>
      <c r="V293" s="1">
        <v>61</v>
      </c>
      <c r="W293" s="1">
        <v>28</v>
      </c>
      <c r="X293" s="1">
        <f>VLOOKUP($B293&amp;"__wt",'SegEnds_Xtal_BW#'!$A:$Z,24,FALSE)</f>
        <v>56</v>
      </c>
      <c r="Y293" s="1">
        <f>VLOOKUP($B293&amp;"__wt",'SegEnds_Xtal_BW#'!$A:$Z,25,FALSE)</f>
        <v>47</v>
      </c>
      <c r="Z293" s="1">
        <f>VLOOKUP($B293&amp;"__wt",'SegEnds_Xtal_BW#'!$A:$Z,26,FALSE)</f>
        <v>58</v>
      </c>
      <c r="AA293" s="27" t="str">
        <f>VLOOKUP(A293,Classification!A:B,2,FALSE)</f>
        <v>A</v>
      </c>
      <c r="AB293" s="1">
        <f>VLOOKUP(A293,'SegEnds_NonXtal_Prot#'!A:AL,10,FALSE)-VLOOKUP(A293,'SegEnds_NonXtal_Prot#'!A:AL,7,FALSE)</f>
        <v>15</v>
      </c>
      <c r="AC293" s="1">
        <f>VLOOKUP(A293,'SegEnds_NonXtal_Prot#'!A:AL,13,FALSE)-VLOOKUP(A293,'SegEnds_NonXtal_Prot#'!A:AL,10,FALSE)</f>
        <v>22</v>
      </c>
      <c r="AD293" s="1">
        <f>VLOOKUP(A293,'SegEnds_NonXtal_Prot#'!A:AL,16,FALSE)-VLOOKUP(A293,'SegEnds_NonXtal_Prot#'!A:AL,10,FALSE)</f>
        <v>54</v>
      </c>
      <c r="AE293" s="1" t="e">
        <f>VLOOKUP(A293,'SegEnds_NonXtal_Prot#'!A:AL,22,FALSE)-VLOOKUP(A293,'SegEnds_NonXtal_Prot#'!A:AL,19,FALSE)</f>
        <v>#VALUE!</v>
      </c>
      <c r="AF293" s="1">
        <f>VLOOKUP(A293,'SegEnds_NonXtal_Prot#'!A:AL,28,FALSE)-VLOOKUP(A293,'SegEnds_NonXtal_Prot#'!A:AL,25,FALSE)</f>
        <v>27</v>
      </c>
      <c r="AG293" s="1">
        <f>VLOOKUP(A293,'SegEnds_NonXtal_Prot#'!A:AL,28,FALSE)-VLOOKUP(A293,'SegEnds_NonXtal_Prot#'!A:AL,22,FALSE)</f>
        <v>57</v>
      </c>
      <c r="AH293" s="1">
        <f>VLOOKUP(A293,'SegEnds_NonXtal_Prot#'!A:AL,31,FALSE)-VLOOKUP(A293,'SegEnds_NonXtal_Prot#'!A:AL,28,FALSE)</f>
        <v>55</v>
      </c>
      <c r="AI293" s="1">
        <f>VLOOKUP(A293,'SegEnds_NonXtal_Prot#'!A:AL,34,FALSE)-VLOOKUP(A293,'SegEnds_NonXtal_Prot#'!A:AL,31,FALSE)</f>
        <v>40</v>
      </c>
      <c r="AJ293" s="1" t="str">
        <f>IF(ISERROR(MATCH(A293,'SegEnds_Xtal_Prot#'!B:B, 0)), "NoXtal", "Xtal")</f>
        <v>NoXtal</v>
      </c>
    </row>
    <row r="294" spans="1:36" x14ac:dyDescent="0.2">
      <c r="A294" s="1" t="s">
        <v>373</v>
      </c>
      <c r="B294" s="1" t="str">
        <f>VLOOKUP(A294,Xtal_Templ!A:B,2,FALSE)</f>
        <v>agtr1_human</v>
      </c>
      <c r="C294" s="5">
        <f>VLOOKUP($B294&amp;"__wt",'SegEnds_Xtal_BW#'!$A:$Z,3,FALSE)</f>
        <v>30</v>
      </c>
      <c r="D294" s="1">
        <f>VLOOKUP($B294&amp;"__wt",'SegEnds_Xtal_BW#'!$A:$Z,4,FALSE)</f>
        <v>60</v>
      </c>
      <c r="E294" s="1">
        <f>VLOOKUP($B294&amp;"__wt",'SegEnds_Xtal_BW#'!$A:$Z,5,FALSE)</f>
        <v>48</v>
      </c>
      <c r="F294" s="1">
        <f>VLOOKUP($B294&amp;"__wt",'SegEnds_Xtal_BW#'!$A:$Z,6,FALSE)</f>
        <v>51</v>
      </c>
      <c r="G294" s="1">
        <v>37</v>
      </c>
      <c r="H294" s="12">
        <f>VLOOKUP($B294&amp;"__wt",'SegEnds_Xtal_BW#'!$A:$Z,8,FALSE)</f>
        <v>66</v>
      </c>
      <c r="I294" s="1">
        <f>VLOOKUP($B294&amp;"__wt",'SegEnds_Xtal_BW#'!$A:$Z,9,FALSE)</f>
        <v>49</v>
      </c>
      <c r="J294" s="1">
        <f>VLOOKUP($B294&amp;"__wt",'SegEnds_Xtal_BW#'!$A:$Z,10,FALSE)</f>
        <v>52</v>
      </c>
      <c r="K294" s="12">
        <v>18</v>
      </c>
      <c r="L294" s="1">
        <f>VLOOKUP($B294&amp;"__wt",'SegEnds_Xtal_BW#'!$A:$Z,12,FALSE)</f>
        <v>56</v>
      </c>
      <c r="M294" s="1">
        <f>VLOOKUP($B294&amp;"__wt",'SegEnds_Xtal_BW#'!$A:$Z,13,FALSE)</f>
        <v>50</v>
      </c>
      <c r="N294" s="12">
        <v>58</v>
      </c>
      <c r="O294" s="89">
        <f>VLOOKUP($B294&amp;"__wt",'SegEnds_Xtal_BW#'!$A:$Z,15,FALSE)</f>
        <v>38</v>
      </c>
      <c r="P294" s="1">
        <f>VLOOKUP($B294&amp;"__wt",'SegEnds_Xtal_BW#'!$A:$Z,16,FALSE)</f>
        <v>64</v>
      </c>
      <c r="Q294" s="1">
        <f>VLOOKUP($B294&amp;"__wt",'SegEnds_Xtal_BW#'!$A:$Z,17,FALSE)</f>
        <v>50</v>
      </c>
      <c r="R294" s="1">
        <f>VLOOKUP($B294&amp;"__wt",'SegEnds_Xtal_BW#'!$A:$Z,18,FALSE)</f>
        <v>52</v>
      </c>
      <c r="S294" s="1">
        <f>VLOOKUP($B294&amp;"__wt",'SegEnds_Xtal_BW#'!$A:$Z,19,FALSE)</f>
        <v>34</v>
      </c>
      <c r="T294" s="1">
        <f t="array" ref="T294">INDEX('ICL3'!$G$2:$G$40,MATCH(MIN(ABS(AH294-'ICL3'!$F$2:$F$40)),ABS(AH294-'ICL3'!$F$2:$F$40),0))</f>
        <v>74</v>
      </c>
      <c r="U294" s="1">
        <f t="array" ref="U294">INDEX('ICL3'!$H$2:$H$40,MATCH(MIN(ABS(AH294-'ICL3'!$F$2:$F$40)),ABS(AH294-'ICL3'!$F$2:$F$40),0))</f>
        <v>21</v>
      </c>
      <c r="V294" s="1">
        <v>64</v>
      </c>
      <c r="W294" s="1">
        <v>24</v>
      </c>
      <c r="X294" s="1">
        <f>VLOOKUP($B294&amp;"__wt",'SegEnds_Xtal_BW#'!$A:$Z,24,FALSE)</f>
        <v>56</v>
      </c>
      <c r="Y294" s="1">
        <f>VLOOKUP($B294&amp;"__wt",'SegEnds_Xtal_BW#'!$A:$Z,25,FALSE)</f>
        <v>47</v>
      </c>
      <c r="Z294" s="1">
        <f>VLOOKUP($B294&amp;"__wt",'SegEnds_Xtal_BW#'!$A:$Z,26,FALSE)</f>
        <v>61</v>
      </c>
      <c r="AA294" s="27" t="str">
        <f>VLOOKUP(A294,Classification!A:B,2,FALSE)</f>
        <v>A</v>
      </c>
      <c r="AB294" s="1">
        <f>VLOOKUP(A294,'SegEnds_NonXtal_Prot#'!A:AL,10,FALSE)-VLOOKUP(A294,'SegEnds_NonXtal_Prot#'!A:AL,7,FALSE)</f>
        <v>16</v>
      </c>
      <c r="AC294" s="1">
        <f>VLOOKUP(A294,'SegEnds_NonXtal_Prot#'!A:AL,13,FALSE)-VLOOKUP(A294,'SegEnds_NonXtal_Prot#'!A:AL,10,FALSE)</f>
        <v>20</v>
      </c>
      <c r="AD294" s="1">
        <f>VLOOKUP(A294,'SegEnds_NonXtal_Prot#'!A:AL,16,FALSE)-VLOOKUP(A294,'SegEnds_NonXtal_Prot#'!A:AL,10,FALSE)</f>
        <v>52</v>
      </c>
      <c r="AE294" s="1" t="e">
        <f>VLOOKUP(A294,'SegEnds_NonXtal_Prot#'!A:AL,22,FALSE)-VLOOKUP(A294,'SegEnds_NonXtal_Prot#'!A:AL,19,FALSE)</f>
        <v>#VALUE!</v>
      </c>
      <c r="AF294" s="1">
        <f>VLOOKUP(A294,'SegEnds_NonXtal_Prot#'!A:AL,28,FALSE)-VLOOKUP(A294,'SegEnds_NonXtal_Prot#'!A:AL,25,FALSE)</f>
        <v>32</v>
      </c>
      <c r="AG294" s="1">
        <f>VLOOKUP(A294,'SegEnds_NonXtal_Prot#'!A:AL,28,FALSE)-VLOOKUP(A294,'SegEnds_NonXtal_Prot#'!A:AL,22,FALSE)</f>
        <v>57</v>
      </c>
      <c r="AH294" s="1">
        <f>VLOOKUP(A294,'SegEnds_NonXtal_Prot#'!A:AL,31,FALSE)-VLOOKUP(A294,'SegEnds_NonXtal_Prot#'!A:AL,28,FALSE)</f>
        <v>62</v>
      </c>
      <c r="AI294" s="1">
        <f>VLOOKUP(A294,'SegEnds_NonXtal_Prot#'!A:AL,34,FALSE)-VLOOKUP(A294,'SegEnds_NonXtal_Prot#'!A:AL,31,FALSE)</f>
        <v>45</v>
      </c>
      <c r="AJ294" s="1" t="str">
        <f>IF(ISERROR(MATCH(A294,'SegEnds_Xtal_Prot#'!B:B, 0)), "NoXtal", "Xtal")</f>
        <v>NoXtal</v>
      </c>
    </row>
    <row r="295" spans="1:36" x14ac:dyDescent="0.2">
      <c r="A295" s="1" t="s">
        <v>924</v>
      </c>
      <c r="B295" s="1" t="str">
        <f>VLOOKUP(A295,Xtal_Templ!A:B,2,FALSE)</f>
        <v>us28_hcmva</v>
      </c>
      <c r="C295" s="5">
        <f>VLOOKUP($B295&amp;"__wt",'SegEnds_Xtal_BW#'!$A:$Z,3,FALSE)</f>
        <v>25</v>
      </c>
      <c r="D295" s="1">
        <f>VLOOKUP($B295&amp;"__wt",'SegEnds_Xtal_BW#'!$A:$Z,4,FALSE)</f>
        <v>60</v>
      </c>
      <c r="E295" s="1">
        <f>VLOOKUP($B295&amp;"__wt",'SegEnds_Xtal_BW#'!$A:$Z,5,FALSE)</f>
        <v>48</v>
      </c>
      <c r="F295" s="1">
        <f>VLOOKUP($B295&amp;"__wt",'SegEnds_Xtal_BW#'!$A:$Z,6,FALSE)</f>
        <v>51</v>
      </c>
      <c r="G295" s="1">
        <v>37</v>
      </c>
      <c r="H295" s="12">
        <v>66</v>
      </c>
      <c r="I295" s="1" t="str">
        <f>VLOOKUP($B295&amp;"__wt",'SegEnds_Xtal_BW#'!$A:$Z,9,FALSE)</f>
        <v>-</v>
      </c>
      <c r="J295" s="1" t="str">
        <f>VLOOKUP($B295&amp;"__wt",'SegEnds_Xtal_BW#'!$A:$Z,10,FALSE)</f>
        <v>-</v>
      </c>
      <c r="K295" s="12">
        <v>24</v>
      </c>
      <c r="L295" s="1">
        <f>VLOOKUP($B295&amp;"__wt",'SegEnds_Xtal_BW#'!$A:$Z,12,FALSE)</f>
        <v>56</v>
      </c>
      <c r="M295" s="1" t="str">
        <f>VLOOKUP($B295&amp;"__wt",'SegEnds_Xtal_BW#'!$A:$Z,13,FALSE)</f>
        <v>-</v>
      </c>
      <c r="N295" s="12" t="str">
        <f>VLOOKUP($B295&amp;"__wt",'SegEnds_Xtal_BW#'!$A:$Z,14,FALSE)</f>
        <v>-</v>
      </c>
      <c r="O295" s="89">
        <f>VLOOKUP($B295&amp;"__wt",'SegEnds_Xtal_BW#'!$A:$Z,15,FALSE)</f>
        <v>38</v>
      </c>
      <c r="P295" s="1">
        <f>VLOOKUP($B295&amp;"__wt",'SegEnds_Xtal_BW#'!$A:$Z,16,FALSE)</f>
        <v>63</v>
      </c>
      <c r="Q295" s="1">
        <f>VLOOKUP($B295&amp;"__wt",'SegEnds_Xtal_BW#'!$A:$Z,17,FALSE)</f>
        <v>50</v>
      </c>
      <c r="R295" s="1">
        <f>VLOOKUP($B295&amp;"__wt",'SegEnds_Xtal_BW#'!$A:$Z,18,FALSE)</f>
        <v>52</v>
      </c>
      <c r="S295" s="1">
        <f>VLOOKUP($B295&amp;"__wt",'SegEnds_Xtal_BW#'!$A:$Z,19,FALSE)</f>
        <v>32</v>
      </c>
      <c r="T295" s="1">
        <f t="array" ref="T295">INDEX('ICL3'!$G$2:$G$40,MATCH(MIN(ABS(AH295-'ICL3'!$F$2:$F$40)),ABS(AH295-'ICL3'!$F$2:$F$40),0))</f>
        <v>68</v>
      </c>
      <c r="U295" s="1">
        <v>29</v>
      </c>
      <c r="V295" s="1">
        <v>64</v>
      </c>
      <c r="W295" s="1">
        <v>24</v>
      </c>
      <c r="X295" s="1">
        <f>VLOOKUP($B295&amp;"__wt",'SegEnds_Xtal_BW#'!$A:$Z,24,FALSE)</f>
        <v>56</v>
      </c>
      <c r="Y295" s="1">
        <f>VLOOKUP($B295&amp;"__wt",'SegEnds_Xtal_BW#'!$A:$Z,25,FALSE)</f>
        <v>47</v>
      </c>
      <c r="Z295" s="1">
        <f>VLOOKUP($B295&amp;"__wt",'SegEnds_Xtal_BW#'!$A:$Z,26,FALSE)</f>
        <v>62</v>
      </c>
      <c r="AA295" s="27" t="str">
        <f>VLOOKUP(A295,Classification!A:B,2,FALSE)</f>
        <v>A</v>
      </c>
      <c r="AB295" s="1">
        <f>VLOOKUP(A295,'SegEnds_NonXtal_Prot#'!A:AL,10,FALSE)-VLOOKUP(A295,'SegEnds_NonXtal_Prot#'!A:AL,7,FALSE)</f>
        <v>15</v>
      </c>
      <c r="AC295" s="1" t="e">
        <f>VLOOKUP(A295,'SegEnds_NonXtal_Prot#'!A:AL,13,FALSE)-VLOOKUP(A295,'SegEnds_NonXtal_Prot#'!A:AL,10,FALSE)</f>
        <v>#VALUE!</v>
      </c>
      <c r="AD295" s="1">
        <f>VLOOKUP(A295,'SegEnds_NonXtal_Prot#'!A:AL,16,FALSE)-VLOOKUP(A295,'SegEnds_NonXtal_Prot#'!A:AL,10,FALSE)</f>
        <v>50</v>
      </c>
      <c r="AE295" s="1" t="e">
        <f>VLOOKUP(A295,'SegEnds_NonXtal_Prot#'!A:AL,22,FALSE)-VLOOKUP(A295,'SegEnds_NonXtal_Prot#'!A:AL,19,FALSE)</f>
        <v>#VALUE!</v>
      </c>
      <c r="AF295" s="1">
        <f>VLOOKUP(A295,'SegEnds_NonXtal_Prot#'!A:AL,28,FALSE)-VLOOKUP(A295,'SegEnds_NonXtal_Prot#'!A:AL,25,FALSE)</f>
        <v>27</v>
      </c>
      <c r="AG295" s="1">
        <f>VLOOKUP(A295,'SegEnds_NonXtal_Prot#'!A:AL,28,FALSE)-VLOOKUP(A295,'SegEnds_NonXtal_Prot#'!A:AL,22,FALSE)</f>
        <v>48</v>
      </c>
      <c r="AH295" s="1">
        <f>VLOOKUP(A295,'SegEnds_NonXtal_Prot#'!A:AL,31,FALSE)-VLOOKUP(A295,'SegEnds_NonXtal_Prot#'!A:AL,28,FALSE)</f>
        <v>43</v>
      </c>
      <c r="AI295" s="1">
        <f>VLOOKUP(A295,'SegEnds_NonXtal_Prot#'!A:AL,34,FALSE)-VLOOKUP(A295,'SegEnds_NonXtal_Prot#'!A:AL,31,FALSE)</f>
        <v>45</v>
      </c>
      <c r="AJ295" s="1" t="str">
        <f>IF(ISERROR(MATCH(A295,'SegEnds_Xtal_Prot#'!B:B, 0)), "NoXtal", "Xtal")</f>
        <v>Xtal</v>
      </c>
    </row>
    <row r="296" spans="1:36" s="43" customFormat="1" x14ac:dyDescent="0.2">
      <c r="A296" s="43" t="s">
        <v>401</v>
      </c>
      <c r="B296" s="43" t="str">
        <f>VLOOKUP(A296,Xtal_Templ!A:B,2,FALSE)</f>
        <v>calcr_human</v>
      </c>
      <c r="C296" s="44">
        <f>VLOOKUP($B296&amp;"__wt",'SegEnds_Xtal_BW#'!$A:$Z,3,FALSE)</f>
        <v>19</v>
      </c>
      <c r="D296" s="43">
        <f>VLOOKUP($B296&amp;"__wt",'SegEnds_Xtal_BW#'!$A:$Z,4,FALSE)</f>
        <v>60</v>
      </c>
      <c r="E296" s="43">
        <f>VLOOKUP($B296&amp;"__wt",'SegEnds_Xtal_BW#'!$A:$Z,5,FALSE)</f>
        <v>48</v>
      </c>
      <c r="F296" s="43">
        <f>VLOOKUP($B296&amp;"__wt",'SegEnds_Xtal_BW#'!$A:$Z,6,FALSE)</f>
        <v>51</v>
      </c>
      <c r="G296" s="43">
        <v>37</v>
      </c>
      <c r="H296" s="120">
        <v>64</v>
      </c>
      <c r="I296" s="43" t="str">
        <f>VLOOKUP($B296&amp;"__wt",'SegEnds_Xtal_BW#'!$A:$Z,9,FALSE)</f>
        <v>-</v>
      </c>
      <c r="J296" s="43" t="str">
        <f>VLOOKUP($B296&amp;"__wt",'SegEnds_Xtal_BW#'!$A:$Z,10,FALSE)</f>
        <v>-</v>
      </c>
      <c r="K296" s="120">
        <v>21</v>
      </c>
      <c r="L296" s="43">
        <f>VLOOKUP($B296&amp;"__wt",'SegEnds_Xtal_BW#'!$A:$Z,12,FALSE)</f>
        <v>56</v>
      </c>
      <c r="M296" s="43" t="str">
        <f>VLOOKUP($B296&amp;"__wt",'SegEnds_Xtal_BW#'!$A:$Z,13,FALSE)</f>
        <v>-</v>
      </c>
      <c r="N296" s="104" t="str">
        <f>VLOOKUP($B296&amp;"__wt",'SegEnds_Xtal_BW#'!$A:$Z,14,FALSE)</f>
        <v>-</v>
      </c>
      <c r="O296" s="91">
        <f>VLOOKUP($B296&amp;"__wt",'SegEnds_Xtal_BW#'!$A:$Z,15,FALSE)</f>
        <v>41</v>
      </c>
      <c r="P296" s="43">
        <f>VLOOKUP($B296&amp;"__wt",'SegEnds_Xtal_BW#'!$A:$Z,16,FALSE)</f>
        <v>68</v>
      </c>
      <c r="Q296" s="43">
        <f>VLOOKUP($B296&amp;"__wt",'SegEnds_Xtal_BW#'!$A:$Z,17,FALSE)</f>
        <v>50</v>
      </c>
      <c r="R296" s="43">
        <f>VLOOKUP($B296&amp;"__wt",'SegEnds_Xtal_BW#'!$A:$Z,18,FALSE)</f>
        <v>52</v>
      </c>
      <c r="S296" s="120">
        <v>40</v>
      </c>
      <c r="T296" s="43">
        <f>VLOOKUP($B296&amp;"__wt",'SegEnds_Xtal_BW#'!$A:$Z,20,FALSE)</f>
        <v>70</v>
      </c>
      <c r="U296" s="43">
        <f>VLOOKUP($B296&amp;"__wt",'SegEnds_Xtal_BW#'!$A:$Z,21,FALSE)</f>
        <v>30</v>
      </c>
      <c r="V296" s="43">
        <f>VLOOKUP($B296&amp;"__wt",'SegEnds_Xtal_BW#'!$A:$Z,22,FALSE)</f>
        <v>53</v>
      </c>
      <c r="W296" s="120">
        <v>28</v>
      </c>
      <c r="X296" s="43">
        <f>VLOOKUP($B296&amp;"__wt",'SegEnds_Xtal_BW#'!$A:$Z,24,FALSE)</f>
        <v>56</v>
      </c>
      <c r="Y296" s="43">
        <f>VLOOKUP($B296&amp;"__wt",'SegEnds_Xtal_BW#'!$A:$Z,25,FALSE)</f>
        <v>47</v>
      </c>
      <c r="Z296" s="43">
        <f>VLOOKUP($B296&amp;"__wt",'SegEnds_Xtal_BW#'!$A:$Z,26,FALSE)</f>
        <v>72</v>
      </c>
      <c r="AA296" s="45" t="str">
        <f>VLOOKUP(A296,Classification!A:B,2,FALSE)</f>
        <v>B1</v>
      </c>
      <c r="AB296" s="43">
        <f>VLOOKUP(A296,'SegEnds_NonXtal_Prot#'!A:AL,10,FALSE)-VLOOKUP(A296,'SegEnds_NonXtal_Prot#'!A:AL,7,FALSE)</f>
        <v>15</v>
      </c>
      <c r="AC296" s="43" t="e">
        <f>VLOOKUP(A296,'SegEnds_NonXtal_Prot#'!A:AL,13,FALSE)-VLOOKUP(A296,'SegEnds_NonXtal_Prot#'!A:AL,10,FALSE)</f>
        <v>#VALUE!</v>
      </c>
      <c r="AD296" s="43">
        <f>VLOOKUP(A296,'SegEnds_NonXtal_Prot#'!A:AL,16,FALSE)-VLOOKUP(A296,'SegEnds_NonXtal_Prot#'!A:AL,10,FALSE)</f>
        <v>53</v>
      </c>
      <c r="AE296" s="1" t="e">
        <f>VLOOKUP(A296,'SegEnds_NonXtal_Prot#'!A:AL,22,FALSE)-VLOOKUP(A296,'SegEnds_NonXtal_Prot#'!A:AL,19,FALSE)</f>
        <v>#VALUE!</v>
      </c>
      <c r="AF296" s="43">
        <f>VLOOKUP(A296,'SegEnds_NonXtal_Prot#'!A:AL,28,FALSE)-VLOOKUP(A296,'SegEnds_NonXtal_Prot#'!A:AL,25,FALSE)</f>
        <v>19</v>
      </c>
      <c r="AG296" s="1">
        <f>VLOOKUP(A296,'SegEnds_NonXtal_Prot#'!A:AL,28,FALSE)-VLOOKUP(A296,'SegEnds_NonXtal_Prot#'!A:AL,22,FALSE)</f>
        <v>41</v>
      </c>
      <c r="AH296" s="43">
        <f>VLOOKUP(A296,'SegEnds_NonXtal_Prot#'!A:AL,31,FALSE)-VLOOKUP(A296,'SegEnds_NonXtal_Prot#'!A:AL,28,FALSE)</f>
        <v>50</v>
      </c>
      <c r="AI296" s="43">
        <f>VLOOKUP(A296,'SegEnds_NonXtal_Prot#'!A:AL,34,FALSE)-VLOOKUP(A296,'SegEnds_NonXtal_Prot#'!A:AL,31,FALSE)</f>
        <v>30</v>
      </c>
      <c r="AJ296" s="1" t="str">
        <f>IF(ISERROR(MATCH(A296,'SegEnds_Xtal_Prot#'!B:B, 0)), "NoXtal", "Xtal")</f>
        <v>Xtal</v>
      </c>
    </row>
    <row r="297" spans="1:36" x14ac:dyDescent="0.2">
      <c r="A297" s="1" t="s">
        <v>402</v>
      </c>
      <c r="B297" s="1" t="str">
        <f>VLOOKUP(A297,Xtal_Templ!A:B,2,FALSE)</f>
        <v>calcr_human</v>
      </c>
      <c r="C297" s="5">
        <f>VLOOKUP($B297&amp;"__wt",'SegEnds_Xtal_BW#'!$A:$Z,3,FALSE)</f>
        <v>19</v>
      </c>
      <c r="D297" s="1">
        <f>VLOOKUP($B297&amp;"__wt",'SegEnds_Xtal_BW#'!$A:$Z,4,FALSE)</f>
        <v>60</v>
      </c>
      <c r="E297" s="1">
        <f>VLOOKUP($B297&amp;"__wt",'SegEnds_Xtal_BW#'!$A:$Z,5,FALSE)</f>
        <v>48</v>
      </c>
      <c r="F297" s="1">
        <f>VLOOKUP($B297&amp;"__wt",'SegEnds_Xtal_BW#'!$A:$Z,6,FALSE)</f>
        <v>51</v>
      </c>
      <c r="G297" s="1">
        <v>37</v>
      </c>
      <c r="H297" s="119">
        <v>64</v>
      </c>
      <c r="I297" s="1" t="str">
        <f>VLOOKUP($B297&amp;"__wt",'SegEnds_Xtal_BW#'!$A:$Z,9,FALSE)</f>
        <v>-</v>
      </c>
      <c r="J297" s="1" t="str">
        <f>VLOOKUP($B297&amp;"__wt",'SegEnds_Xtal_BW#'!$A:$Z,10,FALSE)</f>
        <v>-</v>
      </c>
      <c r="K297" s="111">
        <v>21</v>
      </c>
      <c r="L297" s="1">
        <f>VLOOKUP($B297&amp;"__wt",'SegEnds_Xtal_BW#'!$A:$Z,12,FALSE)</f>
        <v>56</v>
      </c>
      <c r="M297" s="1" t="str">
        <f>VLOOKUP($B297&amp;"__wt",'SegEnds_Xtal_BW#'!$A:$Z,13,FALSE)</f>
        <v>-</v>
      </c>
      <c r="N297" s="12" t="str">
        <f>VLOOKUP($B297&amp;"__wt",'SegEnds_Xtal_BW#'!$A:$Z,14,FALSE)</f>
        <v>-</v>
      </c>
      <c r="O297" s="89">
        <f>VLOOKUP($B297&amp;"__wt",'SegEnds_Xtal_BW#'!$A:$Z,15,FALSE)</f>
        <v>41</v>
      </c>
      <c r="P297" s="1">
        <f>VLOOKUP($B297&amp;"__wt",'SegEnds_Xtal_BW#'!$A:$Z,16,FALSE)</f>
        <v>68</v>
      </c>
      <c r="Q297" s="1">
        <f>VLOOKUP($B297&amp;"__wt",'SegEnds_Xtal_BW#'!$A:$Z,17,FALSE)</f>
        <v>50</v>
      </c>
      <c r="R297" s="1">
        <f>VLOOKUP($B297&amp;"__wt",'SegEnds_Xtal_BW#'!$A:$Z,18,FALSE)</f>
        <v>52</v>
      </c>
      <c r="S297" s="111">
        <v>39</v>
      </c>
      <c r="T297" s="1">
        <f>VLOOKUP($B297&amp;"__wt",'SegEnds_Xtal_BW#'!$A:$Z,20,FALSE)</f>
        <v>70</v>
      </c>
      <c r="U297" s="1">
        <f>VLOOKUP($B297&amp;"__wt",'SegEnds_Xtal_BW#'!$A:$Z,21,FALSE)</f>
        <v>30</v>
      </c>
      <c r="V297" s="1">
        <f>VLOOKUP($B297&amp;"__wt",'SegEnds_Xtal_BW#'!$A:$Z,22,FALSE)</f>
        <v>53</v>
      </c>
      <c r="W297" s="111">
        <v>28</v>
      </c>
      <c r="X297" s="1">
        <f>VLOOKUP($B297&amp;"__wt",'SegEnds_Xtal_BW#'!$A:$Z,24,FALSE)</f>
        <v>56</v>
      </c>
      <c r="Y297" s="1">
        <f>VLOOKUP($B297&amp;"__wt",'SegEnds_Xtal_BW#'!$A:$Z,25,FALSE)</f>
        <v>47</v>
      </c>
      <c r="Z297" s="1">
        <f>VLOOKUP($B297&amp;"__wt",'SegEnds_Xtal_BW#'!$A:$Z,26,FALSE)</f>
        <v>72</v>
      </c>
      <c r="AA297" s="27" t="str">
        <f>VLOOKUP(A297,Classification!A:B,2,FALSE)</f>
        <v>B1</v>
      </c>
      <c r="AB297" s="1">
        <f>VLOOKUP(A297,'SegEnds_NonXtal_Prot#'!A:AL,10,FALSE)-VLOOKUP(A297,'SegEnds_NonXtal_Prot#'!A:AL,7,FALSE)</f>
        <v>15</v>
      </c>
      <c r="AC297" s="1" t="e">
        <f>VLOOKUP(A297,'SegEnds_NonXtal_Prot#'!A:AL,13,FALSE)-VLOOKUP(A297,'SegEnds_NonXtal_Prot#'!A:AL,10,FALSE)</f>
        <v>#VALUE!</v>
      </c>
      <c r="AD297" s="1">
        <f>VLOOKUP(A297,'SegEnds_NonXtal_Prot#'!A:AL,16,FALSE)-VLOOKUP(A297,'SegEnds_NonXtal_Prot#'!A:AL,10,FALSE)</f>
        <v>53</v>
      </c>
      <c r="AE297" s="1" t="e">
        <f>VLOOKUP(A297,'SegEnds_NonXtal_Prot#'!A:AL,22,FALSE)-VLOOKUP(A297,'SegEnds_NonXtal_Prot#'!A:AL,19,FALSE)</f>
        <v>#VALUE!</v>
      </c>
      <c r="AF297" s="1">
        <f>VLOOKUP(A297,'SegEnds_NonXtal_Prot#'!A:AL,28,FALSE)-VLOOKUP(A297,'SegEnds_NonXtal_Prot#'!A:AL,25,FALSE)</f>
        <v>19</v>
      </c>
      <c r="AG297" s="1">
        <f>VLOOKUP(A297,'SegEnds_NonXtal_Prot#'!A:AL,28,FALSE)-VLOOKUP(A297,'SegEnds_NonXtal_Prot#'!A:AL,22,FALSE)</f>
        <v>41</v>
      </c>
      <c r="AH297" s="1">
        <f>VLOOKUP(A297,'SegEnds_NonXtal_Prot#'!A:AL,31,FALSE)-VLOOKUP(A297,'SegEnds_NonXtal_Prot#'!A:AL,28,FALSE)</f>
        <v>50</v>
      </c>
      <c r="AI297" s="1">
        <f>VLOOKUP(A297,'SegEnds_NonXtal_Prot#'!A:AL,34,FALSE)-VLOOKUP(A297,'SegEnds_NonXtal_Prot#'!A:AL,31,FALSE)</f>
        <v>30</v>
      </c>
      <c r="AJ297" s="1" t="str">
        <f>IF(ISERROR(MATCH(A297,'SegEnds_Xtal_Prot#'!B:B, 0)), "NoXtal", "Xtal")</f>
        <v>NoXtal</v>
      </c>
    </row>
    <row r="298" spans="1:36" x14ac:dyDescent="0.2">
      <c r="A298" s="4" t="s">
        <v>38</v>
      </c>
      <c r="B298" s="4" t="str">
        <f>VLOOKUP(A298,Xtal_Templ!A:B,2,FALSE)</f>
        <v>crfr1_human</v>
      </c>
      <c r="C298" s="5">
        <f>VLOOKUP($B298&amp;"__wt",'SegEnds_Xtal_BW#'!$A:$Z,3,FALSE)</f>
        <v>19</v>
      </c>
      <c r="D298" s="4">
        <f>VLOOKUP($B298&amp;"__wt",'SegEnds_Xtal_BW#'!$A:$Z,4,FALSE)</f>
        <v>60</v>
      </c>
      <c r="E298" s="4">
        <f>VLOOKUP($B298&amp;"__wt",'SegEnds_Xtal_BW#'!$A:$Z,5,FALSE)</f>
        <v>48</v>
      </c>
      <c r="F298" s="4">
        <f>VLOOKUP($B298&amp;"__wt",'SegEnds_Xtal_BW#'!$A:$Z,6,FALSE)</f>
        <v>51</v>
      </c>
      <c r="G298" s="4">
        <v>37</v>
      </c>
      <c r="H298" s="11">
        <v>63</v>
      </c>
      <c r="I298" s="4" t="str">
        <f>VLOOKUP($B298&amp;"__wt",'SegEnds_Xtal_BW#'!$A:$Z,9,FALSE)</f>
        <v>-</v>
      </c>
      <c r="J298" s="4" t="str">
        <f>VLOOKUP($B298&amp;"__wt",'SegEnds_Xtal_BW#'!$A:$Z,10,FALSE)</f>
        <v>-</v>
      </c>
      <c r="K298" s="119">
        <v>22</v>
      </c>
      <c r="L298" s="4">
        <f>VLOOKUP($B298&amp;"__wt",'SegEnds_Xtal_BW#'!$A:$Z,12,FALSE)</f>
        <v>56</v>
      </c>
      <c r="M298" s="4" t="str">
        <f>VLOOKUP($B298&amp;"__wt",'SegEnds_Xtal_BW#'!$A:$Z,13,FALSE)</f>
        <v>-</v>
      </c>
      <c r="N298" s="11" t="str">
        <f>VLOOKUP($B298&amp;"__wt",'SegEnds_Xtal_BW#'!$A:$Z,14,FALSE)</f>
        <v>-</v>
      </c>
      <c r="O298" s="90">
        <f>VLOOKUP($B298&amp;"__wt",'SegEnds_Xtal_BW#'!$A:$Z,15,FALSE)</f>
        <v>40</v>
      </c>
      <c r="P298" s="4">
        <f>VLOOKUP($B298&amp;"__wt",'SegEnds_Xtal_BW#'!$A:$Z,16,FALSE)</f>
        <v>68</v>
      </c>
      <c r="Q298" s="4">
        <f>VLOOKUP($B298&amp;"__wt",'SegEnds_Xtal_BW#'!$A:$Z,17,FALSE)</f>
        <v>50</v>
      </c>
      <c r="R298" s="4">
        <f>VLOOKUP($B298&amp;"__wt",'SegEnds_Xtal_BW#'!$A:$Z,18,FALSE)</f>
        <v>52</v>
      </c>
      <c r="S298" s="111">
        <v>39</v>
      </c>
      <c r="T298" s="4">
        <f>VLOOKUP($B298&amp;"__wt",'SegEnds_Xtal_BW#'!$A:$Z,20,FALSE)</f>
        <v>69</v>
      </c>
      <c r="U298" s="4">
        <f>VLOOKUP($B298&amp;"__wt",'SegEnds_Xtal_BW#'!$A:$Z,21,FALSE)</f>
        <v>25</v>
      </c>
      <c r="V298" s="4">
        <f>VLOOKUP($B298&amp;"__wt",'SegEnds_Xtal_BW#'!$A:$Z,22,FALSE)</f>
        <v>53</v>
      </c>
      <c r="W298" s="4">
        <v>29</v>
      </c>
      <c r="X298" s="4">
        <f>VLOOKUP($B298&amp;"__wt",'SegEnds_Xtal_BW#'!$A:$Z,24,FALSE)</f>
        <v>56</v>
      </c>
      <c r="Y298" s="4">
        <f>VLOOKUP($B298&amp;"__wt",'SegEnds_Xtal_BW#'!$A:$Z,25,FALSE)</f>
        <v>47</v>
      </c>
      <c r="Z298" s="4">
        <f>VLOOKUP($B298&amp;"__wt",'SegEnds_Xtal_BW#'!$A:$Z,26,FALSE)</f>
        <v>72</v>
      </c>
      <c r="AA298" s="27" t="str">
        <f>VLOOKUP(A298,Classification!A:B,2,FALSE)</f>
        <v>B1</v>
      </c>
      <c r="AB298" s="4">
        <f>VLOOKUP(A298,'SegEnds_NonXtal_Prot#'!A:AL,10,FALSE)-VLOOKUP(A298,'SegEnds_NonXtal_Prot#'!A:AL,7,FALSE)</f>
        <v>15</v>
      </c>
      <c r="AC298" s="4" t="e">
        <f>VLOOKUP(A298,'SegEnds_NonXtal_Prot#'!A:AL,13,FALSE)-VLOOKUP(A298,'SegEnds_NonXtal_Prot#'!A:AL,10,FALSE)</f>
        <v>#VALUE!</v>
      </c>
      <c r="AD298" s="4">
        <f>VLOOKUP(A298,'SegEnds_NonXtal_Prot#'!A:AL,16,FALSE)-VLOOKUP(A298,'SegEnds_NonXtal_Prot#'!A:AL,10,FALSE)</f>
        <v>51</v>
      </c>
      <c r="AE298" s="1" t="e">
        <f>VLOOKUP(A298,'SegEnds_NonXtal_Prot#'!A:AL,22,FALSE)-VLOOKUP(A298,'SegEnds_NonXtal_Prot#'!A:AL,19,FALSE)</f>
        <v>#VALUE!</v>
      </c>
      <c r="AF298" s="4">
        <f>VLOOKUP(A298,'SegEnds_NonXtal_Prot#'!A:AL,28,FALSE)-VLOOKUP(A298,'SegEnds_NonXtal_Prot#'!A:AL,25,FALSE)</f>
        <v>21</v>
      </c>
      <c r="AG298" s="1">
        <f>VLOOKUP(A298,'SegEnds_NonXtal_Prot#'!A:AL,28,FALSE)-VLOOKUP(A298,'SegEnds_NonXtal_Prot#'!A:AL,22,FALSE)</f>
        <v>43</v>
      </c>
      <c r="AH298" s="4">
        <f>VLOOKUP(A298,'SegEnds_NonXtal_Prot#'!A:AL,31,FALSE)-VLOOKUP(A298,'SegEnds_NonXtal_Prot#'!A:AL,28,FALSE)</f>
        <v>50</v>
      </c>
      <c r="AI298" s="4">
        <f>VLOOKUP(A298,'SegEnds_NonXtal_Prot#'!A:AL,34,FALSE)-VLOOKUP(A298,'SegEnds_NonXtal_Prot#'!A:AL,31,FALSE)</f>
        <v>31</v>
      </c>
      <c r="AJ298" s="1" t="str">
        <f>IF(ISERROR(MATCH(A298,'SegEnds_Xtal_Prot#'!B:B, 0)), "NoXtal", "Xtal")</f>
        <v>Xtal</v>
      </c>
    </row>
    <row r="299" spans="1:36" x14ac:dyDescent="0.2">
      <c r="A299" s="4" t="s">
        <v>403</v>
      </c>
      <c r="B299" s="4" t="str">
        <f>VLOOKUP(A299,Xtal_Templ!A:B,2,FALSE)</f>
        <v>crfr1_human</v>
      </c>
      <c r="C299" s="5">
        <f>VLOOKUP($B299&amp;"__wt",'SegEnds_Xtal_BW#'!$A:$Z,3,FALSE)</f>
        <v>19</v>
      </c>
      <c r="D299" s="4">
        <f>VLOOKUP($B299&amp;"__wt",'SegEnds_Xtal_BW#'!$A:$Z,4,FALSE)</f>
        <v>60</v>
      </c>
      <c r="E299" s="4">
        <f>VLOOKUP($B299&amp;"__wt",'SegEnds_Xtal_BW#'!$A:$Z,5,FALSE)</f>
        <v>48</v>
      </c>
      <c r="F299" s="4">
        <f>VLOOKUP($B299&amp;"__wt",'SegEnds_Xtal_BW#'!$A:$Z,6,FALSE)</f>
        <v>51</v>
      </c>
      <c r="G299" s="4">
        <v>37</v>
      </c>
      <c r="H299" s="11">
        <v>63</v>
      </c>
      <c r="I299" s="4" t="str">
        <f>VLOOKUP($B299&amp;"__wt",'SegEnds_Xtal_BW#'!$A:$Z,9,FALSE)</f>
        <v>-</v>
      </c>
      <c r="J299" s="4" t="str">
        <f>VLOOKUP($B299&amp;"__wt",'SegEnds_Xtal_BW#'!$A:$Z,10,FALSE)</f>
        <v>-</v>
      </c>
      <c r="K299" s="119">
        <v>22</v>
      </c>
      <c r="L299" s="4">
        <f>VLOOKUP($B299&amp;"__wt",'SegEnds_Xtal_BW#'!$A:$Z,12,FALSE)</f>
        <v>56</v>
      </c>
      <c r="M299" s="4" t="str">
        <f>VLOOKUP($B299&amp;"__wt",'SegEnds_Xtal_BW#'!$A:$Z,13,FALSE)</f>
        <v>-</v>
      </c>
      <c r="N299" s="11" t="str">
        <f>VLOOKUP($B299&amp;"__wt",'SegEnds_Xtal_BW#'!$A:$Z,14,FALSE)</f>
        <v>-</v>
      </c>
      <c r="O299" s="90">
        <f>VLOOKUP($B299&amp;"__wt",'SegEnds_Xtal_BW#'!$A:$Z,15,FALSE)</f>
        <v>40</v>
      </c>
      <c r="P299" s="4">
        <f>VLOOKUP($B299&amp;"__wt",'SegEnds_Xtal_BW#'!$A:$Z,16,FALSE)</f>
        <v>68</v>
      </c>
      <c r="Q299" s="4">
        <f>VLOOKUP($B299&amp;"__wt",'SegEnds_Xtal_BW#'!$A:$Z,17,FALSE)</f>
        <v>50</v>
      </c>
      <c r="R299" s="4">
        <f>VLOOKUP($B299&amp;"__wt",'SegEnds_Xtal_BW#'!$A:$Z,18,FALSE)</f>
        <v>52</v>
      </c>
      <c r="S299" s="119">
        <v>39</v>
      </c>
      <c r="T299" s="4">
        <f>VLOOKUP($B299&amp;"__wt",'SegEnds_Xtal_BW#'!$A:$Z,20,FALSE)</f>
        <v>69</v>
      </c>
      <c r="U299" s="4">
        <f>VLOOKUP($B299&amp;"__wt",'SegEnds_Xtal_BW#'!$A:$Z,21,FALSE)</f>
        <v>25</v>
      </c>
      <c r="V299" s="4">
        <f>VLOOKUP($B299&amp;"__wt",'SegEnds_Xtal_BW#'!$A:$Z,22,FALSE)</f>
        <v>53</v>
      </c>
      <c r="W299" s="4">
        <v>29</v>
      </c>
      <c r="X299" s="4">
        <f>VLOOKUP($B299&amp;"__wt",'SegEnds_Xtal_BW#'!$A:$Z,24,FALSE)</f>
        <v>56</v>
      </c>
      <c r="Y299" s="4">
        <f>VLOOKUP($B299&amp;"__wt",'SegEnds_Xtal_BW#'!$A:$Z,25,FALSE)</f>
        <v>47</v>
      </c>
      <c r="Z299" s="4">
        <f>VLOOKUP($B299&amp;"__wt",'SegEnds_Xtal_BW#'!$A:$Z,26,FALSE)</f>
        <v>72</v>
      </c>
      <c r="AA299" s="27" t="str">
        <f>VLOOKUP(A299,Classification!A:B,2,FALSE)</f>
        <v>B1</v>
      </c>
      <c r="AB299" s="4">
        <f>VLOOKUP(A299,'SegEnds_NonXtal_Prot#'!A:AL,10,FALSE)-VLOOKUP(A299,'SegEnds_NonXtal_Prot#'!A:AL,7,FALSE)</f>
        <v>15</v>
      </c>
      <c r="AC299" s="4" t="e">
        <f>VLOOKUP(A299,'SegEnds_NonXtal_Prot#'!A:AL,13,FALSE)-VLOOKUP(A299,'SegEnds_NonXtal_Prot#'!A:AL,10,FALSE)</f>
        <v>#VALUE!</v>
      </c>
      <c r="AD299" s="4">
        <f>VLOOKUP(A299,'SegEnds_NonXtal_Prot#'!A:AL,16,FALSE)-VLOOKUP(A299,'SegEnds_NonXtal_Prot#'!A:AL,10,FALSE)</f>
        <v>50</v>
      </c>
      <c r="AE299" s="1" t="e">
        <f>VLOOKUP(A299,'SegEnds_NonXtal_Prot#'!A:AL,22,FALSE)-VLOOKUP(A299,'SegEnds_NonXtal_Prot#'!A:AL,19,FALSE)</f>
        <v>#VALUE!</v>
      </c>
      <c r="AF299" s="4">
        <f>VLOOKUP(A299,'SegEnds_NonXtal_Prot#'!A:AL,28,FALSE)-VLOOKUP(A299,'SegEnds_NonXtal_Prot#'!A:AL,25,FALSE)</f>
        <v>21</v>
      </c>
      <c r="AG299" s="1">
        <f>VLOOKUP(A299,'SegEnds_NonXtal_Prot#'!A:AL,28,FALSE)-VLOOKUP(A299,'SegEnds_NonXtal_Prot#'!A:AL,22,FALSE)</f>
        <v>43</v>
      </c>
      <c r="AH299" s="4">
        <f>VLOOKUP(A299,'SegEnds_NonXtal_Prot#'!A:AL,31,FALSE)-VLOOKUP(A299,'SegEnds_NonXtal_Prot#'!A:AL,28,FALSE)</f>
        <v>50</v>
      </c>
      <c r="AI299" s="4">
        <f>VLOOKUP(A299,'SegEnds_NonXtal_Prot#'!A:AL,34,FALSE)-VLOOKUP(A299,'SegEnds_NonXtal_Prot#'!A:AL,31,FALSE)</f>
        <v>31</v>
      </c>
      <c r="AJ299" s="1" t="str">
        <f>IF(ISERROR(MATCH(A299,'SegEnds_Xtal_Prot#'!B:B, 0)), "NoXtal", "Xtal")</f>
        <v>NoXtal</v>
      </c>
    </row>
    <row r="300" spans="1:36" x14ac:dyDescent="0.2">
      <c r="A300" s="4" t="s">
        <v>404</v>
      </c>
      <c r="B300" s="4" t="str">
        <f>VLOOKUP(A300,Xtal_Templ!A:B,2,FALSE)</f>
        <v>glr_human</v>
      </c>
      <c r="C300" s="5">
        <f>VLOOKUP($B300&amp;"__wt",'SegEnds_Xtal_BW#'!$A:$Z,3,FALSE)</f>
        <v>25</v>
      </c>
      <c r="D300" s="4">
        <f>VLOOKUP($B300&amp;"__wt",'SegEnds_Xtal_BW#'!$A:$Z,4,FALSE)</f>
        <v>60</v>
      </c>
      <c r="E300" s="4">
        <f>VLOOKUP($B300&amp;"__wt",'SegEnds_Xtal_BW#'!$A:$Z,5,FALSE)</f>
        <v>48</v>
      </c>
      <c r="F300" s="4">
        <f>VLOOKUP($B300&amp;"__wt",'SegEnds_Xtal_BW#'!$A:$Z,6,FALSE)</f>
        <v>51</v>
      </c>
      <c r="G300" s="4">
        <v>37</v>
      </c>
      <c r="H300" s="119">
        <v>64</v>
      </c>
      <c r="I300" s="4" t="str">
        <f>VLOOKUP($B300&amp;"__wt",'SegEnds_Xtal_BW#'!$A:$Z,9,FALSE)</f>
        <v>-</v>
      </c>
      <c r="J300" s="4" t="str">
        <f>VLOOKUP($B300&amp;"__wt",'SegEnds_Xtal_BW#'!$A:$Z,10,FALSE)</f>
        <v>-</v>
      </c>
      <c r="K300" s="119">
        <v>21</v>
      </c>
      <c r="L300" s="4">
        <f>VLOOKUP($B300&amp;"__wt",'SegEnds_Xtal_BW#'!$A:$Z,12,FALSE)</f>
        <v>56</v>
      </c>
      <c r="M300" s="4" t="str">
        <f>VLOOKUP($B300&amp;"__wt",'SegEnds_Xtal_BW#'!$A:$Z,13,FALSE)</f>
        <v>-</v>
      </c>
      <c r="N300" s="11" t="str">
        <f>VLOOKUP($B300&amp;"__wt",'SegEnds_Xtal_BW#'!$A:$Z,14,FALSE)</f>
        <v>-</v>
      </c>
      <c r="O300" s="90">
        <f>VLOOKUP($B300&amp;"__wt",'SegEnds_Xtal_BW#'!$A:$Z,15,FALSE)</f>
        <v>40</v>
      </c>
      <c r="P300" s="4">
        <f>VLOOKUP($B300&amp;"__wt",'SegEnds_Xtal_BW#'!$A:$Z,16,FALSE)</f>
        <v>68</v>
      </c>
      <c r="Q300" s="4">
        <f>VLOOKUP($B300&amp;"__wt",'SegEnds_Xtal_BW#'!$A:$Z,17,FALSE)</f>
        <v>50</v>
      </c>
      <c r="R300" s="4">
        <f>VLOOKUP($B300&amp;"__wt",'SegEnds_Xtal_BW#'!$A:$Z,18,FALSE)</f>
        <v>52</v>
      </c>
      <c r="S300" s="111">
        <v>39</v>
      </c>
      <c r="T300" s="4">
        <v>69</v>
      </c>
      <c r="U300" s="4">
        <v>25</v>
      </c>
      <c r="V300" s="4">
        <f>VLOOKUP($B300&amp;"__wt",'SegEnds_Xtal_BW#'!$A:$Z,22,FALSE)</f>
        <v>53</v>
      </c>
      <c r="W300" s="4">
        <v>31</v>
      </c>
      <c r="X300" s="4">
        <f>VLOOKUP($B300&amp;"__wt",'SegEnds_Xtal_BW#'!$A:$Z,24,FALSE)</f>
        <v>56</v>
      </c>
      <c r="Y300" s="4">
        <f>VLOOKUP($B300&amp;"__wt",'SegEnds_Xtal_BW#'!$A:$Z,25,FALSE)</f>
        <v>47</v>
      </c>
      <c r="Z300" s="4">
        <f>VLOOKUP($B300&amp;"__wt",'SegEnds_Xtal_BW#'!$A:$Z,26,FALSE)</f>
        <v>72</v>
      </c>
      <c r="AA300" s="27" t="str">
        <f>VLOOKUP(A300,Classification!A:B,2,FALSE)</f>
        <v>B1</v>
      </c>
      <c r="AB300" s="4">
        <f>VLOOKUP(A300,'SegEnds_NonXtal_Prot#'!A:AL,10,FALSE)-VLOOKUP(A300,'SegEnds_NonXtal_Prot#'!A:AL,7,FALSE)</f>
        <v>15</v>
      </c>
      <c r="AC300" s="4" t="e">
        <f>VLOOKUP(A300,'SegEnds_NonXtal_Prot#'!A:AL,13,FALSE)-VLOOKUP(A300,'SegEnds_NonXtal_Prot#'!A:AL,10,FALSE)</f>
        <v>#VALUE!</v>
      </c>
      <c r="AD300" s="4">
        <f>VLOOKUP(A300,'SegEnds_NonXtal_Prot#'!A:AL,16,FALSE)-VLOOKUP(A300,'SegEnds_NonXtal_Prot#'!A:AL,10,FALSE)</f>
        <v>55</v>
      </c>
      <c r="AE300" s="1" t="e">
        <f>VLOOKUP(A300,'SegEnds_NonXtal_Prot#'!A:AL,22,FALSE)-VLOOKUP(A300,'SegEnds_NonXtal_Prot#'!A:AL,19,FALSE)</f>
        <v>#VALUE!</v>
      </c>
      <c r="AF300" s="4">
        <f>VLOOKUP(A300,'SegEnds_NonXtal_Prot#'!A:AL,28,FALSE)-VLOOKUP(A300,'SegEnds_NonXtal_Prot#'!A:AL,25,FALSE)</f>
        <v>20</v>
      </c>
      <c r="AG300" s="1">
        <f>VLOOKUP(A300,'SegEnds_NonXtal_Prot#'!A:AL,28,FALSE)-VLOOKUP(A300,'SegEnds_NonXtal_Prot#'!A:AL,22,FALSE)</f>
        <v>42</v>
      </c>
      <c r="AH300" s="4">
        <f>VLOOKUP(A300,'SegEnds_NonXtal_Prot#'!A:AL,31,FALSE)-VLOOKUP(A300,'SegEnds_NonXtal_Prot#'!A:AL,28,FALSE)</f>
        <v>52</v>
      </c>
      <c r="AI300" s="4">
        <f>VLOOKUP(A300,'SegEnds_NonXtal_Prot#'!A:AL,34,FALSE)-VLOOKUP(A300,'SegEnds_NonXtal_Prot#'!A:AL,31,FALSE)</f>
        <v>29</v>
      </c>
      <c r="AJ300" s="1" t="str">
        <f>IF(ISERROR(MATCH(A300,'SegEnds_Xtal_Prot#'!B:B, 0)), "NoXtal", "Xtal")</f>
        <v>NoXtal</v>
      </c>
    </row>
    <row r="301" spans="1:36" x14ac:dyDescent="0.2">
      <c r="A301" s="4" t="s">
        <v>405</v>
      </c>
      <c r="B301" s="4" t="str">
        <f>VLOOKUP(A301,Xtal_Templ!A:B,2,FALSE)</f>
        <v>glr_human</v>
      </c>
      <c r="C301" s="5">
        <f>VLOOKUP($B301&amp;"__wt",'SegEnds_Xtal_BW#'!$A:$Z,3,FALSE)</f>
        <v>25</v>
      </c>
      <c r="D301" s="4">
        <f>VLOOKUP($B301&amp;"__wt",'SegEnds_Xtal_BW#'!$A:$Z,4,FALSE)</f>
        <v>60</v>
      </c>
      <c r="E301" s="4">
        <f>VLOOKUP($B301&amp;"__wt",'SegEnds_Xtal_BW#'!$A:$Z,5,FALSE)</f>
        <v>48</v>
      </c>
      <c r="F301" s="4">
        <f>VLOOKUP($B301&amp;"__wt",'SegEnds_Xtal_BW#'!$A:$Z,6,FALSE)</f>
        <v>51</v>
      </c>
      <c r="G301" s="4">
        <v>37</v>
      </c>
      <c r="H301" s="119">
        <v>64</v>
      </c>
      <c r="I301" s="4" t="str">
        <f>VLOOKUP($B301&amp;"__wt",'SegEnds_Xtal_BW#'!$A:$Z,9,FALSE)</f>
        <v>-</v>
      </c>
      <c r="J301" s="4" t="str">
        <f>VLOOKUP($B301&amp;"__wt",'SegEnds_Xtal_BW#'!$A:$Z,10,FALSE)</f>
        <v>-</v>
      </c>
      <c r="K301" s="119">
        <v>23</v>
      </c>
      <c r="L301" s="4">
        <f>VLOOKUP($B301&amp;"__wt",'SegEnds_Xtal_BW#'!$A:$Z,12,FALSE)</f>
        <v>56</v>
      </c>
      <c r="M301" s="4" t="str">
        <f>VLOOKUP($B301&amp;"__wt",'SegEnds_Xtal_BW#'!$A:$Z,13,FALSE)</f>
        <v>-</v>
      </c>
      <c r="N301" s="11" t="str">
        <f>VLOOKUP($B301&amp;"__wt",'SegEnds_Xtal_BW#'!$A:$Z,14,FALSE)</f>
        <v>-</v>
      </c>
      <c r="O301" s="90">
        <f>VLOOKUP($B301&amp;"__wt",'SegEnds_Xtal_BW#'!$A:$Z,15,FALSE)</f>
        <v>40</v>
      </c>
      <c r="P301" s="4">
        <f>VLOOKUP($B301&amp;"__wt",'SegEnds_Xtal_BW#'!$A:$Z,16,FALSE)</f>
        <v>68</v>
      </c>
      <c r="Q301" s="4">
        <f>VLOOKUP($B301&amp;"__wt",'SegEnds_Xtal_BW#'!$A:$Z,17,FALSE)</f>
        <v>50</v>
      </c>
      <c r="R301" s="4">
        <f>VLOOKUP($B301&amp;"__wt",'SegEnds_Xtal_BW#'!$A:$Z,18,FALSE)</f>
        <v>52</v>
      </c>
      <c r="S301" s="111">
        <v>39</v>
      </c>
      <c r="T301" s="4">
        <f>VLOOKUP($B301&amp;"__wt",'SegEnds_Xtal_BW#'!$A:$Z,20,FALSE)</f>
        <v>71</v>
      </c>
      <c r="U301" s="119">
        <v>28</v>
      </c>
      <c r="V301" s="4">
        <f>VLOOKUP($B301&amp;"__wt",'SegEnds_Xtal_BW#'!$A:$Z,22,FALSE)</f>
        <v>53</v>
      </c>
      <c r="W301" s="4">
        <v>27</v>
      </c>
      <c r="X301" s="4">
        <f>VLOOKUP($B301&amp;"__wt",'SegEnds_Xtal_BW#'!$A:$Z,24,FALSE)</f>
        <v>56</v>
      </c>
      <c r="Y301" s="4">
        <f>VLOOKUP($B301&amp;"__wt",'SegEnds_Xtal_BW#'!$A:$Z,25,FALSE)</f>
        <v>47</v>
      </c>
      <c r="Z301" s="4">
        <f>VLOOKUP($B301&amp;"__wt",'SegEnds_Xtal_BW#'!$A:$Z,26,FALSE)</f>
        <v>72</v>
      </c>
      <c r="AA301" s="27" t="str">
        <f>VLOOKUP(A301,Classification!A:B,2,FALSE)</f>
        <v>B1</v>
      </c>
      <c r="AB301" s="4">
        <f>VLOOKUP(A301,'SegEnds_NonXtal_Prot#'!A:AL,10,FALSE)-VLOOKUP(A301,'SegEnds_NonXtal_Prot#'!A:AL,7,FALSE)</f>
        <v>15</v>
      </c>
      <c r="AC301" s="4" t="e">
        <f>VLOOKUP(A301,'SegEnds_NonXtal_Prot#'!A:AL,13,FALSE)-VLOOKUP(A301,'SegEnds_NonXtal_Prot#'!A:AL,10,FALSE)</f>
        <v>#VALUE!</v>
      </c>
      <c r="AD301" s="4">
        <f>VLOOKUP(A301,'SegEnds_NonXtal_Prot#'!A:AL,16,FALSE)-VLOOKUP(A301,'SegEnds_NonXtal_Prot#'!A:AL,10,FALSE)</f>
        <v>61</v>
      </c>
      <c r="AE301" s="1" t="e">
        <f>VLOOKUP(A301,'SegEnds_NonXtal_Prot#'!A:AL,22,FALSE)-VLOOKUP(A301,'SegEnds_NonXtal_Prot#'!A:AL,19,FALSE)</f>
        <v>#VALUE!</v>
      </c>
      <c r="AF301" s="4">
        <f>VLOOKUP(A301,'SegEnds_NonXtal_Prot#'!A:AL,28,FALSE)-VLOOKUP(A301,'SegEnds_NonXtal_Prot#'!A:AL,25,FALSE)</f>
        <v>20</v>
      </c>
      <c r="AG301" s="1">
        <f>VLOOKUP(A301,'SegEnds_NonXtal_Prot#'!A:AL,28,FALSE)-VLOOKUP(A301,'SegEnds_NonXtal_Prot#'!A:AL,22,FALSE)</f>
        <v>42</v>
      </c>
      <c r="AH301" s="4">
        <f>VLOOKUP(A301,'SegEnds_NonXtal_Prot#'!A:AL,31,FALSE)-VLOOKUP(A301,'SegEnds_NonXtal_Prot#'!A:AL,28,FALSE)</f>
        <v>50</v>
      </c>
      <c r="AI301" s="4">
        <f>VLOOKUP(A301,'SegEnds_NonXtal_Prot#'!A:AL,34,FALSE)-VLOOKUP(A301,'SegEnds_NonXtal_Prot#'!A:AL,31,FALSE)</f>
        <v>33</v>
      </c>
      <c r="AJ301" s="1" t="str">
        <f>IF(ISERROR(MATCH(A301,'SegEnds_Xtal_Prot#'!B:B, 0)), "NoXtal", "Xtal")</f>
        <v>NoXtal</v>
      </c>
    </row>
    <row r="302" spans="1:36" x14ac:dyDescent="0.2">
      <c r="A302" s="1" t="s">
        <v>406</v>
      </c>
      <c r="B302" s="1" t="str">
        <f>VLOOKUP(A302,Xtal_Templ!A:B,2,FALSE)</f>
        <v>glp1r_human</v>
      </c>
      <c r="C302" s="5">
        <f>VLOOKUP($B302&amp;"__wt",'SegEnds_Xtal_BW#'!$A:$Z,3,FALSE)</f>
        <v>29</v>
      </c>
      <c r="D302" s="1">
        <f>VLOOKUP($B302&amp;"__wt",'SegEnds_Xtal_BW#'!$A:$Z,4,FALSE)</f>
        <v>60</v>
      </c>
      <c r="E302" s="1">
        <f>VLOOKUP($B302&amp;"__wt",'SegEnds_Xtal_BW#'!$A:$Z,5,FALSE)</f>
        <v>48</v>
      </c>
      <c r="F302" s="1">
        <f>VLOOKUP($B302&amp;"__wt",'SegEnds_Xtal_BW#'!$A:$Z,6,FALSE)</f>
        <v>51</v>
      </c>
      <c r="G302" s="1">
        <v>37</v>
      </c>
      <c r="H302" s="111">
        <v>64</v>
      </c>
      <c r="I302" s="1" t="str">
        <f>VLOOKUP($B302&amp;"__wt",'SegEnds_Xtal_BW#'!$A:$Z,9,FALSE)</f>
        <v>-</v>
      </c>
      <c r="J302" s="1" t="str">
        <f>VLOOKUP($B302&amp;"__wt",'SegEnds_Xtal_BW#'!$A:$Z,10,FALSE)</f>
        <v>-</v>
      </c>
      <c r="K302" s="111">
        <v>23</v>
      </c>
      <c r="L302" s="1">
        <f>VLOOKUP($B302&amp;"__wt",'SegEnds_Xtal_BW#'!$A:$Z,12,FALSE)</f>
        <v>56</v>
      </c>
      <c r="M302" s="1" t="str">
        <f>VLOOKUP($B302&amp;"__wt",'SegEnds_Xtal_BW#'!$A:$Z,13,FALSE)</f>
        <v>-</v>
      </c>
      <c r="N302" s="12" t="str">
        <f>VLOOKUP($B302&amp;"__wt",'SegEnds_Xtal_BW#'!$A:$Z,14,FALSE)</f>
        <v>-</v>
      </c>
      <c r="O302" s="89">
        <f>VLOOKUP($B302&amp;"__wt",'SegEnds_Xtal_BW#'!$A:$Z,15,FALSE)</f>
        <v>38</v>
      </c>
      <c r="P302" s="1">
        <f>VLOOKUP($B302&amp;"__wt",'SegEnds_Xtal_BW#'!$A:$Z,16,FALSE)</f>
        <v>68</v>
      </c>
      <c r="Q302" s="1">
        <f>VLOOKUP($B302&amp;"__wt",'SegEnds_Xtal_BW#'!$A:$Z,17,FALSE)</f>
        <v>50</v>
      </c>
      <c r="R302" s="1">
        <f>VLOOKUP($B302&amp;"__wt",'SegEnds_Xtal_BW#'!$A:$Z,18,FALSE)</f>
        <v>52</v>
      </c>
      <c r="S302" s="111">
        <v>39</v>
      </c>
      <c r="T302" s="1">
        <f>VLOOKUP($B302&amp;"__wt",'SegEnds_Xtal_BW#'!$A:$Z,20,FALSE)</f>
        <v>71</v>
      </c>
      <c r="U302" s="1">
        <f>VLOOKUP($B302&amp;"__wt",'SegEnds_Xtal_BW#'!$A:$Z,21,FALSE)</f>
        <v>28</v>
      </c>
      <c r="V302" s="1">
        <f>VLOOKUP($B302&amp;"__wt",'SegEnds_Xtal_BW#'!$A:$Z,22,FALSE)</f>
        <v>58</v>
      </c>
      <c r="W302" s="1">
        <v>27</v>
      </c>
      <c r="X302" s="1">
        <f>VLOOKUP($B302&amp;"__wt",'SegEnds_Xtal_BW#'!$A:$Z,24,FALSE)</f>
        <v>56</v>
      </c>
      <c r="Y302" s="1">
        <f>VLOOKUP($B302&amp;"__wt",'SegEnds_Xtal_BW#'!$A:$Z,25,FALSE)</f>
        <v>47</v>
      </c>
      <c r="Z302" s="1">
        <f>VLOOKUP($B302&amp;"__wt",'SegEnds_Xtal_BW#'!$A:$Z,26,FALSE)</f>
        <v>72</v>
      </c>
      <c r="AA302" s="27" t="str">
        <f>VLOOKUP(A302,Classification!A:B,2,FALSE)</f>
        <v>B1</v>
      </c>
      <c r="AB302" s="1">
        <f>VLOOKUP(A302,'SegEnds_NonXtal_Prot#'!A:AL,10,FALSE)-VLOOKUP(A302,'SegEnds_NonXtal_Prot#'!A:AL,7,FALSE)</f>
        <v>15</v>
      </c>
      <c r="AC302" s="1" t="e">
        <f>VLOOKUP(A302,'SegEnds_NonXtal_Prot#'!A:AL,13,FALSE)-VLOOKUP(A302,'SegEnds_NonXtal_Prot#'!A:AL,10,FALSE)</f>
        <v>#VALUE!</v>
      </c>
      <c r="AD302" s="1">
        <f>VLOOKUP(A302,'SegEnds_NonXtal_Prot#'!A:AL,16,FALSE)-VLOOKUP(A302,'SegEnds_NonXtal_Prot#'!A:AL,10,FALSE)</f>
        <v>64</v>
      </c>
      <c r="AE302" s="1" t="e">
        <f>VLOOKUP(A302,'SegEnds_NonXtal_Prot#'!A:AL,22,FALSE)-VLOOKUP(A302,'SegEnds_NonXtal_Prot#'!A:AL,19,FALSE)</f>
        <v>#VALUE!</v>
      </c>
      <c r="AF302" s="1">
        <f>VLOOKUP(A302,'SegEnds_NonXtal_Prot#'!A:AL,28,FALSE)-VLOOKUP(A302,'SegEnds_NonXtal_Prot#'!A:AL,25,FALSE)</f>
        <v>20</v>
      </c>
      <c r="AG302" s="1">
        <f>VLOOKUP(A302,'SegEnds_NonXtal_Prot#'!A:AL,28,FALSE)-VLOOKUP(A302,'SegEnds_NonXtal_Prot#'!A:AL,22,FALSE)</f>
        <v>42</v>
      </c>
      <c r="AH302" s="1">
        <f>VLOOKUP(A302,'SegEnds_NonXtal_Prot#'!A:AL,31,FALSE)-VLOOKUP(A302,'SegEnds_NonXtal_Prot#'!A:AL,28,FALSE)</f>
        <v>50</v>
      </c>
      <c r="AI302" s="1">
        <f>VLOOKUP(A302,'SegEnds_NonXtal_Prot#'!A:AL,34,FALSE)-VLOOKUP(A302,'SegEnds_NonXtal_Prot#'!A:AL,31,FALSE)</f>
        <v>33</v>
      </c>
      <c r="AJ302" s="1" t="str">
        <f>IF(ISERROR(MATCH(A302,'SegEnds_Xtal_Prot#'!B:B, 0)), "NoXtal", "Xtal")</f>
        <v>Xtal</v>
      </c>
    </row>
    <row r="303" spans="1:36" x14ac:dyDescent="0.2">
      <c r="A303" s="4" t="s">
        <v>407</v>
      </c>
      <c r="B303" s="4" t="str">
        <f>VLOOKUP(A303,Xtal_Templ!A:B,2,FALSE)</f>
        <v>glr_human</v>
      </c>
      <c r="C303" s="5">
        <f>VLOOKUP($B303&amp;"__wt",'SegEnds_Xtal_BW#'!$A:$Z,3,FALSE)</f>
        <v>25</v>
      </c>
      <c r="D303" s="4">
        <f>VLOOKUP($B303&amp;"__wt",'SegEnds_Xtal_BW#'!$A:$Z,4,FALSE)</f>
        <v>60</v>
      </c>
      <c r="E303" s="4">
        <f>VLOOKUP($B303&amp;"__wt",'SegEnds_Xtal_BW#'!$A:$Z,5,FALSE)</f>
        <v>48</v>
      </c>
      <c r="F303" s="4">
        <f>VLOOKUP($B303&amp;"__wt",'SegEnds_Xtal_BW#'!$A:$Z,6,FALSE)</f>
        <v>51</v>
      </c>
      <c r="G303" s="4">
        <v>37</v>
      </c>
      <c r="H303" s="119">
        <v>64</v>
      </c>
      <c r="I303" s="4" t="str">
        <f>VLOOKUP($B303&amp;"__wt",'SegEnds_Xtal_BW#'!$A:$Z,9,FALSE)</f>
        <v>-</v>
      </c>
      <c r="J303" s="4" t="str">
        <f>VLOOKUP($B303&amp;"__wt",'SegEnds_Xtal_BW#'!$A:$Z,10,FALSE)</f>
        <v>-</v>
      </c>
      <c r="K303" s="119">
        <v>23</v>
      </c>
      <c r="L303" s="4">
        <f>VLOOKUP($B303&amp;"__wt",'SegEnds_Xtal_BW#'!$A:$Z,12,FALSE)</f>
        <v>56</v>
      </c>
      <c r="M303" s="4" t="str">
        <f>VLOOKUP($B303&amp;"__wt",'SegEnds_Xtal_BW#'!$A:$Z,13,FALSE)</f>
        <v>-</v>
      </c>
      <c r="N303" s="11" t="str">
        <f>VLOOKUP($B303&amp;"__wt",'SegEnds_Xtal_BW#'!$A:$Z,14,FALSE)</f>
        <v>-</v>
      </c>
      <c r="O303" s="90">
        <f>VLOOKUP($B303&amp;"__wt",'SegEnds_Xtal_BW#'!$A:$Z,15,FALSE)</f>
        <v>40</v>
      </c>
      <c r="P303" s="4">
        <f>VLOOKUP($B303&amp;"__wt",'SegEnds_Xtal_BW#'!$A:$Z,16,FALSE)</f>
        <v>68</v>
      </c>
      <c r="Q303" s="4">
        <f>VLOOKUP($B303&amp;"__wt",'SegEnds_Xtal_BW#'!$A:$Z,17,FALSE)</f>
        <v>50</v>
      </c>
      <c r="R303" s="4">
        <f>VLOOKUP($B303&amp;"__wt",'SegEnds_Xtal_BW#'!$A:$Z,18,FALSE)</f>
        <v>52</v>
      </c>
      <c r="S303" s="111">
        <v>39</v>
      </c>
      <c r="T303" s="4">
        <f>VLOOKUP($B303&amp;"__wt",'SegEnds_Xtal_BW#'!$A:$Z,20,FALSE)</f>
        <v>71</v>
      </c>
      <c r="U303" s="119">
        <v>28</v>
      </c>
      <c r="V303" s="4">
        <f>VLOOKUP($B303&amp;"__wt",'SegEnds_Xtal_BW#'!$A:$Z,22,FALSE)</f>
        <v>53</v>
      </c>
      <c r="W303" s="4">
        <v>27</v>
      </c>
      <c r="X303" s="4">
        <f>VLOOKUP($B303&amp;"__wt",'SegEnds_Xtal_BW#'!$A:$Z,24,FALSE)</f>
        <v>56</v>
      </c>
      <c r="Y303" s="4">
        <f>VLOOKUP($B303&amp;"__wt",'SegEnds_Xtal_BW#'!$A:$Z,25,FALSE)</f>
        <v>47</v>
      </c>
      <c r="Z303" s="4">
        <f>VLOOKUP($B303&amp;"__wt",'SegEnds_Xtal_BW#'!$A:$Z,26,FALSE)</f>
        <v>72</v>
      </c>
      <c r="AA303" s="27" t="str">
        <f>VLOOKUP(A303,Classification!A:B,2,FALSE)</f>
        <v>B1</v>
      </c>
      <c r="AB303" s="4">
        <f>VLOOKUP(A303,'SegEnds_NonXtal_Prot#'!A:AL,10,FALSE)-VLOOKUP(A303,'SegEnds_NonXtal_Prot#'!A:AL,7,FALSE)</f>
        <v>15</v>
      </c>
      <c r="AC303" s="4" t="e">
        <f>VLOOKUP(A303,'SegEnds_NonXtal_Prot#'!A:AL,13,FALSE)-VLOOKUP(A303,'SegEnds_NonXtal_Prot#'!A:AL,10,FALSE)</f>
        <v>#VALUE!</v>
      </c>
      <c r="AD303" s="4">
        <f>VLOOKUP(A303,'SegEnds_NonXtal_Prot#'!A:AL,16,FALSE)-VLOOKUP(A303,'SegEnds_NonXtal_Prot#'!A:AL,10,FALSE)</f>
        <v>64</v>
      </c>
      <c r="AE303" s="1" t="e">
        <f>VLOOKUP(A303,'SegEnds_NonXtal_Prot#'!A:AL,22,FALSE)-VLOOKUP(A303,'SegEnds_NonXtal_Prot#'!A:AL,19,FALSE)</f>
        <v>#VALUE!</v>
      </c>
      <c r="AF303" s="4">
        <f>VLOOKUP(A303,'SegEnds_NonXtal_Prot#'!A:AL,28,FALSE)-VLOOKUP(A303,'SegEnds_NonXtal_Prot#'!A:AL,25,FALSE)</f>
        <v>20</v>
      </c>
      <c r="AG303" s="1">
        <f>VLOOKUP(A303,'SegEnds_NonXtal_Prot#'!A:AL,28,FALSE)-VLOOKUP(A303,'SegEnds_NonXtal_Prot#'!A:AL,22,FALSE)</f>
        <v>42</v>
      </c>
      <c r="AH303" s="4">
        <f>VLOOKUP(A303,'SegEnds_NonXtal_Prot#'!A:AL,31,FALSE)-VLOOKUP(A303,'SegEnds_NonXtal_Prot#'!A:AL,28,FALSE)</f>
        <v>50</v>
      </c>
      <c r="AI303" s="4">
        <f>VLOOKUP(A303,'SegEnds_NonXtal_Prot#'!A:AL,34,FALSE)-VLOOKUP(A303,'SegEnds_NonXtal_Prot#'!A:AL,31,FALSE)</f>
        <v>33</v>
      </c>
      <c r="AJ303" s="1" t="str">
        <f>IF(ISERROR(MATCH(A303,'SegEnds_Xtal_Prot#'!B:B, 0)), "NoXtal", "Xtal")</f>
        <v>NoXtal</v>
      </c>
    </row>
    <row r="304" spans="1:36" x14ac:dyDescent="0.2">
      <c r="A304" s="4" t="s">
        <v>32</v>
      </c>
      <c r="B304" s="4" t="str">
        <f>VLOOKUP(A304,Xtal_Templ!A:B,2,FALSE)</f>
        <v>glr_human</v>
      </c>
      <c r="C304" s="5">
        <f>VLOOKUP($B304&amp;"__wt",'SegEnds_Xtal_BW#'!$A:$Z,3,FALSE)</f>
        <v>25</v>
      </c>
      <c r="D304" s="4">
        <f>VLOOKUP($B304&amp;"__wt",'SegEnds_Xtal_BW#'!$A:$Z,4,FALSE)</f>
        <v>60</v>
      </c>
      <c r="E304" s="4">
        <f>VLOOKUP($B304&amp;"__wt",'SegEnds_Xtal_BW#'!$A:$Z,5,FALSE)</f>
        <v>48</v>
      </c>
      <c r="F304" s="4">
        <f>VLOOKUP($B304&amp;"__wt",'SegEnds_Xtal_BW#'!$A:$Z,6,FALSE)</f>
        <v>51</v>
      </c>
      <c r="G304" s="4">
        <v>37</v>
      </c>
      <c r="H304" s="119">
        <v>67</v>
      </c>
      <c r="I304" s="4" t="str">
        <f>VLOOKUP($B304&amp;"__wt",'SegEnds_Xtal_BW#'!$A:$Z,9,FALSE)</f>
        <v>-</v>
      </c>
      <c r="J304" s="4" t="str">
        <f>VLOOKUP($B304&amp;"__wt",'SegEnds_Xtal_BW#'!$A:$Z,10,FALSE)</f>
        <v>-</v>
      </c>
      <c r="K304" s="11">
        <v>18</v>
      </c>
      <c r="L304" s="4">
        <f>VLOOKUP($B304&amp;"__wt",'SegEnds_Xtal_BW#'!$A:$Z,12,FALSE)</f>
        <v>56</v>
      </c>
      <c r="M304" s="4" t="str">
        <f>VLOOKUP($B304&amp;"__wt",'SegEnds_Xtal_BW#'!$A:$Z,13,FALSE)</f>
        <v>-</v>
      </c>
      <c r="N304" s="11" t="str">
        <f>VLOOKUP($B304&amp;"__wt",'SegEnds_Xtal_BW#'!$A:$Z,14,FALSE)</f>
        <v>-</v>
      </c>
      <c r="O304" s="90">
        <f>VLOOKUP($B304&amp;"__wt",'SegEnds_Xtal_BW#'!$A:$Z,15,FALSE)</f>
        <v>40</v>
      </c>
      <c r="P304" s="4">
        <f>VLOOKUP($B304&amp;"__wt",'SegEnds_Xtal_BW#'!$A:$Z,16,FALSE)</f>
        <v>68</v>
      </c>
      <c r="Q304" s="4">
        <f>VLOOKUP($B304&amp;"__wt",'SegEnds_Xtal_BW#'!$A:$Z,17,FALSE)</f>
        <v>50</v>
      </c>
      <c r="R304" s="4">
        <f>VLOOKUP($B304&amp;"__wt",'SegEnds_Xtal_BW#'!$A:$Z,18,FALSE)</f>
        <v>52</v>
      </c>
      <c r="S304" s="1">
        <v>36</v>
      </c>
      <c r="T304" s="4">
        <f>VLOOKUP($B304&amp;"__wt",'SegEnds_Xtal_BW#'!$A:$Z,20,FALSE)</f>
        <v>71</v>
      </c>
      <c r="U304" s="4">
        <f>VLOOKUP($B304&amp;"__wt",'SegEnds_Xtal_BW#'!$A:$Z,21,FALSE)</f>
        <v>29</v>
      </c>
      <c r="V304" s="4">
        <f>VLOOKUP($B304&amp;"__wt",'SegEnds_Xtal_BW#'!$A:$Z,22,FALSE)</f>
        <v>53</v>
      </c>
      <c r="W304" s="4">
        <v>27</v>
      </c>
      <c r="X304" s="4">
        <f>VLOOKUP($B304&amp;"__wt",'SegEnds_Xtal_BW#'!$A:$Z,24,FALSE)</f>
        <v>56</v>
      </c>
      <c r="Y304" s="4">
        <f>VLOOKUP($B304&amp;"__wt",'SegEnds_Xtal_BW#'!$A:$Z,25,FALSE)</f>
        <v>47</v>
      </c>
      <c r="Z304" s="4">
        <f>VLOOKUP($B304&amp;"__wt",'SegEnds_Xtal_BW#'!$A:$Z,26,FALSE)</f>
        <v>72</v>
      </c>
      <c r="AA304" s="27" t="str">
        <f>VLOOKUP(A304,Classification!A:B,2,FALSE)</f>
        <v>B1</v>
      </c>
      <c r="AB304" s="4">
        <f>VLOOKUP(A304,'SegEnds_NonXtal_Prot#'!A:AL,10,FALSE)-VLOOKUP(A304,'SegEnds_NonXtal_Prot#'!A:AL,7,FALSE)</f>
        <v>15</v>
      </c>
      <c r="AC304" s="4" t="e">
        <f>VLOOKUP(A304,'SegEnds_NonXtal_Prot#'!A:AL,13,FALSE)-VLOOKUP(A304,'SegEnds_NonXtal_Prot#'!A:AL,10,FALSE)</f>
        <v>#VALUE!</v>
      </c>
      <c r="AD304" s="4">
        <f>VLOOKUP(A304,'SegEnds_NonXtal_Prot#'!A:AL,16,FALSE)-VLOOKUP(A304,'SegEnds_NonXtal_Prot#'!A:AL,10,FALSE)</f>
        <v>65</v>
      </c>
      <c r="AE304" s="1" t="e">
        <f>VLOOKUP(A304,'SegEnds_NonXtal_Prot#'!A:AL,22,FALSE)-VLOOKUP(A304,'SegEnds_NonXtal_Prot#'!A:AL,19,FALSE)</f>
        <v>#VALUE!</v>
      </c>
      <c r="AF304" s="4">
        <f>VLOOKUP(A304,'SegEnds_NonXtal_Prot#'!A:AL,28,FALSE)-VLOOKUP(A304,'SegEnds_NonXtal_Prot#'!A:AL,25,FALSE)</f>
        <v>20</v>
      </c>
      <c r="AG304" s="1">
        <f>VLOOKUP(A304,'SegEnds_NonXtal_Prot#'!A:AL,28,FALSE)-VLOOKUP(A304,'SegEnds_NonXtal_Prot#'!A:AL,22,FALSE)</f>
        <v>42</v>
      </c>
      <c r="AH304" s="4">
        <f>VLOOKUP(A304,'SegEnds_NonXtal_Prot#'!A:AL,31,FALSE)-VLOOKUP(A304,'SegEnds_NonXtal_Prot#'!A:AL,28,FALSE)</f>
        <v>50</v>
      </c>
      <c r="AI304" s="4">
        <f>VLOOKUP(A304,'SegEnds_NonXtal_Prot#'!A:AL,34,FALSE)-VLOOKUP(A304,'SegEnds_NonXtal_Prot#'!A:AL,31,FALSE)</f>
        <v>33</v>
      </c>
      <c r="AJ304" s="1" t="str">
        <f>IF(ISERROR(MATCH(A304,'SegEnds_Xtal_Prot#'!B:B, 0)), "NoXtal", "Xtal")</f>
        <v>Xtal</v>
      </c>
    </row>
    <row r="305" spans="1:36" x14ac:dyDescent="0.2">
      <c r="A305" s="1" t="s">
        <v>408</v>
      </c>
      <c r="B305" s="1" t="str">
        <f>VLOOKUP(A305,Xtal_Templ!A:B,2,FALSE)</f>
        <v>glr_human</v>
      </c>
      <c r="C305" s="5">
        <f>VLOOKUP($B305&amp;"__wt",'SegEnds_Xtal_BW#'!$A:$Z,3,FALSE)</f>
        <v>25</v>
      </c>
      <c r="D305" s="1">
        <f>VLOOKUP($B305&amp;"__wt",'SegEnds_Xtal_BW#'!$A:$Z,4,FALSE)</f>
        <v>60</v>
      </c>
      <c r="E305" s="1">
        <f>VLOOKUP($B305&amp;"__wt",'SegEnds_Xtal_BW#'!$A:$Z,5,FALSE)</f>
        <v>48</v>
      </c>
      <c r="F305" s="1">
        <f>VLOOKUP($B305&amp;"__wt",'SegEnds_Xtal_BW#'!$A:$Z,6,FALSE)</f>
        <v>51</v>
      </c>
      <c r="G305" s="1">
        <v>37</v>
      </c>
      <c r="H305" s="119">
        <v>64</v>
      </c>
      <c r="I305" s="1" t="str">
        <f>VLOOKUP($B305&amp;"__wt",'SegEnds_Xtal_BW#'!$A:$Z,9,FALSE)</f>
        <v>-</v>
      </c>
      <c r="J305" s="1" t="str">
        <f>VLOOKUP($B305&amp;"__wt",'SegEnds_Xtal_BW#'!$A:$Z,10,FALSE)</f>
        <v>-</v>
      </c>
      <c r="K305" s="111">
        <v>21</v>
      </c>
      <c r="L305" s="1">
        <f>VLOOKUP($B305&amp;"__wt",'SegEnds_Xtal_BW#'!$A:$Z,12,FALSE)</f>
        <v>56</v>
      </c>
      <c r="M305" s="1" t="str">
        <f>VLOOKUP($B305&amp;"__wt",'SegEnds_Xtal_BW#'!$A:$Z,13,FALSE)</f>
        <v>-</v>
      </c>
      <c r="N305" s="12" t="str">
        <f>VLOOKUP($B305&amp;"__wt",'SegEnds_Xtal_BW#'!$A:$Z,14,FALSE)</f>
        <v>-</v>
      </c>
      <c r="O305" s="89">
        <f>VLOOKUP($B305&amp;"__wt",'SegEnds_Xtal_BW#'!$A:$Z,15,FALSE)</f>
        <v>40</v>
      </c>
      <c r="P305" s="1">
        <f>VLOOKUP($B305&amp;"__wt",'SegEnds_Xtal_BW#'!$A:$Z,16,FALSE)</f>
        <v>68</v>
      </c>
      <c r="Q305" s="1">
        <f>VLOOKUP($B305&amp;"__wt",'SegEnds_Xtal_BW#'!$A:$Z,17,FALSE)</f>
        <v>50</v>
      </c>
      <c r="R305" s="1">
        <f>VLOOKUP($B305&amp;"__wt",'SegEnds_Xtal_BW#'!$A:$Z,18,FALSE)</f>
        <v>52</v>
      </c>
      <c r="S305" s="111">
        <v>39</v>
      </c>
      <c r="T305" s="1">
        <v>69</v>
      </c>
      <c r="U305" s="1">
        <v>25</v>
      </c>
      <c r="V305" s="1">
        <f>VLOOKUP($B305&amp;"__wt",'SegEnds_Xtal_BW#'!$A:$Z,22,FALSE)</f>
        <v>53</v>
      </c>
      <c r="W305" s="1">
        <v>31</v>
      </c>
      <c r="X305" s="1">
        <f>VLOOKUP($B305&amp;"__wt",'SegEnds_Xtal_BW#'!$A:$Z,24,FALSE)</f>
        <v>56</v>
      </c>
      <c r="Y305" s="1">
        <f>VLOOKUP($B305&amp;"__wt",'SegEnds_Xtal_BW#'!$A:$Z,25,FALSE)</f>
        <v>47</v>
      </c>
      <c r="Z305" s="1">
        <f>VLOOKUP($B305&amp;"__wt",'SegEnds_Xtal_BW#'!$A:$Z,26,FALSE)</f>
        <v>72</v>
      </c>
      <c r="AA305" s="27" t="str">
        <f>VLOOKUP(A305,Classification!A:B,2,FALSE)</f>
        <v>B1</v>
      </c>
      <c r="AB305" s="1">
        <f>VLOOKUP(A305,'SegEnds_NonXtal_Prot#'!A:AL,10,FALSE)-VLOOKUP(A305,'SegEnds_NonXtal_Prot#'!A:AL,7,FALSE)</f>
        <v>15</v>
      </c>
      <c r="AC305" s="1" t="e">
        <f>VLOOKUP(A305,'SegEnds_NonXtal_Prot#'!A:AL,13,FALSE)-VLOOKUP(A305,'SegEnds_NonXtal_Prot#'!A:AL,10,FALSE)</f>
        <v>#VALUE!</v>
      </c>
      <c r="AD305" s="1">
        <f>VLOOKUP(A305,'SegEnds_NonXtal_Prot#'!A:AL,16,FALSE)-VLOOKUP(A305,'SegEnds_NonXtal_Prot#'!A:AL,10,FALSE)</f>
        <v>55</v>
      </c>
      <c r="AE305" s="1" t="e">
        <f>VLOOKUP(A305,'SegEnds_NonXtal_Prot#'!A:AL,22,FALSE)-VLOOKUP(A305,'SegEnds_NonXtal_Prot#'!A:AL,19,FALSE)</f>
        <v>#VALUE!</v>
      </c>
      <c r="AF305" s="1">
        <f>VLOOKUP(A305,'SegEnds_NonXtal_Prot#'!A:AL,28,FALSE)-VLOOKUP(A305,'SegEnds_NonXtal_Prot#'!A:AL,25,FALSE)</f>
        <v>20</v>
      </c>
      <c r="AG305" s="1">
        <f>VLOOKUP(A305,'SegEnds_NonXtal_Prot#'!A:AL,28,FALSE)-VLOOKUP(A305,'SegEnds_NonXtal_Prot#'!A:AL,22,FALSE)</f>
        <v>42</v>
      </c>
      <c r="AH305" s="1">
        <f>VLOOKUP(A305,'SegEnds_NonXtal_Prot#'!A:AL,31,FALSE)-VLOOKUP(A305,'SegEnds_NonXtal_Prot#'!A:AL,28,FALSE)</f>
        <v>52</v>
      </c>
      <c r="AI305" s="1">
        <f>VLOOKUP(A305,'SegEnds_NonXtal_Prot#'!A:AL,34,FALSE)-VLOOKUP(A305,'SegEnds_NonXtal_Prot#'!A:AL,31,FALSE)</f>
        <v>29</v>
      </c>
      <c r="AJ305" s="1" t="str">
        <f>IF(ISERROR(MATCH(A305,'SegEnds_Xtal_Prot#'!B:B, 0)), "NoXtal", "Xtal")</f>
        <v>NoXtal</v>
      </c>
    </row>
    <row r="306" spans="1:36" x14ac:dyDescent="0.2">
      <c r="A306" s="4" t="s">
        <v>409</v>
      </c>
      <c r="B306" s="4" t="str">
        <f>VLOOKUP(A306,Xtal_Templ!A:B,2,FALSE)</f>
        <v>glp1r_human</v>
      </c>
      <c r="C306" s="5">
        <f>VLOOKUP($B306&amp;"__wt",'SegEnds_Xtal_BW#'!$A:$Z,3,FALSE)</f>
        <v>29</v>
      </c>
      <c r="D306" s="4">
        <f>VLOOKUP($B306&amp;"__wt",'SegEnds_Xtal_BW#'!$A:$Z,4,FALSE)</f>
        <v>60</v>
      </c>
      <c r="E306" s="4">
        <f>VLOOKUP($B306&amp;"__wt",'SegEnds_Xtal_BW#'!$A:$Z,5,FALSE)</f>
        <v>48</v>
      </c>
      <c r="F306" s="4">
        <f>VLOOKUP($B306&amp;"__wt",'SegEnds_Xtal_BW#'!$A:$Z,6,FALSE)</f>
        <v>51</v>
      </c>
      <c r="G306" s="4">
        <v>37</v>
      </c>
      <c r="H306" s="119">
        <v>67</v>
      </c>
      <c r="I306" s="4" t="str">
        <f>VLOOKUP($B306&amp;"__wt",'SegEnds_Xtal_BW#'!$A:$Z,9,FALSE)</f>
        <v>-</v>
      </c>
      <c r="J306" s="4" t="str">
        <f>VLOOKUP($B306&amp;"__wt",'SegEnds_Xtal_BW#'!$A:$Z,10,FALSE)</f>
        <v>-</v>
      </c>
      <c r="K306" s="11">
        <v>18</v>
      </c>
      <c r="L306" s="4">
        <f>VLOOKUP($B306&amp;"__wt",'SegEnds_Xtal_BW#'!$A:$Z,12,FALSE)</f>
        <v>56</v>
      </c>
      <c r="M306" s="4" t="str">
        <f>VLOOKUP($B306&amp;"__wt",'SegEnds_Xtal_BW#'!$A:$Z,13,FALSE)</f>
        <v>-</v>
      </c>
      <c r="N306" s="11" t="str">
        <f>VLOOKUP($B306&amp;"__wt",'SegEnds_Xtal_BW#'!$A:$Z,14,FALSE)</f>
        <v>-</v>
      </c>
      <c r="O306" s="90">
        <f>VLOOKUP($B306&amp;"__wt",'SegEnds_Xtal_BW#'!$A:$Z,15,FALSE)</f>
        <v>38</v>
      </c>
      <c r="P306" s="4">
        <f>VLOOKUP($B306&amp;"__wt",'SegEnds_Xtal_BW#'!$A:$Z,16,FALSE)</f>
        <v>68</v>
      </c>
      <c r="Q306" s="4">
        <f>VLOOKUP($B306&amp;"__wt",'SegEnds_Xtal_BW#'!$A:$Z,17,FALSE)</f>
        <v>50</v>
      </c>
      <c r="R306" s="4">
        <f>VLOOKUP($B306&amp;"__wt",'SegEnds_Xtal_BW#'!$A:$Z,18,FALSE)</f>
        <v>52</v>
      </c>
      <c r="S306" s="111">
        <v>39</v>
      </c>
      <c r="T306" s="4">
        <v>69</v>
      </c>
      <c r="U306" s="4">
        <v>25</v>
      </c>
      <c r="V306" s="4">
        <f>VLOOKUP($B306&amp;"__wt",'SegEnds_Xtal_BW#'!$A:$Z,22,FALSE)</f>
        <v>58</v>
      </c>
      <c r="W306" s="4">
        <v>27</v>
      </c>
      <c r="X306" s="4">
        <f>VLOOKUP($B306&amp;"__wt",'SegEnds_Xtal_BW#'!$A:$Z,24,FALSE)</f>
        <v>56</v>
      </c>
      <c r="Y306" s="4">
        <f>VLOOKUP($B306&amp;"__wt",'SegEnds_Xtal_BW#'!$A:$Z,25,FALSE)</f>
        <v>47</v>
      </c>
      <c r="Z306" s="4">
        <f>VLOOKUP($B306&amp;"__wt",'SegEnds_Xtal_BW#'!$A:$Z,26,FALSE)</f>
        <v>72</v>
      </c>
      <c r="AA306" s="27" t="str">
        <f>VLOOKUP(A306,Classification!A:B,2,FALSE)</f>
        <v>B1</v>
      </c>
      <c r="AB306" s="4">
        <f>VLOOKUP(A306,'SegEnds_NonXtal_Prot#'!A:AL,10,FALSE)-VLOOKUP(A306,'SegEnds_NonXtal_Prot#'!A:AL,7,FALSE)</f>
        <v>15</v>
      </c>
      <c r="AC306" s="4" t="e">
        <f>VLOOKUP(A306,'SegEnds_NonXtal_Prot#'!A:AL,13,FALSE)-VLOOKUP(A306,'SegEnds_NonXtal_Prot#'!A:AL,10,FALSE)</f>
        <v>#VALUE!</v>
      </c>
      <c r="AD306" s="4">
        <f>VLOOKUP(A306,'SegEnds_NonXtal_Prot#'!A:AL,16,FALSE)-VLOOKUP(A306,'SegEnds_NonXtal_Prot#'!A:AL,10,FALSE)</f>
        <v>76</v>
      </c>
      <c r="AE306" s="1" t="e">
        <f>VLOOKUP(A306,'SegEnds_NonXtal_Prot#'!A:AL,22,FALSE)-VLOOKUP(A306,'SegEnds_NonXtal_Prot#'!A:AL,19,FALSE)</f>
        <v>#VALUE!</v>
      </c>
      <c r="AF306" s="4">
        <f>VLOOKUP(A306,'SegEnds_NonXtal_Prot#'!A:AL,28,FALSE)-VLOOKUP(A306,'SegEnds_NonXtal_Prot#'!A:AL,25,FALSE)</f>
        <v>19</v>
      </c>
      <c r="AG306" s="1">
        <f>VLOOKUP(A306,'SegEnds_NonXtal_Prot#'!A:AL,28,FALSE)-VLOOKUP(A306,'SegEnds_NonXtal_Prot#'!A:AL,22,FALSE)</f>
        <v>41</v>
      </c>
      <c r="AH306" s="4">
        <f>VLOOKUP(A306,'SegEnds_NonXtal_Prot#'!A:AL,31,FALSE)-VLOOKUP(A306,'SegEnds_NonXtal_Prot#'!A:AL,28,FALSE)</f>
        <v>53</v>
      </c>
      <c r="AI306" s="4">
        <f>VLOOKUP(A306,'SegEnds_NonXtal_Prot#'!A:AL,34,FALSE)-VLOOKUP(A306,'SegEnds_NonXtal_Prot#'!A:AL,31,FALSE)</f>
        <v>33</v>
      </c>
      <c r="AJ306" s="1" t="str">
        <f>IF(ISERROR(MATCH(A306,'SegEnds_Xtal_Prot#'!B:B, 0)), "NoXtal", "Xtal")</f>
        <v>NoXtal</v>
      </c>
    </row>
    <row r="307" spans="1:36" x14ac:dyDescent="0.2">
      <c r="A307" s="4" t="s">
        <v>410</v>
      </c>
      <c r="B307" s="4" t="str">
        <f>VLOOKUP(A307,Xtal_Templ!A:B,2,FALSE)</f>
        <v>glp1r_human</v>
      </c>
      <c r="C307" s="5">
        <f>VLOOKUP($B307&amp;"__wt",'SegEnds_Xtal_BW#'!$A:$Z,3,FALSE)</f>
        <v>29</v>
      </c>
      <c r="D307" s="4">
        <f>VLOOKUP($B307&amp;"__wt",'SegEnds_Xtal_BW#'!$A:$Z,4,FALSE)</f>
        <v>60</v>
      </c>
      <c r="E307" s="4">
        <f>VLOOKUP($B307&amp;"__wt",'SegEnds_Xtal_BW#'!$A:$Z,5,FALSE)</f>
        <v>48</v>
      </c>
      <c r="F307" s="4">
        <f>VLOOKUP($B307&amp;"__wt",'SegEnds_Xtal_BW#'!$A:$Z,6,FALSE)</f>
        <v>51</v>
      </c>
      <c r="G307" s="4">
        <v>37</v>
      </c>
      <c r="H307" s="119">
        <v>67</v>
      </c>
      <c r="I307" s="4" t="str">
        <f>VLOOKUP($B307&amp;"__wt",'SegEnds_Xtal_BW#'!$A:$Z,9,FALSE)</f>
        <v>-</v>
      </c>
      <c r="J307" s="4" t="str">
        <f>VLOOKUP($B307&amp;"__wt",'SegEnds_Xtal_BW#'!$A:$Z,10,FALSE)</f>
        <v>-</v>
      </c>
      <c r="K307" s="11">
        <v>18</v>
      </c>
      <c r="L307" s="4">
        <f>VLOOKUP($B307&amp;"__wt",'SegEnds_Xtal_BW#'!$A:$Z,12,FALSE)</f>
        <v>56</v>
      </c>
      <c r="M307" s="4" t="str">
        <f>VLOOKUP($B307&amp;"__wt",'SegEnds_Xtal_BW#'!$A:$Z,13,FALSE)</f>
        <v>-</v>
      </c>
      <c r="N307" s="11" t="str">
        <f>VLOOKUP($B307&amp;"__wt",'SegEnds_Xtal_BW#'!$A:$Z,14,FALSE)</f>
        <v>-</v>
      </c>
      <c r="O307" s="90">
        <f>VLOOKUP($B307&amp;"__wt",'SegEnds_Xtal_BW#'!$A:$Z,15,FALSE)</f>
        <v>38</v>
      </c>
      <c r="P307" s="4">
        <f>VLOOKUP($B307&amp;"__wt",'SegEnds_Xtal_BW#'!$A:$Z,16,FALSE)</f>
        <v>68</v>
      </c>
      <c r="Q307" s="4">
        <f>VLOOKUP($B307&amp;"__wt",'SegEnds_Xtal_BW#'!$A:$Z,17,FALSE)</f>
        <v>50</v>
      </c>
      <c r="R307" s="4">
        <f>VLOOKUP($B307&amp;"__wt",'SegEnds_Xtal_BW#'!$A:$Z,18,FALSE)</f>
        <v>52</v>
      </c>
      <c r="S307" s="111">
        <v>39</v>
      </c>
      <c r="T307" s="4">
        <v>69</v>
      </c>
      <c r="U307" s="4">
        <v>25</v>
      </c>
      <c r="V307" s="4">
        <f>VLOOKUP($B307&amp;"__wt",'SegEnds_Xtal_BW#'!$A:$Z,22,FALSE)</f>
        <v>58</v>
      </c>
      <c r="W307" s="4">
        <v>27</v>
      </c>
      <c r="X307" s="4">
        <f>VLOOKUP($B307&amp;"__wt",'SegEnds_Xtal_BW#'!$A:$Z,24,FALSE)</f>
        <v>56</v>
      </c>
      <c r="Y307" s="4">
        <f>VLOOKUP($B307&amp;"__wt",'SegEnds_Xtal_BW#'!$A:$Z,25,FALSE)</f>
        <v>47</v>
      </c>
      <c r="Z307" s="4">
        <f>VLOOKUP($B307&amp;"__wt",'SegEnds_Xtal_BW#'!$A:$Z,26,FALSE)</f>
        <v>72</v>
      </c>
      <c r="AA307" s="27" t="str">
        <f>VLOOKUP(A307,Classification!A:B,2,FALSE)</f>
        <v>B1</v>
      </c>
      <c r="AB307" s="4">
        <f>VLOOKUP(A307,'SegEnds_NonXtal_Prot#'!A:AL,10,FALSE)-VLOOKUP(A307,'SegEnds_NonXtal_Prot#'!A:AL,7,FALSE)</f>
        <v>15</v>
      </c>
      <c r="AC307" s="4" t="e">
        <f>VLOOKUP(A307,'SegEnds_NonXtal_Prot#'!A:AL,13,FALSE)-VLOOKUP(A307,'SegEnds_NonXtal_Prot#'!A:AL,10,FALSE)</f>
        <v>#VALUE!</v>
      </c>
      <c r="AD307" s="4">
        <f>VLOOKUP(A307,'SegEnds_NonXtal_Prot#'!A:AL,16,FALSE)-VLOOKUP(A307,'SegEnds_NonXtal_Prot#'!A:AL,10,FALSE)</f>
        <v>74</v>
      </c>
      <c r="AE307" s="1" t="e">
        <f>VLOOKUP(A307,'SegEnds_NonXtal_Prot#'!A:AL,22,FALSE)-VLOOKUP(A307,'SegEnds_NonXtal_Prot#'!A:AL,19,FALSE)</f>
        <v>#VALUE!</v>
      </c>
      <c r="AF307" s="4">
        <f>VLOOKUP(A307,'SegEnds_NonXtal_Prot#'!A:AL,28,FALSE)-VLOOKUP(A307,'SegEnds_NonXtal_Prot#'!A:AL,25,FALSE)</f>
        <v>19</v>
      </c>
      <c r="AG307" s="1">
        <f>VLOOKUP(A307,'SegEnds_NonXtal_Prot#'!A:AL,28,FALSE)-VLOOKUP(A307,'SegEnds_NonXtal_Prot#'!A:AL,22,FALSE)</f>
        <v>41</v>
      </c>
      <c r="AH307" s="4">
        <f>VLOOKUP(A307,'SegEnds_NonXtal_Prot#'!A:AL,31,FALSE)-VLOOKUP(A307,'SegEnds_NonXtal_Prot#'!A:AL,28,FALSE)</f>
        <v>53</v>
      </c>
      <c r="AI307" s="4">
        <f>VLOOKUP(A307,'SegEnds_NonXtal_Prot#'!A:AL,34,FALSE)-VLOOKUP(A307,'SegEnds_NonXtal_Prot#'!A:AL,31,FALSE)</f>
        <v>32</v>
      </c>
      <c r="AJ307" s="1" t="str">
        <f>IF(ISERROR(MATCH(A307,'SegEnds_Xtal_Prot#'!B:B, 0)), "NoXtal", "Xtal")</f>
        <v>NoXtal</v>
      </c>
    </row>
    <row r="308" spans="1:36" x14ac:dyDescent="0.2">
      <c r="A308" s="4" t="s">
        <v>411</v>
      </c>
      <c r="B308" s="4" t="str">
        <f>VLOOKUP(A308,Xtal_Templ!A:B,2,FALSE)</f>
        <v>glp1r_human</v>
      </c>
      <c r="C308" s="5">
        <f>VLOOKUP($B308&amp;"__wt",'SegEnds_Xtal_BW#'!$A:$Z,3,FALSE)</f>
        <v>29</v>
      </c>
      <c r="D308" s="4">
        <f>VLOOKUP($B308&amp;"__wt",'SegEnds_Xtal_BW#'!$A:$Z,4,FALSE)</f>
        <v>60</v>
      </c>
      <c r="E308" s="4">
        <f>VLOOKUP($B308&amp;"__wt",'SegEnds_Xtal_BW#'!$A:$Z,5,FALSE)</f>
        <v>48</v>
      </c>
      <c r="F308" s="4">
        <f>VLOOKUP($B308&amp;"__wt",'SegEnds_Xtal_BW#'!$A:$Z,6,FALSE)</f>
        <v>51</v>
      </c>
      <c r="G308" s="4">
        <v>37</v>
      </c>
      <c r="H308" s="119">
        <v>64</v>
      </c>
      <c r="I308" s="4" t="str">
        <f>VLOOKUP($B308&amp;"__wt",'SegEnds_Xtal_BW#'!$A:$Z,9,FALSE)</f>
        <v>-</v>
      </c>
      <c r="J308" s="4" t="str">
        <f>VLOOKUP($B308&amp;"__wt",'SegEnds_Xtal_BW#'!$A:$Z,10,FALSE)</f>
        <v>-</v>
      </c>
      <c r="K308" s="119">
        <v>21</v>
      </c>
      <c r="L308" s="4">
        <f>VLOOKUP($B308&amp;"__wt",'SegEnds_Xtal_BW#'!$A:$Z,12,FALSE)</f>
        <v>56</v>
      </c>
      <c r="M308" s="4" t="str">
        <f>VLOOKUP($B308&amp;"__wt",'SegEnds_Xtal_BW#'!$A:$Z,13,FALSE)</f>
        <v>-</v>
      </c>
      <c r="N308" s="11" t="str">
        <f>VLOOKUP($B308&amp;"__wt",'SegEnds_Xtal_BW#'!$A:$Z,14,FALSE)</f>
        <v>-</v>
      </c>
      <c r="O308" s="90">
        <f>VLOOKUP($B308&amp;"__wt",'SegEnds_Xtal_BW#'!$A:$Z,15,FALSE)</f>
        <v>38</v>
      </c>
      <c r="P308" s="4">
        <f>VLOOKUP($B308&amp;"__wt",'SegEnds_Xtal_BW#'!$A:$Z,16,FALSE)</f>
        <v>68</v>
      </c>
      <c r="Q308" s="4">
        <f>VLOOKUP($B308&amp;"__wt",'SegEnds_Xtal_BW#'!$A:$Z,17,FALSE)</f>
        <v>50</v>
      </c>
      <c r="R308" s="4">
        <f>VLOOKUP($B308&amp;"__wt",'SegEnds_Xtal_BW#'!$A:$Z,18,FALSE)</f>
        <v>52</v>
      </c>
      <c r="S308" s="119">
        <v>39</v>
      </c>
      <c r="T308" s="4">
        <v>69</v>
      </c>
      <c r="U308" s="4">
        <v>25</v>
      </c>
      <c r="V308" s="4">
        <f>VLOOKUP($B308&amp;"__wt",'SegEnds_Xtal_BW#'!$A:$Z,22,FALSE)</f>
        <v>58</v>
      </c>
      <c r="W308" s="4">
        <v>31</v>
      </c>
      <c r="X308" s="4">
        <f>VLOOKUP($B308&amp;"__wt",'SegEnds_Xtal_BW#'!$A:$Z,24,FALSE)</f>
        <v>56</v>
      </c>
      <c r="Y308" s="4">
        <f>VLOOKUP($B308&amp;"__wt",'SegEnds_Xtal_BW#'!$A:$Z,25,FALSE)</f>
        <v>47</v>
      </c>
      <c r="Z308" s="4">
        <f>VLOOKUP($B308&amp;"__wt",'SegEnds_Xtal_BW#'!$A:$Z,26,FALSE)</f>
        <v>72</v>
      </c>
      <c r="AA308" s="27" t="str">
        <f>VLOOKUP(A308,Classification!A:B,2,FALSE)</f>
        <v>B1</v>
      </c>
      <c r="AB308" s="4">
        <f>VLOOKUP(A308,'SegEnds_NonXtal_Prot#'!A:AL,10,FALSE)-VLOOKUP(A308,'SegEnds_NonXtal_Prot#'!A:AL,7,FALSE)</f>
        <v>15</v>
      </c>
      <c r="AC308" s="4" t="e">
        <f>VLOOKUP(A308,'SegEnds_NonXtal_Prot#'!A:AL,13,FALSE)-VLOOKUP(A308,'SegEnds_NonXtal_Prot#'!A:AL,10,FALSE)</f>
        <v>#VALUE!</v>
      </c>
      <c r="AD308" s="4">
        <f>VLOOKUP(A308,'SegEnds_NonXtal_Prot#'!A:AL,16,FALSE)-VLOOKUP(A308,'SegEnds_NonXtal_Prot#'!A:AL,10,FALSE)</f>
        <v>55</v>
      </c>
      <c r="AE308" s="1" t="e">
        <f>VLOOKUP(A308,'SegEnds_NonXtal_Prot#'!A:AL,22,FALSE)-VLOOKUP(A308,'SegEnds_NonXtal_Prot#'!A:AL,19,FALSE)</f>
        <v>#VALUE!</v>
      </c>
      <c r="AF308" s="4">
        <f>VLOOKUP(A308,'SegEnds_NonXtal_Prot#'!A:AL,28,FALSE)-VLOOKUP(A308,'SegEnds_NonXtal_Prot#'!A:AL,25,FALSE)</f>
        <v>20</v>
      </c>
      <c r="AG308" s="1">
        <f>VLOOKUP(A308,'SegEnds_NonXtal_Prot#'!A:AL,28,FALSE)-VLOOKUP(A308,'SegEnds_NonXtal_Prot#'!A:AL,22,FALSE)</f>
        <v>42</v>
      </c>
      <c r="AH308" s="4">
        <f>VLOOKUP(A308,'SegEnds_NonXtal_Prot#'!A:AL,31,FALSE)-VLOOKUP(A308,'SegEnds_NonXtal_Prot#'!A:AL,28,FALSE)</f>
        <v>52</v>
      </c>
      <c r="AI308" s="4">
        <f>VLOOKUP(A308,'SegEnds_NonXtal_Prot#'!A:AL,34,FALSE)-VLOOKUP(A308,'SegEnds_NonXtal_Prot#'!A:AL,31,FALSE)</f>
        <v>28</v>
      </c>
      <c r="AJ308" s="1" t="str">
        <f>IF(ISERROR(MATCH(A308,'SegEnds_Xtal_Prot#'!B:B, 0)), "NoXtal", "Xtal")</f>
        <v>NoXtal</v>
      </c>
    </row>
    <row r="309" spans="1:36" x14ac:dyDescent="0.2">
      <c r="A309" s="4" t="s">
        <v>412</v>
      </c>
      <c r="B309" s="4" t="str">
        <f>VLOOKUP(A309,Xtal_Templ!A:B,2,FALSE)</f>
        <v>glp1r_human</v>
      </c>
      <c r="C309" s="5">
        <f>VLOOKUP($B309&amp;"__wt",'SegEnds_Xtal_BW#'!$A:$Z,3,FALSE)</f>
        <v>29</v>
      </c>
      <c r="D309" s="4">
        <f>VLOOKUP($B309&amp;"__wt",'SegEnds_Xtal_BW#'!$A:$Z,4,FALSE)</f>
        <v>60</v>
      </c>
      <c r="E309" s="4">
        <f>VLOOKUP($B309&amp;"__wt",'SegEnds_Xtal_BW#'!$A:$Z,5,FALSE)</f>
        <v>48</v>
      </c>
      <c r="F309" s="4">
        <f>VLOOKUP($B309&amp;"__wt",'SegEnds_Xtal_BW#'!$A:$Z,6,FALSE)</f>
        <v>51</v>
      </c>
      <c r="G309" s="4">
        <v>37</v>
      </c>
      <c r="H309" s="119">
        <v>64</v>
      </c>
      <c r="I309" s="4" t="str">
        <f>VLOOKUP($B309&amp;"__wt",'SegEnds_Xtal_BW#'!$A:$Z,9,FALSE)</f>
        <v>-</v>
      </c>
      <c r="J309" s="4" t="str">
        <f>VLOOKUP($B309&amp;"__wt",'SegEnds_Xtal_BW#'!$A:$Z,10,FALSE)</f>
        <v>-</v>
      </c>
      <c r="K309" s="119">
        <v>21</v>
      </c>
      <c r="L309" s="4">
        <f>VLOOKUP($B309&amp;"__wt",'SegEnds_Xtal_BW#'!$A:$Z,12,FALSE)</f>
        <v>56</v>
      </c>
      <c r="M309" s="4" t="str">
        <f>VLOOKUP($B309&amp;"__wt",'SegEnds_Xtal_BW#'!$A:$Z,13,FALSE)</f>
        <v>-</v>
      </c>
      <c r="N309" s="11" t="str">
        <f>VLOOKUP($B309&amp;"__wt",'SegEnds_Xtal_BW#'!$A:$Z,14,FALSE)</f>
        <v>-</v>
      </c>
      <c r="O309" s="90">
        <f>VLOOKUP($B309&amp;"__wt",'SegEnds_Xtal_BW#'!$A:$Z,15,FALSE)</f>
        <v>38</v>
      </c>
      <c r="P309" s="4">
        <f>VLOOKUP($B309&amp;"__wt",'SegEnds_Xtal_BW#'!$A:$Z,16,FALSE)</f>
        <v>68</v>
      </c>
      <c r="Q309" s="4">
        <f>VLOOKUP($B309&amp;"__wt",'SegEnds_Xtal_BW#'!$A:$Z,17,FALSE)</f>
        <v>50</v>
      </c>
      <c r="R309" s="4">
        <f>VLOOKUP($B309&amp;"__wt",'SegEnds_Xtal_BW#'!$A:$Z,18,FALSE)</f>
        <v>52</v>
      </c>
      <c r="S309" s="111">
        <v>39</v>
      </c>
      <c r="T309" s="4">
        <v>69</v>
      </c>
      <c r="U309" s="4">
        <v>25</v>
      </c>
      <c r="V309" s="4">
        <f>VLOOKUP($B309&amp;"__wt",'SegEnds_Xtal_BW#'!$A:$Z,22,FALSE)</f>
        <v>58</v>
      </c>
      <c r="W309" s="4">
        <v>31</v>
      </c>
      <c r="X309" s="4">
        <f>VLOOKUP($B309&amp;"__wt",'SegEnds_Xtal_BW#'!$A:$Z,24,FALSE)</f>
        <v>56</v>
      </c>
      <c r="Y309" s="4">
        <f>VLOOKUP($B309&amp;"__wt",'SegEnds_Xtal_BW#'!$A:$Z,25,FALSE)</f>
        <v>47</v>
      </c>
      <c r="Z309" s="4">
        <f>VLOOKUP($B309&amp;"__wt",'SegEnds_Xtal_BW#'!$A:$Z,26,FALSE)</f>
        <v>72</v>
      </c>
      <c r="AA309" s="27" t="str">
        <f>VLOOKUP(A309,Classification!A:B,2,FALSE)</f>
        <v>B1</v>
      </c>
      <c r="AB309" s="4">
        <f>VLOOKUP(A309,'SegEnds_NonXtal_Prot#'!A:AL,10,FALSE)-VLOOKUP(A309,'SegEnds_NonXtal_Prot#'!A:AL,7,FALSE)</f>
        <v>15</v>
      </c>
      <c r="AC309" s="4" t="e">
        <f>VLOOKUP(A309,'SegEnds_NonXtal_Prot#'!A:AL,13,FALSE)-VLOOKUP(A309,'SegEnds_NonXtal_Prot#'!A:AL,10,FALSE)</f>
        <v>#VALUE!</v>
      </c>
      <c r="AD309" s="4">
        <f>VLOOKUP(A309,'SegEnds_NonXtal_Prot#'!A:AL,16,FALSE)-VLOOKUP(A309,'SegEnds_NonXtal_Prot#'!A:AL,10,FALSE)</f>
        <v>55</v>
      </c>
      <c r="AE309" s="1" t="e">
        <f>VLOOKUP(A309,'SegEnds_NonXtal_Prot#'!A:AL,22,FALSE)-VLOOKUP(A309,'SegEnds_NonXtal_Prot#'!A:AL,19,FALSE)</f>
        <v>#VALUE!</v>
      </c>
      <c r="AF309" s="4">
        <f>VLOOKUP(A309,'SegEnds_NonXtal_Prot#'!A:AL,28,FALSE)-VLOOKUP(A309,'SegEnds_NonXtal_Prot#'!A:AL,25,FALSE)</f>
        <v>19</v>
      </c>
      <c r="AG309" s="1">
        <f>VLOOKUP(A309,'SegEnds_NonXtal_Prot#'!A:AL,28,FALSE)-VLOOKUP(A309,'SegEnds_NonXtal_Prot#'!A:AL,22,FALSE)</f>
        <v>41</v>
      </c>
      <c r="AH309" s="4">
        <f>VLOOKUP(A309,'SegEnds_NonXtal_Prot#'!A:AL,31,FALSE)-VLOOKUP(A309,'SegEnds_NonXtal_Prot#'!A:AL,28,FALSE)</f>
        <v>52</v>
      </c>
      <c r="AI309" s="4">
        <f>VLOOKUP(A309,'SegEnds_NonXtal_Prot#'!A:AL,34,FALSE)-VLOOKUP(A309,'SegEnds_NonXtal_Prot#'!A:AL,31,FALSE)</f>
        <v>29</v>
      </c>
      <c r="AJ309" s="1" t="str">
        <f>IF(ISERROR(MATCH(A309,'SegEnds_Xtal_Prot#'!B:B, 0)), "NoXtal", "Xtal")</f>
        <v>NoXtal</v>
      </c>
    </row>
    <row r="310" spans="1:36" s="4" customFormat="1" x14ac:dyDescent="0.2">
      <c r="A310" s="4" t="s">
        <v>413</v>
      </c>
      <c r="B310" s="4" t="str">
        <f>VLOOKUP(A310,Xtal_Templ!A:B,2,FALSE)</f>
        <v>glr_human</v>
      </c>
      <c r="C310" s="4">
        <f>VLOOKUP($B310&amp;"__wt",'SegEnds_Xtal_BW#'!$A:$Z,3,FALSE)</f>
        <v>25</v>
      </c>
      <c r="D310" s="4">
        <f>VLOOKUP($B310&amp;"__wt",'SegEnds_Xtal_BW#'!$A:$Z,4,FALSE)</f>
        <v>60</v>
      </c>
      <c r="E310" s="4">
        <f>VLOOKUP($B310&amp;"__wt",'SegEnds_Xtal_BW#'!$A:$Z,5,FALSE)</f>
        <v>48</v>
      </c>
      <c r="F310" s="4">
        <f>VLOOKUP($B310&amp;"__wt",'SegEnds_Xtal_BW#'!$A:$Z,6,FALSE)</f>
        <v>51</v>
      </c>
      <c r="G310" s="4">
        <v>37</v>
      </c>
      <c r="H310" s="119">
        <v>64</v>
      </c>
      <c r="I310" s="4" t="str">
        <f>VLOOKUP($B310&amp;"__wt",'SegEnds_Xtal_BW#'!$A:$Z,9,FALSE)</f>
        <v>-</v>
      </c>
      <c r="J310" s="4" t="str">
        <f>VLOOKUP($B310&amp;"__wt",'SegEnds_Xtal_BW#'!$A:$Z,10,FALSE)</f>
        <v>-</v>
      </c>
      <c r="K310" s="119">
        <v>23</v>
      </c>
      <c r="L310" s="4">
        <f>VLOOKUP($B310&amp;"__wt",'SegEnds_Xtal_BW#'!$A:$Z,12,FALSE)</f>
        <v>56</v>
      </c>
      <c r="M310" s="4" t="str">
        <f>VLOOKUP($B310&amp;"__wt",'SegEnds_Xtal_BW#'!$A:$Z,13,FALSE)</f>
        <v>-</v>
      </c>
      <c r="N310" s="11" t="str">
        <f>VLOOKUP($B310&amp;"__wt",'SegEnds_Xtal_BW#'!$A:$Z,14,FALSE)</f>
        <v>-</v>
      </c>
      <c r="O310" s="90">
        <f>VLOOKUP($B310&amp;"__wt",'SegEnds_Xtal_BW#'!$A:$Z,15,FALSE)</f>
        <v>40</v>
      </c>
      <c r="P310" s="4">
        <f>VLOOKUP($B310&amp;"__wt",'SegEnds_Xtal_BW#'!$A:$Z,16,FALSE)</f>
        <v>68</v>
      </c>
      <c r="Q310" s="4">
        <f>VLOOKUP($B310&amp;"__wt",'SegEnds_Xtal_BW#'!$A:$Z,17,FALSE)</f>
        <v>50</v>
      </c>
      <c r="R310" s="4">
        <f>VLOOKUP($B310&amp;"__wt",'SegEnds_Xtal_BW#'!$A:$Z,18,FALSE)</f>
        <v>52</v>
      </c>
      <c r="S310" s="119">
        <v>39</v>
      </c>
      <c r="T310" s="4">
        <v>69</v>
      </c>
      <c r="U310" s="4">
        <v>25</v>
      </c>
      <c r="V310" s="4">
        <f>VLOOKUP($B310&amp;"__wt",'SegEnds_Xtal_BW#'!$A:$Z,22,FALSE)</f>
        <v>53</v>
      </c>
      <c r="W310" s="4">
        <v>31</v>
      </c>
      <c r="X310" s="4">
        <f>VLOOKUP($B310&amp;"__wt",'SegEnds_Xtal_BW#'!$A:$Z,24,FALSE)</f>
        <v>56</v>
      </c>
      <c r="Y310" s="4">
        <f>VLOOKUP($B310&amp;"__wt",'SegEnds_Xtal_BW#'!$A:$Z,25,FALSE)</f>
        <v>47</v>
      </c>
      <c r="Z310" s="4">
        <f>VLOOKUP($B310&amp;"__wt",'SegEnds_Xtal_BW#'!$A:$Z,26,FALSE)</f>
        <v>72</v>
      </c>
      <c r="AA310" s="51" t="str">
        <f>VLOOKUP(A310,Classification!A:B,2,FALSE)</f>
        <v>B1</v>
      </c>
      <c r="AB310" s="4">
        <f>VLOOKUP(A310,'SegEnds_NonXtal_Prot#'!A:AL,10,FALSE)-VLOOKUP(A310,'SegEnds_NonXtal_Prot#'!A:AL,7,FALSE)</f>
        <v>15</v>
      </c>
      <c r="AC310" s="4" t="e">
        <f>VLOOKUP(A310,'SegEnds_NonXtal_Prot#'!A:AL,13,FALSE)-VLOOKUP(A310,'SegEnds_NonXtal_Prot#'!A:AL,10,FALSE)</f>
        <v>#VALUE!</v>
      </c>
      <c r="AD310" s="4">
        <f>VLOOKUP(A310,'SegEnds_NonXtal_Prot#'!A:AL,16,FALSE)-VLOOKUP(A310,'SegEnds_NonXtal_Prot#'!A:AL,10,FALSE)</f>
        <v>58</v>
      </c>
      <c r="AE310" s="4" t="e">
        <f>VLOOKUP(A310,'SegEnds_NonXtal_Prot#'!A:AL,22,FALSE)-VLOOKUP(A310,'SegEnds_NonXtal_Prot#'!A:AL,19,FALSE)</f>
        <v>#VALUE!</v>
      </c>
      <c r="AF310" s="4">
        <f>VLOOKUP(A310,'SegEnds_NonXtal_Prot#'!A:AL,28,FALSE)-VLOOKUP(A310,'SegEnds_NonXtal_Prot#'!A:AL,25,FALSE)</f>
        <v>20</v>
      </c>
      <c r="AG310" s="4">
        <f>VLOOKUP(A310,'SegEnds_NonXtal_Prot#'!A:AL,28,FALSE)-VLOOKUP(A310,'SegEnds_NonXtal_Prot#'!A:AL,22,FALSE)</f>
        <v>42</v>
      </c>
      <c r="AH310" s="4">
        <f>VLOOKUP(A310,'SegEnds_NonXtal_Prot#'!A:AL,31,FALSE)-VLOOKUP(A310,'SegEnds_NonXtal_Prot#'!A:AL,28,FALSE)</f>
        <v>52</v>
      </c>
      <c r="AI310" s="4">
        <f>VLOOKUP(A310,'SegEnds_NonXtal_Prot#'!A:AL,34,FALSE)-VLOOKUP(A310,'SegEnds_NonXtal_Prot#'!A:AL,31,FALSE)</f>
        <v>29</v>
      </c>
      <c r="AJ310" s="4" t="str">
        <f>IF(ISERROR(MATCH(A310,'SegEnds_Xtal_Prot#'!B:B, 0)), "NoXtal", "Xtal")</f>
        <v>NoXtal</v>
      </c>
    </row>
    <row r="311" spans="1:36" s="46" customFormat="1" x14ac:dyDescent="0.2">
      <c r="A311" s="46" t="s">
        <v>1430</v>
      </c>
      <c r="B311" s="46" t="str">
        <f>VLOOKUP(A311,Xtal_Templ!A:B,2,FALSE)</f>
        <v>g1sgd4_rabit</v>
      </c>
      <c r="C311" s="47">
        <f>VLOOKUP($B311&amp;"__wt",'SegEnds_Xtal_BW#'!$A:$Z,3,FALSE)</f>
        <v>28</v>
      </c>
      <c r="D311" s="46">
        <f>VLOOKUP($B311&amp;"__wt",'SegEnds_Xtal_BW#'!$A:$Z,4,FALSE)</f>
        <v>60</v>
      </c>
      <c r="E311" s="46">
        <f>VLOOKUP($B311&amp;"__wt",'SegEnds_Xtal_BW#'!$A:$Z,5,FALSE)</f>
        <v>48</v>
      </c>
      <c r="F311" s="46">
        <f>VLOOKUP($B311&amp;"__wt",'SegEnds_Xtal_BW#'!$A:$Z,6,FALSE)</f>
        <v>51</v>
      </c>
      <c r="G311" s="46">
        <v>37</v>
      </c>
      <c r="H311" s="121">
        <v>74</v>
      </c>
      <c r="I311" s="46" t="str">
        <f>VLOOKUP($B311&amp;"__wt",'SegEnds_Xtal_BW#'!$A:$Z,9,FALSE)</f>
        <v>-</v>
      </c>
      <c r="J311" s="46" t="str">
        <f>VLOOKUP($B311&amp;"__wt",'SegEnds_Xtal_BW#'!$A:$Z,10,FALSE)</f>
        <v>-</v>
      </c>
      <c r="K311" s="121">
        <v>23</v>
      </c>
      <c r="L311" s="46">
        <f>VLOOKUP($B311&amp;"__wt",'SegEnds_Xtal_BW#'!$A:$Z,12,FALSE)</f>
        <v>56</v>
      </c>
      <c r="M311" s="46" t="str">
        <f>VLOOKUP($B311&amp;"__wt",'SegEnds_Xtal_BW#'!$A:$Z,13,FALSE)</f>
        <v>-</v>
      </c>
      <c r="N311" s="105" t="str">
        <f>VLOOKUP($B311&amp;"__wt",'SegEnds_Xtal_BW#'!$A:$Z,14,FALSE)</f>
        <v>-</v>
      </c>
      <c r="O311" s="92">
        <f>VLOOKUP($B311&amp;"__wt",'SegEnds_Xtal_BW#'!$A:$Z,15,FALSE)</f>
        <v>37</v>
      </c>
      <c r="P311" s="46">
        <f>VLOOKUP($B311&amp;"__wt",'SegEnds_Xtal_BW#'!$A:$Z,16,FALSE)</f>
        <v>68</v>
      </c>
      <c r="Q311" s="46">
        <f>VLOOKUP($B311&amp;"__wt",'SegEnds_Xtal_BW#'!$A:$Z,17,FALSE)</f>
        <v>50</v>
      </c>
      <c r="R311" s="46">
        <f>VLOOKUP($B311&amp;"__wt",'SegEnds_Xtal_BW#'!$A:$Z,18,FALSE)</f>
        <v>52</v>
      </c>
      <c r="S311" s="121">
        <v>39</v>
      </c>
      <c r="T311" s="46">
        <f>VLOOKUP($B311&amp;"__wt",'SegEnds_Xtal_BW#'!$A:$Z,20,FALSE)</f>
        <v>71</v>
      </c>
      <c r="U311" s="46">
        <f>VLOOKUP($B311&amp;"__wt",'SegEnds_Xtal_BW#'!$A:$Z,21,FALSE)</f>
        <v>30</v>
      </c>
      <c r="V311" s="46">
        <f>VLOOKUP($B311&amp;"__wt",'SegEnds_Xtal_BW#'!$A:$Z,22,FALSE)</f>
        <v>53</v>
      </c>
      <c r="W311" s="121">
        <v>30</v>
      </c>
      <c r="X311" s="46">
        <f>VLOOKUP($B311&amp;"__wt",'SegEnds_Xtal_BW#'!$A:$Z,24,FALSE)</f>
        <v>56</v>
      </c>
      <c r="Y311" s="46">
        <f>VLOOKUP($B311&amp;"__wt",'SegEnds_Xtal_BW#'!$A:$Z,25,FALSE)</f>
        <v>47</v>
      </c>
      <c r="Z311" s="46">
        <f>VLOOKUP($B311&amp;"__wt",'SegEnds_Xtal_BW#'!$A:$Z,26,FALSE)</f>
        <v>72</v>
      </c>
      <c r="AA311" s="48" t="str">
        <f>VLOOKUP(A311,Classification!A:B,2,FALSE)</f>
        <v>B1</v>
      </c>
      <c r="AB311" s="46">
        <f>VLOOKUP(A311,'SegEnds_NonXtal_Prot#'!A:AL,10,FALSE)-VLOOKUP(A311,'SegEnds_NonXtal_Prot#'!A:AL,7,FALSE)</f>
        <v>15</v>
      </c>
      <c r="AC311" s="46" t="e">
        <f>VLOOKUP(A311,'SegEnds_NonXtal_Prot#'!A:AL,13,FALSE)-VLOOKUP(A311,'SegEnds_NonXtal_Prot#'!A:AL,10,FALSE)</f>
        <v>#VALUE!</v>
      </c>
      <c r="AD311" s="46">
        <f>VLOOKUP(A311,'SegEnds_NonXtal_Prot#'!A:AL,16,FALSE)-VLOOKUP(A311,'SegEnds_NonXtal_Prot#'!A:AL,10,FALSE)</f>
        <v>64</v>
      </c>
      <c r="AE311" s="46" t="e">
        <f>VLOOKUP(A311,'SegEnds_NonXtal_Prot#'!A:AL,22,FALSE)-VLOOKUP(A311,'SegEnds_NonXtal_Prot#'!A:AL,19,FALSE)</f>
        <v>#VALUE!</v>
      </c>
      <c r="AF311" s="46">
        <f>VLOOKUP(A311,'SegEnds_NonXtal_Prot#'!A:AL,28,FALSE)-VLOOKUP(A311,'SegEnds_NonXtal_Prot#'!A:AL,25,FALSE)</f>
        <v>20</v>
      </c>
      <c r="AG311" s="46">
        <f>VLOOKUP(A311,'SegEnds_NonXtal_Prot#'!A:AL,28,FALSE)-VLOOKUP(A311,'SegEnds_NonXtal_Prot#'!A:AL,22,FALSE)</f>
        <v>42</v>
      </c>
      <c r="AH311" s="46">
        <f>VLOOKUP(A311,'SegEnds_NonXtal_Prot#'!A:AL,31,FALSE)-VLOOKUP(A311,'SegEnds_NonXtal_Prot#'!A:AL,28,FALSE)</f>
        <v>50</v>
      </c>
      <c r="AI311" s="46">
        <f>VLOOKUP(A311,'SegEnds_NonXtal_Prot#'!A:AL,34,FALSE)-VLOOKUP(A311,'SegEnds_NonXtal_Prot#'!A:AL,31,FALSE)</f>
        <v>33</v>
      </c>
      <c r="AJ311" s="46" t="str">
        <f>IF(ISERROR(MATCH(A311,'SegEnds_Xtal_Prot#'!B:B, 0)), "NoXtal", "Xtal")</f>
        <v>Xtal</v>
      </c>
    </row>
    <row r="312" spans="1:36" x14ac:dyDescent="0.2">
      <c r="A312" s="1" t="s">
        <v>1177</v>
      </c>
      <c r="B312" s="1" t="str">
        <f>VLOOKUP(A312,Xtal_Templ!A:B,2,FALSE)</f>
        <v>crfr1_human</v>
      </c>
      <c r="C312" s="5">
        <v>23</v>
      </c>
      <c r="D312" s="1">
        <f>VLOOKUP($B312&amp;"__wt",'SegEnds_Xtal_BW#'!$A:$Z,4,FALSE)</f>
        <v>60</v>
      </c>
      <c r="E312" s="1">
        <f>VLOOKUP($B312&amp;"__wt",'SegEnds_Xtal_BW#'!$A:$Z,5,FALSE)</f>
        <v>48</v>
      </c>
      <c r="F312" s="1">
        <f>VLOOKUP($B312&amp;"__wt",'SegEnds_Xtal_BW#'!$A:$Z,6,FALSE)</f>
        <v>51</v>
      </c>
      <c r="G312" s="1">
        <v>37</v>
      </c>
      <c r="H312" s="12">
        <v>63</v>
      </c>
      <c r="I312" s="1" t="str">
        <f>VLOOKUP($B312&amp;"__wt",'SegEnds_Xtal_BW#'!$A:$Z,9,FALSE)</f>
        <v>-</v>
      </c>
      <c r="J312" s="1" t="str">
        <f>VLOOKUP($B312&amp;"__wt",'SegEnds_Xtal_BW#'!$A:$Z,10,FALSE)</f>
        <v>-</v>
      </c>
      <c r="K312" s="12">
        <v>23</v>
      </c>
      <c r="L312" s="1">
        <f>VLOOKUP($B312&amp;"__wt",'SegEnds_Xtal_BW#'!$A:$Z,12,FALSE)</f>
        <v>56</v>
      </c>
      <c r="M312" s="1" t="str">
        <f>VLOOKUP($B312&amp;"__wt",'SegEnds_Xtal_BW#'!$A:$Z,13,FALSE)</f>
        <v>-</v>
      </c>
      <c r="N312" s="12" t="str">
        <f>VLOOKUP($B312&amp;"__wt",'SegEnds_Xtal_BW#'!$A:$Z,14,FALSE)</f>
        <v>-</v>
      </c>
      <c r="O312" s="89">
        <f>VLOOKUP($B312&amp;"__wt",'SegEnds_Xtal_BW#'!$A:$Z,15,FALSE)</f>
        <v>40</v>
      </c>
      <c r="P312" s="1">
        <f>VLOOKUP($B312&amp;"__wt",'SegEnds_Xtal_BW#'!$A:$Z,16,FALSE)</f>
        <v>68</v>
      </c>
      <c r="Q312" s="1">
        <f>VLOOKUP($B312&amp;"__wt",'SegEnds_Xtal_BW#'!$A:$Z,17,FALSE)</f>
        <v>50</v>
      </c>
      <c r="R312" s="1">
        <f>VLOOKUP($B312&amp;"__wt",'SegEnds_Xtal_BW#'!$A:$Z,18,FALSE)</f>
        <v>52</v>
      </c>
      <c r="S312" s="1">
        <v>36</v>
      </c>
      <c r="T312" s="1">
        <v>69</v>
      </c>
      <c r="U312" s="1">
        <v>29</v>
      </c>
      <c r="V312" s="1">
        <f>VLOOKUP($B312&amp;"__wt",'SegEnds_Xtal_BW#'!$A:$Z,22,FALSE)</f>
        <v>53</v>
      </c>
      <c r="W312" s="1">
        <v>29</v>
      </c>
      <c r="X312" s="1">
        <f>VLOOKUP($B312&amp;"__wt",'SegEnds_Xtal_BW#'!$A:$Z,24,FALSE)</f>
        <v>56</v>
      </c>
      <c r="Y312" s="1">
        <f>VLOOKUP($B312&amp;"__wt",'SegEnds_Xtal_BW#'!$A:$Z,25,FALSE)</f>
        <v>47</v>
      </c>
      <c r="Z312" s="1">
        <v>63</v>
      </c>
      <c r="AA312" s="27" t="str">
        <f>VLOOKUP(A312,Classification!A:B,2,FALSE)</f>
        <v>B2</v>
      </c>
      <c r="AB312" s="1" t="e">
        <f>VLOOKUP(A312,'SegEnds_NonXtal_Prot#'!A:AL,10,FALSE)-VLOOKUP(A312,'SegEnds_NonXtal_Prot#'!A:AL,7,FALSE)</f>
        <v>#VALUE!</v>
      </c>
      <c r="AC312" s="1" t="e">
        <f>VLOOKUP(A312,'SegEnds_NonXtal_Prot#'!A:AL,13,FALSE)-VLOOKUP(A312,'SegEnds_NonXtal_Prot#'!A:AL,10,FALSE)</f>
        <v>#VALUE!</v>
      </c>
      <c r="AD312" s="1">
        <f>VLOOKUP(A312,'SegEnds_NonXtal_Prot#'!A:AL,16,FALSE)-VLOOKUP(A312,'SegEnds_NonXtal_Prot#'!A:AL,10,FALSE)</f>
        <v>47</v>
      </c>
      <c r="AE312" s="1" t="e">
        <f>VLOOKUP(A312,'SegEnds_NonXtal_Prot#'!A:AL,22,FALSE)-VLOOKUP(A312,'SegEnds_NonXtal_Prot#'!A:AL,19,FALSE)</f>
        <v>#VALUE!</v>
      </c>
      <c r="AF312" s="1">
        <f>VLOOKUP(A312,'SegEnds_NonXtal_Prot#'!A:AL,28,FALSE)-VLOOKUP(A312,'SegEnds_NonXtal_Prot#'!A:AL,25,FALSE)</f>
        <v>18</v>
      </c>
      <c r="AG312" s="1">
        <f>VLOOKUP(A312,'SegEnds_NonXtal_Prot#'!A:AL,28,FALSE)-VLOOKUP(A312,'SegEnds_NonXtal_Prot#'!A:AL,22,FALSE)</f>
        <v>46</v>
      </c>
      <c r="AH312" s="1">
        <f>VLOOKUP(A312,'SegEnds_NonXtal_Prot#'!A:AL,31,FALSE)-VLOOKUP(A312,'SegEnds_NonXtal_Prot#'!A:AL,28,FALSE)</f>
        <v>86</v>
      </c>
      <c r="AI312" s="1">
        <f>VLOOKUP(A312,'SegEnds_NonXtal_Prot#'!A:AL,34,FALSE)-VLOOKUP(A312,'SegEnds_NonXtal_Prot#'!A:AL,31,FALSE)</f>
        <v>31</v>
      </c>
      <c r="AJ312" s="1" t="str">
        <f>IF(ISERROR(MATCH(A312,'SegEnds_Xtal_Prot#'!B:B, 0)), "NoXtal", "Xtal")</f>
        <v>NoXtal</v>
      </c>
    </row>
    <row r="313" spans="1:36" x14ac:dyDescent="0.2">
      <c r="A313" s="4" t="s">
        <v>1178</v>
      </c>
      <c r="B313" s="4" t="str">
        <f>VLOOKUP(A313,Xtal_Templ!A:B,2,FALSE)</f>
        <v>crfr1_human</v>
      </c>
      <c r="C313" s="5">
        <v>23</v>
      </c>
      <c r="D313" s="4">
        <f>VLOOKUP($B313&amp;"__wt",'SegEnds_Xtal_BW#'!$A:$Z,4,FALSE)</f>
        <v>60</v>
      </c>
      <c r="E313" s="4">
        <f>VLOOKUP($B313&amp;"__wt",'SegEnds_Xtal_BW#'!$A:$Z,5,FALSE)</f>
        <v>48</v>
      </c>
      <c r="F313" s="4">
        <f>VLOOKUP($B313&amp;"__wt",'SegEnds_Xtal_BW#'!$A:$Z,6,FALSE)</f>
        <v>51</v>
      </c>
      <c r="G313" s="4">
        <v>37</v>
      </c>
      <c r="H313" s="11">
        <v>63</v>
      </c>
      <c r="I313" s="4" t="str">
        <f>VLOOKUP($B313&amp;"__wt",'SegEnds_Xtal_BW#'!$A:$Z,9,FALSE)</f>
        <v>-</v>
      </c>
      <c r="J313" s="4" t="str">
        <f>VLOOKUP($B313&amp;"__wt",'SegEnds_Xtal_BW#'!$A:$Z,10,FALSE)</f>
        <v>-</v>
      </c>
      <c r="K313" s="11">
        <v>23</v>
      </c>
      <c r="L313" s="4">
        <f>VLOOKUP($B313&amp;"__wt",'SegEnds_Xtal_BW#'!$A:$Z,12,FALSE)</f>
        <v>56</v>
      </c>
      <c r="M313" s="4" t="str">
        <f>VLOOKUP($B313&amp;"__wt",'SegEnds_Xtal_BW#'!$A:$Z,13,FALSE)</f>
        <v>-</v>
      </c>
      <c r="N313" s="11" t="str">
        <f>VLOOKUP($B313&amp;"__wt",'SegEnds_Xtal_BW#'!$A:$Z,14,FALSE)</f>
        <v>-</v>
      </c>
      <c r="O313" s="90">
        <f>VLOOKUP($B313&amp;"__wt",'SegEnds_Xtal_BW#'!$A:$Z,15,FALSE)</f>
        <v>40</v>
      </c>
      <c r="P313" s="4">
        <f>VLOOKUP($B313&amp;"__wt",'SegEnds_Xtal_BW#'!$A:$Z,16,FALSE)</f>
        <v>68</v>
      </c>
      <c r="Q313" s="4">
        <f>VLOOKUP($B313&amp;"__wt",'SegEnds_Xtal_BW#'!$A:$Z,17,FALSE)</f>
        <v>50</v>
      </c>
      <c r="R313" s="4">
        <f>VLOOKUP($B313&amp;"__wt",'SegEnds_Xtal_BW#'!$A:$Z,18,FALSE)</f>
        <v>52</v>
      </c>
      <c r="S313" s="4">
        <v>36</v>
      </c>
      <c r="T313" s="4">
        <v>69</v>
      </c>
      <c r="U313" s="4">
        <v>29</v>
      </c>
      <c r="V313" s="4">
        <f>VLOOKUP($B313&amp;"__wt",'SegEnds_Xtal_BW#'!$A:$Z,22,FALSE)</f>
        <v>53</v>
      </c>
      <c r="W313" s="4">
        <v>29</v>
      </c>
      <c r="X313" s="4">
        <f>VLOOKUP($B313&amp;"__wt",'SegEnds_Xtal_BW#'!$A:$Z,24,FALSE)</f>
        <v>56</v>
      </c>
      <c r="Y313" s="4">
        <f>VLOOKUP($B313&amp;"__wt",'SegEnds_Xtal_BW#'!$A:$Z,25,FALSE)</f>
        <v>47</v>
      </c>
      <c r="Z313" s="4">
        <v>63</v>
      </c>
      <c r="AA313" s="27" t="str">
        <f>VLOOKUP(A313,Classification!A:B,2,FALSE)</f>
        <v>B2</v>
      </c>
      <c r="AB313" s="4" t="e">
        <f>VLOOKUP(A313,'SegEnds_NonXtal_Prot#'!A:AL,10,FALSE)-VLOOKUP(A313,'SegEnds_NonXtal_Prot#'!A:AL,7,FALSE)</f>
        <v>#VALUE!</v>
      </c>
      <c r="AC313" s="4" t="e">
        <f>VLOOKUP(A313,'SegEnds_NonXtal_Prot#'!A:AL,13,FALSE)-VLOOKUP(A313,'SegEnds_NonXtal_Prot#'!A:AL,10,FALSE)</f>
        <v>#VALUE!</v>
      </c>
      <c r="AD313" s="4">
        <f>VLOOKUP(A313,'SegEnds_NonXtal_Prot#'!A:AL,16,FALSE)-VLOOKUP(A313,'SegEnds_NonXtal_Prot#'!A:AL,10,FALSE)</f>
        <v>47</v>
      </c>
      <c r="AE313" s="1" t="e">
        <f>VLOOKUP(A313,'SegEnds_NonXtal_Prot#'!A:AL,22,FALSE)-VLOOKUP(A313,'SegEnds_NonXtal_Prot#'!A:AL,19,FALSE)</f>
        <v>#VALUE!</v>
      </c>
      <c r="AF313" s="4">
        <f>VLOOKUP(A313,'SegEnds_NonXtal_Prot#'!A:AL,28,FALSE)-VLOOKUP(A313,'SegEnds_NonXtal_Prot#'!A:AL,25,FALSE)</f>
        <v>18</v>
      </c>
      <c r="AG313" s="1">
        <f>VLOOKUP(A313,'SegEnds_NonXtal_Prot#'!A:AL,28,FALSE)-VLOOKUP(A313,'SegEnds_NonXtal_Prot#'!A:AL,22,FALSE)</f>
        <v>43</v>
      </c>
      <c r="AH313" s="4">
        <f>VLOOKUP(A313,'SegEnds_NonXtal_Prot#'!A:AL,31,FALSE)-VLOOKUP(A313,'SegEnds_NonXtal_Prot#'!A:AL,28,FALSE)</f>
        <v>100</v>
      </c>
      <c r="AI313" s="4">
        <f>VLOOKUP(A313,'SegEnds_NonXtal_Prot#'!A:AL,34,FALSE)-VLOOKUP(A313,'SegEnds_NonXtal_Prot#'!A:AL,31,FALSE)</f>
        <v>31</v>
      </c>
      <c r="AJ313" s="1" t="str">
        <f>IF(ISERROR(MATCH(A313,'SegEnds_Xtal_Prot#'!B:B, 0)), "NoXtal", "Xtal")</f>
        <v>NoXtal</v>
      </c>
    </row>
    <row r="314" spans="1:36" x14ac:dyDescent="0.2">
      <c r="A314" s="1" t="s">
        <v>1179</v>
      </c>
      <c r="B314" s="1" t="str">
        <f>VLOOKUP(A314,Xtal_Templ!A:B,2,FALSE)</f>
        <v>crfr1_human</v>
      </c>
      <c r="C314" s="5">
        <v>23</v>
      </c>
      <c r="D314" s="1">
        <f>VLOOKUP($B314&amp;"__wt",'SegEnds_Xtal_BW#'!$A:$Z,4,FALSE)</f>
        <v>60</v>
      </c>
      <c r="E314" s="1">
        <f>VLOOKUP($B314&amp;"__wt",'SegEnds_Xtal_BW#'!$A:$Z,5,FALSE)</f>
        <v>48</v>
      </c>
      <c r="F314" s="1">
        <f>VLOOKUP($B314&amp;"__wt",'SegEnds_Xtal_BW#'!$A:$Z,6,FALSE)</f>
        <v>51</v>
      </c>
      <c r="G314" s="1">
        <v>37</v>
      </c>
      <c r="H314" s="12">
        <v>63</v>
      </c>
      <c r="I314" s="1" t="str">
        <f>VLOOKUP($B314&amp;"__wt",'SegEnds_Xtal_BW#'!$A:$Z,9,FALSE)</f>
        <v>-</v>
      </c>
      <c r="J314" s="1" t="str">
        <f>VLOOKUP($B314&amp;"__wt",'SegEnds_Xtal_BW#'!$A:$Z,10,FALSE)</f>
        <v>-</v>
      </c>
      <c r="K314" s="12">
        <v>23</v>
      </c>
      <c r="L314" s="1">
        <f>VLOOKUP($B314&amp;"__wt",'SegEnds_Xtal_BW#'!$A:$Z,12,FALSE)</f>
        <v>56</v>
      </c>
      <c r="M314" s="1" t="str">
        <f>VLOOKUP($B314&amp;"__wt",'SegEnds_Xtal_BW#'!$A:$Z,13,FALSE)</f>
        <v>-</v>
      </c>
      <c r="N314" s="12" t="str">
        <f>VLOOKUP($B314&amp;"__wt",'SegEnds_Xtal_BW#'!$A:$Z,14,FALSE)</f>
        <v>-</v>
      </c>
      <c r="O314" s="89">
        <f>VLOOKUP($B314&amp;"__wt",'SegEnds_Xtal_BW#'!$A:$Z,15,FALSE)</f>
        <v>40</v>
      </c>
      <c r="P314" s="1">
        <f>VLOOKUP($B314&amp;"__wt",'SegEnds_Xtal_BW#'!$A:$Z,16,FALSE)</f>
        <v>68</v>
      </c>
      <c r="Q314" s="1">
        <f>VLOOKUP($B314&amp;"__wt",'SegEnds_Xtal_BW#'!$A:$Z,17,FALSE)</f>
        <v>50</v>
      </c>
      <c r="R314" s="1">
        <f>VLOOKUP($B314&amp;"__wt",'SegEnds_Xtal_BW#'!$A:$Z,18,FALSE)</f>
        <v>52</v>
      </c>
      <c r="S314" s="1">
        <v>36</v>
      </c>
      <c r="T314" s="1">
        <v>69</v>
      </c>
      <c r="U314" s="1">
        <v>29</v>
      </c>
      <c r="V314" s="1">
        <f>VLOOKUP($B314&amp;"__wt",'SegEnds_Xtal_BW#'!$A:$Z,22,FALSE)</f>
        <v>53</v>
      </c>
      <c r="W314" s="1">
        <v>29</v>
      </c>
      <c r="X314" s="1">
        <f>VLOOKUP($B314&amp;"__wt",'SegEnds_Xtal_BW#'!$A:$Z,24,FALSE)</f>
        <v>56</v>
      </c>
      <c r="Y314" s="1">
        <f>VLOOKUP($B314&amp;"__wt",'SegEnds_Xtal_BW#'!$A:$Z,25,FALSE)</f>
        <v>47</v>
      </c>
      <c r="Z314" s="1">
        <v>63</v>
      </c>
      <c r="AA314" s="27" t="str">
        <f>VLOOKUP(A314,Classification!A:B,2,FALSE)</f>
        <v>B2</v>
      </c>
      <c r="AB314" s="1" t="e">
        <f>VLOOKUP(A314,'SegEnds_NonXtal_Prot#'!A:AL,10,FALSE)-VLOOKUP(A314,'SegEnds_NonXtal_Prot#'!A:AL,7,FALSE)</f>
        <v>#VALUE!</v>
      </c>
      <c r="AC314" s="1" t="e">
        <f>VLOOKUP(A314,'SegEnds_NonXtal_Prot#'!A:AL,13,FALSE)-VLOOKUP(A314,'SegEnds_NonXtal_Prot#'!A:AL,10,FALSE)</f>
        <v>#VALUE!</v>
      </c>
      <c r="AD314" s="1">
        <f>VLOOKUP(A314,'SegEnds_NonXtal_Prot#'!A:AL,16,FALSE)-VLOOKUP(A314,'SegEnds_NonXtal_Prot#'!A:AL,10,FALSE)</f>
        <v>47</v>
      </c>
      <c r="AE314" s="1" t="e">
        <f>VLOOKUP(A314,'SegEnds_NonXtal_Prot#'!A:AL,22,FALSE)-VLOOKUP(A314,'SegEnds_NonXtal_Prot#'!A:AL,19,FALSE)</f>
        <v>#VALUE!</v>
      </c>
      <c r="AF314" s="1">
        <f>VLOOKUP(A314,'SegEnds_NonXtal_Prot#'!A:AL,28,FALSE)-VLOOKUP(A314,'SegEnds_NonXtal_Prot#'!A:AL,25,FALSE)</f>
        <v>18</v>
      </c>
      <c r="AG314" s="1">
        <f>VLOOKUP(A314,'SegEnds_NonXtal_Prot#'!A:AL,28,FALSE)-VLOOKUP(A314,'SegEnds_NonXtal_Prot#'!A:AL,22,FALSE)</f>
        <v>45</v>
      </c>
      <c r="AH314" s="1">
        <f>VLOOKUP(A314,'SegEnds_NonXtal_Prot#'!A:AL,31,FALSE)-VLOOKUP(A314,'SegEnds_NonXtal_Prot#'!A:AL,28,FALSE)</f>
        <v>85</v>
      </c>
      <c r="AI314" s="1">
        <f>VLOOKUP(A314,'SegEnds_NonXtal_Prot#'!A:AL,34,FALSE)-VLOOKUP(A314,'SegEnds_NonXtal_Prot#'!A:AL,31,FALSE)</f>
        <v>31</v>
      </c>
      <c r="AJ314" s="1" t="str">
        <f>IF(ISERROR(MATCH(A314,'SegEnds_Xtal_Prot#'!B:B, 0)), "NoXtal", "Xtal")</f>
        <v>NoXtal</v>
      </c>
    </row>
    <row r="315" spans="1:36" x14ac:dyDescent="0.2">
      <c r="A315" s="1" t="s">
        <v>1180</v>
      </c>
      <c r="B315" s="1" t="str">
        <f>VLOOKUP(A315,Xtal_Templ!A:B,2,FALSE)</f>
        <v>crfr1_human</v>
      </c>
      <c r="C315" s="5">
        <v>23</v>
      </c>
      <c r="D315" s="1">
        <f>VLOOKUP($B315&amp;"__wt",'SegEnds_Xtal_BW#'!$A:$Z,4,FALSE)</f>
        <v>60</v>
      </c>
      <c r="E315" s="1">
        <f>VLOOKUP($B315&amp;"__wt",'SegEnds_Xtal_BW#'!$A:$Z,5,FALSE)</f>
        <v>48</v>
      </c>
      <c r="F315" s="1">
        <f>VLOOKUP($B315&amp;"__wt",'SegEnds_Xtal_BW#'!$A:$Z,6,FALSE)</f>
        <v>51</v>
      </c>
      <c r="G315" s="1">
        <v>37</v>
      </c>
      <c r="H315" s="12">
        <v>63</v>
      </c>
      <c r="I315" s="1" t="str">
        <f>VLOOKUP($B315&amp;"__wt",'SegEnds_Xtal_BW#'!$A:$Z,9,FALSE)</f>
        <v>-</v>
      </c>
      <c r="J315" s="1" t="str">
        <f>VLOOKUP($B315&amp;"__wt",'SegEnds_Xtal_BW#'!$A:$Z,10,FALSE)</f>
        <v>-</v>
      </c>
      <c r="K315" s="12">
        <v>23</v>
      </c>
      <c r="L315" s="1">
        <f>VLOOKUP($B315&amp;"__wt",'SegEnds_Xtal_BW#'!$A:$Z,12,FALSE)</f>
        <v>56</v>
      </c>
      <c r="M315" s="1" t="str">
        <f>VLOOKUP($B315&amp;"__wt",'SegEnds_Xtal_BW#'!$A:$Z,13,FALSE)</f>
        <v>-</v>
      </c>
      <c r="N315" s="12" t="str">
        <f>VLOOKUP($B315&amp;"__wt",'SegEnds_Xtal_BW#'!$A:$Z,14,FALSE)</f>
        <v>-</v>
      </c>
      <c r="O315" s="89">
        <f>VLOOKUP($B315&amp;"__wt",'SegEnds_Xtal_BW#'!$A:$Z,15,FALSE)</f>
        <v>40</v>
      </c>
      <c r="P315" s="1">
        <f>VLOOKUP($B315&amp;"__wt",'SegEnds_Xtal_BW#'!$A:$Z,16,FALSE)</f>
        <v>68</v>
      </c>
      <c r="Q315" s="1">
        <f>VLOOKUP($B315&amp;"__wt",'SegEnds_Xtal_BW#'!$A:$Z,17,FALSE)</f>
        <v>50</v>
      </c>
      <c r="R315" s="1">
        <f>VLOOKUP($B315&amp;"__wt",'SegEnds_Xtal_BW#'!$A:$Z,18,FALSE)</f>
        <v>52</v>
      </c>
      <c r="S315" s="1">
        <v>36</v>
      </c>
      <c r="T315" s="1">
        <v>69</v>
      </c>
      <c r="U315" s="1">
        <v>29</v>
      </c>
      <c r="V315" s="1">
        <f>VLOOKUP($B315&amp;"__wt",'SegEnds_Xtal_BW#'!$A:$Z,22,FALSE)</f>
        <v>53</v>
      </c>
      <c r="W315" s="1">
        <v>31</v>
      </c>
      <c r="X315" s="1">
        <f>VLOOKUP($B315&amp;"__wt",'SegEnds_Xtal_BW#'!$A:$Z,24,FALSE)</f>
        <v>56</v>
      </c>
      <c r="Y315" s="1">
        <f>VLOOKUP($B315&amp;"__wt",'SegEnds_Xtal_BW#'!$A:$Z,25,FALSE)</f>
        <v>47</v>
      </c>
      <c r="Z315" s="1">
        <v>63</v>
      </c>
      <c r="AA315" s="27" t="str">
        <f>VLOOKUP(A315,Classification!A:B,2,FALSE)</f>
        <v>B2</v>
      </c>
      <c r="AB315" s="1" t="e">
        <f>VLOOKUP(A315,'SegEnds_NonXtal_Prot#'!A:AL,10,FALSE)-VLOOKUP(A315,'SegEnds_NonXtal_Prot#'!A:AL,7,FALSE)</f>
        <v>#VALUE!</v>
      </c>
      <c r="AC315" s="1" t="e">
        <f>VLOOKUP(A315,'SegEnds_NonXtal_Prot#'!A:AL,13,FALSE)-VLOOKUP(A315,'SegEnds_NonXtal_Prot#'!A:AL,10,FALSE)</f>
        <v>#VALUE!</v>
      </c>
      <c r="AD315" s="1">
        <f>VLOOKUP(A315,'SegEnds_NonXtal_Prot#'!A:AL,16,FALSE)-VLOOKUP(A315,'SegEnds_NonXtal_Prot#'!A:AL,10,FALSE)</f>
        <v>45</v>
      </c>
      <c r="AE315" s="1" t="e">
        <f>VLOOKUP(A315,'SegEnds_NonXtal_Prot#'!A:AL,22,FALSE)-VLOOKUP(A315,'SegEnds_NonXtal_Prot#'!A:AL,19,FALSE)</f>
        <v>#VALUE!</v>
      </c>
      <c r="AF315" s="1">
        <f>VLOOKUP(A315,'SegEnds_NonXtal_Prot#'!A:AL,28,FALSE)-VLOOKUP(A315,'SegEnds_NonXtal_Prot#'!A:AL,25,FALSE)</f>
        <v>19</v>
      </c>
      <c r="AG315" s="1">
        <f>VLOOKUP(A315,'SegEnds_NonXtal_Prot#'!A:AL,28,FALSE)-VLOOKUP(A315,'SegEnds_NonXtal_Prot#'!A:AL,22,FALSE)</f>
        <v>44</v>
      </c>
      <c r="AH315" s="1">
        <f>VLOOKUP(A315,'SegEnds_NonXtal_Prot#'!A:AL,31,FALSE)-VLOOKUP(A315,'SegEnds_NonXtal_Prot#'!A:AL,28,FALSE)</f>
        <v>83</v>
      </c>
      <c r="AI315" s="1">
        <f>VLOOKUP(A315,'SegEnds_NonXtal_Prot#'!A:AL,34,FALSE)-VLOOKUP(A315,'SegEnds_NonXtal_Prot#'!A:AL,31,FALSE)</f>
        <v>29</v>
      </c>
      <c r="AJ315" s="1" t="str">
        <f>IF(ISERROR(MATCH(A315,'SegEnds_Xtal_Prot#'!B:B, 0)), "NoXtal", "Xtal")</f>
        <v>NoXtal</v>
      </c>
    </row>
    <row r="316" spans="1:36" x14ac:dyDescent="0.2">
      <c r="A316" s="1" t="s">
        <v>1181</v>
      </c>
      <c r="B316" s="1" t="str">
        <f>VLOOKUP(A316,Xtal_Templ!A:B,2,FALSE)</f>
        <v>crfr1_human</v>
      </c>
      <c r="C316" s="5">
        <v>23</v>
      </c>
      <c r="D316" s="1">
        <f>VLOOKUP($B316&amp;"__wt",'SegEnds_Xtal_BW#'!$A:$Z,4,FALSE)</f>
        <v>60</v>
      </c>
      <c r="E316" s="1">
        <f>VLOOKUP($B316&amp;"__wt",'SegEnds_Xtal_BW#'!$A:$Z,5,FALSE)</f>
        <v>48</v>
      </c>
      <c r="F316" s="1">
        <f>VLOOKUP($B316&amp;"__wt",'SegEnds_Xtal_BW#'!$A:$Z,6,FALSE)</f>
        <v>51</v>
      </c>
      <c r="G316" s="1">
        <v>37</v>
      </c>
      <c r="H316" s="12">
        <v>63</v>
      </c>
      <c r="I316" s="1" t="str">
        <f>VLOOKUP($B316&amp;"__wt",'SegEnds_Xtal_BW#'!$A:$Z,9,FALSE)</f>
        <v>-</v>
      </c>
      <c r="J316" s="1" t="str">
        <f>VLOOKUP($B316&amp;"__wt",'SegEnds_Xtal_BW#'!$A:$Z,10,FALSE)</f>
        <v>-</v>
      </c>
      <c r="K316" s="12">
        <v>23</v>
      </c>
      <c r="L316" s="1">
        <f>VLOOKUP($B316&amp;"__wt",'SegEnds_Xtal_BW#'!$A:$Z,12,FALSE)</f>
        <v>56</v>
      </c>
      <c r="M316" s="1" t="str">
        <f>VLOOKUP($B316&amp;"__wt",'SegEnds_Xtal_BW#'!$A:$Z,13,FALSE)</f>
        <v>-</v>
      </c>
      <c r="N316" s="12" t="str">
        <f>VLOOKUP($B316&amp;"__wt",'SegEnds_Xtal_BW#'!$A:$Z,14,FALSE)</f>
        <v>-</v>
      </c>
      <c r="O316" s="89">
        <f>VLOOKUP($B316&amp;"__wt",'SegEnds_Xtal_BW#'!$A:$Z,15,FALSE)</f>
        <v>40</v>
      </c>
      <c r="P316" s="1">
        <f>VLOOKUP($B316&amp;"__wt",'SegEnds_Xtal_BW#'!$A:$Z,16,FALSE)</f>
        <v>68</v>
      </c>
      <c r="Q316" s="1">
        <f>VLOOKUP($B316&amp;"__wt",'SegEnds_Xtal_BW#'!$A:$Z,17,FALSE)</f>
        <v>50</v>
      </c>
      <c r="R316" s="1">
        <f>VLOOKUP($B316&amp;"__wt",'SegEnds_Xtal_BW#'!$A:$Z,18,FALSE)</f>
        <v>52</v>
      </c>
      <c r="S316" s="1">
        <v>36</v>
      </c>
      <c r="T316" s="1">
        <v>69</v>
      </c>
      <c r="U316" s="1">
        <v>29</v>
      </c>
      <c r="V316" s="1">
        <f>VLOOKUP($B316&amp;"__wt",'SegEnds_Xtal_BW#'!$A:$Z,22,FALSE)</f>
        <v>53</v>
      </c>
      <c r="W316" s="1">
        <v>31</v>
      </c>
      <c r="X316" s="1">
        <f>VLOOKUP($B316&amp;"__wt",'SegEnds_Xtal_BW#'!$A:$Z,24,FALSE)</f>
        <v>56</v>
      </c>
      <c r="Y316" s="1">
        <f>VLOOKUP($B316&amp;"__wt",'SegEnds_Xtal_BW#'!$A:$Z,25,FALSE)</f>
        <v>47</v>
      </c>
      <c r="Z316" s="1">
        <v>63</v>
      </c>
      <c r="AA316" s="27" t="str">
        <f>VLOOKUP(A316,Classification!A:B,2,FALSE)</f>
        <v>B2</v>
      </c>
      <c r="AB316" s="1" t="e">
        <f>VLOOKUP(A316,'SegEnds_NonXtal_Prot#'!A:AL,10,FALSE)-VLOOKUP(A316,'SegEnds_NonXtal_Prot#'!A:AL,7,FALSE)</f>
        <v>#VALUE!</v>
      </c>
      <c r="AC316" s="1" t="e">
        <f>VLOOKUP(A316,'SegEnds_NonXtal_Prot#'!A:AL,13,FALSE)-VLOOKUP(A316,'SegEnds_NonXtal_Prot#'!A:AL,10,FALSE)</f>
        <v>#VALUE!</v>
      </c>
      <c r="AD316" s="1">
        <f>VLOOKUP(A316,'SegEnds_NonXtal_Prot#'!A:AL,16,FALSE)-VLOOKUP(A316,'SegEnds_NonXtal_Prot#'!A:AL,10,FALSE)</f>
        <v>45</v>
      </c>
      <c r="AE316" s="1" t="e">
        <f>VLOOKUP(A316,'SegEnds_NonXtal_Prot#'!A:AL,22,FALSE)-VLOOKUP(A316,'SegEnds_NonXtal_Prot#'!A:AL,19,FALSE)</f>
        <v>#VALUE!</v>
      </c>
      <c r="AF316" s="1">
        <f>VLOOKUP(A316,'SegEnds_NonXtal_Prot#'!A:AL,28,FALSE)-VLOOKUP(A316,'SegEnds_NonXtal_Prot#'!A:AL,25,FALSE)</f>
        <v>19</v>
      </c>
      <c r="AG316" s="1">
        <f>VLOOKUP(A316,'SegEnds_NonXtal_Prot#'!A:AL,28,FALSE)-VLOOKUP(A316,'SegEnds_NonXtal_Prot#'!A:AL,22,FALSE)</f>
        <v>44</v>
      </c>
      <c r="AH316" s="1">
        <f>VLOOKUP(A316,'SegEnds_NonXtal_Prot#'!A:AL,31,FALSE)-VLOOKUP(A316,'SegEnds_NonXtal_Prot#'!A:AL,28,FALSE)</f>
        <v>83</v>
      </c>
      <c r="AI316" s="1">
        <f>VLOOKUP(A316,'SegEnds_NonXtal_Prot#'!A:AL,34,FALSE)-VLOOKUP(A316,'SegEnds_NonXtal_Prot#'!A:AL,31,FALSE)</f>
        <v>29</v>
      </c>
      <c r="AJ316" s="1" t="str">
        <f>IF(ISERROR(MATCH(A316,'SegEnds_Xtal_Prot#'!B:B, 0)), "NoXtal", "Xtal")</f>
        <v>NoXtal</v>
      </c>
    </row>
    <row r="317" spans="1:36" x14ac:dyDescent="0.2">
      <c r="A317" s="1" t="s">
        <v>1182</v>
      </c>
      <c r="B317" s="1" t="str">
        <f>VLOOKUP(A317,Xtal_Templ!A:B,2,FALSE)</f>
        <v>crfr1_human</v>
      </c>
      <c r="C317" s="5">
        <v>23</v>
      </c>
      <c r="D317" s="1">
        <f>VLOOKUP($B317&amp;"__wt",'SegEnds_Xtal_BW#'!$A:$Z,4,FALSE)</f>
        <v>60</v>
      </c>
      <c r="E317" s="1">
        <f>VLOOKUP($B317&amp;"__wt",'SegEnds_Xtal_BW#'!$A:$Z,5,FALSE)</f>
        <v>48</v>
      </c>
      <c r="F317" s="1">
        <f>VLOOKUP($B317&amp;"__wt",'SegEnds_Xtal_BW#'!$A:$Z,6,FALSE)</f>
        <v>51</v>
      </c>
      <c r="G317" s="1">
        <v>37</v>
      </c>
      <c r="H317" s="12">
        <v>63</v>
      </c>
      <c r="I317" s="1" t="str">
        <f>VLOOKUP($B317&amp;"__wt",'SegEnds_Xtal_BW#'!$A:$Z,9,FALSE)</f>
        <v>-</v>
      </c>
      <c r="J317" s="1" t="str">
        <f>VLOOKUP($B317&amp;"__wt",'SegEnds_Xtal_BW#'!$A:$Z,10,FALSE)</f>
        <v>-</v>
      </c>
      <c r="K317" s="12">
        <v>23</v>
      </c>
      <c r="L317" s="1">
        <f>VLOOKUP($B317&amp;"__wt",'SegEnds_Xtal_BW#'!$A:$Z,12,FALSE)</f>
        <v>56</v>
      </c>
      <c r="M317" s="1" t="str">
        <f>VLOOKUP($B317&amp;"__wt",'SegEnds_Xtal_BW#'!$A:$Z,13,FALSE)</f>
        <v>-</v>
      </c>
      <c r="N317" s="12" t="str">
        <f>VLOOKUP($B317&amp;"__wt",'SegEnds_Xtal_BW#'!$A:$Z,14,FALSE)</f>
        <v>-</v>
      </c>
      <c r="O317" s="89">
        <f>VLOOKUP($B317&amp;"__wt",'SegEnds_Xtal_BW#'!$A:$Z,15,FALSE)</f>
        <v>40</v>
      </c>
      <c r="P317" s="1">
        <f>VLOOKUP($B317&amp;"__wt",'SegEnds_Xtal_BW#'!$A:$Z,16,FALSE)</f>
        <v>68</v>
      </c>
      <c r="Q317" s="1">
        <f>VLOOKUP($B317&amp;"__wt",'SegEnds_Xtal_BW#'!$A:$Z,17,FALSE)</f>
        <v>50</v>
      </c>
      <c r="R317" s="1">
        <f>VLOOKUP($B317&amp;"__wt",'SegEnds_Xtal_BW#'!$A:$Z,18,FALSE)</f>
        <v>52</v>
      </c>
      <c r="S317" s="1">
        <v>36</v>
      </c>
      <c r="T317" s="1">
        <v>69</v>
      </c>
      <c r="U317" s="1">
        <v>29</v>
      </c>
      <c r="V317" s="1">
        <f>VLOOKUP($B317&amp;"__wt",'SegEnds_Xtal_BW#'!$A:$Z,22,FALSE)</f>
        <v>53</v>
      </c>
      <c r="W317" s="1">
        <v>31</v>
      </c>
      <c r="X317" s="1">
        <f>VLOOKUP($B317&amp;"__wt",'SegEnds_Xtal_BW#'!$A:$Z,24,FALSE)</f>
        <v>56</v>
      </c>
      <c r="Y317" s="1">
        <f>VLOOKUP($B317&amp;"__wt",'SegEnds_Xtal_BW#'!$A:$Z,25,FALSE)</f>
        <v>47</v>
      </c>
      <c r="Z317" s="1">
        <v>63</v>
      </c>
      <c r="AA317" s="27" t="str">
        <f>VLOOKUP(A317,Classification!A:B,2,FALSE)</f>
        <v>B2</v>
      </c>
      <c r="AB317" s="1">
        <f>VLOOKUP(A317,'SegEnds_NonXtal_Prot#'!A:AL,10,FALSE)-VLOOKUP(A317,'SegEnds_NonXtal_Prot#'!A:AL,7,FALSE)</f>
        <v>18</v>
      </c>
      <c r="AC317" s="1" t="e">
        <f>VLOOKUP(A317,'SegEnds_NonXtal_Prot#'!A:AL,13,FALSE)-VLOOKUP(A317,'SegEnds_NonXtal_Prot#'!A:AL,10,FALSE)</f>
        <v>#VALUE!</v>
      </c>
      <c r="AD317" s="1">
        <f>VLOOKUP(A317,'SegEnds_NonXtal_Prot#'!A:AL,16,FALSE)-VLOOKUP(A317,'SegEnds_NonXtal_Prot#'!A:AL,10,FALSE)</f>
        <v>45</v>
      </c>
      <c r="AE317" s="1" t="e">
        <f>VLOOKUP(A317,'SegEnds_NonXtal_Prot#'!A:AL,22,FALSE)-VLOOKUP(A317,'SegEnds_NonXtal_Prot#'!A:AL,19,FALSE)</f>
        <v>#VALUE!</v>
      </c>
      <c r="AF317" s="1">
        <f>VLOOKUP(A317,'SegEnds_NonXtal_Prot#'!A:AL,28,FALSE)-VLOOKUP(A317,'SegEnds_NonXtal_Prot#'!A:AL,25,FALSE)</f>
        <v>19</v>
      </c>
      <c r="AG317" s="1">
        <f>VLOOKUP(A317,'SegEnds_NonXtal_Prot#'!A:AL,28,FALSE)-VLOOKUP(A317,'SegEnds_NonXtal_Prot#'!A:AL,22,FALSE)</f>
        <v>43</v>
      </c>
      <c r="AH317" s="1">
        <f>VLOOKUP(A317,'SegEnds_NonXtal_Prot#'!A:AL,31,FALSE)-VLOOKUP(A317,'SegEnds_NonXtal_Prot#'!A:AL,28,FALSE)</f>
        <v>52</v>
      </c>
      <c r="AI317" s="1">
        <f>VLOOKUP(A317,'SegEnds_NonXtal_Prot#'!A:AL,34,FALSE)-VLOOKUP(A317,'SegEnds_NonXtal_Prot#'!A:AL,31,FALSE)</f>
        <v>28</v>
      </c>
      <c r="AJ317" s="1" t="str">
        <f>IF(ISERROR(MATCH(A317,'SegEnds_Xtal_Prot#'!B:B, 0)), "NoXtal", "Xtal")</f>
        <v>NoXtal</v>
      </c>
    </row>
    <row r="318" spans="1:36" x14ac:dyDescent="0.2">
      <c r="A318" s="1" t="s">
        <v>1183</v>
      </c>
      <c r="B318" s="1" t="str">
        <f>VLOOKUP(A318,Xtal_Templ!A:B,2,FALSE)</f>
        <v>crfr1_human</v>
      </c>
      <c r="C318" s="5">
        <v>23</v>
      </c>
      <c r="D318" s="1">
        <f>VLOOKUP($B318&amp;"__wt",'SegEnds_Xtal_BW#'!$A:$Z,4,FALSE)</f>
        <v>60</v>
      </c>
      <c r="E318" s="1">
        <f>VLOOKUP($B318&amp;"__wt",'SegEnds_Xtal_BW#'!$A:$Z,5,FALSE)</f>
        <v>48</v>
      </c>
      <c r="F318" s="1">
        <f>VLOOKUP($B318&amp;"__wt",'SegEnds_Xtal_BW#'!$A:$Z,6,FALSE)</f>
        <v>51</v>
      </c>
      <c r="G318" s="1">
        <v>37</v>
      </c>
      <c r="H318" s="12">
        <v>63</v>
      </c>
      <c r="I318" s="1" t="str">
        <f>VLOOKUP($B318&amp;"__wt",'SegEnds_Xtal_BW#'!$A:$Z,9,FALSE)</f>
        <v>-</v>
      </c>
      <c r="J318" s="1" t="str">
        <f>VLOOKUP($B318&amp;"__wt",'SegEnds_Xtal_BW#'!$A:$Z,10,FALSE)</f>
        <v>-</v>
      </c>
      <c r="K318" s="12">
        <v>23</v>
      </c>
      <c r="L318" s="1">
        <f>VLOOKUP($B318&amp;"__wt",'SegEnds_Xtal_BW#'!$A:$Z,12,FALSE)</f>
        <v>56</v>
      </c>
      <c r="M318" s="1" t="str">
        <f>VLOOKUP($B318&amp;"__wt",'SegEnds_Xtal_BW#'!$A:$Z,13,FALSE)</f>
        <v>-</v>
      </c>
      <c r="N318" s="12" t="str">
        <f>VLOOKUP($B318&amp;"__wt",'SegEnds_Xtal_BW#'!$A:$Z,14,FALSE)</f>
        <v>-</v>
      </c>
      <c r="O318" s="89">
        <f>VLOOKUP($B318&amp;"__wt",'SegEnds_Xtal_BW#'!$A:$Z,15,FALSE)</f>
        <v>40</v>
      </c>
      <c r="P318" s="1">
        <f>VLOOKUP($B318&amp;"__wt",'SegEnds_Xtal_BW#'!$A:$Z,16,FALSE)</f>
        <v>68</v>
      </c>
      <c r="Q318" s="1">
        <f>VLOOKUP($B318&amp;"__wt",'SegEnds_Xtal_BW#'!$A:$Z,17,FALSE)</f>
        <v>50</v>
      </c>
      <c r="R318" s="1">
        <f>VLOOKUP($B318&amp;"__wt",'SegEnds_Xtal_BW#'!$A:$Z,18,FALSE)</f>
        <v>52</v>
      </c>
      <c r="S318" s="1">
        <v>36</v>
      </c>
      <c r="T318" s="1">
        <v>69</v>
      </c>
      <c r="U318" s="1">
        <v>29</v>
      </c>
      <c r="V318" s="1">
        <v>50</v>
      </c>
      <c r="W318" s="1">
        <v>33</v>
      </c>
      <c r="X318" s="1">
        <f>VLOOKUP($B318&amp;"__wt",'SegEnds_Xtal_BW#'!$A:$Z,24,FALSE)</f>
        <v>56</v>
      </c>
      <c r="Y318" s="1">
        <f>VLOOKUP($B318&amp;"__wt",'SegEnds_Xtal_BW#'!$A:$Z,25,FALSE)</f>
        <v>47</v>
      </c>
      <c r="Z318" s="1">
        <v>63</v>
      </c>
      <c r="AA318" s="27" t="str">
        <f>VLOOKUP(A318,Classification!A:B,2,FALSE)</f>
        <v>B2</v>
      </c>
      <c r="AB318" s="1" t="e">
        <f>VLOOKUP(A318,'SegEnds_NonXtal_Prot#'!A:AL,10,FALSE)-VLOOKUP(A318,'SegEnds_NonXtal_Prot#'!A:AL,7,FALSE)</f>
        <v>#VALUE!</v>
      </c>
      <c r="AC318" s="1" t="e">
        <f>VLOOKUP(A318,'SegEnds_NonXtal_Prot#'!A:AL,13,FALSE)-VLOOKUP(A318,'SegEnds_NonXtal_Prot#'!A:AL,10,FALSE)</f>
        <v>#VALUE!</v>
      </c>
      <c r="AD318" s="1">
        <f>VLOOKUP(A318,'SegEnds_NonXtal_Prot#'!A:AL,16,FALSE)-VLOOKUP(A318,'SegEnds_NonXtal_Prot#'!A:AL,10,FALSE)</f>
        <v>45</v>
      </c>
      <c r="AE318" s="1" t="e">
        <f>VLOOKUP(A318,'SegEnds_NonXtal_Prot#'!A:AL,22,FALSE)-VLOOKUP(A318,'SegEnds_NonXtal_Prot#'!A:AL,19,FALSE)</f>
        <v>#VALUE!</v>
      </c>
      <c r="AF318" s="1">
        <f>VLOOKUP(A318,'SegEnds_NonXtal_Prot#'!A:AL,28,FALSE)-VLOOKUP(A318,'SegEnds_NonXtal_Prot#'!A:AL,25,FALSE)</f>
        <v>19</v>
      </c>
      <c r="AG318" s="1">
        <f>VLOOKUP(A318,'SegEnds_NonXtal_Prot#'!A:AL,28,FALSE)-VLOOKUP(A318,'SegEnds_NonXtal_Prot#'!A:AL,22,FALSE)</f>
        <v>43</v>
      </c>
      <c r="AH318" s="1">
        <f>VLOOKUP(A318,'SegEnds_NonXtal_Prot#'!A:AL,31,FALSE)-VLOOKUP(A318,'SegEnds_NonXtal_Prot#'!A:AL,28,FALSE)</f>
        <v>66</v>
      </c>
      <c r="AI318" s="1">
        <f>VLOOKUP(A318,'SegEnds_NonXtal_Prot#'!A:AL,34,FALSE)-VLOOKUP(A318,'SegEnds_NonXtal_Prot#'!A:AL,31,FALSE)</f>
        <v>20</v>
      </c>
      <c r="AJ318" s="1" t="str">
        <f>IF(ISERROR(MATCH(A318,'SegEnds_Xtal_Prot#'!B:B, 0)), "NoXtal", "Xtal")</f>
        <v>NoXtal</v>
      </c>
    </row>
    <row r="319" spans="1:36" x14ac:dyDescent="0.2">
      <c r="A319" s="4" t="s">
        <v>1184</v>
      </c>
      <c r="B319" s="4" t="str">
        <f>VLOOKUP(A319,Xtal_Templ!A:B,2,FALSE)</f>
        <v>calcr_human</v>
      </c>
      <c r="C319" s="5">
        <v>23</v>
      </c>
      <c r="D319" s="4">
        <f>VLOOKUP($B319&amp;"__wt",'SegEnds_Xtal_BW#'!$A:$Z,4,FALSE)</f>
        <v>60</v>
      </c>
      <c r="E319" s="4">
        <f>VLOOKUP($B319&amp;"__wt",'SegEnds_Xtal_BW#'!$A:$Z,5,FALSE)</f>
        <v>48</v>
      </c>
      <c r="F319" s="4">
        <f>VLOOKUP($B319&amp;"__wt",'SegEnds_Xtal_BW#'!$A:$Z,6,FALSE)</f>
        <v>51</v>
      </c>
      <c r="G319" s="4">
        <v>37</v>
      </c>
      <c r="H319" s="11">
        <v>63</v>
      </c>
      <c r="I319" s="4" t="str">
        <f>VLOOKUP($B319&amp;"__wt",'SegEnds_Xtal_BW#'!$A:$Z,9,FALSE)</f>
        <v>-</v>
      </c>
      <c r="J319" s="4" t="str">
        <f>VLOOKUP($B319&amp;"__wt",'SegEnds_Xtal_BW#'!$A:$Z,10,FALSE)</f>
        <v>-</v>
      </c>
      <c r="K319" s="11">
        <v>23</v>
      </c>
      <c r="L319" s="4">
        <f>VLOOKUP($B319&amp;"__wt",'SegEnds_Xtal_BW#'!$A:$Z,12,FALSE)</f>
        <v>56</v>
      </c>
      <c r="M319" s="4" t="str">
        <f>VLOOKUP($B319&amp;"__wt",'SegEnds_Xtal_BW#'!$A:$Z,13,FALSE)</f>
        <v>-</v>
      </c>
      <c r="N319" s="11" t="str">
        <f>VLOOKUP($B319&amp;"__wt",'SegEnds_Xtal_BW#'!$A:$Z,14,FALSE)</f>
        <v>-</v>
      </c>
      <c r="O319" s="90">
        <f>VLOOKUP($B319&amp;"__wt",'SegEnds_Xtal_BW#'!$A:$Z,15,FALSE)</f>
        <v>41</v>
      </c>
      <c r="P319" s="4">
        <f>VLOOKUP($B319&amp;"__wt",'SegEnds_Xtal_BW#'!$A:$Z,16,FALSE)</f>
        <v>68</v>
      </c>
      <c r="Q319" s="4">
        <f>VLOOKUP($B319&amp;"__wt",'SegEnds_Xtal_BW#'!$A:$Z,17,FALSE)</f>
        <v>50</v>
      </c>
      <c r="R319" s="4">
        <f>VLOOKUP($B319&amp;"__wt",'SegEnds_Xtal_BW#'!$A:$Z,18,FALSE)</f>
        <v>52</v>
      </c>
      <c r="S319" s="4">
        <v>36</v>
      </c>
      <c r="T319" s="4">
        <v>69</v>
      </c>
      <c r="U319" s="4">
        <v>29</v>
      </c>
      <c r="V319" s="4">
        <f>VLOOKUP($B319&amp;"__wt",'SegEnds_Xtal_BW#'!$A:$Z,22,FALSE)</f>
        <v>53</v>
      </c>
      <c r="W319" s="4">
        <v>31</v>
      </c>
      <c r="X319" s="4">
        <f>VLOOKUP($B319&amp;"__wt",'SegEnds_Xtal_BW#'!$A:$Z,24,FALSE)</f>
        <v>56</v>
      </c>
      <c r="Y319" s="4">
        <f>VLOOKUP($B319&amp;"__wt",'SegEnds_Xtal_BW#'!$A:$Z,25,FALSE)</f>
        <v>47</v>
      </c>
      <c r="Z319" s="4">
        <v>63</v>
      </c>
      <c r="AA319" s="27" t="str">
        <f>VLOOKUP(A319,Classification!A:B,2,FALSE)</f>
        <v>B2</v>
      </c>
      <c r="AB319" s="4" t="e">
        <f>VLOOKUP(A319,'SegEnds_NonXtal_Prot#'!A:AL,10,FALSE)-VLOOKUP(A319,'SegEnds_NonXtal_Prot#'!A:AL,7,FALSE)</f>
        <v>#VALUE!</v>
      </c>
      <c r="AC319" s="4" t="e">
        <f>VLOOKUP(A319,'SegEnds_NonXtal_Prot#'!A:AL,13,FALSE)-VLOOKUP(A319,'SegEnds_NonXtal_Prot#'!A:AL,10,FALSE)</f>
        <v>#VALUE!</v>
      </c>
      <c r="AD319" s="4">
        <f>VLOOKUP(A319,'SegEnds_NonXtal_Prot#'!A:AL,16,FALSE)-VLOOKUP(A319,'SegEnds_NonXtal_Prot#'!A:AL,10,FALSE)</f>
        <v>45</v>
      </c>
      <c r="AE319" s="1" t="e">
        <f>VLOOKUP(A319,'SegEnds_NonXtal_Prot#'!A:AL,22,FALSE)-VLOOKUP(A319,'SegEnds_NonXtal_Prot#'!A:AL,19,FALSE)</f>
        <v>#VALUE!</v>
      </c>
      <c r="AF319" s="4">
        <f>VLOOKUP(A319,'SegEnds_NonXtal_Prot#'!A:AL,28,FALSE)-VLOOKUP(A319,'SegEnds_NonXtal_Prot#'!A:AL,25,FALSE)</f>
        <v>19</v>
      </c>
      <c r="AG319" s="1">
        <f>VLOOKUP(A319,'SegEnds_NonXtal_Prot#'!A:AL,28,FALSE)-VLOOKUP(A319,'SegEnds_NonXtal_Prot#'!A:AL,22,FALSE)</f>
        <v>43</v>
      </c>
      <c r="AH319" s="4">
        <f>VLOOKUP(A319,'SegEnds_NonXtal_Prot#'!A:AL,31,FALSE)-VLOOKUP(A319,'SegEnds_NonXtal_Prot#'!A:AL,28,FALSE)</f>
        <v>52</v>
      </c>
      <c r="AI319" s="4">
        <f>VLOOKUP(A319,'SegEnds_NonXtal_Prot#'!A:AL,34,FALSE)-VLOOKUP(A319,'SegEnds_NonXtal_Prot#'!A:AL,31,FALSE)</f>
        <v>28</v>
      </c>
      <c r="AJ319" s="1" t="str">
        <f>IF(ISERROR(MATCH(A319,'SegEnds_Xtal_Prot#'!B:B, 0)), "NoXtal", "Xtal")</f>
        <v>NoXtal</v>
      </c>
    </row>
    <row r="320" spans="1:36" x14ac:dyDescent="0.2">
      <c r="A320" s="1" t="s">
        <v>1185</v>
      </c>
      <c r="B320" s="1" t="str">
        <f>VLOOKUP(A320,Xtal_Templ!A:B,2,FALSE)</f>
        <v>glp1r_human</v>
      </c>
      <c r="C320" s="5">
        <v>23</v>
      </c>
      <c r="D320" s="1">
        <f>VLOOKUP($B320&amp;"__wt",'SegEnds_Xtal_BW#'!$A:$Z,4,FALSE)</f>
        <v>60</v>
      </c>
      <c r="E320" s="1">
        <f>VLOOKUP($B320&amp;"__wt",'SegEnds_Xtal_BW#'!$A:$Z,5,FALSE)</f>
        <v>48</v>
      </c>
      <c r="F320" s="1">
        <f>VLOOKUP($B320&amp;"__wt",'SegEnds_Xtal_BW#'!$A:$Z,6,FALSE)</f>
        <v>51</v>
      </c>
      <c r="G320" s="1">
        <v>37</v>
      </c>
      <c r="H320" s="12">
        <v>63</v>
      </c>
      <c r="I320" s="1" t="str">
        <f>VLOOKUP($B320&amp;"__wt",'SegEnds_Xtal_BW#'!$A:$Z,9,FALSE)</f>
        <v>-</v>
      </c>
      <c r="J320" s="1" t="str">
        <f>VLOOKUP($B320&amp;"__wt",'SegEnds_Xtal_BW#'!$A:$Z,10,FALSE)</f>
        <v>-</v>
      </c>
      <c r="K320" s="12">
        <v>23</v>
      </c>
      <c r="L320" s="1">
        <f>VLOOKUP($B320&amp;"__wt",'SegEnds_Xtal_BW#'!$A:$Z,12,FALSE)</f>
        <v>56</v>
      </c>
      <c r="M320" s="1" t="str">
        <f>VLOOKUP($B320&amp;"__wt",'SegEnds_Xtal_BW#'!$A:$Z,13,FALSE)</f>
        <v>-</v>
      </c>
      <c r="N320" s="12" t="str">
        <f>VLOOKUP($B320&amp;"__wt",'SegEnds_Xtal_BW#'!$A:$Z,14,FALSE)</f>
        <v>-</v>
      </c>
      <c r="O320" s="89">
        <f>VLOOKUP($B320&amp;"__wt",'SegEnds_Xtal_BW#'!$A:$Z,15,FALSE)</f>
        <v>38</v>
      </c>
      <c r="P320" s="1">
        <f>VLOOKUP($B320&amp;"__wt",'SegEnds_Xtal_BW#'!$A:$Z,16,FALSE)</f>
        <v>68</v>
      </c>
      <c r="Q320" s="1">
        <f>VLOOKUP($B320&amp;"__wt",'SegEnds_Xtal_BW#'!$A:$Z,17,FALSE)</f>
        <v>50</v>
      </c>
      <c r="R320" s="1">
        <f>VLOOKUP($B320&amp;"__wt",'SegEnds_Xtal_BW#'!$A:$Z,18,FALSE)</f>
        <v>52</v>
      </c>
      <c r="S320" s="1">
        <v>36</v>
      </c>
      <c r="T320" s="1">
        <v>69</v>
      </c>
      <c r="U320" s="1">
        <v>29</v>
      </c>
      <c r="V320" s="1">
        <f>VLOOKUP($B320&amp;"__wt",'SegEnds_Xtal_BW#'!$A:$Z,22,FALSE)</f>
        <v>58</v>
      </c>
      <c r="W320" s="1">
        <v>31</v>
      </c>
      <c r="X320" s="1">
        <f>VLOOKUP($B320&amp;"__wt",'SegEnds_Xtal_BW#'!$A:$Z,24,FALSE)</f>
        <v>56</v>
      </c>
      <c r="Y320" s="1">
        <f>VLOOKUP($B320&amp;"__wt",'SegEnds_Xtal_BW#'!$A:$Z,25,FALSE)</f>
        <v>47</v>
      </c>
      <c r="Z320" s="1">
        <v>63</v>
      </c>
      <c r="AA320" s="27" t="str">
        <f>VLOOKUP(A320,Classification!A:B,2,FALSE)</f>
        <v>B2</v>
      </c>
      <c r="AB320" s="1">
        <f>VLOOKUP(A320,'SegEnds_NonXtal_Prot#'!A:AL,10,FALSE)-VLOOKUP(A320,'SegEnds_NonXtal_Prot#'!A:AL,7,FALSE)</f>
        <v>15</v>
      </c>
      <c r="AC320" s="1" t="e">
        <f>VLOOKUP(A320,'SegEnds_NonXtal_Prot#'!A:AL,13,FALSE)-VLOOKUP(A320,'SegEnds_NonXtal_Prot#'!A:AL,10,FALSE)</f>
        <v>#VALUE!</v>
      </c>
      <c r="AD320" s="1">
        <f>VLOOKUP(A320,'SegEnds_NonXtal_Prot#'!A:AL,16,FALSE)-VLOOKUP(A320,'SegEnds_NonXtal_Prot#'!A:AL,10,FALSE)</f>
        <v>45</v>
      </c>
      <c r="AE320" s="1" t="e">
        <f>VLOOKUP(A320,'SegEnds_NonXtal_Prot#'!A:AL,22,FALSE)-VLOOKUP(A320,'SegEnds_NonXtal_Prot#'!A:AL,19,FALSE)</f>
        <v>#VALUE!</v>
      </c>
      <c r="AF320" s="1">
        <f>VLOOKUP(A320,'SegEnds_NonXtal_Prot#'!A:AL,28,FALSE)-VLOOKUP(A320,'SegEnds_NonXtal_Prot#'!A:AL,25,FALSE)</f>
        <v>19</v>
      </c>
      <c r="AG320" s="1">
        <f>VLOOKUP(A320,'SegEnds_NonXtal_Prot#'!A:AL,28,FALSE)-VLOOKUP(A320,'SegEnds_NonXtal_Prot#'!A:AL,22,FALSE)</f>
        <v>43</v>
      </c>
      <c r="AH320" s="1">
        <f>VLOOKUP(A320,'SegEnds_NonXtal_Prot#'!A:AL,31,FALSE)-VLOOKUP(A320,'SegEnds_NonXtal_Prot#'!A:AL,28,FALSE)</f>
        <v>52</v>
      </c>
      <c r="AI320" s="1">
        <f>VLOOKUP(A320,'SegEnds_NonXtal_Prot#'!A:AL,34,FALSE)-VLOOKUP(A320,'SegEnds_NonXtal_Prot#'!A:AL,31,FALSE)</f>
        <v>28</v>
      </c>
      <c r="AJ320" s="1" t="str">
        <f>IF(ISERROR(MATCH(A320,'SegEnds_Xtal_Prot#'!B:B, 0)), "NoXtal", "Xtal")</f>
        <v>NoXtal</v>
      </c>
    </row>
    <row r="321" spans="1:36" x14ac:dyDescent="0.2">
      <c r="A321" s="1" t="s">
        <v>1186</v>
      </c>
      <c r="B321" s="1" t="str">
        <f>VLOOKUP(A321,Xtal_Templ!A:B,2,FALSE)</f>
        <v>crfr1_human</v>
      </c>
      <c r="C321" s="5">
        <v>23</v>
      </c>
      <c r="D321" s="1">
        <f>VLOOKUP($B321&amp;"__wt",'SegEnds_Xtal_BW#'!$A:$Z,4,FALSE)</f>
        <v>60</v>
      </c>
      <c r="E321" s="1">
        <f>VLOOKUP($B321&amp;"__wt",'SegEnds_Xtal_BW#'!$A:$Z,5,FALSE)</f>
        <v>48</v>
      </c>
      <c r="F321" s="1">
        <f>VLOOKUP($B321&amp;"__wt",'SegEnds_Xtal_BW#'!$A:$Z,6,FALSE)</f>
        <v>51</v>
      </c>
      <c r="G321" s="1">
        <v>37</v>
      </c>
      <c r="H321" s="12">
        <v>63</v>
      </c>
      <c r="I321" s="1" t="str">
        <f>VLOOKUP($B321&amp;"__wt",'SegEnds_Xtal_BW#'!$A:$Z,9,FALSE)</f>
        <v>-</v>
      </c>
      <c r="J321" s="1" t="str">
        <f>VLOOKUP($B321&amp;"__wt",'SegEnds_Xtal_BW#'!$A:$Z,10,FALSE)</f>
        <v>-</v>
      </c>
      <c r="K321" s="12">
        <v>23</v>
      </c>
      <c r="L321" s="1">
        <f>VLOOKUP($B321&amp;"__wt",'SegEnds_Xtal_BW#'!$A:$Z,12,FALSE)</f>
        <v>56</v>
      </c>
      <c r="M321" s="1" t="str">
        <f>VLOOKUP($B321&amp;"__wt",'SegEnds_Xtal_BW#'!$A:$Z,13,FALSE)</f>
        <v>-</v>
      </c>
      <c r="N321" s="12" t="str">
        <f>VLOOKUP($B321&amp;"__wt",'SegEnds_Xtal_BW#'!$A:$Z,14,FALSE)</f>
        <v>-</v>
      </c>
      <c r="O321" s="89">
        <f>VLOOKUP($B321&amp;"__wt",'SegEnds_Xtal_BW#'!$A:$Z,15,FALSE)</f>
        <v>40</v>
      </c>
      <c r="P321" s="1">
        <f>VLOOKUP($B321&amp;"__wt",'SegEnds_Xtal_BW#'!$A:$Z,16,FALSE)</f>
        <v>68</v>
      </c>
      <c r="Q321" s="1">
        <f>VLOOKUP($B321&amp;"__wt",'SegEnds_Xtal_BW#'!$A:$Z,17,FALSE)</f>
        <v>50</v>
      </c>
      <c r="R321" s="1">
        <f>VLOOKUP($B321&amp;"__wt",'SegEnds_Xtal_BW#'!$A:$Z,18,FALSE)</f>
        <v>52</v>
      </c>
      <c r="S321" s="1">
        <v>36</v>
      </c>
      <c r="T321" s="1">
        <v>69</v>
      </c>
      <c r="U321" s="1">
        <v>29</v>
      </c>
      <c r="V321" s="1">
        <f>VLOOKUP($B321&amp;"__wt",'SegEnds_Xtal_BW#'!$A:$Z,22,FALSE)</f>
        <v>53</v>
      </c>
      <c r="W321" s="1">
        <v>31</v>
      </c>
      <c r="X321" s="1">
        <f>VLOOKUP($B321&amp;"__wt",'SegEnds_Xtal_BW#'!$A:$Z,24,FALSE)</f>
        <v>56</v>
      </c>
      <c r="Y321" s="1">
        <f>VLOOKUP($B321&amp;"__wt",'SegEnds_Xtal_BW#'!$A:$Z,25,FALSE)</f>
        <v>47</v>
      </c>
      <c r="Z321" s="1">
        <v>63</v>
      </c>
      <c r="AA321" s="27" t="str">
        <f>VLOOKUP(A321,Classification!A:B,2,FALSE)</f>
        <v>B2</v>
      </c>
      <c r="AB321" s="1">
        <f>VLOOKUP(A321,'SegEnds_NonXtal_Prot#'!A:AL,10,FALSE)-VLOOKUP(A321,'SegEnds_NonXtal_Prot#'!A:AL,7,FALSE)</f>
        <v>15</v>
      </c>
      <c r="AC321" s="1" t="e">
        <f>VLOOKUP(A321,'SegEnds_NonXtal_Prot#'!A:AL,13,FALSE)-VLOOKUP(A321,'SegEnds_NonXtal_Prot#'!A:AL,10,FALSE)</f>
        <v>#VALUE!</v>
      </c>
      <c r="AD321" s="1">
        <f>VLOOKUP(A321,'SegEnds_NonXtal_Prot#'!A:AL,16,FALSE)-VLOOKUP(A321,'SegEnds_NonXtal_Prot#'!A:AL,10,FALSE)</f>
        <v>45</v>
      </c>
      <c r="AE321" s="1" t="e">
        <f>VLOOKUP(A321,'SegEnds_NonXtal_Prot#'!A:AL,22,FALSE)-VLOOKUP(A321,'SegEnds_NonXtal_Prot#'!A:AL,19,FALSE)</f>
        <v>#VALUE!</v>
      </c>
      <c r="AF321" s="1">
        <f>VLOOKUP(A321,'SegEnds_NonXtal_Prot#'!A:AL,28,FALSE)-VLOOKUP(A321,'SegEnds_NonXtal_Prot#'!A:AL,25,FALSE)</f>
        <v>19</v>
      </c>
      <c r="AG321" s="1">
        <f>VLOOKUP(A321,'SegEnds_NonXtal_Prot#'!A:AL,28,FALSE)-VLOOKUP(A321,'SegEnds_NonXtal_Prot#'!A:AL,22,FALSE)</f>
        <v>43</v>
      </c>
      <c r="AH321" s="1">
        <f>VLOOKUP(A321,'SegEnds_NonXtal_Prot#'!A:AL,31,FALSE)-VLOOKUP(A321,'SegEnds_NonXtal_Prot#'!A:AL,28,FALSE)</f>
        <v>52</v>
      </c>
      <c r="AI321" s="1">
        <f>VLOOKUP(A321,'SegEnds_NonXtal_Prot#'!A:AL,34,FALSE)-VLOOKUP(A321,'SegEnds_NonXtal_Prot#'!A:AL,31,FALSE)</f>
        <v>28</v>
      </c>
      <c r="AJ321" s="1" t="str">
        <f>IF(ISERROR(MATCH(A321,'SegEnds_Xtal_Prot#'!B:B, 0)), "NoXtal", "Xtal")</f>
        <v>NoXtal</v>
      </c>
    </row>
    <row r="322" spans="1:36" x14ac:dyDescent="0.2">
      <c r="A322" s="1" t="s">
        <v>1187</v>
      </c>
      <c r="B322" s="1" t="str">
        <f>VLOOKUP(A322,Xtal_Templ!A:B,2,FALSE)</f>
        <v>glp1r_human</v>
      </c>
      <c r="C322" s="5">
        <v>23</v>
      </c>
      <c r="D322" s="1">
        <f>VLOOKUP($B322&amp;"__wt",'SegEnds_Xtal_BW#'!$A:$Z,4,FALSE)</f>
        <v>60</v>
      </c>
      <c r="E322" s="1">
        <f>VLOOKUP($B322&amp;"__wt",'SegEnds_Xtal_BW#'!$A:$Z,5,FALSE)</f>
        <v>48</v>
      </c>
      <c r="F322" s="1">
        <f>VLOOKUP($B322&amp;"__wt",'SegEnds_Xtal_BW#'!$A:$Z,6,FALSE)</f>
        <v>51</v>
      </c>
      <c r="G322" s="1">
        <v>37</v>
      </c>
      <c r="H322" s="12">
        <v>63</v>
      </c>
      <c r="I322" s="1" t="str">
        <f>VLOOKUP($B322&amp;"__wt",'SegEnds_Xtal_BW#'!$A:$Z,9,FALSE)</f>
        <v>-</v>
      </c>
      <c r="J322" s="1" t="str">
        <f>VLOOKUP($B322&amp;"__wt",'SegEnds_Xtal_BW#'!$A:$Z,10,FALSE)</f>
        <v>-</v>
      </c>
      <c r="K322" s="12">
        <v>23</v>
      </c>
      <c r="L322" s="1">
        <f>VLOOKUP($B322&amp;"__wt",'SegEnds_Xtal_BW#'!$A:$Z,12,FALSE)</f>
        <v>56</v>
      </c>
      <c r="M322" s="1" t="str">
        <f>VLOOKUP($B322&amp;"__wt",'SegEnds_Xtal_BW#'!$A:$Z,13,FALSE)</f>
        <v>-</v>
      </c>
      <c r="N322" s="12" t="str">
        <f>VLOOKUP($B322&amp;"__wt",'SegEnds_Xtal_BW#'!$A:$Z,14,FALSE)</f>
        <v>-</v>
      </c>
      <c r="O322" s="89">
        <f>VLOOKUP($B322&amp;"__wt",'SegEnds_Xtal_BW#'!$A:$Z,15,FALSE)</f>
        <v>38</v>
      </c>
      <c r="P322" s="1">
        <f>VLOOKUP($B322&amp;"__wt",'SegEnds_Xtal_BW#'!$A:$Z,16,FALSE)</f>
        <v>68</v>
      </c>
      <c r="Q322" s="1">
        <f>VLOOKUP($B322&amp;"__wt",'SegEnds_Xtal_BW#'!$A:$Z,17,FALSE)</f>
        <v>50</v>
      </c>
      <c r="R322" s="1">
        <f>VLOOKUP($B322&amp;"__wt",'SegEnds_Xtal_BW#'!$A:$Z,18,FALSE)</f>
        <v>52</v>
      </c>
      <c r="S322" s="1">
        <v>36</v>
      </c>
      <c r="T322" s="1">
        <v>69</v>
      </c>
      <c r="U322" s="1">
        <v>29</v>
      </c>
      <c r="V322" s="1">
        <f>VLOOKUP($B322&amp;"__wt",'SegEnds_Xtal_BW#'!$A:$Z,22,FALSE)</f>
        <v>58</v>
      </c>
      <c r="W322" s="1">
        <v>27</v>
      </c>
      <c r="X322" s="1">
        <f>VLOOKUP($B322&amp;"__wt",'SegEnds_Xtal_BW#'!$A:$Z,24,FALSE)</f>
        <v>56</v>
      </c>
      <c r="Y322" s="1">
        <f>VLOOKUP($B322&amp;"__wt",'SegEnds_Xtal_BW#'!$A:$Z,25,FALSE)</f>
        <v>47</v>
      </c>
      <c r="Z322" s="1">
        <v>63</v>
      </c>
      <c r="AA322" s="27" t="str">
        <f>VLOOKUP(A322,Classification!A:B,2,FALSE)</f>
        <v>B2</v>
      </c>
      <c r="AB322" s="1">
        <f>VLOOKUP(A322,'SegEnds_NonXtal_Prot#'!A:AL,10,FALSE)-VLOOKUP(A322,'SegEnds_NonXtal_Prot#'!A:AL,7,FALSE)</f>
        <v>15</v>
      </c>
      <c r="AC322" s="1" t="e">
        <f>VLOOKUP(A322,'SegEnds_NonXtal_Prot#'!A:AL,13,FALSE)-VLOOKUP(A322,'SegEnds_NonXtal_Prot#'!A:AL,10,FALSE)</f>
        <v>#VALUE!</v>
      </c>
      <c r="AD322" s="1">
        <f>VLOOKUP(A322,'SegEnds_NonXtal_Prot#'!A:AL,16,FALSE)-VLOOKUP(A322,'SegEnds_NonXtal_Prot#'!A:AL,10,FALSE)</f>
        <v>45</v>
      </c>
      <c r="AE322" s="1" t="e">
        <f>VLOOKUP(A322,'SegEnds_NonXtal_Prot#'!A:AL,22,FALSE)-VLOOKUP(A322,'SegEnds_NonXtal_Prot#'!A:AL,19,FALSE)</f>
        <v>#VALUE!</v>
      </c>
      <c r="AF322" s="1">
        <f>VLOOKUP(A322,'SegEnds_NonXtal_Prot#'!A:AL,28,FALSE)-VLOOKUP(A322,'SegEnds_NonXtal_Prot#'!A:AL,25,FALSE)</f>
        <v>19</v>
      </c>
      <c r="AG322" s="1">
        <f>VLOOKUP(A322,'SegEnds_NonXtal_Prot#'!A:AL,28,FALSE)-VLOOKUP(A322,'SegEnds_NonXtal_Prot#'!A:AL,22,FALSE)</f>
        <v>42</v>
      </c>
      <c r="AH322" s="1">
        <f>VLOOKUP(A322,'SegEnds_NonXtal_Prot#'!A:AL,31,FALSE)-VLOOKUP(A322,'SegEnds_NonXtal_Prot#'!A:AL,28,FALSE)</f>
        <v>52</v>
      </c>
      <c r="AI322" s="1">
        <f>VLOOKUP(A322,'SegEnds_NonXtal_Prot#'!A:AL,34,FALSE)-VLOOKUP(A322,'SegEnds_NonXtal_Prot#'!A:AL,31,FALSE)</f>
        <v>32</v>
      </c>
      <c r="AJ322" s="1" t="str">
        <f>IF(ISERROR(MATCH(A322,'SegEnds_Xtal_Prot#'!B:B, 0)), "NoXtal", "Xtal")</f>
        <v>NoXtal</v>
      </c>
    </row>
    <row r="323" spans="1:36" x14ac:dyDescent="0.2">
      <c r="A323" s="1" t="s">
        <v>1188</v>
      </c>
      <c r="B323" s="1" t="str">
        <f>VLOOKUP(A323,Xtal_Templ!A:B,2,FALSE)</f>
        <v>crfr1_human</v>
      </c>
      <c r="C323" s="5">
        <v>23</v>
      </c>
      <c r="D323" s="1">
        <f>VLOOKUP($B323&amp;"__wt",'SegEnds_Xtal_BW#'!$A:$Z,4,FALSE)</f>
        <v>60</v>
      </c>
      <c r="E323" s="1">
        <f>VLOOKUP($B323&amp;"__wt",'SegEnds_Xtal_BW#'!$A:$Z,5,FALSE)</f>
        <v>48</v>
      </c>
      <c r="F323" s="1">
        <f>VLOOKUP($B323&amp;"__wt",'SegEnds_Xtal_BW#'!$A:$Z,6,FALSE)</f>
        <v>51</v>
      </c>
      <c r="G323" s="1">
        <v>37</v>
      </c>
      <c r="H323" s="12">
        <v>63</v>
      </c>
      <c r="I323" s="1" t="str">
        <f>VLOOKUP($B323&amp;"__wt",'SegEnds_Xtal_BW#'!$A:$Z,9,FALSE)</f>
        <v>-</v>
      </c>
      <c r="J323" s="1" t="str">
        <f>VLOOKUP($B323&amp;"__wt",'SegEnds_Xtal_BW#'!$A:$Z,10,FALSE)</f>
        <v>-</v>
      </c>
      <c r="K323" s="12">
        <v>23</v>
      </c>
      <c r="L323" s="1">
        <f>VLOOKUP($B323&amp;"__wt",'SegEnds_Xtal_BW#'!$A:$Z,12,FALSE)</f>
        <v>56</v>
      </c>
      <c r="M323" s="1" t="str">
        <f>VLOOKUP($B323&amp;"__wt",'SegEnds_Xtal_BW#'!$A:$Z,13,FALSE)</f>
        <v>-</v>
      </c>
      <c r="N323" s="12" t="str">
        <f>VLOOKUP($B323&amp;"__wt",'SegEnds_Xtal_BW#'!$A:$Z,14,FALSE)</f>
        <v>-</v>
      </c>
      <c r="O323" s="89">
        <f>VLOOKUP($B323&amp;"__wt",'SegEnds_Xtal_BW#'!$A:$Z,15,FALSE)</f>
        <v>40</v>
      </c>
      <c r="P323" s="1">
        <f>VLOOKUP($B323&amp;"__wt",'SegEnds_Xtal_BW#'!$A:$Z,16,FALSE)</f>
        <v>68</v>
      </c>
      <c r="Q323" s="1">
        <f>VLOOKUP($B323&amp;"__wt",'SegEnds_Xtal_BW#'!$A:$Z,17,FALSE)</f>
        <v>50</v>
      </c>
      <c r="R323" s="1">
        <f>VLOOKUP($B323&amp;"__wt",'SegEnds_Xtal_BW#'!$A:$Z,18,FALSE)</f>
        <v>52</v>
      </c>
      <c r="S323" s="1">
        <v>36</v>
      </c>
      <c r="T323" s="1">
        <v>69</v>
      </c>
      <c r="U323" s="1">
        <v>29</v>
      </c>
      <c r="V323" s="1">
        <f>VLOOKUP($B323&amp;"__wt",'SegEnds_Xtal_BW#'!$A:$Z,22,FALSE)</f>
        <v>53</v>
      </c>
      <c r="W323" s="1">
        <v>31</v>
      </c>
      <c r="X323" s="1">
        <f>VLOOKUP($B323&amp;"__wt",'SegEnds_Xtal_BW#'!$A:$Z,24,FALSE)</f>
        <v>56</v>
      </c>
      <c r="Y323" s="1">
        <f>VLOOKUP($B323&amp;"__wt",'SegEnds_Xtal_BW#'!$A:$Z,25,FALSE)</f>
        <v>47</v>
      </c>
      <c r="Z323" s="1">
        <v>63</v>
      </c>
      <c r="AA323" s="27" t="str">
        <f>VLOOKUP(A323,Classification!A:B,2,FALSE)</f>
        <v>B2</v>
      </c>
      <c r="AB323" s="1" t="e">
        <f>VLOOKUP(A323,'SegEnds_NonXtal_Prot#'!A:AL,10,FALSE)-VLOOKUP(A323,'SegEnds_NonXtal_Prot#'!A:AL,7,FALSE)</f>
        <v>#VALUE!</v>
      </c>
      <c r="AC323" s="1" t="e">
        <f>VLOOKUP(A323,'SegEnds_NonXtal_Prot#'!A:AL,13,FALSE)-VLOOKUP(A323,'SegEnds_NonXtal_Prot#'!A:AL,10,FALSE)</f>
        <v>#VALUE!</v>
      </c>
      <c r="AD323" s="1">
        <f>VLOOKUP(A323,'SegEnds_NonXtal_Prot#'!A:AL,16,FALSE)-VLOOKUP(A323,'SegEnds_NonXtal_Prot#'!A:AL,10,FALSE)</f>
        <v>51</v>
      </c>
      <c r="AE323" s="1" t="e">
        <f>VLOOKUP(A323,'SegEnds_NonXtal_Prot#'!A:AL,22,FALSE)-VLOOKUP(A323,'SegEnds_NonXtal_Prot#'!A:AL,19,FALSE)</f>
        <v>#VALUE!</v>
      </c>
      <c r="AF323" s="1">
        <f>VLOOKUP(A323,'SegEnds_NonXtal_Prot#'!A:AL,28,FALSE)-VLOOKUP(A323,'SegEnds_NonXtal_Prot#'!A:AL,25,FALSE)</f>
        <v>21</v>
      </c>
      <c r="AG323" s="1">
        <f>VLOOKUP(A323,'SegEnds_NonXtal_Prot#'!A:AL,28,FALSE)-VLOOKUP(A323,'SegEnds_NonXtal_Prot#'!A:AL,22,FALSE)</f>
        <v>47</v>
      </c>
      <c r="AH323" s="1">
        <f>VLOOKUP(A323,'SegEnds_NonXtal_Prot#'!A:AL,31,FALSE)-VLOOKUP(A323,'SegEnds_NonXtal_Prot#'!A:AL,28,FALSE)</f>
        <v>52</v>
      </c>
      <c r="AI323" s="1">
        <f>VLOOKUP(A323,'SegEnds_NonXtal_Prot#'!A:AL,34,FALSE)-VLOOKUP(A323,'SegEnds_NonXtal_Prot#'!A:AL,31,FALSE)</f>
        <v>29</v>
      </c>
      <c r="AJ323" s="1" t="str">
        <f>IF(ISERROR(MATCH(A323,'SegEnds_Xtal_Prot#'!B:B, 0)), "NoXtal", "Xtal")</f>
        <v>NoXtal</v>
      </c>
    </row>
    <row r="324" spans="1:36" x14ac:dyDescent="0.2">
      <c r="A324" s="1" t="s">
        <v>1189</v>
      </c>
      <c r="B324" s="1" t="str">
        <f>VLOOKUP(A324,Xtal_Templ!A:B,2,FALSE)</f>
        <v>calcr_human</v>
      </c>
      <c r="C324" s="5">
        <v>23</v>
      </c>
      <c r="D324" s="1">
        <f>VLOOKUP($B324&amp;"__wt",'SegEnds_Xtal_BW#'!$A:$Z,4,FALSE)</f>
        <v>60</v>
      </c>
      <c r="E324" s="1">
        <f>VLOOKUP($B324&amp;"__wt",'SegEnds_Xtal_BW#'!$A:$Z,5,FALSE)</f>
        <v>48</v>
      </c>
      <c r="F324" s="1">
        <f>VLOOKUP($B324&amp;"__wt",'SegEnds_Xtal_BW#'!$A:$Z,6,FALSE)</f>
        <v>51</v>
      </c>
      <c r="G324" s="1">
        <v>37</v>
      </c>
      <c r="H324" s="12">
        <v>63</v>
      </c>
      <c r="I324" s="1" t="str">
        <f>VLOOKUP($B324&amp;"__wt",'SegEnds_Xtal_BW#'!$A:$Z,9,FALSE)</f>
        <v>-</v>
      </c>
      <c r="J324" s="1" t="str">
        <f>VLOOKUP($B324&amp;"__wt",'SegEnds_Xtal_BW#'!$A:$Z,10,FALSE)</f>
        <v>-</v>
      </c>
      <c r="K324" s="12">
        <v>23</v>
      </c>
      <c r="L324" s="1">
        <f>VLOOKUP($B324&amp;"__wt",'SegEnds_Xtal_BW#'!$A:$Z,12,FALSE)</f>
        <v>56</v>
      </c>
      <c r="M324" s="1" t="str">
        <f>VLOOKUP($B324&amp;"__wt",'SegEnds_Xtal_BW#'!$A:$Z,13,FALSE)</f>
        <v>-</v>
      </c>
      <c r="N324" s="12" t="str">
        <f>VLOOKUP($B324&amp;"__wt",'SegEnds_Xtal_BW#'!$A:$Z,14,FALSE)</f>
        <v>-</v>
      </c>
      <c r="O324" s="89">
        <f>VLOOKUP($B324&amp;"__wt",'SegEnds_Xtal_BW#'!$A:$Z,15,FALSE)</f>
        <v>41</v>
      </c>
      <c r="P324" s="1">
        <f>VLOOKUP($B324&amp;"__wt",'SegEnds_Xtal_BW#'!$A:$Z,16,FALSE)</f>
        <v>68</v>
      </c>
      <c r="Q324" s="1">
        <f>VLOOKUP($B324&amp;"__wt",'SegEnds_Xtal_BW#'!$A:$Z,17,FALSE)</f>
        <v>50</v>
      </c>
      <c r="R324" s="1">
        <f>VLOOKUP($B324&amp;"__wt",'SegEnds_Xtal_BW#'!$A:$Z,18,FALSE)</f>
        <v>52</v>
      </c>
      <c r="S324" s="1">
        <v>36</v>
      </c>
      <c r="T324" s="1">
        <v>69</v>
      </c>
      <c r="U324" s="1">
        <v>29</v>
      </c>
      <c r="V324" s="1">
        <f>VLOOKUP($B324&amp;"__wt",'SegEnds_Xtal_BW#'!$A:$Z,22,FALSE)</f>
        <v>53</v>
      </c>
      <c r="W324" s="1">
        <v>31</v>
      </c>
      <c r="X324" s="1">
        <f>VLOOKUP($B324&amp;"__wt",'SegEnds_Xtal_BW#'!$A:$Z,24,FALSE)</f>
        <v>56</v>
      </c>
      <c r="Y324" s="1">
        <f>VLOOKUP($B324&amp;"__wt",'SegEnds_Xtal_BW#'!$A:$Z,25,FALSE)</f>
        <v>47</v>
      </c>
      <c r="Z324" s="1">
        <v>63</v>
      </c>
      <c r="AA324" s="27" t="str">
        <f>VLOOKUP(A324,Classification!A:B,2,FALSE)</f>
        <v>B2</v>
      </c>
      <c r="AB324" s="1" t="e">
        <f>VLOOKUP(A324,'SegEnds_NonXtal_Prot#'!A:AL,10,FALSE)-VLOOKUP(A324,'SegEnds_NonXtal_Prot#'!A:AL,7,FALSE)</f>
        <v>#VALUE!</v>
      </c>
      <c r="AC324" s="1" t="e">
        <f>VLOOKUP(A324,'SegEnds_NonXtal_Prot#'!A:AL,13,FALSE)-VLOOKUP(A324,'SegEnds_NonXtal_Prot#'!A:AL,10,FALSE)</f>
        <v>#VALUE!</v>
      </c>
      <c r="AD324" s="1">
        <f>VLOOKUP(A324,'SegEnds_NonXtal_Prot#'!A:AL,16,FALSE)-VLOOKUP(A324,'SegEnds_NonXtal_Prot#'!A:AL,10,FALSE)</f>
        <v>51</v>
      </c>
      <c r="AE324" s="1" t="e">
        <f>VLOOKUP(A324,'SegEnds_NonXtal_Prot#'!A:AL,22,FALSE)-VLOOKUP(A324,'SegEnds_NonXtal_Prot#'!A:AL,19,FALSE)</f>
        <v>#VALUE!</v>
      </c>
      <c r="AF324" s="1">
        <f>VLOOKUP(A324,'SegEnds_NonXtal_Prot#'!A:AL,28,FALSE)-VLOOKUP(A324,'SegEnds_NonXtal_Prot#'!A:AL,25,FALSE)</f>
        <v>20</v>
      </c>
      <c r="AG324" s="1">
        <f>VLOOKUP(A324,'SegEnds_NonXtal_Prot#'!A:AL,28,FALSE)-VLOOKUP(A324,'SegEnds_NonXtal_Prot#'!A:AL,22,FALSE)</f>
        <v>46</v>
      </c>
      <c r="AH324" s="1">
        <f>VLOOKUP(A324,'SegEnds_NonXtal_Prot#'!A:AL,31,FALSE)-VLOOKUP(A324,'SegEnds_NonXtal_Prot#'!A:AL,28,FALSE)</f>
        <v>57</v>
      </c>
      <c r="AI324" s="1">
        <f>VLOOKUP(A324,'SegEnds_NonXtal_Prot#'!A:AL,34,FALSE)-VLOOKUP(A324,'SegEnds_NonXtal_Prot#'!A:AL,31,FALSE)</f>
        <v>23</v>
      </c>
      <c r="AJ324" s="1" t="str">
        <f>IF(ISERROR(MATCH(A324,'SegEnds_Xtal_Prot#'!B:B, 0)), "NoXtal", "Xtal")</f>
        <v>NoXtal</v>
      </c>
    </row>
    <row r="325" spans="1:36" x14ac:dyDescent="0.2">
      <c r="A325" s="1" t="s">
        <v>1190</v>
      </c>
      <c r="B325" s="1" t="str">
        <f>VLOOKUP(A325,Xtal_Templ!A:B,2,FALSE)</f>
        <v>crfr1_human</v>
      </c>
      <c r="C325" s="5">
        <v>23</v>
      </c>
      <c r="D325" s="1">
        <f>VLOOKUP($B325&amp;"__wt",'SegEnds_Xtal_BW#'!$A:$Z,4,FALSE)</f>
        <v>60</v>
      </c>
      <c r="E325" s="1">
        <f>VLOOKUP($B325&amp;"__wt",'SegEnds_Xtal_BW#'!$A:$Z,5,FALSE)</f>
        <v>48</v>
      </c>
      <c r="F325" s="1">
        <f>VLOOKUP($B325&amp;"__wt",'SegEnds_Xtal_BW#'!$A:$Z,6,FALSE)</f>
        <v>51</v>
      </c>
      <c r="G325" s="1">
        <v>37</v>
      </c>
      <c r="H325" s="12">
        <v>63</v>
      </c>
      <c r="I325" s="1" t="str">
        <f>VLOOKUP($B325&amp;"__wt",'SegEnds_Xtal_BW#'!$A:$Z,9,FALSE)</f>
        <v>-</v>
      </c>
      <c r="J325" s="1" t="str">
        <f>VLOOKUP($B325&amp;"__wt",'SegEnds_Xtal_BW#'!$A:$Z,10,FALSE)</f>
        <v>-</v>
      </c>
      <c r="K325" s="12">
        <v>23</v>
      </c>
      <c r="L325" s="1">
        <f>VLOOKUP($B325&amp;"__wt",'SegEnds_Xtal_BW#'!$A:$Z,12,FALSE)</f>
        <v>56</v>
      </c>
      <c r="M325" s="1" t="str">
        <f>VLOOKUP($B325&amp;"__wt",'SegEnds_Xtal_BW#'!$A:$Z,13,FALSE)</f>
        <v>-</v>
      </c>
      <c r="N325" s="12" t="str">
        <f>VLOOKUP($B325&amp;"__wt",'SegEnds_Xtal_BW#'!$A:$Z,14,FALSE)</f>
        <v>-</v>
      </c>
      <c r="O325" s="89">
        <f>VLOOKUP($B325&amp;"__wt",'SegEnds_Xtal_BW#'!$A:$Z,15,FALSE)</f>
        <v>40</v>
      </c>
      <c r="P325" s="1">
        <f>VLOOKUP($B325&amp;"__wt",'SegEnds_Xtal_BW#'!$A:$Z,16,FALSE)</f>
        <v>68</v>
      </c>
      <c r="Q325" s="1">
        <f>VLOOKUP($B325&amp;"__wt",'SegEnds_Xtal_BW#'!$A:$Z,17,FALSE)</f>
        <v>50</v>
      </c>
      <c r="R325" s="1">
        <f>VLOOKUP($B325&amp;"__wt",'SegEnds_Xtal_BW#'!$A:$Z,18,FALSE)</f>
        <v>52</v>
      </c>
      <c r="S325" s="1">
        <v>36</v>
      </c>
      <c r="T325" s="1">
        <v>69</v>
      </c>
      <c r="U325" s="1">
        <v>29</v>
      </c>
      <c r="V325" s="1">
        <f>VLOOKUP($B325&amp;"__wt",'SegEnds_Xtal_BW#'!$A:$Z,22,FALSE)</f>
        <v>53</v>
      </c>
      <c r="W325" s="1">
        <v>31</v>
      </c>
      <c r="X325" s="1">
        <f>VLOOKUP($B325&amp;"__wt",'SegEnds_Xtal_BW#'!$A:$Z,24,FALSE)</f>
        <v>56</v>
      </c>
      <c r="Y325" s="1">
        <f>VLOOKUP($B325&amp;"__wt",'SegEnds_Xtal_BW#'!$A:$Z,25,FALSE)</f>
        <v>47</v>
      </c>
      <c r="Z325" s="1">
        <v>63</v>
      </c>
      <c r="AA325" s="27" t="str">
        <f>VLOOKUP(A325,Classification!A:B,2,FALSE)</f>
        <v>B2</v>
      </c>
      <c r="AB325" s="1" t="e">
        <f>VLOOKUP(A325,'SegEnds_NonXtal_Prot#'!A:AL,10,FALSE)-VLOOKUP(A325,'SegEnds_NonXtal_Prot#'!A:AL,7,FALSE)</f>
        <v>#VALUE!</v>
      </c>
      <c r="AC325" s="1" t="e">
        <f>VLOOKUP(A325,'SegEnds_NonXtal_Prot#'!A:AL,13,FALSE)-VLOOKUP(A325,'SegEnds_NonXtal_Prot#'!A:AL,10,FALSE)</f>
        <v>#VALUE!</v>
      </c>
      <c r="AD325" s="1">
        <f>VLOOKUP(A325,'SegEnds_NonXtal_Prot#'!A:AL,16,FALSE)-VLOOKUP(A325,'SegEnds_NonXtal_Prot#'!A:AL,10,FALSE)</f>
        <v>50</v>
      </c>
      <c r="AE325" s="1" t="e">
        <f>VLOOKUP(A325,'SegEnds_NonXtal_Prot#'!A:AL,22,FALSE)-VLOOKUP(A325,'SegEnds_NonXtal_Prot#'!A:AL,19,FALSE)</f>
        <v>#VALUE!</v>
      </c>
      <c r="AF325" s="1">
        <f>VLOOKUP(A325,'SegEnds_NonXtal_Prot#'!A:AL,28,FALSE)-VLOOKUP(A325,'SegEnds_NonXtal_Prot#'!A:AL,25,FALSE)</f>
        <v>19</v>
      </c>
      <c r="AG325" s="1">
        <f>VLOOKUP(A325,'SegEnds_NonXtal_Prot#'!A:AL,28,FALSE)-VLOOKUP(A325,'SegEnds_NonXtal_Prot#'!A:AL,22,FALSE)</f>
        <v>45</v>
      </c>
      <c r="AH325" s="1">
        <f>VLOOKUP(A325,'SegEnds_NonXtal_Prot#'!A:AL,31,FALSE)-VLOOKUP(A325,'SegEnds_NonXtal_Prot#'!A:AL,28,FALSE)</f>
        <v>52</v>
      </c>
      <c r="AI325" s="1">
        <f>VLOOKUP(A325,'SegEnds_NonXtal_Prot#'!A:AL,34,FALSE)-VLOOKUP(A325,'SegEnds_NonXtal_Prot#'!A:AL,31,FALSE)</f>
        <v>29</v>
      </c>
      <c r="AJ325" s="1" t="str">
        <f>IF(ISERROR(MATCH(A325,'SegEnds_Xtal_Prot#'!B:B, 0)), "NoXtal", "Xtal")</f>
        <v>NoXtal</v>
      </c>
    </row>
    <row r="326" spans="1:36" x14ac:dyDescent="0.2">
      <c r="A326" s="1" t="s">
        <v>1191</v>
      </c>
      <c r="B326" s="1" t="str">
        <f>VLOOKUP(A326,Xtal_Templ!A:B,2,FALSE)</f>
        <v>crfr1_human</v>
      </c>
      <c r="C326" s="5">
        <v>23</v>
      </c>
      <c r="D326" s="1">
        <f>VLOOKUP($B326&amp;"__wt",'SegEnds_Xtal_BW#'!$A:$Z,4,FALSE)</f>
        <v>60</v>
      </c>
      <c r="E326" s="1">
        <f>VLOOKUP($B326&amp;"__wt",'SegEnds_Xtal_BW#'!$A:$Z,5,FALSE)</f>
        <v>48</v>
      </c>
      <c r="F326" s="1">
        <f>VLOOKUP($B326&amp;"__wt",'SegEnds_Xtal_BW#'!$A:$Z,6,FALSE)</f>
        <v>51</v>
      </c>
      <c r="G326" s="1">
        <v>37</v>
      </c>
      <c r="H326" s="12">
        <v>63</v>
      </c>
      <c r="I326" s="1" t="str">
        <f>VLOOKUP($B326&amp;"__wt",'SegEnds_Xtal_BW#'!$A:$Z,9,FALSE)</f>
        <v>-</v>
      </c>
      <c r="J326" s="1" t="str">
        <f>VLOOKUP($B326&amp;"__wt",'SegEnds_Xtal_BW#'!$A:$Z,10,FALSE)</f>
        <v>-</v>
      </c>
      <c r="K326" s="12">
        <v>23</v>
      </c>
      <c r="L326" s="1">
        <f>VLOOKUP($B326&amp;"__wt",'SegEnds_Xtal_BW#'!$A:$Z,12,FALSE)</f>
        <v>56</v>
      </c>
      <c r="M326" s="1" t="str">
        <f>VLOOKUP($B326&amp;"__wt",'SegEnds_Xtal_BW#'!$A:$Z,13,FALSE)</f>
        <v>-</v>
      </c>
      <c r="N326" s="12" t="str">
        <f>VLOOKUP($B326&amp;"__wt",'SegEnds_Xtal_BW#'!$A:$Z,14,FALSE)</f>
        <v>-</v>
      </c>
      <c r="O326" s="89">
        <f>VLOOKUP($B326&amp;"__wt",'SegEnds_Xtal_BW#'!$A:$Z,15,FALSE)</f>
        <v>40</v>
      </c>
      <c r="P326" s="1">
        <f>VLOOKUP($B326&amp;"__wt",'SegEnds_Xtal_BW#'!$A:$Z,16,FALSE)</f>
        <v>68</v>
      </c>
      <c r="Q326" s="1">
        <f>VLOOKUP($B326&amp;"__wt",'SegEnds_Xtal_BW#'!$A:$Z,17,FALSE)</f>
        <v>50</v>
      </c>
      <c r="R326" s="1">
        <f>VLOOKUP($B326&amp;"__wt",'SegEnds_Xtal_BW#'!$A:$Z,18,FALSE)</f>
        <v>52</v>
      </c>
      <c r="S326" s="1">
        <v>36</v>
      </c>
      <c r="T326" s="1">
        <v>69</v>
      </c>
      <c r="U326" s="1">
        <v>29</v>
      </c>
      <c r="V326" s="1">
        <f>VLOOKUP($B326&amp;"__wt",'SegEnds_Xtal_BW#'!$A:$Z,22,FALSE)</f>
        <v>53</v>
      </c>
      <c r="W326" s="1">
        <v>31</v>
      </c>
      <c r="X326" s="1">
        <f>VLOOKUP($B326&amp;"__wt",'SegEnds_Xtal_BW#'!$A:$Z,24,FALSE)</f>
        <v>56</v>
      </c>
      <c r="Y326" s="1">
        <f>VLOOKUP($B326&amp;"__wt",'SegEnds_Xtal_BW#'!$A:$Z,25,FALSE)</f>
        <v>47</v>
      </c>
      <c r="Z326" s="1">
        <v>63</v>
      </c>
      <c r="AA326" s="27" t="str">
        <f>VLOOKUP(A326,Classification!A:B,2,FALSE)</f>
        <v>B2</v>
      </c>
      <c r="AB326" s="1" t="e">
        <f>VLOOKUP(A326,'SegEnds_NonXtal_Prot#'!A:AL,10,FALSE)-VLOOKUP(A326,'SegEnds_NonXtal_Prot#'!A:AL,7,FALSE)</f>
        <v>#VALUE!</v>
      </c>
      <c r="AC326" s="1" t="e">
        <f>VLOOKUP(A326,'SegEnds_NonXtal_Prot#'!A:AL,13,FALSE)-VLOOKUP(A326,'SegEnds_NonXtal_Prot#'!A:AL,10,FALSE)</f>
        <v>#VALUE!</v>
      </c>
      <c r="AD326" s="1">
        <f>VLOOKUP(A326,'SegEnds_NonXtal_Prot#'!A:AL,16,FALSE)-VLOOKUP(A326,'SegEnds_NonXtal_Prot#'!A:AL,10,FALSE)</f>
        <v>51</v>
      </c>
      <c r="AE326" s="1" t="e">
        <f>VLOOKUP(A326,'SegEnds_NonXtal_Prot#'!A:AL,22,FALSE)-VLOOKUP(A326,'SegEnds_NonXtal_Prot#'!A:AL,19,FALSE)</f>
        <v>#VALUE!</v>
      </c>
      <c r="AF326" s="1">
        <f>VLOOKUP(A326,'SegEnds_NonXtal_Prot#'!A:AL,28,FALSE)-VLOOKUP(A326,'SegEnds_NonXtal_Prot#'!A:AL,25,FALSE)</f>
        <v>20</v>
      </c>
      <c r="AG326" s="1">
        <f>VLOOKUP(A326,'SegEnds_NonXtal_Prot#'!A:AL,28,FALSE)-VLOOKUP(A326,'SegEnds_NonXtal_Prot#'!A:AL,22,FALSE)</f>
        <v>46</v>
      </c>
      <c r="AH326" s="1">
        <f>VLOOKUP(A326,'SegEnds_NonXtal_Prot#'!A:AL,31,FALSE)-VLOOKUP(A326,'SegEnds_NonXtal_Prot#'!A:AL,28,FALSE)</f>
        <v>51</v>
      </c>
      <c r="AI326" s="1">
        <f>VLOOKUP(A326,'SegEnds_NonXtal_Prot#'!A:AL,34,FALSE)-VLOOKUP(A326,'SegEnds_NonXtal_Prot#'!A:AL,31,FALSE)</f>
        <v>29</v>
      </c>
      <c r="AJ326" s="1" t="str">
        <f>IF(ISERROR(MATCH(A326,'SegEnds_Xtal_Prot#'!B:B, 0)), "NoXtal", "Xtal")</f>
        <v>NoXtal</v>
      </c>
    </row>
    <row r="327" spans="1:36" x14ac:dyDescent="0.2">
      <c r="A327" s="1" t="s">
        <v>1192</v>
      </c>
      <c r="B327" s="1" t="str">
        <f>VLOOKUP(A327,Xtal_Templ!A:B,2,FALSE)</f>
        <v>crfr1_human</v>
      </c>
      <c r="C327" s="5">
        <v>23</v>
      </c>
      <c r="D327" s="1">
        <f>VLOOKUP($B327&amp;"__wt",'SegEnds_Xtal_BW#'!$A:$Z,4,FALSE)</f>
        <v>60</v>
      </c>
      <c r="E327" s="1">
        <f>VLOOKUP($B327&amp;"__wt",'SegEnds_Xtal_BW#'!$A:$Z,5,FALSE)</f>
        <v>48</v>
      </c>
      <c r="F327" s="1">
        <f>VLOOKUP($B327&amp;"__wt",'SegEnds_Xtal_BW#'!$A:$Z,6,FALSE)</f>
        <v>51</v>
      </c>
      <c r="G327" s="1">
        <v>37</v>
      </c>
      <c r="H327" s="12">
        <v>63</v>
      </c>
      <c r="I327" s="1" t="str">
        <f>VLOOKUP($B327&amp;"__wt",'SegEnds_Xtal_BW#'!$A:$Z,9,FALSE)</f>
        <v>-</v>
      </c>
      <c r="J327" s="1" t="str">
        <f>VLOOKUP($B327&amp;"__wt",'SegEnds_Xtal_BW#'!$A:$Z,10,FALSE)</f>
        <v>-</v>
      </c>
      <c r="K327" s="12">
        <v>23</v>
      </c>
      <c r="L327" s="1">
        <f>VLOOKUP($B327&amp;"__wt",'SegEnds_Xtal_BW#'!$A:$Z,12,FALSE)</f>
        <v>56</v>
      </c>
      <c r="M327" s="1" t="str">
        <f>VLOOKUP($B327&amp;"__wt",'SegEnds_Xtal_BW#'!$A:$Z,13,FALSE)</f>
        <v>-</v>
      </c>
      <c r="N327" s="12" t="str">
        <f>VLOOKUP($B327&amp;"__wt",'SegEnds_Xtal_BW#'!$A:$Z,14,FALSE)</f>
        <v>-</v>
      </c>
      <c r="O327" s="89">
        <f>VLOOKUP($B327&amp;"__wt",'SegEnds_Xtal_BW#'!$A:$Z,15,FALSE)</f>
        <v>40</v>
      </c>
      <c r="P327" s="1">
        <f>VLOOKUP($B327&amp;"__wt",'SegEnds_Xtal_BW#'!$A:$Z,16,FALSE)</f>
        <v>68</v>
      </c>
      <c r="Q327" s="1">
        <f>VLOOKUP($B327&amp;"__wt",'SegEnds_Xtal_BW#'!$A:$Z,17,FALSE)</f>
        <v>50</v>
      </c>
      <c r="R327" s="1">
        <f>VLOOKUP($B327&amp;"__wt",'SegEnds_Xtal_BW#'!$A:$Z,18,FALSE)</f>
        <v>52</v>
      </c>
      <c r="S327" s="1">
        <v>36</v>
      </c>
      <c r="T327" s="1">
        <v>69</v>
      </c>
      <c r="U327" s="1">
        <v>29</v>
      </c>
      <c r="V327" s="1">
        <f>VLOOKUP($B327&amp;"__wt",'SegEnds_Xtal_BW#'!$A:$Z,22,FALSE)</f>
        <v>53</v>
      </c>
      <c r="W327" s="1">
        <v>31</v>
      </c>
      <c r="X327" s="1">
        <f>VLOOKUP($B327&amp;"__wt",'SegEnds_Xtal_BW#'!$A:$Z,24,FALSE)</f>
        <v>56</v>
      </c>
      <c r="Y327" s="1">
        <f>VLOOKUP($B327&amp;"__wt",'SegEnds_Xtal_BW#'!$A:$Z,25,FALSE)</f>
        <v>47</v>
      </c>
      <c r="Z327" s="1">
        <v>63</v>
      </c>
      <c r="AA327" s="27" t="str">
        <f>VLOOKUP(A327,Classification!A:B,2,FALSE)</f>
        <v>B2</v>
      </c>
      <c r="AB327" s="1">
        <f>VLOOKUP(A327,'SegEnds_NonXtal_Prot#'!A:AL,10,FALSE)-VLOOKUP(A327,'SegEnds_NonXtal_Prot#'!A:AL,7,FALSE)</f>
        <v>17</v>
      </c>
      <c r="AC327" s="1" t="e">
        <f>VLOOKUP(A327,'SegEnds_NonXtal_Prot#'!A:AL,13,FALSE)-VLOOKUP(A327,'SegEnds_NonXtal_Prot#'!A:AL,10,FALSE)</f>
        <v>#VALUE!</v>
      </c>
      <c r="AD327" s="1">
        <f>VLOOKUP(A327,'SegEnds_NonXtal_Prot#'!A:AL,16,FALSE)-VLOOKUP(A327,'SegEnds_NonXtal_Prot#'!A:AL,10,FALSE)</f>
        <v>53</v>
      </c>
      <c r="AE327" s="1" t="e">
        <f>VLOOKUP(A327,'SegEnds_NonXtal_Prot#'!A:AL,22,FALSE)-VLOOKUP(A327,'SegEnds_NonXtal_Prot#'!A:AL,19,FALSE)</f>
        <v>#VALUE!</v>
      </c>
      <c r="AF327" s="1">
        <f>VLOOKUP(A327,'SegEnds_NonXtal_Prot#'!A:AL,28,FALSE)-VLOOKUP(A327,'SegEnds_NonXtal_Prot#'!A:AL,25,FALSE)</f>
        <v>20</v>
      </c>
      <c r="AG327" s="1">
        <f>VLOOKUP(A327,'SegEnds_NonXtal_Prot#'!A:AL,28,FALSE)-VLOOKUP(A327,'SegEnds_NonXtal_Prot#'!A:AL,22,FALSE)</f>
        <v>46</v>
      </c>
      <c r="AH327" s="1">
        <f>VLOOKUP(A327,'SegEnds_NonXtal_Prot#'!A:AL,31,FALSE)-VLOOKUP(A327,'SegEnds_NonXtal_Prot#'!A:AL,28,FALSE)</f>
        <v>52</v>
      </c>
      <c r="AI327" s="1">
        <f>VLOOKUP(A327,'SegEnds_NonXtal_Prot#'!A:AL,34,FALSE)-VLOOKUP(A327,'SegEnds_NonXtal_Prot#'!A:AL,31,FALSE)</f>
        <v>29</v>
      </c>
      <c r="AJ327" s="1" t="str">
        <f>IF(ISERROR(MATCH(A327,'SegEnds_Xtal_Prot#'!B:B, 0)), "NoXtal", "Xtal")</f>
        <v>NoXtal</v>
      </c>
    </row>
    <row r="328" spans="1:36" x14ac:dyDescent="0.2">
      <c r="A328" s="4" t="s">
        <v>1193</v>
      </c>
      <c r="B328" s="4" t="str">
        <f>VLOOKUP(A328,Xtal_Templ!A:B,2,FALSE)</f>
        <v>crfr1_human</v>
      </c>
      <c r="C328" s="5">
        <v>23</v>
      </c>
      <c r="D328" s="4">
        <f>VLOOKUP($B328&amp;"__wt",'SegEnds_Xtal_BW#'!$A:$Z,4,FALSE)</f>
        <v>60</v>
      </c>
      <c r="E328" s="4">
        <f>VLOOKUP($B328&amp;"__wt",'SegEnds_Xtal_BW#'!$A:$Z,5,FALSE)</f>
        <v>48</v>
      </c>
      <c r="F328" s="4">
        <f>VLOOKUP($B328&amp;"__wt",'SegEnds_Xtal_BW#'!$A:$Z,6,FALSE)</f>
        <v>51</v>
      </c>
      <c r="G328" s="4">
        <v>37</v>
      </c>
      <c r="H328" s="11">
        <v>63</v>
      </c>
      <c r="I328" s="4" t="str">
        <f>VLOOKUP($B328&amp;"__wt",'SegEnds_Xtal_BW#'!$A:$Z,9,FALSE)</f>
        <v>-</v>
      </c>
      <c r="J328" s="4" t="str">
        <f>VLOOKUP($B328&amp;"__wt",'SegEnds_Xtal_BW#'!$A:$Z,10,FALSE)</f>
        <v>-</v>
      </c>
      <c r="K328" s="11">
        <v>23</v>
      </c>
      <c r="L328" s="4">
        <f>VLOOKUP($B328&amp;"__wt",'SegEnds_Xtal_BW#'!$A:$Z,12,FALSE)</f>
        <v>56</v>
      </c>
      <c r="M328" s="4" t="str">
        <f>VLOOKUP($B328&amp;"__wt",'SegEnds_Xtal_BW#'!$A:$Z,13,FALSE)</f>
        <v>-</v>
      </c>
      <c r="N328" s="11" t="str">
        <f>VLOOKUP($B328&amp;"__wt",'SegEnds_Xtal_BW#'!$A:$Z,14,FALSE)</f>
        <v>-</v>
      </c>
      <c r="O328" s="90">
        <f>VLOOKUP($B328&amp;"__wt",'SegEnds_Xtal_BW#'!$A:$Z,15,FALSE)</f>
        <v>40</v>
      </c>
      <c r="P328" s="4">
        <f>VLOOKUP($B328&amp;"__wt",'SegEnds_Xtal_BW#'!$A:$Z,16,FALSE)</f>
        <v>68</v>
      </c>
      <c r="Q328" s="4">
        <f>VLOOKUP($B328&amp;"__wt",'SegEnds_Xtal_BW#'!$A:$Z,17,FALSE)</f>
        <v>50</v>
      </c>
      <c r="R328" s="4">
        <f>VLOOKUP($B328&amp;"__wt",'SegEnds_Xtal_BW#'!$A:$Z,18,FALSE)</f>
        <v>52</v>
      </c>
      <c r="S328" s="4">
        <v>36</v>
      </c>
      <c r="T328" s="4">
        <v>69</v>
      </c>
      <c r="U328" s="4">
        <v>29</v>
      </c>
      <c r="V328" s="4">
        <f>VLOOKUP($B328&amp;"__wt",'SegEnds_Xtal_BW#'!$A:$Z,22,FALSE)</f>
        <v>53</v>
      </c>
      <c r="W328" s="4">
        <v>30</v>
      </c>
      <c r="X328" s="4">
        <f>VLOOKUP($B328&amp;"__wt",'SegEnds_Xtal_BW#'!$A:$Z,24,FALSE)</f>
        <v>56</v>
      </c>
      <c r="Y328" s="4">
        <f>VLOOKUP($B328&amp;"__wt",'SegEnds_Xtal_BW#'!$A:$Z,25,FALSE)</f>
        <v>47</v>
      </c>
      <c r="Z328" s="4">
        <v>63</v>
      </c>
      <c r="AA328" s="27" t="str">
        <f>VLOOKUP(A328,Classification!A:B,2,FALSE)</f>
        <v>B2</v>
      </c>
      <c r="AB328" s="4">
        <f>VLOOKUP(A328,'SegEnds_NonXtal_Prot#'!A:AL,10,FALSE)-VLOOKUP(A328,'SegEnds_NonXtal_Prot#'!A:AL,7,FALSE)</f>
        <v>21</v>
      </c>
      <c r="AC328" s="4" t="e">
        <f>VLOOKUP(A328,'SegEnds_NonXtal_Prot#'!A:AL,13,FALSE)-VLOOKUP(A328,'SegEnds_NonXtal_Prot#'!A:AL,10,FALSE)</f>
        <v>#VALUE!</v>
      </c>
      <c r="AD328" s="4">
        <f>VLOOKUP(A328,'SegEnds_NonXtal_Prot#'!A:AL,16,FALSE)-VLOOKUP(A328,'SegEnds_NonXtal_Prot#'!A:AL,10,FALSE)</f>
        <v>47</v>
      </c>
      <c r="AE328" s="1" t="e">
        <f>VLOOKUP(A328,'SegEnds_NonXtal_Prot#'!A:AL,22,FALSE)-VLOOKUP(A328,'SegEnds_NonXtal_Prot#'!A:AL,19,FALSE)</f>
        <v>#VALUE!</v>
      </c>
      <c r="AF328" s="4">
        <f>VLOOKUP(A328,'SegEnds_NonXtal_Prot#'!A:AL,28,FALSE)-VLOOKUP(A328,'SegEnds_NonXtal_Prot#'!A:AL,25,FALSE)</f>
        <v>19</v>
      </c>
      <c r="AG328" s="1">
        <f>VLOOKUP(A328,'SegEnds_NonXtal_Prot#'!A:AL,28,FALSE)-VLOOKUP(A328,'SegEnds_NonXtal_Prot#'!A:AL,22,FALSE)</f>
        <v>57</v>
      </c>
      <c r="AH328" s="4">
        <f>VLOOKUP(A328,'SegEnds_NonXtal_Prot#'!A:AL,31,FALSE)-VLOOKUP(A328,'SegEnds_NonXtal_Prot#'!A:AL,28,FALSE)</f>
        <v>44</v>
      </c>
      <c r="AI328" s="4">
        <f>VLOOKUP(A328,'SegEnds_NonXtal_Prot#'!A:AL,34,FALSE)-VLOOKUP(A328,'SegEnds_NonXtal_Prot#'!A:AL,31,FALSE)</f>
        <v>30</v>
      </c>
      <c r="AJ328" s="1" t="str">
        <f>IF(ISERROR(MATCH(A328,'SegEnds_Xtal_Prot#'!B:B, 0)), "NoXtal", "Xtal")</f>
        <v>NoXtal</v>
      </c>
    </row>
    <row r="329" spans="1:36" x14ac:dyDescent="0.2">
      <c r="A329" s="4" t="s">
        <v>1194</v>
      </c>
      <c r="B329" s="4" t="str">
        <f>VLOOKUP(A329,Xtal_Templ!A:B,2,FALSE)</f>
        <v>crfr1_human</v>
      </c>
      <c r="C329" s="5">
        <v>23</v>
      </c>
      <c r="D329" s="4">
        <f>VLOOKUP($B329&amp;"__wt",'SegEnds_Xtal_BW#'!$A:$Z,4,FALSE)</f>
        <v>60</v>
      </c>
      <c r="E329" s="4">
        <f>VLOOKUP($B329&amp;"__wt",'SegEnds_Xtal_BW#'!$A:$Z,5,FALSE)</f>
        <v>48</v>
      </c>
      <c r="F329" s="4">
        <f>VLOOKUP($B329&amp;"__wt",'SegEnds_Xtal_BW#'!$A:$Z,6,FALSE)</f>
        <v>51</v>
      </c>
      <c r="G329" s="4">
        <v>37</v>
      </c>
      <c r="H329" s="11">
        <v>63</v>
      </c>
      <c r="I329" s="4" t="str">
        <f>VLOOKUP($B329&amp;"__wt",'SegEnds_Xtal_BW#'!$A:$Z,9,FALSE)</f>
        <v>-</v>
      </c>
      <c r="J329" s="4" t="str">
        <f>VLOOKUP($B329&amp;"__wt",'SegEnds_Xtal_BW#'!$A:$Z,10,FALSE)</f>
        <v>-</v>
      </c>
      <c r="K329" s="11">
        <v>23</v>
      </c>
      <c r="L329" s="4">
        <f>VLOOKUP($B329&amp;"__wt",'SegEnds_Xtal_BW#'!$A:$Z,12,FALSE)</f>
        <v>56</v>
      </c>
      <c r="M329" s="4" t="str">
        <f>VLOOKUP($B329&amp;"__wt",'SegEnds_Xtal_BW#'!$A:$Z,13,FALSE)</f>
        <v>-</v>
      </c>
      <c r="N329" s="11" t="str">
        <f>VLOOKUP($B329&amp;"__wt",'SegEnds_Xtal_BW#'!$A:$Z,14,FALSE)</f>
        <v>-</v>
      </c>
      <c r="O329" s="90">
        <f>VLOOKUP($B329&amp;"__wt",'SegEnds_Xtal_BW#'!$A:$Z,15,FALSE)</f>
        <v>40</v>
      </c>
      <c r="P329" s="4">
        <f>VLOOKUP($B329&amp;"__wt",'SegEnds_Xtal_BW#'!$A:$Z,16,FALSE)</f>
        <v>68</v>
      </c>
      <c r="Q329" s="4">
        <f>VLOOKUP($B329&amp;"__wt",'SegEnds_Xtal_BW#'!$A:$Z,17,FALSE)</f>
        <v>50</v>
      </c>
      <c r="R329" s="4">
        <f>VLOOKUP($B329&amp;"__wt",'SegEnds_Xtal_BW#'!$A:$Z,18,FALSE)</f>
        <v>52</v>
      </c>
      <c r="S329" s="4">
        <v>36</v>
      </c>
      <c r="T329" s="4">
        <v>69</v>
      </c>
      <c r="U329" s="4">
        <v>29</v>
      </c>
      <c r="V329" s="4">
        <f>VLOOKUP($B329&amp;"__wt",'SegEnds_Xtal_BW#'!$A:$Z,22,FALSE)</f>
        <v>53</v>
      </c>
      <c r="W329" s="4">
        <v>31</v>
      </c>
      <c r="X329" s="4">
        <f>VLOOKUP($B329&amp;"__wt",'SegEnds_Xtal_BW#'!$A:$Z,24,FALSE)</f>
        <v>56</v>
      </c>
      <c r="Y329" s="4">
        <f>VLOOKUP($B329&amp;"__wt",'SegEnds_Xtal_BW#'!$A:$Z,25,FALSE)</f>
        <v>47</v>
      </c>
      <c r="Z329" s="4">
        <v>63</v>
      </c>
      <c r="AA329" s="27" t="str">
        <f>VLOOKUP(A329,Classification!A:B,2,FALSE)</f>
        <v>B2</v>
      </c>
      <c r="AB329" s="4" t="e">
        <f>VLOOKUP(A329,'SegEnds_NonXtal_Prot#'!A:AL,10,FALSE)-VLOOKUP(A329,'SegEnds_NonXtal_Prot#'!A:AL,7,FALSE)</f>
        <v>#VALUE!</v>
      </c>
      <c r="AC329" s="4" t="e">
        <f>VLOOKUP(A329,'SegEnds_NonXtal_Prot#'!A:AL,13,FALSE)-VLOOKUP(A329,'SegEnds_NonXtal_Prot#'!A:AL,10,FALSE)</f>
        <v>#VALUE!</v>
      </c>
      <c r="AD329" s="4">
        <f>VLOOKUP(A329,'SegEnds_NonXtal_Prot#'!A:AL,16,FALSE)-VLOOKUP(A329,'SegEnds_NonXtal_Prot#'!A:AL,10,FALSE)</f>
        <v>47</v>
      </c>
      <c r="AE329" s="1" t="e">
        <f>VLOOKUP(A329,'SegEnds_NonXtal_Prot#'!A:AL,22,FALSE)-VLOOKUP(A329,'SegEnds_NonXtal_Prot#'!A:AL,19,FALSE)</f>
        <v>#VALUE!</v>
      </c>
      <c r="AF329" s="4">
        <f>VLOOKUP(A329,'SegEnds_NonXtal_Prot#'!A:AL,28,FALSE)-VLOOKUP(A329,'SegEnds_NonXtal_Prot#'!A:AL,25,FALSE)</f>
        <v>19</v>
      </c>
      <c r="AG329" s="1">
        <f>VLOOKUP(A329,'SegEnds_NonXtal_Prot#'!A:AL,28,FALSE)-VLOOKUP(A329,'SegEnds_NonXtal_Prot#'!A:AL,22,FALSE)</f>
        <v>54</v>
      </c>
      <c r="AH329" s="4">
        <f>VLOOKUP(A329,'SegEnds_NonXtal_Prot#'!A:AL,31,FALSE)-VLOOKUP(A329,'SegEnds_NonXtal_Prot#'!A:AL,28,FALSE)</f>
        <v>51</v>
      </c>
      <c r="AI329" s="4">
        <f>VLOOKUP(A329,'SegEnds_NonXtal_Prot#'!A:AL,34,FALSE)-VLOOKUP(A329,'SegEnds_NonXtal_Prot#'!A:AL,31,FALSE)</f>
        <v>28</v>
      </c>
      <c r="AJ329" s="1" t="str">
        <f>IF(ISERROR(MATCH(A329,'SegEnds_Xtal_Prot#'!B:B, 0)), "NoXtal", "Xtal")</f>
        <v>NoXtal</v>
      </c>
    </row>
    <row r="330" spans="1:36" x14ac:dyDescent="0.2">
      <c r="A330" s="1" t="s">
        <v>1195</v>
      </c>
      <c r="B330" s="1" t="str">
        <f>VLOOKUP(A330,Xtal_Templ!A:B,2,FALSE)</f>
        <v>crfr1_human</v>
      </c>
      <c r="C330" s="5">
        <v>23</v>
      </c>
      <c r="D330" s="1">
        <f>VLOOKUP($B330&amp;"__wt",'SegEnds_Xtal_BW#'!$A:$Z,4,FALSE)</f>
        <v>60</v>
      </c>
      <c r="E330" s="1">
        <f>VLOOKUP($B330&amp;"__wt",'SegEnds_Xtal_BW#'!$A:$Z,5,FALSE)</f>
        <v>48</v>
      </c>
      <c r="F330" s="1">
        <f>VLOOKUP($B330&amp;"__wt",'SegEnds_Xtal_BW#'!$A:$Z,6,FALSE)</f>
        <v>51</v>
      </c>
      <c r="G330" s="1">
        <v>37</v>
      </c>
      <c r="H330" s="12">
        <v>63</v>
      </c>
      <c r="I330" s="1" t="str">
        <f>VLOOKUP($B330&amp;"__wt",'SegEnds_Xtal_BW#'!$A:$Z,9,FALSE)</f>
        <v>-</v>
      </c>
      <c r="J330" s="1" t="str">
        <f>VLOOKUP($B330&amp;"__wt",'SegEnds_Xtal_BW#'!$A:$Z,10,FALSE)</f>
        <v>-</v>
      </c>
      <c r="K330" s="12">
        <v>23</v>
      </c>
      <c r="L330" s="1">
        <f>VLOOKUP($B330&amp;"__wt",'SegEnds_Xtal_BW#'!$A:$Z,12,FALSE)</f>
        <v>56</v>
      </c>
      <c r="M330" s="1" t="str">
        <f>VLOOKUP($B330&amp;"__wt",'SegEnds_Xtal_BW#'!$A:$Z,13,FALSE)</f>
        <v>-</v>
      </c>
      <c r="N330" s="12" t="str">
        <f>VLOOKUP($B330&amp;"__wt",'SegEnds_Xtal_BW#'!$A:$Z,14,FALSE)</f>
        <v>-</v>
      </c>
      <c r="O330" s="89">
        <f>VLOOKUP($B330&amp;"__wt",'SegEnds_Xtal_BW#'!$A:$Z,15,FALSE)</f>
        <v>40</v>
      </c>
      <c r="P330" s="1">
        <f>VLOOKUP($B330&amp;"__wt",'SegEnds_Xtal_BW#'!$A:$Z,16,FALSE)</f>
        <v>68</v>
      </c>
      <c r="Q330" s="1">
        <f>VLOOKUP($B330&amp;"__wt",'SegEnds_Xtal_BW#'!$A:$Z,17,FALSE)</f>
        <v>50</v>
      </c>
      <c r="R330" s="1">
        <f>VLOOKUP($B330&amp;"__wt",'SegEnds_Xtal_BW#'!$A:$Z,18,FALSE)</f>
        <v>52</v>
      </c>
      <c r="S330" s="1">
        <v>36</v>
      </c>
      <c r="T330" s="1">
        <v>69</v>
      </c>
      <c r="U330" s="1">
        <v>29</v>
      </c>
      <c r="V330" s="1">
        <v>50</v>
      </c>
      <c r="W330" s="1">
        <v>31</v>
      </c>
      <c r="X330" s="1">
        <f>VLOOKUP($B330&amp;"__wt",'SegEnds_Xtal_BW#'!$A:$Z,24,FALSE)</f>
        <v>56</v>
      </c>
      <c r="Y330" s="1">
        <f>VLOOKUP($B330&amp;"__wt",'SegEnds_Xtal_BW#'!$A:$Z,25,FALSE)</f>
        <v>47</v>
      </c>
      <c r="Z330" s="1">
        <v>63</v>
      </c>
      <c r="AA330" s="27" t="str">
        <f>VLOOKUP(A330,Classification!A:B,2,FALSE)</f>
        <v>B2</v>
      </c>
      <c r="AB330" s="1" t="e">
        <f>VLOOKUP(A330,'SegEnds_NonXtal_Prot#'!A:AL,10,FALSE)-VLOOKUP(A330,'SegEnds_NonXtal_Prot#'!A:AL,7,FALSE)</f>
        <v>#VALUE!</v>
      </c>
      <c r="AC330" s="1" t="e">
        <f>VLOOKUP(A330,'SegEnds_NonXtal_Prot#'!A:AL,13,FALSE)-VLOOKUP(A330,'SegEnds_NonXtal_Prot#'!A:AL,10,FALSE)</f>
        <v>#VALUE!</v>
      </c>
      <c r="AD330" s="1">
        <f>VLOOKUP(A330,'SegEnds_NonXtal_Prot#'!A:AL,16,FALSE)-VLOOKUP(A330,'SegEnds_NonXtal_Prot#'!A:AL,10,FALSE)</f>
        <v>47</v>
      </c>
      <c r="AE330" s="1" t="e">
        <f>VLOOKUP(A330,'SegEnds_NonXtal_Prot#'!A:AL,22,FALSE)-VLOOKUP(A330,'SegEnds_NonXtal_Prot#'!A:AL,19,FALSE)</f>
        <v>#VALUE!</v>
      </c>
      <c r="AF330" s="1">
        <f>VLOOKUP(A330,'SegEnds_NonXtal_Prot#'!A:AL,28,FALSE)-VLOOKUP(A330,'SegEnds_NonXtal_Prot#'!A:AL,25,FALSE)</f>
        <v>18</v>
      </c>
      <c r="AG330" s="1">
        <f>VLOOKUP(A330,'SegEnds_NonXtal_Prot#'!A:AL,28,FALSE)-VLOOKUP(A330,'SegEnds_NonXtal_Prot#'!A:AL,22,FALSE)</f>
        <v>51</v>
      </c>
      <c r="AH330" s="1">
        <f>VLOOKUP(A330,'SegEnds_NonXtal_Prot#'!A:AL,31,FALSE)-VLOOKUP(A330,'SegEnds_NonXtal_Prot#'!A:AL,28,FALSE)</f>
        <v>54</v>
      </c>
      <c r="AI330" s="1">
        <f>VLOOKUP(A330,'SegEnds_NonXtal_Prot#'!A:AL,34,FALSE)-VLOOKUP(A330,'SegEnds_NonXtal_Prot#'!A:AL,31,FALSE)</f>
        <v>26</v>
      </c>
      <c r="AJ330" s="1" t="str">
        <f>IF(ISERROR(MATCH(A330,'SegEnds_Xtal_Prot#'!B:B, 0)), "NoXtal", "Xtal")</f>
        <v>NoXtal</v>
      </c>
    </row>
    <row r="331" spans="1:36" x14ac:dyDescent="0.2">
      <c r="A331" s="4" t="s">
        <v>1196</v>
      </c>
      <c r="B331" s="4" t="str">
        <f>VLOOKUP(A331,Xtal_Templ!A:B,2,FALSE)</f>
        <v>crfr1_human</v>
      </c>
      <c r="C331" s="5">
        <v>23</v>
      </c>
      <c r="D331" s="4">
        <f>VLOOKUP($B331&amp;"__wt",'SegEnds_Xtal_BW#'!$A:$Z,4,FALSE)</f>
        <v>60</v>
      </c>
      <c r="E331" s="4">
        <f>VLOOKUP($B331&amp;"__wt",'SegEnds_Xtal_BW#'!$A:$Z,5,FALSE)</f>
        <v>48</v>
      </c>
      <c r="F331" s="4">
        <f>VLOOKUP($B331&amp;"__wt",'SegEnds_Xtal_BW#'!$A:$Z,6,FALSE)</f>
        <v>51</v>
      </c>
      <c r="G331" s="4">
        <v>37</v>
      </c>
      <c r="H331" s="11">
        <v>63</v>
      </c>
      <c r="I331" s="4" t="str">
        <f>VLOOKUP($B331&amp;"__wt",'SegEnds_Xtal_BW#'!$A:$Z,9,FALSE)</f>
        <v>-</v>
      </c>
      <c r="J331" s="4" t="str">
        <f>VLOOKUP($B331&amp;"__wt",'SegEnds_Xtal_BW#'!$A:$Z,10,FALSE)</f>
        <v>-</v>
      </c>
      <c r="K331" s="11">
        <v>23</v>
      </c>
      <c r="L331" s="4">
        <f>VLOOKUP($B331&amp;"__wt",'SegEnds_Xtal_BW#'!$A:$Z,12,FALSE)</f>
        <v>56</v>
      </c>
      <c r="M331" s="4" t="str">
        <f>VLOOKUP($B331&amp;"__wt",'SegEnds_Xtal_BW#'!$A:$Z,13,FALSE)</f>
        <v>-</v>
      </c>
      <c r="N331" s="11" t="str">
        <f>VLOOKUP($B331&amp;"__wt",'SegEnds_Xtal_BW#'!$A:$Z,14,FALSE)</f>
        <v>-</v>
      </c>
      <c r="O331" s="90">
        <f>VLOOKUP($B331&amp;"__wt",'SegEnds_Xtal_BW#'!$A:$Z,15,FALSE)</f>
        <v>40</v>
      </c>
      <c r="P331" s="4">
        <f>VLOOKUP($B331&amp;"__wt",'SegEnds_Xtal_BW#'!$A:$Z,16,FALSE)</f>
        <v>68</v>
      </c>
      <c r="Q331" s="4">
        <f>VLOOKUP($B331&amp;"__wt",'SegEnds_Xtal_BW#'!$A:$Z,17,FALSE)</f>
        <v>50</v>
      </c>
      <c r="R331" s="4">
        <f>VLOOKUP($B331&amp;"__wt",'SegEnds_Xtal_BW#'!$A:$Z,18,FALSE)</f>
        <v>52</v>
      </c>
      <c r="S331" s="4">
        <v>36</v>
      </c>
      <c r="T331" s="4">
        <v>69</v>
      </c>
      <c r="U331" s="4">
        <v>29</v>
      </c>
      <c r="V331" s="4">
        <f>VLOOKUP($B331&amp;"__wt",'SegEnds_Xtal_BW#'!$A:$Z,22,FALSE)</f>
        <v>53</v>
      </c>
      <c r="W331" s="4">
        <v>31</v>
      </c>
      <c r="X331" s="4">
        <f>VLOOKUP($B331&amp;"__wt",'SegEnds_Xtal_BW#'!$A:$Z,24,FALSE)</f>
        <v>56</v>
      </c>
      <c r="Y331" s="4">
        <f>VLOOKUP($B331&amp;"__wt",'SegEnds_Xtal_BW#'!$A:$Z,25,FALSE)</f>
        <v>47</v>
      </c>
      <c r="Z331" s="4">
        <v>63</v>
      </c>
      <c r="AA331" s="27" t="str">
        <f>VLOOKUP(A331,Classification!A:B,2,FALSE)</f>
        <v>B2</v>
      </c>
      <c r="AB331" s="4" t="e">
        <f>VLOOKUP(A331,'SegEnds_NonXtal_Prot#'!A:AL,10,FALSE)-VLOOKUP(A331,'SegEnds_NonXtal_Prot#'!A:AL,7,FALSE)</f>
        <v>#VALUE!</v>
      </c>
      <c r="AC331" s="4" t="e">
        <f>VLOOKUP(A331,'SegEnds_NonXtal_Prot#'!A:AL,13,FALSE)-VLOOKUP(A331,'SegEnds_NonXtal_Prot#'!A:AL,10,FALSE)</f>
        <v>#VALUE!</v>
      </c>
      <c r="AD331" s="4">
        <f>VLOOKUP(A331,'SegEnds_NonXtal_Prot#'!A:AL,16,FALSE)-VLOOKUP(A331,'SegEnds_NonXtal_Prot#'!A:AL,10,FALSE)</f>
        <v>47</v>
      </c>
      <c r="AE331" s="1" t="e">
        <f>VLOOKUP(A331,'SegEnds_NonXtal_Prot#'!A:AL,22,FALSE)-VLOOKUP(A331,'SegEnds_NonXtal_Prot#'!A:AL,19,FALSE)</f>
        <v>#VALUE!</v>
      </c>
      <c r="AF331" s="4">
        <f>VLOOKUP(A331,'SegEnds_NonXtal_Prot#'!A:AL,28,FALSE)-VLOOKUP(A331,'SegEnds_NonXtal_Prot#'!A:AL,25,FALSE)</f>
        <v>19</v>
      </c>
      <c r="AG331" s="1">
        <f>VLOOKUP(A331,'SegEnds_NonXtal_Prot#'!A:AL,28,FALSE)-VLOOKUP(A331,'SegEnds_NonXtal_Prot#'!A:AL,22,FALSE)</f>
        <v>47</v>
      </c>
      <c r="AH331" s="4">
        <f>VLOOKUP(A331,'SegEnds_NonXtal_Prot#'!A:AL,31,FALSE)-VLOOKUP(A331,'SegEnds_NonXtal_Prot#'!A:AL,28,FALSE)</f>
        <v>50</v>
      </c>
      <c r="AI331" s="4">
        <f>VLOOKUP(A331,'SegEnds_NonXtal_Prot#'!A:AL,34,FALSE)-VLOOKUP(A331,'SegEnds_NonXtal_Prot#'!A:AL,31,FALSE)</f>
        <v>28</v>
      </c>
      <c r="AJ331" s="1" t="str">
        <f>IF(ISERROR(MATCH(A331,'SegEnds_Xtal_Prot#'!B:B, 0)), "NoXtal", "Xtal")</f>
        <v>NoXtal</v>
      </c>
    </row>
    <row r="332" spans="1:36" x14ac:dyDescent="0.2">
      <c r="A332" s="1" t="s">
        <v>1197</v>
      </c>
      <c r="B332" s="1" t="str">
        <f>VLOOKUP(A332,Xtal_Templ!A:B,2,FALSE)</f>
        <v>glr_human</v>
      </c>
      <c r="C332" s="5">
        <v>23</v>
      </c>
      <c r="D332" s="1">
        <f>VLOOKUP($B332&amp;"__wt",'SegEnds_Xtal_BW#'!$A:$Z,4,FALSE)</f>
        <v>60</v>
      </c>
      <c r="E332" s="1">
        <f>VLOOKUP($B332&amp;"__wt",'SegEnds_Xtal_BW#'!$A:$Z,5,FALSE)</f>
        <v>48</v>
      </c>
      <c r="F332" s="1">
        <f>VLOOKUP($B332&amp;"__wt",'SegEnds_Xtal_BW#'!$A:$Z,6,FALSE)</f>
        <v>51</v>
      </c>
      <c r="G332" s="1">
        <v>37</v>
      </c>
      <c r="H332" s="12">
        <v>63</v>
      </c>
      <c r="I332" s="1" t="str">
        <f>VLOOKUP($B332&amp;"__wt",'SegEnds_Xtal_BW#'!$A:$Z,9,FALSE)</f>
        <v>-</v>
      </c>
      <c r="J332" s="1" t="str">
        <f>VLOOKUP($B332&amp;"__wt",'SegEnds_Xtal_BW#'!$A:$Z,10,FALSE)</f>
        <v>-</v>
      </c>
      <c r="K332" s="12">
        <v>23</v>
      </c>
      <c r="L332" s="1">
        <f>VLOOKUP($B332&amp;"__wt",'SegEnds_Xtal_BW#'!$A:$Z,12,FALSE)</f>
        <v>56</v>
      </c>
      <c r="M332" s="1" t="str">
        <f>VLOOKUP($B332&amp;"__wt",'SegEnds_Xtal_BW#'!$A:$Z,13,FALSE)</f>
        <v>-</v>
      </c>
      <c r="N332" s="12" t="str">
        <f>VLOOKUP($B332&amp;"__wt",'SegEnds_Xtal_BW#'!$A:$Z,14,FALSE)</f>
        <v>-</v>
      </c>
      <c r="O332" s="89">
        <f>VLOOKUP($B332&amp;"__wt",'SegEnds_Xtal_BW#'!$A:$Z,15,FALSE)</f>
        <v>40</v>
      </c>
      <c r="P332" s="1">
        <f>VLOOKUP($B332&amp;"__wt",'SegEnds_Xtal_BW#'!$A:$Z,16,FALSE)</f>
        <v>68</v>
      </c>
      <c r="Q332" s="1">
        <f>VLOOKUP($B332&amp;"__wt",'SegEnds_Xtal_BW#'!$A:$Z,17,FALSE)</f>
        <v>50</v>
      </c>
      <c r="R332" s="1">
        <f>VLOOKUP($B332&amp;"__wt",'SegEnds_Xtal_BW#'!$A:$Z,18,FALSE)</f>
        <v>52</v>
      </c>
      <c r="S332" s="1">
        <v>36</v>
      </c>
      <c r="T332" s="1">
        <v>69</v>
      </c>
      <c r="U332" s="1">
        <v>29</v>
      </c>
      <c r="V332" s="1">
        <f>VLOOKUP($B332&amp;"__wt",'SegEnds_Xtal_BW#'!$A:$Z,22,FALSE)</f>
        <v>53</v>
      </c>
      <c r="W332" s="1">
        <v>31</v>
      </c>
      <c r="X332" s="1">
        <f>VLOOKUP($B332&amp;"__wt",'SegEnds_Xtal_BW#'!$A:$Z,24,FALSE)</f>
        <v>56</v>
      </c>
      <c r="Y332" s="1">
        <f>VLOOKUP($B332&amp;"__wt",'SegEnds_Xtal_BW#'!$A:$Z,25,FALSE)</f>
        <v>47</v>
      </c>
      <c r="Z332" s="1">
        <v>63</v>
      </c>
      <c r="AA332" s="27" t="str">
        <f>VLOOKUP(A332,Classification!A:B,2,FALSE)</f>
        <v>B2</v>
      </c>
      <c r="AB332" s="1" t="e">
        <f>VLOOKUP(A332,'SegEnds_NonXtal_Prot#'!A:AL,10,FALSE)-VLOOKUP(A332,'SegEnds_NonXtal_Prot#'!A:AL,7,FALSE)</f>
        <v>#VALUE!</v>
      </c>
      <c r="AC332" s="1" t="e">
        <f>VLOOKUP(A332,'SegEnds_NonXtal_Prot#'!A:AL,13,FALSE)-VLOOKUP(A332,'SegEnds_NonXtal_Prot#'!A:AL,10,FALSE)</f>
        <v>#VALUE!</v>
      </c>
      <c r="AD332" s="1">
        <f>VLOOKUP(A332,'SegEnds_NonXtal_Prot#'!A:AL,16,FALSE)-VLOOKUP(A332,'SegEnds_NonXtal_Prot#'!A:AL,10,FALSE)</f>
        <v>48</v>
      </c>
      <c r="AE332" s="1" t="e">
        <f>VLOOKUP(A332,'SegEnds_NonXtal_Prot#'!A:AL,22,FALSE)-VLOOKUP(A332,'SegEnds_NonXtal_Prot#'!A:AL,19,FALSE)</f>
        <v>#VALUE!</v>
      </c>
      <c r="AF332" s="1">
        <f>VLOOKUP(A332,'SegEnds_NonXtal_Prot#'!A:AL,28,FALSE)-VLOOKUP(A332,'SegEnds_NonXtal_Prot#'!A:AL,25,FALSE)</f>
        <v>19</v>
      </c>
      <c r="AG332" s="1">
        <f>VLOOKUP(A332,'SegEnds_NonXtal_Prot#'!A:AL,28,FALSE)-VLOOKUP(A332,'SegEnds_NonXtal_Prot#'!A:AL,22,FALSE)</f>
        <v>60</v>
      </c>
      <c r="AH332" s="1">
        <f>VLOOKUP(A332,'SegEnds_NonXtal_Prot#'!A:AL,31,FALSE)-VLOOKUP(A332,'SegEnds_NonXtal_Prot#'!A:AL,28,FALSE)</f>
        <v>49</v>
      </c>
      <c r="AI332" s="1">
        <f>VLOOKUP(A332,'SegEnds_NonXtal_Prot#'!A:AL,34,FALSE)-VLOOKUP(A332,'SegEnds_NonXtal_Prot#'!A:AL,31,FALSE)</f>
        <v>28</v>
      </c>
      <c r="AJ332" s="1" t="str">
        <f>IF(ISERROR(MATCH(A332,'SegEnds_Xtal_Prot#'!B:B, 0)), "NoXtal", "Xtal")</f>
        <v>NoXtal</v>
      </c>
    </row>
    <row r="333" spans="1:36" x14ac:dyDescent="0.2">
      <c r="A333" s="1" t="s">
        <v>1423</v>
      </c>
      <c r="B333" s="1" t="str">
        <f>VLOOKUP(A333,Xtal_Templ!A:B,2,FALSE)</f>
        <v>crfr1_human</v>
      </c>
      <c r="C333" s="5">
        <v>23</v>
      </c>
      <c r="D333" s="1">
        <f>VLOOKUP($B333&amp;"__wt",'SegEnds_Xtal_BW#'!$A:$Z,4,FALSE)</f>
        <v>60</v>
      </c>
      <c r="E333" s="1">
        <f>VLOOKUP($B333&amp;"__wt",'SegEnds_Xtal_BW#'!$A:$Z,5,FALSE)</f>
        <v>48</v>
      </c>
      <c r="F333" s="1">
        <f>VLOOKUP($B333&amp;"__wt",'SegEnds_Xtal_BW#'!$A:$Z,6,FALSE)</f>
        <v>51</v>
      </c>
      <c r="G333" s="1">
        <v>37</v>
      </c>
      <c r="H333" s="12">
        <v>63</v>
      </c>
      <c r="I333" s="1" t="str">
        <f>VLOOKUP($B333&amp;"__wt",'SegEnds_Xtal_BW#'!$A:$Z,9,FALSE)</f>
        <v>-</v>
      </c>
      <c r="J333" s="1" t="str">
        <f>VLOOKUP($B333&amp;"__wt",'SegEnds_Xtal_BW#'!$A:$Z,10,FALSE)</f>
        <v>-</v>
      </c>
      <c r="K333" s="12">
        <v>23</v>
      </c>
      <c r="L333" s="1">
        <f>VLOOKUP($B333&amp;"__wt",'SegEnds_Xtal_BW#'!$A:$Z,12,FALSE)</f>
        <v>56</v>
      </c>
      <c r="M333" s="1" t="str">
        <f>VLOOKUP($B333&amp;"__wt",'SegEnds_Xtal_BW#'!$A:$Z,13,FALSE)</f>
        <v>-</v>
      </c>
      <c r="N333" s="12" t="str">
        <f>VLOOKUP($B333&amp;"__wt",'SegEnds_Xtal_BW#'!$A:$Z,14,FALSE)</f>
        <v>-</v>
      </c>
      <c r="O333" s="89">
        <f>VLOOKUP($B333&amp;"__wt",'SegEnds_Xtal_BW#'!$A:$Z,15,FALSE)</f>
        <v>40</v>
      </c>
      <c r="P333" s="1">
        <f>VLOOKUP($B333&amp;"__wt",'SegEnds_Xtal_BW#'!$A:$Z,16,FALSE)</f>
        <v>68</v>
      </c>
      <c r="Q333" s="1">
        <f>VLOOKUP($B333&amp;"__wt",'SegEnds_Xtal_BW#'!$A:$Z,17,FALSE)</f>
        <v>50</v>
      </c>
      <c r="R333" s="1">
        <f>VLOOKUP($B333&amp;"__wt",'SegEnds_Xtal_BW#'!$A:$Z,18,FALSE)</f>
        <v>52</v>
      </c>
      <c r="S333" s="1">
        <v>36</v>
      </c>
      <c r="T333" s="1">
        <v>69</v>
      </c>
      <c r="U333" s="1">
        <v>29</v>
      </c>
      <c r="V333" s="1">
        <f>VLOOKUP($B333&amp;"__wt",'SegEnds_Xtal_BW#'!$A:$Z,22,FALSE)</f>
        <v>53</v>
      </c>
      <c r="W333" s="1">
        <v>31</v>
      </c>
      <c r="X333" s="1">
        <f>VLOOKUP($B333&amp;"__wt",'SegEnds_Xtal_BW#'!$A:$Z,24,FALSE)</f>
        <v>56</v>
      </c>
      <c r="Y333" s="1">
        <f>VLOOKUP($B333&amp;"__wt",'SegEnds_Xtal_BW#'!$A:$Z,25,FALSE)</f>
        <v>47</v>
      </c>
      <c r="Z333" s="1">
        <v>63</v>
      </c>
      <c r="AA333" s="27" t="str">
        <f>VLOOKUP(A333,Classification!A:B,2,FALSE)</f>
        <v>B2</v>
      </c>
      <c r="AB333" s="1">
        <f>VLOOKUP(A333,'SegEnds_NonXtal_Prot#'!A:AL,10,FALSE)-VLOOKUP(A333,'SegEnds_NonXtal_Prot#'!A:AL,7,FALSE)</f>
        <v>16</v>
      </c>
      <c r="AC333" s="1" t="e">
        <f>VLOOKUP(A333,'SegEnds_NonXtal_Prot#'!A:AL,13,FALSE)-VLOOKUP(A333,'SegEnds_NonXtal_Prot#'!A:AL,10,FALSE)</f>
        <v>#VALUE!</v>
      </c>
      <c r="AD333" s="1">
        <f>VLOOKUP(A333,'SegEnds_NonXtal_Prot#'!A:AL,16,FALSE)-VLOOKUP(A333,'SegEnds_NonXtal_Prot#'!A:AL,10,FALSE)</f>
        <v>47</v>
      </c>
      <c r="AE333" s="1" t="e">
        <f>VLOOKUP(A333,'SegEnds_NonXtal_Prot#'!A:AL,22,FALSE)-VLOOKUP(A333,'SegEnds_NonXtal_Prot#'!A:AL,19,FALSE)</f>
        <v>#VALUE!</v>
      </c>
      <c r="AF333" s="1">
        <f>VLOOKUP(A333,'SegEnds_NonXtal_Prot#'!A:AL,28,FALSE)-VLOOKUP(A333,'SegEnds_NonXtal_Prot#'!A:AL,25,FALSE)</f>
        <v>19</v>
      </c>
      <c r="AG333" s="1">
        <f>VLOOKUP(A333,'SegEnds_NonXtal_Prot#'!A:AL,28,FALSE)-VLOOKUP(A333,'SegEnds_NonXtal_Prot#'!A:AL,22,FALSE)</f>
        <v>53</v>
      </c>
      <c r="AH333" s="1">
        <f>VLOOKUP(A333,'SegEnds_NonXtal_Prot#'!A:AL,31,FALSE)-VLOOKUP(A333,'SegEnds_NonXtal_Prot#'!A:AL,28,FALSE)</f>
        <v>51</v>
      </c>
      <c r="AI333" s="1">
        <f>VLOOKUP(A333,'SegEnds_NonXtal_Prot#'!A:AL,34,FALSE)-VLOOKUP(A333,'SegEnds_NonXtal_Prot#'!A:AL,31,FALSE)</f>
        <v>28</v>
      </c>
      <c r="AJ333" s="1" t="str">
        <f>IF(ISERROR(MATCH(A333,'SegEnds_Xtal_Prot#'!B:B, 0)), "NoXtal", "Xtal")</f>
        <v>NoXtal</v>
      </c>
    </row>
    <row r="334" spans="1:36" x14ac:dyDescent="0.2">
      <c r="A334" s="1" t="s">
        <v>1198</v>
      </c>
      <c r="B334" s="1" t="str">
        <f>VLOOKUP(A334,Xtal_Templ!A:B,2,FALSE)</f>
        <v>glp1r_human</v>
      </c>
      <c r="C334" s="5">
        <v>23</v>
      </c>
      <c r="D334" s="1">
        <f>VLOOKUP($B334&amp;"__wt",'SegEnds_Xtal_BW#'!$A:$Z,4,FALSE)</f>
        <v>60</v>
      </c>
      <c r="E334" s="1">
        <f>VLOOKUP($B334&amp;"__wt",'SegEnds_Xtal_BW#'!$A:$Z,5,FALSE)</f>
        <v>48</v>
      </c>
      <c r="F334" s="1">
        <f>VLOOKUP($B334&amp;"__wt",'SegEnds_Xtal_BW#'!$A:$Z,6,FALSE)</f>
        <v>51</v>
      </c>
      <c r="G334" s="1">
        <v>37</v>
      </c>
      <c r="H334" s="12">
        <v>65</v>
      </c>
      <c r="I334" s="1" t="str">
        <f>VLOOKUP($B334&amp;"__wt",'SegEnds_Xtal_BW#'!$A:$Z,9,FALSE)</f>
        <v>-</v>
      </c>
      <c r="J334" s="1" t="str">
        <f>VLOOKUP($B334&amp;"__wt",'SegEnds_Xtal_BW#'!$A:$Z,10,FALSE)</f>
        <v>-</v>
      </c>
      <c r="K334" s="12">
        <v>18</v>
      </c>
      <c r="L334" s="1">
        <f>VLOOKUP($B334&amp;"__wt",'SegEnds_Xtal_BW#'!$A:$Z,12,FALSE)</f>
        <v>56</v>
      </c>
      <c r="M334" s="1" t="str">
        <f>VLOOKUP($B334&amp;"__wt",'SegEnds_Xtal_BW#'!$A:$Z,13,FALSE)</f>
        <v>-</v>
      </c>
      <c r="N334" s="12" t="str">
        <f>VLOOKUP($B334&amp;"__wt",'SegEnds_Xtal_BW#'!$A:$Z,14,FALSE)</f>
        <v>-</v>
      </c>
      <c r="O334" s="89">
        <f>VLOOKUP($B334&amp;"__wt",'SegEnds_Xtal_BW#'!$A:$Z,15,FALSE)</f>
        <v>38</v>
      </c>
      <c r="P334" s="1">
        <f>VLOOKUP($B334&amp;"__wt",'SegEnds_Xtal_BW#'!$A:$Z,16,FALSE)</f>
        <v>68</v>
      </c>
      <c r="Q334" s="1">
        <f>VLOOKUP($B334&amp;"__wt",'SegEnds_Xtal_BW#'!$A:$Z,17,FALSE)</f>
        <v>50</v>
      </c>
      <c r="R334" s="1">
        <f>VLOOKUP($B334&amp;"__wt",'SegEnds_Xtal_BW#'!$A:$Z,18,FALSE)</f>
        <v>52</v>
      </c>
      <c r="S334" s="1">
        <v>36</v>
      </c>
      <c r="T334" s="1">
        <v>69</v>
      </c>
      <c r="U334" s="1">
        <v>29</v>
      </c>
      <c r="V334" s="1">
        <f>VLOOKUP($B334&amp;"__wt",'SegEnds_Xtal_BW#'!$A:$Z,22,FALSE)</f>
        <v>58</v>
      </c>
      <c r="W334" s="1">
        <v>29</v>
      </c>
      <c r="X334" s="1">
        <f>VLOOKUP($B334&amp;"__wt",'SegEnds_Xtal_BW#'!$A:$Z,24,FALSE)</f>
        <v>56</v>
      </c>
      <c r="Y334" s="1">
        <f>VLOOKUP($B334&amp;"__wt",'SegEnds_Xtal_BW#'!$A:$Z,25,FALSE)</f>
        <v>47</v>
      </c>
      <c r="Z334" s="1">
        <v>63</v>
      </c>
      <c r="AA334" s="27" t="str">
        <f>VLOOKUP(A334,Classification!A:B,2,FALSE)</f>
        <v>B2</v>
      </c>
      <c r="AB334" s="1" t="e">
        <f>VLOOKUP(A334,'SegEnds_NonXtal_Prot#'!A:AL,10,FALSE)-VLOOKUP(A334,'SegEnds_NonXtal_Prot#'!A:AL,7,FALSE)</f>
        <v>#VALUE!</v>
      </c>
      <c r="AC334" s="1" t="e">
        <f>VLOOKUP(A334,'SegEnds_NonXtal_Prot#'!A:AL,13,FALSE)-VLOOKUP(A334,'SegEnds_NonXtal_Prot#'!A:AL,10,FALSE)</f>
        <v>#VALUE!</v>
      </c>
      <c r="AD334" s="1">
        <f>VLOOKUP(A334,'SegEnds_NonXtal_Prot#'!A:AL,16,FALSE)-VLOOKUP(A334,'SegEnds_NonXtal_Prot#'!A:AL,10,FALSE)</f>
        <v>73</v>
      </c>
      <c r="AE334" s="1" t="e">
        <f>VLOOKUP(A334,'SegEnds_NonXtal_Prot#'!A:AL,22,FALSE)-VLOOKUP(A334,'SegEnds_NonXtal_Prot#'!A:AL,19,FALSE)</f>
        <v>#VALUE!</v>
      </c>
      <c r="AF334" s="1">
        <f>VLOOKUP(A334,'SegEnds_NonXtal_Prot#'!A:AL,28,FALSE)-VLOOKUP(A334,'SegEnds_NonXtal_Prot#'!A:AL,25,FALSE)</f>
        <v>26</v>
      </c>
      <c r="AG334" s="1">
        <f>VLOOKUP(A334,'SegEnds_NonXtal_Prot#'!A:AL,28,FALSE)-VLOOKUP(A334,'SegEnds_NonXtal_Prot#'!A:AL,22,FALSE)</f>
        <v>60</v>
      </c>
      <c r="AH334" s="1">
        <f>VLOOKUP(A334,'SegEnds_NonXtal_Prot#'!A:AL,31,FALSE)-VLOOKUP(A334,'SegEnds_NonXtal_Prot#'!A:AL,28,FALSE)</f>
        <v>51</v>
      </c>
      <c r="AI334" s="1">
        <f>VLOOKUP(A334,'SegEnds_NonXtal_Prot#'!A:AL,34,FALSE)-VLOOKUP(A334,'SegEnds_NonXtal_Prot#'!A:AL,31,FALSE)</f>
        <v>31</v>
      </c>
      <c r="AJ334" s="1" t="str">
        <f>IF(ISERROR(MATCH(A334,'SegEnds_Xtal_Prot#'!B:B, 0)), "NoXtal", "Xtal")</f>
        <v>NoXtal</v>
      </c>
    </row>
    <row r="335" spans="1:36" x14ac:dyDescent="0.2">
      <c r="A335" s="1" t="s">
        <v>1199</v>
      </c>
      <c r="B335" s="1" t="str">
        <f>VLOOKUP(A335,Xtal_Templ!A:B,2,FALSE)</f>
        <v>calcr_human</v>
      </c>
      <c r="C335" s="5">
        <v>23</v>
      </c>
      <c r="D335" s="1">
        <f>VLOOKUP($B335&amp;"__wt",'SegEnds_Xtal_BW#'!$A:$Z,4,FALSE)</f>
        <v>60</v>
      </c>
      <c r="E335" s="1">
        <f>VLOOKUP($B335&amp;"__wt",'SegEnds_Xtal_BW#'!$A:$Z,5,FALSE)</f>
        <v>48</v>
      </c>
      <c r="F335" s="1">
        <f>VLOOKUP($B335&amp;"__wt",'SegEnds_Xtal_BW#'!$A:$Z,6,FALSE)</f>
        <v>51</v>
      </c>
      <c r="G335" s="1">
        <v>37</v>
      </c>
      <c r="H335" s="12">
        <v>63</v>
      </c>
      <c r="I335" s="1" t="str">
        <f>VLOOKUP($B335&amp;"__wt",'SegEnds_Xtal_BW#'!$A:$Z,9,FALSE)</f>
        <v>-</v>
      </c>
      <c r="J335" s="1" t="str">
        <f>VLOOKUP($B335&amp;"__wt",'SegEnds_Xtal_BW#'!$A:$Z,10,FALSE)</f>
        <v>-</v>
      </c>
      <c r="K335" s="12">
        <v>23</v>
      </c>
      <c r="L335" s="1">
        <f>VLOOKUP($B335&amp;"__wt",'SegEnds_Xtal_BW#'!$A:$Z,12,FALSE)</f>
        <v>56</v>
      </c>
      <c r="M335" s="1" t="str">
        <f>VLOOKUP($B335&amp;"__wt",'SegEnds_Xtal_BW#'!$A:$Z,13,FALSE)</f>
        <v>-</v>
      </c>
      <c r="N335" s="12" t="str">
        <f>VLOOKUP($B335&amp;"__wt",'SegEnds_Xtal_BW#'!$A:$Z,14,FALSE)</f>
        <v>-</v>
      </c>
      <c r="O335" s="89">
        <f>VLOOKUP($B335&amp;"__wt",'SegEnds_Xtal_BW#'!$A:$Z,15,FALSE)</f>
        <v>41</v>
      </c>
      <c r="P335" s="1">
        <f>VLOOKUP($B335&amp;"__wt",'SegEnds_Xtal_BW#'!$A:$Z,16,FALSE)</f>
        <v>68</v>
      </c>
      <c r="Q335" s="1">
        <f>VLOOKUP($B335&amp;"__wt",'SegEnds_Xtal_BW#'!$A:$Z,17,FALSE)</f>
        <v>50</v>
      </c>
      <c r="R335" s="1">
        <f>VLOOKUP($B335&amp;"__wt",'SegEnds_Xtal_BW#'!$A:$Z,18,FALSE)</f>
        <v>52</v>
      </c>
      <c r="S335" s="1">
        <v>36</v>
      </c>
      <c r="T335" s="1">
        <v>69</v>
      </c>
      <c r="U335" s="1">
        <v>29</v>
      </c>
      <c r="V335" s="1">
        <f>VLOOKUP($B335&amp;"__wt",'SegEnds_Xtal_BW#'!$A:$Z,22,FALSE)</f>
        <v>53</v>
      </c>
      <c r="W335" s="1">
        <v>31</v>
      </c>
      <c r="X335" s="1">
        <f>VLOOKUP($B335&amp;"__wt",'SegEnds_Xtal_BW#'!$A:$Z,24,FALSE)</f>
        <v>56</v>
      </c>
      <c r="Y335" s="1">
        <f>VLOOKUP($B335&amp;"__wt",'SegEnds_Xtal_BW#'!$A:$Z,25,FALSE)</f>
        <v>47</v>
      </c>
      <c r="Z335" s="1">
        <v>63</v>
      </c>
      <c r="AA335" s="27" t="str">
        <f>VLOOKUP(A335,Classification!A:B,2,FALSE)</f>
        <v>B2</v>
      </c>
      <c r="AB335" s="1">
        <f>VLOOKUP(A335,'SegEnds_NonXtal_Prot#'!A:AL,10,FALSE)-VLOOKUP(A335,'SegEnds_NonXtal_Prot#'!A:AL,7,FALSE)</f>
        <v>15</v>
      </c>
      <c r="AC335" s="1" t="e">
        <f>VLOOKUP(A335,'SegEnds_NonXtal_Prot#'!A:AL,13,FALSE)-VLOOKUP(A335,'SegEnds_NonXtal_Prot#'!A:AL,10,FALSE)</f>
        <v>#VALUE!</v>
      </c>
      <c r="AD335" s="1">
        <f>VLOOKUP(A335,'SegEnds_NonXtal_Prot#'!A:AL,16,FALSE)-VLOOKUP(A335,'SegEnds_NonXtal_Prot#'!A:AL,10,FALSE)</f>
        <v>45</v>
      </c>
      <c r="AE335" s="1" t="e">
        <f>VLOOKUP(A335,'SegEnds_NonXtal_Prot#'!A:AL,22,FALSE)-VLOOKUP(A335,'SegEnds_NonXtal_Prot#'!A:AL,19,FALSE)</f>
        <v>#VALUE!</v>
      </c>
      <c r="AF335" s="1">
        <f>VLOOKUP(A335,'SegEnds_NonXtal_Prot#'!A:AL,28,FALSE)-VLOOKUP(A335,'SegEnds_NonXtal_Prot#'!A:AL,25,FALSE)</f>
        <v>19</v>
      </c>
      <c r="AG335" s="1">
        <f>VLOOKUP(A335,'SegEnds_NonXtal_Prot#'!A:AL,28,FALSE)-VLOOKUP(A335,'SegEnds_NonXtal_Prot#'!A:AL,22,FALSE)</f>
        <v>43</v>
      </c>
      <c r="AH335" s="1">
        <f>VLOOKUP(A335,'SegEnds_NonXtal_Prot#'!A:AL,31,FALSE)-VLOOKUP(A335,'SegEnds_NonXtal_Prot#'!A:AL,28,FALSE)</f>
        <v>52</v>
      </c>
      <c r="AI335" s="1">
        <f>VLOOKUP(A335,'SegEnds_NonXtal_Prot#'!A:AL,34,FALSE)-VLOOKUP(A335,'SegEnds_NonXtal_Prot#'!A:AL,31,FALSE)</f>
        <v>28</v>
      </c>
      <c r="AJ335" s="1" t="str">
        <f>IF(ISERROR(MATCH(A335,'SegEnds_Xtal_Prot#'!B:B, 0)), "NoXtal", "Xtal")</f>
        <v>NoXtal</v>
      </c>
    </row>
    <row r="336" spans="1:36" x14ac:dyDescent="0.2">
      <c r="A336" s="1" t="s">
        <v>1200</v>
      </c>
      <c r="B336" s="1" t="str">
        <f>VLOOKUP(A336,Xtal_Templ!A:B,2,FALSE)</f>
        <v>calcr_human</v>
      </c>
      <c r="C336" s="5">
        <v>23</v>
      </c>
      <c r="D336" s="1">
        <f>VLOOKUP($B336&amp;"__wt",'SegEnds_Xtal_BW#'!$A:$Z,4,FALSE)</f>
        <v>60</v>
      </c>
      <c r="E336" s="1">
        <f>VLOOKUP($B336&amp;"__wt",'SegEnds_Xtal_BW#'!$A:$Z,5,FALSE)</f>
        <v>48</v>
      </c>
      <c r="F336" s="1">
        <f>VLOOKUP($B336&amp;"__wt",'SegEnds_Xtal_BW#'!$A:$Z,6,FALSE)</f>
        <v>51</v>
      </c>
      <c r="G336" s="1">
        <v>37</v>
      </c>
      <c r="H336" s="12">
        <v>63</v>
      </c>
      <c r="I336" s="1" t="str">
        <f>VLOOKUP($B336&amp;"__wt",'SegEnds_Xtal_BW#'!$A:$Z,9,FALSE)</f>
        <v>-</v>
      </c>
      <c r="J336" s="1" t="str">
        <f>VLOOKUP($B336&amp;"__wt",'SegEnds_Xtal_BW#'!$A:$Z,10,FALSE)</f>
        <v>-</v>
      </c>
      <c r="K336" s="12">
        <v>23</v>
      </c>
      <c r="L336" s="1">
        <f>VLOOKUP($B336&amp;"__wt",'SegEnds_Xtal_BW#'!$A:$Z,12,FALSE)</f>
        <v>56</v>
      </c>
      <c r="M336" s="1" t="str">
        <f>VLOOKUP($B336&amp;"__wt",'SegEnds_Xtal_BW#'!$A:$Z,13,FALSE)</f>
        <v>-</v>
      </c>
      <c r="N336" s="12" t="str">
        <f>VLOOKUP($B336&amp;"__wt",'SegEnds_Xtal_BW#'!$A:$Z,14,FALSE)</f>
        <v>-</v>
      </c>
      <c r="O336" s="89">
        <f>VLOOKUP($B336&amp;"__wt",'SegEnds_Xtal_BW#'!$A:$Z,15,FALSE)</f>
        <v>41</v>
      </c>
      <c r="P336" s="1">
        <f>VLOOKUP($B336&amp;"__wt",'SegEnds_Xtal_BW#'!$A:$Z,16,FALSE)</f>
        <v>68</v>
      </c>
      <c r="Q336" s="1">
        <f>VLOOKUP($B336&amp;"__wt",'SegEnds_Xtal_BW#'!$A:$Z,17,FALSE)</f>
        <v>50</v>
      </c>
      <c r="R336" s="1">
        <f>VLOOKUP($B336&amp;"__wt",'SegEnds_Xtal_BW#'!$A:$Z,18,FALSE)</f>
        <v>52</v>
      </c>
      <c r="S336" s="1">
        <v>36</v>
      </c>
      <c r="T336" s="1">
        <v>69</v>
      </c>
      <c r="U336" s="1">
        <v>29</v>
      </c>
      <c r="V336" s="1">
        <f>VLOOKUP($B336&amp;"__wt",'SegEnds_Xtal_BW#'!$A:$Z,22,FALSE)</f>
        <v>53</v>
      </c>
      <c r="W336" s="1">
        <v>31</v>
      </c>
      <c r="X336" s="1">
        <f>VLOOKUP($B336&amp;"__wt",'SegEnds_Xtal_BW#'!$A:$Z,24,FALSE)</f>
        <v>56</v>
      </c>
      <c r="Y336" s="1">
        <f>VLOOKUP($B336&amp;"__wt",'SegEnds_Xtal_BW#'!$A:$Z,25,FALSE)</f>
        <v>47</v>
      </c>
      <c r="Z336" s="1">
        <v>63</v>
      </c>
      <c r="AA336" s="27" t="str">
        <f>VLOOKUP(A336,Classification!A:B,2,FALSE)</f>
        <v>B2</v>
      </c>
      <c r="AB336" s="1" t="e">
        <f>VLOOKUP(A336,'SegEnds_NonXtal_Prot#'!A:AL,10,FALSE)-VLOOKUP(A336,'SegEnds_NonXtal_Prot#'!A:AL,7,FALSE)</f>
        <v>#VALUE!</v>
      </c>
      <c r="AC336" s="1" t="e">
        <f>VLOOKUP(A336,'SegEnds_NonXtal_Prot#'!A:AL,13,FALSE)-VLOOKUP(A336,'SegEnds_NonXtal_Prot#'!A:AL,10,FALSE)</f>
        <v>#VALUE!</v>
      </c>
      <c r="AD336" s="1">
        <f>VLOOKUP(A336,'SegEnds_NonXtal_Prot#'!A:AL,16,FALSE)-VLOOKUP(A336,'SegEnds_NonXtal_Prot#'!A:AL,10,FALSE)</f>
        <v>45</v>
      </c>
      <c r="AE336" s="1" t="e">
        <f>VLOOKUP(A336,'SegEnds_NonXtal_Prot#'!A:AL,22,FALSE)-VLOOKUP(A336,'SegEnds_NonXtal_Prot#'!A:AL,19,FALSE)</f>
        <v>#VALUE!</v>
      </c>
      <c r="AF336" s="1">
        <f>VLOOKUP(A336,'SegEnds_NonXtal_Prot#'!A:AL,28,FALSE)-VLOOKUP(A336,'SegEnds_NonXtal_Prot#'!A:AL,25,FALSE)</f>
        <v>19</v>
      </c>
      <c r="AG336" s="1">
        <f>VLOOKUP(A336,'SegEnds_NonXtal_Prot#'!A:AL,28,FALSE)-VLOOKUP(A336,'SegEnds_NonXtal_Prot#'!A:AL,22,FALSE)</f>
        <v>43</v>
      </c>
      <c r="AH336" s="1">
        <f>VLOOKUP(A336,'SegEnds_NonXtal_Prot#'!A:AL,31,FALSE)-VLOOKUP(A336,'SegEnds_NonXtal_Prot#'!A:AL,28,FALSE)</f>
        <v>52</v>
      </c>
      <c r="AI336" s="1">
        <f>VLOOKUP(A336,'SegEnds_NonXtal_Prot#'!A:AL,34,FALSE)-VLOOKUP(A336,'SegEnds_NonXtal_Prot#'!A:AL,31,FALSE)</f>
        <v>28</v>
      </c>
      <c r="AJ336" s="1" t="str">
        <f>IF(ISERROR(MATCH(A336,'SegEnds_Xtal_Prot#'!B:B, 0)), "NoXtal", "Xtal")</f>
        <v>NoXtal</v>
      </c>
    </row>
    <row r="337" spans="1:36" x14ac:dyDescent="0.2">
      <c r="A337" s="1" t="s">
        <v>1201</v>
      </c>
      <c r="B337" s="1" t="str">
        <f>VLOOKUP(A337,Xtal_Templ!A:B,2,FALSE)</f>
        <v>crfr1_human</v>
      </c>
      <c r="C337" s="5">
        <v>23</v>
      </c>
      <c r="D337" s="1">
        <f>VLOOKUP($B337&amp;"__wt",'SegEnds_Xtal_BW#'!$A:$Z,4,FALSE)</f>
        <v>60</v>
      </c>
      <c r="E337" s="1">
        <f>VLOOKUP($B337&amp;"__wt",'SegEnds_Xtal_BW#'!$A:$Z,5,FALSE)</f>
        <v>48</v>
      </c>
      <c r="F337" s="1">
        <f>VLOOKUP($B337&amp;"__wt",'SegEnds_Xtal_BW#'!$A:$Z,6,FALSE)</f>
        <v>51</v>
      </c>
      <c r="G337" s="1">
        <v>37</v>
      </c>
      <c r="H337" s="12">
        <v>63</v>
      </c>
      <c r="I337" s="1" t="str">
        <f>VLOOKUP($B337&amp;"__wt",'SegEnds_Xtal_BW#'!$A:$Z,9,FALSE)</f>
        <v>-</v>
      </c>
      <c r="J337" s="1" t="str">
        <f>VLOOKUP($B337&amp;"__wt",'SegEnds_Xtal_BW#'!$A:$Z,10,FALSE)</f>
        <v>-</v>
      </c>
      <c r="K337" s="12">
        <v>23</v>
      </c>
      <c r="L337" s="1">
        <f>VLOOKUP($B337&amp;"__wt",'SegEnds_Xtal_BW#'!$A:$Z,12,FALSE)</f>
        <v>56</v>
      </c>
      <c r="M337" s="1" t="str">
        <f>VLOOKUP($B337&amp;"__wt",'SegEnds_Xtal_BW#'!$A:$Z,13,FALSE)</f>
        <v>-</v>
      </c>
      <c r="N337" s="12" t="str">
        <f>VLOOKUP($B337&amp;"__wt",'SegEnds_Xtal_BW#'!$A:$Z,14,FALSE)</f>
        <v>-</v>
      </c>
      <c r="O337" s="89">
        <f>VLOOKUP($B337&amp;"__wt",'SegEnds_Xtal_BW#'!$A:$Z,15,FALSE)</f>
        <v>40</v>
      </c>
      <c r="P337" s="1">
        <f>VLOOKUP($B337&amp;"__wt",'SegEnds_Xtal_BW#'!$A:$Z,16,FALSE)</f>
        <v>68</v>
      </c>
      <c r="Q337" s="1">
        <f>VLOOKUP($B337&amp;"__wt",'SegEnds_Xtal_BW#'!$A:$Z,17,FALSE)</f>
        <v>50</v>
      </c>
      <c r="R337" s="1">
        <f>VLOOKUP($B337&amp;"__wt",'SegEnds_Xtal_BW#'!$A:$Z,18,FALSE)</f>
        <v>52</v>
      </c>
      <c r="S337" s="1">
        <v>36</v>
      </c>
      <c r="T337" s="1">
        <v>69</v>
      </c>
      <c r="U337" s="1">
        <v>29</v>
      </c>
      <c r="V337" s="1">
        <f>VLOOKUP($B337&amp;"__wt",'SegEnds_Xtal_BW#'!$A:$Z,22,FALSE)</f>
        <v>53</v>
      </c>
      <c r="W337" s="1">
        <v>31</v>
      </c>
      <c r="X337" s="1">
        <f>VLOOKUP($B337&amp;"__wt",'SegEnds_Xtal_BW#'!$A:$Z,24,FALSE)</f>
        <v>56</v>
      </c>
      <c r="Y337" s="1">
        <f>VLOOKUP($B337&amp;"__wt",'SegEnds_Xtal_BW#'!$A:$Z,25,FALSE)</f>
        <v>47</v>
      </c>
      <c r="Z337" s="1">
        <v>63</v>
      </c>
      <c r="AA337" s="27" t="str">
        <f>VLOOKUP(A337,Classification!A:B,2,FALSE)</f>
        <v>B2</v>
      </c>
      <c r="AB337" s="1">
        <f>VLOOKUP(A337,'SegEnds_NonXtal_Prot#'!A:AL,10,FALSE)-VLOOKUP(A337,'SegEnds_NonXtal_Prot#'!A:AL,7,FALSE)</f>
        <v>15</v>
      </c>
      <c r="AC337" s="1" t="e">
        <f>VLOOKUP(A337,'SegEnds_NonXtal_Prot#'!A:AL,13,FALSE)-VLOOKUP(A337,'SegEnds_NonXtal_Prot#'!A:AL,10,FALSE)</f>
        <v>#VALUE!</v>
      </c>
      <c r="AD337" s="1">
        <f>VLOOKUP(A337,'SegEnds_NonXtal_Prot#'!A:AL,16,FALSE)-VLOOKUP(A337,'SegEnds_NonXtal_Prot#'!A:AL,10,FALSE)</f>
        <v>45</v>
      </c>
      <c r="AE337" s="1" t="e">
        <f>VLOOKUP(A337,'SegEnds_NonXtal_Prot#'!A:AL,22,FALSE)-VLOOKUP(A337,'SegEnds_NonXtal_Prot#'!A:AL,19,FALSE)</f>
        <v>#VALUE!</v>
      </c>
      <c r="AF337" s="1">
        <f>VLOOKUP(A337,'SegEnds_NonXtal_Prot#'!A:AL,28,FALSE)-VLOOKUP(A337,'SegEnds_NonXtal_Prot#'!A:AL,25,FALSE)</f>
        <v>19</v>
      </c>
      <c r="AG337" s="1">
        <f>VLOOKUP(A337,'SegEnds_NonXtal_Prot#'!A:AL,28,FALSE)-VLOOKUP(A337,'SegEnds_NonXtal_Prot#'!A:AL,22,FALSE)</f>
        <v>43</v>
      </c>
      <c r="AH337" s="1">
        <f>VLOOKUP(A337,'SegEnds_NonXtal_Prot#'!A:AL,31,FALSE)-VLOOKUP(A337,'SegEnds_NonXtal_Prot#'!A:AL,28,FALSE)</f>
        <v>52</v>
      </c>
      <c r="AI337" s="1">
        <f>VLOOKUP(A337,'SegEnds_NonXtal_Prot#'!A:AL,34,FALSE)-VLOOKUP(A337,'SegEnds_NonXtal_Prot#'!A:AL,31,FALSE)</f>
        <v>28</v>
      </c>
      <c r="AJ337" s="1" t="str">
        <f>IF(ISERROR(MATCH(A337,'SegEnds_Xtal_Prot#'!B:B, 0)), "NoXtal", "Xtal")</f>
        <v>NoXtal</v>
      </c>
    </row>
    <row r="338" spans="1:36" x14ac:dyDescent="0.2">
      <c r="A338" s="1" t="s">
        <v>1202</v>
      </c>
      <c r="B338" s="1" t="str">
        <f>VLOOKUP(A338,Xtal_Templ!A:B,2,FALSE)</f>
        <v>crfr1_human</v>
      </c>
      <c r="C338" s="5">
        <v>23</v>
      </c>
      <c r="D338" s="1">
        <f>VLOOKUP($B338&amp;"__wt",'SegEnds_Xtal_BW#'!$A:$Z,4,FALSE)</f>
        <v>60</v>
      </c>
      <c r="E338" s="1">
        <f>VLOOKUP($B338&amp;"__wt",'SegEnds_Xtal_BW#'!$A:$Z,5,FALSE)</f>
        <v>48</v>
      </c>
      <c r="F338" s="1">
        <f>VLOOKUP($B338&amp;"__wt",'SegEnds_Xtal_BW#'!$A:$Z,6,FALSE)</f>
        <v>51</v>
      </c>
      <c r="G338" s="1">
        <v>37</v>
      </c>
      <c r="H338" s="12">
        <v>63</v>
      </c>
      <c r="I338" s="1" t="str">
        <f>VLOOKUP($B338&amp;"__wt",'SegEnds_Xtal_BW#'!$A:$Z,9,FALSE)</f>
        <v>-</v>
      </c>
      <c r="J338" s="1" t="str">
        <f>VLOOKUP($B338&amp;"__wt",'SegEnds_Xtal_BW#'!$A:$Z,10,FALSE)</f>
        <v>-</v>
      </c>
      <c r="K338" s="12">
        <v>23</v>
      </c>
      <c r="L338" s="1">
        <f>VLOOKUP($B338&amp;"__wt",'SegEnds_Xtal_BW#'!$A:$Z,12,FALSE)</f>
        <v>56</v>
      </c>
      <c r="M338" s="1" t="str">
        <f>VLOOKUP($B338&amp;"__wt",'SegEnds_Xtal_BW#'!$A:$Z,13,FALSE)</f>
        <v>-</v>
      </c>
      <c r="N338" s="12" t="str">
        <f>VLOOKUP($B338&amp;"__wt",'SegEnds_Xtal_BW#'!$A:$Z,14,FALSE)</f>
        <v>-</v>
      </c>
      <c r="O338" s="89">
        <f>VLOOKUP($B338&amp;"__wt",'SegEnds_Xtal_BW#'!$A:$Z,15,FALSE)</f>
        <v>40</v>
      </c>
      <c r="P338" s="1">
        <f>VLOOKUP($B338&amp;"__wt",'SegEnds_Xtal_BW#'!$A:$Z,16,FALSE)</f>
        <v>68</v>
      </c>
      <c r="Q338" s="1">
        <f>VLOOKUP($B338&amp;"__wt",'SegEnds_Xtal_BW#'!$A:$Z,17,FALSE)</f>
        <v>50</v>
      </c>
      <c r="R338" s="1">
        <f>VLOOKUP($B338&amp;"__wt",'SegEnds_Xtal_BW#'!$A:$Z,18,FALSE)</f>
        <v>52</v>
      </c>
      <c r="S338" s="1">
        <v>36</v>
      </c>
      <c r="T338" s="1">
        <v>69</v>
      </c>
      <c r="U338" s="1">
        <v>29</v>
      </c>
      <c r="V338" s="1">
        <f>VLOOKUP($B338&amp;"__wt",'SegEnds_Xtal_BW#'!$A:$Z,22,FALSE)</f>
        <v>53</v>
      </c>
      <c r="W338" s="1">
        <v>31</v>
      </c>
      <c r="X338" s="1">
        <f>VLOOKUP($B338&amp;"__wt",'SegEnds_Xtal_BW#'!$A:$Z,24,FALSE)</f>
        <v>56</v>
      </c>
      <c r="Y338" s="1">
        <f>VLOOKUP($B338&amp;"__wt",'SegEnds_Xtal_BW#'!$A:$Z,25,FALSE)</f>
        <v>47</v>
      </c>
      <c r="Z338" s="1">
        <v>63</v>
      </c>
      <c r="AA338" s="27" t="str">
        <f>VLOOKUP(A338,Classification!A:B,2,FALSE)</f>
        <v>B2</v>
      </c>
      <c r="AB338" s="1" t="e">
        <f>VLOOKUP(A338,'SegEnds_NonXtal_Prot#'!A:AL,10,FALSE)-VLOOKUP(A338,'SegEnds_NonXtal_Prot#'!A:AL,7,FALSE)</f>
        <v>#VALUE!</v>
      </c>
      <c r="AC338" s="1" t="e">
        <f>VLOOKUP(A338,'SegEnds_NonXtal_Prot#'!A:AL,13,FALSE)-VLOOKUP(A338,'SegEnds_NonXtal_Prot#'!A:AL,10,FALSE)</f>
        <v>#VALUE!</v>
      </c>
      <c r="AD338" s="1">
        <f>VLOOKUP(A338,'SegEnds_NonXtal_Prot#'!A:AL,16,FALSE)-VLOOKUP(A338,'SegEnds_NonXtal_Prot#'!A:AL,10,FALSE)</f>
        <v>45</v>
      </c>
      <c r="AE338" s="1" t="e">
        <f>VLOOKUP(A338,'SegEnds_NonXtal_Prot#'!A:AL,22,FALSE)-VLOOKUP(A338,'SegEnds_NonXtal_Prot#'!A:AL,19,FALSE)</f>
        <v>#VALUE!</v>
      </c>
      <c r="AF338" s="1">
        <f>VLOOKUP(A338,'SegEnds_NonXtal_Prot#'!A:AL,28,FALSE)-VLOOKUP(A338,'SegEnds_NonXtal_Prot#'!A:AL,25,FALSE)</f>
        <v>19</v>
      </c>
      <c r="AG338" s="1">
        <f>VLOOKUP(A338,'SegEnds_NonXtal_Prot#'!A:AL,28,FALSE)-VLOOKUP(A338,'SegEnds_NonXtal_Prot#'!A:AL,22,FALSE)</f>
        <v>43</v>
      </c>
      <c r="AH338" s="1">
        <f>VLOOKUP(A338,'SegEnds_NonXtal_Prot#'!A:AL,31,FALSE)-VLOOKUP(A338,'SegEnds_NonXtal_Prot#'!A:AL,28,FALSE)</f>
        <v>52</v>
      </c>
      <c r="AI338" s="1">
        <f>VLOOKUP(A338,'SegEnds_NonXtal_Prot#'!A:AL,34,FALSE)-VLOOKUP(A338,'SegEnds_NonXtal_Prot#'!A:AL,31,FALSE)</f>
        <v>28</v>
      </c>
      <c r="AJ338" s="1" t="str">
        <f>IF(ISERROR(MATCH(A338,'SegEnds_Xtal_Prot#'!B:B, 0)), "NoXtal", "Xtal")</f>
        <v>NoXtal</v>
      </c>
    </row>
    <row r="339" spans="1:36" x14ac:dyDescent="0.2">
      <c r="A339" s="1" t="s">
        <v>414</v>
      </c>
      <c r="B339" s="1" t="str">
        <f>VLOOKUP(A339,Xtal_Templ!A:B,2,FALSE)</f>
        <v>crfr1_human</v>
      </c>
      <c r="C339" s="5">
        <v>23</v>
      </c>
      <c r="D339" s="1">
        <f>VLOOKUP($B339&amp;"__wt",'SegEnds_Xtal_BW#'!$A:$Z,4,FALSE)</f>
        <v>60</v>
      </c>
      <c r="E339" s="1">
        <f>VLOOKUP($B339&amp;"__wt",'SegEnds_Xtal_BW#'!$A:$Z,5,FALSE)</f>
        <v>48</v>
      </c>
      <c r="F339" s="1">
        <f>VLOOKUP($B339&amp;"__wt",'SegEnds_Xtal_BW#'!$A:$Z,6,FALSE)</f>
        <v>51</v>
      </c>
      <c r="G339" s="1">
        <v>37</v>
      </c>
      <c r="H339" s="12">
        <v>63</v>
      </c>
      <c r="I339" s="1" t="str">
        <f>VLOOKUP($B339&amp;"__wt",'SegEnds_Xtal_BW#'!$A:$Z,9,FALSE)</f>
        <v>-</v>
      </c>
      <c r="J339" s="1" t="str">
        <f>VLOOKUP($B339&amp;"__wt",'SegEnds_Xtal_BW#'!$A:$Z,10,FALSE)</f>
        <v>-</v>
      </c>
      <c r="K339" s="12">
        <v>23</v>
      </c>
      <c r="L339" s="1">
        <f>VLOOKUP($B339&amp;"__wt",'SegEnds_Xtal_BW#'!$A:$Z,12,FALSE)</f>
        <v>56</v>
      </c>
      <c r="M339" s="1" t="str">
        <f>VLOOKUP($B339&amp;"__wt",'SegEnds_Xtal_BW#'!$A:$Z,13,FALSE)</f>
        <v>-</v>
      </c>
      <c r="N339" s="12" t="str">
        <f>VLOOKUP($B339&amp;"__wt",'SegEnds_Xtal_BW#'!$A:$Z,14,FALSE)</f>
        <v>-</v>
      </c>
      <c r="O339" s="89">
        <f>VLOOKUP($B339&amp;"__wt",'SegEnds_Xtal_BW#'!$A:$Z,15,FALSE)</f>
        <v>40</v>
      </c>
      <c r="P339" s="1">
        <f>VLOOKUP($B339&amp;"__wt",'SegEnds_Xtal_BW#'!$A:$Z,16,FALSE)</f>
        <v>68</v>
      </c>
      <c r="Q339" s="1">
        <f>VLOOKUP($B339&amp;"__wt",'SegEnds_Xtal_BW#'!$A:$Z,17,FALSE)</f>
        <v>50</v>
      </c>
      <c r="R339" s="1">
        <f>VLOOKUP($B339&amp;"__wt",'SegEnds_Xtal_BW#'!$A:$Z,18,FALSE)</f>
        <v>52</v>
      </c>
      <c r="S339" s="1">
        <v>36</v>
      </c>
      <c r="T339" s="1">
        <v>69</v>
      </c>
      <c r="U339" s="1">
        <v>29</v>
      </c>
      <c r="V339" s="1">
        <f>VLOOKUP($B339&amp;"__wt",'SegEnds_Xtal_BW#'!$A:$Z,22,FALSE)</f>
        <v>53</v>
      </c>
      <c r="W339" s="1">
        <v>31</v>
      </c>
      <c r="X339" s="1">
        <f>VLOOKUP($B339&amp;"__wt",'SegEnds_Xtal_BW#'!$A:$Z,24,FALSE)</f>
        <v>56</v>
      </c>
      <c r="Y339" s="1">
        <f>VLOOKUP($B339&amp;"__wt",'SegEnds_Xtal_BW#'!$A:$Z,25,FALSE)</f>
        <v>47</v>
      </c>
      <c r="Z339" s="1">
        <v>63</v>
      </c>
      <c r="AA339" s="27" t="str">
        <f>VLOOKUP(A339,Classification!A:B,2,FALSE)</f>
        <v>B2</v>
      </c>
      <c r="AB339" s="1" t="e">
        <f>VLOOKUP(A339,'SegEnds_NonXtal_Prot#'!A:AL,10,FALSE)-VLOOKUP(A339,'SegEnds_NonXtal_Prot#'!A:AL,7,FALSE)</f>
        <v>#VALUE!</v>
      </c>
      <c r="AC339" s="1" t="e">
        <f>VLOOKUP(A339,'SegEnds_NonXtal_Prot#'!A:AL,13,FALSE)-VLOOKUP(A339,'SegEnds_NonXtal_Prot#'!A:AL,10,FALSE)</f>
        <v>#VALUE!</v>
      </c>
      <c r="AD339" s="1">
        <f>VLOOKUP(A339,'SegEnds_NonXtal_Prot#'!A:AL,16,FALSE)-VLOOKUP(A339,'SegEnds_NonXtal_Prot#'!A:AL,10,FALSE)</f>
        <v>45</v>
      </c>
      <c r="AE339" s="1" t="e">
        <f>VLOOKUP(A339,'SegEnds_NonXtal_Prot#'!A:AL,22,FALSE)-VLOOKUP(A339,'SegEnds_NonXtal_Prot#'!A:AL,19,FALSE)</f>
        <v>#VALUE!</v>
      </c>
      <c r="AF339" s="1">
        <f>VLOOKUP(A339,'SegEnds_NonXtal_Prot#'!A:AL,28,FALSE)-VLOOKUP(A339,'SegEnds_NonXtal_Prot#'!A:AL,25,FALSE)</f>
        <v>19</v>
      </c>
      <c r="AG339" s="1">
        <f>VLOOKUP(A339,'SegEnds_NonXtal_Prot#'!A:AL,28,FALSE)-VLOOKUP(A339,'SegEnds_NonXtal_Prot#'!A:AL,22,FALSE)</f>
        <v>44</v>
      </c>
      <c r="AH339" s="1">
        <f>VLOOKUP(A339,'SegEnds_NonXtal_Prot#'!A:AL,31,FALSE)-VLOOKUP(A339,'SegEnds_NonXtal_Prot#'!A:AL,28,FALSE)</f>
        <v>50</v>
      </c>
      <c r="AI339" s="1">
        <f>VLOOKUP(A339,'SegEnds_NonXtal_Prot#'!A:AL,34,FALSE)-VLOOKUP(A339,'SegEnds_NonXtal_Prot#'!A:AL,31,FALSE)</f>
        <v>29</v>
      </c>
      <c r="AJ339" s="1" t="str">
        <f>IF(ISERROR(MATCH(A339,'SegEnds_Xtal_Prot#'!B:B, 0)), "NoXtal", "Xtal")</f>
        <v>NoXtal</v>
      </c>
    </row>
    <row r="340" spans="1:36" x14ac:dyDescent="0.2">
      <c r="A340" s="4" t="s">
        <v>417</v>
      </c>
      <c r="B340" s="4" t="str">
        <f>VLOOKUP(A340,Xtal_Templ!A:B,2,FALSE)</f>
        <v>glp1r_human</v>
      </c>
      <c r="C340" s="5">
        <v>23</v>
      </c>
      <c r="D340" s="4">
        <f>VLOOKUP($B340&amp;"__wt",'SegEnds_Xtal_BW#'!$A:$Z,4,FALSE)</f>
        <v>60</v>
      </c>
      <c r="E340" s="4">
        <f>VLOOKUP($B340&amp;"__wt",'SegEnds_Xtal_BW#'!$A:$Z,5,FALSE)</f>
        <v>48</v>
      </c>
      <c r="F340" s="4">
        <f>VLOOKUP($B340&amp;"__wt",'SegEnds_Xtal_BW#'!$A:$Z,6,FALSE)</f>
        <v>51</v>
      </c>
      <c r="G340" s="4">
        <v>37</v>
      </c>
      <c r="H340" s="11">
        <v>63</v>
      </c>
      <c r="I340" s="4" t="str">
        <f>VLOOKUP($B340&amp;"__wt",'SegEnds_Xtal_BW#'!$A:$Z,9,FALSE)</f>
        <v>-</v>
      </c>
      <c r="J340" s="4" t="str">
        <f>VLOOKUP($B340&amp;"__wt",'SegEnds_Xtal_BW#'!$A:$Z,10,FALSE)</f>
        <v>-</v>
      </c>
      <c r="K340" s="11">
        <v>23</v>
      </c>
      <c r="L340" s="4">
        <f>VLOOKUP($B340&amp;"__wt",'SegEnds_Xtal_BW#'!$A:$Z,12,FALSE)</f>
        <v>56</v>
      </c>
      <c r="M340" s="4" t="str">
        <f>VLOOKUP($B340&amp;"__wt",'SegEnds_Xtal_BW#'!$A:$Z,13,FALSE)</f>
        <v>-</v>
      </c>
      <c r="N340" s="11" t="str">
        <f>VLOOKUP($B340&amp;"__wt",'SegEnds_Xtal_BW#'!$A:$Z,14,FALSE)</f>
        <v>-</v>
      </c>
      <c r="O340" s="90">
        <f>VLOOKUP($B340&amp;"__wt",'SegEnds_Xtal_BW#'!$A:$Z,15,FALSE)</f>
        <v>38</v>
      </c>
      <c r="P340" s="4">
        <f>VLOOKUP($B340&amp;"__wt",'SegEnds_Xtal_BW#'!$A:$Z,16,FALSE)</f>
        <v>68</v>
      </c>
      <c r="Q340" s="4">
        <f>VLOOKUP($B340&amp;"__wt",'SegEnds_Xtal_BW#'!$A:$Z,17,FALSE)</f>
        <v>50</v>
      </c>
      <c r="R340" s="4">
        <f>VLOOKUP($B340&amp;"__wt",'SegEnds_Xtal_BW#'!$A:$Z,18,FALSE)</f>
        <v>52</v>
      </c>
      <c r="S340" s="4">
        <v>36</v>
      </c>
      <c r="T340" s="4">
        <v>69</v>
      </c>
      <c r="U340" s="4">
        <v>29</v>
      </c>
      <c r="V340" s="4">
        <f>VLOOKUP($B340&amp;"__wt",'SegEnds_Xtal_BW#'!$A:$Z,22,FALSE)</f>
        <v>58</v>
      </c>
      <c r="W340" s="4">
        <v>31</v>
      </c>
      <c r="X340" s="4">
        <f>VLOOKUP($B340&amp;"__wt",'SegEnds_Xtal_BW#'!$A:$Z,24,FALSE)</f>
        <v>56</v>
      </c>
      <c r="Y340" s="4">
        <f>VLOOKUP($B340&amp;"__wt",'SegEnds_Xtal_BW#'!$A:$Z,25,FALSE)</f>
        <v>47</v>
      </c>
      <c r="Z340" s="4">
        <v>63</v>
      </c>
      <c r="AA340" s="27" t="str">
        <f>VLOOKUP(A340,Classification!A:B,2,FALSE)</f>
        <v>B2</v>
      </c>
      <c r="AB340" s="4" t="e">
        <f>VLOOKUP(A340,'SegEnds_NonXtal_Prot#'!A:AL,10,FALSE)-VLOOKUP(A340,'SegEnds_NonXtal_Prot#'!A:AL,7,FALSE)</f>
        <v>#VALUE!</v>
      </c>
      <c r="AC340" s="4" t="e">
        <f>VLOOKUP(A340,'SegEnds_NonXtal_Prot#'!A:AL,13,FALSE)-VLOOKUP(A340,'SegEnds_NonXtal_Prot#'!A:AL,10,FALSE)</f>
        <v>#VALUE!</v>
      </c>
      <c r="AD340" s="4">
        <f>VLOOKUP(A340,'SegEnds_NonXtal_Prot#'!A:AL,16,FALSE)-VLOOKUP(A340,'SegEnds_NonXtal_Prot#'!A:AL,10,FALSE)</f>
        <v>47</v>
      </c>
      <c r="AE340" s="1" t="e">
        <f>VLOOKUP(A340,'SegEnds_NonXtal_Prot#'!A:AL,22,FALSE)-VLOOKUP(A340,'SegEnds_NonXtal_Prot#'!A:AL,19,FALSE)</f>
        <v>#VALUE!</v>
      </c>
      <c r="AF340" s="4">
        <f>VLOOKUP(A340,'SegEnds_NonXtal_Prot#'!A:AL,28,FALSE)-VLOOKUP(A340,'SegEnds_NonXtal_Prot#'!A:AL,25,FALSE)</f>
        <v>19</v>
      </c>
      <c r="AG340" s="1">
        <f>VLOOKUP(A340,'SegEnds_NonXtal_Prot#'!A:AL,28,FALSE)-VLOOKUP(A340,'SegEnds_NonXtal_Prot#'!A:AL,22,FALSE)</f>
        <v>43</v>
      </c>
      <c r="AH340" s="4">
        <f>VLOOKUP(A340,'SegEnds_NonXtal_Prot#'!A:AL,31,FALSE)-VLOOKUP(A340,'SegEnds_NonXtal_Prot#'!A:AL,28,FALSE)</f>
        <v>52</v>
      </c>
      <c r="AI340" s="4">
        <f>VLOOKUP(A340,'SegEnds_NonXtal_Prot#'!A:AL,34,FALSE)-VLOOKUP(A340,'SegEnds_NonXtal_Prot#'!A:AL,31,FALSE)</f>
        <v>28</v>
      </c>
      <c r="AJ340" s="1" t="str">
        <f>IF(ISERROR(MATCH(A340,'SegEnds_Xtal_Prot#'!B:B, 0)), "NoXtal", "Xtal")</f>
        <v>NoXtal</v>
      </c>
    </row>
    <row r="341" spans="1:36" x14ac:dyDescent="0.2">
      <c r="A341" s="1" t="s">
        <v>418</v>
      </c>
      <c r="B341" s="1" t="str">
        <f>VLOOKUP(A341,Xtal_Templ!A:B,2,FALSE)</f>
        <v>calcr_human</v>
      </c>
      <c r="C341" s="5">
        <v>23</v>
      </c>
      <c r="D341" s="1">
        <f>VLOOKUP($B341&amp;"__wt",'SegEnds_Xtal_BW#'!$A:$Z,4,FALSE)</f>
        <v>60</v>
      </c>
      <c r="E341" s="1">
        <f>VLOOKUP($B341&amp;"__wt",'SegEnds_Xtal_BW#'!$A:$Z,5,FALSE)</f>
        <v>48</v>
      </c>
      <c r="F341" s="1">
        <f>VLOOKUP($B341&amp;"__wt",'SegEnds_Xtal_BW#'!$A:$Z,6,FALSE)</f>
        <v>51</v>
      </c>
      <c r="G341" s="1">
        <v>37</v>
      </c>
      <c r="H341" s="12">
        <v>63</v>
      </c>
      <c r="I341" s="1" t="str">
        <f>VLOOKUP($B341&amp;"__wt",'SegEnds_Xtal_BW#'!$A:$Z,9,FALSE)</f>
        <v>-</v>
      </c>
      <c r="J341" s="1" t="str">
        <f>VLOOKUP($B341&amp;"__wt",'SegEnds_Xtal_BW#'!$A:$Z,10,FALSE)</f>
        <v>-</v>
      </c>
      <c r="K341" s="12">
        <v>23</v>
      </c>
      <c r="L341" s="1">
        <f>VLOOKUP($B341&amp;"__wt",'SegEnds_Xtal_BW#'!$A:$Z,12,FALSE)</f>
        <v>56</v>
      </c>
      <c r="M341" s="1" t="str">
        <f>VLOOKUP($B341&amp;"__wt",'SegEnds_Xtal_BW#'!$A:$Z,13,FALSE)</f>
        <v>-</v>
      </c>
      <c r="N341" s="12" t="str">
        <f>VLOOKUP($B341&amp;"__wt",'SegEnds_Xtal_BW#'!$A:$Z,14,FALSE)</f>
        <v>-</v>
      </c>
      <c r="O341" s="89">
        <f>VLOOKUP($B341&amp;"__wt",'SegEnds_Xtal_BW#'!$A:$Z,15,FALSE)</f>
        <v>41</v>
      </c>
      <c r="P341" s="1">
        <f>VLOOKUP($B341&amp;"__wt",'SegEnds_Xtal_BW#'!$A:$Z,16,FALSE)</f>
        <v>68</v>
      </c>
      <c r="Q341" s="1">
        <f>VLOOKUP($B341&amp;"__wt",'SegEnds_Xtal_BW#'!$A:$Z,17,FALSE)</f>
        <v>50</v>
      </c>
      <c r="R341" s="1">
        <f>VLOOKUP($B341&amp;"__wt",'SegEnds_Xtal_BW#'!$A:$Z,18,FALSE)</f>
        <v>52</v>
      </c>
      <c r="S341" s="1">
        <v>36</v>
      </c>
      <c r="T341" s="1">
        <v>69</v>
      </c>
      <c r="U341" s="1">
        <v>29</v>
      </c>
      <c r="V341" s="1">
        <f>VLOOKUP($B341&amp;"__wt",'SegEnds_Xtal_BW#'!$A:$Z,22,FALSE)</f>
        <v>53</v>
      </c>
      <c r="W341" s="1">
        <v>31</v>
      </c>
      <c r="X341" s="1">
        <f>VLOOKUP($B341&amp;"__wt",'SegEnds_Xtal_BW#'!$A:$Z,24,FALSE)</f>
        <v>56</v>
      </c>
      <c r="Y341" s="1">
        <f>VLOOKUP($B341&amp;"__wt",'SegEnds_Xtal_BW#'!$A:$Z,25,FALSE)</f>
        <v>47</v>
      </c>
      <c r="Z341" s="1">
        <v>63</v>
      </c>
      <c r="AA341" s="27" t="str">
        <f>VLOOKUP(A341,Classification!A:B,2,FALSE)</f>
        <v>B2</v>
      </c>
      <c r="AB341" s="1">
        <f>VLOOKUP(A341,'SegEnds_NonXtal_Prot#'!A:AL,10,FALSE)-VLOOKUP(A341,'SegEnds_NonXtal_Prot#'!A:AL,7,FALSE)</f>
        <v>15</v>
      </c>
      <c r="AC341" s="1" t="e">
        <f>VLOOKUP(A341,'SegEnds_NonXtal_Prot#'!A:AL,13,FALSE)-VLOOKUP(A341,'SegEnds_NonXtal_Prot#'!A:AL,10,FALSE)</f>
        <v>#VALUE!</v>
      </c>
      <c r="AD341" s="1">
        <f>VLOOKUP(A341,'SegEnds_NonXtal_Prot#'!A:AL,16,FALSE)-VLOOKUP(A341,'SegEnds_NonXtal_Prot#'!A:AL,10,FALSE)</f>
        <v>45</v>
      </c>
      <c r="AE341" s="1" t="e">
        <f>VLOOKUP(A341,'SegEnds_NonXtal_Prot#'!A:AL,22,FALSE)-VLOOKUP(A341,'SegEnds_NonXtal_Prot#'!A:AL,19,FALSE)</f>
        <v>#VALUE!</v>
      </c>
      <c r="AF341" s="1">
        <f>VLOOKUP(A341,'SegEnds_NonXtal_Prot#'!A:AL,28,FALSE)-VLOOKUP(A341,'SegEnds_NonXtal_Prot#'!A:AL,25,FALSE)</f>
        <v>19</v>
      </c>
      <c r="AG341" s="1">
        <f>VLOOKUP(A341,'SegEnds_NonXtal_Prot#'!A:AL,28,FALSE)-VLOOKUP(A341,'SegEnds_NonXtal_Prot#'!A:AL,22,FALSE)</f>
        <v>43</v>
      </c>
      <c r="AH341" s="1">
        <f>VLOOKUP(A341,'SegEnds_NonXtal_Prot#'!A:AL,31,FALSE)-VLOOKUP(A341,'SegEnds_NonXtal_Prot#'!A:AL,28,FALSE)</f>
        <v>48</v>
      </c>
      <c r="AI341" s="1">
        <f>VLOOKUP(A341,'SegEnds_NonXtal_Prot#'!A:AL,34,FALSE)-VLOOKUP(A341,'SegEnds_NonXtal_Prot#'!A:AL,31,FALSE)</f>
        <v>28</v>
      </c>
      <c r="AJ341" s="1" t="str">
        <f>IF(ISERROR(MATCH(A341,'SegEnds_Xtal_Prot#'!B:B, 0)), "NoXtal", "Xtal")</f>
        <v>NoXtal</v>
      </c>
    </row>
    <row r="342" spans="1:36" x14ac:dyDescent="0.2">
      <c r="A342" s="4" t="s">
        <v>419</v>
      </c>
      <c r="B342" s="4" t="str">
        <f>VLOOKUP(A342,Xtal_Templ!A:B,2,FALSE)</f>
        <v>calcr_human</v>
      </c>
      <c r="C342" s="5">
        <v>23</v>
      </c>
      <c r="D342" s="4">
        <f>VLOOKUP($B342&amp;"__wt",'SegEnds_Xtal_BW#'!$A:$Z,4,FALSE)</f>
        <v>60</v>
      </c>
      <c r="E342" s="4">
        <f>VLOOKUP($B342&amp;"__wt",'SegEnds_Xtal_BW#'!$A:$Z,5,FALSE)</f>
        <v>48</v>
      </c>
      <c r="F342" s="4">
        <f>VLOOKUP($B342&amp;"__wt",'SegEnds_Xtal_BW#'!$A:$Z,6,FALSE)</f>
        <v>51</v>
      </c>
      <c r="G342" s="4">
        <v>37</v>
      </c>
      <c r="H342" s="11">
        <v>63</v>
      </c>
      <c r="I342" s="4" t="str">
        <f>VLOOKUP($B342&amp;"__wt",'SegEnds_Xtal_BW#'!$A:$Z,9,FALSE)</f>
        <v>-</v>
      </c>
      <c r="J342" s="4" t="str">
        <f>VLOOKUP($B342&amp;"__wt",'SegEnds_Xtal_BW#'!$A:$Z,10,FALSE)</f>
        <v>-</v>
      </c>
      <c r="K342" s="11">
        <v>23</v>
      </c>
      <c r="L342" s="4">
        <f>VLOOKUP($B342&amp;"__wt",'SegEnds_Xtal_BW#'!$A:$Z,12,FALSE)</f>
        <v>56</v>
      </c>
      <c r="M342" s="4" t="str">
        <f>VLOOKUP($B342&amp;"__wt",'SegEnds_Xtal_BW#'!$A:$Z,13,FALSE)</f>
        <v>-</v>
      </c>
      <c r="N342" s="11" t="str">
        <f>VLOOKUP($B342&amp;"__wt",'SegEnds_Xtal_BW#'!$A:$Z,14,FALSE)</f>
        <v>-</v>
      </c>
      <c r="O342" s="90">
        <f>VLOOKUP($B342&amp;"__wt",'SegEnds_Xtal_BW#'!$A:$Z,15,FALSE)</f>
        <v>41</v>
      </c>
      <c r="P342" s="4">
        <f>VLOOKUP($B342&amp;"__wt",'SegEnds_Xtal_BW#'!$A:$Z,16,FALSE)</f>
        <v>68</v>
      </c>
      <c r="Q342" s="4">
        <f>VLOOKUP($B342&amp;"__wt",'SegEnds_Xtal_BW#'!$A:$Z,17,FALSE)</f>
        <v>50</v>
      </c>
      <c r="R342" s="4">
        <f>VLOOKUP($B342&amp;"__wt",'SegEnds_Xtal_BW#'!$A:$Z,18,FALSE)</f>
        <v>52</v>
      </c>
      <c r="S342" s="4">
        <v>36</v>
      </c>
      <c r="T342" s="4">
        <v>69</v>
      </c>
      <c r="U342" s="4">
        <v>29</v>
      </c>
      <c r="V342" s="4">
        <f>VLOOKUP($B342&amp;"__wt",'SegEnds_Xtal_BW#'!$A:$Z,22,FALSE)</f>
        <v>53</v>
      </c>
      <c r="W342" s="4">
        <v>31</v>
      </c>
      <c r="X342" s="4">
        <f>VLOOKUP($B342&amp;"__wt",'SegEnds_Xtal_BW#'!$A:$Z,24,FALSE)</f>
        <v>56</v>
      </c>
      <c r="Y342" s="4">
        <f>VLOOKUP($B342&amp;"__wt",'SegEnds_Xtal_BW#'!$A:$Z,25,FALSE)</f>
        <v>47</v>
      </c>
      <c r="Z342" s="4">
        <v>63</v>
      </c>
      <c r="AA342" s="27" t="str">
        <f>VLOOKUP(A342,Classification!A:B,2,FALSE)</f>
        <v>B2</v>
      </c>
      <c r="AB342" s="4">
        <f>VLOOKUP(A342,'SegEnds_NonXtal_Prot#'!A:AL,10,FALSE)-VLOOKUP(A342,'SegEnds_NonXtal_Prot#'!A:AL,7,FALSE)</f>
        <v>15</v>
      </c>
      <c r="AC342" s="4" t="e">
        <f>VLOOKUP(A342,'SegEnds_NonXtal_Prot#'!A:AL,13,FALSE)-VLOOKUP(A342,'SegEnds_NonXtal_Prot#'!A:AL,10,FALSE)</f>
        <v>#VALUE!</v>
      </c>
      <c r="AD342" s="4">
        <f>VLOOKUP(A342,'SegEnds_NonXtal_Prot#'!A:AL,16,FALSE)-VLOOKUP(A342,'SegEnds_NonXtal_Prot#'!A:AL,10,FALSE)</f>
        <v>45</v>
      </c>
      <c r="AE342" s="1" t="e">
        <f>VLOOKUP(A342,'SegEnds_NonXtal_Prot#'!A:AL,22,FALSE)-VLOOKUP(A342,'SegEnds_NonXtal_Prot#'!A:AL,19,FALSE)</f>
        <v>#VALUE!</v>
      </c>
      <c r="AF342" s="4">
        <f>VLOOKUP(A342,'SegEnds_NonXtal_Prot#'!A:AL,28,FALSE)-VLOOKUP(A342,'SegEnds_NonXtal_Prot#'!A:AL,25,FALSE)</f>
        <v>19</v>
      </c>
      <c r="AG342" s="1">
        <f>VLOOKUP(A342,'SegEnds_NonXtal_Prot#'!A:AL,28,FALSE)-VLOOKUP(A342,'SegEnds_NonXtal_Prot#'!A:AL,22,FALSE)</f>
        <v>43</v>
      </c>
      <c r="AH342" s="4">
        <f>VLOOKUP(A342,'SegEnds_NonXtal_Prot#'!A:AL,31,FALSE)-VLOOKUP(A342,'SegEnds_NonXtal_Prot#'!A:AL,28,FALSE)</f>
        <v>48</v>
      </c>
      <c r="AI342" s="4">
        <f>VLOOKUP(A342,'SegEnds_NonXtal_Prot#'!A:AL,34,FALSE)-VLOOKUP(A342,'SegEnds_NonXtal_Prot#'!A:AL,31,FALSE)</f>
        <v>28</v>
      </c>
      <c r="AJ342" s="1" t="str">
        <f>IF(ISERROR(MATCH(A342,'SegEnds_Xtal_Prot#'!B:B, 0)), "NoXtal", "Xtal")</f>
        <v>NoXtal</v>
      </c>
    </row>
    <row r="343" spans="1:36" x14ac:dyDescent="0.2">
      <c r="A343" s="1" t="s">
        <v>420</v>
      </c>
      <c r="B343" s="1" t="str">
        <f>VLOOKUP(A343,Xtal_Templ!A:B,2,FALSE)</f>
        <v>crfr1_human</v>
      </c>
      <c r="C343" s="5">
        <v>23</v>
      </c>
      <c r="D343" s="1">
        <f>VLOOKUP($B343&amp;"__wt",'SegEnds_Xtal_BW#'!$A:$Z,4,FALSE)</f>
        <v>60</v>
      </c>
      <c r="E343" s="1">
        <f>VLOOKUP($B343&amp;"__wt",'SegEnds_Xtal_BW#'!$A:$Z,5,FALSE)</f>
        <v>48</v>
      </c>
      <c r="F343" s="1">
        <f>VLOOKUP($B343&amp;"__wt",'SegEnds_Xtal_BW#'!$A:$Z,6,FALSE)</f>
        <v>51</v>
      </c>
      <c r="G343" s="1">
        <v>37</v>
      </c>
      <c r="H343" s="12">
        <v>63</v>
      </c>
      <c r="I343" s="1" t="str">
        <f>VLOOKUP($B343&amp;"__wt",'SegEnds_Xtal_BW#'!$A:$Z,9,FALSE)</f>
        <v>-</v>
      </c>
      <c r="J343" s="1" t="str">
        <f>VLOOKUP($B343&amp;"__wt",'SegEnds_Xtal_BW#'!$A:$Z,10,FALSE)</f>
        <v>-</v>
      </c>
      <c r="K343" s="12">
        <v>23</v>
      </c>
      <c r="L343" s="1">
        <f>VLOOKUP($B343&amp;"__wt",'SegEnds_Xtal_BW#'!$A:$Z,12,FALSE)</f>
        <v>56</v>
      </c>
      <c r="M343" s="1" t="str">
        <f>VLOOKUP($B343&amp;"__wt",'SegEnds_Xtal_BW#'!$A:$Z,13,FALSE)</f>
        <v>-</v>
      </c>
      <c r="N343" s="12" t="str">
        <f>VLOOKUP($B343&amp;"__wt",'SegEnds_Xtal_BW#'!$A:$Z,14,FALSE)</f>
        <v>-</v>
      </c>
      <c r="O343" s="89">
        <f>VLOOKUP($B343&amp;"__wt",'SegEnds_Xtal_BW#'!$A:$Z,15,FALSE)</f>
        <v>40</v>
      </c>
      <c r="P343" s="1">
        <f>VLOOKUP($B343&amp;"__wt",'SegEnds_Xtal_BW#'!$A:$Z,16,FALSE)</f>
        <v>68</v>
      </c>
      <c r="Q343" s="1">
        <f>VLOOKUP($B343&amp;"__wt",'SegEnds_Xtal_BW#'!$A:$Z,17,FALSE)</f>
        <v>50</v>
      </c>
      <c r="R343" s="1">
        <f>VLOOKUP($B343&amp;"__wt",'SegEnds_Xtal_BW#'!$A:$Z,18,FALSE)</f>
        <v>52</v>
      </c>
      <c r="S343" s="1">
        <v>36</v>
      </c>
      <c r="T343" s="1">
        <v>69</v>
      </c>
      <c r="U343" s="1">
        <v>29</v>
      </c>
      <c r="V343" s="1">
        <f>VLOOKUP($B343&amp;"__wt",'SegEnds_Xtal_BW#'!$A:$Z,22,FALSE)</f>
        <v>53</v>
      </c>
      <c r="W343" s="1">
        <v>31</v>
      </c>
      <c r="X343" s="1">
        <f>VLOOKUP($B343&amp;"__wt",'SegEnds_Xtal_BW#'!$A:$Z,24,FALSE)</f>
        <v>56</v>
      </c>
      <c r="Y343" s="1">
        <f>VLOOKUP($B343&amp;"__wt",'SegEnds_Xtal_BW#'!$A:$Z,25,FALSE)</f>
        <v>47</v>
      </c>
      <c r="Z343" s="1">
        <v>63</v>
      </c>
      <c r="AA343" s="27" t="str">
        <f>VLOOKUP(A343,Classification!A:B,2,FALSE)</f>
        <v>B2</v>
      </c>
      <c r="AB343" s="1">
        <f>VLOOKUP(A343,'SegEnds_NonXtal_Prot#'!A:AL,10,FALSE)-VLOOKUP(A343,'SegEnds_NonXtal_Prot#'!A:AL,7,FALSE)</f>
        <v>15</v>
      </c>
      <c r="AC343" s="1" t="e">
        <f>VLOOKUP(A343,'SegEnds_NonXtal_Prot#'!A:AL,13,FALSE)-VLOOKUP(A343,'SegEnds_NonXtal_Prot#'!A:AL,10,FALSE)</f>
        <v>#VALUE!</v>
      </c>
      <c r="AD343" s="1">
        <f>VLOOKUP(A343,'SegEnds_NonXtal_Prot#'!A:AL,16,FALSE)-VLOOKUP(A343,'SegEnds_NonXtal_Prot#'!A:AL,10,FALSE)</f>
        <v>45</v>
      </c>
      <c r="AE343" s="1" t="e">
        <f>VLOOKUP(A343,'SegEnds_NonXtal_Prot#'!A:AL,22,FALSE)-VLOOKUP(A343,'SegEnds_NonXtal_Prot#'!A:AL,19,FALSE)</f>
        <v>#VALUE!</v>
      </c>
      <c r="AF343" s="1">
        <f>VLOOKUP(A343,'SegEnds_NonXtal_Prot#'!A:AL,28,FALSE)-VLOOKUP(A343,'SegEnds_NonXtal_Prot#'!A:AL,25,FALSE)</f>
        <v>19</v>
      </c>
      <c r="AG343" s="1">
        <f>VLOOKUP(A343,'SegEnds_NonXtal_Prot#'!A:AL,28,FALSE)-VLOOKUP(A343,'SegEnds_NonXtal_Prot#'!A:AL,22,FALSE)</f>
        <v>43</v>
      </c>
      <c r="AH343" s="1">
        <f>VLOOKUP(A343,'SegEnds_NonXtal_Prot#'!A:AL,31,FALSE)-VLOOKUP(A343,'SegEnds_NonXtal_Prot#'!A:AL,28,FALSE)</f>
        <v>47</v>
      </c>
      <c r="AI343" s="1">
        <f>VLOOKUP(A343,'SegEnds_NonXtal_Prot#'!A:AL,34,FALSE)-VLOOKUP(A343,'SegEnds_NonXtal_Prot#'!A:AL,31,FALSE)</f>
        <v>28</v>
      </c>
      <c r="AJ343" s="1" t="str">
        <f>IF(ISERROR(MATCH(A343,'SegEnds_Xtal_Prot#'!B:B, 0)), "NoXtal", "Xtal")</f>
        <v>NoXtal</v>
      </c>
    </row>
    <row r="344" spans="1:36" x14ac:dyDescent="0.2">
      <c r="A344" s="1" t="s">
        <v>442</v>
      </c>
      <c r="B344" s="1" t="str">
        <f>VLOOKUP(A344,Xtal_Templ!A:B,2,FALSE)</f>
        <v>crfr1_human</v>
      </c>
      <c r="C344" s="5">
        <v>23</v>
      </c>
      <c r="D344" s="1">
        <f>VLOOKUP($B344&amp;"__wt",'SegEnds_Xtal_BW#'!$A:$Z,4,FALSE)</f>
        <v>60</v>
      </c>
      <c r="E344" s="1">
        <f>VLOOKUP($B344&amp;"__wt",'SegEnds_Xtal_BW#'!$A:$Z,5,FALSE)</f>
        <v>48</v>
      </c>
      <c r="F344" s="1">
        <f>VLOOKUP($B344&amp;"__wt",'SegEnds_Xtal_BW#'!$A:$Z,6,FALSE)</f>
        <v>51</v>
      </c>
      <c r="G344" s="1">
        <v>37</v>
      </c>
      <c r="H344" s="12">
        <v>63</v>
      </c>
      <c r="I344" s="1" t="str">
        <f>VLOOKUP($B344&amp;"__wt",'SegEnds_Xtal_BW#'!$A:$Z,9,FALSE)</f>
        <v>-</v>
      </c>
      <c r="J344" s="1" t="str">
        <f>VLOOKUP($B344&amp;"__wt",'SegEnds_Xtal_BW#'!$A:$Z,10,FALSE)</f>
        <v>-</v>
      </c>
      <c r="K344" s="12">
        <v>23</v>
      </c>
      <c r="L344" s="1">
        <f>VLOOKUP($B344&amp;"__wt",'SegEnds_Xtal_BW#'!$A:$Z,12,FALSE)</f>
        <v>56</v>
      </c>
      <c r="M344" s="1" t="str">
        <f>VLOOKUP($B344&amp;"__wt",'SegEnds_Xtal_BW#'!$A:$Z,13,FALSE)</f>
        <v>-</v>
      </c>
      <c r="N344" s="12" t="str">
        <f>VLOOKUP($B344&amp;"__wt",'SegEnds_Xtal_BW#'!$A:$Z,14,FALSE)</f>
        <v>-</v>
      </c>
      <c r="O344" s="89">
        <f>VLOOKUP($B344&amp;"__wt",'SegEnds_Xtal_BW#'!$A:$Z,15,FALSE)</f>
        <v>40</v>
      </c>
      <c r="P344" s="1">
        <f>VLOOKUP($B344&amp;"__wt",'SegEnds_Xtal_BW#'!$A:$Z,16,FALSE)</f>
        <v>68</v>
      </c>
      <c r="Q344" s="1">
        <f>VLOOKUP($B344&amp;"__wt",'SegEnds_Xtal_BW#'!$A:$Z,17,FALSE)</f>
        <v>50</v>
      </c>
      <c r="R344" s="1">
        <f>VLOOKUP($B344&amp;"__wt",'SegEnds_Xtal_BW#'!$A:$Z,18,FALSE)</f>
        <v>52</v>
      </c>
      <c r="S344" s="1">
        <v>36</v>
      </c>
      <c r="T344" s="1">
        <v>69</v>
      </c>
      <c r="U344" s="1">
        <v>29</v>
      </c>
      <c r="V344" s="1">
        <f>VLOOKUP($B344&amp;"__wt",'SegEnds_Xtal_BW#'!$A:$Z,22,FALSE)</f>
        <v>53</v>
      </c>
      <c r="W344" s="1">
        <v>31</v>
      </c>
      <c r="X344" s="1">
        <f>VLOOKUP($B344&amp;"__wt",'SegEnds_Xtal_BW#'!$A:$Z,24,FALSE)</f>
        <v>56</v>
      </c>
      <c r="Y344" s="1">
        <f>VLOOKUP($B344&amp;"__wt",'SegEnds_Xtal_BW#'!$A:$Z,25,FALSE)</f>
        <v>47</v>
      </c>
      <c r="Z344" s="1">
        <v>63</v>
      </c>
      <c r="AA344" s="27" t="str">
        <f>VLOOKUP(A344,Classification!A:B,2,FALSE)</f>
        <v>B2</v>
      </c>
      <c r="AB344" s="1" t="e">
        <f>VLOOKUP(A344,'SegEnds_NonXtal_Prot#'!A:AL,10,FALSE)-VLOOKUP(A344,'SegEnds_NonXtal_Prot#'!A:AL,7,FALSE)</f>
        <v>#VALUE!</v>
      </c>
      <c r="AC344" s="1" t="e">
        <f>VLOOKUP(A344,'SegEnds_NonXtal_Prot#'!A:AL,13,FALSE)-VLOOKUP(A344,'SegEnds_NonXtal_Prot#'!A:AL,10,FALSE)</f>
        <v>#VALUE!</v>
      </c>
      <c r="AD344" s="1">
        <f>VLOOKUP(A344,'SegEnds_NonXtal_Prot#'!A:AL,16,FALSE)-VLOOKUP(A344,'SegEnds_NonXtal_Prot#'!A:AL,10,FALSE)</f>
        <v>47</v>
      </c>
      <c r="AE344" s="1" t="e">
        <f>VLOOKUP(A344,'SegEnds_NonXtal_Prot#'!A:AL,22,FALSE)-VLOOKUP(A344,'SegEnds_NonXtal_Prot#'!A:AL,19,FALSE)</f>
        <v>#VALUE!</v>
      </c>
      <c r="AF344" s="1">
        <f>VLOOKUP(A344,'SegEnds_NonXtal_Prot#'!A:AL,28,FALSE)-VLOOKUP(A344,'SegEnds_NonXtal_Prot#'!A:AL,25,FALSE)</f>
        <v>20</v>
      </c>
      <c r="AG344" s="1">
        <f>VLOOKUP(A344,'SegEnds_NonXtal_Prot#'!A:AL,28,FALSE)-VLOOKUP(A344,'SegEnds_NonXtal_Prot#'!A:AL,22,FALSE)</f>
        <v>54</v>
      </c>
      <c r="AH344" s="1">
        <f>VLOOKUP(A344,'SegEnds_NonXtal_Prot#'!A:AL,31,FALSE)-VLOOKUP(A344,'SegEnds_NonXtal_Prot#'!A:AL,28,FALSE)</f>
        <v>49</v>
      </c>
      <c r="AI344" s="1">
        <f>VLOOKUP(A344,'SegEnds_NonXtal_Prot#'!A:AL,34,FALSE)-VLOOKUP(A344,'SegEnds_NonXtal_Prot#'!A:AL,31,FALSE)</f>
        <v>28</v>
      </c>
      <c r="AJ344" s="1" t="str">
        <f>IF(ISERROR(MATCH(A344,'SegEnds_Xtal_Prot#'!B:B, 0)), "NoXtal", "Xtal")</f>
        <v>NoXtal</v>
      </c>
    </row>
    <row r="345" spans="1:36" s="43" customFormat="1" x14ac:dyDescent="0.2">
      <c r="A345" s="43" t="s">
        <v>105</v>
      </c>
      <c r="B345" s="43" t="str">
        <f>VLOOKUP(A345,Xtal_Templ!A:B,2,FALSE)</f>
        <v>grm5_human</v>
      </c>
      <c r="C345" s="44">
        <f>VLOOKUP($B345&amp;"__wt",'SegEnds_Xtal_BW#'!$A:$Z,3,FALSE)</f>
        <v>34</v>
      </c>
      <c r="D345" s="43">
        <f>VLOOKUP($B345&amp;"__wt",'SegEnds_Xtal_BW#'!$A:$Z,4,FALSE)</f>
        <v>60</v>
      </c>
      <c r="E345" s="43">
        <f>VLOOKUP($B345&amp;"__wt",'SegEnds_Xtal_BW#'!$A:$Z,5,FALSE)</f>
        <v>47</v>
      </c>
      <c r="F345" s="43">
        <f>VLOOKUP($B345&amp;"__wt",'SegEnds_Xtal_BW#'!$A:$Z,6,FALSE)</f>
        <v>53</v>
      </c>
      <c r="G345" s="43">
        <v>39</v>
      </c>
      <c r="H345" s="104">
        <f>VLOOKUP($B345&amp;"__wt",'SegEnds_Xtal_BW#'!$A:$Z,8,FALSE)</f>
        <v>61</v>
      </c>
      <c r="I345" s="43" t="str">
        <f>VLOOKUP($B345&amp;"__wt",'SegEnds_Xtal_BW#'!$A:$Z,9,FALSE)</f>
        <v>-</v>
      </c>
      <c r="J345" s="43" t="str">
        <f>VLOOKUP($B345&amp;"__wt",'SegEnds_Xtal_BW#'!$A:$Z,10,FALSE)</f>
        <v>-</v>
      </c>
      <c r="K345" s="104">
        <f>VLOOKUP($B345&amp;"__wt",'SegEnds_Xtal_BW#'!$A:$Z,11,FALSE)</f>
        <v>22</v>
      </c>
      <c r="L345" s="43">
        <f>VLOOKUP($B345&amp;"__wt",'SegEnds_Xtal_BW#'!$A:$Z,12,FALSE)</f>
        <v>54</v>
      </c>
      <c r="M345" s="43" t="str">
        <f>VLOOKUP($B345&amp;"__wt",'SegEnds_Xtal_BW#'!$A:$Z,13,FALSE)</f>
        <v>-</v>
      </c>
      <c r="N345" s="104" t="str">
        <f>VLOOKUP($B345&amp;"__wt",'SegEnds_Xtal_BW#'!$A:$Z,14,FALSE)</f>
        <v>-</v>
      </c>
      <c r="O345" s="91">
        <f>VLOOKUP($B345&amp;"__wt",'SegEnds_Xtal_BW#'!$A:$Z,15,FALSE)</f>
        <v>38</v>
      </c>
      <c r="P345" s="43">
        <f>VLOOKUP($B345&amp;"__wt",'SegEnds_Xtal_BW#'!$A:$Z,16,FALSE)</f>
        <v>64</v>
      </c>
      <c r="Q345" s="43">
        <f>VLOOKUP($B345&amp;"__wt",'SegEnds_Xtal_BW#'!$A:$Z,17,FALSE)</f>
        <v>50</v>
      </c>
      <c r="R345" s="43">
        <f>VLOOKUP($B345&amp;"__wt",'SegEnds_Xtal_BW#'!$A:$Z,18,FALSE)</f>
        <v>52</v>
      </c>
      <c r="S345" s="43">
        <f>VLOOKUP($B345&amp;"__wt",'SegEnds_Xtal_BW#'!$A:$Z,19,FALSE)</f>
        <v>37</v>
      </c>
      <c r="T345" s="43">
        <f>VLOOKUP($B345&amp;"__wt",'SegEnds_Xtal_BW#'!$A:$Z,20,FALSE)</f>
        <v>61</v>
      </c>
      <c r="U345" s="43">
        <f>VLOOKUP($B345&amp;"__wt",'SegEnds_Xtal_BW#'!$A:$Z,21,FALSE)</f>
        <v>33</v>
      </c>
      <c r="V345" s="43">
        <f>VLOOKUP($B345&amp;"__wt",'SegEnds_Xtal_BW#'!$A:$Z,22,FALSE)</f>
        <v>57</v>
      </c>
      <c r="W345" s="43">
        <f>VLOOKUP($B345&amp;"__wt",'SegEnds_Xtal_BW#'!$A:$Z,23,FALSE)</f>
        <v>34</v>
      </c>
      <c r="X345" s="43">
        <f>VLOOKUP($B345&amp;"__wt",'SegEnds_Xtal_BW#'!$A:$Z,24,FALSE)</f>
        <v>63</v>
      </c>
      <c r="Y345" s="43">
        <f>VLOOKUP($B345&amp;"__wt",'SegEnds_Xtal_BW#'!$A:$Z,25,FALSE)</f>
        <v>47</v>
      </c>
      <c r="Z345" s="43">
        <f>VLOOKUP($B345&amp;"__wt",'SegEnds_Xtal_BW#'!$A:$Z,26,FALSE)</f>
        <v>59</v>
      </c>
      <c r="AA345" s="45" t="str">
        <f>VLOOKUP(A345,Classification!A:B,2,FALSE)</f>
        <v>C</v>
      </c>
      <c r="AB345" s="43">
        <f>VLOOKUP(A345,'SegEnds_NonXtal_Prot#'!A:AL,10,FALSE)-VLOOKUP(A345,'SegEnds_NonXtal_Prot#'!A:AL,7,FALSE)</f>
        <v>15</v>
      </c>
      <c r="AC345" s="43" t="e">
        <f>VLOOKUP(A345,'SegEnds_NonXtal_Prot#'!A:AL,13,FALSE)-VLOOKUP(A345,'SegEnds_NonXtal_Prot#'!A:AL,10,FALSE)</f>
        <v>#VALUE!</v>
      </c>
      <c r="AD345" s="43">
        <f>VLOOKUP(A345,'SegEnds_NonXtal_Prot#'!A:AL,16,FALSE)-VLOOKUP(A345,'SegEnds_NonXtal_Prot#'!A:AL,10,FALSE)</f>
        <v>44</v>
      </c>
      <c r="AE345" s="1" t="e">
        <f>VLOOKUP(A345,'SegEnds_NonXtal_Prot#'!A:AL,22,FALSE)-VLOOKUP(A345,'SegEnds_NonXtal_Prot#'!A:AL,19,FALSE)</f>
        <v>#VALUE!</v>
      </c>
      <c r="AF345" s="43">
        <f>VLOOKUP(A345,'SegEnds_NonXtal_Prot#'!A:AL,28,FALSE)-VLOOKUP(A345,'SegEnds_NonXtal_Prot#'!A:AL,25,FALSE)</f>
        <v>18</v>
      </c>
      <c r="AG345" s="1">
        <f>VLOOKUP(A345,'SegEnds_NonXtal_Prot#'!A:AL,28,FALSE)-VLOOKUP(A345,'SegEnds_NonXtal_Prot#'!A:AL,22,FALSE)</f>
        <v>51</v>
      </c>
      <c r="AH345" s="43">
        <f>VLOOKUP(A345,'SegEnds_NonXtal_Prot#'!A:AL,31,FALSE)-VLOOKUP(A345,'SegEnds_NonXtal_Prot#'!A:AL,28,FALSE)</f>
        <v>37</v>
      </c>
      <c r="AI345" s="43">
        <f>VLOOKUP(A345,'SegEnds_NonXtal_Prot#'!A:AL,34,FALSE)-VLOOKUP(A345,'SegEnds_NonXtal_Prot#'!A:AL,31,FALSE)</f>
        <v>29</v>
      </c>
      <c r="AJ345" s="1" t="str">
        <f>IF(ISERROR(MATCH(A345,'SegEnds_Xtal_Prot#'!B:B, 0)), "NoXtal", "Xtal")</f>
        <v>NoXtal</v>
      </c>
    </row>
    <row r="346" spans="1:36" x14ac:dyDescent="0.2">
      <c r="A346" s="4" t="s">
        <v>106</v>
      </c>
      <c r="B346" s="4" t="str">
        <f>VLOOKUP(A346,Xtal_Templ!A:B,2,FALSE)</f>
        <v>grm5_human</v>
      </c>
      <c r="C346" s="5">
        <f>VLOOKUP($B346&amp;"__wt",'SegEnds_Xtal_BW#'!$A:$Z,3,FALSE)</f>
        <v>34</v>
      </c>
      <c r="D346" s="4">
        <f>VLOOKUP($B346&amp;"__wt",'SegEnds_Xtal_BW#'!$A:$Z,4,FALSE)</f>
        <v>60</v>
      </c>
      <c r="E346" s="4">
        <f>VLOOKUP($B346&amp;"__wt",'SegEnds_Xtal_BW#'!$A:$Z,5,FALSE)</f>
        <v>47</v>
      </c>
      <c r="F346" s="4">
        <f>VLOOKUP($B346&amp;"__wt",'SegEnds_Xtal_BW#'!$A:$Z,6,FALSE)</f>
        <v>53</v>
      </c>
      <c r="G346" s="4">
        <v>39</v>
      </c>
      <c r="H346" s="11">
        <f>VLOOKUP($B346&amp;"__wt",'SegEnds_Xtal_BW#'!$A:$Z,8,FALSE)</f>
        <v>61</v>
      </c>
      <c r="I346" s="4" t="str">
        <f>VLOOKUP($B346&amp;"__wt",'SegEnds_Xtal_BW#'!$A:$Z,9,FALSE)</f>
        <v>-</v>
      </c>
      <c r="J346" s="4" t="str">
        <f>VLOOKUP($B346&amp;"__wt",'SegEnds_Xtal_BW#'!$A:$Z,10,FALSE)</f>
        <v>-</v>
      </c>
      <c r="K346" s="11">
        <f>VLOOKUP($B346&amp;"__wt",'SegEnds_Xtal_BW#'!$A:$Z,11,FALSE)</f>
        <v>22</v>
      </c>
      <c r="L346" s="4">
        <f>VLOOKUP($B346&amp;"__wt",'SegEnds_Xtal_BW#'!$A:$Z,12,FALSE)</f>
        <v>54</v>
      </c>
      <c r="M346" s="4" t="str">
        <f>VLOOKUP($B346&amp;"__wt",'SegEnds_Xtal_BW#'!$A:$Z,13,FALSE)</f>
        <v>-</v>
      </c>
      <c r="N346" s="11" t="str">
        <f>VLOOKUP($B346&amp;"__wt",'SegEnds_Xtal_BW#'!$A:$Z,14,FALSE)</f>
        <v>-</v>
      </c>
      <c r="O346" s="90">
        <f>VLOOKUP($B346&amp;"__wt",'SegEnds_Xtal_BW#'!$A:$Z,15,FALSE)</f>
        <v>38</v>
      </c>
      <c r="P346" s="4">
        <f>VLOOKUP($B346&amp;"__wt",'SegEnds_Xtal_BW#'!$A:$Z,16,FALSE)</f>
        <v>64</v>
      </c>
      <c r="Q346" s="4">
        <f>VLOOKUP($B346&amp;"__wt",'SegEnds_Xtal_BW#'!$A:$Z,17,FALSE)</f>
        <v>50</v>
      </c>
      <c r="R346" s="4">
        <f>VLOOKUP($B346&amp;"__wt",'SegEnds_Xtal_BW#'!$A:$Z,18,FALSE)</f>
        <v>52</v>
      </c>
      <c r="S346" s="4">
        <f>VLOOKUP($B346&amp;"__wt",'SegEnds_Xtal_BW#'!$A:$Z,19,FALSE)</f>
        <v>37</v>
      </c>
      <c r="T346" s="4">
        <f>VLOOKUP($B346&amp;"__wt",'SegEnds_Xtal_BW#'!$A:$Z,20,FALSE)</f>
        <v>61</v>
      </c>
      <c r="U346" s="4">
        <f>VLOOKUP($B346&amp;"__wt",'SegEnds_Xtal_BW#'!$A:$Z,21,FALSE)</f>
        <v>33</v>
      </c>
      <c r="V346" s="4">
        <f>VLOOKUP($B346&amp;"__wt",'SegEnds_Xtal_BW#'!$A:$Z,22,FALSE)</f>
        <v>57</v>
      </c>
      <c r="W346" s="4">
        <f>VLOOKUP($B346&amp;"__wt",'SegEnds_Xtal_BW#'!$A:$Z,23,FALSE)</f>
        <v>34</v>
      </c>
      <c r="X346" s="4">
        <f>VLOOKUP($B346&amp;"__wt",'SegEnds_Xtal_BW#'!$A:$Z,24,FALSE)</f>
        <v>63</v>
      </c>
      <c r="Y346" s="4">
        <f>VLOOKUP($B346&amp;"__wt",'SegEnds_Xtal_BW#'!$A:$Z,25,FALSE)</f>
        <v>47</v>
      </c>
      <c r="Z346" s="4">
        <f>VLOOKUP($B346&amp;"__wt",'SegEnds_Xtal_BW#'!$A:$Z,26,FALSE)</f>
        <v>59</v>
      </c>
      <c r="AA346" s="27" t="str">
        <f>VLOOKUP(A346,Classification!A:B,2,FALSE)</f>
        <v>C</v>
      </c>
      <c r="AB346" s="4">
        <f>VLOOKUP(A346,'SegEnds_NonXtal_Prot#'!A:AL,10,FALSE)-VLOOKUP(A346,'SegEnds_NonXtal_Prot#'!A:AL,7,FALSE)</f>
        <v>15</v>
      </c>
      <c r="AC346" s="4" t="e">
        <f>VLOOKUP(A346,'SegEnds_NonXtal_Prot#'!A:AL,13,FALSE)-VLOOKUP(A346,'SegEnds_NonXtal_Prot#'!A:AL,10,FALSE)</f>
        <v>#VALUE!</v>
      </c>
      <c r="AD346" s="4">
        <f>VLOOKUP(A346,'SegEnds_NonXtal_Prot#'!A:AL,16,FALSE)-VLOOKUP(A346,'SegEnds_NonXtal_Prot#'!A:AL,10,FALSE)</f>
        <v>51</v>
      </c>
      <c r="AE346" s="1" t="e">
        <f>VLOOKUP(A346,'SegEnds_NonXtal_Prot#'!A:AL,22,FALSE)-VLOOKUP(A346,'SegEnds_NonXtal_Prot#'!A:AL,19,FALSE)</f>
        <v>#VALUE!</v>
      </c>
      <c r="AF346" s="4">
        <f>VLOOKUP(A346,'SegEnds_NonXtal_Prot#'!A:AL,28,FALSE)-VLOOKUP(A346,'SegEnds_NonXtal_Prot#'!A:AL,25,FALSE)</f>
        <v>19</v>
      </c>
      <c r="AG346" s="1">
        <f>VLOOKUP(A346,'SegEnds_NonXtal_Prot#'!A:AL,28,FALSE)-VLOOKUP(A346,'SegEnds_NonXtal_Prot#'!A:AL,22,FALSE)</f>
        <v>62</v>
      </c>
      <c r="AH346" s="4">
        <f>VLOOKUP(A346,'SegEnds_NonXtal_Prot#'!A:AL,31,FALSE)-VLOOKUP(A346,'SegEnds_NonXtal_Prot#'!A:AL,28,FALSE)</f>
        <v>38</v>
      </c>
      <c r="AI346" s="4">
        <f>VLOOKUP(A346,'SegEnds_NonXtal_Prot#'!A:AL,34,FALSE)-VLOOKUP(A346,'SegEnds_NonXtal_Prot#'!A:AL,31,FALSE)</f>
        <v>31</v>
      </c>
      <c r="AJ346" s="1" t="str">
        <f>IF(ISERROR(MATCH(A346,'SegEnds_Xtal_Prot#'!B:B, 0)), "NoXtal", "Xtal")</f>
        <v>NoXtal</v>
      </c>
    </row>
    <row r="347" spans="1:36" x14ac:dyDescent="0.2">
      <c r="A347" s="1" t="s">
        <v>107</v>
      </c>
      <c r="B347" s="1" t="str">
        <f>VLOOKUP(A347,Xtal_Templ!A:B,2,FALSE)</f>
        <v>grm5_human</v>
      </c>
      <c r="C347" s="5">
        <f>VLOOKUP($B347&amp;"__wt",'SegEnds_Xtal_BW#'!$A:$Z,3,FALSE)</f>
        <v>34</v>
      </c>
      <c r="D347" s="1">
        <f>VLOOKUP($B347&amp;"__wt",'SegEnds_Xtal_BW#'!$A:$Z,4,FALSE)</f>
        <v>60</v>
      </c>
      <c r="E347" s="1">
        <f>VLOOKUP($B347&amp;"__wt",'SegEnds_Xtal_BW#'!$A:$Z,5,FALSE)</f>
        <v>47</v>
      </c>
      <c r="F347" s="1">
        <f>VLOOKUP($B347&amp;"__wt",'SegEnds_Xtal_BW#'!$A:$Z,6,FALSE)</f>
        <v>53</v>
      </c>
      <c r="G347" s="1">
        <v>39</v>
      </c>
      <c r="H347" s="12">
        <f>VLOOKUP($B347&amp;"__wt",'SegEnds_Xtal_BW#'!$A:$Z,8,FALSE)</f>
        <v>61</v>
      </c>
      <c r="I347" s="1" t="str">
        <f>VLOOKUP($B347&amp;"__wt",'SegEnds_Xtal_BW#'!$A:$Z,9,FALSE)</f>
        <v>-</v>
      </c>
      <c r="J347" s="1" t="str">
        <f>VLOOKUP($B347&amp;"__wt",'SegEnds_Xtal_BW#'!$A:$Z,10,FALSE)</f>
        <v>-</v>
      </c>
      <c r="K347" s="12">
        <f>VLOOKUP($B347&amp;"__wt",'SegEnds_Xtal_BW#'!$A:$Z,11,FALSE)</f>
        <v>22</v>
      </c>
      <c r="L347" s="1">
        <f>VLOOKUP($B347&amp;"__wt",'SegEnds_Xtal_BW#'!$A:$Z,12,FALSE)</f>
        <v>54</v>
      </c>
      <c r="M347" s="1" t="str">
        <f>VLOOKUP($B347&amp;"__wt",'SegEnds_Xtal_BW#'!$A:$Z,13,FALSE)</f>
        <v>-</v>
      </c>
      <c r="N347" s="12" t="str">
        <f>VLOOKUP($B347&amp;"__wt",'SegEnds_Xtal_BW#'!$A:$Z,14,FALSE)</f>
        <v>-</v>
      </c>
      <c r="O347" s="89">
        <f>VLOOKUP($B347&amp;"__wt",'SegEnds_Xtal_BW#'!$A:$Z,15,FALSE)</f>
        <v>38</v>
      </c>
      <c r="P347" s="1">
        <f>VLOOKUP($B347&amp;"__wt",'SegEnds_Xtal_BW#'!$A:$Z,16,FALSE)</f>
        <v>64</v>
      </c>
      <c r="Q347" s="1">
        <f>VLOOKUP($B347&amp;"__wt",'SegEnds_Xtal_BW#'!$A:$Z,17,FALSE)</f>
        <v>50</v>
      </c>
      <c r="R347" s="1">
        <f>VLOOKUP($B347&amp;"__wt",'SegEnds_Xtal_BW#'!$A:$Z,18,FALSE)</f>
        <v>52</v>
      </c>
      <c r="S347" s="1">
        <f>VLOOKUP($B347&amp;"__wt",'SegEnds_Xtal_BW#'!$A:$Z,19,FALSE)</f>
        <v>37</v>
      </c>
      <c r="T347" s="1">
        <f>VLOOKUP($B347&amp;"__wt",'SegEnds_Xtal_BW#'!$A:$Z,20,FALSE)</f>
        <v>61</v>
      </c>
      <c r="U347" s="1">
        <f>VLOOKUP($B347&amp;"__wt",'SegEnds_Xtal_BW#'!$A:$Z,21,FALSE)</f>
        <v>33</v>
      </c>
      <c r="V347" s="1">
        <f>VLOOKUP($B347&amp;"__wt",'SegEnds_Xtal_BW#'!$A:$Z,22,FALSE)</f>
        <v>57</v>
      </c>
      <c r="W347" s="1">
        <f>VLOOKUP($B347&amp;"__wt",'SegEnds_Xtal_BW#'!$A:$Z,23,FALSE)</f>
        <v>34</v>
      </c>
      <c r="X347" s="1">
        <f>VLOOKUP($B347&amp;"__wt",'SegEnds_Xtal_BW#'!$A:$Z,24,FALSE)</f>
        <v>63</v>
      </c>
      <c r="Y347" s="1">
        <f>VLOOKUP($B347&amp;"__wt",'SegEnds_Xtal_BW#'!$A:$Z,25,FALSE)</f>
        <v>47</v>
      </c>
      <c r="Z347" s="1">
        <f>VLOOKUP($B347&amp;"__wt",'SegEnds_Xtal_BW#'!$A:$Z,26,FALSE)</f>
        <v>59</v>
      </c>
      <c r="AA347" s="27" t="str">
        <f>VLOOKUP(A347,Classification!A:B,2,FALSE)</f>
        <v>C</v>
      </c>
      <c r="AB347" s="1">
        <f>VLOOKUP(A347,'SegEnds_NonXtal_Prot#'!A:AL,10,FALSE)-VLOOKUP(A347,'SegEnds_NonXtal_Prot#'!A:AL,7,FALSE)</f>
        <v>15</v>
      </c>
      <c r="AC347" s="1" t="e">
        <f>VLOOKUP(A347,'SegEnds_NonXtal_Prot#'!A:AL,13,FALSE)-VLOOKUP(A347,'SegEnds_NonXtal_Prot#'!A:AL,10,FALSE)</f>
        <v>#VALUE!</v>
      </c>
      <c r="AD347" s="1">
        <f>VLOOKUP(A347,'SegEnds_NonXtal_Prot#'!A:AL,16,FALSE)-VLOOKUP(A347,'SegEnds_NonXtal_Prot#'!A:AL,10,FALSE)</f>
        <v>51</v>
      </c>
      <c r="AE347" s="1" t="e">
        <f>VLOOKUP(A347,'SegEnds_NonXtal_Prot#'!A:AL,22,FALSE)-VLOOKUP(A347,'SegEnds_NonXtal_Prot#'!A:AL,19,FALSE)</f>
        <v>#VALUE!</v>
      </c>
      <c r="AF347" s="1">
        <f>VLOOKUP(A347,'SegEnds_NonXtal_Prot#'!A:AL,28,FALSE)-VLOOKUP(A347,'SegEnds_NonXtal_Prot#'!A:AL,25,FALSE)</f>
        <v>19</v>
      </c>
      <c r="AG347" s="1">
        <f>VLOOKUP(A347,'SegEnds_NonXtal_Prot#'!A:AL,28,FALSE)-VLOOKUP(A347,'SegEnds_NonXtal_Prot#'!A:AL,22,FALSE)</f>
        <v>62</v>
      </c>
      <c r="AH347" s="1">
        <f>VLOOKUP(A347,'SegEnds_NonXtal_Prot#'!A:AL,31,FALSE)-VLOOKUP(A347,'SegEnds_NonXtal_Prot#'!A:AL,28,FALSE)</f>
        <v>38</v>
      </c>
      <c r="AI347" s="1">
        <f>VLOOKUP(A347,'SegEnds_NonXtal_Prot#'!A:AL,34,FALSE)-VLOOKUP(A347,'SegEnds_NonXtal_Prot#'!A:AL,31,FALSE)</f>
        <v>31</v>
      </c>
      <c r="AJ347" s="1" t="str">
        <f>IF(ISERROR(MATCH(A347,'SegEnds_Xtal_Prot#'!B:B, 0)), "NoXtal", "Xtal")</f>
        <v>NoXtal</v>
      </c>
    </row>
    <row r="348" spans="1:36" x14ac:dyDescent="0.2">
      <c r="A348" s="1" t="s">
        <v>108</v>
      </c>
      <c r="B348" s="1" t="str">
        <f>VLOOKUP(A348,Xtal_Templ!A:B,2,FALSE)</f>
        <v>grm1_human</v>
      </c>
      <c r="C348" s="5">
        <f>VLOOKUP($B348&amp;"__wt",'SegEnds_Xtal_BW#'!$A:$Z,3,FALSE)</f>
        <v>34</v>
      </c>
      <c r="D348" s="1">
        <f>VLOOKUP($B348&amp;"__wt",'SegEnds_Xtal_BW#'!$A:$Z,4,FALSE)</f>
        <v>60</v>
      </c>
      <c r="E348" s="1">
        <f>VLOOKUP($B348&amp;"__wt",'SegEnds_Xtal_BW#'!$A:$Z,5,FALSE)</f>
        <v>47</v>
      </c>
      <c r="F348" s="1">
        <f>VLOOKUP($B348&amp;"__wt",'SegEnds_Xtal_BW#'!$A:$Z,6,FALSE)</f>
        <v>53</v>
      </c>
      <c r="G348" s="1">
        <v>39</v>
      </c>
      <c r="H348" s="12">
        <f>VLOOKUP($B348&amp;"__wt",'SegEnds_Xtal_BW#'!$A:$Z,8,FALSE)</f>
        <v>61</v>
      </c>
      <c r="I348" s="1" t="str">
        <f>VLOOKUP($B348&amp;"__wt",'SegEnds_Xtal_BW#'!$A:$Z,9,FALSE)</f>
        <v>-</v>
      </c>
      <c r="J348" s="1" t="str">
        <f>VLOOKUP($B348&amp;"__wt",'SegEnds_Xtal_BW#'!$A:$Z,10,FALSE)</f>
        <v>-</v>
      </c>
      <c r="K348" s="12">
        <f>VLOOKUP($B348&amp;"__wt",'SegEnds_Xtal_BW#'!$A:$Z,11,FALSE)</f>
        <v>22</v>
      </c>
      <c r="L348" s="1">
        <f>VLOOKUP($B348&amp;"__wt",'SegEnds_Xtal_BW#'!$A:$Z,12,FALSE)</f>
        <v>54</v>
      </c>
      <c r="M348" s="1" t="str">
        <f>VLOOKUP($B348&amp;"__wt",'SegEnds_Xtal_BW#'!$A:$Z,13,FALSE)</f>
        <v>-</v>
      </c>
      <c r="N348" s="12" t="str">
        <f>VLOOKUP($B348&amp;"__wt",'SegEnds_Xtal_BW#'!$A:$Z,14,FALSE)</f>
        <v>-</v>
      </c>
      <c r="O348" s="89">
        <f>VLOOKUP($B348&amp;"__wt",'SegEnds_Xtal_BW#'!$A:$Z,15,FALSE)</f>
        <v>38</v>
      </c>
      <c r="P348" s="1">
        <f>VLOOKUP($B348&amp;"__wt",'SegEnds_Xtal_BW#'!$A:$Z,16,FALSE)</f>
        <v>64</v>
      </c>
      <c r="Q348" s="1">
        <f>VLOOKUP($B348&amp;"__wt",'SegEnds_Xtal_BW#'!$A:$Z,17,FALSE)</f>
        <v>50</v>
      </c>
      <c r="R348" s="1">
        <f>VLOOKUP($B348&amp;"__wt",'SegEnds_Xtal_BW#'!$A:$Z,18,FALSE)</f>
        <v>52</v>
      </c>
      <c r="S348" s="1">
        <f>VLOOKUP($B348&amp;"__wt",'SegEnds_Xtal_BW#'!$A:$Z,19,FALSE)</f>
        <v>37</v>
      </c>
      <c r="T348" s="1">
        <f>VLOOKUP($B348&amp;"__wt",'SegEnds_Xtal_BW#'!$A:$Z,20,FALSE)</f>
        <v>61</v>
      </c>
      <c r="U348" s="1">
        <f>VLOOKUP($B348&amp;"__wt",'SegEnds_Xtal_BW#'!$A:$Z,21,FALSE)</f>
        <v>33</v>
      </c>
      <c r="V348" s="1">
        <f>VLOOKUP($B348&amp;"__wt",'SegEnds_Xtal_BW#'!$A:$Z,22,FALSE)</f>
        <v>57</v>
      </c>
      <c r="W348" s="1">
        <f>VLOOKUP($B348&amp;"__wt",'SegEnds_Xtal_BW#'!$A:$Z,23,FALSE)</f>
        <v>34</v>
      </c>
      <c r="X348" s="1">
        <f>VLOOKUP($B348&amp;"__wt",'SegEnds_Xtal_BW#'!$A:$Z,24,FALSE)</f>
        <v>63</v>
      </c>
      <c r="Y348" s="1">
        <f>VLOOKUP($B348&amp;"__wt",'SegEnds_Xtal_BW#'!$A:$Z,25,FALSE)</f>
        <v>47</v>
      </c>
      <c r="Z348" s="1">
        <f>VLOOKUP($B348&amp;"__wt",'SegEnds_Xtal_BW#'!$A:$Z,26,FALSE)</f>
        <v>59</v>
      </c>
      <c r="AA348" s="27" t="str">
        <f>VLOOKUP(A348,Classification!A:B,2,FALSE)</f>
        <v>C</v>
      </c>
      <c r="AB348" s="1">
        <f>VLOOKUP(A348,'SegEnds_NonXtal_Prot#'!A:AL,10,FALSE)-VLOOKUP(A348,'SegEnds_NonXtal_Prot#'!A:AL,7,FALSE)</f>
        <v>15</v>
      </c>
      <c r="AC348" s="1" t="e">
        <f>VLOOKUP(A348,'SegEnds_NonXtal_Prot#'!A:AL,13,FALSE)-VLOOKUP(A348,'SegEnds_NonXtal_Prot#'!A:AL,10,FALSE)</f>
        <v>#VALUE!</v>
      </c>
      <c r="AD348" s="1">
        <f>VLOOKUP(A348,'SegEnds_NonXtal_Prot#'!A:AL,16,FALSE)-VLOOKUP(A348,'SegEnds_NonXtal_Prot#'!A:AL,10,FALSE)</f>
        <v>50</v>
      </c>
      <c r="AE348" s="1" t="e">
        <f>VLOOKUP(A348,'SegEnds_NonXtal_Prot#'!A:AL,22,FALSE)-VLOOKUP(A348,'SegEnds_NonXtal_Prot#'!A:AL,19,FALSE)</f>
        <v>#VALUE!</v>
      </c>
      <c r="AF348" s="1" t="e">
        <f>VLOOKUP(A348,'SegEnds_NonXtal_Prot#'!A:AL,28,FALSE)-VLOOKUP(A348,'SegEnds_NonXtal_Prot#'!A:AL,25,FALSE)</f>
        <v>#VALUE!</v>
      </c>
      <c r="AG348" s="1">
        <f>VLOOKUP(A348,'SegEnds_NonXtal_Prot#'!A:AL,28,FALSE)-VLOOKUP(A348,'SegEnds_NonXtal_Prot#'!A:AL,22,FALSE)</f>
        <v>62</v>
      </c>
      <c r="AH348" s="1">
        <f>VLOOKUP(A348,'SegEnds_NonXtal_Prot#'!A:AL,31,FALSE)-VLOOKUP(A348,'SegEnds_NonXtal_Prot#'!A:AL,28,FALSE)</f>
        <v>39</v>
      </c>
      <c r="AI348" s="1">
        <f>VLOOKUP(A348,'SegEnds_NonXtal_Prot#'!A:AL,34,FALSE)-VLOOKUP(A348,'SegEnds_NonXtal_Prot#'!A:AL,31,FALSE)</f>
        <v>30</v>
      </c>
      <c r="AJ348" s="1" t="str">
        <f>IF(ISERROR(MATCH(A348,'SegEnds_Xtal_Prot#'!B:B, 0)), "NoXtal", "Xtal")</f>
        <v>NoXtal</v>
      </c>
    </row>
    <row r="349" spans="1:36" x14ac:dyDescent="0.2">
      <c r="A349" s="4" t="s">
        <v>109</v>
      </c>
      <c r="B349" s="4" t="str">
        <f>VLOOKUP(A349,Xtal_Templ!A:B,2,FALSE)</f>
        <v>grm1_human</v>
      </c>
      <c r="C349" s="5">
        <f>VLOOKUP($B349&amp;"__wt",'SegEnds_Xtal_BW#'!$A:$Z,3,FALSE)</f>
        <v>34</v>
      </c>
      <c r="D349" s="4">
        <f>VLOOKUP($B349&amp;"__wt",'SegEnds_Xtal_BW#'!$A:$Z,4,FALSE)</f>
        <v>60</v>
      </c>
      <c r="E349" s="4">
        <f>VLOOKUP($B349&amp;"__wt",'SegEnds_Xtal_BW#'!$A:$Z,5,FALSE)</f>
        <v>47</v>
      </c>
      <c r="F349" s="4">
        <f>VLOOKUP($B349&amp;"__wt",'SegEnds_Xtal_BW#'!$A:$Z,6,FALSE)</f>
        <v>53</v>
      </c>
      <c r="G349" s="4">
        <v>39</v>
      </c>
      <c r="H349" s="11">
        <f>VLOOKUP($B349&amp;"__wt",'SegEnds_Xtal_BW#'!$A:$Z,8,FALSE)</f>
        <v>61</v>
      </c>
      <c r="I349" s="4" t="str">
        <f>VLOOKUP($B349&amp;"__wt",'SegEnds_Xtal_BW#'!$A:$Z,9,FALSE)</f>
        <v>-</v>
      </c>
      <c r="J349" s="4" t="str">
        <f>VLOOKUP($B349&amp;"__wt",'SegEnds_Xtal_BW#'!$A:$Z,10,FALSE)</f>
        <v>-</v>
      </c>
      <c r="K349" s="11">
        <f>VLOOKUP($B349&amp;"__wt",'SegEnds_Xtal_BW#'!$A:$Z,11,FALSE)</f>
        <v>22</v>
      </c>
      <c r="L349" s="4">
        <f>VLOOKUP($B349&amp;"__wt",'SegEnds_Xtal_BW#'!$A:$Z,12,FALSE)</f>
        <v>54</v>
      </c>
      <c r="M349" s="4" t="str">
        <f>VLOOKUP($B349&amp;"__wt",'SegEnds_Xtal_BW#'!$A:$Z,13,FALSE)</f>
        <v>-</v>
      </c>
      <c r="N349" s="11" t="str">
        <f>VLOOKUP($B349&amp;"__wt",'SegEnds_Xtal_BW#'!$A:$Z,14,FALSE)</f>
        <v>-</v>
      </c>
      <c r="O349" s="90">
        <f>VLOOKUP($B349&amp;"__wt",'SegEnds_Xtal_BW#'!$A:$Z,15,FALSE)</f>
        <v>38</v>
      </c>
      <c r="P349" s="4">
        <f>VLOOKUP($B349&amp;"__wt",'SegEnds_Xtal_BW#'!$A:$Z,16,FALSE)</f>
        <v>64</v>
      </c>
      <c r="Q349" s="4">
        <f>VLOOKUP($B349&amp;"__wt",'SegEnds_Xtal_BW#'!$A:$Z,17,FALSE)</f>
        <v>50</v>
      </c>
      <c r="R349" s="4">
        <f>VLOOKUP($B349&amp;"__wt",'SegEnds_Xtal_BW#'!$A:$Z,18,FALSE)</f>
        <v>52</v>
      </c>
      <c r="S349" s="4">
        <f>VLOOKUP($B349&amp;"__wt",'SegEnds_Xtal_BW#'!$A:$Z,19,FALSE)</f>
        <v>37</v>
      </c>
      <c r="T349" s="4">
        <f>VLOOKUP($B349&amp;"__wt",'SegEnds_Xtal_BW#'!$A:$Z,20,FALSE)</f>
        <v>61</v>
      </c>
      <c r="U349" s="4">
        <f>VLOOKUP($B349&amp;"__wt",'SegEnds_Xtal_BW#'!$A:$Z,21,FALSE)</f>
        <v>33</v>
      </c>
      <c r="V349" s="4">
        <f>VLOOKUP($B349&amp;"__wt",'SegEnds_Xtal_BW#'!$A:$Z,22,FALSE)</f>
        <v>57</v>
      </c>
      <c r="W349" s="4">
        <f>VLOOKUP($B349&amp;"__wt",'SegEnds_Xtal_BW#'!$A:$Z,23,FALSE)</f>
        <v>34</v>
      </c>
      <c r="X349" s="4">
        <f>VLOOKUP($B349&amp;"__wt",'SegEnds_Xtal_BW#'!$A:$Z,24,FALSE)</f>
        <v>63</v>
      </c>
      <c r="Y349" s="4">
        <f>VLOOKUP($B349&amp;"__wt",'SegEnds_Xtal_BW#'!$A:$Z,25,FALSE)</f>
        <v>47</v>
      </c>
      <c r="Z349" s="4">
        <f>VLOOKUP($B349&amp;"__wt",'SegEnds_Xtal_BW#'!$A:$Z,26,FALSE)</f>
        <v>59</v>
      </c>
      <c r="AA349" s="27" t="str">
        <f>VLOOKUP(A349,Classification!A:B,2,FALSE)</f>
        <v>C</v>
      </c>
      <c r="AB349" s="4">
        <f>VLOOKUP(A349,'SegEnds_NonXtal_Prot#'!A:AL,10,FALSE)-VLOOKUP(A349,'SegEnds_NonXtal_Prot#'!A:AL,7,FALSE)</f>
        <v>15</v>
      </c>
      <c r="AC349" s="4" t="e">
        <f>VLOOKUP(A349,'SegEnds_NonXtal_Prot#'!A:AL,13,FALSE)-VLOOKUP(A349,'SegEnds_NonXtal_Prot#'!A:AL,10,FALSE)</f>
        <v>#VALUE!</v>
      </c>
      <c r="AD349" s="4">
        <f>VLOOKUP(A349,'SegEnds_NonXtal_Prot#'!A:AL,16,FALSE)-VLOOKUP(A349,'SegEnds_NonXtal_Prot#'!A:AL,10,FALSE)</f>
        <v>44</v>
      </c>
      <c r="AE349" s="1" t="e">
        <f>VLOOKUP(A349,'SegEnds_NonXtal_Prot#'!A:AL,22,FALSE)-VLOOKUP(A349,'SegEnds_NonXtal_Prot#'!A:AL,19,FALSE)</f>
        <v>#VALUE!</v>
      </c>
      <c r="AF349" s="4">
        <f>VLOOKUP(A349,'SegEnds_NonXtal_Prot#'!A:AL,28,FALSE)-VLOOKUP(A349,'SegEnds_NonXtal_Prot#'!A:AL,25,FALSE)</f>
        <v>16</v>
      </c>
      <c r="AG349" s="1">
        <f>VLOOKUP(A349,'SegEnds_NonXtal_Prot#'!A:AL,28,FALSE)-VLOOKUP(A349,'SegEnds_NonXtal_Prot#'!A:AL,22,FALSE)</f>
        <v>65</v>
      </c>
      <c r="AH349" s="4">
        <f>VLOOKUP(A349,'SegEnds_NonXtal_Prot#'!A:AL,31,FALSE)-VLOOKUP(A349,'SegEnds_NonXtal_Prot#'!A:AL,28,FALSE)</f>
        <v>37</v>
      </c>
      <c r="AI349" s="4">
        <f>VLOOKUP(A349,'SegEnds_NonXtal_Prot#'!A:AL,34,FALSE)-VLOOKUP(A349,'SegEnds_NonXtal_Prot#'!A:AL,31,FALSE)</f>
        <v>33</v>
      </c>
      <c r="AJ349" s="1" t="str">
        <f>IF(ISERROR(MATCH(A349,'SegEnds_Xtal_Prot#'!B:B, 0)), "NoXtal", "Xtal")</f>
        <v>NoXtal</v>
      </c>
    </row>
    <row r="350" spans="1:36" x14ac:dyDescent="0.2">
      <c r="A350" s="1" t="s">
        <v>110</v>
      </c>
      <c r="B350" s="1" t="str">
        <f>VLOOKUP(A350,Xtal_Templ!A:B,2,FALSE)</f>
        <v>grm1_human</v>
      </c>
      <c r="C350" s="5">
        <f>VLOOKUP($B350&amp;"__wt",'SegEnds_Xtal_BW#'!$A:$Z,3,FALSE)</f>
        <v>34</v>
      </c>
      <c r="D350" s="1">
        <f>VLOOKUP($B350&amp;"__wt",'SegEnds_Xtal_BW#'!$A:$Z,4,FALSE)</f>
        <v>60</v>
      </c>
      <c r="E350" s="1">
        <f>VLOOKUP($B350&amp;"__wt",'SegEnds_Xtal_BW#'!$A:$Z,5,FALSE)</f>
        <v>47</v>
      </c>
      <c r="F350" s="1">
        <f>VLOOKUP($B350&amp;"__wt",'SegEnds_Xtal_BW#'!$A:$Z,6,FALSE)</f>
        <v>53</v>
      </c>
      <c r="G350" s="1">
        <v>39</v>
      </c>
      <c r="H350" s="12">
        <f>VLOOKUP($B350&amp;"__wt",'SegEnds_Xtal_BW#'!$A:$Z,8,FALSE)</f>
        <v>61</v>
      </c>
      <c r="I350" s="1" t="str">
        <f>VLOOKUP($B350&amp;"__wt",'SegEnds_Xtal_BW#'!$A:$Z,9,FALSE)</f>
        <v>-</v>
      </c>
      <c r="J350" s="1" t="str">
        <f>VLOOKUP($B350&amp;"__wt",'SegEnds_Xtal_BW#'!$A:$Z,10,FALSE)</f>
        <v>-</v>
      </c>
      <c r="K350" s="12">
        <f>VLOOKUP($B350&amp;"__wt",'SegEnds_Xtal_BW#'!$A:$Z,11,FALSE)</f>
        <v>22</v>
      </c>
      <c r="L350" s="1">
        <f>VLOOKUP($B350&amp;"__wt",'SegEnds_Xtal_BW#'!$A:$Z,12,FALSE)</f>
        <v>54</v>
      </c>
      <c r="M350" s="1" t="str">
        <f>VLOOKUP($B350&amp;"__wt",'SegEnds_Xtal_BW#'!$A:$Z,13,FALSE)</f>
        <v>-</v>
      </c>
      <c r="N350" s="12" t="str">
        <f>VLOOKUP($B350&amp;"__wt",'SegEnds_Xtal_BW#'!$A:$Z,14,FALSE)</f>
        <v>-</v>
      </c>
      <c r="O350" s="89">
        <f>VLOOKUP($B350&amp;"__wt",'SegEnds_Xtal_BW#'!$A:$Z,15,FALSE)</f>
        <v>38</v>
      </c>
      <c r="P350" s="1">
        <f>VLOOKUP($B350&amp;"__wt",'SegEnds_Xtal_BW#'!$A:$Z,16,FALSE)</f>
        <v>64</v>
      </c>
      <c r="Q350" s="1">
        <f>VLOOKUP($B350&amp;"__wt",'SegEnds_Xtal_BW#'!$A:$Z,17,FALSE)</f>
        <v>50</v>
      </c>
      <c r="R350" s="1">
        <f>VLOOKUP($B350&amp;"__wt",'SegEnds_Xtal_BW#'!$A:$Z,18,FALSE)</f>
        <v>52</v>
      </c>
      <c r="S350" s="1">
        <f>VLOOKUP($B350&amp;"__wt",'SegEnds_Xtal_BW#'!$A:$Z,19,FALSE)</f>
        <v>37</v>
      </c>
      <c r="T350" s="1">
        <f>VLOOKUP($B350&amp;"__wt",'SegEnds_Xtal_BW#'!$A:$Z,20,FALSE)</f>
        <v>61</v>
      </c>
      <c r="U350" s="1">
        <f>VLOOKUP($B350&amp;"__wt",'SegEnds_Xtal_BW#'!$A:$Z,21,FALSE)</f>
        <v>33</v>
      </c>
      <c r="V350" s="1">
        <f>VLOOKUP($B350&amp;"__wt",'SegEnds_Xtal_BW#'!$A:$Z,22,FALSE)</f>
        <v>57</v>
      </c>
      <c r="W350" s="1">
        <f>VLOOKUP($B350&amp;"__wt",'SegEnds_Xtal_BW#'!$A:$Z,23,FALSE)</f>
        <v>34</v>
      </c>
      <c r="X350" s="1">
        <f>VLOOKUP($B350&amp;"__wt",'SegEnds_Xtal_BW#'!$A:$Z,24,FALSE)</f>
        <v>63</v>
      </c>
      <c r="Y350" s="1">
        <f>VLOOKUP($B350&amp;"__wt",'SegEnds_Xtal_BW#'!$A:$Z,25,FALSE)</f>
        <v>47</v>
      </c>
      <c r="Z350" s="1">
        <f>VLOOKUP($B350&amp;"__wt",'SegEnds_Xtal_BW#'!$A:$Z,26,FALSE)</f>
        <v>59</v>
      </c>
      <c r="AA350" s="27" t="str">
        <f>VLOOKUP(A350,Classification!A:B,2,FALSE)</f>
        <v>C</v>
      </c>
      <c r="AB350" s="1">
        <f>VLOOKUP(A350,'SegEnds_NonXtal_Prot#'!A:AL,10,FALSE)-VLOOKUP(A350,'SegEnds_NonXtal_Prot#'!A:AL,7,FALSE)</f>
        <v>15</v>
      </c>
      <c r="AC350" s="1" t="e">
        <f>VLOOKUP(A350,'SegEnds_NonXtal_Prot#'!A:AL,13,FALSE)-VLOOKUP(A350,'SegEnds_NonXtal_Prot#'!A:AL,10,FALSE)</f>
        <v>#VALUE!</v>
      </c>
      <c r="AD350" s="1">
        <f>VLOOKUP(A350,'SegEnds_NonXtal_Prot#'!A:AL,16,FALSE)-VLOOKUP(A350,'SegEnds_NonXtal_Prot#'!A:AL,10,FALSE)</f>
        <v>44</v>
      </c>
      <c r="AE350" s="1" t="e">
        <f>VLOOKUP(A350,'SegEnds_NonXtal_Prot#'!A:AL,22,FALSE)-VLOOKUP(A350,'SegEnds_NonXtal_Prot#'!A:AL,19,FALSE)</f>
        <v>#VALUE!</v>
      </c>
      <c r="AF350" s="1">
        <f>VLOOKUP(A350,'SegEnds_NonXtal_Prot#'!A:AL,28,FALSE)-VLOOKUP(A350,'SegEnds_NonXtal_Prot#'!A:AL,25,FALSE)</f>
        <v>16</v>
      </c>
      <c r="AG350" s="1">
        <f>VLOOKUP(A350,'SegEnds_NonXtal_Prot#'!A:AL,28,FALSE)-VLOOKUP(A350,'SegEnds_NonXtal_Prot#'!A:AL,22,FALSE)</f>
        <v>65</v>
      </c>
      <c r="AH350" s="1">
        <f>VLOOKUP(A350,'SegEnds_NonXtal_Prot#'!A:AL,31,FALSE)-VLOOKUP(A350,'SegEnds_NonXtal_Prot#'!A:AL,28,FALSE)</f>
        <v>37</v>
      </c>
      <c r="AI350" s="1">
        <f>VLOOKUP(A350,'SegEnds_NonXtal_Prot#'!A:AL,34,FALSE)-VLOOKUP(A350,'SegEnds_NonXtal_Prot#'!A:AL,31,FALSE)</f>
        <v>33</v>
      </c>
      <c r="AJ350" s="1" t="str">
        <f>IF(ISERROR(MATCH(A350,'SegEnds_Xtal_Prot#'!B:B, 0)), "NoXtal", "Xtal")</f>
        <v>NoXtal</v>
      </c>
    </row>
    <row r="351" spans="1:36" x14ac:dyDescent="0.2">
      <c r="A351" s="4" t="s">
        <v>111</v>
      </c>
      <c r="B351" s="4" t="str">
        <f>VLOOKUP(A351,Xtal_Templ!A:B,2,FALSE)</f>
        <v>grm1_human</v>
      </c>
      <c r="C351" s="5">
        <f>VLOOKUP($B351&amp;"__wt",'SegEnds_Xtal_BW#'!$A:$Z,3,FALSE)</f>
        <v>34</v>
      </c>
      <c r="D351" s="4">
        <f>VLOOKUP($B351&amp;"__wt",'SegEnds_Xtal_BW#'!$A:$Z,4,FALSE)</f>
        <v>60</v>
      </c>
      <c r="E351" s="4">
        <f>VLOOKUP($B351&amp;"__wt",'SegEnds_Xtal_BW#'!$A:$Z,5,FALSE)</f>
        <v>47</v>
      </c>
      <c r="F351" s="4">
        <f>VLOOKUP($B351&amp;"__wt",'SegEnds_Xtal_BW#'!$A:$Z,6,FALSE)</f>
        <v>53</v>
      </c>
      <c r="G351" s="4">
        <v>39</v>
      </c>
      <c r="H351" s="11">
        <f>VLOOKUP($B351&amp;"__wt",'SegEnds_Xtal_BW#'!$A:$Z,8,FALSE)</f>
        <v>61</v>
      </c>
      <c r="I351" s="4" t="str">
        <f>VLOOKUP($B351&amp;"__wt",'SegEnds_Xtal_BW#'!$A:$Z,9,FALSE)</f>
        <v>-</v>
      </c>
      <c r="J351" s="4" t="str">
        <f>VLOOKUP($B351&amp;"__wt",'SegEnds_Xtal_BW#'!$A:$Z,10,FALSE)</f>
        <v>-</v>
      </c>
      <c r="K351" s="11">
        <f>VLOOKUP($B351&amp;"__wt",'SegEnds_Xtal_BW#'!$A:$Z,11,FALSE)</f>
        <v>22</v>
      </c>
      <c r="L351" s="4">
        <f>VLOOKUP($B351&amp;"__wt",'SegEnds_Xtal_BW#'!$A:$Z,12,FALSE)</f>
        <v>54</v>
      </c>
      <c r="M351" s="4" t="str">
        <f>VLOOKUP($B351&amp;"__wt",'SegEnds_Xtal_BW#'!$A:$Z,13,FALSE)</f>
        <v>-</v>
      </c>
      <c r="N351" s="11" t="str">
        <f>VLOOKUP($B351&amp;"__wt",'SegEnds_Xtal_BW#'!$A:$Z,14,FALSE)</f>
        <v>-</v>
      </c>
      <c r="O351" s="90">
        <f>VLOOKUP($B351&amp;"__wt",'SegEnds_Xtal_BW#'!$A:$Z,15,FALSE)</f>
        <v>38</v>
      </c>
      <c r="P351" s="4">
        <f>VLOOKUP($B351&amp;"__wt",'SegEnds_Xtal_BW#'!$A:$Z,16,FALSE)</f>
        <v>64</v>
      </c>
      <c r="Q351" s="4">
        <f>VLOOKUP($B351&amp;"__wt",'SegEnds_Xtal_BW#'!$A:$Z,17,FALSE)</f>
        <v>50</v>
      </c>
      <c r="R351" s="4">
        <f>VLOOKUP($B351&amp;"__wt",'SegEnds_Xtal_BW#'!$A:$Z,18,FALSE)</f>
        <v>52</v>
      </c>
      <c r="S351" s="4">
        <f>VLOOKUP($B351&amp;"__wt",'SegEnds_Xtal_BW#'!$A:$Z,19,FALSE)</f>
        <v>37</v>
      </c>
      <c r="T351" s="4">
        <f>VLOOKUP($B351&amp;"__wt",'SegEnds_Xtal_BW#'!$A:$Z,20,FALSE)</f>
        <v>61</v>
      </c>
      <c r="U351" s="4">
        <f>VLOOKUP($B351&amp;"__wt",'SegEnds_Xtal_BW#'!$A:$Z,21,FALSE)</f>
        <v>33</v>
      </c>
      <c r="V351" s="4">
        <f>VLOOKUP($B351&amp;"__wt",'SegEnds_Xtal_BW#'!$A:$Z,22,FALSE)</f>
        <v>57</v>
      </c>
      <c r="W351" s="4">
        <f>VLOOKUP($B351&amp;"__wt",'SegEnds_Xtal_BW#'!$A:$Z,23,FALSE)</f>
        <v>34</v>
      </c>
      <c r="X351" s="4">
        <f>VLOOKUP($B351&amp;"__wt",'SegEnds_Xtal_BW#'!$A:$Z,24,FALSE)</f>
        <v>63</v>
      </c>
      <c r="Y351" s="4">
        <f>VLOOKUP($B351&amp;"__wt",'SegEnds_Xtal_BW#'!$A:$Z,25,FALSE)</f>
        <v>47</v>
      </c>
      <c r="Z351" s="4">
        <f>VLOOKUP($B351&amp;"__wt",'SegEnds_Xtal_BW#'!$A:$Z,26,FALSE)</f>
        <v>59</v>
      </c>
      <c r="AA351" s="27" t="str">
        <f>VLOOKUP(A351,Classification!A:B,2,FALSE)</f>
        <v>C</v>
      </c>
      <c r="AB351" s="4">
        <f>VLOOKUP(A351,'SegEnds_NonXtal_Prot#'!A:AL,10,FALSE)-VLOOKUP(A351,'SegEnds_NonXtal_Prot#'!A:AL,7,FALSE)</f>
        <v>19</v>
      </c>
      <c r="AC351" s="4" t="e">
        <f>VLOOKUP(A351,'SegEnds_NonXtal_Prot#'!A:AL,13,FALSE)-VLOOKUP(A351,'SegEnds_NonXtal_Prot#'!A:AL,10,FALSE)</f>
        <v>#VALUE!</v>
      </c>
      <c r="AD351" s="4">
        <f>VLOOKUP(A351,'SegEnds_NonXtal_Prot#'!A:AL,16,FALSE)-VLOOKUP(A351,'SegEnds_NonXtal_Prot#'!A:AL,10,FALSE)</f>
        <v>44</v>
      </c>
      <c r="AE351" s="1" t="e">
        <f>VLOOKUP(A351,'SegEnds_NonXtal_Prot#'!A:AL,22,FALSE)-VLOOKUP(A351,'SegEnds_NonXtal_Prot#'!A:AL,19,FALSE)</f>
        <v>#VALUE!</v>
      </c>
      <c r="AF351" s="4">
        <f>VLOOKUP(A351,'SegEnds_NonXtal_Prot#'!A:AL,28,FALSE)-VLOOKUP(A351,'SegEnds_NonXtal_Prot#'!A:AL,25,FALSE)</f>
        <v>17</v>
      </c>
      <c r="AG351" s="1">
        <f>VLOOKUP(A351,'SegEnds_NonXtal_Prot#'!A:AL,28,FALSE)-VLOOKUP(A351,'SegEnds_NonXtal_Prot#'!A:AL,22,FALSE)</f>
        <v>40</v>
      </c>
      <c r="AH351" s="4">
        <f>VLOOKUP(A351,'SegEnds_NonXtal_Prot#'!A:AL,31,FALSE)-VLOOKUP(A351,'SegEnds_NonXtal_Prot#'!A:AL,28,FALSE)</f>
        <v>39</v>
      </c>
      <c r="AI351" s="4">
        <f>VLOOKUP(A351,'SegEnds_NonXtal_Prot#'!A:AL,34,FALSE)-VLOOKUP(A351,'SegEnds_NonXtal_Prot#'!A:AL,31,FALSE)</f>
        <v>35</v>
      </c>
      <c r="AJ351" s="1" t="str">
        <f>IF(ISERROR(MATCH(A351,'SegEnds_Xtal_Prot#'!B:B, 0)), "NoXtal", "Xtal")</f>
        <v>NoXtal</v>
      </c>
    </row>
    <row r="352" spans="1:36" x14ac:dyDescent="0.2">
      <c r="A352" s="1" t="s">
        <v>112</v>
      </c>
      <c r="B352" s="1" t="str">
        <f>VLOOKUP(A352,Xtal_Templ!A:B,2,FALSE)</f>
        <v>grm1_human</v>
      </c>
      <c r="C352" s="5">
        <f>VLOOKUP($B352&amp;"__wt",'SegEnds_Xtal_BW#'!$A:$Z,3,FALSE)</f>
        <v>34</v>
      </c>
      <c r="D352" s="1">
        <f>VLOOKUP($B352&amp;"__wt",'SegEnds_Xtal_BW#'!$A:$Z,4,FALSE)</f>
        <v>60</v>
      </c>
      <c r="E352" s="1">
        <f>VLOOKUP($B352&amp;"__wt",'SegEnds_Xtal_BW#'!$A:$Z,5,FALSE)</f>
        <v>47</v>
      </c>
      <c r="F352" s="1">
        <f>VLOOKUP($B352&amp;"__wt",'SegEnds_Xtal_BW#'!$A:$Z,6,FALSE)</f>
        <v>53</v>
      </c>
      <c r="G352" s="1">
        <v>39</v>
      </c>
      <c r="H352" s="12">
        <f>VLOOKUP($B352&amp;"__wt",'SegEnds_Xtal_BW#'!$A:$Z,8,FALSE)</f>
        <v>61</v>
      </c>
      <c r="I352" s="1" t="str">
        <f>VLOOKUP($B352&amp;"__wt",'SegEnds_Xtal_BW#'!$A:$Z,9,FALSE)</f>
        <v>-</v>
      </c>
      <c r="J352" s="1" t="str">
        <f>VLOOKUP($B352&amp;"__wt",'SegEnds_Xtal_BW#'!$A:$Z,10,FALSE)</f>
        <v>-</v>
      </c>
      <c r="K352" s="12">
        <f>VLOOKUP($B352&amp;"__wt",'SegEnds_Xtal_BW#'!$A:$Z,11,FALSE)</f>
        <v>22</v>
      </c>
      <c r="L352" s="1">
        <f>VLOOKUP($B352&amp;"__wt",'SegEnds_Xtal_BW#'!$A:$Z,12,FALSE)</f>
        <v>54</v>
      </c>
      <c r="M352" s="1" t="str">
        <f>VLOOKUP($B352&amp;"__wt",'SegEnds_Xtal_BW#'!$A:$Z,13,FALSE)</f>
        <v>-</v>
      </c>
      <c r="N352" s="12" t="str">
        <f>VLOOKUP($B352&amp;"__wt",'SegEnds_Xtal_BW#'!$A:$Z,14,FALSE)</f>
        <v>-</v>
      </c>
      <c r="O352" s="89">
        <f>VLOOKUP($B352&amp;"__wt",'SegEnds_Xtal_BW#'!$A:$Z,15,FALSE)</f>
        <v>38</v>
      </c>
      <c r="P352" s="1">
        <f>VLOOKUP($B352&amp;"__wt",'SegEnds_Xtal_BW#'!$A:$Z,16,FALSE)</f>
        <v>64</v>
      </c>
      <c r="Q352" s="1">
        <f>VLOOKUP($B352&amp;"__wt",'SegEnds_Xtal_BW#'!$A:$Z,17,FALSE)</f>
        <v>50</v>
      </c>
      <c r="R352" s="1">
        <f>VLOOKUP($B352&amp;"__wt",'SegEnds_Xtal_BW#'!$A:$Z,18,FALSE)</f>
        <v>52</v>
      </c>
      <c r="S352" s="1">
        <f>VLOOKUP($B352&amp;"__wt",'SegEnds_Xtal_BW#'!$A:$Z,19,FALSE)</f>
        <v>37</v>
      </c>
      <c r="T352" s="1">
        <f>VLOOKUP($B352&amp;"__wt",'SegEnds_Xtal_BW#'!$A:$Z,20,FALSE)</f>
        <v>61</v>
      </c>
      <c r="U352" s="1">
        <f>VLOOKUP($B352&amp;"__wt",'SegEnds_Xtal_BW#'!$A:$Z,21,FALSE)</f>
        <v>33</v>
      </c>
      <c r="V352" s="1">
        <f>VLOOKUP($B352&amp;"__wt",'SegEnds_Xtal_BW#'!$A:$Z,22,FALSE)</f>
        <v>57</v>
      </c>
      <c r="W352" s="1">
        <f>VLOOKUP($B352&amp;"__wt",'SegEnds_Xtal_BW#'!$A:$Z,23,FALSE)</f>
        <v>34</v>
      </c>
      <c r="X352" s="1">
        <f>VLOOKUP($B352&amp;"__wt",'SegEnds_Xtal_BW#'!$A:$Z,24,FALSE)</f>
        <v>63</v>
      </c>
      <c r="Y352" s="1">
        <f>VLOOKUP($B352&amp;"__wt",'SegEnds_Xtal_BW#'!$A:$Z,25,FALSE)</f>
        <v>47</v>
      </c>
      <c r="Z352" s="1">
        <f>VLOOKUP($B352&amp;"__wt",'SegEnds_Xtal_BW#'!$A:$Z,26,FALSE)</f>
        <v>59</v>
      </c>
      <c r="AA352" s="27" t="str">
        <f>VLOOKUP(A352,Classification!A:B,2,FALSE)</f>
        <v>C</v>
      </c>
      <c r="AB352" s="1">
        <f>VLOOKUP(A352,'SegEnds_NonXtal_Prot#'!A:AL,10,FALSE)-VLOOKUP(A352,'SegEnds_NonXtal_Prot#'!A:AL,7,FALSE)</f>
        <v>19</v>
      </c>
      <c r="AC352" s="1" t="e">
        <f>VLOOKUP(A352,'SegEnds_NonXtal_Prot#'!A:AL,13,FALSE)-VLOOKUP(A352,'SegEnds_NonXtal_Prot#'!A:AL,10,FALSE)</f>
        <v>#VALUE!</v>
      </c>
      <c r="AD352" s="1">
        <f>VLOOKUP(A352,'SegEnds_NonXtal_Prot#'!A:AL,16,FALSE)-VLOOKUP(A352,'SegEnds_NonXtal_Prot#'!A:AL,10,FALSE)</f>
        <v>44</v>
      </c>
      <c r="AE352" s="1" t="e">
        <f>VLOOKUP(A352,'SegEnds_NonXtal_Prot#'!A:AL,22,FALSE)-VLOOKUP(A352,'SegEnds_NonXtal_Prot#'!A:AL,19,FALSE)</f>
        <v>#VALUE!</v>
      </c>
      <c r="AF352" s="1">
        <f>VLOOKUP(A352,'SegEnds_NonXtal_Prot#'!A:AL,28,FALSE)-VLOOKUP(A352,'SegEnds_NonXtal_Prot#'!A:AL,25,FALSE)</f>
        <v>17</v>
      </c>
      <c r="AG352" s="1">
        <f>VLOOKUP(A352,'SegEnds_NonXtal_Prot#'!A:AL,28,FALSE)-VLOOKUP(A352,'SegEnds_NonXtal_Prot#'!A:AL,22,FALSE)</f>
        <v>55</v>
      </c>
      <c r="AH352" s="1">
        <f>VLOOKUP(A352,'SegEnds_NonXtal_Prot#'!A:AL,31,FALSE)-VLOOKUP(A352,'SegEnds_NonXtal_Prot#'!A:AL,28,FALSE)</f>
        <v>39</v>
      </c>
      <c r="AI352" s="1">
        <f>VLOOKUP(A352,'SegEnds_NonXtal_Prot#'!A:AL,34,FALSE)-VLOOKUP(A352,'SegEnds_NonXtal_Prot#'!A:AL,31,FALSE)</f>
        <v>34</v>
      </c>
      <c r="AJ352" s="1" t="str">
        <f>IF(ISERROR(MATCH(A352,'SegEnds_Xtal_Prot#'!B:B, 0)), "NoXtal", "Xtal")</f>
        <v>NoXtal</v>
      </c>
    </row>
    <row r="353" spans="1:36" x14ac:dyDescent="0.2">
      <c r="A353" s="4" t="s">
        <v>113</v>
      </c>
      <c r="B353" s="4" t="str">
        <f>VLOOKUP(A353,Xtal_Templ!A:B,2,FALSE)</f>
        <v>grm1_human</v>
      </c>
      <c r="C353" s="5">
        <f>VLOOKUP($B353&amp;"__wt",'SegEnds_Xtal_BW#'!$A:$Z,3,FALSE)</f>
        <v>34</v>
      </c>
      <c r="D353" s="4">
        <f>VLOOKUP($B353&amp;"__wt",'SegEnds_Xtal_BW#'!$A:$Z,4,FALSE)</f>
        <v>60</v>
      </c>
      <c r="E353" s="4">
        <f>VLOOKUP($B353&amp;"__wt",'SegEnds_Xtal_BW#'!$A:$Z,5,FALSE)</f>
        <v>47</v>
      </c>
      <c r="F353" s="4">
        <f>VLOOKUP($B353&amp;"__wt",'SegEnds_Xtal_BW#'!$A:$Z,6,FALSE)</f>
        <v>53</v>
      </c>
      <c r="G353" s="4">
        <v>39</v>
      </c>
      <c r="H353" s="11">
        <f>VLOOKUP($B353&amp;"__wt",'SegEnds_Xtal_BW#'!$A:$Z,8,FALSE)</f>
        <v>61</v>
      </c>
      <c r="I353" s="4" t="str">
        <f>VLOOKUP($B353&amp;"__wt",'SegEnds_Xtal_BW#'!$A:$Z,9,FALSE)</f>
        <v>-</v>
      </c>
      <c r="J353" s="4" t="str">
        <f>VLOOKUP($B353&amp;"__wt",'SegEnds_Xtal_BW#'!$A:$Z,10,FALSE)</f>
        <v>-</v>
      </c>
      <c r="K353" s="11">
        <f>VLOOKUP($B353&amp;"__wt",'SegEnds_Xtal_BW#'!$A:$Z,11,FALSE)</f>
        <v>22</v>
      </c>
      <c r="L353" s="4">
        <f>VLOOKUP($B353&amp;"__wt",'SegEnds_Xtal_BW#'!$A:$Z,12,FALSE)</f>
        <v>54</v>
      </c>
      <c r="M353" s="4" t="str">
        <f>VLOOKUP($B353&amp;"__wt",'SegEnds_Xtal_BW#'!$A:$Z,13,FALSE)</f>
        <v>-</v>
      </c>
      <c r="N353" s="11" t="str">
        <f>VLOOKUP($B353&amp;"__wt",'SegEnds_Xtal_BW#'!$A:$Z,14,FALSE)</f>
        <v>-</v>
      </c>
      <c r="O353" s="90">
        <f>VLOOKUP($B353&amp;"__wt",'SegEnds_Xtal_BW#'!$A:$Z,15,FALSE)</f>
        <v>38</v>
      </c>
      <c r="P353" s="4">
        <f>VLOOKUP($B353&amp;"__wt",'SegEnds_Xtal_BW#'!$A:$Z,16,FALSE)</f>
        <v>64</v>
      </c>
      <c r="Q353" s="4">
        <f>VLOOKUP($B353&amp;"__wt",'SegEnds_Xtal_BW#'!$A:$Z,17,FALSE)</f>
        <v>50</v>
      </c>
      <c r="R353" s="4">
        <f>VLOOKUP($B353&amp;"__wt",'SegEnds_Xtal_BW#'!$A:$Z,18,FALSE)</f>
        <v>52</v>
      </c>
      <c r="S353" s="4">
        <f>VLOOKUP($B353&amp;"__wt",'SegEnds_Xtal_BW#'!$A:$Z,19,FALSE)</f>
        <v>37</v>
      </c>
      <c r="T353" s="4">
        <f>VLOOKUP($B353&amp;"__wt",'SegEnds_Xtal_BW#'!$A:$Z,20,FALSE)</f>
        <v>61</v>
      </c>
      <c r="U353" s="4">
        <f>VLOOKUP($B353&amp;"__wt",'SegEnds_Xtal_BW#'!$A:$Z,21,FALSE)</f>
        <v>33</v>
      </c>
      <c r="V353" s="4">
        <f>VLOOKUP($B353&amp;"__wt",'SegEnds_Xtal_BW#'!$A:$Z,22,FALSE)</f>
        <v>57</v>
      </c>
      <c r="W353" s="4">
        <f>VLOOKUP($B353&amp;"__wt",'SegEnds_Xtal_BW#'!$A:$Z,23,FALSE)</f>
        <v>34</v>
      </c>
      <c r="X353" s="4">
        <f>VLOOKUP($B353&amp;"__wt",'SegEnds_Xtal_BW#'!$A:$Z,24,FALSE)</f>
        <v>63</v>
      </c>
      <c r="Y353" s="4">
        <f>VLOOKUP($B353&amp;"__wt",'SegEnds_Xtal_BW#'!$A:$Z,25,FALSE)</f>
        <v>47</v>
      </c>
      <c r="Z353" s="4">
        <f>VLOOKUP($B353&amp;"__wt",'SegEnds_Xtal_BW#'!$A:$Z,26,FALSE)</f>
        <v>59</v>
      </c>
      <c r="AA353" s="27" t="str">
        <f>VLOOKUP(A353,Classification!A:B,2,FALSE)</f>
        <v>C</v>
      </c>
      <c r="AB353" s="4">
        <f>VLOOKUP(A353,'SegEnds_NonXtal_Prot#'!A:AL,10,FALSE)-VLOOKUP(A353,'SegEnds_NonXtal_Prot#'!A:AL,7,FALSE)</f>
        <v>19</v>
      </c>
      <c r="AC353" s="4" t="e">
        <f>VLOOKUP(A353,'SegEnds_NonXtal_Prot#'!A:AL,13,FALSE)-VLOOKUP(A353,'SegEnds_NonXtal_Prot#'!A:AL,10,FALSE)</f>
        <v>#VALUE!</v>
      </c>
      <c r="AD353" s="4">
        <f>VLOOKUP(A353,'SegEnds_NonXtal_Prot#'!A:AL,16,FALSE)-VLOOKUP(A353,'SegEnds_NonXtal_Prot#'!A:AL,10,FALSE)</f>
        <v>44</v>
      </c>
      <c r="AE353" s="1" t="e">
        <f>VLOOKUP(A353,'SegEnds_NonXtal_Prot#'!A:AL,22,FALSE)-VLOOKUP(A353,'SegEnds_NonXtal_Prot#'!A:AL,19,FALSE)</f>
        <v>#VALUE!</v>
      </c>
      <c r="AF353" s="4" t="e">
        <f>VLOOKUP(A353,'SegEnds_NonXtal_Prot#'!A:AL,28,FALSE)-VLOOKUP(A353,'SegEnds_NonXtal_Prot#'!A:AL,25,FALSE)</f>
        <v>#VALUE!</v>
      </c>
      <c r="AG353" s="1">
        <f>VLOOKUP(A353,'SegEnds_NonXtal_Prot#'!A:AL,28,FALSE)-VLOOKUP(A353,'SegEnds_NonXtal_Prot#'!A:AL,22,FALSE)</f>
        <v>43</v>
      </c>
      <c r="AH353" s="4">
        <f>VLOOKUP(A353,'SegEnds_NonXtal_Prot#'!A:AL,31,FALSE)-VLOOKUP(A353,'SegEnds_NonXtal_Prot#'!A:AL,28,FALSE)</f>
        <v>39</v>
      </c>
      <c r="AI353" s="4">
        <f>VLOOKUP(A353,'SegEnds_NonXtal_Prot#'!A:AL,34,FALSE)-VLOOKUP(A353,'SegEnds_NonXtal_Prot#'!A:AL,31,FALSE)</f>
        <v>35</v>
      </c>
      <c r="AJ353" s="1" t="str">
        <f>IF(ISERROR(MATCH(A353,'SegEnds_Xtal_Prot#'!B:B, 0)), "NoXtal", "Xtal")</f>
        <v>NoXtal</v>
      </c>
    </row>
    <row r="354" spans="1:36" x14ac:dyDescent="0.2">
      <c r="A354" s="4" t="s">
        <v>114</v>
      </c>
      <c r="B354" s="4" t="str">
        <f>VLOOKUP(A354,Xtal_Templ!A:B,2,FALSE)</f>
        <v>grm1_human</v>
      </c>
      <c r="C354" s="5">
        <f>VLOOKUP($B354&amp;"__wt",'SegEnds_Xtal_BW#'!$A:$Z,3,FALSE)</f>
        <v>34</v>
      </c>
      <c r="D354" s="4">
        <f>VLOOKUP($B354&amp;"__wt",'SegEnds_Xtal_BW#'!$A:$Z,4,FALSE)</f>
        <v>60</v>
      </c>
      <c r="E354" s="4">
        <f>VLOOKUP($B354&amp;"__wt",'SegEnds_Xtal_BW#'!$A:$Z,5,FALSE)</f>
        <v>47</v>
      </c>
      <c r="F354" s="4">
        <f>VLOOKUP($B354&amp;"__wt",'SegEnds_Xtal_BW#'!$A:$Z,6,FALSE)</f>
        <v>53</v>
      </c>
      <c r="G354" s="4">
        <v>39</v>
      </c>
      <c r="H354" s="11">
        <f>VLOOKUP($B354&amp;"__wt",'SegEnds_Xtal_BW#'!$A:$Z,8,FALSE)</f>
        <v>61</v>
      </c>
      <c r="I354" s="4" t="str">
        <f>VLOOKUP($B354&amp;"__wt",'SegEnds_Xtal_BW#'!$A:$Z,9,FALSE)</f>
        <v>-</v>
      </c>
      <c r="J354" s="4" t="str">
        <f>VLOOKUP($B354&amp;"__wt",'SegEnds_Xtal_BW#'!$A:$Z,10,FALSE)</f>
        <v>-</v>
      </c>
      <c r="K354" s="11">
        <f>VLOOKUP($B354&amp;"__wt",'SegEnds_Xtal_BW#'!$A:$Z,11,FALSE)</f>
        <v>22</v>
      </c>
      <c r="L354" s="4">
        <f>VLOOKUP($B354&amp;"__wt",'SegEnds_Xtal_BW#'!$A:$Z,12,FALSE)</f>
        <v>54</v>
      </c>
      <c r="M354" s="4" t="str">
        <f>VLOOKUP($B354&amp;"__wt",'SegEnds_Xtal_BW#'!$A:$Z,13,FALSE)</f>
        <v>-</v>
      </c>
      <c r="N354" s="11" t="str">
        <f>VLOOKUP($B354&amp;"__wt",'SegEnds_Xtal_BW#'!$A:$Z,14,FALSE)</f>
        <v>-</v>
      </c>
      <c r="O354" s="90">
        <f>VLOOKUP($B354&amp;"__wt",'SegEnds_Xtal_BW#'!$A:$Z,15,FALSE)</f>
        <v>38</v>
      </c>
      <c r="P354" s="4">
        <f>VLOOKUP($B354&amp;"__wt",'SegEnds_Xtal_BW#'!$A:$Z,16,FALSE)</f>
        <v>64</v>
      </c>
      <c r="Q354" s="4">
        <f>VLOOKUP($B354&amp;"__wt",'SegEnds_Xtal_BW#'!$A:$Z,17,FALSE)</f>
        <v>50</v>
      </c>
      <c r="R354" s="4">
        <f>VLOOKUP($B354&amp;"__wt",'SegEnds_Xtal_BW#'!$A:$Z,18,FALSE)</f>
        <v>52</v>
      </c>
      <c r="S354" s="4">
        <f>VLOOKUP($B354&amp;"__wt",'SegEnds_Xtal_BW#'!$A:$Z,19,FALSE)</f>
        <v>37</v>
      </c>
      <c r="T354" s="4">
        <f>VLOOKUP($B354&amp;"__wt",'SegEnds_Xtal_BW#'!$A:$Z,20,FALSE)</f>
        <v>61</v>
      </c>
      <c r="U354" s="4">
        <f>VLOOKUP($B354&amp;"__wt",'SegEnds_Xtal_BW#'!$A:$Z,21,FALSE)</f>
        <v>33</v>
      </c>
      <c r="V354" s="4">
        <f>VLOOKUP($B354&amp;"__wt",'SegEnds_Xtal_BW#'!$A:$Z,22,FALSE)</f>
        <v>57</v>
      </c>
      <c r="W354" s="4">
        <f>VLOOKUP($B354&amp;"__wt",'SegEnds_Xtal_BW#'!$A:$Z,23,FALSE)</f>
        <v>34</v>
      </c>
      <c r="X354" s="4">
        <f>VLOOKUP($B354&amp;"__wt",'SegEnds_Xtal_BW#'!$A:$Z,24,FALSE)</f>
        <v>63</v>
      </c>
      <c r="Y354" s="4">
        <f>VLOOKUP($B354&amp;"__wt",'SegEnds_Xtal_BW#'!$A:$Z,25,FALSE)</f>
        <v>47</v>
      </c>
      <c r="Z354" s="4">
        <f>VLOOKUP($B354&amp;"__wt",'SegEnds_Xtal_BW#'!$A:$Z,26,FALSE)</f>
        <v>59</v>
      </c>
      <c r="AA354" s="27" t="str">
        <f>VLOOKUP(A354,Classification!A:B,2,FALSE)</f>
        <v>C</v>
      </c>
      <c r="AB354" s="4">
        <f>VLOOKUP(A354,'SegEnds_NonXtal_Prot#'!A:AL,10,FALSE)-VLOOKUP(A354,'SegEnds_NonXtal_Prot#'!A:AL,7,FALSE)</f>
        <v>16</v>
      </c>
      <c r="AC354" s="4" t="e">
        <f>VLOOKUP(A354,'SegEnds_NonXtal_Prot#'!A:AL,13,FALSE)-VLOOKUP(A354,'SegEnds_NonXtal_Prot#'!A:AL,10,FALSE)</f>
        <v>#VALUE!</v>
      </c>
      <c r="AD354" s="4">
        <f>VLOOKUP(A354,'SegEnds_NonXtal_Prot#'!A:AL,16,FALSE)-VLOOKUP(A354,'SegEnds_NonXtal_Prot#'!A:AL,10,FALSE)</f>
        <v>44</v>
      </c>
      <c r="AE354" s="1" t="e">
        <f>VLOOKUP(A354,'SegEnds_NonXtal_Prot#'!A:AL,22,FALSE)-VLOOKUP(A354,'SegEnds_NonXtal_Prot#'!A:AL,19,FALSE)</f>
        <v>#VALUE!</v>
      </c>
      <c r="AF354" s="4">
        <f>VLOOKUP(A354,'SegEnds_NonXtal_Prot#'!A:AL,28,FALSE)-VLOOKUP(A354,'SegEnds_NonXtal_Prot#'!A:AL,25,FALSE)</f>
        <v>18</v>
      </c>
      <c r="AG354" s="1">
        <f>VLOOKUP(A354,'SegEnds_NonXtal_Prot#'!A:AL,28,FALSE)-VLOOKUP(A354,'SegEnds_NonXtal_Prot#'!A:AL,22,FALSE)</f>
        <v>50</v>
      </c>
      <c r="AH354" s="4">
        <f>VLOOKUP(A354,'SegEnds_NonXtal_Prot#'!A:AL,31,FALSE)-VLOOKUP(A354,'SegEnds_NonXtal_Prot#'!A:AL,28,FALSE)</f>
        <v>35</v>
      </c>
      <c r="AI354" s="4">
        <f>VLOOKUP(A354,'SegEnds_NonXtal_Prot#'!A:AL,34,FALSE)-VLOOKUP(A354,'SegEnds_NonXtal_Prot#'!A:AL,31,FALSE)</f>
        <v>29</v>
      </c>
      <c r="AJ354" s="1" t="str">
        <f>IF(ISERROR(MATCH(A354,'SegEnds_Xtal_Prot#'!B:B, 0)), "NoXtal", "Xtal")</f>
        <v>NoXtal</v>
      </c>
    </row>
    <row r="355" spans="1:36" x14ac:dyDescent="0.2">
      <c r="A355" s="4" t="s">
        <v>40</v>
      </c>
      <c r="B355" s="4" t="str">
        <f>VLOOKUP(A355,Xtal_Templ!A:B,2,FALSE)</f>
        <v>grm1_human</v>
      </c>
      <c r="C355" s="5">
        <f>VLOOKUP($B355&amp;"__wt",'SegEnds_Xtal_BW#'!$A:$Z,3,FALSE)</f>
        <v>34</v>
      </c>
      <c r="D355" s="4">
        <f>VLOOKUP($B355&amp;"__wt",'SegEnds_Xtal_BW#'!$A:$Z,4,FALSE)</f>
        <v>60</v>
      </c>
      <c r="E355" s="4">
        <f>VLOOKUP($B355&amp;"__wt",'SegEnds_Xtal_BW#'!$A:$Z,5,FALSE)</f>
        <v>47</v>
      </c>
      <c r="F355" s="4">
        <f>VLOOKUP($B355&amp;"__wt",'SegEnds_Xtal_BW#'!$A:$Z,6,FALSE)</f>
        <v>53</v>
      </c>
      <c r="G355" s="4">
        <v>39</v>
      </c>
      <c r="H355" s="11">
        <f>VLOOKUP($B355&amp;"__wt",'SegEnds_Xtal_BW#'!$A:$Z,8,FALSE)</f>
        <v>61</v>
      </c>
      <c r="I355" s="4" t="str">
        <f>VLOOKUP($B355&amp;"__wt",'SegEnds_Xtal_BW#'!$A:$Z,9,FALSE)</f>
        <v>-</v>
      </c>
      <c r="J355" s="4" t="str">
        <f>VLOOKUP($B355&amp;"__wt",'SegEnds_Xtal_BW#'!$A:$Z,10,FALSE)</f>
        <v>-</v>
      </c>
      <c r="K355" s="11">
        <f>VLOOKUP($B355&amp;"__wt",'SegEnds_Xtal_BW#'!$A:$Z,11,FALSE)</f>
        <v>22</v>
      </c>
      <c r="L355" s="4">
        <f>VLOOKUP($B355&amp;"__wt",'SegEnds_Xtal_BW#'!$A:$Z,12,FALSE)</f>
        <v>54</v>
      </c>
      <c r="M355" s="4" t="str">
        <f>VLOOKUP($B355&amp;"__wt",'SegEnds_Xtal_BW#'!$A:$Z,13,FALSE)</f>
        <v>-</v>
      </c>
      <c r="N355" s="11" t="str">
        <f>VLOOKUP($B355&amp;"__wt",'SegEnds_Xtal_BW#'!$A:$Z,14,FALSE)</f>
        <v>-</v>
      </c>
      <c r="O355" s="90">
        <f>VLOOKUP($B355&amp;"__wt",'SegEnds_Xtal_BW#'!$A:$Z,15,FALSE)</f>
        <v>38</v>
      </c>
      <c r="P355" s="4">
        <f>VLOOKUP($B355&amp;"__wt",'SegEnds_Xtal_BW#'!$A:$Z,16,FALSE)</f>
        <v>64</v>
      </c>
      <c r="Q355" s="4">
        <f>VLOOKUP($B355&amp;"__wt",'SegEnds_Xtal_BW#'!$A:$Z,17,FALSE)</f>
        <v>50</v>
      </c>
      <c r="R355" s="4">
        <f>VLOOKUP($B355&amp;"__wt",'SegEnds_Xtal_BW#'!$A:$Z,18,FALSE)</f>
        <v>52</v>
      </c>
      <c r="S355" s="4">
        <f>VLOOKUP($B355&amp;"__wt",'SegEnds_Xtal_BW#'!$A:$Z,19,FALSE)</f>
        <v>37</v>
      </c>
      <c r="T355" s="4">
        <f>VLOOKUP($B355&amp;"__wt",'SegEnds_Xtal_BW#'!$A:$Z,20,FALSE)</f>
        <v>61</v>
      </c>
      <c r="U355" s="4">
        <f>VLOOKUP($B355&amp;"__wt",'SegEnds_Xtal_BW#'!$A:$Z,21,FALSE)</f>
        <v>33</v>
      </c>
      <c r="V355" s="4">
        <f>VLOOKUP($B355&amp;"__wt",'SegEnds_Xtal_BW#'!$A:$Z,22,FALSE)</f>
        <v>57</v>
      </c>
      <c r="W355" s="4">
        <f>VLOOKUP($B355&amp;"__wt",'SegEnds_Xtal_BW#'!$A:$Z,23,FALSE)</f>
        <v>34</v>
      </c>
      <c r="X355" s="4">
        <f>VLOOKUP($B355&amp;"__wt",'SegEnds_Xtal_BW#'!$A:$Z,24,FALSE)</f>
        <v>63</v>
      </c>
      <c r="Y355" s="4">
        <f>VLOOKUP($B355&amp;"__wt",'SegEnds_Xtal_BW#'!$A:$Z,25,FALSE)</f>
        <v>47</v>
      </c>
      <c r="Z355" s="4">
        <f>VLOOKUP($B355&amp;"__wt",'SegEnds_Xtal_BW#'!$A:$Z,26,FALSE)</f>
        <v>59</v>
      </c>
      <c r="AA355" s="27" t="str">
        <f>VLOOKUP(A355,Classification!A:B,2,FALSE)</f>
        <v>C</v>
      </c>
      <c r="AB355" s="4">
        <f>VLOOKUP(A355,'SegEnds_NonXtal_Prot#'!A:AL,10,FALSE)-VLOOKUP(A355,'SegEnds_NonXtal_Prot#'!A:AL,7,FALSE)</f>
        <v>15</v>
      </c>
      <c r="AC355" s="4" t="e">
        <f>VLOOKUP(A355,'SegEnds_NonXtal_Prot#'!A:AL,13,FALSE)-VLOOKUP(A355,'SegEnds_NonXtal_Prot#'!A:AL,10,FALSE)</f>
        <v>#VALUE!</v>
      </c>
      <c r="AD355" s="4">
        <f>VLOOKUP(A355,'SegEnds_NonXtal_Prot#'!A:AL,16,FALSE)-VLOOKUP(A355,'SegEnds_NonXtal_Prot#'!A:AL,10,FALSE)</f>
        <v>44</v>
      </c>
      <c r="AE355" s="1" t="e">
        <f>VLOOKUP(A355,'SegEnds_NonXtal_Prot#'!A:AL,22,FALSE)-VLOOKUP(A355,'SegEnds_NonXtal_Prot#'!A:AL,19,FALSE)</f>
        <v>#VALUE!</v>
      </c>
      <c r="AF355" s="4">
        <f>VLOOKUP(A355,'SegEnds_NonXtal_Prot#'!A:AL,28,FALSE)-VLOOKUP(A355,'SegEnds_NonXtal_Prot#'!A:AL,25,FALSE)</f>
        <v>17</v>
      </c>
      <c r="AG355" s="1">
        <f>VLOOKUP(A355,'SegEnds_NonXtal_Prot#'!A:AL,28,FALSE)-VLOOKUP(A355,'SegEnds_NonXtal_Prot#'!A:AL,22,FALSE)</f>
        <v>49</v>
      </c>
      <c r="AH355" s="4">
        <f>VLOOKUP(A355,'SegEnds_NonXtal_Prot#'!A:AL,31,FALSE)-VLOOKUP(A355,'SegEnds_NonXtal_Prot#'!A:AL,28,FALSE)</f>
        <v>37</v>
      </c>
      <c r="AI355" s="4">
        <f>VLOOKUP(A355,'SegEnds_NonXtal_Prot#'!A:AL,34,FALSE)-VLOOKUP(A355,'SegEnds_NonXtal_Prot#'!A:AL,31,FALSE)</f>
        <v>27</v>
      </c>
      <c r="AJ355" s="1" t="str">
        <f>IF(ISERROR(MATCH(A355,'SegEnds_Xtal_Prot#'!B:B, 0)), "NoXtal", "Xtal")</f>
        <v>Xtal</v>
      </c>
    </row>
    <row r="356" spans="1:36" x14ac:dyDescent="0.2">
      <c r="A356" s="1" t="s">
        <v>115</v>
      </c>
      <c r="B356" s="1" t="str">
        <f>VLOOKUP(A356,Xtal_Templ!A:B,2,FALSE)</f>
        <v>grm5_human</v>
      </c>
      <c r="C356" s="5">
        <f>VLOOKUP($B356&amp;"__wt",'SegEnds_Xtal_BW#'!$A:$Z,3,FALSE)</f>
        <v>34</v>
      </c>
      <c r="D356" s="1">
        <f>VLOOKUP($B356&amp;"__wt",'SegEnds_Xtal_BW#'!$A:$Z,4,FALSE)</f>
        <v>60</v>
      </c>
      <c r="E356" s="1">
        <f>VLOOKUP($B356&amp;"__wt",'SegEnds_Xtal_BW#'!$A:$Z,5,FALSE)</f>
        <v>47</v>
      </c>
      <c r="F356" s="1">
        <f>VLOOKUP($B356&amp;"__wt",'SegEnds_Xtal_BW#'!$A:$Z,6,FALSE)</f>
        <v>53</v>
      </c>
      <c r="G356" s="1">
        <v>39</v>
      </c>
      <c r="H356" s="12">
        <f>VLOOKUP($B356&amp;"__wt",'SegEnds_Xtal_BW#'!$A:$Z,8,FALSE)</f>
        <v>61</v>
      </c>
      <c r="I356" s="1" t="str">
        <f>VLOOKUP($B356&amp;"__wt",'SegEnds_Xtal_BW#'!$A:$Z,9,FALSE)</f>
        <v>-</v>
      </c>
      <c r="J356" s="1" t="str">
        <f>VLOOKUP($B356&amp;"__wt",'SegEnds_Xtal_BW#'!$A:$Z,10,FALSE)</f>
        <v>-</v>
      </c>
      <c r="K356" s="12">
        <f>VLOOKUP($B356&amp;"__wt",'SegEnds_Xtal_BW#'!$A:$Z,11,FALSE)</f>
        <v>22</v>
      </c>
      <c r="L356" s="1">
        <f>VLOOKUP($B356&amp;"__wt",'SegEnds_Xtal_BW#'!$A:$Z,12,FALSE)</f>
        <v>54</v>
      </c>
      <c r="M356" s="1" t="str">
        <f>VLOOKUP($B356&amp;"__wt",'SegEnds_Xtal_BW#'!$A:$Z,13,FALSE)</f>
        <v>-</v>
      </c>
      <c r="N356" s="12" t="str">
        <f>VLOOKUP($B356&amp;"__wt",'SegEnds_Xtal_BW#'!$A:$Z,14,FALSE)</f>
        <v>-</v>
      </c>
      <c r="O356" s="89">
        <f>VLOOKUP($B356&amp;"__wt",'SegEnds_Xtal_BW#'!$A:$Z,15,FALSE)</f>
        <v>38</v>
      </c>
      <c r="P356" s="1">
        <f>VLOOKUP($B356&amp;"__wt",'SegEnds_Xtal_BW#'!$A:$Z,16,FALSE)</f>
        <v>64</v>
      </c>
      <c r="Q356" s="1">
        <f>VLOOKUP($B356&amp;"__wt",'SegEnds_Xtal_BW#'!$A:$Z,17,FALSE)</f>
        <v>50</v>
      </c>
      <c r="R356" s="1">
        <f>VLOOKUP($B356&amp;"__wt",'SegEnds_Xtal_BW#'!$A:$Z,18,FALSE)</f>
        <v>52</v>
      </c>
      <c r="S356" s="1">
        <f>VLOOKUP($B356&amp;"__wt",'SegEnds_Xtal_BW#'!$A:$Z,19,FALSE)</f>
        <v>37</v>
      </c>
      <c r="T356" s="1">
        <f>VLOOKUP($B356&amp;"__wt",'SegEnds_Xtal_BW#'!$A:$Z,20,FALSE)</f>
        <v>61</v>
      </c>
      <c r="U356" s="1">
        <f>VLOOKUP($B356&amp;"__wt",'SegEnds_Xtal_BW#'!$A:$Z,21,FALSE)</f>
        <v>33</v>
      </c>
      <c r="V356" s="1">
        <f>VLOOKUP($B356&amp;"__wt",'SegEnds_Xtal_BW#'!$A:$Z,22,FALSE)</f>
        <v>57</v>
      </c>
      <c r="W356" s="1">
        <f>VLOOKUP($B356&amp;"__wt",'SegEnds_Xtal_BW#'!$A:$Z,23,FALSE)</f>
        <v>34</v>
      </c>
      <c r="X356" s="1">
        <f>VLOOKUP($B356&amp;"__wt",'SegEnds_Xtal_BW#'!$A:$Z,24,FALSE)</f>
        <v>63</v>
      </c>
      <c r="Y356" s="1">
        <f>VLOOKUP($B356&amp;"__wt",'SegEnds_Xtal_BW#'!$A:$Z,25,FALSE)</f>
        <v>47</v>
      </c>
      <c r="Z356" s="1">
        <f>VLOOKUP($B356&amp;"__wt",'SegEnds_Xtal_BW#'!$A:$Z,26,FALSE)</f>
        <v>59</v>
      </c>
      <c r="AA356" s="27" t="str">
        <f>VLOOKUP(A356,Classification!A:B,2,FALSE)</f>
        <v>C</v>
      </c>
      <c r="AB356" s="1">
        <f>VLOOKUP(A356,'SegEnds_NonXtal_Prot#'!A:AL,10,FALSE)-VLOOKUP(A356,'SegEnds_NonXtal_Prot#'!A:AL,7,FALSE)</f>
        <v>15</v>
      </c>
      <c r="AC356" s="1" t="e">
        <f>VLOOKUP(A356,'SegEnds_NonXtal_Prot#'!A:AL,13,FALSE)-VLOOKUP(A356,'SegEnds_NonXtal_Prot#'!A:AL,10,FALSE)</f>
        <v>#VALUE!</v>
      </c>
      <c r="AD356" s="1">
        <f>VLOOKUP(A356,'SegEnds_NonXtal_Prot#'!A:AL,16,FALSE)-VLOOKUP(A356,'SegEnds_NonXtal_Prot#'!A:AL,10,FALSE)</f>
        <v>44</v>
      </c>
      <c r="AE356" s="1" t="e">
        <f>VLOOKUP(A356,'SegEnds_NonXtal_Prot#'!A:AL,22,FALSE)-VLOOKUP(A356,'SegEnds_NonXtal_Prot#'!A:AL,19,FALSE)</f>
        <v>#VALUE!</v>
      </c>
      <c r="AF356" s="1">
        <f>VLOOKUP(A356,'SegEnds_NonXtal_Prot#'!A:AL,28,FALSE)-VLOOKUP(A356,'SegEnds_NonXtal_Prot#'!A:AL,25,FALSE)</f>
        <v>17</v>
      </c>
      <c r="AG356" s="1">
        <f>VLOOKUP(A356,'SegEnds_NonXtal_Prot#'!A:AL,28,FALSE)-VLOOKUP(A356,'SegEnds_NonXtal_Prot#'!A:AL,22,FALSE)</f>
        <v>51</v>
      </c>
      <c r="AH356" s="1">
        <f>VLOOKUP(A356,'SegEnds_NonXtal_Prot#'!A:AL,31,FALSE)-VLOOKUP(A356,'SegEnds_NonXtal_Prot#'!A:AL,28,FALSE)</f>
        <v>37</v>
      </c>
      <c r="AI356" s="1">
        <f>VLOOKUP(A356,'SegEnds_NonXtal_Prot#'!A:AL,34,FALSE)-VLOOKUP(A356,'SegEnds_NonXtal_Prot#'!A:AL,31,FALSE)</f>
        <v>31</v>
      </c>
      <c r="AJ356" s="1" t="str">
        <f>IF(ISERROR(MATCH(A356,'SegEnds_Xtal_Prot#'!B:B, 0)), "NoXtal", "Xtal")</f>
        <v>NoXtal</v>
      </c>
    </row>
    <row r="357" spans="1:36" x14ac:dyDescent="0.2">
      <c r="A357" s="1" t="s">
        <v>116</v>
      </c>
      <c r="B357" s="1" t="str">
        <f>VLOOKUP(A357,Xtal_Templ!A:B,2,FALSE)</f>
        <v>grm5_human</v>
      </c>
      <c r="C357" s="5">
        <f>VLOOKUP($B357&amp;"__wt",'SegEnds_Xtal_BW#'!$A:$Z,3,FALSE)</f>
        <v>34</v>
      </c>
      <c r="D357" s="1">
        <f>VLOOKUP($B357&amp;"__wt",'SegEnds_Xtal_BW#'!$A:$Z,4,FALSE)</f>
        <v>60</v>
      </c>
      <c r="E357" s="1">
        <f>VLOOKUP($B357&amp;"__wt",'SegEnds_Xtal_BW#'!$A:$Z,5,FALSE)</f>
        <v>47</v>
      </c>
      <c r="F357" s="1">
        <f>VLOOKUP($B357&amp;"__wt",'SegEnds_Xtal_BW#'!$A:$Z,6,FALSE)</f>
        <v>53</v>
      </c>
      <c r="G357" s="1">
        <v>39</v>
      </c>
      <c r="H357" s="12">
        <f>VLOOKUP($B357&amp;"__wt",'SegEnds_Xtal_BW#'!$A:$Z,8,FALSE)</f>
        <v>61</v>
      </c>
      <c r="I357" s="1" t="str">
        <f>VLOOKUP($B357&amp;"__wt",'SegEnds_Xtal_BW#'!$A:$Z,9,FALSE)</f>
        <v>-</v>
      </c>
      <c r="J357" s="1" t="str">
        <f>VLOOKUP($B357&amp;"__wt",'SegEnds_Xtal_BW#'!$A:$Z,10,FALSE)</f>
        <v>-</v>
      </c>
      <c r="K357" s="12">
        <f>VLOOKUP($B357&amp;"__wt",'SegEnds_Xtal_BW#'!$A:$Z,11,FALSE)</f>
        <v>22</v>
      </c>
      <c r="L357" s="1">
        <f>VLOOKUP($B357&amp;"__wt",'SegEnds_Xtal_BW#'!$A:$Z,12,FALSE)</f>
        <v>54</v>
      </c>
      <c r="M357" s="1" t="str">
        <f>VLOOKUP($B357&amp;"__wt",'SegEnds_Xtal_BW#'!$A:$Z,13,FALSE)</f>
        <v>-</v>
      </c>
      <c r="N357" s="12" t="str">
        <f>VLOOKUP($B357&amp;"__wt",'SegEnds_Xtal_BW#'!$A:$Z,14,FALSE)</f>
        <v>-</v>
      </c>
      <c r="O357" s="89">
        <f>VLOOKUP($B357&amp;"__wt",'SegEnds_Xtal_BW#'!$A:$Z,15,FALSE)</f>
        <v>38</v>
      </c>
      <c r="P357" s="1">
        <f>VLOOKUP($B357&amp;"__wt",'SegEnds_Xtal_BW#'!$A:$Z,16,FALSE)</f>
        <v>64</v>
      </c>
      <c r="Q357" s="1">
        <f>VLOOKUP($B357&amp;"__wt",'SegEnds_Xtal_BW#'!$A:$Z,17,FALSE)</f>
        <v>50</v>
      </c>
      <c r="R357" s="1">
        <f>VLOOKUP($B357&amp;"__wt",'SegEnds_Xtal_BW#'!$A:$Z,18,FALSE)</f>
        <v>52</v>
      </c>
      <c r="S357" s="1">
        <f>VLOOKUP($B357&amp;"__wt",'SegEnds_Xtal_BW#'!$A:$Z,19,FALSE)</f>
        <v>37</v>
      </c>
      <c r="T357" s="1">
        <f>VLOOKUP($B357&amp;"__wt",'SegEnds_Xtal_BW#'!$A:$Z,20,FALSE)</f>
        <v>61</v>
      </c>
      <c r="U357" s="1">
        <f>VLOOKUP($B357&amp;"__wt",'SegEnds_Xtal_BW#'!$A:$Z,21,FALSE)</f>
        <v>33</v>
      </c>
      <c r="V357" s="1">
        <f>VLOOKUP($B357&amp;"__wt",'SegEnds_Xtal_BW#'!$A:$Z,22,FALSE)</f>
        <v>57</v>
      </c>
      <c r="W357" s="1">
        <f>VLOOKUP($B357&amp;"__wt",'SegEnds_Xtal_BW#'!$A:$Z,23,FALSE)</f>
        <v>34</v>
      </c>
      <c r="X357" s="1">
        <f>VLOOKUP($B357&amp;"__wt",'SegEnds_Xtal_BW#'!$A:$Z,24,FALSE)</f>
        <v>63</v>
      </c>
      <c r="Y357" s="1">
        <f>VLOOKUP($B357&amp;"__wt",'SegEnds_Xtal_BW#'!$A:$Z,25,FALSE)</f>
        <v>47</v>
      </c>
      <c r="Z357" s="1">
        <f>VLOOKUP($B357&amp;"__wt",'SegEnds_Xtal_BW#'!$A:$Z,26,FALSE)</f>
        <v>59</v>
      </c>
      <c r="AA357" s="27" t="str">
        <f>VLOOKUP(A357,Classification!A:B,2,FALSE)</f>
        <v>C</v>
      </c>
      <c r="AB357" s="1">
        <f>VLOOKUP(A357,'SegEnds_NonXtal_Prot#'!A:AL,10,FALSE)-VLOOKUP(A357,'SegEnds_NonXtal_Prot#'!A:AL,7,FALSE)</f>
        <v>15</v>
      </c>
      <c r="AC357" s="1" t="e">
        <f>VLOOKUP(A357,'SegEnds_NonXtal_Prot#'!A:AL,13,FALSE)-VLOOKUP(A357,'SegEnds_NonXtal_Prot#'!A:AL,10,FALSE)</f>
        <v>#VALUE!</v>
      </c>
      <c r="AD357" s="1">
        <f>VLOOKUP(A357,'SegEnds_NonXtal_Prot#'!A:AL,16,FALSE)-VLOOKUP(A357,'SegEnds_NonXtal_Prot#'!A:AL,10,FALSE)</f>
        <v>44</v>
      </c>
      <c r="AE357" s="1" t="e">
        <f>VLOOKUP(A357,'SegEnds_NonXtal_Prot#'!A:AL,22,FALSE)-VLOOKUP(A357,'SegEnds_NonXtal_Prot#'!A:AL,19,FALSE)</f>
        <v>#VALUE!</v>
      </c>
      <c r="AF357" s="1">
        <f>VLOOKUP(A357,'SegEnds_NonXtal_Prot#'!A:AL,28,FALSE)-VLOOKUP(A357,'SegEnds_NonXtal_Prot#'!A:AL,25,FALSE)</f>
        <v>17</v>
      </c>
      <c r="AG357" s="1">
        <f>VLOOKUP(A357,'SegEnds_NonXtal_Prot#'!A:AL,28,FALSE)-VLOOKUP(A357,'SegEnds_NonXtal_Prot#'!A:AL,22,FALSE)</f>
        <v>51</v>
      </c>
      <c r="AH357" s="1">
        <f>VLOOKUP(A357,'SegEnds_NonXtal_Prot#'!A:AL,31,FALSE)-VLOOKUP(A357,'SegEnds_NonXtal_Prot#'!A:AL,28,FALSE)</f>
        <v>37</v>
      </c>
      <c r="AI357" s="1">
        <f>VLOOKUP(A357,'SegEnds_NonXtal_Prot#'!A:AL,34,FALSE)-VLOOKUP(A357,'SegEnds_NonXtal_Prot#'!A:AL,31,FALSE)</f>
        <v>31</v>
      </c>
      <c r="AJ357" s="1" t="str">
        <f>IF(ISERROR(MATCH(A357,'SegEnds_Xtal_Prot#'!B:B, 0)), "NoXtal", "Xtal")</f>
        <v>NoXtal</v>
      </c>
    </row>
    <row r="358" spans="1:36" x14ac:dyDescent="0.2">
      <c r="A358" s="1" t="s">
        <v>117</v>
      </c>
      <c r="B358" s="1" t="str">
        <f>VLOOKUP(A358,Xtal_Templ!A:B,2,FALSE)</f>
        <v>grm5_human</v>
      </c>
      <c r="C358" s="5">
        <f>VLOOKUP($B358&amp;"__wt",'SegEnds_Xtal_BW#'!$A:$Z,3,FALSE)</f>
        <v>34</v>
      </c>
      <c r="D358" s="1">
        <f>VLOOKUP($B358&amp;"__wt",'SegEnds_Xtal_BW#'!$A:$Z,4,FALSE)</f>
        <v>60</v>
      </c>
      <c r="E358" s="1">
        <f>VLOOKUP($B358&amp;"__wt",'SegEnds_Xtal_BW#'!$A:$Z,5,FALSE)</f>
        <v>47</v>
      </c>
      <c r="F358" s="1">
        <f>VLOOKUP($B358&amp;"__wt",'SegEnds_Xtal_BW#'!$A:$Z,6,FALSE)</f>
        <v>53</v>
      </c>
      <c r="G358" s="1">
        <v>39</v>
      </c>
      <c r="H358" s="12">
        <f>VLOOKUP($B358&amp;"__wt",'SegEnds_Xtal_BW#'!$A:$Z,8,FALSE)</f>
        <v>61</v>
      </c>
      <c r="I358" s="1" t="str">
        <f>VLOOKUP($B358&amp;"__wt",'SegEnds_Xtal_BW#'!$A:$Z,9,FALSE)</f>
        <v>-</v>
      </c>
      <c r="J358" s="1" t="str">
        <f>VLOOKUP($B358&amp;"__wt",'SegEnds_Xtal_BW#'!$A:$Z,10,FALSE)</f>
        <v>-</v>
      </c>
      <c r="K358" s="12">
        <f>VLOOKUP($B358&amp;"__wt",'SegEnds_Xtal_BW#'!$A:$Z,11,FALSE)</f>
        <v>22</v>
      </c>
      <c r="L358" s="1">
        <f>VLOOKUP($B358&amp;"__wt",'SegEnds_Xtal_BW#'!$A:$Z,12,FALSE)</f>
        <v>54</v>
      </c>
      <c r="M358" s="1" t="str">
        <f>VLOOKUP($B358&amp;"__wt",'SegEnds_Xtal_BW#'!$A:$Z,13,FALSE)</f>
        <v>-</v>
      </c>
      <c r="N358" s="12" t="str">
        <f>VLOOKUP($B358&amp;"__wt",'SegEnds_Xtal_BW#'!$A:$Z,14,FALSE)</f>
        <v>-</v>
      </c>
      <c r="O358" s="89">
        <f>VLOOKUP($B358&amp;"__wt",'SegEnds_Xtal_BW#'!$A:$Z,15,FALSE)</f>
        <v>38</v>
      </c>
      <c r="P358" s="1">
        <f>VLOOKUP($B358&amp;"__wt",'SegEnds_Xtal_BW#'!$A:$Z,16,FALSE)</f>
        <v>64</v>
      </c>
      <c r="Q358" s="1">
        <f>VLOOKUP($B358&amp;"__wt",'SegEnds_Xtal_BW#'!$A:$Z,17,FALSE)</f>
        <v>50</v>
      </c>
      <c r="R358" s="1">
        <f>VLOOKUP($B358&amp;"__wt",'SegEnds_Xtal_BW#'!$A:$Z,18,FALSE)</f>
        <v>52</v>
      </c>
      <c r="S358" s="1">
        <f>VLOOKUP($B358&amp;"__wt",'SegEnds_Xtal_BW#'!$A:$Z,19,FALSE)</f>
        <v>37</v>
      </c>
      <c r="T358" s="1">
        <f>VLOOKUP($B358&amp;"__wt",'SegEnds_Xtal_BW#'!$A:$Z,20,FALSE)</f>
        <v>61</v>
      </c>
      <c r="U358" s="1">
        <f>VLOOKUP($B358&amp;"__wt",'SegEnds_Xtal_BW#'!$A:$Z,21,FALSE)</f>
        <v>33</v>
      </c>
      <c r="V358" s="1">
        <f>VLOOKUP($B358&amp;"__wt",'SegEnds_Xtal_BW#'!$A:$Z,22,FALSE)</f>
        <v>57</v>
      </c>
      <c r="W358" s="1">
        <f>VLOOKUP($B358&amp;"__wt",'SegEnds_Xtal_BW#'!$A:$Z,23,FALSE)</f>
        <v>34</v>
      </c>
      <c r="X358" s="1">
        <f>VLOOKUP($B358&amp;"__wt",'SegEnds_Xtal_BW#'!$A:$Z,24,FALSE)</f>
        <v>63</v>
      </c>
      <c r="Y358" s="1">
        <f>VLOOKUP($B358&amp;"__wt",'SegEnds_Xtal_BW#'!$A:$Z,25,FALSE)</f>
        <v>47</v>
      </c>
      <c r="Z358" s="1">
        <f>VLOOKUP($B358&amp;"__wt",'SegEnds_Xtal_BW#'!$A:$Z,26,FALSE)</f>
        <v>59</v>
      </c>
      <c r="AA358" s="27" t="str">
        <f>VLOOKUP(A358,Classification!A:B,2,FALSE)</f>
        <v>C</v>
      </c>
      <c r="AB358" s="1">
        <f>VLOOKUP(A358,'SegEnds_NonXtal_Prot#'!A:AL,10,FALSE)-VLOOKUP(A358,'SegEnds_NonXtal_Prot#'!A:AL,7,FALSE)</f>
        <v>15</v>
      </c>
      <c r="AC358" s="1" t="e">
        <f>VLOOKUP(A358,'SegEnds_NonXtal_Prot#'!A:AL,13,FALSE)-VLOOKUP(A358,'SegEnds_NonXtal_Prot#'!A:AL,10,FALSE)</f>
        <v>#VALUE!</v>
      </c>
      <c r="AD358" s="1">
        <f>VLOOKUP(A358,'SegEnds_NonXtal_Prot#'!A:AL,16,FALSE)-VLOOKUP(A358,'SegEnds_NonXtal_Prot#'!A:AL,10,FALSE)</f>
        <v>44</v>
      </c>
      <c r="AE358" s="1" t="e">
        <f>VLOOKUP(A358,'SegEnds_NonXtal_Prot#'!A:AL,22,FALSE)-VLOOKUP(A358,'SegEnds_NonXtal_Prot#'!A:AL,19,FALSE)</f>
        <v>#VALUE!</v>
      </c>
      <c r="AF358" s="1">
        <f>VLOOKUP(A358,'SegEnds_NonXtal_Prot#'!A:AL,28,FALSE)-VLOOKUP(A358,'SegEnds_NonXtal_Prot#'!A:AL,25,FALSE)</f>
        <v>17</v>
      </c>
      <c r="AG358" s="1">
        <f>VLOOKUP(A358,'SegEnds_NonXtal_Prot#'!A:AL,28,FALSE)-VLOOKUP(A358,'SegEnds_NonXtal_Prot#'!A:AL,22,FALSE)</f>
        <v>56</v>
      </c>
      <c r="AH358" s="1">
        <f>VLOOKUP(A358,'SegEnds_NonXtal_Prot#'!A:AL,31,FALSE)-VLOOKUP(A358,'SegEnds_NonXtal_Prot#'!A:AL,28,FALSE)</f>
        <v>37</v>
      </c>
      <c r="AI358" s="1">
        <f>VLOOKUP(A358,'SegEnds_NonXtal_Prot#'!A:AL,34,FALSE)-VLOOKUP(A358,'SegEnds_NonXtal_Prot#'!A:AL,31,FALSE)</f>
        <v>34</v>
      </c>
      <c r="AJ358" s="1" t="str">
        <f>IF(ISERROR(MATCH(A358,'SegEnds_Xtal_Prot#'!B:B, 0)), "NoXtal", "Xtal")</f>
        <v>NoXtal</v>
      </c>
    </row>
    <row r="359" spans="1:36" x14ac:dyDescent="0.2">
      <c r="A359" s="1" t="s">
        <v>41</v>
      </c>
      <c r="B359" s="1" t="str">
        <f>VLOOKUP(A359,Xtal_Templ!A:B,2,FALSE)</f>
        <v>grm5_human</v>
      </c>
      <c r="C359" s="5">
        <f>VLOOKUP($B359&amp;"__wt",'SegEnds_Xtal_BW#'!$A:$Z,3,FALSE)</f>
        <v>34</v>
      </c>
      <c r="D359" s="1">
        <f>VLOOKUP($B359&amp;"__wt",'SegEnds_Xtal_BW#'!$A:$Z,4,FALSE)</f>
        <v>60</v>
      </c>
      <c r="E359" s="1">
        <f>VLOOKUP($B359&amp;"__wt",'SegEnds_Xtal_BW#'!$A:$Z,5,FALSE)</f>
        <v>47</v>
      </c>
      <c r="F359" s="1">
        <f>VLOOKUP($B359&amp;"__wt",'SegEnds_Xtal_BW#'!$A:$Z,6,FALSE)</f>
        <v>53</v>
      </c>
      <c r="G359" s="1">
        <v>39</v>
      </c>
      <c r="H359" s="12">
        <f>VLOOKUP($B359&amp;"__wt",'SegEnds_Xtal_BW#'!$A:$Z,8,FALSE)</f>
        <v>61</v>
      </c>
      <c r="I359" s="1" t="str">
        <f>VLOOKUP($B359&amp;"__wt",'SegEnds_Xtal_BW#'!$A:$Z,9,FALSE)</f>
        <v>-</v>
      </c>
      <c r="J359" s="1" t="str">
        <f>VLOOKUP($B359&amp;"__wt",'SegEnds_Xtal_BW#'!$A:$Z,10,FALSE)</f>
        <v>-</v>
      </c>
      <c r="K359" s="12">
        <f>VLOOKUP($B359&amp;"__wt",'SegEnds_Xtal_BW#'!$A:$Z,11,FALSE)</f>
        <v>22</v>
      </c>
      <c r="L359" s="1">
        <f>VLOOKUP($B359&amp;"__wt",'SegEnds_Xtal_BW#'!$A:$Z,12,FALSE)</f>
        <v>54</v>
      </c>
      <c r="M359" s="1" t="str">
        <f>VLOOKUP($B359&amp;"__wt",'SegEnds_Xtal_BW#'!$A:$Z,13,FALSE)</f>
        <v>-</v>
      </c>
      <c r="N359" s="12" t="str">
        <f>VLOOKUP($B359&amp;"__wt",'SegEnds_Xtal_BW#'!$A:$Z,14,FALSE)</f>
        <v>-</v>
      </c>
      <c r="O359" s="89">
        <f>VLOOKUP($B359&amp;"__wt",'SegEnds_Xtal_BW#'!$A:$Z,15,FALSE)</f>
        <v>38</v>
      </c>
      <c r="P359" s="1">
        <f>VLOOKUP($B359&amp;"__wt",'SegEnds_Xtal_BW#'!$A:$Z,16,FALSE)</f>
        <v>64</v>
      </c>
      <c r="Q359" s="1">
        <f>VLOOKUP($B359&amp;"__wt",'SegEnds_Xtal_BW#'!$A:$Z,17,FALSE)</f>
        <v>50</v>
      </c>
      <c r="R359" s="1">
        <f>VLOOKUP($B359&amp;"__wt",'SegEnds_Xtal_BW#'!$A:$Z,18,FALSE)</f>
        <v>52</v>
      </c>
      <c r="S359" s="1">
        <f>VLOOKUP($B359&amp;"__wt",'SegEnds_Xtal_BW#'!$A:$Z,19,FALSE)</f>
        <v>37</v>
      </c>
      <c r="T359" s="1">
        <f>VLOOKUP($B359&amp;"__wt",'SegEnds_Xtal_BW#'!$A:$Z,20,FALSE)</f>
        <v>61</v>
      </c>
      <c r="U359" s="1">
        <f>VLOOKUP($B359&amp;"__wt",'SegEnds_Xtal_BW#'!$A:$Z,21,FALSE)</f>
        <v>33</v>
      </c>
      <c r="V359" s="1">
        <f>VLOOKUP($B359&amp;"__wt",'SegEnds_Xtal_BW#'!$A:$Z,22,FALSE)</f>
        <v>57</v>
      </c>
      <c r="W359" s="1">
        <f>VLOOKUP($B359&amp;"__wt",'SegEnds_Xtal_BW#'!$A:$Z,23,FALSE)</f>
        <v>34</v>
      </c>
      <c r="X359" s="1">
        <f>VLOOKUP($B359&amp;"__wt",'SegEnds_Xtal_BW#'!$A:$Z,24,FALSE)</f>
        <v>63</v>
      </c>
      <c r="Y359" s="1">
        <f>VLOOKUP($B359&amp;"__wt",'SegEnds_Xtal_BW#'!$A:$Z,25,FALSE)</f>
        <v>47</v>
      </c>
      <c r="Z359" s="1">
        <f>VLOOKUP($B359&amp;"__wt",'SegEnds_Xtal_BW#'!$A:$Z,26,FALSE)</f>
        <v>59</v>
      </c>
      <c r="AA359" s="27" t="str">
        <f>VLOOKUP(A359,Classification!A:B,2,FALSE)</f>
        <v>C</v>
      </c>
      <c r="AB359" s="1">
        <f>VLOOKUP(A359,'SegEnds_NonXtal_Prot#'!A:AL,10,FALSE)-VLOOKUP(A359,'SegEnds_NonXtal_Prot#'!A:AL,7,FALSE)</f>
        <v>15</v>
      </c>
      <c r="AC359" s="1" t="e">
        <f>VLOOKUP(A359,'SegEnds_NonXtal_Prot#'!A:AL,13,FALSE)-VLOOKUP(A359,'SegEnds_NonXtal_Prot#'!A:AL,10,FALSE)</f>
        <v>#VALUE!</v>
      </c>
      <c r="AD359" s="1">
        <f>VLOOKUP(A359,'SegEnds_NonXtal_Prot#'!A:AL,16,FALSE)-VLOOKUP(A359,'SegEnds_NonXtal_Prot#'!A:AL,10,FALSE)</f>
        <v>44</v>
      </c>
      <c r="AE359" s="1" t="e">
        <f>VLOOKUP(A359,'SegEnds_NonXtal_Prot#'!A:AL,22,FALSE)-VLOOKUP(A359,'SegEnds_NonXtal_Prot#'!A:AL,19,FALSE)</f>
        <v>#VALUE!</v>
      </c>
      <c r="AF359" s="1">
        <f>VLOOKUP(A359,'SegEnds_NonXtal_Prot#'!A:AL,28,FALSE)-VLOOKUP(A359,'SegEnds_NonXtal_Prot#'!A:AL,25,FALSE)</f>
        <v>17</v>
      </c>
      <c r="AG359" s="1">
        <f>VLOOKUP(A359,'SegEnds_NonXtal_Prot#'!A:AL,28,FALSE)-VLOOKUP(A359,'SegEnds_NonXtal_Prot#'!A:AL,22,FALSE)</f>
        <v>49</v>
      </c>
      <c r="AH359" s="1">
        <f>VLOOKUP(A359,'SegEnds_NonXtal_Prot#'!A:AL,31,FALSE)-VLOOKUP(A359,'SegEnds_NonXtal_Prot#'!A:AL,28,FALSE)</f>
        <v>37</v>
      </c>
      <c r="AI359" s="1">
        <f>VLOOKUP(A359,'SegEnds_NonXtal_Prot#'!A:AL,34,FALSE)-VLOOKUP(A359,'SegEnds_NonXtal_Prot#'!A:AL,31,FALSE)</f>
        <v>27</v>
      </c>
      <c r="AJ359" s="1" t="str">
        <f>IF(ISERROR(MATCH(A359,'SegEnds_Xtal_Prot#'!B:B, 0)), "NoXtal", "Xtal")</f>
        <v>Xtal</v>
      </c>
    </row>
    <row r="360" spans="1:36" x14ac:dyDescent="0.2">
      <c r="A360" s="1" t="s">
        <v>118</v>
      </c>
      <c r="B360" s="1" t="str">
        <f>VLOOKUP(A360,Xtal_Templ!A:B,2,FALSE)</f>
        <v>grm5_human</v>
      </c>
      <c r="C360" s="5">
        <f>VLOOKUP($B360&amp;"__wt",'SegEnds_Xtal_BW#'!$A:$Z,3,FALSE)</f>
        <v>34</v>
      </c>
      <c r="D360" s="1">
        <f>VLOOKUP($B360&amp;"__wt",'SegEnds_Xtal_BW#'!$A:$Z,4,FALSE)</f>
        <v>60</v>
      </c>
      <c r="E360" s="1">
        <f>VLOOKUP($B360&amp;"__wt",'SegEnds_Xtal_BW#'!$A:$Z,5,FALSE)</f>
        <v>47</v>
      </c>
      <c r="F360" s="1">
        <f>VLOOKUP($B360&amp;"__wt",'SegEnds_Xtal_BW#'!$A:$Z,6,FALSE)</f>
        <v>53</v>
      </c>
      <c r="G360" s="1">
        <v>39</v>
      </c>
      <c r="H360" s="12">
        <f>VLOOKUP($B360&amp;"__wt",'SegEnds_Xtal_BW#'!$A:$Z,8,FALSE)</f>
        <v>61</v>
      </c>
      <c r="I360" s="1" t="str">
        <f>VLOOKUP($B360&amp;"__wt",'SegEnds_Xtal_BW#'!$A:$Z,9,FALSE)</f>
        <v>-</v>
      </c>
      <c r="J360" s="1" t="str">
        <f>VLOOKUP($B360&amp;"__wt",'SegEnds_Xtal_BW#'!$A:$Z,10,FALSE)</f>
        <v>-</v>
      </c>
      <c r="K360" s="12">
        <f>VLOOKUP($B360&amp;"__wt",'SegEnds_Xtal_BW#'!$A:$Z,11,FALSE)</f>
        <v>22</v>
      </c>
      <c r="L360" s="1">
        <f>VLOOKUP($B360&amp;"__wt",'SegEnds_Xtal_BW#'!$A:$Z,12,FALSE)</f>
        <v>54</v>
      </c>
      <c r="M360" s="1" t="str">
        <f>VLOOKUP($B360&amp;"__wt",'SegEnds_Xtal_BW#'!$A:$Z,13,FALSE)</f>
        <v>-</v>
      </c>
      <c r="N360" s="12" t="str">
        <f>VLOOKUP($B360&amp;"__wt",'SegEnds_Xtal_BW#'!$A:$Z,14,FALSE)</f>
        <v>-</v>
      </c>
      <c r="O360" s="89">
        <f>VLOOKUP($B360&amp;"__wt",'SegEnds_Xtal_BW#'!$A:$Z,15,FALSE)</f>
        <v>38</v>
      </c>
      <c r="P360" s="1">
        <f>VLOOKUP($B360&amp;"__wt",'SegEnds_Xtal_BW#'!$A:$Z,16,FALSE)</f>
        <v>64</v>
      </c>
      <c r="Q360" s="1">
        <f>VLOOKUP($B360&amp;"__wt",'SegEnds_Xtal_BW#'!$A:$Z,17,FALSE)</f>
        <v>50</v>
      </c>
      <c r="R360" s="1">
        <f>VLOOKUP($B360&amp;"__wt",'SegEnds_Xtal_BW#'!$A:$Z,18,FALSE)</f>
        <v>52</v>
      </c>
      <c r="S360" s="1">
        <f>VLOOKUP($B360&amp;"__wt",'SegEnds_Xtal_BW#'!$A:$Z,19,FALSE)</f>
        <v>37</v>
      </c>
      <c r="T360" s="1">
        <f>VLOOKUP($B360&amp;"__wt",'SegEnds_Xtal_BW#'!$A:$Z,20,FALSE)</f>
        <v>61</v>
      </c>
      <c r="U360" s="1">
        <f>VLOOKUP($B360&amp;"__wt",'SegEnds_Xtal_BW#'!$A:$Z,21,FALSE)</f>
        <v>33</v>
      </c>
      <c r="V360" s="1">
        <f>VLOOKUP($B360&amp;"__wt",'SegEnds_Xtal_BW#'!$A:$Z,22,FALSE)</f>
        <v>57</v>
      </c>
      <c r="W360" s="1">
        <f>VLOOKUP($B360&amp;"__wt",'SegEnds_Xtal_BW#'!$A:$Z,23,FALSE)</f>
        <v>34</v>
      </c>
      <c r="X360" s="1">
        <f>VLOOKUP($B360&amp;"__wt",'SegEnds_Xtal_BW#'!$A:$Z,24,FALSE)</f>
        <v>63</v>
      </c>
      <c r="Y360" s="1">
        <f>VLOOKUP($B360&amp;"__wt",'SegEnds_Xtal_BW#'!$A:$Z,25,FALSE)</f>
        <v>47</v>
      </c>
      <c r="Z360" s="1">
        <f>VLOOKUP($B360&amp;"__wt",'SegEnds_Xtal_BW#'!$A:$Z,26,FALSE)</f>
        <v>59</v>
      </c>
      <c r="AA360" s="27" t="str">
        <f>VLOOKUP(A360,Classification!A:B,2,FALSE)</f>
        <v>C</v>
      </c>
      <c r="AB360" s="1">
        <f>VLOOKUP(A360,'SegEnds_NonXtal_Prot#'!A:AL,10,FALSE)-VLOOKUP(A360,'SegEnds_NonXtal_Prot#'!A:AL,7,FALSE)</f>
        <v>15</v>
      </c>
      <c r="AC360" s="1" t="e">
        <f>VLOOKUP(A360,'SegEnds_NonXtal_Prot#'!A:AL,13,FALSE)-VLOOKUP(A360,'SegEnds_NonXtal_Prot#'!A:AL,10,FALSE)</f>
        <v>#VALUE!</v>
      </c>
      <c r="AD360" s="1">
        <f>VLOOKUP(A360,'SegEnds_NonXtal_Prot#'!A:AL,16,FALSE)-VLOOKUP(A360,'SegEnds_NonXtal_Prot#'!A:AL,10,FALSE)</f>
        <v>44</v>
      </c>
      <c r="AE360" s="1" t="e">
        <f>VLOOKUP(A360,'SegEnds_NonXtal_Prot#'!A:AL,22,FALSE)-VLOOKUP(A360,'SegEnds_NonXtal_Prot#'!A:AL,19,FALSE)</f>
        <v>#VALUE!</v>
      </c>
      <c r="AF360" s="1">
        <f>VLOOKUP(A360,'SegEnds_NonXtal_Prot#'!A:AL,28,FALSE)-VLOOKUP(A360,'SegEnds_NonXtal_Prot#'!A:AL,25,FALSE)</f>
        <v>17</v>
      </c>
      <c r="AG360" s="1">
        <f>VLOOKUP(A360,'SegEnds_NonXtal_Prot#'!A:AL,28,FALSE)-VLOOKUP(A360,'SegEnds_NonXtal_Prot#'!A:AL,22,FALSE)</f>
        <v>56</v>
      </c>
      <c r="AH360" s="1">
        <f>VLOOKUP(A360,'SegEnds_NonXtal_Prot#'!A:AL,31,FALSE)-VLOOKUP(A360,'SegEnds_NonXtal_Prot#'!A:AL,28,FALSE)</f>
        <v>37</v>
      </c>
      <c r="AI360" s="1">
        <f>VLOOKUP(A360,'SegEnds_NonXtal_Prot#'!A:AL,34,FALSE)-VLOOKUP(A360,'SegEnds_NonXtal_Prot#'!A:AL,31,FALSE)</f>
        <v>34</v>
      </c>
      <c r="AJ360" s="1" t="str">
        <f>IF(ISERROR(MATCH(A360,'SegEnds_Xtal_Prot#'!B:B, 0)), "NoXtal", "Xtal")</f>
        <v>NoXtal</v>
      </c>
    </row>
    <row r="361" spans="1:36" x14ac:dyDescent="0.2">
      <c r="A361" s="1" t="s">
        <v>119</v>
      </c>
      <c r="B361" s="1" t="str">
        <f>VLOOKUP(A361,Xtal_Templ!A:B,2,FALSE)</f>
        <v>grm5_human</v>
      </c>
      <c r="C361" s="5">
        <f>VLOOKUP($B361&amp;"__wt",'SegEnds_Xtal_BW#'!$A:$Z,3,FALSE)</f>
        <v>34</v>
      </c>
      <c r="D361" s="1">
        <f>VLOOKUP($B361&amp;"__wt",'SegEnds_Xtal_BW#'!$A:$Z,4,FALSE)</f>
        <v>60</v>
      </c>
      <c r="E361" s="1">
        <f>VLOOKUP($B361&amp;"__wt",'SegEnds_Xtal_BW#'!$A:$Z,5,FALSE)</f>
        <v>47</v>
      </c>
      <c r="F361" s="1">
        <f>VLOOKUP($B361&amp;"__wt",'SegEnds_Xtal_BW#'!$A:$Z,6,FALSE)</f>
        <v>53</v>
      </c>
      <c r="G361" s="1">
        <v>39</v>
      </c>
      <c r="H361" s="12">
        <f>VLOOKUP($B361&amp;"__wt",'SegEnds_Xtal_BW#'!$A:$Z,8,FALSE)</f>
        <v>61</v>
      </c>
      <c r="I361" s="1" t="str">
        <f>VLOOKUP($B361&amp;"__wt",'SegEnds_Xtal_BW#'!$A:$Z,9,FALSE)</f>
        <v>-</v>
      </c>
      <c r="J361" s="1" t="str">
        <f>VLOOKUP($B361&amp;"__wt",'SegEnds_Xtal_BW#'!$A:$Z,10,FALSE)</f>
        <v>-</v>
      </c>
      <c r="K361" s="12">
        <f>VLOOKUP($B361&amp;"__wt",'SegEnds_Xtal_BW#'!$A:$Z,11,FALSE)</f>
        <v>22</v>
      </c>
      <c r="L361" s="1">
        <f>VLOOKUP($B361&amp;"__wt",'SegEnds_Xtal_BW#'!$A:$Z,12,FALSE)</f>
        <v>54</v>
      </c>
      <c r="M361" s="1" t="str">
        <f>VLOOKUP($B361&amp;"__wt",'SegEnds_Xtal_BW#'!$A:$Z,13,FALSE)</f>
        <v>-</v>
      </c>
      <c r="N361" s="12" t="str">
        <f>VLOOKUP($B361&amp;"__wt",'SegEnds_Xtal_BW#'!$A:$Z,14,FALSE)</f>
        <v>-</v>
      </c>
      <c r="O361" s="89">
        <f>VLOOKUP($B361&amp;"__wt",'SegEnds_Xtal_BW#'!$A:$Z,15,FALSE)</f>
        <v>38</v>
      </c>
      <c r="P361" s="1">
        <f>VLOOKUP($B361&amp;"__wt",'SegEnds_Xtal_BW#'!$A:$Z,16,FALSE)</f>
        <v>64</v>
      </c>
      <c r="Q361" s="1">
        <f>VLOOKUP($B361&amp;"__wt",'SegEnds_Xtal_BW#'!$A:$Z,17,FALSE)</f>
        <v>50</v>
      </c>
      <c r="R361" s="1">
        <f>VLOOKUP($B361&amp;"__wt",'SegEnds_Xtal_BW#'!$A:$Z,18,FALSE)</f>
        <v>52</v>
      </c>
      <c r="S361" s="1">
        <f>VLOOKUP($B361&amp;"__wt",'SegEnds_Xtal_BW#'!$A:$Z,19,FALSE)</f>
        <v>37</v>
      </c>
      <c r="T361" s="1">
        <f>VLOOKUP($B361&amp;"__wt",'SegEnds_Xtal_BW#'!$A:$Z,20,FALSE)</f>
        <v>61</v>
      </c>
      <c r="U361" s="1">
        <f>VLOOKUP($B361&amp;"__wt",'SegEnds_Xtal_BW#'!$A:$Z,21,FALSE)</f>
        <v>33</v>
      </c>
      <c r="V361" s="1">
        <f>VLOOKUP($B361&amp;"__wt",'SegEnds_Xtal_BW#'!$A:$Z,22,FALSE)</f>
        <v>57</v>
      </c>
      <c r="W361" s="1">
        <f>VLOOKUP($B361&amp;"__wt",'SegEnds_Xtal_BW#'!$A:$Z,23,FALSE)</f>
        <v>34</v>
      </c>
      <c r="X361" s="1">
        <f>VLOOKUP($B361&amp;"__wt",'SegEnds_Xtal_BW#'!$A:$Z,24,FALSE)</f>
        <v>63</v>
      </c>
      <c r="Y361" s="1">
        <f>VLOOKUP($B361&amp;"__wt",'SegEnds_Xtal_BW#'!$A:$Z,25,FALSE)</f>
        <v>47</v>
      </c>
      <c r="Z361" s="1">
        <f>VLOOKUP($B361&amp;"__wt",'SegEnds_Xtal_BW#'!$A:$Z,26,FALSE)</f>
        <v>59</v>
      </c>
      <c r="AA361" s="27" t="str">
        <f>VLOOKUP(A361,Classification!A:B,2,FALSE)</f>
        <v>C</v>
      </c>
      <c r="AB361" s="1">
        <f>VLOOKUP(A361,'SegEnds_NonXtal_Prot#'!A:AL,10,FALSE)-VLOOKUP(A361,'SegEnds_NonXtal_Prot#'!A:AL,7,FALSE)</f>
        <v>15</v>
      </c>
      <c r="AC361" s="1" t="e">
        <f>VLOOKUP(A361,'SegEnds_NonXtal_Prot#'!A:AL,13,FALSE)-VLOOKUP(A361,'SegEnds_NonXtal_Prot#'!A:AL,10,FALSE)</f>
        <v>#VALUE!</v>
      </c>
      <c r="AD361" s="1">
        <f>VLOOKUP(A361,'SegEnds_NonXtal_Prot#'!A:AL,16,FALSE)-VLOOKUP(A361,'SegEnds_NonXtal_Prot#'!A:AL,10,FALSE)</f>
        <v>44</v>
      </c>
      <c r="AE361" s="1" t="e">
        <f>VLOOKUP(A361,'SegEnds_NonXtal_Prot#'!A:AL,22,FALSE)-VLOOKUP(A361,'SegEnds_NonXtal_Prot#'!A:AL,19,FALSE)</f>
        <v>#VALUE!</v>
      </c>
      <c r="AF361" s="1">
        <f>VLOOKUP(A361,'SegEnds_NonXtal_Prot#'!A:AL,28,FALSE)-VLOOKUP(A361,'SegEnds_NonXtal_Prot#'!A:AL,25,FALSE)</f>
        <v>17</v>
      </c>
      <c r="AG361" s="1">
        <f>VLOOKUP(A361,'SegEnds_NonXtal_Prot#'!A:AL,28,FALSE)-VLOOKUP(A361,'SegEnds_NonXtal_Prot#'!A:AL,22,FALSE)</f>
        <v>56</v>
      </c>
      <c r="AH361" s="1">
        <f>VLOOKUP(A361,'SegEnds_NonXtal_Prot#'!A:AL,31,FALSE)-VLOOKUP(A361,'SegEnds_NonXtal_Prot#'!A:AL,28,FALSE)</f>
        <v>37</v>
      </c>
      <c r="AI361" s="1">
        <f>VLOOKUP(A361,'SegEnds_NonXtal_Prot#'!A:AL,34,FALSE)-VLOOKUP(A361,'SegEnds_NonXtal_Prot#'!A:AL,31,FALSE)</f>
        <v>34</v>
      </c>
      <c r="AJ361" s="1" t="str">
        <f>IF(ISERROR(MATCH(A361,'SegEnds_Xtal_Prot#'!B:B, 0)), "NoXtal", "Xtal")</f>
        <v>NoXtal</v>
      </c>
    </row>
    <row r="362" spans="1:36" x14ac:dyDescent="0.2">
      <c r="A362" s="1" t="s">
        <v>120</v>
      </c>
      <c r="B362" s="1" t="str">
        <f>VLOOKUP(A362,Xtal_Templ!A:B,2,FALSE)</f>
        <v>grm5_human</v>
      </c>
      <c r="C362" s="5">
        <f>VLOOKUP($B362&amp;"__wt",'SegEnds_Xtal_BW#'!$A:$Z,3,FALSE)</f>
        <v>34</v>
      </c>
      <c r="D362" s="1">
        <f>VLOOKUP($B362&amp;"__wt",'SegEnds_Xtal_BW#'!$A:$Z,4,FALSE)</f>
        <v>60</v>
      </c>
      <c r="E362" s="1">
        <f>VLOOKUP($B362&amp;"__wt",'SegEnds_Xtal_BW#'!$A:$Z,5,FALSE)</f>
        <v>47</v>
      </c>
      <c r="F362" s="1">
        <f>VLOOKUP($B362&amp;"__wt",'SegEnds_Xtal_BW#'!$A:$Z,6,FALSE)</f>
        <v>53</v>
      </c>
      <c r="G362" s="1">
        <v>39</v>
      </c>
      <c r="H362" s="12">
        <f>VLOOKUP($B362&amp;"__wt",'SegEnds_Xtal_BW#'!$A:$Z,8,FALSE)</f>
        <v>61</v>
      </c>
      <c r="I362" s="1" t="str">
        <f>VLOOKUP($B362&amp;"__wt",'SegEnds_Xtal_BW#'!$A:$Z,9,FALSE)</f>
        <v>-</v>
      </c>
      <c r="J362" s="1" t="str">
        <f>VLOOKUP($B362&amp;"__wt",'SegEnds_Xtal_BW#'!$A:$Z,10,FALSE)</f>
        <v>-</v>
      </c>
      <c r="K362" s="12">
        <f>VLOOKUP($B362&amp;"__wt",'SegEnds_Xtal_BW#'!$A:$Z,11,FALSE)</f>
        <v>22</v>
      </c>
      <c r="L362" s="1">
        <f>VLOOKUP($B362&amp;"__wt",'SegEnds_Xtal_BW#'!$A:$Z,12,FALSE)</f>
        <v>54</v>
      </c>
      <c r="M362" s="1" t="str">
        <f>VLOOKUP($B362&amp;"__wt",'SegEnds_Xtal_BW#'!$A:$Z,13,FALSE)</f>
        <v>-</v>
      </c>
      <c r="N362" s="12" t="str">
        <f>VLOOKUP($B362&amp;"__wt",'SegEnds_Xtal_BW#'!$A:$Z,14,FALSE)</f>
        <v>-</v>
      </c>
      <c r="O362" s="89">
        <f>VLOOKUP($B362&amp;"__wt",'SegEnds_Xtal_BW#'!$A:$Z,15,FALSE)</f>
        <v>38</v>
      </c>
      <c r="P362" s="1">
        <f>VLOOKUP($B362&amp;"__wt",'SegEnds_Xtal_BW#'!$A:$Z,16,FALSE)</f>
        <v>64</v>
      </c>
      <c r="Q362" s="1">
        <f>VLOOKUP($B362&amp;"__wt",'SegEnds_Xtal_BW#'!$A:$Z,17,FALSE)</f>
        <v>50</v>
      </c>
      <c r="R362" s="1">
        <f>VLOOKUP($B362&amp;"__wt",'SegEnds_Xtal_BW#'!$A:$Z,18,FALSE)</f>
        <v>52</v>
      </c>
      <c r="S362" s="1">
        <f>VLOOKUP($B362&amp;"__wt",'SegEnds_Xtal_BW#'!$A:$Z,19,FALSE)</f>
        <v>37</v>
      </c>
      <c r="T362" s="1">
        <f>VLOOKUP($B362&amp;"__wt",'SegEnds_Xtal_BW#'!$A:$Z,20,FALSE)</f>
        <v>61</v>
      </c>
      <c r="U362" s="1">
        <f>VLOOKUP($B362&amp;"__wt",'SegEnds_Xtal_BW#'!$A:$Z,21,FALSE)</f>
        <v>33</v>
      </c>
      <c r="V362" s="1">
        <f>VLOOKUP($B362&amp;"__wt",'SegEnds_Xtal_BW#'!$A:$Z,22,FALSE)</f>
        <v>57</v>
      </c>
      <c r="W362" s="1">
        <f>VLOOKUP($B362&amp;"__wt",'SegEnds_Xtal_BW#'!$A:$Z,23,FALSE)</f>
        <v>34</v>
      </c>
      <c r="X362" s="1">
        <f>VLOOKUP($B362&amp;"__wt",'SegEnds_Xtal_BW#'!$A:$Z,24,FALSE)</f>
        <v>63</v>
      </c>
      <c r="Y362" s="1">
        <f>VLOOKUP($B362&amp;"__wt",'SegEnds_Xtal_BW#'!$A:$Z,25,FALSE)</f>
        <v>47</v>
      </c>
      <c r="Z362" s="1">
        <f>VLOOKUP($B362&amp;"__wt",'SegEnds_Xtal_BW#'!$A:$Z,26,FALSE)</f>
        <v>59</v>
      </c>
      <c r="AA362" s="27" t="str">
        <f>VLOOKUP(A362,Classification!A:B,2,FALSE)</f>
        <v>C</v>
      </c>
      <c r="AB362" s="1">
        <f>VLOOKUP(A362,'SegEnds_NonXtal_Prot#'!A:AL,10,FALSE)-VLOOKUP(A362,'SegEnds_NonXtal_Prot#'!A:AL,7,FALSE)</f>
        <v>15</v>
      </c>
      <c r="AC362" s="1" t="e">
        <f>VLOOKUP(A362,'SegEnds_NonXtal_Prot#'!A:AL,13,FALSE)-VLOOKUP(A362,'SegEnds_NonXtal_Prot#'!A:AL,10,FALSE)</f>
        <v>#VALUE!</v>
      </c>
      <c r="AD362" s="1">
        <f>VLOOKUP(A362,'SegEnds_NonXtal_Prot#'!A:AL,16,FALSE)-VLOOKUP(A362,'SegEnds_NonXtal_Prot#'!A:AL,10,FALSE)</f>
        <v>44</v>
      </c>
      <c r="AE362" s="1" t="e">
        <f>VLOOKUP(A362,'SegEnds_NonXtal_Prot#'!A:AL,22,FALSE)-VLOOKUP(A362,'SegEnds_NonXtal_Prot#'!A:AL,19,FALSE)</f>
        <v>#VALUE!</v>
      </c>
      <c r="AF362" s="1">
        <f>VLOOKUP(A362,'SegEnds_NonXtal_Prot#'!A:AL,28,FALSE)-VLOOKUP(A362,'SegEnds_NonXtal_Prot#'!A:AL,25,FALSE)</f>
        <v>17</v>
      </c>
      <c r="AG362" s="1">
        <f>VLOOKUP(A362,'SegEnds_NonXtal_Prot#'!A:AL,28,FALSE)-VLOOKUP(A362,'SegEnds_NonXtal_Prot#'!A:AL,22,FALSE)</f>
        <v>56</v>
      </c>
      <c r="AH362" s="1">
        <f>VLOOKUP(A362,'SegEnds_NonXtal_Prot#'!A:AL,31,FALSE)-VLOOKUP(A362,'SegEnds_NonXtal_Prot#'!A:AL,28,FALSE)</f>
        <v>37</v>
      </c>
      <c r="AI362" s="1">
        <f>VLOOKUP(A362,'SegEnds_NonXtal_Prot#'!A:AL,34,FALSE)-VLOOKUP(A362,'SegEnds_NonXtal_Prot#'!A:AL,31,FALSE)</f>
        <v>34</v>
      </c>
      <c r="AJ362" s="1" t="str">
        <f>IF(ISERROR(MATCH(A362,'SegEnds_Xtal_Prot#'!B:B, 0)), "NoXtal", "Xtal")</f>
        <v>NoXtal</v>
      </c>
    </row>
    <row r="363" spans="1:36" x14ac:dyDescent="0.2">
      <c r="A363" s="1" t="s">
        <v>121</v>
      </c>
      <c r="B363" s="1" t="str">
        <f>VLOOKUP(A363,Xtal_Templ!A:B,2,FALSE)</f>
        <v>grm1_human</v>
      </c>
      <c r="C363" s="5">
        <f>VLOOKUP($B363&amp;"__wt",'SegEnds_Xtal_BW#'!$A:$Z,3,FALSE)</f>
        <v>34</v>
      </c>
      <c r="D363" s="1">
        <f>VLOOKUP($B363&amp;"__wt",'SegEnds_Xtal_BW#'!$A:$Z,4,FALSE)</f>
        <v>60</v>
      </c>
      <c r="E363" s="1">
        <f>VLOOKUP($B363&amp;"__wt",'SegEnds_Xtal_BW#'!$A:$Z,5,FALSE)</f>
        <v>47</v>
      </c>
      <c r="F363" s="1">
        <f>VLOOKUP($B363&amp;"__wt",'SegEnds_Xtal_BW#'!$A:$Z,6,FALSE)</f>
        <v>53</v>
      </c>
      <c r="G363" s="1">
        <v>39</v>
      </c>
      <c r="H363" s="12">
        <f>VLOOKUP($B363&amp;"__wt",'SegEnds_Xtal_BW#'!$A:$Z,8,FALSE)</f>
        <v>61</v>
      </c>
      <c r="I363" s="1" t="str">
        <f>VLOOKUP($B363&amp;"__wt",'SegEnds_Xtal_BW#'!$A:$Z,9,FALSE)</f>
        <v>-</v>
      </c>
      <c r="J363" s="1" t="str">
        <f>VLOOKUP($B363&amp;"__wt",'SegEnds_Xtal_BW#'!$A:$Z,10,FALSE)</f>
        <v>-</v>
      </c>
      <c r="K363" s="12">
        <f>VLOOKUP($B363&amp;"__wt",'SegEnds_Xtal_BW#'!$A:$Z,11,FALSE)</f>
        <v>22</v>
      </c>
      <c r="L363" s="1">
        <f>VLOOKUP($B363&amp;"__wt",'SegEnds_Xtal_BW#'!$A:$Z,12,FALSE)</f>
        <v>54</v>
      </c>
      <c r="M363" s="1" t="str">
        <f>VLOOKUP($B363&amp;"__wt",'SegEnds_Xtal_BW#'!$A:$Z,13,FALSE)</f>
        <v>-</v>
      </c>
      <c r="N363" s="12" t="str">
        <f>VLOOKUP($B363&amp;"__wt",'SegEnds_Xtal_BW#'!$A:$Z,14,FALSE)</f>
        <v>-</v>
      </c>
      <c r="O363" s="89">
        <f>VLOOKUP($B363&amp;"__wt",'SegEnds_Xtal_BW#'!$A:$Z,15,FALSE)</f>
        <v>38</v>
      </c>
      <c r="P363" s="1">
        <f>VLOOKUP($B363&amp;"__wt",'SegEnds_Xtal_BW#'!$A:$Z,16,FALSE)</f>
        <v>64</v>
      </c>
      <c r="Q363" s="1">
        <f>VLOOKUP($B363&amp;"__wt",'SegEnds_Xtal_BW#'!$A:$Z,17,FALSE)</f>
        <v>50</v>
      </c>
      <c r="R363" s="1">
        <f>VLOOKUP($B363&amp;"__wt",'SegEnds_Xtal_BW#'!$A:$Z,18,FALSE)</f>
        <v>52</v>
      </c>
      <c r="S363" s="1">
        <f>VLOOKUP($B363&amp;"__wt",'SegEnds_Xtal_BW#'!$A:$Z,19,FALSE)</f>
        <v>37</v>
      </c>
      <c r="T363" s="1">
        <f>VLOOKUP($B363&amp;"__wt",'SegEnds_Xtal_BW#'!$A:$Z,20,FALSE)</f>
        <v>61</v>
      </c>
      <c r="U363" s="1">
        <f>VLOOKUP($B363&amp;"__wt",'SegEnds_Xtal_BW#'!$A:$Z,21,FALSE)</f>
        <v>33</v>
      </c>
      <c r="V363" s="1">
        <f>VLOOKUP($B363&amp;"__wt",'SegEnds_Xtal_BW#'!$A:$Z,22,FALSE)</f>
        <v>57</v>
      </c>
      <c r="W363" s="1">
        <f>VLOOKUP($B363&amp;"__wt",'SegEnds_Xtal_BW#'!$A:$Z,23,FALSE)</f>
        <v>34</v>
      </c>
      <c r="X363" s="1">
        <f>VLOOKUP($B363&amp;"__wt",'SegEnds_Xtal_BW#'!$A:$Z,24,FALSE)</f>
        <v>63</v>
      </c>
      <c r="Y363" s="1">
        <f>VLOOKUP($B363&amp;"__wt",'SegEnds_Xtal_BW#'!$A:$Z,25,FALSE)</f>
        <v>47</v>
      </c>
      <c r="Z363" s="1">
        <f>VLOOKUP($B363&amp;"__wt",'SegEnds_Xtal_BW#'!$A:$Z,26,FALSE)</f>
        <v>59</v>
      </c>
      <c r="AA363" s="27" t="str">
        <f>VLOOKUP(A363,Classification!A:B,2,FALSE)</f>
        <v>C</v>
      </c>
      <c r="AB363" s="1">
        <f>VLOOKUP(A363,'SegEnds_NonXtal_Prot#'!A:AL,10,FALSE)-VLOOKUP(A363,'SegEnds_NonXtal_Prot#'!A:AL,7,FALSE)</f>
        <v>19</v>
      </c>
      <c r="AC363" s="1" t="e">
        <f>VLOOKUP(A363,'SegEnds_NonXtal_Prot#'!A:AL,13,FALSE)-VLOOKUP(A363,'SegEnds_NonXtal_Prot#'!A:AL,10,FALSE)</f>
        <v>#VALUE!</v>
      </c>
      <c r="AD363" s="1">
        <f>VLOOKUP(A363,'SegEnds_NonXtal_Prot#'!A:AL,16,FALSE)-VLOOKUP(A363,'SegEnds_NonXtal_Prot#'!A:AL,10,FALSE)</f>
        <v>44</v>
      </c>
      <c r="AE363" s="1" t="e">
        <f>VLOOKUP(A363,'SegEnds_NonXtal_Prot#'!A:AL,22,FALSE)-VLOOKUP(A363,'SegEnds_NonXtal_Prot#'!A:AL,19,FALSE)</f>
        <v>#VALUE!</v>
      </c>
      <c r="AF363" s="1" t="e">
        <f>VLOOKUP(A363,'SegEnds_NonXtal_Prot#'!A:AL,28,FALSE)-VLOOKUP(A363,'SegEnds_NonXtal_Prot#'!A:AL,25,FALSE)</f>
        <v>#VALUE!</v>
      </c>
      <c r="AG363" s="1">
        <f>VLOOKUP(A363,'SegEnds_NonXtal_Prot#'!A:AL,28,FALSE)-VLOOKUP(A363,'SegEnds_NonXtal_Prot#'!A:AL,22,FALSE)</f>
        <v>45</v>
      </c>
      <c r="AH363" s="1">
        <f>VLOOKUP(A363,'SegEnds_NonXtal_Prot#'!A:AL,31,FALSE)-VLOOKUP(A363,'SegEnds_NonXtal_Prot#'!A:AL,28,FALSE)</f>
        <v>39</v>
      </c>
      <c r="AI363" s="1">
        <f>VLOOKUP(A363,'SegEnds_NonXtal_Prot#'!A:AL,34,FALSE)-VLOOKUP(A363,'SegEnds_NonXtal_Prot#'!A:AL,31,FALSE)</f>
        <v>31</v>
      </c>
      <c r="AJ363" s="1" t="str">
        <f>IF(ISERROR(MATCH(A363,'SegEnds_Xtal_Prot#'!B:B, 0)), "NoXtal", "Xtal")</f>
        <v>NoXtal</v>
      </c>
    </row>
    <row r="364" spans="1:36" x14ac:dyDescent="0.2">
      <c r="A364" s="1" t="s">
        <v>122</v>
      </c>
      <c r="B364" s="1" t="str">
        <f>VLOOKUP(A364,Xtal_Templ!A:B,2,FALSE)</f>
        <v>grm1_human</v>
      </c>
      <c r="C364" s="5">
        <f>VLOOKUP($B364&amp;"__wt",'SegEnds_Xtal_BW#'!$A:$Z,3,FALSE)</f>
        <v>34</v>
      </c>
      <c r="D364" s="1">
        <f>VLOOKUP($B364&amp;"__wt",'SegEnds_Xtal_BW#'!$A:$Z,4,FALSE)</f>
        <v>60</v>
      </c>
      <c r="E364" s="1">
        <f>VLOOKUP($B364&amp;"__wt",'SegEnds_Xtal_BW#'!$A:$Z,5,FALSE)</f>
        <v>47</v>
      </c>
      <c r="F364" s="1">
        <f>VLOOKUP($B364&amp;"__wt",'SegEnds_Xtal_BW#'!$A:$Z,6,FALSE)</f>
        <v>53</v>
      </c>
      <c r="G364" s="1">
        <v>39</v>
      </c>
      <c r="H364" s="12">
        <f>VLOOKUP($B364&amp;"__wt",'SegEnds_Xtal_BW#'!$A:$Z,8,FALSE)</f>
        <v>61</v>
      </c>
      <c r="I364" s="1" t="str">
        <f>VLOOKUP($B364&amp;"__wt",'SegEnds_Xtal_BW#'!$A:$Z,9,FALSE)</f>
        <v>-</v>
      </c>
      <c r="J364" s="1" t="str">
        <f>VLOOKUP($B364&amp;"__wt",'SegEnds_Xtal_BW#'!$A:$Z,10,FALSE)</f>
        <v>-</v>
      </c>
      <c r="K364" s="12">
        <f>VLOOKUP($B364&amp;"__wt",'SegEnds_Xtal_BW#'!$A:$Z,11,FALSE)</f>
        <v>22</v>
      </c>
      <c r="L364" s="1">
        <f>VLOOKUP($B364&amp;"__wt",'SegEnds_Xtal_BW#'!$A:$Z,12,FALSE)</f>
        <v>54</v>
      </c>
      <c r="M364" s="1" t="str">
        <f>VLOOKUP($B364&amp;"__wt",'SegEnds_Xtal_BW#'!$A:$Z,13,FALSE)</f>
        <v>-</v>
      </c>
      <c r="N364" s="12" t="str">
        <f>VLOOKUP($B364&amp;"__wt",'SegEnds_Xtal_BW#'!$A:$Z,14,FALSE)</f>
        <v>-</v>
      </c>
      <c r="O364" s="89">
        <f>VLOOKUP($B364&amp;"__wt",'SegEnds_Xtal_BW#'!$A:$Z,15,FALSE)</f>
        <v>38</v>
      </c>
      <c r="P364" s="1">
        <f>VLOOKUP($B364&amp;"__wt",'SegEnds_Xtal_BW#'!$A:$Z,16,FALSE)</f>
        <v>64</v>
      </c>
      <c r="Q364" s="1">
        <f>VLOOKUP($B364&amp;"__wt",'SegEnds_Xtal_BW#'!$A:$Z,17,FALSE)</f>
        <v>50</v>
      </c>
      <c r="R364" s="1">
        <f>VLOOKUP($B364&amp;"__wt",'SegEnds_Xtal_BW#'!$A:$Z,18,FALSE)</f>
        <v>52</v>
      </c>
      <c r="S364" s="1">
        <f>VLOOKUP($B364&amp;"__wt",'SegEnds_Xtal_BW#'!$A:$Z,19,FALSE)</f>
        <v>37</v>
      </c>
      <c r="T364" s="1">
        <f>VLOOKUP($B364&amp;"__wt",'SegEnds_Xtal_BW#'!$A:$Z,20,FALSE)</f>
        <v>61</v>
      </c>
      <c r="U364" s="1">
        <f>VLOOKUP($B364&amp;"__wt",'SegEnds_Xtal_BW#'!$A:$Z,21,FALSE)</f>
        <v>33</v>
      </c>
      <c r="V364" s="1">
        <f>VLOOKUP($B364&amp;"__wt",'SegEnds_Xtal_BW#'!$A:$Z,22,FALSE)</f>
        <v>57</v>
      </c>
      <c r="W364" s="1">
        <f>VLOOKUP($B364&amp;"__wt",'SegEnds_Xtal_BW#'!$A:$Z,23,FALSE)</f>
        <v>34</v>
      </c>
      <c r="X364" s="1">
        <f>VLOOKUP($B364&amp;"__wt",'SegEnds_Xtal_BW#'!$A:$Z,24,FALSE)</f>
        <v>63</v>
      </c>
      <c r="Y364" s="1">
        <f>VLOOKUP($B364&amp;"__wt",'SegEnds_Xtal_BW#'!$A:$Z,25,FALSE)</f>
        <v>47</v>
      </c>
      <c r="Z364" s="1">
        <f>VLOOKUP($B364&amp;"__wt",'SegEnds_Xtal_BW#'!$A:$Z,26,FALSE)</f>
        <v>59</v>
      </c>
      <c r="AA364" s="27" t="str">
        <f>VLOOKUP(A364,Classification!A:B,2,FALSE)</f>
        <v>C</v>
      </c>
      <c r="AB364" s="1">
        <f>VLOOKUP(A364,'SegEnds_NonXtal_Prot#'!A:AL,10,FALSE)-VLOOKUP(A364,'SegEnds_NonXtal_Prot#'!A:AL,7,FALSE)</f>
        <v>15</v>
      </c>
      <c r="AC364" s="1" t="e">
        <f>VLOOKUP(A364,'SegEnds_NonXtal_Prot#'!A:AL,13,FALSE)-VLOOKUP(A364,'SegEnds_NonXtal_Prot#'!A:AL,10,FALSE)</f>
        <v>#VALUE!</v>
      </c>
      <c r="AD364" s="1">
        <f>VLOOKUP(A364,'SegEnds_NonXtal_Prot#'!A:AL,16,FALSE)-VLOOKUP(A364,'SegEnds_NonXtal_Prot#'!A:AL,10,FALSE)</f>
        <v>44</v>
      </c>
      <c r="AE364" s="1" t="e">
        <f>VLOOKUP(A364,'SegEnds_NonXtal_Prot#'!A:AL,22,FALSE)-VLOOKUP(A364,'SegEnds_NonXtal_Prot#'!A:AL,19,FALSE)</f>
        <v>#VALUE!</v>
      </c>
      <c r="AF364" s="1">
        <f>VLOOKUP(A364,'SegEnds_NonXtal_Prot#'!A:AL,28,FALSE)-VLOOKUP(A364,'SegEnds_NonXtal_Prot#'!A:AL,25,FALSE)</f>
        <v>18</v>
      </c>
      <c r="AG364" s="1">
        <f>VLOOKUP(A364,'SegEnds_NonXtal_Prot#'!A:AL,28,FALSE)-VLOOKUP(A364,'SegEnds_NonXtal_Prot#'!A:AL,22,FALSE)</f>
        <v>51</v>
      </c>
      <c r="AH364" s="1">
        <f>VLOOKUP(A364,'SegEnds_NonXtal_Prot#'!A:AL,31,FALSE)-VLOOKUP(A364,'SegEnds_NonXtal_Prot#'!A:AL,28,FALSE)</f>
        <v>37</v>
      </c>
      <c r="AI364" s="1">
        <f>VLOOKUP(A364,'SegEnds_NonXtal_Prot#'!A:AL,34,FALSE)-VLOOKUP(A364,'SegEnds_NonXtal_Prot#'!A:AL,31,FALSE)</f>
        <v>29</v>
      </c>
      <c r="AJ364" s="1" t="str">
        <f>IF(ISERROR(MATCH(A364,'SegEnds_Xtal_Prot#'!B:B, 0)), "NoXtal", "Xtal")</f>
        <v>NoXtal</v>
      </c>
    </row>
    <row r="365" spans="1:36" x14ac:dyDescent="0.2">
      <c r="A365" s="1" t="s">
        <v>123</v>
      </c>
      <c r="B365" s="1" t="str">
        <f>VLOOKUP(A365,Xtal_Templ!A:B,2,FALSE)</f>
        <v>grm1_human</v>
      </c>
      <c r="C365" s="5">
        <f>VLOOKUP($B365&amp;"__wt",'SegEnds_Xtal_BW#'!$A:$Z,3,FALSE)</f>
        <v>34</v>
      </c>
      <c r="D365" s="1">
        <f>VLOOKUP($B365&amp;"__wt",'SegEnds_Xtal_BW#'!$A:$Z,4,FALSE)</f>
        <v>60</v>
      </c>
      <c r="E365" s="1">
        <f>VLOOKUP($B365&amp;"__wt",'SegEnds_Xtal_BW#'!$A:$Z,5,FALSE)</f>
        <v>47</v>
      </c>
      <c r="F365" s="1">
        <f>VLOOKUP($B365&amp;"__wt",'SegEnds_Xtal_BW#'!$A:$Z,6,FALSE)</f>
        <v>53</v>
      </c>
      <c r="G365" s="1">
        <v>39</v>
      </c>
      <c r="H365" s="12">
        <f>VLOOKUP($B365&amp;"__wt",'SegEnds_Xtal_BW#'!$A:$Z,8,FALSE)</f>
        <v>61</v>
      </c>
      <c r="I365" s="1" t="str">
        <f>VLOOKUP($B365&amp;"__wt",'SegEnds_Xtal_BW#'!$A:$Z,9,FALSE)</f>
        <v>-</v>
      </c>
      <c r="J365" s="1" t="str">
        <f>VLOOKUP($B365&amp;"__wt",'SegEnds_Xtal_BW#'!$A:$Z,10,FALSE)</f>
        <v>-</v>
      </c>
      <c r="K365" s="12">
        <f>VLOOKUP($B365&amp;"__wt",'SegEnds_Xtal_BW#'!$A:$Z,11,FALSE)</f>
        <v>22</v>
      </c>
      <c r="L365" s="1">
        <f>VLOOKUP($B365&amp;"__wt",'SegEnds_Xtal_BW#'!$A:$Z,12,FALSE)</f>
        <v>54</v>
      </c>
      <c r="M365" s="1" t="str">
        <f>VLOOKUP($B365&amp;"__wt",'SegEnds_Xtal_BW#'!$A:$Z,13,FALSE)</f>
        <v>-</v>
      </c>
      <c r="N365" s="12" t="str">
        <f>VLOOKUP($B365&amp;"__wt",'SegEnds_Xtal_BW#'!$A:$Z,14,FALSE)</f>
        <v>-</v>
      </c>
      <c r="O365" s="89">
        <f>VLOOKUP($B365&amp;"__wt",'SegEnds_Xtal_BW#'!$A:$Z,15,FALSE)</f>
        <v>38</v>
      </c>
      <c r="P365" s="1">
        <f>VLOOKUP($B365&amp;"__wt",'SegEnds_Xtal_BW#'!$A:$Z,16,FALSE)</f>
        <v>64</v>
      </c>
      <c r="Q365" s="1">
        <f>VLOOKUP($B365&amp;"__wt",'SegEnds_Xtal_BW#'!$A:$Z,17,FALSE)</f>
        <v>50</v>
      </c>
      <c r="R365" s="1">
        <f>VLOOKUP($B365&amp;"__wt",'SegEnds_Xtal_BW#'!$A:$Z,18,FALSE)</f>
        <v>52</v>
      </c>
      <c r="S365" s="1">
        <f>VLOOKUP($B365&amp;"__wt",'SegEnds_Xtal_BW#'!$A:$Z,19,FALSE)</f>
        <v>37</v>
      </c>
      <c r="T365" s="1">
        <f>VLOOKUP($B365&amp;"__wt",'SegEnds_Xtal_BW#'!$A:$Z,20,FALSE)</f>
        <v>61</v>
      </c>
      <c r="U365" s="1">
        <f>VLOOKUP($B365&amp;"__wt",'SegEnds_Xtal_BW#'!$A:$Z,21,FALSE)</f>
        <v>33</v>
      </c>
      <c r="V365" s="1">
        <f>VLOOKUP($B365&amp;"__wt",'SegEnds_Xtal_BW#'!$A:$Z,22,FALSE)</f>
        <v>57</v>
      </c>
      <c r="W365" s="1">
        <f>VLOOKUP($B365&amp;"__wt",'SegEnds_Xtal_BW#'!$A:$Z,23,FALSE)</f>
        <v>34</v>
      </c>
      <c r="X365" s="1">
        <f>VLOOKUP($B365&amp;"__wt",'SegEnds_Xtal_BW#'!$A:$Z,24,FALSE)</f>
        <v>63</v>
      </c>
      <c r="Y365" s="1">
        <f>VLOOKUP($B365&amp;"__wt",'SegEnds_Xtal_BW#'!$A:$Z,25,FALSE)</f>
        <v>47</v>
      </c>
      <c r="Z365" s="1">
        <f>VLOOKUP($B365&amp;"__wt",'SegEnds_Xtal_BW#'!$A:$Z,26,FALSE)</f>
        <v>59</v>
      </c>
      <c r="AA365" s="27" t="str">
        <f>VLOOKUP(A365,Classification!A:B,2,FALSE)</f>
        <v>C</v>
      </c>
      <c r="AB365" s="1">
        <f>VLOOKUP(A365,'SegEnds_NonXtal_Prot#'!A:AL,10,FALSE)-VLOOKUP(A365,'SegEnds_NonXtal_Prot#'!A:AL,7,FALSE)</f>
        <v>15</v>
      </c>
      <c r="AC365" s="1" t="e">
        <f>VLOOKUP(A365,'SegEnds_NonXtal_Prot#'!A:AL,13,FALSE)-VLOOKUP(A365,'SegEnds_NonXtal_Prot#'!A:AL,10,FALSE)</f>
        <v>#VALUE!</v>
      </c>
      <c r="AD365" s="1">
        <f>VLOOKUP(A365,'SegEnds_NonXtal_Prot#'!A:AL,16,FALSE)-VLOOKUP(A365,'SegEnds_NonXtal_Prot#'!A:AL,10,FALSE)</f>
        <v>44</v>
      </c>
      <c r="AE365" s="1" t="e">
        <f>VLOOKUP(A365,'SegEnds_NonXtal_Prot#'!A:AL,22,FALSE)-VLOOKUP(A365,'SegEnds_NonXtal_Prot#'!A:AL,19,FALSE)</f>
        <v>#VALUE!</v>
      </c>
      <c r="AF365" s="1">
        <f>VLOOKUP(A365,'SegEnds_NonXtal_Prot#'!A:AL,28,FALSE)-VLOOKUP(A365,'SegEnds_NonXtal_Prot#'!A:AL,25,FALSE)</f>
        <v>18</v>
      </c>
      <c r="AG365" s="1">
        <f>VLOOKUP(A365,'SegEnds_NonXtal_Prot#'!A:AL,28,FALSE)-VLOOKUP(A365,'SegEnds_NonXtal_Prot#'!A:AL,22,FALSE)</f>
        <v>52</v>
      </c>
      <c r="AH365" s="1">
        <f>VLOOKUP(A365,'SegEnds_NonXtal_Prot#'!A:AL,31,FALSE)-VLOOKUP(A365,'SegEnds_NonXtal_Prot#'!A:AL,28,FALSE)</f>
        <v>37</v>
      </c>
      <c r="AI365" s="1">
        <f>VLOOKUP(A365,'SegEnds_NonXtal_Prot#'!A:AL,34,FALSE)-VLOOKUP(A365,'SegEnds_NonXtal_Prot#'!A:AL,31,FALSE)</f>
        <v>29</v>
      </c>
      <c r="AJ365" s="1" t="str">
        <f>IF(ISERROR(MATCH(A365,'SegEnds_Xtal_Prot#'!B:B, 0)), "NoXtal", "Xtal")</f>
        <v>NoXtal</v>
      </c>
    </row>
    <row r="366" spans="1:36" x14ac:dyDescent="0.2">
      <c r="A366" s="1" t="s">
        <v>124</v>
      </c>
      <c r="B366" s="1" t="str">
        <f>VLOOKUP(A366,Xtal_Templ!A:B,2,FALSE)</f>
        <v>grm1_human</v>
      </c>
      <c r="C366" s="5">
        <f>VLOOKUP($B366&amp;"__wt",'SegEnds_Xtal_BW#'!$A:$Z,3,FALSE)</f>
        <v>34</v>
      </c>
      <c r="D366" s="1">
        <f>VLOOKUP($B366&amp;"__wt",'SegEnds_Xtal_BW#'!$A:$Z,4,FALSE)</f>
        <v>60</v>
      </c>
      <c r="E366" s="1">
        <f>VLOOKUP($B366&amp;"__wt",'SegEnds_Xtal_BW#'!$A:$Z,5,FALSE)</f>
        <v>47</v>
      </c>
      <c r="F366" s="1">
        <f>VLOOKUP($B366&amp;"__wt",'SegEnds_Xtal_BW#'!$A:$Z,6,FALSE)</f>
        <v>53</v>
      </c>
      <c r="G366" s="1">
        <v>39</v>
      </c>
      <c r="H366" s="12">
        <f>VLOOKUP($B366&amp;"__wt",'SegEnds_Xtal_BW#'!$A:$Z,8,FALSE)</f>
        <v>61</v>
      </c>
      <c r="I366" s="1" t="str">
        <f>VLOOKUP($B366&amp;"__wt",'SegEnds_Xtal_BW#'!$A:$Z,9,FALSE)</f>
        <v>-</v>
      </c>
      <c r="J366" s="1" t="str">
        <f>VLOOKUP($B366&amp;"__wt",'SegEnds_Xtal_BW#'!$A:$Z,10,FALSE)</f>
        <v>-</v>
      </c>
      <c r="K366" s="12">
        <f>VLOOKUP($B366&amp;"__wt",'SegEnds_Xtal_BW#'!$A:$Z,11,FALSE)</f>
        <v>22</v>
      </c>
      <c r="L366" s="1">
        <f>VLOOKUP($B366&amp;"__wt",'SegEnds_Xtal_BW#'!$A:$Z,12,FALSE)</f>
        <v>54</v>
      </c>
      <c r="M366" s="1" t="str">
        <f>VLOOKUP($B366&amp;"__wt",'SegEnds_Xtal_BW#'!$A:$Z,13,FALSE)</f>
        <v>-</v>
      </c>
      <c r="N366" s="12" t="str">
        <f>VLOOKUP($B366&amp;"__wt",'SegEnds_Xtal_BW#'!$A:$Z,14,FALSE)</f>
        <v>-</v>
      </c>
      <c r="O366" s="89">
        <f>VLOOKUP($B366&amp;"__wt",'SegEnds_Xtal_BW#'!$A:$Z,15,FALSE)</f>
        <v>38</v>
      </c>
      <c r="P366" s="1">
        <f>VLOOKUP($B366&amp;"__wt",'SegEnds_Xtal_BW#'!$A:$Z,16,FALSE)</f>
        <v>64</v>
      </c>
      <c r="Q366" s="1">
        <f>VLOOKUP($B366&amp;"__wt",'SegEnds_Xtal_BW#'!$A:$Z,17,FALSE)</f>
        <v>50</v>
      </c>
      <c r="R366" s="1">
        <f>VLOOKUP($B366&amp;"__wt",'SegEnds_Xtal_BW#'!$A:$Z,18,FALSE)</f>
        <v>52</v>
      </c>
      <c r="S366" s="1">
        <f>VLOOKUP($B366&amp;"__wt",'SegEnds_Xtal_BW#'!$A:$Z,19,FALSE)</f>
        <v>37</v>
      </c>
      <c r="T366" s="1">
        <f>VLOOKUP($B366&amp;"__wt",'SegEnds_Xtal_BW#'!$A:$Z,20,FALSE)</f>
        <v>61</v>
      </c>
      <c r="U366" s="1">
        <f>VLOOKUP($B366&amp;"__wt",'SegEnds_Xtal_BW#'!$A:$Z,21,FALSE)</f>
        <v>33</v>
      </c>
      <c r="V366" s="1">
        <f>VLOOKUP($B366&amp;"__wt",'SegEnds_Xtal_BW#'!$A:$Z,22,FALSE)</f>
        <v>57</v>
      </c>
      <c r="W366" s="1">
        <f>VLOOKUP($B366&amp;"__wt",'SegEnds_Xtal_BW#'!$A:$Z,23,FALSE)</f>
        <v>34</v>
      </c>
      <c r="X366" s="1">
        <f>VLOOKUP($B366&amp;"__wt",'SegEnds_Xtal_BW#'!$A:$Z,24,FALSE)</f>
        <v>63</v>
      </c>
      <c r="Y366" s="1">
        <f>VLOOKUP($B366&amp;"__wt",'SegEnds_Xtal_BW#'!$A:$Z,25,FALSE)</f>
        <v>47</v>
      </c>
      <c r="Z366" s="1">
        <f>VLOOKUP($B366&amp;"__wt",'SegEnds_Xtal_BW#'!$A:$Z,26,FALSE)</f>
        <v>59</v>
      </c>
      <c r="AA366" s="27" t="str">
        <f>VLOOKUP(A366,Classification!A:B,2,FALSE)</f>
        <v>C</v>
      </c>
      <c r="AB366" s="1">
        <f>VLOOKUP(A366,'SegEnds_NonXtal_Prot#'!A:AL,10,FALSE)-VLOOKUP(A366,'SegEnds_NonXtal_Prot#'!A:AL,7,FALSE)</f>
        <v>15</v>
      </c>
      <c r="AC366" s="1" t="e">
        <f>VLOOKUP(A366,'SegEnds_NonXtal_Prot#'!A:AL,13,FALSE)-VLOOKUP(A366,'SegEnds_NonXtal_Prot#'!A:AL,10,FALSE)</f>
        <v>#VALUE!</v>
      </c>
      <c r="AD366" s="1">
        <f>VLOOKUP(A366,'SegEnds_NonXtal_Prot#'!A:AL,16,FALSE)-VLOOKUP(A366,'SegEnds_NonXtal_Prot#'!A:AL,10,FALSE)</f>
        <v>44</v>
      </c>
      <c r="AE366" s="1" t="e">
        <f>VLOOKUP(A366,'SegEnds_NonXtal_Prot#'!A:AL,22,FALSE)-VLOOKUP(A366,'SegEnds_NonXtal_Prot#'!A:AL,19,FALSE)</f>
        <v>#VALUE!</v>
      </c>
      <c r="AF366" s="1">
        <f>VLOOKUP(A366,'SegEnds_NonXtal_Prot#'!A:AL,28,FALSE)-VLOOKUP(A366,'SegEnds_NonXtal_Prot#'!A:AL,25,FALSE)</f>
        <v>18</v>
      </c>
      <c r="AG366" s="1">
        <f>VLOOKUP(A366,'SegEnds_NonXtal_Prot#'!A:AL,28,FALSE)-VLOOKUP(A366,'SegEnds_NonXtal_Prot#'!A:AL,22,FALSE)</f>
        <v>51</v>
      </c>
      <c r="AH366" s="1">
        <f>VLOOKUP(A366,'SegEnds_NonXtal_Prot#'!A:AL,31,FALSE)-VLOOKUP(A366,'SegEnds_NonXtal_Prot#'!A:AL,28,FALSE)</f>
        <v>37</v>
      </c>
      <c r="AI366" s="1">
        <f>VLOOKUP(A366,'SegEnds_NonXtal_Prot#'!A:AL,34,FALSE)-VLOOKUP(A366,'SegEnds_NonXtal_Prot#'!A:AL,31,FALSE)</f>
        <v>29</v>
      </c>
      <c r="AJ366" s="1" t="str">
        <f>IF(ISERROR(MATCH(A366,'SegEnds_Xtal_Prot#'!B:B, 0)), "NoXtal", "Xtal")</f>
        <v>NoXtal</v>
      </c>
    </row>
    <row r="367" spans="1:36" x14ac:dyDescent="0.2">
      <c r="A367" s="1" t="s">
        <v>446</v>
      </c>
      <c r="B367" s="1" t="str">
        <f>VLOOKUP(A367,Xtal_Templ!A:B,2,FALSE)</f>
        <v>smo_human</v>
      </c>
      <c r="C367" s="5">
        <f>VLOOKUP($B367&amp;"__wt",'SegEnds_Xtal_BW#'!$A:$Z,3,FALSE)</f>
        <v>29</v>
      </c>
      <c r="D367" s="1">
        <f>VLOOKUP($B367&amp;"__wt",'SegEnds_Xtal_BW#'!$A:$Z,4,FALSE)</f>
        <v>60</v>
      </c>
      <c r="E367" s="1">
        <f>VLOOKUP($B367&amp;"__wt",'SegEnds_Xtal_BW#'!$A:$Z,5,FALSE)</f>
        <v>47</v>
      </c>
      <c r="F367" s="1">
        <f>VLOOKUP($B367&amp;"__wt",'SegEnds_Xtal_BW#'!$A:$Z,6,FALSE)</f>
        <v>51</v>
      </c>
      <c r="G367" s="1">
        <v>39</v>
      </c>
      <c r="H367" s="12">
        <f>VLOOKUP($B367&amp;"__wt",'SegEnds_Xtal_BW#'!$A:$Z,8,FALSE)</f>
        <v>63</v>
      </c>
      <c r="I367" s="1" t="str">
        <f>VLOOKUP($B367&amp;"__wt",'SegEnds_Xtal_BW#'!$A:$Z,9,FALSE)</f>
        <v>-</v>
      </c>
      <c r="J367" s="1" t="str">
        <f>VLOOKUP($B367&amp;"__wt",'SegEnds_Xtal_BW#'!$A:$Z,10,FALSE)</f>
        <v>-</v>
      </c>
      <c r="K367" s="12">
        <f>VLOOKUP($B367&amp;"__wt",'SegEnds_Xtal_BW#'!$A:$Z,11,FALSE)</f>
        <v>23</v>
      </c>
      <c r="L367" s="1">
        <f>VLOOKUP($B367&amp;"__wt",'SegEnds_Xtal_BW#'!$A:$Z,12,FALSE)</f>
        <v>59</v>
      </c>
      <c r="M367" s="1" t="str">
        <f>VLOOKUP($B367&amp;"__wt",'SegEnds_Xtal_BW#'!$A:$Z,13,FALSE)</f>
        <v>-</v>
      </c>
      <c r="N367" s="12" t="str">
        <f>VLOOKUP($B367&amp;"__wt",'SegEnds_Xtal_BW#'!$A:$Z,14,FALSE)</f>
        <v>-</v>
      </c>
      <c r="O367" s="89">
        <f>VLOOKUP($B367&amp;"__wt",'SegEnds_Xtal_BW#'!$A:$Z,15,FALSE)</f>
        <v>38</v>
      </c>
      <c r="P367" s="1">
        <f>VLOOKUP($B367&amp;"__wt",'SegEnds_Xtal_BW#'!$A:$Z,16,FALSE)</f>
        <v>63</v>
      </c>
      <c r="Q367" s="1">
        <f>VLOOKUP($B367&amp;"__wt",'SegEnds_Xtal_BW#'!$A:$Z,17,FALSE)</f>
        <v>50</v>
      </c>
      <c r="R367" s="1">
        <f>VLOOKUP($B367&amp;"__wt",'SegEnds_Xtal_BW#'!$A:$Z,18,FALSE)</f>
        <v>52</v>
      </c>
      <c r="S367" s="1">
        <f>VLOOKUP($B367&amp;"__wt",'SegEnds_Xtal_BW#'!$A:$Z,19,FALSE)</f>
        <v>36</v>
      </c>
      <c r="T367" s="1">
        <f>VLOOKUP($B367&amp;"__wt",'SegEnds_Xtal_BW#'!$A:$Z,20,FALSE)</f>
        <v>72</v>
      </c>
      <c r="U367" s="1">
        <f>VLOOKUP($B367&amp;"__wt",'SegEnds_Xtal_BW#'!$A:$Z,21,FALSE)</f>
        <v>24</v>
      </c>
      <c r="V367" s="1">
        <f>VLOOKUP($B367&amp;"__wt",'SegEnds_Xtal_BW#'!$A:$Z,22,FALSE)</f>
        <v>78</v>
      </c>
      <c r="W367" s="1">
        <f>VLOOKUP($B367&amp;"__wt",'SegEnds_Xtal_BW#'!$A:$Z,23,FALSE)</f>
        <v>35</v>
      </c>
      <c r="X367" s="1">
        <f>VLOOKUP($B367&amp;"__wt",'SegEnds_Xtal_BW#'!$A:$Z,24,FALSE)</f>
        <v>57</v>
      </c>
      <c r="Y367" s="1">
        <f>VLOOKUP($B367&amp;"__wt",'SegEnds_Xtal_BW#'!$A:$Z,25,FALSE)</f>
        <v>47</v>
      </c>
      <c r="Z367" s="1">
        <f>VLOOKUP($B367&amp;"__wt",'SegEnds_Xtal_BW#'!$A:$Z,26,FALSE)</f>
        <v>62</v>
      </c>
      <c r="AA367" s="27" t="str">
        <f>VLOOKUP(A367,Classification!A:B,2,FALSE)</f>
        <v>F</v>
      </c>
      <c r="AB367" s="1">
        <f>VLOOKUP(A367,'SegEnds_NonXtal_Prot#'!A:AL,10,FALSE)-VLOOKUP(A367,'SegEnds_NonXtal_Prot#'!A:AL,7,FALSE)</f>
        <v>12</v>
      </c>
      <c r="AC367" s="1" t="e">
        <f>VLOOKUP(A367,'SegEnds_NonXtal_Prot#'!A:AL,13,FALSE)-VLOOKUP(A367,'SegEnds_NonXtal_Prot#'!A:AL,10,FALSE)</f>
        <v>#VALUE!</v>
      </c>
      <c r="AD367" s="1">
        <f>VLOOKUP(A367,'SegEnds_NonXtal_Prot#'!A:AL,16,FALSE)-VLOOKUP(A367,'SegEnds_NonXtal_Prot#'!A:AL,10,FALSE)</f>
        <v>67</v>
      </c>
      <c r="AE367" s="1" t="e">
        <f>VLOOKUP(A367,'SegEnds_NonXtal_Prot#'!A:AL,22,FALSE)-VLOOKUP(A367,'SegEnds_NonXtal_Prot#'!A:AL,19,FALSE)</f>
        <v>#VALUE!</v>
      </c>
      <c r="AF367" s="1">
        <f>VLOOKUP(A367,'SegEnds_NonXtal_Prot#'!A:AL,28,FALSE)-VLOOKUP(A367,'SegEnds_NonXtal_Prot#'!A:AL,25,FALSE)</f>
        <v>21</v>
      </c>
      <c r="AG367" s="1">
        <f>VLOOKUP(A367,'SegEnds_NonXtal_Prot#'!A:AL,28,FALSE)-VLOOKUP(A367,'SegEnds_NonXtal_Prot#'!A:AL,22,FALSE)</f>
        <v>46</v>
      </c>
      <c r="AH367" s="1">
        <f>VLOOKUP(A367,'SegEnds_NonXtal_Prot#'!A:AL,31,FALSE)-VLOOKUP(A367,'SegEnds_NonXtal_Prot#'!A:AL,28,FALSE)</f>
        <v>55</v>
      </c>
      <c r="AI367" s="1">
        <f>VLOOKUP(A367,'SegEnds_NonXtal_Prot#'!A:AL,34,FALSE)-VLOOKUP(A367,'SegEnds_NonXtal_Prot#'!A:AL,31,FALSE)</f>
        <v>62</v>
      </c>
      <c r="AJ367" s="1" t="str">
        <f>IF(ISERROR(MATCH(A367,'SegEnds_Xtal_Prot#'!B:B, 0)), "NoXtal", "Xtal")</f>
        <v>NoXtal</v>
      </c>
    </row>
    <row r="368" spans="1:36" x14ac:dyDescent="0.2">
      <c r="A368" s="1" t="s">
        <v>447</v>
      </c>
      <c r="B368" s="1" t="str">
        <f>VLOOKUP(A368,Xtal_Templ!A:B,2,FALSE)</f>
        <v>smo_human</v>
      </c>
      <c r="C368" s="5">
        <f>VLOOKUP($B368&amp;"__wt",'SegEnds_Xtal_BW#'!$A:$Z,3,FALSE)</f>
        <v>29</v>
      </c>
      <c r="D368" s="1">
        <f>VLOOKUP($B368&amp;"__wt",'SegEnds_Xtal_BW#'!$A:$Z,4,FALSE)</f>
        <v>60</v>
      </c>
      <c r="E368" s="1">
        <f>VLOOKUP($B368&amp;"__wt",'SegEnds_Xtal_BW#'!$A:$Z,5,FALSE)</f>
        <v>47</v>
      </c>
      <c r="F368" s="1">
        <f>VLOOKUP($B368&amp;"__wt",'SegEnds_Xtal_BW#'!$A:$Z,6,FALSE)</f>
        <v>51</v>
      </c>
      <c r="G368" s="1">
        <v>39</v>
      </c>
      <c r="H368" s="12">
        <f>VLOOKUP($B368&amp;"__wt",'SegEnds_Xtal_BW#'!$A:$Z,8,FALSE)</f>
        <v>63</v>
      </c>
      <c r="I368" s="1" t="str">
        <f>VLOOKUP($B368&amp;"__wt",'SegEnds_Xtal_BW#'!$A:$Z,9,FALSE)</f>
        <v>-</v>
      </c>
      <c r="J368" s="1" t="str">
        <f>VLOOKUP($B368&amp;"__wt",'SegEnds_Xtal_BW#'!$A:$Z,10,FALSE)</f>
        <v>-</v>
      </c>
      <c r="K368" s="12">
        <f>VLOOKUP($B368&amp;"__wt",'SegEnds_Xtal_BW#'!$A:$Z,11,FALSE)</f>
        <v>23</v>
      </c>
      <c r="L368" s="1">
        <f>VLOOKUP($B368&amp;"__wt",'SegEnds_Xtal_BW#'!$A:$Z,12,FALSE)</f>
        <v>59</v>
      </c>
      <c r="M368" s="1" t="str">
        <f>VLOOKUP($B368&amp;"__wt",'SegEnds_Xtal_BW#'!$A:$Z,13,FALSE)</f>
        <v>-</v>
      </c>
      <c r="N368" s="12" t="str">
        <f>VLOOKUP($B368&amp;"__wt",'SegEnds_Xtal_BW#'!$A:$Z,14,FALSE)</f>
        <v>-</v>
      </c>
      <c r="O368" s="89">
        <f>VLOOKUP($B368&amp;"__wt",'SegEnds_Xtal_BW#'!$A:$Z,15,FALSE)</f>
        <v>38</v>
      </c>
      <c r="P368" s="1">
        <f>VLOOKUP($B368&amp;"__wt",'SegEnds_Xtal_BW#'!$A:$Z,16,FALSE)</f>
        <v>63</v>
      </c>
      <c r="Q368" s="1">
        <f>VLOOKUP($B368&amp;"__wt",'SegEnds_Xtal_BW#'!$A:$Z,17,FALSE)</f>
        <v>50</v>
      </c>
      <c r="R368" s="1">
        <f>VLOOKUP($B368&amp;"__wt",'SegEnds_Xtal_BW#'!$A:$Z,18,FALSE)</f>
        <v>52</v>
      </c>
      <c r="S368" s="1">
        <f>VLOOKUP($B368&amp;"__wt",'SegEnds_Xtal_BW#'!$A:$Z,19,FALSE)</f>
        <v>36</v>
      </c>
      <c r="T368" s="1">
        <f>VLOOKUP($B368&amp;"__wt",'SegEnds_Xtal_BW#'!$A:$Z,20,FALSE)</f>
        <v>72</v>
      </c>
      <c r="U368" s="1">
        <f>VLOOKUP($B368&amp;"__wt",'SegEnds_Xtal_BW#'!$A:$Z,21,FALSE)</f>
        <v>24</v>
      </c>
      <c r="V368" s="1">
        <f>VLOOKUP($B368&amp;"__wt",'SegEnds_Xtal_BW#'!$A:$Z,22,FALSE)</f>
        <v>78</v>
      </c>
      <c r="W368" s="1">
        <f>VLOOKUP($B368&amp;"__wt",'SegEnds_Xtal_BW#'!$A:$Z,23,FALSE)</f>
        <v>35</v>
      </c>
      <c r="X368" s="1">
        <f>VLOOKUP($B368&amp;"__wt",'SegEnds_Xtal_BW#'!$A:$Z,24,FALSE)</f>
        <v>57</v>
      </c>
      <c r="Y368" s="1">
        <f>VLOOKUP($B368&amp;"__wt",'SegEnds_Xtal_BW#'!$A:$Z,25,FALSE)</f>
        <v>47</v>
      </c>
      <c r="Z368" s="1">
        <f>VLOOKUP($B368&amp;"__wt",'SegEnds_Xtal_BW#'!$A:$Z,26,FALSE)</f>
        <v>62</v>
      </c>
      <c r="AA368" s="27" t="str">
        <f>VLOOKUP(A368,Classification!A:B,2,FALSE)</f>
        <v>F</v>
      </c>
      <c r="AB368" s="1">
        <f>VLOOKUP(A368,'SegEnds_NonXtal_Prot#'!A:AL,10,FALSE)-VLOOKUP(A368,'SegEnds_NonXtal_Prot#'!A:AL,7,FALSE)</f>
        <v>12</v>
      </c>
      <c r="AC368" s="1" t="e">
        <f>VLOOKUP(A368,'SegEnds_NonXtal_Prot#'!A:AL,13,FALSE)-VLOOKUP(A368,'SegEnds_NonXtal_Prot#'!A:AL,10,FALSE)</f>
        <v>#VALUE!</v>
      </c>
      <c r="AD368" s="1">
        <f>VLOOKUP(A368,'SegEnds_NonXtal_Prot#'!A:AL,16,FALSE)-VLOOKUP(A368,'SegEnds_NonXtal_Prot#'!A:AL,10,FALSE)</f>
        <v>66</v>
      </c>
      <c r="AE368" s="1" t="e">
        <f>VLOOKUP(A368,'SegEnds_NonXtal_Prot#'!A:AL,22,FALSE)-VLOOKUP(A368,'SegEnds_NonXtal_Prot#'!A:AL,19,FALSE)</f>
        <v>#VALUE!</v>
      </c>
      <c r="AF368" s="1">
        <f>VLOOKUP(A368,'SegEnds_NonXtal_Prot#'!A:AL,28,FALSE)-VLOOKUP(A368,'SegEnds_NonXtal_Prot#'!A:AL,25,FALSE)</f>
        <v>21</v>
      </c>
      <c r="AG368" s="1">
        <f>VLOOKUP(A368,'SegEnds_NonXtal_Prot#'!A:AL,28,FALSE)-VLOOKUP(A368,'SegEnds_NonXtal_Prot#'!A:AL,22,FALSE)</f>
        <v>46</v>
      </c>
      <c r="AH368" s="1">
        <f>VLOOKUP(A368,'SegEnds_NonXtal_Prot#'!A:AL,31,FALSE)-VLOOKUP(A368,'SegEnds_NonXtal_Prot#'!A:AL,28,FALSE)</f>
        <v>55</v>
      </c>
      <c r="AI368" s="1">
        <f>VLOOKUP(A368,'SegEnds_NonXtal_Prot#'!A:AL,34,FALSE)-VLOOKUP(A368,'SegEnds_NonXtal_Prot#'!A:AL,31,FALSE)</f>
        <v>56</v>
      </c>
      <c r="AJ368" s="1" t="str">
        <f>IF(ISERROR(MATCH(A368,'SegEnds_Xtal_Prot#'!B:B, 0)), "NoXtal", "Xtal")</f>
        <v>NoXtal</v>
      </c>
    </row>
    <row r="369" spans="1:36" x14ac:dyDescent="0.2">
      <c r="A369" s="1" t="s">
        <v>448</v>
      </c>
      <c r="B369" s="1" t="str">
        <f>VLOOKUP(A369,Xtal_Templ!A:B,2,FALSE)</f>
        <v>smo_human</v>
      </c>
      <c r="C369" s="5">
        <f>VLOOKUP($B369&amp;"__wt",'SegEnds_Xtal_BW#'!$A:$Z,3,FALSE)</f>
        <v>29</v>
      </c>
      <c r="D369" s="1">
        <f>VLOOKUP($B369&amp;"__wt",'SegEnds_Xtal_BW#'!$A:$Z,4,FALSE)</f>
        <v>60</v>
      </c>
      <c r="E369" s="1">
        <f>VLOOKUP($B369&amp;"__wt",'SegEnds_Xtal_BW#'!$A:$Z,5,FALSE)</f>
        <v>47</v>
      </c>
      <c r="F369" s="1">
        <f>VLOOKUP($B369&amp;"__wt",'SegEnds_Xtal_BW#'!$A:$Z,6,FALSE)</f>
        <v>51</v>
      </c>
      <c r="G369" s="1">
        <v>39</v>
      </c>
      <c r="H369" s="12">
        <f>VLOOKUP($B369&amp;"__wt",'SegEnds_Xtal_BW#'!$A:$Z,8,FALSE)</f>
        <v>63</v>
      </c>
      <c r="I369" s="1" t="str">
        <f>VLOOKUP($B369&amp;"__wt",'SegEnds_Xtal_BW#'!$A:$Z,9,FALSE)</f>
        <v>-</v>
      </c>
      <c r="J369" s="1" t="str">
        <f>VLOOKUP($B369&amp;"__wt",'SegEnds_Xtal_BW#'!$A:$Z,10,FALSE)</f>
        <v>-</v>
      </c>
      <c r="K369" s="12">
        <f>VLOOKUP($B369&amp;"__wt",'SegEnds_Xtal_BW#'!$A:$Z,11,FALSE)</f>
        <v>23</v>
      </c>
      <c r="L369" s="1">
        <f>VLOOKUP($B369&amp;"__wt",'SegEnds_Xtal_BW#'!$A:$Z,12,FALSE)</f>
        <v>59</v>
      </c>
      <c r="M369" s="1" t="str">
        <f>VLOOKUP($B369&amp;"__wt",'SegEnds_Xtal_BW#'!$A:$Z,13,FALSE)</f>
        <v>-</v>
      </c>
      <c r="N369" s="12" t="str">
        <f>VLOOKUP($B369&amp;"__wt",'SegEnds_Xtal_BW#'!$A:$Z,14,FALSE)</f>
        <v>-</v>
      </c>
      <c r="O369" s="89">
        <f>VLOOKUP($B369&amp;"__wt",'SegEnds_Xtal_BW#'!$A:$Z,15,FALSE)</f>
        <v>38</v>
      </c>
      <c r="P369" s="1">
        <f>VLOOKUP($B369&amp;"__wt",'SegEnds_Xtal_BW#'!$A:$Z,16,FALSE)</f>
        <v>63</v>
      </c>
      <c r="Q369" s="1">
        <f>VLOOKUP($B369&amp;"__wt",'SegEnds_Xtal_BW#'!$A:$Z,17,FALSE)</f>
        <v>50</v>
      </c>
      <c r="R369" s="1">
        <f>VLOOKUP($B369&amp;"__wt",'SegEnds_Xtal_BW#'!$A:$Z,18,FALSE)</f>
        <v>52</v>
      </c>
      <c r="S369" s="1">
        <f>VLOOKUP($B369&amp;"__wt",'SegEnds_Xtal_BW#'!$A:$Z,19,FALSE)</f>
        <v>36</v>
      </c>
      <c r="T369" s="1">
        <f>VLOOKUP($B369&amp;"__wt",'SegEnds_Xtal_BW#'!$A:$Z,20,FALSE)</f>
        <v>72</v>
      </c>
      <c r="U369" s="1">
        <f>VLOOKUP($B369&amp;"__wt",'SegEnds_Xtal_BW#'!$A:$Z,21,FALSE)</f>
        <v>24</v>
      </c>
      <c r="V369" s="1">
        <f>VLOOKUP($B369&amp;"__wt",'SegEnds_Xtal_BW#'!$A:$Z,22,FALSE)</f>
        <v>78</v>
      </c>
      <c r="W369" s="1">
        <f>VLOOKUP($B369&amp;"__wt",'SegEnds_Xtal_BW#'!$A:$Z,23,FALSE)</f>
        <v>35</v>
      </c>
      <c r="X369" s="1">
        <f>VLOOKUP($B369&amp;"__wt",'SegEnds_Xtal_BW#'!$A:$Z,24,FALSE)</f>
        <v>57</v>
      </c>
      <c r="Y369" s="1">
        <f>VLOOKUP($B369&amp;"__wt",'SegEnds_Xtal_BW#'!$A:$Z,25,FALSE)</f>
        <v>47</v>
      </c>
      <c r="Z369" s="1">
        <f>VLOOKUP($B369&amp;"__wt",'SegEnds_Xtal_BW#'!$A:$Z,26,FALSE)</f>
        <v>62</v>
      </c>
      <c r="AA369" s="27" t="str">
        <f>VLOOKUP(A369,Classification!A:B,2,FALSE)</f>
        <v>F</v>
      </c>
      <c r="AB369" s="1">
        <f>VLOOKUP(A369,'SegEnds_NonXtal_Prot#'!A:AL,10,FALSE)-VLOOKUP(A369,'SegEnds_NonXtal_Prot#'!A:AL,7,FALSE)</f>
        <v>12</v>
      </c>
      <c r="AC369" s="1" t="e">
        <f>VLOOKUP(A369,'SegEnds_NonXtal_Prot#'!A:AL,13,FALSE)-VLOOKUP(A369,'SegEnds_NonXtal_Prot#'!A:AL,10,FALSE)</f>
        <v>#VALUE!</v>
      </c>
      <c r="AD369" s="1">
        <f>VLOOKUP(A369,'SegEnds_NonXtal_Prot#'!A:AL,16,FALSE)-VLOOKUP(A369,'SegEnds_NonXtal_Prot#'!A:AL,10,FALSE)</f>
        <v>67</v>
      </c>
      <c r="AE369" s="1" t="e">
        <f>VLOOKUP(A369,'SegEnds_NonXtal_Prot#'!A:AL,22,FALSE)-VLOOKUP(A369,'SegEnds_NonXtal_Prot#'!A:AL,19,FALSE)</f>
        <v>#VALUE!</v>
      </c>
      <c r="AF369" s="1">
        <f>VLOOKUP(A369,'SegEnds_NonXtal_Prot#'!A:AL,28,FALSE)-VLOOKUP(A369,'SegEnds_NonXtal_Prot#'!A:AL,25,FALSE)</f>
        <v>21</v>
      </c>
      <c r="AG369" s="1">
        <f>VLOOKUP(A369,'SegEnds_NonXtal_Prot#'!A:AL,28,FALSE)-VLOOKUP(A369,'SegEnds_NonXtal_Prot#'!A:AL,22,FALSE)</f>
        <v>46</v>
      </c>
      <c r="AH369" s="1">
        <f>VLOOKUP(A369,'SegEnds_NonXtal_Prot#'!A:AL,31,FALSE)-VLOOKUP(A369,'SegEnds_NonXtal_Prot#'!A:AL,28,FALSE)</f>
        <v>55</v>
      </c>
      <c r="AI369" s="1">
        <f>VLOOKUP(A369,'SegEnds_NonXtal_Prot#'!A:AL,34,FALSE)-VLOOKUP(A369,'SegEnds_NonXtal_Prot#'!A:AL,31,FALSE)</f>
        <v>55</v>
      </c>
      <c r="AJ369" s="1" t="str">
        <f>IF(ISERROR(MATCH(A369,'SegEnds_Xtal_Prot#'!B:B, 0)), "NoXtal", "Xtal")</f>
        <v>NoXtal</v>
      </c>
    </row>
    <row r="370" spans="1:36" x14ac:dyDescent="0.2">
      <c r="A370" s="1" t="s">
        <v>449</v>
      </c>
      <c r="B370" s="1" t="str">
        <f>VLOOKUP(A370,Xtal_Templ!A:B,2,FALSE)</f>
        <v>smo_human</v>
      </c>
      <c r="C370" s="5">
        <f>VLOOKUP($B370&amp;"__wt",'SegEnds_Xtal_BW#'!$A:$Z,3,FALSE)</f>
        <v>29</v>
      </c>
      <c r="D370" s="1">
        <f>VLOOKUP($B370&amp;"__wt",'SegEnds_Xtal_BW#'!$A:$Z,4,FALSE)</f>
        <v>60</v>
      </c>
      <c r="E370" s="1">
        <f>VLOOKUP($B370&amp;"__wt",'SegEnds_Xtal_BW#'!$A:$Z,5,FALSE)</f>
        <v>47</v>
      </c>
      <c r="F370" s="1">
        <f>VLOOKUP($B370&amp;"__wt",'SegEnds_Xtal_BW#'!$A:$Z,6,FALSE)</f>
        <v>51</v>
      </c>
      <c r="G370" s="1">
        <v>39</v>
      </c>
      <c r="H370" s="12">
        <f>VLOOKUP($B370&amp;"__wt",'SegEnds_Xtal_BW#'!$A:$Z,8,FALSE)</f>
        <v>63</v>
      </c>
      <c r="I370" s="1" t="str">
        <f>VLOOKUP($B370&amp;"__wt",'SegEnds_Xtal_BW#'!$A:$Z,9,FALSE)</f>
        <v>-</v>
      </c>
      <c r="J370" s="1" t="str">
        <f>VLOOKUP($B370&amp;"__wt",'SegEnds_Xtal_BW#'!$A:$Z,10,FALSE)</f>
        <v>-</v>
      </c>
      <c r="K370" s="12">
        <f>VLOOKUP($B370&amp;"__wt",'SegEnds_Xtal_BW#'!$A:$Z,11,FALSE)</f>
        <v>23</v>
      </c>
      <c r="L370" s="1">
        <f>VLOOKUP($B370&amp;"__wt",'SegEnds_Xtal_BW#'!$A:$Z,12,FALSE)</f>
        <v>59</v>
      </c>
      <c r="M370" s="1" t="str">
        <f>VLOOKUP($B370&amp;"__wt",'SegEnds_Xtal_BW#'!$A:$Z,13,FALSE)</f>
        <v>-</v>
      </c>
      <c r="N370" s="12" t="str">
        <f>VLOOKUP($B370&amp;"__wt",'SegEnds_Xtal_BW#'!$A:$Z,14,FALSE)</f>
        <v>-</v>
      </c>
      <c r="O370" s="89">
        <f>VLOOKUP($B370&amp;"__wt",'SegEnds_Xtal_BW#'!$A:$Z,15,FALSE)</f>
        <v>38</v>
      </c>
      <c r="P370" s="1">
        <f>VLOOKUP($B370&amp;"__wt",'SegEnds_Xtal_BW#'!$A:$Z,16,FALSE)</f>
        <v>63</v>
      </c>
      <c r="Q370" s="1">
        <f>VLOOKUP($B370&amp;"__wt",'SegEnds_Xtal_BW#'!$A:$Z,17,FALSE)</f>
        <v>50</v>
      </c>
      <c r="R370" s="1">
        <f>VLOOKUP($B370&amp;"__wt",'SegEnds_Xtal_BW#'!$A:$Z,18,FALSE)</f>
        <v>52</v>
      </c>
      <c r="S370" s="1">
        <f>VLOOKUP($B370&amp;"__wt",'SegEnds_Xtal_BW#'!$A:$Z,19,FALSE)</f>
        <v>36</v>
      </c>
      <c r="T370" s="1">
        <f>VLOOKUP($B370&amp;"__wt",'SegEnds_Xtal_BW#'!$A:$Z,20,FALSE)</f>
        <v>72</v>
      </c>
      <c r="U370" s="1">
        <f>VLOOKUP($B370&amp;"__wt",'SegEnds_Xtal_BW#'!$A:$Z,21,FALSE)</f>
        <v>24</v>
      </c>
      <c r="V370" s="1">
        <f>VLOOKUP($B370&amp;"__wt",'SegEnds_Xtal_BW#'!$A:$Z,22,FALSE)</f>
        <v>78</v>
      </c>
      <c r="W370" s="1">
        <f>VLOOKUP($B370&amp;"__wt",'SegEnds_Xtal_BW#'!$A:$Z,23,FALSE)</f>
        <v>35</v>
      </c>
      <c r="X370" s="1">
        <f>VLOOKUP($B370&amp;"__wt",'SegEnds_Xtal_BW#'!$A:$Z,24,FALSE)</f>
        <v>57</v>
      </c>
      <c r="Y370" s="1">
        <f>VLOOKUP($B370&amp;"__wt",'SegEnds_Xtal_BW#'!$A:$Z,25,FALSE)</f>
        <v>47</v>
      </c>
      <c r="Z370" s="1">
        <f>VLOOKUP($B370&amp;"__wt",'SegEnds_Xtal_BW#'!$A:$Z,26,FALSE)</f>
        <v>62</v>
      </c>
      <c r="AA370" s="27" t="str">
        <f>VLOOKUP(A370,Classification!A:B,2,FALSE)</f>
        <v>F</v>
      </c>
      <c r="AB370" s="1">
        <f>VLOOKUP(A370,'SegEnds_NonXtal_Prot#'!A:AL,10,FALSE)-VLOOKUP(A370,'SegEnds_NonXtal_Prot#'!A:AL,7,FALSE)</f>
        <v>12</v>
      </c>
      <c r="AC370" s="1" t="e">
        <f>VLOOKUP(A370,'SegEnds_NonXtal_Prot#'!A:AL,13,FALSE)-VLOOKUP(A370,'SegEnds_NonXtal_Prot#'!A:AL,10,FALSE)</f>
        <v>#VALUE!</v>
      </c>
      <c r="AD370" s="1">
        <f>VLOOKUP(A370,'SegEnds_NonXtal_Prot#'!A:AL,16,FALSE)-VLOOKUP(A370,'SegEnds_NonXtal_Prot#'!A:AL,10,FALSE)</f>
        <v>68</v>
      </c>
      <c r="AE370" s="1" t="e">
        <f>VLOOKUP(A370,'SegEnds_NonXtal_Prot#'!A:AL,22,FALSE)-VLOOKUP(A370,'SegEnds_NonXtal_Prot#'!A:AL,19,FALSE)</f>
        <v>#VALUE!</v>
      </c>
      <c r="AF370" s="1">
        <f>VLOOKUP(A370,'SegEnds_NonXtal_Prot#'!A:AL,28,FALSE)-VLOOKUP(A370,'SegEnds_NonXtal_Prot#'!A:AL,25,FALSE)</f>
        <v>21</v>
      </c>
      <c r="AG370" s="1">
        <f>VLOOKUP(A370,'SegEnds_NonXtal_Prot#'!A:AL,28,FALSE)-VLOOKUP(A370,'SegEnds_NonXtal_Prot#'!A:AL,22,FALSE)</f>
        <v>46</v>
      </c>
      <c r="AH370" s="1">
        <f>VLOOKUP(A370,'SegEnds_NonXtal_Prot#'!A:AL,31,FALSE)-VLOOKUP(A370,'SegEnds_NonXtal_Prot#'!A:AL,28,FALSE)</f>
        <v>55</v>
      </c>
      <c r="AI370" s="1">
        <f>VLOOKUP(A370,'SegEnds_NonXtal_Prot#'!A:AL,34,FALSE)-VLOOKUP(A370,'SegEnds_NonXtal_Prot#'!A:AL,31,FALSE)</f>
        <v>55</v>
      </c>
      <c r="AJ370" s="1" t="str">
        <f>IF(ISERROR(MATCH(A370,'SegEnds_Xtal_Prot#'!B:B, 0)), "NoXtal", "Xtal")</f>
        <v>NoXtal</v>
      </c>
    </row>
    <row r="371" spans="1:36" x14ac:dyDescent="0.2">
      <c r="A371" s="1" t="s">
        <v>450</v>
      </c>
      <c r="B371" s="1" t="str">
        <f>VLOOKUP(A371,Xtal_Templ!A:B,2,FALSE)</f>
        <v>smo_human</v>
      </c>
      <c r="C371" s="5">
        <f>VLOOKUP($B371&amp;"__wt",'SegEnds_Xtal_BW#'!$A:$Z,3,FALSE)</f>
        <v>29</v>
      </c>
      <c r="D371" s="1">
        <f>VLOOKUP($B371&amp;"__wt",'SegEnds_Xtal_BW#'!$A:$Z,4,FALSE)</f>
        <v>60</v>
      </c>
      <c r="E371" s="1">
        <f>VLOOKUP($B371&amp;"__wt",'SegEnds_Xtal_BW#'!$A:$Z,5,FALSE)</f>
        <v>47</v>
      </c>
      <c r="F371" s="1">
        <f>VLOOKUP($B371&amp;"__wt",'SegEnds_Xtal_BW#'!$A:$Z,6,FALSE)</f>
        <v>51</v>
      </c>
      <c r="G371" s="1">
        <v>39</v>
      </c>
      <c r="H371" s="12">
        <f>VLOOKUP($B371&amp;"__wt",'SegEnds_Xtal_BW#'!$A:$Z,8,FALSE)</f>
        <v>63</v>
      </c>
      <c r="I371" s="1" t="str">
        <f>VLOOKUP($B371&amp;"__wt",'SegEnds_Xtal_BW#'!$A:$Z,9,FALSE)</f>
        <v>-</v>
      </c>
      <c r="J371" s="1" t="str">
        <f>VLOOKUP($B371&amp;"__wt",'SegEnds_Xtal_BW#'!$A:$Z,10,FALSE)</f>
        <v>-</v>
      </c>
      <c r="K371" s="12">
        <f>VLOOKUP($B371&amp;"__wt",'SegEnds_Xtal_BW#'!$A:$Z,11,FALSE)</f>
        <v>23</v>
      </c>
      <c r="L371" s="1">
        <f>VLOOKUP($B371&amp;"__wt",'SegEnds_Xtal_BW#'!$A:$Z,12,FALSE)</f>
        <v>59</v>
      </c>
      <c r="M371" s="1" t="str">
        <f>VLOOKUP($B371&amp;"__wt",'SegEnds_Xtal_BW#'!$A:$Z,13,FALSE)</f>
        <v>-</v>
      </c>
      <c r="N371" s="12" t="str">
        <f>VLOOKUP($B371&amp;"__wt",'SegEnds_Xtal_BW#'!$A:$Z,14,FALSE)</f>
        <v>-</v>
      </c>
      <c r="O371" s="89">
        <f>VLOOKUP($B371&amp;"__wt",'SegEnds_Xtal_BW#'!$A:$Z,15,FALSE)</f>
        <v>38</v>
      </c>
      <c r="P371" s="1">
        <f>VLOOKUP($B371&amp;"__wt",'SegEnds_Xtal_BW#'!$A:$Z,16,FALSE)</f>
        <v>63</v>
      </c>
      <c r="Q371" s="1">
        <f>VLOOKUP($B371&amp;"__wt",'SegEnds_Xtal_BW#'!$A:$Z,17,FALSE)</f>
        <v>50</v>
      </c>
      <c r="R371" s="1">
        <f>VLOOKUP($B371&amp;"__wt",'SegEnds_Xtal_BW#'!$A:$Z,18,FALSE)</f>
        <v>52</v>
      </c>
      <c r="S371" s="1">
        <f>VLOOKUP($B371&amp;"__wt",'SegEnds_Xtal_BW#'!$A:$Z,19,FALSE)</f>
        <v>36</v>
      </c>
      <c r="T371" s="1">
        <f>VLOOKUP($B371&amp;"__wt",'SegEnds_Xtal_BW#'!$A:$Z,20,FALSE)</f>
        <v>72</v>
      </c>
      <c r="U371" s="1">
        <f>VLOOKUP($B371&amp;"__wt",'SegEnds_Xtal_BW#'!$A:$Z,21,FALSE)</f>
        <v>24</v>
      </c>
      <c r="V371" s="1">
        <v>66</v>
      </c>
      <c r="W371" s="1">
        <f>VLOOKUP($B371&amp;"__wt",'SegEnds_Xtal_BW#'!$A:$Z,23,FALSE)</f>
        <v>35</v>
      </c>
      <c r="X371" s="1">
        <f>VLOOKUP($B371&amp;"__wt",'SegEnds_Xtal_BW#'!$A:$Z,24,FALSE)</f>
        <v>57</v>
      </c>
      <c r="Y371" s="1">
        <f>VLOOKUP($B371&amp;"__wt",'SegEnds_Xtal_BW#'!$A:$Z,25,FALSE)</f>
        <v>47</v>
      </c>
      <c r="Z371" s="1">
        <f>VLOOKUP($B371&amp;"__wt",'SegEnds_Xtal_BW#'!$A:$Z,26,FALSE)</f>
        <v>62</v>
      </c>
      <c r="AA371" s="27" t="str">
        <f>VLOOKUP(A371,Classification!A:B,2,FALSE)</f>
        <v>F</v>
      </c>
      <c r="AB371" s="1">
        <f>VLOOKUP(A371,'SegEnds_NonXtal_Prot#'!A:AL,10,FALSE)-VLOOKUP(A371,'SegEnds_NonXtal_Prot#'!A:AL,7,FALSE)</f>
        <v>12</v>
      </c>
      <c r="AC371" s="1" t="e">
        <f>VLOOKUP(A371,'SegEnds_NonXtal_Prot#'!A:AL,13,FALSE)-VLOOKUP(A371,'SegEnds_NonXtal_Prot#'!A:AL,10,FALSE)</f>
        <v>#VALUE!</v>
      </c>
      <c r="AD371" s="1">
        <f>VLOOKUP(A371,'SegEnds_NonXtal_Prot#'!A:AL,16,FALSE)-VLOOKUP(A371,'SegEnds_NonXtal_Prot#'!A:AL,10,FALSE)</f>
        <v>67</v>
      </c>
      <c r="AE371" s="1" t="e">
        <f>VLOOKUP(A371,'SegEnds_NonXtal_Prot#'!A:AL,22,FALSE)-VLOOKUP(A371,'SegEnds_NonXtal_Prot#'!A:AL,19,FALSE)</f>
        <v>#VALUE!</v>
      </c>
      <c r="AF371" s="1">
        <f>VLOOKUP(A371,'SegEnds_NonXtal_Prot#'!A:AL,28,FALSE)-VLOOKUP(A371,'SegEnds_NonXtal_Prot#'!A:AL,25,FALSE)</f>
        <v>21</v>
      </c>
      <c r="AG371" s="1">
        <f>VLOOKUP(A371,'SegEnds_NonXtal_Prot#'!A:AL,28,FALSE)-VLOOKUP(A371,'SegEnds_NonXtal_Prot#'!A:AL,22,FALSE)</f>
        <v>46</v>
      </c>
      <c r="AH371" s="1">
        <f>VLOOKUP(A371,'SegEnds_NonXtal_Prot#'!A:AL,31,FALSE)-VLOOKUP(A371,'SegEnds_NonXtal_Prot#'!A:AL,28,FALSE)</f>
        <v>55</v>
      </c>
      <c r="AI371" s="1">
        <f>VLOOKUP(A371,'SegEnds_NonXtal_Prot#'!A:AL,34,FALSE)-VLOOKUP(A371,'SegEnds_NonXtal_Prot#'!A:AL,31,FALSE)</f>
        <v>36</v>
      </c>
      <c r="AJ371" s="1" t="str">
        <f>IF(ISERROR(MATCH(A371,'SegEnds_Xtal_Prot#'!B:B, 0)), "NoXtal", "Xtal")</f>
        <v>NoXtal</v>
      </c>
    </row>
    <row r="372" spans="1:36" x14ac:dyDescent="0.2">
      <c r="A372" s="1" t="s">
        <v>451</v>
      </c>
      <c r="B372" s="1" t="str">
        <f>VLOOKUP(A372,Xtal_Templ!A:B,2,FALSE)</f>
        <v>smo_human</v>
      </c>
      <c r="C372" s="5">
        <f>VLOOKUP($B372&amp;"__wt",'SegEnds_Xtal_BW#'!$A:$Z,3,FALSE)</f>
        <v>29</v>
      </c>
      <c r="D372" s="1">
        <f>VLOOKUP($B372&amp;"__wt",'SegEnds_Xtal_BW#'!$A:$Z,4,FALSE)</f>
        <v>60</v>
      </c>
      <c r="E372" s="1">
        <f>VLOOKUP($B372&amp;"__wt",'SegEnds_Xtal_BW#'!$A:$Z,5,FALSE)</f>
        <v>47</v>
      </c>
      <c r="F372" s="1">
        <f>VLOOKUP($B372&amp;"__wt",'SegEnds_Xtal_BW#'!$A:$Z,6,FALSE)</f>
        <v>51</v>
      </c>
      <c r="G372" s="1">
        <v>39</v>
      </c>
      <c r="H372" s="12">
        <f>VLOOKUP($B372&amp;"__wt",'SegEnds_Xtal_BW#'!$A:$Z,8,FALSE)</f>
        <v>63</v>
      </c>
      <c r="I372" s="1" t="str">
        <f>VLOOKUP($B372&amp;"__wt",'SegEnds_Xtal_BW#'!$A:$Z,9,FALSE)</f>
        <v>-</v>
      </c>
      <c r="J372" s="1" t="str">
        <f>VLOOKUP($B372&amp;"__wt",'SegEnds_Xtal_BW#'!$A:$Z,10,FALSE)</f>
        <v>-</v>
      </c>
      <c r="K372" s="12">
        <f>VLOOKUP($B372&amp;"__wt",'SegEnds_Xtal_BW#'!$A:$Z,11,FALSE)</f>
        <v>23</v>
      </c>
      <c r="L372" s="1">
        <f>VLOOKUP($B372&amp;"__wt",'SegEnds_Xtal_BW#'!$A:$Z,12,FALSE)</f>
        <v>59</v>
      </c>
      <c r="M372" s="1" t="str">
        <f>VLOOKUP($B372&amp;"__wt",'SegEnds_Xtal_BW#'!$A:$Z,13,FALSE)</f>
        <v>-</v>
      </c>
      <c r="N372" s="12" t="str">
        <f>VLOOKUP($B372&amp;"__wt",'SegEnds_Xtal_BW#'!$A:$Z,14,FALSE)</f>
        <v>-</v>
      </c>
      <c r="O372" s="89">
        <f>VLOOKUP($B372&amp;"__wt",'SegEnds_Xtal_BW#'!$A:$Z,15,FALSE)</f>
        <v>38</v>
      </c>
      <c r="P372" s="1">
        <f>VLOOKUP($B372&amp;"__wt",'SegEnds_Xtal_BW#'!$A:$Z,16,FALSE)</f>
        <v>63</v>
      </c>
      <c r="Q372" s="1">
        <f>VLOOKUP($B372&amp;"__wt",'SegEnds_Xtal_BW#'!$A:$Z,17,FALSE)</f>
        <v>50</v>
      </c>
      <c r="R372" s="1">
        <f>VLOOKUP($B372&amp;"__wt",'SegEnds_Xtal_BW#'!$A:$Z,18,FALSE)</f>
        <v>52</v>
      </c>
      <c r="S372" s="1">
        <f>VLOOKUP($B372&amp;"__wt",'SegEnds_Xtal_BW#'!$A:$Z,19,FALSE)</f>
        <v>36</v>
      </c>
      <c r="T372" s="1">
        <f>VLOOKUP($B372&amp;"__wt",'SegEnds_Xtal_BW#'!$A:$Z,20,FALSE)</f>
        <v>72</v>
      </c>
      <c r="U372" s="1">
        <f>VLOOKUP($B372&amp;"__wt",'SegEnds_Xtal_BW#'!$A:$Z,21,FALSE)</f>
        <v>24</v>
      </c>
      <c r="V372" s="1">
        <f>VLOOKUP($B372&amp;"__wt",'SegEnds_Xtal_BW#'!$A:$Z,22,FALSE)</f>
        <v>78</v>
      </c>
      <c r="W372" s="1">
        <f>VLOOKUP($B372&amp;"__wt",'SegEnds_Xtal_BW#'!$A:$Z,23,FALSE)</f>
        <v>35</v>
      </c>
      <c r="X372" s="1">
        <f>VLOOKUP($B372&amp;"__wt",'SegEnds_Xtal_BW#'!$A:$Z,24,FALSE)</f>
        <v>57</v>
      </c>
      <c r="Y372" s="1">
        <f>VLOOKUP($B372&amp;"__wt",'SegEnds_Xtal_BW#'!$A:$Z,25,FALSE)</f>
        <v>47</v>
      </c>
      <c r="Z372" s="1">
        <f>VLOOKUP($B372&amp;"__wt",'SegEnds_Xtal_BW#'!$A:$Z,26,FALSE)</f>
        <v>62</v>
      </c>
      <c r="AA372" s="27" t="str">
        <f>VLOOKUP(A372,Classification!A:B,2,FALSE)</f>
        <v>F</v>
      </c>
      <c r="AB372" s="1">
        <f>VLOOKUP(A372,'SegEnds_NonXtal_Prot#'!A:AL,10,FALSE)-VLOOKUP(A372,'SegEnds_NonXtal_Prot#'!A:AL,7,FALSE)</f>
        <v>12</v>
      </c>
      <c r="AC372" s="1" t="e">
        <f>VLOOKUP(A372,'SegEnds_NonXtal_Prot#'!A:AL,13,FALSE)-VLOOKUP(A372,'SegEnds_NonXtal_Prot#'!A:AL,10,FALSE)</f>
        <v>#VALUE!</v>
      </c>
      <c r="AD372" s="1">
        <f>VLOOKUP(A372,'SegEnds_NonXtal_Prot#'!A:AL,16,FALSE)-VLOOKUP(A372,'SegEnds_NonXtal_Prot#'!A:AL,10,FALSE)</f>
        <v>64</v>
      </c>
      <c r="AE372" s="1" t="e">
        <f>VLOOKUP(A372,'SegEnds_NonXtal_Prot#'!A:AL,22,FALSE)-VLOOKUP(A372,'SegEnds_NonXtal_Prot#'!A:AL,19,FALSE)</f>
        <v>#VALUE!</v>
      </c>
      <c r="AF372" s="1">
        <f>VLOOKUP(A372,'SegEnds_NonXtal_Prot#'!A:AL,28,FALSE)-VLOOKUP(A372,'SegEnds_NonXtal_Prot#'!A:AL,25,FALSE)</f>
        <v>21</v>
      </c>
      <c r="AG372" s="1">
        <f>VLOOKUP(A372,'SegEnds_NonXtal_Prot#'!A:AL,28,FALSE)-VLOOKUP(A372,'SegEnds_NonXtal_Prot#'!A:AL,22,FALSE)</f>
        <v>46</v>
      </c>
      <c r="AH372" s="1">
        <f>VLOOKUP(A372,'SegEnds_NonXtal_Prot#'!A:AL,31,FALSE)-VLOOKUP(A372,'SegEnds_NonXtal_Prot#'!A:AL,28,FALSE)</f>
        <v>55</v>
      </c>
      <c r="AI372" s="1">
        <f>VLOOKUP(A372,'SegEnds_NonXtal_Prot#'!A:AL,34,FALSE)-VLOOKUP(A372,'SegEnds_NonXtal_Prot#'!A:AL,31,FALSE)</f>
        <v>49</v>
      </c>
      <c r="AJ372" s="1" t="str">
        <f>IF(ISERROR(MATCH(A372,'SegEnds_Xtal_Prot#'!B:B, 0)), "NoXtal", "Xtal")</f>
        <v>NoXtal</v>
      </c>
    </row>
    <row r="373" spans="1:36" x14ac:dyDescent="0.2">
      <c r="A373" s="1" t="s">
        <v>452</v>
      </c>
      <c r="B373" s="1" t="str">
        <f>VLOOKUP(A373,Xtal_Templ!A:B,2,FALSE)</f>
        <v>smo_human</v>
      </c>
      <c r="C373" s="5">
        <f>VLOOKUP($B373&amp;"__wt",'SegEnds_Xtal_BW#'!$A:$Z,3,FALSE)</f>
        <v>29</v>
      </c>
      <c r="D373" s="1">
        <f>VLOOKUP($B373&amp;"__wt",'SegEnds_Xtal_BW#'!$A:$Z,4,FALSE)</f>
        <v>60</v>
      </c>
      <c r="E373" s="1">
        <f>VLOOKUP($B373&amp;"__wt",'SegEnds_Xtal_BW#'!$A:$Z,5,FALSE)</f>
        <v>47</v>
      </c>
      <c r="F373" s="1">
        <f>VLOOKUP($B373&amp;"__wt",'SegEnds_Xtal_BW#'!$A:$Z,6,FALSE)</f>
        <v>51</v>
      </c>
      <c r="G373" s="1">
        <v>39</v>
      </c>
      <c r="H373" s="12">
        <f>VLOOKUP($B373&amp;"__wt",'SegEnds_Xtal_BW#'!$A:$Z,8,FALSE)</f>
        <v>63</v>
      </c>
      <c r="I373" s="1" t="str">
        <f>VLOOKUP($B373&amp;"__wt",'SegEnds_Xtal_BW#'!$A:$Z,9,FALSE)</f>
        <v>-</v>
      </c>
      <c r="J373" s="1" t="str">
        <f>VLOOKUP($B373&amp;"__wt",'SegEnds_Xtal_BW#'!$A:$Z,10,FALSE)</f>
        <v>-</v>
      </c>
      <c r="K373" s="12">
        <f>VLOOKUP($B373&amp;"__wt",'SegEnds_Xtal_BW#'!$A:$Z,11,FALSE)</f>
        <v>23</v>
      </c>
      <c r="L373" s="1">
        <f>VLOOKUP($B373&amp;"__wt",'SegEnds_Xtal_BW#'!$A:$Z,12,FALSE)</f>
        <v>59</v>
      </c>
      <c r="M373" s="1" t="str">
        <f>VLOOKUP($B373&amp;"__wt",'SegEnds_Xtal_BW#'!$A:$Z,13,FALSE)</f>
        <v>-</v>
      </c>
      <c r="N373" s="12" t="str">
        <f>VLOOKUP($B373&amp;"__wt",'SegEnds_Xtal_BW#'!$A:$Z,14,FALSE)</f>
        <v>-</v>
      </c>
      <c r="O373" s="89">
        <f>VLOOKUP($B373&amp;"__wt",'SegEnds_Xtal_BW#'!$A:$Z,15,FALSE)</f>
        <v>38</v>
      </c>
      <c r="P373" s="1">
        <f>VLOOKUP($B373&amp;"__wt",'SegEnds_Xtal_BW#'!$A:$Z,16,FALSE)</f>
        <v>63</v>
      </c>
      <c r="Q373" s="1">
        <f>VLOOKUP($B373&amp;"__wt",'SegEnds_Xtal_BW#'!$A:$Z,17,FALSE)</f>
        <v>50</v>
      </c>
      <c r="R373" s="1">
        <f>VLOOKUP($B373&amp;"__wt",'SegEnds_Xtal_BW#'!$A:$Z,18,FALSE)</f>
        <v>52</v>
      </c>
      <c r="S373" s="1">
        <f>VLOOKUP($B373&amp;"__wt",'SegEnds_Xtal_BW#'!$A:$Z,19,FALSE)</f>
        <v>36</v>
      </c>
      <c r="T373" s="1">
        <f>VLOOKUP($B373&amp;"__wt",'SegEnds_Xtal_BW#'!$A:$Z,20,FALSE)</f>
        <v>72</v>
      </c>
      <c r="U373" s="1">
        <f>VLOOKUP($B373&amp;"__wt",'SegEnds_Xtal_BW#'!$A:$Z,21,FALSE)</f>
        <v>24</v>
      </c>
      <c r="V373" s="1">
        <f>VLOOKUP($B373&amp;"__wt",'SegEnds_Xtal_BW#'!$A:$Z,22,FALSE)</f>
        <v>78</v>
      </c>
      <c r="W373" s="1">
        <f>VLOOKUP($B373&amp;"__wt",'SegEnds_Xtal_BW#'!$A:$Z,23,FALSE)</f>
        <v>35</v>
      </c>
      <c r="X373" s="1">
        <f>VLOOKUP($B373&amp;"__wt",'SegEnds_Xtal_BW#'!$A:$Z,24,FALSE)</f>
        <v>57</v>
      </c>
      <c r="Y373" s="1">
        <f>VLOOKUP($B373&amp;"__wt",'SegEnds_Xtal_BW#'!$A:$Z,25,FALSE)</f>
        <v>47</v>
      </c>
      <c r="Z373" s="1">
        <f>VLOOKUP($B373&amp;"__wt",'SegEnds_Xtal_BW#'!$A:$Z,26,FALSE)</f>
        <v>62</v>
      </c>
      <c r="AA373" s="27" t="str">
        <f>VLOOKUP(A373,Classification!A:B,2,FALSE)</f>
        <v>F</v>
      </c>
      <c r="AB373" s="1">
        <f>VLOOKUP(A373,'SegEnds_NonXtal_Prot#'!A:AL,10,FALSE)-VLOOKUP(A373,'SegEnds_NonXtal_Prot#'!A:AL,7,FALSE)</f>
        <v>12</v>
      </c>
      <c r="AC373" s="1" t="e">
        <f>VLOOKUP(A373,'SegEnds_NonXtal_Prot#'!A:AL,13,FALSE)-VLOOKUP(A373,'SegEnds_NonXtal_Prot#'!A:AL,10,FALSE)</f>
        <v>#VALUE!</v>
      </c>
      <c r="AD373" s="1">
        <f>VLOOKUP(A373,'SegEnds_NonXtal_Prot#'!A:AL,16,FALSE)-VLOOKUP(A373,'SegEnds_NonXtal_Prot#'!A:AL,10,FALSE)</f>
        <v>68</v>
      </c>
      <c r="AE373" s="1" t="e">
        <f>VLOOKUP(A373,'SegEnds_NonXtal_Prot#'!A:AL,22,FALSE)-VLOOKUP(A373,'SegEnds_NonXtal_Prot#'!A:AL,19,FALSE)</f>
        <v>#VALUE!</v>
      </c>
      <c r="AF373" s="1">
        <f>VLOOKUP(A373,'SegEnds_NonXtal_Prot#'!A:AL,28,FALSE)-VLOOKUP(A373,'SegEnds_NonXtal_Prot#'!A:AL,25,FALSE)</f>
        <v>21</v>
      </c>
      <c r="AG373" s="1">
        <f>VLOOKUP(A373,'SegEnds_NonXtal_Prot#'!A:AL,28,FALSE)-VLOOKUP(A373,'SegEnds_NonXtal_Prot#'!A:AL,22,FALSE)</f>
        <v>46</v>
      </c>
      <c r="AH373" s="1">
        <f>VLOOKUP(A373,'SegEnds_NonXtal_Prot#'!A:AL,31,FALSE)-VLOOKUP(A373,'SegEnds_NonXtal_Prot#'!A:AL,28,FALSE)</f>
        <v>55</v>
      </c>
      <c r="AI373" s="1">
        <f>VLOOKUP(A373,'SegEnds_NonXtal_Prot#'!A:AL,34,FALSE)-VLOOKUP(A373,'SegEnds_NonXtal_Prot#'!A:AL,31,FALSE)</f>
        <v>55</v>
      </c>
      <c r="AJ373" s="1" t="str">
        <f>IF(ISERROR(MATCH(A373,'SegEnds_Xtal_Prot#'!B:B, 0)), "NoXtal", "Xtal")</f>
        <v>NoXtal</v>
      </c>
    </row>
    <row r="374" spans="1:36" x14ac:dyDescent="0.2">
      <c r="A374" s="1" t="s">
        <v>453</v>
      </c>
      <c r="B374" s="1" t="str">
        <f>VLOOKUP(A374,Xtal_Templ!A:B,2,FALSE)</f>
        <v>smo_human</v>
      </c>
      <c r="C374" s="5">
        <f>VLOOKUP($B374&amp;"__wt",'SegEnds_Xtal_BW#'!$A:$Z,3,FALSE)</f>
        <v>29</v>
      </c>
      <c r="D374" s="1">
        <f>VLOOKUP($B374&amp;"__wt",'SegEnds_Xtal_BW#'!$A:$Z,4,FALSE)</f>
        <v>60</v>
      </c>
      <c r="E374" s="1">
        <f>VLOOKUP($B374&amp;"__wt",'SegEnds_Xtal_BW#'!$A:$Z,5,FALSE)</f>
        <v>47</v>
      </c>
      <c r="F374" s="1">
        <f>VLOOKUP($B374&amp;"__wt",'SegEnds_Xtal_BW#'!$A:$Z,6,FALSE)</f>
        <v>51</v>
      </c>
      <c r="G374" s="1">
        <v>39</v>
      </c>
      <c r="H374" s="12">
        <f>VLOOKUP($B374&amp;"__wt",'SegEnds_Xtal_BW#'!$A:$Z,8,FALSE)</f>
        <v>63</v>
      </c>
      <c r="I374" s="1" t="str">
        <f>VLOOKUP($B374&amp;"__wt",'SegEnds_Xtal_BW#'!$A:$Z,9,FALSE)</f>
        <v>-</v>
      </c>
      <c r="J374" s="1" t="str">
        <f>VLOOKUP($B374&amp;"__wt",'SegEnds_Xtal_BW#'!$A:$Z,10,FALSE)</f>
        <v>-</v>
      </c>
      <c r="K374" s="12">
        <f>VLOOKUP($B374&amp;"__wt",'SegEnds_Xtal_BW#'!$A:$Z,11,FALSE)</f>
        <v>23</v>
      </c>
      <c r="L374" s="1">
        <f>VLOOKUP($B374&amp;"__wt",'SegEnds_Xtal_BW#'!$A:$Z,12,FALSE)</f>
        <v>59</v>
      </c>
      <c r="M374" s="1" t="str">
        <f>VLOOKUP($B374&amp;"__wt",'SegEnds_Xtal_BW#'!$A:$Z,13,FALSE)</f>
        <v>-</v>
      </c>
      <c r="N374" s="12" t="str">
        <f>VLOOKUP($B374&amp;"__wt",'SegEnds_Xtal_BW#'!$A:$Z,14,FALSE)</f>
        <v>-</v>
      </c>
      <c r="O374" s="89">
        <f>VLOOKUP($B374&amp;"__wt",'SegEnds_Xtal_BW#'!$A:$Z,15,FALSE)</f>
        <v>38</v>
      </c>
      <c r="P374" s="1">
        <f>VLOOKUP($B374&amp;"__wt",'SegEnds_Xtal_BW#'!$A:$Z,16,FALSE)</f>
        <v>63</v>
      </c>
      <c r="Q374" s="1">
        <f>VLOOKUP($B374&amp;"__wt",'SegEnds_Xtal_BW#'!$A:$Z,17,FALSE)</f>
        <v>50</v>
      </c>
      <c r="R374" s="1">
        <f>VLOOKUP($B374&amp;"__wt",'SegEnds_Xtal_BW#'!$A:$Z,18,FALSE)</f>
        <v>52</v>
      </c>
      <c r="S374" s="1">
        <f>VLOOKUP($B374&amp;"__wt",'SegEnds_Xtal_BW#'!$A:$Z,19,FALSE)</f>
        <v>36</v>
      </c>
      <c r="T374" s="1">
        <f>VLOOKUP($B374&amp;"__wt",'SegEnds_Xtal_BW#'!$A:$Z,20,FALSE)</f>
        <v>72</v>
      </c>
      <c r="U374" s="1">
        <f>VLOOKUP($B374&amp;"__wt",'SegEnds_Xtal_BW#'!$A:$Z,21,FALSE)</f>
        <v>24</v>
      </c>
      <c r="V374" s="1">
        <f>VLOOKUP($B374&amp;"__wt",'SegEnds_Xtal_BW#'!$A:$Z,22,FALSE)</f>
        <v>78</v>
      </c>
      <c r="W374" s="1">
        <f>VLOOKUP($B374&amp;"__wt",'SegEnds_Xtal_BW#'!$A:$Z,23,FALSE)</f>
        <v>35</v>
      </c>
      <c r="X374" s="1">
        <f>VLOOKUP($B374&amp;"__wt",'SegEnds_Xtal_BW#'!$A:$Z,24,FALSE)</f>
        <v>57</v>
      </c>
      <c r="Y374" s="1">
        <f>VLOOKUP($B374&amp;"__wt",'SegEnds_Xtal_BW#'!$A:$Z,25,FALSE)</f>
        <v>47</v>
      </c>
      <c r="Z374" s="1">
        <f>VLOOKUP($B374&amp;"__wt",'SegEnds_Xtal_BW#'!$A:$Z,26,FALSE)</f>
        <v>62</v>
      </c>
      <c r="AA374" s="27" t="str">
        <f>VLOOKUP(A374,Classification!A:B,2,FALSE)</f>
        <v>F</v>
      </c>
      <c r="AB374" s="1">
        <f>VLOOKUP(A374,'SegEnds_NonXtal_Prot#'!A:AL,10,FALSE)-VLOOKUP(A374,'SegEnds_NonXtal_Prot#'!A:AL,7,FALSE)</f>
        <v>12</v>
      </c>
      <c r="AC374" s="1" t="e">
        <f>VLOOKUP(A374,'SegEnds_NonXtal_Prot#'!A:AL,13,FALSE)-VLOOKUP(A374,'SegEnds_NonXtal_Prot#'!A:AL,10,FALSE)</f>
        <v>#VALUE!</v>
      </c>
      <c r="AD374" s="1">
        <f>VLOOKUP(A374,'SegEnds_NonXtal_Prot#'!A:AL,16,FALSE)-VLOOKUP(A374,'SegEnds_NonXtal_Prot#'!A:AL,10,FALSE)</f>
        <v>67</v>
      </c>
      <c r="AE374" s="1" t="e">
        <f>VLOOKUP(A374,'SegEnds_NonXtal_Prot#'!A:AL,22,FALSE)-VLOOKUP(A374,'SegEnds_NonXtal_Prot#'!A:AL,19,FALSE)</f>
        <v>#VALUE!</v>
      </c>
      <c r="AF374" s="1">
        <f>VLOOKUP(A374,'SegEnds_NonXtal_Prot#'!A:AL,28,FALSE)-VLOOKUP(A374,'SegEnds_NonXtal_Prot#'!A:AL,25,FALSE)</f>
        <v>21</v>
      </c>
      <c r="AG374" s="1">
        <f>VLOOKUP(A374,'SegEnds_NonXtal_Prot#'!A:AL,28,FALSE)-VLOOKUP(A374,'SegEnds_NonXtal_Prot#'!A:AL,22,FALSE)</f>
        <v>46</v>
      </c>
      <c r="AH374" s="1">
        <f>VLOOKUP(A374,'SegEnds_NonXtal_Prot#'!A:AL,31,FALSE)-VLOOKUP(A374,'SegEnds_NonXtal_Prot#'!A:AL,28,FALSE)</f>
        <v>55</v>
      </c>
      <c r="AI374" s="1">
        <f>VLOOKUP(A374,'SegEnds_NonXtal_Prot#'!A:AL,34,FALSE)-VLOOKUP(A374,'SegEnds_NonXtal_Prot#'!A:AL,31,FALSE)</f>
        <v>55</v>
      </c>
      <c r="AJ374" s="1" t="str">
        <f>IF(ISERROR(MATCH(A374,'SegEnds_Xtal_Prot#'!B:B, 0)), "NoXtal", "Xtal")</f>
        <v>NoXtal</v>
      </c>
    </row>
    <row r="375" spans="1:36" x14ac:dyDescent="0.2">
      <c r="A375" s="1" t="s">
        <v>454</v>
      </c>
      <c r="B375" s="1" t="str">
        <f>VLOOKUP(A375,Xtal_Templ!A:B,2,FALSE)</f>
        <v>smo_human</v>
      </c>
      <c r="C375" s="5">
        <f>VLOOKUP($B375&amp;"__wt",'SegEnds_Xtal_BW#'!$A:$Z,3,FALSE)</f>
        <v>29</v>
      </c>
      <c r="D375" s="1">
        <f>VLOOKUP($B375&amp;"__wt",'SegEnds_Xtal_BW#'!$A:$Z,4,FALSE)</f>
        <v>60</v>
      </c>
      <c r="E375" s="1">
        <f>VLOOKUP($B375&amp;"__wt",'SegEnds_Xtal_BW#'!$A:$Z,5,FALSE)</f>
        <v>47</v>
      </c>
      <c r="F375" s="1">
        <f>VLOOKUP($B375&amp;"__wt",'SegEnds_Xtal_BW#'!$A:$Z,6,FALSE)</f>
        <v>51</v>
      </c>
      <c r="G375" s="1">
        <v>39</v>
      </c>
      <c r="H375" s="12">
        <f>VLOOKUP($B375&amp;"__wt",'SegEnds_Xtal_BW#'!$A:$Z,8,FALSE)</f>
        <v>63</v>
      </c>
      <c r="I375" s="1" t="str">
        <f>VLOOKUP($B375&amp;"__wt",'SegEnds_Xtal_BW#'!$A:$Z,9,FALSE)</f>
        <v>-</v>
      </c>
      <c r="J375" s="1" t="str">
        <f>VLOOKUP($B375&amp;"__wt",'SegEnds_Xtal_BW#'!$A:$Z,10,FALSE)</f>
        <v>-</v>
      </c>
      <c r="K375" s="12">
        <f>VLOOKUP($B375&amp;"__wt",'SegEnds_Xtal_BW#'!$A:$Z,11,FALSE)</f>
        <v>23</v>
      </c>
      <c r="L375" s="1">
        <f>VLOOKUP($B375&amp;"__wt",'SegEnds_Xtal_BW#'!$A:$Z,12,FALSE)</f>
        <v>59</v>
      </c>
      <c r="M375" s="1" t="str">
        <f>VLOOKUP($B375&amp;"__wt",'SegEnds_Xtal_BW#'!$A:$Z,13,FALSE)</f>
        <v>-</v>
      </c>
      <c r="N375" s="12" t="str">
        <f>VLOOKUP($B375&amp;"__wt",'SegEnds_Xtal_BW#'!$A:$Z,14,FALSE)</f>
        <v>-</v>
      </c>
      <c r="O375" s="89">
        <f>VLOOKUP($B375&amp;"__wt",'SegEnds_Xtal_BW#'!$A:$Z,15,FALSE)</f>
        <v>38</v>
      </c>
      <c r="P375" s="1">
        <f>VLOOKUP($B375&amp;"__wt",'SegEnds_Xtal_BW#'!$A:$Z,16,FALSE)</f>
        <v>63</v>
      </c>
      <c r="Q375" s="1">
        <f>VLOOKUP($B375&amp;"__wt",'SegEnds_Xtal_BW#'!$A:$Z,17,FALSE)</f>
        <v>50</v>
      </c>
      <c r="R375" s="1">
        <f>VLOOKUP($B375&amp;"__wt",'SegEnds_Xtal_BW#'!$A:$Z,18,FALSE)</f>
        <v>52</v>
      </c>
      <c r="S375" s="1">
        <f>VLOOKUP($B375&amp;"__wt",'SegEnds_Xtal_BW#'!$A:$Z,19,FALSE)</f>
        <v>36</v>
      </c>
      <c r="T375" s="1">
        <f>VLOOKUP($B375&amp;"__wt",'SegEnds_Xtal_BW#'!$A:$Z,20,FALSE)</f>
        <v>72</v>
      </c>
      <c r="U375" s="1">
        <f>VLOOKUP($B375&amp;"__wt",'SegEnds_Xtal_BW#'!$A:$Z,21,FALSE)</f>
        <v>24</v>
      </c>
      <c r="V375" s="1">
        <f>VLOOKUP($B375&amp;"__wt",'SegEnds_Xtal_BW#'!$A:$Z,22,FALSE)</f>
        <v>78</v>
      </c>
      <c r="W375" s="1">
        <f>VLOOKUP($B375&amp;"__wt",'SegEnds_Xtal_BW#'!$A:$Z,23,FALSE)</f>
        <v>35</v>
      </c>
      <c r="X375" s="1">
        <f>VLOOKUP($B375&amp;"__wt",'SegEnds_Xtal_BW#'!$A:$Z,24,FALSE)</f>
        <v>57</v>
      </c>
      <c r="Y375" s="1">
        <f>VLOOKUP($B375&amp;"__wt",'SegEnds_Xtal_BW#'!$A:$Z,25,FALSE)</f>
        <v>47</v>
      </c>
      <c r="Z375" s="1">
        <f>VLOOKUP($B375&amp;"__wt",'SegEnds_Xtal_BW#'!$A:$Z,26,FALSE)</f>
        <v>62</v>
      </c>
      <c r="AA375" s="27" t="str">
        <f>VLOOKUP(A375,Classification!A:B,2,FALSE)</f>
        <v>F</v>
      </c>
      <c r="AB375" s="1">
        <f>VLOOKUP(A375,'SegEnds_NonXtal_Prot#'!A:AL,10,FALSE)-VLOOKUP(A375,'SegEnds_NonXtal_Prot#'!A:AL,7,FALSE)</f>
        <v>12</v>
      </c>
      <c r="AC375" s="1" t="e">
        <f>VLOOKUP(A375,'SegEnds_NonXtal_Prot#'!A:AL,13,FALSE)-VLOOKUP(A375,'SegEnds_NonXtal_Prot#'!A:AL,10,FALSE)</f>
        <v>#VALUE!</v>
      </c>
      <c r="AD375" s="1">
        <f>VLOOKUP(A375,'SegEnds_NonXtal_Prot#'!A:AL,16,FALSE)-VLOOKUP(A375,'SegEnds_NonXtal_Prot#'!A:AL,10,FALSE)</f>
        <v>103</v>
      </c>
      <c r="AE375" s="1" t="e">
        <f>VLOOKUP(A375,'SegEnds_NonXtal_Prot#'!A:AL,22,FALSE)-VLOOKUP(A375,'SegEnds_NonXtal_Prot#'!A:AL,19,FALSE)</f>
        <v>#VALUE!</v>
      </c>
      <c r="AF375" s="1">
        <f>VLOOKUP(A375,'SegEnds_NonXtal_Prot#'!A:AL,28,FALSE)-VLOOKUP(A375,'SegEnds_NonXtal_Prot#'!A:AL,25,FALSE)</f>
        <v>21</v>
      </c>
      <c r="AG375" s="1">
        <f>VLOOKUP(A375,'SegEnds_NonXtal_Prot#'!A:AL,28,FALSE)-VLOOKUP(A375,'SegEnds_NonXtal_Prot#'!A:AL,22,FALSE)</f>
        <v>46</v>
      </c>
      <c r="AH375" s="1">
        <f>VLOOKUP(A375,'SegEnds_NonXtal_Prot#'!A:AL,31,FALSE)-VLOOKUP(A375,'SegEnds_NonXtal_Prot#'!A:AL,28,FALSE)</f>
        <v>57</v>
      </c>
      <c r="AI375" s="1">
        <f>VLOOKUP(A375,'SegEnds_NonXtal_Prot#'!A:AL,34,FALSE)-VLOOKUP(A375,'SegEnds_NonXtal_Prot#'!A:AL,31,FALSE)</f>
        <v>49</v>
      </c>
      <c r="AJ375" s="1" t="str">
        <f>IF(ISERROR(MATCH(A375,'SegEnds_Xtal_Prot#'!B:B, 0)), "NoXtal", "Xtal")</f>
        <v>NoXtal</v>
      </c>
    </row>
    <row r="376" spans="1:36" x14ac:dyDescent="0.2">
      <c r="A376" s="1" t="s">
        <v>455</v>
      </c>
      <c r="B376" s="1" t="str">
        <f>VLOOKUP(A376,Xtal_Templ!A:B,2,FALSE)</f>
        <v>smo_human</v>
      </c>
      <c r="C376" s="5">
        <f>VLOOKUP($B376&amp;"__wt",'SegEnds_Xtal_BW#'!$A:$Z,3,FALSE)</f>
        <v>29</v>
      </c>
      <c r="D376" s="1">
        <f>VLOOKUP($B376&amp;"__wt",'SegEnds_Xtal_BW#'!$A:$Z,4,FALSE)</f>
        <v>60</v>
      </c>
      <c r="E376" s="1">
        <f>VLOOKUP($B376&amp;"__wt",'SegEnds_Xtal_BW#'!$A:$Z,5,FALSE)</f>
        <v>47</v>
      </c>
      <c r="F376" s="1">
        <f>VLOOKUP($B376&amp;"__wt",'SegEnds_Xtal_BW#'!$A:$Z,6,FALSE)</f>
        <v>51</v>
      </c>
      <c r="G376" s="1">
        <v>39</v>
      </c>
      <c r="H376" s="12">
        <f>VLOOKUP($B376&amp;"__wt",'SegEnds_Xtal_BW#'!$A:$Z,8,FALSE)</f>
        <v>63</v>
      </c>
      <c r="I376" s="1" t="str">
        <f>VLOOKUP($B376&amp;"__wt",'SegEnds_Xtal_BW#'!$A:$Z,9,FALSE)</f>
        <v>-</v>
      </c>
      <c r="J376" s="1" t="str">
        <f>VLOOKUP($B376&amp;"__wt",'SegEnds_Xtal_BW#'!$A:$Z,10,FALSE)</f>
        <v>-</v>
      </c>
      <c r="K376" s="12">
        <f>VLOOKUP($B376&amp;"__wt",'SegEnds_Xtal_BW#'!$A:$Z,11,FALSE)</f>
        <v>23</v>
      </c>
      <c r="L376" s="1">
        <f>VLOOKUP($B376&amp;"__wt",'SegEnds_Xtal_BW#'!$A:$Z,12,FALSE)</f>
        <v>59</v>
      </c>
      <c r="M376" s="1" t="str">
        <f>VLOOKUP($B376&amp;"__wt",'SegEnds_Xtal_BW#'!$A:$Z,13,FALSE)</f>
        <v>-</v>
      </c>
      <c r="N376" s="12" t="str">
        <f>VLOOKUP($B376&amp;"__wt",'SegEnds_Xtal_BW#'!$A:$Z,14,FALSE)</f>
        <v>-</v>
      </c>
      <c r="O376" s="89">
        <f>VLOOKUP($B376&amp;"__wt",'SegEnds_Xtal_BW#'!$A:$Z,15,FALSE)</f>
        <v>38</v>
      </c>
      <c r="P376" s="1">
        <f>VLOOKUP($B376&amp;"__wt",'SegEnds_Xtal_BW#'!$A:$Z,16,FALSE)</f>
        <v>63</v>
      </c>
      <c r="Q376" s="1">
        <f>VLOOKUP($B376&amp;"__wt",'SegEnds_Xtal_BW#'!$A:$Z,17,FALSE)</f>
        <v>50</v>
      </c>
      <c r="R376" s="1">
        <f>VLOOKUP($B376&amp;"__wt",'SegEnds_Xtal_BW#'!$A:$Z,18,FALSE)</f>
        <v>52</v>
      </c>
      <c r="S376" s="1">
        <f>VLOOKUP($B376&amp;"__wt",'SegEnds_Xtal_BW#'!$A:$Z,19,FALSE)</f>
        <v>36</v>
      </c>
      <c r="T376" s="1">
        <f>VLOOKUP($B376&amp;"__wt",'SegEnds_Xtal_BW#'!$A:$Z,20,FALSE)</f>
        <v>72</v>
      </c>
      <c r="U376" s="1">
        <f>VLOOKUP($B376&amp;"__wt",'SegEnds_Xtal_BW#'!$A:$Z,21,FALSE)</f>
        <v>24</v>
      </c>
      <c r="V376" s="1">
        <f>VLOOKUP($B376&amp;"__wt",'SegEnds_Xtal_BW#'!$A:$Z,22,FALSE)</f>
        <v>78</v>
      </c>
      <c r="W376" s="1">
        <f>VLOOKUP($B376&amp;"__wt",'SegEnds_Xtal_BW#'!$A:$Z,23,FALSE)</f>
        <v>35</v>
      </c>
      <c r="X376" s="1">
        <f>VLOOKUP($B376&amp;"__wt",'SegEnds_Xtal_BW#'!$A:$Z,24,FALSE)</f>
        <v>57</v>
      </c>
      <c r="Y376" s="1">
        <f>VLOOKUP($B376&amp;"__wt",'SegEnds_Xtal_BW#'!$A:$Z,25,FALSE)</f>
        <v>47</v>
      </c>
      <c r="Z376" s="1">
        <f>VLOOKUP($B376&amp;"__wt",'SegEnds_Xtal_BW#'!$A:$Z,26,FALSE)</f>
        <v>62</v>
      </c>
      <c r="AA376" s="27" t="str">
        <f>VLOOKUP(A376,Classification!A:B,2,FALSE)</f>
        <v>F</v>
      </c>
      <c r="AB376" s="1">
        <f>VLOOKUP(A376,'SegEnds_NonXtal_Prot#'!A:AL,10,FALSE)-VLOOKUP(A376,'SegEnds_NonXtal_Prot#'!A:AL,7,FALSE)</f>
        <v>12</v>
      </c>
      <c r="AC376" s="1" t="e">
        <f>VLOOKUP(A376,'SegEnds_NonXtal_Prot#'!A:AL,13,FALSE)-VLOOKUP(A376,'SegEnds_NonXtal_Prot#'!A:AL,10,FALSE)</f>
        <v>#VALUE!</v>
      </c>
      <c r="AD376" s="1">
        <f>VLOOKUP(A376,'SegEnds_NonXtal_Prot#'!A:AL,16,FALSE)-VLOOKUP(A376,'SegEnds_NonXtal_Prot#'!A:AL,10,FALSE)</f>
        <v>66</v>
      </c>
      <c r="AE376" s="1" t="e">
        <f>VLOOKUP(A376,'SegEnds_NonXtal_Prot#'!A:AL,22,FALSE)-VLOOKUP(A376,'SegEnds_NonXtal_Prot#'!A:AL,19,FALSE)</f>
        <v>#VALUE!</v>
      </c>
      <c r="AF376" s="1">
        <f>VLOOKUP(A376,'SegEnds_NonXtal_Prot#'!A:AL,28,FALSE)-VLOOKUP(A376,'SegEnds_NonXtal_Prot#'!A:AL,25,FALSE)</f>
        <v>21</v>
      </c>
      <c r="AG376" s="1">
        <f>VLOOKUP(A376,'SegEnds_NonXtal_Prot#'!A:AL,28,FALSE)-VLOOKUP(A376,'SegEnds_NonXtal_Prot#'!A:AL,22,FALSE)</f>
        <v>46</v>
      </c>
      <c r="AH376" s="1">
        <f>VLOOKUP(A376,'SegEnds_NonXtal_Prot#'!A:AL,31,FALSE)-VLOOKUP(A376,'SegEnds_NonXtal_Prot#'!A:AL,28,FALSE)</f>
        <v>55</v>
      </c>
      <c r="AI376" s="1">
        <f>VLOOKUP(A376,'SegEnds_NonXtal_Prot#'!A:AL,34,FALSE)-VLOOKUP(A376,'SegEnds_NonXtal_Prot#'!A:AL,31,FALSE)</f>
        <v>58</v>
      </c>
      <c r="AJ376" s="1" t="str">
        <f>IF(ISERROR(MATCH(A376,'SegEnds_Xtal_Prot#'!B:B, 0)), "NoXtal", "Xtal")</f>
        <v>NoXtal</v>
      </c>
    </row>
    <row r="377" spans="1:36" x14ac:dyDescent="0.2">
      <c r="A377" s="1" t="s">
        <v>33</v>
      </c>
      <c r="B377" s="1" t="str">
        <f>VLOOKUP(A377,Xtal_Templ!A:B,2,FALSE)</f>
        <v>smo_human</v>
      </c>
      <c r="C377" s="5">
        <f>VLOOKUP($B377&amp;"__wt",'SegEnds_Xtal_BW#'!$A:$Z,3,FALSE)</f>
        <v>29</v>
      </c>
      <c r="D377" s="1">
        <f>VLOOKUP($B377&amp;"__wt",'SegEnds_Xtal_BW#'!$A:$Z,4,FALSE)</f>
        <v>60</v>
      </c>
      <c r="E377" s="1">
        <f>VLOOKUP($B377&amp;"__wt",'SegEnds_Xtal_BW#'!$A:$Z,5,FALSE)</f>
        <v>47</v>
      </c>
      <c r="F377" s="1">
        <f>VLOOKUP($B377&amp;"__wt",'SegEnds_Xtal_BW#'!$A:$Z,6,FALSE)</f>
        <v>51</v>
      </c>
      <c r="G377" s="1">
        <v>40</v>
      </c>
      <c r="H377" s="12">
        <f>VLOOKUP($B377&amp;"__wt",'SegEnds_Xtal_BW#'!$A:$Z,8,FALSE)</f>
        <v>63</v>
      </c>
      <c r="I377" s="1" t="str">
        <f>VLOOKUP($B377&amp;"__wt",'SegEnds_Xtal_BW#'!$A:$Z,9,FALSE)</f>
        <v>-</v>
      </c>
      <c r="J377" s="1" t="str">
        <f>VLOOKUP($B377&amp;"__wt",'SegEnds_Xtal_BW#'!$A:$Z,10,FALSE)</f>
        <v>-</v>
      </c>
      <c r="K377" s="12">
        <f>VLOOKUP($B377&amp;"__wt",'SegEnds_Xtal_BW#'!$A:$Z,11,FALSE)</f>
        <v>23</v>
      </c>
      <c r="L377" s="1">
        <f>VLOOKUP($B377&amp;"__wt",'SegEnds_Xtal_BW#'!$A:$Z,12,FALSE)</f>
        <v>59</v>
      </c>
      <c r="M377" s="1" t="str">
        <f>VLOOKUP($B377&amp;"__wt",'SegEnds_Xtal_BW#'!$A:$Z,13,FALSE)</f>
        <v>-</v>
      </c>
      <c r="N377" s="12" t="str">
        <f>VLOOKUP($B377&amp;"__wt",'SegEnds_Xtal_BW#'!$A:$Z,14,FALSE)</f>
        <v>-</v>
      </c>
      <c r="O377" s="89">
        <f>VLOOKUP($B377&amp;"__wt",'SegEnds_Xtal_BW#'!$A:$Z,15,FALSE)</f>
        <v>38</v>
      </c>
      <c r="P377" s="1">
        <f>VLOOKUP($B377&amp;"__wt",'SegEnds_Xtal_BW#'!$A:$Z,16,FALSE)</f>
        <v>63</v>
      </c>
      <c r="Q377" s="1">
        <f>VLOOKUP($B377&amp;"__wt",'SegEnds_Xtal_BW#'!$A:$Z,17,FALSE)</f>
        <v>50</v>
      </c>
      <c r="R377" s="1">
        <f>VLOOKUP($B377&amp;"__wt",'SegEnds_Xtal_BW#'!$A:$Z,18,FALSE)</f>
        <v>52</v>
      </c>
      <c r="S377" s="1">
        <f>VLOOKUP($B377&amp;"__wt",'SegEnds_Xtal_BW#'!$A:$Z,19,FALSE)</f>
        <v>36</v>
      </c>
      <c r="T377" s="1">
        <f>VLOOKUP($B377&amp;"__wt",'SegEnds_Xtal_BW#'!$A:$Z,20,FALSE)</f>
        <v>72</v>
      </c>
      <c r="U377" s="1">
        <f>VLOOKUP($B377&amp;"__wt",'SegEnds_Xtal_BW#'!$A:$Z,21,FALSE)</f>
        <v>24</v>
      </c>
      <c r="V377" s="1">
        <f>VLOOKUP($B377&amp;"__wt",'SegEnds_Xtal_BW#'!$A:$Z,22,FALSE)</f>
        <v>78</v>
      </c>
      <c r="W377" s="1">
        <f>VLOOKUP($B377&amp;"__wt",'SegEnds_Xtal_BW#'!$A:$Z,23,FALSE)</f>
        <v>35</v>
      </c>
      <c r="X377" s="1">
        <f>VLOOKUP($B377&amp;"__wt",'SegEnds_Xtal_BW#'!$A:$Z,24,FALSE)</f>
        <v>57</v>
      </c>
      <c r="Y377" s="1">
        <f>VLOOKUP($B377&amp;"__wt",'SegEnds_Xtal_BW#'!$A:$Z,25,FALSE)</f>
        <v>47</v>
      </c>
      <c r="Z377" s="1">
        <f>VLOOKUP($B377&amp;"__wt",'SegEnds_Xtal_BW#'!$A:$Z,26,FALSE)</f>
        <v>62</v>
      </c>
      <c r="AA377" s="27" t="str">
        <f>VLOOKUP(A377,Classification!A:B,2,FALSE)</f>
        <v>F</v>
      </c>
      <c r="AB377" s="1">
        <f>VLOOKUP(A377,'SegEnds_NonXtal_Prot#'!A:AL,10,FALSE)-VLOOKUP(A377,'SegEnds_NonXtal_Prot#'!A:AL,7,FALSE)</f>
        <v>13</v>
      </c>
      <c r="AC377" s="1" t="e">
        <f>VLOOKUP(A377,'SegEnds_NonXtal_Prot#'!A:AL,13,FALSE)-VLOOKUP(A377,'SegEnds_NonXtal_Prot#'!A:AL,10,FALSE)</f>
        <v>#VALUE!</v>
      </c>
      <c r="AD377" s="1">
        <f>VLOOKUP(A377,'SegEnds_NonXtal_Prot#'!A:AL,16,FALSE)-VLOOKUP(A377,'SegEnds_NonXtal_Prot#'!A:AL,10,FALSE)</f>
        <v>67</v>
      </c>
      <c r="AE377" s="1" t="e">
        <f>VLOOKUP(A377,'SegEnds_NonXtal_Prot#'!A:AL,22,FALSE)-VLOOKUP(A377,'SegEnds_NonXtal_Prot#'!A:AL,19,FALSE)</f>
        <v>#VALUE!</v>
      </c>
      <c r="AF377" s="1">
        <f>VLOOKUP(A377,'SegEnds_NonXtal_Prot#'!A:AL,28,FALSE)-VLOOKUP(A377,'SegEnds_NonXtal_Prot#'!A:AL,25,FALSE)</f>
        <v>21</v>
      </c>
      <c r="AG377" s="1">
        <f>VLOOKUP(A377,'SegEnds_NonXtal_Prot#'!A:AL,28,FALSE)-VLOOKUP(A377,'SegEnds_NonXtal_Prot#'!A:AL,22,FALSE)</f>
        <v>46</v>
      </c>
      <c r="AH377" s="1">
        <f>VLOOKUP(A377,'SegEnds_NonXtal_Prot#'!A:AL,31,FALSE)-VLOOKUP(A377,'SegEnds_NonXtal_Prot#'!A:AL,28,FALSE)</f>
        <v>57</v>
      </c>
      <c r="AI377" s="1">
        <f>VLOOKUP(A377,'SegEnds_NonXtal_Prot#'!A:AL,34,FALSE)-VLOOKUP(A377,'SegEnds_NonXtal_Prot#'!A:AL,31,FALSE)</f>
        <v>62</v>
      </c>
      <c r="AJ377" s="1" t="str">
        <f>IF(ISERROR(MATCH(A377,'SegEnds_Xtal_Prot#'!B:B, 0)), "NoXtal", "Xtal")</f>
        <v>Xtal</v>
      </c>
    </row>
    <row r="378" spans="1:36" x14ac:dyDescent="0.2">
      <c r="A378" s="1" t="s">
        <v>481</v>
      </c>
      <c r="B378" s="1" t="str">
        <f>VLOOKUP(A378,Xtal_Templ!A:B,2,FALSE)</f>
        <v>agtr1_human</v>
      </c>
      <c r="C378" s="5">
        <f>VLOOKUP($B378&amp;"__wt",'SegEnds_Xtal_BW#'!$A:$Z,3,FALSE)</f>
        <v>30</v>
      </c>
      <c r="D378" s="1">
        <v>60</v>
      </c>
      <c r="E378" s="1" t="s">
        <v>23</v>
      </c>
      <c r="F378" s="1" t="s">
        <v>23</v>
      </c>
      <c r="G378" s="1">
        <v>39</v>
      </c>
      <c r="H378" s="12">
        <v>63</v>
      </c>
      <c r="I378" s="1" t="s">
        <v>23</v>
      </c>
      <c r="J378" s="1" t="s">
        <v>23</v>
      </c>
      <c r="K378" s="12">
        <v>23</v>
      </c>
      <c r="L378" s="1">
        <v>56</v>
      </c>
      <c r="M378" s="1" t="s">
        <v>23</v>
      </c>
      <c r="N378" s="12" t="s">
        <v>23</v>
      </c>
      <c r="O378" s="89">
        <v>40</v>
      </c>
      <c r="P378" s="1">
        <f>VLOOKUP($B378&amp;"__wt",'SegEnds_Xtal_BW#'!$A:$Z,16,FALSE)</f>
        <v>64</v>
      </c>
      <c r="Q378" s="1" t="s">
        <v>23</v>
      </c>
      <c r="R378" s="1" t="s">
        <v>23</v>
      </c>
      <c r="S378" s="1">
        <v>39</v>
      </c>
      <c r="T378" s="1">
        <v>61</v>
      </c>
      <c r="U378" s="1">
        <v>29</v>
      </c>
      <c r="V378" s="1">
        <v>53</v>
      </c>
      <c r="W378" s="1">
        <v>35</v>
      </c>
      <c r="X378" s="1">
        <v>56</v>
      </c>
      <c r="Y378" s="1">
        <v>47</v>
      </c>
      <c r="Z378" s="1">
        <v>57</v>
      </c>
      <c r="AA378" s="27" t="str">
        <f>VLOOKUP(A378,Classification!A:B,2,FALSE)</f>
        <v>O</v>
      </c>
      <c r="AB378" s="1" t="e">
        <f>VLOOKUP(A378,'SegEnds_NonXtal_Prot#'!A:AL,10,FALSE)-VLOOKUP(A378,'SegEnds_NonXtal_Prot#'!A:AL,7,FALSE)</f>
        <v>#VALUE!</v>
      </c>
      <c r="AC378" s="1" t="e">
        <f>VLOOKUP(A378,'SegEnds_NonXtal_Prot#'!A:AL,13,FALSE)-VLOOKUP(A378,'SegEnds_NonXtal_Prot#'!A:AL,10,FALSE)</f>
        <v>#VALUE!</v>
      </c>
      <c r="AD378" s="1">
        <f>VLOOKUP(A378,'SegEnds_NonXtal_Prot#'!A:AL,16,FALSE)-VLOOKUP(A378,'SegEnds_NonXtal_Prot#'!A:AL,10,FALSE)</f>
        <v>81</v>
      </c>
      <c r="AE378" s="1" t="e">
        <f>VLOOKUP(A378,'SegEnds_NonXtal_Prot#'!A:AL,22,FALSE)-VLOOKUP(A378,'SegEnds_NonXtal_Prot#'!A:AL,19,FALSE)</f>
        <v>#VALUE!</v>
      </c>
      <c r="AF378" s="1" t="e">
        <f>VLOOKUP(A378,'SegEnds_NonXtal_Prot#'!A:AL,28,FALSE)-VLOOKUP(A378,'SegEnds_NonXtal_Prot#'!A:AL,25,FALSE)</f>
        <v>#VALUE!</v>
      </c>
      <c r="AG378" s="1">
        <f>VLOOKUP(A378,'SegEnds_NonXtal_Prot#'!A:AL,28,FALSE)-VLOOKUP(A378,'SegEnds_NonXtal_Prot#'!A:AL,22,FALSE)</f>
        <v>83</v>
      </c>
      <c r="AH378" s="1">
        <f>VLOOKUP(A378,'SegEnds_NonXtal_Prot#'!A:AL,31,FALSE)-VLOOKUP(A378,'SegEnds_NonXtal_Prot#'!A:AL,28,FALSE)</f>
        <v>79</v>
      </c>
      <c r="AI378" s="1">
        <f>VLOOKUP(A378,'SegEnds_NonXtal_Prot#'!A:AL,34,FALSE)-VLOOKUP(A378,'SegEnds_NonXtal_Prot#'!A:AL,31,FALSE)</f>
        <v>33</v>
      </c>
      <c r="AJ378" s="1" t="str">
        <f>IF(ISERROR(MATCH(A378,'SegEnds_Xtal_Prot#'!B:B, 0)), "NoXtal", "Xtal")</f>
        <v>NoXtal</v>
      </c>
    </row>
    <row r="379" spans="1:36" x14ac:dyDescent="0.2">
      <c r="A379" s="1" t="s">
        <v>482</v>
      </c>
      <c r="B379" s="1" t="str">
        <f>VLOOKUP(A379,Xtal_Templ!A:B,2,FALSE)</f>
        <v>ccr9_human</v>
      </c>
      <c r="C379" s="5">
        <f>VLOOKUP($B379&amp;"__wt",'SegEnds_Xtal_BW#'!$A:$Z,3,FALSE)</f>
        <v>27</v>
      </c>
      <c r="D379" s="1">
        <v>60</v>
      </c>
      <c r="E379" s="1" t="s">
        <v>23</v>
      </c>
      <c r="F379" s="1" t="s">
        <v>23</v>
      </c>
      <c r="G379" s="1">
        <v>39</v>
      </c>
      <c r="H379" s="12">
        <v>63</v>
      </c>
      <c r="I379" s="1" t="s">
        <v>23</v>
      </c>
      <c r="J379" s="1" t="s">
        <v>23</v>
      </c>
      <c r="K379" s="12">
        <v>23</v>
      </c>
      <c r="L379" s="1">
        <v>56</v>
      </c>
      <c r="M379" s="1" t="s">
        <v>23</v>
      </c>
      <c r="N379" s="12" t="s">
        <v>23</v>
      </c>
      <c r="O379" s="89">
        <v>40</v>
      </c>
      <c r="P379" s="1">
        <v>64</v>
      </c>
      <c r="Q379" s="1" t="s">
        <v>23</v>
      </c>
      <c r="R379" s="1" t="s">
        <v>23</v>
      </c>
      <c r="S379" s="1">
        <v>39</v>
      </c>
      <c r="T379" s="1">
        <v>61</v>
      </c>
      <c r="U379" s="1">
        <v>29</v>
      </c>
      <c r="V379" s="1">
        <v>53</v>
      </c>
      <c r="W379" s="1">
        <v>35</v>
      </c>
      <c r="X379" s="1">
        <v>56</v>
      </c>
      <c r="Y379" s="1">
        <v>47</v>
      </c>
      <c r="Z379" s="1">
        <v>57</v>
      </c>
      <c r="AA379" s="27" t="str">
        <f>VLOOKUP(A379,Classification!A:B,2,FALSE)</f>
        <v>O</v>
      </c>
      <c r="AB379" s="1" t="e">
        <f>VLOOKUP(A379,'SegEnds_NonXtal_Prot#'!A:AL,10,FALSE)-VLOOKUP(A379,'SegEnds_NonXtal_Prot#'!A:AL,7,FALSE)</f>
        <v>#VALUE!</v>
      </c>
      <c r="AC379" s="1" t="e">
        <f>VLOOKUP(A379,'SegEnds_NonXtal_Prot#'!A:AL,13,FALSE)-VLOOKUP(A379,'SegEnds_NonXtal_Prot#'!A:AL,10,FALSE)</f>
        <v>#VALUE!</v>
      </c>
      <c r="AD379" s="1">
        <f>VLOOKUP(A379,'SegEnds_NonXtal_Prot#'!A:AL,16,FALSE)-VLOOKUP(A379,'SegEnds_NonXtal_Prot#'!A:AL,10,FALSE)</f>
        <v>74</v>
      </c>
      <c r="AE379" s="1" t="e">
        <f>VLOOKUP(A379,'SegEnds_NonXtal_Prot#'!A:AL,22,FALSE)-VLOOKUP(A379,'SegEnds_NonXtal_Prot#'!A:AL,19,FALSE)</f>
        <v>#VALUE!</v>
      </c>
      <c r="AF379" s="1" t="e">
        <f>VLOOKUP(A379,'SegEnds_NonXtal_Prot#'!A:AL,28,FALSE)-VLOOKUP(A379,'SegEnds_NonXtal_Prot#'!A:AL,25,FALSE)</f>
        <v>#VALUE!</v>
      </c>
      <c r="AG379" s="1">
        <f>VLOOKUP(A379,'SegEnds_NonXtal_Prot#'!A:AL,28,FALSE)-VLOOKUP(A379,'SegEnds_NonXtal_Prot#'!A:AL,22,FALSE)</f>
        <v>81</v>
      </c>
      <c r="AH379" s="1">
        <f>VLOOKUP(A379,'SegEnds_NonXtal_Prot#'!A:AL,31,FALSE)-VLOOKUP(A379,'SegEnds_NonXtal_Prot#'!A:AL,28,FALSE)</f>
        <v>37</v>
      </c>
      <c r="AI379" s="1">
        <f>VLOOKUP(A379,'SegEnds_NonXtal_Prot#'!A:AL,34,FALSE)-VLOOKUP(A379,'SegEnds_NonXtal_Prot#'!A:AL,31,FALSE)</f>
        <v>44</v>
      </c>
      <c r="AJ379" s="1" t="str">
        <f>IF(ISERROR(MATCH(A379,'SegEnds_Xtal_Prot#'!B:B, 0)), "NoXtal", "Xtal")</f>
        <v>NoXtal</v>
      </c>
    </row>
    <row r="380" spans="1:36" x14ac:dyDescent="0.2">
      <c r="A380" s="4" t="s">
        <v>485</v>
      </c>
      <c r="B380" s="4" t="str">
        <f>VLOOKUP(A380,Xtal_Templ!A:B,2,FALSE)</f>
        <v>aa2ar_human</v>
      </c>
      <c r="C380" s="5">
        <f>VLOOKUP($B380&amp;"__wt",'SegEnds_Xtal_BW#'!$A:$Z,3,FALSE)</f>
        <v>27</v>
      </c>
      <c r="D380" s="4">
        <v>60</v>
      </c>
      <c r="E380" s="4" t="s">
        <v>23</v>
      </c>
      <c r="F380" s="4" t="s">
        <v>23</v>
      </c>
      <c r="G380" s="4">
        <v>39</v>
      </c>
      <c r="H380" s="11">
        <v>63</v>
      </c>
      <c r="I380" s="4" t="s">
        <v>23</v>
      </c>
      <c r="J380" s="4" t="s">
        <v>23</v>
      </c>
      <c r="K380" s="11">
        <v>23</v>
      </c>
      <c r="L380" s="4">
        <v>56</v>
      </c>
      <c r="M380" s="4" t="s">
        <v>23</v>
      </c>
      <c r="N380" s="11" t="s">
        <v>23</v>
      </c>
      <c r="O380" s="90">
        <v>40</v>
      </c>
      <c r="P380" s="4">
        <v>64</v>
      </c>
      <c r="Q380" s="4" t="s">
        <v>23</v>
      </c>
      <c r="R380" s="4" t="s">
        <v>23</v>
      </c>
      <c r="S380" s="4">
        <v>39</v>
      </c>
      <c r="T380" s="4">
        <v>61</v>
      </c>
      <c r="U380" s="4">
        <v>29</v>
      </c>
      <c r="V380" s="4">
        <v>53</v>
      </c>
      <c r="W380" s="4">
        <v>35</v>
      </c>
      <c r="X380" s="4">
        <v>56</v>
      </c>
      <c r="Y380" s="4">
        <v>47</v>
      </c>
      <c r="Z380" s="4">
        <v>57</v>
      </c>
      <c r="AA380" s="27" t="str">
        <f>VLOOKUP(A380,Classification!A:B,2,FALSE)</f>
        <v>O</v>
      </c>
      <c r="AB380" s="4" t="e">
        <f>VLOOKUP(A380,'SegEnds_NonXtal_Prot#'!A:AL,10,FALSE)-VLOOKUP(A380,'SegEnds_NonXtal_Prot#'!A:AL,7,FALSE)</f>
        <v>#VALUE!</v>
      </c>
      <c r="AC380" s="4" t="e">
        <f>VLOOKUP(A380,'SegEnds_NonXtal_Prot#'!A:AL,13,FALSE)-VLOOKUP(A380,'SegEnds_NonXtal_Prot#'!A:AL,10,FALSE)</f>
        <v>#VALUE!</v>
      </c>
      <c r="AD380" s="4">
        <f>VLOOKUP(A380,'SegEnds_NonXtal_Prot#'!A:AL,16,FALSE)-VLOOKUP(A380,'SegEnds_NonXtal_Prot#'!A:AL,10,FALSE)</f>
        <v>63</v>
      </c>
      <c r="AE380" s="1" t="e">
        <f>VLOOKUP(A380,'SegEnds_NonXtal_Prot#'!A:AL,22,FALSE)-VLOOKUP(A380,'SegEnds_NonXtal_Prot#'!A:AL,19,FALSE)</f>
        <v>#VALUE!</v>
      </c>
      <c r="AF380" s="4" t="e">
        <f>VLOOKUP(A380,'SegEnds_NonXtal_Prot#'!A:AL,28,FALSE)-VLOOKUP(A380,'SegEnds_NonXtal_Prot#'!A:AL,25,FALSE)</f>
        <v>#VALUE!</v>
      </c>
      <c r="AG380" s="1">
        <f>VLOOKUP(A380,'SegEnds_NonXtal_Prot#'!A:AL,28,FALSE)-VLOOKUP(A380,'SegEnds_NonXtal_Prot#'!A:AL,22,FALSE)</f>
        <v>39</v>
      </c>
      <c r="AH380" s="4">
        <f>VLOOKUP(A380,'SegEnds_NonXtal_Prot#'!A:AL,31,FALSE)-VLOOKUP(A380,'SegEnds_NonXtal_Prot#'!A:AL,28,FALSE)</f>
        <v>58</v>
      </c>
      <c r="AI380" s="4">
        <f>VLOOKUP(A380,'SegEnds_NonXtal_Prot#'!A:AL,34,FALSE)-VLOOKUP(A380,'SegEnds_NonXtal_Prot#'!A:AL,31,FALSE)</f>
        <v>49</v>
      </c>
      <c r="AJ380" s="1" t="str">
        <f>IF(ISERROR(MATCH(A380,'SegEnds_Xtal_Prot#'!B:B, 0)), "NoXtal", "Xtal")</f>
        <v>NoXtal</v>
      </c>
    </row>
    <row r="381" spans="1:36" x14ac:dyDescent="0.2">
      <c r="A381" s="1" t="s">
        <v>486</v>
      </c>
      <c r="B381" s="1" t="str">
        <f>VLOOKUP(A381,Xtal_Templ!A:B,2,FALSE)</f>
        <v>5ht2b_human</v>
      </c>
      <c r="C381" s="5">
        <f>VLOOKUP($B381&amp;"__wt",'SegEnds_Xtal_BW#'!$A:$Z,3,FALSE)</f>
        <v>32</v>
      </c>
      <c r="D381" s="1">
        <v>60</v>
      </c>
      <c r="E381" s="1" t="s">
        <v>23</v>
      </c>
      <c r="F381" s="1" t="s">
        <v>23</v>
      </c>
      <c r="G381" s="1">
        <v>39</v>
      </c>
      <c r="H381" s="12">
        <v>63</v>
      </c>
      <c r="I381" s="1" t="s">
        <v>23</v>
      </c>
      <c r="J381" s="1" t="s">
        <v>23</v>
      </c>
      <c r="K381" s="12">
        <v>23</v>
      </c>
      <c r="L381" s="1">
        <v>56</v>
      </c>
      <c r="M381" s="1" t="s">
        <v>23</v>
      </c>
      <c r="N381" s="12" t="s">
        <v>23</v>
      </c>
      <c r="O381" s="89">
        <v>40</v>
      </c>
      <c r="P381" s="1">
        <v>64</v>
      </c>
      <c r="Q381" s="1" t="s">
        <v>23</v>
      </c>
      <c r="R381" s="1" t="s">
        <v>23</v>
      </c>
      <c r="S381" s="1">
        <v>39</v>
      </c>
      <c r="T381" s="1">
        <v>61</v>
      </c>
      <c r="U381" s="1">
        <v>29</v>
      </c>
      <c r="V381" s="1">
        <v>53</v>
      </c>
      <c r="W381" s="1">
        <v>35</v>
      </c>
      <c r="X381" s="1">
        <v>56</v>
      </c>
      <c r="Y381" s="1">
        <v>47</v>
      </c>
      <c r="Z381" s="1">
        <v>57</v>
      </c>
      <c r="AA381" s="27" t="str">
        <f>VLOOKUP(A381,Classification!A:B,2,FALSE)</f>
        <v>O</v>
      </c>
      <c r="AB381" s="1" t="e">
        <f>VLOOKUP(A381,'SegEnds_NonXtal_Prot#'!A:AL,10,FALSE)-VLOOKUP(A381,'SegEnds_NonXtal_Prot#'!A:AL,7,FALSE)</f>
        <v>#VALUE!</v>
      </c>
      <c r="AC381" s="1" t="e">
        <f>VLOOKUP(A381,'SegEnds_NonXtal_Prot#'!A:AL,13,FALSE)-VLOOKUP(A381,'SegEnds_NonXtal_Prot#'!A:AL,10,FALSE)</f>
        <v>#VALUE!</v>
      </c>
      <c r="AD381" s="1">
        <f>VLOOKUP(A381,'SegEnds_NonXtal_Prot#'!A:AL,16,FALSE)-VLOOKUP(A381,'SegEnds_NonXtal_Prot#'!A:AL,10,FALSE)</f>
        <v>47</v>
      </c>
      <c r="AE381" s="1" t="e">
        <f>VLOOKUP(A381,'SegEnds_NonXtal_Prot#'!A:AL,22,FALSE)-VLOOKUP(A381,'SegEnds_NonXtal_Prot#'!A:AL,19,FALSE)</f>
        <v>#VALUE!</v>
      </c>
      <c r="AF381" s="1" t="e">
        <f>VLOOKUP(A381,'SegEnds_NonXtal_Prot#'!A:AL,28,FALSE)-VLOOKUP(A381,'SegEnds_NonXtal_Prot#'!A:AL,25,FALSE)</f>
        <v>#VALUE!</v>
      </c>
      <c r="AG381" s="1">
        <f>VLOOKUP(A381,'SegEnds_NonXtal_Prot#'!A:AL,28,FALSE)-VLOOKUP(A381,'SegEnds_NonXtal_Prot#'!A:AL,22,FALSE)</f>
        <v>29</v>
      </c>
      <c r="AH381" s="1">
        <f>VLOOKUP(A381,'SegEnds_NonXtal_Prot#'!A:AL,31,FALSE)-VLOOKUP(A381,'SegEnds_NonXtal_Prot#'!A:AL,28,FALSE)</f>
        <v>67</v>
      </c>
      <c r="AI381" s="1">
        <f>VLOOKUP(A381,'SegEnds_NonXtal_Prot#'!A:AL,34,FALSE)-VLOOKUP(A381,'SegEnds_NonXtal_Prot#'!A:AL,31,FALSE)</f>
        <v>45</v>
      </c>
      <c r="AJ381" s="1" t="str">
        <f>IF(ISERROR(MATCH(A381,'SegEnds_Xtal_Prot#'!B:B, 0)), "NoXtal", "Xtal")</f>
        <v>NoXtal</v>
      </c>
    </row>
    <row r="382" spans="1:36" x14ac:dyDescent="0.2">
      <c r="A382" s="1" t="s">
        <v>484</v>
      </c>
      <c r="B382" s="1" t="str">
        <f>VLOOKUP(A382,Xtal_Templ!A:B,2,FALSE)</f>
        <v>oprk_human</v>
      </c>
      <c r="C382" s="5">
        <f>VLOOKUP($B382&amp;"__wt",'SegEnds_Xtal_BW#'!$A:$Z,3,FALSE)</f>
        <v>30</v>
      </c>
      <c r="D382" s="1">
        <v>60</v>
      </c>
      <c r="E382" s="1" t="s">
        <v>23</v>
      </c>
      <c r="F382" s="1" t="s">
        <v>23</v>
      </c>
      <c r="G382" s="1">
        <v>39</v>
      </c>
      <c r="H382" s="12">
        <v>63</v>
      </c>
      <c r="I382" s="1" t="s">
        <v>23</v>
      </c>
      <c r="J382" s="1" t="s">
        <v>23</v>
      </c>
      <c r="K382" s="12">
        <v>23</v>
      </c>
      <c r="L382" s="1">
        <v>56</v>
      </c>
      <c r="M382" s="1" t="s">
        <v>23</v>
      </c>
      <c r="N382" s="12" t="s">
        <v>23</v>
      </c>
      <c r="O382" s="89">
        <v>40</v>
      </c>
      <c r="P382" s="111">
        <v>61</v>
      </c>
      <c r="Q382" s="1" t="s">
        <v>23</v>
      </c>
      <c r="R382" s="1" t="s">
        <v>23</v>
      </c>
      <c r="S382" s="111">
        <v>40</v>
      </c>
      <c r="T382" s="1">
        <v>61</v>
      </c>
      <c r="U382" s="1">
        <v>29</v>
      </c>
      <c r="V382" s="1">
        <v>53</v>
      </c>
      <c r="W382" s="1">
        <v>35</v>
      </c>
      <c r="X382" s="1">
        <v>56</v>
      </c>
      <c r="Y382" s="1">
        <v>47</v>
      </c>
      <c r="Z382" s="1">
        <v>57</v>
      </c>
      <c r="AA382" s="27" t="str">
        <f>VLOOKUP(A382,Classification!A:B,2,FALSE)</f>
        <v>O</v>
      </c>
      <c r="AB382" s="1" t="e">
        <f>VLOOKUP(A382,'SegEnds_NonXtal_Prot#'!A:AL,10,FALSE)-VLOOKUP(A382,'SegEnds_NonXtal_Prot#'!A:AL,7,FALSE)</f>
        <v>#VALUE!</v>
      </c>
      <c r="AC382" s="1" t="e">
        <f>VLOOKUP(A382,'SegEnds_NonXtal_Prot#'!A:AL,13,FALSE)-VLOOKUP(A382,'SegEnds_NonXtal_Prot#'!A:AL,10,FALSE)</f>
        <v>#VALUE!</v>
      </c>
      <c r="AD382" s="1">
        <f>VLOOKUP(A382,'SegEnds_NonXtal_Prot#'!A:AL,16,FALSE)-VLOOKUP(A382,'SegEnds_NonXtal_Prot#'!A:AL,10,FALSE)</f>
        <v>45</v>
      </c>
      <c r="AE382" s="1" t="e">
        <f>VLOOKUP(A382,'SegEnds_NonXtal_Prot#'!A:AL,22,FALSE)-VLOOKUP(A382,'SegEnds_NonXtal_Prot#'!A:AL,19,FALSE)</f>
        <v>#VALUE!</v>
      </c>
      <c r="AF382" s="1" t="e">
        <f>VLOOKUP(A382,'SegEnds_NonXtal_Prot#'!A:AL,28,FALSE)-VLOOKUP(A382,'SegEnds_NonXtal_Prot#'!A:AL,25,FALSE)</f>
        <v>#VALUE!</v>
      </c>
      <c r="AG382" s="1">
        <f>VLOOKUP(A382,'SegEnds_NonXtal_Prot#'!A:AL,28,FALSE)-VLOOKUP(A382,'SegEnds_NonXtal_Prot#'!A:AL,22,FALSE)</f>
        <v>25</v>
      </c>
      <c r="AH382" s="1">
        <f>VLOOKUP(A382,'SegEnds_NonXtal_Prot#'!A:AL,31,FALSE)-VLOOKUP(A382,'SegEnds_NonXtal_Prot#'!A:AL,28,FALSE)</f>
        <v>76</v>
      </c>
      <c r="AI382" s="1">
        <f>VLOOKUP(A382,'SegEnds_NonXtal_Prot#'!A:AL,34,FALSE)-VLOOKUP(A382,'SegEnds_NonXtal_Prot#'!A:AL,31,FALSE)</f>
        <v>36</v>
      </c>
      <c r="AJ382" s="1" t="str">
        <f>IF(ISERROR(MATCH(A382,'SegEnds_Xtal_Prot#'!B:B, 0)), "NoXtal", "Xtal")</f>
        <v>NoXtal</v>
      </c>
    </row>
    <row r="383" spans="1:36" x14ac:dyDescent="0.2">
      <c r="A383" s="1" t="s">
        <v>456</v>
      </c>
      <c r="B383" s="1" t="str">
        <f>VLOOKUP(A383,Xtal_Templ!A:B,2,FALSE)</f>
        <v>aa2ar_human</v>
      </c>
      <c r="C383" s="5">
        <v>32</v>
      </c>
      <c r="D383" s="1">
        <v>62</v>
      </c>
      <c r="E383" s="1">
        <f>VLOOKUP($B383&amp;"__wt",'SegEnds_Xtal_BW#'!$A:$Z,5,FALSE)</f>
        <v>48</v>
      </c>
      <c r="F383" s="1">
        <f>VLOOKUP($B383&amp;"__wt",'SegEnds_Xtal_BW#'!$A:$Z,6,FALSE)</f>
        <v>51</v>
      </c>
      <c r="G383" s="1">
        <v>39</v>
      </c>
      <c r="H383" s="12">
        <v>67</v>
      </c>
      <c r="I383" s="1" t="s">
        <v>23</v>
      </c>
      <c r="J383" s="1" t="s">
        <v>23</v>
      </c>
      <c r="K383" s="12">
        <v>21</v>
      </c>
      <c r="L383" s="1">
        <f>VLOOKUP($B383&amp;"__wt",'SegEnds_Xtal_BW#'!$A:$Z,12,FALSE)</f>
        <v>56</v>
      </c>
      <c r="M383" s="1">
        <f>VLOOKUP($B383&amp;"__wt",'SegEnds_Xtal_BW#'!$A:$Z,13,FALSE)</f>
        <v>50</v>
      </c>
      <c r="N383" s="12">
        <f>VLOOKUP($B383&amp;"__wt",'SegEnds_Xtal_BW#'!$A:$Z,14,FALSE)</f>
        <v>57</v>
      </c>
      <c r="O383" s="90">
        <v>38</v>
      </c>
      <c r="P383" s="1">
        <f>VLOOKUP($B383&amp;"__wt",'SegEnds_Xtal_BW#'!$A:$Z,16,FALSE)</f>
        <v>63</v>
      </c>
      <c r="Q383" s="1">
        <f>VLOOKUP($B383&amp;"__wt",'SegEnds_Xtal_BW#'!$A:$Z,17,FALSE)</f>
        <v>50</v>
      </c>
      <c r="R383" s="1">
        <f>VLOOKUP($B383&amp;"__wt",'SegEnds_Xtal_BW#'!$A:$Z,18,FALSE)</f>
        <v>52</v>
      </c>
      <c r="S383" s="1">
        <v>32</v>
      </c>
      <c r="T383" s="1">
        <v>72</v>
      </c>
      <c r="U383" s="1">
        <v>29</v>
      </c>
      <c r="V383" s="1">
        <v>61</v>
      </c>
      <c r="W383" s="1">
        <v>31</v>
      </c>
      <c r="X383" s="1">
        <f>VLOOKUP($B383&amp;"__wt",'SegEnds_Xtal_BW#'!$A:$Z,24,FALSE)</f>
        <v>56</v>
      </c>
      <c r="Y383" s="1">
        <f>VLOOKUP($B383&amp;"__wt",'SegEnds_Xtal_BW#'!$A:$Z,25,FALSE)</f>
        <v>47</v>
      </c>
      <c r="Z383" s="1">
        <v>60</v>
      </c>
      <c r="AA383" s="27" t="str">
        <f>VLOOKUP(A383,Classification!A:B,2,FALSE)</f>
        <v>T</v>
      </c>
      <c r="AB383" s="1">
        <f>VLOOKUP(A383,'SegEnds_NonXtal_Prot#'!A:AL,10,FALSE)-VLOOKUP(A383,'SegEnds_NonXtal_Prot#'!A:AL,7,FALSE)</f>
        <v>15</v>
      </c>
      <c r="AC383" s="1" t="e">
        <f>VLOOKUP(A383,'SegEnds_NonXtal_Prot#'!A:AL,13,FALSE)-VLOOKUP(A383,'SegEnds_NonXtal_Prot#'!A:AL,10,FALSE)</f>
        <v>#VALUE!</v>
      </c>
      <c r="AD383" s="1">
        <f>VLOOKUP(A383,'SegEnds_NonXtal_Prot#'!A:AL,16,FALSE)-VLOOKUP(A383,'SegEnds_NonXtal_Prot#'!A:AL,10,FALSE)</f>
        <v>52</v>
      </c>
      <c r="AE383" s="1">
        <f>VLOOKUP(A383,'SegEnds_NonXtal_Prot#'!A:AL,22,FALSE)-VLOOKUP(A383,'SegEnds_NonXtal_Prot#'!A:AL,19,FALSE)</f>
        <v>20</v>
      </c>
      <c r="AF383" s="1" t="e">
        <f>VLOOKUP(A383,'SegEnds_NonXtal_Prot#'!A:AL,28,FALSE)-VLOOKUP(A383,'SegEnds_NonXtal_Prot#'!A:AL,25,FALSE)</f>
        <v>#VALUE!</v>
      </c>
      <c r="AG383" s="1">
        <f>VLOOKUP(A383,'SegEnds_NonXtal_Prot#'!A:AL,28,FALSE)-VLOOKUP(A383,'SegEnds_NonXtal_Prot#'!A:AL,22,FALSE)</f>
        <v>50</v>
      </c>
      <c r="AH383" s="1">
        <f>VLOOKUP(A383,'SegEnds_NonXtal_Prot#'!A:AL,31,FALSE)-VLOOKUP(A383,'SegEnds_NonXtal_Prot#'!A:AL,28,FALSE)</f>
        <v>53</v>
      </c>
      <c r="AI383" s="1">
        <f>VLOOKUP(A383,'SegEnds_NonXtal_Prot#'!A:AL,34,FALSE)-VLOOKUP(A383,'SegEnds_NonXtal_Prot#'!A:AL,31,FALSE)</f>
        <v>36</v>
      </c>
      <c r="AJ383" s="1" t="str">
        <f>IF(ISERROR(MATCH(A383,'SegEnds_Xtal_Prot#'!B:B, 0)), "NoXtal", "Xtal")</f>
        <v>NoXtal</v>
      </c>
    </row>
    <row r="384" spans="1:36" x14ac:dyDescent="0.2">
      <c r="A384" s="1" t="s">
        <v>457</v>
      </c>
      <c r="B384" s="1" t="str">
        <f>VLOOKUP(A384,Xtal_Templ!A:B,2,FALSE)</f>
        <v>apj_human</v>
      </c>
      <c r="C384" s="5">
        <v>32</v>
      </c>
      <c r="D384" s="1">
        <v>62</v>
      </c>
      <c r="E384" s="1">
        <f>VLOOKUP($B384&amp;"__wt",'SegEnds_Xtal_BW#'!$A:$Z,5,FALSE)</f>
        <v>48</v>
      </c>
      <c r="F384" s="1">
        <f>VLOOKUP($B384&amp;"__wt",'SegEnds_Xtal_BW#'!$A:$Z,6,FALSE)</f>
        <v>52</v>
      </c>
      <c r="G384" s="1">
        <v>39</v>
      </c>
      <c r="H384" s="12">
        <v>67</v>
      </c>
      <c r="I384" s="1" t="s">
        <v>23</v>
      </c>
      <c r="J384" s="1" t="s">
        <v>23</v>
      </c>
      <c r="K384" s="12">
        <v>21</v>
      </c>
      <c r="L384" s="1">
        <f>VLOOKUP($B384&amp;"__wt",'SegEnds_Xtal_BW#'!$A:$Z,12,FALSE)</f>
        <v>56</v>
      </c>
      <c r="M384" s="1">
        <f>VLOOKUP($B384&amp;"__wt",'SegEnds_Xtal_BW#'!$A:$Z,13,FALSE)</f>
        <v>50</v>
      </c>
      <c r="N384" s="12">
        <v>57</v>
      </c>
      <c r="O384" s="89">
        <v>38</v>
      </c>
      <c r="P384" s="1">
        <f>VLOOKUP($B384&amp;"__wt",'SegEnds_Xtal_BW#'!$A:$Z,16,FALSE)</f>
        <v>64</v>
      </c>
      <c r="Q384" s="1">
        <f>VLOOKUP($B384&amp;"__wt",'SegEnds_Xtal_BW#'!$A:$Z,17,FALSE)</f>
        <v>50</v>
      </c>
      <c r="R384" s="1">
        <f>VLOOKUP($B384&amp;"__wt",'SegEnds_Xtal_BW#'!$A:$Z,18,FALSE)</f>
        <v>52</v>
      </c>
      <c r="S384" s="1">
        <v>32</v>
      </c>
      <c r="T384" s="1">
        <v>72</v>
      </c>
      <c r="U384" s="1">
        <v>29</v>
      </c>
      <c r="V384" s="1">
        <v>61</v>
      </c>
      <c r="W384" s="1">
        <v>31</v>
      </c>
      <c r="X384" s="1">
        <f>VLOOKUP($B384&amp;"__wt",'SegEnds_Xtal_BW#'!$A:$Z,24,FALSE)</f>
        <v>56</v>
      </c>
      <c r="Y384" s="1">
        <f>VLOOKUP($B384&amp;"__wt",'SegEnds_Xtal_BW#'!$A:$Z,25,FALSE)</f>
        <v>47</v>
      </c>
      <c r="Z384" s="1">
        <v>60</v>
      </c>
      <c r="AA384" s="27" t="str">
        <f>VLOOKUP(A384,Classification!A:B,2,FALSE)</f>
        <v>T</v>
      </c>
      <c r="AB384" s="1">
        <f>VLOOKUP(A384,'SegEnds_NonXtal_Prot#'!A:AL,10,FALSE)-VLOOKUP(A384,'SegEnds_NonXtal_Prot#'!A:AL,7,FALSE)</f>
        <v>16</v>
      </c>
      <c r="AC384" s="1" t="e">
        <f>VLOOKUP(A384,'SegEnds_NonXtal_Prot#'!A:AL,13,FALSE)-VLOOKUP(A384,'SegEnds_NonXtal_Prot#'!A:AL,10,FALSE)</f>
        <v>#VALUE!</v>
      </c>
      <c r="AD384" s="1">
        <f>VLOOKUP(A384,'SegEnds_NonXtal_Prot#'!A:AL,16,FALSE)-VLOOKUP(A384,'SegEnds_NonXtal_Prot#'!A:AL,10,FALSE)</f>
        <v>52</v>
      </c>
      <c r="AE384" s="1">
        <f>VLOOKUP(A384,'SegEnds_NonXtal_Prot#'!A:AL,22,FALSE)-VLOOKUP(A384,'SegEnds_NonXtal_Prot#'!A:AL,19,FALSE)</f>
        <v>20</v>
      </c>
      <c r="AF384" s="1" t="e">
        <f>VLOOKUP(A384,'SegEnds_NonXtal_Prot#'!A:AL,28,FALSE)-VLOOKUP(A384,'SegEnds_NonXtal_Prot#'!A:AL,25,FALSE)</f>
        <v>#VALUE!</v>
      </c>
      <c r="AG384" s="1">
        <f>VLOOKUP(A384,'SegEnds_NonXtal_Prot#'!A:AL,28,FALSE)-VLOOKUP(A384,'SegEnds_NonXtal_Prot#'!A:AL,22,FALSE)</f>
        <v>54</v>
      </c>
      <c r="AH384" s="1">
        <f>VLOOKUP(A384,'SegEnds_NonXtal_Prot#'!A:AL,31,FALSE)-VLOOKUP(A384,'SegEnds_NonXtal_Prot#'!A:AL,28,FALSE)</f>
        <v>53</v>
      </c>
      <c r="AI384" s="1">
        <f>VLOOKUP(A384,'SegEnds_NonXtal_Prot#'!A:AL,34,FALSE)-VLOOKUP(A384,'SegEnds_NonXtal_Prot#'!A:AL,31,FALSE)</f>
        <v>35</v>
      </c>
      <c r="AJ384" s="1" t="str">
        <f>IF(ISERROR(MATCH(A384,'SegEnds_Xtal_Prot#'!B:B, 0)), "NoXtal", "Xtal")</f>
        <v>NoXtal</v>
      </c>
    </row>
    <row r="385" spans="1:36" x14ac:dyDescent="0.2">
      <c r="A385" s="1" t="s">
        <v>458</v>
      </c>
      <c r="B385" s="1" t="str">
        <f>VLOOKUP(A385,Xtal_Templ!A:B,2,FALSE)</f>
        <v>apj_human</v>
      </c>
      <c r="C385" s="5">
        <v>32</v>
      </c>
      <c r="D385" s="1">
        <v>62</v>
      </c>
      <c r="E385" s="1">
        <f>VLOOKUP($B385&amp;"__wt",'SegEnds_Xtal_BW#'!$A:$Z,5,FALSE)</f>
        <v>48</v>
      </c>
      <c r="F385" s="1">
        <f>VLOOKUP($B385&amp;"__wt",'SegEnds_Xtal_BW#'!$A:$Z,6,FALSE)</f>
        <v>52</v>
      </c>
      <c r="G385" s="1">
        <v>39</v>
      </c>
      <c r="H385" s="12">
        <v>67</v>
      </c>
      <c r="I385" s="1" t="s">
        <v>23</v>
      </c>
      <c r="J385" s="1" t="s">
        <v>23</v>
      </c>
      <c r="K385" s="12">
        <v>21</v>
      </c>
      <c r="L385" s="1">
        <f>VLOOKUP($B385&amp;"__wt",'SegEnds_Xtal_BW#'!$A:$Z,12,FALSE)</f>
        <v>56</v>
      </c>
      <c r="M385" s="1">
        <f>VLOOKUP($B385&amp;"__wt",'SegEnds_Xtal_BW#'!$A:$Z,13,FALSE)</f>
        <v>50</v>
      </c>
      <c r="N385" s="12">
        <v>57</v>
      </c>
      <c r="O385" s="89">
        <v>38</v>
      </c>
      <c r="P385" s="1">
        <f>VLOOKUP($B385&amp;"__wt",'SegEnds_Xtal_BW#'!$A:$Z,16,FALSE)</f>
        <v>64</v>
      </c>
      <c r="Q385" s="1">
        <f>VLOOKUP($B385&amp;"__wt",'SegEnds_Xtal_BW#'!$A:$Z,17,FALSE)</f>
        <v>50</v>
      </c>
      <c r="R385" s="1">
        <f>VLOOKUP($B385&amp;"__wt",'SegEnds_Xtal_BW#'!$A:$Z,18,FALSE)</f>
        <v>52</v>
      </c>
      <c r="S385" s="1">
        <v>32</v>
      </c>
      <c r="T385" s="1">
        <v>72</v>
      </c>
      <c r="U385" s="1">
        <v>29</v>
      </c>
      <c r="V385" s="1">
        <v>61</v>
      </c>
      <c r="W385" s="1">
        <v>31</v>
      </c>
      <c r="X385" s="1">
        <f>VLOOKUP($B385&amp;"__wt",'SegEnds_Xtal_BW#'!$A:$Z,24,FALSE)</f>
        <v>56</v>
      </c>
      <c r="Y385" s="1">
        <f>VLOOKUP($B385&amp;"__wt",'SegEnds_Xtal_BW#'!$A:$Z,25,FALSE)</f>
        <v>47</v>
      </c>
      <c r="Z385" s="1">
        <v>60</v>
      </c>
      <c r="AA385" s="27" t="str">
        <f>VLOOKUP(A385,Classification!A:B,2,FALSE)</f>
        <v>T</v>
      </c>
      <c r="AB385" s="1">
        <f>VLOOKUP(A385,'SegEnds_NonXtal_Prot#'!A:AL,10,FALSE)-VLOOKUP(A385,'SegEnds_NonXtal_Prot#'!A:AL,7,FALSE)</f>
        <v>16</v>
      </c>
      <c r="AC385" s="1" t="e">
        <f>VLOOKUP(A385,'SegEnds_NonXtal_Prot#'!A:AL,13,FALSE)-VLOOKUP(A385,'SegEnds_NonXtal_Prot#'!A:AL,10,FALSE)</f>
        <v>#VALUE!</v>
      </c>
      <c r="AD385" s="1">
        <f>VLOOKUP(A385,'SegEnds_NonXtal_Prot#'!A:AL,16,FALSE)-VLOOKUP(A385,'SegEnds_NonXtal_Prot#'!A:AL,10,FALSE)</f>
        <v>52</v>
      </c>
      <c r="AE385" s="1">
        <f>VLOOKUP(A385,'SegEnds_NonXtal_Prot#'!A:AL,22,FALSE)-VLOOKUP(A385,'SegEnds_NonXtal_Prot#'!A:AL,19,FALSE)</f>
        <v>20</v>
      </c>
      <c r="AF385" s="1" t="e">
        <f>VLOOKUP(A385,'SegEnds_NonXtal_Prot#'!A:AL,28,FALSE)-VLOOKUP(A385,'SegEnds_NonXtal_Prot#'!A:AL,25,FALSE)</f>
        <v>#VALUE!</v>
      </c>
      <c r="AG385" s="1">
        <f>VLOOKUP(A385,'SegEnds_NonXtal_Prot#'!A:AL,28,FALSE)-VLOOKUP(A385,'SegEnds_NonXtal_Prot#'!A:AL,22,FALSE)</f>
        <v>54</v>
      </c>
      <c r="AH385" s="1">
        <f>VLOOKUP(A385,'SegEnds_NonXtal_Prot#'!A:AL,31,FALSE)-VLOOKUP(A385,'SegEnds_NonXtal_Prot#'!A:AL,28,FALSE)</f>
        <v>52</v>
      </c>
      <c r="AI385" s="1">
        <f>VLOOKUP(A385,'SegEnds_NonXtal_Prot#'!A:AL,34,FALSE)-VLOOKUP(A385,'SegEnds_NonXtal_Prot#'!A:AL,31,FALSE)</f>
        <v>35</v>
      </c>
      <c r="AJ385" s="1" t="str">
        <f>IF(ISERROR(MATCH(A385,'SegEnds_Xtal_Prot#'!B:B, 0)), "NoXtal", "Xtal")</f>
        <v>NoXtal</v>
      </c>
    </row>
    <row r="386" spans="1:36" x14ac:dyDescent="0.2">
      <c r="A386" s="1" t="s">
        <v>459</v>
      </c>
      <c r="B386" s="1" t="str">
        <f>VLOOKUP(A386,Xtal_Templ!A:B,2,FALSE)</f>
        <v>cxcr4_human</v>
      </c>
      <c r="C386" s="5">
        <v>32</v>
      </c>
      <c r="D386" s="1">
        <v>62</v>
      </c>
      <c r="E386" s="1">
        <f>VLOOKUP($B386&amp;"__wt",'SegEnds_Xtal_BW#'!$A:$Z,5,FALSE)</f>
        <v>48</v>
      </c>
      <c r="F386" s="1">
        <f>VLOOKUP($B386&amp;"__wt",'SegEnds_Xtal_BW#'!$A:$Z,6,FALSE)</f>
        <v>51</v>
      </c>
      <c r="G386" s="1">
        <v>39</v>
      </c>
      <c r="H386" s="12">
        <v>66</v>
      </c>
      <c r="I386" s="1" t="s">
        <v>23</v>
      </c>
      <c r="J386" s="1" t="s">
        <v>23</v>
      </c>
      <c r="K386" s="12">
        <v>24</v>
      </c>
      <c r="L386" s="1">
        <f>VLOOKUP($B386&amp;"__wt",'SegEnds_Xtal_BW#'!$A:$Z,12,FALSE)</f>
        <v>56</v>
      </c>
      <c r="M386" s="1">
        <f>VLOOKUP($B386&amp;"__wt",'SegEnds_Xtal_BW#'!$A:$Z,13,FALSE)</f>
        <v>50</v>
      </c>
      <c r="N386" s="12">
        <v>57</v>
      </c>
      <c r="O386" s="89">
        <v>38</v>
      </c>
      <c r="P386" s="1">
        <f>VLOOKUP($B386&amp;"__wt",'SegEnds_Xtal_BW#'!$A:$Z,16,FALSE)</f>
        <v>64</v>
      </c>
      <c r="Q386" s="1">
        <f>VLOOKUP($B386&amp;"__wt",'SegEnds_Xtal_BW#'!$A:$Z,17,FALSE)</f>
        <v>50</v>
      </c>
      <c r="R386" s="1">
        <f>VLOOKUP($B386&amp;"__wt",'SegEnds_Xtal_BW#'!$A:$Z,18,FALSE)</f>
        <v>52</v>
      </c>
      <c r="S386" s="1">
        <v>32</v>
      </c>
      <c r="T386" s="1">
        <v>72</v>
      </c>
      <c r="U386" s="1">
        <v>29</v>
      </c>
      <c r="V386" s="1">
        <v>61</v>
      </c>
      <c r="W386" s="1">
        <v>31</v>
      </c>
      <c r="X386" s="1">
        <f>VLOOKUP($B386&amp;"__wt",'SegEnds_Xtal_BW#'!$A:$Z,24,FALSE)</f>
        <v>56</v>
      </c>
      <c r="Y386" s="1">
        <f>VLOOKUP($B386&amp;"__wt",'SegEnds_Xtal_BW#'!$A:$Z,25,FALSE)</f>
        <v>47</v>
      </c>
      <c r="Z386" s="1">
        <v>60</v>
      </c>
      <c r="AA386" s="27" t="str">
        <f>VLOOKUP(A386,Classification!A:B,2,FALSE)</f>
        <v>T</v>
      </c>
      <c r="AB386" s="1">
        <f>VLOOKUP(A386,'SegEnds_NonXtal_Prot#'!A:AL,10,FALSE)-VLOOKUP(A386,'SegEnds_NonXtal_Prot#'!A:AL,7,FALSE)</f>
        <v>16</v>
      </c>
      <c r="AC386" s="1" t="e">
        <f>VLOOKUP(A386,'SegEnds_NonXtal_Prot#'!A:AL,13,FALSE)-VLOOKUP(A386,'SegEnds_NonXtal_Prot#'!A:AL,10,FALSE)</f>
        <v>#VALUE!</v>
      </c>
      <c r="AD386" s="1">
        <f>VLOOKUP(A386,'SegEnds_NonXtal_Prot#'!A:AL,16,FALSE)-VLOOKUP(A386,'SegEnds_NonXtal_Prot#'!A:AL,10,FALSE)</f>
        <v>47</v>
      </c>
      <c r="AE386" s="1">
        <f>VLOOKUP(A386,'SegEnds_NonXtal_Prot#'!A:AL,22,FALSE)-VLOOKUP(A386,'SegEnds_NonXtal_Prot#'!A:AL,19,FALSE)</f>
        <v>20</v>
      </c>
      <c r="AF386" s="1" t="e">
        <f>VLOOKUP(A386,'SegEnds_NonXtal_Prot#'!A:AL,28,FALSE)-VLOOKUP(A386,'SegEnds_NonXtal_Prot#'!A:AL,25,FALSE)</f>
        <v>#VALUE!</v>
      </c>
      <c r="AG386" s="1">
        <f>VLOOKUP(A386,'SegEnds_NonXtal_Prot#'!A:AL,28,FALSE)-VLOOKUP(A386,'SegEnds_NonXtal_Prot#'!A:AL,22,FALSE)</f>
        <v>56</v>
      </c>
      <c r="AH386" s="1">
        <f>VLOOKUP(A386,'SegEnds_NonXtal_Prot#'!A:AL,31,FALSE)-VLOOKUP(A386,'SegEnds_NonXtal_Prot#'!A:AL,28,FALSE)</f>
        <v>50</v>
      </c>
      <c r="AI386" s="1">
        <f>VLOOKUP(A386,'SegEnds_NonXtal_Prot#'!A:AL,34,FALSE)-VLOOKUP(A386,'SegEnds_NonXtal_Prot#'!A:AL,31,FALSE)</f>
        <v>35</v>
      </c>
      <c r="AJ386" s="1" t="str">
        <f>IF(ISERROR(MATCH(A386,'SegEnds_Xtal_Prot#'!B:B, 0)), "NoXtal", "Xtal")</f>
        <v>NoXtal</v>
      </c>
    </row>
    <row r="387" spans="1:36" x14ac:dyDescent="0.2">
      <c r="A387" s="1" t="s">
        <v>460</v>
      </c>
      <c r="B387" s="1" t="str">
        <f>VLOOKUP(A387,Xtal_Templ!A:B,2,FALSE)</f>
        <v>acm2_human</v>
      </c>
      <c r="C387" s="5">
        <v>32</v>
      </c>
      <c r="D387" s="1">
        <v>62</v>
      </c>
      <c r="E387" s="1">
        <f>VLOOKUP($B387&amp;"__wt",'SegEnds_Xtal_BW#'!$A:$Z,5,FALSE)</f>
        <v>48</v>
      </c>
      <c r="F387" s="1">
        <f>VLOOKUP($B387&amp;"__wt",'SegEnds_Xtal_BW#'!$A:$Z,6,FALSE)</f>
        <v>51</v>
      </c>
      <c r="G387" s="1">
        <v>39</v>
      </c>
      <c r="H387" s="12">
        <v>66</v>
      </c>
      <c r="I387" s="1" t="s">
        <v>23</v>
      </c>
      <c r="J387" s="1" t="s">
        <v>23</v>
      </c>
      <c r="K387" s="12">
        <v>21</v>
      </c>
      <c r="L387" s="1">
        <f>VLOOKUP($B387&amp;"__wt",'SegEnds_Xtal_BW#'!$A:$Z,12,FALSE)</f>
        <v>56</v>
      </c>
      <c r="M387" s="1">
        <f>VLOOKUP($B387&amp;"__wt",'SegEnds_Xtal_BW#'!$A:$Z,13,FALSE)</f>
        <v>50</v>
      </c>
      <c r="N387" s="12">
        <v>57</v>
      </c>
      <c r="O387" s="90">
        <v>38</v>
      </c>
      <c r="P387" s="1">
        <f>VLOOKUP($B387&amp;"__wt",'SegEnds_Xtal_BW#'!$A:$Z,16,FALSE)</f>
        <v>69</v>
      </c>
      <c r="Q387" s="1">
        <f>VLOOKUP($B387&amp;"__wt",'SegEnds_Xtal_BW#'!$A:$Z,17,FALSE)</f>
        <v>50</v>
      </c>
      <c r="R387" s="1">
        <f>VLOOKUP($B387&amp;"__wt",'SegEnds_Xtal_BW#'!$A:$Z,18,FALSE)</f>
        <v>52</v>
      </c>
      <c r="S387" s="1">
        <v>32</v>
      </c>
      <c r="T387" s="1">
        <v>72</v>
      </c>
      <c r="U387" s="1">
        <v>29</v>
      </c>
      <c r="V387" s="1">
        <v>61</v>
      </c>
      <c r="W387" s="1">
        <v>31</v>
      </c>
      <c r="X387" s="1">
        <f>VLOOKUP($B387&amp;"__wt",'SegEnds_Xtal_BW#'!$A:$Z,24,FALSE)</f>
        <v>56</v>
      </c>
      <c r="Y387" s="1">
        <f>VLOOKUP($B387&amp;"__wt",'SegEnds_Xtal_BW#'!$A:$Z,25,FALSE)</f>
        <v>47</v>
      </c>
      <c r="Z387" s="1">
        <v>60</v>
      </c>
      <c r="AA387" s="27" t="str">
        <f>VLOOKUP(A387,Classification!A:B,2,FALSE)</f>
        <v>T</v>
      </c>
      <c r="AB387" s="1">
        <f>VLOOKUP(A387,'SegEnds_NonXtal_Prot#'!A:AL,10,FALSE)-VLOOKUP(A387,'SegEnds_NonXtal_Prot#'!A:AL,7,FALSE)</f>
        <v>16</v>
      </c>
      <c r="AC387" s="1" t="e">
        <f>VLOOKUP(A387,'SegEnds_NonXtal_Prot#'!A:AL,13,FALSE)-VLOOKUP(A387,'SegEnds_NonXtal_Prot#'!A:AL,10,FALSE)</f>
        <v>#VALUE!</v>
      </c>
      <c r="AD387" s="1">
        <f>VLOOKUP(A387,'SegEnds_NonXtal_Prot#'!A:AL,16,FALSE)-VLOOKUP(A387,'SegEnds_NonXtal_Prot#'!A:AL,10,FALSE)</f>
        <v>51</v>
      </c>
      <c r="AE387" s="1">
        <f>VLOOKUP(A387,'SegEnds_NonXtal_Prot#'!A:AL,22,FALSE)-VLOOKUP(A387,'SegEnds_NonXtal_Prot#'!A:AL,19,FALSE)</f>
        <v>20</v>
      </c>
      <c r="AF387" s="1" t="e">
        <f>VLOOKUP(A387,'SegEnds_NonXtal_Prot#'!A:AL,28,FALSE)-VLOOKUP(A387,'SegEnds_NonXtal_Prot#'!A:AL,25,FALSE)</f>
        <v>#VALUE!</v>
      </c>
      <c r="AG387" s="1">
        <f>VLOOKUP(A387,'SegEnds_NonXtal_Prot#'!A:AL,28,FALSE)-VLOOKUP(A387,'SegEnds_NonXtal_Prot#'!A:AL,22,FALSE)</f>
        <v>52</v>
      </c>
      <c r="AH387" s="1">
        <f>VLOOKUP(A387,'SegEnds_NonXtal_Prot#'!A:AL,31,FALSE)-VLOOKUP(A387,'SegEnds_NonXtal_Prot#'!A:AL,28,FALSE)</f>
        <v>53</v>
      </c>
      <c r="AI387" s="1">
        <f>VLOOKUP(A387,'SegEnds_NonXtal_Prot#'!A:AL,34,FALSE)-VLOOKUP(A387,'SegEnds_NonXtal_Prot#'!A:AL,31,FALSE)</f>
        <v>36</v>
      </c>
      <c r="AJ387" s="1" t="str">
        <f>IF(ISERROR(MATCH(A387,'SegEnds_Xtal_Prot#'!B:B, 0)), "NoXtal", "Xtal")</f>
        <v>NoXtal</v>
      </c>
    </row>
    <row r="388" spans="1:36" x14ac:dyDescent="0.2">
      <c r="A388" s="1" t="s">
        <v>461</v>
      </c>
      <c r="B388" s="1" t="str">
        <f>VLOOKUP(A388,Xtal_Templ!A:B,2,FALSE)</f>
        <v>5ht2b_human</v>
      </c>
      <c r="C388" s="5">
        <v>32</v>
      </c>
      <c r="D388" s="1">
        <v>62</v>
      </c>
      <c r="E388" s="1">
        <f>VLOOKUP($B388&amp;"__wt",'SegEnds_Xtal_BW#'!$A:$Z,5,FALSE)</f>
        <v>48</v>
      </c>
      <c r="F388" s="1">
        <f>VLOOKUP($B388&amp;"__wt",'SegEnds_Xtal_BW#'!$A:$Z,6,FALSE)</f>
        <v>51</v>
      </c>
      <c r="G388" s="1">
        <v>39</v>
      </c>
      <c r="H388" s="12">
        <v>66</v>
      </c>
      <c r="I388" s="1" t="s">
        <v>23</v>
      </c>
      <c r="J388" s="1" t="s">
        <v>23</v>
      </c>
      <c r="K388" s="12">
        <v>21</v>
      </c>
      <c r="L388" s="1">
        <f>VLOOKUP($B388&amp;"__wt",'SegEnds_Xtal_BW#'!$A:$Z,12,FALSE)</f>
        <v>56</v>
      </c>
      <c r="M388" s="1">
        <f>VLOOKUP($B388&amp;"__wt",'SegEnds_Xtal_BW#'!$A:$Z,13,FALSE)</f>
        <v>50</v>
      </c>
      <c r="N388" s="12">
        <v>57</v>
      </c>
      <c r="O388" s="89">
        <v>38</v>
      </c>
      <c r="P388" s="1">
        <f>VLOOKUP($B388&amp;"__wt",'SegEnds_Xtal_BW#'!$A:$Z,16,FALSE)</f>
        <v>64</v>
      </c>
      <c r="Q388" s="1">
        <f>VLOOKUP($B388&amp;"__wt",'SegEnds_Xtal_BW#'!$A:$Z,17,FALSE)</f>
        <v>50</v>
      </c>
      <c r="R388" s="1">
        <f>VLOOKUP($B388&amp;"__wt",'SegEnds_Xtal_BW#'!$A:$Z,18,FALSE)</f>
        <v>52</v>
      </c>
      <c r="S388" s="1">
        <v>32</v>
      </c>
      <c r="T388" s="1">
        <v>72</v>
      </c>
      <c r="U388" s="1">
        <v>29</v>
      </c>
      <c r="V388" s="1">
        <v>61</v>
      </c>
      <c r="W388" s="1">
        <v>31</v>
      </c>
      <c r="X388" s="1">
        <f>VLOOKUP($B388&amp;"__wt",'SegEnds_Xtal_BW#'!$A:$Z,24,FALSE)</f>
        <v>56</v>
      </c>
      <c r="Y388" s="1">
        <f>VLOOKUP($B388&amp;"__wt",'SegEnds_Xtal_BW#'!$A:$Z,25,FALSE)</f>
        <v>47</v>
      </c>
      <c r="Z388" s="1">
        <v>60</v>
      </c>
      <c r="AA388" s="27" t="str">
        <f>VLOOKUP(A388,Classification!A:B,2,FALSE)</f>
        <v>T</v>
      </c>
      <c r="AB388" s="1">
        <f>VLOOKUP(A388,'SegEnds_NonXtal_Prot#'!A:AL,10,FALSE)-VLOOKUP(A388,'SegEnds_NonXtal_Prot#'!A:AL,7,FALSE)</f>
        <v>16</v>
      </c>
      <c r="AC388" s="1" t="e">
        <f>VLOOKUP(A388,'SegEnds_NonXtal_Prot#'!A:AL,13,FALSE)-VLOOKUP(A388,'SegEnds_NonXtal_Prot#'!A:AL,10,FALSE)</f>
        <v>#VALUE!</v>
      </c>
      <c r="AD388" s="1">
        <f>VLOOKUP(A388,'SegEnds_NonXtal_Prot#'!A:AL,16,FALSE)-VLOOKUP(A388,'SegEnds_NonXtal_Prot#'!A:AL,10,FALSE)</f>
        <v>51</v>
      </c>
      <c r="AE388" s="1">
        <f>VLOOKUP(A388,'SegEnds_NonXtal_Prot#'!A:AL,22,FALSE)-VLOOKUP(A388,'SegEnds_NonXtal_Prot#'!A:AL,19,FALSE)</f>
        <v>20</v>
      </c>
      <c r="AF388" s="1" t="e">
        <f>VLOOKUP(A388,'SegEnds_NonXtal_Prot#'!A:AL,28,FALSE)-VLOOKUP(A388,'SegEnds_NonXtal_Prot#'!A:AL,25,FALSE)</f>
        <v>#VALUE!</v>
      </c>
      <c r="AG388" s="1">
        <f>VLOOKUP(A388,'SegEnds_NonXtal_Prot#'!A:AL,28,FALSE)-VLOOKUP(A388,'SegEnds_NonXtal_Prot#'!A:AL,22,FALSE)</f>
        <v>52</v>
      </c>
      <c r="AH388" s="1">
        <f>VLOOKUP(A388,'SegEnds_NonXtal_Prot#'!A:AL,31,FALSE)-VLOOKUP(A388,'SegEnds_NonXtal_Prot#'!A:AL,28,FALSE)</f>
        <v>53</v>
      </c>
      <c r="AI388" s="1">
        <f>VLOOKUP(A388,'SegEnds_NonXtal_Prot#'!A:AL,34,FALSE)-VLOOKUP(A388,'SegEnds_NonXtal_Prot#'!A:AL,31,FALSE)</f>
        <v>36</v>
      </c>
      <c r="AJ388" s="1" t="str">
        <f>IF(ISERROR(MATCH(A388,'SegEnds_Xtal_Prot#'!B:B, 0)), "NoXtal", "Xtal")</f>
        <v>NoXtal</v>
      </c>
    </row>
    <row r="389" spans="1:36" x14ac:dyDescent="0.2">
      <c r="A389" s="1" t="s">
        <v>462</v>
      </c>
      <c r="B389" s="1" t="str">
        <f>VLOOKUP(A389,Xtal_Templ!A:B,2,FALSE)</f>
        <v>5ht2b_human</v>
      </c>
      <c r="C389" s="5">
        <v>32</v>
      </c>
      <c r="D389" s="1">
        <v>62</v>
      </c>
      <c r="E389" s="1">
        <f>VLOOKUP($B389&amp;"__wt",'SegEnds_Xtal_BW#'!$A:$Z,5,FALSE)</f>
        <v>48</v>
      </c>
      <c r="F389" s="1">
        <f>VLOOKUP($B389&amp;"__wt",'SegEnds_Xtal_BW#'!$A:$Z,6,FALSE)</f>
        <v>51</v>
      </c>
      <c r="G389" s="1">
        <v>39</v>
      </c>
      <c r="H389" s="12">
        <v>66</v>
      </c>
      <c r="I389" s="1" t="s">
        <v>23</v>
      </c>
      <c r="J389" s="1" t="s">
        <v>23</v>
      </c>
      <c r="K389" s="12">
        <v>21</v>
      </c>
      <c r="L389" s="1">
        <f>VLOOKUP($B389&amp;"__wt",'SegEnds_Xtal_BW#'!$A:$Z,12,FALSE)</f>
        <v>56</v>
      </c>
      <c r="M389" s="1">
        <f>VLOOKUP($B389&amp;"__wt",'SegEnds_Xtal_BW#'!$A:$Z,13,FALSE)</f>
        <v>50</v>
      </c>
      <c r="N389" s="12">
        <v>57</v>
      </c>
      <c r="O389" s="90">
        <v>38</v>
      </c>
      <c r="P389" s="1">
        <f>VLOOKUP($B389&amp;"__wt",'SegEnds_Xtal_BW#'!$A:$Z,16,FALSE)</f>
        <v>64</v>
      </c>
      <c r="Q389" s="1">
        <f>VLOOKUP($B389&amp;"__wt",'SegEnds_Xtal_BW#'!$A:$Z,17,FALSE)</f>
        <v>50</v>
      </c>
      <c r="R389" s="1">
        <f>VLOOKUP($B389&amp;"__wt",'SegEnds_Xtal_BW#'!$A:$Z,18,FALSE)</f>
        <v>52</v>
      </c>
      <c r="S389" s="1">
        <v>32</v>
      </c>
      <c r="T389" s="1">
        <v>72</v>
      </c>
      <c r="U389" s="1">
        <v>29</v>
      </c>
      <c r="V389" s="1">
        <v>61</v>
      </c>
      <c r="W389" s="1">
        <v>31</v>
      </c>
      <c r="X389" s="1">
        <f>VLOOKUP($B389&amp;"__wt",'SegEnds_Xtal_BW#'!$A:$Z,24,FALSE)</f>
        <v>56</v>
      </c>
      <c r="Y389" s="1">
        <f>VLOOKUP($B389&amp;"__wt",'SegEnds_Xtal_BW#'!$A:$Z,25,FALSE)</f>
        <v>47</v>
      </c>
      <c r="Z389" s="1">
        <v>60</v>
      </c>
      <c r="AA389" s="27" t="str">
        <f>VLOOKUP(A389,Classification!A:B,2,FALSE)</f>
        <v>T</v>
      </c>
      <c r="AB389" s="1">
        <f>VLOOKUP(A389,'SegEnds_NonXtal_Prot#'!A:AL,10,FALSE)-VLOOKUP(A389,'SegEnds_NonXtal_Prot#'!A:AL,7,FALSE)</f>
        <v>16</v>
      </c>
      <c r="AC389" s="1" t="e">
        <f>VLOOKUP(A389,'SegEnds_NonXtal_Prot#'!A:AL,13,FALSE)-VLOOKUP(A389,'SegEnds_NonXtal_Prot#'!A:AL,10,FALSE)</f>
        <v>#VALUE!</v>
      </c>
      <c r="AD389" s="1">
        <f>VLOOKUP(A389,'SegEnds_NonXtal_Prot#'!A:AL,16,FALSE)-VLOOKUP(A389,'SegEnds_NonXtal_Prot#'!A:AL,10,FALSE)</f>
        <v>51</v>
      </c>
      <c r="AE389" s="1">
        <f>VLOOKUP(A389,'SegEnds_NonXtal_Prot#'!A:AL,22,FALSE)-VLOOKUP(A389,'SegEnds_NonXtal_Prot#'!A:AL,19,FALSE)</f>
        <v>20</v>
      </c>
      <c r="AF389" s="1" t="e">
        <f>VLOOKUP(A389,'SegEnds_NonXtal_Prot#'!A:AL,28,FALSE)-VLOOKUP(A389,'SegEnds_NonXtal_Prot#'!A:AL,25,FALSE)</f>
        <v>#VALUE!</v>
      </c>
      <c r="AG389" s="1">
        <f>VLOOKUP(A389,'SegEnds_NonXtal_Prot#'!A:AL,28,FALSE)-VLOOKUP(A389,'SegEnds_NonXtal_Prot#'!A:AL,22,FALSE)</f>
        <v>52</v>
      </c>
      <c r="AH389" s="1">
        <f>VLOOKUP(A389,'SegEnds_NonXtal_Prot#'!A:AL,31,FALSE)-VLOOKUP(A389,'SegEnds_NonXtal_Prot#'!A:AL,28,FALSE)</f>
        <v>53</v>
      </c>
      <c r="AI389" s="1">
        <f>VLOOKUP(A389,'SegEnds_NonXtal_Prot#'!A:AL,34,FALSE)-VLOOKUP(A389,'SegEnds_NonXtal_Prot#'!A:AL,31,FALSE)</f>
        <v>36</v>
      </c>
      <c r="AJ389" s="1" t="str">
        <f>IF(ISERROR(MATCH(A389,'SegEnds_Xtal_Prot#'!B:B, 0)), "NoXtal", "Xtal")</f>
        <v>NoXtal</v>
      </c>
    </row>
    <row r="390" spans="1:36" x14ac:dyDescent="0.2">
      <c r="A390" s="1" t="s">
        <v>463</v>
      </c>
      <c r="B390" s="1" t="str">
        <f>VLOOKUP(A390,Xtal_Templ!A:B,2,FALSE)</f>
        <v>agtr1_human</v>
      </c>
      <c r="C390" s="5">
        <v>32</v>
      </c>
      <c r="D390" s="1">
        <v>62</v>
      </c>
      <c r="E390" s="1">
        <f>VLOOKUP($B390&amp;"__wt",'SegEnds_Xtal_BW#'!$A:$Z,5,FALSE)</f>
        <v>48</v>
      </c>
      <c r="F390" s="1">
        <f>VLOOKUP($B390&amp;"__wt",'SegEnds_Xtal_BW#'!$A:$Z,6,FALSE)</f>
        <v>51</v>
      </c>
      <c r="G390" s="1">
        <v>39</v>
      </c>
      <c r="H390" s="12">
        <v>66</v>
      </c>
      <c r="I390" s="1" t="s">
        <v>23</v>
      </c>
      <c r="J390" s="1" t="s">
        <v>23</v>
      </c>
      <c r="K390" s="12">
        <v>21</v>
      </c>
      <c r="L390" s="1">
        <f>VLOOKUP($B390&amp;"__wt",'SegEnds_Xtal_BW#'!$A:$Z,12,FALSE)</f>
        <v>56</v>
      </c>
      <c r="M390" s="1">
        <f>VLOOKUP($B390&amp;"__wt",'SegEnds_Xtal_BW#'!$A:$Z,13,FALSE)</f>
        <v>50</v>
      </c>
      <c r="N390" s="12">
        <v>57</v>
      </c>
      <c r="O390" s="89">
        <v>38</v>
      </c>
      <c r="P390" s="1">
        <f>VLOOKUP($B390&amp;"__wt",'SegEnds_Xtal_BW#'!$A:$Z,16,FALSE)</f>
        <v>64</v>
      </c>
      <c r="Q390" s="1">
        <f>VLOOKUP($B390&amp;"__wt",'SegEnds_Xtal_BW#'!$A:$Z,17,FALSE)</f>
        <v>50</v>
      </c>
      <c r="R390" s="1">
        <f>VLOOKUP($B390&amp;"__wt",'SegEnds_Xtal_BW#'!$A:$Z,18,FALSE)</f>
        <v>52</v>
      </c>
      <c r="S390" s="1">
        <v>32</v>
      </c>
      <c r="T390" s="1">
        <v>72</v>
      </c>
      <c r="U390" s="1">
        <v>29</v>
      </c>
      <c r="V390" s="1">
        <v>61</v>
      </c>
      <c r="W390" s="1">
        <v>31</v>
      </c>
      <c r="X390" s="1">
        <f>VLOOKUP($B390&amp;"__wt",'SegEnds_Xtal_BW#'!$A:$Z,24,FALSE)</f>
        <v>56</v>
      </c>
      <c r="Y390" s="1">
        <f>VLOOKUP($B390&amp;"__wt",'SegEnds_Xtal_BW#'!$A:$Z,25,FALSE)</f>
        <v>47</v>
      </c>
      <c r="Z390" s="1">
        <v>60</v>
      </c>
      <c r="AA390" s="27" t="str">
        <f>VLOOKUP(A390,Classification!A:B,2,FALSE)</f>
        <v>T</v>
      </c>
      <c r="AB390" s="1">
        <f>VLOOKUP(A390,'SegEnds_NonXtal_Prot#'!A:AL,10,FALSE)-VLOOKUP(A390,'SegEnds_NonXtal_Prot#'!A:AL,7,FALSE)</f>
        <v>16</v>
      </c>
      <c r="AC390" s="1" t="e">
        <f>VLOOKUP(A390,'SegEnds_NonXtal_Prot#'!A:AL,13,FALSE)-VLOOKUP(A390,'SegEnds_NonXtal_Prot#'!A:AL,10,FALSE)</f>
        <v>#VALUE!</v>
      </c>
      <c r="AD390" s="1">
        <f>VLOOKUP(A390,'SegEnds_NonXtal_Prot#'!A:AL,16,FALSE)-VLOOKUP(A390,'SegEnds_NonXtal_Prot#'!A:AL,10,FALSE)</f>
        <v>51</v>
      </c>
      <c r="AE390" s="1">
        <f>VLOOKUP(A390,'SegEnds_NonXtal_Prot#'!A:AL,22,FALSE)-VLOOKUP(A390,'SegEnds_NonXtal_Prot#'!A:AL,19,FALSE)</f>
        <v>20</v>
      </c>
      <c r="AF390" s="1" t="e">
        <f>VLOOKUP(A390,'SegEnds_NonXtal_Prot#'!A:AL,28,FALSE)-VLOOKUP(A390,'SegEnds_NonXtal_Prot#'!A:AL,25,FALSE)</f>
        <v>#VALUE!</v>
      </c>
      <c r="AG390" s="1">
        <f>VLOOKUP(A390,'SegEnds_NonXtal_Prot#'!A:AL,28,FALSE)-VLOOKUP(A390,'SegEnds_NonXtal_Prot#'!A:AL,22,FALSE)</f>
        <v>52</v>
      </c>
      <c r="AH390" s="1">
        <f>VLOOKUP(A390,'SegEnds_NonXtal_Prot#'!A:AL,31,FALSE)-VLOOKUP(A390,'SegEnds_NonXtal_Prot#'!A:AL,28,FALSE)</f>
        <v>53</v>
      </c>
      <c r="AI390" s="1">
        <f>VLOOKUP(A390,'SegEnds_NonXtal_Prot#'!A:AL,34,FALSE)-VLOOKUP(A390,'SegEnds_NonXtal_Prot#'!A:AL,31,FALSE)</f>
        <v>36</v>
      </c>
      <c r="AJ390" s="1" t="str">
        <f>IF(ISERROR(MATCH(A390,'SegEnds_Xtal_Prot#'!B:B, 0)), "NoXtal", "Xtal")</f>
        <v>NoXtal</v>
      </c>
    </row>
    <row r="391" spans="1:36" x14ac:dyDescent="0.2">
      <c r="A391" s="1" t="s">
        <v>464</v>
      </c>
      <c r="B391" s="1" t="str">
        <f>VLOOKUP(A391,Xtal_Templ!A:B,2,FALSE)</f>
        <v>agtr1_human</v>
      </c>
      <c r="C391" s="5">
        <v>32</v>
      </c>
      <c r="D391" s="1">
        <v>62</v>
      </c>
      <c r="E391" s="1">
        <f>VLOOKUP($B391&amp;"__wt",'SegEnds_Xtal_BW#'!$A:$Z,5,FALSE)</f>
        <v>48</v>
      </c>
      <c r="F391" s="1">
        <f>VLOOKUP($B391&amp;"__wt",'SegEnds_Xtal_BW#'!$A:$Z,6,FALSE)</f>
        <v>51</v>
      </c>
      <c r="G391" s="1">
        <v>39</v>
      </c>
      <c r="H391" s="12">
        <v>67</v>
      </c>
      <c r="I391" s="1" t="s">
        <v>23</v>
      </c>
      <c r="J391" s="1" t="s">
        <v>23</v>
      </c>
      <c r="K391" s="12">
        <v>18</v>
      </c>
      <c r="L391" s="1">
        <f>VLOOKUP($B391&amp;"__wt",'SegEnds_Xtal_BW#'!$A:$Z,12,FALSE)</f>
        <v>56</v>
      </c>
      <c r="M391" s="1">
        <f>VLOOKUP($B391&amp;"__wt",'SegEnds_Xtal_BW#'!$A:$Z,13,FALSE)</f>
        <v>50</v>
      </c>
      <c r="N391" s="12">
        <v>57</v>
      </c>
      <c r="O391" s="89">
        <v>38</v>
      </c>
      <c r="P391" s="1">
        <f>VLOOKUP($B391&amp;"__wt",'SegEnds_Xtal_BW#'!$A:$Z,16,FALSE)</f>
        <v>64</v>
      </c>
      <c r="Q391" s="1">
        <f>VLOOKUP($B391&amp;"__wt",'SegEnds_Xtal_BW#'!$A:$Z,17,FALSE)</f>
        <v>50</v>
      </c>
      <c r="R391" s="1">
        <f>VLOOKUP($B391&amp;"__wt",'SegEnds_Xtal_BW#'!$A:$Z,18,FALSE)</f>
        <v>52</v>
      </c>
      <c r="S391" s="1">
        <v>32</v>
      </c>
      <c r="T391" s="1">
        <v>72</v>
      </c>
      <c r="U391" s="1">
        <v>29</v>
      </c>
      <c r="V391" s="1">
        <v>61</v>
      </c>
      <c r="W391" s="1">
        <v>31</v>
      </c>
      <c r="X391" s="1">
        <f>VLOOKUP($B391&amp;"__wt",'SegEnds_Xtal_BW#'!$A:$Z,24,FALSE)</f>
        <v>56</v>
      </c>
      <c r="Y391" s="1">
        <f>VLOOKUP($B391&amp;"__wt",'SegEnds_Xtal_BW#'!$A:$Z,25,FALSE)</f>
        <v>47</v>
      </c>
      <c r="Z391" s="1">
        <v>60</v>
      </c>
      <c r="AA391" s="27" t="str">
        <f>VLOOKUP(A391,Classification!A:B,2,FALSE)</f>
        <v>T</v>
      </c>
      <c r="AB391" s="1">
        <f>VLOOKUP(A391,'SegEnds_NonXtal_Prot#'!A:AL,10,FALSE)-VLOOKUP(A391,'SegEnds_NonXtal_Prot#'!A:AL,7,FALSE)</f>
        <v>16</v>
      </c>
      <c r="AC391" s="1" t="e">
        <f>VLOOKUP(A391,'SegEnds_NonXtal_Prot#'!A:AL,13,FALSE)-VLOOKUP(A391,'SegEnds_NonXtal_Prot#'!A:AL,10,FALSE)</f>
        <v>#VALUE!</v>
      </c>
      <c r="AD391" s="1">
        <f>VLOOKUP(A391,'SegEnds_NonXtal_Prot#'!A:AL,16,FALSE)-VLOOKUP(A391,'SegEnds_NonXtal_Prot#'!A:AL,10,FALSE)</f>
        <v>53</v>
      </c>
      <c r="AE391" s="1">
        <f>VLOOKUP(A391,'SegEnds_NonXtal_Prot#'!A:AL,22,FALSE)-VLOOKUP(A391,'SegEnds_NonXtal_Prot#'!A:AL,19,FALSE)</f>
        <v>20</v>
      </c>
      <c r="AF391" s="1" t="e">
        <f>VLOOKUP(A391,'SegEnds_NonXtal_Prot#'!A:AL,28,FALSE)-VLOOKUP(A391,'SegEnds_NonXtal_Prot#'!A:AL,25,FALSE)</f>
        <v>#VALUE!</v>
      </c>
      <c r="AG391" s="1">
        <f>VLOOKUP(A391,'SegEnds_NonXtal_Prot#'!A:AL,28,FALSE)-VLOOKUP(A391,'SegEnds_NonXtal_Prot#'!A:AL,22,FALSE)</f>
        <v>59</v>
      </c>
      <c r="AH391" s="1">
        <f>VLOOKUP(A391,'SegEnds_NonXtal_Prot#'!A:AL,31,FALSE)-VLOOKUP(A391,'SegEnds_NonXtal_Prot#'!A:AL,28,FALSE)</f>
        <v>53</v>
      </c>
      <c r="AI391" s="1">
        <f>VLOOKUP(A391,'SegEnds_NonXtal_Prot#'!A:AL,34,FALSE)-VLOOKUP(A391,'SegEnds_NonXtal_Prot#'!A:AL,31,FALSE)</f>
        <v>36</v>
      </c>
      <c r="AJ391" s="1" t="str">
        <f>IF(ISERROR(MATCH(A391,'SegEnds_Xtal_Prot#'!B:B, 0)), "NoXtal", "Xtal")</f>
        <v>NoXtal</v>
      </c>
    </row>
    <row r="392" spans="1:36" x14ac:dyDescent="0.2">
      <c r="A392" s="1" t="s">
        <v>465</v>
      </c>
      <c r="B392" s="1" t="str">
        <f>VLOOKUP(A392,Xtal_Templ!A:B,2,FALSE)</f>
        <v>agtr1_human</v>
      </c>
      <c r="C392" s="5">
        <v>32</v>
      </c>
      <c r="D392" s="1">
        <v>62</v>
      </c>
      <c r="E392" s="1">
        <f>VLOOKUP($B392&amp;"__wt",'SegEnds_Xtal_BW#'!$A:$Z,5,FALSE)</f>
        <v>48</v>
      </c>
      <c r="F392" s="1">
        <f>VLOOKUP($B392&amp;"__wt",'SegEnds_Xtal_BW#'!$A:$Z,6,FALSE)</f>
        <v>51</v>
      </c>
      <c r="G392" s="1">
        <v>39</v>
      </c>
      <c r="H392" s="12">
        <v>66</v>
      </c>
      <c r="I392" s="1" t="s">
        <v>23</v>
      </c>
      <c r="J392" s="1" t="s">
        <v>23</v>
      </c>
      <c r="K392" s="12">
        <v>18</v>
      </c>
      <c r="L392" s="1">
        <f>VLOOKUP($B392&amp;"__wt",'SegEnds_Xtal_BW#'!$A:$Z,12,FALSE)</f>
        <v>56</v>
      </c>
      <c r="M392" s="1">
        <f>VLOOKUP($B392&amp;"__wt",'SegEnds_Xtal_BW#'!$A:$Z,13,FALSE)</f>
        <v>50</v>
      </c>
      <c r="N392" s="12">
        <v>57</v>
      </c>
      <c r="O392" s="90">
        <v>38</v>
      </c>
      <c r="P392" s="1">
        <f>VLOOKUP($B392&amp;"__wt",'SegEnds_Xtal_BW#'!$A:$Z,16,FALSE)</f>
        <v>64</v>
      </c>
      <c r="Q392" s="1">
        <f>VLOOKUP($B392&amp;"__wt",'SegEnds_Xtal_BW#'!$A:$Z,17,FALSE)</f>
        <v>50</v>
      </c>
      <c r="R392" s="1">
        <f>VLOOKUP($B392&amp;"__wt",'SegEnds_Xtal_BW#'!$A:$Z,18,FALSE)</f>
        <v>52</v>
      </c>
      <c r="S392" s="1">
        <v>32</v>
      </c>
      <c r="T392" s="1">
        <v>72</v>
      </c>
      <c r="U392" s="1">
        <v>29</v>
      </c>
      <c r="V392" s="1">
        <v>61</v>
      </c>
      <c r="W392" s="1">
        <v>31</v>
      </c>
      <c r="X392" s="1">
        <f>VLOOKUP($B392&amp;"__wt",'SegEnds_Xtal_BW#'!$A:$Z,24,FALSE)</f>
        <v>56</v>
      </c>
      <c r="Y392" s="1">
        <f>VLOOKUP($B392&amp;"__wt",'SegEnds_Xtal_BW#'!$A:$Z,25,FALSE)</f>
        <v>47</v>
      </c>
      <c r="Z392" s="1">
        <v>60</v>
      </c>
      <c r="AA392" s="27" t="str">
        <f>VLOOKUP(A392,Classification!A:B,2,FALSE)</f>
        <v>T</v>
      </c>
      <c r="AB392" s="1">
        <f>VLOOKUP(A392,'SegEnds_NonXtal_Prot#'!A:AL,10,FALSE)-VLOOKUP(A392,'SegEnds_NonXtal_Prot#'!A:AL,7,FALSE)</f>
        <v>16</v>
      </c>
      <c r="AC392" s="1" t="e">
        <f>VLOOKUP(A392,'SegEnds_NonXtal_Prot#'!A:AL,13,FALSE)-VLOOKUP(A392,'SegEnds_NonXtal_Prot#'!A:AL,10,FALSE)</f>
        <v>#VALUE!</v>
      </c>
      <c r="AD392" s="1">
        <f>VLOOKUP(A392,'SegEnds_NonXtal_Prot#'!A:AL,16,FALSE)-VLOOKUP(A392,'SegEnds_NonXtal_Prot#'!A:AL,10,FALSE)</f>
        <v>52</v>
      </c>
      <c r="AE392" s="1">
        <f>VLOOKUP(A392,'SegEnds_NonXtal_Prot#'!A:AL,22,FALSE)-VLOOKUP(A392,'SegEnds_NonXtal_Prot#'!A:AL,19,FALSE)</f>
        <v>20</v>
      </c>
      <c r="AF392" s="1" t="e">
        <f>VLOOKUP(A392,'SegEnds_NonXtal_Prot#'!A:AL,28,FALSE)-VLOOKUP(A392,'SegEnds_NonXtal_Prot#'!A:AL,25,FALSE)</f>
        <v>#VALUE!</v>
      </c>
      <c r="AG392" s="1">
        <f>VLOOKUP(A392,'SegEnds_NonXtal_Prot#'!A:AL,28,FALSE)-VLOOKUP(A392,'SegEnds_NonXtal_Prot#'!A:AL,22,FALSE)</f>
        <v>56</v>
      </c>
      <c r="AH392" s="1">
        <f>VLOOKUP(A392,'SegEnds_NonXtal_Prot#'!A:AL,31,FALSE)-VLOOKUP(A392,'SegEnds_NonXtal_Prot#'!A:AL,28,FALSE)</f>
        <v>53</v>
      </c>
      <c r="AI392" s="1">
        <f>VLOOKUP(A392,'SegEnds_NonXtal_Prot#'!A:AL,34,FALSE)-VLOOKUP(A392,'SegEnds_NonXtal_Prot#'!A:AL,31,FALSE)</f>
        <v>35</v>
      </c>
      <c r="AJ392" s="1" t="str">
        <f>IF(ISERROR(MATCH(A392,'SegEnds_Xtal_Prot#'!B:B, 0)), "NoXtal", "Xtal")</f>
        <v>NoXtal</v>
      </c>
    </row>
    <row r="393" spans="1:36" x14ac:dyDescent="0.2">
      <c r="A393" s="1" t="s">
        <v>466</v>
      </c>
      <c r="B393" s="1" t="str">
        <f>VLOOKUP(A393,Xtal_Templ!A:B,2,FALSE)</f>
        <v>cxcr4_human</v>
      </c>
      <c r="C393" s="5">
        <v>32</v>
      </c>
      <c r="D393" s="1">
        <v>62</v>
      </c>
      <c r="E393" s="1">
        <f>VLOOKUP($B393&amp;"__wt",'SegEnds_Xtal_BW#'!$A:$Z,5,FALSE)</f>
        <v>48</v>
      </c>
      <c r="F393" s="1">
        <f>VLOOKUP($B393&amp;"__wt",'SegEnds_Xtal_BW#'!$A:$Z,6,FALSE)</f>
        <v>51</v>
      </c>
      <c r="G393" s="1">
        <v>39</v>
      </c>
      <c r="H393" s="12">
        <v>66</v>
      </c>
      <c r="I393" s="1" t="s">
        <v>23</v>
      </c>
      <c r="J393" s="1" t="s">
        <v>23</v>
      </c>
      <c r="K393" s="12">
        <v>18</v>
      </c>
      <c r="L393" s="1">
        <f>VLOOKUP($B393&amp;"__wt",'SegEnds_Xtal_BW#'!$A:$Z,12,FALSE)</f>
        <v>56</v>
      </c>
      <c r="M393" s="1">
        <f>VLOOKUP($B393&amp;"__wt",'SegEnds_Xtal_BW#'!$A:$Z,13,FALSE)</f>
        <v>50</v>
      </c>
      <c r="N393" s="12">
        <v>57</v>
      </c>
      <c r="O393" s="89">
        <v>38</v>
      </c>
      <c r="P393" s="1">
        <f>VLOOKUP($B393&amp;"__wt",'SegEnds_Xtal_BW#'!$A:$Z,16,FALSE)</f>
        <v>64</v>
      </c>
      <c r="Q393" s="1">
        <f>VLOOKUP($B393&amp;"__wt",'SegEnds_Xtal_BW#'!$A:$Z,17,FALSE)</f>
        <v>50</v>
      </c>
      <c r="R393" s="1">
        <f>VLOOKUP($B393&amp;"__wt",'SegEnds_Xtal_BW#'!$A:$Z,18,FALSE)</f>
        <v>52</v>
      </c>
      <c r="S393" s="1">
        <v>32</v>
      </c>
      <c r="T393" s="1">
        <v>72</v>
      </c>
      <c r="U393" s="1">
        <v>29</v>
      </c>
      <c r="V393" s="1">
        <v>61</v>
      </c>
      <c r="W393" s="1">
        <v>31</v>
      </c>
      <c r="X393" s="1">
        <f>VLOOKUP($B393&amp;"__wt",'SegEnds_Xtal_BW#'!$A:$Z,24,FALSE)</f>
        <v>56</v>
      </c>
      <c r="Y393" s="1">
        <f>VLOOKUP($B393&amp;"__wt",'SegEnds_Xtal_BW#'!$A:$Z,25,FALSE)</f>
        <v>47</v>
      </c>
      <c r="Z393" s="1">
        <v>60</v>
      </c>
      <c r="AA393" s="27" t="str">
        <f>VLOOKUP(A393,Classification!A:B,2,FALSE)</f>
        <v>T</v>
      </c>
      <c r="AB393" s="1">
        <f>VLOOKUP(A393,'SegEnds_NonXtal_Prot#'!A:AL,10,FALSE)-VLOOKUP(A393,'SegEnds_NonXtal_Prot#'!A:AL,7,FALSE)</f>
        <v>16</v>
      </c>
      <c r="AC393" s="1" t="e">
        <f>VLOOKUP(A393,'SegEnds_NonXtal_Prot#'!A:AL,13,FALSE)-VLOOKUP(A393,'SegEnds_NonXtal_Prot#'!A:AL,10,FALSE)</f>
        <v>#VALUE!</v>
      </c>
      <c r="AD393" s="1">
        <f>VLOOKUP(A393,'SegEnds_NonXtal_Prot#'!A:AL,16,FALSE)-VLOOKUP(A393,'SegEnds_NonXtal_Prot#'!A:AL,10,FALSE)</f>
        <v>52</v>
      </c>
      <c r="AE393" s="1">
        <f>VLOOKUP(A393,'SegEnds_NonXtal_Prot#'!A:AL,22,FALSE)-VLOOKUP(A393,'SegEnds_NonXtal_Prot#'!A:AL,19,FALSE)</f>
        <v>20</v>
      </c>
      <c r="AF393" s="1" t="e">
        <f>VLOOKUP(A393,'SegEnds_NonXtal_Prot#'!A:AL,28,FALSE)-VLOOKUP(A393,'SegEnds_NonXtal_Prot#'!A:AL,25,FALSE)</f>
        <v>#VALUE!</v>
      </c>
      <c r="AG393" s="1">
        <f>VLOOKUP(A393,'SegEnds_NonXtal_Prot#'!A:AL,28,FALSE)-VLOOKUP(A393,'SegEnds_NonXtal_Prot#'!A:AL,22,FALSE)</f>
        <v>57</v>
      </c>
      <c r="AH393" s="1">
        <f>VLOOKUP(A393,'SegEnds_NonXtal_Prot#'!A:AL,31,FALSE)-VLOOKUP(A393,'SegEnds_NonXtal_Prot#'!A:AL,28,FALSE)</f>
        <v>53</v>
      </c>
      <c r="AI393" s="1">
        <f>VLOOKUP(A393,'SegEnds_NonXtal_Prot#'!A:AL,34,FALSE)-VLOOKUP(A393,'SegEnds_NonXtal_Prot#'!A:AL,31,FALSE)</f>
        <v>35</v>
      </c>
      <c r="AJ393" s="1" t="str">
        <f>IF(ISERROR(MATCH(A393,'SegEnds_Xtal_Prot#'!B:B, 0)), "NoXtal", "Xtal")</f>
        <v>NoXtal</v>
      </c>
    </row>
    <row r="394" spans="1:36" x14ac:dyDescent="0.2">
      <c r="A394" s="1" t="s">
        <v>467</v>
      </c>
      <c r="B394" s="1" t="str">
        <f>VLOOKUP(A394,Xtal_Templ!A:B,2,FALSE)</f>
        <v>hrh1_human</v>
      </c>
      <c r="C394" s="5">
        <v>32</v>
      </c>
      <c r="D394" s="1">
        <v>62</v>
      </c>
      <c r="E394" s="1">
        <f>VLOOKUP($B394&amp;"__wt",'SegEnds_Xtal_BW#'!$A:$Z,5,FALSE)</f>
        <v>48</v>
      </c>
      <c r="F394" s="1">
        <f>VLOOKUP($B394&amp;"__wt",'SegEnds_Xtal_BW#'!$A:$Z,6,FALSE)</f>
        <v>51</v>
      </c>
      <c r="G394" s="1">
        <v>39</v>
      </c>
      <c r="H394" s="12">
        <v>67</v>
      </c>
      <c r="I394" s="1" t="s">
        <v>23</v>
      </c>
      <c r="J394" s="1" t="s">
        <v>23</v>
      </c>
      <c r="K394" s="12">
        <v>21</v>
      </c>
      <c r="L394" s="1">
        <f>VLOOKUP($B394&amp;"__wt",'SegEnds_Xtal_BW#'!$A:$Z,12,FALSE)</f>
        <v>56</v>
      </c>
      <c r="M394" s="1">
        <f>VLOOKUP($B394&amp;"__wt",'SegEnds_Xtal_BW#'!$A:$Z,13,FALSE)</f>
        <v>50</v>
      </c>
      <c r="N394" s="12">
        <v>57</v>
      </c>
      <c r="O394" s="90">
        <v>38</v>
      </c>
      <c r="P394" s="1">
        <f>VLOOKUP($B394&amp;"__wt",'SegEnds_Xtal_BW#'!$A:$Z,16,FALSE)</f>
        <v>62</v>
      </c>
      <c r="Q394" s="1">
        <f>VLOOKUP($B394&amp;"__wt",'SegEnds_Xtal_BW#'!$A:$Z,17,FALSE)</f>
        <v>50</v>
      </c>
      <c r="R394" s="1">
        <f>VLOOKUP($B394&amp;"__wt",'SegEnds_Xtal_BW#'!$A:$Z,18,FALSE)</f>
        <v>52</v>
      </c>
      <c r="S394" s="1">
        <v>32</v>
      </c>
      <c r="T394" s="1">
        <v>72</v>
      </c>
      <c r="U394" s="1">
        <v>29</v>
      </c>
      <c r="V394" s="1">
        <v>61</v>
      </c>
      <c r="W394" s="1">
        <v>31</v>
      </c>
      <c r="X394" s="1">
        <f>VLOOKUP($B394&amp;"__wt",'SegEnds_Xtal_BW#'!$A:$Z,24,FALSE)</f>
        <v>56</v>
      </c>
      <c r="Y394" s="1">
        <f>VLOOKUP($B394&amp;"__wt",'SegEnds_Xtal_BW#'!$A:$Z,25,FALSE)</f>
        <v>47</v>
      </c>
      <c r="Z394" s="1">
        <v>60</v>
      </c>
      <c r="AA394" s="27" t="str">
        <f>VLOOKUP(A394,Classification!A:B,2,FALSE)</f>
        <v>T</v>
      </c>
      <c r="AB394" s="1">
        <f>VLOOKUP(A394,'SegEnds_NonXtal_Prot#'!A:AL,10,FALSE)-VLOOKUP(A394,'SegEnds_NonXtal_Prot#'!A:AL,7,FALSE)</f>
        <v>16</v>
      </c>
      <c r="AC394" s="1" t="e">
        <f>VLOOKUP(A394,'SegEnds_NonXtal_Prot#'!A:AL,13,FALSE)-VLOOKUP(A394,'SegEnds_NonXtal_Prot#'!A:AL,10,FALSE)</f>
        <v>#VALUE!</v>
      </c>
      <c r="AD394" s="1">
        <f>VLOOKUP(A394,'SegEnds_NonXtal_Prot#'!A:AL,16,FALSE)-VLOOKUP(A394,'SegEnds_NonXtal_Prot#'!A:AL,10,FALSE)</f>
        <v>52</v>
      </c>
      <c r="AE394" s="1">
        <f>VLOOKUP(A394,'SegEnds_NonXtal_Prot#'!A:AL,22,FALSE)-VLOOKUP(A394,'SegEnds_NonXtal_Prot#'!A:AL,19,FALSE)</f>
        <v>20</v>
      </c>
      <c r="AF394" s="1" t="e">
        <f>VLOOKUP(A394,'SegEnds_NonXtal_Prot#'!A:AL,28,FALSE)-VLOOKUP(A394,'SegEnds_NonXtal_Prot#'!A:AL,25,FALSE)</f>
        <v>#VALUE!</v>
      </c>
      <c r="AG394" s="1">
        <f>VLOOKUP(A394,'SegEnds_NonXtal_Prot#'!A:AL,28,FALSE)-VLOOKUP(A394,'SegEnds_NonXtal_Prot#'!A:AL,22,FALSE)</f>
        <v>56</v>
      </c>
      <c r="AH394" s="1">
        <f>VLOOKUP(A394,'SegEnds_NonXtal_Prot#'!A:AL,31,FALSE)-VLOOKUP(A394,'SegEnds_NonXtal_Prot#'!A:AL,28,FALSE)</f>
        <v>53</v>
      </c>
      <c r="AI394" s="1">
        <f>VLOOKUP(A394,'SegEnds_NonXtal_Prot#'!A:AL,34,FALSE)-VLOOKUP(A394,'SegEnds_NonXtal_Prot#'!A:AL,31,FALSE)</f>
        <v>35</v>
      </c>
      <c r="AJ394" s="1" t="str">
        <f>IF(ISERROR(MATCH(A394,'SegEnds_Xtal_Prot#'!B:B, 0)), "NoXtal", "Xtal")</f>
        <v>NoXtal</v>
      </c>
    </row>
    <row r="395" spans="1:36" x14ac:dyDescent="0.2">
      <c r="A395" s="1" t="s">
        <v>468</v>
      </c>
      <c r="B395" s="1" t="str">
        <f>VLOOKUP(A395,Xtal_Templ!A:B,2,FALSE)</f>
        <v>hrh1_human</v>
      </c>
      <c r="C395" s="5">
        <v>32</v>
      </c>
      <c r="D395" s="1">
        <v>62</v>
      </c>
      <c r="E395" s="1">
        <f>VLOOKUP($B395&amp;"__wt",'SegEnds_Xtal_BW#'!$A:$Z,5,FALSE)</f>
        <v>48</v>
      </c>
      <c r="F395" s="1">
        <f>VLOOKUP($B395&amp;"__wt",'SegEnds_Xtal_BW#'!$A:$Z,6,FALSE)</f>
        <v>51</v>
      </c>
      <c r="G395" s="1">
        <v>39</v>
      </c>
      <c r="H395" s="12">
        <v>67</v>
      </c>
      <c r="I395" s="1" t="s">
        <v>23</v>
      </c>
      <c r="J395" s="1" t="s">
        <v>23</v>
      </c>
      <c r="K395" s="12">
        <v>21</v>
      </c>
      <c r="L395" s="1">
        <f>VLOOKUP($B395&amp;"__wt",'SegEnds_Xtal_BW#'!$A:$Z,12,FALSE)</f>
        <v>56</v>
      </c>
      <c r="M395" s="1">
        <f>VLOOKUP($B395&amp;"__wt",'SegEnds_Xtal_BW#'!$A:$Z,13,FALSE)</f>
        <v>50</v>
      </c>
      <c r="N395" s="12">
        <v>57</v>
      </c>
      <c r="O395" s="89">
        <v>38</v>
      </c>
      <c r="P395" s="1">
        <f>VLOOKUP($B395&amp;"__wt",'SegEnds_Xtal_BW#'!$A:$Z,16,FALSE)</f>
        <v>62</v>
      </c>
      <c r="Q395" s="1">
        <f>VLOOKUP($B395&amp;"__wt",'SegEnds_Xtal_BW#'!$A:$Z,17,FALSE)</f>
        <v>50</v>
      </c>
      <c r="R395" s="1">
        <f>VLOOKUP($B395&amp;"__wt",'SegEnds_Xtal_BW#'!$A:$Z,18,FALSE)</f>
        <v>52</v>
      </c>
      <c r="S395" s="1">
        <v>32</v>
      </c>
      <c r="T395" s="1">
        <v>72</v>
      </c>
      <c r="U395" s="1">
        <v>29</v>
      </c>
      <c r="V395" s="1">
        <v>61</v>
      </c>
      <c r="W395" s="1">
        <v>31</v>
      </c>
      <c r="X395" s="1">
        <f>VLOOKUP($B395&amp;"__wt",'SegEnds_Xtal_BW#'!$A:$Z,24,FALSE)</f>
        <v>56</v>
      </c>
      <c r="Y395" s="1">
        <f>VLOOKUP($B395&amp;"__wt",'SegEnds_Xtal_BW#'!$A:$Z,25,FALSE)</f>
        <v>47</v>
      </c>
      <c r="Z395" s="1">
        <v>60</v>
      </c>
      <c r="AA395" s="27" t="str">
        <f>VLOOKUP(A395,Classification!A:B,2,FALSE)</f>
        <v>T</v>
      </c>
      <c r="AB395" s="1">
        <f>VLOOKUP(A395,'SegEnds_NonXtal_Prot#'!A:AL,10,FALSE)-VLOOKUP(A395,'SegEnds_NonXtal_Prot#'!A:AL,7,FALSE)</f>
        <v>16</v>
      </c>
      <c r="AC395" s="1" t="e">
        <f>VLOOKUP(A395,'SegEnds_NonXtal_Prot#'!A:AL,13,FALSE)-VLOOKUP(A395,'SegEnds_NonXtal_Prot#'!A:AL,10,FALSE)</f>
        <v>#VALUE!</v>
      </c>
      <c r="AD395" s="1">
        <f>VLOOKUP(A395,'SegEnds_NonXtal_Prot#'!A:AL,16,FALSE)-VLOOKUP(A395,'SegEnds_NonXtal_Prot#'!A:AL,10,FALSE)</f>
        <v>52</v>
      </c>
      <c r="AE395" s="1">
        <f>VLOOKUP(A395,'SegEnds_NonXtal_Prot#'!A:AL,22,FALSE)-VLOOKUP(A395,'SegEnds_NonXtal_Prot#'!A:AL,19,FALSE)</f>
        <v>20</v>
      </c>
      <c r="AF395" s="1" t="e">
        <f>VLOOKUP(A395,'SegEnds_NonXtal_Prot#'!A:AL,28,FALSE)-VLOOKUP(A395,'SegEnds_NonXtal_Prot#'!A:AL,25,FALSE)</f>
        <v>#VALUE!</v>
      </c>
      <c r="AG395" s="1">
        <f>VLOOKUP(A395,'SegEnds_NonXtal_Prot#'!A:AL,28,FALSE)-VLOOKUP(A395,'SegEnds_NonXtal_Prot#'!A:AL,22,FALSE)</f>
        <v>56</v>
      </c>
      <c r="AH395" s="1">
        <f>VLOOKUP(A395,'SegEnds_NonXtal_Prot#'!A:AL,31,FALSE)-VLOOKUP(A395,'SegEnds_NonXtal_Prot#'!A:AL,28,FALSE)</f>
        <v>53</v>
      </c>
      <c r="AI395" s="1">
        <f>VLOOKUP(A395,'SegEnds_NonXtal_Prot#'!A:AL,34,FALSE)-VLOOKUP(A395,'SegEnds_NonXtal_Prot#'!A:AL,31,FALSE)</f>
        <v>36</v>
      </c>
      <c r="AJ395" s="1" t="str">
        <f>IF(ISERROR(MATCH(A395,'SegEnds_Xtal_Prot#'!B:B, 0)), "NoXtal", "Xtal")</f>
        <v>NoXtal</v>
      </c>
    </row>
    <row r="396" spans="1:36" x14ac:dyDescent="0.2">
      <c r="A396" s="1" t="s">
        <v>469</v>
      </c>
      <c r="B396" s="1" t="str">
        <f>VLOOKUP(A396,Xtal_Templ!A:B,2,FALSE)</f>
        <v>agtr1_human</v>
      </c>
      <c r="C396" s="5">
        <v>32</v>
      </c>
      <c r="D396" s="1">
        <v>62</v>
      </c>
      <c r="E396" s="1">
        <f>VLOOKUP($B396&amp;"__wt",'SegEnds_Xtal_BW#'!$A:$Z,5,FALSE)</f>
        <v>48</v>
      </c>
      <c r="F396" s="1">
        <f>VLOOKUP($B396&amp;"__wt",'SegEnds_Xtal_BW#'!$A:$Z,6,FALSE)</f>
        <v>51</v>
      </c>
      <c r="G396" s="1">
        <v>39</v>
      </c>
      <c r="H396" s="12">
        <v>66</v>
      </c>
      <c r="I396" s="1" t="s">
        <v>23</v>
      </c>
      <c r="J396" s="1" t="s">
        <v>23</v>
      </c>
      <c r="K396" s="12">
        <v>21</v>
      </c>
      <c r="L396" s="1">
        <f>VLOOKUP($B396&amp;"__wt",'SegEnds_Xtal_BW#'!$A:$Z,12,FALSE)</f>
        <v>56</v>
      </c>
      <c r="M396" s="1">
        <f>VLOOKUP($B396&amp;"__wt",'SegEnds_Xtal_BW#'!$A:$Z,13,FALSE)</f>
        <v>50</v>
      </c>
      <c r="N396" s="12">
        <v>57</v>
      </c>
      <c r="O396" s="90">
        <v>38</v>
      </c>
      <c r="P396" s="1">
        <f>VLOOKUP($B396&amp;"__wt",'SegEnds_Xtal_BW#'!$A:$Z,16,FALSE)</f>
        <v>64</v>
      </c>
      <c r="Q396" s="1">
        <f>VLOOKUP($B396&amp;"__wt",'SegEnds_Xtal_BW#'!$A:$Z,17,FALSE)</f>
        <v>50</v>
      </c>
      <c r="R396" s="1">
        <f>VLOOKUP($B396&amp;"__wt",'SegEnds_Xtal_BW#'!$A:$Z,18,FALSE)</f>
        <v>52</v>
      </c>
      <c r="S396" s="1">
        <v>32</v>
      </c>
      <c r="T396" s="1">
        <v>72</v>
      </c>
      <c r="U396" s="1">
        <v>29</v>
      </c>
      <c r="V396" s="1">
        <v>61</v>
      </c>
      <c r="W396" s="1">
        <v>31</v>
      </c>
      <c r="X396" s="1">
        <f>VLOOKUP($B396&amp;"__wt",'SegEnds_Xtal_BW#'!$A:$Z,24,FALSE)</f>
        <v>56</v>
      </c>
      <c r="Y396" s="1">
        <f>VLOOKUP($B396&amp;"__wt",'SegEnds_Xtal_BW#'!$A:$Z,25,FALSE)</f>
        <v>47</v>
      </c>
      <c r="Z396" s="1">
        <v>60</v>
      </c>
      <c r="AA396" s="27" t="str">
        <f>VLOOKUP(A396,Classification!A:B,2,FALSE)</f>
        <v>T</v>
      </c>
      <c r="AB396" s="1">
        <f>VLOOKUP(A396,'SegEnds_NonXtal_Prot#'!A:AL,10,FALSE)-VLOOKUP(A396,'SegEnds_NonXtal_Prot#'!A:AL,7,FALSE)</f>
        <v>16</v>
      </c>
      <c r="AC396" s="1" t="e">
        <f>VLOOKUP(A396,'SegEnds_NonXtal_Prot#'!A:AL,13,FALSE)-VLOOKUP(A396,'SegEnds_NonXtal_Prot#'!A:AL,10,FALSE)</f>
        <v>#VALUE!</v>
      </c>
      <c r="AD396" s="1">
        <f>VLOOKUP(A396,'SegEnds_NonXtal_Prot#'!A:AL,16,FALSE)-VLOOKUP(A396,'SegEnds_NonXtal_Prot#'!A:AL,10,FALSE)</f>
        <v>51</v>
      </c>
      <c r="AE396" s="1">
        <f>VLOOKUP(A396,'SegEnds_NonXtal_Prot#'!A:AL,22,FALSE)-VLOOKUP(A396,'SegEnds_NonXtal_Prot#'!A:AL,19,FALSE)</f>
        <v>20</v>
      </c>
      <c r="AF396" s="1" t="e">
        <f>VLOOKUP(A396,'SegEnds_NonXtal_Prot#'!A:AL,28,FALSE)-VLOOKUP(A396,'SegEnds_NonXtal_Prot#'!A:AL,25,FALSE)</f>
        <v>#VALUE!</v>
      </c>
      <c r="AG396" s="1">
        <f>VLOOKUP(A396,'SegEnds_NonXtal_Prot#'!A:AL,28,FALSE)-VLOOKUP(A396,'SegEnds_NonXtal_Prot#'!A:AL,22,FALSE)</f>
        <v>52</v>
      </c>
      <c r="AH396" s="1">
        <f>VLOOKUP(A396,'SegEnds_NonXtal_Prot#'!A:AL,31,FALSE)-VLOOKUP(A396,'SegEnds_NonXtal_Prot#'!A:AL,28,FALSE)</f>
        <v>53</v>
      </c>
      <c r="AI396" s="1">
        <f>VLOOKUP(A396,'SegEnds_NonXtal_Prot#'!A:AL,34,FALSE)-VLOOKUP(A396,'SegEnds_NonXtal_Prot#'!A:AL,31,FALSE)</f>
        <v>36</v>
      </c>
      <c r="AJ396" s="1" t="str">
        <f>IF(ISERROR(MATCH(A396,'SegEnds_Xtal_Prot#'!B:B, 0)), "NoXtal", "Xtal")</f>
        <v>NoXtal</v>
      </c>
    </row>
    <row r="397" spans="1:36" x14ac:dyDescent="0.2">
      <c r="A397" s="1" t="s">
        <v>930</v>
      </c>
      <c r="B397" s="1" t="str">
        <f>VLOOKUP(A397,Xtal_Templ!A:B,2,FALSE)</f>
        <v>agtr1_human</v>
      </c>
      <c r="C397" s="5">
        <v>32</v>
      </c>
      <c r="D397" s="1">
        <v>62</v>
      </c>
      <c r="E397" s="1">
        <f>VLOOKUP($B397&amp;"__wt",'SegEnds_Xtal_BW#'!$A:$Z,5,FALSE)</f>
        <v>48</v>
      </c>
      <c r="F397" s="1">
        <f>VLOOKUP($B397&amp;"__wt",'SegEnds_Xtal_BW#'!$A:$Z,6,FALSE)</f>
        <v>51</v>
      </c>
      <c r="G397" s="1">
        <v>39</v>
      </c>
      <c r="H397" s="12">
        <v>66</v>
      </c>
      <c r="I397" s="1" t="s">
        <v>23</v>
      </c>
      <c r="J397" s="1" t="s">
        <v>23</v>
      </c>
      <c r="K397" s="12">
        <v>21</v>
      </c>
      <c r="L397" s="1">
        <f>VLOOKUP($B397&amp;"__wt",'SegEnds_Xtal_BW#'!$A:$Z,12,FALSE)</f>
        <v>56</v>
      </c>
      <c r="M397" s="1">
        <f>VLOOKUP($B397&amp;"__wt",'SegEnds_Xtal_BW#'!$A:$Z,13,FALSE)</f>
        <v>50</v>
      </c>
      <c r="N397" s="12">
        <v>57</v>
      </c>
      <c r="O397" s="90">
        <v>38</v>
      </c>
      <c r="P397" s="1">
        <f>VLOOKUP($B397&amp;"__wt",'SegEnds_Xtal_BW#'!$A:$Z,16,FALSE)</f>
        <v>64</v>
      </c>
      <c r="Q397" s="1">
        <f>VLOOKUP($B397&amp;"__wt",'SegEnds_Xtal_BW#'!$A:$Z,17,FALSE)</f>
        <v>50</v>
      </c>
      <c r="R397" s="1">
        <f>VLOOKUP($B397&amp;"__wt",'SegEnds_Xtal_BW#'!$A:$Z,18,FALSE)</f>
        <v>52</v>
      </c>
      <c r="S397" s="1">
        <v>32</v>
      </c>
      <c r="T397" s="1">
        <v>72</v>
      </c>
      <c r="U397" s="1">
        <v>29</v>
      </c>
      <c r="V397" s="1">
        <v>61</v>
      </c>
      <c r="W397" s="1">
        <v>33</v>
      </c>
      <c r="X397" s="1">
        <f>VLOOKUP($B397&amp;"__wt",'SegEnds_Xtal_BW#'!$A:$Z,24,FALSE)</f>
        <v>56</v>
      </c>
      <c r="Y397" s="1">
        <f>VLOOKUP($B397&amp;"__wt",'SegEnds_Xtal_BW#'!$A:$Z,25,FALSE)</f>
        <v>47</v>
      </c>
      <c r="Z397" s="1">
        <v>60</v>
      </c>
      <c r="AA397" s="27" t="str">
        <f>VLOOKUP(A397,Classification!A:B,2,FALSE)</f>
        <v>T</v>
      </c>
      <c r="AB397" s="1">
        <f>VLOOKUP(A397,'SegEnds_NonXtal_Prot#'!A:AL,10,FALSE)-VLOOKUP(A397,'SegEnds_NonXtal_Prot#'!A:AL,7,FALSE)</f>
        <v>16</v>
      </c>
      <c r="AC397" s="1" t="e">
        <f>VLOOKUP(A397,'SegEnds_NonXtal_Prot#'!A:AL,13,FALSE)-VLOOKUP(A397,'SegEnds_NonXtal_Prot#'!A:AL,10,FALSE)</f>
        <v>#VALUE!</v>
      </c>
      <c r="AD397" s="1">
        <f>VLOOKUP(A397,'SegEnds_NonXtal_Prot#'!A:AL,16,FALSE)-VLOOKUP(A397,'SegEnds_NonXtal_Prot#'!A:AL,10,FALSE)</f>
        <v>51</v>
      </c>
      <c r="AE397" s="1">
        <f>VLOOKUP(A397,'SegEnds_NonXtal_Prot#'!A:AL,22,FALSE)-VLOOKUP(A397,'SegEnds_NonXtal_Prot#'!A:AL,19,FALSE)</f>
        <v>20</v>
      </c>
      <c r="AF397" s="1" t="e">
        <f>VLOOKUP(A397,'SegEnds_NonXtal_Prot#'!A:AL,28,FALSE)-VLOOKUP(A397,'SegEnds_NonXtal_Prot#'!A:AL,25,FALSE)</f>
        <v>#VALUE!</v>
      </c>
      <c r="AG397" s="1">
        <f>VLOOKUP(A397,'SegEnds_NonXtal_Prot#'!A:AL,28,FALSE)-VLOOKUP(A397,'SegEnds_NonXtal_Prot#'!A:AL,22,FALSE)</f>
        <v>52</v>
      </c>
      <c r="AH397" s="1">
        <f>VLOOKUP(A397,'SegEnds_NonXtal_Prot#'!A:AL,31,FALSE)-VLOOKUP(A397,'SegEnds_NonXtal_Prot#'!A:AL,28,FALSE)</f>
        <v>56</v>
      </c>
      <c r="AI397" s="1">
        <f>VLOOKUP(A397,'SegEnds_NonXtal_Prot#'!A:AL,34,FALSE)-VLOOKUP(A397,'SegEnds_NonXtal_Prot#'!A:AL,31,FALSE)</f>
        <v>33</v>
      </c>
      <c r="AJ397" s="1" t="str">
        <f>IF(ISERROR(MATCH(A397,'SegEnds_Xtal_Prot#'!B:B, 0)), "NoXtal", "Xtal")</f>
        <v>NoXtal</v>
      </c>
    </row>
    <row r="398" spans="1:36" x14ac:dyDescent="0.2">
      <c r="A398" s="1" t="s">
        <v>470</v>
      </c>
      <c r="B398" s="1" t="str">
        <f>VLOOKUP(A398,Xtal_Templ!A:B,2,FALSE)</f>
        <v>agtr1_human</v>
      </c>
      <c r="C398" s="5">
        <v>32</v>
      </c>
      <c r="D398" s="1">
        <v>62</v>
      </c>
      <c r="E398" s="1">
        <f>VLOOKUP($B398&amp;"__wt",'SegEnds_Xtal_BW#'!$A:$Z,5,FALSE)</f>
        <v>48</v>
      </c>
      <c r="F398" s="1">
        <f>VLOOKUP($B398&amp;"__wt",'SegEnds_Xtal_BW#'!$A:$Z,6,FALSE)</f>
        <v>51</v>
      </c>
      <c r="G398" s="1">
        <v>39</v>
      </c>
      <c r="H398" s="12">
        <v>66</v>
      </c>
      <c r="I398" s="1" t="s">
        <v>23</v>
      </c>
      <c r="J398" s="1" t="s">
        <v>23</v>
      </c>
      <c r="K398" s="12">
        <v>21</v>
      </c>
      <c r="L398" s="1">
        <f>VLOOKUP($B398&amp;"__wt",'SegEnds_Xtal_BW#'!$A:$Z,12,FALSE)</f>
        <v>56</v>
      </c>
      <c r="M398" s="1">
        <f>VLOOKUP($B398&amp;"__wt",'SegEnds_Xtal_BW#'!$A:$Z,13,FALSE)</f>
        <v>50</v>
      </c>
      <c r="N398" s="12">
        <v>57</v>
      </c>
      <c r="O398" s="89">
        <v>38</v>
      </c>
      <c r="P398" s="1">
        <f>VLOOKUP($B398&amp;"__wt",'SegEnds_Xtal_BW#'!$A:$Z,16,FALSE)</f>
        <v>64</v>
      </c>
      <c r="Q398" s="1">
        <f>VLOOKUP($B398&amp;"__wt",'SegEnds_Xtal_BW#'!$A:$Z,17,FALSE)</f>
        <v>50</v>
      </c>
      <c r="R398" s="1">
        <f>VLOOKUP($B398&amp;"__wt",'SegEnds_Xtal_BW#'!$A:$Z,18,FALSE)</f>
        <v>52</v>
      </c>
      <c r="S398" s="1">
        <v>32</v>
      </c>
      <c r="T398" s="1">
        <v>72</v>
      </c>
      <c r="U398" s="1">
        <v>29</v>
      </c>
      <c r="V398" s="1">
        <v>61</v>
      </c>
      <c r="W398" s="1">
        <v>31</v>
      </c>
      <c r="X398" s="1">
        <f>VLOOKUP($B398&amp;"__wt",'SegEnds_Xtal_BW#'!$A:$Z,24,FALSE)</f>
        <v>56</v>
      </c>
      <c r="Y398" s="1">
        <f>VLOOKUP($B398&amp;"__wt",'SegEnds_Xtal_BW#'!$A:$Z,25,FALSE)</f>
        <v>47</v>
      </c>
      <c r="Z398" s="1">
        <v>60</v>
      </c>
      <c r="AA398" s="27" t="str">
        <f>VLOOKUP(A398,Classification!A:B,2,FALSE)</f>
        <v>T</v>
      </c>
      <c r="AB398" s="1">
        <f>VLOOKUP(A398,'SegEnds_NonXtal_Prot#'!A:AL,10,FALSE)-VLOOKUP(A398,'SegEnds_NonXtal_Prot#'!A:AL,7,FALSE)</f>
        <v>16</v>
      </c>
      <c r="AC398" s="1" t="e">
        <f>VLOOKUP(A398,'SegEnds_NonXtal_Prot#'!A:AL,13,FALSE)-VLOOKUP(A398,'SegEnds_NonXtal_Prot#'!A:AL,10,FALSE)</f>
        <v>#VALUE!</v>
      </c>
      <c r="AD398" s="1">
        <f>VLOOKUP(A398,'SegEnds_NonXtal_Prot#'!A:AL,16,FALSE)-VLOOKUP(A398,'SegEnds_NonXtal_Prot#'!A:AL,10,FALSE)</f>
        <v>51</v>
      </c>
      <c r="AE398" s="1">
        <f>VLOOKUP(A398,'SegEnds_NonXtal_Prot#'!A:AL,22,FALSE)-VLOOKUP(A398,'SegEnds_NonXtal_Prot#'!A:AL,19,FALSE)</f>
        <v>20</v>
      </c>
      <c r="AF398" s="1" t="e">
        <f>VLOOKUP(A398,'SegEnds_NonXtal_Prot#'!A:AL,28,FALSE)-VLOOKUP(A398,'SegEnds_NonXtal_Prot#'!A:AL,25,FALSE)</f>
        <v>#VALUE!</v>
      </c>
      <c r="AG398" s="1">
        <f>VLOOKUP(A398,'SegEnds_NonXtal_Prot#'!A:AL,28,FALSE)-VLOOKUP(A398,'SegEnds_NonXtal_Prot#'!A:AL,22,FALSE)</f>
        <v>52</v>
      </c>
      <c r="AH398" s="1">
        <f>VLOOKUP(A398,'SegEnds_NonXtal_Prot#'!A:AL,31,FALSE)-VLOOKUP(A398,'SegEnds_NonXtal_Prot#'!A:AL,28,FALSE)</f>
        <v>53</v>
      </c>
      <c r="AI398" s="1">
        <f>VLOOKUP(A398,'SegEnds_NonXtal_Prot#'!A:AL,34,FALSE)-VLOOKUP(A398,'SegEnds_NonXtal_Prot#'!A:AL,31,FALSE)</f>
        <v>36</v>
      </c>
      <c r="AJ398" s="1" t="str">
        <f>IF(ISERROR(MATCH(A398,'SegEnds_Xtal_Prot#'!B:B, 0)), "NoXtal", "Xtal")</f>
        <v>NoXtal</v>
      </c>
    </row>
    <row r="399" spans="1:36" x14ac:dyDescent="0.2">
      <c r="A399" s="1" t="s">
        <v>471</v>
      </c>
      <c r="B399" s="1" t="str">
        <f>VLOOKUP(A399,Xtal_Templ!A:B,2,FALSE)</f>
        <v>drd3_human</v>
      </c>
      <c r="C399" s="5">
        <v>32</v>
      </c>
      <c r="D399" s="1">
        <v>62</v>
      </c>
      <c r="E399" s="1">
        <f>VLOOKUP($B399&amp;"__wt",'SegEnds_Xtal_BW#'!$A:$Z,5,FALSE)</f>
        <v>48</v>
      </c>
      <c r="F399" s="1">
        <f>VLOOKUP($B399&amp;"__wt",'SegEnds_Xtal_BW#'!$A:$Z,6,FALSE)</f>
        <v>51</v>
      </c>
      <c r="G399" s="1">
        <v>39</v>
      </c>
      <c r="H399" s="12">
        <v>66</v>
      </c>
      <c r="I399" s="1" t="s">
        <v>23</v>
      </c>
      <c r="J399" s="1" t="s">
        <v>23</v>
      </c>
      <c r="K399" s="12">
        <v>21</v>
      </c>
      <c r="L399" s="1">
        <f>VLOOKUP($B399&amp;"__wt",'SegEnds_Xtal_BW#'!$A:$Z,12,FALSE)</f>
        <v>56</v>
      </c>
      <c r="M399" s="1">
        <f>VLOOKUP($B399&amp;"__wt",'SegEnds_Xtal_BW#'!$A:$Z,13,FALSE)</f>
        <v>50</v>
      </c>
      <c r="N399" s="12">
        <v>57</v>
      </c>
      <c r="O399" s="90">
        <v>38</v>
      </c>
      <c r="P399" s="1">
        <f>VLOOKUP($B399&amp;"__wt",'SegEnds_Xtal_BW#'!$A:$Z,16,FALSE)</f>
        <v>63</v>
      </c>
      <c r="Q399" s="1">
        <f>VLOOKUP($B399&amp;"__wt",'SegEnds_Xtal_BW#'!$A:$Z,17,FALSE)</f>
        <v>50</v>
      </c>
      <c r="R399" s="1">
        <f>VLOOKUP($B399&amp;"__wt",'SegEnds_Xtal_BW#'!$A:$Z,18,FALSE)</f>
        <v>52</v>
      </c>
      <c r="S399" s="1">
        <v>32</v>
      </c>
      <c r="T399" s="1">
        <v>72</v>
      </c>
      <c r="U399" s="1">
        <v>29</v>
      </c>
      <c r="V399" s="1">
        <v>61</v>
      </c>
      <c r="W399" s="1">
        <v>31</v>
      </c>
      <c r="X399" s="1">
        <f>VLOOKUP($B399&amp;"__wt",'SegEnds_Xtal_BW#'!$A:$Z,24,FALSE)</f>
        <v>56</v>
      </c>
      <c r="Y399" s="1">
        <f>VLOOKUP($B399&amp;"__wt",'SegEnds_Xtal_BW#'!$A:$Z,25,FALSE)</f>
        <v>47</v>
      </c>
      <c r="Z399" s="1">
        <v>60</v>
      </c>
      <c r="AA399" s="27" t="str">
        <f>VLOOKUP(A399,Classification!A:B,2,FALSE)</f>
        <v>T</v>
      </c>
      <c r="AB399" s="1">
        <f>VLOOKUP(A399,'SegEnds_NonXtal_Prot#'!A:AL,10,FALSE)-VLOOKUP(A399,'SegEnds_NonXtal_Prot#'!A:AL,7,FALSE)</f>
        <v>16</v>
      </c>
      <c r="AC399" s="1" t="e">
        <f>VLOOKUP(A399,'SegEnds_NonXtal_Prot#'!A:AL,13,FALSE)-VLOOKUP(A399,'SegEnds_NonXtal_Prot#'!A:AL,10,FALSE)</f>
        <v>#VALUE!</v>
      </c>
      <c r="AD399" s="1">
        <f>VLOOKUP(A399,'SegEnds_NonXtal_Prot#'!A:AL,16,FALSE)-VLOOKUP(A399,'SegEnds_NonXtal_Prot#'!A:AL,10,FALSE)</f>
        <v>51</v>
      </c>
      <c r="AE399" s="1">
        <f>VLOOKUP(A399,'SegEnds_NonXtal_Prot#'!A:AL,22,FALSE)-VLOOKUP(A399,'SegEnds_NonXtal_Prot#'!A:AL,19,FALSE)</f>
        <v>20</v>
      </c>
      <c r="AF399" s="1" t="e">
        <f>VLOOKUP(A399,'SegEnds_NonXtal_Prot#'!A:AL,28,FALSE)-VLOOKUP(A399,'SegEnds_NonXtal_Prot#'!A:AL,25,FALSE)</f>
        <v>#VALUE!</v>
      </c>
      <c r="AG399" s="1">
        <f>VLOOKUP(A399,'SegEnds_NonXtal_Prot#'!A:AL,28,FALSE)-VLOOKUP(A399,'SegEnds_NonXtal_Prot#'!A:AL,22,FALSE)</f>
        <v>52</v>
      </c>
      <c r="AH399" s="1">
        <f>VLOOKUP(A399,'SegEnds_NonXtal_Prot#'!A:AL,31,FALSE)-VLOOKUP(A399,'SegEnds_NonXtal_Prot#'!A:AL,28,FALSE)</f>
        <v>53</v>
      </c>
      <c r="AI399" s="1">
        <f>VLOOKUP(A399,'SegEnds_NonXtal_Prot#'!A:AL,34,FALSE)-VLOOKUP(A399,'SegEnds_NonXtal_Prot#'!A:AL,31,FALSE)</f>
        <v>36</v>
      </c>
      <c r="AJ399" s="1" t="str">
        <f>IF(ISERROR(MATCH(A399,'SegEnds_Xtal_Prot#'!B:B, 0)), "NoXtal", "Xtal")</f>
        <v>NoXtal</v>
      </c>
    </row>
    <row r="400" spans="1:36" x14ac:dyDescent="0.2">
      <c r="A400" s="1" t="s">
        <v>472</v>
      </c>
      <c r="B400" s="1" t="str">
        <f>VLOOKUP(A400,Xtal_Templ!A:B,2,FALSE)</f>
        <v>oprk_human</v>
      </c>
      <c r="C400" s="5">
        <v>32</v>
      </c>
      <c r="D400" s="1">
        <v>62</v>
      </c>
      <c r="E400" s="1">
        <f>VLOOKUP($B400&amp;"__wt",'SegEnds_Xtal_BW#'!$A:$Z,5,FALSE)</f>
        <v>48</v>
      </c>
      <c r="F400" s="1">
        <f>VLOOKUP($B400&amp;"__wt",'SegEnds_Xtal_BW#'!$A:$Z,6,FALSE)</f>
        <v>51</v>
      </c>
      <c r="G400" s="1">
        <v>39</v>
      </c>
      <c r="H400" s="12">
        <v>66</v>
      </c>
      <c r="I400" s="1" t="s">
        <v>23</v>
      </c>
      <c r="J400" s="1" t="s">
        <v>23</v>
      </c>
      <c r="K400" s="12">
        <v>18</v>
      </c>
      <c r="L400" s="1">
        <f>VLOOKUP($B400&amp;"__wt",'SegEnds_Xtal_BW#'!$A:$Z,12,FALSE)</f>
        <v>56</v>
      </c>
      <c r="M400" s="1">
        <f>VLOOKUP($B400&amp;"__wt",'SegEnds_Xtal_BW#'!$A:$Z,13,FALSE)</f>
        <v>50</v>
      </c>
      <c r="N400" s="12">
        <v>57</v>
      </c>
      <c r="O400" s="90">
        <v>38</v>
      </c>
      <c r="P400" s="1">
        <f>VLOOKUP($B400&amp;"__wt",'SegEnds_Xtal_BW#'!$A:$Z,16,FALSE)</f>
        <v>64</v>
      </c>
      <c r="Q400" s="1">
        <f>VLOOKUP($B400&amp;"__wt",'SegEnds_Xtal_BW#'!$A:$Z,17,FALSE)</f>
        <v>50</v>
      </c>
      <c r="R400" s="1">
        <f>VLOOKUP($B400&amp;"__wt",'SegEnds_Xtal_BW#'!$A:$Z,18,FALSE)</f>
        <v>52</v>
      </c>
      <c r="S400" s="1">
        <v>32</v>
      </c>
      <c r="T400" s="1">
        <v>72</v>
      </c>
      <c r="U400" s="1">
        <v>29</v>
      </c>
      <c r="V400" s="1">
        <v>61</v>
      </c>
      <c r="W400" s="1">
        <v>31</v>
      </c>
      <c r="X400" s="1">
        <f>VLOOKUP($B400&amp;"__wt",'SegEnds_Xtal_BW#'!$A:$Z,24,FALSE)</f>
        <v>56</v>
      </c>
      <c r="Y400" s="1">
        <f>VLOOKUP($B400&amp;"__wt",'SegEnds_Xtal_BW#'!$A:$Z,25,FALSE)</f>
        <v>47</v>
      </c>
      <c r="Z400" s="1">
        <v>60</v>
      </c>
      <c r="AA400" s="27" t="str">
        <f>VLOOKUP(A400,Classification!A:B,2,FALSE)</f>
        <v>T</v>
      </c>
      <c r="AB400" s="1">
        <f>VLOOKUP(A400,'SegEnds_NonXtal_Prot#'!A:AL,10,FALSE)-VLOOKUP(A400,'SegEnds_NonXtal_Prot#'!A:AL,7,FALSE)</f>
        <v>16</v>
      </c>
      <c r="AC400" s="1" t="e">
        <f>VLOOKUP(A400,'SegEnds_NonXtal_Prot#'!A:AL,13,FALSE)-VLOOKUP(A400,'SegEnds_NonXtal_Prot#'!A:AL,10,FALSE)</f>
        <v>#VALUE!</v>
      </c>
      <c r="AD400" s="1">
        <f>VLOOKUP(A400,'SegEnds_NonXtal_Prot#'!A:AL,16,FALSE)-VLOOKUP(A400,'SegEnds_NonXtal_Prot#'!A:AL,10,FALSE)</f>
        <v>52</v>
      </c>
      <c r="AE400" s="1">
        <f>VLOOKUP(A400,'SegEnds_NonXtal_Prot#'!A:AL,22,FALSE)-VLOOKUP(A400,'SegEnds_NonXtal_Prot#'!A:AL,19,FALSE)</f>
        <v>20</v>
      </c>
      <c r="AF400" s="1" t="e">
        <f>VLOOKUP(A400,'SegEnds_NonXtal_Prot#'!A:AL,28,FALSE)-VLOOKUP(A400,'SegEnds_NonXtal_Prot#'!A:AL,25,FALSE)</f>
        <v>#VALUE!</v>
      </c>
      <c r="AG400" s="1">
        <f>VLOOKUP(A400,'SegEnds_NonXtal_Prot#'!A:AL,28,FALSE)-VLOOKUP(A400,'SegEnds_NonXtal_Prot#'!A:AL,22,FALSE)</f>
        <v>58</v>
      </c>
      <c r="AH400" s="1">
        <f>VLOOKUP(A400,'SegEnds_NonXtal_Prot#'!A:AL,31,FALSE)-VLOOKUP(A400,'SegEnds_NonXtal_Prot#'!A:AL,28,FALSE)</f>
        <v>53</v>
      </c>
      <c r="AI400" s="1">
        <f>VLOOKUP(A400,'SegEnds_NonXtal_Prot#'!A:AL,34,FALSE)-VLOOKUP(A400,'SegEnds_NonXtal_Prot#'!A:AL,31,FALSE)</f>
        <v>35</v>
      </c>
      <c r="AJ400" s="1" t="str">
        <f>IF(ISERROR(MATCH(A400,'SegEnds_Xtal_Prot#'!B:B, 0)), "NoXtal", "Xtal")</f>
        <v>NoXtal</v>
      </c>
    </row>
    <row r="401" spans="1:36" x14ac:dyDescent="0.2">
      <c r="A401" s="4" t="s">
        <v>474</v>
      </c>
      <c r="B401" s="4" t="str">
        <f>VLOOKUP(A401,Xtal_Templ!A:B,2,FALSE)</f>
        <v>cxcr4_human</v>
      </c>
      <c r="C401" s="5">
        <v>32</v>
      </c>
      <c r="D401" s="4">
        <v>62</v>
      </c>
      <c r="E401" s="4">
        <f>VLOOKUP($B401&amp;"__wt",'SegEnds_Xtal_BW#'!$A:$Z,5,FALSE)</f>
        <v>48</v>
      </c>
      <c r="F401" s="4">
        <f>VLOOKUP($B401&amp;"__wt",'SegEnds_Xtal_BW#'!$A:$Z,6,FALSE)</f>
        <v>51</v>
      </c>
      <c r="G401" s="4">
        <v>39</v>
      </c>
      <c r="H401" s="11">
        <v>66</v>
      </c>
      <c r="I401" s="4" t="s">
        <v>23</v>
      </c>
      <c r="J401" s="4" t="s">
        <v>23</v>
      </c>
      <c r="K401" s="11">
        <v>24</v>
      </c>
      <c r="L401" s="4">
        <f>VLOOKUP($B401&amp;"__wt",'SegEnds_Xtal_BW#'!$A:$Z,12,FALSE)</f>
        <v>56</v>
      </c>
      <c r="M401" s="4">
        <f>VLOOKUP($B401&amp;"__wt",'SegEnds_Xtal_BW#'!$A:$Z,13,FALSE)</f>
        <v>50</v>
      </c>
      <c r="N401" s="11">
        <v>57</v>
      </c>
      <c r="O401" s="90">
        <v>38</v>
      </c>
      <c r="P401" s="4">
        <f>VLOOKUP($B401&amp;"__wt",'SegEnds_Xtal_BW#'!$A:$Z,16,FALSE)</f>
        <v>64</v>
      </c>
      <c r="Q401" s="4">
        <f>VLOOKUP($B401&amp;"__wt",'SegEnds_Xtal_BW#'!$A:$Z,17,FALSE)</f>
        <v>50</v>
      </c>
      <c r="R401" s="4">
        <f>VLOOKUP($B401&amp;"__wt",'SegEnds_Xtal_BW#'!$A:$Z,18,FALSE)</f>
        <v>52</v>
      </c>
      <c r="S401" s="4">
        <v>32</v>
      </c>
      <c r="T401" s="4">
        <v>72</v>
      </c>
      <c r="U401" s="4">
        <v>29</v>
      </c>
      <c r="V401" s="4">
        <v>61</v>
      </c>
      <c r="W401" s="4">
        <v>31</v>
      </c>
      <c r="X401" s="4">
        <f>VLOOKUP($B401&amp;"__wt",'SegEnds_Xtal_BW#'!$A:$Z,24,FALSE)</f>
        <v>56</v>
      </c>
      <c r="Y401" s="4">
        <f>VLOOKUP($B401&amp;"__wt",'SegEnds_Xtal_BW#'!$A:$Z,25,FALSE)</f>
        <v>47</v>
      </c>
      <c r="Z401" s="4">
        <v>60</v>
      </c>
      <c r="AA401" s="27" t="str">
        <f>VLOOKUP(A401,Classification!A:B,2,FALSE)</f>
        <v>T</v>
      </c>
      <c r="AB401" s="4">
        <f>VLOOKUP(A401,'SegEnds_NonXtal_Prot#'!A:AL,10,FALSE)-VLOOKUP(A401,'SegEnds_NonXtal_Prot#'!A:AL,7,FALSE)</f>
        <v>16</v>
      </c>
      <c r="AC401" s="4" t="e">
        <f>VLOOKUP(A401,'SegEnds_NonXtal_Prot#'!A:AL,13,FALSE)-VLOOKUP(A401,'SegEnds_NonXtal_Prot#'!A:AL,10,FALSE)</f>
        <v>#VALUE!</v>
      </c>
      <c r="AD401" s="4">
        <f>VLOOKUP(A401,'SegEnds_NonXtal_Prot#'!A:AL,16,FALSE)-VLOOKUP(A401,'SegEnds_NonXtal_Prot#'!A:AL,10,FALSE)</f>
        <v>48</v>
      </c>
      <c r="AE401" s="1">
        <f>VLOOKUP(A401,'SegEnds_NonXtal_Prot#'!A:AL,22,FALSE)-VLOOKUP(A401,'SegEnds_NonXtal_Prot#'!A:AL,19,FALSE)</f>
        <v>20</v>
      </c>
      <c r="AF401" s="4" t="e">
        <f>VLOOKUP(A401,'SegEnds_NonXtal_Prot#'!A:AL,28,FALSE)-VLOOKUP(A401,'SegEnds_NonXtal_Prot#'!A:AL,25,FALSE)</f>
        <v>#VALUE!</v>
      </c>
      <c r="AG401" s="1">
        <f>VLOOKUP(A401,'SegEnds_NonXtal_Prot#'!A:AL,28,FALSE)-VLOOKUP(A401,'SegEnds_NonXtal_Prot#'!A:AL,22,FALSE)</f>
        <v>54</v>
      </c>
      <c r="AH401" s="4">
        <f>VLOOKUP(A401,'SegEnds_NonXtal_Prot#'!A:AL,31,FALSE)-VLOOKUP(A401,'SegEnds_NonXtal_Prot#'!A:AL,28,FALSE)</f>
        <v>53</v>
      </c>
      <c r="AI401" s="4">
        <f>VLOOKUP(A401,'SegEnds_NonXtal_Prot#'!A:AL,34,FALSE)-VLOOKUP(A401,'SegEnds_NonXtal_Prot#'!A:AL,31,FALSE)</f>
        <v>35</v>
      </c>
      <c r="AJ401" s="1" t="str">
        <f>IF(ISERROR(MATCH(A401,'SegEnds_Xtal_Prot#'!B:B, 0)), "NoXtal", "Xtal")</f>
        <v>NoXtal</v>
      </c>
    </row>
    <row r="402" spans="1:36" x14ac:dyDescent="0.2">
      <c r="A402" s="1" t="s">
        <v>475</v>
      </c>
      <c r="B402" s="1" t="str">
        <f>VLOOKUP(A402,Xtal_Templ!A:B,2,FALSE)</f>
        <v>agtr1_human</v>
      </c>
      <c r="C402" s="5">
        <v>32</v>
      </c>
      <c r="D402" s="1">
        <v>62</v>
      </c>
      <c r="E402" s="1">
        <f>VLOOKUP($B402&amp;"__wt",'SegEnds_Xtal_BW#'!$A:$Z,5,FALSE)</f>
        <v>48</v>
      </c>
      <c r="F402" s="1">
        <f>VLOOKUP($B402&amp;"__wt",'SegEnds_Xtal_BW#'!$A:$Z,6,FALSE)</f>
        <v>51</v>
      </c>
      <c r="G402" s="1">
        <v>39</v>
      </c>
      <c r="H402" s="12">
        <v>67</v>
      </c>
      <c r="I402" s="1" t="s">
        <v>23</v>
      </c>
      <c r="J402" s="1" t="s">
        <v>23</v>
      </c>
      <c r="K402" s="12">
        <v>21</v>
      </c>
      <c r="L402" s="1">
        <f>VLOOKUP($B402&amp;"__wt",'SegEnds_Xtal_BW#'!$A:$Z,12,FALSE)</f>
        <v>56</v>
      </c>
      <c r="M402" s="1">
        <f>VLOOKUP($B402&amp;"__wt",'SegEnds_Xtal_BW#'!$A:$Z,13,FALSE)</f>
        <v>50</v>
      </c>
      <c r="N402" s="12">
        <v>57</v>
      </c>
      <c r="O402" s="89">
        <v>38</v>
      </c>
      <c r="P402" s="1">
        <f>VLOOKUP($B402&amp;"__wt",'SegEnds_Xtal_BW#'!$A:$Z,16,FALSE)</f>
        <v>64</v>
      </c>
      <c r="Q402" s="1">
        <f>VLOOKUP($B402&amp;"__wt",'SegEnds_Xtal_BW#'!$A:$Z,17,FALSE)</f>
        <v>50</v>
      </c>
      <c r="R402" s="1">
        <f>VLOOKUP($B402&amp;"__wt",'SegEnds_Xtal_BW#'!$A:$Z,18,FALSE)</f>
        <v>52</v>
      </c>
      <c r="S402" s="1">
        <v>32</v>
      </c>
      <c r="T402" s="1">
        <v>72</v>
      </c>
      <c r="U402" s="1">
        <v>29</v>
      </c>
      <c r="V402" s="1">
        <v>61</v>
      </c>
      <c r="W402" s="1">
        <v>31</v>
      </c>
      <c r="X402" s="1">
        <f>VLOOKUP($B402&amp;"__wt",'SegEnds_Xtal_BW#'!$A:$Z,24,FALSE)</f>
        <v>56</v>
      </c>
      <c r="Y402" s="1">
        <f>VLOOKUP($B402&amp;"__wt",'SegEnds_Xtal_BW#'!$A:$Z,25,FALSE)</f>
        <v>47</v>
      </c>
      <c r="Z402" s="1">
        <v>60</v>
      </c>
      <c r="AA402" s="27" t="str">
        <f>VLOOKUP(A402,Classification!A:B,2,FALSE)</f>
        <v>T</v>
      </c>
      <c r="AB402" s="1">
        <f>VLOOKUP(A402,'SegEnds_NonXtal_Prot#'!A:AL,10,FALSE)-VLOOKUP(A402,'SegEnds_NonXtal_Prot#'!A:AL,7,FALSE)</f>
        <v>16</v>
      </c>
      <c r="AC402" s="1" t="e">
        <f>VLOOKUP(A402,'SegEnds_NonXtal_Prot#'!A:AL,13,FALSE)-VLOOKUP(A402,'SegEnds_NonXtal_Prot#'!A:AL,10,FALSE)</f>
        <v>#VALUE!</v>
      </c>
      <c r="AD402" s="1">
        <f>VLOOKUP(A402,'SegEnds_NonXtal_Prot#'!A:AL,16,FALSE)-VLOOKUP(A402,'SegEnds_NonXtal_Prot#'!A:AL,10,FALSE)</f>
        <v>52</v>
      </c>
      <c r="AE402" s="1">
        <f>VLOOKUP(A402,'SegEnds_NonXtal_Prot#'!A:AL,22,FALSE)-VLOOKUP(A402,'SegEnds_NonXtal_Prot#'!A:AL,19,FALSE)</f>
        <v>20</v>
      </c>
      <c r="AF402" s="1" t="e">
        <f>VLOOKUP(A402,'SegEnds_NonXtal_Prot#'!A:AL,28,FALSE)-VLOOKUP(A402,'SegEnds_NonXtal_Prot#'!A:AL,25,FALSE)</f>
        <v>#VALUE!</v>
      </c>
      <c r="AG402" s="1">
        <f>VLOOKUP(A402,'SegEnds_NonXtal_Prot#'!A:AL,28,FALSE)-VLOOKUP(A402,'SegEnds_NonXtal_Prot#'!A:AL,22,FALSE)</f>
        <v>56</v>
      </c>
      <c r="AH402" s="1">
        <f>VLOOKUP(A402,'SegEnds_NonXtal_Prot#'!A:AL,31,FALSE)-VLOOKUP(A402,'SegEnds_NonXtal_Prot#'!A:AL,28,FALSE)</f>
        <v>53</v>
      </c>
      <c r="AI402" s="1">
        <f>VLOOKUP(A402,'SegEnds_NonXtal_Prot#'!A:AL,34,FALSE)-VLOOKUP(A402,'SegEnds_NonXtal_Prot#'!A:AL,31,FALSE)</f>
        <v>36</v>
      </c>
      <c r="AJ402" s="1" t="str">
        <f>IF(ISERROR(MATCH(A402,'SegEnds_Xtal_Prot#'!B:B, 0)), "NoXtal", "Xtal")</f>
        <v>NoXtal</v>
      </c>
    </row>
    <row r="403" spans="1:36" x14ac:dyDescent="0.2">
      <c r="A403" s="1" t="s">
        <v>476</v>
      </c>
      <c r="B403" s="1" t="str">
        <f>VLOOKUP(A403,Xtal_Templ!A:B,2,FALSE)</f>
        <v>5ht1b_human</v>
      </c>
      <c r="C403" s="5">
        <v>32</v>
      </c>
      <c r="D403" s="1">
        <v>62</v>
      </c>
      <c r="E403" s="1">
        <f>VLOOKUP($B403&amp;"__wt",'SegEnds_Xtal_BW#'!$A:$Z,5,FALSE)</f>
        <v>48</v>
      </c>
      <c r="F403" s="1">
        <f>VLOOKUP($B403&amp;"__wt",'SegEnds_Xtal_BW#'!$A:$Z,6,FALSE)</f>
        <v>51</v>
      </c>
      <c r="G403" s="1">
        <v>39</v>
      </c>
      <c r="H403" s="12">
        <v>66</v>
      </c>
      <c r="I403" s="1" t="s">
        <v>23</v>
      </c>
      <c r="J403" s="1" t="s">
        <v>23</v>
      </c>
      <c r="K403" s="12">
        <v>21</v>
      </c>
      <c r="L403" s="1">
        <f>VLOOKUP($B403&amp;"__wt",'SegEnds_Xtal_BW#'!$A:$Z,12,FALSE)</f>
        <v>56</v>
      </c>
      <c r="M403" s="1">
        <f>VLOOKUP($B403&amp;"__wt",'SegEnds_Xtal_BW#'!$A:$Z,13,FALSE)</f>
        <v>50</v>
      </c>
      <c r="N403" s="12">
        <v>57</v>
      </c>
      <c r="O403" s="89">
        <v>38</v>
      </c>
      <c r="P403" s="1">
        <f>VLOOKUP($B403&amp;"__wt",'SegEnds_Xtal_BW#'!$A:$Z,16,FALSE)</f>
        <v>63</v>
      </c>
      <c r="Q403" s="1">
        <f>VLOOKUP($B403&amp;"__wt",'SegEnds_Xtal_BW#'!$A:$Z,17,FALSE)</f>
        <v>50</v>
      </c>
      <c r="R403" s="1">
        <f>VLOOKUP($B403&amp;"__wt",'SegEnds_Xtal_BW#'!$A:$Z,18,FALSE)</f>
        <v>52</v>
      </c>
      <c r="S403" s="1">
        <v>32</v>
      </c>
      <c r="T403" s="1">
        <v>72</v>
      </c>
      <c r="U403" s="1">
        <v>29</v>
      </c>
      <c r="V403" s="1">
        <v>61</v>
      </c>
      <c r="W403" s="1">
        <v>31</v>
      </c>
      <c r="X403" s="1">
        <f>VLOOKUP($B403&amp;"__wt",'SegEnds_Xtal_BW#'!$A:$Z,24,FALSE)</f>
        <v>56</v>
      </c>
      <c r="Y403" s="1">
        <f>VLOOKUP($B403&amp;"__wt",'SegEnds_Xtal_BW#'!$A:$Z,25,FALSE)</f>
        <v>47</v>
      </c>
      <c r="Z403" s="1">
        <v>60</v>
      </c>
      <c r="AA403" s="27" t="str">
        <f>VLOOKUP(A403,Classification!A:B,2,FALSE)</f>
        <v>T</v>
      </c>
      <c r="AB403" s="1">
        <f>VLOOKUP(A403,'SegEnds_NonXtal_Prot#'!A:AL,10,FALSE)-VLOOKUP(A403,'SegEnds_NonXtal_Prot#'!A:AL,7,FALSE)</f>
        <v>16</v>
      </c>
      <c r="AC403" s="1" t="e">
        <f>VLOOKUP(A403,'SegEnds_NonXtal_Prot#'!A:AL,13,FALSE)-VLOOKUP(A403,'SegEnds_NonXtal_Prot#'!A:AL,10,FALSE)</f>
        <v>#VALUE!</v>
      </c>
      <c r="AD403" s="1">
        <f>VLOOKUP(A403,'SegEnds_NonXtal_Prot#'!A:AL,16,FALSE)-VLOOKUP(A403,'SegEnds_NonXtal_Prot#'!A:AL,10,FALSE)</f>
        <v>51</v>
      </c>
      <c r="AE403" s="1">
        <f>VLOOKUP(A403,'SegEnds_NonXtal_Prot#'!A:AL,22,FALSE)-VLOOKUP(A403,'SegEnds_NonXtal_Prot#'!A:AL,19,FALSE)</f>
        <v>20</v>
      </c>
      <c r="AF403" s="1" t="e">
        <f>VLOOKUP(A403,'SegEnds_NonXtal_Prot#'!A:AL,28,FALSE)-VLOOKUP(A403,'SegEnds_NonXtal_Prot#'!A:AL,25,FALSE)</f>
        <v>#VALUE!</v>
      </c>
      <c r="AG403" s="1">
        <f>VLOOKUP(A403,'SegEnds_NonXtal_Prot#'!A:AL,28,FALSE)-VLOOKUP(A403,'SegEnds_NonXtal_Prot#'!A:AL,22,FALSE)</f>
        <v>53</v>
      </c>
      <c r="AH403" s="1">
        <f>VLOOKUP(A403,'SegEnds_NonXtal_Prot#'!A:AL,31,FALSE)-VLOOKUP(A403,'SegEnds_NonXtal_Prot#'!A:AL,28,FALSE)</f>
        <v>53</v>
      </c>
      <c r="AI403" s="1">
        <f>VLOOKUP(A403,'SegEnds_NonXtal_Prot#'!A:AL,34,FALSE)-VLOOKUP(A403,'SegEnds_NonXtal_Prot#'!A:AL,31,FALSE)</f>
        <v>36</v>
      </c>
      <c r="AJ403" s="1" t="str">
        <f>IF(ISERROR(MATCH(A403,'SegEnds_Xtal_Prot#'!B:B, 0)), "NoXtal", "Xtal")</f>
        <v>NoXtal</v>
      </c>
    </row>
    <row r="404" spans="1:36" x14ac:dyDescent="0.2">
      <c r="A404" s="1" t="s">
        <v>477</v>
      </c>
      <c r="B404" s="1" t="str">
        <f>VLOOKUP(A404,Xtal_Templ!A:B,2,FALSE)</f>
        <v>hrh1_human</v>
      </c>
      <c r="C404" s="5">
        <v>32</v>
      </c>
      <c r="D404" s="1">
        <v>62</v>
      </c>
      <c r="E404" s="1">
        <f>VLOOKUP($B404&amp;"__wt",'SegEnds_Xtal_BW#'!$A:$Z,5,FALSE)</f>
        <v>48</v>
      </c>
      <c r="F404" s="1">
        <f>VLOOKUP($B404&amp;"__wt",'SegEnds_Xtal_BW#'!$A:$Z,6,FALSE)</f>
        <v>51</v>
      </c>
      <c r="G404" s="1">
        <v>39</v>
      </c>
      <c r="H404" s="12">
        <v>66</v>
      </c>
      <c r="I404" s="1" t="s">
        <v>23</v>
      </c>
      <c r="J404" s="1" t="s">
        <v>23</v>
      </c>
      <c r="K404" s="12">
        <v>24</v>
      </c>
      <c r="L404" s="1">
        <f>VLOOKUP($B404&amp;"__wt",'SegEnds_Xtal_BW#'!$A:$Z,12,FALSE)</f>
        <v>56</v>
      </c>
      <c r="M404" s="1">
        <f>VLOOKUP($B404&amp;"__wt",'SegEnds_Xtal_BW#'!$A:$Z,13,FALSE)</f>
        <v>50</v>
      </c>
      <c r="N404" s="12">
        <f>VLOOKUP($B404&amp;"__wt",'SegEnds_Xtal_BW#'!$A:$Z,14,FALSE)</f>
        <v>57</v>
      </c>
      <c r="O404" s="89">
        <v>38</v>
      </c>
      <c r="P404" s="1">
        <f>VLOOKUP($B404&amp;"__wt",'SegEnds_Xtal_BW#'!$A:$Z,16,FALSE)</f>
        <v>62</v>
      </c>
      <c r="Q404" s="1">
        <f>VLOOKUP($B404&amp;"__wt",'SegEnds_Xtal_BW#'!$A:$Z,17,FALSE)</f>
        <v>50</v>
      </c>
      <c r="R404" s="1">
        <f>VLOOKUP($B404&amp;"__wt",'SegEnds_Xtal_BW#'!$A:$Z,18,FALSE)</f>
        <v>52</v>
      </c>
      <c r="S404" s="1">
        <v>32</v>
      </c>
      <c r="T404" s="1">
        <v>72</v>
      </c>
      <c r="U404" s="1">
        <v>29</v>
      </c>
      <c r="V404" s="1">
        <v>61</v>
      </c>
      <c r="W404" s="1">
        <v>31</v>
      </c>
      <c r="X404" s="1">
        <f>VLOOKUP($B404&amp;"__wt",'SegEnds_Xtal_BW#'!$A:$Z,24,FALSE)</f>
        <v>56</v>
      </c>
      <c r="Y404" s="1">
        <f>VLOOKUP($B404&amp;"__wt",'SegEnds_Xtal_BW#'!$A:$Z,25,FALSE)</f>
        <v>47</v>
      </c>
      <c r="Z404" s="1">
        <v>60</v>
      </c>
      <c r="AA404" s="27" t="str">
        <f>VLOOKUP(A404,Classification!A:B,2,FALSE)</f>
        <v>T</v>
      </c>
      <c r="AB404" s="1">
        <f>VLOOKUP(A404,'SegEnds_NonXtal_Prot#'!A:AL,10,FALSE)-VLOOKUP(A404,'SegEnds_NonXtal_Prot#'!A:AL,7,FALSE)</f>
        <v>16</v>
      </c>
      <c r="AC404" s="1" t="e">
        <f>VLOOKUP(A404,'SegEnds_NonXtal_Prot#'!A:AL,13,FALSE)-VLOOKUP(A404,'SegEnds_NonXtal_Prot#'!A:AL,10,FALSE)</f>
        <v>#VALUE!</v>
      </c>
      <c r="AD404" s="1">
        <f>VLOOKUP(A404,'SegEnds_NonXtal_Prot#'!A:AL,16,FALSE)-VLOOKUP(A404,'SegEnds_NonXtal_Prot#'!A:AL,10,FALSE)</f>
        <v>48</v>
      </c>
      <c r="AE404" s="1">
        <f>VLOOKUP(A404,'SegEnds_NonXtal_Prot#'!A:AL,22,FALSE)-VLOOKUP(A404,'SegEnds_NonXtal_Prot#'!A:AL,19,FALSE)</f>
        <v>20</v>
      </c>
      <c r="AF404" s="1" t="e">
        <f>VLOOKUP(A404,'SegEnds_NonXtal_Prot#'!A:AL,28,FALSE)-VLOOKUP(A404,'SegEnds_NonXtal_Prot#'!A:AL,25,FALSE)</f>
        <v>#VALUE!</v>
      </c>
      <c r="AG404" s="1">
        <f>VLOOKUP(A404,'SegEnds_NonXtal_Prot#'!A:AL,28,FALSE)-VLOOKUP(A404,'SegEnds_NonXtal_Prot#'!A:AL,22,FALSE)</f>
        <v>48</v>
      </c>
      <c r="AH404" s="1">
        <f>VLOOKUP(A404,'SegEnds_NonXtal_Prot#'!A:AL,31,FALSE)-VLOOKUP(A404,'SegEnds_NonXtal_Prot#'!A:AL,28,FALSE)</f>
        <v>53</v>
      </c>
      <c r="AI404" s="1">
        <f>VLOOKUP(A404,'SegEnds_NonXtal_Prot#'!A:AL,34,FALSE)-VLOOKUP(A404,'SegEnds_NonXtal_Prot#'!A:AL,31,FALSE)</f>
        <v>36</v>
      </c>
      <c r="AJ404" s="1" t="str">
        <f>IF(ISERROR(MATCH(A404,'SegEnds_Xtal_Prot#'!B:B, 0)), "NoXtal", "Xtal")</f>
        <v>NoXtal</v>
      </c>
    </row>
    <row r="405" spans="1:36" x14ac:dyDescent="0.2">
      <c r="A405" s="1" t="s">
        <v>478</v>
      </c>
      <c r="B405" s="1" t="str">
        <f>VLOOKUP(A405,Xtal_Templ!A:B,2,FALSE)</f>
        <v>ednrb_human</v>
      </c>
      <c r="C405" s="5">
        <v>32</v>
      </c>
      <c r="D405" s="1">
        <v>62</v>
      </c>
      <c r="E405" s="1">
        <f>VLOOKUP($B405&amp;"__wt",'SegEnds_Xtal_BW#'!$A:$Z,5,FALSE)</f>
        <v>48</v>
      </c>
      <c r="F405" s="1">
        <f>VLOOKUP($B405&amp;"__wt",'SegEnds_Xtal_BW#'!$A:$Z,6,FALSE)</f>
        <v>52</v>
      </c>
      <c r="G405" s="1">
        <v>39</v>
      </c>
      <c r="H405" s="12">
        <v>67</v>
      </c>
      <c r="I405" s="1" t="s">
        <v>23</v>
      </c>
      <c r="J405" s="1" t="s">
        <v>23</v>
      </c>
      <c r="K405" s="12">
        <v>21</v>
      </c>
      <c r="L405" s="1">
        <f>VLOOKUP($B405&amp;"__wt",'SegEnds_Xtal_BW#'!$A:$Z,12,FALSE)</f>
        <v>56</v>
      </c>
      <c r="M405" s="1">
        <f>VLOOKUP($B405&amp;"__wt",'SegEnds_Xtal_BW#'!$A:$Z,13,FALSE)</f>
        <v>50</v>
      </c>
      <c r="N405" s="12">
        <v>57</v>
      </c>
      <c r="O405" s="90">
        <v>38</v>
      </c>
      <c r="P405" s="1">
        <f>VLOOKUP($B405&amp;"__wt",'SegEnds_Xtal_BW#'!$A:$Z,16,FALSE)</f>
        <v>64</v>
      </c>
      <c r="Q405" s="1">
        <f>VLOOKUP($B405&amp;"__wt",'SegEnds_Xtal_BW#'!$A:$Z,17,FALSE)</f>
        <v>50</v>
      </c>
      <c r="R405" s="1">
        <f>VLOOKUP($B405&amp;"__wt",'SegEnds_Xtal_BW#'!$A:$Z,18,FALSE)</f>
        <v>52</v>
      </c>
      <c r="S405" s="1">
        <v>32</v>
      </c>
      <c r="T405" s="1">
        <v>72</v>
      </c>
      <c r="U405" s="1">
        <v>29</v>
      </c>
      <c r="V405" s="1">
        <v>61</v>
      </c>
      <c r="W405" s="1">
        <v>31</v>
      </c>
      <c r="X405" s="1">
        <f>VLOOKUP($B405&amp;"__wt",'SegEnds_Xtal_BW#'!$A:$Z,24,FALSE)</f>
        <v>56</v>
      </c>
      <c r="Y405" s="1">
        <f>VLOOKUP($B405&amp;"__wt",'SegEnds_Xtal_BW#'!$A:$Z,25,FALSE)</f>
        <v>47</v>
      </c>
      <c r="Z405" s="1">
        <v>60</v>
      </c>
      <c r="AA405" s="27" t="str">
        <f>VLOOKUP(A405,Classification!A:B,2,FALSE)</f>
        <v>T</v>
      </c>
      <c r="AB405" s="1">
        <f>VLOOKUP(A405,'SegEnds_NonXtal_Prot#'!A:AL,10,FALSE)-VLOOKUP(A405,'SegEnds_NonXtal_Prot#'!A:AL,7,FALSE)</f>
        <v>16</v>
      </c>
      <c r="AC405" s="1" t="e">
        <f>VLOOKUP(A405,'SegEnds_NonXtal_Prot#'!A:AL,13,FALSE)-VLOOKUP(A405,'SegEnds_NonXtal_Prot#'!A:AL,10,FALSE)</f>
        <v>#VALUE!</v>
      </c>
      <c r="AD405" s="1">
        <f>VLOOKUP(A405,'SegEnds_NonXtal_Prot#'!A:AL,16,FALSE)-VLOOKUP(A405,'SegEnds_NonXtal_Prot#'!A:AL,10,FALSE)</f>
        <v>52</v>
      </c>
      <c r="AE405" s="1">
        <f>VLOOKUP(A405,'SegEnds_NonXtal_Prot#'!A:AL,22,FALSE)-VLOOKUP(A405,'SegEnds_NonXtal_Prot#'!A:AL,19,FALSE)</f>
        <v>20</v>
      </c>
      <c r="AF405" s="1" t="e">
        <f>VLOOKUP(A405,'SegEnds_NonXtal_Prot#'!A:AL,28,FALSE)-VLOOKUP(A405,'SegEnds_NonXtal_Prot#'!A:AL,25,FALSE)</f>
        <v>#VALUE!</v>
      </c>
      <c r="AG405" s="1">
        <f>VLOOKUP(A405,'SegEnds_NonXtal_Prot#'!A:AL,28,FALSE)-VLOOKUP(A405,'SegEnds_NonXtal_Prot#'!A:AL,22,FALSE)</f>
        <v>57</v>
      </c>
      <c r="AH405" s="1">
        <f>VLOOKUP(A405,'SegEnds_NonXtal_Prot#'!A:AL,31,FALSE)-VLOOKUP(A405,'SegEnds_NonXtal_Prot#'!A:AL,28,FALSE)</f>
        <v>53</v>
      </c>
      <c r="AI405" s="1">
        <f>VLOOKUP(A405,'SegEnds_NonXtal_Prot#'!A:AL,34,FALSE)-VLOOKUP(A405,'SegEnds_NonXtal_Prot#'!A:AL,31,FALSE)</f>
        <v>36</v>
      </c>
      <c r="AJ405" s="1" t="str">
        <f>IF(ISERROR(MATCH(A405,'SegEnds_Xtal_Prot#'!B:B, 0)), "NoXtal", "Xtal")</f>
        <v>NoXtal</v>
      </c>
    </row>
    <row r="406" spans="1:36" x14ac:dyDescent="0.2">
      <c r="A406" s="1" t="s">
        <v>479</v>
      </c>
      <c r="B406" s="1" t="str">
        <f>VLOOKUP(A406,Xtal_Templ!A:B,2,FALSE)</f>
        <v>agtr1_human</v>
      </c>
      <c r="C406" s="5">
        <v>32</v>
      </c>
      <c r="D406" s="1">
        <v>62</v>
      </c>
      <c r="E406" s="1">
        <f>VLOOKUP($B406&amp;"__wt",'SegEnds_Xtal_BW#'!$A:$Z,5,FALSE)</f>
        <v>48</v>
      </c>
      <c r="F406" s="1">
        <f>VLOOKUP($B406&amp;"__wt",'SegEnds_Xtal_BW#'!$A:$Z,6,FALSE)</f>
        <v>51</v>
      </c>
      <c r="G406" s="1">
        <v>39</v>
      </c>
      <c r="H406" s="12">
        <v>66</v>
      </c>
      <c r="I406" s="1" t="s">
        <v>23</v>
      </c>
      <c r="J406" s="1" t="s">
        <v>23</v>
      </c>
      <c r="K406" s="12">
        <v>18</v>
      </c>
      <c r="L406" s="1">
        <f>VLOOKUP($B406&amp;"__wt",'SegEnds_Xtal_BW#'!$A:$Z,12,FALSE)</f>
        <v>56</v>
      </c>
      <c r="M406" s="1">
        <f>VLOOKUP($B406&amp;"__wt",'SegEnds_Xtal_BW#'!$A:$Z,13,FALSE)</f>
        <v>50</v>
      </c>
      <c r="N406" s="12">
        <v>57</v>
      </c>
      <c r="O406" s="89">
        <v>38</v>
      </c>
      <c r="P406" s="1">
        <f>VLOOKUP($B406&amp;"__wt",'SegEnds_Xtal_BW#'!$A:$Z,16,FALSE)</f>
        <v>64</v>
      </c>
      <c r="Q406" s="1">
        <f>VLOOKUP($B406&amp;"__wt",'SegEnds_Xtal_BW#'!$A:$Z,17,FALSE)</f>
        <v>50</v>
      </c>
      <c r="R406" s="1">
        <f>VLOOKUP($B406&amp;"__wt",'SegEnds_Xtal_BW#'!$A:$Z,18,FALSE)</f>
        <v>52</v>
      </c>
      <c r="S406" s="1">
        <v>32</v>
      </c>
      <c r="T406" s="1">
        <v>72</v>
      </c>
      <c r="U406" s="1">
        <v>29</v>
      </c>
      <c r="V406" s="1">
        <v>61</v>
      </c>
      <c r="W406" s="1">
        <v>31</v>
      </c>
      <c r="X406" s="1">
        <f>VLOOKUP($B406&amp;"__wt",'SegEnds_Xtal_BW#'!$A:$Z,24,FALSE)</f>
        <v>56</v>
      </c>
      <c r="Y406" s="1">
        <f>VLOOKUP($B406&amp;"__wt",'SegEnds_Xtal_BW#'!$A:$Z,25,FALSE)</f>
        <v>47</v>
      </c>
      <c r="Z406" s="1">
        <v>60</v>
      </c>
      <c r="AA406" s="27" t="str">
        <f>VLOOKUP(A406,Classification!A:B,2,FALSE)</f>
        <v>T</v>
      </c>
      <c r="AB406" s="1">
        <f>VLOOKUP(A406,'SegEnds_NonXtal_Prot#'!A:AL,10,FALSE)-VLOOKUP(A406,'SegEnds_NonXtal_Prot#'!A:AL,7,FALSE)</f>
        <v>16</v>
      </c>
      <c r="AC406" s="1" t="e">
        <f>VLOOKUP(A406,'SegEnds_NonXtal_Prot#'!A:AL,13,FALSE)-VLOOKUP(A406,'SegEnds_NonXtal_Prot#'!A:AL,10,FALSE)</f>
        <v>#VALUE!</v>
      </c>
      <c r="AD406" s="1">
        <f>VLOOKUP(A406,'SegEnds_NonXtal_Prot#'!A:AL,16,FALSE)-VLOOKUP(A406,'SegEnds_NonXtal_Prot#'!A:AL,10,FALSE)</f>
        <v>52</v>
      </c>
      <c r="AE406" s="1">
        <f>VLOOKUP(A406,'SegEnds_NonXtal_Prot#'!A:AL,22,FALSE)-VLOOKUP(A406,'SegEnds_NonXtal_Prot#'!A:AL,19,FALSE)</f>
        <v>20</v>
      </c>
      <c r="AF406" s="1" t="e">
        <f>VLOOKUP(A406,'SegEnds_NonXtal_Prot#'!A:AL,28,FALSE)-VLOOKUP(A406,'SegEnds_NonXtal_Prot#'!A:AL,25,FALSE)</f>
        <v>#VALUE!</v>
      </c>
      <c r="AG406" s="1">
        <f>VLOOKUP(A406,'SegEnds_NonXtal_Prot#'!A:AL,28,FALSE)-VLOOKUP(A406,'SegEnds_NonXtal_Prot#'!A:AL,22,FALSE)</f>
        <v>57</v>
      </c>
      <c r="AH406" s="1">
        <f>VLOOKUP(A406,'SegEnds_NonXtal_Prot#'!A:AL,31,FALSE)-VLOOKUP(A406,'SegEnds_NonXtal_Prot#'!A:AL,28,FALSE)</f>
        <v>53</v>
      </c>
      <c r="AI406" s="1">
        <f>VLOOKUP(A406,'SegEnds_NonXtal_Prot#'!A:AL,34,FALSE)-VLOOKUP(A406,'SegEnds_NonXtal_Prot#'!A:AL,31,FALSE)</f>
        <v>36</v>
      </c>
      <c r="AJ406" s="1" t="str">
        <f>IF(ISERROR(MATCH(A406,'SegEnds_Xtal_Prot#'!B:B, 0)), "NoXtal", "Xtal")</f>
        <v>NoXtal</v>
      </c>
    </row>
    <row r="407" spans="1:36" x14ac:dyDescent="0.2">
      <c r="A407" s="1" t="s">
        <v>480</v>
      </c>
      <c r="B407" s="1" t="str">
        <f>VLOOKUP(A407,Xtal_Templ!A:B,2,FALSE)</f>
        <v>agtr1_human</v>
      </c>
      <c r="C407" s="5">
        <v>32</v>
      </c>
      <c r="D407" s="1">
        <v>62</v>
      </c>
      <c r="E407" s="1">
        <f>VLOOKUP($B407&amp;"__wt",'SegEnds_Xtal_BW#'!$A:$Z,5,FALSE)</f>
        <v>48</v>
      </c>
      <c r="F407" s="1">
        <f>VLOOKUP($B407&amp;"__wt",'SegEnds_Xtal_BW#'!$A:$Z,6,FALSE)</f>
        <v>51</v>
      </c>
      <c r="G407" s="1">
        <v>39</v>
      </c>
      <c r="H407" s="12">
        <v>66</v>
      </c>
      <c r="I407" s="1" t="s">
        <v>23</v>
      </c>
      <c r="J407" s="1" t="s">
        <v>23</v>
      </c>
      <c r="K407" s="12">
        <v>18</v>
      </c>
      <c r="L407" s="1">
        <f>VLOOKUP($B407&amp;"__wt",'SegEnds_Xtal_BW#'!$A:$Z,12,FALSE)</f>
        <v>56</v>
      </c>
      <c r="M407" s="1">
        <f>VLOOKUP($B407&amp;"__wt",'SegEnds_Xtal_BW#'!$A:$Z,13,FALSE)</f>
        <v>50</v>
      </c>
      <c r="N407" s="12">
        <v>57</v>
      </c>
      <c r="O407" s="90">
        <v>38</v>
      </c>
      <c r="P407" s="1">
        <f>VLOOKUP($B407&amp;"__wt",'SegEnds_Xtal_BW#'!$A:$Z,16,FALSE)</f>
        <v>64</v>
      </c>
      <c r="Q407" s="1">
        <f>VLOOKUP($B407&amp;"__wt",'SegEnds_Xtal_BW#'!$A:$Z,17,FALSE)</f>
        <v>50</v>
      </c>
      <c r="R407" s="1">
        <f>VLOOKUP($B407&amp;"__wt",'SegEnds_Xtal_BW#'!$A:$Z,18,FALSE)</f>
        <v>52</v>
      </c>
      <c r="S407" s="1">
        <v>32</v>
      </c>
      <c r="T407" s="1">
        <v>72</v>
      </c>
      <c r="U407" s="1">
        <v>29</v>
      </c>
      <c r="V407" s="1">
        <v>61</v>
      </c>
      <c r="W407" s="1">
        <v>31</v>
      </c>
      <c r="X407" s="1">
        <f>VLOOKUP($B407&amp;"__wt",'SegEnds_Xtal_BW#'!$A:$Z,24,FALSE)</f>
        <v>56</v>
      </c>
      <c r="Y407" s="1">
        <f>VLOOKUP($B407&amp;"__wt",'SegEnds_Xtal_BW#'!$A:$Z,25,FALSE)</f>
        <v>47</v>
      </c>
      <c r="Z407" s="1">
        <v>60</v>
      </c>
      <c r="AA407" s="27" t="str">
        <f>VLOOKUP(A407,Classification!A:B,2,FALSE)</f>
        <v>T</v>
      </c>
      <c r="AB407" s="1">
        <f>VLOOKUP(A407,'SegEnds_NonXtal_Prot#'!A:AL,10,FALSE)-VLOOKUP(A407,'SegEnds_NonXtal_Prot#'!A:AL,7,FALSE)</f>
        <v>16</v>
      </c>
      <c r="AC407" s="1" t="e">
        <f>VLOOKUP(A407,'SegEnds_NonXtal_Prot#'!A:AL,13,FALSE)-VLOOKUP(A407,'SegEnds_NonXtal_Prot#'!A:AL,10,FALSE)</f>
        <v>#VALUE!</v>
      </c>
      <c r="AD407" s="1">
        <f>VLOOKUP(A407,'SegEnds_NonXtal_Prot#'!A:AL,16,FALSE)-VLOOKUP(A407,'SegEnds_NonXtal_Prot#'!A:AL,10,FALSE)</f>
        <v>52</v>
      </c>
      <c r="AE407" s="1">
        <f>VLOOKUP(A407,'SegEnds_NonXtal_Prot#'!A:AL,22,FALSE)-VLOOKUP(A407,'SegEnds_NonXtal_Prot#'!A:AL,19,FALSE)</f>
        <v>20</v>
      </c>
      <c r="AF407" s="1" t="e">
        <f>VLOOKUP(A407,'SegEnds_NonXtal_Prot#'!A:AL,28,FALSE)-VLOOKUP(A407,'SegEnds_NonXtal_Prot#'!A:AL,25,FALSE)</f>
        <v>#VALUE!</v>
      </c>
      <c r="AG407" s="1">
        <f>VLOOKUP(A407,'SegEnds_NonXtal_Prot#'!A:AL,28,FALSE)-VLOOKUP(A407,'SegEnds_NonXtal_Prot#'!A:AL,22,FALSE)</f>
        <v>54</v>
      </c>
      <c r="AH407" s="1">
        <f>VLOOKUP(A407,'SegEnds_NonXtal_Prot#'!A:AL,31,FALSE)-VLOOKUP(A407,'SegEnds_NonXtal_Prot#'!A:AL,28,FALSE)</f>
        <v>53</v>
      </c>
      <c r="AI407" s="1">
        <f>VLOOKUP(A407,'SegEnds_NonXtal_Prot#'!A:AL,34,FALSE)-VLOOKUP(A407,'SegEnds_NonXtal_Prot#'!A:AL,31,FALSE)</f>
        <v>36</v>
      </c>
      <c r="AJ407" s="1" t="str">
        <f>IF(ISERROR(MATCH(A407,'SegEnds_Xtal_Prot#'!B:B, 0)), "NoXtal", "Xtal")</f>
        <v>NoXtal</v>
      </c>
    </row>
  </sheetData>
  <sortState ref="A2:AJ406">
    <sortCondition ref="AA2:AA406"/>
    <sortCondition ref="AE2:AE406"/>
    <sortCondition ref="A2:A406"/>
  </sortState>
  <customSheetViews>
    <customSheetView guid="{3E3401AF-8459-8641-BD70-AD04F80E86ED}" scale="135">
      <pane ySplit="1" topLeftCell="A2" activePane="bottomLeft" state="frozenSplit"/>
      <selection pane="bottomLeft" activeCell="S7" sqref="S7"/>
      <pageMargins left="0.7" right="0.7" top="0.75" bottom="0.75" header="0.3" footer="0.3"/>
      <pageSetup paperSize="9" orientation="portrait" horizontalDpi="0" verticalDpi="0"/>
    </customSheetView>
  </customSheetViews>
  <conditionalFormatting sqref="AH1:AH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1:AJ1048576">
    <cfRule type="cellIs" dxfId="25" priority="2" operator="equal">
      <formula>"Xtal"</formula>
    </cfRule>
  </conditionalFormatting>
  <conditionalFormatting sqref="AE1:AE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BH409"/>
  <sheetViews>
    <sheetView tabSelected="1" zoomScale="120" zoomScaleNormal="120" zoomScalePageLayoutView="120" workbookViewId="0">
      <pane ySplit="1" topLeftCell="A7" activePane="bottomLeft" state="frozenSplit"/>
      <selection pane="bottomLeft" activeCell="X27" sqref="X27"/>
    </sheetView>
  </sheetViews>
  <sheetFormatPr baseColWidth="10" defaultColWidth="10.83203125" defaultRowHeight="16" x14ac:dyDescent="0.2"/>
  <cols>
    <col min="1" max="1" width="12.83203125" style="1" customWidth="1"/>
    <col min="2" max="2" width="11.6640625" style="1" customWidth="1"/>
    <col min="3" max="8" width="5.1640625" style="1" customWidth="1"/>
    <col min="9" max="9" width="3.6640625" style="1" customWidth="1"/>
    <col min="10" max="11" width="5.1640625" style="1" customWidth="1"/>
    <col min="12" max="14" width="4.1640625" style="1" customWidth="1"/>
    <col min="15" max="17" width="5.1640625" style="1" customWidth="1"/>
    <col min="18" max="19" width="4.1640625" style="1" customWidth="1"/>
    <col min="20" max="20" width="5" style="89" customWidth="1"/>
    <col min="21" max="21" width="5.1640625" style="12" customWidth="1"/>
    <col min="22" max="38" width="5.1640625" style="1" customWidth="1"/>
    <col min="39" max="39" width="3.1640625" style="27" bestFit="1" customWidth="1"/>
    <col min="40" max="40" width="8" style="5" customWidth="1"/>
    <col min="41" max="41" width="6.83203125" style="1" customWidth="1"/>
    <col min="42" max="43" width="6.33203125" style="1" customWidth="1"/>
    <col min="44" max="45" width="6.83203125" style="1" customWidth="1"/>
    <col min="46" max="47" width="6.33203125" style="1" customWidth="1"/>
    <col min="48" max="49" width="6.83203125" style="1" customWidth="1"/>
    <col min="50" max="50" width="5.83203125" style="1" bestFit="1" customWidth="1"/>
    <col min="51" max="52" width="5.83203125" style="1" customWidth="1"/>
    <col min="53" max="53" width="6.83203125" style="1" customWidth="1"/>
    <col min="54" max="54" width="5" style="5" bestFit="1" customWidth="1"/>
    <col min="55" max="55" width="5.5" style="12" customWidth="1"/>
    <col min="56" max="58" width="5" style="1" customWidth="1"/>
    <col min="59" max="59" width="3" style="1" customWidth="1"/>
    <col min="60" max="16384" width="10.83203125" style="1"/>
  </cols>
  <sheetData>
    <row r="1" spans="1:59" s="8" customFormat="1" x14ac:dyDescent="0.2">
      <c r="A1" s="8" t="s">
        <v>31</v>
      </c>
      <c r="B1" s="36" t="s">
        <v>1204</v>
      </c>
      <c r="C1" s="8" t="s">
        <v>1061</v>
      </c>
      <c r="D1" s="42" t="s">
        <v>1082</v>
      </c>
      <c r="E1" s="8" t="s">
        <v>1062</v>
      </c>
      <c r="F1" s="42" t="s">
        <v>1078</v>
      </c>
      <c r="G1" s="42" t="s">
        <v>1083</v>
      </c>
      <c r="H1" s="42" t="s">
        <v>1079</v>
      </c>
      <c r="I1" s="42" t="s">
        <v>1063</v>
      </c>
      <c r="J1" s="42" t="s">
        <v>1084</v>
      </c>
      <c r="K1" s="8" t="s">
        <v>1064</v>
      </c>
      <c r="L1" s="8" t="s">
        <v>1080</v>
      </c>
      <c r="M1" s="42" t="s">
        <v>1085</v>
      </c>
      <c r="N1" s="8" t="s">
        <v>1081</v>
      </c>
      <c r="O1" s="8" t="s">
        <v>1065</v>
      </c>
      <c r="P1" s="42" t="s">
        <v>1086</v>
      </c>
      <c r="Q1" s="8" t="s">
        <v>1066</v>
      </c>
      <c r="R1" s="8" t="s">
        <v>1093</v>
      </c>
      <c r="S1" s="42" t="s">
        <v>1092</v>
      </c>
      <c r="T1" s="88" t="s">
        <v>1094</v>
      </c>
      <c r="U1" s="102" t="s">
        <v>1067</v>
      </c>
      <c r="V1" s="42" t="s">
        <v>1087</v>
      </c>
      <c r="W1" s="8" t="s">
        <v>1068</v>
      </c>
      <c r="X1" s="8" t="s">
        <v>1096</v>
      </c>
      <c r="Y1" s="42" t="s">
        <v>1095</v>
      </c>
      <c r="Z1" s="8" t="s">
        <v>1097</v>
      </c>
      <c r="AA1" s="8" t="s">
        <v>1069</v>
      </c>
      <c r="AB1" s="42" t="s">
        <v>1088</v>
      </c>
      <c r="AC1" s="8" t="s">
        <v>1070</v>
      </c>
      <c r="AD1" s="8" t="s">
        <v>1071</v>
      </c>
      <c r="AE1" s="42" t="s">
        <v>1089</v>
      </c>
      <c r="AF1" s="8" t="s">
        <v>1072</v>
      </c>
      <c r="AG1" s="8" t="s">
        <v>1073</v>
      </c>
      <c r="AH1" s="42" t="s">
        <v>1090</v>
      </c>
      <c r="AI1" s="8" t="s">
        <v>1074</v>
      </c>
      <c r="AJ1" s="8" t="s">
        <v>1075</v>
      </c>
      <c r="AK1" s="42" t="s">
        <v>1091</v>
      </c>
      <c r="AL1" s="8" t="s">
        <v>1076</v>
      </c>
      <c r="AM1" s="26" t="s">
        <v>99</v>
      </c>
      <c r="AN1" s="26" t="s">
        <v>1167</v>
      </c>
      <c r="AO1" s="8" t="s">
        <v>1227</v>
      </c>
      <c r="AP1" s="8" t="s">
        <v>1229</v>
      </c>
      <c r="AQ1" s="8" t="s">
        <v>1230</v>
      </c>
      <c r="AR1" s="8" t="s">
        <v>1231</v>
      </c>
      <c r="AS1" s="8" t="s">
        <v>1232</v>
      </c>
      <c r="AT1" s="8" t="s">
        <v>1233</v>
      </c>
      <c r="AU1" s="8" t="s">
        <v>1234</v>
      </c>
      <c r="AV1" s="8" t="s">
        <v>1235</v>
      </c>
      <c r="AW1" s="8" t="s">
        <v>1236</v>
      </c>
      <c r="AX1" s="8" t="s">
        <v>1237</v>
      </c>
      <c r="AY1" s="8" t="s">
        <v>1238</v>
      </c>
      <c r="AZ1" s="8" t="s">
        <v>1239</v>
      </c>
      <c r="BA1" s="8" t="s">
        <v>1311</v>
      </c>
      <c r="BB1" s="26" t="s">
        <v>1241</v>
      </c>
      <c r="BC1" s="102" t="s">
        <v>1281</v>
      </c>
      <c r="BD1" s="8" t="s">
        <v>1241</v>
      </c>
      <c r="BE1" s="8" t="s">
        <v>1243</v>
      </c>
      <c r="BF1" s="8" t="s">
        <v>1240</v>
      </c>
      <c r="BG1" s="8" t="s">
        <v>1312</v>
      </c>
    </row>
    <row r="2" spans="1:59" s="3" customFormat="1" x14ac:dyDescent="0.2">
      <c r="A2" s="3" t="s">
        <v>159</v>
      </c>
      <c r="B2" s="3" t="str">
        <f>LOWER(VLOOKUP(A2,Xtal_Templ!A:B,2,FALSE))</f>
        <v>agtr2_human</v>
      </c>
      <c r="C2" s="3">
        <f>VLOOKUP($A2,'SegEnds_NonXtal_BW#'!$A:$Z,3,FALSE)+D2-50</f>
        <v>45</v>
      </c>
      <c r="D2" s="3">
        <v>62</v>
      </c>
      <c r="E2" s="3">
        <f>IF(ISERROR(VLOOKUP($A2,'SegEnds_NonXtal_BW#'!$A:$Z,4,FALSE)+VLOOKUP($A2,A:AL,4,FALSE)-50),"-",(VLOOKUP($A2,'SegEnds_NonXtal_BW#'!$A:$Z,4,FALSE)+VLOOKUP($A2,A:AL,4,FALSE)-50))</f>
        <v>72</v>
      </c>
      <c r="F2" s="3" t="str">
        <f>IF(ISERROR(VLOOKUP($A2,'SegEnds_NonXtal_BW#'!$A:$Z,5,FALSE)+VLOOKUP($A2,A:AL,7,FALSE)-50),"-",(VLOOKUP($A2,'SegEnds_NonXtal_BW#'!$A:$Z,5,FALSE)+VLOOKUP($A2,A:AL,7,FALSE)-50))</f>
        <v>-</v>
      </c>
      <c r="G2" s="3" t="s">
        <v>23</v>
      </c>
      <c r="H2" s="3" t="str">
        <f>IF(ISERROR(VLOOKUP($A2,'SegEnds_NonXtal_BW#'!$A:$Z,6,FALSE)+VLOOKUP($A2,A:AL,7,FALSE)-50),"-",(VLOOKUP($A2,'SegEnds_NonXtal_BW#'!$A:$Z,6,FALSE)+VLOOKUP($A2,A:AL,7,FALSE)-50))</f>
        <v>-</v>
      </c>
      <c r="I2" s="3">
        <f>VLOOKUP($A2,'SegEnds_NonXtal_BW#'!$A:$Z,7,FALSE)+J2-50</f>
        <v>78</v>
      </c>
      <c r="J2" s="3">
        <v>90</v>
      </c>
      <c r="K2" s="3">
        <f>VLOOKUP($A2,'SegEnds_NonXtal_BW#'!$A:$Z,8,FALSE)+VLOOKUP($A2,A:AL,10,FALSE)-50</f>
        <v>106</v>
      </c>
      <c r="L2" s="3">
        <f>M2-1</f>
        <v>109</v>
      </c>
      <c r="M2" s="3">
        <v>110</v>
      </c>
      <c r="N2" s="3">
        <f>M2+2</f>
        <v>112</v>
      </c>
      <c r="O2" s="3">
        <f>N2+1</f>
        <v>113</v>
      </c>
      <c r="P2" s="3">
        <v>142</v>
      </c>
      <c r="Q2" s="3">
        <f>VLOOKUP($A2,'SegEnds_NonXtal_BW#'!$A:$Z,12,FALSE)+VLOOKUP($A2,A:AL,16,FALSE)-50</f>
        <v>148</v>
      </c>
      <c r="R2" s="3">
        <f>IF(ISERROR(VLOOKUP($A2,'SegEnds_NonXtal_BW#'!$A:$Z,13,FALSE)+VLOOKUP($A2,A:AL,19,FALSE)-50),"-",VLOOKUP($A2,'SegEnds_NonXtal_BW#'!$A:$Z,13,FALSE)+VLOOKUP($A2,A:AL,19,FALSE)-50)</f>
        <v>149</v>
      </c>
      <c r="S2" s="3">
        <v>149</v>
      </c>
      <c r="T2" s="103">
        <f>IF(ISERROR(VLOOKUP($A2,'SegEnds_NonXtal_BW#'!$A:$Z,14,FALSE)+VLOOKUP($A2,A:AL,19,FALSE)-50),"-",(VLOOKUP($A2,'SegEnds_NonXtal_BW#'!$A:$Z,14,FALSE)+VLOOKUP($A2,A:AL,19,FALSE)-50))</f>
        <v>155</v>
      </c>
      <c r="U2" s="9">
        <f>IF(ISERROR(VLOOKUP($A2,'SegEnds_NonXtal_BW#'!$A:$Z,15,FALSE)+VLOOKUP($A2,A:AL,22,FALSE)-50),"-",VLOOKUP($A2,'SegEnds_NonXtal_BW#'!$A:$Z,15,FALSE)+VLOOKUP($A2,A:AL,22,FALSE)-50)</f>
        <v>156</v>
      </c>
      <c r="V2" s="3">
        <v>168</v>
      </c>
      <c r="W2" s="3">
        <f>IF(ISERROR(VLOOKUP($A2,'SegEnds_NonXtal_BW#'!$A:$Z,16,FALSE)+VLOOKUP($A2,A:AL,22,FALSE)-50),"-",(VLOOKUP($A2,'SegEnds_NonXtal_BW#'!$A:$Z,16,FALSE)+VLOOKUP($A2,A:AL,22,FALSE)-50))</f>
        <v>182</v>
      </c>
      <c r="X2" s="3">
        <f>IF(ISERROR(VLOOKUP($A2,'SegEnds_NonXtal_BW#'!$A:$Z,17,FALSE)+VLOOKUP($A2,A:AL,25,FALSE)-50),"-",(VLOOKUP($A2,'SegEnds_NonXtal_BW#'!$A:$Z,17,FALSE)+VLOOKUP($A2,A:AL,25,FALSE)-50))</f>
        <v>195</v>
      </c>
      <c r="Y2" s="3">
        <v>195</v>
      </c>
      <c r="Z2" s="3">
        <f>Y2+2</f>
        <v>197</v>
      </c>
      <c r="AA2" s="3">
        <f>IF(ISERROR(VLOOKUP($A2,'SegEnds_NonXtal_BW#'!$A:$Z,19,FALSE)+VLOOKUP($A2,A:AL,28,FALSE)-50),"-",(VLOOKUP($A2,'SegEnds_NonXtal_BW#'!$A:$Z,19,FALSE)+VLOOKUP($A2,A:AL,28,FALSE)-50))</f>
        <v>203</v>
      </c>
      <c r="AB2" s="3">
        <v>223</v>
      </c>
      <c r="AC2" s="3">
        <f>IF(ISERROR((VLOOKUP($A2,'SegEnds_NonXtal_BW#'!$A:$Z,20,FALSE)+VLOOKUP($A2,A:AL,28,FALSE)-50)),"-",(VLOOKUP($A2,'SegEnds_NonXtal_BW#'!$A:$Z,20,FALSE)+VLOOKUP($A2,A:AL,28,FALSE)-50))</f>
        <v>241</v>
      </c>
      <c r="AD2" s="3">
        <f>IF(ISERROR(VLOOKUP($A2,'SegEnds_NonXtal_BW#'!$A:$Z,21,FALSE)+VLOOKUP($A2,A:AL,31,FALSE)-50),"-",(VLOOKUP($A2,'SegEnds_NonXtal_BW#'!$A:$Z,21,FALSE)+VLOOKUP($A2,A:AL,31,FALSE)-50))</f>
        <v>245</v>
      </c>
      <c r="AE2" s="3">
        <v>271</v>
      </c>
      <c r="AF2" s="3">
        <f>IF(ISERROR((VLOOKUP($A2,'SegEnds_NonXtal_BW#'!$A:$Z,22,FALSE)+VLOOKUP($A2,A:AL,31,FALSE)-50)),"-",(VLOOKUP($A2,'SegEnds_NonXtal_BW#'!$A:$Z,22,FALSE)+VLOOKUP($A2,A:AL,31,FALSE)-50))</f>
        <v>285</v>
      </c>
      <c r="AG2" s="3">
        <f>IF(ISERROR(VLOOKUP($A2,'SegEnds_NonXtal_BW#'!$A:$Z,23,FALSE)+VLOOKUP($A2,A:AL,34,FALSE)-50),"-",(VLOOKUP($A2,'SegEnds_NonXtal_BW#'!$A:$Z,23,FALSE)+VLOOKUP($A2,A:AL,34,FALSE)-50))</f>
        <v>289</v>
      </c>
      <c r="AH2" s="3">
        <v>315</v>
      </c>
      <c r="AI2" s="3">
        <f>IF(ISERROR((VLOOKUP($A2,'SegEnds_NonXtal_BW#'!$A:$Z,24,FALSE)+VLOOKUP($A2,A:AL,34,FALSE)-50)),"-",(VLOOKUP($A2,'SegEnds_NonXtal_BW#'!$A:$Z,24,FALSE)+VLOOKUP($A2,A:AL,34,FALSE)-50))</f>
        <v>321</v>
      </c>
      <c r="AJ2" s="3">
        <f>IF(ISERROR(VLOOKUP($A2,'SegEnds_NonXtal_BW#'!$A:$Z,25,FALSE)+VLOOKUP($A2,A:AL,37,FALSE)-50),"-",(VLOOKUP($A2,'SegEnds_NonXtal_BW#'!$A:$Z,25,FALSE)+VLOOKUP($A2,A:AL,37,FALSE)-50))</f>
        <v>322</v>
      </c>
      <c r="AK2" s="3">
        <v>325</v>
      </c>
      <c r="AL2" s="3">
        <f>IF(ISERROR((VLOOKUP($A2,'SegEnds_NonXtal_BW#'!$A:$Z,26,FALSE)+VLOOKUP($A2,A:AL,37,FALSE)-50)),"-",(VLOOKUP($A2,'SegEnds_NonXtal_BW#'!$A:$Z,26,FALSE)+VLOOKUP($A2,A:AL,37,FALSE)-50))</f>
        <v>336</v>
      </c>
      <c r="AM2" s="28" t="str">
        <f>VLOOKUP(A2,Classification!A:B,2,FALSE)</f>
        <v>A</v>
      </c>
      <c r="AN2" s="28" t="b">
        <f t="shared" ref="AN2:AN27" si="0">AND(IF(Y2="-",IF(AA2-W2&gt;3,TRUE,FALSE),TRUE),IF(M2="-",IF(O2-K2&gt;3,TRUE,FALSE),TRUE),C2&lt;E2,OR(E2&lt;F2,F2="-"),OR(F2&lt;H2,F2="-"),OR(H2&lt;I2,H2="-"),I2&lt;K2,OR(K2&lt;L2,L2="-"),OR(L2&lt;N2,L2="-"),OR(N2&lt;O2,N2="-"),O2&lt;Q2,OR(Q2&lt;R2,R2="-"),OR(R2&lt;T2,R2="-"),OR(T2&lt;U2,T2="-"),U2&lt;W2,OR(W2&lt;X2,X2="-"),OR(X2&lt;Z2,X2="-"),OR(Z2&lt;AA2,Z2="-"),AA2&lt;AC2,AC2&lt;AD2,AD2&lt;AF2,AF2&lt;AG2,AG2&lt;AI2,OR(AI2&lt;AJ2,AJ2="-"),OR(AJ2&lt;AL2,AJ2="-"))</f>
        <v>1</v>
      </c>
      <c r="AO2" s="3" t="str">
        <f>IF(ISERROR(MATCH(A2,'SegEnds_Xtal_Prot#'!B:B, 0)), "NoXtal", "Xtal")</f>
        <v>Xtal</v>
      </c>
      <c r="AP2" s="3" t="str">
        <f t="shared" ref="AP2:AP65" si="1">IF(ISERROR(F2-E2),"-",F2-E2)</f>
        <v>-</v>
      </c>
      <c r="AQ2" s="3" t="str">
        <f t="shared" ref="AQ2:AQ65" si="2">IF(ISERROR(I2-H2),"-",I2-H2)</f>
        <v>-</v>
      </c>
      <c r="AR2" s="3">
        <f t="shared" ref="AR2:AR65" si="3">IF(ISERROR(L2-K2),"-",L2-K2)</f>
        <v>3</v>
      </c>
      <c r="AS2" s="3">
        <f t="shared" ref="AS2:AS65" si="4">IF(ISERROR(O2-N2),"-",O2-N2)</f>
        <v>1</v>
      </c>
      <c r="AT2" s="3">
        <f t="shared" ref="AT2:AT65" si="5">IF(ISERROR(R2-Q2),"-",R2-Q2)</f>
        <v>1</v>
      </c>
      <c r="AU2" s="3">
        <f t="shared" ref="AU2:AU65" si="6">IF(ISERROR(U2-T2),"-",U2-T2)</f>
        <v>1</v>
      </c>
      <c r="AV2" s="3">
        <f t="shared" ref="AV2:AV65" si="7">IF(ISERROR(X2-W2),"-",X2-W2)</f>
        <v>13</v>
      </c>
      <c r="AW2" s="3">
        <f t="shared" ref="AW2:AW65" si="8">IF(ISERROR(AA2-Z2),"-",AA2-Z2)</f>
        <v>6</v>
      </c>
      <c r="AX2" s="3">
        <f t="shared" ref="AX2:AX65" si="9">IF(ISERROR(AD2-AC2),"-",AD2-AC2)</f>
        <v>4</v>
      </c>
      <c r="AY2" s="3">
        <f t="shared" ref="AY2:AY65" si="10">IF(ISERROR(AG2-AF2),"-",AG2-AF2)</f>
        <v>4</v>
      </c>
      <c r="AZ2" s="3">
        <f t="shared" ref="AZ2:AZ65" si="11">IF(ISERROR(AJ2-AI2),"-",AJ2-AI2)</f>
        <v>1</v>
      </c>
      <c r="BA2" s="3">
        <f>IF(ISERROR(LEN(VLOOKUP(A2,Seqs!A:E,2,FALSE))-AL2),"-",LEN(VLOOKUP(A2,Seqs!A:E,2,FALSE))-AL2)</f>
        <v>27</v>
      </c>
      <c r="BB2" s="16">
        <f t="shared" ref="BB2:BB65" si="12">J2-D2</f>
        <v>28</v>
      </c>
      <c r="BC2" s="9">
        <f t="shared" ref="BC2:BC65" si="13">IF(ISERROR(V2-S2),"-",V2-S2)</f>
        <v>19</v>
      </c>
      <c r="BD2" s="3">
        <f t="shared" ref="BD2:BD65" si="14">J2-D2</f>
        <v>28</v>
      </c>
      <c r="BE2" s="3">
        <f t="shared" ref="BE2:BE65" si="15">AE2-AB2</f>
        <v>48</v>
      </c>
      <c r="BF2" s="3">
        <f>AH2-AE2</f>
        <v>44</v>
      </c>
    </row>
    <row r="3" spans="1:59" s="3" customFormat="1" x14ac:dyDescent="0.2">
      <c r="A3" s="3" t="s">
        <v>185</v>
      </c>
      <c r="B3" s="3" t="str">
        <f>LOWER(VLOOKUP(A3,Xtal_Templ!A:B,2,FALSE))</f>
        <v>ccr2_human</v>
      </c>
      <c r="C3" s="3">
        <f>VLOOKUP($A3,'SegEnds_NonXtal_BW#'!$A:$Z,3,FALSE)+D3-50</f>
        <v>34</v>
      </c>
      <c r="D3" s="3">
        <v>57</v>
      </c>
      <c r="E3" s="3">
        <f>IF(ISERROR(VLOOKUP($A3,'SegEnds_NonXtal_BW#'!$A:$Z,4,FALSE)+VLOOKUP($A3,A:AL,4,FALSE)-50),"-",(VLOOKUP($A3,'SegEnds_NonXtal_BW#'!$A:$Z,4,FALSE)+VLOOKUP($A3,A:AL,4,FALSE)-50))</f>
        <v>67</v>
      </c>
      <c r="F3" s="3">
        <f>G3-2</f>
        <v>68</v>
      </c>
      <c r="G3" s="3">
        <v>70</v>
      </c>
      <c r="H3" s="3">
        <f>G3+1</f>
        <v>71</v>
      </c>
      <c r="I3" s="3">
        <f>H3+1</f>
        <v>72</v>
      </c>
      <c r="J3" s="3">
        <v>85</v>
      </c>
      <c r="K3" s="3">
        <f>VLOOKUP($A3,'SegEnds_NonXtal_BW#'!$A:$Z,8,FALSE)+VLOOKUP($A3,A:AL,10,FALSE)-50</f>
        <v>101</v>
      </c>
      <c r="L3" s="3">
        <f>M3-1</f>
        <v>102</v>
      </c>
      <c r="M3" s="3">
        <v>103</v>
      </c>
      <c r="N3" s="3">
        <f>M3+2</f>
        <v>105</v>
      </c>
      <c r="O3" s="3">
        <f>N3+1</f>
        <v>106</v>
      </c>
      <c r="P3" s="3">
        <v>135</v>
      </c>
      <c r="Q3" s="3">
        <f>VLOOKUP($A3,'SegEnds_NonXtal_BW#'!$A:$Z,12,FALSE)+VLOOKUP($A3,A:AL,16,FALSE)-50</f>
        <v>141</v>
      </c>
      <c r="R3" s="3">
        <f>IF(ISERROR(VLOOKUP($A3,'SegEnds_NonXtal_BW#'!$A:$Z,13,FALSE)+VLOOKUP($A3,A:AL,19,FALSE)-50),"-",VLOOKUP($A3,'SegEnds_NonXtal_BW#'!$A:$Z,13,FALSE)+VLOOKUP($A3,A:AL,19,FALSE)-50)</f>
        <v>142</v>
      </c>
      <c r="S3" s="3">
        <v>142</v>
      </c>
      <c r="T3" s="103">
        <f>IF(ISERROR(VLOOKUP($A3,'SegEnds_NonXtal_BW#'!$A:$Z,14,FALSE)+VLOOKUP($A3,A:AL,19,FALSE)-50),"-",(VLOOKUP($A3,'SegEnds_NonXtal_BW#'!$A:$Z,14,FALSE)+VLOOKUP($A3,A:AL,19,FALSE)-50))</f>
        <v>148</v>
      </c>
      <c r="U3" s="9">
        <f>IF(ISERROR(VLOOKUP($A3,'SegEnds_NonXtal_BW#'!$A:$Z,15,FALSE)+VLOOKUP($A3,A:AL,22,FALSE)-50),"-",VLOOKUP($A3,'SegEnds_NonXtal_BW#'!$A:$Z,15,FALSE)+VLOOKUP($A3,A:AL,22,FALSE)-50)</f>
        <v>149</v>
      </c>
      <c r="V3" s="3">
        <v>161</v>
      </c>
      <c r="W3" s="3">
        <f>IF(ISERROR(VLOOKUP($A3,'SegEnds_NonXtal_BW#'!$A:$Z,16,FALSE)+VLOOKUP($A3,A:AL,22,FALSE)-50),"-",(VLOOKUP($A3,'SegEnds_NonXtal_BW#'!$A:$Z,16,FALSE)+VLOOKUP($A3,A:AL,22,FALSE)-50))</f>
        <v>175</v>
      </c>
      <c r="X3" s="3">
        <f>IF(ISERROR(VLOOKUP($A3,'SegEnds_NonXtal_BW#'!$A:$Z,17,FALSE)+VLOOKUP($A3,A:AL,25,FALSE)-50),"-",(VLOOKUP($A3,'SegEnds_NonXtal_BW#'!$A:$Z,17,FALSE)+VLOOKUP($A3,A:AL,25,FALSE)-50))</f>
        <v>187</v>
      </c>
      <c r="Y3" s="3">
        <v>187</v>
      </c>
      <c r="Z3" s="3">
        <f>Y3+2</f>
        <v>189</v>
      </c>
      <c r="AA3" s="3">
        <f>IF(ISERROR(VLOOKUP($A3,'SegEnds_NonXtal_BW#'!$A:$Z,19,FALSE)+VLOOKUP($A3,A:AL,28,FALSE)-50),"-",(VLOOKUP($A3,'SegEnds_NonXtal_BW#'!$A:$Z,19,FALSE)+VLOOKUP($A3,A:AL,28,FALSE)-50))</f>
        <v>195</v>
      </c>
      <c r="AB3" s="3">
        <v>214</v>
      </c>
      <c r="AC3" s="3">
        <f>IF(ISERROR((VLOOKUP($A3,'SegEnds_NonXtal_BW#'!$A:$Z,20,FALSE)+VLOOKUP($A3,A:AL,28,FALSE)-50)),"-",(VLOOKUP($A3,'SegEnds_NonXtal_BW#'!$A:$Z,20,FALSE)+VLOOKUP($A3,A:AL,28,FALSE)-50))</f>
        <v>232</v>
      </c>
      <c r="AD3" s="3">
        <f>IF(ISERROR(VLOOKUP($A3,'SegEnds_NonXtal_BW#'!$A:$Z,21,FALSE)+VLOOKUP($A3,A:AL,31,FALSE)-50),"-",(VLOOKUP($A3,'SegEnds_NonXtal_BW#'!$A:$Z,21,FALSE)+VLOOKUP($A3,A:AL,31,FALSE)-50))</f>
        <v>237</v>
      </c>
      <c r="AE3" s="3">
        <v>257</v>
      </c>
      <c r="AF3" s="3">
        <f>IF(ISERROR((VLOOKUP($A3,'SegEnds_NonXtal_BW#'!$A:$Z,22,FALSE)+VLOOKUP($A3,A:AL,31,FALSE)-50)),"-",(VLOOKUP($A3,'SegEnds_NonXtal_BW#'!$A:$Z,22,FALSE)+VLOOKUP($A3,A:AL,31,FALSE)-50))</f>
        <v>271</v>
      </c>
      <c r="AG3" s="3">
        <f>IF(ISERROR(VLOOKUP($A3,'SegEnds_NonXtal_BW#'!$A:$Z,23,FALSE)+VLOOKUP($A3,A:AL,34,FALSE)-50),"-",(VLOOKUP($A3,'SegEnds_NonXtal_BW#'!$A:$Z,23,FALSE)+VLOOKUP($A3,A:AL,34,FALSE)-50))</f>
        <v>276</v>
      </c>
      <c r="AH3" s="3">
        <v>302</v>
      </c>
      <c r="AI3" s="3">
        <f>IF(ISERROR((VLOOKUP($A3,'SegEnds_NonXtal_BW#'!$A:$Z,24,FALSE)+VLOOKUP($A3,A:AL,34,FALSE)-50)),"-",(VLOOKUP($A3,'SegEnds_NonXtal_BW#'!$A:$Z,24,FALSE)+VLOOKUP($A3,A:AL,34,FALSE)-50))</f>
        <v>308</v>
      </c>
      <c r="AJ3" s="3">
        <f>IF(ISERROR(VLOOKUP($A3,'SegEnds_NonXtal_BW#'!$A:$Z,25,FALSE)+VLOOKUP($A3,A:AL,37,FALSE)-50),"-",(VLOOKUP($A3,'SegEnds_NonXtal_BW#'!$A:$Z,25,FALSE)+VLOOKUP($A3,A:AL,37,FALSE)-50))</f>
        <v>309</v>
      </c>
      <c r="AK3" s="3">
        <v>312</v>
      </c>
      <c r="AL3" s="3">
        <f>IF(ISERROR((VLOOKUP($A3,'SegEnds_NonXtal_BW#'!$A:$Z,26,FALSE)+VLOOKUP($A3,A:AL,37,FALSE)-50)),"-",(VLOOKUP($A3,'SegEnds_NonXtal_BW#'!$A:$Z,26,FALSE)+VLOOKUP($A3,A:AL,37,FALSE)-50))</f>
        <v>320</v>
      </c>
      <c r="AM3" s="28" t="str">
        <f>VLOOKUP(A3,Classification!A:B,2,FALSE)</f>
        <v>A</v>
      </c>
      <c r="AN3" s="28" t="b">
        <f t="shared" si="0"/>
        <v>1</v>
      </c>
      <c r="AO3" s="3" t="str">
        <f>IF(ISERROR(MATCH(A3,'SegEnds_Xtal_Prot#'!B:B, 0)), "NoXtal", "Xtal")</f>
        <v>NoXtal</v>
      </c>
      <c r="AP3" s="3">
        <f t="shared" si="1"/>
        <v>1</v>
      </c>
      <c r="AQ3" s="3">
        <f t="shared" si="2"/>
        <v>1</v>
      </c>
      <c r="AR3" s="3">
        <f t="shared" si="3"/>
        <v>1</v>
      </c>
      <c r="AS3" s="3">
        <f t="shared" si="4"/>
        <v>1</v>
      </c>
      <c r="AT3" s="3">
        <f t="shared" si="5"/>
        <v>1</v>
      </c>
      <c r="AU3" s="3">
        <f t="shared" si="6"/>
        <v>1</v>
      </c>
      <c r="AV3" s="3">
        <f t="shared" si="7"/>
        <v>12</v>
      </c>
      <c r="AW3" s="3">
        <f t="shared" si="8"/>
        <v>6</v>
      </c>
      <c r="AX3" s="3">
        <f t="shared" si="9"/>
        <v>5</v>
      </c>
      <c r="AY3" s="3">
        <f t="shared" si="10"/>
        <v>5</v>
      </c>
      <c r="AZ3" s="3">
        <f t="shared" si="11"/>
        <v>1</v>
      </c>
      <c r="BA3" s="3">
        <f>IF(ISERROR(LEN(VLOOKUP(A3,Seqs!A:E,2,FALSE))-AL3),"-",LEN(VLOOKUP(A3,Seqs!A:E,2,FALSE))-AL3)</f>
        <v>30</v>
      </c>
      <c r="BB3" s="16">
        <f t="shared" si="12"/>
        <v>28</v>
      </c>
      <c r="BC3" s="9">
        <f t="shared" si="13"/>
        <v>19</v>
      </c>
      <c r="BD3" s="3">
        <f t="shared" si="14"/>
        <v>28</v>
      </c>
      <c r="BE3" s="3">
        <f t="shared" si="15"/>
        <v>43</v>
      </c>
      <c r="BF3" s="3">
        <f>AH3-AE3</f>
        <v>45</v>
      </c>
    </row>
    <row r="4" spans="1:59" s="3" customFormat="1" x14ac:dyDescent="0.2">
      <c r="A4" s="3" t="s">
        <v>186</v>
      </c>
      <c r="B4" s="3" t="str">
        <f>LOWER(VLOOKUP(A4,Xtal_Templ!A:B,2,FALSE))</f>
        <v>ccr9_human</v>
      </c>
      <c r="C4" s="3">
        <f>VLOOKUP($A4,'SegEnds_NonXtal_BW#'!$A:$Z,3,FALSE)+D4-50</f>
        <v>43</v>
      </c>
      <c r="D4" s="3">
        <v>66</v>
      </c>
      <c r="E4" s="3">
        <f>IF(ISERROR(VLOOKUP($A4,'SegEnds_NonXtal_BW#'!$A:$Z,4,FALSE)+VLOOKUP($A4,A:AL,4,FALSE)-50),"-",(VLOOKUP($A4,'SegEnds_NonXtal_BW#'!$A:$Z,4,FALSE)+VLOOKUP($A4,A:AL,4,FALSE)-50))</f>
        <v>76</v>
      </c>
      <c r="F4" s="3">
        <f>G4-2</f>
        <v>77</v>
      </c>
      <c r="G4" s="3">
        <v>79</v>
      </c>
      <c r="H4" s="3">
        <f>G4+1</f>
        <v>80</v>
      </c>
      <c r="I4" s="3">
        <f>H4+1</f>
        <v>81</v>
      </c>
      <c r="J4" s="3">
        <v>94</v>
      </c>
      <c r="K4" s="3">
        <f>VLOOKUP($A4,'SegEnds_NonXtal_BW#'!$A:$Z,8,FALSE)+VLOOKUP($A4,A:AL,10,FALSE)-50</f>
        <v>110</v>
      </c>
      <c r="L4" s="3">
        <f>M4-1</f>
        <v>111</v>
      </c>
      <c r="M4" s="3">
        <v>112</v>
      </c>
      <c r="N4" s="3">
        <f>M4+2</f>
        <v>114</v>
      </c>
      <c r="O4" s="3">
        <f>N4+1</f>
        <v>115</v>
      </c>
      <c r="P4" s="3">
        <v>144</v>
      </c>
      <c r="Q4" s="3">
        <f>VLOOKUP($A4,'SegEnds_NonXtal_BW#'!$A:$Z,12,FALSE)+VLOOKUP($A4,A:AL,16,FALSE)-50</f>
        <v>150</v>
      </c>
      <c r="R4" s="3">
        <f>IF(ISERROR(VLOOKUP($A4,'SegEnds_NonXtal_BW#'!$A:$Z,13,FALSE)+VLOOKUP($A4,A:AL,19,FALSE)-50),"-",VLOOKUP($A4,'SegEnds_NonXtal_BW#'!$A:$Z,13,FALSE)+VLOOKUP($A4,A:AL,19,FALSE)-50)</f>
        <v>151</v>
      </c>
      <c r="S4" s="3">
        <v>151</v>
      </c>
      <c r="T4" s="103">
        <f>IF(ISERROR(VLOOKUP($A4,'SegEnds_NonXtal_BW#'!$A:$Z,14,FALSE)+VLOOKUP($A4,A:AL,19,FALSE)-50),"-",(VLOOKUP($A4,'SegEnds_NonXtal_BW#'!$A:$Z,14,FALSE)+VLOOKUP($A4,A:AL,19,FALSE)-50))</f>
        <v>157</v>
      </c>
      <c r="U4" s="9">
        <f>IF(ISERROR(VLOOKUP($A4,'SegEnds_NonXtal_BW#'!$A:$Z,15,FALSE)+VLOOKUP($A4,A:AL,22,FALSE)-50),"-",VLOOKUP($A4,'SegEnds_NonXtal_BW#'!$A:$Z,15,FALSE)+VLOOKUP($A4,A:AL,22,FALSE)-50)</f>
        <v>158</v>
      </c>
      <c r="V4" s="3">
        <v>170</v>
      </c>
      <c r="W4" s="3">
        <f>IF(ISERROR(VLOOKUP($A4,'SegEnds_NonXtal_BW#'!$A:$Z,16,FALSE)+VLOOKUP($A4,A:AL,22,FALSE)-50),"-",(VLOOKUP($A4,'SegEnds_NonXtal_BW#'!$A:$Z,16,FALSE)+VLOOKUP($A4,A:AL,22,FALSE)-50))</f>
        <v>184</v>
      </c>
      <c r="X4" s="3">
        <f>IF(ISERROR(VLOOKUP($A4,'SegEnds_NonXtal_BW#'!$A:$Z,17,FALSE)+VLOOKUP($A4,A:AL,25,FALSE)-50),"-",(VLOOKUP($A4,'SegEnds_NonXtal_BW#'!$A:$Z,17,FALSE)+VLOOKUP($A4,A:AL,25,FALSE)-50))</f>
        <v>196</v>
      </c>
      <c r="Y4" s="3">
        <v>196</v>
      </c>
      <c r="Z4" s="3">
        <f>Y4+2</f>
        <v>198</v>
      </c>
      <c r="AA4" s="3">
        <f>IF(ISERROR(VLOOKUP($A4,'SegEnds_NonXtal_BW#'!$A:$Z,19,FALSE)+VLOOKUP($A4,A:AL,28,FALSE)-50),"-",(VLOOKUP($A4,'SegEnds_NonXtal_BW#'!$A:$Z,19,FALSE)+VLOOKUP($A4,A:AL,28,FALSE)-50))</f>
        <v>206</v>
      </c>
      <c r="AB4" s="3">
        <v>223</v>
      </c>
      <c r="AC4" s="3">
        <f>IF(ISERROR((VLOOKUP($A4,'SegEnds_NonXtal_BW#'!$A:$Z,20,FALSE)+VLOOKUP($A4,A:AL,28,FALSE)-50)),"-",(VLOOKUP($A4,'SegEnds_NonXtal_BW#'!$A:$Z,20,FALSE)+VLOOKUP($A4,A:AL,28,FALSE)-50))</f>
        <v>241</v>
      </c>
      <c r="AD4" s="3">
        <f>IF(ISERROR(VLOOKUP($A4,'SegEnds_NonXtal_BW#'!$A:$Z,21,FALSE)+VLOOKUP($A4,A:AL,31,FALSE)-50),"-",(VLOOKUP($A4,'SegEnds_NonXtal_BW#'!$A:$Z,21,FALSE)+VLOOKUP($A4,A:AL,31,FALSE)-50))</f>
        <v>246</v>
      </c>
      <c r="AE4" s="3">
        <v>266</v>
      </c>
      <c r="AF4" s="3">
        <f>IF(ISERROR((VLOOKUP($A4,'SegEnds_NonXtal_BW#'!$A:$Z,22,FALSE)+VLOOKUP($A4,A:AL,31,FALSE)-50)),"-",(VLOOKUP($A4,'SegEnds_NonXtal_BW#'!$A:$Z,22,FALSE)+VLOOKUP($A4,A:AL,31,FALSE)-50))</f>
        <v>280</v>
      </c>
      <c r="AG4" s="3">
        <f>IF(ISERROR(VLOOKUP($A4,'SegEnds_NonXtal_BW#'!$A:$Z,23,FALSE)+VLOOKUP($A4,A:AL,34,FALSE)-50),"-",(VLOOKUP($A4,'SegEnds_NonXtal_BW#'!$A:$Z,23,FALSE)+VLOOKUP($A4,A:AL,34,FALSE)-50))</f>
        <v>285</v>
      </c>
      <c r="AH4" s="3">
        <v>311</v>
      </c>
      <c r="AI4" s="3">
        <f>IF(ISERROR((VLOOKUP($A4,'SegEnds_NonXtal_BW#'!$A:$Z,24,FALSE)+VLOOKUP($A4,A:AL,34,FALSE)-50)),"-",(VLOOKUP($A4,'SegEnds_NonXtal_BW#'!$A:$Z,24,FALSE)+VLOOKUP($A4,A:AL,34,FALSE)-50))</f>
        <v>317</v>
      </c>
      <c r="AJ4" s="3">
        <f>IF(ISERROR(VLOOKUP($A4,'SegEnds_NonXtal_BW#'!$A:$Z,25,FALSE)+VLOOKUP($A4,A:AL,37,FALSE)-50),"-",(VLOOKUP($A4,'SegEnds_NonXtal_BW#'!$A:$Z,25,FALSE)+VLOOKUP($A4,A:AL,37,FALSE)-50))</f>
        <v>318</v>
      </c>
      <c r="AK4" s="3">
        <v>321</v>
      </c>
      <c r="AL4" s="3">
        <f>IF(ISERROR((VLOOKUP($A4,'SegEnds_NonXtal_BW#'!$A:$Z,26,FALSE)+VLOOKUP($A4,A:AL,37,FALSE)-50)),"-",(VLOOKUP($A4,'SegEnds_NonXtal_BW#'!$A:$Z,26,FALSE)+VLOOKUP($A4,A:AL,37,FALSE)-50))</f>
        <v>338</v>
      </c>
      <c r="AM4" s="28" t="str">
        <f>VLOOKUP(A4,Classification!A:B,2,FALSE)</f>
        <v>A</v>
      </c>
      <c r="AN4" s="28" t="b">
        <f t="shared" si="0"/>
        <v>1</v>
      </c>
      <c r="AO4" s="3" t="str">
        <f>IF(ISERROR(MATCH(A4,'SegEnds_Xtal_Prot#'!B:B, 0)), "NoXtal", "Xtal")</f>
        <v>NoXtal</v>
      </c>
      <c r="AP4" s="3">
        <f t="shared" si="1"/>
        <v>1</v>
      </c>
      <c r="AQ4" s="3">
        <f t="shared" si="2"/>
        <v>1</v>
      </c>
      <c r="AR4" s="3">
        <f t="shared" si="3"/>
        <v>1</v>
      </c>
      <c r="AS4" s="3">
        <f t="shared" si="4"/>
        <v>1</v>
      </c>
      <c r="AT4" s="3">
        <f t="shared" si="5"/>
        <v>1</v>
      </c>
      <c r="AU4" s="3">
        <f t="shared" si="6"/>
        <v>1</v>
      </c>
      <c r="AV4" s="3">
        <f t="shared" si="7"/>
        <v>12</v>
      </c>
      <c r="AW4" s="3">
        <f t="shared" si="8"/>
        <v>8</v>
      </c>
      <c r="AX4" s="3">
        <f t="shared" si="9"/>
        <v>5</v>
      </c>
      <c r="AY4" s="3">
        <f t="shared" si="10"/>
        <v>5</v>
      </c>
      <c r="AZ4" s="3">
        <f t="shared" si="11"/>
        <v>1</v>
      </c>
      <c r="BA4" s="3">
        <f>IF(ISERROR(LEN(VLOOKUP(A4,Seqs!A:E,2,FALSE))-AL4),"-",LEN(VLOOKUP(A4,Seqs!A:E,2,FALSE))-AL4)</f>
        <v>22</v>
      </c>
      <c r="BB4" s="16">
        <f t="shared" si="12"/>
        <v>28</v>
      </c>
      <c r="BC4" s="9">
        <f t="shared" si="13"/>
        <v>19</v>
      </c>
      <c r="BD4" s="3">
        <f t="shared" si="14"/>
        <v>28</v>
      </c>
      <c r="BE4" s="3">
        <f t="shared" si="15"/>
        <v>43</v>
      </c>
    </row>
    <row r="5" spans="1:59" s="3" customFormat="1" x14ac:dyDescent="0.2">
      <c r="A5" s="3" t="s">
        <v>216</v>
      </c>
      <c r="B5" s="3" t="str">
        <f>LOWER(VLOOKUP(A5,Xtal_Templ!A:B,2,FALSE))</f>
        <v>ntr1_rat</v>
      </c>
      <c r="C5" s="3">
        <f>VLOOKUP($A5,'SegEnds_NonXtal_BW#'!$A:$Z,3,FALSE)+D5-50</f>
        <v>23</v>
      </c>
      <c r="D5" s="3">
        <v>44</v>
      </c>
      <c r="E5" s="3">
        <f>IF(ISERROR(VLOOKUP($A5,'SegEnds_NonXtal_BW#'!$A:$Z,4,FALSE)+VLOOKUP($A5,A:AL,4,FALSE)-50),"-",(VLOOKUP($A5,'SegEnds_NonXtal_BW#'!$A:$Z,4,FALSE)+VLOOKUP($A5,A:AL,4,FALSE)-50))</f>
        <v>54</v>
      </c>
      <c r="F5" s="3" t="str">
        <f>IF(ISERROR(VLOOKUP($A5,'SegEnds_NonXtal_BW#'!$A:$Z,5,FALSE)+VLOOKUP($A5,A:AL,7,FALSE)-50),"-",(VLOOKUP($A5,'SegEnds_NonXtal_BW#'!$A:$Z,5,FALSE)+VLOOKUP($A5,A:AL,7,FALSE)-50))</f>
        <v>-</v>
      </c>
      <c r="G5" s="3" t="s">
        <v>23</v>
      </c>
      <c r="H5" s="3" t="str">
        <f>IF(ISERROR(VLOOKUP($A5,'SegEnds_NonXtal_BW#'!$A:$Z,6,FALSE)+VLOOKUP($A5,A:AL,7,FALSE)-50),"-",(VLOOKUP($A5,'SegEnds_NonXtal_BW#'!$A:$Z,6,FALSE)+VLOOKUP($A5,A:AL,7,FALSE)-50))</f>
        <v>-</v>
      </c>
      <c r="I5" s="3">
        <f>VLOOKUP($A5,'SegEnds_NonXtal_BW#'!$A:$Z,7,FALSE)+J5-50</f>
        <v>60</v>
      </c>
      <c r="J5" s="3">
        <v>73</v>
      </c>
      <c r="K5" s="3">
        <f>VLOOKUP($A5,'SegEnds_NonXtal_BW#'!$A:$Z,8,FALSE)+VLOOKUP($A5,A:AL,10,FALSE)-50</f>
        <v>90</v>
      </c>
      <c r="L5" s="3" t="s">
        <v>23</v>
      </c>
      <c r="M5" s="3" t="s">
        <v>23</v>
      </c>
      <c r="N5" s="3" t="s">
        <v>23</v>
      </c>
      <c r="O5" s="3">
        <f>VLOOKUP($A5,'SegEnds_NonXtal_BW#'!$A:$Z,11,FALSE)+VLOOKUP($A5,A:AL,16,FALSE)-50</f>
        <v>94</v>
      </c>
      <c r="P5" s="3">
        <v>126</v>
      </c>
      <c r="Q5" s="3">
        <f>VLOOKUP($A5,'SegEnds_NonXtal_BW#'!$A:$Z,12,FALSE)+VLOOKUP($A5,A:AL,16,FALSE)-50</f>
        <v>132</v>
      </c>
      <c r="R5" s="3">
        <f>IF(ISERROR(VLOOKUP($A5,'SegEnds_NonXtal_BW#'!$A:$Z,13,FALSE)+VLOOKUP($A5,A:AL,19,FALSE)-50),"-",VLOOKUP($A5,'SegEnds_NonXtal_BW#'!$A:$Z,13,FALSE)+VLOOKUP($A5,A:AL,19,FALSE)-50)</f>
        <v>133</v>
      </c>
      <c r="S5" s="3">
        <v>133</v>
      </c>
      <c r="T5" s="103">
        <f>IF(ISERROR(VLOOKUP($A5,'SegEnds_NonXtal_BW#'!$A:$Z,14,FALSE)+VLOOKUP($A5,A:AL,19,FALSE)-50),"-",(VLOOKUP($A5,'SegEnds_NonXtal_BW#'!$A:$Z,14,FALSE)+VLOOKUP($A5,A:AL,19,FALSE)-50))</f>
        <v>139</v>
      </c>
      <c r="U5" s="9">
        <f>IF(ISERROR(VLOOKUP($A5,'SegEnds_NonXtal_BW#'!$A:$Z,15,FALSE)+VLOOKUP($A5,A:AL,22,FALSE)-50),"-",VLOOKUP($A5,'SegEnds_NonXtal_BW#'!$A:$Z,15,FALSE)+VLOOKUP($A5,A:AL,22,FALSE)-50)</f>
        <v>140</v>
      </c>
      <c r="V5" s="3">
        <v>152</v>
      </c>
      <c r="W5" s="3">
        <f>IF(ISERROR(VLOOKUP($A5,'SegEnds_NonXtal_BW#'!$A:$Z,16,FALSE)+VLOOKUP($A5,A:AL,22,FALSE)-50),"-",(VLOOKUP($A5,'SegEnds_NonXtal_BW#'!$A:$Z,16,FALSE)+VLOOKUP($A5,A:AL,22,FALSE)-50))</f>
        <v>166</v>
      </c>
      <c r="X5" s="3" t="str">
        <f>IF(ISERROR(VLOOKUP($A5,'SegEnds_NonXtal_BW#'!$A:$Z,17,FALSE)+VLOOKUP($A5,A:AL,25,FALSE)-50),"-",(VLOOKUP($A5,'SegEnds_NonXtal_BW#'!$A:$Z,17,FALSE)+VLOOKUP($A5,A:AL,25,FALSE)-50))</f>
        <v>-</v>
      </c>
      <c r="Y5" s="3" t="s">
        <v>23</v>
      </c>
      <c r="Z5" s="3" t="str">
        <f>IF(ISERROR(VLOOKUP($A5,'SegEnds_NonXtal_BW#'!$A:$Z,18,FALSE)+VLOOKUP($A5,A:AL,25,FALSE)-50),"-",(VLOOKUP($A5,'SegEnds_NonXtal_BW#'!$A:$Z,18,FALSE)+VLOOKUP($A5,A:AL,25,FALSE)-50))</f>
        <v>-</v>
      </c>
      <c r="AA5" s="3">
        <f>IF(ISERROR(VLOOKUP($A5,'SegEnds_NonXtal_BW#'!$A:$Z,19,FALSE)+VLOOKUP($A5,A:AL,28,FALSE)-50),"-",(VLOOKUP($A5,'SegEnds_NonXtal_BW#'!$A:$Z,19,FALSE)+VLOOKUP($A5,A:AL,28,FALSE)-50))</f>
        <v>177</v>
      </c>
      <c r="AB5" s="3">
        <v>195</v>
      </c>
      <c r="AC5" s="3">
        <f>IF(ISERROR((VLOOKUP($A5,'SegEnds_NonXtal_BW#'!$A:$Z,20,FALSE)+VLOOKUP($A5,A:AL,28,FALSE)-50)),"-",(VLOOKUP($A5,'SegEnds_NonXtal_BW#'!$A:$Z,20,FALSE)+VLOOKUP($A5,A:AL,28,FALSE)-50))</f>
        <v>213</v>
      </c>
      <c r="AD5" s="3">
        <f>IF(ISERROR(VLOOKUP($A5,'SegEnds_NonXtal_BW#'!$A:$Z,21,FALSE)+VLOOKUP($A5,A:AL,31,FALSE)-50),"-",(VLOOKUP($A5,'SegEnds_NonXtal_BW#'!$A:$Z,21,FALSE)+VLOOKUP($A5,A:AL,31,FALSE)-50))</f>
        <v>217</v>
      </c>
      <c r="AE5" s="3">
        <v>243</v>
      </c>
      <c r="AF5" s="3">
        <f>IF(ISERROR((VLOOKUP($A5,'SegEnds_NonXtal_BW#'!$A:$Z,22,FALSE)+VLOOKUP($A5,A:AL,31,FALSE)-50)),"-",(VLOOKUP($A5,'SegEnds_NonXtal_BW#'!$A:$Z,22,FALSE)+VLOOKUP($A5,A:AL,31,FALSE)-50))</f>
        <v>254</v>
      </c>
      <c r="AG5" s="3">
        <f>IF(ISERROR(VLOOKUP($A5,'SegEnds_NonXtal_BW#'!$A:$Z,23,FALSE)+VLOOKUP($A5,A:AL,34,FALSE)-50),"-",(VLOOKUP($A5,'SegEnds_NonXtal_BW#'!$A:$Z,23,FALSE)+VLOOKUP($A5,A:AL,34,FALSE)-50))</f>
        <v>260</v>
      </c>
      <c r="AH5" s="3">
        <v>282</v>
      </c>
      <c r="AI5" s="3">
        <f>IF(ISERROR((VLOOKUP($A5,'SegEnds_NonXtal_BW#'!$A:$Z,24,FALSE)+VLOOKUP($A5,A:AL,34,FALSE)-50)),"-",(VLOOKUP($A5,'SegEnds_NonXtal_BW#'!$A:$Z,24,FALSE)+VLOOKUP($A5,A:AL,34,FALSE)-50))</f>
        <v>288</v>
      </c>
      <c r="AJ5" s="3">
        <f>IF(ISERROR(VLOOKUP($A5,'SegEnds_NonXtal_BW#'!$A:$Z,25,FALSE)+VLOOKUP($A5,A:AL,37,FALSE)-50),"-",(VLOOKUP($A5,'SegEnds_NonXtal_BW#'!$A:$Z,25,FALSE)+VLOOKUP($A5,A:AL,37,FALSE)-50))</f>
        <v>289</v>
      </c>
      <c r="AK5" s="3">
        <v>292</v>
      </c>
      <c r="AL5" s="3">
        <f>IF(ISERROR((VLOOKUP($A5,'SegEnds_NonXtal_BW#'!$A:$Z,26,FALSE)+VLOOKUP($A5,A:AL,37,FALSE)-50)),"-",(VLOOKUP($A5,'SegEnds_NonXtal_BW#'!$A:$Z,26,FALSE)+VLOOKUP($A5,A:AL,37,FALSE)-50))</f>
        <v>300</v>
      </c>
      <c r="AM5" s="28" t="str">
        <f>VLOOKUP(A5,Classification!A:B,2,FALSE)</f>
        <v>A</v>
      </c>
      <c r="AN5" s="28" t="b">
        <f t="shared" si="0"/>
        <v>1</v>
      </c>
      <c r="AO5" s="3" t="str">
        <f>IF(ISERROR(MATCH(A5,'SegEnds_Xtal_Prot#'!B:B, 0)), "NoXtal", "Xtal")</f>
        <v>NoXtal</v>
      </c>
      <c r="AP5" s="3" t="str">
        <f t="shared" si="1"/>
        <v>-</v>
      </c>
      <c r="AQ5" s="3" t="str">
        <f t="shared" si="2"/>
        <v>-</v>
      </c>
      <c r="AR5" s="3" t="str">
        <f t="shared" si="3"/>
        <v>-</v>
      </c>
      <c r="AS5" s="3" t="str">
        <f t="shared" si="4"/>
        <v>-</v>
      </c>
      <c r="AT5" s="3">
        <f t="shared" si="5"/>
        <v>1</v>
      </c>
      <c r="AU5" s="3">
        <f t="shared" si="6"/>
        <v>1</v>
      </c>
      <c r="AV5" s="3" t="str">
        <f t="shared" si="7"/>
        <v>-</v>
      </c>
      <c r="AW5" s="3" t="str">
        <f t="shared" si="8"/>
        <v>-</v>
      </c>
      <c r="AX5" s="3">
        <f t="shared" si="9"/>
        <v>4</v>
      </c>
      <c r="AY5" s="3">
        <f t="shared" si="10"/>
        <v>6</v>
      </c>
      <c r="AZ5" s="3">
        <f t="shared" si="11"/>
        <v>1</v>
      </c>
      <c r="BA5" s="3">
        <f>IF(ISERROR(LEN(VLOOKUP(A5,Seqs!A:E,2,FALSE))-AL5),"-",LEN(VLOOKUP(A5,Seqs!A:E,2,FALSE))-AL5)</f>
        <v>53</v>
      </c>
      <c r="BB5" s="16">
        <f t="shared" si="12"/>
        <v>29</v>
      </c>
      <c r="BC5" s="9">
        <f t="shared" si="13"/>
        <v>19</v>
      </c>
      <c r="BD5" s="3">
        <f t="shared" si="14"/>
        <v>29</v>
      </c>
      <c r="BE5" s="3">
        <f t="shared" si="15"/>
        <v>48</v>
      </c>
    </row>
    <row r="6" spans="1:59" s="3" customFormat="1" x14ac:dyDescent="0.2">
      <c r="A6" s="3" t="s">
        <v>218</v>
      </c>
      <c r="B6" s="3" t="str">
        <f>LOWER(VLOOKUP(A6,Xtal_Templ!A:B,2,FALSE))</f>
        <v>5ht2b_human</v>
      </c>
      <c r="C6" s="3">
        <f>VLOOKUP($A6,'SegEnds_NonXtal_BW#'!$A:$Z,3,FALSE)+D6-50</f>
        <v>156</v>
      </c>
      <c r="D6" s="3">
        <v>174</v>
      </c>
      <c r="E6" s="3">
        <f>IF(ISERROR(VLOOKUP($A6,'SegEnds_NonXtal_BW#'!$A:$Z,4,FALSE)+VLOOKUP($A6,A:AL,4,FALSE)-50),"-",(VLOOKUP($A6,'SegEnds_NonXtal_BW#'!$A:$Z,4,FALSE)+VLOOKUP($A6,A:AL,4,FALSE)-50))</f>
        <v>184</v>
      </c>
      <c r="F6" s="3" t="str">
        <f>IF(ISERROR(VLOOKUP($A6,'SegEnds_NonXtal_BW#'!$A:$Z,5,FALSE)+VLOOKUP($A6,A:AL,7,FALSE)-50),"-",(VLOOKUP($A6,'SegEnds_NonXtal_BW#'!$A:$Z,5,FALSE)+VLOOKUP($A6,A:AL,7,FALSE)-50))</f>
        <v>-</v>
      </c>
      <c r="G6" s="3" t="s">
        <v>23</v>
      </c>
      <c r="H6" s="3" t="str">
        <f>IF(ISERROR(VLOOKUP($A6,'SegEnds_NonXtal_BW#'!$A:$Z,6,FALSE)+VLOOKUP($A6,A:AL,7,FALSE)-50),"-",(VLOOKUP($A6,'SegEnds_NonXtal_BW#'!$A:$Z,6,FALSE)+VLOOKUP($A6,A:AL,7,FALSE)-50))</f>
        <v>-</v>
      </c>
      <c r="I6" s="3">
        <f>VLOOKUP($A6,'SegEnds_NonXtal_BW#'!$A:$Z,7,FALSE)+J6-50</f>
        <v>190</v>
      </c>
      <c r="J6" s="3">
        <v>203</v>
      </c>
      <c r="K6" s="3">
        <f>VLOOKUP($A6,'SegEnds_NonXtal_BW#'!$A:$Z,8,FALSE)+VLOOKUP($A6,A:AL,10,FALSE)-50</f>
        <v>220</v>
      </c>
      <c r="L6" s="3" t="str">
        <f>IF(ISERROR(VLOOKUP($A6,'SegEnds_NonXtal_BW#'!$A:$Z,9,FALSE)+VLOOKUP($A6,A:AL,13,FALSE)-50),"-",(VLOOKUP($A6,'SegEnds_NonXtal_BW#'!$A:$Z,9,FALSE)+VLOOKUP($A6,A:AL,13,FALSE)-50))</f>
        <v>-</v>
      </c>
      <c r="M6" s="3" t="s">
        <v>23</v>
      </c>
      <c r="N6" s="3" t="str">
        <f>IF(ISERROR(VLOOKUP($A6,'SegEnds_NonXtal_BW#'!$A:$Z,10,FALSE)+VLOOKUP($A6,A:AL,13,FALSE)-50),"-",(VLOOKUP($A6,'SegEnds_NonXtal_BW#'!$A:$Z,10,FALSE)+VLOOKUP($A6,A:AL,13,FALSE)-50))</f>
        <v>-</v>
      </c>
      <c r="O6" s="3">
        <f>VLOOKUP($A6,'SegEnds_NonXtal_BW#'!$A:$Z,11,FALSE)+VLOOKUP($A6,A:AL,16,FALSE)-50</f>
        <v>224</v>
      </c>
      <c r="P6" s="3">
        <v>256</v>
      </c>
      <c r="Q6" s="3">
        <f>VLOOKUP($A6,'SegEnds_NonXtal_BW#'!$A:$Z,12,FALSE)+VLOOKUP($A6,A:AL,16,FALSE)-50</f>
        <v>262</v>
      </c>
      <c r="R6" s="3">
        <f>IF(ISERROR(VLOOKUP($A6,'SegEnds_NonXtal_BW#'!$A:$Z,13,FALSE)+VLOOKUP($A6,A:AL,19,FALSE)-50),"-",VLOOKUP($A6,'SegEnds_NonXtal_BW#'!$A:$Z,13,FALSE)+VLOOKUP($A6,A:AL,19,FALSE)-50)</f>
        <v>263</v>
      </c>
      <c r="S6" s="3">
        <v>263</v>
      </c>
      <c r="T6" s="103">
        <f>IF(ISERROR(VLOOKUP($A6,'SegEnds_NonXtal_BW#'!$A:$Z,14,FALSE)+VLOOKUP($A6,A:AL,19,FALSE)-50),"-",(VLOOKUP($A6,'SegEnds_NonXtal_BW#'!$A:$Z,14,FALSE)+VLOOKUP($A6,A:AL,19,FALSE)-50))</f>
        <v>269</v>
      </c>
      <c r="U6" s="9">
        <f>IF(ISERROR(VLOOKUP($A6,'SegEnds_NonXtal_BW#'!$A:$Z,15,FALSE)+VLOOKUP($A6,A:AL,22,FALSE)-50),"-",VLOOKUP($A6,'SegEnds_NonXtal_BW#'!$A:$Z,15,FALSE)+VLOOKUP($A6,A:AL,22,FALSE)-50)</f>
        <v>270</v>
      </c>
      <c r="V6" s="3">
        <v>282</v>
      </c>
      <c r="W6" s="3">
        <f>IF(ISERROR(VLOOKUP($A6,'SegEnds_NonXtal_BW#'!$A:$Z,16,FALSE)+VLOOKUP($A6,A:AL,22,FALSE)-50),"-",(VLOOKUP($A6,'SegEnds_NonXtal_BW#'!$A:$Z,16,FALSE)+VLOOKUP($A6,A:AL,22,FALSE)-50))</f>
        <v>296</v>
      </c>
      <c r="X6" s="3" t="str">
        <f>IF(ISERROR(VLOOKUP($A6,'SegEnds_NonXtal_BW#'!$A:$Z,17,FALSE)+VLOOKUP($A6,A:AL,25,FALSE)-50),"-",(VLOOKUP($A6,'SegEnds_NonXtal_BW#'!$A:$Z,17,FALSE)+VLOOKUP($A6,A:AL,25,FALSE)-50))</f>
        <v>-</v>
      </c>
      <c r="Y6" s="3" t="s">
        <v>23</v>
      </c>
      <c r="Z6" s="3" t="str">
        <f>IF(ISERROR(VLOOKUP($A6,'SegEnds_NonXtal_BW#'!$A:$Z,18,FALSE)+VLOOKUP($A6,A:AL,25,FALSE)-50),"-",(VLOOKUP($A6,'SegEnds_NonXtal_BW#'!$A:$Z,18,FALSE)+VLOOKUP($A6,A:AL,25,FALSE)-50))</f>
        <v>-</v>
      </c>
      <c r="AA6" s="3">
        <f>IF(ISERROR(VLOOKUP($A6,'SegEnds_NonXtal_BW#'!$A:$Z,19,FALSE)+VLOOKUP($A6,A:AL,28,FALSE)-50),"-",(VLOOKUP($A6,'SegEnds_NonXtal_BW#'!$A:$Z,19,FALSE)+VLOOKUP($A6,A:AL,28,FALSE)-50))</f>
        <v>310</v>
      </c>
      <c r="AB6" s="3">
        <v>325</v>
      </c>
      <c r="AC6" s="3">
        <f>IF(ISERROR((VLOOKUP($A6,'SegEnds_NonXtal_BW#'!$A:$Z,20,FALSE)+VLOOKUP($A6,A:AL,28,FALSE)-50)),"-",(VLOOKUP($A6,'SegEnds_NonXtal_BW#'!$A:$Z,20,FALSE)+VLOOKUP($A6,A:AL,28,FALSE)-50))</f>
        <v>342</v>
      </c>
      <c r="AD6" s="3">
        <f>IF(ISERROR(VLOOKUP($A6,'SegEnds_NonXtal_BW#'!$A:$Z,21,FALSE)+VLOOKUP($A6,A:AL,31,FALSE)-50),"-",(VLOOKUP($A6,'SegEnds_NonXtal_BW#'!$A:$Z,21,FALSE)+VLOOKUP($A6,A:AL,31,FALSE)-50))</f>
        <v>348</v>
      </c>
      <c r="AE6" s="3">
        <v>372</v>
      </c>
      <c r="AF6" s="3">
        <f>IF(ISERROR((VLOOKUP($A6,'SegEnds_NonXtal_BW#'!$A:$Z,22,FALSE)+VLOOKUP($A6,A:AL,31,FALSE)-50)),"-",(VLOOKUP($A6,'SegEnds_NonXtal_BW#'!$A:$Z,22,FALSE)+VLOOKUP($A6,A:AL,31,FALSE)-50))</f>
        <v>383</v>
      </c>
      <c r="AG6" s="3">
        <f>IF(ISERROR(VLOOKUP($A6,'SegEnds_NonXtal_BW#'!$A:$Z,23,FALSE)+VLOOKUP($A6,A:AL,34,FALSE)-50),"-",(VLOOKUP($A6,'SegEnds_NonXtal_BW#'!$A:$Z,23,FALSE)+VLOOKUP($A6,A:AL,34,FALSE)-50))</f>
        <v>389</v>
      </c>
      <c r="AH6" s="3">
        <v>411</v>
      </c>
      <c r="AI6" s="3">
        <f>IF(ISERROR((VLOOKUP($A6,'SegEnds_NonXtal_BW#'!$A:$Z,24,FALSE)+VLOOKUP($A6,A:AL,34,FALSE)-50)),"-",(VLOOKUP($A6,'SegEnds_NonXtal_BW#'!$A:$Z,24,FALSE)+VLOOKUP($A6,A:AL,34,FALSE)-50))</f>
        <v>417</v>
      </c>
      <c r="AJ6" s="3">
        <f>IF(ISERROR(VLOOKUP($A6,'SegEnds_NonXtal_BW#'!$A:$Z,25,FALSE)+VLOOKUP($A6,A:AL,37,FALSE)-50),"-",(VLOOKUP($A6,'SegEnds_NonXtal_BW#'!$A:$Z,25,FALSE)+VLOOKUP($A6,A:AL,37,FALSE)-50))</f>
        <v>418</v>
      </c>
      <c r="AK6" s="3">
        <v>421</v>
      </c>
      <c r="AL6" s="3">
        <f>IF(ISERROR((VLOOKUP($A6,'SegEnds_NonXtal_BW#'!$A:$Z,26,FALSE)+VLOOKUP($A6,A:AL,37,FALSE)-50)),"-",(VLOOKUP($A6,'SegEnds_NonXtal_BW#'!$A:$Z,26,FALSE)+VLOOKUP($A6,A:AL,37,FALSE)-50))</f>
        <v>429</v>
      </c>
      <c r="AM6" s="28" t="str">
        <f>VLOOKUP(A6,Classification!A:B,2,FALSE)</f>
        <v>A</v>
      </c>
      <c r="AN6" s="28" t="b">
        <f t="shared" si="0"/>
        <v>1</v>
      </c>
      <c r="AO6" s="3" t="str">
        <f>IF(ISERROR(MATCH(A6,'SegEnds_Xtal_Prot#'!B:B, 0)), "NoXtal", "Xtal")</f>
        <v>NoXtal</v>
      </c>
      <c r="AP6" s="3" t="str">
        <f t="shared" si="1"/>
        <v>-</v>
      </c>
      <c r="AQ6" s="3" t="str">
        <f t="shared" si="2"/>
        <v>-</v>
      </c>
      <c r="AR6" s="3" t="str">
        <f t="shared" si="3"/>
        <v>-</v>
      </c>
      <c r="AS6" s="3" t="str">
        <f t="shared" si="4"/>
        <v>-</v>
      </c>
      <c r="AT6" s="3">
        <f t="shared" si="5"/>
        <v>1</v>
      </c>
      <c r="AU6" s="3">
        <f t="shared" si="6"/>
        <v>1</v>
      </c>
      <c r="AV6" s="3" t="str">
        <f t="shared" si="7"/>
        <v>-</v>
      </c>
      <c r="AW6" s="3" t="str">
        <f t="shared" si="8"/>
        <v>-</v>
      </c>
      <c r="AX6" s="3">
        <f t="shared" si="9"/>
        <v>6</v>
      </c>
      <c r="AY6" s="3">
        <f t="shared" si="10"/>
        <v>6</v>
      </c>
      <c r="AZ6" s="3">
        <f t="shared" si="11"/>
        <v>1</v>
      </c>
      <c r="BA6" s="3">
        <f>IF(ISERROR(LEN(VLOOKUP(A6,Seqs!A:E,2,FALSE))-AL6),"-",LEN(VLOOKUP(A6,Seqs!A:E,2,FALSE))-AL6)</f>
        <v>33</v>
      </c>
      <c r="BB6" s="16">
        <f t="shared" si="12"/>
        <v>29</v>
      </c>
      <c r="BC6" s="9">
        <f t="shared" si="13"/>
        <v>19</v>
      </c>
      <c r="BD6" s="3">
        <f t="shared" si="14"/>
        <v>29</v>
      </c>
      <c r="BE6" s="3">
        <f t="shared" si="15"/>
        <v>47</v>
      </c>
    </row>
    <row r="7" spans="1:59" s="3" customFormat="1" x14ac:dyDescent="0.2">
      <c r="A7" s="3" t="s">
        <v>223</v>
      </c>
      <c r="B7" s="3" t="str">
        <f>LOWER(VLOOKUP(A7,Xtal_Templ!A:B,2,FALSE))</f>
        <v>agtr2_human</v>
      </c>
      <c r="C7" s="3">
        <f>VLOOKUP($A7,'SegEnds_NonXtal_BW#'!$A:$Z,3,FALSE)+D7-50</f>
        <v>37</v>
      </c>
      <c r="D7" s="3">
        <v>54</v>
      </c>
      <c r="E7" s="3">
        <f>IF(ISERROR(VLOOKUP($A7,'SegEnds_NonXtal_BW#'!$A:$Z,4,FALSE)+VLOOKUP($A7,A:AL,4,FALSE)-50),"-",(VLOOKUP($A7,'SegEnds_NonXtal_BW#'!$A:$Z,4,FALSE)+VLOOKUP($A7,A:AL,4,FALSE)-50))</f>
        <v>64</v>
      </c>
      <c r="F7" s="3" t="str">
        <f>IF(ISERROR(VLOOKUP($A7,'SegEnds_NonXtal_BW#'!$A:$Z,5,FALSE)+VLOOKUP($A7,A:AL,7,FALSE)-50),"-",(VLOOKUP($A7,'SegEnds_NonXtal_BW#'!$A:$Z,5,FALSE)+VLOOKUP($A7,A:AL,7,FALSE)-50))</f>
        <v>-</v>
      </c>
      <c r="G7" s="3" t="s">
        <v>23</v>
      </c>
      <c r="H7" s="3" t="str">
        <f>IF(ISERROR(VLOOKUP($A7,'SegEnds_NonXtal_BW#'!$A:$Z,6,FALSE)+VLOOKUP($A7,A:AL,7,FALSE)-50),"-",(VLOOKUP($A7,'SegEnds_NonXtal_BW#'!$A:$Z,6,FALSE)+VLOOKUP($A7,A:AL,7,FALSE)-50))</f>
        <v>-</v>
      </c>
      <c r="I7" s="3">
        <f>VLOOKUP($A7,'SegEnds_NonXtal_BW#'!$A:$Z,7,FALSE)+J7-50</f>
        <v>71</v>
      </c>
      <c r="J7" s="3">
        <v>84</v>
      </c>
      <c r="K7" s="3">
        <f>VLOOKUP($A7,'SegEnds_NonXtal_BW#'!$A:$Z,8,FALSE)+VLOOKUP($A7,A:AL,10,FALSE)-50</f>
        <v>100</v>
      </c>
      <c r="L7" s="3">
        <f>M7-1</f>
        <v>103</v>
      </c>
      <c r="M7" s="3">
        <v>104</v>
      </c>
      <c r="N7" s="3">
        <f>M7+2</f>
        <v>106</v>
      </c>
      <c r="O7" s="3">
        <f t="shared" ref="O7:O19" si="16">N7+1</f>
        <v>107</v>
      </c>
      <c r="P7" s="3">
        <v>136</v>
      </c>
      <c r="Q7" s="3">
        <f>VLOOKUP($A7,'SegEnds_NonXtal_BW#'!$A:$Z,12,FALSE)+VLOOKUP($A7,A:AL,16,FALSE)-50</f>
        <v>142</v>
      </c>
      <c r="R7" s="3">
        <f>IF(ISERROR(VLOOKUP($A7,'SegEnds_NonXtal_BW#'!$A:$Z,13,FALSE)+VLOOKUP($A7,A:AL,19,FALSE)-50),"-",VLOOKUP($A7,'SegEnds_NonXtal_BW#'!$A:$Z,13,FALSE)+VLOOKUP($A7,A:AL,19,FALSE)-50)</f>
        <v>143</v>
      </c>
      <c r="S7" s="3">
        <v>143</v>
      </c>
      <c r="T7" s="103">
        <f>IF(ISERROR(VLOOKUP($A7,'SegEnds_NonXtal_BW#'!$A:$Z,14,FALSE)+VLOOKUP($A7,A:AL,19,FALSE)-50),"-",(VLOOKUP($A7,'SegEnds_NonXtal_BW#'!$A:$Z,14,FALSE)+VLOOKUP($A7,A:AL,19,FALSE)-50))</f>
        <v>149</v>
      </c>
      <c r="U7" s="9">
        <f>IF(ISERROR(VLOOKUP($A7,'SegEnds_NonXtal_BW#'!$A:$Z,15,FALSE)+VLOOKUP($A7,A:AL,22,FALSE)-50),"-",VLOOKUP($A7,'SegEnds_NonXtal_BW#'!$A:$Z,15,FALSE)+VLOOKUP($A7,A:AL,22,FALSE)-50)</f>
        <v>150</v>
      </c>
      <c r="V7" s="3">
        <v>162</v>
      </c>
      <c r="W7" s="3">
        <f>IF(ISERROR(VLOOKUP($A7,'SegEnds_NonXtal_BW#'!$A:$Z,16,FALSE)+VLOOKUP($A7,A:AL,22,FALSE)-50),"-",(VLOOKUP($A7,'SegEnds_NonXtal_BW#'!$A:$Z,16,FALSE)+VLOOKUP($A7,A:AL,22,FALSE)-50))</f>
        <v>176</v>
      </c>
      <c r="X7" s="3">
        <f>IF(ISERROR(VLOOKUP($A7,'SegEnds_NonXtal_BW#'!$A:$Z,17,FALSE)+VLOOKUP($A7,A:AL,25,FALSE)-50),"-",(VLOOKUP($A7,'SegEnds_NonXtal_BW#'!$A:$Z,17,FALSE)+VLOOKUP($A7,A:AL,25,FALSE)-50))</f>
        <v>187</v>
      </c>
      <c r="Y7" s="3">
        <v>187</v>
      </c>
      <c r="Z7" s="3">
        <f>Y7+2</f>
        <v>189</v>
      </c>
      <c r="AA7" s="3">
        <f>IF(ISERROR(VLOOKUP($A7,'SegEnds_NonXtal_BW#'!$A:$Z,19,FALSE)+VLOOKUP($A7,A:AL,28,FALSE)-50),"-",(VLOOKUP($A7,'SegEnds_NonXtal_BW#'!$A:$Z,19,FALSE)+VLOOKUP($A7,A:AL,28,FALSE)-50))</f>
        <v>194</v>
      </c>
      <c r="AB7" s="3">
        <v>214</v>
      </c>
      <c r="AC7" s="3">
        <f>IF(ISERROR((VLOOKUP($A7,'SegEnds_NonXtal_BW#'!$A:$Z,20,FALSE)+VLOOKUP($A7,A:AL,28,FALSE)-50)),"-",(VLOOKUP($A7,'SegEnds_NonXtal_BW#'!$A:$Z,20,FALSE)+VLOOKUP($A7,A:AL,28,FALSE)-50))</f>
        <v>232</v>
      </c>
      <c r="AD7" s="3">
        <f>IF(ISERROR(VLOOKUP($A7,'SegEnds_NonXtal_BW#'!$A:$Z,21,FALSE)+VLOOKUP($A7,A:AL,31,FALSE)-50),"-",(VLOOKUP($A7,'SegEnds_NonXtal_BW#'!$A:$Z,21,FALSE)+VLOOKUP($A7,A:AL,31,FALSE)-50))</f>
        <v>238</v>
      </c>
      <c r="AE7" s="3">
        <v>265</v>
      </c>
      <c r="AF7" s="3">
        <f>IF(ISERROR((VLOOKUP($A7,'SegEnds_NonXtal_BW#'!$A:$Z,22,FALSE)+VLOOKUP($A7,A:AL,31,FALSE)-50)),"-",(VLOOKUP($A7,'SegEnds_NonXtal_BW#'!$A:$Z,22,FALSE)+VLOOKUP($A7,A:AL,31,FALSE)-50))</f>
        <v>276</v>
      </c>
      <c r="AG7" s="3">
        <f>IF(ISERROR(VLOOKUP($A7,'SegEnds_NonXtal_BW#'!$A:$Z,23,FALSE)+VLOOKUP($A7,A:AL,34,FALSE)-50),"-",(VLOOKUP($A7,'SegEnds_NonXtal_BW#'!$A:$Z,23,FALSE)+VLOOKUP($A7,A:AL,34,FALSE)-50))</f>
        <v>281</v>
      </c>
      <c r="AH7" s="3">
        <v>303</v>
      </c>
      <c r="AI7" s="3">
        <f>IF(ISERROR((VLOOKUP($A7,'SegEnds_NonXtal_BW#'!$A:$Z,24,FALSE)+VLOOKUP($A7,A:AL,34,FALSE)-50)),"-",(VLOOKUP($A7,'SegEnds_NonXtal_BW#'!$A:$Z,24,FALSE)+VLOOKUP($A7,A:AL,34,FALSE)-50))</f>
        <v>309</v>
      </c>
      <c r="AJ7" s="3">
        <f>IF(ISERROR(VLOOKUP($A7,'SegEnds_NonXtal_BW#'!$A:$Z,25,FALSE)+VLOOKUP($A7,A:AL,37,FALSE)-50),"-",(VLOOKUP($A7,'SegEnds_NonXtal_BW#'!$A:$Z,25,FALSE)+VLOOKUP($A7,A:AL,37,FALSE)-50))</f>
        <v>310</v>
      </c>
      <c r="AK7" s="3">
        <v>313</v>
      </c>
      <c r="AL7" s="3">
        <f>IF(ISERROR((VLOOKUP($A7,'SegEnds_NonXtal_BW#'!$A:$Z,26,FALSE)+VLOOKUP($A7,A:AL,37,FALSE)-50)),"-",(VLOOKUP($A7,'SegEnds_NonXtal_BW#'!$A:$Z,26,FALSE)+VLOOKUP($A7,A:AL,37,FALSE)-50))</f>
        <v>324</v>
      </c>
      <c r="AM7" s="28" t="str">
        <f>VLOOKUP(A7,Classification!A:B,2,FALSE)</f>
        <v>A</v>
      </c>
      <c r="AN7" s="28" t="b">
        <f t="shared" si="0"/>
        <v>1</v>
      </c>
      <c r="AO7" s="3" t="str">
        <f>IF(ISERROR(MATCH(A7,'SegEnds_Xtal_Prot#'!B:B, 0)), "NoXtal", "Xtal")</f>
        <v>NoXtal</v>
      </c>
      <c r="AP7" s="3" t="str">
        <f t="shared" si="1"/>
        <v>-</v>
      </c>
      <c r="AQ7" s="3" t="str">
        <f t="shared" si="2"/>
        <v>-</v>
      </c>
      <c r="AR7" s="3">
        <f t="shared" si="3"/>
        <v>3</v>
      </c>
      <c r="AS7" s="3">
        <f t="shared" si="4"/>
        <v>1</v>
      </c>
      <c r="AT7" s="3">
        <f t="shared" si="5"/>
        <v>1</v>
      </c>
      <c r="AU7" s="3">
        <f t="shared" si="6"/>
        <v>1</v>
      </c>
      <c r="AV7" s="3">
        <f t="shared" si="7"/>
        <v>11</v>
      </c>
      <c r="AW7" s="3">
        <f t="shared" si="8"/>
        <v>5</v>
      </c>
      <c r="AX7" s="3">
        <f t="shared" si="9"/>
        <v>6</v>
      </c>
      <c r="AY7" s="3">
        <f t="shared" si="10"/>
        <v>5</v>
      </c>
      <c r="AZ7" s="3">
        <f t="shared" si="11"/>
        <v>1</v>
      </c>
      <c r="BA7" s="3">
        <f>IF(ISERROR(LEN(VLOOKUP(A7,Seqs!A:E,2,FALSE))-AL7),"-",LEN(VLOOKUP(A7,Seqs!A:E,2,FALSE))-AL7)</f>
        <v>95</v>
      </c>
      <c r="BB7" s="16">
        <f t="shared" si="12"/>
        <v>30</v>
      </c>
      <c r="BC7" s="9">
        <f t="shared" si="13"/>
        <v>19</v>
      </c>
      <c r="BD7" s="3">
        <f t="shared" si="14"/>
        <v>30</v>
      </c>
      <c r="BE7" s="3">
        <f t="shared" si="15"/>
        <v>51</v>
      </c>
    </row>
    <row r="8" spans="1:59" s="3" customFormat="1" x14ac:dyDescent="0.2">
      <c r="A8" s="3" t="s">
        <v>231</v>
      </c>
      <c r="B8" s="3" t="str">
        <f>LOWER(VLOOKUP(A8,Xtal_Templ!A:B,2,FALSE))</f>
        <v>p2ry1_human</v>
      </c>
      <c r="C8" s="3">
        <f>VLOOKUP($A8,'SegEnds_NonXtal_BW#'!$A:$Z,3,FALSE)+D8-50</f>
        <v>17</v>
      </c>
      <c r="D8" s="3">
        <v>37</v>
      </c>
      <c r="E8" s="3">
        <f>IF(ISERROR(VLOOKUP($A8,'SegEnds_NonXtal_BW#'!$A:$Z,4,FALSE)+VLOOKUP($A8,A:AL,4,FALSE)-50),"-",(VLOOKUP($A8,'SegEnds_NonXtal_BW#'!$A:$Z,4,FALSE)+VLOOKUP($A8,A:AL,4,FALSE)-50))</f>
        <v>47</v>
      </c>
      <c r="F8" s="3" t="str">
        <f>IF(ISERROR(VLOOKUP($A8,'SegEnds_NonXtal_BW#'!$A:$Z,5,FALSE)+VLOOKUP($A8,A:AL,7,FALSE)-50),"-",(VLOOKUP($A8,'SegEnds_NonXtal_BW#'!$A:$Z,5,FALSE)+VLOOKUP($A8,A:AL,7,FALSE)-50))</f>
        <v>-</v>
      </c>
      <c r="G8" s="3" t="s">
        <v>23</v>
      </c>
      <c r="H8" s="3" t="str">
        <f>IF(ISERROR(VLOOKUP($A8,'SegEnds_NonXtal_BW#'!$A:$Z,6,FALSE)+VLOOKUP($A8,A:AL,7,FALSE)-50),"-",(VLOOKUP($A8,'SegEnds_NonXtal_BW#'!$A:$Z,6,FALSE)+VLOOKUP($A8,A:AL,7,FALSE)-50))</f>
        <v>-</v>
      </c>
      <c r="I8" s="3">
        <f>VLOOKUP($A8,'SegEnds_NonXtal_BW#'!$A:$Z,7,FALSE)+J8-50</f>
        <v>52</v>
      </c>
      <c r="J8" s="3">
        <v>65</v>
      </c>
      <c r="K8" s="3">
        <f>VLOOKUP($A8,'SegEnds_NonXtal_BW#'!$A:$Z,8,FALSE)+VLOOKUP($A8,A:AL,10,FALSE)-50</f>
        <v>81</v>
      </c>
      <c r="L8" s="3">
        <f>M8-1</f>
        <v>83</v>
      </c>
      <c r="M8" s="3">
        <v>84</v>
      </c>
      <c r="N8" s="3">
        <f>M8+2</f>
        <v>86</v>
      </c>
      <c r="O8" s="3">
        <f t="shared" si="16"/>
        <v>87</v>
      </c>
      <c r="P8" s="3">
        <v>116</v>
      </c>
      <c r="Q8" s="3">
        <f>VLOOKUP($A8,'SegEnds_NonXtal_BW#'!$A:$Z,12,FALSE)+VLOOKUP($A8,A:AL,16,FALSE)-50</f>
        <v>122</v>
      </c>
      <c r="R8" s="3">
        <f>IF(ISERROR(VLOOKUP($A8,'SegEnds_NonXtal_BW#'!$A:$Z,13,FALSE)+VLOOKUP($A8,A:AL,19,FALSE)-50),"-",VLOOKUP($A8,'SegEnds_NonXtal_BW#'!$A:$Z,13,FALSE)+VLOOKUP($A8,A:AL,19,FALSE)-50)</f>
        <v>123</v>
      </c>
      <c r="S8" s="3">
        <v>123</v>
      </c>
      <c r="T8" s="103">
        <f>IF(ISERROR(VLOOKUP($A8,'SegEnds_NonXtal_BW#'!$A:$Z,14,FALSE)+VLOOKUP($A8,A:AL,19,FALSE)-50),"-",(VLOOKUP($A8,'SegEnds_NonXtal_BW#'!$A:$Z,14,FALSE)+VLOOKUP($A8,A:AL,19,FALSE)-50))</f>
        <v>129</v>
      </c>
      <c r="U8" s="9">
        <f>IF(ISERROR(VLOOKUP($A8,'SegEnds_NonXtal_BW#'!$A:$Z,15,FALSE)+VLOOKUP($A8,A:AL,22,FALSE)-50),"-",VLOOKUP($A8,'SegEnds_NonXtal_BW#'!$A:$Z,15,FALSE)+VLOOKUP($A8,A:AL,22,FALSE)-50)</f>
        <v>130</v>
      </c>
      <c r="V8" s="3">
        <v>142</v>
      </c>
      <c r="W8" s="3">
        <f>IF(ISERROR(VLOOKUP($A8,'SegEnds_NonXtal_BW#'!$A:$Z,16,FALSE)+VLOOKUP($A8,A:AL,22,FALSE)-50),"-",(VLOOKUP($A8,'SegEnds_NonXtal_BW#'!$A:$Z,16,FALSE)+VLOOKUP($A8,A:AL,22,FALSE)-50))</f>
        <v>156</v>
      </c>
      <c r="X8" s="3">
        <f>IF(ISERROR(VLOOKUP($A8,'SegEnds_NonXtal_BW#'!$A:$Z,17,FALSE)+VLOOKUP($A8,A:AL,25,FALSE)-50),"-",(VLOOKUP($A8,'SegEnds_NonXtal_BW#'!$A:$Z,17,FALSE)+VLOOKUP($A8,A:AL,25,FALSE)-50))</f>
        <v>168</v>
      </c>
      <c r="Y8" s="3">
        <v>168</v>
      </c>
      <c r="Z8" s="3">
        <f>Y8+2</f>
        <v>170</v>
      </c>
      <c r="AA8" s="3">
        <f>IF(ISERROR(VLOOKUP($A8,'SegEnds_NonXtal_BW#'!$A:$Z,19,FALSE)+VLOOKUP($A8,A:AL,28,FALSE)-50),"-",(VLOOKUP($A8,'SegEnds_NonXtal_BW#'!$A:$Z,19,FALSE)+VLOOKUP($A8,A:AL,28,FALSE)-50))</f>
        <v>179</v>
      </c>
      <c r="AB8" s="3">
        <v>197</v>
      </c>
      <c r="AC8" s="3">
        <f>IF(ISERROR((VLOOKUP($A8,'SegEnds_NonXtal_BW#'!$A:$Z,20,FALSE)+VLOOKUP($A8,A:AL,28,FALSE)-50)),"-",(VLOOKUP($A8,'SegEnds_NonXtal_BW#'!$A:$Z,20,FALSE)+VLOOKUP($A8,A:AL,28,FALSE)-50))</f>
        <v>215</v>
      </c>
      <c r="AD8" s="3">
        <f>IF(ISERROR(VLOOKUP($A8,'SegEnds_NonXtal_BW#'!$A:$Z,21,FALSE)+VLOOKUP($A8,A:AL,31,FALSE)-50),"-",(VLOOKUP($A8,'SegEnds_NonXtal_BW#'!$A:$Z,21,FALSE)+VLOOKUP($A8,A:AL,31,FALSE)-50))</f>
        <v>219</v>
      </c>
      <c r="AE8" s="3">
        <v>245</v>
      </c>
      <c r="AF8" s="3">
        <f>IF(ISERROR((VLOOKUP($A8,'SegEnds_NonXtal_BW#'!$A:$Z,22,FALSE)+VLOOKUP($A8,A:AL,31,FALSE)-50)),"-",(VLOOKUP($A8,'SegEnds_NonXtal_BW#'!$A:$Z,22,FALSE)+VLOOKUP($A8,A:AL,31,FALSE)-50))</f>
        <v>259</v>
      </c>
      <c r="AG8" s="3">
        <f>IF(ISERROR(VLOOKUP($A8,'SegEnds_NonXtal_BW#'!$A:$Z,23,FALSE)+VLOOKUP($A8,A:AL,34,FALSE)-50),"-",(VLOOKUP($A8,'SegEnds_NonXtal_BW#'!$A:$Z,23,FALSE)+VLOOKUP($A8,A:AL,34,FALSE)-50))</f>
        <v>263</v>
      </c>
      <c r="AH8" s="3">
        <v>289</v>
      </c>
      <c r="AI8" s="3">
        <f>IF(ISERROR((VLOOKUP($A8,'SegEnds_NonXtal_BW#'!$A:$Z,24,FALSE)+VLOOKUP($A8,A:AL,34,FALSE)-50)),"-",(VLOOKUP($A8,'SegEnds_NonXtal_BW#'!$A:$Z,24,FALSE)+VLOOKUP($A8,A:AL,34,FALSE)-50))</f>
        <v>295</v>
      </c>
      <c r="AJ8" s="3">
        <f>IF(ISERROR(VLOOKUP($A8,'SegEnds_NonXtal_BW#'!$A:$Z,25,FALSE)+VLOOKUP($A8,A:AL,37,FALSE)-50),"-",(VLOOKUP($A8,'SegEnds_NonXtal_BW#'!$A:$Z,25,FALSE)+VLOOKUP($A8,A:AL,37,FALSE)-50))</f>
        <v>296</v>
      </c>
      <c r="AK8" s="3">
        <v>299</v>
      </c>
      <c r="AL8" s="3">
        <f>IF(ISERROR((VLOOKUP($A8,'SegEnds_NonXtal_BW#'!$A:$Z,26,FALSE)+VLOOKUP($A8,A:AL,37,FALSE)-50)),"-",(VLOOKUP($A8,'SegEnds_NonXtal_BW#'!$A:$Z,26,FALSE)+VLOOKUP($A8,A:AL,37,FALSE)-50))</f>
        <v>308</v>
      </c>
      <c r="AM8" s="28" t="str">
        <f>VLOOKUP(A8,Classification!A:B,2,FALSE)</f>
        <v>A</v>
      </c>
      <c r="AN8" s="28" t="b">
        <f t="shared" si="0"/>
        <v>1</v>
      </c>
      <c r="AO8" s="3" t="str">
        <f>IF(ISERROR(MATCH(A8,'SegEnds_Xtal_Prot#'!B:B, 0)), "NoXtal", "Xtal")</f>
        <v>NoXtal</v>
      </c>
      <c r="AP8" s="3" t="str">
        <f t="shared" si="1"/>
        <v>-</v>
      </c>
      <c r="AQ8" s="3" t="str">
        <f t="shared" si="2"/>
        <v>-</v>
      </c>
      <c r="AR8" s="3">
        <f t="shared" si="3"/>
        <v>2</v>
      </c>
      <c r="AS8" s="3">
        <f t="shared" si="4"/>
        <v>1</v>
      </c>
      <c r="AT8" s="3">
        <f t="shared" si="5"/>
        <v>1</v>
      </c>
      <c r="AU8" s="3">
        <f t="shared" si="6"/>
        <v>1</v>
      </c>
      <c r="AV8" s="3">
        <f t="shared" si="7"/>
        <v>12</v>
      </c>
      <c r="AW8" s="3">
        <f t="shared" si="8"/>
        <v>9</v>
      </c>
      <c r="AX8" s="3">
        <f t="shared" si="9"/>
        <v>4</v>
      </c>
      <c r="AY8" s="3">
        <f t="shared" si="10"/>
        <v>4</v>
      </c>
      <c r="AZ8" s="3">
        <f t="shared" si="11"/>
        <v>1</v>
      </c>
      <c r="BA8" s="3">
        <f>IF(ISERROR(LEN(VLOOKUP(A8,Seqs!A:E,2,FALSE))-AL8),"-",LEN(VLOOKUP(A8,Seqs!A:E,2,FALSE))-AL8)</f>
        <v>25</v>
      </c>
      <c r="BB8" s="16">
        <f t="shared" si="12"/>
        <v>28</v>
      </c>
      <c r="BC8" s="9">
        <f t="shared" si="13"/>
        <v>19</v>
      </c>
      <c r="BD8" s="3">
        <f t="shared" si="14"/>
        <v>28</v>
      </c>
      <c r="BE8" s="3">
        <f t="shared" si="15"/>
        <v>48</v>
      </c>
      <c r="BF8" s="3">
        <f>AH8-AE8</f>
        <v>44</v>
      </c>
    </row>
    <row r="9" spans="1:59" s="3" customFormat="1" x14ac:dyDescent="0.2">
      <c r="A9" s="3" t="s">
        <v>103</v>
      </c>
      <c r="B9" s="3" t="str">
        <f>LOWER(VLOOKUP(A9,Xtal_Templ!A:B,2,FALSE))</f>
        <v>lpar1_human</v>
      </c>
      <c r="C9" s="3">
        <f>VLOOKUP($A9,'SegEnds_NonXtal_BW#'!$A:$Z,3,FALSE)+D9-50</f>
        <v>47</v>
      </c>
      <c r="D9" s="3">
        <v>67</v>
      </c>
      <c r="E9" s="3">
        <f>IF(ISERROR(VLOOKUP($A9,'SegEnds_NonXtal_BW#'!$A:$Z,4,FALSE)+VLOOKUP($A9,A:AL,4,FALSE)-50),"-",(VLOOKUP($A9,'SegEnds_NonXtal_BW#'!$A:$Z,4,FALSE)+VLOOKUP($A9,A:AL,4,FALSE)-50))</f>
        <v>77</v>
      </c>
      <c r="F9" s="3">
        <f t="shared" ref="F9:F17" si="17">G9-2</f>
        <v>78</v>
      </c>
      <c r="G9" s="3">
        <v>80</v>
      </c>
      <c r="H9" s="3">
        <f t="shared" ref="H9:I17" si="18">G9+1</f>
        <v>81</v>
      </c>
      <c r="I9" s="3">
        <f t="shared" si="18"/>
        <v>82</v>
      </c>
      <c r="J9" s="3">
        <v>95</v>
      </c>
      <c r="K9" s="3">
        <f>VLOOKUP($A9,'SegEnds_NonXtal_BW#'!$A:$Z,8,FALSE)+VLOOKUP($A9,A:AL,10,FALSE)-50</f>
        <v>108</v>
      </c>
      <c r="L9" s="3">
        <f>M9-3</f>
        <v>110</v>
      </c>
      <c r="M9" s="3">
        <v>113</v>
      </c>
      <c r="N9" s="3">
        <f>M9+3</f>
        <v>116</v>
      </c>
      <c r="O9" s="3">
        <f t="shared" si="16"/>
        <v>117</v>
      </c>
      <c r="P9" s="3">
        <v>146</v>
      </c>
      <c r="Q9" s="3">
        <f>VLOOKUP($A9,'SegEnds_NonXtal_BW#'!$A:$Z,12,FALSE)+VLOOKUP($A9,A:AL,16,FALSE)-50</f>
        <v>152</v>
      </c>
      <c r="R9" s="3">
        <f>IF(ISERROR(VLOOKUP($A9,'SegEnds_NonXtal_BW#'!$A:$Z,13,FALSE)+VLOOKUP($A9,A:AL,19,FALSE)-50),"-",VLOOKUP($A9,'SegEnds_NonXtal_BW#'!$A:$Z,13,FALSE)+VLOOKUP($A9,A:AL,19,FALSE)-50)</f>
        <v>153</v>
      </c>
      <c r="S9" s="3">
        <v>153</v>
      </c>
      <c r="T9" s="103">
        <f>IF(ISERROR(VLOOKUP($A9,'SegEnds_NonXtal_BW#'!$A:$Z,14,FALSE)+VLOOKUP($A9,A:AL,19,FALSE)-50),"-",(VLOOKUP($A9,'SegEnds_NonXtal_BW#'!$A:$Z,14,FALSE)+VLOOKUP($A9,A:AL,19,FALSE)-50))</f>
        <v>159</v>
      </c>
      <c r="U9" s="9">
        <f>IF(ISERROR(VLOOKUP($A9,'SegEnds_NonXtal_BW#'!$A:$Z,15,FALSE)+VLOOKUP($A9,A:AL,22,FALSE)-50),"-",VLOOKUP($A9,'SegEnds_NonXtal_BW#'!$A:$Z,15,FALSE)+VLOOKUP($A9,A:AL,22,FALSE)-50)</f>
        <v>160</v>
      </c>
      <c r="V9" s="3">
        <v>172</v>
      </c>
      <c r="W9" s="3">
        <f>IF(ISERROR(VLOOKUP($A9,'SegEnds_NonXtal_BW#'!$A:$Z,16,FALSE)+VLOOKUP($A9,A:AL,22,FALSE)-50),"-",(VLOOKUP($A9,'SegEnds_NonXtal_BW#'!$A:$Z,16,FALSE)+VLOOKUP($A9,A:AL,22,FALSE)-50))</f>
        <v>185</v>
      </c>
      <c r="X9" s="3" t="str">
        <f>IF(ISERROR(VLOOKUP($A9,'SegEnds_NonXtal_BW#'!$A:$Z,17,FALSE)+VLOOKUP($A9,A:AL,25,FALSE)-50),"-",(VLOOKUP($A9,'SegEnds_NonXtal_BW#'!$A:$Z,17,FALSE)+VLOOKUP($A9,A:AL,25,FALSE)-50))</f>
        <v>-</v>
      </c>
      <c r="Y9" s="3" t="s">
        <v>23</v>
      </c>
      <c r="Z9" s="3" t="str">
        <f>IF(ISERROR(VLOOKUP($A9,'SegEnds_NonXtal_BW#'!$A:$Z,18,FALSE)+VLOOKUP($A9,A:AL,25,FALSE)-50),"-",(VLOOKUP($A9,'SegEnds_NonXtal_BW#'!$A:$Z,18,FALSE)+VLOOKUP($A9,A:AL,25,FALSE)-50))</f>
        <v>-</v>
      </c>
      <c r="AA9" s="3">
        <f>IF(ISERROR(VLOOKUP($A9,'SegEnds_NonXtal_BW#'!$A:$Z,19,FALSE)+VLOOKUP($A9,A:AL,28,FALSE)-50),"-",(VLOOKUP($A9,'SegEnds_NonXtal_BW#'!$A:$Z,19,FALSE)+VLOOKUP($A9,A:AL,28,FALSE)-50))</f>
        <v>203</v>
      </c>
      <c r="AB9" s="3">
        <v>217</v>
      </c>
      <c r="AC9" s="3">
        <f>IF(ISERROR((VLOOKUP($A9,'SegEnds_NonXtal_BW#'!$A:$Z,20,FALSE)+VLOOKUP($A9,A:AL,28,FALSE)-50)),"-",(VLOOKUP($A9,'SegEnds_NonXtal_BW#'!$A:$Z,20,FALSE)+VLOOKUP($A9,A:AL,28,FALSE)-50))</f>
        <v>240</v>
      </c>
      <c r="AD9" s="3">
        <f>IF(ISERROR(VLOOKUP($A9,'SegEnds_NonXtal_BW#'!$A:$Z,21,FALSE)+VLOOKUP($A9,A:AL,31,FALSE)-50),"-",(VLOOKUP($A9,'SegEnds_NonXtal_BW#'!$A:$Z,21,FALSE)+VLOOKUP($A9,A:AL,31,FALSE)-50))</f>
        <v>245</v>
      </c>
      <c r="AE9" s="3">
        <v>273</v>
      </c>
      <c r="AF9" s="3">
        <f>IF(ISERROR((VLOOKUP($A9,'SegEnds_NonXtal_BW#'!$A:$Z,22,FALSE)+VLOOKUP($A9,A:AL,31,FALSE)-50)),"-",(VLOOKUP($A9,'SegEnds_NonXtal_BW#'!$A:$Z,22,FALSE)+VLOOKUP($A9,A:AL,31,FALSE)-50))</f>
        <v>284</v>
      </c>
      <c r="AG9" s="3">
        <f>IF(ISERROR(VLOOKUP($A9,'SegEnds_NonXtal_BW#'!$A:$Z,23,FALSE)+VLOOKUP($A9,A:AL,34,FALSE)-50),"-",(VLOOKUP($A9,'SegEnds_NonXtal_BW#'!$A:$Z,23,FALSE)+VLOOKUP($A9,A:AL,34,FALSE)-50))</f>
        <v>288</v>
      </c>
      <c r="AH9" s="3">
        <v>308</v>
      </c>
      <c r="AI9" s="3">
        <f>IF(ISERROR((VLOOKUP($A9,'SegEnds_NonXtal_BW#'!$A:$Z,24,FALSE)+VLOOKUP($A9,A:AL,34,FALSE)-50)),"-",(VLOOKUP($A9,'SegEnds_NonXtal_BW#'!$A:$Z,24,FALSE)+VLOOKUP($A9,A:AL,34,FALSE)-50))</f>
        <v>314</v>
      </c>
      <c r="AJ9" s="3">
        <f>IF(ISERROR(VLOOKUP($A9,'SegEnds_NonXtal_BW#'!$A:$Z,25,FALSE)+VLOOKUP($A9,A:AL,37,FALSE)-50),"-",(VLOOKUP($A9,'SegEnds_NonXtal_BW#'!$A:$Z,25,FALSE)+VLOOKUP($A9,A:AL,37,FALSE)-50))</f>
        <v>315</v>
      </c>
      <c r="AK9" s="3">
        <v>318</v>
      </c>
      <c r="AL9" s="3">
        <f>IF(ISERROR((VLOOKUP($A9,'SegEnds_NonXtal_BW#'!$A:$Z,26,FALSE)+VLOOKUP($A9,A:AL,37,FALSE)-50)),"-",(VLOOKUP($A9,'SegEnds_NonXtal_BW#'!$A:$Z,26,FALSE)+VLOOKUP($A9,A:AL,37,FALSE)-50))</f>
        <v>327</v>
      </c>
      <c r="AM9" s="28" t="str">
        <f>VLOOKUP(A9,Classification!A:B,2,FALSE)</f>
        <v>A</v>
      </c>
      <c r="AN9" s="28" t="b">
        <f t="shared" si="0"/>
        <v>1</v>
      </c>
      <c r="AO9" s="3" t="str">
        <f>IF(ISERROR(MATCH(A9,'SegEnds_Xtal_Prot#'!B:B, 0)), "NoXtal", "Xtal")</f>
        <v>Xtal</v>
      </c>
      <c r="AP9" s="3">
        <f t="shared" si="1"/>
        <v>1</v>
      </c>
      <c r="AQ9" s="3">
        <f t="shared" si="2"/>
        <v>1</v>
      </c>
      <c r="AR9" s="3">
        <f t="shared" si="3"/>
        <v>2</v>
      </c>
      <c r="AS9" s="3">
        <f t="shared" si="4"/>
        <v>1</v>
      </c>
      <c r="AT9" s="3">
        <f t="shared" si="5"/>
        <v>1</v>
      </c>
      <c r="AU9" s="3">
        <f t="shared" si="6"/>
        <v>1</v>
      </c>
      <c r="AV9" s="3" t="str">
        <f t="shared" si="7"/>
        <v>-</v>
      </c>
      <c r="AW9" s="3" t="str">
        <f t="shared" si="8"/>
        <v>-</v>
      </c>
      <c r="AX9" s="3">
        <f t="shared" si="9"/>
        <v>5</v>
      </c>
      <c r="AY9" s="3">
        <f t="shared" si="10"/>
        <v>4</v>
      </c>
      <c r="AZ9" s="3">
        <f t="shared" si="11"/>
        <v>1</v>
      </c>
      <c r="BA9" s="3">
        <f>IF(ISERROR(LEN(VLOOKUP(A9,Seqs!A:E,2,FALSE))-AL9),"-",LEN(VLOOKUP(A9,Seqs!A:E,2,FALSE))-AL9)</f>
        <v>37</v>
      </c>
      <c r="BB9" s="16">
        <f t="shared" si="12"/>
        <v>28</v>
      </c>
      <c r="BC9" s="9">
        <f t="shared" si="13"/>
        <v>19</v>
      </c>
      <c r="BD9" s="3">
        <f t="shared" si="14"/>
        <v>28</v>
      </c>
      <c r="BE9" s="3">
        <f t="shared" si="15"/>
        <v>56</v>
      </c>
    </row>
    <row r="10" spans="1:59" s="3" customFormat="1" x14ac:dyDescent="0.2">
      <c r="A10" s="3" t="s">
        <v>286</v>
      </c>
      <c r="B10" s="3" t="str">
        <f>LOWER(VLOOKUP(A10,Xtal_Templ!A:B,2,FALSE))</f>
        <v>lpar1_human</v>
      </c>
      <c r="C10" s="3">
        <f>VLOOKUP($A10,'SegEnds_NonXtal_BW#'!$A:$Z,3,FALSE)+D10-50</f>
        <v>30</v>
      </c>
      <c r="D10" s="3">
        <v>50</v>
      </c>
      <c r="E10" s="3">
        <f>IF(ISERROR(VLOOKUP($A10,'SegEnds_NonXtal_BW#'!$A:$Z,4,FALSE)+VLOOKUP($A10,A:AL,4,FALSE)-50),"-",(VLOOKUP($A10,'SegEnds_NonXtal_BW#'!$A:$Z,4,FALSE)+VLOOKUP($A10,A:AL,4,FALSE)-50))</f>
        <v>60</v>
      </c>
      <c r="F10" s="3">
        <f t="shared" si="17"/>
        <v>61</v>
      </c>
      <c r="G10" s="3">
        <v>63</v>
      </c>
      <c r="H10" s="3">
        <f t="shared" si="18"/>
        <v>64</v>
      </c>
      <c r="I10" s="3">
        <f t="shared" si="18"/>
        <v>65</v>
      </c>
      <c r="J10" s="3">
        <v>78</v>
      </c>
      <c r="K10" s="3">
        <f>VLOOKUP($A10,'SegEnds_NonXtal_BW#'!$A:$Z,8,FALSE)+VLOOKUP($A10,A:AL,10,FALSE)-50</f>
        <v>91</v>
      </c>
      <c r="L10" s="3">
        <f>M10-3</f>
        <v>93</v>
      </c>
      <c r="M10" s="3">
        <v>96</v>
      </c>
      <c r="N10" s="3">
        <f>M10+3</f>
        <v>99</v>
      </c>
      <c r="O10" s="3">
        <f t="shared" si="16"/>
        <v>100</v>
      </c>
      <c r="P10" s="3">
        <v>129</v>
      </c>
      <c r="Q10" s="3">
        <f>VLOOKUP($A10,'SegEnds_NonXtal_BW#'!$A:$Z,12,FALSE)+VLOOKUP($A10,A:AL,16,FALSE)-50</f>
        <v>135</v>
      </c>
      <c r="R10" s="3">
        <f>IF(ISERROR(VLOOKUP($A10,'SegEnds_NonXtal_BW#'!$A:$Z,13,FALSE)+VLOOKUP($A10,A:AL,19,FALSE)-50),"-",VLOOKUP($A10,'SegEnds_NonXtal_BW#'!$A:$Z,13,FALSE)+VLOOKUP($A10,A:AL,19,FALSE)-50)</f>
        <v>136</v>
      </c>
      <c r="S10" s="3">
        <v>136</v>
      </c>
      <c r="T10" s="103">
        <f>IF(ISERROR(VLOOKUP($A10,'SegEnds_NonXtal_BW#'!$A:$Z,14,FALSE)+VLOOKUP($A10,A:AL,19,FALSE)-50),"-",(VLOOKUP($A10,'SegEnds_NonXtal_BW#'!$A:$Z,14,FALSE)+VLOOKUP($A10,A:AL,19,FALSE)-50))</f>
        <v>142</v>
      </c>
      <c r="U10" s="9">
        <f>IF(ISERROR(VLOOKUP($A10,'SegEnds_NonXtal_BW#'!$A:$Z,15,FALSE)+VLOOKUP($A10,A:AL,22,FALSE)-50),"-",VLOOKUP($A10,'SegEnds_NonXtal_BW#'!$A:$Z,15,FALSE)+VLOOKUP($A10,A:AL,22,FALSE)-50)</f>
        <v>143</v>
      </c>
      <c r="V10" s="3">
        <v>155</v>
      </c>
      <c r="W10" s="3">
        <f>IF(ISERROR(VLOOKUP($A10,'SegEnds_NonXtal_BW#'!$A:$Z,16,FALSE)+VLOOKUP($A10,A:AL,22,FALSE)-50),"-",(VLOOKUP($A10,'SegEnds_NonXtal_BW#'!$A:$Z,16,FALSE)+VLOOKUP($A10,A:AL,22,FALSE)-50))</f>
        <v>168</v>
      </c>
      <c r="X10" s="3" t="str">
        <f>IF(ISERROR(VLOOKUP($A10,'SegEnds_NonXtal_BW#'!$A:$Z,17,FALSE)+VLOOKUP($A10,A:AL,25,FALSE)-50),"-",(VLOOKUP($A10,'SegEnds_NonXtal_BW#'!$A:$Z,17,FALSE)+VLOOKUP($A10,A:AL,25,FALSE)-50))</f>
        <v>-</v>
      </c>
      <c r="Y10" s="3" t="s">
        <v>23</v>
      </c>
      <c r="Z10" s="3" t="str">
        <f>IF(ISERROR(VLOOKUP($A10,'SegEnds_NonXtal_BW#'!$A:$Z,18,FALSE)+VLOOKUP($A10,A:AL,25,FALSE)-50),"-",(VLOOKUP($A10,'SegEnds_NonXtal_BW#'!$A:$Z,18,FALSE)+VLOOKUP($A10,A:AL,25,FALSE)-50))</f>
        <v>-</v>
      </c>
      <c r="AA10" s="3">
        <f>IF(ISERROR(VLOOKUP($A10,'SegEnds_NonXtal_BW#'!$A:$Z,19,FALSE)+VLOOKUP($A10,A:AL,28,FALSE)-50),"-",(VLOOKUP($A10,'SegEnds_NonXtal_BW#'!$A:$Z,19,FALSE)+VLOOKUP($A10,A:AL,28,FALSE)-50))</f>
        <v>186</v>
      </c>
      <c r="AB10" s="3">
        <v>200</v>
      </c>
      <c r="AC10" s="3">
        <f>IF(ISERROR((VLOOKUP($A10,'SegEnds_NonXtal_BW#'!$A:$Z,20,FALSE)+VLOOKUP($A10,A:AL,28,FALSE)-50)),"-",(VLOOKUP($A10,'SegEnds_NonXtal_BW#'!$A:$Z,20,FALSE)+VLOOKUP($A10,A:AL,28,FALSE)-50))</f>
        <v>223</v>
      </c>
      <c r="AD10" s="3">
        <f>IF(ISERROR(VLOOKUP($A10,'SegEnds_NonXtal_BW#'!$A:$Z,21,FALSE)+VLOOKUP($A10,A:AL,31,FALSE)-50),"-",(VLOOKUP($A10,'SegEnds_NonXtal_BW#'!$A:$Z,21,FALSE)+VLOOKUP($A10,A:AL,31,FALSE)-50))</f>
        <v>228</v>
      </c>
      <c r="AE10" s="3">
        <v>256</v>
      </c>
      <c r="AF10" s="3">
        <f>IF(ISERROR((VLOOKUP($A10,'SegEnds_NonXtal_BW#'!$A:$Z,22,FALSE)+VLOOKUP($A10,A:AL,31,FALSE)-50)),"-",(VLOOKUP($A10,'SegEnds_NonXtal_BW#'!$A:$Z,22,FALSE)+VLOOKUP($A10,A:AL,31,FALSE)-50))</f>
        <v>267</v>
      </c>
      <c r="AG10" s="3">
        <f>IF(ISERROR(VLOOKUP($A10,'SegEnds_NonXtal_BW#'!$A:$Z,23,FALSE)+VLOOKUP($A10,A:AL,34,FALSE)-50),"-",(VLOOKUP($A10,'SegEnds_NonXtal_BW#'!$A:$Z,23,FALSE)+VLOOKUP($A10,A:AL,34,FALSE)-50))</f>
        <v>272</v>
      </c>
      <c r="AH10" s="3">
        <v>292</v>
      </c>
      <c r="AI10" s="3">
        <f>IF(ISERROR((VLOOKUP($A10,'SegEnds_NonXtal_BW#'!$A:$Z,24,FALSE)+VLOOKUP($A10,A:AL,34,FALSE)-50)),"-",(VLOOKUP($A10,'SegEnds_NonXtal_BW#'!$A:$Z,24,FALSE)+VLOOKUP($A10,A:AL,34,FALSE)-50))</f>
        <v>298</v>
      </c>
      <c r="AJ10" s="3">
        <f>IF(ISERROR(VLOOKUP($A10,'SegEnds_NonXtal_BW#'!$A:$Z,25,FALSE)+VLOOKUP($A10,A:AL,37,FALSE)-50),"-",(VLOOKUP($A10,'SegEnds_NonXtal_BW#'!$A:$Z,25,FALSE)+VLOOKUP($A10,A:AL,37,FALSE)-50))</f>
        <v>299</v>
      </c>
      <c r="AK10" s="3">
        <v>302</v>
      </c>
      <c r="AL10" s="3">
        <f>IF(ISERROR((VLOOKUP($A10,'SegEnds_NonXtal_BW#'!$A:$Z,26,FALSE)+VLOOKUP($A10,A:AL,37,FALSE)-50)),"-",(VLOOKUP($A10,'SegEnds_NonXtal_BW#'!$A:$Z,26,FALSE)+VLOOKUP($A10,A:AL,37,FALSE)-50))</f>
        <v>311</v>
      </c>
      <c r="AM10" s="28" t="str">
        <f>VLOOKUP(A10,Classification!A:B,2,FALSE)</f>
        <v>A</v>
      </c>
      <c r="AN10" s="28" t="b">
        <f t="shared" si="0"/>
        <v>1</v>
      </c>
      <c r="AO10" s="3" t="str">
        <f>IF(ISERROR(MATCH(A10,'SegEnds_Xtal_Prot#'!B:B, 0)), "NoXtal", "Xtal")</f>
        <v>NoXtal</v>
      </c>
      <c r="AP10" s="3">
        <f t="shared" si="1"/>
        <v>1</v>
      </c>
      <c r="AQ10" s="3">
        <f t="shared" si="2"/>
        <v>1</v>
      </c>
      <c r="AR10" s="3">
        <f t="shared" si="3"/>
        <v>2</v>
      </c>
      <c r="AS10" s="3">
        <f t="shared" si="4"/>
        <v>1</v>
      </c>
      <c r="AT10" s="3">
        <f t="shared" si="5"/>
        <v>1</v>
      </c>
      <c r="AU10" s="3">
        <f t="shared" si="6"/>
        <v>1</v>
      </c>
      <c r="AV10" s="3" t="str">
        <f t="shared" si="7"/>
        <v>-</v>
      </c>
      <c r="AW10" s="3" t="str">
        <f t="shared" si="8"/>
        <v>-</v>
      </c>
      <c r="AX10" s="3">
        <f t="shared" si="9"/>
        <v>5</v>
      </c>
      <c r="AY10" s="3">
        <f t="shared" si="10"/>
        <v>5</v>
      </c>
      <c r="AZ10" s="3">
        <f t="shared" si="11"/>
        <v>1</v>
      </c>
      <c r="BA10" s="3">
        <f>IF(ISERROR(LEN(VLOOKUP(A10,Seqs!A:E,2,FALSE))-AL10),"-",LEN(VLOOKUP(A10,Seqs!A:E,2,FALSE))-AL10)</f>
        <v>40</v>
      </c>
      <c r="BB10" s="16">
        <f t="shared" si="12"/>
        <v>28</v>
      </c>
      <c r="BC10" s="9">
        <f t="shared" si="13"/>
        <v>19</v>
      </c>
      <c r="BD10" s="3">
        <f t="shared" si="14"/>
        <v>28</v>
      </c>
      <c r="BE10" s="3">
        <f t="shared" si="15"/>
        <v>56</v>
      </c>
    </row>
    <row r="11" spans="1:59" s="3" customFormat="1" x14ac:dyDescent="0.2">
      <c r="A11" s="3" t="s">
        <v>287</v>
      </c>
      <c r="B11" s="3" t="str">
        <f>LOWER(VLOOKUP(A11,Xtal_Templ!A:B,2,FALSE))</f>
        <v>lpar1_human</v>
      </c>
      <c r="C11" s="3">
        <f>VLOOKUP($A11,'SegEnds_NonXtal_BW#'!$A:$Z,3,FALSE)+D11-50</f>
        <v>28</v>
      </c>
      <c r="D11" s="3">
        <v>48</v>
      </c>
      <c r="E11" s="3">
        <f>IF(ISERROR(VLOOKUP($A11,'SegEnds_NonXtal_BW#'!$A:$Z,4,FALSE)+VLOOKUP($A11,A:AL,4,FALSE)-50),"-",(VLOOKUP($A11,'SegEnds_NonXtal_BW#'!$A:$Z,4,FALSE)+VLOOKUP($A11,A:AL,4,FALSE)-50))</f>
        <v>58</v>
      </c>
      <c r="F11" s="3">
        <f t="shared" si="17"/>
        <v>59</v>
      </c>
      <c r="G11" s="3">
        <v>61</v>
      </c>
      <c r="H11" s="3">
        <f t="shared" si="18"/>
        <v>62</v>
      </c>
      <c r="I11" s="3">
        <f t="shared" si="18"/>
        <v>63</v>
      </c>
      <c r="J11" s="3">
        <v>76</v>
      </c>
      <c r="K11" s="3">
        <f>VLOOKUP($A11,'SegEnds_NonXtal_BW#'!$A:$Z,8,FALSE)+VLOOKUP($A11,A:AL,10,FALSE)-50</f>
        <v>89</v>
      </c>
      <c r="L11" s="3">
        <f>M11-3</f>
        <v>91</v>
      </c>
      <c r="M11" s="3">
        <v>94</v>
      </c>
      <c r="N11" s="3">
        <f>M11+3</f>
        <v>97</v>
      </c>
      <c r="O11" s="3">
        <f t="shared" si="16"/>
        <v>98</v>
      </c>
      <c r="P11" s="3">
        <v>127</v>
      </c>
      <c r="Q11" s="3">
        <f>VLOOKUP($A11,'SegEnds_NonXtal_BW#'!$A:$Z,12,FALSE)+VLOOKUP($A11,A:AL,16,FALSE)-50</f>
        <v>133</v>
      </c>
      <c r="R11" s="3">
        <f>IF(ISERROR(VLOOKUP($A11,'SegEnds_NonXtal_BW#'!$A:$Z,13,FALSE)+VLOOKUP($A11,A:AL,19,FALSE)-50),"-",VLOOKUP($A11,'SegEnds_NonXtal_BW#'!$A:$Z,13,FALSE)+VLOOKUP($A11,A:AL,19,FALSE)-50)</f>
        <v>134</v>
      </c>
      <c r="S11" s="3">
        <v>134</v>
      </c>
      <c r="T11" s="103">
        <f>IF(ISERROR(VLOOKUP($A11,'SegEnds_NonXtal_BW#'!$A:$Z,14,FALSE)+VLOOKUP($A11,A:AL,19,FALSE)-50),"-",(VLOOKUP($A11,'SegEnds_NonXtal_BW#'!$A:$Z,14,FALSE)+VLOOKUP($A11,A:AL,19,FALSE)-50))</f>
        <v>140</v>
      </c>
      <c r="U11" s="9">
        <f>IF(ISERROR(VLOOKUP($A11,'SegEnds_NonXtal_BW#'!$A:$Z,15,FALSE)+VLOOKUP($A11,A:AL,22,FALSE)-50),"-",VLOOKUP($A11,'SegEnds_NonXtal_BW#'!$A:$Z,15,FALSE)+VLOOKUP($A11,A:AL,22,FALSE)-50)</f>
        <v>141</v>
      </c>
      <c r="V11" s="3">
        <v>153</v>
      </c>
      <c r="W11" s="3">
        <f>IF(ISERROR(VLOOKUP($A11,'SegEnds_NonXtal_BW#'!$A:$Z,16,FALSE)+VLOOKUP($A11,A:AL,22,FALSE)-50),"-",(VLOOKUP($A11,'SegEnds_NonXtal_BW#'!$A:$Z,16,FALSE)+VLOOKUP($A11,A:AL,22,FALSE)-50))</f>
        <v>166</v>
      </c>
      <c r="X11" s="3" t="str">
        <f>IF(ISERROR(VLOOKUP($A11,'SegEnds_NonXtal_BW#'!$A:$Z,17,FALSE)+VLOOKUP($A11,A:AL,25,FALSE)-50),"-",(VLOOKUP($A11,'SegEnds_NonXtal_BW#'!$A:$Z,17,FALSE)+VLOOKUP($A11,A:AL,25,FALSE)-50))</f>
        <v>-</v>
      </c>
      <c r="Y11" s="3" t="s">
        <v>23</v>
      </c>
      <c r="Z11" s="3" t="str">
        <f>IF(ISERROR(VLOOKUP($A11,'SegEnds_NonXtal_BW#'!$A:$Z,18,FALSE)+VLOOKUP($A11,A:AL,25,FALSE)-50),"-",(VLOOKUP($A11,'SegEnds_NonXtal_BW#'!$A:$Z,18,FALSE)+VLOOKUP($A11,A:AL,25,FALSE)-50))</f>
        <v>-</v>
      </c>
      <c r="AA11" s="3">
        <f>IF(ISERROR(VLOOKUP($A11,'SegEnds_NonXtal_BW#'!$A:$Z,19,FALSE)+VLOOKUP($A11,A:AL,28,FALSE)-50),"-",(VLOOKUP($A11,'SegEnds_NonXtal_BW#'!$A:$Z,19,FALSE)+VLOOKUP($A11,A:AL,28,FALSE)-50))</f>
        <v>184</v>
      </c>
      <c r="AB11" s="3">
        <v>198</v>
      </c>
      <c r="AC11" s="3">
        <f>IF(ISERROR((VLOOKUP($A11,'SegEnds_NonXtal_BW#'!$A:$Z,20,FALSE)+VLOOKUP($A11,A:AL,28,FALSE)-50)),"-",(VLOOKUP($A11,'SegEnds_NonXtal_BW#'!$A:$Z,20,FALSE)+VLOOKUP($A11,A:AL,28,FALSE)-50))</f>
        <v>221</v>
      </c>
      <c r="AD11" s="3">
        <f>IF(ISERROR(VLOOKUP($A11,'SegEnds_NonXtal_BW#'!$A:$Z,21,FALSE)+VLOOKUP($A11,A:AL,31,FALSE)-50),"-",(VLOOKUP($A11,'SegEnds_NonXtal_BW#'!$A:$Z,21,FALSE)+VLOOKUP($A11,A:AL,31,FALSE)-50))</f>
        <v>226</v>
      </c>
      <c r="AE11" s="3">
        <v>254</v>
      </c>
      <c r="AF11" s="3">
        <f>IF(ISERROR((VLOOKUP($A11,'SegEnds_NonXtal_BW#'!$A:$Z,22,FALSE)+VLOOKUP($A11,A:AL,31,FALSE)-50)),"-",(VLOOKUP($A11,'SegEnds_NonXtal_BW#'!$A:$Z,22,FALSE)+VLOOKUP($A11,A:AL,31,FALSE)-50))</f>
        <v>265</v>
      </c>
      <c r="AG11" s="3">
        <f>IF(ISERROR(VLOOKUP($A11,'SegEnds_NonXtal_BW#'!$A:$Z,23,FALSE)+VLOOKUP($A11,A:AL,34,FALSE)-50),"-",(VLOOKUP($A11,'SegEnds_NonXtal_BW#'!$A:$Z,23,FALSE)+VLOOKUP($A11,A:AL,34,FALSE)-50))</f>
        <v>270</v>
      </c>
      <c r="AH11" s="3">
        <v>290</v>
      </c>
      <c r="AI11" s="3">
        <f>IF(ISERROR((VLOOKUP($A11,'SegEnds_NonXtal_BW#'!$A:$Z,24,FALSE)+VLOOKUP($A11,A:AL,34,FALSE)-50)),"-",(VLOOKUP($A11,'SegEnds_NonXtal_BW#'!$A:$Z,24,FALSE)+VLOOKUP($A11,A:AL,34,FALSE)-50))</f>
        <v>296</v>
      </c>
      <c r="AJ11" s="3">
        <f>IF(ISERROR(VLOOKUP($A11,'SegEnds_NonXtal_BW#'!$A:$Z,25,FALSE)+VLOOKUP($A11,A:AL,37,FALSE)-50),"-",(VLOOKUP($A11,'SegEnds_NonXtal_BW#'!$A:$Z,25,FALSE)+VLOOKUP($A11,A:AL,37,FALSE)-50))</f>
        <v>297</v>
      </c>
      <c r="AK11" s="3">
        <v>300</v>
      </c>
      <c r="AL11" s="3">
        <f>IF(ISERROR((VLOOKUP($A11,'SegEnds_NonXtal_BW#'!$A:$Z,26,FALSE)+VLOOKUP($A11,A:AL,37,FALSE)-50)),"-",(VLOOKUP($A11,'SegEnds_NonXtal_BW#'!$A:$Z,26,FALSE)+VLOOKUP($A11,A:AL,37,FALSE)-50))</f>
        <v>309</v>
      </c>
      <c r="AM11" s="28" t="str">
        <f>VLOOKUP(A11,Classification!A:B,2,FALSE)</f>
        <v>A</v>
      </c>
      <c r="AN11" s="28" t="b">
        <f t="shared" si="0"/>
        <v>1</v>
      </c>
      <c r="AO11" s="3" t="str">
        <f>IF(ISERROR(MATCH(A11,'SegEnds_Xtal_Prot#'!B:B, 0)), "NoXtal", "Xtal")</f>
        <v>NoXtal</v>
      </c>
      <c r="AP11" s="3">
        <f t="shared" si="1"/>
        <v>1</v>
      </c>
      <c r="AQ11" s="3">
        <f t="shared" si="2"/>
        <v>1</v>
      </c>
      <c r="AR11" s="3">
        <f t="shared" si="3"/>
        <v>2</v>
      </c>
      <c r="AS11" s="3">
        <f t="shared" si="4"/>
        <v>1</v>
      </c>
      <c r="AT11" s="3">
        <f t="shared" si="5"/>
        <v>1</v>
      </c>
      <c r="AU11" s="3">
        <f t="shared" si="6"/>
        <v>1</v>
      </c>
      <c r="AV11" s="3" t="str">
        <f t="shared" si="7"/>
        <v>-</v>
      </c>
      <c r="AW11" s="3" t="str">
        <f t="shared" si="8"/>
        <v>-</v>
      </c>
      <c r="AX11" s="3">
        <f t="shared" si="9"/>
        <v>5</v>
      </c>
      <c r="AY11" s="3">
        <f t="shared" si="10"/>
        <v>5</v>
      </c>
      <c r="AZ11" s="3">
        <f t="shared" si="11"/>
        <v>1</v>
      </c>
      <c r="BA11" s="3">
        <f>IF(ISERROR(LEN(VLOOKUP(A11,Seqs!A:E,2,FALSE))-AL11),"-",LEN(VLOOKUP(A11,Seqs!A:E,2,FALSE))-AL11)</f>
        <v>44</v>
      </c>
      <c r="BB11" s="16">
        <f t="shared" si="12"/>
        <v>28</v>
      </c>
      <c r="BC11" s="9">
        <f t="shared" si="13"/>
        <v>19</v>
      </c>
      <c r="BD11" s="3">
        <f t="shared" si="14"/>
        <v>28</v>
      </c>
      <c r="BE11" s="3">
        <f t="shared" si="15"/>
        <v>56</v>
      </c>
    </row>
    <row r="12" spans="1:59" s="3" customFormat="1" x14ac:dyDescent="0.2">
      <c r="A12" s="3" t="s">
        <v>334</v>
      </c>
      <c r="B12" s="3" t="s">
        <v>920</v>
      </c>
      <c r="C12" s="3">
        <f>VLOOKUP($A12,'SegEnds_NonXtal_BW#'!$A:$Z,3,FALSE)+D12-50</f>
        <v>30</v>
      </c>
      <c r="D12" s="3">
        <v>51</v>
      </c>
      <c r="E12" s="3">
        <f>IF(ISERROR(VLOOKUP($A12,'SegEnds_NonXtal_BW#'!$A:$Z,4,FALSE)+VLOOKUP($A12,A:AL,4,FALSE)-50),"-",(VLOOKUP($A12,'SegEnds_NonXtal_BW#'!$A:$Z,4,FALSE)+VLOOKUP($A12,A:AL,4,FALSE)-50))</f>
        <v>61</v>
      </c>
      <c r="F12" s="3">
        <f t="shared" si="17"/>
        <v>63</v>
      </c>
      <c r="G12" s="3">
        <v>65</v>
      </c>
      <c r="H12" s="3">
        <f t="shared" si="18"/>
        <v>66</v>
      </c>
      <c r="I12" s="3">
        <f t="shared" si="18"/>
        <v>67</v>
      </c>
      <c r="J12" s="3">
        <v>79</v>
      </c>
      <c r="K12" s="3">
        <v>97</v>
      </c>
      <c r="L12" s="3">
        <f>M12-1</f>
        <v>98</v>
      </c>
      <c r="M12" s="3">
        <v>99</v>
      </c>
      <c r="N12" s="3">
        <f>M12+2</f>
        <v>101</v>
      </c>
      <c r="O12" s="3">
        <f t="shared" si="16"/>
        <v>102</v>
      </c>
      <c r="P12" s="3">
        <v>131</v>
      </c>
      <c r="Q12" s="3">
        <f>VLOOKUP($A12,'SegEnds_NonXtal_BW#'!$A:$Z,12,FALSE)+VLOOKUP($A12,A:AL,16,FALSE)-50</f>
        <v>137</v>
      </c>
      <c r="R12" s="3">
        <f>IF(ISERROR(VLOOKUP($A12,'SegEnds_NonXtal_BW#'!$A:$Z,13,FALSE)+VLOOKUP($A12,A:AL,19,FALSE)-50),"-",VLOOKUP($A12,'SegEnds_NonXtal_BW#'!$A:$Z,13,FALSE)+VLOOKUP($A12,A:AL,19,FALSE)-50)</f>
        <v>138</v>
      </c>
      <c r="S12" s="3">
        <v>138</v>
      </c>
      <c r="T12" s="103">
        <f>IF(ISERROR(VLOOKUP($A12,'SegEnds_NonXtal_BW#'!$A:$Z,14,FALSE)+VLOOKUP($A12,A:AL,19,FALSE)-50),"-",(VLOOKUP($A12,'SegEnds_NonXtal_BW#'!$A:$Z,14,FALSE)+VLOOKUP($A12,A:AL,19,FALSE)-50))</f>
        <v>144</v>
      </c>
      <c r="U12" s="9">
        <f>IF(ISERROR(VLOOKUP($A12,'SegEnds_NonXtal_BW#'!$A:$Z,15,FALSE)+VLOOKUP($A12,A:AL,22,FALSE)-50),"-",VLOOKUP($A12,'SegEnds_NonXtal_BW#'!$A:$Z,15,FALSE)+VLOOKUP($A12,A:AL,22,FALSE)-50)</f>
        <v>145</v>
      </c>
      <c r="V12" s="3">
        <v>157</v>
      </c>
      <c r="W12" s="3">
        <f>IF(ISERROR(VLOOKUP($A12,'SegEnds_NonXtal_BW#'!$A:$Z,16,FALSE)+VLOOKUP($A12,A:AL,22,FALSE)-50),"-",(VLOOKUP($A12,'SegEnds_NonXtal_BW#'!$A:$Z,16,FALSE)+VLOOKUP($A12,A:AL,22,FALSE)-50))</f>
        <v>169</v>
      </c>
      <c r="X12" s="3">
        <f>IF(ISERROR(VLOOKUP($A12,'SegEnds_NonXtal_BW#'!$A:$Z,17,FALSE)+VLOOKUP($A12,A:AL,25,FALSE)-50),"-",(VLOOKUP($A12,'SegEnds_NonXtal_BW#'!$A:$Z,17,FALSE)+VLOOKUP($A12,A:AL,25,FALSE)-50))</f>
        <v>183</v>
      </c>
      <c r="Y12" s="3">
        <v>183</v>
      </c>
      <c r="Z12" s="3">
        <f t="shared" ref="Z12:Z21" si="19">Y12+2</f>
        <v>185</v>
      </c>
      <c r="AA12" s="3">
        <f>IF(ISERROR(VLOOKUP($A12,'SegEnds_NonXtal_BW#'!$A:$Z,19,FALSE)+VLOOKUP($A12,A:AL,28,FALSE)-50),"-",(VLOOKUP($A12,'SegEnds_NonXtal_BW#'!$A:$Z,19,FALSE)+VLOOKUP($A12,A:AL,28,FALSE)-50))</f>
        <v>195</v>
      </c>
      <c r="AB12" s="3">
        <v>211</v>
      </c>
      <c r="AC12" s="3">
        <f>IF(ISERROR((VLOOKUP($A12,'SegEnds_NonXtal_BW#'!$A:$Z,20,FALSE)+VLOOKUP($A12,A:AL,28,FALSE)-50)),"-",(VLOOKUP($A12,'SegEnds_NonXtal_BW#'!$A:$Z,20,FALSE)+VLOOKUP($A12,A:AL,28,FALSE)-50))</f>
        <v>234</v>
      </c>
      <c r="AD12" s="3">
        <f>IF(ISERROR(VLOOKUP($A12,'SegEnds_NonXtal_BW#'!$A:$Z,21,FALSE)+VLOOKUP($A12,A:AL,31,FALSE)-50),"-",(VLOOKUP($A12,'SegEnds_NonXtal_BW#'!$A:$Z,21,FALSE)+VLOOKUP($A12,A:AL,31,FALSE)-50))</f>
        <v>239</v>
      </c>
      <c r="AE12" s="3">
        <v>267</v>
      </c>
      <c r="AF12" s="3">
        <f>IF(ISERROR((VLOOKUP($A12,'SegEnds_NonXtal_BW#'!$A:$Z,22,FALSE)+VLOOKUP($A12,A:AL,31,FALSE)-50)),"-",(VLOOKUP($A12,'SegEnds_NonXtal_BW#'!$A:$Z,22,FALSE)+VLOOKUP($A12,A:AL,31,FALSE)-50))</f>
        <v>278</v>
      </c>
      <c r="AG12" s="3">
        <f>IF(ISERROR(VLOOKUP($A12,'SegEnds_NonXtal_BW#'!$A:$Z,23,FALSE)+VLOOKUP($A12,A:AL,34,FALSE)-50),"-",(VLOOKUP($A12,'SegEnds_NonXtal_BW#'!$A:$Z,23,FALSE)+VLOOKUP($A12,A:AL,34,FALSE)-50))</f>
        <v>284</v>
      </c>
      <c r="AH12" s="3">
        <v>303</v>
      </c>
      <c r="AI12" s="3">
        <f>IF(ISERROR((VLOOKUP($A12,'SegEnds_NonXtal_BW#'!$A:$Z,24,FALSE)+VLOOKUP($A12,A:AL,34,FALSE)-50)),"-",(VLOOKUP($A12,'SegEnds_NonXtal_BW#'!$A:$Z,24,FALSE)+VLOOKUP($A12,A:AL,34,FALSE)-50))</f>
        <v>309</v>
      </c>
      <c r="AJ12" s="3">
        <f>IF(ISERROR(VLOOKUP($A12,'SegEnds_NonXtal_BW#'!$A:$Z,25,FALSE)+VLOOKUP($A12,A:AL,37,FALSE)-50),"-",(VLOOKUP($A12,'SegEnds_NonXtal_BW#'!$A:$Z,25,FALSE)+VLOOKUP($A12,A:AL,37,FALSE)-50))</f>
        <v>310</v>
      </c>
      <c r="AK12" s="3">
        <v>313</v>
      </c>
      <c r="AL12" s="3">
        <f>IF(ISERROR((VLOOKUP($A12,'SegEnds_NonXtal_BW#'!$A:$Z,26,FALSE)+VLOOKUP($A12,A:AL,37,FALSE)-50)),"-",(VLOOKUP($A12,'SegEnds_NonXtal_BW#'!$A:$Z,26,FALSE)+VLOOKUP($A12,A:AL,37,FALSE)-50))</f>
        <v>322</v>
      </c>
      <c r="AM12" s="28" t="str">
        <f>VLOOKUP(A12,Classification!A:B,2,FALSE)</f>
        <v>A</v>
      </c>
      <c r="AN12" s="28" t="b">
        <f t="shared" si="0"/>
        <v>1</v>
      </c>
      <c r="AO12" s="3" t="str">
        <f>IF(ISERROR(MATCH(A12,'SegEnds_Xtal_Prot#'!B:B, 0)), "NoXtal", "Xtal")</f>
        <v>NoXtal</v>
      </c>
      <c r="AP12" s="3">
        <f t="shared" si="1"/>
        <v>2</v>
      </c>
      <c r="AQ12" s="3">
        <f t="shared" si="2"/>
        <v>1</v>
      </c>
      <c r="AR12" s="3">
        <f t="shared" si="3"/>
        <v>1</v>
      </c>
      <c r="AS12" s="3">
        <f t="shared" si="4"/>
        <v>1</v>
      </c>
      <c r="AT12" s="3">
        <f t="shared" si="5"/>
        <v>1</v>
      </c>
      <c r="AU12" s="3">
        <f t="shared" si="6"/>
        <v>1</v>
      </c>
      <c r="AV12" s="3">
        <f t="shared" si="7"/>
        <v>14</v>
      </c>
      <c r="AW12" s="3">
        <f t="shared" si="8"/>
        <v>10</v>
      </c>
      <c r="AX12" s="3">
        <f t="shared" si="9"/>
        <v>5</v>
      </c>
      <c r="AY12" s="3">
        <f t="shared" si="10"/>
        <v>6</v>
      </c>
      <c r="AZ12" s="3">
        <f t="shared" si="11"/>
        <v>1</v>
      </c>
      <c r="BA12" s="3">
        <f>IF(ISERROR(LEN(VLOOKUP(A12,Seqs!A:E,2,FALSE))-AL12),"-",LEN(VLOOKUP(A12,Seqs!A:E,2,FALSE))-AL12)</f>
        <v>32</v>
      </c>
      <c r="BB12" s="16">
        <f t="shared" si="12"/>
        <v>28</v>
      </c>
      <c r="BC12" s="9">
        <f t="shared" si="13"/>
        <v>19</v>
      </c>
      <c r="BD12" s="3">
        <f t="shared" si="14"/>
        <v>28</v>
      </c>
      <c r="BE12" s="3">
        <f t="shared" si="15"/>
        <v>56</v>
      </c>
    </row>
    <row r="13" spans="1:59" s="3" customFormat="1" x14ac:dyDescent="0.2">
      <c r="A13" s="3" t="s">
        <v>338</v>
      </c>
      <c r="B13" s="3" t="str">
        <f>LOWER(VLOOKUP(A13,Xtal_Templ!A:B,2,FALSE))</f>
        <v>opsd_human</v>
      </c>
      <c r="C13" s="3">
        <f>VLOOKUP($A13,'SegEnds_NonXtal_BW#'!$A:$Z,3,FALSE)+D13-50</f>
        <v>31</v>
      </c>
      <c r="D13" s="3">
        <v>52</v>
      </c>
      <c r="E13" s="3">
        <f>IF(ISERROR(VLOOKUP($A13,'SegEnds_NonXtal_BW#'!$A:$Z,4,FALSE)+VLOOKUP($A13,A:AL,4,FALSE)-50),"-",(VLOOKUP($A13,'SegEnds_NonXtal_BW#'!$A:$Z,4,FALSE)+VLOOKUP($A13,A:AL,4,FALSE)-50))</f>
        <v>62</v>
      </c>
      <c r="F13" s="3">
        <f t="shared" si="17"/>
        <v>63</v>
      </c>
      <c r="G13" s="3">
        <v>65</v>
      </c>
      <c r="H13" s="3">
        <f t="shared" si="18"/>
        <v>66</v>
      </c>
      <c r="I13" s="3">
        <f t="shared" si="18"/>
        <v>67</v>
      </c>
      <c r="J13" s="3">
        <v>80</v>
      </c>
      <c r="K13" s="3">
        <f>VLOOKUP($A13,'SegEnds_NonXtal_BW#'!$A:$Z,8,FALSE)+VLOOKUP($A13,A:AL,10,FALSE)-50</f>
        <v>97</v>
      </c>
      <c r="L13" s="3">
        <f>M13-1</f>
        <v>99</v>
      </c>
      <c r="M13" s="3">
        <v>100</v>
      </c>
      <c r="N13" s="3">
        <f>M13+2</f>
        <v>102</v>
      </c>
      <c r="O13" s="3">
        <f t="shared" si="16"/>
        <v>103</v>
      </c>
      <c r="P13" s="3">
        <v>132</v>
      </c>
      <c r="Q13" s="3">
        <f>VLOOKUP($A13,'SegEnds_NonXtal_BW#'!$A:$Z,12,FALSE)+VLOOKUP($A13,A:AL,16,FALSE)-50</f>
        <v>138</v>
      </c>
      <c r="R13" s="3">
        <f>IF(ISERROR(VLOOKUP($A13,'SegEnds_NonXtal_BW#'!$A:$Z,13,FALSE)+VLOOKUP($A13,A:AL,19,FALSE)-50),"-",VLOOKUP($A13,'SegEnds_NonXtal_BW#'!$A:$Z,13,FALSE)+VLOOKUP($A13,A:AL,19,FALSE)-50)</f>
        <v>139</v>
      </c>
      <c r="S13" s="3">
        <v>139</v>
      </c>
      <c r="T13" s="103">
        <f>IF(ISERROR(VLOOKUP($A13,'SegEnds_NonXtal_BW#'!$A:$Z,14,FALSE)+VLOOKUP($A13,A:AL,19,FALSE)-50),"-",(VLOOKUP($A13,'SegEnds_NonXtal_BW#'!$A:$Z,14,FALSE)+VLOOKUP($A13,A:AL,19,FALSE)-50))</f>
        <v>145</v>
      </c>
      <c r="U13" s="9">
        <f>IF(ISERROR(VLOOKUP($A13,'SegEnds_NonXtal_BW#'!$A:$Z,15,FALSE)+VLOOKUP($A13,A:AL,22,FALSE)-50),"-",VLOOKUP($A13,'SegEnds_NonXtal_BW#'!$A:$Z,15,FALSE)+VLOOKUP($A13,A:AL,22,FALSE)-50)</f>
        <v>146</v>
      </c>
      <c r="V13" s="3">
        <v>158</v>
      </c>
      <c r="W13" s="3">
        <f>IF(ISERROR(VLOOKUP($A13,'SegEnds_NonXtal_BW#'!$A:$Z,16,FALSE)+VLOOKUP($A13,A:AL,22,FALSE)-50),"-",(VLOOKUP($A13,'SegEnds_NonXtal_BW#'!$A:$Z,16,FALSE)+VLOOKUP($A13,A:AL,22,FALSE)-50))</f>
        <v>170</v>
      </c>
      <c r="X13" s="3">
        <f>IF(ISERROR(VLOOKUP($A13,'SegEnds_NonXtal_BW#'!$A:$Z,17,FALSE)+VLOOKUP($A13,A:AL,25,FALSE)-50),"-",(VLOOKUP($A13,'SegEnds_NonXtal_BW#'!$A:$Z,17,FALSE)+VLOOKUP($A13,A:AL,25,FALSE)-50))</f>
        <v>184</v>
      </c>
      <c r="Y13" s="3">
        <v>184</v>
      </c>
      <c r="Z13" s="3">
        <f t="shared" si="19"/>
        <v>186</v>
      </c>
      <c r="AA13" s="3">
        <f>IF(ISERROR(VLOOKUP($A13,'SegEnds_NonXtal_BW#'!$A:$Z,19,FALSE)+VLOOKUP($A13,A:AL,28,FALSE)-50),"-",(VLOOKUP($A13,'SegEnds_NonXtal_BW#'!$A:$Z,19,FALSE)+VLOOKUP($A13,A:AL,28,FALSE)-50))</f>
        <v>196</v>
      </c>
      <c r="AB13" s="3">
        <v>212</v>
      </c>
      <c r="AC13" s="3">
        <f>IF(ISERROR((VLOOKUP($A13,'SegEnds_NonXtal_BW#'!$A:$Z,20,FALSE)+VLOOKUP($A13,A:AL,28,FALSE)-50)),"-",(VLOOKUP($A13,'SegEnds_NonXtal_BW#'!$A:$Z,20,FALSE)+VLOOKUP($A13,A:AL,28,FALSE)-50))</f>
        <v>234</v>
      </c>
      <c r="AD13" s="3">
        <f>IF(ISERROR(VLOOKUP($A13,'SegEnds_NonXtal_BW#'!$A:$Z,21,FALSE)+VLOOKUP($A13,A:AL,31,FALSE)-50),"-",(VLOOKUP($A13,'SegEnds_NonXtal_BW#'!$A:$Z,21,FALSE)+VLOOKUP($A13,A:AL,31,FALSE)-50))</f>
        <v>238</v>
      </c>
      <c r="AE13" s="3">
        <v>264</v>
      </c>
      <c r="AF13" s="3">
        <f>IF(ISERROR((VLOOKUP($A13,'SegEnds_NonXtal_BW#'!$A:$Z,22,FALSE)+VLOOKUP($A13,A:AL,31,FALSE)-50)),"-",(VLOOKUP($A13,'SegEnds_NonXtal_BW#'!$A:$Z,22,FALSE)+VLOOKUP($A13,A:AL,31,FALSE)-50))</f>
        <v>275</v>
      </c>
      <c r="AG13" s="3">
        <f>IF(ISERROR(VLOOKUP($A13,'SegEnds_NonXtal_BW#'!$A:$Z,23,FALSE)+VLOOKUP($A13,A:AL,34,FALSE)-50),"-",(VLOOKUP($A13,'SegEnds_NonXtal_BW#'!$A:$Z,23,FALSE)+VLOOKUP($A13,A:AL,34,FALSE)-50))</f>
        <v>281</v>
      </c>
      <c r="AH13" s="3">
        <v>300</v>
      </c>
      <c r="AI13" s="3">
        <f>IF(ISERROR((VLOOKUP($A13,'SegEnds_NonXtal_BW#'!$A:$Z,24,FALSE)+VLOOKUP($A13,A:AL,34,FALSE)-50)),"-",(VLOOKUP($A13,'SegEnds_NonXtal_BW#'!$A:$Z,24,FALSE)+VLOOKUP($A13,A:AL,34,FALSE)-50))</f>
        <v>306</v>
      </c>
      <c r="AJ13" s="3">
        <f>IF(ISERROR(VLOOKUP($A13,'SegEnds_NonXtal_BW#'!$A:$Z,25,FALSE)+VLOOKUP($A13,A:AL,37,FALSE)-50),"-",(VLOOKUP($A13,'SegEnds_NonXtal_BW#'!$A:$Z,25,FALSE)+VLOOKUP($A13,A:AL,37,FALSE)-50))</f>
        <v>307</v>
      </c>
      <c r="AK13" s="3">
        <v>310</v>
      </c>
      <c r="AL13" s="3">
        <f>IF(ISERROR((VLOOKUP($A13,'SegEnds_NonXtal_BW#'!$A:$Z,26,FALSE)+VLOOKUP($A13,A:AL,37,FALSE)-50)),"-",(VLOOKUP($A13,'SegEnds_NonXtal_BW#'!$A:$Z,26,FALSE)+VLOOKUP($A13,A:AL,37,FALSE)-50))</f>
        <v>319</v>
      </c>
      <c r="AM13" s="28" t="str">
        <f>VLOOKUP(A13,Classification!A:B,2,FALSE)</f>
        <v>A</v>
      </c>
      <c r="AN13" s="28" t="b">
        <f t="shared" si="0"/>
        <v>1</v>
      </c>
      <c r="AO13" s="3" t="str">
        <f>IF(ISERROR(MATCH(A13,'SegEnds_Xtal_Prot#'!B:B, 0)), "NoXtal", "Xtal")</f>
        <v>NoXtal</v>
      </c>
      <c r="AP13" s="3">
        <f t="shared" si="1"/>
        <v>1</v>
      </c>
      <c r="AQ13" s="3">
        <f t="shared" si="2"/>
        <v>1</v>
      </c>
      <c r="AR13" s="3">
        <f t="shared" si="3"/>
        <v>2</v>
      </c>
      <c r="AS13" s="3">
        <f t="shared" si="4"/>
        <v>1</v>
      </c>
      <c r="AT13" s="3">
        <f t="shared" si="5"/>
        <v>1</v>
      </c>
      <c r="AU13" s="3">
        <f t="shared" si="6"/>
        <v>1</v>
      </c>
      <c r="AV13" s="3">
        <f t="shared" si="7"/>
        <v>14</v>
      </c>
      <c r="AW13" s="3">
        <f t="shared" si="8"/>
        <v>10</v>
      </c>
      <c r="AX13" s="3">
        <f t="shared" si="9"/>
        <v>4</v>
      </c>
      <c r="AY13" s="3">
        <f t="shared" si="10"/>
        <v>6</v>
      </c>
      <c r="AZ13" s="3">
        <f t="shared" si="11"/>
        <v>1</v>
      </c>
      <c r="BA13" s="3">
        <f>IF(ISERROR(LEN(VLOOKUP(A13,Seqs!A:E,2,FALSE))-AL13),"-",LEN(VLOOKUP(A13,Seqs!A:E,2,FALSE))-AL13)</f>
        <v>29</v>
      </c>
      <c r="BB13" s="16">
        <f t="shared" si="12"/>
        <v>28</v>
      </c>
      <c r="BC13" s="9">
        <f t="shared" si="13"/>
        <v>19</v>
      </c>
      <c r="BD13" s="3">
        <f t="shared" si="14"/>
        <v>28</v>
      </c>
      <c r="BE13" s="3">
        <f t="shared" si="15"/>
        <v>52</v>
      </c>
      <c r="BF13" s="3">
        <f t="shared" ref="BF13:BF18" si="20">AH13-AE13</f>
        <v>36</v>
      </c>
    </row>
    <row r="14" spans="1:59" s="3" customFormat="1" x14ac:dyDescent="0.2">
      <c r="A14" s="3" t="s">
        <v>920</v>
      </c>
      <c r="B14" s="3" t="str">
        <f>LOWER(VLOOKUP(A14,Xtal_Templ!A:B,2,FALSE))</f>
        <v>opsd_bovin</v>
      </c>
      <c r="C14" s="3">
        <f>VLOOKUP($A14,'SegEnds_NonXtal_BW#'!$A:$Z,3,FALSE)+D14-50</f>
        <v>34</v>
      </c>
      <c r="D14" s="3">
        <v>55</v>
      </c>
      <c r="E14" s="3">
        <f>IF(ISERROR(VLOOKUP($A14,'SegEnds_NonXtal_BW#'!$A:$Z,4,FALSE)+VLOOKUP($A14,A:AL,4,FALSE)-50),"-",(VLOOKUP($A14,'SegEnds_NonXtal_BW#'!$A:$Z,4,FALSE)+VLOOKUP($A14,A:AL,4,FALSE)-50))</f>
        <v>65</v>
      </c>
      <c r="F14" s="3">
        <f t="shared" si="17"/>
        <v>66</v>
      </c>
      <c r="G14" s="3">
        <v>68</v>
      </c>
      <c r="H14" s="3">
        <f t="shared" si="18"/>
        <v>69</v>
      </c>
      <c r="I14" s="3">
        <f t="shared" si="18"/>
        <v>70</v>
      </c>
      <c r="J14" s="3">
        <v>83</v>
      </c>
      <c r="K14" s="3">
        <f>VLOOKUP($A14,'SegEnds_NonXtal_BW#'!$A:$Z,8,FALSE)+VLOOKUP($A14,A:AL,10,FALSE)-50</f>
        <v>100</v>
      </c>
      <c r="L14" s="3">
        <f>IF(ISERROR(VLOOKUP($A14,'SegEnds_NonXtal_BW#'!$A:$Z,9,FALSE)+VLOOKUP($A14,A:AL,13,FALSE)-50),"-",(VLOOKUP($A14,'SegEnds_NonXtal_BW#'!$A:$Z,9,FALSE)+VLOOKUP($A14,A:AL,13,FALSE)-50))</f>
        <v>102</v>
      </c>
      <c r="M14" s="3">
        <v>103</v>
      </c>
      <c r="N14" s="3">
        <f>IF(ISERROR(VLOOKUP($A14,'SegEnds_NonXtal_BW#'!$A:$Z,10,FALSE)+VLOOKUP($A14,A:AL,13,FALSE)-50),"-",(VLOOKUP($A14,'SegEnds_NonXtal_BW#'!$A:$Z,10,FALSE)+VLOOKUP($A14,A:AL,13,FALSE)-50))</f>
        <v>105</v>
      </c>
      <c r="O14" s="3">
        <f t="shared" si="16"/>
        <v>106</v>
      </c>
      <c r="P14" s="3">
        <v>135</v>
      </c>
      <c r="Q14" s="3">
        <f>VLOOKUP($A14,'SegEnds_NonXtal_BW#'!$A:$Z,12,FALSE)+VLOOKUP($A14,A:AL,16,FALSE)-50</f>
        <v>141</v>
      </c>
      <c r="R14" s="3">
        <f>IF(ISERROR(VLOOKUP($A14,'SegEnds_NonXtal_BW#'!$A:$Z,13,FALSE)+VLOOKUP($A14,A:AL,19,FALSE)-50),"-",VLOOKUP($A14,'SegEnds_NonXtal_BW#'!$A:$Z,13,FALSE)+VLOOKUP($A14,A:AL,19,FALSE)-50)</f>
        <v>142</v>
      </c>
      <c r="S14" s="3">
        <v>142</v>
      </c>
      <c r="T14" s="103">
        <f>IF(ISERROR(VLOOKUP($A14,'SegEnds_NonXtal_BW#'!$A:$Z,14,FALSE)+VLOOKUP($A14,A:AL,19,FALSE)-50),"-",(VLOOKUP($A14,'SegEnds_NonXtal_BW#'!$A:$Z,14,FALSE)+VLOOKUP($A14,A:AL,19,FALSE)-50))</f>
        <v>148</v>
      </c>
      <c r="U14" s="9">
        <f>IF(ISERROR(VLOOKUP($A14,'SegEnds_NonXtal_BW#'!$A:$Z,15,FALSE)+VLOOKUP($A14,A:AL,22,FALSE)-50),"-",VLOOKUP($A14,'SegEnds_NonXtal_BW#'!$A:$Z,15,FALSE)+VLOOKUP($A14,A:AL,22,FALSE)-50)</f>
        <v>149</v>
      </c>
      <c r="V14" s="3">
        <v>161</v>
      </c>
      <c r="W14" s="3">
        <f>IF(ISERROR(VLOOKUP($A14,'SegEnds_NonXtal_BW#'!$A:$Z,16,FALSE)+VLOOKUP($A14,A:AL,22,FALSE)-50),"-",(VLOOKUP($A14,'SegEnds_NonXtal_BW#'!$A:$Z,16,FALSE)+VLOOKUP($A14,A:AL,22,FALSE)-50))</f>
        <v>173</v>
      </c>
      <c r="X14" s="3">
        <f>IF(ISERROR(VLOOKUP($A14,'SegEnds_NonXtal_BW#'!$A:$Z,17,FALSE)+VLOOKUP($A14,A:AL,25,FALSE)-50),"-",(VLOOKUP($A14,'SegEnds_NonXtal_BW#'!$A:$Z,17,FALSE)+VLOOKUP($A14,A:AL,25,FALSE)-50))</f>
        <v>187</v>
      </c>
      <c r="Y14" s="3">
        <v>187</v>
      </c>
      <c r="Z14" s="3">
        <f t="shared" si="19"/>
        <v>189</v>
      </c>
      <c r="AA14" s="3">
        <f>IF(ISERROR(VLOOKUP($A14,'SegEnds_NonXtal_BW#'!$A:$Z,19,FALSE)+VLOOKUP($A14,A:AL,28,FALSE)-50),"-",(VLOOKUP($A14,'SegEnds_NonXtal_BW#'!$A:$Z,19,FALSE)+VLOOKUP($A14,A:AL,28,FALSE)-50))</f>
        <v>199</v>
      </c>
      <c r="AB14" s="3">
        <v>215</v>
      </c>
      <c r="AC14" s="3">
        <f>IF(ISERROR((VLOOKUP($A14,'SegEnds_NonXtal_BW#'!$A:$Z,20,FALSE)+VLOOKUP($A14,A:AL,28,FALSE)-50)),"-",(VLOOKUP($A14,'SegEnds_NonXtal_BW#'!$A:$Z,20,FALSE)+VLOOKUP($A14,A:AL,28,FALSE)-50))</f>
        <v>237</v>
      </c>
      <c r="AD14" s="3">
        <f>IF(ISERROR(VLOOKUP($A14,'SegEnds_NonXtal_BW#'!$A:$Z,21,FALSE)+VLOOKUP($A14,A:AL,31,FALSE)-50),"-",(VLOOKUP($A14,'SegEnds_NonXtal_BW#'!$A:$Z,21,FALSE)+VLOOKUP($A14,A:AL,31,FALSE)-50))</f>
        <v>241</v>
      </c>
      <c r="AE14" s="3">
        <v>267</v>
      </c>
      <c r="AF14" s="3">
        <f>IF(ISERROR((VLOOKUP($A14,'SegEnds_NonXtal_BW#'!$A:$Z,22,FALSE)+VLOOKUP($A14,A:AL,31,FALSE)-50)),"-",(VLOOKUP($A14,'SegEnds_NonXtal_BW#'!$A:$Z,22,FALSE)+VLOOKUP($A14,A:AL,31,FALSE)-50))</f>
        <v>278</v>
      </c>
      <c r="AG14" s="3">
        <f>IF(ISERROR(VLOOKUP($A14,'SegEnds_NonXtal_BW#'!$A:$Z,23,FALSE)+VLOOKUP($A14,A:AL,34,FALSE)-50),"-",(VLOOKUP($A14,'SegEnds_NonXtal_BW#'!$A:$Z,23,FALSE)+VLOOKUP($A14,A:AL,34,FALSE)-50))</f>
        <v>284</v>
      </c>
      <c r="AH14" s="3">
        <v>303</v>
      </c>
      <c r="AI14" s="3">
        <f>IF(ISERROR((VLOOKUP($A14,'SegEnds_NonXtal_BW#'!$A:$Z,24,FALSE)+VLOOKUP($A14,A:AL,34,FALSE)-50)),"-",(VLOOKUP($A14,'SegEnds_NonXtal_BW#'!$A:$Z,24,FALSE)+VLOOKUP($A14,A:AL,34,FALSE)-50))</f>
        <v>309</v>
      </c>
      <c r="AJ14" s="3">
        <f>IF(ISERROR(VLOOKUP($A14,'SegEnds_NonXtal_BW#'!$A:$Z,25,FALSE)+VLOOKUP($A14,A:AL,37,FALSE)-50),"-",(VLOOKUP($A14,'SegEnds_NonXtal_BW#'!$A:$Z,25,FALSE)+VLOOKUP($A14,A:AL,37,FALSE)-50))</f>
        <v>310</v>
      </c>
      <c r="AK14" s="3">
        <v>313</v>
      </c>
      <c r="AL14" s="3">
        <f>IF(ISERROR((VLOOKUP($A14,'SegEnds_NonXtal_BW#'!$A:$Z,26,FALSE)+VLOOKUP($A14,A:AL,37,FALSE)-50)),"-",(VLOOKUP($A14,'SegEnds_NonXtal_BW#'!$A:$Z,26,FALSE)+VLOOKUP($A14,A:AL,37,FALSE)-50))</f>
        <v>322</v>
      </c>
      <c r="AM14" s="28" t="str">
        <f>VLOOKUP(A14,Classification!A:B,2,FALSE)</f>
        <v>A</v>
      </c>
      <c r="AN14" s="28" t="b">
        <f t="shared" si="0"/>
        <v>1</v>
      </c>
      <c r="AO14" s="3" t="str">
        <f>IF(ISERROR(MATCH(A14,'SegEnds_Xtal_Prot#'!B:B, 0)), "NoXtal", "Xtal")</f>
        <v>Xtal</v>
      </c>
      <c r="AP14" s="3">
        <f t="shared" si="1"/>
        <v>1</v>
      </c>
      <c r="AQ14" s="3">
        <f t="shared" si="2"/>
        <v>1</v>
      </c>
      <c r="AR14" s="3">
        <f t="shared" si="3"/>
        <v>2</v>
      </c>
      <c r="AS14" s="3">
        <f t="shared" si="4"/>
        <v>1</v>
      </c>
      <c r="AT14" s="3">
        <f t="shared" si="5"/>
        <v>1</v>
      </c>
      <c r="AU14" s="3">
        <f t="shared" si="6"/>
        <v>1</v>
      </c>
      <c r="AV14" s="3">
        <f t="shared" si="7"/>
        <v>14</v>
      </c>
      <c r="AW14" s="3">
        <f t="shared" si="8"/>
        <v>10</v>
      </c>
      <c r="AX14" s="3">
        <f t="shared" si="9"/>
        <v>4</v>
      </c>
      <c r="AY14" s="3">
        <f t="shared" si="10"/>
        <v>6</v>
      </c>
      <c r="AZ14" s="3">
        <f t="shared" si="11"/>
        <v>1</v>
      </c>
      <c r="BA14" s="3">
        <f>IF(ISERROR(LEN(VLOOKUP(A14,Seqs!A:E,2,FALSE))-AL14),"-",LEN(VLOOKUP(A14,Seqs!A:E,2,FALSE))-AL14)</f>
        <v>26</v>
      </c>
      <c r="BB14" s="16">
        <f t="shared" si="12"/>
        <v>28</v>
      </c>
      <c r="BC14" s="9">
        <f t="shared" si="13"/>
        <v>19</v>
      </c>
      <c r="BD14" s="3">
        <f t="shared" si="14"/>
        <v>28</v>
      </c>
      <c r="BE14" s="3">
        <f t="shared" si="15"/>
        <v>52</v>
      </c>
      <c r="BF14" s="3">
        <f t="shared" si="20"/>
        <v>36</v>
      </c>
    </row>
    <row r="15" spans="1:59" s="3" customFormat="1" x14ac:dyDescent="0.2">
      <c r="A15" s="3" t="s">
        <v>339</v>
      </c>
      <c r="B15" s="3" t="str">
        <f>LOWER(VLOOKUP(A15,Xtal_Templ!A:B,2,FALSE))</f>
        <v>opsd_human</v>
      </c>
      <c r="C15" s="3">
        <f>VLOOKUP($A15,'SegEnds_NonXtal_BW#'!$A:$Z,3,FALSE)+D15-50</f>
        <v>34</v>
      </c>
      <c r="D15" s="3">
        <v>55</v>
      </c>
      <c r="E15" s="3">
        <f>IF(ISERROR(VLOOKUP($A15,'SegEnds_NonXtal_BW#'!$A:$Z,4,FALSE)+VLOOKUP($A15,A:AL,4,FALSE)-50),"-",(VLOOKUP($A15,'SegEnds_NonXtal_BW#'!$A:$Z,4,FALSE)+VLOOKUP($A15,A:AL,4,FALSE)-50))</f>
        <v>65</v>
      </c>
      <c r="F15" s="3">
        <f t="shared" si="17"/>
        <v>66</v>
      </c>
      <c r="G15" s="3">
        <v>68</v>
      </c>
      <c r="H15" s="3">
        <f t="shared" si="18"/>
        <v>69</v>
      </c>
      <c r="I15" s="3">
        <f t="shared" si="18"/>
        <v>70</v>
      </c>
      <c r="J15" s="3">
        <v>83</v>
      </c>
      <c r="K15" s="3">
        <f>VLOOKUP($A15,'SegEnds_NonXtal_BW#'!$A:$Z,8,FALSE)+VLOOKUP($A15,A:AL,10,FALSE)-50</f>
        <v>100</v>
      </c>
      <c r="L15" s="3">
        <f>M15-1</f>
        <v>102</v>
      </c>
      <c r="M15" s="3">
        <v>103</v>
      </c>
      <c r="N15" s="3">
        <f>M15+2</f>
        <v>105</v>
      </c>
      <c r="O15" s="3">
        <f t="shared" si="16"/>
        <v>106</v>
      </c>
      <c r="P15" s="3">
        <v>135</v>
      </c>
      <c r="Q15" s="3">
        <f>VLOOKUP($A15,'SegEnds_NonXtal_BW#'!$A:$Z,12,FALSE)+VLOOKUP($A15,A:AL,16,FALSE)-50</f>
        <v>141</v>
      </c>
      <c r="R15" s="3">
        <f>IF(ISERROR(VLOOKUP($A15,'SegEnds_NonXtal_BW#'!$A:$Z,13,FALSE)+VLOOKUP($A15,A:AL,19,FALSE)-50),"-",VLOOKUP($A15,'SegEnds_NonXtal_BW#'!$A:$Z,13,FALSE)+VLOOKUP($A15,A:AL,19,FALSE)-50)</f>
        <v>142</v>
      </c>
      <c r="S15" s="3">
        <v>142</v>
      </c>
      <c r="T15" s="103">
        <f>IF(ISERROR(VLOOKUP($A15,'SegEnds_NonXtal_BW#'!$A:$Z,14,FALSE)+VLOOKUP($A15,A:AL,19,FALSE)-50),"-",(VLOOKUP($A15,'SegEnds_NonXtal_BW#'!$A:$Z,14,FALSE)+VLOOKUP($A15,A:AL,19,FALSE)-50))</f>
        <v>148</v>
      </c>
      <c r="U15" s="9">
        <f>IF(ISERROR(VLOOKUP($A15,'SegEnds_NonXtal_BW#'!$A:$Z,15,FALSE)+VLOOKUP($A15,A:AL,22,FALSE)-50),"-",VLOOKUP($A15,'SegEnds_NonXtal_BW#'!$A:$Z,15,FALSE)+VLOOKUP($A15,A:AL,22,FALSE)-50)</f>
        <v>149</v>
      </c>
      <c r="V15" s="3">
        <v>161</v>
      </c>
      <c r="W15" s="3">
        <f>IF(ISERROR(VLOOKUP($A15,'SegEnds_NonXtal_BW#'!$A:$Z,16,FALSE)+VLOOKUP($A15,A:AL,22,FALSE)-50),"-",(VLOOKUP($A15,'SegEnds_NonXtal_BW#'!$A:$Z,16,FALSE)+VLOOKUP($A15,A:AL,22,FALSE)-50))</f>
        <v>173</v>
      </c>
      <c r="X15" s="3">
        <f>IF(ISERROR(VLOOKUP($A15,'SegEnds_NonXtal_BW#'!$A:$Z,17,FALSE)+VLOOKUP($A15,A:AL,25,FALSE)-50),"-",(VLOOKUP($A15,'SegEnds_NonXtal_BW#'!$A:$Z,17,FALSE)+VLOOKUP($A15,A:AL,25,FALSE)-50))</f>
        <v>187</v>
      </c>
      <c r="Y15" s="3">
        <v>187</v>
      </c>
      <c r="Z15" s="3">
        <f t="shared" si="19"/>
        <v>189</v>
      </c>
      <c r="AA15" s="3">
        <f>IF(ISERROR(VLOOKUP($A15,'SegEnds_NonXtal_BW#'!$A:$Z,19,FALSE)+VLOOKUP($A15,A:AL,28,FALSE)-50),"-",(VLOOKUP($A15,'SegEnds_NonXtal_BW#'!$A:$Z,19,FALSE)+VLOOKUP($A15,A:AL,28,FALSE)-50))</f>
        <v>199</v>
      </c>
      <c r="AB15" s="3">
        <v>215</v>
      </c>
      <c r="AC15" s="3">
        <f>IF(ISERROR((VLOOKUP($A15,'SegEnds_NonXtal_BW#'!$A:$Z,20,FALSE)+VLOOKUP($A15,A:AL,28,FALSE)-50)),"-",(VLOOKUP($A15,'SegEnds_NonXtal_BW#'!$A:$Z,20,FALSE)+VLOOKUP($A15,A:AL,28,FALSE)-50))</f>
        <v>237</v>
      </c>
      <c r="AD15" s="3">
        <f>IF(ISERROR(VLOOKUP($A15,'SegEnds_NonXtal_BW#'!$A:$Z,21,FALSE)+VLOOKUP($A15,A:AL,31,FALSE)-50),"-",(VLOOKUP($A15,'SegEnds_NonXtal_BW#'!$A:$Z,21,FALSE)+VLOOKUP($A15,A:AL,31,FALSE)-50))</f>
        <v>241</v>
      </c>
      <c r="AE15" s="3">
        <v>267</v>
      </c>
      <c r="AF15" s="3">
        <f>IF(ISERROR((VLOOKUP($A15,'SegEnds_NonXtal_BW#'!$A:$Z,22,FALSE)+VLOOKUP($A15,A:AL,31,FALSE)-50)),"-",(VLOOKUP($A15,'SegEnds_NonXtal_BW#'!$A:$Z,22,FALSE)+VLOOKUP($A15,A:AL,31,FALSE)-50))</f>
        <v>278</v>
      </c>
      <c r="AG15" s="3">
        <f>IF(ISERROR(VLOOKUP($A15,'SegEnds_NonXtal_BW#'!$A:$Z,23,FALSE)+VLOOKUP($A15,A:AL,34,FALSE)-50),"-",(VLOOKUP($A15,'SegEnds_NonXtal_BW#'!$A:$Z,23,FALSE)+VLOOKUP($A15,A:AL,34,FALSE)-50))</f>
        <v>284</v>
      </c>
      <c r="AH15" s="3">
        <v>303</v>
      </c>
      <c r="AI15" s="3">
        <f>IF(ISERROR((VLOOKUP($A15,'SegEnds_NonXtal_BW#'!$A:$Z,24,FALSE)+VLOOKUP($A15,A:AL,34,FALSE)-50)),"-",(VLOOKUP($A15,'SegEnds_NonXtal_BW#'!$A:$Z,24,FALSE)+VLOOKUP($A15,A:AL,34,FALSE)-50))</f>
        <v>309</v>
      </c>
      <c r="AJ15" s="3">
        <f>IF(ISERROR(VLOOKUP($A15,'SegEnds_NonXtal_BW#'!$A:$Z,25,FALSE)+VLOOKUP($A15,A:AL,37,FALSE)-50),"-",(VLOOKUP($A15,'SegEnds_NonXtal_BW#'!$A:$Z,25,FALSE)+VLOOKUP($A15,A:AL,37,FALSE)-50))</f>
        <v>310</v>
      </c>
      <c r="AK15" s="3">
        <v>313</v>
      </c>
      <c r="AL15" s="3">
        <f>IF(ISERROR((VLOOKUP($A15,'SegEnds_NonXtal_BW#'!$A:$Z,26,FALSE)+VLOOKUP($A15,A:AL,37,FALSE)-50)),"-",(VLOOKUP($A15,'SegEnds_NonXtal_BW#'!$A:$Z,26,FALSE)+VLOOKUP($A15,A:AL,37,FALSE)-50))</f>
        <v>322</v>
      </c>
      <c r="AM15" s="28" t="str">
        <f>VLOOKUP(A15,Classification!A:B,2,FALSE)</f>
        <v>A</v>
      </c>
      <c r="AN15" s="28" t="b">
        <f t="shared" si="0"/>
        <v>1</v>
      </c>
      <c r="AO15" s="3" t="str">
        <f>IF(ISERROR(MATCH(A15,'SegEnds_Xtal_Prot#'!B:B, 0)), "NoXtal", "Xtal")</f>
        <v>Xtal</v>
      </c>
      <c r="AP15" s="3">
        <f t="shared" si="1"/>
        <v>1</v>
      </c>
      <c r="AQ15" s="3">
        <f t="shared" si="2"/>
        <v>1</v>
      </c>
      <c r="AR15" s="3">
        <f t="shared" si="3"/>
        <v>2</v>
      </c>
      <c r="AS15" s="3">
        <f t="shared" si="4"/>
        <v>1</v>
      </c>
      <c r="AT15" s="3">
        <f t="shared" si="5"/>
        <v>1</v>
      </c>
      <c r="AU15" s="3">
        <f t="shared" si="6"/>
        <v>1</v>
      </c>
      <c r="AV15" s="3">
        <f t="shared" si="7"/>
        <v>14</v>
      </c>
      <c r="AW15" s="3">
        <f t="shared" si="8"/>
        <v>10</v>
      </c>
      <c r="AX15" s="3">
        <f t="shared" si="9"/>
        <v>4</v>
      </c>
      <c r="AY15" s="3">
        <f t="shared" si="10"/>
        <v>6</v>
      </c>
      <c r="AZ15" s="3">
        <f t="shared" si="11"/>
        <v>1</v>
      </c>
      <c r="BA15" s="3">
        <f>IF(ISERROR(LEN(VLOOKUP(A15,Seqs!A:E,2,FALSE))-AL15),"-",LEN(VLOOKUP(A15,Seqs!A:E,2,FALSE))-AL15)</f>
        <v>26</v>
      </c>
      <c r="BB15" s="16">
        <f t="shared" si="12"/>
        <v>28</v>
      </c>
      <c r="BC15" s="9">
        <f t="shared" si="13"/>
        <v>19</v>
      </c>
      <c r="BD15" s="3">
        <f t="shared" si="14"/>
        <v>28</v>
      </c>
      <c r="BE15" s="3">
        <f t="shared" si="15"/>
        <v>52</v>
      </c>
      <c r="BF15" s="3">
        <f t="shared" si="20"/>
        <v>36</v>
      </c>
    </row>
    <row r="16" spans="1:59" s="3" customFormat="1" x14ac:dyDescent="0.2">
      <c r="A16" s="3" t="s">
        <v>340</v>
      </c>
      <c r="B16" s="3" t="str">
        <f>LOWER(VLOOKUP(A16,Xtal_Templ!A:B,2,FALSE))</f>
        <v>opsd_human</v>
      </c>
      <c r="C16" s="3">
        <f>VLOOKUP($A16,'SegEnds_NonXtal_BW#'!$A:$Z,3,FALSE)+D16-50</f>
        <v>50</v>
      </c>
      <c r="D16" s="3">
        <v>71</v>
      </c>
      <c r="E16" s="3">
        <f>IF(ISERROR(VLOOKUP($A16,'SegEnds_NonXtal_BW#'!$A:$Z,4,FALSE)+VLOOKUP($A16,A:AL,4,FALSE)-50),"-",(VLOOKUP($A16,'SegEnds_NonXtal_BW#'!$A:$Z,4,FALSE)+VLOOKUP($A16,A:AL,4,FALSE)-50))</f>
        <v>81</v>
      </c>
      <c r="F16" s="3">
        <f t="shared" si="17"/>
        <v>82</v>
      </c>
      <c r="G16" s="3">
        <v>84</v>
      </c>
      <c r="H16" s="3">
        <f t="shared" si="18"/>
        <v>85</v>
      </c>
      <c r="I16" s="3">
        <f t="shared" si="18"/>
        <v>86</v>
      </c>
      <c r="J16" s="3">
        <v>99</v>
      </c>
      <c r="K16" s="3">
        <f>VLOOKUP($A16,'SegEnds_NonXtal_BW#'!$A:$Z,8,FALSE)+VLOOKUP($A16,A:AL,10,FALSE)-50</f>
        <v>116</v>
      </c>
      <c r="L16" s="3">
        <f>M16-1</f>
        <v>118</v>
      </c>
      <c r="M16" s="3">
        <v>119</v>
      </c>
      <c r="N16" s="3">
        <f>M16+2</f>
        <v>121</v>
      </c>
      <c r="O16" s="3">
        <f t="shared" si="16"/>
        <v>122</v>
      </c>
      <c r="P16" s="3">
        <v>151</v>
      </c>
      <c r="Q16" s="3">
        <f>VLOOKUP($A16,'SegEnds_NonXtal_BW#'!$A:$Z,12,FALSE)+VLOOKUP($A16,A:AL,16,FALSE)-50</f>
        <v>157</v>
      </c>
      <c r="R16" s="3">
        <f>IF(ISERROR(VLOOKUP($A16,'SegEnds_NonXtal_BW#'!$A:$Z,13,FALSE)+VLOOKUP($A16,A:AL,19,FALSE)-50),"-",VLOOKUP($A16,'SegEnds_NonXtal_BW#'!$A:$Z,13,FALSE)+VLOOKUP($A16,A:AL,19,FALSE)-50)</f>
        <v>158</v>
      </c>
      <c r="S16" s="3">
        <v>158</v>
      </c>
      <c r="T16" s="103">
        <f>IF(ISERROR(VLOOKUP($A16,'SegEnds_NonXtal_BW#'!$A:$Z,14,FALSE)+VLOOKUP($A16,A:AL,19,FALSE)-50),"-",(VLOOKUP($A16,'SegEnds_NonXtal_BW#'!$A:$Z,14,FALSE)+VLOOKUP($A16,A:AL,19,FALSE)-50))</f>
        <v>164</v>
      </c>
      <c r="U16" s="9">
        <f>IF(ISERROR(VLOOKUP($A16,'SegEnds_NonXtal_BW#'!$A:$Z,15,FALSE)+VLOOKUP($A16,A:AL,22,FALSE)-50),"-",VLOOKUP($A16,'SegEnds_NonXtal_BW#'!$A:$Z,15,FALSE)+VLOOKUP($A16,A:AL,22,FALSE)-50)</f>
        <v>165</v>
      </c>
      <c r="V16" s="3">
        <v>177</v>
      </c>
      <c r="W16" s="3">
        <f>IF(ISERROR(VLOOKUP($A16,'SegEnds_NonXtal_BW#'!$A:$Z,16,FALSE)+VLOOKUP($A16,A:AL,22,FALSE)-50),"-",(VLOOKUP($A16,'SegEnds_NonXtal_BW#'!$A:$Z,16,FALSE)+VLOOKUP($A16,A:AL,22,FALSE)-50))</f>
        <v>189</v>
      </c>
      <c r="X16" s="3">
        <f>IF(ISERROR(VLOOKUP($A16,'SegEnds_NonXtal_BW#'!$A:$Z,17,FALSE)+VLOOKUP($A16,A:AL,25,FALSE)-50),"-",(VLOOKUP($A16,'SegEnds_NonXtal_BW#'!$A:$Z,17,FALSE)+VLOOKUP($A16,A:AL,25,FALSE)-50))</f>
        <v>203</v>
      </c>
      <c r="Y16" s="3">
        <v>203</v>
      </c>
      <c r="Z16" s="3">
        <f t="shared" si="19"/>
        <v>205</v>
      </c>
      <c r="AA16" s="3">
        <f>IF(ISERROR(VLOOKUP($A16,'SegEnds_NonXtal_BW#'!$A:$Z,19,FALSE)+VLOOKUP($A16,A:AL,28,FALSE)-50),"-",(VLOOKUP($A16,'SegEnds_NonXtal_BW#'!$A:$Z,19,FALSE)+VLOOKUP($A16,A:AL,28,FALSE)-50))</f>
        <v>215</v>
      </c>
      <c r="AB16" s="3">
        <v>231</v>
      </c>
      <c r="AC16" s="3">
        <f>IF(ISERROR((VLOOKUP($A16,'SegEnds_NonXtal_BW#'!$A:$Z,20,FALSE)+VLOOKUP($A16,A:AL,28,FALSE)-50)),"-",(VLOOKUP($A16,'SegEnds_NonXtal_BW#'!$A:$Z,20,FALSE)+VLOOKUP($A16,A:AL,28,FALSE)-50))</f>
        <v>253</v>
      </c>
      <c r="AD16" s="3">
        <f>IF(ISERROR(VLOOKUP($A16,'SegEnds_NonXtal_BW#'!$A:$Z,21,FALSE)+VLOOKUP($A16,A:AL,31,FALSE)-50),"-",(VLOOKUP($A16,'SegEnds_NonXtal_BW#'!$A:$Z,21,FALSE)+VLOOKUP($A16,A:AL,31,FALSE)-50))</f>
        <v>257</v>
      </c>
      <c r="AE16" s="3">
        <v>283</v>
      </c>
      <c r="AF16" s="3">
        <f>IF(ISERROR((VLOOKUP($A16,'SegEnds_NonXtal_BW#'!$A:$Z,22,FALSE)+VLOOKUP($A16,A:AL,31,FALSE)-50)),"-",(VLOOKUP($A16,'SegEnds_NonXtal_BW#'!$A:$Z,22,FALSE)+VLOOKUP($A16,A:AL,31,FALSE)-50))</f>
        <v>294</v>
      </c>
      <c r="AG16" s="3">
        <f>IF(ISERROR(VLOOKUP($A16,'SegEnds_NonXtal_BW#'!$A:$Z,23,FALSE)+VLOOKUP($A16,A:AL,34,FALSE)-50),"-",(VLOOKUP($A16,'SegEnds_NonXtal_BW#'!$A:$Z,23,FALSE)+VLOOKUP($A16,A:AL,34,FALSE)-50))</f>
        <v>300</v>
      </c>
      <c r="AH16" s="3">
        <v>319</v>
      </c>
      <c r="AI16" s="3">
        <f>IF(ISERROR((VLOOKUP($A16,'SegEnds_NonXtal_BW#'!$A:$Z,24,FALSE)+VLOOKUP($A16,A:AL,34,FALSE)-50)),"-",(VLOOKUP($A16,'SegEnds_NonXtal_BW#'!$A:$Z,24,FALSE)+VLOOKUP($A16,A:AL,34,FALSE)-50))</f>
        <v>325</v>
      </c>
      <c r="AJ16" s="3">
        <f>IF(ISERROR(VLOOKUP($A16,'SegEnds_NonXtal_BW#'!$A:$Z,25,FALSE)+VLOOKUP($A16,A:AL,37,FALSE)-50),"-",(VLOOKUP($A16,'SegEnds_NonXtal_BW#'!$A:$Z,25,FALSE)+VLOOKUP($A16,A:AL,37,FALSE)-50))</f>
        <v>326</v>
      </c>
      <c r="AK16" s="3">
        <v>329</v>
      </c>
      <c r="AL16" s="3">
        <f>IF(ISERROR((VLOOKUP($A16,'SegEnds_NonXtal_BW#'!$A:$Z,26,FALSE)+VLOOKUP($A16,A:AL,37,FALSE)-50)),"-",(VLOOKUP($A16,'SegEnds_NonXtal_BW#'!$A:$Z,26,FALSE)+VLOOKUP($A16,A:AL,37,FALSE)-50))</f>
        <v>338</v>
      </c>
      <c r="AM16" s="28" t="str">
        <f>VLOOKUP(A16,Classification!A:B,2,FALSE)</f>
        <v>A</v>
      </c>
      <c r="AN16" s="28" t="b">
        <f t="shared" si="0"/>
        <v>1</v>
      </c>
      <c r="AO16" s="3" t="str">
        <f>IF(ISERROR(MATCH(A16,'SegEnds_Xtal_Prot#'!B:B, 0)), "NoXtal", "Xtal")</f>
        <v>NoXtal</v>
      </c>
      <c r="AP16" s="3">
        <f t="shared" si="1"/>
        <v>1</v>
      </c>
      <c r="AQ16" s="3">
        <f t="shared" si="2"/>
        <v>1</v>
      </c>
      <c r="AR16" s="3">
        <f t="shared" si="3"/>
        <v>2</v>
      </c>
      <c r="AS16" s="3">
        <f t="shared" si="4"/>
        <v>1</v>
      </c>
      <c r="AT16" s="3">
        <f t="shared" si="5"/>
        <v>1</v>
      </c>
      <c r="AU16" s="3">
        <f t="shared" si="6"/>
        <v>1</v>
      </c>
      <c r="AV16" s="3">
        <f t="shared" si="7"/>
        <v>14</v>
      </c>
      <c r="AW16" s="3">
        <f t="shared" si="8"/>
        <v>10</v>
      </c>
      <c r="AX16" s="3">
        <f t="shared" si="9"/>
        <v>4</v>
      </c>
      <c r="AY16" s="3">
        <f t="shared" si="10"/>
        <v>6</v>
      </c>
      <c r="AZ16" s="3">
        <f t="shared" si="11"/>
        <v>1</v>
      </c>
      <c r="BA16" s="3">
        <f>IF(ISERROR(LEN(VLOOKUP(A16,Seqs!A:E,2,FALSE))-AL16),"-",LEN(VLOOKUP(A16,Seqs!A:E,2,FALSE))-AL16)</f>
        <v>26</v>
      </c>
      <c r="BB16" s="16">
        <f t="shared" si="12"/>
        <v>28</v>
      </c>
      <c r="BC16" s="9">
        <f t="shared" si="13"/>
        <v>19</v>
      </c>
      <c r="BD16" s="3">
        <f t="shared" si="14"/>
        <v>28</v>
      </c>
      <c r="BE16" s="3">
        <f t="shared" si="15"/>
        <v>52</v>
      </c>
      <c r="BF16" s="3">
        <f t="shared" si="20"/>
        <v>36</v>
      </c>
    </row>
    <row r="17" spans="1:60" s="3" customFormat="1" x14ac:dyDescent="0.2">
      <c r="A17" s="3" t="s">
        <v>341</v>
      </c>
      <c r="B17" s="3" t="str">
        <f>LOWER(VLOOKUP(A17,Xtal_Templ!A:B,2,FALSE))</f>
        <v>opsd_bovin</v>
      </c>
      <c r="C17" s="3">
        <f>VLOOKUP($A17,'SegEnds_NonXtal_BW#'!$A:$Z,3,FALSE)+D17-50</f>
        <v>50</v>
      </c>
      <c r="D17" s="3">
        <v>71</v>
      </c>
      <c r="E17" s="3">
        <f>IF(ISERROR(VLOOKUP($A17,'SegEnds_NonXtal_BW#'!$A:$Z,4,FALSE)+VLOOKUP($A17,A:AL,4,FALSE)-50),"-",(VLOOKUP($A17,'SegEnds_NonXtal_BW#'!$A:$Z,4,FALSE)+VLOOKUP($A17,A:AL,4,FALSE)-50))</f>
        <v>81</v>
      </c>
      <c r="F17" s="3">
        <f t="shared" si="17"/>
        <v>82</v>
      </c>
      <c r="G17" s="3">
        <v>84</v>
      </c>
      <c r="H17" s="3">
        <f t="shared" si="18"/>
        <v>85</v>
      </c>
      <c r="I17" s="3">
        <f t="shared" si="18"/>
        <v>86</v>
      </c>
      <c r="J17" s="3">
        <v>99</v>
      </c>
      <c r="K17" s="3">
        <f>VLOOKUP($A17,'SegEnds_NonXtal_BW#'!$A:$Z,8,FALSE)+VLOOKUP($A17,A:AL,10,FALSE)-50</f>
        <v>116</v>
      </c>
      <c r="L17" s="3">
        <f>M17-1</f>
        <v>117</v>
      </c>
      <c r="M17" s="3">
        <v>118</v>
      </c>
      <c r="N17" s="3">
        <f>M17+2</f>
        <v>120</v>
      </c>
      <c r="O17" s="3">
        <f t="shared" si="16"/>
        <v>121</v>
      </c>
      <c r="P17" s="3">
        <v>151</v>
      </c>
      <c r="Q17" s="3">
        <f>VLOOKUP($A17,'SegEnds_NonXtal_BW#'!$A:$Z,12,FALSE)+VLOOKUP($A17,A:AL,16,FALSE)-50</f>
        <v>157</v>
      </c>
      <c r="R17" s="3">
        <f>IF(ISERROR(VLOOKUP($A17,'SegEnds_NonXtal_BW#'!$A:$Z,13,FALSE)+VLOOKUP($A17,A:AL,19,FALSE)-50),"-",VLOOKUP($A17,'SegEnds_NonXtal_BW#'!$A:$Z,13,FALSE)+VLOOKUP($A17,A:AL,19,FALSE)-50)</f>
        <v>158</v>
      </c>
      <c r="S17" s="3">
        <v>158</v>
      </c>
      <c r="T17" s="103">
        <f>IF(ISERROR(VLOOKUP($A17,'SegEnds_NonXtal_BW#'!$A:$Z,14,FALSE)+VLOOKUP($A17,A:AL,19,FALSE)-50),"-",(VLOOKUP($A17,'SegEnds_NonXtal_BW#'!$A:$Z,14,FALSE)+VLOOKUP($A17,A:AL,19,FALSE)-50))</f>
        <v>164</v>
      </c>
      <c r="U17" s="9">
        <f>IF(ISERROR(VLOOKUP($A17,'SegEnds_NonXtal_BW#'!$A:$Z,15,FALSE)+VLOOKUP($A17,A:AL,22,FALSE)-50),"-",VLOOKUP($A17,'SegEnds_NonXtal_BW#'!$A:$Z,15,FALSE)+VLOOKUP($A17,A:AL,22,FALSE)-50)</f>
        <v>165</v>
      </c>
      <c r="V17" s="3">
        <v>177</v>
      </c>
      <c r="W17" s="3">
        <f>IF(ISERROR(VLOOKUP($A17,'SegEnds_NonXtal_BW#'!$A:$Z,16,FALSE)+VLOOKUP($A17,A:AL,22,FALSE)-50),"-",(VLOOKUP($A17,'SegEnds_NonXtal_BW#'!$A:$Z,16,FALSE)+VLOOKUP($A17,A:AL,22,FALSE)-50))</f>
        <v>189</v>
      </c>
      <c r="X17" s="3">
        <f>IF(ISERROR(VLOOKUP($A17,'SegEnds_NonXtal_BW#'!$A:$Z,17,FALSE)+VLOOKUP($A17,A:AL,25,FALSE)-50),"-",(VLOOKUP($A17,'SegEnds_NonXtal_BW#'!$A:$Z,17,FALSE)+VLOOKUP($A17,A:AL,25,FALSE)-50))</f>
        <v>203</v>
      </c>
      <c r="Y17" s="3">
        <v>203</v>
      </c>
      <c r="Z17" s="3">
        <f t="shared" si="19"/>
        <v>205</v>
      </c>
      <c r="AA17" s="3">
        <f>IF(ISERROR(VLOOKUP($A17,'SegEnds_NonXtal_BW#'!$A:$Z,19,FALSE)+VLOOKUP($A17,A:AL,28,FALSE)-50),"-",(VLOOKUP($A17,'SegEnds_NonXtal_BW#'!$A:$Z,19,FALSE)+VLOOKUP($A17,A:AL,28,FALSE)-50))</f>
        <v>215</v>
      </c>
      <c r="AB17" s="3">
        <v>231</v>
      </c>
      <c r="AC17" s="3">
        <f>IF(ISERROR((VLOOKUP($A17,'SegEnds_NonXtal_BW#'!$A:$Z,20,FALSE)+VLOOKUP($A17,A:AL,28,FALSE)-50)),"-",(VLOOKUP($A17,'SegEnds_NonXtal_BW#'!$A:$Z,20,FALSE)+VLOOKUP($A17,A:AL,28,FALSE)-50))</f>
        <v>253</v>
      </c>
      <c r="AD17" s="3">
        <f>IF(ISERROR(VLOOKUP($A17,'SegEnds_NonXtal_BW#'!$A:$Z,21,FALSE)+VLOOKUP($A17,A:AL,31,FALSE)-50),"-",(VLOOKUP($A17,'SegEnds_NonXtal_BW#'!$A:$Z,21,FALSE)+VLOOKUP($A17,A:AL,31,FALSE)-50))</f>
        <v>257</v>
      </c>
      <c r="AE17" s="3">
        <v>283</v>
      </c>
      <c r="AF17" s="3">
        <f>IF(ISERROR((VLOOKUP($A17,'SegEnds_NonXtal_BW#'!$A:$Z,22,FALSE)+VLOOKUP($A17,A:AL,31,FALSE)-50)),"-",(VLOOKUP($A17,'SegEnds_NonXtal_BW#'!$A:$Z,22,FALSE)+VLOOKUP($A17,A:AL,31,FALSE)-50))</f>
        <v>294</v>
      </c>
      <c r="AG17" s="3">
        <f>IF(ISERROR(VLOOKUP($A17,'SegEnds_NonXtal_BW#'!$A:$Z,23,FALSE)+VLOOKUP($A17,A:AL,34,FALSE)-50),"-",(VLOOKUP($A17,'SegEnds_NonXtal_BW#'!$A:$Z,23,FALSE)+VLOOKUP($A17,A:AL,34,FALSE)-50))</f>
        <v>300</v>
      </c>
      <c r="AH17" s="3">
        <v>319</v>
      </c>
      <c r="AI17" s="3">
        <f>IF(ISERROR((VLOOKUP($A17,'SegEnds_NonXtal_BW#'!$A:$Z,24,FALSE)+VLOOKUP($A17,A:AL,34,FALSE)-50)),"-",(VLOOKUP($A17,'SegEnds_NonXtal_BW#'!$A:$Z,24,FALSE)+VLOOKUP($A17,A:AL,34,FALSE)-50))</f>
        <v>325</v>
      </c>
      <c r="AJ17" s="3">
        <f>IF(ISERROR(VLOOKUP($A17,'SegEnds_NonXtal_BW#'!$A:$Z,25,FALSE)+VLOOKUP($A17,A:AL,37,FALSE)-50),"-",(VLOOKUP($A17,'SegEnds_NonXtal_BW#'!$A:$Z,25,FALSE)+VLOOKUP($A17,A:AL,37,FALSE)-50))</f>
        <v>326</v>
      </c>
      <c r="AK17" s="3">
        <v>329</v>
      </c>
      <c r="AL17" s="3">
        <f>IF(ISERROR((VLOOKUP($A17,'SegEnds_NonXtal_BW#'!$A:$Z,26,FALSE)+VLOOKUP($A17,A:AL,37,FALSE)-50)),"-",(VLOOKUP($A17,'SegEnds_NonXtal_BW#'!$A:$Z,26,FALSE)+VLOOKUP($A17,A:AL,37,FALSE)-50))</f>
        <v>338</v>
      </c>
      <c r="AM17" s="28" t="str">
        <f>VLOOKUP(A17,Classification!A:B,2,FALSE)</f>
        <v>A</v>
      </c>
      <c r="AN17" s="28" t="b">
        <f t="shared" si="0"/>
        <v>1</v>
      </c>
      <c r="AO17" s="3" t="str">
        <f>IF(ISERROR(MATCH(A17,'SegEnds_Xtal_Prot#'!B:B, 0)), "NoXtal", "Xtal")</f>
        <v>NoXtal</v>
      </c>
      <c r="AP17" s="3">
        <f t="shared" si="1"/>
        <v>1</v>
      </c>
      <c r="AQ17" s="3">
        <f t="shared" si="2"/>
        <v>1</v>
      </c>
      <c r="AR17" s="3">
        <f t="shared" si="3"/>
        <v>1</v>
      </c>
      <c r="AS17" s="3">
        <f t="shared" si="4"/>
        <v>1</v>
      </c>
      <c r="AT17" s="3">
        <f t="shared" si="5"/>
        <v>1</v>
      </c>
      <c r="AU17" s="3">
        <f t="shared" si="6"/>
        <v>1</v>
      </c>
      <c r="AV17" s="3">
        <f t="shared" si="7"/>
        <v>14</v>
      </c>
      <c r="AW17" s="3">
        <f t="shared" si="8"/>
        <v>10</v>
      </c>
      <c r="AX17" s="3">
        <f t="shared" si="9"/>
        <v>4</v>
      </c>
      <c r="AY17" s="3">
        <f t="shared" si="10"/>
        <v>6</v>
      </c>
      <c r="AZ17" s="3">
        <f t="shared" si="11"/>
        <v>1</v>
      </c>
      <c r="BA17" s="3">
        <f>IF(ISERROR(LEN(VLOOKUP(A17,Seqs!A:E,2,FALSE))-AL17),"-",LEN(VLOOKUP(A17,Seqs!A:E,2,FALSE))-AL17)</f>
        <v>26</v>
      </c>
      <c r="BB17" s="16">
        <f t="shared" si="12"/>
        <v>28</v>
      </c>
      <c r="BC17" s="9">
        <f t="shared" si="13"/>
        <v>19</v>
      </c>
      <c r="BD17" s="3">
        <f t="shared" si="14"/>
        <v>28</v>
      </c>
      <c r="BE17" s="3">
        <f t="shared" si="15"/>
        <v>52</v>
      </c>
      <c r="BF17" s="3">
        <f t="shared" si="20"/>
        <v>36</v>
      </c>
    </row>
    <row r="18" spans="1:60" s="3" customFormat="1" x14ac:dyDescent="0.2">
      <c r="A18" s="3" t="s">
        <v>350</v>
      </c>
      <c r="B18" s="3" t="str">
        <f>LOWER(VLOOKUP(A18,Xtal_Templ!A:B,2,FALSE))</f>
        <v>p2ry1_human</v>
      </c>
      <c r="C18" s="3">
        <f>VLOOKUP($A18,'SegEnds_NonXtal_BW#'!$A:$Z,3,FALSE)+D18-50</f>
        <v>32</v>
      </c>
      <c r="D18" s="3">
        <v>52</v>
      </c>
      <c r="E18" s="3">
        <f>IF(ISERROR(VLOOKUP($A18,'SegEnds_NonXtal_BW#'!$A:$Z,4,FALSE)+VLOOKUP($A18,A:AL,4,FALSE)-50),"-",(VLOOKUP($A18,'SegEnds_NonXtal_BW#'!$A:$Z,4,FALSE)+VLOOKUP($A18,A:AL,4,FALSE)-50))</f>
        <v>62</v>
      </c>
      <c r="F18" s="3" t="str">
        <f>IF(ISERROR(VLOOKUP($A18,'SegEnds_NonXtal_BW#'!$A:$Z,5,FALSE)+VLOOKUP($A18,A:AL,7,FALSE)-50),"-",(VLOOKUP($A18,'SegEnds_NonXtal_BW#'!$A:$Z,5,FALSE)+VLOOKUP($A18,A:AL,7,FALSE)-50))</f>
        <v>-</v>
      </c>
      <c r="G18" s="3" t="s">
        <v>23</v>
      </c>
      <c r="H18" s="3" t="str">
        <f>IF(ISERROR(VLOOKUP($A18,'SegEnds_NonXtal_BW#'!$A:$Z,6,FALSE)+VLOOKUP($A18,A:AL,7,FALSE)-50),"-",(VLOOKUP($A18,'SegEnds_NonXtal_BW#'!$A:$Z,6,FALSE)+VLOOKUP($A18,A:AL,7,FALSE)-50))</f>
        <v>-</v>
      </c>
      <c r="I18" s="3">
        <f>VLOOKUP($A18,'SegEnds_NonXtal_BW#'!$A:$Z,7,FALSE)+J18-50</f>
        <v>67</v>
      </c>
      <c r="J18" s="3">
        <v>80</v>
      </c>
      <c r="K18" s="3">
        <f>VLOOKUP($A18,'SegEnds_NonXtal_BW#'!$A:$Z,8,FALSE)+VLOOKUP($A18,A:AL,10,FALSE)-50</f>
        <v>96</v>
      </c>
      <c r="L18" s="3">
        <f>M18-1</f>
        <v>98</v>
      </c>
      <c r="M18" s="3">
        <v>99</v>
      </c>
      <c r="N18" s="3">
        <f>M18+2</f>
        <v>101</v>
      </c>
      <c r="O18" s="3">
        <f t="shared" si="16"/>
        <v>102</v>
      </c>
      <c r="P18" s="3">
        <v>131</v>
      </c>
      <c r="Q18" s="3">
        <f>VLOOKUP($A18,'SegEnds_NonXtal_BW#'!$A:$Z,12,FALSE)+VLOOKUP($A18,A:AL,16,FALSE)-50</f>
        <v>137</v>
      </c>
      <c r="R18" s="3">
        <f>IF(ISERROR(VLOOKUP($A18,'SegEnds_NonXtal_BW#'!$A:$Z,13,FALSE)+VLOOKUP($A18,A:AL,19,FALSE)-50),"-",VLOOKUP($A18,'SegEnds_NonXtal_BW#'!$A:$Z,13,FALSE)+VLOOKUP($A18,A:AL,19,FALSE)-50)</f>
        <v>138</v>
      </c>
      <c r="S18" s="3">
        <v>138</v>
      </c>
      <c r="T18" s="103">
        <f>IF(ISERROR(VLOOKUP($A18,'SegEnds_NonXtal_BW#'!$A:$Z,14,FALSE)+VLOOKUP($A18,A:AL,19,FALSE)-50),"-",(VLOOKUP($A18,'SegEnds_NonXtal_BW#'!$A:$Z,14,FALSE)+VLOOKUP($A18,A:AL,19,FALSE)-50))</f>
        <v>144</v>
      </c>
      <c r="U18" s="9">
        <f>IF(ISERROR(VLOOKUP($A18,'SegEnds_NonXtal_BW#'!$A:$Z,15,FALSE)+VLOOKUP($A18,A:AL,22,FALSE)-50),"-",VLOOKUP($A18,'SegEnds_NonXtal_BW#'!$A:$Z,15,FALSE)+VLOOKUP($A18,A:AL,22,FALSE)-50)</f>
        <v>145</v>
      </c>
      <c r="V18" s="3">
        <v>157</v>
      </c>
      <c r="W18" s="3">
        <f>IF(ISERROR(VLOOKUP($A18,'SegEnds_NonXtal_BW#'!$A:$Z,16,FALSE)+VLOOKUP($A18,A:AL,22,FALSE)-50),"-",(VLOOKUP($A18,'SegEnds_NonXtal_BW#'!$A:$Z,16,FALSE)+VLOOKUP($A18,A:AL,22,FALSE)-50))</f>
        <v>171</v>
      </c>
      <c r="X18" s="3">
        <f>IF(ISERROR(VLOOKUP($A18,'SegEnds_NonXtal_BW#'!$A:$Z,17,FALSE)+VLOOKUP($A18,A:AL,25,FALSE)-50),"-",(VLOOKUP($A18,'SegEnds_NonXtal_BW#'!$A:$Z,17,FALSE)+VLOOKUP($A18,A:AL,25,FALSE)-50))</f>
        <v>181</v>
      </c>
      <c r="Y18" s="3">
        <v>181</v>
      </c>
      <c r="Z18" s="3">
        <f t="shared" si="19"/>
        <v>183</v>
      </c>
      <c r="AA18" s="3">
        <f>IF(ISERROR(VLOOKUP($A18,'SegEnds_NonXtal_BW#'!$A:$Z,19,FALSE)+VLOOKUP($A18,A:AL,28,FALSE)-50),"-",(VLOOKUP($A18,'SegEnds_NonXtal_BW#'!$A:$Z,19,FALSE)+VLOOKUP($A18,A:AL,28,FALSE)-50))</f>
        <v>192</v>
      </c>
      <c r="AB18" s="3">
        <v>210</v>
      </c>
      <c r="AC18" s="3">
        <f>IF(ISERROR((VLOOKUP($A18,'SegEnds_NonXtal_BW#'!$A:$Z,20,FALSE)+VLOOKUP($A18,A:AL,28,FALSE)-50)),"-",(VLOOKUP($A18,'SegEnds_NonXtal_BW#'!$A:$Z,20,FALSE)+VLOOKUP($A18,A:AL,28,FALSE)-50))</f>
        <v>228</v>
      </c>
      <c r="AD18" s="3">
        <f>IF(ISERROR(VLOOKUP($A18,'SegEnds_NonXtal_BW#'!$A:$Z,21,FALSE)+VLOOKUP($A18,A:AL,31,FALSE)-50),"-",(VLOOKUP($A18,'SegEnds_NonXtal_BW#'!$A:$Z,21,FALSE)+VLOOKUP($A18,A:AL,31,FALSE)-50))</f>
        <v>232</v>
      </c>
      <c r="AE18" s="3">
        <v>258</v>
      </c>
      <c r="AF18" s="3">
        <f>IF(ISERROR((VLOOKUP($A18,'SegEnds_NonXtal_BW#'!$A:$Z,22,FALSE)+VLOOKUP($A18,A:AL,31,FALSE)-50)),"-",(VLOOKUP($A18,'SegEnds_NonXtal_BW#'!$A:$Z,22,FALSE)+VLOOKUP($A18,A:AL,31,FALSE)-50))</f>
        <v>272</v>
      </c>
      <c r="AG18" s="3">
        <f>IF(ISERROR(VLOOKUP($A18,'SegEnds_NonXtal_BW#'!$A:$Z,23,FALSE)+VLOOKUP($A18,A:AL,34,FALSE)-50),"-",(VLOOKUP($A18,'SegEnds_NonXtal_BW#'!$A:$Z,23,FALSE)+VLOOKUP($A18,A:AL,34,FALSE)-50))</f>
        <v>276</v>
      </c>
      <c r="AH18" s="3">
        <v>302</v>
      </c>
      <c r="AI18" s="3">
        <f>IF(ISERROR((VLOOKUP($A18,'SegEnds_NonXtal_BW#'!$A:$Z,24,FALSE)+VLOOKUP($A18,A:AL,34,FALSE)-50)),"-",(VLOOKUP($A18,'SegEnds_NonXtal_BW#'!$A:$Z,24,FALSE)+VLOOKUP($A18,A:AL,34,FALSE)-50))</f>
        <v>308</v>
      </c>
      <c r="AJ18" s="3">
        <f>IF(ISERROR(VLOOKUP($A18,'SegEnds_NonXtal_BW#'!$A:$Z,25,FALSE)+VLOOKUP($A18,A:AL,37,FALSE)-50),"-",(VLOOKUP($A18,'SegEnds_NonXtal_BW#'!$A:$Z,25,FALSE)+VLOOKUP($A18,A:AL,37,FALSE)-50))</f>
        <v>309</v>
      </c>
      <c r="AK18" s="3">
        <v>312</v>
      </c>
      <c r="AL18" s="3">
        <f>IF(ISERROR((VLOOKUP($A18,'SegEnds_NonXtal_BW#'!$A:$Z,26,FALSE)+VLOOKUP($A18,A:AL,37,FALSE)-50)),"-",(VLOOKUP($A18,'SegEnds_NonXtal_BW#'!$A:$Z,26,FALSE)+VLOOKUP($A18,A:AL,37,FALSE)-50))</f>
        <v>321</v>
      </c>
      <c r="AM18" s="28" t="str">
        <f>VLOOKUP(A18,Classification!A:B,2,FALSE)</f>
        <v>A</v>
      </c>
      <c r="AN18" s="28" t="b">
        <f t="shared" si="0"/>
        <v>1</v>
      </c>
      <c r="AO18" s="3" t="str">
        <f>IF(ISERROR(MATCH(A18,'SegEnds_Xtal_Prot#'!B:B, 0)), "NoXtal", "Xtal")</f>
        <v>NoXtal</v>
      </c>
      <c r="AP18" s="3" t="str">
        <f t="shared" si="1"/>
        <v>-</v>
      </c>
      <c r="AQ18" s="3" t="str">
        <f t="shared" si="2"/>
        <v>-</v>
      </c>
      <c r="AR18" s="3">
        <f t="shared" si="3"/>
        <v>2</v>
      </c>
      <c r="AS18" s="3">
        <f t="shared" si="4"/>
        <v>1</v>
      </c>
      <c r="AT18" s="3">
        <f t="shared" si="5"/>
        <v>1</v>
      </c>
      <c r="AU18" s="3">
        <f t="shared" si="6"/>
        <v>1</v>
      </c>
      <c r="AV18" s="3">
        <f t="shared" si="7"/>
        <v>10</v>
      </c>
      <c r="AW18" s="3">
        <f t="shared" si="8"/>
        <v>9</v>
      </c>
      <c r="AX18" s="3">
        <f t="shared" si="9"/>
        <v>4</v>
      </c>
      <c r="AY18" s="3">
        <f t="shared" si="10"/>
        <v>4</v>
      </c>
      <c r="AZ18" s="3">
        <f t="shared" si="11"/>
        <v>1</v>
      </c>
      <c r="BA18" s="3">
        <f>IF(ISERROR(LEN(VLOOKUP(A18,Seqs!A:E,2,FALSE))-AL18),"-",LEN(VLOOKUP(A18,Seqs!A:E,2,FALSE))-AL18)</f>
        <v>18</v>
      </c>
      <c r="BB18" s="16">
        <f t="shared" si="12"/>
        <v>28</v>
      </c>
      <c r="BC18" s="9">
        <f t="shared" si="13"/>
        <v>19</v>
      </c>
      <c r="BD18" s="3">
        <f t="shared" si="14"/>
        <v>28</v>
      </c>
      <c r="BE18" s="3">
        <f t="shared" si="15"/>
        <v>48</v>
      </c>
      <c r="BF18" s="3">
        <f t="shared" si="20"/>
        <v>44</v>
      </c>
    </row>
    <row r="19" spans="1:60" s="3" customFormat="1" x14ac:dyDescent="0.2">
      <c r="A19" s="3" t="s">
        <v>356</v>
      </c>
      <c r="B19" s="3" t="str">
        <f>LOWER(VLOOKUP(A19,Xtal_Templ!A:B,2,FALSE))</f>
        <v>par2_human</v>
      </c>
      <c r="C19" s="3">
        <f>VLOOKUP($A19,'SegEnds_NonXtal_BW#'!$A:$Z,3,FALSE)+D19-50</f>
        <v>71</v>
      </c>
      <c r="D19" s="3">
        <v>93</v>
      </c>
      <c r="E19" s="3">
        <f>IF(ISERROR(VLOOKUP($A19,'SegEnds_NonXtal_BW#'!$A:$Z,4,FALSE)+VLOOKUP($A19,A:AL,4,FALSE)-50),"-",(VLOOKUP($A19,'SegEnds_NonXtal_BW#'!$A:$Z,4,FALSE)+VLOOKUP($A19,A:AL,4,FALSE)-50))</f>
        <v>103</v>
      </c>
      <c r="F19" s="3" t="str">
        <f>IF(ISERROR(VLOOKUP($A19,'SegEnds_NonXtal_BW#'!$A:$Z,5,FALSE)+VLOOKUP($A19,A:AL,7,FALSE)-50),"-",(VLOOKUP($A19,'SegEnds_NonXtal_BW#'!$A:$Z,5,FALSE)+VLOOKUP($A19,A:AL,7,FALSE)-50))</f>
        <v>-</v>
      </c>
      <c r="G19" s="3" t="s">
        <v>23</v>
      </c>
      <c r="H19" s="3" t="str">
        <f>IF(ISERROR(VLOOKUP($A19,'SegEnds_NonXtal_BW#'!$A:$Z,6,FALSE)+VLOOKUP($A19,A:AL,7,FALSE)-50),"-",(VLOOKUP($A19,'SegEnds_NonXtal_BW#'!$A:$Z,6,FALSE)+VLOOKUP($A19,A:AL,7,FALSE)-50))</f>
        <v>-</v>
      </c>
      <c r="I19" s="3">
        <f>VLOOKUP($A19,'SegEnds_NonXtal_BW#'!$A:$Z,7,FALSE)+J19-50</f>
        <v>108</v>
      </c>
      <c r="J19" s="3">
        <v>121</v>
      </c>
      <c r="K19" s="3">
        <f>VLOOKUP($A19,'SegEnds_NonXtal_BW#'!$A:$Z,8,FALSE)+VLOOKUP($A19,A:AL,10,FALSE)-50</f>
        <v>137</v>
      </c>
      <c r="L19" s="3">
        <f>M19-1</f>
        <v>140</v>
      </c>
      <c r="M19" s="3">
        <v>141</v>
      </c>
      <c r="N19" s="3">
        <f>M19+2</f>
        <v>143</v>
      </c>
      <c r="O19" s="3">
        <f t="shared" si="16"/>
        <v>144</v>
      </c>
      <c r="P19" s="3">
        <v>173</v>
      </c>
      <c r="Q19" s="3">
        <f>VLOOKUP($A19,'SegEnds_NonXtal_BW#'!$A:$Z,12,FALSE)+VLOOKUP($A19,A:AL,16,FALSE)-50</f>
        <v>179</v>
      </c>
      <c r="R19" s="3">
        <f>IF(ISERROR(VLOOKUP($A19,'SegEnds_NonXtal_BW#'!$A:$Z,13,FALSE)+VLOOKUP($A19,A:AL,19,FALSE)-50),"-",VLOOKUP($A19,'SegEnds_NonXtal_BW#'!$A:$Z,13,FALSE)+VLOOKUP($A19,A:AL,19,FALSE)-50)</f>
        <v>180</v>
      </c>
      <c r="S19" s="3">
        <v>180</v>
      </c>
      <c r="T19" s="103">
        <f>IF(ISERROR(VLOOKUP($A19,'SegEnds_NonXtal_BW#'!$A:$Z,14,FALSE)+VLOOKUP($A19,A:AL,19,FALSE)-50),"-",(VLOOKUP($A19,'SegEnds_NonXtal_BW#'!$A:$Z,14,FALSE)+VLOOKUP($A19,A:AL,19,FALSE)-50))</f>
        <v>186</v>
      </c>
      <c r="U19" s="9">
        <f>IF(ISERROR(VLOOKUP($A19,'SegEnds_NonXtal_BW#'!$A:$Z,15,FALSE)+VLOOKUP($A19,A:AL,22,FALSE)-50),"-",VLOOKUP($A19,'SegEnds_NonXtal_BW#'!$A:$Z,15,FALSE)+VLOOKUP($A19,A:AL,22,FALSE)-50)</f>
        <v>187</v>
      </c>
      <c r="V19" s="3">
        <v>199</v>
      </c>
      <c r="W19" s="3">
        <f>IF(ISERROR(VLOOKUP($A19,'SegEnds_NonXtal_BW#'!$A:$Z,16,FALSE)+VLOOKUP($A19,A:AL,22,FALSE)-50),"-",(VLOOKUP($A19,'SegEnds_NonXtal_BW#'!$A:$Z,16,FALSE)+VLOOKUP($A19,A:AL,22,FALSE)-50))</f>
        <v>211</v>
      </c>
      <c r="X19" s="3">
        <f>IF(ISERROR(VLOOKUP($A19,'SegEnds_NonXtal_BW#'!$A:$Z,17,FALSE)+VLOOKUP($A19,A:AL,25,FALSE)-50),"-",(VLOOKUP($A19,'SegEnds_NonXtal_BW#'!$A:$Z,17,FALSE)+VLOOKUP($A19,A:AL,25,FALSE)-50))</f>
        <v>226</v>
      </c>
      <c r="Y19" s="3">
        <v>226</v>
      </c>
      <c r="Z19" s="3">
        <f t="shared" si="19"/>
        <v>228</v>
      </c>
      <c r="AA19" s="3">
        <f>IF(ISERROR(VLOOKUP($A19,'SegEnds_NonXtal_BW#'!$A:$Z,19,FALSE)+VLOOKUP($A19,A:AL,28,FALSE)-50),"-",(VLOOKUP($A19,'SegEnds_NonXtal_BW#'!$A:$Z,19,FALSE)+VLOOKUP($A19,A:AL,28,FALSE)-50))</f>
        <v>235</v>
      </c>
      <c r="AB19" s="3">
        <v>254</v>
      </c>
      <c r="AC19" s="3">
        <f>IF(ISERROR((VLOOKUP($A19,'SegEnds_NonXtal_BW#'!$A:$Z,20,FALSE)+VLOOKUP($A19,A:AL,28,FALSE)-50)),"-",(VLOOKUP($A19,'SegEnds_NonXtal_BW#'!$A:$Z,20,FALSE)+VLOOKUP($A19,A:AL,28,FALSE)-50))</f>
        <v>272</v>
      </c>
      <c r="AD19" s="3">
        <f>IF(ISERROR(VLOOKUP($A19,'SegEnds_NonXtal_BW#'!$A:$Z,21,FALSE)+VLOOKUP($A19,A:AL,31,FALSE)-50),"-",(VLOOKUP($A19,'SegEnds_NonXtal_BW#'!$A:$Z,21,FALSE)+VLOOKUP($A19,A:AL,31,FALSE)-50))</f>
        <v>276</v>
      </c>
      <c r="AE19" s="3">
        <v>302</v>
      </c>
      <c r="AF19" s="3">
        <f>IF(ISERROR((VLOOKUP($A19,'SegEnds_NonXtal_BW#'!$A:$Z,22,FALSE)+VLOOKUP($A19,A:AL,31,FALSE)-50)),"-",(VLOOKUP($A19,'SegEnds_NonXtal_BW#'!$A:$Z,22,FALSE)+VLOOKUP($A19,A:AL,31,FALSE)-50))</f>
        <v>314</v>
      </c>
      <c r="AG19" s="3">
        <f>IF(ISERROR(VLOOKUP($A19,'SegEnds_NonXtal_BW#'!$A:$Z,23,FALSE)+VLOOKUP($A19,A:AL,34,FALSE)-50),"-",(VLOOKUP($A19,'SegEnds_NonXtal_BW#'!$A:$Z,23,FALSE)+VLOOKUP($A19,A:AL,34,FALSE)-50))</f>
        <v>319</v>
      </c>
      <c r="AH19" s="3">
        <v>341</v>
      </c>
      <c r="AI19" s="3">
        <f>IF(ISERROR((VLOOKUP($A19,'SegEnds_NonXtal_BW#'!$A:$Z,24,FALSE)+VLOOKUP($A19,A:AL,34,FALSE)-50)),"-",(VLOOKUP($A19,'SegEnds_NonXtal_BW#'!$A:$Z,24,FALSE)+VLOOKUP($A19,A:AL,34,FALSE)-50))</f>
        <v>347</v>
      </c>
      <c r="AJ19" s="3">
        <f>IF(ISERROR(VLOOKUP($A19,'SegEnds_NonXtal_BW#'!$A:$Z,25,FALSE)+VLOOKUP($A19,A:AL,37,FALSE)-50),"-",(VLOOKUP($A19,'SegEnds_NonXtal_BW#'!$A:$Z,25,FALSE)+VLOOKUP($A19,A:AL,37,FALSE)-50))</f>
        <v>348</v>
      </c>
      <c r="AK19" s="3">
        <v>351</v>
      </c>
      <c r="AL19" s="3">
        <f>IF(ISERROR((VLOOKUP($A19,'SegEnds_NonXtal_BW#'!$A:$Z,26,FALSE)+VLOOKUP($A19,A:AL,37,FALSE)-50)),"-",(VLOOKUP($A19,'SegEnds_NonXtal_BW#'!$A:$Z,26,FALSE)+VLOOKUP($A19,A:AL,37,FALSE)-50))</f>
        <v>362</v>
      </c>
      <c r="AM19" s="28" t="str">
        <f>VLOOKUP(A19,Classification!A:B,2,FALSE)</f>
        <v>A</v>
      </c>
      <c r="AN19" s="28" t="b">
        <f t="shared" si="0"/>
        <v>1</v>
      </c>
      <c r="AO19" s="3" t="str">
        <f>IF(ISERROR(MATCH(A19,'SegEnds_Xtal_Prot#'!B:B, 0)), "NoXtal", "Xtal")</f>
        <v>Xtal</v>
      </c>
      <c r="AP19" s="3" t="str">
        <f t="shared" si="1"/>
        <v>-</v>
      </c>
      <c r="AQ19" s="3" t="str">
        <f t="shared" si="2"/>
        <v>-</v>
      </c>
      <c r="AR19" s="3">
        <f t="shared" si="3"/>
        <v>3</v>
      </c>
      <c r="AS19" s="3">
        <f t="shared" si="4"/>
        <v>1</v>
      </c>
      <c r="AT19" s="3">
        <f t="shared" si="5"/>
        <v>1</v>
      </c>
      <c r="AU19" s="3">
        <f t="shared" si="6"/>
        <v>1</v>
      </c>
      <c r="AV19" s="3">
        <f t="shared" si="7"/>
        <v>15</v>
      </c>
      <c r="AW19" s="3">
        <f t="shared" si="8"/>
        <v>7</v>
      </c>
      <c r="AX19" s="3">
        <f t="shared" si="9"/>
        <v>4</v>
      </c>
      <c r="AY19" s="3">
        <f t="shared" si="10"/>
        <v>5</v>
      </c>
      <c r="AZ19" s="3">
        <f t="shared" si="11"/>
        <v>1</v>
      </c>
      <c r="BA19" s="3">
        <f>IF(ISERROR(LEN(VLOOKUP(A19,Seqs!A:E,2,FALSE))-AL19),"-",LEN(VLOOKUP(A19,Seqs!A:E,2,FALSE))-AL19)</f>
        <v>35</v>
      </c>
      <c r="BB19" s="16">
        <f t="shared" si="12"/>
        <v>28</v>
      </c>
      <c r="BC19" s="9">
        <f t="shared" si="13"/>
        <v>19</v>
      </c>
      <c r="BD19" s="3">
        <f t="shared" si="14"/>
        <v>28</v>
      </c>
      <c r="BE19" s="3">
        <f t="shared" si="15"/>
        <v>48</v>
      </c>
    </row>
    <row r="20" spans="1:60" s="3" customFormat="1" x14ac:dyDescent="0.2">
      <c r="A20" s="3" t="s">
        <v>375</v>
      </c>
      <c r="B20" s="3" t="str">
        <f>LOWER(VLOOKUP(A20,Xtal_Templ!A:B,2,FALSE))</f>
        <v>aa1r_human</v>
      </c>
      <c r="C20" s="3">
        <f>VLOOKUP($A20,'SegEnds_NonXtal_BW#'!$A:$Z,3,FALSE)+D20-50</f>
        <v>402</v>
      </c>
      <c r="D20" s="3">
        <v>423</v>
      </c>
      <c r="E20" s="3">
        <f>IF(ISERROR(VLOOKUP($A20,'SegEnds_NonXtal_BW#'!$A:$Z,4,FALSE)+VLOOKUP($A20,A:AL,4,FALSE)-50),"-",(VLOOKUP($A20,'SegEnds_NonXtal_BW#'!$A:$Z,4,FALSE)+VLOOKUP($A20,A:AL,4,FALSE)-50))</f>
        <v>433</v>
      </c>
      <c r="F20" s="3">
        <f t="shared" ref="F20:F32" si="21">G20-2</f>
        <v>434</v>
      </c>
      <c r="G20" s="3">
        <v>436</v>
      </c>
      <c r="H20" s="3">
        <f t="shared" ref="H20:I32" si="22">G20+1</f>
        <v>437</v>
      </c>
      <c r="I20" s="3">
        <f t="shared" si="22"/>
        <v>438</v>
      </c>
      <c r="J20" s="3">
        <v>451</v>
      </c>
      <c r="K20" s="3">
        <f>VLOOKUP($A20,'SegEnds_NonXtal_BW#'!$A:$Z,8,FALSE)+VLOOKUP($A20,A:AL,10,FALSE)-50</f>
        <v>468</v>
      </c>
      <c r="L20" s="3" t="str">
        <f>IF(ISERROR(VLOOKUP($A20,'SegEnds_NonXtal_BW#'!$A:$Z,9,FALSE)+VLOOKUP($A20,A:AL,13,FALSE)-50),"-",(VLOOKUP($A20,'SegEnds_NonXtal_BW#'!$A:$Z,9,FALSE)+VLOOKUP($A20,A:AL,13,FALSE)-50))</f>
        <v>-</v>
      </c>
      <c r="M20" s="3" t="s">
        <v>23</v>
      </c>
      <c r="N20" s="3" t="str">
        <f>IF(ISERROR(VLOOKUP($A20,'SegEnds_NonXtal_BW#'!$A:$Z,10,FALSE)+VLOOKUP($A20,A:AL,13,FALSE)-50),"-",(VLOOKUP($A20,'SegEnds_NonXtal_BW#'!$A:$Z,10,FALSE)+VLOOKUP($A20,A:AL,13,FALSE)-50))</f>
        <v>-</v>
      </c>
      <c r="O20" s="3">
        <f>VLOOKUP($A20,'SegEnds_NonXtal_BW#'!$A:$Z,11,FALSE)+VLOOKUP($A20,A:AL,16,FALSE)-50</f>
        <v>478</v>
      </c>
      <c r="P20" s="3">
        <v>510</v>
      </c>
      <c r="Q20" s="3">
        <f>VLOOKUP($A20,'SegEnds_NonXtal_BW#'!$A:$Z,12,FALSE)+VLOOKUP($A20,A:AL,16,FALSE)-50</f>
        <v>516</v>
      </c>
      <c r="R20" s="3">
        <f>IF(ISERROR(VLOOKUP($A20,'SegEnds_NonXtal_BW#'!$A:$Z,13,FALSE)+VLOOKUP($A20,A:AL,19,FALSE)-50),"-",VLOOKUP($A20,'SegEnds_NonXtal_BW#'!$A:$Z,13,FALSE)+VLOOKUP($A20,A:AL,19,FALSE)-50)</f>
        <v>517</v>
      </c>
      <c r="S20" s="3">
        <v>517</v>
      </c>
      <c r="T20" s="103">
        <f>IF(ISERROR(VLOOKUP($A20,'SegEnds_NonXtal_BW#'!$A:$Z,14,FALSE)+VLOOKUP($A20,A:AL,19,FALSE)-50),"-",(VLOOKUP($A20,'SegEnds_NonXtal_BW#'!$A:$Z,14,FALSE)+VLOOKUP($A20,A:AL,19,FALSE)-50))</f>
        <v>523</v>
      </c>
      <c r="U20" s="9">
        <f>IF(ISERROR(VLOOKUP($A20,'SegEnds_NonXtal_BW#'!$A:$Z,15,FALSE)+VLOOKUP($A20,A:AL,22,FALSE)-50),"-",VLOOKUP($A20,'SegEnds_NonXtal_BW#'!$A:$Z,15,FALSE)+VLOOKUP($A20,A:AL,22,FALSE)-50)</f>
        <v>524</v>
      </c>
      <c r="V20" s="3">
        <v>536</v>
      </c>
      <c r="W20" s="3">
        <f>IF(ISERROR(VLOOKUP($A20,'SegEnds_NonXtal_BW#'!$A:$Z,16,FALSE)+VLOOKUP($A20,A:AL,22,FALSE)-50),"-",(VLOOKUP($A20,'SegEnds_NonXtal_BW#'!$A:$Z,16,FALSE)+VLOOKUP($A20,A:AL,22,FALSE)-50))</f>
        <v>549</v>
      </c>
      <c r="X20" s="3">
        <f>IF(ISERROR(VLOOKUP($A20,'SegEnds_NonXtal_BW#'!$A:$Z,17,FALSE)+VLOOKUP($A20,A:AL,25,FALSE)-50),"-",(VLOOKUP($A20,'SegEnds_NonXtal_BW#'!$A:$Z,17,FALSE)+VLOOKUP($A20,A:AL,25,FALSE)-50))</f>
        <v>563</v>
      </c>
      <c r="Y20" s="3">
        <v>563</v>
      </c>
      <c r="Z20" s="3">
        <f t="shared" si="19"/>
        <v>565</v>
      </c>
      <c r="AA20" s="3">
        <f>IF(ISERROR(VLOOKUP($A20,'SegEnds_NonXtal_BW#'!$A:$Z,19,FALSE)+VLOOKUP($A20,A:AL,28,FALSE)-50),"-",(VLOOKUP($A20,'SegEnds_NonXtal_BW#'!$A:$Z,19,FALSE)+VLOOKUP($A20,A:AL,28,FALSE)-50))</f>
        <v>576</v>
      </c>
      <c r="AB20" s="3">
        <v>591</v>
      </c>
      <c r="AC20" s="3">
        <f>IF(ISERROR((VLOOKUP($A20,'SegEnds_NonXtal_BW#'!$A:$Z,20,FALSE)+VLOOKUP($A20,A:AL,28,FALSE)-50)),"-",(VLOOKUP($A20,'SegEnds_NonXtal_BW#'!$A:$Z,20,FALSE)+VLOOKUP($A20,A:AL,28,FALSE)-50))</f>
        <v>613</v>
      </c>
      <c r="AD20" s="3">
        <f>IF(ISERROR(VLOOKUP($A20,'SegEnds_NonXtal_BW#'!$A:$Z,21,FALSE)+VLOOKUP($A20,A:AL,31,FALSE)-50),"-",(VLOOKUP($A20,'SegEnds_NonXtal_BW#'!$A:$Z,21,FALSE)+VLOOKUP($A20,A:AL,31,FALSE)-50))</f>
        <v>617</v>
      </c>
      <c r="AE20" s="3">
        <v>643</v>
      </c>
      <c r="AF20" s="3">
        <f>IF(ISERROR((VLOOKUP($A20,'SegEnds_NonXtal_BW#'!$A:$Z,22,FALSE)+VLOOKUP($A20,A:AL,31,FALSE)-50)),"-",(VLOOKUP($A20,'SegEnds_NonXtal_BW#'!$A:$Z,22,FALSE)+VLOOKUP($A20,A:AL,31,FALSE)-50))</f>
        <v>654</v>
      </c>
      <c r="AG20" s="3">
        <f>IF(ISERROR(VLOOKUP($A20,'SegEnds_NonXtal_BW#'!$A:$Z,23,FALSE)+VLOOKUP($A20,A:AL,34,FALSE)-50),"-",(VLOOKUP($A20,'SegEnds_NonXtal_BW#'!$A:$Z,23,FALSE)+VLOOKUP($A20,A:AL,34,FALSE)-50))</f>
        <v>659</v>
      </c>
      <c r="AH20" s="3">
        <v>678</v>
      </c>
      <c r="AI20" s="3">
        <v>684</v>
      </c>
      <c r="AJ20" s="3">
        <f>IF(ISERROR(VLOOKUP($A20,'SegEnds_NonXtal_BW#'!$A:$Z,25,FALSE)+VLOOKUP($A20,A:AL,37,FALSE)-50),"-",(VLOOKUP($A20,'SegEnds_NonXtal_BW#'!$A:$Z,25,FALSE)+VLOOKUP($A20,A:AL,37,FALSE)-50))</f>
        <v>685</v>
      </c>
      <c r="AK20" s="3">
        <v>688</v>
      </c>
      <c r="AL20" s="3">
        <f>IF(ISERROR((VLOOKUP($A20,'SegEnds_NonXtal_BW#'!$A:$Z,26,FALSE)+VLOOKUP($A20,A:AL,37,FALSE)-50)),"-",(VLOOKUP($A20,'SegEnds_NonXtal_BW#'!$A:$Z,26,FALSE)+VLOOKUP($A20,A:AL,37,FALSE)-50))</f>
        <v>707</v>
      </c>
      <c r="AM20" s="28" t="str">
        <f>VLOOKUP(A20,Classification!A:B,2,FALSE)</f>
        <v>A</v>
      </c>
      <c r="AN20" s="28" t="b">
        <f t="shared" si="0"/>
        <v>1</v>
      </c>
      <c r="AO20" s="3" t="str">
        <f>IF(ISERROR(MATCH(A20,'SegEnds_Xtal_Prot#'!B:B, 0)), "NoXtal", "Xtal")</f>
        <v>NoXtal</v>
      </c>
      <c r="AP20" s="3">
        <f t="shared" si="1"/>
        <v>1</v>
      </c>
      <c r="AQ20" s="3">
        <f t="shared" si="2"/>
        <v>1</v>
      </c>
      <c r="AR20" s="3" t="str">
        <f t="shared" si="3"/>
        <v>-</v>
      </c>
      <c r="AS20" s="3" t="str">
        <f t="shared" si="4"/>
        <v>-</v>
      </c>
      <c r="AT20" s="3">
        <f t="shared" si="5"/>
        <v>1</v>
      </c>
      <c r="AU20" s="3">
        <f t="shared" si="6"/>
        <v>1</v>
      </c>
      <c r="AV20" s="3">
        <f t="shared" si="7"/>
        <v>14</v>
      </c>
      <c r="AW20" s="3">
        <f t="shared" si="8"/>
        <v>11</v>
      </c>
      <c r="AX20" s="3">
        <f t="shared" si="9"/>
        <v>4</v>
      </c>
      <c r="AY20" s="3">
        <f t="shared" si="10"/>
        <v>5</v>
      </c>
      <c r="AZ20" s="3">
        <f t="shared" si="11"/>
        <v>1</v>
      </c>
      <c r="BA20" s="3">
        <f>IF(ISERROR(LEN(VLOOKUP(A20,Seqs!A:E,2,FALSE))-AL20),"-",LEN(VLOOKUP(A20,Seqs!A:E,2,FALSE))-AL20)</f>
        <v>50</v>
      </c>
      <c r="BB20" s="16">
        <f t="shared" si="12"/>
        <v>28</v>
      </c>
      <c r="BC20" s="9">
        <f t="shared" si="13"/>
        <v>19</v>
      </c>
      <c r="BD20" s="3">
        <f t="shared" si="14"/>
        <v>28</v>
      </c>
      <c r="BE20" s="3">
        <f t="shared" si="15"/>
        <v>52</v>
      </c>
    </row>
    <row r="21" spans="1:60" s="3" customFormat="1" x14ac:dyDescent="0.2">
      <c r="A21" s="3" t="s">
        <v>376</v>
      </c>
      <c r="B21" s="3" t="str">
        <f>LOWER(VLOOKUP(A21,Xtal_Templ!A:B,2,FALSE))</f>
        <v>aa1r_human</v>
      </c>
      <c r="C21" s="3">
        <f>VLOOKUP($A21,'SegEnds_NonXtal_BW#'!$A:$Z,3,FALSE)+D21-50</f>
        <v>412</v>
      </c>
      <c r="D21" s="3">
        <v>433</v>
      </c>
      <c r="E21" s="3">
        <f>IF(ISERROR(VLOOKUP($A21,'SegEnds_NonXtal_BW#'!$A:$Z,4,FALSE)+VLOOKUP($A21,A:AL,4,FALSE)-50),"-",(VLOOKUP($A21,'SegEnds_NonXtal_BW#'!$A:$Z,4,FALSE)+VLOOKUP($A21,A:AL,4,FALSE)-50))</f>
        <v>443</v>
      </c>
      <c r="F21" s="3">
        <f t="shared" si="21"/>
        <v>444</v>
      </c>
      <c r="G21" s="3">
        <v>446</v>
      </c>
      <c r="H21" s="3">
        <f t="shared" si="22"/>
        <v>447</v>
      </c>
      <c r="I21" s="3">
        <f t="shared" si="22"/>
        <v>448</v>
      </c>
      <c r="J21" s="3">
        <v>461</v>
      </c>
      <c r="K21" s="3">
        <f>VLOOKUP($A21,'SegEnds_NonXtal_BW#'!$A:$Z,8,FALSE)+VLOOKUP($A21,A:AL,10,FALSE)-50</f>
        <v>478</v>
      </c>
      <c r="L21" s="3">
        <f>M21-1</f>
        <v>484</v>
      </c>
      <c r="M21" s="3">
        <v>485</v>
      </c>
      <c r="N21" s="3">
        <f>M21+2</f>
        <v>487</v>
      </c>
      <c r="O21" s="3">
        <f t="shared" ref="O21:O31" si="23">N21+1</f>
        <v>488</v>
      </c>
      <c r="P21" s="3">
        <v>520</v>
      </c>
      <c r="Q21" s="3">
        <f>VLOOKUP($A21,'SegEnds_NonXtal_BW#'!$A:$Z,12,FALSE)+VLOOKUP($A21,A:AL,16,FALSE)-50</f>
        <v>526</v>
      </c>
      <c r="R21" s="3">
        <f>IF(ISERROR(VLOOKUP($A21,'SegEnds_NonXtal_BW#'!$A:$Z,13,FALSE)+VLOOKUP($A21,A:AL,19,FALSE)-50),"-",VLOOKUP($A21,'SegEnds_NonXtal_BW#'!$A:$Z,13,FALSE)+VLOOKUP($A21,A:AL,19,FALSE)-50)</f>
        <v>527</v>
      </c>
      <c r="S21" s="3">
        <v>527</v>
      </c>
      <c r="T21" s="103">
        <f>IF(ISERROR(VLOOKUP($A21,'SegEnds_NonXtal_BW#'!$A:$Z,14,FALSE)+VLOOKUP($A21,A:AL,19,FALSE)-50),"-",(VLOOKUP($A21,'SegEnds_NonXtal_BW#'!$A:$Z,14,FALSE)+VLOOKUP($A21,A:AL,19,FALSE)-50))</f>
        <v>533</v>
      </c>
      <c r="U21" s="9">
        <f>IF(ISERROR(VLOOKUP($A21,'SegEnds_NonXtal_BW#'!$A:$Z,15,FALSE)+VLOOKUP($A21,A:AL,22,FALSE)-50),"-",VLOOKUP($A21,'SegEnds_NonXtal_BW#'!$A:$Z,15,FALSE)+VLOOKUP($A21,A:AL,22,FALSE)-50)</f>
        <v>534</v>
      </c>
      <c r="V21" s="3">
        <v>546</v>
      </c>
      <c r="W21" s="3">
        <f>IF(ISERROR(VLOOKUP($A21,'SegEnds_NonXtal_BW#'!$A:$Z,16,FALSE)+VLOOKUP($A21,A:AL,22,FALSE)-50),"-",(VLOOKUP($A21,'SegEnds_NonXtal_BW#'!$A:$Z,16,FALSE)+VLOOKUP($A21,A:AL,22,FALSE)-50))</f>
        <v>559</v>
      </c>
      <c r="X21" s="3">
        <f>IF(ISERROR(VLOOKUP($A21,'SegEnds_NonXtal_BW#'!$A:$Z,17,FALSE)+VLOOKUP($A21,A:AL,25,FALSE)-50),"-",(VLOOKUP($A21,'SegEnds_NonXtal_BW#'!$A:$Z,17,FALSE)+VLOOKUP($A21,A:AL,25,FALSE)-50))</f>
        <v>573</v>
      </c>
      <c r="Y21" s="3">
        <v>573</v>
      </c>
      <c r="Z21" s="3">
        <f t="shared" si="19"/>
        <v>575</v>
      </c>
      <c r="AA21" s="3">
        <f>IF(ISERROR(VLOOKUP($A21,'SegEnds_NonXtal_BW#'!$A:$Z,19,FALSE)+VLOOKUP($A21,A:AL,28,FALSE)-50),"-",(VLOOKUP($A21,'SegEnds_NonXtal_BW#'!$A:$Z,19,FALSE)+VLOOKUP($A21,A:AL,28,FALSE)-50))</f>
        <v>586</v>
      </c>
      <c r="AB21" s="3">
        <v>601</v>
      </c>
      <c r="AC21" s="3">
        <f>IF(ISERROR((VLOOKUP($A21,'SegEnds_NonXtal_BW#'!$A:$Z,20,FALSE)+VLOOKUP($A21,A:AL,28,FALSE)-50)),"-",(VLOOKUP($A21,'SegEnds_NonXtal_BW#'!$A:$Z,20,FALSE)+VLOOKUP($A21,A:AL,28,FALSE)-50))</f>
        <v>623</v>
      </c>
      <c r="AD21" s="3">
        <f>IF(ISERROR(VLOOKUP($A21,'SegEnds_NonXtal_BW#'!$A:$Z,21,FALSE)+VLOOKUP($A21,A:AL,31,FALSE)-50),"-",(VLOOKUP($A21,'SegEnds_NonXtal_BW#'!$A:$Z,21,FALSE)+VLOOKUP($A21,A:AL,31,FALSE)-50))</f>
        <v>627</v>
      </c>
      <c r="AE21" s="3">
        <v>653</v>
      </c>
      <c r="AF21" s="3">
        <f>IF(ISERROR((VLOOKUP($A21,'SegEnds_NonXtal_BW#'!$A:$Z,22,FALSE)+VLOOKUP($A21,A:AL,31,FALSE)-50)),"-",(VLOOKUP($A21,'SegEnds_NonXtal_BW#'!$A:$Z,22,FALSE)+VLOOKUP($A21,A:AL,31,FALSE)-50))</f>
        <v>664</v>
      </c>
      <c r="AG21" s="3">
        <f>IF(ISERROR(VLOOKUP($A21,'SegEnds_NonXtal_BW#'!$A:$Z,23,FALSE)+VLOOKUP($A21,A:AL,34,FALSE)-50),"-",(VLOOKUP($A21,'SegEnds_NonXtal_BW#'!$A:$Z,23,FALSE)+VLOOKUP($A21,A:AL,34,FALSE)-50))</f>
        <v>669</v>
      </c>
      <c r="AH21" s="3">
        <v>688</v>
      </c>
      <c r="AI21" s="3">
        <v>694</v>
      </c>
      <c r="AJ21" s="3">
        <f>IF(ISERROR(VLOOKUP($A21,'SegEnds_NonXtal_BW#'!$A:$Z,25,FALSE)+VLOOKUP($A21,A:AL,37,FALSE)-50),"-",(VLOOKUP($A21,'SegEnds_NonXtal_BW#'!$A:$Z,25,FALSE)+VLOOKUP($A21,A:AL,37,FALSE)-50))</f>
        <v>695</v>
      </c>
      <c r="AK21" s="3">
        <v>698</v>
      </c>
      <c r="AL21" s="3">
        <f>IF(ISERROR((VLOOKUP($A21,'SegEnds_NonXtal_BW#'!$A:$Z,26,FALSE)+VLOOKUP($A21,A:AL,37,FALSE)-50)),"-",(VLOOKUP($A21,'SegEnds_NonXtal_BW#'!$A:$Z,26,FALSE)+VLOOKUP($A21,A:AL,37,FALSE)-50))</f>
        <v>717</v>
      </c>
      <c r="AM21" s="28" t="str">
        <f>VLOOKUP(A21,Classification!A:B,2,FALSE)</f>
        <v>A</v>
      </c>
      <c r="AN21" s="28" t="b">
        <f t="shared" si="0"/>
        <v>1</v>
      </c>
      <c r="AO21" s="3" t="str">
        <f>IF(ISERROR(MATCH(A21,'SegEnds_Xtal_Prot#'!B:B, 0)), "NoXtal", "Xtal")</f>
        <v>NoXtal</v>
      </c>
      <c r="AP21" s="3">
        <f t="shared" si="1"/>
        <v>1</v>
      </c>
      <c r="AQ21" s="3">
        <f t="shared" si="2"/>
        <v>1</v>
      </c>
      <c r="AR21" s="3">
        <f t="shared" si="3"/>
        <v>6</v>
      </c>
      <c r="AS21" s="3">
        <f t="shared" si="4"/>
        <v>1</v>
      </c>
      <c r="AT21" s="3">
        <f t="shared" si="5"/>
        <v>1</v>
      </c>
      <c r="AU21" s="3">
        <f t="shared" si="6"/>
        <v>1</v>
      </c>
      <c r="AV21" s="3">
        <f t="shared" si="7"/>
        <v>14</v>
      </c>
      <c r="AW21" s="3">
        <f t="shared" si="8"/>
        <v>11</v>
      </c>
      <c r="AX21" s="3">
        <f t="shared" si="9"/>
        <v>4</v>
      </c>
      <c r="AY21" s="3">
        <f t="shared" si="10"/>
        <v>5</v>
      </c>
      <c r="AZ21" s="3">
        <f t="shared" si="11"/>
        <v>1</v>
      </c>
      <c r="BA21" s="3">
        <f>IF(ISERROR(LEN(VLOOKUP(A21,Seqs!A:E,2,FALSE))-AL21),"-",LEN(VLOOKUP(A21,Seqs!A:E,2,FALSE))-AL21)</f>
        <v>37</v>
      </c>
      <c r="BB21" s="16">
        <f t="shared" si="12"/>
        <v>28</v>
      </c>
      <c r="BC21" s="9">
        <f t="shared" si="13"/>
        <v>19</v>
      </c>
      <c r="BD21" s="3">
        <f t="shared" si="14"/>
        <v>28</v>
      </c>
      <c r="BE21" s="3">
        <f t="shared" si="15"/>
        <v>52</v>
      </c>
    </row>
    <row r="22" spans="1:60" s="3" customFormat="1" x14ac:dyDescent="0.2">
      <c r="A22" s="3" t="s">
        <v>104</v>
      </c>
      <c r="B22" s="3" t="str">
        <f>LOWER(VLOOKUP(A22,Xtal_Templ!A:B,2,FALSE))</f>
        <v>s1pr1_human</v>
      </c>
      <c r="C22" s="3">
        <f>VLOOKUP($A22,'SegEnds_NonXtal_BW#'!$A:$Z,3,FALSE)+D22-50</f>
        <v>42</v>
      </c>
      <c r="D22" s="3">
        <v>63</v>
      </c>
      <c r="E22" s="3">
        <f>IF(ISERROR(VLOOKUP($A22,'SegEnds_NonXtal_BW#'!$A:$Z,4,FALSE)+VLOOKUP($A22,A:AL,4,FALSE)-50),"-",(VLOOKUP($A22,'SegEnds_NonXtal_BW#'!$A:$Z,4,FALSE)+VLOOKUP($A22,A:AL,4,FALSE)-50))</f>
        <v>73</v>
      </c>
      <c r="F22" s="3">
        <f t="shared" si="21"/>
        <v>74</v>
      </c>
      <c r="G22" s="3">
        <v>76</v>
      </c>
      <c r="H22" s="3">
        <f t="shared" si="22"/>
        <v>77</v>
      </c>
      <c r="I22" s="3">
        <f t="shared" si="22"/>
        <v>78</v>
      </c>
      <c r="J22" s="3">
        <v>91</v>
      </c>
      <c r="K22" s="3">
        <f>VLOOKUP($A22,'SegEnds_NonXtal_BW#'!$A:$Z,8,FALSE)+VLOOKUP($A22,A:AL,10,FALSE)-50</f>
        <v>104</v>
      </c>
      <c r="L22" s="3">
        <f>M22-3</f>
        <v>106</v>
      </c>
      <c r="M22" s="3">
        <v>109</v>
      </c>
      <c r="N22" s="3">
        <f>M22+3</f>
        <v>112</v>
      </c>
      <c r="O22" s="3">
        <f t="shared" si="23"/>
        <v>113</v>
      </c>
      <c r="P22" s="3">
        <v>142</v>
      </c>
      <c r="Q22" s="3">
        <f>VLOOKUP($A22,'SegEnds_NonXtal_BW#'!$A:$Z,12,FALSE)+VLOOKUP($A22,A:AL,16,FALSE)-50</f>
        <v>148</v>
      </c>
      <c r="R22" s="3">
        <f>IF(ISERROR(VLOOKUP($A22,'SegEnds_NonXtal_BW#'!$A:$Z,13,FALSE)+VLOOKUP($A22,A:AL,19,FALSE)-50),"-",VLOOKUP($A22,'SegEnds_NonXtal_BW#'!$A:$Z,13,FALSE)+VLOOKUP($A22,A:AL,19,FALSE)-50)</f>
        <v>149</v>
      </c>
      <c r="S22" s="3">
        <v>149</v>
      </c>
      <c r="T22" s="103">
        <f>IF(ISERROR(VLOOKUP($A22,'SegEnds_NonXtal_BW#'!$A:$Z,14,FALSE)+VLOOKUP($A22,A:AL,19,FALSE)-50),"-",(VLOOKUP($A22,'SegEnds_NonXtal_BW#'!$A:$Z,14,FALSE)+VLOOKUP($A22,A:AL,19,FALSE)-50))</f>
        <v>155</v>
      </c>
      <c r="U22" s="9">
        <f>IF(ISERROR(VLOOKUP($A22,'SegEnds_NonXtal_BW#'!$A:$Z,15,FALSE)+VLOOKUP($A22,A:AL,22,FALSE)-50),"-",VLOOKUP($A22,'SegEnds_NonXtal_BW#'!$A:$Z,15,FALSE)+VLOOKUP($A22,A:AL,22,FALSE)-50)</f>
        <v>156</v>
      </c>
      <c r="V22" s="3">
        <v>168</v>
      </c>
      <c r="W22" s="3">
        <f>IF(ISERROR(VLOOKUP($A22,'SegEnds_NonXtal_BW#'!$A:$Z,16,FALSE)+VLOOKUP($A22,A:AL,22,FALSE)-50),"-",(VLOOKUP($A22,'SegEnds_NonXtal_BW#'!$A:$Z,16,FALSE)+VLOOKUP($A22,A:AL,22,FALSE)-50))</f>
        <v>181</v>
      </c>
      <c r="X22" s="3" t="str">
        <f>IF(ISERROR(VLOOKUP($A22,'SegEnds_NonXtal_BW#'!$A:$Z,17,FALSE)+VLOOKUP($A22,A:AL,25,FALSE)-50),"-",(VLOOKUP($A22,'SegEnds_NonXtal_BW#'!$A:$Z,17,FALSE)+VLOOKUP($A22,A:AL,25,FALSE)-50))</f>
        <v>-</v>
      </c>
      <c r="Y22" s="3" t="s">
        <v>23</v>
      </c>
      <c r="Z22" s="3" t="str">
        <f>IF(ISERROR(VLOOKUP($A22,'SegEnds_NonXtal_BW#'!$A:$Z,18,FALSE)+VLOOKUP($A22,A:AL,25,FALSE)-50),"-",(VLOOKUP($A22,'SegEnds_NonXtal_BW#'!$A:$Z,18,FALSE)+VLOOKUP($A22,A:AL,25,FALSE)-50))</f>
        <v>-</v>
      </c>
      <c r="AA22" s="3">
        <f>IF(ISERROR(VLOOKUP($A22,'SegEnds_NonXtal_BW#'!$A:$Z,19,FALSE)+VLOOKUP($A22,A:AL,28,FALSE)-50),"-",(VLOOKUP($A22,'SegEnds_NonXtal_BW#'!$A:$Z,19,FALSE)+VLOOKUP($A22,A:AL,28,FALSE)-50))</f>
        <v>199</v>
      </c>
      <c r="AB22" s="3">
        <v>213</v>
      </c>
      <c r="AC22" s="3">
        <f>IF(ISERROR((VLOOKUP($A22,'SegEnds_NonXtal_BW#'!$A:$Z,20,FALSE)+VLOOKUP($A22,A:AL,28,FALSE)-50)),"-",(VLOOKUP($A22,'SegEnds_NonXtal_BW#'!$A:$Z,20,FALSE)+VLOOKUP($A22,A:AL,28,FALSE)-50))</f>
        <v>236</v>
      </c>
      <c r="AD22" s="3">
        <f>IF(ISERROR(VLOOKUP($A22,'SegEnds_NonXtal_BW#'!$A:$Z,21,FALSE)+VLOOKUP($A22,A:AL,31,FALSE)-50),"-",(VLOOKUP($A22,'SegEnds_NonXtal_BW#'!$A:$Z,21,FALSE)+VLOOKUP($A22,A:AL,31,FALSE)-50))</f>
        <v>245</v>
      </c>
      <c r="AE22" s="3">
        <v>271</v>
      </c>
      <c r="AF22" s="3">
        <f>IF(ISERROR((VLOOKUP($A22,'SegEnds_NonXtal_BW#'!$A:$Z,22,FALSE)+VLOOKUP($A22,A:AL,31,FALSE)-50)),"-",(VLOOKUP($A22,'SegEnds_NonXtal_BW#'!$A:$Z,22,FALSE)+VLOOKUP($A22,A:AL,31,FALSE)-50))</f>
        <v>282</v>
      </c>
      <c r="AG22" s="3">
        <f>IF(ISERROR(VLOOKUP($A22,'SegEnds_NonXtal_BW#'!$A:$Z,23,FALSE)+VLOOKUP($A22,A:AL,34,FALSE)-50),"-",(VLOOKUP($A22,'SegEnds_NonXtal_BW#'!$A:$Z,23,FALSE)+VLOOKUP($A22,A:AL,34,FALSE)-50))</f>
        <v>288</v>
      </c>
      <c r="AH22" s="3">
        <v>308</v>
      </c>
      <c r="AI22" s="3">
        <f>IF(ISERROR((VLOOKUP($A22,'SegEnds_NonXtal_BW#'!$A:$Z,24,FALSE)+VLOOKUP($A22,A:AL,34,FALSE)-50)),"-",(VLOOKUP($A22,'SegEnds_NonXtal_BW#'!$A:$Z,24,FALSE)+VLOOKUP($A22,A:AL,34,FALSE)-50))</f>
        <v>314</v>
      </c>
      <c r="AJ22" s="3">
        <f>IF(ISERROR(VLOOKUP($A22,'SegEnds_NonXtal_BW#'!$A:$Z,25,FALSE)+VLOOKUP($A22,A:AL,37,FALSE)-50),"-",(VLOOKUP($A22,'SegEnds_NonXtal_BW#'!$A:$Z,25,FALSE)+VLOOKUP($A22,A:AL,37,FALSE)-50))</f>
        <v>315</v>
      </c>
      <c r="AK22" s="3">
        <v>318</v>
      </c>
      <c r="AL22" s="3">
        <f>IF(ISERROR((VLOOKUP($A22,'SegEnds_NonXtal_BW#'!$A:$Z,26,FALSE)+VLOOKUP($A22,A:AL,37,FALSE)-50)),"-",(VLOOKUP($A22,'SegEnds_NonXtal_BW#'!$A:$Z,26,FALSE)+VLOOKUP($A22,A:AL,37,FALSE)-50))</f>
        <v>327</v>
      </c>
      <c r="AM22" s="28" t="str">
        <f>VLOOKUP(A22,Classification!A:B,2,FALSE)</f>
        <v>A</v>
      </c>
      <c r="AN22" s="28" t="b">
        <f t="shared" si="0"/>
        <v>1</v>
      </c>
      <c r="AO22" s="3" t="str">
        <f>IF(ISERROR(MATCH(A22,'SegEnds_Xtal_Prot#'!B:B, 0)), "NoXtal", "Xtal")</f>
        <v>Xtal</v>
      </c>
      <c r="AP22" s="3">
        <f t="shared" si="1"/>
        <v>1</v>
      </c>
      <c r="AQ22" s="3">
        <f t="shared" si="2"/>
        <v>1</v>
      </c>
      <c r="AR22" s="3">
        <f t="shared" si="3"/>
        <v>2</v>
      </c>
      <c r="AS22" s="3">
        <f t="shared" si="4"/>
        <v>1</v>
      </c>
      <c r="AT22" s="3">
        <f t="shared" si="5"/>
        <v>1</v>
      </c>
      <c r="AU22" s="3">
        <f t="shared" si="6"/>
        <v>1</v>
      </c>
      <c r="AV22" s="3" t="str">
        <f t="shared" si="7"/>
        <v>-</v>
      </c>
      <c r="AW22" s="3" t="str">
        <f t="shared" si="8"/>
        <v>-</v>
      </c>
      <c r="AX22" s="3">
        <f t="shared" si="9"/>
        <v>9</v>
      </c>
      <c r="AY22" s="3">
        <f t="shared" si="10"/>
        <v>6</v>
      </c>
      <c r="AZ22" s="3">
        <f t="shared" si="11"/>
        <v>1</v>
      </c>
      <c r="BA22" s="3">
        <f>IF(ISERROR(LEN(VLOOKUP(A22,Seqs!A:E,2,FALSE))-AL22),"-",LEN(VLOOKUP(A22,Seqs!A:E,2,FALSE))-AL22)</f>
        <v>55</v>
      </c>
      <c r="BB22" s="16">
        <f t="shared" si="12"/>
        <v>28</v>
      </c>
      <c r="BC22" s="9">
        <f t="shared" si="13"/>
        <v>19</v>
      </c>
      <c r="BD22" s="3">
        <f t="shared" si="14"/>
        <v>28</v>
      </c>
      <c r="BE22" s="3">
        <f t="shared" si="15"/>
        <v>58</v>
      </c>
    </row>
    <row r="23" spans="1:60" s="3" customFormat="1" x14ac:dyDescent="0.2">
      <c r="A23" s="3" t="s">
        <v>377</v>
      </c>
      <c r="B23" s="3" t="str">
        <f>LOWER(VLOOKUP(A23,Xtal_Templ!A:B,2,FALSE))</f>
        <v>s1pr1_human</v>
      </c>
      <c r="C23" s="3">
        <f>VLOOKUP($A23,'SegEnds_NonXtal_BW#'!$A:$Z,3,FALSE)+D23-50</f>
        <v>30</v>
      </c>
      <c r="D23" s="3">
        <v>51</v>
      </c>
      <c r="E23" s="3">
        <f>IF(ISERROR(VLOOKUP($A23,'SegEnds_NonXtal_BW#'!$A:$Z,4,FALSE)+VLOOKUP($A23,A:AL,4,FALSE)-50),"-",(VLOOKUP($A23,'SegEnds_NonXtal_BW#'!$A:$Z,4,FALSE)+VLOOKUP($A23,A:AL,4,FALSE)-50))</f>
        <v>61</v>
      </c>
      <c r="F23" s="3">
        <f t="shared" si="21"/>
        <v>62</v>
      </c>
      <c r="G23" s="3">
        <v>64</v>
      </c>
      <c r="H23" s="3">
        <f t="shared" si="22"/>
        <v>65</v>
      </c>
      <c r="I23" s="3">
        <f t="shared" si="22"/>
        <v>66</v>
      </c>
      <c r="J23" s="3">
        <v>79</v>
      </c>
      <c r="K23" s="3">
        <f>VLOOKUP($A23,'SegEnds_NonXtal_BW#'!$A:$Z,8,FALSE)+VLOOKUP($A23,A:AL,10,FALSE)-50</f>
        <v>92</v>
      </c>
      <c r="L23" s="3">
        <f>M23-3</f>
        <v>94</v>
      </c>
      <c r="M23" s="3">
        <v>97</v>
      </c>
      <c r="N23" s="3">
        <f>M23+3</f>
        <v>100</v>
      </c>
      <c r="O23" s="3">
        <f t="shared" si="23"/>
        <v>101</v>
      </c>
      <c r="P23" s="3">
        <v>130</v>
      </c>
      <c r="Q23" s="3">
        <f>VLOOKUP($A23,'SegEnds_NonXtal_BW#'!$A:$Z,12,FALSE)+VLOOKUP($A23,A:AL,16,FALSE)-50</f>
        <v>136</v>
      </c>
      <c r="R23" s="3">
        <f>IF(ISERROR(VLOOKUP($A23,'SegEnds_NonXtal_BW#'!$A:$Z,13,FALSE)+VLOOKUP($A23,A:AL,19,FALSE)-50),"-",VLOOKUP($A23,'SegEnds_NonXtal_BW#'!$A:$Z,13,FALSE)+VLOOKUP($A23,A:AL,19,FALSE)-50)</f>
        <v>137</v>
      </c>
      <c r="S23" s="3">
        <v>137</v>
      </c>
      <c r="T23" s="103">
        <f>IF(ISERROR(VLOOKUP($A23,'SegEnds_NonXtal_BW#'!$A:$Z,14,FALSE)+VLOOKUP($A23,A:AL,19,FALSE)-50),"-",(VLOOKUP($A23,'SegEnds_NonXtal_BW#'!$A:$Z,14,FALSE)+VLOOKUP($A23,A:AL,19,FALSE)-50))</f>
        <v>143</v>
      </c>
      <c r="U23" s="9">
        <f>IF(ISERROR(VLOOKUP($A23,'SegEnds_NonXtal_BW#'!$A:$Z,15,FALSE)+VLOOKUP($A23,A:AL,22,FALSE)-50),"-",VLOOKUP($A23,'SegEnds_NonXtal_BW#'!$A:$Z,15,FALSE)+VLOOKUP($A23,A:AL,22,FALSE)-50)</f>
        <v>144</v>
      </c>
      <c r="V23" s="3">
        <v>156</v>
      </c>
      <c r="W23" s="3">
        <f>IF(ISERROR(VLOOKUP($A23,'SegEnds_NonXtal_BW#'!$A:$Z,16,FALSE)+VLOOKUP($A23,A:AL,22,FALSE)-50),"-",(VLOOKUP($A23,'SegEnds_NonXtal_BW#'!$A:$Z,16,FALSE)+VLOOKUP($A23,A:AL,22,FALSE)-50))</f>
        <v>169</v>
      </c>
      <c r="X23" s="3" t="str">
        <f>IF(ISERROR(VLOOKUP($A23,'SegEnds_NonXtal_BW#'!$A:$Z,17,FALSE)+VLOOKUP($A23,A:AL,25,FALSE)-50),"-",(VLOOKUP($A23,'SegEnds_NonXtal_BW#'!$A:$Z,17,FALSE)+VLOOKUP($A23,A:AL,25,FALSE)-50))</f>
        <v>-</v>
      </c>
      <c r="Y23" s="3" t="s">
        <v>23</v>
      </c>
      <c r="Z23" s="3" t="str">
        <f>IF(ISERROR(VLOOKUP($A23,'SegEnds_NonXtal_BW#'!$A:$Z,18,FALSE)+VLOOKUP($A23,A:AL,25,FALSE)-50),"-",(VLOOKUP($A23,'SegEnds_NonXtal_BW#'!$A:$Z,18,FALSE)+VLOOKUP($A23,A:AL,25,FALSE)-50))</f>
        <v>-</v>
      </c>
      <c r="AA23" s="3">
        <f>IF(ISERROR(VLOOKUP($A23,'SegEnds_NonXtal_BW#'!$A:$Z,19,FALSE)+VLOOKUP($A23,A:AL,28,FALSE)-50),"-",(VLOOKUP($A23,'SegEnds_NonXtal_BW#'!$A:$Z,19,FALSE)+VLOOKUP($A23,A:AL,28,FALSE)-50))</f>
        <v>187</v>
      </c>
      <c r="AB23" s="3">
        <v>201</v>
      </c>
      <c r="AC23" s="3">
        <f>IF(ISERROR((VLOOKUP($A23,'SegEnds_NonXtal_BW#'!$A:$Z,20,FALSE)+VLOOKUP($A23,A:AL,28,FALSE)-50)),"-",(VLOOKUP($A23,'SegEnds_NonXtal_BW#'!$A:$Z,20,FALSE)+VLOOKUP($A23,A:AL,28,FALSE)-50))</f>
        <v>218</v>
      </c>
      <c r="AD23" s="3">
        <f>IF(ISERROR(VLOOKUP($A23,'SegEnds_NonXtal_BW#'!$A:$Z,21,FALSE)+VLOOKUP($A23,A:AL,31,FALSE)-50),"-",(VLOOKUP($A23,'SegEnds_NonXtal_BW#'!$A:$Z,21,FALSE)+VLOOKUP($A23,A:AL,31,FALSE)-50))</f>
        <v>224</v>
      </c>
      <c r="AE23" s="3">
        <v>248</v>
      </c>
      <c r="AF23" s="3">
        <f>IF(ISERROR((VLOOKUP($A23,'SegEnds_NonXtal_BW#'!$A:$Z,22,FALSE)+VLOOKUP($A23,A:AL,31,FALSE)-50)),"-",(VLOOKUP($A23,'SegEnds_NonXtal_BW#'!$A:$Z,22,FALSE)+VLOOKUP($A23,A:AL,31,FALSE)-50))</f>
        <v>259</v>
      </c>
      <c r="AG23" s="3">
        <f>IF(ISERROR(VLOOKUP($A23,'SegEnds_NonXtal_BW#'!$A:$Z,23,FALSE)+VLOOKUP($A23,A:AL,34,FALSE)-50),"-",(VLOOKUP($A23,'SegEnds_NonXtal_BW#'!$A:$Z,23,FALSE)+VLOOKUP($A23,A:AL,34,FALSE)-50))</f>
        <v>265</v>
      </c>
      <c r="AH23" s="3">
        <v>285</v>
      </c>
      <c r="AI23" s="3">
        <f>IF(ISERROR((VLOOKUP($A23,'SegEnds_NonXtal_BW#'!$A:$Z,24,FALSE)+VLOOKUP($A23,A:AL,34,FALSE)-50)),"-",(VLOOKUP($A23,'SegEnds_NonXtal_BW#'!$A:$Z,24,FALSE)+VLOOKUP($A23,A:AL,34,FALSE)-50))</f>
        <v>291</v>
      </c>
      <c r="AJ23" s="3">
        <f>IF(ISERROR(VLOOKUP($A23,'SegEnds_NonXtal_BW#'!$A:$Z,25,FALSE)+VLOOKUP($A23,A:AL,37,FALSE)-50),"-",(VLOOKUP($A23,'SegEnds_NonXtal_BW#'!$A:$Z,25,FALSE)+VLOOKUP($A23,A:AL,37,FALSE)-50))</f>
        <v>292</v>
      </c>
      <c r="AK23" s="3">
        <v>295</v>
      </c>
      <c r="AL23" s="3">
        <f>IF(ISERROR((VLOOKUP($A23,'SegEnds_NonXtal_BW#'!$A:$Z,26,FALSE)+VLOOKUP($A23,A:AL,37,FALSE)-50)),"-",(VLOOKUP($A23,'SegEnds_NonXtal_BW#'!$A:$Z,26,FALSE)+VLOOKUP($A23,A:AL,37,FALSE)-50))</f>
        <v>304</v>
      </c>
      <c r="AM23" s="28" t="str">
        <f>VLOOKUP(A23,Classification!A:B,2,FALSE)</f>
        <v>A</v>
      </c>
      <c r="AN23" s="28" t="b">
        <f t="shared" si="0"/>
        <v>1</v>
      </c>
      <c r="AO23" s="3" t="str">
        <f>IF(ISERROR(MATCH(A23,'SegEnds_Xtal_Prot#'!B:B, 0)), "NoXtal", "Xtal")</f>
        <v>NoXtal</v>
      </c>
      <c r="AP23" s="3">
        <f t="shared" si="1"/>
        <v>1</v>
      </c>
      <c r="AQ23" s="3">
        <f t="shared" si="2"/>
        <v>1</v>
      </c>
      <c r="AR23" s="3">
        <f t="shared" si="3"/>
        <v>2</v>
      </c>
      <c r="AS23" s="3">
        <f t="shared" si="4"/>
        <v>1</v>
      </c>
      <c r="AT23" s="3">
        <f t="shared" si="5"/>
        <v>1</v>
      </c>
      <c r="AU23" s="3">
        <f t="shared" si="6"/>
        <v>1</v>
      </c>
      <c r="AV23" s="3" t="str">
        <f t="shared" si="7"/>
        <v>-</v>
      </c>
      <c r="AW23" s="3" t="str">
        <f t="shared" si="8"/>
        <v>-</v>
      </c>
      <c r="AX23" s="3">
        <f t="shared" si="9"/>
        <v>6</v>
      </c>
      <c r="AY23" s="3">
        <f t="shared" si="10"/>
        <v>6</v>
      </c>
      <c r="AZ23" s="3">
        <f t="shared" si="11"/>
        <v>1</v>
      </c>
      <c r="BA23" s="3">
        <f>IF(ISERROR(LEN(VLOOKUP(A23,Seqs!A:E,2,FALSE))-AL23),"-",LEN(VLOOKUP(A23,Seqs!A:E,2,FALSE))-AL23)</f>
        <v>49</v>
      </c>
      <c r="BB23" s="16">
        <f t="shared" si="12"/>
        <v>28</v>
      </c>
      <c r="BC23" s="9">
        <f t="shared" si="13"/>
        <v>19</v>
      </c>
      <c r="BD23" s="3">
        <f t="shared" si="14"/>
        <v>28</v>
      </c>
      <c r="BE23" s="3">
        <f t="shared" si="15"/>
        <v>47</v>
      </c>
      <c r="BH23" s="9"/>
    </row>
    <row r="24" spans="1:60" s="3" customFormat="1" x14ac:dyDescent="0.2">
      <c r="A24" s="3" t="s">
        <v>378</v>
      </c>
      <c r="B24" s="3" t="str">
        <f>LOWER(VLOOKUP(A24,Xtal_Templ!A:B,2,FALSE))</f>
        <v>s1pr1_human</v>
      </c>
      <c r="C24" s="3">
        <f>VLOOKUP($A24,'SegEnds_NonXtal_BW#'!$A:$Z,3,FALSE)+D24-50</f>
        <v>36</v>
      </c>
      <c r="D24" s="3">
        <v>57</v>
      </c>
      <c r="E24" s="3">
        <f>IF(ISERROR(VLOOKUP($A24,'SegEnds_NonXtal_BW#'!$A:$Z,4,FALSE)+VLOOKUP($A24,A:AL,4,FALSE)-50),"-",(VLOOKUP($A24,'SegEnds_NonXtal_BW#'!$A:$Z,4,FALSE)+VLOOKUP($A24,A:AL,4,FALSE)-50))</f>
        <v>67</v>
      </c>
      <c r="F24" s="3">
        <f t="shared" si="21"/>
        <v>68</v>
      </c>
      <c r="G24" s="3">
        <v>70</v>
      </c>
      <c r="H24" s="3">
        <f t="shared" si="22"/>
        <v>71</v>
      </c>
      <c r="I24" s="3">
        <f t="shared" si="22"/>
        <v>72</v>
      </c>
      <c r="J24" s="3">
        <v>85</v>
      </c>
      <c r="K24" s="3">
        <f>VLOOKUP($A24,'SegEnds_NonXtal_BW#'!$A:$Z,8,FALSE)+VLOOKUP($A24,A:AL,10,FALSE)-50</f>
        <v>98</v>
      </c>
      <c r="L24" s="3">
        <f>M24-3</f>
        <v>100</v>
      </c>
      <c r="M24" s="3">
        <v>103</v>
      </c>
      <c r="N24" s="3">
        <f>M24+3</f>
        <v>106</v>
      </c>
      <c r="O24" s="3">
        <f t="shared" si="23"/>
        <v>107</v>
      </c>
      <c r="P24" s="3">
        <v>136</v>
      </c>
      <c r="Q24" s="3">
        <f>VLOOKUP($A24,'SegEnds_NonXtal_BW#'!$A:$Z,12,FALSE)+VLOOKUP($A24,A:AL,16,FALSE)-50</f>
        <v>142</v>
      </c>
      <c r="R24" s="3">
        <f>IF(ISERROR(VLOOKUP($A24,'SegEnds_NonXtal_BW#'!$A:$Z,13,FALSE)+VLOOKUP($A24,A:AL,19,FALSE)-50),"-",VLOOKUP($A24,'SegEnds_NonXtal_BW#'!$A:$Z,13,FALSE)+VLOOKUP($A24,A:AL,19,FALSE)-50)</f>
        <v>143</v>
      </c>
      <c r="S24" s="3">
        <v>143</v>
      </c>
      <c r="T24" s="103">
        <f>IF(ISERROR(VLOOKUP($A24,'SegEnds_NonXtal_BW#'!$A:$Z,14,FALSE)+VLOOKUP($A24,A:AL,19,FALSE)-50),"-",(VLOOKUP($A24,'SegEnds_NonXtal_BW#'!$A:$Z,14,FALSE)+VLOOKUP($A24,A:AL,19,FALSE)-50))</f>
        <v>149</v>
      </c>
      <c r="U24" s="9">
        <f>IF(ISERROR(VLOOKUP($A24,'SegEnds_NonXtal_BW#'!$A:$Z,15,FALSE)+VLOOKUP($A24,A:AL,22,FALSE)-50),"-",VLOOKUP($A24,'SegEnds_NonXtal_BW#'!$A:$Z,15,FALSE)+VLOOKUP($A24,A:AL,22,FALSE)-50)</f>
        <v>150</v>
      </c>
      <c r="V24" s="3">
        <v>162</v>
      </c>
      <c r="W24" s="3">
        <f>IF(ISERROR(VLOOKUP($A24,'SegEnds_NonXtal_BW#'!$A:$Z,16,FALSE)+VLOOKUP($A24,A:AL,22,FALSE)-50),"-",(VLOOKUP($A24,'SegEnds_NonXtal_BW#'!$A:$Z,16,FALSE)+VLOOKUP($A24,A:AL,22,FALSE)-50))</f>
        <v>175</v>
      </c>
      <c r="X24" s="3" t="str">
        <f>IF(ISERROR(VLOOKUP($A24,'SegEnds_NonXtal_BW#'!$A:$Z,17,FALSE)+VLOOKUP($A24,A:AL,25,FALSE)-50),"-",(VLOOKUP($A24,'SegEnds_NonXtal_BW#'!$A:$Z,17,FALSE)+VLOOKUP($A24,A:AL,25,FALSE)-50))</f>
        <v>-</v>
      </c>
      <c r="Y24" s="3" t="s">
        <v>23</v>
      </c>
      <c r="Z24" s="3" t="str">
        <f>IF(ISERROR(VLOOKUP($A24,'SegEnds_NonXtal_BW#'!$A:$Z,18,FALSE)+VLOOKUP($A24,A:AL,25,FALSE)-50),"-",(VLOOKUP($A24,'SegEnds_NonXtal_BW#'!$A:$Z,18,FALSE)+VLOOKUP($A24,A:AL,25,FALSE)-50))</f>
        <v>-</v>
      </c>
      <c r="AA24" s="3">
        <f>IF(ISERROR(VLOOKUP($A24,'SegEnds_NonXtal_BW#'!$A:$Z,19,FALSE)+VLOOKUP($A24,A:AL,28,FALSE)-50),"-",(VLOOKUP($A24,'SegEnds_NonXtal_BW#'!$A:$Z,19,FALSE)+VLOOKUP($A24,A:AL,28,FALSE)-50))</f>
        <v>193</v>
      </c>
      <c r="AB24" s="3">
        <v>207</v>
      </c>
      <c r="AC24" s="3">
        <f>IF(ISERROR((VLOOKUP($A24,'SegEnds_NonXtal_BW#'!$A:$Z,20,FALSE)+VLOOKUP($A24,A:AL,28,FALSE)-50)),"-",(VLOOKUP($A24,'SegEnds_NonXtal_BW#'!$A:$Z,20,FALSE)+VLOOKUP($A24,A:AL,28,FALSE)-50))</f>
        <v>225</v>
      </c>
      <c r="AD24" s="3">
        <f>IF(ISERROR(VLOOKUP($A24,'SegEnds_NonXtal_BW#'!$A:$Z,21,FALSE)+VLOOKUP($A24,A:AL,31,FALSE)-50),"-",(VLOOKUP($A24,'SegEnds_NonXtal_BW#'!$A:$Z,21,FALSE)+VLOOKUP($A24,A:AL,31,FALSE)-50))</f>
        <v>231</v>
      </c>
      <c r="AE24" s="3">
        <v>258</v>
      </c>
      <c r="AF24" s="3">
        <f>IF(ISERROR((VLOOKUP($A24,'SegEnds_NonXtal_BW#'!$A:$Z,22,FALSE)+VLOOKUP($A24,A:AL,31,FALSE)-50)),"-",(VLOOKUP($A24,'SegEnds_NonXtal_BW#'!$A:$Z,22,FALSE)+VLOOKUP($A24,A:AL,31,FALSE)-50))</f>
        <v>269</v>
      </c>
      <c r="AG24" s="3">
        <f>IF(ISERROR(VLOOKUP($A24,'SegEnds_NonXtal_BW#'!$A:$Z,23,FALSE)+VLOOKUP($A24,A:AL,34,FALSE)-50),"-",(VLOOKUP($A24,'SegEnds_NonXtal_BW#'!$A:$Z,23,FALSE)+VLOOKUP($A24,A:AL,34,FALSE)-50))</f>
        <v>275</v>
      </c>
      <c r="AH24" s="3">
        <v>295</v>
      </c>
      <c r="AI24" s="3">
        <f>IF(ISERROR((VLOOKUP($A24,'SegEnds_NonXtal_BW#'!$A:$Z,24,FALSE)+VLOOKUP($A24,A:AL,34,FALSE)-50)),"-",(VLOOKUP($A24,'SegEnds_NonXtal_BW#'!$A:$Z,24,FALSE)+VLOOKUP($A24,A:AL,34,FALSE)-50))</f>
        <v>301</v>
      </c>
      <c r="AJ24" s="3">
        <f>IF(ISERROR(VLOOKUP($A24,'SegEnds_NonXtal_BW#'!$A:$Z,25,FALSE)+VLOOKUP($A24,A:AL,37,FALSE)-50),"-",(VLOOKUP($A24,'SegEnds_NonXtal_BW#'!$A:$Z,25,FALSE)+VLOOKUP($A24,A:AL,37,FALSE)-50))</f>
        <v>302</v>
      </c>
      <c r="AK24" s="3">
        <v>305</v>
      </c>
      <c r="AL24" s="3">
        <f>IF(ISERROR((VLOOKUP($A24,'SegEnds_NonXtal_BW#'!$A:$Z,26,FALSE)+VLOOKUP($A24,A:AL,37,FALSE)-50)),"-",(VLOOKUP($A24,'SegEnds_NonXtal_BW#'!$A:$Z,26,FALSE)+VLOOKUP($A24,A:AL,37,FALSE)-50))</f>
        <v>314</v>
      </c>
      <c r="AM24" s="28" t="str">
        <f>VLOOKUP(A24,Classification!A:B,2,FALSE)</f>
        <v>A</v>
      </c>
      <c r="AN24" s="28" t="b">
        <f t="shared" si="0"/>
        <v>1</v>
      </c>
      <c r="AO24" s="3" t="str">
        <f>IF(ISERROR(MATCH(A24,'SegEnds_Xtal_Prot#'!B:B, 0)), "NoXtal", "Xtal")</f>
        <v>NoXtal</v>
      </c>
      <c r="AP24" s="3">
        <f t="shared" si="1"/>
        <v>1</v>
      </c>
      <c r="AQ24" s="3">
        <f t="shared" si="2"/>
        <v>1</v>
      </c>
      <c r="AR24" s="3">
        <f t="shared" si="3"/>
        <v>2</v>
      </c>
      <c r="AS24" s="3">
        <f t="shared" si="4"/>
        <v>1</v>
      </c>
      <c r="AT24" s="3">
        <f t="shared" si="5"/>
        <v>1</v>
      </c>
      <c r="AU24" s="3">
        <f t="shared" si="6"/>
        <v>1</v>
      </c>
      <c r="AV24" s="3" t="str">
        <f t="shared" si="7"/>
        <v>-</v>
      </c>
      <c r="AW24" s="3" t="str">
        <f t="shared" si="8"/>
        <v>-</v>
      </c>
      <c r="AX24" s="3">
        <f t="shared" si="9"/>
        <v>6</v>
      </c>
      <c r="AY24" s="3">
        <f t="shared" si="10"/>
        <v>6</v>
      </c>
      <c r="AZ24" s="3">
        <f t="shared" si="11"/>
        <v>1</v>
      </c>
      <c r="BA24" s="3">
        <f>IF(ISERROR(LEN(VLOOKUP(A24,Seqs!A:E,2,FALSE))-AL24),"-",LEN(VLOOKUP(A24,Seqs!A:E,2,FALSE))-AL24)</f>
        <v>64</v>
      </c>
      <c r="BB24" s="16">
        <f t="shared" si="12"/>
        <v>28</v>
      </c>
      <c r="BC24" s="9">
        <f t="shared" si="13"/>
        <v>19</v>
      </c>
      <c r="BD24" s="3">
        <f t="shared" si="14"/>
        <v>28</v>
      </c>
      <c r="BE24" s="3">
        <f t="shared" si="15"/>
        <v>51</v>
      </c>
    </row>
    <row r="25" spans="1:60" s="3" customFormat="1" x14ac:dyDescent="0.2">
      <c r="A25" s="3" t="s">
        <v>396</v>
      </c>
      <c r="B25" s="3" t="str">
        <f>LOWER(VLOOKUP(A25,Xtal_Templ!A:B,2,FALSE))</f>
        <v>adrb2_human</v>
      </c>
      <c r="C25" s="3">
        <f>VLOOKUP($A25,'SegEnds_NonXtal_BW#'!$A:$Z,3,FALSE)+D25-50</f>
        <v>44</v>
      </c>
      <c r="D25" s="3">
        <v>69</v>
      </c>
      <c r="E25" s="3">
        <f>IF(ISERROR(VLOOKUP($A25,'SegEnds_NonXtal_BW#'!$A:$Z,4,FALSE)+VLOOKUP($A25,A:AL,4,FALSE)-50),"-",(VLOOKUP($A25,'SegEnds_NonXtal_BW#'!$A:$Z,4,FALSE)+VLOOKUP($A25,A:AL,4,FALSE)-50))</f>
        <v>79</v>
      </c>
      <c r="F25" s="3">
        <f t="shared" si="21"/>
        <v>80</v>
      </c>
      <c r="G25" s="3">
        <v>82</v>
      </c>
      <c r="H25" s="3">
        <f t="shared" si="22"/>
        <v>83</v>
      </c>
      <c r="I25" s="3">
        <f t="shared" si="22"/>
        <v>84</v>
      </c>
      <c r="J25" s="3">
        <v>97</v>
      </c>
      <c r="K25" s="3">
        <f>VLOOKUP($A25,'SegEnds_NonXtal_BW#'!$A:$Z,8,FALSE)+VLOOKUP($A25,A:AL,10,FALSE)-50</f>
        <v>113</v>
      </c>
      <c r="L25" s="3">
        <f t="shared" ref="L25:L31" si="24">M25-1</f>
        <v>115</v>
      </c>
      <c r="M25" s="3">
        <v>116</v>
      </c>
      <c r="N25" s="3">
        <f t="shared" ref="N25:N31" si="25">M25+2</f>
        <v>118</v>
      </c>
      <c r="O25" s="3">
        <f t="shared" si="23"/>
        <v>119</v>
      </c>
      <c r="P25" s="3">
        <v>148</v>
      </c>
      <c r="Q25" s="3">
        <f>VLOOKUP($A25,'SegEnds_NonXtal_BW#'!$A:$Z,12,FALSE)+VLOOKUP($A25,A:AL,16,FALSE)-50</f>
        <v>154</v>
      </c>
      <c r="R25" s="3">
        <f>IF(ISERROR(VLOOKUP($A25,'SegEnds_NonXtal_BW#'!$A:$Z,13,FALSE)+VLOOKUP($A25,A:AL,19,FALSE)-50),"-",VLOOKUP($A25,'SegEnds_NonXtal_BW#'!$A:$Z,13,FALSE)+VLOOKUP($A25,A:AL,19,FALSE)-50)</f>
        <v>155</v>
      </c>
      <c r="S25" s="3">
        <v>155</v>
      </c>
      <c r="T25" s="103">
        <f>IF(ISERROR(VLOOKUP($A25,'SegEnds_NonXtal_BW#'!$A:$Z,14,FALSE)+VLOOKUP($A25,A:AL,19,FALSE)-50),"-",(VLOOKUP($A25,'SegEnds_NonXtal_BW#'!$A:$Z,14,FALSE)+VLOOKUP($A25,A:AL,19,FALSE)-50))</f>
        <v>161</v>
      </c>
      <c r="U25" s="9">
        <f>IF(ISERROR(VLOOKUP($A25,'SegEnds_NonXtal_BW#'!$A:$Z,15,FALSE)+VLOOKUP($A25,A:AL,22,FALSE)-50),"-",VLOOKUP($A25,'SegEnds_NonXtal_BW#'!$A:$Z,15,FALSE)+VLOOKUP($A25,A:AL,22,FALSE)-50)</f>
        <v>162</v>
      </c>
      <c r="V25" s="3">
        <v>174</v>
      </c>
      <c r="W25" s="3">
        <f>IF(ISERROR(VLOOKUP($A25,'SegEnds_NonXtal_BW#'!$A:$Z,16,FALSE)+VLOOKUP($A25,A:AL,22,FALSE)-50),"-",(VLOOKUP($A25,'SegEnds_NonXtal_BW#'!$A:$Z,16,FALSE)+VLOOKUP($A25,A:AL,22,FALSE)-50))</f>
        <v>188</v>
      </c>
      <c r="X25" s="3">
        <f>IF(ISERROR(VLOOKUP($A25,'SegEnds_NonXtal_BW#'!$A:$Z,17,FALSE)+VLOOKUP($A25,A:AL,25,FALSE)-50),"-",(VLOOKUP($A25,'SegEnds_NonXtal_BW#'!$A:$Z,17,FALSE)+VLOOKUP($A25,A:AL,25,FALSE)-50))</f>
        <v>199</v>
      </c>
      <c r="Y25" s="3">
        <v>199</v>
      </c>
      <c r="Z25" s="3">
        <f>Y25+2</f>
        <v>201</v>
      </c>
      <c r="AA25" s="3">
        <f>IF(ISERROR(VLOOKUP($A25,'SegEnds_NonXtal_BW#'!$A:$Z,19,FALSE)+VLOOKUP($A25,A:AL,28,FALSE)-50),"-",(VLOOKUP($A25,'SegEnds_NonXtal_BW#'!$A:$Z,19,FALSE)+VLOOKUP($A25,A:AL,28,FALSE)-50))</f>
        <v>208</v>
      </c>
      <c r="AB25" s="3">
        <v>223</v>
      </c>
      <c r="AC25" s="3">
        <f>IF(ISERROR((VLOOKUP($A25,'SegEnds_NonXtal_BW#'!$A:$Z,20,FALSE)+VLOOKUP($A25,A:AL,28,FALSE)-50)),"-",(VLOOKUP($A25,'SegEnds_NonXtal_BW#'!$A:$Z,20,FALSE)+VLOOKUP($A25,A:AL,28,FALSE)-50))</f>
        <v>245</v>
      </c>
      <c r="AD25" s="3">
        <f>IF(ISERROR(VLOOKUP($A25,'SegEnds_NonXtal_BW#'!$A:$Z,21,FALSE)+VLOOKUP($A25,A:AL,31,FALSE)-50),"-",(VLOOKUP($A25,'SegEnds_NonXtal_BW#'!$A:$Z,21,FALSE)+VLOOKUP($A25,A:AL,31,FALSE)-50))</f>
        <v>252</v>
      </c>
      <c r="AE25" s="3">
        <v>273</v>
      </c>
      <c r="AF25" s="3">
        <f>IF(ISERROR((VLOOKUP($A25,'SegEnds_NonXtal_BW#'!$A:$Z,22,FALSE)+VLOOKUP($A25,A:AL,31,FALSE)-50)),"-",(VLOOKUP($A25,'SegEnds_NonXtal_BW#'!$A:$Z,22,FALSE)+VLOOKUP($A25,A:AL,31,FALSE)-50))</f>
        <v>284</v>
      </c>
      <c r="AG25" s="3">
        <f>IF(ISERROR(VLOOKUP($A25,'SegEnds_NonXtal_BW#'!$A:$Z,23,FALSE)+VLOOKUP($A25,A:AL,34,FALSE)-50),"-",(VLOOKUP($A25,'SegEnds_NonXtal_BW#'!$A:$Z,23,FALSE)+VLOOKUP($A25,A:AL,34,FALSE)-50))</f>
        <v>290</v>
      </c>
      <c r="AH25" s="3">
        <v>312</v>
      </c>
      <c r="AI25" s="3">
        <f>IF(ISERROR((VLOOKUP($A25,'SegEnds_NonXtal_BW#'!$A:$Z,24,FALSE)+VLOOKUP($A25,A:AL,34,FALSE)-50)),"-",(VLOOKUP($A25,'SegEnds_NonXtal_BW#'!$A:$Z,24,FALSE)+VLOOKUP($A25,A:AL,34,FALSE)-50))</f>
        <v>317</v>
      </c>
      <c r="AJ25" s="3">
        <f>IF(ISERROR(VLOOKUP($A25,'SegEnds_NonXtal_BW#'!$A:$Z,25,FALSE)+VLOOKUP($A25,A:AL,37,FALSE)-50),"-",(VLOOKUP($A25,'SegEnds_NonXtal_BW#'!$A:$Z,25,FALSE)+VLOOKUP($A25,A:AL,37,FALSE)-50))</f>
        <v>319</v>
      </c>
      <c r="AK25" s="3">
        <v>322</v>
      </c>
      <c r="AL25" s="3">
        <f>IF(ISERROR((VLOOKUP($A25,'SegEnds_NonXtal_BW#'!$A:$Z,26,FALSE)+VLOOKUP($A25,A:AL,37,FALSE)-50)),"-",(VLOOKUP($A25,'SegEnds_NonXtal_BW#'!$A:$Z,26,FALSE)+VLOOKUP($A25,A:AL,37,FALSE)-50))</f>
        <v>331</v>
      </c>
      <c r="AM25" s="28" t="str">
        <f>VLOOKUP(A25,Classification!A:B,2,FALSE)</f>
        <v>A</v>
      </c>
      <c r="AN25" s="28" t="b">
        <f t="shared" si="0"/>
        <v>1</v>
      </c>
      <c r="AO25" s="3" t="str">
        <f>IF(ISERROR(MATCH(A25,'SegEnds_Xtal_Prot#'!B:B, 0)), "NoXtal", "Xtal")</f>
        <v>NoXtal</v>
      </c>
      <c r="AP25" s="3">
        <f t="shared" si="1"/>
        <v>1</v>
      </c>
      <c r="AQ25" s="3">
        <f t="shared" si="2"/>
        <v>1</v>
      </c>
      <c r="AR25" s="3">
        <f t="shared" si="3"/>
        <v>2</v>
      </c>
      <c r="AS25" s="3">
        <f t="shared" si="4"/>
        <v>1</v>
      </c>
      <c r="AT25" s="3">
        <f t="shared" si="5"/>
        <v>1</v>
      </c>
      <c r="AU25" s="3">
        <f t="shared" si="6"/>
        <v>1</v>
      </c>
      <c r="AV25" s="3">
        <f t="shared" si="7"/>
        <v>11</v>
      </c>
      <c r="AW25" s="3">
        <f t="shared" si="8"/>
        <v>7</v>
      </c>
      <c r="AX25" s="3">
        <f t="shared" si="9"/>
        <v>7</v>
      </c>
      <c r="AY25" s="3">
        <f t="shared" si="10"/>
        <v>6</v>
      </c>
      <c r="AZ25" s="3">
        <f t="shared" si="11"/>
        <v>2</v>
      </c>
      <c r="BA25" s="3">
        <f>IF(ISERROR(LEN(VLOOKUP(A25,Seqs!A:E,2,FALSE))-AL25),"-",LEN(VLOOKUP(A25,Seqs!A:E,2,FALSE))-AL25)</f>
        <v>58</v>
      </c>
      <c r="BB25" s="16">
        <f t="shared" si="12"/>
        <v>28</v>
      </c>
      <c r="BC25" s="9">
        <f t="shared" si="13"/>
        <v>19</v>
      </c>
      <c r="BD25" s="3">
        <f t="shared" si="14"/>
        <v>28</v>
      </c>
      <c r="BE25" s="3">
        <f t="shared" si="15"/>
        <v>50</v>
      </c>
    </row>
    <row r="26" spans="1:60" s="3" customFormat="1" x14ac:dyDescent="0.2">
      <c r="A26" s="3" t="s">
        <v>397</v>
      </c>
      <c r="B26" s="3" t="str">
        <f>LOWER(VLOOKUP(A26,Xtal_Templ!A:B,2,FALSE))</f>
        <v>ox2r_human</v>
      </c>
      <c r="C26" s="3">
        <f>VLOOKUP($A26,'SegEnds_NonXtal_BW#'!$A:$Z,3,FALSE)+D26-50</f>
        <v>50</v>
      </c>
      <c r="D26" s="3">
        <v>69</v>
      </c>
      <c r="E26" s="3">
        <f>IF(ISERROR(VLOOKUP($A26,'SegEnds_NonXtal_BW#'!$A:$Z,4,FALSE)+VLOOKUP($A26,A:AL,4,FALSE)-50),"-",(VLOOKUP($A26,'SegEnds_NonXtal_BW#'!$A:$Z,4,FALSE)+VLOOKUP($A26,A:AL,4,FALSE)-50))</f>
        <v>79</v>
      </c>
      <c r="F26" s="3">
        <f t="shared" si="21"/>
        <v>80</v>
      </c>
      <c r="G26" s="3">
        <v>82</v>
      </c>
      <c r="H26" s="3">
        <f t="shared" si="22"/>
        <v>83</v>
      </c>
      <c r="I26" s="3">
        <f t="shared" si="22"/>
        <v>84</v>
      </c>
      <c r="J26" s="3">
        <v>97</v>
      </c>
      <c r="K26" s="3">
        <f>VLOOKUP($A26,'SegEnds_NonXtal_BW#'!$A:$Z,8,FALSE)+VLOOKUP($A26,A:AL,10,FALSE)-50</f>
        <v>114</v>
      </c>
      <c r="L26" s="108">
        <f>M26</f>
        <v>115</v>
      </c>
      <c r="M26" s="3">
        <v>115</v>
      </c>
      <c r="N26" s="3">
        <f t="shared" si="25"/>
        <v>117</v>
      </c>
      <c r="O26" s="3">
        <f t="shared" si="23"/>
        <v>118</v>
      </c>
      <c r="P26" s="3">
        <v>149</v>
      </c>
      <c r="Q26" s="3">
        <f>VLOOKUP($A26,'SegEnds_NonXtal_BW#'!$A:$Z,12,FALSE)+VLOOKUP($A26,A:AL,16,FALSE)-50</f>
        <v>155</v>
      </c>
      <c r="R26" s="3">
        <f>IF(ISERROR(VLOOKUP($A26,'SegEnds_NonXtal_BW#'!$A:$Z,13,FALSE)+VLOOKUP($A26,A:AL,19,FALSE)-50),"-",VLOOKUP($A26,'SegEnds_NonXtal_BW#'!$A:$Z,13,FALSE)+VLOOKUP($A26,A:AL,19,FALSE)-50)</f>
        <v>156</v>
      </c>
      <c r="S26" s="3">
        <v>156</v>
      </c>
      <c r="T26" s="103">
        <f>IF(ISERROR(VLOOKUP($A26,'SegEnds_NonXtal_BW#'!$A:$Z,14,FALSE)+VLOOKUP($A26,A:AL,19,FALSE)-50),"-",(VLOOKUP($A26,'SegEnds_NonXtal_BW#'!$A:$Z,14,FALSE)+VLOOKUP($A26,A:AL,19,FALSE)-50))</f>
        <v>162</v>
      </c>
      <c r="U26" s="9">
        <f>IF(ISERROR(VLOOKUP($A26,'SegEnds_NonXtal_BW#'!$A:$Z,15,FALSE)+VLOOKUP($A26,A:AL,22,FALSE)-50),"-",VLOOKUP($A26,'SegEnds_NonXtal_BW#'!$A:$Z,15,FALSE)+VLOOKUP($A26,A:AL,22,FALSE)-50)</f>
        <v>163</v>
      </c>
      <c r="V26" s="3">
        <v>175</v>
      </c>
      <c r="W26" s="3">
        <f>IF(ISERROR(VLOOKUP($A26,'SegEnds_NonXtal_BW#'!$A:$Z,16,FALSE)+VLOOKUP($A26,A:AL,22,FALSE)-50),"-",(VLOOKUP($A26,'SegEnds_NonXtal_BW#'!$A:$Z,16,FALSE)+VLOOKUP($A26,A:AL,22,FALSE)-50))</f>
        <v>189</v>
      </c>
      <c r="X26" s="3">
        <f>IF(ISERROR(VLOOKUP($A26,'SegEnds_NonXtal_BW#'!$A:$Z,17,FALSE)+VLOOKUP($A26,A:AL,25,FALSE)-50),"-",(VLOOKUP($A26,'SegEnds_NonXtal_BW#'!$A:$Z,17,FALSE)+VLOOKUP($A26,A:AL,25,FALSE)-50))</f>
        <v>203</v>
      </c>
      <c r="Y26" s="3">
        <v>203</v>
      </c>
      <c r="Z26" s="3">
        <f>Y26+2</f>
        <v>205</v>
      </c>
      <c r="AA26" s="3">
        <f>IF(ISERROR(VLOOKUP($A26,'SegEnds_NonXtal_BW#'!$A:$Z,19,FALSE)+VLOOKUP($A26,A:AL,28,FALSE)-50),"-",(VLOOKUP($A26,'SegEnds_NonXtal_BW#'!$A:$Z,19,FALSE)+VLOOKUP($A26,A:AL,28,FALSE)-50))</f>
        <v>210</v>
      </c>
      <c r="AB26" s="3">
        <v>228</v>
      </c>
      <c r="AC26" s="3">
        <f>IF(ISERROR((VLOOKUP($A26,'SegEnds_NonXtal_BW#'!$A:$Z,20,FALSE)+VLOOKUP($A26,A:AL,28,FALSE)-50)),"-",(VLOOKUP($A26,'SegEnds_NonXtal_BW#'!$A:$Z,20,FALSE)+VLOOKUP($A26,A:AL,28,FALSE)-50))</f>
        <v>254</v>
      </c>
      <c r="AD26" s="3">
        <f>IF(ISERROR(VLOOKUP($A26,'SegEnds_NonXtal_BW#'!$A:$Z,21,FALSE)+VLOOKUP($A26,A:AL,31,FALSE)-50),"-",(VLOOKUP($A26,'SegEnds_NonXtal_BW#'!$A:$Z,21,FALSE)+VLOOKUP($A26,A:AL,31,FALSE)-50))</f>
        <v>280</v>
      </c>
      <c r="AE26" s="3">
        <v>306</v>
      </c>
      <c r="AF26" s="3">
        <f>IF(ISERROR((VLOOKUP($A26,'SegEnds_NonXtal_BW#'!$A:$Z,22,FALSE)+VLOOKUP($A26,A:AL,31,FALSE)-50)),"-",(VLOOKUP($A26,'SegEnds_NonXtal_BW#'!$A:$Z,22,FALSE)+VLOOKUP($A26,A:AL,31,FALSE)-50))</f>
        <v>317</v>
      </c>
      <c r="AG26" s="3">
        <f>IF(ISERROR(VLOOKUP($A26,'SegEnds_NonXtal_BW#'!$A:$Z,23,FALSE)+VLOOKUP($A26,A:AL,34,FALSE)-50),"-",(VLOOKUP($A26,'SegEnds_NonXtal_BW#'!$A:$Z,23,FALSE)+VLOOKUP($A26,A:AL,34,FALSE)-50))</f>
        <v>323</v>
      </c>
      <c r="AH26" s="3">
        <v>345</v>
      </c>
      <c r="AI26" s="3">
        <f>IF(ISERROR((VLOOKUP($A26,'SegEnds_NonXtal_BW#'!$A:$Z,24,FALSE)+VLOOKUP($A26,A:AL,34,FALSE)-50)),"-",(VLOOKUP($A26,'SegEnds_NonXtal_BW#'!$A:$Z,24,FALSE)+VLOOKUP($A26,A:AL,34,FALSE)-50))</f>
        <v>351</v>
      </c>
      <c r="AJ26" s="3">
        <f>IF(ISERROR(VLOOKUP($A26,'SegEnds_NonXtal_BW#'!$A:$Z,25,FALSE)+VLOOKUP($A26,A:AL,37,FALSE)-50),"-",(VLOOKUP($A26,'SegEnds_NonXtal_BW#'!$A:$Z,25,FALSE)+VLOOKUP($A26,A:AL,37,FALSE)-50))</f>
        <v>352</v>
      </c>
      <c r="AK26" s="3">
        <v>355</v>
      </c>
      <c r="AL26" s="3">
        <f>IF(ISERROR((VLOOKUP($A26,'SegEnds_NonXtal_BW#'!$A:$Z,26,FALSE)+VLOOKUP($A26,A:AL,37,FALSE)-50)),"-",(VLOOKUP($A26,'SegEnds_NonXtal_BW#'!$A:$Z,26,FALSE)+VLOOKUP($A26,A:AL,37,FALSE)-50))</f>
        <v>363</v>
      </c>
      <c r="AM26" s="28" t="str">
        <f>VLOOKUP(A26,Classification!A:B,2,FALSE)</f>
        <v>A</v>
      </c>
      <c r="AN26" s="28" t="b">
        <f t="shared" si="0"/>
        <v>1</v>
      </c>
      <c r="AO26" s="3" t="str">
        <f>IF(ISERROR(MATCH(A26,'SegEnds_Xtal_Prot#'!B:B, 0)), "NoXtal", "Xtal")</f>
        <v>NoXtal</v>
      </c>
      <c r="AP26" s="3">
        <f t="shared" si="1"/>
        <v>1</v>
      </c>
      <c r="AQ26" s="3">
        <f t="shared" si="2"/>
        <v>1</v>
      </c>
      <c r="AR26" s="3">
        <f t="shared" si="3"/>
        <v>1</v>
      </c>
      <c r="AS26" s="3">
        <f t="shared" si="4"/>
        <v>1</v>
      </c>
      <c r="AT26" s="3">
        <f t="shared" si="5"/>
        <v>1</v>
      </c>
      <c r="AU26" s="3">
        <f t="shared" si="6"/>
        <v>1</v>
      </c>
      <c r="AV26" s="3">
        <f t="shared" si="7"/>
        <v>14</v>
      </c>
      <c r="AW26" s="3">
        <f t="shared" si="8"/>
        <v>5</v>
      </c>
      <c r="AX26" s="3">
        <f t="shared" si="9"/>
        <v>26</v>
      </c>
      <c r="AY26" s="3">
        <f t="shared" si="10"/>
        <v>6</v>
      </c>
      <c r="AZ26" s="3">
        <f t="shared" si="11"/>
        <v>1</v>
      </c>
      <c r="BA26" s="3">
        <f>IF(ISERROR(LEN(VLOOKUP(A26,Seqs!A:E,2,FALSE))-AL26),"-",LEN(VLOOKUP(A26,Seqs!A:E,2,FALSE))-AL26)</f>
        <v>55</v>
      </c>
      <c r="BB26" s="16">
        <f t="shared" si="12"/>
        <v>28</v>
      </c>
      <c r="BC26" s="9">
        <f t="shared" si="13"/>
        <v>19</v>
      </c>
      <c r="BD26" s="3">
        <f t="shared" si="14"/>
        <v>28</v>
      </c>
      <c r="BE26" s="3">
        <f t="shared" si="15"/>
        <v>78</v>
      </c>
    </row>
    <row r="27" spans="1:60" s="3" customFormat="1" x14ac:dyDescent="0.2">
      <c r="A27" s="3" t="s">
        <v>398</v>
      </c>
      <c r="B27" s="3" t="str">
        <f>LOWER(VLOOKUP(A27,Xtal_Templ!A:B,2,FALSE))</f>
        <v>s1pr1_human</v>
      </c>
      <c r="C27" s="3">
        <f>VLOOKUP($A27,'SegEnds_NonXtal_BW#'!$A:$Z,3,FALSE)+D27-50</f>
        <v>31</v>
      </c>
      <c r="D27" s="3">
        <v>52</v>
      </c>
      <c r="E27" s="3">
        <f>IF(ISERROR(VLOOKUP($A27,'SegEnds_NonXtal_BW#'!$A:$Z,4,FALSE)+VLOOKUP($A27,A:AL,4,FALSE)-50),"-",(VLOOKUP($A27,'SegEnds_NonXtal_BW#'!$A:$Z,4,FALSE)+VLOOKUP($A27,A:AL,4,FALSE)-50))</f>
        <v>62</v>
      </c>
      <c r="F27" s="3">
        <f t="shared" si="21"/>
        <v>63</v>
      </c>
      <c r="G27" s="3">
        <v>65</v>
      </c>
      <c r="H27" s="3">
        <f t="shared" si="22"/>
        <v>66</v>
      </c>
      <c r="I27" s="3">
        <f t="shared" si="22"/>
        <v>67</v>
      </c>
      <c r="J27" s="3">
        <v>80</v>
      </c>
      <c r="K27" s="3">
        <f>VLOOKUP($A27,'SegEnds_NonXtal_BW#'!$A:$Z,8,FALSE)+VLOOKUP($A27,A:AL,10,FALSE)-50</f>
        <v>93</v>
      </c>
      <c r="L27" s="108">
        <f>M27</f>
        <v>98</v>
      </c>
      <c r="M27" s="3">
        <v>98</v>
      </c>
      <c r="N27" s="3">
        <f t="shared" si="25"/>
        <v>100</v>
      </c>
      <c r="O27" s="3">
        <f t="shared" si="23"/>
        <v>101</v>
      </c>
      <c r="P27" s="3">
        <v>132</v>
      </c>
      <c r="Q27" s="3">
        <f>VLOOKUP($A27,'SegEnds_NonXtal_BW#'!$A:$Z,12,FALSE)+VLOOKUP($A27,A:AL,16,FALSE)-50</f>
        <v>138</v>
      </c>
      <c r="R27" s="3">
        <f>IF(ISERROR(VLOOKUP($A27,'SegEnds_NonXtal_BW#'!$A:$Z,13,FALSE)+VLOOKUP($A27,A:AL,19,FALSE)-50),"-",VLOOKUP($A27,'SegEnds_NonXtal_BW#'!$A:$Z,13,FALSE)+VLOOKUP($A27,A:AL,19,FALSE)-50)</f>
        <v>139</v>
      </c>
      <c r="S27" s="3">
        <v>139</v>
      </c>
      <c r="T27" s="103">
        <f>IF(ISERROR(VLOOKUP($A27,'SegEnds_NonXtal_BW#'!$A:$Z,14,FALSE)+VLOOKUP($A27,A:AL,19,FALSE)-50),"-",(VLOOKUP($A27,'SegEnds_NonXtal_BW#'!$A:$Z,14,FALSE)+VLOOKUP($A27,A:AL,19,FALSE)-50))</f>
        <v>145</v>
      </c>
      <c r="U27" s="9">
        <f>IF(ISERROR(VLOOKUP($A27,'SegEnds_NonXtal_BW#'!$A:$Z,15,FALSE)+VLOOKUP($A27,A:AL,22,FALSE)-50),"-",VLOOKUP($A27,'SegEnds_NonXtal_BW#'!$A:$Z,15,FALSE)+VLOOKUP($A27,A:AL,22,FALSE)-50)</f>
        <v>146</v>
      </c>
      <c r="V27" s="3">
        <v>158</v>
      </c>
      <c r="W27" s="3">
        <f>IF(ISERROR(VLOOKUP($A27,'SegEnds_NonXtal_BW#'!$A:$Z,16,FALSE)+VLOOKUP($A27,A:AL,22,FALSE)-50),"-",(VLOOKUP($A27,'SegEnds_NonXtal_BW#'!$A:$Z,16,FALSE)+VLOOKUP($A27,A:AL,22,FALSE)-50))</f>
        <v>171</v>
      </c>
      <c r="X27" s="108">
        <v>186</v>
      </c>
      <c r="Y27" s="3">
        <v>186</v>
      </c>
      <c r="Z27" s="3">
        <f>Y27+2</f>
        <v>188</v>
      </c>
      <c r="AA27" s="3">
        <f>IF(ISERROR(VLOOKUP($A27,'SegEnds_NonXtal_BW#'!$A:$Z,19,FALSE)+VLOOKUP($A27,A:AL,28,FALSE)-50),"-",(VLOOKUP($A27,'SegEnds_NonXtal_BW#'!$A:$Z,19,FALSE)+VLOOKUP($A27,A:AL,28,FALSE)-50))</f>
        <v>197</v>
      </c>
      <c r="AB27" s="3">
        <v>211</v>
      </c>
      <c r="AC27" s="3">
        <f>IF(ISERROR((VLOOKUP($A27,'SegEnds_NonXtal_BW#'!$A:$Z,20,FALSE)+VLOOKUP($A27,A:AL,28,FALSE)-50)),"-",(VLOOKUP($A27,'SegEnds_NonXtal_BW#'!$A:$Z,20,FALSE)+VLOOKUP($A27,A:AL,28,FALSE)-50))</f>
        <v>237</v>
      </c>
      <c r="AD27" s="3">
        <f>IF(ISERROR(VLOOKUP($A27,'SegEnds_NonXtal_BW#'!$A:$Z,21,FALSE)+VLOOKUP($A27,A:AL,31,FALSE)-50),"-",(VLOOKUP($A27,'SegEnds_NonXtal_BW#'!$A:$Z,21,FALSE)+VLOOKUP($A27,A:AL,31,FALSE)-50))</f>
        <v>270</v>
      </c>
      <c r="AE27" s="3">
        <v>296</v>
      </c>
      <c r="AF27" s="3">
        <f>IF(ISERROR((VLOOKUP($A27,'SegEnds_NonXtal_BW#'!$A:$Z,22,FALSE)+VLOOKUP($A27,A:AL,31,FALSE)-50)),"-",(VLOOKUP($A27,'SegEnds_NonXtal_BW#'!$A:$Z,22,FALSE)+VLOOKUP($A27,A:AL,31,FALSE)-50))</f>
        <v>307</v>
      </c>
      <c r="AG27" s="3">
        <f>IF(ISERROR(VLOOKUP($A27,'SegEnds_NonXtal_BW#'!$A:$Z,23,FALSE)+VLOOKUP($A27,A:AL,34,FALSE)-50),"-",(VLOOKUP($A27,'SegEnds_NonXtal_BW#'!$A:$Z,23,FALSE)+VLOOKUP($A27,A:AL,34,FALSE)-50))</f>
        <v>313</v>
      </c>
      <c r="AH27" s="3">
        <v>335</v>
      </c>
      <c r="AI27" s="3">
        <f>IF(ISERROR((VLOOKUP($A27,'SegEnds_NonXtal_BW#'!$A:$Z,24,FALSE)+VLOOKUP($A27,A:AL,34,FALSE)-50)),"-",(VLOOKUP($A27,'SegEnds_NonXtal_BW#'!$A:$Z,24,FALSE)+VLOOKUP($A27,A:AL,34,FALSE)-50))</f>
        <v>341</v>
      </c>
      <c r="AJ27" s="3">
        <f>IF(ISERROR(VLOOKUP($A27,'SegEnds_NonXtal_BW#'!$A:$Z,25,FALSE)+VLOOKUP($A27,A:AL,37,FALSE)-50),"-",(VLOOKUP($A27,'SegEnds_NonXtal_BW#'!$A:$Z,25,FALSE)+VLOOKUP($A27,A:AL,37,FALSE)-50))</f>
        <v>342</v>
      </c>
      <c r="AK27" s="3">
        <v>345</v>
      </c>
      <c r="AL27" s="3">
        <f>IF(ISERROR((VLOOKUP($A27,'SegEnds_NonXtal_BW#'!$A:$Z,26,FALSE)+VLOOKUP($A27,A:AL,37,FALSE)-50)),"-",(VLOOKUP($A27,'SegEnds_NonXtal_BW#'!$A:$Z,26,FALSE)+VLOOKUP($A27,A:AL,37,FALSE)-50))</f>
        <v>354</v>
      </c>
      <c r="AM27" s="28" t="str">
        <f>VLOOKUP(A27,Classification!A:B,2,FALSE)</f>
        <v>A</v>
      </c>
      <c r="AN27" s="28" t="b">
        <f t="shared" si="0"/>
        <v>1</v>
      </c>
      <c r="AO27" s="3" t="str">
        <f>IF(ISERROR(MATCH(A27,'SegEnds_Xtal_Prot#'!B:B, 0)), "NoXtal", "Xtal")</f>
        <v>NoXtal</v>
      </c>
      <c r="AP27" s="3">
        <f t="shared" si="1"/>
        <v>1</v>
      </c>
      <c r="AQ27" s="3">
        <f t="shared" si="2"/>
        <v>1</v>
      </c>
      <c r="AR27" s="3">
        <f t="shared" si="3"/>
        <v>5</v>
      </c>
      <c r="AS27" s="3">
        <f t="shared" si="4"/>
        <v>1</v>
      </c>
      <c r="AT27" s="3">
        <f t="shared" si="5"/>
        <v>1</v>
      </c>
      <c r="AU27" s="3">
        <f t="shared" si="6"/>
        <v>1</v>
      </c>
      <c r="AV27" s="3">
        <f t="shared" si="7"/>
        <v>15</v>
      </c>
      <c r="AW27" s="3">
        <f t="shared" si="8"/>
        <v>9</v>
      </c>
      <c r="AX27" s="3">
        <f t="shared" si="9"/>
        <v>33</v>
      </c>
      <c r="AY27" s="3">
        <f t="shared" si="10"/>
        <v>6</v>
      </c>
      <c r="AZ27" s="3">
        <f t="shared" si="11"/>
        <v>1</v>
      </c>
      <c r="BA27" s="3">
        <f>IF(ISERROR(LEN(VLOOKUP(A27,Seqs!A:E,2,FALSE))-AL27),"-",LEN(VLOOKUP(A27,Seqs!A:E,2,FALSE))-AL27)</f>
        <v>70</v>
      </c>
      <c r="BB27" s="16">
        <f t="shared" si="12"/>
        <v>28</v>
      </c>
      <c r="BC27" s="9">
        <f t="shared" si="13"/>
        <v>19</v>
      </c>
      <c r="BD27" s="3">
        <f t="shared" si="14"/>
        <v>28</v>
      </c>
      <c r="BE27" s="3">
        <f t="shared" si="15"/>
        <v>85</v>
      </c>
    </row>
    <row r="28" spans="1:60" s="3" customFormat="1" x14ac:dyDescent="0.2">
      <c r="A28" s="3" t="s">
        <v>177</v>
      </c>
      <c r="B28" s="3" t="str">
        <f>LOWER(VLOOKUP(A28,Xtal_Templ!A:B,2,FALSE))</f>
        <v>ccr9_human</v>
      </c>
      <c r="C28" s="3">
        <f>VLOOKUP($A28,'SegEnds_NonXtal_BW#'!$A:$Z,3,FALSE)+D28-50</f>
        <v>43</v>
      </c>
      <c r="D28" s="3">
        <v>66</v>
      </c>
      <c r="E28" s="3">
        <f>IF(ISERROR(VLOOKUP($A28,'SegEnds_NonXtal_BW#'!$A:$Z,4,FALSE)+VLOOKUP($A28,A:AL,4,FALSE)-50),"-",(VLOOKUP($A28,'SegEnds_NonXtal_BW#'!$A:$Z,4,FALSE)+VLOOKUP($A28,A:AL,4,FALSE)-50))</f>
        <v>76</v>
      </c>
      <c r="F28" s="3">
        <f t="shared" si="21"/>
        <v>77</v>
      </c>
      <c r="G28" s="3">
        <v>79</v>
      </c>
      <c r="H28" s="3">
        <f t="shared" si="22"/>
        <v>80</v>
      </c>
      <c r="I28" s="3">
        <f t="shared" si="22"/>
        <v>81</v>
      </c>
      <c r="J28" s="3">
        <v>94</v>
      </c>
      <c r="K28" s="3">
        <f>VLOOKUP($A28,'SegEnds_NonXtal_BW#'!$A:$Z,8,FALSE)+VLOOKUP($A28,A:AL,10,FALSE)-50</f>
        <v>110</v>
      </c>
      <c r="L28" s="3">
        <f t="shared" si="24"/>
        <v>111</v>
      </c>
      <c r="M28" s="3">
        <v>112</v>
      </c>
      <c r="N28" s="3">
        <f t="shared" si="25"/>
        <v>114</v>
      </c>
      <c r="O28" s="3">
        <f t="shared" si="23"/>
        <v>115</v>
      </c>
      <c r="P28" s="3">
        <v>144</v>
      </c>
      <c r="Q28" s="3">
        <f>VLOOKUP($A28,'SegEnds_NonXtal_BW#'!$A:$Z,12,FALSE)+VLOOKUP($A28,A:AL,16,FALSE)-50</f>
        <v>150</v>
      </c>
      <c r="R28" s="3">
        <f>IF(ISERROR(VLOOKUP($A28,'SegEnds_NonXtal_BW#'!$A:$Z,13,FALSE)+VLOOKUP($A28,A:AL,19,FALSE)-50),"-",VLOOKUP($A28,'SegEnds_NonXtal_BW#'!$A:$Z,13,FALSE)+VLOOKUP($A28,A:AL,19,FALSE)-50)</f>
        <v>151</v>
      </c>
      <c r="S28" s="3">
        <v>151</v>
      </c>
      <c r="T28" s="103">
        <f>IF(ISERROR(VLOOKUP($A28,'SegEnds_NonXtal_BW#'!$A:$Z,14,FALSE)+VLOOKUP($A28,A:AL,19,FALSE)-50),"-",(VLOOKUP($A28,'SegEnds_NonXtal_BW#'!$A:$Z,14,FALSE)+VLOOKUP($A28,A:AL,19,FALSE)-50))</f>
        <v>157</v>
      </c>
      <c r="U28" s="9">
        <f>IF(ISERROR(VLOOKUP($A28,'SegEnds_NonXtal_BW#'!$A:$Z,15,FALSE)+VLOOKUP($A28,A:AL,22,FALSE)-50),"-",VLOOKUP($A28,'SegEnds_NonXtal_BW#'!$A:$Z,15,FALSE)+VLOOKUP($A28,A:AL,22,FALSE)-50)</f>
        <v>158</v>
      </c>
      <c r="V28" s="3">
        <v>173</v>
      </c>
      <c r="W28" s="3">
        <f>IF(ISERROR(VLOOKUP($A28,'SegEnds_NonXtal_BW#'!$A:$Z,16,FALSE)+VLOOKUP($A28,A:AL,22,FALSE)-50),"-",(VLOOKUP($A28,'SegEnds_NonXtal_BW#'!$A:$Z,16,FALSE)+VLOOKUP($A28,A:AL,22,FALSE)-50))</f>
        <v>187</v>
      </c>
      <c r="X28" s="3">
        <f>IF(ISERROR(VLOOKUP($A28,'SegEnds_NonXtal_BW#'!$A:$Z,17,FALSE)+VLOOKUP($A28,A:AL,25,FALSE)-50),"-",(VLOOKUP($A28,'SegEnds_NonXtal_BW#'!$A:$Z,17,FALSE)+VLOOKUP($A28,A:AL,25,FALSE)-50))</f>
        <v>198</v>
      </c>
      <c r="Y28" s="3">
        <v>198</v>
      </c>
      <c r="Z28" s="3">
        <f>Y28+2</f>
        <v>200</v>
      </c>
      <c r="AA28" s="3">
        <f>IF(ISERROR(VLOOKUP($A28,'SegEnds_NonXtal_BW#'!$A:$Z,19,FALSE)+VLOOKUP($A28,A:AL,28,FALSE)-50),"-",(VLOOKUP($A28,'SegEnds_NonXtal_BW#'!$A:$Z,19,FALSE)+VLOOKUP($A28,A:AL,28,FALSE)-50))</f>
        <v>209</v>
      </c>
      <c r="AB28" s="3">
        <v>226</v>
      </c>
      <c r="AC28" s="3">
        <f>IF(ISERROR((VLOOKUP($A28,'SegEnds_NonXtal_BW#'!$A:$Z,20,FALSE)+VLOOKUP($A28,A:AL,28,FALSE)-50)),"-",(VLOOKUP($A28,'SegEnds_NonXtal_BW#'!$A:$Z,20,FALSE)+VLOOKUP($A28,A:AL,28,FALSE)-50))</f>
        <v>244</v>
      </c>
      <c r="AD28" s="3">
        <f>IF(ISERROR(VLOOKUP($A28,'SegEnds_NonXtal_BW#'!$A:$Z,21,FALSE)+VLOOKUP($A28,A:AL,31,FALSE)-50),"-",(VLOOKUP($A28,'SegEnds_NonXtal_BW#'!$A:$Z,21,FALSE)+VLOOKUP($A28,A:AL,31,FALSE)-50))</f>
        <v>249</v>
      </c>
      <c r="AE28" s="3">
        <v>269</v>
      </c>
      <c r="AF28" s="3">
        <f>IF(ISERROR((VLOOKUP($A28,'SegEnds_NonXtal_BW#'!$A:$Z,22,FALSE)+VLOOKUP($A28,A:AL,31,FALSE)-50)),"-",(VLOOKUP($A28,'SegEnds_NonXtal_BW#'!$A:$Z,22,FALSE)+VLOOKUP($A28,A:AL,31,FALSE)-50))</f>
        <v>284</v>
      </c>
      <c r="AG28" s="3">
        <f>IF(ISERROR(VLOOKUP($A28,'SegEnds_NonXtal_BW#'!$A:$Z,23,FALSE)+VLOOKUP($A28,A:AL,34,FALSE)-50),"-",(VLOOKUP($A28,'SegEnds_NonXtal_BW#'!$A:$Z,23,FALSE)+VLOOKUP($A28,A:AL,34,FALSE)-50))</f>
        <v>288</v>
      </c>
      <c r="AH28" s="3">
        <v>314</v>
      </c>
      <c r="AI28" s="3">
        <f>IF(ISERROR((VLOOKUP($A28,'SegEnds_NonXtal_BW#'!$A:$Z,24,FALSE)+VLOOKUP($A28,A:AL,34,FALSE)-50)),"-",(VLOOKUP($A28,'SegEnds_NonXtal_BW#'!$A:$Z,24,FALSE)+VLOOKUP($A28,A:AL,34,FALSE)-50))</f>
        <v>320</v>
      </c>
      <c r="AJ28" s="3">
        <f>IF(ISERROR(VLOOKUP($A28,'SegEnds_NonXtal_BW#'!$A:$Z,25,FALSE)+VLOOKUP($A28,A:AL,37,FALSE)-50),"-",(VLOOKUP($A28,'SegEnds_NonXtal_BW#'!$A:$Z,25,FALSE)+VLOOKUP($A28,A:AL,37,FALSE)-50))</f>
        <v>321</v>
      </c>
      <c r="AK28" s="3">
        <v>324</v>
      </c>
      <c r="AL28" s="3">
        <f>IF(ISERROR((VLOOKUP($A28,'SegEnds_NonXtal_BW#'!$A:$Z,26,FALSE)+VLOOKUP($A28,A:AL,37,FALSE)-50)),"-",(VLOOKUP($A28,'SegEnds_NonXtal_BW#'!$A:$Z,26,FALSE)+VLOOKUP($A28,A:AL,37,FALSE)-50))</f>
        <v>341</v>
      </c>
      <c r="AM28" s="28" t="str">
        <f>VLOOKUP(A28,Classification!A:B,2,FALSE)</f>
        <v>A</v>
      </c>
      <c r="AN28" s="28" t="b">
        <f t="shared" ref="AN28:AN41" si="26">AND(IF(Y28="-",IF(AA28-W28&gt;3,TRUE,FALSE),TRUE),IF(M28="-",IF(O28-K28&gt;3,TRUE,FALSE),TRUE),C28&lt;E28,OR(E28&lt;F28,F28="-"),OR(F28&lt;H28,F28="-"),OR(H28&lt;I28,H28="-"),I28&lt;K28,OR(K28&lt;L28,L28="-"),OR(L28&lt;N28,L28="-"),OR(N28&lt;O28,N28="-"),O28&lt;Q28,OR(Q28&lt;R28,R28="-"),OR(R28&lt;T28,R28="-"),OR(T28&lt;U28,T28="-"),U28&lt;W28,OR(W28&lt;X28,X28="-"),OR(X28&lt;Z28,X28="-"),OR(Z28&lt;AA28,Z28="-"),AA28&lt;AC28,AC28&lt;AD28,AD28&lt;AF28,AF28&lt;AG28,AG28&lt;AI28,OR(AI28&lt;AJ28,AJ28="-"),OR(AJ28&lt;AL28,AJ28="-"))</f>
        <v>1</v>
      </c>
      <c r="AO28" s="3" t="str">
        <f>IF(ISERROR(MATCH(A28,'SegEnds_Xtal_Prot#'!B:B, 0)), "NoXtal", "Xtal")</f>
        <v>Xtal</v>
      </c>
      <c r="AP28" s="3">
        <f t="shared" si="1"/>
        <v>1</v>
      </c>
      <c r="AQ28" s="3">
        <f t="shared" si="2"/>
        <v>1</v>
      </c>
      <c r="AR28" s="3">
        <f t="shared" si="3"/>
        <v>1</v>
      </c>
      <c r="AS28" s="3">
        <f t="shared" si="4"/>
        <v>1</v>
      </c>
      <c r="AT28" s="3">
        <f t="shared" si="5"/>
        <v>1</v>
      </c>
      <c r="AU28" s="3">
        <f t="shared" si="6"/>
        <v>1</v>
      </c>
      <c r="AV28" s="3">
        <f t="shared" si="7"/>
        <v>11</v>
      </c>
      <c r="AW28" s="3">
        <f t="shared" si="8"/>
        <v>9</v>
      </c>
      <c r="AX28" s="3">
        <f t="shared" si="9"/>
        <v>5</v>
      </c>
      <c r="AY28" s="3">
        <f t="shared" si="10"/>
        <v>4</v>
      </c>
      <c r="AZ28" s="3">
        <f t="shared" si="11"/>
        <v>1</v>
      </c>
      <c r="BA28" s="3">
        <f>IF(ISERROR(LEN(VLOOKUP(A28,Seqs!A:E,2,FALSE))-AL28),"-",LEN(VLOOKUP(A28,Seqs!A:E,2,FALSE))-AL28)</f>
        <v>28</v>
      </c>
      <c r="BB28" s="16">
        <f t="shared" si="12"/>
        <v>28</v>
      </c>
      <c r="BC28" s="9">
        <f t="shared" si="13"/>
        <v>22</v>
      </c>
      <c r="BD28" s="3">
        <f t="shared" si="14"/>
        <v>28</v>
      </c>
      <c r="BE28" s="3">
        <f t="shared" si="15"/>
        <v>43</v>
      </c>
    </row>
    <row r="29" spans="1:60" s="3" customFormat="1" x14ac:dyDescent="0.2">
      <c r="A29" s="3" t="s">
        <v>329</v>
      </c>
      <c r="B29" s="3" t="str">
        <f>LOWER(VLOOKUP(A29,Xtal_Templ!A:B,2,FALSE))</f>
        <v>ox2r_human</v>
      </c>
      <c r="C29" s="3">
        <f>VLOOKUP($A29,'SegEnds_NonXtal_BW#'!$A:$Z,3,FALSE)+D29-50</f>
        <v>34</v>
      </c>
      <c r="D29" s="3">
        <v>53</v>
      </c>
      <c r="E29" s="3">
        <f>IF(ISERROR(VLOOKUP($A29,'SegEnds_NonXtal_BW#'!$A:$Z,4,FALSE)+VLOOKUP($A29,A:AL,4,FALSE)-50),"-",(VLOOKUP($A29,'SegEnds_NonXtal_BW#'!$A:$Z,4,FALSE)+VLOOKUP($A29,A:AL,4,FALSE)-50))</f>
        <v>63</v>
      </c>
      <c r="F29" s="3">
        <f t="shared" si="21"/>
        <v>65</v>
      </c>
      <c r="G29" s="3">
        <v>67</v>
      </c>
      <c r="H29" s="3">
        <f t="shared" si="22"/>
        <v>68</v>
      </c>
      <c r="I29" s="3">
        <f t="shared" si="22"/>
        <v>69</v>
      </c>
      <c r="J29" s="3">
        <v>82</v>
      </c>
      <c r="K29" s="3">
        <f>VLOOKUP($A29,'SegEnds_NonXtal_BW#'!$A:$Z,8,FALSE)+VLOOKUP($A29,A:AL,10,FALSE)-50</f>
        <v>99</v>
      </c>
      <c r="L29" s="3">
        <f t="shared" si="24"/>
        <v>101</v>
      </c>
      <c r="M29" s="3">
        <v>102</v>
      </c>
      <c r="N29" s="3">
        <f t="shared" si="25"/>
        <v>104</v>
      </c>
      <c r="O29" s="3">
        <f t="shared" si="23"/>
        <v>105</v>
      </c>
      <c r="P29" s="3">
        <v>134</v>
      </c>
      <c r="Q29" s="3">
        <f>VLOOKUP($A29,'SegEnds_NonXtal_BW#'!$A:$Z,12,FALSE)+VLOOKUP($A29,A:AL,16,FALSE)-50</f>
        <v>140</v>
      </c>
      <c r="R29" s="3" t="str">
        <f>IF(ISERROR(VLOOKUP($A29,'SegEnds_NonXtal_BW#'!$A:$Z,13,FALSE)+VLOOKUP($A29,A:AL,19,FALSE)-50),"-",VLOOKUP($A29,'SegEnds_NonXtal_BW#'!$A:$Z,13,FALSE)+VLOOKUP($A29,A:AL,19,FALSE)-50)</f>
        <v>-</v>
      </c>
      <c r="S29" s="3" t="s">
        <v>23</v>
      </c>
      <c r="T29" s="103" t="str">
        <f>IF(ISERROR(VLOOKUP($A29,'SegEnds_NonXtal_BW#'!$A:$Z,14,FALSE)+VLOOKUP($A29,A:AL,19,FALSE)-50),"-",(VLOOKUP($A29,'SegEnds_NonXtal_BW#'!$A:$Z,14,FALSE)+VLOOKUP($A29,A:AL,19,FALSE)-50))</f>
        <v>-</v>
      </c>
      <c r="U29" s="9">
        <f>IF(ISERROR(VLOOKUP($A29,'SegEnds_NonXtal_BW#'!$A:$Z,15,FALSE)+VLOOKUP($A29,A:AL,22,FALSE)-50),"-",VLOOKUP($A29,'SegEnds_NonXtal_BW#'!$A:$Z,15,FALSE)+VLOOKUP($A29,A:AL,22,FALSE)-50)</f>
        <v>147</v>
      </c>
      <c r="V29" s="3">
        <v>159</v>
      </c>
      <c r="W29" s="3">
        <f>IF(ISERROR(VLOOKUP($A29,'SegEnds_NonXtal_BW#'!$A:$Z,16,FALSE)+VLOOKUP($A29,A:AL,22,FALSE)-50),"-",(VLOOKUP($A29,'SegEnds_NonXtal_BW#'!$A:$Z,16,FALSE)+VLOOKUP($A29,A:AL,22,FALSE)-50))</f>
        <v>173</v>
      </c>
      <c r="X29" s="3" t="str">
        <f>IF(ISERROR(VLOOKUP($A29,'SegEnds_NonXtal_BW#'!$A:$Z,17,FALSE)+VLOOKUP($A29,A:AL,25,FALSE)-50),"-",(VLOOKUP($A29,'SegEnds_NonXtal_BW#'!$A:$Z,17,FALSE)+VLOOKUP($A29,A:AL,25,FALSE)-50))</f>
        <v>-</v>
      </c>
      <c r="Y29" s="3" t="s">
        <v>23</v>
      </c>
      <c r="Z29" s="3" t="str">
        <f>IF(ISERROR(VLOOKUP($A29,'SegEnds_NonXtal_BW#'!$A:$Z,18,FALSE)+VLOOKUP($A29,A:AL,25,FALSE)-50),"-",(VLOOKUP($A29,'SegEnds_NonXtal_BW#'!$A:$Z,18,FALSE)+VLOOKUP($A29,A:AL,25,FALSE)-50))</f>
        <v>-</v>
      </c>
      <c r="AA29" s="3">
        <f>IF(ISERROR(VLOOKUP($A29,'SegEnds_NonXtal_BW#'!$A:$Z,19,FALSE)+VLOOKUP($A29,A:AL,28,FALSE)-50),"-",(VLOOKUP($A29,'SegEnds_NonXtal_BW#'!$A:$Z,19,FALSE)+VLOOKUP($A29,A:AL,28,FALSE)-50))</f>
        <v>203</v>
      </c>
      <c r="AB29" s="3">
        <v>221</v>
      </c>
      <c r="AC29" s="3">
        <f>IF(ISERROR((VLOOKUP($A29,'SegEnds_NonXtal_BW#'!$A:$Z,20,FALSE)+VLOOKUP($A29,A:AL,28,FALSE)-50)),"-",(VLOOKUP($A29,'SegEnds_NonXtal_BW#'!$A:$Z,20,FALSE)+VLOOKUP($A29,A:AL,28,FALSE)-50))</f>
        <v>244</v>
      </c>
      <c r="AD29" s="3">
        <f>IF(ISERROR(VLOOKUP($A29,'SegEnds_NonXtal_BW#'!$A:$Z,21,FALSE)+VLOOKUP($A29,A:AL,31,FALSE)-50),"-",(VLOOKUP($A29,'SegEnds_NonXtal_BW#'!$A:$Z,21,FALSE)+VLOOKUP($A29,A:AL,31,FALSE)-50))</f>
        <v>248</v>
      </c>
      <c r="AE29" s="3">
        <v>276</v>
      </c>
      <c r="AF29" s="3">
        <f>IF(ISERROR((VLOOKUP($A29,'SegEnds_NonXtal_BW#'!$A:$Z,22,FALSE)+VLOOKUP($A29,A:AL,31,FALSE)-50)),"-",(VLOOKUP($A29,'SegEnds_NonXtal_BW#'!$A:$Z,22,FALSE)+VLOOKUP($A29,A:AL,31,FALSE)-50))</f>
        <v>287</v>
      </c>
      <c r="AG29" s="3" t="str">
        <f>IF(ISERROR(VLOOKUP($A29,'SegEnds_NonXtal_BW#'!$A:$Z,23,FALSE)+VLOOKUP($A29,A:AL,34,FALSE)-50),"-",(VLOOKUP($A29,'SegEnds_NonXtal_BW#'!$A:$Z,23,FALSE)+VLOOKUP($A29,A:AL,34,FALSE)-50))</f>
        <v>-</v>
      </c>
      <c r="AH29" s="3" t="s">
        <v>23</v>
      </c>
      <c r="AI29" s="3" t="str">
        <f>IF(ISERROR((VLOOKUP($A29,'SegEnds_NonXtal_BW#'!$A:$Z,24,FALSE)+VLOOKUP($A29,A:AL,34,FALSE)-50)),"-",(VLOOKUP($A29,'SegEnds_NonXtal_BW#'!$A:$Z,24,FALSE)+VLOOKUP($A29,A:AL,34,FALSE)-50))</f>
        <v>-</v>
      </c>
      <c r="AJ29" s="3" t="str">
        <f>IF(ISERROR(VLOOKUP($A29,'SegEnds_NonXtal_BW#'!$A:$Z,25,FALSE)+VLOOKUP($A29,A:AL,37,FALSE)-50),"-",(VLOOKUP($A29,'SegEnds_NonXtal_BW#'!$A:$Z,25,FALSE)+VLOOKUP($A29,A:AL,37,FALSE)-50))</f>
        <v>-</v>
      </c>
      <c r="AK29" s="3" t="s">
        <v>23</v>
      </c>
      <c r="AL29" s="3" t="str">
        <f>IF(ISERROR((VLOOKUP($A29,'SegEnds_NonXtal_BW#'!$A:$Z,26,FALSE)+VLOOKUP($A29,A:AL,37,FALSE)-50)),"-",(VLOOKUP($A29,'SegEnds_NonXtal_BW#'!$A:$Z,26,FALSE)+VLOOKUP($A29,A:AL,37,FALSE)-50))</f>
        <v>-</v>
      </c>
      <c r="AM29" s="28" t="str">
        <f>VLOOKUP(A29,Classification!A:B,2,FALSE)</f>
        <v>A</v>
      </c>
      <c r="AN29" s="28" t="b">
        <f t="shared" si="26"/>
        <v>0</v>
      </c>
      <c r="AO29" s="3" t="str">
        <f>IF(ISERROR(MATCH(A29,'SegEnds_Xtal_Prot#'!B:B, 0)), "NoXtal", "Xtal")</f>
        <v>NoXtal</v>
      </c>
      <c r="AP29" s="3">
        <f t="shared" si="1"/>
        <v>2</v>
      </c>
      <c r="AQ29" s="3">
        <f t="shared" si="2"/>
        <v>1</v>
      </c>
      <c r="AR29" s="3">
        <f t="shared" si="3"/>
        <v>2</v>
      </c>
      <c r="AS29" s="3">
        <f t="shared" si="4"/>
        <v>1</v>
      </c>
      <c r="AT29" s="3" t="str">
        <f t="shared" si="5"/>
        <v>-</v>
      </c>
      <c r="AU29" s="3" t="str">
        <f t="shared" si="6"/>
        <v>-</v>
      </c>
      <c r="AV29" s="3" t="str">
        <f t="shared" si="7"/>
        <v>-</v>
      </c>
      <c r="AW29" s="3" t="str">
        <f t="shared" si="8"/>
        <v>-</v>
      </c>
      <c r="AX29" s="3">
        <f t="shared" si="9"/>
        <v>4</v>
      </c>
      <c r="AY29" s="3" t="str">
        <f t="shared" si="10"/>
        <v>-</v>
      </c>
      <c r="AZ29" s="3" t="str">
        <f t="shared" si="11"/>
        <v>-</v>
      </c>
      <c r="BA29" s="3" t="str">
        <f>IF(ISERROR(LEN(VLOOKUP(A29,Seqs!A:E,2,FALSE))-AL29),"-",LEN(VLOOKUP(A29,Seqs!A:E,2,FALSE))-AL29)</f>
        <v>-</v>
      </c>
      <c r="BB29" s="16">
        <f t="shared" si="12"/>
        <v>29</v>
      </c>
      <c r="BC29" s="9" t="str">
        <f t="shared" si="13"/>
        <v>-</v>
      </c>
      <c r="BD29" s="3">
        <f t="shared" si="14"/>
        <v>29</v>
      </c>
      <c r="BE29" s="3">
        <f t="shared" si="15"/>
        <v>55</v>
      </c>
      <c r="BG29" s="3" t="s">
        <v>1312</v>
      </c>
    </row>
    <row r="30" spans="1:60" s="3" customFormat="1" x14ac:dyDescent="0.2">
      <c r="A30" s="3" t="s">
        <v>210</v>
      </c>
      <c r="B30" s="3" t="str">
        <f>LOWER(VLOOKUP(A30,Xtal_Templ!A:B,2,FALSE))</f>
        <v>apj_human</v>
      </c>
      <c r="C30" s="3">
        <f>VLOOKUP($A30,'SegEnds_NonXtal_BW#'!$A:$Z,3,FALSE)+D30-50</f>
        <v>36</v>
      </c>
      <c r="D30" s="3">
        <v>53</v>
      </c>
      <c r="E30" s="3">
        <f>IF(ISERROR(VLOOKUP($A30,'SegEnds_NonXtal_BW#'!$A:$Z,4,FALSE)+VLOOKUP($A30,A:AL,4,FALSE)-50),"-",(VLOOKUP($A30,'SegEnds_NonXtal_BW#'!$A:$Z,4,FALSE)+VLOOKUP($A30,A:AL,4,FALSE)-50))</f>
        <v>63</v>
      </c>
      <c r="F30" s="3">
        <f t="shared" si="21"/>
        <v>71</v>
      </c>
      <c r="G30" s="3">
        <v>73</v>
      </c>
      <c r="H30" s="3">
        <f t="shared" si="22"/>
        <v>74</v>
      </c>
      <c r="I30" s="3">
        <f t="shared" si="22"/>
        <v>75</v>
      </c>
      <c r="J30" s="108">
        <v>87</v>
      </c>
      <c r="K30" s="3">
        <f>VLOOKUP($A30,'SegEnds_NonXtal_BW#'!$A:$Z,8,FALSE)+VLOOKUP($A30,A:AL,10,FALSE)-50</f>
        <v>103</v>
      </c>
      <c r="L30" s="3">
        <f t="shared" si="24"/>
        <v>106</v>
      </c>
      <c r="M30" s="3">
        <v>107</v>
      </c>
      <c r="N30" s="3">
        <f t="shared" si="25"/>
        <v>109</v>
      </c>
      <c r="O30" s="3">
        <f t="shared" si="23"/>
        <v>110</v>
      </c>
      <c r="P30" s="3">
        <v>139</v>
      </c>
      <c r="Q30" s="3">
        <f>VLOOKUP($A30,'SegEnds_NonXtal_BW#'!$A:$Z,12,FALSE)+VLOOKUP($A30,A:AL,16,FALSE)-50</f>
        <v>145</v>
      </c>
      <c r="R30" s="3">
        <f>IF(ISERROR(VLOOKUP($A30,'SegEnds_NonXtal_BW#'!$A:$Z,13,FALSE)+VLOOKUP($A30,A:AL,19,FALSE)-50),"-",VLOOKUP($A30,'SegEnds_NonXtal_BW#'!$A:$Z,13,FALSE)+VLOOKUP($A30,A:AL,19,FALSE)-50)</f>
        <v>146</v>
      </c>
      <c r="S30" s="3">
        <v>146</v>
      </c>
      <c r="T30" s="103">
        <f>IF(ISERROR(VLOOKUP($A30,'SegEnds_NonXtal_BW#'!$A:$Z,14,FALSE)+VLOOKUP($A30,A:AL,19,FALSE)-50),"-",(VLOOKUP($A30,'SegEnds_NonXtal_BW#'!$A:$Z,14,FALSE)+VLOOKUP($A30,A:AL,19,FALSE)-50))</f>
        <v>149</v>
      </c>
      <c r="U30" s="9">
        <f>IF(ISERROR(VLOOKUP($A30,'SegEnds_NonXtal_BW#'!$A:$Z,15,FALSE)+VLOOKUP($A30,A:AL,22,FALSE)-50),"-",VLOOKUP($A30,'SegEnds_NonXtal_BW#'!$A:$Z,15,FALSE)+VLOOKUP($A30,A:AL,22,FALSE)-50)</f>
        <v>152</v>
      </c>
      <c r="V30" s="3">
        <v>164</v>
      </c>
      <c r="W30" s="3">
        <f>IF(ISERROR(VLOOKUP($A30,'SegEnds_NonXtal_BW#'!$A:$Z,16,FALSE)+VLOOKUP($A30,A:AL,22,FALSE)-50),"-",(VLOOKUP($A30,'SegEnds_NonXtal_BW#'!$A:$Z,16,FALSE)+VLOOKUP($A30,A:AL,22,FALSE)-50))</f>
        <v>178</v>
      </c>
      <c r="X30" s="3">
        <f>IF(ISERROR(VLOOKUP($A30,'SegEnds_NonXtal_BW#'!$A:$Z,17,FALSE)+VLOOKUP($A30,A:AL,25,FALSE)-50),"-",(VLOOKUP($A30,'SegEnds_NonXtal_BW#'!$A:$Z,17,FALSE)+VLOOKUP($A30,A:AL,25,FALSE)-50))</f>
        <v>200</v>
      </c>
      <c r="Y30" s="3">
        <v>200</v>
      </c>
      <c r="Z30" s="3">
        <f t="shared" ref="Z30:Z36" si="27">Y30+2</f>
        <v>202</v>
      </c>
      <c r="AA30" s="3">
        <f>IF(ISERROR(VLOOKUP($A30,'SegEnds_NonXtal_BW#'!$A:$Z,19,FALSE)+VLOOKUP($A30,A:AL,28,FALSE)-50),"-",(VLOOKUP($A30,'SegEnds_NonXtal_BW#'!$A:$Z,19,FALSE)+VLOOKUP($A30,A:AL,28,FALSE)-50))</f>
        <v>203</v>
      </c>
      <c r="AB30" s="3">
        <v>223</v>
      </c>
      <c r="AC30" s="3">
        <f>IF(ISERROR((VLOOKUP($A30,'SegEnds_NonXtal_BW#'!$A:$Z,20,FALSE)+VLOOKUP($A30,A:AL,28,FALSE)-50)),"-",(VLOOKUP($A30,'SegEnds_NonXtal_BW#'!$A:$Z,20,FALSE)+VLOOKUP($A30,A:AL,28,FALSE)-50))</f>
        <v>247</v>
      </c>
      <c r="AD30" s="3">
        <f>IF(ISERROR(VLOOKUP($A30,'SegEnds_NonXtal_BW#'!$A:$Z,21,FALSE)+VLOOKUP($A30,A:AL,31,FALSE)-50),"-",(VLOOKUP($A30,'SegEnds_NonXtal_BW#'!$A:$Z,21,FALSE)+VLOOKUP($A30,A:AL,31,FALSE)-50))</f>
        <v>253</v>
      </c>
      <c r="AE30" s="3">
        <v>282</v>
      </c>
      <c r="AF30" s="3">
        <f>IF(ISERROR((VLOOKUP($A30,'SegEnds_NonXtal_BW#'!$A:$Z,22,FALSE)+VLOOKUP($A30,A:AL,31,FALSE)-50)),"-",(VLOOKUP($A30,'SegEnds_NonXtal_BW#'!$A:$Z,22,FALSE)+VLOOKUP($A30,A:AL,31,FALSE)-50))</f>
        <v>293</v>
      </c>
      <c r="AG30" s="3">
        <f>IF(ISERROR(VLOOKUP($A30,'SegEnds_NonXtal_BW#'!$A:$Z,23,FALSE)+VLOOKUP($A30,A:AL,34,FALSE)-50),"-",(VLOOKUP($A30,'SegEnds_NonXtal_BW#'!$A:$Z,23,FALSE)+VLOOKUP($A30,A:AL,34,FALSE)-50))</f>
        <v>298</v>
      </c>
      <c r="AH30" s="3">
        <v>320</v>
      </c>
      <c r="AI30" s="3">
        <f>IF(ISERROR((VLOOKUP($A30,'SegEnds_NonXtal_BW#'!$A:$Z,24,FALSE)+VLOOKUP($A30,A:AL,34,FALSE)-50)),"-",(VLOOKUP($A30,'SegEnds_NonXtal_BW#'!$A:$Z,24,FALSE)+VLOOKUP($A30,A:AL,34,FALSE)-50))</f>
        <v>326</v>
      </c>
      <c r="AJ30" s="3" t="str">
        <f>IF(ISERROR(VLOOKUP($A30,'SegEnds_NonXtal_BW#'!$A:$Z,25,FALSE)+VLOOKUP($A30,A:AL,37,FALSE)-50),"-",(VLOOKUP($A30,'SegEnds_NonXtal_BW#'!$A:$Z,25,FALSE)+VLOOKUP($A30,A:AL,37,FALSE)-50))</f>
        <v>-</v>
      </c>
      <c r="AK30" s="3" t="s">
        <v>23</v>
      </c>
      <c r="AL30" s="3" t="str">
        <f>IF(ISERROR((VLOOKUP($A30,'SegEnds_NonXtal_BW#'!$A:$Z,26,FALSE)+VLOOKUP($A30,A:AL,37,FALSE)-50)),"-",(VLOOKUP($A30,'SegEnds_NonXtal_BW#'!$A:$Z,26,FALSE)+VLOOKUP($A30,A:AL,37,FALSE)-50))</f>
        <v>-</v>
      </c>
      <c r="AM30" s="28" t="str">
        <f>VLOOKUP(A30,Classification!A:B,2,FALSE)</f>
        <v>A</v>
      </c>
      <c r="AN30" s="28" t="b">
        <f t="shared" si="26"/>
        <v>1</v>
      </c>
      <c r="AO30" s="3" t="str">
        <f>IF(ISERROR(MATCH(A30,'SegEnds_Xtal_Prot#'!B:B, 0)), "NoXtal", "Xtal")</f>
        <v>NoXtal</v>
      </c>
      <c r="AP30" s="3">
        <f t="shared" si="1"/>
        <v>8</v>
      </c>
      <c r="AQ30" s="3">
        <f t="shared" si="2"/>
        <v>1</v>
      </c>
      <c r="AR30" s="3">
        <f t="shared" si="3"/>
        <v>3</v>
      </c>
      <c r="AS30" s="3">
        <f t="shared" si="4"/>
        <v>1</v>
      </c>
      <c r="AT30" s="3">
        <f t="shared" si="5"/>
        <v>1</v>
      </c>
      <c r="AU30" s="3">
        <f t="shared" si="6"/>
        <v>3</v>
      </c>
      <c r="AV30" s="3">
        <f t="shared" si="7"/>
        <v>22</v>
      </c>
      <c r="AW30" s="3">
        <f t="shared" si="8"/>
        <v>1</v>
      </c>
      <c r="AX30" s="3">
        <f t="shared" si="9"/>
        <v>6</v>
      </c>
      <c r="AY30" s="3">
        <f t="shared" si="10"/>
        <v>5</v>
      </c>
      <c r="AZ30" s="3" t="str">
        <f t="shared" si="11"/>
        <v>-</v>
      </c>
      <c r="BA30" s="3" t="str">
        <f>IF(ISERROR(LEN(VLOOKUP(A30,Seqs!A:E,2,FALSE))-AL30),"-",LEN(VLOOKUP(A30,Seqs!A:E,2,FALSE))-AL30)</f>
        <v>-</v>
      </c>
      <c r="BB30" s="16">
        <f t="shared" si="12"/>
        <v>34</v>
      </c>
      <c r="BC30" s="9">
        <f t="shared" si="13"/>
        <v>18</v>
      </c>
      <c r="BD30" s="3">
        <f t="shared" si="14"/>
        <v>34</v>
      </c>
      <c r="BE30" s="3">
        <f t="shared" si="15"/>
        <v>59</v>
      </c>
    </row>
    <row r="31" spans="1:60" s="3" customFormat="1" x14ac:dyDescent="0.2">
      <c r="A31" s="3" t="s">
        <v>242</v>
      </c>
      <c r="B31" s="3" t="str">
        <f>LOWER(VLOOKUP(A31,Xtal_Templ!A:B,2,FALSE))</f>
        <v>ox2r_human</v>
      </c>
      <c r="C31" s="3">
        <f>VLOOKUP($A31,'SegEnds_NonXtal_BW#'!$A:$Z,3,FALSE)+D31-50</f>
        <v>64</v>
      </c>
      <c r="D31" s="3">
        <v>83</v>
      </c>
      <c r="E31" s="3">
        <f>IF(ISERROR(VLOOKUP($A31,'SegEnds_NonXtal_BW#'!$A:$Z,4,FALSE)+VLOOKUP($A31,A:AL,4,FALSE)-50),"-",(VLOOKUP($A31,'SegEnds_NonXtal_BW#'!$A:$Z,4,FALSE)+VLOOKUP($A31,A:AL,4,FALSE)-50))</f>
        <v>93</v>
      </c>
      <c r="F31" s="3">
        <f t="shared" si="21"/>
        <v>94</v>
      </c>
      <c r="G31" s="3">
        <v>96</v>
      </c>
      <c r="H31" s="3">
        <f t="shared" si="22"/>
        <v>97</v>
      </c>
      <c r="I31" s="3">
        <f t="shared" si="22"/>
        <v>98</v>
      </c>
      <c r="J31" s="3">
        <v>111</v>
      </c>
      <c r="K31" s="3">
        <f>VLOOKUP($A31,'SegEnds_NonXtal_BW#'!$A:$Z,8,FALSE)+VLOOKUP($A31,A:AL,10,FALSE)-50</f>
        <v>128</v>
      </c>
      <c r="L31" s="3">
        <f t="shared" si="24"/>
        <v>130</v>
      </c>
      <c r="M31" s="3">
        <v>131</v>
      </c>
      <c r="N31" s="3">
        <f t="shared" si="25"/>
        <v>133</v>
      </c>
      <c r="O31" s="3">
        <f t="shared" si="23"/>
        <v>134</v>
      </c>
      <c r="P31" s="3">
        <v>163</v>
      </c>
      <c r="Q31" s="3">
        <f>VLOOKUP($A31,'SegEnds_NonXtal_BW#'!$A:$Z,12,FALSE)+VLOOKUP($A31,A:AL,16,FALSE)-50</f>
        <v>169</v>
      </c>
      <c r="R31" s="3">
        <f>IF(ISERROR(VLOOKUP($A31,'SegEnds_NonXtal_BW#'!$A:$Z,13,FALSE)+VLOOKUP($A31,A:AL,19,FALSE)-50),"-",VLOOKUP($A31,'SegEnds_NonXtal_BW#'!$A:$Z,13,FALSE)+VLOOKUP($A31,A:AL,19,FALSE)-50)</f>
        <v>170</v>
      </c>
      <c r="S31" s="3">
        <v>170</v>
      </c>
      <c r="T31" s="103">
        <f>IF(ISERROR(VLOOKUP($A31,'SegEnds_NonXtal_BW#'!$A:$Z,14,FALSE)+VLOOKUP($A31,A:AL,19,FALSE)-50),"-",(VLOOKUP($A31,'SegEnds_NonXtal_BW#'!$A:$Z,14,FALSE)+VLOOKUP($A31,A:AL,19,FALSE)-50))</f>
        <v>173</v>
      </c>
      <c r="U31" s="9">
        <f>IF(ISERROR(VLOOKUP($A31,'SegEnds_NonXtal_BW#'!$A:$Z,15,FALSE)+VLOOKUP($A31,A:AL,22,FALSE)-50),"-",VLOOKUP($A31,'SegEnds_NonXtal_BW#'!$A:$Z,15,FALSE)+VLOOKUP($A31,A:AL,22,FALSE)-50)</f>
        <v>176</v>
      </c>
      <c r="V31" s="3">
        <v>188</v>
      </c>
      <c r="W31" s="3">
        <f>IF(ISERROR(VLOOKUP($A31,'SegEnds_NonXtal_BW#'!$A:$Z,16,FALSE)+VLOOKUP($A31,A:AL,22,FALSE)-50),"-",(VLOOKUP($A31,'SegEnds_NonXtal_BW#'!$A:$Z,16,FALSE)+VLOOKUP($A31,A:AL,22,FALSE)-50))</f>
        <v>202</v>
      </c>
      <c r="X31" s="3">
        <f>IF(ISERROR(VLOOKUP($A31,'SegEnds_NonXtal_BW#'!$A:$Z,17,FALSE)+VLOOKUP($A31,A:AL,25,FALSE)-50),"-",(VLOOKUP($A31,'SegEnds_NonXtal_BW#'!$A:$Z,17,FALSE)+VLOOKUP($A31,A:AL,25,FALSE)-50))</f>
        <v>210</v>
      </c>
      <c r="Y31" s="3">
        <v>210</v>
      </c>
      <c r="Z31" s="3">
        <f t="shared" si="27"/>
        <v>212</v>
      </c>
      <c r="AA31" s="3">
        <f>IF(ISERROR(VLOOKUP($A31,'SegEnds_NonXtal_BW#'!$A:$Z,19,FALSE)+VLOOKUP($A31,A:AL,28,FALSE)-50),"-",(VLOOKUP($A31,'SegEnds_NonXtal_BW#'!$A:$Z,19,FALSE)+VLOOKUP($A31,A:AL,28,FALSE)-50))</f>
        <v>217</v>
      </c>
      <c r="AB31" s="3">
        <v>235</v>
      </c>
      <c r="AC31" s="3">
        <f>IF(ISERROR((VLOOKUP($A31,'SegEnds_NonXtal_BW#'!$A:$Z,20,FALSE)+VLOOKUP($A31,A:AL,28,FALSE)-50)),"-",(VLOOKUP($A31,'SegEnds_NonXtal_BW#'!$A:$Z,20,FALSE)+VLOOKUP($A31,A:AL,28,FALSE)-50))</f>
        <v>258</v>
      </c>
      <c r="AD31" s="3">
        <f>IF(ISERROR(VLOOKUP($A31,'SegEnds_NonXtal_BW#'!$A:$Z,21,FALSE)+VLOOKUP($A31,A:AL,31,FALSE)-50),"-",(VLOOKUP($A31,'SegEnds_NonXtal_BW#'!$A:$Z,21,FALSE)+VLOOKUP($A31,A:AL,31,FALSE)-50))</f>
        <v>263</v>
      </c>
      <c r="AE31" s="3">
        <v>291</v>
      </c>
      <c r="AF31" s="3">
        <f>IF(ISERROR((VLOOKUP($A31,'SegEnds_NonXtal_BW#'!$A:$Z,22,FALSE)+VLOOKUP($A31,A:AL,31,FALSE)-50)),"-",(VLOOKUP($A31,'SegEnds_NonXtal_BW#'!$A:$Z,22,FALSE)+VLOOKUP($A31,A:AL,31,FALSE)-50))</f>
        <v>302</v>
      </c>
      <c r="AG31" s="3">
        <f>IF(ISERROR(VLOOKUP($A31,'SegEnds_NonXtal_BW#'!$A:$Z,23,FALSE)+VLOOKUP($A31,A:AL,34,FALSE)-50),"-",(VLOOKUP($A31,'SegEnds_NonXtal_BW#'!$A:$Z,23,FALSE)+VLOOKUP($A31,A:AL,34,FALSE)-50))</f>
        <v>308</v>
      </c>
      <c r="AH31" s="3">
        <v>327</v>
      </c>
      <c r="AI31" s="3">
        <f>IF(ISERROR((VLOOKUP($A31,'SegEnds_NonXtal_BW#'!$A:$Z,24,FALSE)+VLOOKUP($A31,A:AL,34,FALSE)-50)),"-",(VLOOKUP($A31,'SegEnds_NonXtal_BW#'!$A:$Z,24,FALSE)+VLOOKUP($A31,A:AL,34,FALSE)-50))</f>
        <v>333</v>
      </c>
      <c r="AJ31" s="3">
        <f>IF(ISERROR(VLOOKUP($A31,'SegEnds_NonXtal_BW#'!$A:$Z,25,FALSE)+VLOOKUP($A31,A:AL,37,FALSE)-50),"-",(VLOOKUP($A31,'SegEnds_NonXtal_BW#'!$A:$Z,25,FALSE)+VLOOKUP($A31,A:AL,37,FALSE)-50))</f>
        <v>334</v>
      </c>
      <c r="AK31" s="3">
        <v>337</v>
      </c>
      <c r="AL31" s="3">
        <f>IF(ISERROR((VLOOKUP($A31,'SegEnds_NonXtal_BW#'!$A:$Z,26,FALSE)+VLOOKUP($A31,A:AL,37,FALSE)-50)),"-",(VLOOKUP($A31,'SegEnds_NonXtal_BW#'!$A:$Z,26,FALSE)+VLOOKUP($A31,A:AL,37,FALSE)-50))</f>
        <v>345</v>
      </c>
      <c r="AM31" s="28" t="str">
        <f>VLOOKUP(A31,Classification!A:B,2,FALSE)</f>
        <v>A</v>
      </c>
      <c r="AN31" s="28" t="b">
        <f t="shared" si="26"/>
        <v>1</v>
      </c>
      <c r="AO31" s="3" t="str">
        <f>IF(ISERROR(MATCH(A31,'SegEnds_Xtal_Prot#'!B:B, 0)), "NoXtal", "Xtal")</f>
        <v>NoXtal</v>
      </c>
      <c r="AP31" s="3">
        <f t="shared" si="1"/>
        <v>1</v>
      </c>
      <c r="AQ31" s="3">
        <f t="shared" si="2"/>
        <v>1</v>
      </c>
      <c r="AR31" s="3">
        <f t="shared" si="3"/>
        <v>2</v>
      </c>
      <c r="AS31" s="3">
        <f t="shared" si="4"/>
        <v>1</v>
      </c>
      <c r="AT31" s="3">
        <f t="shared" si="5"/>
        <v>1</v>
      </c>
      <c r="AU31" s="3">
        <f t="shared" si="6"/>
        <v>3</v>
      </c>
      <c r="AV31" s="3">
        <f t="shared" si="7"/>
        <v>8</v>
      </c>
      <c r="AW31" s="3">
        <f t="shared" si="8"/>
        <v>5</v>
      </c>
      <c r="AX31" s="3">
        <f t="shared" si="9"/>
        <v>5</v>
      </c>
      <c r="AY31" s="3">
        <f t="shared" si="10"/>
        <v>6</v>
      </c>
      <c r="AZ31" s="3">
        <f t="shared" si="11"/>
        <v>1</v>
      </c>
      <c r="BA31" s="3">
        <f>IF(ISERROR(LEN(VLOOKUP(A31,Seqs!A:E,2,FALSE))-AL31),"-",LEN(VLOOKUP(A31,Seqs!A:E,2,FALSE))-AL31)</f>
        <v>70</v>
      </c>
      <c r="BB31" s="16">
        <f t="shared" si="12"/>
        <v>28</v>
      </c>
      <c r="BC31" s="9">
        <f t="shared" si="13"/>
        <v>18</v>
      </c>
      <c r="BD31" s="3">
        <f t="shared" si="14"/>
        <v>28</v>
      </c>
      <c r="BE31" s="3">
        <f t="shared" si="15"/>
        <v>56</v>
      </c>
    </row>
    <row r="32" spans="1:60" s="3" customFormat="1" x14ac:dyDescent="0.2">
      <c r="A32" s="3" t="s">
        <v>245</v>
      </c>
      <c r="B32" s="3" t="str">
        <f>LOWER(VLOOKUP(A32,Xtal_Templ!A:B,2,FALSE))</f>
        <v>hrh1_human</v>
      </c>
      <c r="C32" s="3">
        <f>VLOOKUP($A32,'SegEnds_NonXtal_BW#'!$A:$Z,3,FALSE)+D32-50</f>
        <v>43</v>
      </c>
      <c r="D32" s="3">
        <v>59</v>
      </c>
      <c r="E32" s="3">
        <f>IF(ISERROR(VLOOKUP($A32,'SegEnds_NonXtal_BW#'!$A:$Z,4,FALSE)+VLOOKUP($A32,A:AL,4,FALSE)-50),"-",(VLOOKUP($A32,'SegEnds_NonXtal_BW#'!$A:$Z,4,FALSE)+VLOOKUP($A32,A:AL,4,FALSE)-50))</f>
        <v>69</v>
      </c>
      <c r="F32" s="3">
        <f t="shared" si="21"/>
        <v>70</v>
      </c>
      <c r="G32" s="3">
        <v>72</v>
      </c>
      <c r="H32" s="3">
        <f t="shared" si="22"/>
        <v>73</v>
      </c>
      <c r="I32" s="3">
        <f t="shared" si="22"/>
        <v>74</v>
      </c>
      <c r="J32" s="3">
        <v>88</v>
      </c>
      <c r="K32" s="3">
        <f>VLOOKUP($A32,'SegEnds_NonXtal_BW#'!$A:$Z,8,FALSE)+VLOOKUP($A32,A:AL,10,FALSE)-50</f>
        <v>105</v>
      </c>
      <c r="L32" s="3" t="str">
        <f>IF(ISERROR(VLOOKUP($A32,'SegEnds_NonXtal_BW#'!$A:$Z,9,FALSE)+VLOOKUP($A32,A:AL,13,FALSE)-50),"-",(VLOOKUP($A32,'SegEnds_NonXtal_BW#'!$A:$Z,9,FALSE)+VLOOKUP($A32,A:AL,13,FALSE)-50))</f>
        <v>-</v>
      </c>
      <c r="M32" s="3" t="s">
        <v>23</v>
      </c>
      <c r="N32" s="3" t="str">
        <f>IF(ISERROR(VLOOKUP($A32,'SegEnds_NonXtal_BW#'!$A:$Z,10,FALSE)+VLOOKUP($A32,A:AL,13,FALSE)-50),"-",(VLOOKUP($A32,'SegEnds_NonXtal_BW#'!$A:$Z,10,FALSE)+VLOOKUP($A32,A:AL,13,FALSE)-50))</f>
        <v>-</v>
      </c>
      <c r="O32" s="3">
        <f>VLOOKUP($A32,'SegEnds_NonXtal_BW#'!$A:$Z,11,FALSE)+VLOOKUP($A32,A:AL,16,FALSE)-50</f>
        <v>111</v>
      </c>
      <c r="P32" s="3">
        <v>140</v>
      </c>
      <c r="Q32" s="3">
        <f>VLOOKUP($A32,'SegEnds_NonXtal_BW#'!$A:$Z,12,FALSE)+VLOOKUP($A32,A:AL,16,FALSE)-50</f>
        <v>146</v>
      </c>
      <c r="R32" s="3">
        <f>IF(ISERROR(VLOOKUP($A32,'SegEnds_NonXtal_BW#'!$A:$Z,13,FALSE)+VLOOKUP($A32,A:AL,19,FALSE)-50),"-",VLOOKUP($A32,'SegEnds_NonXtal_BW#'!$A:$Z,13,FALSE)+VLOOKUP($A32,A:AL,19,FALSE)-50)</f>
        <v>147</v>
      </c>
      <c r="S32" s="3">
        <v>147</v>
      </c>
      <c r="T32" s="103">
        <f>IF(ISERROR(VLOOKUP($A32,'SegEnds_NonXtal_BW#'!$A:$Z,14,FALSE)+VLOOKUP($A32,A:AL,19,FALSE)-50),"-",(VLOOKUP($A32,'SegEnds_NonXtal_BW#'!$A:$Z,14,FALSE)+VLOOKUP($A32,A:AL,19,FALSE)-50))</f>
        <v>150</v>
      </c>
      <c r="U32" s="9">
        <f>IF(ISERROR(VLOOKUP($A32,'SegEnds_NonXtal_BW#'!$A:$Z,15,FALSE)+VLOOKUP($A32,A:AL,22,FALSE)-50),"-",VLOOKUP($A32,'SegEnds_NonXtal_BW#'!$A:$Z,15,FALSE)+VLOOKUP($A32,A:AL,22,FALSE)-50)</f>
        <v>153</v>
      </c>
      <c r="V32" s="3">
        <v>165</v>
      </c>
      <c r="W32" s="3">
        <f>IF(ISERROR(VLOOKUP($A32,'SegEnds_NonXtal_BW#'!$A:$Z,16,FALSE)+VLOOKUP($A32,A:AL,22,FALSE)-50),"-",(VLOOKUP($A32,'SegEnds_NonXtal_BW#'!$A:$Z,16,FALSE)+VLOOKUP($A32,A:AL,22,FALSE)-50))</f>
        <v>178</v>
      </c>
      <c r="X32" s="3">
        <f>IF(ISERROR(VLOOKUP($A32,'SegEnds_NonXtal_BW#'!$A:$Z,17,FALSE)+VLOOKUP($A32,A:AL,25,FALSE)-50),"-",(VLOOKUP($A32,'SegEnds_NonXtal_BW#'!$A:$Z,17,FALSE)+VLOOKUP($A32,A:AL,25,FALSE)-50))</f>
        <v>197</v>
      </c>
      <c r="Y32" s="3">
        <v>197</v>
      </c>
      <c r="Z32" s="3">
        <f t="shared" si="27"/>
        <v>199</v>
      </c>
      <c r="AA32" s="3">
        <f>IF(ISERROR(VLOOKUP($A32,'SegEnds_NonXtal_BW#'!$A:$Z,19,FALSE)+VLOOKUP($A32,A:AL,28,FALSE)-50),"-",(VLOOKUP($A32,'SegEnds_NonXtal_BW#'!$A:$Z,19,FALSE)+VLOOKUP($A32,A:AL,28,FALSE)-50))</f>
        <v>208</v>
      </c>
      <c r="AB32" s="3">
        <v>223</v>
      </c>
      <c r="AC32" s="3">
        <f>IF(ISERROR((VLOOKUP($A32,'SegEnds_NonXtal_BW#'!$A:$Z,20,FALSE)+VLOOKUP($A32,A:AL,28,FALSE)-50)),"-",(VLOOKUP($A32,'SegEnds_NonXtal_BW#'!$A:$Z,20,FALSE)+VLOOKUP($A32,A:AL,28,FALSE)-50))</f>
        <v>247</v>
      </c>
      <c r="AD32" s="3">
        <f>IF(ISERROR(VLOOKUP($A32,'SegEnds_NonXtal_BW#'!$A:$Z,21,FALSE)+VLOOKUP($A32,A:AL,31,FALSE)-50),"-",(VLOOKUP($A32,'SegEnds_NonXtal_BW#'!$A:$Z,21,FALSE)+VLOOKUP($A32,A:AL,31,FALSE)-50))</f>
        <v>302</v>
      </c>
      <c r="AE32" s="3">
        <v>328</v>
      </c>
      <c r="AF32" s="3">
        <f>IF(ISERROR((VLOOKUP($A32,'SegEnds_NonXtal_BW#'!$A:$Z,22,FALSE)+VLOOKUP($A32,A:AL,31,FALSE)-50)),"-",(VLOOKUP($A32,'SegEnds_NonXtal_BW#'!$A:$Z,22,FALSE)+VLOOKUP($A32,A:AL,31,FALSE)-50))</f>
        <v>339</v>
      </c>
      <c r="AG32" s="3">
        <f>IF(ISERROR(VLOOKUP($A32,'SegEnds_NonXtal_BW#'!$A:$Z,23,FALSE)+VLOOKUP($A32,A:AL,34,FALSE)-50),"-",(VLOOKUP($A32,'SegEnds_NonXtal_BW#'!$A:$Z,23,FALSE)+VLOOKUP($A32,A:AL,34,FALSE)-50))</f>
        <v>345</v>
      </c>
      <c r="AH32" s="3">
        <v>364</v>
      </c>
      <c r="AI32" s="3">
        <f>IF(ISERROR((VLOOKUP($A32,'SegEnds_NonXtal_BW#'!$A:$Z,24,FALSE)+VLOOKUP($A32,A:AL,34,FALSE)-50)),"-",(VLOOKUP($A32,'SegEnds_NonXtal_BW#'!$A:$Z,24,FALSE)+VLOOKUP($A32,A:AL,34,FALSE)-50))</f>
        <v>370</v>
      </c>
      <c r="AJ32" s="3">
        <f>IF(ISERROR(VLOOKUP($A32,'SegEnds_NonXtal_BW#'!$A:$Z,25,FALSE)+VLOOKUP($A32,A:AL,37,FALSE)-50),"-",(VLOOKUP($A32,'SegEnds_NonXtal_BW#'!$A:$Z,25,FALSE)+VLOOKUP($A32,A:AL,37,FALSE)-50))</f>
        <v>371</v>
      </c>
      <c r="AK32" s="3">
        <v>374</v>
      </c>
      <c r="AL32" s="3">
        <f>IF(ISERROR((VLOOKUP($A32,'SegEnds_NonXtal_BW#'!$A:$Z,26,FALSE)+VLOOKUP($A32,A:AL,37,FALSE)-50)),"-",(VLOOKUP($A32,'SegEnds_NonXtal_BW#'!$A:$Z,26,FALSE)+VLOOKUP($A32,A:AL,37,FALSE)-50))</f>
        <v>383</v>
      </c>
      <c r="AM32" s="28" t="str">
        <f>VLOOKUP(A32,Classification!A:B,2,FALSE)</f>
        <v>A</v>
      </c>
      <c r="AN32" s="28" t="b">
        <f t="shared" si="26"/>
        <v>1</v>
      </c>
      <c r="AO32" s="3" t="str">
        <f>IF(ISERROR(MATCH(A32,'SegEnds_Xtal_Prot#'!B:B, 0)), "NoXtal", "Xtal")</f>
        <v>NoXtal</v>
      </c>
      <c r="AP32" s="3">
        <f t="shared" si="1"/>
        <v>1</v>
      </c>
      <c r="AQ32" s="3">
        <f t="shared" si="2"/>
        <v>1</v>
      </c>
      <c r="AR32" s="3" t="str">
        <f t="shared" si="3"/>
        <v>-</v>
      </c>
      <c r="AS32" s="3" t="str">
        <f t="shared" si="4"/>
        <v>-</v>
      </c>
      <c r="AT32" s="3">
        <f t="shared" si="5"/>
        <v>1</v>
      </c>
      <c r="AU32" s="3">
        <f t="shared" si="6"/>
        <v>3</v>
      </c>
      <c r="AV32" s="3">
        <f t="shared" si="7"/>
        <v>19</v>
      </c>
      <c r="AW32" s="3">
        <f t="shared" si="8"/>
        <v>9</v>
      </c>
      <c r="AX32" s="3">
        <f t="shared" si="9"/>
        <v>55</v>
      </c>
      <c r="AY32" s="3">
        <f t="shared" si="10"/>
        <v>6</v>
      </c>
      <c r="AZ32" s="3">
        <f t="shared" si="11"/>
        <v>1</v>
      </c>
      <c r="BA32" s="3">
        <f>IF(ISERROR(LEN(VLOOKUP(A32,Seqs!A:E,2,FALSE))-AL32),"-",LEN(VLOOKUP(A32,Seqs!A:E,2,FALSE))-AL32)</f>
        <v>50</v>
      </c>
      <c r="BB32" s="16">
        <f t="shared" si="12"/>
        <v>29</v>
      </c>
      <c r="BC32" s="9">
        <f t="shared" si="13"/>
        <v>18</v>
      </c>
      <c r="BD32" s="3">
        <f t="shared" si="14"/>
        <v>29</v>
      </c>
      <c r="BE32" s="3">
        <f t="shared" si="15"/>
        <v>105</v>
      </c>
    </row>
    <row r="33" spans="1:58" s="3" customFormat="1" x14ac:dyDescent="0.2">
      <c r="A33" s="3" t="s">
        <v>324</v>
      </c>
      <c r="B33" s="3" t="str">
        <f>LOWER(VLOOKUP(A33,Xtal_Templ!A:B,2,FALSE))</f>
        <v>hrh1_human</v>
      </c>
      <c r="C33" s="3">
        <f>VLOOKUP($A33,'SegEnds_NonXtal_BW#'!$A:$Z,3,FALSE)+D33-50</f>
        <v>51</v>
      </c>
      <c r="D33" s="3">
        <v>67</v>
      </c>
      <c r="E33" s="3">
        <f>IF(ISERROR(VLOOKUP($A33,'SegEnds_NonXtal_BW#'!$A:$Z,4,FALSE)+VLOOKUP($A33,A:AL,4,FALSE)-50),"-",(VLOOKUP($A33,'SegEnds_NonXtal_BW#'!$A:$Z,4,FALSE)+VLOOKUP($A33,A:AL,4,FALSE)-50))</f>
        <v>77</v>
      </c>
      <c r="F33" s="3" t="str">
        <f>IF(ISERROR(VLOOKUP($A33,'SegEnds_NonXtal_BW#'!$A:$Z,5,FALSE)+VLOOKUP($A33,A:AL,7,FALSE)-50),"-",(VLOOKUP($A33,'SegEnds_NonXtal_BW#'!$A:$Z,5,FALSE)+VLOOKUP($A33,A:AL,7,FALSE)-50))</f>
        <v>-</v>
      </c>
      <c r="G33" s="3" t="s">
        <v>23</v>
      </c>
      <c r="H33" s="3" t="str">
        <f>IF(ISERROR(VLOOKUP($A33,'SegEnds_NonXtal_BW#'!$A:$Z,6,FALSE)+VLOOKUP($A33,A:AL,7,FALSE)-50),"-",(VLOOKUP($A33,'SegEnds_NonXtal_BW#'!$A:$Z,6,FALSE)+VLOOKUP($A33,A:AL,7,FALSE)-50))</f>
        <v>-</v>
      </c>
      <c r="I33" s="3">
        <f>VLOOKUP($A33,'SegEnds_NonXtal_BW#'!$A:$Z,7,FALSE)+J33-50</f>
        <v>81</v>
      </c>
      <c r="J33" s="3">
        <v>94</v>
      </c>
      <c r="K33" s="3">
        <f>VLOOKUP($A33,'SegEnds_NonXtal_BW#'!$A:$Z,8,FALSE)+VLOOKUP($A33,A:AL,10,FALSE)-50</f>
        <v>111</v>
      </c>
      <c r="L33" s="3">
        <f>M33-1</f>
        <v>113</v>
      </c>
      <c r="M33" s="3">
        <v>114</v>
      </c>
      <c r="N33" s="3">
        <f>M33+2</f>
        <v>116</v>
      </c>
      <c r="O33" s="3">
        <f t="shared" ref="O33:O53" si="28">N33+1</f>
        <v>117</v>
      </c>
      <c r="P33" s="3">
        <v>146</v>
      </c>
      <c r="Q33" s="3">
        <f>VLOOKUP($A33,'SegEnds_NonXtal_BW#'!$A:$Z,12,FALSE)+VLOOKUP($A33,A:AL,16,FALSE)-50</f>
        <v>152</v>
      </c>
      <c r="R33" s="3">
        <f>IF(ISERROR(VLOOKUP($A33,'SegEnds_NonXtal_BW#'!$A:$Z,13,FALSE)+VLOOKUP($A33,A:AL,19,FALSE)-50),"-",VLOOKUP($A33,'SegEnds_NonXtal_BW#'!$A:$Z,13,FALSE)+VLOOKUP($A33,A:AL,19,FALSE)-50)</f>
        <v>153</v>
      </c>
      <c r="S33" s="3">
        <v>153</v>
      </c>
      <c r="T33" s="103">
        <f>IF(ISERROR(VLOOKUP($A33,'SegEnds_NonXtal_BW#'!$A:$Z,14,FALSE)+VLOOKUP($A33,A:AL,19,FALSE)-50),"-",(VLOOKUP($A33,'SegEnds_NonXtal_BW#'!$A:$Z,14,FALSE)+VLOOKUP($A33,A:AL,19,FALSE)-50))</f>
        <v>156</v>
      </c>
      <c r="U33" s="9">
        <f>IF(ISERROR(VLOOKUP($A33,'SegEnds_NonXtal_BW#'!$A:$Z,15,FALSE)+VLOOKUP($A33,A:AL,22,FALSE)-50),"-",VLOOKUP($A33,'SegEnds_NonXtal_BW#'!$A:$Z,15,FALSE)+VLOOKUP($A33,A:AL,22,FALSE)-50)</f>
        <v>159</v>
      </c>
      <c r="V33" s="3">
        <v>171</v>
      </c>
      <c r="W33" s="3">
        <f>IF(ISERROR(VLOOKUP($A33,'SegEnds_NonXtal_BW#'!$A:$Z,16,FALSE)+VLOOKUP($A33,A:AL,22,FALSE)-50),"-",(VLOOKUP($A33,'SegEnds_NonXtal_BW#'!$A:$Z,16,FALSE)+VLOOKUP($A33,A:AL,22,FALSE)-50))</f>
        <v>183</v>
      </c>
      <c r="X33" s="3">
        <f>IF(ISERROR(VLOOKUP($A33,'SegEnds_NonXtal_BW#'!$A:$Z,17,FALSE)+VLOOKUP($A33,A:AL,25,FALSE)-50),"-",(VLOOKUP($A33,'SegEnds_NonXtal_BW#'!$A:$Z,17,FALSE)+VLOOKUP($A33,A:AL,25,FALSE)-50))</f>
        <v>197</v>
      </c>
      <c r="Y33" s="3">
        <v>197</v>
      </c>
      <c r="Z33" s="3">
        <f t="shared" si="27"/>
        <v>199</v>
      </c>
      <c r="AA33" s="3">
        <f>IF(ISERROR(VLOOKUP($A33,'SegEnds_NonXtal_BW#'!$A:$Z,19,FALSE)+VLOOKUP($A33,A:AL,28,FALSE)-50),"-",(VLOOKUP($A33,'SegEnds_NonXtal_BW#'!$A:$Z,19,FALSE)+VLOOKUP($A33,A:AL,28,FALSE)-50))</f>
        <v>207</v>
      </c>
      <c r="AB33" s="3">
        <v>222</v>
      </c>
      <c r="AC33" s="3">
        <f>IF(ISERROR((VLOOKUP($A33,'SegEnds_NonXtal_BW#'!$A:$Z,20,FALSE)+VLOOKUP($A33,A:AL,28,FALSE)-50)),"-",(VLOOKUP($A33,'SegEnds_NonXtal_BW#'!$A:$Z,20,FALSE)+VLOOKUP($A33,A:AL,28,FALSE)-50))</f>
        <v>248</v>
      </c>
      <c r="AD33" s="3">
        <f>IF(ISERROR(VLOOKUP($A33,'SegEnds_NonXtal_BW#'!$A:$Z,21,FALSE)+VLOOKUP($A33,A:AL,31,FALSE)-50),"-",(VLOOKUP($A33,'SegEnds_NonXtal_BW#'!$A:$Z,21,FALSE)+VLOOKUP($A33,A:AL,31,FALSE)-50))</f>
        <v>263</v>
      </c>
      <c r="AE33" s="3">
        <v>289</v>
      </c>
      <c r="AF33" s="3">
        <f>IF(ISERROR((VLOOKUP($A33,'SegEnds_NonXtal_BW#'!$A:$Z,22,FALSE)+VLOOKUP($A33,A:AL,31,FALSE)-50)),"-",(VLOOKUP($A33,'SegEnds_NonXtal_BW#'!$A:$Z,22,FALSE)+VLOOKUP($A33,A:AL,31,FALSE)-50))</f>
        <v>300</v>
      </c>
      <c r="AG33" s="3">
        <f>IF(ISERROR(VLOOKUP($A33,'SegEnds_NonXtal_BW#'!$A:$Z,23,FALSE)+VLOOKUP($A33,A:AL,34,FALSE)-50),"-",(VLOOKUP($A33,'SegEnds_NonXtal_BW#'!$A:$Z,23,FALSE)+VLOOKUP($A33,A:AL,34,FALSE)-50))</f>
        <v>305</v>
      </c>
      <c r="AH33" s="3">
        <v>327</v>
      </c>
      <c r="AI33" s="3">
        <f>IF(ISERROR((VLOOKUP($A33,'SegEnds_NonXtal_BW#'!$A:$Z,24,FALSE)+VLOOKUP($A33,A:AL,34,FALSE)-50)),"-",(VLOOKUP($A33,'SegEnds_NonXtal_BW#'!$A:$Z,24,FALSE)+VLOOKUP($A33,A:AL,34,FALSE)-50))</f>
        <v>333</v>
      </c>
      <c r="AJ33" s="3">
        <f>IF(ISERROR(VLOOKUP($A33,'SegEnds_NonXtal_BW#'!$A:$Z,25,FALSE)+VLOOKUP($A33,A:AL,37,FALSE)-50),"-",(VLOOKUP($A33,'SegEnds_NonXtal_BW#'!$A:$Z,25,FALSE)+VLOOKUP($A33,A:AL,37,FALSE)-50))</f>
        <v>334</v>
      </c>
      <c r="AK33" s="3">
        <v>337</v>
      </c>
      <c r="AL33" s="3">
        <f>IF(ISERROR((VLOOKUP($A33,'SegEnds_NonXtal_BW#'!$A:$Z,26,FALSE)+VLOOKUP($A33,A:AL,37,FALSE)-50)),"-",(VLOOKUP($A33,'SegEnds_NonXtal_BW#'!$A:$Z,26,FALSE)+VLOOKUP($A33,A:AL,37,FALSE)-50))</f>
        <v>346</v>
      </c>
      <c r="AM33" s="28" t="str">
        <f>VLOOKUP(A33,Classification!A:B,2,FALSE)</f>
        <v>A</v>
      </c>
      <c r="AN33" s="28" t="b">
        <f t="shared" si="26"/>
        <v>1</v>
      </c>
      <c r="AO33" s="3" t="str">
        <f>IF(ISERROR(MATCH(A33,'SegEnds_Xtal_Prot#'!B:B, 0)), "NoXtal", "Xtal")</f>
        <v>NoXtal</v>
      </c>
      <c r="AP33" s="3" t="str">
        <f t="shared" si="1"/>
        <v>-</v>
      </c>
      <c r="AQ33" s="3" t="str">
        <f t="shared" si="2"/>
        <v>-</v>
      </c>
      <c r="AR33" s="3">
        <f t="shared" si="3"/>
        <v>2</v>
      </c>
      <c r="AS33" s="3">
        <f t="shared" si="4"/>
        <v>1</v>
      </c>
      <c r="AT33" s="3">
        <f t="shared" si="5"/>
        <v>1</v>
      </c>
      <c r="AU33" s="3">
        <f t="shared" si="6"/>
        <v>3</v>
      </c>
      <c r="AV33" s="3">
        <f t="shared" si="7"/>
        <v>14</v>
      </c>
      <c r="AW33" s="3">
        <f t="shared" si="8"/>
        <v>8</v>
      </c>
      <c r="AX33" s="3">
        <f t="shared" si="9"/>
        <v>15</v>
      </c>
      <c r="AY33" s="3">
        <f t="shared" si="10"/>
        <v>5</v>
      </c>
      <c r="AZ33" s="3">
        <f t="shared" si="11"/>
        <v>1</v>
      </c>
      <c r="BA33" s="3">
        <f>IF(ISERROR(LEN(VLOOKUP(A33,Seqs!A:E,2,FALSE))-AL33),"-",LEN(VLOOKUP(A33,Seqs!A:E,2,FALSE))-AL33)</f>
        <v>25</v>
      </c>
      <c r="BB33" s="16">
        <f t="shared" si="12"/>
        <v>27</v>
      </c>
      <c r="BC33" s="9">
        <f t="shared" si="13"/>
        <v>18</v>
      </c>
      <c r="BD33" s="3">
        <f t="shared" si="14"/>
        <v>27</v>
      </c>
      <c r="BE33" s="3">
        <f t="shared" si="15"/>
        <v>67</v>
      </c>
      <c r="BF33" s="3">
        <f>AH33-AE33</f>
        <v>38</v>
      </c>
    </row>
    <row r="34" spans="1:58" s="3" customFormat="1" x14ac:dyDescent="0.2">
      <c r="A34" s="3" t="s">
        <v>1175</v>
      </c>
      <c r="B34" s="3" t="str">
        <f>LOWER(VLOOKUP(A34,Xtal_Templ!A:B,2,FALSE))</f>
        <v>ox1r_human</v>
      </c>
      <c r="C34" s="3">
        <f>VLOOKUP($A34,'SegEnds_NonXtal_BW#'!$A:$Z,3,FALSE)+D34-50</f>
        <v>46</v>
      </c>
      <c r="D34" s="3">
        <v>64</v>
      </c>
      <c r="E34" s="3">
        <f>IF(ISERROR(VLOOKUP($A34,'SegEnds_NonXtal_BW#'!$A:$Z,4,FALSE)+VLOOKUP($A34,A:AL,4,FALSE)-50),"-",(VLOOKUP($A34,'SegEnds_NonXtal_BW#'!$A:$Z,4,FALSE)+VLOOKUP($A34,A:AL,4,FALSE)-50))</f>
        <v>74</v>
      </c>
      <c r="F34" s="3">
        <f t="shared" ref="F34:F72" si="29">G34-2</f>
        <v>75</v>
      </c>
      <c r="G34" s="3">
        <v>77</v>
      </c>
      <c r="H34" s="3">
        <f t="shared" ref="H34:I53" si="30">G34+1</f>
        <v>78</v>
      </c>
      <c r="I34" s="3">
        <f t="shared" si="30"/>
        <v>79</v>
      </c>
      <c r="J34" s="3">
        <v>92</v>
      </c>
      <c r="K34" s="3">
        <f>VLOOKUP($A34,'SegEnds_NonXtal_BW#'!$A:$Z,8,FALSE)+VLOOKUP($A34,A:AL,10,FALSE)-50</f>
        <v>109</v>
      </c>
      <c r="L34" s="3">
        <f>M34-1</f>
        <v>111</v>
      </c>
      <c r="M34" s="3">
        <v>112</v>
      </c>
      <c r="N34" s="3">
        <f>M34+2</f>
        <v>114</v>
      </c>
      <c r="O34" s="3">
        <f t="shared" si="28"/>
        <v>115</v>
      </c>
      <c r="P34" s="3">
        <v>144</v>
      </c>
      <c r="Q34" s="3">
        <f>VLOOKUP($A34,'SegEnds_NonXtal_BW#'!$A:$Z,12,FALSE)+VLOOKUP($A34,A:AL,16,FALSE)-50</f>
        <v>150</v>
      </c>
      <c r="R34" s="3">
        <f>IF(ISERROR(VLOOKUP($A34,'SegEnds_NonXtal_BW#'!$A:$Z,13,FALSE)+VLOOKUP($A34,A:AL,19,FALSE)-50),"-",VLOOKUP($A34,'SegEnds_NonXtal_BW#'!$A:$Z,13,FALSE)+VLOOKUP($A34,A:AL,19,FALSE)-50)</f>
        <v>151</v>
      </c>
      <c r="S34" s="3">
        <v>151</v>
      </c>
      <c r="T34" s="103">
        <f>IF(ISERROR(VLOOKUP($A34,'SegEnds_NonXtal_BW#'!$A:$Z,14,FALSE)+VLOOKUP($A34,A:AL,19,FALSE)-50),"-",(VLOOKUP($A34,'SegEnds_NonXtal_BW#'!$A:$Z,14,FALSE)+VLOOKUP($A34,A:AL,19,FALSE)-50))</f>
        <v>154</v>
      </c>
      <c r="U34" s="9">
        <f>IF(ISERROR(VLOOKUP($A34,'SegEnds_NonXtal_BW#'!$A:$Z,15,FALSE)+VLOOKUP($A34,A:AL,22,FALSE)-50),"-",VLOOKUP($A34,'SegEnds_NonXtal_BW#'!$A:$Z,15,FALSE)+VLOOKUP($A34,A:AL,22,FALSE)-50)</f>
        <v>157</v>
      </c>
      <c r="V34" s="3">
        <v>169</v>
      </c>
      <c r="W34" s="3">
        <f>IF(ISERROR(VLOOKUP($A34,'SegEnds_NonXtal_BW#'!$A:$Z,16,FALSE)+VLOOKUP($A34,A:AL,22,FALSE)-50),"-",(VLOOKUP($A34,'SegEnds_NonXtal_BW#'!$A:$Z,16,FALSE)+VLOOKUP($A34,A:AL,22,FALSE)-50))</f>
        <v>183</v>
      </c>
      <c r="X34" s="3">
        <f>IF(ISERROR(VLOOKUP($A34,'SegEnds_NonXtal_BW#'!$A:$Z,17,FALSE)+VLOOKUP($A34,A:AL,25,FALSE)-50),"-",(VLOOKUP($A34,'SegEnds_NonXtal_BW#'!$A:$Z,17,FALSE)+VLOOKUP($A34,A:AL,25,FALSE)-50))</f>
        <v>202</v>
      </c>
      <c r="Y34" s="3">
        <v>202</v>
      </c>
      <c r="Z34" s="3">
        <f t="shared" si="27"/>
        <v>204</v>
      </c>
      <c r="AA34" s="3">
        <f>IF(ISERROR(VLOOKUP($A34,'SegEnds_NonXtal_BW#'!$A:$Z,19,FALSE)+VLOOKUP($A34,A:AL,28,FALSE)-50),"-",(VLOOKUP($A34,'SegEnds_NonXtal_BW#'!$A:$Z,19,FALSE)+VLOOKUP($A34,A:AL,28,FALSE)-50))</f>
        <v>209</v>
      </c>
      <c r="AB34" s="3">
        <v>227</v>
      </c>
      <c r="AC34" s="3">
        <v>248</v>
      </c>
      <c r="AD34" s="3">
        <f>IF(ISERROR(VLOOKUP($A34,'SegEnds_NonXtal_BW#'!$A:$Z,21,FALSE)+VLOOKUP($A34,A:AL,31,FALSE)-50),"-",(VLOOKUP($A34,'SegEnds_NonXtal_BW#'!$A:$Z,21,FALSE)+VLOOKUP($A34,A:AL,31,FALSE)-50))</f>
        <v>283</v>
      </c>
      <c r="AE34" s="3">
        <v>313</v>
      </c>
      <c r="AF34" s="3">
        <f>IF(ISERROR((VLOOKUP($A34,'SegEnds_NonXtal_BW#'!$A:$Z,22,FALSE)+VLOOKUP($A34,A:AL,31,FALSE)-50)),"-",(VLOOKUP($A34,'SegEnds_NonXtal_BW#'!$A:$Z,22,FALSE)+VLOOKUP($A34,A:AL,31,FALSE)-50))</f>
        <v>324</v>
      </c>
      <c r="AG34" s="3">
        <f>IF(ISERROR(VLOOKUP($A34,'SegEnds_NonXtal_BW#'!$A:$Z,23,FALSE)+VLOOKUP($A34,A:AL,34,FALSE)-50),"-",(VLOOKUP($A34,'SegEnds_NonXtal_BW#'!$A:$Z,23,FALSE)+VLOOKUP($A34,A:AL,34,FALSE)-50))</f>
        <v>333</v>
      </c>
      <c r="AH34" s="3">
        <v>355</v>
      </c>
      <c r="AI34" s="3">
        <f>IF(ISERROR((VLOOKUP($A34,'SegEnds_NonXtal_BW#'!$A:$Z,24,FALSE)+VLOOKUP($A34,A:AL,34,FALSE)-50)),"-",(VLOOKUP($A34,'SegEnds_NonXtal_BW#'!$A:$Z,24,FALSE)+VLOOKUP($A34,A:AL,34,FALSE)-50))</f>
        <v>361</v>
      </c>
      <c r="AJ34" s="3">
        <f>IF(ISERROR(VLOOKUP($A34,'SegEnds_NonXtal_BW#'!$A:$Z,25,FALSE)+VLOOKUP($A34,A:AL,37,FALSE)-50),"-",(VLOOKUP($A34,'SegEnds_NonXtal_BW#'!$A:$Z,25,FALSE)+VLOOKUP($A34,A:AL,37,FALSE)-50))</f>
        <v>362</v>
      </c>
      <c r="AK34" s="3">
        <v>365</v>
      </c>
      <c r="AL34" s="3">
        <f>IF(ISERROR((VLOOKUP($A34,'SegEnds_NonXtal_BW#'!$A:$Z,26,FALSE)+VLOOKUP($A34,A:AL,37,FALSE)-50)),"-",(VLOOKUP($A34,'SegEnds_NonXtal_BW#'!$A:$Z,26,FALSE)+VLOOKUP($A34,A:AL,37,FALSE)-50))</f>
        <v>373</v>
      </c>
      <c r="AM34" s="28" t="str">
        <f>VLOOKUP(A34,Classification!A:B,2,FALSE)</f>
        <v>A</v>
      </c>
      <c r="AN34" s="28" t="b">
        <f t="shared" si="26"/>
        <v>1</v>
      </c>
      <c r="AO34" s="3" t="str">
        <f>IF(ISERROR(MATCH(A34,'SegEnds_Xtal_Prot#'!B:B, 0)), "NoXtal", "Xtal")</f>
        <v>Xtal</v>
      </c>
      <c r="AP34" s="3">
        <f t="shared" si="1"/>
        <v>1</v>
      </c>
      <c r="AQ34" s="3">
        <f t="shared" si="2"/>
        <v>1</v>
      </c>
      <c r="AR34" s="3">
        <f t="shared" si="3"/>
        <v>2</v>
      </c>
      <c r="AS34" s="3">
        <f t="shared" si="4"/>
        <v>1</v>
      </c>
      <c r="AT34" s="3">
        <f t="shared" si="5"/>
        <v>1</v>
      </c>
      <c r="AU34" s="3">
        <f t="shared" si="6"/>
        <v>3</v>
      </c>
      <c r="AV34" s="3">
        <f t="shared" si="7"/>
        <v>19</v>
      </c>
      <c r="AW34" s="3">
        <f t="shared" si="8"/>
        <v>5</v>
      </c>
      <c r="AX34" s="3">
        <f t="shared" si="9"/>
        <v>35</v>
      </c>
      <c r="AY34" s="3">
        <f t="shared" si="10"/>
        <v>9</v>
      </c>
      <c r="AZ34" s="3">
        <f t="shared" si="11"/>
        <v>1</v>
      </c>
      <c r="BA34" s="3">
        <f>IF(ISERROR(LEN(VLOOKUP(A34,Seqs!A:E,2,FALSE))-AL34),"-",LEN(VLOOKUP(A34,Seqs!A:E,2,FALSE))-AL34)</f>
        <v>52</v>
      </c>
      <c r="BB34" s="16">
        <f t="shared" si="12"/>
        <v>28</v>
      </c>
      <c r="BC34" s="9">
        <f t="shared" si="13"/>
        <v>18</v>
      </c>
      <c r="BD34" s="3">
        <f t="shared" si="14"/>
        <v>28</v>
      </c>
      <c r="BE34" s="3">
        <f t="shared" si="15"/>
        <v>86</v>
      </c>
    </row>
    <row r="35" spans="1:58" s="3" customFormat="1" x14ac:dyDescent="0.2">
      <c r="A35" s="3" t="s">
        <v>1176</v>
      </c>
      <c r="B35" s="3" t="str">
        <f>LOWER(VLOOKUP(A35,Xtal_Templ!A:B,2,FALSE))</f>
        <v>ox2r_human</v>
      </c>
      <c r="C35" s="3">
        <f>VLOOKUP($A35,'SegEnds_NonXtal_BW#'!$A:$Z,3,FALSE)+D35-50</f>
        <v>53</v>
      </c>
      <c r="D35" s="3">
        <v>72</v>
      </c>
      <c r="E35" s="3">
        <f>IF(ISERROR(VLOOKUP($A35,'SegEnds_NonXtal_BW#'!$A:$Z,4,FALSE)+VLOOKUP($A35,A:AL,4,FALSE)-50),"-",(VLOOKUP($A35,'SegEnds_NonXtal_BW#'!$A:$Z,4,FALSE)+VLOOKUP($A35,A:AL,4,FALSE)-50))</f>
        <v>82</v>
      </c>
      <c r="F35" s="3">
        <f t="shared" si="29"/>
        <v>83</v>
      </c>
      <c r="G35" s="3">
        <v>85</v>
      </c>
      <c r="H35" s="3">
        <f t="shared" si="30"/>
        <v>86</v>
      </c>
      <c r="I35" s="3">
        <f t="shared" si="30"/>
        <v>87</v>
      </c>
      <c r="J35" s="3">
        <v>100</v>
      </c>
      <c r="K35" s="3">
        <f>VLOOKUP($A35,'SegEnds_NonXtal_BW#'!$A:$Z,8,FALSE)+VLOOKUP($A35,A:AL,10,FALSE)-50</f>
        <v>117</v>
      </c>
      <c r="L35" s="3">
        <f>M35-1</f>
        <v>119</v>
      </c>
      <c r="M35" s="3">
        <v>120</v>
      </c>
      <c r="N35" s="3">
        <f>M35+2</f>
        <v>122</v>
      </c>
      <c r="O35" s="3">
        <f t="shared" si="28"/>
        <v>123</v>
      </c>
      <c r="P35" s="3">
        <v>152</v>
      </c>
      <c r="Q35" s="3">
        <f>VLOOKUP($A35,'SegEnds_NonXtal_BW#'!$A:$Z,12,FALSE)+VLOOKUP($A35,A:AL,16,FALSE)-50</f>
        <v>158</v>
      </c>
      <c r="R35" s="3">
        <f>IF(ISERROR(VLOOKUP($A35,'SegEnds_NonXtal_BW#'!$A:$Z,13,FALSE)+VLOOKUP($A35,A:AL,19,FALSE)-50),"-",VLOOKUP($A35,'SegEnds_NonXtal_BW#'!$A:$Z,13,FALSE)+VLOOKUP($A35,A:AL,19,FALSE)-50)</f>
        <v>159</v>
      </c>
      <c r="S35" s="3">
        <v>159</v>
      </c>
      <c r="T35" s="103">
        <f>IF(ISERROR(VLOOKUP($A35,'SegEnds_NonXtal_BW#'!$A:$Z,14,FALSE)+VLOOKUP($A35,A:AL,19,FALSE)-50),"-",(VLOOKUP($A35,'SegEnds_NonXtal_BW#'!$A:$Z,14,FALSE)+VLOOKUP($A35,A:AL,19,FALSE)-50))</f>
        <v>162</v>
      </c>
      <c r="U35" s="9">
        <f>IF(ISERROR(VLOOKUP($A35,'SegEnds_NonXtal_BW#'!$A:$Z,15,FALSE)+VLOOKUP($A35,A:AL,22,FALSE)-50),"-",VLOOKUP($A35,'SegEnds_NonXtal_BW#'!$A:$Z,15,FALSE)+VLOOKUP($A35,A:AL,22,FALSE)-50)</f>
        <v>165</v>
      </c>
      <c r="V35" s="3">
        <v>177</v>
      </c>
      <c r="W35" s="3">
        <f>IF(ISERROR(VLOOKUP($A35,'SegEnds_NonXtal_BW#'!$A:$Z,16,FALSE)+VLOOKUP($A35,A:AL,22,FALSE)-50),"-",(VLOOKUP($A35,'SegEnds_NonXtal_BW#'!$A:$Z,16,FALSE)+VLOOKUP($A35,A:AL,22,FALSE)-50))</f>
        <v>191</v>
      </c>
      <c r="X35" s="3">
        <f>IF(ISERROR(VLOOKUP($A35,'SegEnds_NonXtal_BW#'!$A:$Z,17,FALSE)+VLOOKUP($A35,A:AL,25,FALSE)-50),"-",(VLOOKUP($A35,'SegEnds_NonXtal_BW#'!$A:$Z,17,FALSE)+VLOOKUP($A35,A:AL,25,FALSE)-50))</f>
        <v>210</v>
      </c>
      <c r="Y35" s="3">
        <v>210</v>
      </c>
      <c r="Z35" s="3">
        <f t="shared" si="27"/>
        <v>212</v>
      </c>
      <c r="AA35" s="3">
        <f>IF(ISERROR(VLOOKUP($A35,'SegEnds_NonXtal_BW#'!$A:$Z,19,FALSE)+VLOOKUP($A35,A:AL,28,FALSE)-50),"-",(VLOOKUP($A35,'SegEnds_NonXtal_BW#'!$A:$Z,19,FALSE)+VLOOKUP($A35,A:AL,28,FALSE)-50))</f>
        <v>217</v>
      </c>
      <c r="AB35" s="3">
        <v>235</v>
      </c>
      <c r="AC35" s="3">
        <v>256</v>
      </c>
      <c r="AD35" s="3">
        <f>IF(ISERROR(VLOOKUP($A35,'SegEnds_NonXtal_BW#'!$A:$Z,21,FALSE)+VLOOKUP($A35,A:AL,31,FALSE)-50),"-",(VLOOKUP($A35,'SegEnds_NonXtal_BW#'!$A:$Z,21,FALSE)+VLOOKUP($A35,A:AL,31,FALSE)-50))</f>
        <v>289</v>
      </c>
      <c r="AE35" s="3">
        <v>319</v>
      </c>
      <c r="AF35" s="3">
        <f>IF(ISERROR((VLOOKUP($A35,'SegEnds_NonXtal_BW#'!$A:$Z,22,FALSE)+VLOOKUP($A35,A:AL,31,FALSE)-50)),"-",(VLOOKUP($A35,'SegEnds_NonXtal_BW#'!$A:$Z,22,FALSE)+VLOOKUP($A35,A:AL,31,FALSE)-50))</f>
        <v>330</v>
      </c>
      <c r="AG35" s="3">
        <f>IF(ISERROR(VLOOKUP($A35,'SegEnds_NonXtal_BW#'!$A:$Z,23,FALSE)+VLOOKUP($A35,A:AL,34,FALSE)-50),"-",(VLOOKUP($A35,'SegEnds_NonXtal_BW#'!$A:$Z,23,FALSE)+VLOOKUP($A35,A:AL,34,FALSE)-50))</f>
        <v>339</v>
      </c>
      <c r="AH35" s="3">
        <v>361</v>
      </c>
      <c r="AI35" s="3">
        <f>IF(ISERROR((VLOOKUP($A35,'SegEnds_NonXtal_BW#'!$A:$Z,24,FALSE)+VLOOKUP($A35,A:AL,34,FALSE)-50)),"-",(VLOOKUP($A35,'SegEnds_NonXtal_BW#'!$A:$Z,24,FALSE)+VLOOKUP($A35,A:AL,34,FALSE)-50))</f>
        <v>367</v>
      </c>
      <c r="AJ35" s="3">
        <f>IF(ISERROR(VLOOKUP($A35,'SegEnds_NonXtal_BW#'!$A:$Z,25,FALSE)+VLOOKUP($A35,A:AL,37,FALSE)-50),"-",(VLOOKUP($A35,'SegEnds_NonXtal_BW#'!$A:$Z,25,FALSE)+VLOOKUP($A35,A:AL,37,FALSE)-50))</f>
        <v>368</v>
      </c>
      <c r="AK35" s="3">
        <v>371</v>
      </c>
      <c r="AL35" s="3">
        <f>IF(ISERROR((VLOOKUP($A35,'SegEnds_NonXtal_BW#'!$A:$Z,26,FALSE)+VLOOKUP($A35,A:AL,37,FALSE)-50)),"-",(VLOOKUP($A35,'SegEnds_NonXtal_BW#'!$A:$Z,26,FALSE)+VLOOKUP($A35,A:AL,37,FALSE)-50))</f>
        <v>379</v>
      </c>
      <c r="AM35" s="28" t="str">
        <f>VLOOKUP(A35,Classification!A:B,2,FALSE)</f>
        <v>A</v>
      </c>
      <c r="AN35" s="28" t="b">
        <f t="shared" si="26"/>
        <v>1</v>
      </c>
      <c r="AO35" s="3" t="str">
        <f>IF(ISERROR(MATCH(A35,'SegEnds_Xtal_Prot#'!B:B, 0)), "NoXtal", "Xtal")</f>
        <v>Xtal</v>
      </c>
      <c r="AP35" s="3">
        <f t="shared" si="1"/>
        <v>1</v>
      </c>
      <c r="AQ35" s="3">
        <f t="shared" si="2"/>
        <v>1</v>
      </c>
      <c r="AR35" s="3">
        <f t="shared" si="3"/>
        <v>2</v>
      </c>
      <c r="AS35" s="3">
        <f t="shared" si="4"/>
        <v>1</v>
      </c>
      <c r="AT35" s="3">
        <f t="shared" si="5"/>
        <v>1</v>
      </c>
      <c r="AU35" s="3">
        <f t="shared" si="6"/>
        <v>3</v>
      </c>
      <c r="AV35" s="3">
        <f t="shared" si="7"/>
        <v>19</v>
      </c>
      <c r="AW35" s="3">
        <f t="shared" si="8"/>
        <v>5</v>
      </c>
      <c r="AX35" s="3">
        <f t="shared" si="9"/>
        <v>33</v>
      </c>
      <c r="AY35" s="3">
        <f t="shared" si="10"/>
        <v>9</v>
      </c>
      <c r="AZ35" s="3">
        <f t="shared" si="11"/>
        <v>1</v>
      </c>
      <c r="BA35" s="3">
        <f>IF(ISERROR(LEN(VLOOKUP(A35,Seqs!A:E,2,FALSE))-AL35),"-",LEN(VLOOKUP(A35,Seqs!A:E,2,FALSE))-AL35)</f>
        <v>65</v>
      </c>
      <c r="BB35" s="16">
        <f t="shared" si="12"/>
        <v>28</v>
      </c>
      <c r="BC35" s="9">
        <f t="shared" si="13"/>
        <v>18</v>
      </c>
      <c r="BD35" s="3">
        <f t="shared" si="14"/>
        <v>28</v>
      </c>
      <c r="BE35" s="3">
        <f t="shared" si="15"/>
        <v>84</v>
      </c>
    </row>
    <row r="36" spans="1:58" s="3" customFormat="1" x14ac:dyDescent="0.2">
      <c r="A36" s="3" t="s">
        <v>369</v>
      </c>
      <c r="B36" s="3" t="str">
        <f>LOWER(VLOOKUP(A36,Xtal_Templ!A:B,2,FALSE))</f>
        <v>ox2r_human</v>
      </c>
      <c r="C36" s="3">
        <f>VLOOKUP($A36,'SegEnds_NonXtal_BW#'!$A:$Z,3,FALSE)+D36-50</f>
        <v>59</v>
      </c>
      <c r="D36" s="3">
        <v>78</v>
      </c>
      <c r="E36" s="3">
        <f>IF(ISERROR(VLOOKUP($A36,'SegEnds_NonXtal_BW#'!$A:$Z,4,FALSE)+VLOOKUP($A36,A:AL,4,FALSE)-50),"-",(VLOOKUP($A36,'SegEnds_NonXtal_BW#'!$A:$Z,4,FALSE)+VLOOKUP($A36,A:AL,4,FALSE)-50))</f>
        <v>88</v>
      </c>
      <c r="F36" s="3">
        <f t="shared" si="29"/>
        <v>89</v>
      </c>
      <c r="G36" s="3">
        <v>91</v>
      </c>
      <c r="H36" s="3">
        <f t="shared" si="30"/>
        <v>92</v>
      </c>
      <c r="I36" s="3">
        <f t="shared" si="30"/>
        <v>93</v>
      </c>
      <c r="J36" s="3">
        <v>106</v>
      </c>
      <c r="K36" s="3">
        <f>VLOOKUP($A36,'SegEnds_NonXtal_BW#'!$A:$Z,8,FALSE)+VLOOKUP($A36,A:AL,10,FALSE)-50</f>
        <v>123</v>
      </c>
      <c r="L36" s="3">
        <f>M36-1</f>
        <v>126</v>
      </c>
      <c r="M36" s="3">
        <v>127</v>
      </c>
      <c r="N36" s="3">
        <f>M36+2</f>
        <v>129</v>
      </c>
      <c r="O36" s="3">
        <f t="shared" si="28"/>
        <v>130</v>
      </c>
      <c r="P36" s="3">
        <v>159</v>
      </c>
      <c r="Q36" s="3">
        <f>VLOOKUP($A36,'SegEnds_NonXtal_BW#'!$A:$Z,12,FALSE)+VLOOKUP($A36,A:AL,16,FALSE)-50</f>
        <v>165</v>
      </c>
      <c r="R36" s="3">
        <f>IF(ISERROR(VLOOKUP($A36,'SegEnds_NonXtal_BW#'!$A:$Z,13,FALSE)+VLOOKUP($A36,A:AL,19,FALSE)-50),"-",VLOOKUP($A36,'SegEnds_NonXtal_BW#'!$A:$Z,13,FALSE)+VLOOKUP($A36,A:AL,19,FALSE)-50)</f>
        <v>166</v>
      </c>
      <c r="S36" s="3">
        <v>166</v>
      </c>
      <c r="T36" s="103">
        <f>IF(ISERROR(VLOOKUP($A36,'SegEnds_NonXtal_BW#'!$A:$Z,14,FALSE)+VLOOKUP($A36,A:AL,19,FALSE)-50),"-",(VLOOKUP($A36,'SegEnds_NonXtal_BW#'!$A:$Z,14,FALSE)+VLOOKUP($A36,A:AL,19,FALSE)-50))</f>
        <v>169</v>
      </c>
      <c r="U36" s="9">
        <f>IF(ISERROR(VLOOKUP($A36,'SegEnds_NonXtal_BW#'!$A:$Z,15,FALSE)+VLOOKUP($A36,A:AL,22,FALSE)-50),"-",VLOOKUP($A36,'SegEnds_NonXtal_BW#'!$A:$Z,15,FALSE)+VLOOKUP($A36,A:AL,22,FALSE)-50)</f>
        <v>172</v>
      </c>
      <c r="V36" s="3">
        <v>184</v>
      </c>
      <c r="W36" s="3">
        <f>IF(ISERROR(VLOOKUP($A36,'SegEnds_NonXtal_BW#'!$A:$Z,16,FALSE)+VLOOKUP($A36,A:AL,22,FALSE)-50),"-",(VLOOKUP($A36,'SegEnds_NonXtal_BW#'!$A:$Z,16,FALSE)+VLOOKUP($A36,A:AL,22,FALSE)-50))</f>
        <v>198</v>
      </c>
      <c r="X36" s="3">
        <f>IF(ISERROR(VLOOKUP($A36,'SegEnds_NonXtal_BW#'!$A:$Z,17,FALSE)+VLOOKUP($A36,A:AL,25,FALSE)-50),"-",(VLOOKUP($A36,'SegEnds_NonXtal_BW#'!$A:$Z,17,FALSE)+VLOOKUP($A36,A:AL,25,FALSE)-50))</f>
        <v>211</v>
      </c>
      <c r="Y36" s="3">
        <v>211</v>
      </c>
      <c r="Z36" s="3">
        <f t="shared" si="27"/>
        <v>213</v>
      </c>
      <c r="AA36" s="3">
        <f>IF(ISERROR(VLOOKUP($A36,'SegEnds_NonXtal_BW#'!$A:$Z,19,FALSE)+VLOOKUP($A36,A:AL,28,FALSE)-50),"-",(VLOOKUP($A36,'SegEnds_NonXtal_BW#'!$A:$Z,19,FALSE)+VLOOKUP($A36,A:AL,28,FALSE)-50))</f>
        <v>219</v>
      </c>
      <c r="AB36" s="3">
        <v>237</v>
      </c>
      <c r="AC36" s="3">
        <f>IF(ISERROR((VLOOKUP($A36,'SegEnds_NonXtal_BW#'!$A:$Z,20,FALSE)+VLOOKUP($A36,A:AL,28,FALSE)-50)),"-",(VLOOKUP($A36,'SegEnds_NonXtal_BW#'!$A:$Z,20,FALSE)+VLOOKUP($A36,A:AL,28,FALSE)-50))</f>
        <v>260</v>
      </c>
      <c r="AD36" s="3">
        <f>IF(ISERROR(VLOOKUP($A36,'SegEnds_NonXtal_BW#'!$A:$Z,21,FALSE)+VLOOKUP($A36,A:AL,31,FALSE)-50),"-",(VLOOKUP($A36,'SegEnds_NonXtal_BW#'!$A:$Z,21,FALSE)+VLOOKUP($A36,A:AL,31,FALSE)-50))</f>
        <v>265</v>
      </c>
      <c r="AE36" s="3">
        <v>293</v>
      </c>
      <c r="AF36" s="3">
        <f>IF(ISERROR((VLOOKUP($A36,'SegEnds_NonXtal_BW#'!$A:$Z,22,FALSE)+VLOOKUP($A36,A:AL,31,FALSE)-50)),"-",(VLOOKUP($A36,'SegEnds_NonXtal_BW#'!$A:$Z,22,FALSE)+VLOOKUP($A36,A:AL,31,FALSE)-50))</f>
        <v>304</v>
      </c>
      <c r="AG36" s="3">
        <f>IF(ISERROR(VLOOKUP($A36,'SegEnds_NonXtal_BW#'!$A:$Z,23,FALSE)+VLOOKUP($A36,A:AL,34,FALSE)-50),"-",(VLOOKUP($A36,'SegEnds_NonXtal_BW#'!$A:$Z,23,FALSE)+VLOOKUP($A36,A:AL,34,FALSE)-50))</f>
        <v>310</v>
      </c>
      <c r="AH36" s="3">
        <v>332</v>
      </c>
      <c r="AI36" s="3">
        <f>IF(ISERROR((VLOOKUP($A36,'SegEnds_NonXtal_BW#'!$A:$Z,24,FALSE)+VLOOKUP($A36,A:AL,34,FALSE)-50)),"-",(VLOOKUP($A36,'SegEnds_NonXtal_BW#'!$A:$Z,24,FALSE)+VLOOKUP($A36,A:AL,34,FALSE)-50))</f>
        <v>338</v>
      </c>
      <c r="AJ36" s="3">
        <f>IF(ISERROR(VLOOKUP($A36,'SegEnds_NonXtal_BW#'!$A:$Z,25,FALSE)+VLOOKUP($A36,A:AL,37,FALSE)-50),"-",(VLOOKUP($A36,'SegEnds_NonXtal_BW#'!$A:$Z,25,FALSE)+VLOOKUP($A36,A:AL,37,FALSE)-50))</f>
        <v>339</v>
      </c>
      <c r="AK36" s="3">
        <v>342</v>
      </c>
      <c r="AL36" s="3">
        <f>IF(ISERROR((VLOOKUP($A36,'SegEnds_NonXtal_BW#'!$A:$Z,26,FALSE)+VLOOKUP($A36,A:AL,37,FALSE)-50)),"-",(VLOOKUP($A36,'SegEnds_NonXtal_BW#'!$A:$Z,26,FALSE)+VLOOKUP($A36,A:AL,37,FALSE)-50))</f>
        <v>350</v>
      </c>
      <c r="AM36" s="28" t="str">
        <f>VLOOKUP(A36,Classification!A:B,2,FALSE)</f>
        <v>A</v>
      </c>
      <c r="AN36" s="28" t="b">
        <f t="shared" si="26"/>
        <v>1</v>
      </c>
      <c r="AO36" s="3" t="str">
        <f>IF(ISERROR(MATCH(A36,'SegEnds_Xtal_Prot#'!B:B, 0)), "NoXtal", "Xtal")</f>
        <v>NoXtal</v>
      </c>
      <c r="AP36" s="3">
        <f t="shared" si="1"/>
        <v>1</v>
      </c>
      <c r="AQ36" s="3">
        <f t="shared" si="2"/>
        <v>1</v>
      </c>
      <c r="AR36" s="3">
        <f t="shared" si="3"/>
        <v>3</v>
      </c>
      <c r="AS36" s="3">
        <f t="shared" si="4"/>
        <v>1</v>
      </c>
      <c r="AT36" s="3">
        <f t="shared" si="5"/>
        <v>1</v>
      </c>
      <c r="AU36" s="3">
        <f t="shared" si="6"/>
        <v>3</v>
      </c>
      <c r="AV36" s="3">
        <f t="shared" si="7"/>
        <v>13</v>
      </c>
      <c r="AW36" s="3">
        <f t="shared" si="8"/>
        <v>6</v>
      </c>
      <c r="AX36" s="3">
        <f t="shared" si="9"/>
        <v>5</v>
      </c>
      <c r="AY36" s="3">
        <f t="shared" si="10"/>
        <v>6</v>
      </c>
      <c r="AZ36" s="3">
        <f t="shared" si="11"/>
        <v>1</v>
      </c>
      <c r="BA36" s="3">
        <f>IF(ISERROR(LEN(VLOOKUP(A36,Seqs!A:E,2,FALSE))-AL36),"-",LEN(VLOOKUP(A36,Seqs!A:E,2,FALSE))-AL36)</f>
        <v>20</v>
      </c>
      <c r="BB36" s="16">
        <f t="shared" si="12"/>
        <v>28</v>
      </c>
      <c r="BC36" s="9">
        <f t="shared" si="13"/>
        <v>18</v>
      </c>
      <c r="BD36" s="3">
        <f t="shared" si="14"/>
        <v>28</v>
      </c>
      <c r="BE36" s="3">
        <f t="shared" si="15"/>
        <v>56</v>
      </c>
      <c r="BF36" s="3">
        <f>AH36-AE36</f>
        <v>39</v>
      </c>
    </row>
    <row r="37" spans="1:58" s="3" customFormat="1" x14ac:dyDescent="0.2">
      <c r="A37" s="3" t="s">
        <v>380</v>
      </c>
      <c r="B37" s="3" t="str">
        <f>LOWER(VLOOKUP(A37,Xtal_Templ!A:B,2,FALSE))</f>
        <v>s1pr1_human</v>
      </c>
      <c r="C37" s="3">
        <f>VLOOKUP($A37,'SegEnds_NonXtal_BW#'!$A:$Z,3,FALSE)+D37-50</f>
        <v>33</v>
      </c>
      <c r="D37" s="3">
        <v>54</v>
      </c>
      <c r="E37" s="3">
        <f>IF(ISERROR(VLOOKUP($A37,'SegEnds_NonXtal_BW#'!$A:$Z,4,FALSE)+VLOOKUP($A37,A:AL,4,FALSE)-50),"-",(VLOOKUP($A37,'SegEnds_NonXtal_BW#'!$A:$Z,4,FALSE)+VLOOKUP($A37,A:AL,4,FALSE)-50))</f>
        <v>64</v>
      </c>
      <c r="F37" s="3">
        <f t="shared" si="29"/>
        <v>65</v>
      </c>
      <c r="G37" s="3">
        <v>67</v>
      </c>
      <c r="H37" s="3">
        <f t="shared" si="30"/>
        <v>68</v>
      </c>
      <c r="I37" s="3">
        <f t="shared" si="30"/>
        <v>69</v>
      </c>
      <c r="J37" s="3">
        <v>82</v>
      </c>
      <c r="K37" s="3">
        <f>VLOOKUP($A37,'SegEnds_NonXtal_BW#'!$A:$Z,8,FALSE)+VLOOKUP($A37,A:AL,10,FALSE)-50</f>
        <v>95</v>
      </c>
      <c r="L37" s="3">
        <f>M37-3</f>
        <v>97</v>
      </c>
      <c r="M37" s="3">
        <v>100</v>
      </c>
      <c r="N37" s="3">
        <f>M37+3</f>
        <v>103</v>
      </c>
      <c r="O37" s="3">
        <f t="shared" si="28"/>
        <v>104</v>
      </c>
      <c r="P37" s="3">
        <v>133</v>
      </c>
      <c r="Q37" s="3">
        <f>VLOOKUP($A37,'SegEnds_NonXtal_BW#'!$A:$Z,12,FALSE)+VLOOKUP($A37,A:AL,16,FALSE)-50</f>
        <v>139</v>
      </c>
      <c r="R37" s="3">
        <f>IF(ISERROR(VLOOKUP($A37,'SegEnds_NonXtal_BW#'!$A:$Z,13,FALSE)+VLOOKUP($A37,A:AL,19,FALSE)-50),"-",VLOOKUP($A37,'SegEnds_NonXtal_BW#'!$A:$Z,13,FALSE)+VLOOKUP($A37,A:AL,19,FALSE)-50)</f>
        <v>140</v>
      </c>
      <c r="S37" s="3">
        <v>140</v>
      </c>
      <c r="T37" s="103">
        <f>IF(ISERROR(VLOOKUP($A37,'SegEnds_NonXtal_BW#'!$A:$Z,14,FALSE)+VLOOKUP($A37,A:AL,19,FALSE)-50),"-",(VLOOKUP($A37,'SegEnds_NonXtal_BW#'!$A:$Z,14,FALSE)+VLOOKUP($A37,A:AL,19,FALSE)-50))</f>
        <v>146</v>
      </c>
      <c r="U37" s="9">
        <f>IF(ISERROR(VLOOKUP($A37,'SegEnds_NonXtal_BW#'!$A:$Z,15,FALSE)+VLOOKUP($A37,A:AL,22,FALSE)-50),"-",VLOOKUP($A37,'SegEnds_NonXtal_BW#'!$A:$Z,15,FALSE)+VLOOKUP($A37,A:AL,22,FALSE)-50)</f>
        <v>147</v>
      </c>
      <c r="V37" s="3">
        <v>159</v>
      </c>
      <c r="W37" s="3">
        <f>IF(ISERROR(VLOOKUP($A37,'SegEnds_NonXtal_BW#'!$A:$Z,16,FALSE)+VLOOKUP($A37,A:AL,22,FALSE)-50),"-",(VLOOKUP($A37,'SegEnds_NonXtal_BW#'!$A:$Z,16,FALSE)+VLOOKUP($A37,A:AL,22,FALSE)-50))</f>
        <v>172</v>
      </c>
      <c r="X37" s="3" t="str">
        <f>IF(ISERROR(VLOOKUP($A37,'SegEnds_NonXtal_BW#'!$A:$Z,17,FALSE)+VLOOKUP($A37,A:AL,25,FALSE)-50),"-",(VLOOKUP($A37,'SegEnds_NonXtal_BW#'!$A:$Z,17,FALSE)+VLOOKUP($A37,A:AL,25,FALSE)-50))</f>
        <v>-</v>
      </c>
      <c r="Y37" s="3" t="s">
        <v>23</v>
      </c>
      <c r="Z37" s="3" t="str">
        <f>IF(ISERROR(VLOOKUP($A37,'SegEnds_NonXtal_BW#'!$A:$Z,18,FALSE)+VLOOKUP($A37,A:AL,25,FALSE)-50),"-",(VLOOKUP($A37,'SegEnds_NonXtal_BW#'!$A:$Z,18,FALSE)+VLOOKUP($A37,A:AL,25,FALSE)-50))</f>
        <v>-</v>
      </c>
      <c r="AA37" s="3">
        <f>IF(ISERROR(VLOOKUP($A37,'SegEnds_NonXtal_BW#'!$A:$Z,19,FALSE)+VLOOKUP($A37,A:AL,28,FALSE)-50),"-",(VLOOKUP($A37,'SegEnds_NonXtal_BW#'!$A:$Z,19,FALSE)+VLOOKUP($A37,A:AL,28,FALSE)-50))</f>
        <v>190</v>
      </c>
      <c r="AB37" s="3">
        <v>204</v>
      </c>
      <c r="AC37" s="3">
        <f>IF(ISERROR((VLOOKUP($A37,'SegEnds_NonXtal_BW#'!$A:$Z,20,FALSE)+VLOOKUP($A37,A:AL,28,FALSE)-50)),"-",(VLOOKUP($A37,'SegEnds_NonXtal_BW#'!$A:$Z,20,FALSE)+VLOOKUP($A37,A:AL,28,FALSE)-50))</f>
        <v>228</v>
      </c>
      <c r="AD37" s="3">
        <f>IF(ISERROR(VLOOKUP($A37,'SegEnds_NonXtal_BW#'!$A:$Z,21,FALSE)+VLOOKUP($A37,A:AL,31,FALSE)-50),"-",(VLOOKUP($A37,'SegEnds_NonXtal_BW#'!$A:$Z,21,FALSE)+VLOOKUP($A37,A:AL,31,FALSE)-50))</f>
        <v>237</v>
      </c>
      <c r="AE37" s="3">
        <v>266</v>
      </c>
      <c r="AF37" s="3">
        <f>IF(ISERROR((VLOOKUP($A37,'SegEnds_NonXtal_BW#'!$A:$Z,22,FALSE)+VLOOKUP($A37,A:AL,31,FALSE)-50)),"-",(VLOOKUP($A37,'SegEnds_NonXtal_BW#'!$A:$Z,22,FALSE)+VLOOKUP($A37,A:AL,31,FALSE)-50))</f>
        <v>277</v>
      </c>
      <c r="AG37" s="3">
        <f>IF(ISERROR(VLOOKUP($A37,'SegEnds_NonXtal_BW#'!$A:$Z,23,FALSE)+VLOOKUP($A37,A:AL,34,FALSE)-50),"-",(VLOOKUP($A37,'SegEnds_NonXtal_BW#'!$A:$Z,23,FALSE)+VLOOKUP($A37,A:AL,34,FALSE)-50))</f>
        <v>283</v>
      </c>
      <c r="AH37" s="3">
        <v>303</v>
      </c>
      <c r="AI37" s="3">
        <f>IF(ISERROR((VLOOKUP($A37,'SegEnds_NonXtal_BW#'!$A:$Z,24,FALSE)+VLOOKUP($A37,A:AL,34,FALSE)-50)),"-",(VLOOKUP($A37,'SegEnds_NonXtal_BW#'!$A:$Z,24,FALSE)+VLOOKUP($A37,A:AL,34,FALSE)-50))</f>
        <v>309</v>
      </c>
      <c r="AJ37" s="3">
        <f>IF(ISERROR(VLOOKUP($A37,'SegEnds_NonXtal_BW#'!$A:$Z,25,FALSE)+VLOOKUP($A37,A:AL,37,FALSE)-50),"-",(VLOOKUP($A37,'SegEnds_NonXtal_BW#'!$A:$Z,25,FALSE)+VLOOKUP($A37,A:AL,37,FALSE)-50))</f>
        <v>310</v>
      </c>
      <c r="AK37" s="3">
        <v>313</v>
      </c>
      <c r="AL37" s="3">
        <f>IF(ISERROR((VLOOKUP($A37,'SegEnds_NonXtal_BW#'!$A:$Z,26,FALSE)+VLOOKUP($A37,A:AL,37,FALSE)-50)),"-",(VLOOKUP($A37,'SegEnds_NonXtal_BW#'!$A:$Z,26,FALSE)+VLOOKUP($A37,A:AL,37,FALSE)-50))</f>
        <v>322</v>
      </c>
      <c r="AM37" s="28" t="str">
        <f>VLOOKUP(A37,Classification!A:B,2,FALSE)</f>
        <v>A</v>
      </c>
      <c r="AN37" s="28" t="b">
        <f t="shared" si="26"/>
        <v>1</v>
      </c>
      <c r="AO37" s="3" t="str">
        <f>IF(ISERROR(MATCH(A37,'SegEnds_Xtal_Prot#'!B:B, 0)), "NoXtal", "Xtal")</f>
        <v>NoXtal</v>
      </c>
      <c r="AP37" s="3">
        <f t="shared" si="1"/>
        <v>1</v>
      </c>
      <c r="AQ37" s="3">
        <f t="shared" si="2"/>
        <v>1</v>
      </c>
      <c r="AR37" s="3">
        <f t="shared" si="3"/>
        <v>2</v>
      </c>
      <c r="AS37" s="3">
        <f t="shared" si="4"/>
        <v>1</v>
      </c>
      <c r="AT37" s="3">
        <f t="shared" si="5"/>
        <v>1</v>
      </c>
      <c r="AU37" s="3">
        <f t="shared" si="6"/>
        <v>1</v>
      </c>
      <c r="AV37" s="3" t="str">
        <f t="shared" si="7"/>
        <v>-</v>
      </c>
      <c r="AW37" s="3" t="str">
        <f t="shared" si="8"/>
        <v>-</v>
      </c>
      <c r="AX37" s="3">
        <f t="shared" si="9"/>
        <v>9</v>
      </c>
      <c r="AY37" s="3">
        <f t="shared" si="10"/>
        <v>6</v>
      </c>
      <c r="AZ37" s="3">
        <f t="shared" si="11"/>
        <v>1</v>
      </c>
      <c r="BA37" s="3">
        <f>IF(ISERROR(LEN(VLOOKUP(A37,Seqs!A:E,2,FALSE))-AL37),"-",LEN(VLOOKUP(A37,Seqs!A:E,2,FALSE))-AL37)</f>
        <v>76</v>
      </c>
      <c r="BB37" s="16">
        <f t="shared" si="12"/>
        <v>28</v>
      </c>
      <c r="BC37" s="9">
        <f t="shared" si="13"/>
        <v>19</v>
      </c>
      <c r="BD37" s="3">
        <f t="shared" si="14"/>
        <v>28</v>
      </c>
      <c r="BE37" s="3">
        <f t="shared" si="15"/>
        <v>62</v>
      </c>
    </row>
    <row r="38" spans="1:58" s="3" customFormat="1" x14ac:dyDescent="0.2">
      <c r="A38" s="3" t="s">
        <v>128</v>
      </c>
      <c r="B38" s="3" t="str">
        <f>LOWER(VLOOKUP(A38,Xtal_Templ!A:B,2,FALSE))</f>
        <v>5ht1b_human</v>
      </c>
      <c r="C38" s="3">
        <f>VLOOKUP($A38,'SegEnds_NonXtal_BW#'!$A:$Z,3,FALSE)+D38-50</f>
        <v>33</v>
      </c>
      <c r="D38" s="3">
        <v>54</v>
      </c>
      <c r="E38" s="3">
        <f>IF(ISERROR(VLOOKUP($A38,'SegEnds_NonXtal_BW#'!$A:$Z,4,FALSE)+VLOOKUP($A38,A:AL,4,FALSE)-50),"-",(VLOOKUP($A38,'SegEnds_NonXtal_BW#'!$A:$Z,4,FALSE)+VLOOKUP($A38,A:AL,4,FALSE)-50))</f>
        <v>64</v>
      </c>
      <c r="F38" s="3">
        <f t="shared" si="29"/>
        <v>65</v>
      </c>
      <c r="G38" s="3">
        <v>67</v>
      </c>
      <c r="H38" s="3">
        <f t="shared" si="30"/>
        <v>68</v>
      </c>
      <c r="I38" s="3">
        <f t="shared" si="30"/>
        <v>69</v>
      </c>
      <c r="J38" s="3">
        <v>82</v>
      </c>
      <c r="K38" s="3">
        <f>VLOOKUP($A38,'SegEnds_NonXtal_BW#'!$A:$Z,8,FALSE)+VLOOKUP($A38,A:AL,10,FALSE)-50</f>
        <v>99</v>
      </c>
      <c r="L38" s="3">
        <f t="shared" ref="L38:L49" si="31">M38-1</f>
        <v>101</v>
      </c>
      <c r="M38" s="3">
        <v>102</v>
      </c>
      <c r="N38" s="3">
        <f t="shared" ref="N38:N53" si="32">M38+2</f>
        <v>104</v>
      </c>
      <c r="O38" s="3">
        <f t="shared" si="28"/>
        <v>105</v>
      </c>
      <c r="P38" s="3">
        <v>134</v>
      </c>
      <c r="Q38" s="3">
        <f>VLOOKUP($A38,'SegEnds_NonXtal_BW#'!$A:$Z,12,FALSE)+VLOOKUP($A38,A:AL,16,FALSE)-50</f>
        <v>140</v>
      </c>
      <c r="R38" s="3">
        <f>IF(ISERROR(VLOOKUP($A38,'SegEnds_NonXtal_BW#'!$A:$Z,13,FALSE)+VLOOKUP($A38,A:AL,19,FALSE)-50),"-",VLOOKUP($A38,'SegEnds_NonXtal_BW#'!$A:$Z,13,FALSE)+VLOOKUP($A38,A:AL,19,FALSE)-50)</f>
        <v>141</v>
      </c>
      <c r="S38" s="3">
        <v>141</v>
      </c>
      <c r="T38" s="103">
        <f>IF(ISERROR(VLOOKUP($A38,'SegEnds_NonXtal_BW#'!$A:$Z,14,FALSE)+VLOOKUP($A38,A:AL,19,FALSE)-50),"-",(VLOOKUP($A38,'SegEnds_NonXtal_BW#'!$A:$Z,14,FALSE)+VLOOKUP($A38,A:AL,19,FALSE)-50))</f>
        <v>148</v>
      </c>
      <c r="U38" s="9">
        <f>IF(ISERROR(VLOOKUP($A38,'SegEnds_NonXtal_BW#'!$A:$Z,15,FALSE)+VLOOKUP($A38,A:AL,22,FALSE)-50),"-",VLOOKUP($A38,'SegEnds_NonXtal_BW#'!$A:$Z,15,FALSE)+VLOOKUP($A38,A:AL,22,FALSE)-50)</f>
        <v>149</v>
      </c>
      <c r="V38" s="3">
        <v>161</v>
      </c>
      <c r="W38" s="3">
        <f>IF(ISERROR(VLOOKUP($A38,'SegEnds_NonXtal_BW#'!$A:$Z,16,FALSE)+VLOOKUP($A38,A:AL,22,FALSE)-50),"-",(VLOOKUP($A38,'SegEnds_NonXtal_BW#'!$A:$Z,16,FALSE)+VLOOKUP($A38,A:AL,22,FALSE)-50))</f>
        <v>174</v>
      </c>
      <c r="X38" s="3">
        <f>IF(ISERROR(VLOOKUP($A38,'SegEnds_NonXtal_BW#'!$A:$Z,17,FALSE)+VLOOKUP($A38,A:AL,25,FALSE)-50),"-",(VLOOKUP($A38,'SegEnds_NonXtal_BW#'!$A:$Z,17,FALSE)+VLOOKUP($A38,A:AL,25,FALSE)-50))</f>
        <v>187</v>
      </c>
      <c r="Y38" s="3">
        <v>187</v>
      </c>
      <c r="Z38" s="3">
        <f t="shared" ref="Z38:Z60" si="33">Y38+2</f>
        <v>189</v>
      </c>
      <c r="AA38" s="3">
        <f>IF(ISERROR(VLOOKUP($A38,'SegEnds_NonXtal_BW#'!$A:$Z,19,FALSE)+VLOOKUP($A38,A:AL,28,FALSE)-50),"-",(VLOOKUP($A38,'SegEnds_NonXtal_BW#'!$A:$Z,19,FALSE)+VLOOKUP($A38,A:AL,28,FALSE)-50))</f>
        <v>192</v>
      </c>
      <c r="AB38" s="3">
        <v>207</v>
      </c>
      <c r="AC38" s="3">
        <f>IF(ISERROR((VLOOKUP($A38,'SegEnds_NonXtal_BW#'!$A:$Z,20,FALSE)+VLOOKUP($A38,A:AL,28,FALSE)-50)),"-",(VLOOKUP($A38,'SegEnds_NonXtal_BW#'!$A:$Z,20,FALSE)+VLOOKUP($A38,A:AL,28,FALSE)-50))</f>
        <v>233</v>
      </c>
      <c r="AD38" s="3">
        <f>IF(ISERROR(VLOOKUP($A38,'SegEnds_NonXtal_BW#'!$A:$Z,21,FALSE)+VLOOKUP($A38,A:AL,31,FALSE)-50),"-",(VLOOKUP($A38,'SegEnds_NonXtal_BW#'!$A:$Z,21,FALSE)+VLOOKUP($A38,A:AL,31,FALSE)-50))</f>
        <v>334</v>
      </c>
      <c r="AE38" s="3">
        <v>360</v>
      </c>
      <c r="AF38" s="3">
        <f>IF(ISERROR((VLOOKUP($A38,'SegEnds_NonXtal_BW#'!$A:$Z,22,FALSE)+VLOOKUP($A38,A:AL,31,FALSE)-50)),"-",(VLOOKUP($A38,'SegEnds_NonXtal_BW#'!$A:$Z,22,FALSE)+VLOOKUP($A38,A:AL,31,FALSE)-50))</f>
        <v>370</v>
      </c>
      <c r="AG38" s="3">
        <f>IF(ISERROR(VLOOKUP($A38,'SegEnds_NonXtal_BW#'!$A:$Z,23,FALSE)+VLOOKUP($A38,A:AL,34,FALSE)-50),"-",(VLOOKUP($A38,'SegEnds_NonXtal_BW#'!$A:$Z,23,FALSE)+VLOOKUP($A38,A:AL,34,FALSE)-50))</f>
        <v>378</v>
      </c>
      <c r="AH38" s="3">
        <v>397</v>
      </c>
      <c r="AI38" s="3">
        <f>IF(ISERROR((VLOOKUP($A38,'SegEnds_NonXtal_BW#'!$A:$Z,24,FALSE)+VLOOKUP($A38,A:AL,34,FALSE)-50)),"-",(VLOOKUP($A38,'SegEnds_NonXtal_BW#'!$A:$Z,24,FALSE)+VLOOKUP($A38,A:AL,34,FALSE)-50))</f>
        <v>403</v>
      </c>
      <c r="AJ38" s="3">
        <f>IF(ISERROR(VLOOKUP($A38,'SegEnds_NonXtal_BW#'!$A:$Z,25,FALSE)+VLOOKUP($A38,A:AL,37,FALSE)-50),"-",(VLOOKUP($A38,'SegEnds_NonXtal_BW#'!$A:$Z,25,FALSE)+VLOOKUP($A38,A:AL,37,FALSE)-50))</f>
        <v>404</v>
      </c>
      <c r="AK38" s="3">
        <v>407</v>
      </c>
      <c r="AL38" s="3">
        <f>IF(ISERROR((VLOOKUP($A38,'SegEnds_NonXtal_BW#'!$A:$Z,26,FALSE)+VLOOKUP($A38,A:AL,37,FALSE)-50)),"-",(VLOOKUP($A38,'SegEnds_NonXtal_BW#'!$A:$Z,26,FALSE)+VLOOKUP($A38,A:AL,37,FALSE)-50))</f>
        <v>415</v>
      </c>
      <c r="AM38" s="28" t="str">
        <f>VLOOKUP(A38,Classification!A:B,2,FALSE)</f>
        <v>A</v>
      </c>
      <c r="AN38" s="28" t="b">
        <f t="shared" si="26"/>
        <v>1</v>
      </c>
      <c r="AO38" s="3" t="str">
        <f>IF(ISERROR(MATCH(A38,'SegEnds_Xtal_Prot#'!B:B, 0)), "NoXtal", "Xtal")</f>
        <v>NoXtal</v>
      </c>
      <c r="AP38" s="3">
        <f t="shared" si="1"/>
        <v>1</v>
      </c>
      <c r="AQ38" s="3">
        <f t="shared" si="2"/>
        <v>1</v>
      </c>
      <c r="AR38" s="3">
        <f t="shared" si="3"/>
        <v>2</v>
      </c>
      <c r="AS38" s="3">
        <f t="shared" si="4"/>
        <v>1</v>
      </c>
      <c r="AT38" s="3">
        <f t="shared" si="5"/>
        <v>1</v>
      </c>
      <c r="AU38" s="3">
        <f t="shared" si="6"/>
        <v>1</v>
      </c>
      <c r="AV38" s="3">
        <f t="shared" si="7"/>
        <v>13</v>
      </c>
      <c r="AW38" s="3">
        <f t="shared" si="8"/>
        <v>3</v>
      </c>
      <c r="AX38" s="3">
        <f t="shared" si="9"/>
        <v>101</v>
      </c>
      <c r="AY38" s="3">
        <f t="shared" si="10"/>
        <v>8</v>
      </c>
      <c r="AZ38" s="3">
        <f t="shared" si="11"/>
        <v>1</v>
      </c>
      <c r="BA38" s="3">
        <f>IF(ISERROR(LEN(VLOOKUP(A38,Seqs!A:E,2,FALSE))-AL38),"-",LEN(VLOOKUP(A38,Seqs!A:E,2,FALSE))-AL38)</f>
        <v>7</v>
      </c>
      <c r="BB38" s="16">
        <f t="shared" si="12"/>
        <v>28</v>
      </c>
      <c r="BC38" s="9">
        <f t="shared" si="13"/>
        <v>20</v>
      </c>
      <c r="BD38" s="3">
        <f t="shared" si="14"/>
        <v>28</v>
      </c>
      <c r="BE38" s="3">
        <f t="shared" si="15"/>
        <v>153</v>
      </c>
      <c r="BF38" s="3">
        <f>AH38-AE38</f>
        <v>37</v>
      </c>
    </row>
    <row r="39" spans="1:58" s="3" customFormat="1" x14ac:dyDescent="0.2">
      <c r="A39" s="3" t="s">
        <v>34</v>
      </c>
      <c r="B39" s="3" t="str">
        <f>LOWER(VLOOKUP(A39,Xtal_Templ!A:B,2,FALSE))</f>
        <v>5ht1b_human</v>
      </c>
      <c r="C39" s="3">
        <f>VLOOKUP($A39,'SegEnds_NonXtal_BW#'!$A:$Z,3,FALSE)+D39-50</f>
        <v>46</v>
      </c>
      <c r="D39" s="3">
        <v>67</v>
      </c>
      <c r="E39" s="3">
        <f>IF(ISERROR(VLOOKUP($A39,'SegEnds_NonXtal_BW#'!$A:$Z,4,FALSE)+VLOOKUP($A39,A:AL,4,FALSE)-50),"-",(VLOOKUP($A39,'SegEnds_NonXtal_BW#'!$A:$Z,4,FALSE)+VLOOKUP($A39,A:AL,4,FALSE)-50))</f>
        <v>77</v>
      </c>
      <c r="F39" s="3">
        <f t="shared" si="29"/>
        <v>78</v>
      </c>
      <c r="G39" s="3">
        <v>80</v>
      </c>
      <c r="H39" s="3">
        <f t="shared" si="30"/>
        <v>81</v>
      </c>
      <c r="I39" s="3">
        <f t="shared" si="30"/>
        <v>82</v>
      </c>
      <c r="J39" s="3">
        <v>95</v>
      </c>
      <c r="K39" s="3">
        <f>VLOOKUP($A39,'SegEnds_NonXtal_BW#'!$A:$Z,8,FALSE)+VLOOKUP($A39,A:AL,10,FALSE)-50</f>
        <v>112</v>
      </c>
      <c r="L39" s="3">
        <f t="shared" si="31"/>
        <v>114</v>
      </c>
      <c r="M39" s="3">
        <v>115</v>
      </c>
      <c r="N39" s="3">
        <f t="shared" si="32"/>
        <v>117</v>
      </c>
      <c r="O39" s="3">
        <f t="shared" si="28"/>
        <v>118</v>
      </c>
      <c r="P39" s="3">
        <v>147</v>
      </c>
      <c r="Q39" s="3">
        <f>VLOOKUP($A39,'SegEnds_NonXtal_BW#'!$A:$Z,12,FALSE)+VLOOKUP($A39,A:AL,16,FALSE)-50</f>
        <v>153</v>
      </c>
      <c r="R39" s="3">
        <f>IF(ISERROR(VLOOKUP($A39,'SegEnds_NonXtal_BW#'!$A:$Z,13,FALSE)+VLOOKUP($A39,A:AL,19,FALSE)-50),"-",VLOOKUP($A39,'SegEnds_NonXtal_BW#'!$A:$Z,13,FALSE)+VLOOKUP($A39,A:AL,19,FALSE)-50)</f>
        <v>154</v>
      </c>
      <c r="S39" s="3">
        <v>154</v>
      </c>
      <c r="T39" s="103">
        <f>IF(ISERROR(VLOOKUP($A39,'SegEnds_NonXtal_BW#'!$A:$Z,14,FALSE)+VLOOKUP($A39,A:AL,19,FALSE)-50),"-",(VLOOKUP($A39,'SegEnds_NonXtal_BW#'!$A:$Z,14,FALSE)+VLOOKUP($A39,A:AL,19,FALSE)-50))</f>
        <v>161</v>
      </c>
      <c r="U39" s="9">
        <f>IF(ISERROR(VLOOKUP($A39,'SegEnds_NonXtal_BW#'!$A:$Z,15,FALSE)+VLOOKUP($A39,A:AL,22,FALSE)-50),"-",VLOOKUP($A39,'SegEnds_NonXtal_BW#'!$A:$Z,15,FALSE)+VLOOKUP($A39,A:AL,22,FALSE)-50)</f>
        <v>162</v>
      </c>
      <c r="V39" s="3">
        <v>174</v>
      </c>
      <c r="W39" s="3">
        <f>IF(ISERROR(VLOOKUP($A39,'SegEnds_NonXtal_BW#'!$A:$Z,16,FALSE)+VLOOKUP($A39,A:AL,22,FALSE)-50),"-",(VLOOKUP($A39,'SegEnds_NonXtal_BW#'!$A:$Z,16,FALSE)+VLOOKUP($A39,A:AL,22,FALSE)-50))</f>
        <v>187</v>
      </c>
      <c r="X39" s="3">
        <f>IF(ISERROR(VLOOKUP($A39,'SegEnds_NonXtal_BW#'!$A:$Z,17,FALSE)+VLOOKUP($A39,A:AL,25,FALSE)-50),"-",(VLOOKUP($A39,'SegEnds_NonXtal_BW#'!$A:$Z,17,FALSE)+VLOOKUP($A39,A:AL,25,FALSE)-50))</f>
        <v>199</v>
      </c>
      <c r="Y39" s="3">
        <v>199</v>
      </c>
      <c r="Z39" s="3">
        <f t="shared" si="33"/>
        <v>201</v>
      </c>
      <c r="AA39" s="3">
        <f>IF(ISERROR(VLOOKUP($A39,'SegEnds_NonXtal_BW#'!$A:$Z,19,FALSE)+VLOOKUP($A39,A:AL,28,FALSE)-50),"-",(VLOOKUP($A39,'SegEnds_NonXtal_BW#'!$A:$Z,19,FALSE)+VLOOKUP($A39,A:AL,28,FALSE)-50))</f>
        <v>205</v>
      </c>
      <c r="AB39" s="3">
        <v>220</v>
      </c>
      <c r="AC39" s="3">
        <f>IF(ISERROR((VLOOKUP($A39,'SegEnds_NonXtal_BW#'!$A:$Z,20,FALSE)+VLOOKUP($A39,A:AL,28,FALSE)-50)),"-",(VLOOKUP($A39,'SegEnds_NonXtal_BW#'!$A:$Z,20,FALSE)+VLOOKUP($A39,A:AL,28,FALSE)-50))</f>
        <v>244</v>
      </c>
      <c r="AD39" s="3">
        <f>IF(ISERROR(VLOOKUP($A39,'SegEnds_NonXtal_BW#'!$A:$Z,21,FALSE)+VLOOKUP($A39,A:AL,31,FALSE)-50),"-",(VLOOKUP($A39,'SegEnds_NonXtal_BW#'!$A:$Z,21,FALSE)+VLOOKUP($A39,A:AL,31,FALSE)-50))</f>
        <v>303</v>
      </c>
      <c r="AE39" s="3">
        <v>329</v>
      </c>
      <c r="AF39" s="3">
        <f>IF(ISERROR((VLOOKUP($A39,'SegEnds_NonXtal_BW#'!$A:$Z,22,FALSE)+VLOOKUP($A39,A:AL,31,FALSE)-50)),"-",(VLOOKUP($A39,'SegEnds_NonXtal_BW#'!$A:$Z,22,FALSE)+VLOOKUP($A39,A:AL,31,FALSE)-50))</f>
        <v>339</v>
      </c>
      <c r="AG39" s="3">
        <f>IF(ISERROR(VLOOKUP($A39,'SegEnds_NonXtal_BW#'!$A:$Z,23,FALSE)+VLOOKUP($A39,A:AL,34,FALSE)-50),"-",(VLOOKUP($A39,'SegEnds_NonXtal_BW#'!$A:$Z,23,FALSE)+VLOOKUP($A39,A:AL,34,FALSE)-50))</f>
        <v>347</v>
      </c>
      <c r="AH39" s="3">
        <v>366</v>
      </c>
      <c r="AI39" s="3">
        <f>IF(ISERROR((VLOOKUP($A39,'SegEnds_NonXtal_BW#'!$A:$Z,24,FALSE)+VLOOKUP($A39,A:AL,34,FALSE)-50)),"-",(VLOOKUP($A39,'SegEnds_NonXtal_BW#'!$A:$Z,24,FALSE)+VLOOKUP($A39,A:AL,34,FALSE)-50))</f>
        <v>372</v>
      </c>
      <c r="AJ39" s="3">
        <f>IF(ISERROR(VLOOKUP($A39,'SegEnds_NonXtal_BW#'!$A:$Z,25,FALSE)+VLOOKUP($A39,A:AL,37,FALSE)-50),"-",(VLOOKUP($A39,'SegEnds_NonXtal_BW#'!$A:$Z,25,FALSE)+VLOOKUP($A39,A:AL,37,FALSE)-50))</f>
        <v>373</v>
      </c>
      <c r="AK39" s="3">
        <v>376</v>
      </c>
      <c r="AL39" s="3">
        <f>IF(ISERROR((VLOOKUP($A39,'SegEnds_NonXtal_BW#'!$A:$Z,26,FALSE)+VLOOKUP($A39,A:AL,37,FALSE)-50)),"-",(VLOOKUP($A39,'SegEnds_NonXtal_BW#'!$A:$Z,26,FALSE)+VLOOKUP($A39,A:AL,37,FALSE)-50))</f>
        <v>384</v>
      </c>
      <c r="AM39" s="28" t="str">
        <f>VLOOKUP(A39,Classification!A:B,2,FALSE)</f>
        <v>A</v>
      </c>
      <c r="AN39" s="28" t="b">
        <f t="shared" si="26"/>
        <v>1</v>
      </c>
      <c r="AO39" s="3" t="str">
        <f>IF(ISERROR(MATCH(A39,'SegEnds_Xtal_Prot#'!B:B, 0)), "NoXtal", "Xtal")</f>
        <v>Xtal</v>
      </c>
      <c r="AP39" s="3">
        <f t="shared" si="1"/>
        <v>1</v>
      </c>
      <c r="AQ39" s="3">
        <f t="shared" si="2"/>
        <v>1</v>
      </c>
      <c r="AR39" s="3">
        <f t="shared" si="3"/>
        <v>2</v>
      </c>
      <c r="AS39" s="3">
        <f t="shared" si="4"/>
        <v>1</v>
      </c>
      <c r="AT39" s="3">
        <f t="shared" si="5"/>
        <v>1</v>
      </c>
      <c r="AU39" s="3">
        <f t="shared" si="6"/>
        <v>1</v>
      </c>
      <c r="AV39" s="3">
        <f t="shared" si="7"/>
        <v>12</v>
      </c>
      <c r="AW39" s="3">
        <f t="shared" si="8"/>
        <v>4</v>
      </c>
      <c r="AX39" s="3">
        <f t="shared" si="9"/>
        <v>59</v>
      </c>
      <c r="AY39" s="3">
        <f t="shared" si="10"/>
        <v>8</v>
      </c>
      <c r="AZ39" s="3">
        <f t="shared" si="11"/>
        <v>1</v>
      </c>
      <c r="BA39" s="3">
        <f>IF(ISERROR(LEN(VLOOKUP(A39,Seqs!A:E,2,FALSE))-AL39),"-",LEN(VLOOKUP(A39,Seqs!A:E,2,FALSE))-AL39)</f>
        <v>6</v>
      </c>
      <c r="BB39" s="16">
        <f t="shared" si="12"/>
        <v>28</v>
      </c>
      <c r="BC39" s="9">
        <f t="shared" si="13"/>
        <v>20</v>
      </c>
      <c r="BD39" s="3">
        <f t="shared" si="14"/>
        <v>28</v>
      </c>
      <c r="BE39" s="3">
        <f t="shared" si="15"/>
        <v>109</v>
      </c>
      <c r="BF39" s="3">
        <f>AH39-AE39</f>
        <v>37</v>
      </c>
    </row>
    <row r="40" spans="1:58" s="3" customFormat="1" x14ac:dyDescent="0.2">
      <c r="A40" s="3" t="s">
        <v>129</v>
      </c>
      <c r="B40" s="3" t="str">
        <f>LOWER(VLOOKUP(A40,Xtal_Templ!A:B,2,FALSE))</f>
        <v>5ht1b_human</v>
      </c>
      <c r="C40" s="3">
        <f>VLOOKUP($A40,'SegEnds_NonXtal_BW#'!$A:$Z,3,FALSE)+D40-50</f>
        <v>35</v>
      </c>
      <c r="D40" s="3">
        <v>56</v>
      </c>
      <c r="E40" s="3">
        <f>IF(ISERROR(VLOOKUP($A40,'SegEnds_NonXtal_BW#'!$A:$Z,4,FALSE)+VLOOKUP($A40,A:AL,4,FALSE)-50),"-",(VLOOKUP($A40,'SegEnds_NonXtal_BW#'!$A:$Z,4,FALSE)+VLOOKUP($A40,A:AL,4,FALSE)-50))</f>
        <v>66</v>
      </c>
      <c r="F40" s="3">
        <f t="shared" si="29"/>
        <v>67</v>
      </c>
      <c r="G40" s="3">
        <v>69</v>
      </c>
      <c r="H40" s="3">
        <f t="shared" si="30"/>
        <v>70</v>
      </c>
      <c r="I40" s="3">
        <f t="shared" si="30"/>
        <v>71</v>
      </c>
      <c r="J40" s="3">
        <v>84</v>
      </c>
      <c r="K40" s="3">
        <f>VLOOKUP($A40,'SegEnds_NonXtal_BW#'!$A:$Z,8,FALSE)+VLOOKUP($A40,A:AL,10,FALSE)-50</f>
        <v>101</v>
      </c>
      <c r="L40" s="3">
        <f t="shared" si="31"/>
        <v>103</v>
      </c>
      <c r="M40" s="3">
        <v>104</v>
      </c>
      <c r="N40" s="3">
        <f t="shared" si="32"/>
        <v>106</v>
      </c>
      <c r="O40" s="3">
        <f t="shared" si="28"/>
        <v>107</v>
      </c>
      <c r="P40" s="3">
        <v>136</v>
      </c>
      <c r="Q40" s="3">
        <f>VLOOKUP($A40,'SegEnds_NonXtal_BW#'!$A:$Z,12,FALSE)+VLOOKUP($A40,A:AL,16,FALSE)-50</f>
        <v>142</v>
      </c>
      <c r="R40" s="3">
        <f>IF(ISERROR(VLOOKUP($A40,'SegEnds_NonXtal_BW#'!$A:$Z,13,FALSE)+VLOOKUP($A40,A:AL,19,FALSE)-50),"-",VLOOKUP($A40,'SegEnds_NonXtal_BW#'!$A:$Z,13,FALSE)+VLOOKUP($A40,A:AL,19,FALSE)-50)</f>
        <v>143</v>
      </c>
      <c r="S40" s="3">
        <v>143</v>
      </c>
      <c r="T40" s="103">
        <f>IF(ISERROR(VLOOKUP($A40,'SegEnds_NonXtal_BW#'!$A:$Z,14,FALSE)+VLOOKUP($A40,A:AL,19,FALSE)-50),"-",(VLOOKUP($A40,'SegEnds_NonXtal_BW#'!$A:$Z,14,FALSE)+VLOOKUP($A40,A:AL,19,FALSE)-50))</f>
        <v>150</v>
      </c>
      <c r="U40" s="9">
        <f>IF(ISERROR(VLOOKUP($A40,'SegEnds_NonXtal_BW#'!$A:$Z,15,FALSE)+VLOOKUP($A40,A:AL,22,FALSE)-50),"-",VLOOKUP($A40,'SegEnds_NonXtal_BW#'!$A:$Z,15,FALSE)+VLOOKUP($A40,A:AL,22,FALSE)-50)</f>
        <v>151</v>
      </c>
      <c r="V40" s="3">
        <v>163</v>
      </c>
      <c r="W40" s="3">
        <f>IF(ISERROR(VLOOKUP($A40,'SegEnds_NonXtal_BW#'!$A:$Z,16,FALSE)+VLOOKUP($A40,A:AL,22,FALSE)-50),"-",(VLOOKUP($A40,'SegEnds_NonXtal_BW#'!$A:$Z,16,FALSE)+VLOOKUP($A40,A:AL,22,FALSE)-50))</f>
        <v>176</v>
      </c>
      <c r="X40" s="3">
        <f>IF(ISERROR(VLOOKUP($A40,'SegEnds_NonXtal_BW#'!$A:$Z,17,FALSE)+VLOOKUP($A40,A:AL,25,FALSE)-50),"-",(VLOOKUP($A40,'SegEnds_NonXtal_BW#'!$A:$Z,17,FALSE)+VLOOKUP($A40,A:AL,25,FALSE)-50))</f>
        <v>188</v>
      </c>
      <c r="Y40" s="3">
        <v>188</v>
      </c>
      <c r="Z40" s="3">
        <f t="shared" si="33"/>
        <v>190</v>
      </c>
      <c r="AA40" s="3">
        <f>IF(ISERROR(VLOOKUP($A40,'SegEnds_NonXtal_BW#'!$A:$Z,19,FALSE)+VLOOKUP($A40,A:AL,28,FALSE)-50),"-",(VLOOKUP($A40,'SegEnds_NonXtal_BW#'!$A:$Z,19,FALSE)+VLOOKUP($A40,A:AL,28,FALSE)-50))</f>
        <v>194</v>
      </c>
      <c r="AB40" s="3">
        <v>209</v>
      </c>
      <c r="AC40" s="3">
        <f>IF(ISERROR((VLOOKUP($A40,'SegEnds_NonXtal_BW#'!$A:$Z,20,FALSE)+VLOOKUP($A40,A:AL,28,FALSE)-50)),"-",(VLOOKUP($A40,'SegEnds_NonXtal_BW#'!$A:$Z,20,FALSE)+VLOOKUP($A40,A:AL,28,FALSE)-50))</f>
        <v>233</v>
      </c>
      <c r="AD40" s="3">
        <f>IF(ISERROR(VLOOKUP($A40,'SegEnds_NonXtal_BW#'!$A:$Z,21,FALSE)+VLOOKUP($A40,A:AL,31,FALSE)-50),"-",(VLOOKUP($A40,'SegEnds_NonXtal_BW#'!$A:$Z,21,FALSE)+VLOOKUP($A40,A:AL,31,FALSE)-50))</f>
        <v>290</v>
      </c>
      <c r="AE40" s="3">
        <v>316</v>
      </c>
      <c r="AF40" s="3">
        <f>IF(ISERROR((VLOOKUP($A40,'SegEnds_NonXtal_BW#'!$A:$Z,22,FALSE)+VLOOKUP($A40,A:AL,31,FALSE)-50)),"-",(VLOOKUP($A40,'SegEnds_NonXtal_BW#'!$A:$Z,22,FALSE)+VLOOKUP($A40,A:AL,31,FALSE)-50))</f>
        <v>326</v>
      </c>
      <c r="AG40" s="3">
        <f>IF(ISERROR(VLOOKUP($A40,'SegEnds_NonXtal_BW#'!$A:$Z,23,FALSE)+VLOOKUP($A40,A:AL,34,FALSE)-50),"-",(VLOOKUP($A40,'SegEnds_NonXtal_BW#'!$A:$Z,23,FALSE)+VLOOKUP($A40,A:AL,34,FALSE)-50))</f>
        <v>334</v>
      </c>
      <c r="AH40" s="3">
        <v>353</v>
      </c>
      <c r="AI40" s="3">
        <f>IF(ISERROR((VLOOKUP($A40,'SegEnds_NonXtal_BW#'!$A:$Z,24,FALSE)+VLOOKUP($A40,A:AL,34,FALSE)-50)),"-",(VLOOKUP($A40,'SegEnds_NonXtal_BW#'!$A:$Z,24,FALSE)+VLOOKUP($A40,A:AL,34,FALSE)-50))</f>
        <v>359</v>
      </c>
      <c r="AJ40" s="3">
        <f>IF(ISERROR(VLOOKUP($A40,'SegEnds_NonXtal_BW#'!$A:$Z,25,FALSE)+VLOOKUP($A40,A:AL,37,FALSE)-50),"-",(VLOOKUP($A40,'SegEnds_NonXtal_BW#'!$A:$Z,25,FALSE)+VLOOKUP($A40,A:AL,37,FALSE)-50))</f>
        <v>360</v>
      </c>
      <c r="AK40" s="3">
        <v>363</v>
      </c>
      <c r="AL40" s="3">
        <f>IF(ISERROR((VLOOKUP($A40,'SegEnds_NonXtal_BW#'!$A:$Z,26,FALSE)+VLOOKUP($A40,A:AL,37,FALSE)-50)),"-",(VLOOKUP($A40,'SegEnds_NonXtal_BW#'!$A:$Z,26,FALSE)+VLOOKUP($A40,A:AL,37,FALSE)-50))</f>
        <v>371</v>
      </c>
      <c r="AM40" s="28" t="str">
        <f>VLOOKUP(A40,Classification!A:B,2,FALSE)</f>
        <v>A</v>
      </c>
      <c r="AN40" s="28" t="b">
        <f t="shared" si="26"/>
        <v>1</v>
      </c>
      <c r="AO40" s="3" t="str">
        <f>IF(ISERROR(MATCH(A40,'SegEnds_Xtal_Prot#'!B:B, 0)), "NoXtal", "Xtal")</f>
        <v>NoXtal</v>
      </c>
      <c r="AP40" s="3">
        <f t="shared" si="1"/>
        <v>1</v>
      </c>
      <c r="AQ40" s="3">
        <f t="shared" si="2"/>
        <v>1</v>
      </c>
      <c r="AR40" s="3">
        <f t="shared" si="3"/>
        <v>2</v>
      </c>
      <c r="AS40" s="3">
        <f t="shared" si="4"/>
        <v>1</v>
      </c>
      <c r="AT40" s="3">
        <f t="shared" si="5"/>
        <v>1</v>
      </c>
      <c r="AU40" s="3">
        <f t="shared" si="6"/>
        <v>1</v>
      </c>
      <c r="AV40" s="3">
        <f t="shared" si="7"/>
        <v>12</v>
      </c>
      <c r="AW40" s="3">
        <f t="shared" si="8"/>
        <v>4</v>
      </c>
      <c r="AX40" s="3">
        <f t="shared" si="9"/>
        <v>57</v>
      </c>
      <c r="AY40" s="3">
        <f t="shared" si="10"/>
        <v>8</v>
      </c>
      <c r="AZ40" s="3">
        <f t="shared" si="11"/>
        <v>1</v>
      </c>
      <c r="BA40" s="3">
        <f>IF(ISERROR(LEN(VLOOKUP(A40,Seqs!A:E,2,FALSE))-AL40),"-",LEN(VLOOKUP(A40,Seqs!A:E,2,FALSE))-AL40)</f>
        <v>6</v>
      </c>
      <c r="BB40" s="16">
        <f t="shared" si="12"/>
        <v>28</v>
      </c>
      <c r="BC40" s="9">
        <f t="shared" si="13"/>
        <v>20</v>
      </c>
      <c r="BD40" s="3">
        <f t="shared" si="14"/>
        <v>28</v>
      </c>
      <c r="BE40" s="3">
        <f t="shared" si="15"/>
        <v>107</v>
      </c>
      <c r="BF40" s="3">
        <f>AH40-AE40</f>
        <v>37</v>
      </c>
    </row>
    <row r="41" spans="1:58" s="3" customFormat="1" x14ac:dyDescent="0.2">
      <c r="A41" s="3" t="s">
        <v>130</v>
      </c>
      <c r="B41" s="3" t="str">
        <f>LOWER(VLOOKUP(A41,Xtal_Templ!A:B,2,FALSE))</f>
        <v>5ht1b_human</v>
      </c>
      <c r="C41" s="3">
        <f>VLOOKUP($A41,'SegEnds_NonXtal_BW#'!$A:$Z,3,FALSE)+D41-50</f>
        <v>19</v>
      </c>
      <c r="D41" s="3">
        <v>40</v>
      </c>
      <c r="E41" s="3">
        <f>IF(ISERROR(VLOOKUP($A41,'SegEnds_NonXtal_BW#'!$A:$Z,4,FALSE)+VLOOKUP($A41,A:AL,4,FALSE)-50),"-",(VLOOKUP($A41,'SegEnds_NonXtal_BW#'!$A:$Z,4,FALSE)+VLOOKUP($A41,A:AL,4,FALSE)-50))</f>
        <v>50</v>
      </c>
      <c r="F41" s="3">
        <f t="shared" si="29"/>
        <v>51</v>
      </c>
      <c r="G41" s="3">
        <v>53</v>
      </c>
      <c r="H41" s="3">
        <f t="shared" si="30"/>
        <v>54</v>
      </c>
      <c r="I41" s="3">
        <f t="shared" si="30"/>
        <v>55</v>
      </c>
      <c r="J41" s="3">
        <v>68</v>
      </c>
      <c r="K41" s="3">
        <f>VLOOKUP($A41,'SegEnds_NonXtal_BW#'!$A:$Z,8,FALSE)+VLOOKUP($A41,A:AL,10,FALSE)-50</f>
        <v>85</v>
      </c>
      <c r="L41" s="3">
        <f t="shared" si="31"/>
        <v>87</v>
      </c>
      <c r="M41" s="3">
        <v>88</v>
      </c>
      <c r="N41" s="3">
        <f t="shared" si="32"/>
        <v>90</v>
      </c>
      <c r="O41" s="3">
        <f t="shared" si="28"/>
        <v>91</v>
      </c>
      <c r="P41" s="3">
        <v>120</v>
      </c>
      <c r="Q41" s="3">
        <f>VLOOKUP($A41,'SegEnds_NonXtal_BW#'!$A:$Z,12,FALSE)+VLOOKUP($A41,A:AL,16,FALSE)-50</f>
        <v>126</v>
      </c>
      <c r="R41" s="3">
        <f>IF(ISERROR(VLOOKUP($A41,'SegEnds_NonXtal_BW#'!$A:$Z,13,FALSE)+VLOOKUP($A41,A:AL,19,FALSE)-50),"-",VLOOKUP($A41,'SegEnds_NonXtal_BW#'!$A:$Z,13,FALSE)+VLOOKUP($A41,A:AL,19,FALSE)-50)</f>
        <v>127</v>
      </c>
      <c r="S41" s="3">
        <v>127</v>
      </c>
      <c r="T41" s="103">
        <f>IF(ISERROR(VLOOKUP($A41,'SegEnds_NonXtal_BW#'!$A:$Z,14,FALSE)+VLOOKUP($A41,A:AL,19,FALSE)-50),"-",(VLOOKUP($A41,'SegEnds_NonXtal_BW#'!$A:$Z,14,FALSE)+VLOOKUP($A41,A:AL,19,FALSE)-50))</f>
        <v>134</v>
      </c>
      <c r="U41" s="9">
        <f>IF(ISERROR(VLOOKUP($A41,'SegEnds_NonXtal_BW#'!$A:$Z,15,FALSE)+VLOOKUP($A41,A:AL,22,FALSE)-50),"-",VLOOKUP($A41,'SegEnds_NonXtal_BW#'!$A:$Z,15,FALSE)+VLOOKUP($A41,A:AL,22,FALSE)-50)</f>
        <v>135</v>
      </c>
      <c r="V41" s="3">
        <v>147</v>
      </c>
      <c r="W41" s="3">
        <f>IF(ISERROR(VLOOKUP($A41,'SegEnds_NonXtal_BW#'!$A:$Z,16,FALSE)+VLOOKUP($A41,A:AL,22,FALSE)-50),"-",(VLOOKUP($A41,'SegEnds_NonXtal_BW#'!$A:$Z,16,FALSE)+VLOOKUP($A41,A:AL,22,FALSE)-50))</f>
        <v>160</v>
      </c>
      <c r="X41" s="3">
        <f>IF(ISERROR(VLOOKUP($A41,'SegEnds_NonXtal_BW#'!$A:$Z,17,FALSE)+VLOOKUP($A41,A:AL,25,FALSE)-50),"-",(VLOOKUP($A41,'SegEnds_NonXtal_BW#'!$A:$Z,17,FALSE)+VLOOKUP($A41,A:AL,25,FALSE)-50))</f>
        <v>173</v>
      </c>
      <c r="Y41" s="3">
        <v>173</v>
      </c>
      <c r="Z41" s="3">
        <f t="shared" si="33"/>
        <v>175</v>
      </c>
      <c r="AA41" s="3">
        <f>IF(ISERROR(VLOOKUP($A41,'SegEnds_NonXtal_BW#'!$A:$Z,19,FALSE)+VLOOKUP($A41,A:AL,28,FALSE)-50),"-",(VLOOKUP($A41,'SegEnds_NonXtal_BW#'!$A:$Z,19,FALSE)+VLOOKUP($A41,A:AL,28,FALSE)-50))</f>
        <v>179</v>
      </c>
      <c r="AB41" s="3">
        <v>194</v>
      </c>
      <c r="AC41" s="3">
        <f>IF(ISERROR((VLOOKUP($A41,'SegEnds_NonXtal_BW#'!$A:$Z,20,FALSE)+VLOOKUP($A41,A:AL,28,FALSE)-50)),"-",(VLOOKUP($A41,'SegEnds_NonXtal_BW#'!$A:$Z,20,FALSE)+VLOOKUP($A41,A:AL,28,FALSE)-50))</f>
        <v>220</v>
      </c>
      <c r="AD41" s="3">
        <f>IF(ISERROR(VLOOKUP($A41,'SegEnds_NonXtal_BW#'!$A:$Z,21,FALSE)+VLOOKUP($A41,A:AL,31,FALSE)-50),"-",(VLOOKUP($A41,'SegEnds_NonXtal_BW#'!$A:$Z,21,FALSE)+VLOOKUP($A41,A:AL,31,FALSE)-50))</f>
        <v>280</v>
      </c>
      <c r="AE41" s="3">
        <v>306</v>
      </c>
      <c r="AF41" s="3">
        <f>IF(ISERROR((VLOOKUP($A41,'SegEnds_NonXtal_BW#'!$A:$Z,22,FALSE)+VLOOKUP($A41,A:AL,31,FALSE)-50)),"-",(VLOOKUP($A41,'SegEnds_NonXtal_BW#'!$A:$Z,22,FALSE)+VLOOKUP($A41,A:AL,31,FALSE)-50))</f>
        <v>317</v>
      </c>
      <c r="AG41" s="3">
        <f>IF(ISERROR(VLOOKUP($A41,'SegEnds_NonXtal_BW#'!$A:$Z,23,FALSE)+VLOOKUP($A41,A:AL,34,FALSE)-50),"-",(VLOOKUP($A41,'SegEnds_NonXtal_BW#'!$A:$Z,23,FALSE)+VLOOKUP($A41,A:AL,34,FALSE)-50))</f>
        <v>322</v>
      </c>
      <c r="AH41" s="3">
        <v>341</v>
      </c>
      <c r="AI41" s="3">
        <f>IF(ISERROR((VLOOKUP($A41,'SegEnds_NonXtal_BW#'!$A:$Z,24,FALSE)+VLOOKUP($A41,A:AL,34,FALSE)-50)),"-",(VLOOKUP($A41,'SegEnds_NonXtal_BW#'!$A:$Z,24,FALSE)+VLOOKUP($A41,A:AL,34,FALSE)-50))</f>
        <v>347</v>
      </c>
      <c r="AJ41" s="3">
        <f>IF(ISERROR(VLOOKUP($A41,'SegEnds_NonXtal_BW#'!$A:$Z,25,FALSE)+VLOOKUP($A41,A:AL,37,FALSE)-50),"-",(VLOOKUP($A41,'SegEnds_NonXtal_BW#'!$A:$Z,25,FALSE)+VLOOKUP($A41,A:AL,37,FALSE)-50))</f>
        <v>348</v>
      </c>
      <c r="AK41" s="3">
        <v>351</v>
      </c>
      <c r="AL41" s="3">
        <f>IF(ISERROR((VLOOKUP($A41,'SegEnds_NonXtal_BW#'!$A:$Z,26,FALSE)+VLOOKUP($A41,A:AL,37,FALSE)-50)),"-",(VLOOKUP($A41,'SegEnds_NonXtal_BW#'!$A:$Z,26,FALSE)+VLOOKUP($A41,A:AL,37,FALSE)-50))</f>
        <v>359</v>
      </c>
      <c r="AM41" s="28" t="str">
        <f>VLOOKUP(A41,Classification!A:B,2,FALSE)</f>
        <v>A</v>
      </c>
      <c r="AN41" s="28" t="b">
        <f t="shared" si="26"/>
        <v>1</v>
      </c>
      <c r="AO41" s="3" t="str">
        <f>IF(ISERROR(MATCH(A41,'SegEnds_Xtal_Prot#'!B:B, 0)), "NoXtal", "Xtal")</f>
        <v>NoXtal</v>
      </c>
      <c r="AP41" s="3">
        <f t="shared" si="1"/>
        <v>1</v>
      </c>
      <c r="AQ41" s="3">
        <f t="shared" si="2"/>
        <v>1</v>
      </c>
      <c r="AR41" s="3">
        <f t="shared" si="3"/>
        <v>2</v>
      </c>
      <c r="AS41" s="3">
        <f t="shared" si="4"/>
        <v>1</v>
      </c>
      <c r="AT41" s="3">
        <f t="shared" si="5"/>
        <v>1</v>
      </c>
      <c r="AU41" s="3">
        <f t="shared" si="6"/>
        <v>1</v>
      </c>
      <c r="AV41" s="3">
        <f t="shared" si="7"/>
        <v>13</v>
      </c>
      <c r="AW41" s="3">
        <f t="shared" si="8"/>
        <v>4</v>
      </c>
      <c r="AX41" s="3">
        <f t="shared" si="9"/>
        <v>60</v>
      </c>
      <c r="AY41" s="3">
        <f t="shared" si="10"/>
        <v>5</v>
      </c>
      <c r="AZ41" s="3">
        <f t="shared" si="11"/>
        <v>1</v>
      </c>
      <c r="BA41" s="3">
        <f>IF(ISERROR(LEN(VLOOKUP(A41,Seqs!A:E,2,FALSE))-AL41),"-",LEN(VLOOKUP(A41,Seqs!A:E,2,FALSE))-AL41)</f>
        <v>6</v>
      </c>
      <c r="BB41" s="16">
        <f t="shared" si="12"/>
        <v>28</v>
      </c>
      <c r="BC41" s="9">
        <f t="shared" si="13"/>
        <v>20</v>
      </c>
      <c r="BD41" s="3">
        <f t="shared" si="14"/>
        <v>28</v>
      </c>
      <c r="BE41" s="3">
        <f t="shared" si="15"/>
        <v>112</v>
      </c>
      <c r="BF41" s="3">
        <f>AH41-AE41</f>
        <v>35</v>
      </c>
    </row>
    <row r="42" spans="1:58" s="3" customFormat="1" x14ac:dyDescent="0.2">
      <c r="A42" s="3" t="s">
        <v>131</v>
      </c>
      <c r="B42" s="3" t="str">
        <f>LOWER(VLOOKUP(A42,Xtal_Templ!A:B,2,FALSE))</f>
        <v>5ht1b_human</v>
      </c>
      <c r="C42" s="3">
        <f>VLOOKUP($A42,'SegEnds_NonXtal_BW#'!$A:$Z,3,FALSE)+D42-50</f>
        <v>20</v>
      </c>
      <c r="D42" s="3">
        <v>41</v>
      </c>
      <c r="E42" s="3">
        <f>IF(ISERROR(VLOOKUP($A42,'SegEnds_NonXtal_BW#'!$A:$Z,4,FALSE)+VLOOKUP($A42,A:AL,4,FALSE)-50),"-",(VLOOKUP($A42,'SegEnds_NonXtal_BW#'!$A:$Z,4,FALSE)+VLOOKUP($A42,A:AL,4,FALSE)-50))</f>
        <v>51</v>
      </c>
      <c r="F42" s="3">
        <f t="shared" si="29"/>
        <v>52</v>
      </c>
      <c r="G42" s="3">
        <v>54</v>
      </c>
      <c r="H42" s="3">
        <f t="shared" si="30"/>
        <v>55</v>
      </c>
      <c r="I42" s="3">
        <f t="shared" si="30"/>
        <v>56</v>
      </c>
      <c r="J42" s="3">
        <v>69</v>
      </c>
      <c r="K42" s="3">
        <f>VLOOKUP($A42,'SegEnds_NonXtal_BW#'!$A:$Z,8,FALSE)+VLOOKUP($A42,A:AL,10,FALSE)-50</f>
        <v>86</v>
      </c>
      <c r="L42" s="3">
        <f t="shared" si="31"/>
        <v>88</v>
      </c>
      <c r="M42" s="3">
        <v>89</v>
      </c>
      <c r="N42" s="3">
        <f t="shared" si="32"/>
        <v>91</v>
      </c>
      <c r="O42" s="3">
        <f t="shared" si="28"/>
        <v>92</v>
      </c>
      <c r="P42" s="3">
        <v>121</v>
      </c>
      <c r="Q42" s="3">
        <f>VLOOKUP($A42,'SegEnds_NonXtal_BW#'!$A:$Z,12,FALSE)+VLOOKUP($A42,A:AL,16,FALSE)-50</f>
        <v>127</v>
      </c>
      <c r="R42" s="3">
        <f>IF(ISERROR(VLOOKUP($A42,'SegEnds_NonXtal_BW#'!$A:$Z,13,FALSE)+VLOOKUP($A42,A:AL,19,FALSE)-50),"-",VLOOKUP($A42,'SegEnds_NonXtal_BW#'!$A:$Z,13,FALSE)+VLOOKUP($A42,A:AL,19,FALSE)-50)</f>
        <v>128</v>
      </c>
      <c r="S42" s="3">
        <v>128</v>
      </c>
      <c r="T42" s="103">
        <f>IF(ISERROR(VLOOKUP($A42,'SegEnds_NonXtal_BW#'!$A:$Z,14,FALSE)+VLOOKUP($A42,A:AL,19,FALSE)-50),"-",(VLOOKUP($A42,'SegEnds_NonXtal_BW#'!$A:$Z,14,FALSE)+VLOOKUP($A42,A:AL,19,FALSE)-50))</f>
        <v>135</v>
      </c>
      <c r="U42" s="9">
        <f>IF(ISERROR(VLOOKUP($A42,'SegEnds_NonXtal_BW#'!$A:$Z,15,FALSE)+VLOOKUP($A42,A:AL,22,FALSE)-50),"-",VLOOKUP($A42,'SegEnds_NonXtal_BW#'!$A:$Z,15,FALSE)+VLOOKUP($A42,A:AL,22,FALSE)-50)</f>
        <v>136</v>
      </c>
      <c r="V42" s="3">
        <v>148</v>
      </c>
      <c r="W42" s="3">
        <f>IF(ISERROR(VLOOKUP($A42,'SegEnds_NonXtal_BW#'!$A:$Z,16,FALSE)+VLOOKUP($A42,A:AL,22,FALSE)-50),"-",(VLOOKUP($A42,'SegEnds_NonXtal_BW#'!$A:$Z,16,FALSE)+VLOOKUP($A42,A:AL,22,FALSE)-50))</f>
        <v>161</v>
      </c>
      <c r="X42" s="3">
        <f>IF(ISERROR(VLOOKUP($A42,'SegEnds_NonXtal_BW#'!$A:$Z,17,FALSE)+VLOOKUP($A42,A:AL,25,FALSE)-50),"-",(VLOOKUP($A42,'SegEnds_NonXtal_BW#'!$A:$Z,17,FALSE)+VLOOKUP($A42,A:AL,25,FALSE)-50))</f>
        <v>172</v>
      </c>
      <c r="Y42" s="3">
        <v>172</v>
      </c>
      <c r="Z42" s="3">
        <f t="shared" si="33"/>
        <v>174</v>
      </c>
      <c r="AA42" s="3">
        <f>IF(ISERROR(VLOOKUP($A42,'SegEnds_NonXtal_BW#'!$A:$Z,19,FALSE)+VLOOKUP($A42,A:AL,28,FALSE)-50),"-",(VLOOKUP($A42,'SegEnds_NonXtal_BW#'!$A:$Z,19,FALSE)+VLOOKUP($A42,A:AL,28,FALSE)-50))</f>
        <v>178</v>
      </c>
      <c r="AB42" s="3">
        <v>193</v>
      </c>
      <c r="AC42" s="3">
        <f>IF(ISERROR((VLOOKUP($A42,'SegEnds_NonXtal_BW#'!$A:$Z,20,FALSE)+VLOOKUP($A42,A:AL,28,FALSE)-50)),"-",(VLOOKUP($A42,'SegEnds_NonXtal_BW#'!$A:$Z,20,FALSE)+VLOOKUP($A42,A:AL,28,FALSE)-50))</f>
        <v>219</v>
      </c>
      <c r="AD42" s="3">
        <f>IF(ISERROR(VLOOKUP($A42,'SegEnds_NonXtal_BW#'!$A:$Z,21,FALSE)+VLOOKUP($A42,A:AL,31,FALSE)-50),"-",(VLOOKUP($A42,'SegEnds_NonXtal_BW#'!$A:$Z,21,FALSE)+VLOOKUP($A42,A:AL,31,FALSE)-50))</f>
        <v>282</v>
      </c>
      <c r="AE42" s="3">
        <v>308</v>
      </c>
      <c r="AF42" s="3">
        <f>IF(ISERROR((VLOOKUP($A42,'SegEnds_NonXtal_BW#'!$A:$Z,22,FALSE)+VLOOKUP($A42,A:AL,31,FALSE)-50)),"-",(VLOOKUP($A42,'SegEnds_NonXtal_BW#'!$A:$Z,22,FALSE)+VLOOKUP($A42,A:AL,31,FALSE)-50))</f>
        <v>319</v>
      </c>
      <c r="AG42" s="3">
        <f>IF(ISERROR(VLOOKUP($A42,'SegEnds_NonXtal_BW#'!$A:$Z,23,FALSE)+VLOOKUP($A42,A:AL,34,FALSE)-50),"-",(VLOOKUP($A42,'SegEnds_NonXtal_BW#'!$A:$Z,23,FALSE)+VLOOKUP($A42,A:AL,34,FALSE)-50))</f>
        <v>325</v>
      </c>
      <c r="AH42" s="3">
        <v>344</v>
      </c>
      <c r="AI42" s="3">
        <f>IF(ISERROR((VLOOKUP($A42,'SegEnds_NonXtal_BW#'!$A:$Z,24,FALSE)+VLOOKUP($A42,A:AL,34,FALSE)-50)),"-",(VLOOKUP($A42,'SegEnds_NonXtal_BW#'!$A:$Z,24,FALSE)+VLOOKUP($A42,A:AL,34,FALSE)-50))</f>
        <v>350</v>
      </c>
      <c r="AJ42" s="3">
        <f>IF(ISERROR(VLOOKUP($A42,'SegEnds_NonXtal_BW#'!$A:$Z,25,FALSE)+VLOOKUP($A42,A:AL,37,FALSE)-50),"-",(VLOOKUP($A42,'SegEnds_NonXtal_BW#'!$A:$Z,25,FALSE)+VLOOKUP($A42,A:AL,37,FALSE)-50))</f>
        <v>351</v>
      </c>
      <c r="AK42" s="3">
        <v>354</v>
      </c>
      <c r="AL42" s="3">
        <f>IF(ISERROR((VLOOKUP($A42,'SegEnds_NonXtal_BW#'!$A:$Z,26,FALSE)+VLOOKUP($A42,A:AL,37,FALSE)-50)),"-",(VLOOKUP($A42,'SegEnds_NonXtal_BW#'!$A:$Z,26,FALSE)+VLOOKUP($A42,A:AL,37,FALSE)-50))</f>
        <v>362</v>
      </c>
      <c r="AM42" s="28" t="str">
        <f>VLOOKUP(A42,Classification!A:B,2,FALSE)</f>
        <v>A</v>
      </c>
      <c r="AN42" s="28" t="b">
        <f t="shared" ref="AN42:AN75" si="34">AND(IF(Y42="-",IF(AA42-W42&gt;3,TRUE,FALSE),TRUE),IF(M42="-",IF(O42-K42&gt;3,TRUE,FALSE),TRUE),C42&lt;E42,OR(E42&lt;F42,F42="-"),OR(F42&lt;H42,F42="-"),OR(H42&lt;I42,H42="-"),I42&lt;K42,OR(K42&lt;L42,L42="-"),OR(L42&lt;N42,L42="-"),OR(N42&lt;O42,N42="-"),O42&lt;Q42,OR(Q42&lt;R42,R42="-"),OR(R42&lt;T42,R42="-"),OR(T42&lt;U42,T42="-"),U42&lt;W42,OR(W42&lt;X42,X42="-"),OR(X42&lt;Z42,X42="-"),OR(Z42&lt;AA42,Z42="-"),AA42&lt;AC42,AC42&lt;AD42,AD42&lt;AF42,AF42&lt;AG42,AG42&lt;AI42,OR(AI42&lt;AJ42,AJ42="-"),OR(AJ42&lt;AL42,AJ42="-"))</f>
        <v>1</v>
      </c>
      <c r="AO42" s="3" t="str">
        <f>IF(ISERROR(MATCH(A42,'SegEnds_Xtal_Prot#'!B:B, 0)), "NoXtal", "Xtal")</f>
        <v>NoXtal</v>
      </c>
      <c r="AP42" s="3">
        <f t="shared" si="1"/>
        <v>1</v>
      </c>
      <c r="AQ42" s="3">
        <f t="shared" si="2"/>
        <v>1</v>
      </c>
      <c r="AR42" s="3">
        <f t="shared" si="3"/>
        <v>2</v>
      </c>
      <c r="AS42" s="3">
        <f t="shared" si="4"/>
        <v>1</v>
      </c>
      <c r="AT42" s="3">
        <f t="shared" si="5"/>
        <v>1</v>
      </c>
      <c r="AU42" s="3">
        <f t="shared" si="6"/>
        <v>1</v>
      </c>
      <c r="AV42" s="3">
        <f t="shared" si="7"/>
        <v>11</v>
      </c>
      <c r="AW42" s="3">
        <f t="shared" si="8"/>
        <v>4</v>
      </c>
      <c r="AX42" s="3">
        <f t="shared" si="9"/>
        <v>63</v>
      </c>
      <c r="AY42" s="3">
        <f t="shared" si="10"/>
        <v>6</v>
      </c>
      <c r="AZ42" s="3">
        <f t="shared" si="11"/>
        <v>1</v>
      </c>
      <c r="BA42" s="3">
        <f>IF(ISERROR(LEN(VLOOKUP(A42,Seqs!A:E,2,FALSE))-AL42),"-",LEN(VLOOKUP(A42,Seqs!A:E,2,FALSE))-AL42)</f>
        <v>4</v>
      </c>
      <c r="BB42" s="16">
        <f t="shared" si="12"/>
        <v>28</v>
      </c>
      <c r="BC42" s="9">
        <f t="shared" si="13"/>
        <v>20</v>
      </c>
      <c r="BD42" s="3">
        <f t="shared" si="14"/>
        <v>28</v>
      </c>
      <c r="BE42" s="3">
        <f t="shared" si="15"/>
        <v>115</v>
      </c>
      <c r="BF42" s="3">
        <f>AH42-AE42</f>
        <v>36</v>
      </c>
    </row>
    <row r="43" spans="1:58" s="3" customFormat="1" x14ac:dyDescent="0.2">
      <c r="A43" s="3" t="s">
        <v>132</v>
      </c>
      <c r="B43" s="3" t="str">
        <f>LOWER(VLOOKUP(A43,Xtal_Templ!A:B,2,FALSE))</f>
        <v>5ht2b_human</v>
      </c>
      <c r="C43" s="3">
        <f>VLOOKUP($A43,'SegEnds_NonXtal_BW#'!$A:$Z,3,FALSE)+D43-50</f>
        <v>74</v>
      </c>
      <c r="D43" s="3">
        <v>92</v>
      </c>
      <c r="E43" s="3">
        <f>IF(ISERROR(VLOOKUP($A43,'SegEnds_NonXtal_BW#'!$A:$Z,4,FALSE)+VLOOKUP($A43,A:AL,4,FALSE)-50),"-",(VLOOKUP($A43,'SegEnds_NonXtal_BW#'!$A:$Z,4,FALSE)+VLOOKUP($A43,A:AL,4,FALSE)-50))</f>
        <v>102</v>
      </c>
      <c r="F43" s="3">
        <f t="shared" si="29"/>
        <v>103</v>
      </c>
      <c r="G43" s="3">
        <v>105</v>
      </c>
      <c r="H43" s="3">
        <f t="shared" si="30"/>
        <v>106</v>
      </c>
      <c r="I43" s="3">
        <f t="shared" si="30"/>
        <v>107</v>
      </c>
      <c r="J43" s="3">
        <v>120</v>
      </c>
      <c r="K43" s="3">
        <f>VLOOKUP($A43,'SegEnds_NonXtal_BW#'!$A:$Z,8,FALSE)+VLOOKUP($A43,A:AL,10,FALSE)-50</f>
        <v>137</v>
      </c>
      <c r="L43" s="3">
        <f t="shared" si="31"/>
        <v>140</v>
      </c>
      <c r="M43" s="3">
        <v>141</v>
      </c>
      <c r="N43" s="3">
        <f t="shared" si="32"/>
        <v>143</v>
      </c>
      <c r="O43" s="3">
        <f t="shared" si="28"/>
        <v>144</v>
      </c>
      <c r="P43" s="3">
        <v>173</v>
      </c>
      <c r="Q43" s="3">
        <f>VLOOKUP($A43,'SegEnds_NonXtal_BW#'!$A:$Z,12,FALSE)+VLOOKUP($A43,A:AL,16,FALSE)-50</f>
        <v>179</v>
      </c>
      <c r="R43" s="3">
        <f>IF(ISERROR(VLOOKUP($A43,'SegEnds_NonXtal_BW#'!$A:$Z,13,FALSE)+VLOOKUP($A43,A:AL,19,FALSE)-50),"-",VLOOKUP($A43,'SegEnds_NonXtal_BW#'!$A:$Z,13,FALSE)+VLOOKUP($A43,A:AL,19,FALSE)-50)</f>
        <v>180</v>
      </c>
      <c r="S43" s="3">
        <v>180</v>
      </c>
      <c r="T43" s="103">
        <f>IF(ISERROR(VLOOKUP($A43,'SegEnds_NonXtal_BW#'!$A:$Z,14,FALSE)+VLOOKUP($A43,A:AL,19,FALSE)-50),"-",(VLOOKUP($A43,'SegEnds_NonXtal_BW#'!$A:$Z,14,FALSE)+VLOOKUP($A43,A:AL,19,FALSE)-50))</f>
        <v>187</v>
      </c>
      <c r="U43" s="9">
        <f>IF(ISERROR(VLOOKUP($A43,'SegEnds_NonXtal_BW#'!$A:$Z,15,FALSE)+VLOOKUP($A43,A:AL,22,FALSE)-50),"-",VLOOKUP($A43,'SegEnds_NonXtal_BW#'!$A:$Z,15,FALSE)+VLOOKUP($A43,A:AL,22,FALSE)-50)</f>
        <v>188</v>
      </c>
      <c r="V43" s="3">
        <v>200</v>
      </c>
      <c r="W43" s="3">
        <f>IF(ISERROR(VLOOKUP($A43,'SegEnds_NonXtal_BW#'!$A:$Z,16,FALSE)+VLOOKUP($A43,A:AL,22,FALSE)-50),"-",(VLOOKUP($A43,'SegEnds_NonXtal_BW#'!$A:$Z,16,FALSE)+VLOOKUP($A43,A:AL,22,FALSE)-50))</f>
        <v>214</v>
      </c>
      <c r="X43" s="3">
        <f>IF(ISERROR(VLOOKUP($A43,'SegEnds_NonXtal_BW#'!$A:$Z,17,FALSE)+VLOOKUP($A43,A:AL,25,FALSE)-50),"-",(VLOOKUP($A43,'SegEnds_NonXtal_BW#'!$A:$Z,17,FALSE)+VLOOKUP($A43,A:AL,25,FALSE)-50))</f>
        <v>227</v>
      </c>
      <c r="Y43" s="3">
        <v>227</v>
      </c>
      <c r="Z43" s="3">
        <f t="shared" si="33"/>
        <v>229</v>
      </c>
      <c r="AA43" s="3">
        <f>IF(ISERROR(VLOOKUP($A43,'SegEnds_NonXtal_BW#'!$A:$Z,19,FALSE)+VLOOKUP($A43,A:AL,28,FALSE)-50),"-",(VLOOKUP($A43,'SegEnds_NonXtal_BW#'!$A:$Z,19,FALSE)+VLOOKUP($A43,A:AL,28,FALSE)-50))</f>
        <v>231</v>
      </c>
      <c r="AB43" s="3">
        <v>246</v>
      </c>
      <c r="AC43" s="3">
        <f>IF(ISERROR((VLOOKUP($A43,'SegEnds_NonXtal_BW#'!$A:$Z,20,FALSE)+VLOOKUP($A43,A:AL,28,FALSE)-50)),"-",(VLOOKUP($A43,'SegEnds_NonXtal_BW#'!$A:$Z,20,FALSE)+VLOOKUP($A43,A:AL,28,FALSE)-50))</f>
        <v>272</v>
      </c>
      <c r="AD43" s="3">
        <f>IF(ISERROR(VLOOKUP($A43,'SegEnds_NonXtal_BW#'!$A:$Z,21,FALSE)+VLOOKUP($A43,A:AL,31,FALSE)-50),"-",(VLOOKUP($A43,'SegEnds_NonXtal_BW#'!$A:$Z,21,FALSE)+VLOOKUP($A43,A:AL,31,FALSE)-50))</f>
        <v>312</v>
      </c>
      <c r="AE43" s="3">
        <v>338</v>
      </c>
      <c r="AF43" s="3">
        <f>IF(ISERROR((VLOOKUP($A43,'SegEnds_NonXtal_BW#'!$A:$Z,22,FALSE)+VLOOKUP($A43,A:AL,31,FALSE)-50)),"-",(VLOOKUP($A43,'SegEnds_NonXtal_BW#'!$A:$Z,22,FALSE)+VLOOKUP($A43,A:AL,31,FALSE)-50))</f>
        <v>349</v>
      </c>
      <c r="AG43" s="3">
        <f>IF(ISERROR(VLOOKUP($A43,'SegEnds_NonXtal_BW#'!$A:$Z,23,FALSE)+VLOOKUP($A43,A:AL,34,FALSE)-50),"-",(VLOOKUP($A43,'SegEnds_NonXtal_BW#'!$A:$Z,23,FALSE)+VLOOKUP($A43,A:AL,34,FALSE)-50))</f>
        <v>355</v>
      </c>
      <c r="AH43" s="3">
        <v>377</v>
      </c>
      <c r="AI43" s="3">
        <f>IF(ISERROR((VLOOKUP($A43,'SegEnds_NonXtal_BW#'!$A:$Z,24,FALSE)+VLOOKUP($A43,A:AL,34,FALSE)-50)),"-",(VLOOKUP($A43,'SegEnds_NonXtal_BW#'!$A:$Z,24,FALSE)+VLOOKUP($A43,A:AL,34,FALSE)-50))</f>
        <v>383</v>
      </c>
      <c r="AJ43" s="3">
        <f>IF(ISERROR(VLOOKUP($A43,'SegEnds_NonXtal_BW#'!$A:$Z,25,FALSE)+VLOOKUP($A43,A:AL,37,FALSE)-50),"-",(VLOOKUP($A43,'SegEnds_NonXtal_BW#'!$A:$Z,25,FALSE)+VLOOKUP($A43,A:AL,37,FALSE)-50))</f>
        <v>384</v>
      </c>
      <c r="AK43" s="3">
        <v>387</v>
      </c>
      <c r="AL43" s="3">
        <f>IF(ISERROR((VLOOKUP($A43,'SegEnds_NonXtal_BW#'!$A:$Z,26,FALSE)+VLOOKUP($A43,A:AL,37,FALSE)-50)),"-",(VLOOKUP($A43,'SegEnds_NonXtal_BW#'!$A:$Z,26,FALSE)+VLOOKUP($A43,A:AL,37,FALSE)-50))</f>
        <v>395</v>
      </c>
      <c r="AM43" s="28" t="str">
        <f>VLOOKUP(A43,Classification!A:B,2,FALSE)</f>
        <v>A</v>
      </c>
      <c r="AN43" s="28" t="b">
        <f t="shared" si="34"/>
        <v>1</v>
      </c>
      <c r="AO43" s="3" t="str">
        <f>IF(ISERROR(MATCH(A43,'SegEnds_Xtal_Prot#'!B:B, 0)), "NoXtal", "Xtal")</f>
        <v>NoXtal</v>
      </c>
      <c r="AP43" s="3">
        <f t="shared" si="1"/>
        <v>1</v>
      </c>
      <c r="AQ43" s="3">
        <f t="shared" si="2"/>
        <v>1</v>
      </c>
      <c r="AR43" s="3">
        <f t="shared" si="3"/>
        <v>3</v>
      </c>
      <c r="AS43" s="3">
        <f t="shared" si="4"/>
        <v>1</v>
      </c>
      <c r="AT43" s="3">
        <f t="shared" si="5"/>
        <v>1</v>
      </c>
      <c r="AU43" s="3">
        <f t="shared" si="6"/>
        <v>1</v>
      </c>
      <c r="AV43" s="3">
        <f t="shared" si="7"/>
        <v>13</v>
      </c>
      <c r="AW43" s="3">
        <f t="shared" si="8"/>
        <v>2</v>
      </c>
      <c r="AX43" s="3">
        <f t="shared" si="9"/>
        <v>40</v>
      </c>
      <c r="AY43" s="3">
        <f t="shared" si="10"/>
        <v>6</v>
      </c>
      <c r="AZ43" s="3">
        <f t="shared" si="11"/>
        <v>1</v>
      </c>
      <c r="BA43" s="3">
        <f>IF(ISERROR(LEN(VLOOKUP(A43,Seqs!A:E,2,FALSE))-AL43),"-",LEN(VLOOKUP(A43,Seqs!A:E,2,FALSE))-AL43)</f>
        <v>76</v>
      </c>
      <c r="BB43" s="16">
        <f t="shared" si="12"/>
        <v>28</v>
      </c>
      <c r="BC43" s="9">
        <f t="shared" si="13"/>
        <v>20</v>
      </c>
      <c r="BD43" s="3">
        <f t="shared" si="14"/>
        <v>28</v>
      </c>
      <c r="BE43" s="3">
        <f t="shared" si="15"/>
        <v>92</v>
      </c>
    </row>
    <row r="44" spans="1:58" s="3" customFormat="1" ht="17" customHeight="1" x14ac:dyDescent="0.2">
      <c r="A44" s="3" t="s">
        <v>35</v>
      </c>
      <c r="B44" s="3" t="str">
        <f>LOWER(VLOOKUP(A44,Xtal_Templ!A:B,2,FALSE))</f>
        <v>5ht2b_human</v>
      </c>
      <c r="C44" s="3">
        <f>VLOOKUP($A44,'SegEnds_NonXtal_BW#'!$A:$Z,3,FALSE)+D44-50</f>
        <v>54</v>
      </c>
      <c r="D44" s="3">
        <v>72</v>
      </c>
      <c r="E44" s="3">
        <f>IF(ISERROR(VLOOKUP($A44,'SegEnds_NonXtal_BW#'!$A:$Z,4,FALSE)+VLOOKUP($A44,A:AL,4,FALSE)-50),"-",(VLOOKUP($A44,'SegEnds_NonXtal_BW#'!$A:$Z,4,FALSE)+VLOOKUP($A44,A:AL,4,FALSE)-50))</f>
        <v>82</v>
      </c>
      <c r="F44" s="3">
        <f t="shared" si="29"/>
        <v>83</v>
      </c>
      <c r="G44" s="3">
        <v>85</v>
      </c>
      <c r="H44" s="3">
        <f t="shared" si="30"/>
        <v>86</v>
      </c>
      <c r="I44" s="3">
        <f t="shared" si="30"/>
        <v>87</v>
      </c>
      <c r="J44" s="3">
        <v>100</v>
      </c>
      <c r="K44" s="3">
        <f>VLOOKUP($A44,'SegEnds_NonXtal_BW#'!$A:$Z,8,FALSE)+VLOOKUP($A44,A:AL,10,FALSE)-50</f>
        <v>117</v>
      </c>
      <c r="L44" s="3">
        <f t="shared" si="31"/>
        <v>120</v>
      </c>
      <c r="M44" s="3">
        <v>121</v>
      </c>
      <c r="N44" s="3">
        <f t="shared" si="32"/>
        <v>123</v>
      </c>
      <c r="O44" s="3">
        <f t="shared" si="28"/>
        <v>124</v>
      </c>
      <c r="P44" s="3">
        <v>153</v>
      </c>
      <c r="Q44" s="3">
        <f>VLOOKUP($A44,'SegEnds_NonXtal_BW#'!$A:$Z,12,FALSE)+VLOOKUP($A44,A:AL,16,FALSE)-50</f>
        <v>159</v>
      </c>
      <c r="R44" s="3">
        <f>IF(ISERROR(VLOOKUP($A44,'SegEnds_NonXtal_BW#'!$A:$Z,13,FALSE)+VLOOKUP($A44,A:AL,19,FALSE)-50),"-",VLOOKUP($A44,'SegEnds_NonXtal_BW#'!$A:$Z,13,FALSE)+VLOOKUP($A44,A:AL,19,FALSE)-50)</f>
        <v>160</v>
      </c>
      <c r="S44" s="3">
        <v>160</v>
      </c>
      <c r="T44" s="103">
        <f>IF(ISERROR(VLOOKUP($A44,'SegEnds_NonXtal_BW#'!$A:$Z,14,FALSE)+VLOOKUP($A44,A:AL,19,FALSE)-50),"-",(VLOOKUP($A44,'SegEnds_NonXtal_BW#'!$A:$Z,14,FALSE)+VLOOKUP($A44,A:AL,19,FALSE)-50))</f>
        <v>167</v>
      </c>
      <c r="U44" s="9">
        <f>IF(ISERROR(VLOOKUP($A44,'SegEnds_NonXtal_BW#'!$A:$Z,15,FALSE)+VLOOKUP($A44,A:AL,22,FALSE)-50),"-",VLOOKUP($A44,'SegEnds_NonXtal_BW#'!$A:$Z,15,FALSE)+VLOOKUP($A44,A:AL,22,FALSE)-50)</f>
        <v>168</v>
      </c>
      <c r="V44" s="3">
        <v>180</v>
      </c>
      <c r="W44" s="3">
        <f>IF(ISERROR(VLOOKUP($A44,'SegEnds_NonXtal_BW#'!$A:$Z,16,FALSE)+VLOOKUP($A44,A:AL,22,FALSE)-50),"-",(VLOOKUP($A44,'SegEnds_NonXtal_BW#'!$A:$Z,16,FALSE)+VLOOKUP($A44,A:AL,22,FALSE)-50))</f>
        <v>194</v>
      </c>
      <c r="X44" s="3">
        <f>IF(ISERROR(VLOOKUP($A44,'SegEnds_NonXtal_BW#'!$A:$Z,17,FALSE)+VLOOKUP($A44,A:AL,25,FALSE)-50),"-",(VLOOKUP($A44,'SegEnds_NonXtal_BW#'!$A:$Z,17,FALSE)+VLOOKUP($A44,A:AL,25,FALSE)-50))</f>
        <v>207</v>
      </c>
      <c r="Y44" s="3">
        <v>207</v>
      </c>
      <c r="Z44" s="3">
        <f t="shared" si="33"/>
        <v>209</v>
      </c>
      <c r="AA44" s="3">
        <f>IF(ISERROR(VLOOKUP($A44,'SegEnds_NonXtal_BW#'!$A:$Z,19,FALSE)+VLOOKUP($A44,A:AL,28,FALSE)-50),"-",(VLOOKUP($A44,'SegEnds_NonXtal_BW#'!$A:$Z,19,FALSE)+VLOOKUP($A44,A:AL,28,FALSE)-50))</f>
        <v>214</v>
      </c>
      <c r="AB44" s="3">
        <v>229</v>
      </c>
      <c r="AC44" s="3">
        <f>IF(ISERROR((VLOOKUP($A44,'SegEnds_NonXtal_BW#'!$A:$Z,20,FALSE)+VLOOKUP($A44,A:AL,28,FALSE)-50)),"-",(VLOOKUP($A44,'SegEnds_NonXtal_BW#'!$A:$Z,20,FALSE)+VLOOKUP($A44,A:AL,28,FALSE)-50))</f>
        <v>255</v>
      </c>
      <c r="AD44" s="3">
        <f>IF(ISERROR(VLOOKUP($A44,'SegEnds_NonXtal_BW#'!$A:$Z,21,FALSE)+VLOOKUP($A44,A:AL,31,FALSE)-50),"-",(VLOOKUP($A44,'SegEnds_NonXtal_BW#'!$A:$Z,21,FALSE)+VLOOKUP($A44,A:AL,31,FALSE)-50))</f>
        <v>313</v>
      </c>
      <c r="AE44" s="3">
        <v>339</v>
      </c>
      <c r="AF44" s="3">
        <f>IF(ISERROR((VLOOKUP($A44,'SegEnds_NonXtal_BW#'!$A:$Z,22,FALSE)+VLOOKUP($A44,A:AL,31,FALSE)-50)),"-",(VLOOKUP($A44,'SegEnds_NonXtal_BW#'!$A:$Z,22,FALSE)+VLOOKUP($A44,A:AL,31,FALSE)-50))</f>
        <v>350</v>
      </c>
      <c r="AG44" s="3">
        <f>IF(ISERROR(VLOOKUP($A44,'SegEnds_NonXtal_BW#'!$A:$Z,23,FALSE)+VLOOKUP($A44,A:AL,34,FALSE)-50),"-",(VLOOKUP($A44,'SegEnds_NonXtal_BW#'!$A:$Z,23,FALSE)+VLOOKUP($A44,A:AL,34,FALSE)-50))</f>
        <v>355</v>
      </c>
      <c r="AH44" s="3">
        <v>377</v>
      </c>
      <c r="AI44" s="3">
        <f>IF(ISERROR((VLOOKUP($A44,'SegEnds_NonXtal_BW#'!$A:$Z,24,FALSE)+VLOOKUP($A44,A:AL,34,FALSE)-50)),"-",(VLOOKUP($A44,'SegEnds_NonXtal_BW#'!$A:$Z,24,FALSE)+VLOOKUP($A44,A:AL,34,FALSE)-50))</f>
        <v>383</v>
      </c>
      <c r="AJ44" s="3">
        <f>IF(ISERROR(VLOOKUP($A44,'SegEnds_NonXtal_BW#'!$A:$Z,25,FALSE)+VLOOKUP($A44,A:AL,37,FALSE)-50),"-",(VLOOKUP($A44,'SegEnds_NonXtal_BW#'!$A:$Z,25,FALSE)+VLOOKUP($A44,A:AL,37,FALSE)-50))</f>
        <v>384</v>
      </c>
      <c r="AK44" s="3">
        <v>387</v>
      </c>
      <c r="AL44" s="3">
        <f>IF(ISERROR((VLOOKUP($A44,'SegEnds_NonXtal_BW#'!$A:$Z,26,FALSE)+VLOOKUP($A44,A:AL,37,FALSE)-50)),"-",(VLOOKUP($A44,'SegEnds_NonXtal_BW#'!$A:$Z,26,FALSE)+VLOOKUP($A44,A:AL,37,FALSE)-50))</f>
        <v>395</v>
      </c>
      <c r="AM44" s="28" t="str">
        <f>VLOOKUP(A44,Classification!A:B,2,FALSE)</f>
        <v>A</v>
      </c>
      <c r="AN44" s="28" t="b">
        <f t="shared" si="34"/>
        <v>1</v>
      </c>
      <c r="AO44" s="3" t="str">
        <f>IF(ISERROR(MATCH(A44,'SegEnds_Xtal_Prot#'!B:B, 0)), "NoXtal", "Xtal")</f>
        <v>Xtal</v>
      </c>
      <c r="AP44" s="3">
        <f t="shared" si="1"/>
        <v>1</v>
      </c>
      <c r="AQ44" s="3">
        <f t="shared" si="2"/>
        <v>1</v>
      </c>
      <c r="AR44" s="3">
        <f t="shared" si="3"/>
        <v>3</v>
      </c>
      <c r="AS44" s="3">
        <f t="shared" si="4"/>
        <v>1</v>
      </c>
      <c r="AT44" s="3">
        <f t="shared" si="5"/>
        <v>1</v>
      </c>
      <c r="AU44" s="3">
        <f t="shared" si="6"/>
        <v>1</v>
      </c>
      <c r="AV44" s="3">
        <f t="shared" si="7"/>
        <v>13</v>
      </c>
      <c r="AW44" s="3">
        <f t="shared" si="8"/>
        <v>5</v>
      </c>
      <c r="AX44" s="3">
        <f t="shared" si="9"/>
        <v>58</v>
      </c>
      <c r="AY44" s="3">
        <f t="shared" si="10"/>
        <v>5</v>
      </c>
      <c r="AZ44" s="3">
        <f t="shared" si="11"/>
        <v>1</v>
      </c>
      <c r="BA44" s="3">
        <f>IF(ISERROR(LEN(VLOOKUP(A44,Seqs!A:E,2,FALSE))-AL44),"-",LEN(VLOOKUP(A44,Seqs!A:E,2,FALSE))-AL44)</f>
        <v>86</v>
      </c>
      <c r="BB44" s="16">
        <f t="shared" si="12"/>
        <v>28</v>
      </c>
      <c r="BC44" s="9">
        <f t="shared" si="13"/>
        <v>20</v>
      </c>
      <c r="BD44" s="3">
        <f t="shared" si="14"/>
        <v>28</v>
      </c>
      <c r="BE44" s="3">
        <f t="shared" si="15"/>
        <v>110</v>
      </c>
    </row>
    <row r="45" spans="1:58" s="3" customFormat="1" x14ac:dyDescent="0.2">
      <c r="A45" s="3" t="s">
        <v>133</v>
      </c>
      <c r="B45" s="3" t="str">
        <f>LOWER(VLOOKUP(A45,Xtal_Templ!A:B,2,FALSE))</f>
        <v>5ht2b_human</v>
      </c>
      <c r="C45" s="3">
        <f>VLOOKUP($A45,'SegEnds_NonXtal_BW#'!$A:$Z,3,FALSE)+D45-50</f>
        <v>53</v>
      </c>
      <c r="D45" s="3">
        <v>71</v>
      </c>
      <c r="E45" s="3">
        <f>IF(ISERROR(VLOOKUP($A45,'SegEnds_NonXtal_BW#'!$A:$Z,4,FALSE)+VLOOKUP($A45,A:AL,4,FALSE)-50),"-",(VLOOKUP($A45,'SegEnds_NonXtal_BW#'!$A:$Z,4,FALSE)+VLOOKUP($A45,A:AL,4,FALSE)-50))</f>
        <v>81</v>
      </c>
      <c r="F45" s="3">
        <f t="shared" si="29"/>
        <v>82</v>
      </c>
      <c r="G45" s="3">
        <v>84</v>
      </c>
      <c r="H45" s="3">
        <f t="shared" si="30"/>
        <v>85</v>
      </c>
      <c r="I45" s="3">
        <f t="shared" si="30"/>
        <v>86</v>
      </c>
      <c r="J45" s="3">
        <v>99</v>
      </c>
      <c r="K45" s="3">
        <f>VLOOKUP($A45,'SegEnds_NonXtal_BW#'!$A:$Z,8,FALSE)+VLOOKUP($A45,A:AL,10,FALSE)-50</f>
        <v>116</v>
      </c>
      <c r="L45" s="3">
        <f t="shared" si="31"/>
        <v>119</v>
      </c>
      <c r="M45" s="3">
        <v>120</v>
      </c>
      <c r="N45" s="3">
        <f t="shared" si="32"/>
        <v>122</v>
      </c>
      <c r="O45" s="3">
        <f t="shared" si="28"/>
        <v>123</v>
      </c>
      <c r="P45" s="3">
        <v>152</v>
      </c>
      <c r="Q45" s="3">
        <f>VLOOKUP($A45,'SegEnds_NonXtal_BW#'!$A:$Z,12,FALSE)+VLOOKUP($A45,A:AL,16,FALSE)-50</f>
        <v>158</v>
      </c>
      <c r="R45" s="3">
        <f>IF(ISERROR(VLOOKUP($A45,'SegEnds_NonXtal_BW#'!$A:$Z,13,FALSE)+VLOOKUP($A45,A:AL,19,FALSE)-50),"-",VLOOKUP($A45,'SegEnds_NonXtal_BW#'!$A:$Z,13,FALSE)+VLOOKUP($A45,A:AL,19,FALSE)-50)</f>
        <v>159</v>
      </c>
      <c r="S45" s="3">
        <v>159</v>
      </c>
      <c r="T45" s="103">
        <f>IF(ISERROR(VLOOKUP($A45,'SegEnds_NonXtal_BW#'!$A:$Z,14,FALSE)+VLOOKUP($A45,A:AL,19,FALSE)-50),"-",(VLOOKUP($A45,'SegEnds_NonXtal_BW#'!$A:$Z,14,FALSE)+VLOOKUP($A45,A:AL,19,FALSE)-50))</f>
        <v>166</v>
      </c>
      <c r="U45" s="9">
        <f>IF(ISERROR(VLOOKUP($A45,'SegEnds_NonXtal_BW#'!$A:$Z,15,FALSE)+VLOOKUP($A45,A:AL,22,FALSE)-50),"-",VLOOKUP($A45,'SegEnds_NonXtal_BW#'!$A:$Z,15,FALSE)+VLOOKUP($A45,A:AL,22,FALSE)-50)</f>
        <v>167</v>
      </c>
      <c r="V45" s="3">
        <v>179</v>
      </c>
      <c r="W45" s="3">
        <f>IF(ISERROR(VLOOKUP($A45,'SegEnds_NonXtal_BW#'!$A:$Z,16,FALSE)+VLOOKUP($A45,A:AL,22,FALSE)-50),"-",(VLOOKUP($A45,'SegEnds_NonXtal_BW#'!$A:$Z,16,FALSE)+VLOOKUP($A45,A:AL,22,FALSE)-50))</f>
        <v>193</v>
      </c>
      <c r="X45" s="3">
        <f>IF(ISERROR(VLOOKUP($A45,'SegEnds_NonXtal_BW#'!$A:$Z,17,FALSE)+VLOOKUP($A45,A:AL,25,FALSE)-50),"-",(VLOOKUP($A45,'SegEnds_NonXtal_BW#'!$A:$Z,17,FALSE)+VLOOKUP($A45,A:AL,25,FALSE)-50))</f>
        <v>207</v>
      </c>
      <c r="Y45" s="3">
        <v>207</v>
      </c>
      <c r="Z45" s="3">
        <f t="shared" si="33"/>
        <v>209</v>
      </c>
      <c r="AA45" s="3">
        <f>IF(ISERROR(VLOOKUP($A45,'SegEnds_NonXtal_BW#'!$A:$Z,19,FALSE)+VLOOKUP($A45,A:AL,28,FALSE)-50),"-",(VLOOKUP($A45,'SegEnds_NonXtal_BW#'!$A:$Z,19,FALSE)+VLOOKUP($A45,A:AL,28,FALSE)-50))</f>
        <v>211</v>
      </c>
      <c r="AB45" s="3">
        <v>226</v>
      </c>
      <c r="AC45" s="3">
        <f>IF(ISERROR((VLOOKUP($A45,'SegEnds_NonXtal_BW#'!$A:$Z,20,FALSE)+VLOOKUP($A45,A:AL,28,FALSE)-50)),"-",(VLOOKUP($A45,'SegEnds_NonXtal_BW#'!$A:$Z,20,FALSE)+VLOOKUP($A45,A:AL,28,FALSE)-50))</f>
        <v>250</v>
      </c>
      <c r="AD45" s="3">
        <f>IF(ISERROR(VLOOKUP($A45,'SegEnds_NonXtal_BW#'!$A:$Z,21,FALSE)+VLOOKUP($A45,A:AL,31,FALSE)-50),"-",(VLOOKUP($A45,'SegEnds_NonXtal_BW#'!$A:$Z,21,FALSE)+VLOOKUP($A45,A:AL,31,FALSE)-50))</f>
        <v>300</v>
      </c>
      <c r="AE45" s="3">
        <v>326</v>
      </c>
      <c r="AF45" s="3">
        <f>IF(ISERROR((VLOOKUP($A45,'SegEnds_NonXtal_BW#'!$A:$Z,22,FALSE)+VLOOKUP($A45,A:AL,31,FALSE)-50)),"-",(VLOOKUP($A45,'SegEnds_NonXtal_BW#'!$A:$Z,22,FALSE)+VLOOKUP($A45,A:AL,31,FALSE)-50))</f>
        <v>337</v>
      </c>
      <c r="AG45" s="3">
        <f>IF(ISERROR(VLOOKUP($A45,'SegEnds_NonXtal_BW#'!$A:$Z,23,FALSE)+VLOOKUP($A45,A:AL,34,FALSE)-50),"-",(VLOOKUP($A45,'SegEnds_NonXtal_BW#'!$A:$Z,23,FALSE)+VLOOKUP($A45,A:AL,34,FALSE)-50))</f>
        <v>343</v>
      </c>
      <c r="AH45" s="3">
        <v>365</v>
      </c>
      <c r="AI45" s="3">
        <f>IF(ISERROR((VLOOKUP($A45,'SegEnds_NonXtal_BW#'!$A:$Z,24,FALSE)+VLOOKUP($A45,A:AL,34,FALSE)-50)),"-",(VLOOKUP($A45,'SegEnds_NonXtal_BW#'!$A:$Z,24,FALSE)+VLOOKUP($A45,A:AL,34,FALSE)-50))</f>
        <v>371</v>
      </c>
      <c r="AJ45" s="3">
        <f>IF(ISERROR(VLOOKUP($A45,'SegEnds_NonXtal_BW#'!$A:$Z,25,FALSE)+VLOOKUP($A45,A:AL,37,FALSE)-50),"-",(VLOOKUP($A45,'SegEnds_NonXtal_BW#'!$A:$Z,25,FALSE)+VLOOKUP($A45,A:AL,37,FALSE)-50))</f>
        <v>372</v>
      </c>
      <c r="AK45" s="3">
        <v>375</v>
      </c>
      <c r="AL45" s="3">
        <f>IF(ISERROR((VLOOKUP($A45,'SegEnds_NonXtal_BW#'!$A:$Z,26,FALSE)+VLOOKUP($A45,A:AL,37,FALSE)-50)),"-",(VLOOKUP($A45,'SegEnds_NonXtal_BW#'!$A:$Z,26,FALSE)+VLOOKUP($A45,A:AL,37,FALSE)-50))</f>
        <v>383</v>
      </c>
      <c r="AM45" s="28" t="str">
        <f>VLOOKUP(A45,Classification!A:B,2,FALSE)</f>
        <v>A</v>
      </c>
      <c r="AN45" s="28" t="b">
        <f t="shared" si="34"/>
        <v>1</v>
      </c>
      <c r="AO45" s="3" t="str">
        <f>IF(ISERROR(MATCH(A45,'SegEnds_Xtal_Prot#'!B:B, 0)), "NoXtal", "Xtal")</f>
        <v>NoXtal</v>
      </c>
      <c r="AP45" s="3">
        <f t="shared" si="1"/>
        <v>1</v>
      </c>
      <c r="AQ45" s="3">
        <f t="shared" si="2"/>
        <v>1</v>
      </c>
      <c r="AR45" s="3">
        <f t="shared" si="3"/>
        <v>3</v>
      </c>
      <c r="AS45" s="3">
        <f t="shared" si="4"/>
        <v>1</v>
      </c>
      <c r="AT45" s="3">
        <f t="shared" si="5"/>
        <v>1</v>
      </c>
      <c r="AU45" s="3">
        <f t="shared" si="6"/>
        <v>1</v>
      </c>
      <c r="AV45" s="3">
        <f t="shared" si="7"/>
        <v>14</v>
      </c>
      <c r="AW45" s="3">
        <f t="shared" si="8"/>
        <v>2</v>
      </c>
      <c r="AX45" s="3">
        <f t="shared" si="9"/>
        <v>50</v>
      </c>
      <c r="AY45" s="3">
        <f t="shared" si="10"/>
        <v>6</v>
      </c>
      <c r="AZ45" s="3">
        <f t="shared" si="11"/>
        <v>1</v>
      </c>
      <c r="BA45" s="3">
        <f>IF(ISERROR(LEN(VLOOKUP(A45,Seqs!A:E,2,FALSE))-AL45),"-",LEN(VLOOKUP(A45,Seqs!A:E,2,FALSE))-AL45)</f>
        <v>75</v>
      </c>
      <c r="BB45" s="16">
        <f t="shared" si="12"/>
        <v>28</v>
      </c>
      <c r="BC45" s="9">
        <f t="shared" si="13"/>
        <v>20</v>
      </c>
      <c r="BD45" s="3">
        <f t="shared" si="14"/>
        <v>28</v>
      </c>
      <c r="BE45" s="3">
        <f t="shared" si="15"/>
        <v>100</v>
      </c>
    </row>
    <row r="46" spans="1:58" s="3" customFormat="1" x14ac:dyDescent="0.2">
      <c r="A46" s="3" t="s">
        <v>134</v>
      </c>
      <c r="B46" s="3" t="str">
        <f>LOWER(VLOOKUP(A46,Xtal_Templ!A:B,2,FALSE))</f>
        <v>adrb2_human</v>
      </c>
      <c r="C46" s="3">
        <f>VLOOKUP($A46,'SegEnds_NonXtal_BW#'!$A:$Z,3,FALSE)+D46-50</f>
        <v>12</v>
      </c>
      <c r="D46" s="3">
        <v>37</v>
      </c>
      <c r="E46" s="3">
        <f>IF(ISERROR(VLOOKUP($A46,'SegEnds_NonXtal_BW#'!$A:$Z,4,FALSE)+VLOOKUP($A46,A:AL,4,FALSE)-50),"-",(VLOOKUP($A46,'SegEnds_NonXtal_BW#'!$A:$Z,4,FALSE)+VLOOKUP($A46,A:AL,4,FALSE)-50))</f>
        <v>47</v>
      </c>
      <c r="F46" s="3">
        <f t="shared" si="29"/>
        <v>48</v>
      </c>
      <c r="G46" s="3">
        <v>50</v>
      </c>
      <c r="H46" s="3">
        <f t="shared" si="30"/>
        <v>51</v>
      </c>
      <c r="I46" s="3">
        <f t="shared" si="30"/>
        <v>52</v>
      </c>
      <c r="J46" s="3">
        <v>66</v>
      </c>
      <c r="K46" s="3">
        <f>VLOOKUP($A46,'SegEnds_NonXtal_BW#'!$A:$Z,8,FALSE)+VLOOKUP($A46,A:AL,10,FALSE)-50</f>
        <v>83</v>
      </c>
      <c r="L46" s="3">
        <f t="shared" si="31"/>
        <v>85</v>
      </c>
      <c r="M46" s="3">
        <v>86</v>
      </c>
      <c r="N46" s="3">
        <f t="shared" si="32"/>
        <v>88</v>
      </c>
      <c r="O46" s="3">
        <f t="shared" si="28"/>
        <v>89</v>
      </c>
      <c r="P46" s="3">
        <v>118</v>
      </c>
      <c r="Q46" s="3">
        <f>VLOOKUP($A46,'SegEnds_NonXtal_BW#'!$A:$Z,12,FALSE)+VLOOKUP($A46,A:AL,16,FALSE)-50</f>
        <v>124</v>
      </c>
      <c r="R46" s="3">
        <f>IF(ISERROR(VLOOKUP($A46,'SegEnds_NonXtal_BW#'!$A:$Z,13,FALSE)+VLOOKUP($A46,A:AL,19,FALSE)-50),"-",VLOOKUP($A46,'SegEnds_NonXtal_BW#'!$A:$Z,13,FALSE)+VLOOKUP($A46,A:AL,19,FALSE)-50)</f>
        <v>126</v>
      </c>
      <c r="S46" s="3">
        <v>126</v>
      </c>
      <c r="T46" s="103">
        <f>IF(ISERROR(VLOOKUP($A46,'SegEnds_NonXtal_BW#'!$A:$Z,14,FALSE)+VLOOKUP($A46,A:AL,19,FALSE)-50),"-",(VLOOKUP($A46,'SegEnds_NonXtal_BW#'!$A:$Z,14,FALSE)+VLOOKUP($A46,A:AL,19,FALSE)-50))</f>
        <v>133</v>
      </c>
      <c r="U46" s="9">
        <f>IF(ISERROR(VLOOKUP($A46,'SegEnds_NonXtal_BW#'!$A:$Z,15,FALSE)+VLOOKUP($A46,A:AL,22,FALSE)-50),"-",VLOOKUP($A46,'SegEnds_NonXtal_BW#'!$A:$Z,15,FALSE)+VLOOKUP($A46,A:AL,22,FALSE)-50)</f>
        <v>134</v>
      </c>
      <c r="V46" s="3">
        <v>146</v>
      </c>
      <c r="W46" s="3">
        <f>IF(ISERROR(VLOOKUP($A46,'SegEnds_NonXtal_BW#'!$A:$Z,16,FALSE)+VLOOKUP($A46,A:AL,22,FALSE)-50),"-",(VLOOKUP($A46,'SegEnds_NonXtal_BW#'!$A:$Z,16,FALSE)+VLOOKUP($A46,A:AL,22,FALSE)-50))</f>
        <v>160</v>
      </c>
      <c r="X46" s="3">
        <f>IF(ISERROR(VLOOKUP($A46,'SegEnds_NonXtal_BW#'!$A:$Z,17,FALSE)+VLOOKUP($A46,A:AL,25,FALSE)-50),"-",(VLOOKUP($A46,'SegEnds_NonXtal_BW#'!$A:$Z,17,FALSE)+VLOOKUP($A46,A:AL,25,FALSE)-50))</f>
        <v>184</v>
      </c>
      <c r="Y46" s="3">
        <v>184</v>
      </c>
      <c r="Z46" s="3">
        <f t="shared" si="33"/>
        <v>186</v>
      </c>
      <c r="AA46" s="3">
        <f>IF(ISERROR(VLOOKUP($A46,'SegEnds_NonXtal_BW#'!$A:$Z,19,FALSE)+VLOOKUP($A46,A:AL,28,FALSE)-50),"-",(VLOOKUP($A46,'SegEnds_NonXtal_BW#'!$A:$Z,19,FALSE)+VLOOKUP($A46,A:AL,28,FALSE)-50))</f>
        <v>189</v>
      </c>
      <c r="AB46" s="3">
        <v>204</v>
      </c>
      <c r="AC46" s="3">
        <f>IF(ISERROR((VLOOKUP($A46,'SegEnds_NonXtal_BW#'!$A:$Z,20,FALSE)+VLOOKUP($A46,A:AL,28,FALSE)-50)),"-",(VLOOKUP($A46,'SegEnds_NonXtal_BW#'!$A:$Z,20,FALSE)+VLOOKUP($A46,A:AL,28,FALSE)-50))</f>
        <v>230</v>
      </c>
      <c r="AD46" s="3">
        <f>IF(ISERROR(VLOOKUP($A46,'SegEnds_NonXtal_BW#'!$A:$Z,21,FALSE)+VLOOKUP($A46,A:AL,31,FALSE)-50),"-",(VLOOKUP($A46,'SegEnds_NonXtal_BW#'!$A:$Z,21,FALSE)+VLOOKUP($A46,A:AL,31,FALSE)-50))</f>
        <v>248</v>
      </c>
      <c r="AE46" s="3">
        <v>274</v>
      </c>
      <c r="AF46" s="3">
        <f>IF(ISERROR((VLOOKUP($A46,'SegEnds_NonXtal_BW#'!$A:$Z,22,FALSE)+VLOOKUP($A46,A:AL,31,FALSE)-50)),"-",(VLOOKUP($A46,'SegEnds_NonXtal_BW#'!$A:$Z,22,FALSE)+VLOOKUP($A46,A:AL,31,FALSE)-50))</f>
        <v>285</v>
      </c>
      <c r="AG46" s="3">
        <f>IF(ISERROR(VLOOKUP($A46,'SegEnds_NonXtal_BW#'!$A:$Z,23,FALSE)+VLOOKUP($A46,A:AL,34,FALSE)-50),"-",(VLOOKUP($A46,'SegEnds_NonXtal_BW#'!$A:$Z,23,FALSE)+VLOOKUP($A46,A:AL,34,FALSE)-50))</f>
        <v>290</v>
      </c>
      <c r="AH46" s="3">
        <v>309</v>
      </c>
      <c r="AI46" s="3">
        <v>315</v>
      </c>
      <c r="AJ46" s="3">
        <f>IF(ISERROR(VLOOKUP($A46,'SegEnds_NonXtal_BW#'!$A:$Z,25,FALSE)+VLOOKUP($A46,A:AL,37,FALSE)-50),"-",(VLOOKUP($A46,'SegEnds_NonXtal_BW#'!$A:$Z,25,FALSE)+VLOOKUP($A46,A:AL,37,FALSE)-50))</f>
        <v>316</v>
      </c>
      <c r="AK46" s="3">
        <v>319</v>
      </c>
      <c r="AL46" s="3">
        <f>IF(ISERROR((VLOOKUP($A46,'SegEnds_NonXtal_BW#'!$A:$Z,26,FALSE)+VLOOKUP($A46,A:AL,37,FALSE)-50)),"-",(VLOOKUP($A46,'SegEnds_NonXtal_BW#'!$A:$Z,26,FALSE)+VLOOKUP($A46,A:AL,37,FALSE)-50))</f>
        <v>328</v>
      </c>
      <c r="AM46" s="28" t="str">
        <f>VLOOKUP(A46,Classification!A:B,2,FALSE)</f>
        <v>A</v>
      </c>
      <c r="AN46" s="28" t="b">
        <f t="shared" si="34"/>
        <v>1</v>
      </c>
      <c r="AO46" s="3" t="str">
        <f>IF(ISERROR(MATCH(A46,'SegEnds_Xtal_Prot#'!B:B, 0)), "NoXtal", "Xtal")</f>
        <v>NoXtal</v>
      </c>
      <c r="AP46" s="3">
        <f t="shared" si="1"/>
        <v>1</v>
      </c>
      <c r="AQ46" s="3">
        <f t="shared" si="2"/>
        <v>1</v>
      </c>
      <c r="AR46" s="3">
        <f t="shared" si="3"/>
        <v>2</v>
      </c>
      <c r="AS46" s="3">
        <f t="shared" si="4"/>
        <v>1</v>
      </c>
      <c r="AT46" s="3">
        <f t="shared" si="5"/>
        <v>2</v>
      </c>
      <c r="AU46" s="3">
        <f t="shared" si="6"/>
        <v>1</v>
      </c>
      <c r="AV46" s="3">
        <f t="shared" si="7"/>
        <v>24</v>
      </c>
      <c r="AW46" s="3">
        <f t="shared" si="8"/>
        <v>3</v>
      </c>
      <c r="AX46" s="3">
        <f t="shared" si="9"/>
        <v>18</v>
      </c>
      <c r="AY46" s="3">
        <f t="shared" si="10"/>
        <v>5</v>
      </c>
      <c r="AZ46" s="3">
        <f t="shared" si="11"/>
        <v>1</v>
      </c>
      <c r="BA46" s="3">
        <f>IF(ISERROR(LEN(VLOOKUP(A46,Seqs!A:E,2,FALSE))-AL46),"-",LEN(VLOOKUP(A46,Seqs!A:E,2,FALSE))-AL46)</f>
        <v>60</v>
      </c>
      <c r="BB46" s="16">
        <f t="shared" si="12"/>
        <v>29</v>
      </c>
      <c r="BC46" s="9">
        <f t="shared" si="13"/>
        <v>20</v>
      </c>
      <c r="BD46" s="3">
        <f t="shared" si="14"/>
        <v>29</v>
      </c>
      <c r="BE46" s="3">
        <f t="shared" si="15"/>
        <v>70</v>
      </c>
    </row>
    <row r="47" spans="1:58" s="3" customFormat="1" x14ac:dyDescent="0.2">
      <c r="A47" s="3" t="s">
        <v>135</v>
      </c>
      <c r="B47" s="3" t="str">
        <f>LOWER(VLOOKUP(A47,Xtal_Templ!A:B,2,FALSE))</f>
        <v>5ht1b_human</v>
      </c>
      <c r="C47" s="3">
        <f>VLOOKUP($A47,'SegEnds_NonXtal_BW#'!$A:$Z,3,FALSE)+D47-50</f>
        <v>37</v>
      </c>
      <c r="D47" s="3">
        <v>58</v>
      </c>
      <c r="E47" s="3">
        <f>IF(ISERROR(VLOOKUP($A47,'SegEnds_NonXtal_BW#'!$A:$Z,4,FALSE)+VLOOKUP($A47,A:AL,4,FALSE)-50),"-",(VLOOKUP($A47,'SegEnds_NonXtal_BW#'!$A:$Z,4,FALSE)+VLOOKUP($A47,A:AL,4,FALSE)-50))</f>
        <v>68</v>
      </c>
      <c r="F47" s="3">
        <f t="shared" si="29"/>
        <v>69</v>
      </c>
      <c r="G47" s="3">
        <v>71</v>
      </c>
      <c r="H47" s="3">
        <f t="shared" si="30"/>
        <v>72</v>
      </c>
      <c r="I47" s="3">
        <f t="shared" si="30"/>
        <v>73</v>
      </c>
      <c r="J47" s="3">
        <v>86</v>
      </c>
      <c r="K47" s="3">
        <f>VLOOKUP($A47,'SegEnds_NonXtal_BW#'!$A:$Z,8,FALSE)+VLOOKUP($A47,A:AL,10,FALSE)-50</f>
        <v>103</v>
      </c>
      <c r="L47" s="3">
        <f t="shared" si="31"/>
        <v>106</v>
      </c>
      <c r="M47" s="3">
        <v>107</v>
      </c>
      <c r="N47" s="3">
        <f t="shared" si="32"/>
        <v>109</v>
      </c>
      <c r="O47" s="3">
        <f t="shared" si="28"/>
        <v>110</v>
      </c>
      <c r="P47" s="3">
        <v>139</v>
      </c>
      <c r="Q47" s="3">
        <f>VLOOKUP($A47,'SegEnds_NonXtal_BW#'!$A:$Z,12,FALSE)+VLOOKUP($A47,A:AL,16,FALSE)-50</f>
        <v>145</v>
      </c>
      <c r="R47" s="3">
        <f>IF(ISERROR(VLOOKUP($A47,'SegEnds_NonXtal_BW#'!$A:$Z,13,FALSE)+VLOOKUP($A47,A:AL,19,FALSE)-50),"-",VLOOKUP($A47,'SegEnds_NonXtal_BW#'!$A:$Z,13,FALSE)+VLOOKUP($A47,A:AL,19,FALSE)-50)</f>
        <v>146</v>
      </c>
      <c r="S47" s="3">
        <v>146</v>
      </c>
      <c r="T47" s="103">
        <f>IF(ISERROR(VLOOKUP($A47,'SegEnds_NonXtal_BW#'!$A:$Z,14,FALSE)+VLOOKUP($A47,A:AL,19,FALSE)-50),"-",(VLOOKUP($A47,'SegEnds_NonXtal_BW#'!$A:$Z,14,FALSE)+VLOOKUP($A47,A:AL,19,FALSE)-50))</f>
        <v>153</v>
      </c>
      <c r="U47" s="9">
        <f>IF(ISERROR(VLOOKUP($A47,'SegEnds_NonXtal_BW#'!$A:$Z,15,FALSE)+VLOOKUP($A47,A:AL,22,FALSE)-50),"-",VLOOKUP($A47,'SegEnds_NonXtal_BW#'!$A:$Z,15,FALSE)+VLOOKUP($A47,A:AL,22,FALSE)-50)</f>
        <v>154</v>
      </c>
      <c r="V47" s="3">
        <v>166</v>
      </c>
      <c r="W47" s="3">
        <f>IF(ISERROR(VLOOKUP($A47,'SegEnds_NonXtal_BW#'!$A:$Z,16,FALSE)+VLOOKUP($A47,A:AL,22,FALSE)-50),"-",(VLOOKUP($A47,'SegEnds_NonXtal_BW#'!$A:$Z,16,FALSE)+VLOOKUP($A47,A:AL,22,FALSE)-50))</f>
        <v>179</v>
      </c>
      <c r="X47" s="3">
        <f>IF(ISERROR(VLOOKUP($A47,'SegEnds_NonXtal_BW#'!$A:$Z,17,FALSE)+VLOOKUP($A47,A:AL,25,FALSE)-50),"-",(VLOOKUP($A47,'SegEnds_NonXtal_BW#'!$A:$Z,17,FALSE)+VLOOKUP($A47,A:AL,25,FALSE)-50))</f>
        <v>192</v>
      </c>
      <c r="Y47" s="3">
        <v>192</v>
      </c>
      <c r="Z47" s="3">
        <f t="shared" si="33"/>
        <v>194</v>
      </c>
      <c r="AA47" s="3">
        <f>IF(ISERROR(VLOOKUP($A47,'SegEnds_NonXtal_BW#'!$A:$Z,19,FALSE)+VLOOKUP($A47,A:AL,28,FALSE)-50),"-",(VLOOKUP($A47,'SegEnds_NonXtal_BW#'!$A:$Z,19,FALSE)+VLOOKUP($A47,A:AL,28,FALSE)-50))</f>
        <v>197</v>
      </c>
      <c r="AB47" s="3">
        <v>212</v>
      </c>
      <c r="AC47" s="3">
        <f>IF(ISERROR((VLOOKUP($A47,'SegEnds_NonXtal_BW#'!$A:$Z,20,FALSE)+VLOOKUP($A47,A:AL,28,FALSE)-50)),"-",(VLOOKUP($A47,'SegEnds_NonXtal_BW#'!$A:$Z,20,FALSE)+VLOOKUP($A47,A:AL,28,FALSE)-50))</f>
        <v>238</v>
      </c>
      <c r="AD47" s="3">
        <f>IF(ISERROR(VLOOKUP($A47,'SegEnds_NonXtal_BW#'!$A:$Z,21,FALSE)+VLOOKUP($A47,A:AL,31,FALSE)-50),"-",(VLOOKUP($A47,'SegEnds_NonXtal_BW#'!$A:$Z,21,FALSE)+VLOOKUP($A47,A:AL,31,FALSE)-50))</f>
        <v>274</v>
      </c>
      <c r="AE47" s="3">
        <v>300</v>
      </c>
      <c r="AF47" s="3">
        <f>IF(ISERROR((VLOOKUP($A47,'SegEnds_NonXtal_BW#'!$A:$Z,22,FALSE)+VLOOKUP($A47,A:AL,31,FALSE)-50)),"-",(VLOOKUP($A47,'SegEnds_NonXtal_BW#'!$A:$Z,22,FALSE)+VLOOKUP($A47,A:AL,31,FALSE)-50))</f>
        <v>311</v>
      </c>
      <c r="AG47" s="3">
        <f>IF(ISERROR(VLOOKUP($A47,'SegEnds_NonXtal_BW#'!$A:$Z,23,FALSE)+VLOOKUP($A47,A:AL,34,FALSE)-50),"-",(VLOOKUP($A47,'SegEnds_NonXtal_BW#'!$A:$Z,23,FALSE)+VLOOKUP($A47,A:AL,34,FALSE)-50))</f>
        <v>316</v>
      </c>
      <c r="AH47" s="3">
        <v>335</v>
      </c>
      <c r="AI47" s="3">
        <f>IF(ISERROR((VLOOKUP($A47,'SegEnds_NonXtal_BW#'!$A:$Z,24,FALSE)+VLOOKUP($A47,A:AL,34,FALSE)-50)),"-",(VLOOKUP($A47,'SegEnds_NonXtal_BW#'!$A:$Z,24,FALSE)+VLOOKUP($A47,A:AL,34,FALSE)-50))</f>
        <v>341</v>
      </c>
      <c r="AJ47" s="3">
        <f>IF(ISERROR(VLOOKUP($A47,'SegEnds_NonXtal_BW#'!$A:$Z,25,FALSE)+VLOOKUP($A47,A:AL,37,FALSE)-50),"-",(VLOOKUP($A47,'SegEnds_NonXtal_BW#'!$A:$Z,25,FALSE)+VLOOKUP($A47,A:AL,37,FALSE)-50))</f>
        <v>342</v>
      </c>
      <c r="AK47" s="3">
        <v>345</v>
      </c>
      <c r="AL47" s="3">
        <f>IF(ISERROR((VLOOKUP($A47,'SegEnds_NonXtal_BW#'!$A:$Z,26,FALSE)+VLOOKUP($A47,A:AL,37,FALSE)-50)),"-",(VLOOKUP($A47,'SegEnds_NonXtal_BW#'!$A:$Z,26,FALSE)+VLOOKUP($A47,A:AL,37,FALSE)-50))</f>
        <v>353</v>
      </c>
      <c r="AM47" s="28" t="str">
        <f>VLOOKUP(A47,Classification!A:B,2,FALSE)</f>
        <v>A</v>
      </c>
      <c r="AN47" s="28" t="b">
        <f t="shared" si="34"/>
        <v>1</v>
      </c>
      <c r="AO47" s="3" t="str">
        <f>IF(ISERROR(MATCH(A47,'SegEnds_Xtal_Prot#'!B:B, 0)), "NoXtal", "Xtal")</f>
        <v>NoXtal</v>
      </c>
      <c r="AP47" s="3">
        <f t="shared" si="1"/>
        <v>1</v>
      </c>
      <c r="AQ47" s="3">
        <f t="shared" si="2"/>
        <v>1</v>
      </c>
      <c r="AR47" s="3">
        <f t="shared" si="3"/>
        <v>3</v>
      </c>
      <c r="AS47" s="3">
        <f t="shared" si="4"/>
        <v>1</v>
      </c>
      <c r="AT47" s="3">
        <f t="shared" si="5"/>
        <v>1</v>
      </c>
      <c r="AU47" s="3">
        <f t="shared" si="6"/>
        <v>1</v>
      </c>
      <c r="AV47" s="3">
        <f t="shared" si="7"/>
        <v>13</v>
      </c>
      <c r="AW47" s="3">
        <f t="shared" si="8"/>
        <v>3</v>
      </c>
      <c r="AX47" s="3">
        <f t="shared" si="9"/>
        <v>36</v>
      </c>
      <c r="AY47" s="3">
        <f t="shared" si="10"/>
        <v>5</v>
      </c>
      <c r="AZ47" s="3">
        <f t="shared" si="11"/>
        <v>1</v>
      </c>
      <c r="BA47" s="3">
        <f>IF(ISERROR(LEN(VLOOKUP(A47,Seqs!A:E,2,FALSE))-AL47),"-",LEN(VLOOKUP(A47,Seqs!A:E,2,FALSE))-AL47)</f>
        <v>4</v>
      </c>
      <c r="BB47" s="16">
        <f t="shared" si="12"/>
        <v>28</v>
      </c>
      <c r="BC47" s="9">
        <f t="shared" si="13"/>
        <v>20</v>
      </c>
      <c r="BD47" s="3">
        <f t="shared" si="14"/>
        <v>28</v>
      </c>
      <c r="BE47" s="3">
        <f t="shared" si="15"/>
        <v>88</v>
      </c>
      <c r="BF47" s="3">
        <f>AH47-AE47</f>
        <v>35</v>
      </c>
    </row>
    <row r="48" spans="1:58" s="3" customFormat="1" x14ac:dyDescent="0.2">
      <c r="A48" s="3" t="s">
        <v>136</v>
      </c>
      <c r="B48" s="3" t="str">
        <f>LOWER(VLOOKUP(A48,Xtal_Templ!A:B,2,FALSE))</f>
        <v>5ht2b_human</v>
      </c>
      <c r="C48" s="3">
        <f>VLOOKUP($A48,'SegEnds_NonXtal_BW#'!$A:$Z,3,FALSE)+D48-50</f>
        <v>26</v>
      </c>
      <c r="D48" s="3">
        <v>44</v>
      </c>
      <c r="E48" s="3">
        <f>IF(ISERROR(VLOOKUP($A48,'SegEnds_NonXtal_BW#'!$A:$Z,4,FALSE)+VLOOKUP($A48,A:AL,4,FALSE)-50),"-",(VLOOKUP($A48,'SegEnds_NonXtal_BW#'!$A:$Z,4,FALSE)+VLOOKUP($A48,A:AL,4,FALSE)-50))</f>
        <v>54</v>
      </c>
      <c r="F48" s="3">
        <f t="shared" si="29"/>
        <v>55</v>
      </c>
      <c r="G48" s="3">
        <v>57</v>
      </c>
      <c r="H48" s="3">
        <f t="shared" si="30"/>
        <v>58</v>
      </c>
      <c r="I48" s="3">
        <f t="shared" si="30"/>
        <v>59</v>
      </c>
      <c r="J48" s="3">
        <v>72</v>
      </c>
      <c r="K48" s="3">
        <f>VLOOKUP($A48,'SegEnds_NonXtal_BW#'!$A:$Z,8,FALSE)+VLOOKUP($A48,A:AL,10,FALSE)-50</f>
        <v>89</v>
      </c>
      <c r="L48" s="3">
        <f t="shared" si="31"/>
        <v>91</v>
      </c>
      <c r="M48" s="3">
        <v>92</v>
      </c>
      <c r="N48" s="3">
        <f t="shared" si="32"/>
        <v>94</v>
      </c>
      <c r="O48" s="3">
        <f t="shared" si="28"/>
        <v>95</v>
      </c>
      <c r="P48" s="3">
        <v>124</v>
      </c>
      <c r="Q48" s="3">
        <f>VLOOKUP($A48,'SegEnds_NonXtal_BW#'!$A:$Z,12,FALSE)+VLOOKUP($A48,A:AL,16,FALSE)-50</f>
        <v>130</v>
      </c>
      <c r="R48" s="3">
        <f>IF(ISERROR(VLOOKUP($A48,'SegEnds_NonXtal_BW#'!$A:$Z,13,FALSE)+VLOOKUP($A48,A:AL,19,FALSE)-50),"-",VLOOKUP($A48,'SegEnds_NonXtal_BW#'!$A:$Z,13,FALSE)+VLOOKUP($A48,A:AL,19,FALSE)-50)</f>
        <v>131</v>
      </c>
      <c r="S48" s="3">
        <v>131</v>
      </c>
      <c r="T48" s="103">
        <f>IF(ISERROR(VLOOKUP($A48,'SegEnds_NonXtal_BW#'!$A:$Z,14,FALSE)+VLOOKUP($A48,A:AL,19,FALSE)-50),"-",(VLOOKUP($A48,'SegEnds_NonXtal_BW#'!$A:$Z,14,FALSE)+VLOOKUP($A48,A:AL,19,FALSE)-50))</f>
        <v>138</v>
      </c>
      <c r="U48" s="9">
        <f>IF(ISERROR(VLOOKUP($A48,'SegEnds_NonXtal_BW#'!$A:$Z,15,FALSE)+VLOOKUP($A48,A:AL,22,FALSE)-50),"-",VLOOKUP($A48,'SegEnds_NonXtal_BW#'!$A:$Z,15,FALSE)+VLOOKUP($A48,A:AL,22,FALSE)-50)</f>
        <v>139</v>
      </c>
      <c r="V48" s="3">
        <v>151</v>
      </c>
      <c r="W48" s="3">
        <f>IF(ISERROR(VLOOKUP($A48,'SegEnds_NonXtal_BW#'!$A:$Z,16,FALSE)+VLOOKUP($A48,A:AL,22,FALSE)-50),"-",(VLOOKUP($A48,'SegEnds_NonXtal_BW#'!$A:$Z,16,FALSE)+VLOOKUP($A48,A:AL,22,FALSE)-50))</f>
        <v>165</v>
      </c>
      <c r="X48" s="3">
        <f>IF(ISERROR(VLOOKUP($A48,'SegEnds_NonXtal_BW#'!$A:$Z,17,FALSE)+VLOOKUP($A48,A:AL,25,FALSE)-50),"-",(VLOOKUP($A48,'SegEnds_NonXtal_BW#'!$A:$Z,17,FALSE)+VLOOKUP($A48,A:AL,25,FALSE)-50))</f>
        <v>180</v>
      </c>
      <c r="Y48" s="3">
        <v>180</v>
      </c>
      <c r="Z48" s="3">
        <f t="shared" si="33"/>
        <v>182</v>
      </c>
      <c r="AA48" s="3">
        <f>IF(ISERROR(VLOOKUP($A48,'SegEnds_NonXtal_BW#'!$A:$Z,19,FALSE)+VLOOKUP($A48,A:AL,28,FALSE)-50),"-",(VLOOKUP($A48,'SegEnds_NonXtal_BW#'!$A:$Z,19,FALSE)+VLOOKUP($A48,A:AL,28,FALSE)-50))</f>
        <v>185</v>
      </c>
      <c r="AB48" s="3">
        <v>200</v>
      </c>
      <c r="AC48" s="3">
        <f>IF(ISERROR((VLOOKUP($A48,'SegEnds_NonXtal_BW#'!$A:$Z,20,FALSE)+VLOOKUP($A48,A:AL,28,FALSE)-50)),"-",(VLOOKUP($A48,'SegEnds_NonXtal_BW#'!$A:$Z,20,FALSE)+VLOOKUP($A48,A:AL,28,FALSE)-50))</f>
        <v>226</v>
      </c>
      <c r="AD48" s="3">
        <f>IF(ISERROR(VLOOKUP($A48,'SegEnds_NonXtal_BW#'!$A:$Z,21,FALSE)+VLOOKUP($A48,A:AL,31,FALSE)-50),"-",(VLOOKUP($A48,'SegEnds_NonXtal_BW#'!$A:$Z,21,FALSE)+VLOOKUP($A48,A:AL,31,FALSE)-50))</f>
        <v>257</v>
      </c>
      <c r="AE48" s="3">
        <v>283</v>
      </c>
      <c r="AF48" s="3">
        <f>IF(ISERROR((VLOOKUP($A48,'SegEnds_NonXtal_BW#'!$A:$Z,22,FALSE)+VLOOKUP($A48,A:AL,31,FALSE)-50)),"-",(VLOOKUP($A48,'SegEnds_NonXtal_BW#'!$A:$Z,22,FALSE)+VLOOKUP($A48,A:AL,31,FALSE)-50))</f>
        <v>294</v>
      </c>
      <c r="AG48" s="3">
        <f>IF(ISERROR(VLOOKUP($A48,'SegEnds_NonXtal_BW#'!$A:$Z,23,FALSE)+VLOOKUP($A48,A:AL,34,FALSE)-50),"-",(VLOOKUP($A48,'SegEnds_NonXtal_BW#'!$A:$Z,23,FALSE)+VLOOKUP($A48,A:AL,34,FALSE)-50))</f>
        <v>299</v>
      </c>
      <c r="AH48" s="3">
        <v>317</v>
      </c>
      <c r="AI48" s="3">
        <f>IF(ISERROR((VLOOKUP($A48,'SegEnds_NonXtal_BW#'!$A:$Z,24,FALSE)+VLOOKUP($A48,A:AL,34,FALSE)-50)),"-",(VLOOKUP($A48,'SegEnds_NonXtal_BW#'!$A:$Z,24,FALSE)+VLOOKUP($A48,A:AL,34,FALSE)-50))</f>
        <v>323</v>
      </c>
      <c r="AJ48" s="3">
        <f>IF(ISERROR(VLOOKUP($A48,'SegEnds_NonXtal_BW#'!$A:$Z,25,FALSE)+VLOOKUP($A48,A:AL,37,FALSE)-50),"-",(VLOOKUP($A48,'SegEnds_NonXtal_BW#'!$A:$Z,25,FALSE)+VLOOKUP($A48,A:AL,37,FALSE)-50))</f>
        <v>324</v>
      </c>
      <c r="AK48" s="3">
        <v>327</v>
      </c>
      <c r="AL48" s="3">
        <f>IF(ISERROR((VLOOKUP($A48,'SegEnds_NonXtal_BW#'!$A:$Z,26,FALSE)+VLOOKUP($A48,A:AL,37,FALSE)-50)),"-",(VLOOKUP($A48,'SegEnds_NonXtal_BW#'!$A:$Z,26,FALSE)+VLOOKUP($A48,A:AL,37,FALSE)-50))</f>
        <v>335</v>
      </c>
      <c r="AM48" s="28" t="str">
        <f>VLOOKUP(A48,Classification!A:B,2,FALSE)</f>
        <v>A</v>
      </c>
      <c r="AN48" s="28" t="b">
        <f t="shared" si="34"/>
        <v>1</v>
      </c>
      <c r="AO48" s="3" t="str">
        <f>IF(ISERROR(MATCH(A48,'SegEnds_Xtal_Prot#'!B:B, 0)), "NoXtal", "Xtal")</f>
        <v>NoXtal</v>
      </c>
      <c r="AP48" s="3">
        <f t="shared" si="1"/>
        <v>1</v>
      </c>
      <c r="AQ48" s="3">
        <f t="shared" si="2"/>
        <v>1</v>
      </c>
      <c r="AR48" s="3">
        <f t="shared" si="3"/>
        <v>2</v>
      </c>
      <c r="AS48" s="3">
        <f t="shared" si="4"/>
        <v>1</v>
      </c>
      <c r="AT48" s="3">
        <f t="shared" si="5"/>
        <v>1</v>
      </c>
      <c r="AU48" s="3">
        <f t="shared" si="6"/>
        <v>1</v>
      </c>
      <c r="AV48" s="3">
        <f t="shared" si="7"/>
        <v>15</v>
      </c>
      <c r="AW48" s="3">
        <f t="shared" si="8"/>
        <v>3</v>
      </c>
      <c r="AX48" s="3">
        <f t="shared" si="9"/>
        <v>31</v>
      </c>
      <c r="AY48" s="3">
        <f t="shared" si="10"/>
        <v>5</v>
      </c>
      <c r="AZ48" s="3">
        <f t="shared" si="11"/>
        <v>1</v>
      </c>
      <c r="BA48" s="3">
        <f>IF(ISERROR(LEN(VLOOKUP(A48,Seqs!A:E,2,FALSE))-AL48),"-",LEN(VLOOKUP(A48,Seqs!A:E,2,FALSE))-AL48)</f>
        <v>105</v>
      </c>
      <c r="BB48" s="16">
        <f t="shared" si="12"/>
        <v>28</v>
      </c>
      <c r="BC48" s="9">
        <f t="shared" si="13"/>
        <v>20</v>
      </c>
      <c r="BD48" s="3">
        <f t="shared" si="14"/>
        <v>28</v>
      </c>
      <c r="BE48" s="3">
        <f t="shared" si="15"/>
        <v>83</v>
      </c>
    </row>
    <row r="49" spans="1:58" s="3" customFormat="1" x14ac:dyDescent="0.2">
      <c r="A49" s="3" t="s">
        <v>137</v>
      </c>
      <c r="B49" s="3" t="str">
        <f>LOWER(VLOOKUP(A49,Xtal_Templ!A:B,2,FALSE))</f>
        <v>5ht1b_human</v>
      </c>
      <c r="C49" s="3">
        <f>VLOOKUP($A49,'SegEnds_NonXtal_BW#'!$A:$Z,3,FALSE)+D49-50</f>
        <v>78</v>
      </c>
      <c r="D49" s="3">
        <v>99</v>
      </c>
      <c r="E49" s="3">
        <f>IF(ISERROR(VLOOKUP($A49,'SegEnds_NonXtal_BW#'!$A:$Z,4,FALSE)+VLOOKUP($A49,A:AL,4,FALSE)-50),"-",(VLOOKUP($A49,'SegEnds_NonXtal_BW#'!$A:$Z,4,FALSE)+VLOOKUP($A49,A:AL,4,FALSE)-50))</f>
        <v>109</v>
      </c>
      <c r="F49" s="3">
        <f t="shared" si="29"/>
        <v>110</v>
      </c>
      <c r="G49" s="3">
        <v>112</v>
      </c>
      <c r="H49" s="3">
        <f t="shared" si="30"/>
        <v>113</v>
      </c>
      <c r="I49" s="3">
        <f t="shared" si="30"/>
        <v>114</v>
      </c>
      <c r="J49" s="3">
        <v>127</v>
      </c>
      <c r="K49" s="3">
        <f>VLOOKUP($A49,'SegEnds_NonXtal_BW#'!$A:$Z,8,FALSE)+VLOOKUP($A49,A:AL,10,FALSE)-50</f>
        <v>144</v>
      </c>
      <c r="L49" s="3">
        <f t="shared" si="31"/>
        <v>147</v>
      </c>
      <c r="M49" s="3">
        <v>148</v>
      </c>
      <c r="N49" s="3">
        <f t="shared" si="32"/>
        <v>150</v>
      </c>
      <c r="O49" s="3">
        <f t="shared" si="28"/>
        <v>151</v>
      </c>
      <c r="P49" s="3">
        <v>180</v>
      </c>
      <c r="Q49" s="3">
        <f>VLOOKUP($A49,'SegEnds_NonXtal_BW#'!$A:$Z,12,FALSE)+VLOOKUP($A49,A:AL,16,FALSE)-50</f>
        <v>186</v>
      </c>
      <c r="R49" s="3">
        <f>IF(ISERROR(VLOOKUP($A49,'SegEnds_NonXtal_BW#'!$A:$Z,13,FALSE)+VLOOKUP($A49,A:AL,19,FALSE)-50),"-",VLOOKUP($A49,'SegEnds_NonXtal_BW#'!$A:$Z,13,FALSE)+VLOOKUP($A49,A:AL,19,FALSE)-50)</f>
        <v>187</v>
      </c>
      <c r="S49" s="3">
        <v>187</v>
      </c>
      <c r="T49" s="103">
        <f>IF(ISERROR(VLOOKUP($A49,'SegEnds_NonXtal_BW#'!$A:$Z,14,FALSE)+VLOOKUP($A49,A:AL,19,FALSE)-50),"-",(VLOOKUP($A49,'SegEnds_NonXtal_BW#'!$A:$Z,14,FALSE)+VLOOKUP($A49,A:AL,19,FALSE)-50))</f>
        <v>194</v>
      </c>
      <c r="U49" s="9">
        <f>IF(ISERROR(VLOOKUP($A49,'SegEnds_NonXtal_BW#'!$A:$Z,15,FALSE)+VLOOKUP($A49,A:AL,22,FALSE)-50),"-",VLOOKUP($A49,'SegEnds_NonXtal_BW#'!$A:$Z,15,FALSE)+VLOOKUP($A49,A:AL,22,FALSE)-50)</f>
        <v>195</v>
      </c>
      <c r="V49" s="3">
        <v>207</v>
      </c>
      <c r="W49" s="3">
        <f>IF(ISERROR(VLOOKUP($A49,'SegEnds_NonXtal_BW#'!$A:$Z,16,FALSE)+VLOOKUP($A49,A:AL,22,FALSE)-50),"-",(VLOOKUP($A49,'SegEnds_NonXtal_BW#'!$A:$Z,16,FALSE)+VLOOKUP($A49,A:AL,22,FALSE)-50))</f>
        <v>220</v>
      </c>
      <c r="X49" s="3">
        <f>IF(ISERROR(VLOOKUP($A49,'SegEnds_NonXtal_BW#'!$A:$Z,17,FALSE)+VLOOKUP($A49,A:AL,25,FALSE)-50),"-",(VLOOKUP($A49,'SegEnds_NonXtal_BW#'!$A:$Z,17,FALSE)+VLOOKUP($A49,A:AL,25,FALSE)-50))</f>
        <v>231</v>
      </c>
      <c r="Y49" s="3">
        <v>231</v>
      </c>
      <c r="Z49" s="3">
        <f t="shared" si="33"/>
        <v>233</v>
      </c>
      <c r="AA49" s="3">
        <f>IF(ISERROR(VLOOKUP($A49,'SegEnds_NonXtal_BW#'!$A:$Z,19,FALSE)+VLOOKUP($A49,A:AL,28,FALSE)-50),"-",(VLOOKUP($A49,'SegEnds_NonXtal_BW#'!$A:$Z,19,FALSE)+VLOOKUP($A49,A:AL,28,FALSE)-50))</f>
        <v>236</v>
      </c>
      <c r="AB49" s="3">
        <v>251</v>
      </c>
      <c r="AC49" s="3">
        <f>IF(ISERROR((VLOOKUP($A49,'SegEnds_NonXtal_BW#'!$A:$Z,20,FALSE)+VLOOKUP($A49,A:AL,28,FALSE)-50)),"-",(VLOOKUP($A49,'SegEnds_NonXtal_BW#'!$A:$Z,20,FALSE)+VLOOKUP($A49,A:AL,28,FALSE)-50))</f>
        <v>277</v>
      </c>
      <c r="AD49" s="3">
        <f>IF(ISERROR(VLOOKUP($A49,'SegEnds_NonXtal_BW#'!$A:$Z,21,FALSE)+VLOOKUP($A49,A:AL,31,FALSE)-50),"-",(VLOOKUP($A49,'SegEnds_NonXtal_BW#'!$A:$Z,21,FALSE)+VLOOKUP($A49,A:AL,31,FALSE)-50))</f>
        <v>316</v>
      </c>
      <c r="AE49" s="3">
        <v>342</v>
      </c>
      <c r="AF49" s="3">
        <f>IF(ISERROR((VLOOKUP($A49,'SegEnds_NonXtal_BW#'!$A:$Z,22,FALSE)+VLOOKUP($A49,A:AL,31,FALSE)-50)),"-",(VLOOKUP($A49,'SegEnds_NonXtal_BW#'!$A:$Z,22,FALSE)+VLOOKUP($A49,A:AL,31,FALSE)-50))</f>
        <v>353</v>
      </c>
      <c r="AG49" s="3">
        <f>IF(ISERROR(VLOOKUP($A49,'SegEnds_NonXtal_BW#'!$A:$Z,23,FALSE)+VLOOKUP($A49,A:AL,34,FALSE)-50),"-",(VLOOKUP($A49,'SegEnds_NonXtal_BW#'!$A:$Z,23,FALSE)+VLOOKUP($A49,A:AL,34,FALSE)-50))</f>
        <v>359</v>
      </c>
      <c r="AH49" s="3">
        <v>381</v>
      </c>
      <c r="AI49" s="3">
        <f>IF(ISERROR((VLOOKUP($A49,'SegEnds_NonXtal_BW#'!$A:$Z,24,FALSE)+VLOOKUP($A49,A:AL,34,FALSE)-50)),"-",(VLOOKUP($A49,'SegEnds_NonXtal_BW#'!$A:$Z,24,FALSE)+VLOOKUP($A49,A:AL,34,FALSE)-50))</f>
        <v>387</v>
      </c>
      <c r="AJ49" s="3">
        <f>IF(ISERROR(VLOOKUP($A49,'SegEnds_NonXtal_BW#'!$A:$Z,25,FALSE)+VLOOKUP($A49,A:AL,37,FALSE)-50),"-",(VLOOKUP($A49,'SegEnds_NonXtal_BW#'!$A:$Z,25,FALSE)+VLOOKUP($A49,A:AL,37,FALSE)-50))</f>
        <v>388</v>
      </c>
      <c r="AK49" s="3">
        <v>391</v>
      </c>
      <c r="AL49" s="3">
        <f>IF(ISERROR((VLOOKUP($A49,'SegEnds_NonXtal_BW#'!$A:$Z,26,FALSE)+VLOOKUP($A49,A:AL,37,FALSE)-50)),"-",(VLOOKUP($A49,'SegEnds_NonXtal_BW#'!$A:$Z,26,FALSE)+VLOOKUP($A49,A:AL,37,FALSE)-50))</f>
        <v>399</v>
      </c>
      <c r="AM49" s="28" t="str">
        <f>VLOOKUP(A49,Classification!A:B,2,FALSE)</f>
        <v>A</v>
      </c>
      <c r="AN49" s="28" t="b">
        <f t="shared" si="34"/>
        <v>1</v>
      </c>
      <c r="AO49" s="3" t="str">
        <f>IF(ISERROR(MATCH(A49,'SegEnds_Xtal_Prot#'!B:B, 0)), "NoXtal", "Xtal")</f>
        <v>NoXtal</v>
      </c>
      <c r="AP49" s="3">
        <f t="shared" si="1"/>
        <v>1</v>
      </c>
      <c r="AQ49" s="3">
        <f t="shared" si="2"/>
        <v>1</v>
      </c>
      <c r="AR49" s="3">
        <f t="shared" si="3"/>
        <v>3</v>
      </c>
      <c r="AS49" s="3">
        <f t="shared" si="4"/>
        <v>1</v>
      </c>
      <c r="AT49" s="3">
        <f t="shared" si="5"/>
        <v>1</v>
      </c>
      <c r="AU49" s="3">
        <f t="shared" si="6"/>
        <v>1</v>
      </c>
      <c r="AV49" s="3">
        <f t="shared" si="7"/>
        <v>11</v>
      </c>
      <c r="AW49" s="3">
        <f t="shared" si="8"/>
        <v>3</v>
      </c>
      <c r="AX49" s="3">
        <f t="shared" si="9"/>
        <v>39</v>
      </c>
      <c r="AY49" s="3">
        <f t="shared" si="10"/>
        <v>6</v>
      </c>
      <c r="AZ49" s="3">
        <f t="shared" si="11"/>
        <v>1</v>
      </c>
      <c r="BA49" s="3">
        <f>IF(ISERROR(LEN(VLOOKUP(A49,Seqs!A:E,2,FALSE))-AL49),"-",LEN(VLOOKUP(A49,Seqs!A:E,2,FALSE))-AL49)</f>
        <v>80</v>
      </c>
      <c r="BB49" s="16">
        <f t="shared" si="12"/>
        <v>28</v>
      </c>
      <c r="BC49" s="9">
        <f t="shared" si="13"/>
        <v>20</v>
      </c>
      <c r="BD49" s="3">
        <f t="shared" si="14"/>
        <v>28</v>
      </c>
      <c r="BE49" s="3">
        <f t="shared" si="15"/>
        <v>91</v>
      </c>
    </row>
    <row r="50" spans="1:58" s="3" customFormat="1" x14ac:dyDescent="0.2">
      <c r="A50" s="3" t="s">
        <v>138</v>
      </c>
      <c r="B50" s="3" t="str">
        <f>LOWER(VLOOKUP(A50,Xtal_Templ!A:B,2,FALSE))</f>
        <v>aa1r_human</v>
      </c>
      <c r="C50" s="3">
        <f>VLOOKUP($A50,'SegEnds_NonXtal_BW#'!$A:$Z,3,FALSE)+D50-50</f>
        <v>6</v>
      </c>
      <c r="D50" s="3">
        <v>27</v>
      </c>
      <c r="E50" s="3">
        <f>IF(ISERROR(VLOOKUP($A50,'SegEnds_NonXtal_BW#'!$A:$Z,4,FALSE)+VLOOKUP($A50,A:AL,4,FALSE)-50),"-",(VLOOKUP($A50,'SegEnds_NonXtal_BW#'!$A:$Z,4,FALSE)+VLOOKUP($A50,A:AL,4,FALSE)-50))</f>
        <v>37</v>
      </c>
      <c r="F50" s="3">
        <f t="shared" si="29"/>
        <v>38</v>
      </c>
      <c r="G50" s="3">
        <v>40</v>
      </c>
      <c r="H50" s="3">
        <f t="shared" si="30"/>
        <v>41</v>
      </c>
      <c r="I50" s="3">
        <f t="shared" si="30"/>
        <v>42</v>
      </c>
      <c r="J50" s="3">
        <v>55</v>
      </c>
      <c r="K50" s="3">
        <v>72</v>
      </c>
      <c r="L50" s="3">
        <f>M50</f>
        <v>73</v>
      </c>
      <c r="M50" s="3">
        <v>73</v>
      </c>
      <c r="N50" s="3">
        <f t="shared" si="32"/>
        <v>75</v>
      </c>
      <c r="O50" s="3">
        <f t="shared" si="28"/>
        <v>76</v>
      </c>
      <c r="P50" s="3">
        <v>105</v>
      </c>
      <c r="Q50" s="3">
        <f>VLOOKUP($A50,'SegEnds_NonXtal_BW#'!$A:$Z,12,FALSE)+VLOOKUP($A50,A:AL,16,FALSE)-50</f>
        <v>111</v>
      </c>
      <c r="R50" s="3">
        <f>IF(ISERROR(VLOOKUP($A50,'SegEnds_NonXtal_BW#'!$A:$Z,13,FALSE)+VLOOKUP($A50,A:AL,19,FALSE)-50),"-",VLOOKUP($A50,'SegEnds_NonXtal_BW#'!$A:$Z,13,FALSE)+VLOOKUP($A50,A:AL,19,FALSE)-50)</f>
        <v>112</v>
      </c>
      <c r="S50" s="3">
        <v>112</v>
      </c>
      <c r="T50" s="103">
        <f>IF(ISERROR(VLOOKUP($A50,'SegEnds_NonXtal_BW#'!$A:$Z,14,FALSE)+VLOOKUP($A50,A:AL,19,FALSE)-50),"-",(VLOOKUP($A50,'SegEnds_NonXtal_BW#'!$A:$Z,14,FALSE)+VLOOKUP($A50,A:AL,19,FALSE)-50))</f>
        <v>119</v>
      </c>
      <c r="U50" s="9">
        <f>IF(ISERROR(VLOOKUP($A50,'SegEnds_NonXtal_BW#'!$A:$Z,15,FALSE)+VLOOKUP($A50,A:AL,22,FALSE)-50),"-",VLOOKUP($A50,'SegEnds_NonXtal_BW#'!$A:$Z,15,FALSE)+VLOOKUP($A50,A:AL,22,FALSE)-50)</f>
        <v>120</v>
      </c>
      <c r="V50" s="3">
        <v>132</v>
      </c>
      <c r="W50" s="3">
        <f>IF(ISERROR(VLOOKUP($A50,'SegEnds_NonXtal_BW#'!$A:$Z,16,FALSE)+VLOOKUP($A50,A:AL,22,FALSE)-50),"-",(VLOOKUP($A50,'SegEnds_NonXtal_BW#'!$A:$Z,16,FALSE)+VLOOKUP($A50,A:AL,22,FALSE)-50))</f>
        <v>145</v>
      </c>
      <c r="X50" s="3">
        <f>IF(ISERROR(VLOOKUP($A50,'SegEnds_NonXtal_BW#'!$A:$Z,17,FALSE)+VLOOKUP($A50,A:AL,25,FALSE)-50),"-",(VLOOKUP($A50,'SegEnds_NonXtal_BW#'!$A:$Z,17,FALSE)+VLOOKUP($A50,A:AL,25,FALSE)-50))</f>
        <v>169</v>
      </c>
      <c r="Y50" s="3">
        <v>169</v>
      </c>
      <c r="Z50" s="3">
        <f t="shared" si="33"/>
        <v>171</v>
      </c>
      <c r="AA50" s="3">
        <f>IF(ISERROR(VLOOKUP($A50,'SegEnds_NonXtal_BW#'!$A:$Z,19,FALSE)+VLOOKUP($A50,A:AL,28,FALSE)-50),"-",(VLOOKUP($A50,'SegEnds_NonXtal_BW#'!$A:$Z,19,FALSE)+VLOOKUP($A50,A:AL,28,FALSE)-50))</f>
        <v>176</v>
      </c>
      <c r="AB50" s="3">
        <v>192</v>
      </c>
      <c r="AC50" s="3">
        <f>IF(ISERROR((VLOOKUP($A50,'SegEnds_NonXtal_BW#'!$A:$Z,20,FALSE)+VLOOKUP($A50,A:AL,28,FALSE)-50)),"-",(VLOOKUP($A50,'SegEnds_NonXtal_BW#'!$A:$Z,20,FALSE)+VLOOKUP($A50,A:AL,28,FALSE)-50))</f>
        <v>214</v>
      </c>
      <c r="AD50" s="3">
        <f>IF(ISERROR(VLOOKUP($A50,'SegEnds_NonXtal_BW#'!$A:$Z,21,FALSE)+VLOOKUP($A50,A:AL,31,FALSE)-50),"-",(VLOOKUP($A50,'SegEnds_NonXtal_BW#'!$A:$Z,21,FALSE)+VLOOKUP($A50,A:AL,31,FALSE)-50))</f>
        <v>223</v>
      </c>
      <c r="AE50" s="3">
        <v>249</v>
      </c>
      <c r="AF50" s="3">
        <f>IF(ISERROR((VLOOKUP($A50,'SegEnds_NonXtal_BW#'!$A:$Z,22,FALSE)+VLOOKUP($A50,A:AL,31,FALSE)-50)),"-",(VLOOKUP($A50,'SegEnds_NonXtal_BW#'!$A:$Z,22,FALSE)+VLOOKUP($A50,A:AL,31,FALSE)-50))</f>
        <v>260</v>
      </c>
      <c r="AG50" s="3">
        <f>IF(ISERROR(VLOOKUP($A50,'SegEnds_NonXtal_BW#'!$A:$Z,23,FALSE)+VLOOKUP($A50,A:AL,34,FALSE)-50),"-",(VLOOKUP($A50,'SegEnds_NonXtal_BW#'!$A:$Z,23,FALSE)+VLOOKUP($A50,A:AL,34,FALSE)-50))</f>
        <v>266</v>
      </c>
      <c r="AH50" s="3">
        <v>285</v>
      </c>
      <c r="AI50" s="3">
        <f>IF(ISERROR((VLOOKUP($A50,'SegEnds_NonXtal_BW#'!$A:$Z,24,FALSE)+VLOOKUP($A50,A:AL,34,FALSE)-50)),"-",(VLOOKUP($A50,'SegEnds_NonXtal_BW#'!$A:$Z,24,FALSE)+VLOOKUP($A50,A:AL,34,FALSE)-50))</f>
        <v>291</v>
      </c>
      <c r="AJ50" s="3">
        <f>IF(ISERROR(VLOOKUP($A50,'SegEnds_NonXtal_BW#'!$A:$Z,25,FALSE)+VLOOKUP($A50,A:AL,37,FALSE)-50),"-",(VLOOKUP($A50,'SegEnds_NonXtal_BW#'!$A:$Z,25,FALSE)+VLOOKUP($A50,A:AL,37,FALSE)-50))</f>
        <v>292</v>
      </c>
      <c r="AK50" s="3">
        <v>295</v>
      </c>
      <c r="AL50" s="3">
        <f>IF(ISERROR((VLOOKUP($A50,'SegEnds_NonXtal_BW#'!$A:$Z,26,FALSE)+VLOOKUP($A50,A:AL,37,FALSE)-50)),"-",(VLOOKUP($A50,'SegEnds_NonXtal_BW#'!$A:$Z,26,FALSE)+VLOOKUP($A50,A:AL,37,FALSE)-50))</f>
        <v>314</v>
      </c>
      <c r="AM50" s="28" t="str">
        <f>VLOOKUP(A50,Classification!A:B,2,FALSE)</f>
        <v>A</v>
      </c>
      <c r="AN50" s="28" t="b">
        <f t="shared" si="34"/>
        <v>1</v>
      </c>
      <c r="AO50" s="3" t="str">
        <f>IF(ISERROR(MATCH(A50,'SegEnds_Xtal_Prot#'!B:B, 0)), "NoXtal", "Xtal")</f>
        <v>Xtal</v>
      </c>
      <c r="AP50" s="3">
        <f t="shared" si="1"/>
        <v>1</v>
      </c>
      <c r="AQ50" s="3">
        <f t="shared" si="2"/>
        <v>1</v>
      </c>
      <c r="AR50" s="3">
        <f t="shared" si="3"/>
        <v>1</v>
      </c>
      <c r="AS50" s="3">
        <f t="shared" si="4"/>
        <v>1</v>
      </c>
      <c r="AT50" s="3">
        <f t="shared" si="5"/>
        <v>1</v>
      </c>
      <c r="AU50" s="3">
        <f t="shared" si="6"/>
        <v>1</v>
      </c>
      <c r="AV50" s="3">
        <f t="shared" si="7"/>
        <v>24</v>
      </c>
      <c r="AW50" s="3">
        <f t="shared" si="8"/>
        <v>5</v>
      </c>
      <c r="AX50" s="3">
        <f t="shared" si="9"/>
        <v>9</v>
      </c>
      <c r="AY50" s="3">
        <f t="shared" si="10"/>
        <v>6</v>
      </c>
      <c r="AZ50" s="3">
        <f t="shared" si="11"/>
        <v>1</v>
      </c>
      <c r="BA50" s="3">
        <f>IF(ISERROR(LEN(VLOOKUP(A50,Seqs!A:E,2,FALSE))-AL50),"-",LEN(VLOOKUP(A50,Seqs!A:E,2,FALSE))-AL50)</f>
        <v>12</v>
      </c>
      <c r="BB50" s="16">
        <f t="shared" si="12"/>
        <v>28</v>
      </c>
      <c r="BC50" s="9">
        <f t="shared" si="13"/>
        <v>20</v>
      </c>
      <c r="BD50" s="3">
        <f t="shared" si="14"/>
        <v>28</v>
      </c>
      <c r="BE50" s="3">
        <f t="shared" si="15"/>
        <v>57</v>
      </c>
      <c r="BF50" s="3">
        <f>AH50-AE50</f>
        <v>36</v>
      </c>
    </row>
    <row r="51" spans="1:58" s="3" customFormat="1" x14ac:dyDescent="0.2">
      <c r="A51" s="3" t="s">
        <v>139</v>
      </c>
      <c r="B51" s="3" t="str">
        <f>LOWER(VLOOKUP(A51,Xtal_Templ!A:B,2,FALSE))</f>
        <v>aa2ar_human</v>
      </c>
      <c r="C51" s="3">
        <f>VLOOKUP($A51,'SegEnds_NonXtal_BW#'!$A:$Z,3,FALSE)+D51-50</f>
        <v>1</v>
      </c>
      <c r="D51" s="3">
        <v>24</v>
      </c>
      <c r="E51" s="3">
        <f>IF(ISERROR(VLOOKUP($A51,'SegEnds_NonXtal_BW#'!$A:$Z,4,FALSE)+VLOOKUP($A51,A:AL,4,FALSE)-50),"-",(VLOOKUP($A51,'SegEnds_NonXtal_BW#'!$A:$Z,4,FALSE)+VLOOKUP($A51,A:AL,4,FALSE)-50))</f>
        <v>34</v>
      </c>
      <c r="F51" s="3">
        <f t="shared" si="29"/>
        <v>35</v>
      </c>
      <c r="G51" s="3">
        <v>37</v>
      </c>
      <c r="H51" s="3">
        <f t="shared" si="30"/>
        <v>38</v>
      </c>
      <c r="I51" s="3">
        <f t="shared" si="30"/>
        <v>39</v>
      </c>
      <c r="J51" s="3">
        <v>52</v>
      </c>
      <c r="K51" s="3">
        <v>69</v>
      </c>
      <c r="L51" s="3">
        <f>M51</f>
        <v>70</v>
      </c>
      <c r="M51" s="3">
        <v>70</v>
      </c>
      <c r="N51" s="3">
        <f t="shared" si="32"/>
        <v>72</v>
      </c>
      <c r="O51" s="3">
        <f t="shared" si="28"/>
        <v>73</v>
      </c>
      <c r="P51" s="3">
        <v>102</v>
      </c>
      <c r="Q51" s="3">
        <f>VLOOKUP($A51,'SegEnds_NonXtal_BW#'!$A:$Z,12,FALSE)+VLOOKUP($A51,A:AL,16,FALSE)-50</f>
        <v>108</v>
      </c>
      <c r="R51" s="3">
        <f>IF(ISERROR(VLOOKUP($A51,'SegEnds_NonXtal_BW#'!$A:$Z,13,FALSE)+VLOOKUP($A51,A:AL,19,FALSE)-50),"-",VLOOKUP($A51,'SegEnds_NonXtal_BW#'!$A:$Z,13,FALSE)+VLOOKUP($A51,A:AL,19,FALSE)-50)</f>
        <v>109</v>
      </c>
      <c r="S51" s="3">
        <v>109</v>
      </c>
      <c r="T51" s="103">
        <f>IF(ISERROR(VLOOKUP($A51,'SegEnds_NonXtal_BW#'!$A:$Z,14,FALSE)+VLOOKUP($A51,A:AL,19,FALSE)-50),"-",(VLOOKUP($A51,'SegEnds_NonXtal_BW#'!$A:$Z,14,FALSE)+VLOOKUP($A51,A:AL,19,FALSE)-50))</f>
        <v>116</v>
      </c>
      <c r="U51" s="9">
        <f>IF(ISERROR(VLOOKUP($A51,'SegEnds_NonXtal_BW#'!$A:$Z,15,FALSE)+VLOOKUP($A51,A:AL,22,FALSE)-50),"-",VLOOKUP($A51,'SegEnds_NonXtal_BW#'!$A:$Z,15,FALSE)+VLOOKUP($A51,A:AL,22,FALSE)-50)</f>
        <v>117</v>
      </c>
      <c r="V51" s="3">
        <v>129</v>
      </c>
      <c r="W51" s="3">
        <f>IF(ISERROR(VLOOKUP($A51,'SegEnds_NonXtal_BW#'!$A:$Z,16,FALSE)+VLOOKUP($A51,A:AL,22,FALSE)-50),"-",(VLOOKUP($A51,'SegEnds_NonXtal_BW#'!$A:$Z,16,FALSE)+VLOOKUP($A51,A:AL,22,FALSE)-50))</f>
        <v>142</v>
      </c>
      <c r="X51" s="3">
        <f>IF(ISERROR(VLOOKUP($A51,'SegEnds_NonXtal_BW#'!$A:$Z,17,FALSE)+VLOOKUP($A51,A:AL,25,FALSE)-50),"-",(VLOOKUP($A51,'SegEnds_NonXtal_BW#'!$A:$Z,17,FALSE)+VLOOKUP($A51,A:AL,25,FALSE)-50))</f>
        <v>166</v>
      </c>
      <c r="Y51" s="3">
        <v>166</v>
      </c>
      <c r="Z51" s="3">
        <f t="shared" si="33"/>
        <v>168</v>
      </c>
      <c r="AA51" s="3">
        <f>IF(ISERROR(VLOOKUP($A51,'SegEnds_NonXtal_BW#'!$A:$Z,19,FALSE)+VLOOKUP($A51,A:AL,28,FALSE)-50),"-",(VLOOKUP($A51,'SegEnds_NonXtal_BW#'!$A:$Z,19,FALSE)+VLOOKUP($A51,A:AL,28,FALSE)-50))</f>
        <v>173</v>
      </c>
      <c r="AB51" s="3">
        <v>189</v>
      </c>
      <c r="AC51" s="3">
        <f>IF(ISERROR((VLOOKUP($A51,'SegEnds_NonXtal_BW#'!$A:$Z,20,FALSE)+VLOOKUP($A51,A:AL,28,FALSE)-50)),"-",(VLOOKUP($A51,'SegEnds_NonXtal_BW#'!$A:$Z,20,FALSE)+VLOOKUP($A51,A:AL,28,FALSE)-50))</f>
        <v>213</v>
      </c>
      <c r="AD51" s="3">
        <f>IF(ISERROR(VLOOKUP($A51,'SegEnds_NonXtal_BW#'!$A:$Z,21,FALSE)+VLOOKUP($A51,A:AL,31,FALSE)-50),"-",(VLOOKUP($A51,'SegEnds_NonXtal_BW#'!$A:$Z,21,FALSE)+VLOOKUP($A51,A:AL,31,FALSE)-50))</f>
        <v>219</v>
      </c>
      <c r="AE51" s="3">
        <v>248</v>
      </c>
      <c r="AF51" s="3">
        <f>IF(ISERROR((VLOOKUP($A51,'SegEnds_NonXtal_BW#'!$A:$Z,22,FALSE)+VLOOKUP($A51,A:AL,31,FALSE)-50)),"-",(VLOOKUP($A51,'SegEnds_NonXtal_BW#'!$A:$Z,22,FALSE)+VLOOKUP($A51,A:AL,31,FALSE)-50))</f>
        <v>259</v>
      </c>
      <c r="AG51" s="3">
        <f>IF(ISERROR(VLOOKUP($A51,'SegEnds_NonXtal_BW#'!$A:$Z,23,FALSE)+VLOOKUP($A51,A:AL,34,FALSE)-50),"-",(VLOOKUP($A51,'SegEnds_NonXtal_BW#'!$A:$Z,23,FALSE)+VLOOKUP($A51,A:AL,34,FALSE)-50))</f>
        <v>266</v>
      </c>
      <c r="AH51" s="3">
        <v>285</v>
      </c>
      <c r="AI51" s="3">
        <f>IF(ISERROR((VLOOKUP($A51,'SegEnds_NonXtal_BW#'!$A:$Z,24,FALSE)+VLOOKUP($A51,A:AL,34,FALSE)-50)),"-",(VLOOKUP($A51,'SegEnds_NonXtal_BW#'!$A:$Z,24,FALSE)+VLOOKUP($A51,A:AL,34,FALSE)-50))</f>
        <v>291</v>
      </c>
      <c r="AJ51" s="3">
        <f>IF(ISERROR(VLOOKUP($A51,'SegEnds_NonXtal_BW#'!$A:$Z,25,FALSE)+VLOOKUP($A51,A:AL,37,FALSE)-50),"-",(VLOOKUP($A51,'SegEnds_NonXtal_BW#'!$A:$Z,25,FALSE)+VLOOKUP($A51,A:AL,37,FALSE)-50))</f>
        <v>292</v>
      </c>
      <c r="AK51" s="3">
        <v>295</v>
      </c>
      <c r="AL51" s="3">
        <f>IF(ISERROR((VLOOKUP($A51,'SegEnds_NonXtal_BW#'!$A:$Z,26,FALSE)+VLOOKUP($A51,A:AL,37,FALSE)-50)),"-",(VLOOKUP($A51,'SegEnds_NonXtal_BW#'!$A:$Z,26,FALSE)+VLOOKUP($A51,A:AL,37,FALSE)-50))</f>
        <v>314</v>
      </c>
      <c r="AM51" s="28" t="str">
        <f>VLOOKUP(A51,Classification!A:B,2,FALSE)</f>
        <v>A</v>
      </c>
      <c r="AN51" s="28" t="b">
        <f t="shared" si="34"/>
        <v>1</v>
      </c>
      <c r="AO51" s="3" t="str">
        <f>IF(ISERROR(MATCH(A51,'SegEnds_Xtal_Prot#'!B:B, 0)), "NoXtal", "Xtal")</f>
        <v>Xtal</v>
      </c>
      <c r="AP51" s="3">
        <f t="shared" si="1"/>
        <v>1</v>
      </c>
      <c r="AQ51" s="3">
        <f t="shared" si="2"/>
        <v>1</v>
      </c>
      <c r="AR51" s="3">
        <f t="shared" si="3"/>
        <v>1</v>
      </c>
      <c r="AS51" s="3">
        <f t="shared" si="4"/>
        <v>1</v>
      </c>
      <c r="AT51" s="3">
        <f t="shared" si="5"/>
        <v>1</v>
      </c>
      <c r="AU51" s="3">
        <f t="shared" si="6"/>
        <v>1</v>
      </c>
      <c r="AV51" s="3">
        <f t="shared" si="7"/>
        <v>24</v>
      </c>
      <c r="AW51" s="3">
        <f t="shared" si="8"/>
        <v>5</v>
      </c>
      <c r="AX51" s="3">
        <f t="shared" si="9"/>
        <v>6</v>
      </c>
      <c r="AY51" s="3">
        <f t="shared" si="10"/>
        <v>7</v>
      </c>
      <c r="AZ51" s="3">
        <f t="shared" si="11"/>
        <v>1</v>
      </c>
      <c r="BA51" s="3">
        <f>IF(ISERROR(LEN(VLOOKUP(A51,Seqs!A:E,2,FALSE))-AL51),"-",LEN(VLOOKUP(A51,Seqs!A:E,2,FALSE))-AL51)</f>
        <v>98</v>
      </c>
      <c r="BB51" s="16">
        <f t="shared" si="12"/>
        <v>28</v>
      </c>
      <c r="BC51" s="9">
        <f t="shared" si="13"/>
        <v>20</v>
      </c>
      <c r="BD51" s="3">
        <f t="shared" si="14"/>
        <v>28</v>
      </c>
      <c r="BE51" s="3">
        <f t="shared" si="15"/>
        <v>59</v>
      </c>
    </row>
    <row r="52" spans="1:58" s="3" customFormat="1" x14ac:dyDescent="0.2">
      <c r="A52" s="3" t="s">
        <v>140</v>
      </c>
      <c r="B52" s="3" t="str">
        <f>LOWER(VLOOKUP(A52,Xtal_Templ!A:B,2,FALSE))</f>
        <v>aa2ar_human</v>
      </c>
      <c r="C52" s="3">
        <f>VLOOKUP($A52,'SegEnds_NonXtal_BW#'!$A:$Z,3,FALSE)+D52-50</f>
        <v>2</v>
      </c>
      <c r="D52" s="3">
        <v>25</v>
      </c>
      <c r="E52" s="3">
        <f>IF(ISERROR(VLOOKUP($A52,'SegEnds_NonXtal_BW#'!$A:$Z,4,FALSE)+VLOOKUP($A52,A:AL,4,FALSE)-50),"-",(VLOOKUP($A52,'SegEnds_NonXtal_BW#'!$A:$Z,4,FALSE)+VLOOKUP($A52,A:AL,4,FALSE)-50))</f>
        <v>35</v>
      </c>
      <c r="F52" s="3">
        <f t="shared" si="29"/>
        <v>36</v>
      </c>
      <c r="G52" s="3">
        <v>38</v>
      </c>
      <c r="H52" s="3">
        <f t="shared" si="30"/>
        <v>39</v>
      </c>
      <c r="I52" s="3">
        <f t="shared" si="30"/>
        <v>40</v>
      </c>
      <c r="J52" s="3">
        <v>53</v>
      </c>
      <c r="K52" s="3">
        <v>70</v>
      </c>
      <c r="L52" s="3">
        <f>M52</f>
        <v>71</v>
      </c>
      <c r="M52" s="3">
        <v>71</v>
      </c>
      <c r="N52" s="3">
        <f t="shared" si="32"/>
        <v>73</v>
      </c>
      <c r="O52" s="3">
        <f t="shared" si="28"/>
        <v>74</v>
      </c>
      <c r="P52" s="3">
        <v>103</v>
      </c>
      <c r="Q52" s="3">
        <f>VLOOKUP($A52,'SegEnds_NonXtal_BW#'!$A:$Z,12,FALSE)+VLOOKUP($A52,A:AL,16,FALSE)-50</f>
        <v>109</v>
      </c>
      <c r="R52" s="3">
        <f>IF(ISERROR(VLOOKUP($A52,'SegEnds_NonXtal_BW#'!$A:$Z,13,FALSE)+VLOOKUP($A52,A:AL,19,FALSE)-50),"-",VLOOKUP($A52,'SegEnds_NonXtal_BW#'!$A:$Z,13,FALSE)+VLOOKUP($A52,A:AL,19,FALSE)-50)</f>
        <v>110</v>
      </c>
      <c r="S52" s="3">
        <v>110</v>
      </c>
      <c r="T52" s="103">
        <f>IF(ISERROR(VLOOKUP($A52,'SegEnds_NonXtal_BW#'!$A:$Z,14,FALSE)+VLOOKUP($A52,A:AL,19,FALSE)-50),"-",(VLOOKUP($A52,'SegEnds_NonXtal_BW#'!$A:$Z,14,FALSE)+VLOOKUP($A52,A:AL,19,FALSE)-50))</f>
        <v>117</v>
      </c>
      <c r="U52" s="9">
        <f>IF(ISERROR(VLOOKUP($A52,'SegEnds_NonXtal_BW#'!$A:$Z,15,FALSE)+VLOOKUP($A52,A:AL,22,FALSE)-50),"-",VLOOKUP($A52,'SegEnds_NonXtal_BW#'!$A:$Z,15,FALSE)+VLOOKUP($A52,A:AL,22,FALSE)-50)</f>
        <v>118</v>
      </c>
      <c r="V52" s="3">
        <v>130</v>
      </c>
      <c r="W52" s="3">
        <f>IF(ISERROR(VLOOKUP($A52,'SegEnds_NonXtal_BW#'!$A:$Z,16,FALSE)+VLOOKUP($A52,A:AL,22,FALSE)-50),"-",(VLOOKUP($A52,'SegEnds_NonXtal_BW#'!$A:$Z,16,FALSE)+VLOOKUP($A52,A:AL,22,FALSE)-50))</f>
        <v>143</v>
      </c>
      <c r="X52" s="3">
        <f>IF(ISERROR(VLOOKUP($A52,'SegEnds_NonXtal_BW#'!$A:$Z,17,FALSE)+VLOOKUP($A52,A:AL,25,FALSE)-50),"-",(VLOOKUP($A52,'SegEnds_NonXtal_BW#'!$A:$Z,17,FALSE)+VLOOKUP($A52,A:AL,25,FALSE)-50))</f>
        <v>171</v>
      </c>
      <c r="Y52" s="3">
        <v>171</v>
      </c>
      <c r="Z52" s="3">
        <f t="shared" si="33"/>
        <v>173</v>
      </c>
      <c r="AA52" s="3">
        <f>IF(ISERROR(VLOOKUP($A52,'SegEnds_NonXtal_BW#'!$A:$Z,19,FALSE)+VLOOKUP($A52,A:AL,28,FALSE)-50),"-",(VLOOKUP($A52,'SegEnds_NonXtal_BW#'!$A:$Z,19,FALSE)+VLOOKUP($A52,A:AL,28,FALSE)-50))</f>
        <v>178</v>
      </c>
      <c r="AB52" s="3">
        <v>194</v>
      </c>
      <c r="AC52" s="3">
        <f>IF(ISERROR((VLOOKUP($A52,'SegEnds_NonXtal_BW#'!$A:$Z,20,FALSE)+VLOOKUP($A52,A:AL,28,FALSE)-50)),"-",(VLOOKUP($A52,'SegEnds_NonXtal_BW#'!$A:$Z,20,FALSE)+VLOOKUP($A52,A:AL,28,FALSE)-50))</f>
        <v>217</v>
      </c>
      <c r="AD52" s="3">
        <f>IF(ISERROR(VLOOKUP($A52,'SegEnds_NonXtal_BW#'!$A:$Z,21,FALSE)+VLOOKUP($A52,A:AL,31,FALSE)-50),"-",(VLOOKUP($A52,'SegEnds_NonXtal_BW#'!$A:$Z,21,FALSE)+VLOOKUP($A52,A:AL,31,FALSE)-50))</f>
        <v>221</v>
      </c>
      <c r="AE52" s="3">
        <v>249</v>
      </c>
      <c r="AF52" s="3">
        <f>IF(ISERROR((VLOOKUP($A52,'SegEnds_NonXtal_BW#'!$A:$Z,22,FALSE)+VLOOKUP($A52,A:AL,31,FALSE)-50)),"-",(VLOOKUP($A52,'SegEnds_NonXtal_BW#'!$A:$Z,22,FALSE)+VLOOKUP($A52,A:AL,31,FALSE)-50))</f>
        <v>260</v>
      </c>
      <c r="AG52" s="3">
        <f>IF(ISERROR(VLOOKUP($A52,'SegEnds_NonXtal_BW#'!$A:$Z,23,FALSE)+VLOOKUP($A52,A:AL,34,FALSE)-50),"-",(VLOOKUP($A52,'SegEnds_NonXtal_BW#'!$A:$Z,23,FALSE)+VLOOKUP($A52,A:AL,34,FALSE)-50))</f>
        <v>265</v>
      </c>
      <c r="AH52" s="3">
        <v>287</v>
      </c>
      <c r="AI52" s="3">
        <f>IF(ISERROR((VLOOKUP($A52,'SegEnds_NonXtal_BW#'!$A:$Z,24,FALSE)+VLOOKUP($A52,A:AL,34,FALSE)-50)),"-",(VLOOKUP($A52,'SegEnds_NonXtal_BW#'!$A:$Z,24,FALSE)+VLOOKUP($A52,A:AL,34,FALSE)-50))</f>
        <v>293</v>
      </c>
      <c r="AJ52" s="3">
        <f>IF(ISERROR(VLOOKUP($A52,'SegEnds_NonXtal_BW#'!$A:$Z,25,FALSE)+VLOOKUP($A52,A:AL,37,FALSE)-50),"-",(VLOOKUP($A52,'SegEnds_NonXtal_BW#'!$A:$Z,25,FALSE)+VLOOKUP($A52,A:AL,37,FALSE)-50))</f>
        <v>294</v>
      </c>
      <c r="AK52" s="3">
        <v>297</v>
      </c>
      <c r="AL52" s="3">
        <f>IF(ISERROR((VLOOKUP($A52,'SegEnds_NonXtal_BW#'!$A:$Z,26,FALSE)+VLOOKUP($A52,A:AL,37,FALSE)-50)),"-",(VLOOKUP($A52,'SegEnds_NonXtal_BW#'!$A:$Z,26,FALSE)+VLOOKUP($A52,A:AL,37,FALSE)-50))</f>
        <v>316</v>
      </c>
      <c r="AM52" s="28" t="str">
        <f>VLOOKUP(A52,Classification!A:B,2,FALSE)</f>
        <v>A</v>
      </c>
      <c r="AN52" s="28" t="b">
        <f t="shared" si="34"/>
        <v>1</v>
      </c>
      <c r="AO52" s="3" t="str">
        <f>IF(ISERROR(MATCH(A52,'SegEnds_Xtal_Prot#'!B:B, 0)), "NoXtal", "Xtal")</f>
        <v>NoXtal</v>
      </c>
      <c r="AP52" s="3">
        <f t="shared" si="1"/>
        <v>1</v>
      </c>
      <c r="AQ52" s="3">
        <f t="shared" si="2"/>
        <v>1</v>
      </c>
      <c r="AR52" s="3">
        <f t="shared" si="3"/>
        <v>1</v>
      </c>
      <c r="AS52" s="3">
        <f t="shared" si="4"/>
        <v>1</v>
      </c>
      <c r="AT52" s="3">
        <f t="shared" si="5"/>
        <v>1</v>
      </c>
      <c r="AU52" s="3">
        <f t="shared" si="6"/>
        <v>1</v>
      </c>
      <c r="AV52" s="3">
        <f t="shared" si="7"/>
        <v>28</v>
      </c>
      <c r="AW52" s="3">
        <f t="shared" si="8"/>
        <v>5</v>
      </c>
      <c r="AX52" s="3">
        <f t="shared" si="9"/>
        <v>4</v>
      </c>
      <c r="AY52" s="3">
        <f t="shared" si="10"/>
        <v>5</v>
      </c>
      <c r="AZ52" s="3">
        <f t="shared" si="11"/>
        <v>1</v>
      </c>
      <c r="BA52" s="3">
        <f>IF(ISERROR(LEN(VLOOKUP(A52,Seqs!A:E,2,FALSE))-AL52),"-",LEN(VLOOKUP(A52,Seqs!A:E,2,FALSE))-AL52)</f>
        <v>16</v>
      </c>
      <c r="BB52" s="16">
        <f t="shared" si="12"/>
        <v>28</v>
      </c>
      <c r="BC52" s="9">
        <f t="shared" si="13"/>
        <v>20</v>
      </c>
      <c r="BD52" s="3">
        <f t="shared" si="14"/>
        <v>28</v>
      </c>
      <c r="BE52" s="3">
        <f t="shared" si="15"/>
        <v>55</v>
      </c>
      <c r="BF52" s="3">
        <f>AH52-AE52</f>
        <v>38</v>
      </c>
    </row>
    <row r="53" spans="1:58" s="3" customFormat="1" x14ac:dyDescent="0.2">
      <c r="A53" s="3" t="s">
        <v>141</v>
      </c>
      <c r="B53" s="3" t="str">
        <f>LOWER(VLOOKUP(A53,Xtal_Templ!A:B,2,FALSE))</f>
        <v>aa1r_human</v>
      </c>
      <c r="C53" s="3">
        <f>VLOOKUP($A53,'SegEnds_NonXtal_BW#'!$A:$Z,3,FALSE)+D53-50</f>
        <v>9</v>
      </c>
      <c r="D53" s="3">
        <v>30</v>
      </c>
      <c r="E53" s="3">
        <f>IF(ISERROR(VLOOKUP($A53,'SegEnds_NonXtal_BW#'!$A:$Z,4,FALSE)+VLOOKUP($A53,A:AL,4,FALSE)-50),"-",(VLOOKUP($A53,'SegEnds_NonXtal_BW#'!$A:$Z,4,FALSE)+VLOOKUP($A53,A:AL,4,FALSE)-50))</f>
        <v>40</v>
      </c>
      <c r="F53" s="3">
        <f t="shared" si="29"/>
        <v>41</v>
      </c>
      <c r="G53" s="3">
        <v>43</v>
      </c>
      <c r="H53" s="3">
        <f t="shared" si="30"/>
        <v>44</v>
      </c>
      <c r="I53" s="3">
        <f t="shared" si="30"/>
        <v>45</v>
      </c>
      <c r="J53" s="3">
        <v>58</v>
      </c>
      <c r="K53" s="3">
        <v>75</v>
      </c>
      <c r="L53" s="3">
        <f>M53</f>
        <v>76</v>
      </c>
      <c r="M53" s="3">
        <v>76</v>
      </c>
      <c r="N53" s="3">
        <f t="shared" si="32"/>
        <v>78</v>
      </c>
      <c r="O53" s="3">
        <f t="shared" si="28"/>
        <v>79</v>
      </c>
      <c r="P53" s="3">
        <v>108</v>
      </c>
      <c r="Q53" s="3">
        <f>VLOOKUP($A53,'SegEnds_NonXtal_BW#'!$A:$Z,12,FALSE)+VLOOKUP($A53,A:AL,16,FALSE)-50</f>
        <v>114</v>
      </c>
      <c r="R53" s="3">
        <f>IF(ISERROR(VLOOKUP($A53,'SegEnds_NonXtal_BW#'!$A:$Z,13,FALSE)+VLOOKUP($A53,A:AL,19,FALSE)-50),"-",VLOOKUP($A53,'SegEnds_NonXtal_BW#'!$A:$Z,13,FALSE)+VLOOKUP($A53,A:AL,19,FALSE)-50)</f>
        <v>115</v>
      </c>
      <c r="S53" s="3">
        <v>115</v>
      </c>
      <c r="T53" s="103">
        <f>IF(ISERROR(VLOOKUP($A53,'SegEnds_NonXtal_BW#'!$A:$Z,14,FALSE)+VLOOKUP($A53,A:AL,19,FALSE)-50),"-",(VLOOKUP($A53,'SegEnds_NonXtal_BW#'!$A:$Z,14,FALSE)+VLOOKUP($A53,A:AL,19,FALSE)-50))</f>
        <v>122</v>
      </c>
      <c r="U53" s="9">
        <f>IF(ISERROR(VLOOKUP($A53,'SegEnds_NonXtal_BW#'!$A:$Z,15,FALSE)+VLOOKUP($A53,A:AL,22,FALSE)-50),"-",VLOOKUP($A53,'SegEnds_NonXtal_BW#'!$A:$Z,15,FALSE)+VLOOKUP($A53,A:AL,22,FALSE)-50)</f>
        <v>123</v>
      </c>
      <c r="V53" s="3">
        <v>135</v>
      </c>
      <c r="W53" s="3">
        <f>IF(ISERROR(VLOOKUP($A53,'SegEnds_NonXtal_BW#'!$A:$Z,16,FALSE)+VLOOKUP($A53,A:AL,22,FALSE)-50),"-",(VLOOKUP($A53,'SegEnds_NonXtal_BW#'!$A:$Z,16,FALSE)+VLOOKUP($A53,A:AL,22,FALSE)-50))</f>
        <v>148</v>
      </c>
      <c r="X53" s="3">
        <f>IF(ISERROR(VLOOKUP($A53,'SegEnds_NonXtal_BW#'!$A:$Z,17,FALSE)+VLOOKUP($A53,A:AL,25,FALSE)-50),"-",(VLOOKUP($A53,'SegEnds_NonXtal_BW#'!$A:$Z,17,FALSE)+VLOOKUP($A53,A:AL,25,FALSE)-50))</f>
        <v>166</v>
      </c>
      <c r="Y53" s="3">
        <v>166</v>
      </c>
      <c r="Z53" s="3">
        <f t="shared" si="33"/>
        <v>168</v>
      </c>
      <c r="AA53" s="3">
        <f>IF(ISERROR(VLOOKUP($A53,'SegEnds_NonXtal_BW#'!$A:$Z,19,FALSE)+VLOOKUP($A53,A:AL,28,FALSE)-50),"-",(VLOOKUP($A53,'SegEnds_NonXtal_BW#'!$A:$Z,19,FALSE)+VLOOKUP($A53,A:AL,28,FALSE)-50))</f>
        <v>173</v>
      </c>
      <c r="AB53" s="3">
        <v>189</v>
      </c>
      <c r="AC53" s="3">
        <f>IF(ISERROR((VLOOKUP($A53,'SegEnds_NonXtal_BW#'!$A:$Z,20,FALSE)+VLOOKUP($A53,A:AL,28,FALSE)-50)),"-",(VLOOKUP($A53,'SegEnds_NonXtal_BW#'!$A:$Z,20,FALSE)+VLOOKUP($A53,A:AL,28,FALSE)-50))</f>
        <v>212</v>
      </c>
      <c r="AD53" s="3">
        <f>IF(ISERROR(VLOOKUP($A53,'SegEnds_NonXtal_BW#'!$A:$Z,21,FALSE)+VLOOKUP($A53,A:AL,31,FALSE)-50),"-",(VLOOKUP($A53,'SegEnds_NonXtal_BW#'!$A:$Z,21,FALSE)+VLOOKUP($A53,A:AL,31,FALSE)-50))</f>
        <v>217</v>
      </c>
      <c r="AE53" s="3">
        <v>245</v>
      </c>
      <c r="AF53" s="3">
        <f>IF(ISERROR((VLOOKUP($A53,'SegEnds_NonXtal_BW#'!$A:$Z,22,FALSE)+VLOOKUP($A53,A:AL,31,FALSE)-50)),"-",(VLOOKUP($A53,'SegEnds_NonXtal_BW#'!$A:$Z,22,FALSE)+VLOOKUP($A53,A:AL,31,FALSE)-50))</f>
        <v>256</v>
      </c>
      <c r="AG53" s="3">
        <f>IF(ISERROR(VLOOKUP($A53,'SegEnds_NonXtal_BW#'!$A:$Z,23,FALSE)+VLOOKUP($A53,A:AL,34,FALSE)-50),"-",(VLOOKUP($A53,'SegEnds_NonXtal_BW#'!$A:$Z,23,FALSE)+VLOOKUP($A53,A:AL,34,FALSE)-50))</f>
        <v>261</v>
      </c>
      <c r="AH53" s="3">
        <v>279</v>
      </c>
      <c r="AI53" s="3">
        <f>IF(ISERROR((VLOOKUP($A53,'SegEnds_NonXtal_BW#'!$A:$Z,24,FALSE)+VLOOKUP($A53,A:AL,34,FALSE)-50)),"-",(VLOOKUP($A53,'SegEnds_NonXtal_BW#'!$A:$Z,24,FALSE)+VLOOKUP($A53,A:AL,34,FALSE)-50))</f>
        <v>285</v>
      </c>
      <c r="AJ53" s="3">
        <f>IF(ISERROR(VLOOKUP($A53,'SegEnds_NonXtal_BW#'!$A:$Z,25,FALSE)+VLOOKUP($A53,A:AL,37,FALSE)-50),"-",(VLOOKUP($A53,'SegEnds_NonXtal_BW#'!$A:$Z,25,FALSE)+VLOOKUP($A53,A:AL,37,FALSE)-50))</f>
        <v>286</v>
      </c>
      <c r="AK53" s="3">
        <v>289</v>
      </c>
      <c r="AL53" s="3">
        <f>IF(ISERROR((VLOOKUP($A53,'SegEnds_NonXtal_BW#'!$A:$Z,26,FALSE)+VLOOKUP($A53,A:AL,37,FALSE)-50)),"-",(VLOOKUP($A53,'SegEnds_NonXtal_BW#'!$A:$Z,26,FALSE)+VLOOKUP($A53,A:AL,37,FALSE)-50))</f>
        <v>308</v>
      </c>
      <c r="AM53" s="28" t="str">
        <f>VLOOKUP(A53,Classification!A:B,2,FALSE)</f>
        <v>A</v>
      </c>
      <c r="AN53" s="28" t="b">
        <f t="shared" si="34"/>
        <v>1</v>
      </c>
      <c r="AO53" s="3" t="str">
        <f>IF(ISERROR(MATCH(A53,'SegEnds_Xtal_Prot#'!B:B, 0)), "NoXtal", "Xtal")</f>
        <v>NoXtal</v>
      </c>
      <c r="AP53" s="3">
        <f t="shared" si="1"/>
        <v>1</v>
      </c>
      <c r="AQ53" s="3">
        <f t="shared" si="2"/>
        <v>1</v>
      </c>
      <c r="AR53" s="3">
        <f t="shared" si="3"/>
        <v>1</v>
      </c>
      <c r="AS53" s="3">
        <f t="shared" si="4"/>
        <v>1</v>
      </c>
      <c r="AT53" s="3">
        <f t="shared" si="5"/>
        <v>1</v>
      </c>
      <c r="AU53" s="3">
        <f t="shared" si="6"/>
        <v>1</v>
      </c>
      <c r="AV53" s="3">
        <f t="shared" si="7"/>
        <v>18</v>
      </c>
      <c r="AW53" s="3">
        <f t="shared" si="8"/>
        <v>5</v>
      </c>
      <c r="AX53" s="3">
        <f t="shared" si="9"/>
        <v>5</v>
      </c>
      <c r="AY53" s="3">
        <f t="shared" si="10"/>
        <v>5</v>
      </c>
      <c r="AZ53" s="3">
        <f t="shared" si="11"/>
        <v>1</v>
      </c>
      <c r="BA53" s="3">
        <f>IF(ISERROR(LEN(VLOOKUP(A53,Seqs!A:E,2,FALSE))-AL53),"-",LEN(VLOOKUP(A53,Seqs!A:E,2,FALSE))-AL53)</f>
        <v>10</v>
      </c>
      <c r="BB53" s="16">
        <f t="shared" si="12"/>
        <v>28</v>
      </c>
      <c r="BC53" s="9">
        <f t="shared" si="13"/>
        <v>20</v>
      </c>
      <c r="BD53" s="3">
        <f t="shared" si="14"/>
        <v>28</v>
      </c>
      <c r="BE53" s="3">
        <f t="shared" si="15"/>
        <v>56</v>
      </c>
      <c r="BF53" s="3">
        <f>AH53-AE53</f>
        <v>34</v>
      </c>
    </row>
    <row r="54" spans="1:58" s="3" customFormat="1" x14ac:dyDescent="0.2">
      <c r="A54" s="3" t="s">
        <v>143</v>
      </c>
      <c r="B54" s="3" t="str">
        <f>LOWER(VLOOKUP(A54,Xtal_Templ!A:B,2,FALSE))</f>
        <v>ccr5_human</v>
      </c>
      <c r="C54" s="3">
        <f>VLOOKUP($A54,'SegEnds_NonXtal_BW#'!$A:$Z,3,FALSE)+D54-50</f>
        <v>38</v>
      </c>
      <c r="D54" s="3">
        <v>64</v>
      </c>
      <c r="E54" s="3">
        <f>IF(ISERROR(VLOOKUP($A54,'SegEnds_NonXtal_BW#'!$A:$Z,4,FALSE)+VLOOKUP($A54,A:AL,4,FALSE)-50),"-",(VLOOKUP($A54,'SegEnds_NonXtal_BW#'!$A:$Z,4,FALSE)+VLOOKUP($A54,A:AL,4,FALSE)-50))</f>
        <v>74</v>
      </c>
      <c r="F54" s="3">
        <f t="shared" si="29"/>
        <v>75</v>
      </c>
      <c r="G54" s="3">
        <v>77</v>
      </c>
      <c r="H54" s="3">
        <f t="shared" ref="H54:I72" si="35">G54+1</f>
        <v>78</v>
      </c>
      <c r="I54" s="3">
        <f t="shared" si="35"/>
        <v>79</v>
      </c>
      <c r="J54" s="3">
        <v>92</v>
      </c>
      <c r="K54" s="3">
        <f>VLOOKUP($A54,'SegEnds_NonXtal_BW#'!$A:$Z,8,FALSE)+VLOOKUP($A54,A:AL,10,FALSE)-50</f>
        <v>108</v>
      </c>
      <c r="L54" s="3">
        <f>IF(ISERROR(VLOOKUP($A54,'SegEnds_NonXtal_BW#'!$A:$Z,9,FALSE)+VLOOKUP($A54,A:AL,13,FALSE)-50),"-",(VLOOKUP($A54,'SegEnds_NonXtal_BW#'!$A:$Z,9,FALSE)+VLOOKUP($A54,A:AL,13,FALSE)-50))</f>
        <v>109</v>
      </c>
      <c r="M54" s="3">
        <v>110</v>
      </c>
      <c r="N54" s="3">
        <f>IF(ISERROR(VLOOKUP($A54,'SegEnds_NonXtal_BW#'!$A:$Z,10,FALSE)+VLOOKUP($A54,A:AL,13,FALSE)-50),"-",(VLOOKUP($A54,'SegEnds_NonXtal_BW#'!$A:$Z,10,FALSE)+VLOOKUP($A54,A:AL,13,FALSE)-50))</f>
        <v>112</v>
      </c>
      <c r="O54" s="3">
        <f>VLOOKUP($A54,'SegEnds_NonXtal_BW#'!$A:$Z,11,FALSE)+VLOOKUP($A54,A:AL,16,FALSE)-50</f>
        <v>113</v>
      </c>
      <c r="P54" s="3">
        <v>142</v>
      </c>
      <c r="Q54" s="3">
        <f>VLOOKUP($A54,'SegEnds_NonXtal_BW#'!$A:$Z,12,FALSE)+VLOOKUP($A54,A:AL,16,FALSE)-50</f>
        <v>148</v>
      </c>
      <c r="R54" s="3">
        <f>IF(ISERROR(VLOOKUP($A54,'SegEnds_NonXtal_BW#'!$A:$Z,13,FALSE)+VLOOKUP($A54,A:AL,19,FALSE)-50),"-",VLOOKUP($A54,'SegEnds_NonXtal_BW#'!$A:$Z,13,FALSE)+VLOOKUP($A54,A:AL,19,FALSE)-50)</f>
        <v>149</v>
      </c>
      <c r="S54" s="3">
        <v>149</v>
      </c>
      <c r="T54" s="103">
        <f>IF(ISERROR(VLOOKUP($A54,'SegEnds_NonXtal_BW#'!$A:$Z,14,FALSE)+VLOOKUP($A54,A:AL,19,FALSE)-50),"-",(VLOOKUP($A54,'SegEnds_NonXtal_BW#'!$A:$Z,14,FALSE)+VLOOKUP($A54,A:AL,19,FALSE)-50))</f>
        <v>156</v>
      </c>
      <c r="U54" s="9">
        <f>IF(ISERROR(VLOOKUP($A54,'SegEnds_NonXtal_BW#'!$A:$Z,15,FALSE)+VLOOKUP($A54,A:AL,22,FALSE)-50),"-",VLOOKUP($A54,'SegEnds_NonXtal_BW#'!$A:$Z,15,FALSE)+VLOOKUP($A54,A:AL,22,FALSE)-50)</f>
        <v>157</v>
      </c>
      <c r="V54" s="3">
        <v>169</v>
      </c>
      <c r="W54" s="3">
        <f>IF(ISERROR(VLOOKUP($A54,'SegEnds_NonXtal_BW#'!$A:$Z,16,FALSE)+VLOOKUP($A54,A:AL,22,FALSE)-50),"-",(VLOOKUP($A54,'SegEnds_NonXtal_BW#'!$A:$Z,16,FALSE)+VLOOKUP($A54,A:AL,22,FALSE)-50))</f>
        <v>183</v>
      </c>
      <c r="X54" s="3">
        <f>IF(ISERROR(VLOOKUP($A54,'SegEnds_NonXtal_BW#'!$A:$Z,17,FALSE)+VLOOKUP($A54,A:AL,25,FALSE)-50),"-",(VLOOKUP($A54,'SegEnds_NonXtal_BW#'!$A:$Z,17,FALSE)+VLOOKUP($A54,A:AL,25,FALSE)-50))</f>
        <v>195</v>
      </c>
      <c r="Y54" s="3">
        <v>195</v>
      </c>
      <c r="Z54" s="3">
        <f t="shared" si="33"/>
        <v>197</v>
      </c>
      <c r="AA54" s="3">
        <f>IF(ISERROR(VLOOKUP($A54,'SegEnds_NonXtal_BW#'!$A:$Z,19,FALSE)+VLOOKUP($A54,A:AL,28,FALSE)-50),"-",(VLOOKUP($A54,'SegEnds_NonXtal_BW#'!$A:$Z,19,FALSE)+VLOOKUP($A54,A:AL,28,FALSE)-50))</f>
        <v>202</v>
      </c>
      <c r="AB54" s="3">
        <v>222</v>
      </c>
      <c r="AC54" s="3">
        <f>IF(ISERROR((VLOOKUP($A54,'SegEnds_NonXtal_BW#'!$A:$Z,20,FALSE)+VLOOKUP($A54,A:AL,28,FALSE)-50)),"-",(VLOOKUP($A54,'SegEnds_NonXtal_BW#'!$A:$Z,20,FALSE)+VLOOKUP($A54,A:AL,28,FALSE)-50))</f>
        <v>240</v>
      </c>
      <c r="AD54" s="3">
        <f>IF(ISERROR(VLOOKUP($A54,'SegEnds_NonXtal_BW#'!$A:$Z,21,FALSE)+VLOOKUP($A54,A:AL,31,FALSE)-50),"-",(VLOOKUP($A54,'SegEnds_NonXtal_BW#'!$A:$Z,21,FALSE)+VLOOKUP($A54,A:AL,31,FALSE)-50))</f>
        <v>245</v>
      </c>
      <c r="AE54" s="3">
        <v>265</v>
      </c>
      <c r="AF54" s="3">
        <f>IF(ISERROR((VLOOKUP($A54,'SegEnds_NonXtal_BW#'!$A:$Z,22,FALSE)+VLOOKUP($A54,A:AL,31,FALSE)-50)),"-",(VLOOKUP($A54,'SegEnds_NonXtal_BW#'!$A:$Z,22,FALSE)+VLOOKUP($A54,A:AL,31,FALSE)-50))</f>
        <v>279</v>
      </c>
      <c r="AG54" s="3">
        <f>IF(ISERROR(VLOOKUP($A54,'SegEnds_NonXtal_BW#'!$A:$Z,23,FALSE)+VLOOKUP($A54,A:AL,34,FALSE)-50),"-",(VLOOKUP($A54,'SegEnds_NonXtal_BW#'!$A:$Z,23,FALSE)+VLOOKUP($A54,A:AL,34,FALSE)-50))</f>
        <v>283</v>
      </c>
      <c r="AH54" s="3">
        <v>309</v>
      </c>
      <c r="AI54" s="3">
        <f>IF(ISERROR((VLOOKUP($A54,'SegEnds_NonXtal_BW#'!$A:$Z,24,FALSE)+VLOOKUP($A54,A:AL,34,FALSE)-50)),"-",(VLOOKUP($A54,'SegEnds_NonXtal_BW#'!$A:$Z,24,FALSE)+VLOOKUP($A54,A:AL,34,FALSE)-50))</f>
        <v>315</v>
      </c>
      <c r="AJ54" s="3">
        <f>IF(ISERROR(VLOOKUP($A54,'SegEnds_NonXtal_BW#'!$A:$Z,25,FALSE)+VLOOKUP($A54,A:AL,37,FALSE)-50),"-",(VLOOKUP($A54,'SegEnds_NonXtal_BW#'!$A:$Z,25,FALSE)+VLOOKUP($A54,A:AL,37,FALSE)-50))</f>
        <v>316</v>
      </c>
      <c r="AK54" s="3">
        <v>319</v>
      </c>
      <c r="AL54" s="3">
        <f>IF(ISERROR((VLOOKUP($A54,'SegEnds_NonXtal_BW#'!$A:$Z,26,FALSE)+VLOOKUP($A54,A:AL,37,FALSE)-50)),"-",(VLOOKUP($A54,'SegEnds_NonXtal_BW#'!$A:$Z,26,FALSE)+VLOOKUP($A54,A:AL,37,FALSE)-50))</f>
        <v>328</v>
      </c>
      <c r="AM54" s="28" t="str">
        <f>VLOOKUP(A54,Classification!A:B,2,FALSE)</f>
        <v>A</v>
      </c>
      <c r="AN54" s="28" t="b">
        <f t="shared" si="34"/>
        <v>1</v>
      </c>
      <c r="AO54" s="3" t="str">
        <f>IF(ISERROR(MATCH(A54,'SegEnds_Xtal_Prot#'!B:B, 0)), "NoXtal", "Xtal")</f>
        <v>NoXtal</v>
      </c>
      <c r="AP54" s="3">
        <f t="shared" si="1"/>
        <v>1</v>
      </c>
      <c r="AQ54" s="3">
        <f t="shared" si="2"/>
        <v>1</v>
      </c>
      <c r="AR54" s="3">
        <f t="shared" si="3"/>
        <v>1</v>
      </c>
      <c r="AS54" s="3">
        <f t="shared" si="4"/>
        <v>1</v>
      </c>
      <c r="AT54" s="3">
        <f t="shared" si="5"/>
        <v>1</v>
      </c>
      <c r="AU54" s="3">
        <f t="shared" si="6"/>
        <v>1</v>
      </c>
      <c r="AV54" s="3">
        <f t="shared" si="7"/>
        <v>12</v>
      </c>
      <c r="AW54" s="3">
        <f t="shared" si="8"/>
        <v>5</v>
      </c>
      <c r="AX54" s="3">
        <f t="shared" si="9"/>
        <v>5</v>
      </c>
      <c r="AY54" s="3">
        <f t="shared" si="10"/>
        <v>4</v>
      </c>
      <c r="AZ54" s="3">
        <f t="shared" si="11"/>
        <v>1</v>
      </c>
      <c r="BA54" s="3">
        <f>IF(ISERROR(LEN(VLOOKUP(A54,Seqs!A:E,2,FALSE))-AL54),"-",LEN(VLOOKUP(A54,Seqs!A:E,2,FALSE))-AL54)</f>
        <v>56</v>
      </c>
      <c r="BB54" s="16">
        <f t="shared" si="12"/>
        <v>28</v>
      </c>
      <c r="BC54" s="9">
        <f t="shared" si="13"/>
        <v>20</v>
      </c>
      <c r="BD54" s="3">
        <f t="shared" si="14"/>
        <v>28</v>
      </c>
      <c r="BE54" s="3">
        <f t="shared" si="15"/>
        <v>43</v>
      </c>
    </row>
    <row r="55" spans="1:58" s="3" customFormat="1" x14ac:dyDescent="0.2">
      <c r="A55" s="3" t="s">
        <v>146</v>
      </c>
      <c r="B55" s="3" t="str">
        <f>LOWER(VLOOKUP(A55,Xtal_Templ!A:B,2,FALSE))</f>
        <v>acm1_human</v>
      </c>
      <c r="C55" s="3">
        <f>VLOOKUP($A55,'SegEnds_NonXtal_BW#'!$A:$Z,3,FALSE)+D55-50</f>
        <v>22</v>
      </c>
      <c r="D55" s="3">
        <v>43</v>
      </c>
      <c r="E55" s="3">
        <f>IF(ISERROR(VLOOKUP($A55,'SegEnds_NonXtal_BW#'!$A:$Z,4,FALSE)+VLOOKUP($A55,A:AL,4,FALSE)-50),"-",(VLOOKUP($A55,'SegEnds_NonXtal_BW#'!$A:$Z,4,FALSE)+VLOOKUP($A55,A:AL,4,FALSE)-50))</f>
        <v>53</v>
      </c>
      <c r="F55" s="3">
        <f t="shared" si="29"/>
        <v>54</v>
      </c>
      <c r="G55" s="3">
        <v>56</v>
      </c>
      <c r="H55" s="3">
        <f t="shared" si="35"/>
        <v>57</v>
      </c>
      <c r="I55" s="3">
        <f t="shared" si="35"/>
        <v>58</v>
      </c>
      <c r="J55" s="3">
        <v>71</v>
      </c>
      <c r="K55" s="3">
        <f>VLOOKUP($A55,'SegEnds_NonXtal_BW#'!$A:$Z,8,FALSE)+VLOOKUP($A55,A:AL,10,FALSE)-50</f>
        <v>88</v>
      </c>
      <c r="L55" s="3">
        <f>M55-1</f>
        <v>90</v>
      </c>
      <c r="M55" s="3">
        <v>91</v>
      </c>
      <c r="N55" s="3">
        <f>M55+2</f>
        <v>93</v>
      </c>
      <c r="O55" s="3">
        <f t="shared" ref="O55:O60" si="36">N55+1</f>
        <v>94</v>
      </c>
      <c r="P55" s="3">
        <v>123</v>
      </c>
      <c r="Q55" s="3">
        <f>VLOOKUP($A55,'SegEnds_NonXtal_BW#'!$A:$Z,12,FALSE)+VLOOKUP($A55,A:AL,16,FALSE)-50</f>
        <v>129</v>
      </c>
      <c r="R55" s="3">
        <f>IF(ISERROR(VLOOKUP($A55,'SegEnds_NonXtal_BW#'!$A:$Z,13,FALSE)+VLOOKUP($A55,A:AL,19,FALSE)-50),"-",VLOOKUP($A55,'SegEnds_NonXtal_BW#'!$A:$Z,13,FALSE)+VLOOKUP($A55,A:AL,19,FALSE)-50)</f>
        <v>130</v>
      </c>
      <c r="S55" s="3">
        <v>130</v>
      </c>
      <c r="T55" s="103">
        <f>IF(ISERROR(VLOOKUP($A55,'SegEnds_NonXtal_BW#'!$A:$Z,14,FALSE)+VLOOKUP($A55,A:AL,19,FALSE)-50),"-",(VLOOKUP($A55,'SegEnds_NonXtal_BW#'!$A:$Z,14,FALSE)+VLOOKUP($A55,A:AL,19,FALSE)-50))</f>
        <v>137</v>
      </c>
      <c r="U55" s="9">
        <f>IF(ISERROR(VLOOKUP($A55,'SegEnds_NonXtal_BW#'!$A:$Z,15,FALSE)+VLOOKUP($A55,A:AL,22,FALSE)-50),"-",VLOOKUP($A55,'SegEnds_NonXtal_BW#'!$A:$Z,15,FALSE)+VLOOKUP($A55,A:AL,22,FALSE)-50)</f>
        <v>138</v>
      </c>
      <c r="V55" s="3">
        <v>150</v>
      </c>
      <c r="W55" s="3">
        <f>IF(ISERROR(VLOOKUP($A55,'SegEnds_NonXtal_BW#'!$A:$Z,16,FALSE)+VLOOKUP($A55,A:AL,22,FALSE)-50),"-",(VLOOKUP($A55,'SegEnds_NonXtal_BW#'!$A:$Z,16,FALSE)+VLOOKUP($A55,A:AL,22,FALSE)-50))</f>
        <v>169</v>
      </c>
      <c r="X55" s="3">
        <f>IF(ISERROR(VLOOKUP($A55,'SegEnds_NonXtal_BW#'!$A:$Z,17,FALSE)+VLOOKUP($A55,A:AL,25,FALSE)-50),"-",(VLOOKUP($A55,'SegEnds_NonXtal_BW#'!$A:$Z,17,FALSE)+VLOOKUP($A55,A:AL,25,FALSE)-50))</f>
        <v>178</v>
      </c>
      <c r="Y55" s="3">
        <v>178</v>
      </c>
      <c r="Z55" s="3">
        <f t="shared" si="33"/>
        <v>180</v>
      </c>
      <c r="AA55" s="3">
        <f>IF(ISERROR(VLOOKUP($A55,'SegEnds_NonXtal_BW#'!$A:$Z,19,FALSE)+VLOOKUP($A55,A:AL,28,FALSE)-50),"-",(VLOOKUP($A55,'SegEnds_NonXtal_BW#'!$A:$Z,19,FALSE)+VLOOKUP($A55,A:AL,28,FALSE)-50))</f>
        <v>185</v>
      </c>
      <c r="AB55" s="3">
        <v>200</v>
      </c>
      <c r="AC55" s="3">
        <f>IF(ISERROR((VLOOKUP($A55,'SegEnds_NonXtal_BW#'!$A:$Z,20,FALSE)+VLOOKUP($A55,A:AL,28,FALSE)-50)),"-",(VLOOKUP($A55,'SegEnds_NonXtal_BW#'!$A:$Z,20,FALSE)+VLOOKUP($A55,A:AL,28,FALSE)-50))</f>
        <v>225</v>
      </c>
      <c r="AD55" s="3">
        <f>IF(ISERROR(VLOOKUP($A55,'SegEnds_NonXtal_BW#'!$A:$Z,21,FALSE)+VLOOKUP($A55,A:AL,31,FALSE)-50),"-",(VLOOKUP($A55,'SegEnds_NonXtal_BW#'!$A:$Z,21,FALSE)+VLOOKUP($A55,A:AL,31,FALSE)-50))</f>
        <v>354</v>
      </c>
      <c r="AE55" s="3">
        <v>380</v>
      </c>
      <c r="AF55" s="3">
        <f>IF(ISERROR((VLOOKUP($A55,'SegEnds_NonXtal_BW#'!$A:$Z,22,FALSE)+VLOOKUP($A55,A:AL,31,FALSE)-50)),"-",(VLOOKUP($A55,'SegEnds_NonXtal_BW#'!$A:$Z,22,FALSE)+VLOOKUP($A55,A:AL,31,FALSE)-50))</f>
        <v>391</v>
      </c>
      <c r="AG55" s="3">
        <f>IF(ISERROR(VLOOKUP($A55,'SegEnds_NonXtal_BW#'!$A:$Z,23,FALSE)+VLOOKUP($A55,A:AL,34,FALSE)-50),"-",(VLOOKUP($A55,'SegEnds_NonXtal_BW#'!$A:$Z,23,FALSE)+VLOOKUP($A55,A:AL,34,FALSE)-50))</f>
        <v>396</v>
      </c>
      <c r="AH55" s="3">
        <v>415</v>
      </c>
      <c r="AI55" s="3">
        <f>IF(ISERROR((VLOOKUP($A55,'SegEnds_NonXtal_BW#'!$A:$Z,24,FALSE)+VLOOKUP($A55,A:AL,34,FALSE)-50)),"-",(VLOOKUP($A55,'SegEnds_NonXtal_BW#'!$A:$Z,24,FALSE)+VLOOKUP($A55,A:AL,34,FALSE)-50))</f>
        <v>421</v>
      </c>
      <c r="AJ55" s="3">
        <f>IF(ISERROR(VLOOKUP($A55,'SegEnds_NonXtal_BW#'!$A:$Z,25,FALSE)+VLOOKUP($A55,A:AL,37,FALSE)-50),"-",(VLOOKUP($A55,'SegEnds_NonXtal_BW#'!$A:$Z,25,FALSE)+VLOOKUP($A55,A:AL,37,FALSE)-50))</f>
        <v>422</v>
      </c>
      <c r="AK55" s="3">
        <v>425</v>
      </c>
      <c r="AL55" s="3">
        <f>IF(ISERROR((VLOOKUP($A55,'SegEnds_NonXtal_BW#'!$A:$Z,26,FALSE)+VLOOKUP($A55,A:AL,37,FALSE)-50)),"-",(VLOOKUP($A55,'SegEnds_NonXtal_BW#'!$A:$Z,26,FALSE)+VLOOKUP($A55,A:AL,37,FALSE)-50))</f>
        <v>434</v>
      </c>
      <c r="AM55" s="28" t="str">
        <f>VLOOKUP(A55,Classification!A:B,2,FALSE)</f>
        <v>A</v>
      </c>
      <c r="AN55" s="28" t="b">
        <f t="shared" si="34"/>
        <v>1</v>
      </c>
      <c r="AO55" s="3" t="str">
        <f>IF(ISERROR(MATCH(A55,'SegEnds_Xtal_Prot#'!B:B, 0)), "NoXtal", "Xtal")</f>
        <v>Xtal</v>
      </c>
      <c r="AP55" s="3">
        <f t="shared" si="1"/>
        <v>1</v>
      </c>
      <c r="AQ55" s="3">
        <f t="shared" si="2"/>
        <v>1</v>
      </c>
      <c r="AR55" s="3">
        <f t="shared" si="3"/>
        <v>2</v>
      </c>
      <c r="AS55" s="3">
        <f t="shared" si="4"/>
        <v>1</v>
      </c>
      <c r="AT55" s="3">
        <f t="shared" si="5"/>
        <v>1</v>
      </c>
      <c r="AU55" s="3">
        <f t="shared" si="6"/>
        <v>1</v>
      </c>
      <c r="AV55" s="3">
        <f t="shared" si="7"/>
        <v>9</v>
      </c>
      <c r="AW55" s="3">
        <f t="shared" si="8"/>
        <v>5</v>
      </c>
      <c r="AX55" s="3">
        <f t="shared" si="9"/>
        <v>129</v>
      </c>
      <c r="AY55" s="3">
        <f t="shared" si="10"/>
        <v>5</v>
      </c>
      <c r="AZ55" s="3">
        <f t="shared" si="11"/>
        <v>1</v>
      </c>
      <c r="BA55" s="3">
        <f>IF(ISERROR(LEN(VLOOKUP(A55,Seqs!A:E,2,FALSE))-AL55),"-",LEN(VLOOKUP(A55,Seqs!A:E,2,FALSE))-AL55)</f>
        <v>26</v>
      </c>
      <c r="BB55" s="16">
        <f t="shared" si="12"/>
        <v>28</v>
      </c>
      <c r="BC55" s="9">
        <f t="shared" si="13"/>
        <v>20</v>
      </c>
      <c r="BD55" s="3">
        <f t="shared" si="14"/>
        <v>28</v>
      </c>
      <c r="BE55" s="3">
        <f t="shared" si="15"/>
        <v>180</v>
      </c>
      <c r="BF55" s="3">
        <f>AH55-AE55</f>
        <v>35</v>
      </c>
    </row>
    <row r="56" spans="1:58" s="3" customFormat="1" x14ac:dyDescent="0.2">
      <c r="A56" s="3" t="s">
        <v>147</v>
      </c>
      <c r="B56" s="3" t="str">
        <f>LOWER(VLOOKUP(A56,Xtal_Templ!A:B,2,FALSE))</f>
        <v>acm2_human</v>
      </c>
      <c r="C56" s="3">
        <f>VLOOKUP($A56,'SegEnds_NonXtal_BW#'!$A:$Z,3,FALSE)+D56-50</f>
        <v>19</v>
      </c>
      <c r="D56" s="3">
        <v>41</v>
      </c>
      <c r="E56" s="3">
        <f>IF(ISERROR(VLOOKUP($A56,'SegEnds_NonXtal_BW#'!$A:$Z,4,FALSE)+VLOOKUP($A56,A:AL,4,FALSE)-50),"-",(VLOOKUP($A56,'SegEnds_NonXtal_BW#'!$A:$Z,4,FALSE)+VLOOKUP($A56,A:AL,4,FALSE)-50))</f>
        <v>51</v>
      </c>
      <c r="F56" s="3">
        <f t="shared" si="29"/>
        <v>52</v>
      </c>
      <c r="G56" s="3">
        <v>54</v>
      </c>
      <c r="H56" s="3">
        <f t="shared" si="35"/>
        <v>55</v>
      </c>
      <c r="I56" s="3">
        <f t="shared" si="35"/>
        <v>56</v>
      </c>
      <c r="J56" s="3">
        <v>69</v>
      </c>
      <c r="K56" s="3">
        <f>VLOOKUP($A56,'SegEnds_NonXtal_BW#'!$A:$Z,8,FALSE)+VLOOKUP($A56,A:AL,10,FALSE)-50</f>
        <v>86</v>
      </c>
      <c r="L56" s="3">
        <f>M56-1</f>
        <v>88</v>
      </c>
      <c r="M56" s="3">
        <v>89</v>
      </c>
      <c r="N56" s="3">
        <f>M56+2</f>
        <v>91</v>
      </c>
      <c r="O56" s="3">
        <f t="shared" si="36"/>
        <v>92</v>
      </c>
      <c r="P56" s="3">
        <v>121</v>
      </c>
      <c r="Q56" s="3">
        <f>VLOOKUP($A56,'SegEnds_NonXtal_BW#'!$A:$Z,12,FALSE)+VLOOKUP($A56,A:AL,16,FALSE)-50</f>
        <v>127</v>
      </c>
      <c r="R56" s="3">
        <f>IF(ISERROR(VLOOKUP($A56,'SegEnds_NonXtal_BW#'!$A:$Z,13,FALSE)+VLOOKUP($A56,A:AL,19,FALSE)-50),"-",VLOOKUP($A56,'SegEnds_NonXtal_BW#'!$A:$Z,13,FALSE)+VLOOKUP($A56,A:AL,19,FALSE)-50)</f>
        <v>128</v>
      </c>
      <c r="S56" s="3">
        <v>128</v>
      </c>
      <c r="T56" s="103">
        <f>IF(ISERROR(VLOOKUP($A56,'SegEnds_NonXtal_BW#'!$A:$Z,14,FALSE)+VLOOKUP($A56,A:AL,19,FALSE)-50),"-",(VLOOKUP($A56,'SegEnds_NonXtal_BW#'!$A:$Z,14,FALSE)+VLOOKUP($A56,A:AL,19,FALSE)-50))</f>
        <v>135</v>
      </c>
      <c r="U56" s="9">
        <f>IF(ISERROR(VLOOKUP($A56,'SegEnds_NonXtal_BW#'!$A:$Z,15,FALSE)+VLOOKUP($A56,A:AL,22,FALSE)-50),"-",VLOOKUP($A56,'SegEnds_NonXtal_BW#'!$A:$Z,15,FALSE)+VLOOKUP($A56,A:AL,22,FALSE)-50)</f>
        <v>136</v>
      </c>
      <c r="V56" s="3">
        <v>148</v>
      </c>
      <c r="W56" s="3">
        <f>IF(ISERROR(VLOOKUP($A56,'SegEnds_NonXtal_BW#'!$A:$Z,16,FALSE)+VLOOKUP($A56,A:AL,22,FALSE)-50),"-",(VLOOKUP($A56,'SegEnds_NonXtal_BW#'!$A:$Z,16,FALSE)+VLOOKUP($A56,A:AL,22,FALSE)-50))</f>
        <v>167</v>
      </c>
      <c r="X56" s="3">
        <f>IF(ISERROR(VLOOKUP($A56,'SegEnds_NonXtal_BW#'!$A:$Z,17,FALSE)+VLOOKUP($A56,A:AL,25,FALSE)-50),"-",(VLOOKUP($A56,'SegEnds_NonXtal_BW#'!$A:$Z,17,FALSE)+VLOOKUP($A56,A:AL,25,FALSE)-50))</f>
        <v>176</v>
      </c>
      <c r="Y56" s="3">
        <v>176</v>
      </c>
      <c r="Z56" s="3">
        <f t="shared" si="33"/>
        <v>178</v>
      </c>
      <c r="AA56" s="3">
        <f>IF(ISERROR(VLOOKUP($A56,'SegEnds_NonXtal_BW#'!$A:$Z,19,FALSE)+VLOOKUP($A56,A:AL,28,FALSE)-50),"-",(VLOOKUP($A56,'SegEnds_NonXtal_BW#'!$A:$Z,19,FALSE)+VLOOKUP($A56,A:AL,28,FALSE)-50))</f>
        <v>183</v>
      </c>
      <c r="AB56" s="3">
        <v>198</v>
      </c>
      <c r="AC56" s="3">
        <f>IF(ISERROR((VLOOKUP($A56,'SegEnds_NonXtal_BW#'!$A:$Z,20,FALSE)+VLOOKUP($A56,A:AL,28,FALSE)-50)),"-",(VLOOKUP($A56,'SegEnds_NonXtal_BW#'!$A:$Z,20,FALSE)+VLOOKUP($A56,A:AL,28,FALSE)-50))</f>
        <v>223</v>
      </c>
      <c r="AD56" s="3">
        <f>IF(ISERROR(VLOOKUP($A56,'SegEnds_NonXtal_BW#'!$A:$Z,21,FALSE)+VLOOKUP($A56,A:AL,31,FALSE)-50),"-",(VLOOKUP($A56,'SegEnds_NonXtal_BW#'!$A:$Z,21,FALSE)+VLOOKUP($A56,A:AL,31,FALSE)-50))</f>
        <v>376</v>
      </c>
      <c r="AE56" s="3">
        <v>402</v>
      </c>
      <c r="AF56" s="3">
        <f>IF(ISERROR((VLOOKUP($A56,'SegEnds_NonXtal_BW#'!$A:$Z,22,FALSE)+VLOOKUP($A56,A:AL,31,FALSE)-50)),"-",(VLOOKUP($A56,'SegEnds_NonXtal_BW#'!$A:$Z,22,FALSE)+VLOOKUP($A56,A:AL,31,FALSE)-50))</f>
        <v>413</v>
      </c>
      <c r="AG56" s="3">
        <f>IF(ISERROR(VLOOKUP($A56,'SegEnds_NonXtal_BW#'!$A:$Z,23,FALSE)+VLOOKUP($A56,A:AL,34,FALSE)-50),"-",(VLOOKUP($A56,'SegEnds_NonXtal_BW#'!$A:$Z,23,FALSE)+VLOOKUP($A56,A:AL,34,FALSE)-50))</f>
        <v>418</v>
      </c>
      <c r="AH56" s="3">
        <v>437</v>
      </c>
      <c r="AI56" s="3">
        <f>IF(ISERROR((VLOOKUP($A56,'SegEnds_NonXtal_BW#'!$A:$Z,24,FALSE)+VLOOKUP($A56,A:AL,34,FALSE)-50)),"-",(VLOOKUP($A56,'SegEnds_NonXtal_BW#'!$A:$Z,24,FALSE)+VLOOKUP($A56,A:AL,34,FALSE)-50))</f>
        <v>443</v>
      </c>
      <c r="AJ56" s="3">
        <f>IF(ISERROR(VLOOKUP($A56,'SegEnds_NonXtal_BW#'!$A:$Z,25,FALSE)+VLOOKUP($A56,A:AL,37,FALSE)-50),"-",(VLOOKUP($A56,'SegEnds_NonXtal_BW#'!$A:$Z,25,FALSE)+VLOOKUP($A56,A:AL,37,FALSE)-50))</f>
        <v>444</v>
      </c>
      <c r="AK56" s="3">
        <v>447</v>
      </c>
      <c r="AL56" s="3">
        <f>IF(ISERROR((VLOOKUP($A56,'SegEnds_NonXtal_BW#'!$A:$Z,26,FALSE)+VLOOKUP($A56,A:AL,37,FALSE)-50)),"-",(VLOOKUP($A56,'SegEnds_NonXtal_BW#'!$A:$Z,26,FALSE)+VLOOKUP($A56,A:AL,37,FALSE)-50))</f>
        <v>456</v>
      </c>
      <c r="AM56" s="28" t="str">
        <f>VLOOKUP(A56,Classification!A:B,2,FALSE)</f>
        <v>A</v>
      </c>
      <c r="AN56" s="28" t="b">
        <f t="shared" si="34"/>
        <v>1</v>
      </c>
      <c r="AO56" s="3" t="str">
        <f>IF(ISERROR(MATCH(A56,'SegEnds_Xtal_Prot#'!B:B, 0)), "NoXtal", "Xtal")</f>
        <v>Xtal</v>
      </c>
      <c r="AP56" s="3">
        <f t="shared" si="1"/>
        <v>1</v>
      </c>
      <c r="AQ56" s="3">
        <f t="shared" si="2"/>
        <v>1</v>
      </c>
      <c r="AR56" s="3">
        <f t="shared" si="3"/>
        <v>2</v>
      </c>
      <c r="AS56" s="3">
        <f t="shared" si="4"/>
        <v>1</v>
      </c>
      <c r="AT56" s="3">
        <f t="shared" si="5"/>
        <v>1</v>
      </c>
      <c r="AU56" s="3">
        <f t="shared" si="6"/>
        <v>1</v>
      </c>
      <c r="AV56" s="3">
        <f t="shared" si="7"/>
        <v>9</v>
      </c>
      <c r="AW56" s="3">
        <f t="shared" si="8"/>
        <v>5</v>
      </c>
      <c r="AX56" s="3">
        <f t="shared" si="9"/>
        <v>153</v>
      </c>
      <c r="AY56" s="3">
        <f t="shared" si="10"/>
        <v>5</v>
      </c>
      <c r="AZ56" s="3">
        <f t="shared" si="11"/>
        <v>1</v>
      </c>
      <c r="BA56" s="3">
        <f>IF(ISERROR(LEN(VLOOKUP(A56,Seqs!A:E,2,FALSE))-AL56),"-",LEN(VLOOKUP(A56,Seqs!A:E,2,FALSE))-AL56)</f>
        <v>10</v>
      </c>
      <c r="BB56" s="16">
        <f t="shared" si="12"/>
        <v>28</v>
      </c>
      <c r="BC56" s="9">
        <f t="shared" si="13"/>
        <v>20</v>
      </c>
      <c r="BD56" s="3">
        <f t="shared" si="14"/>
        <v>28</v>
      </c>
      <c r="BE56" s="3">
        <f t="shared" si="15"/>
        <v>204</v>
      </c>
      <c r="BF56" s="3">
        <f>AH56-AE56</f>
        <v>35</v>
      </c>
    </row>
    <row r="57" spans="1:58" s="3" customFormat="1" x14ac:dyDescent="0.2">
      <c r="A57" s="3" t="s">
        <v>148</v>
      </c>
      <c r="B57" s="3" t="str">
        <f>LOWER(VLOOKUP(A57,Xtal_Templ!A:B,2,FALSE))</f>
        <v>acm3_rat</v>
      </c>
      <c r="C57" s="3">
        <f>VLOOKUP($A57,'SegEnds_NonXtal_BW#'!$A:$Z,3,FALSE)+D57-50</f>
        <v>65</v>
      </c>
      <c r="D57" s="3">
        <v>86</v>
      </c>
      <c r="E57" s="3">
        <f>IF(ISERROR(VLOOKUP($A57,'SegEnds_NonXtal_BW#'!$A:$Z,4,FALSE)+VLOOKUP($A57,A:AL,4,FALSE)-50),"-",(VLOOKUP($A57,'SegEnds_NonXtal_BW#'!$A:$Z,4,FALSE)+VLOOKUP($A57,A:AL,4,FALSE)-50))</f>
        <v>96</v>
      </c>
      <c r="F57" s="3">
        <f t="shared" si="29"/>
        <v>97</v>
      </c>
      <c r="G57" s="3">
        <v>99</v>
      </c>
      <c r="H57" s="3">
        <f t="shared" si="35"/>
        <v>100</v>
      </c>
      <c r="I57" s="3">
        <f t="shared" si="35"/>
        <v>101</v>
      </c>
      <c r="J57" s="3">
        <v>114</v>
      </c>
      <c r="K57" s="3">
        <f>VLOOKUP($A57,'SegEnds_NonXtal_BW#'!$A:$Z,8,FALSE)+VLOOKUP($A57,A:AL,10,FALSE)-50</f>
        <v>131</v>
      </c>
      <c r="L57" s="3">
        <f>M57-1</f>
        <v>133</v>
      </c>
      <c r="M57" s="3">
        <v>134</v>
      </c>
      <c r="N57" s="3">
        <f>M57+2</f>
        <v>136</v>
      </c>
      <c r="O57" s="3">
        <f t="shared" si="36"/>
        <v>137</v>
      </c>
      <c r="P57" s="3">
        <v>166</v>
      </c>
      <c r="Q57" s="3">
        <f>VLOOKUP($A57,'SegEnds_NonXtal_BW#'!$A:$Z,12,FALSE)+VLOOKUP($A57,A:AL,16,FALSE)-50</f>
        <v>172</v>
      </c>
      <c r="R57" s="3">
        <f>IF(ISERROR(VLOOKUP($A57,'SegEnds_NonXtal_BW#'!$A:$Z,13,FALSE)+VLOOKUP($A57,A:AL,19,FALSE)-50),"-",VLOOKUP($A57,'SegEnds_NonXtal_BW#'!$A:$Z,13,FALSE)+VLOOKUP($A57,A:AL,19,FALSE)-50)</f>
        <v>173</v>
      </c>
      <c r="S57" s="3">
        <v>173</v>
      </c>
      <c r="T57" s="103">
        <f>IF(ISERROR(VLOOKUP($A57,'SegEnds_NonXtal_BW#'!$A:$Z,14,FALSE)+VLOOKUP($A57,A:AL,19,FALSE)-50),"-",(VLOOKUP($A57,'SegEnds_NonXtal_BW#'!$A:$Z,14,FALSE)+VLOOKUP($A57,A:AL,19,FALSE)-50))</f>
        <v>180</v>
      </c>
      <c r="U57" s="9">
        <f>IF(ISERROR(VLOOKUP($A57,'SegEnds_NonXtal_BW#'!$A:$Z,15,FALSE)+VLOOKUP($A57,A:AL,22,FALSE)-50),"-",VLOOKUP($A57,'SegEnds_NonXtal_BW#'!$A:$Z,15,FALSE)+VLOOKUP($A57,A:AL,22,FALSE)-50)</f>
        <v>181</v>
      </c>
      <c r="V57" s="3">
        <v>193</v>
      </c>
      <c r="W57" s="3">
        <f>IF(ISERROR(VLOOKUP($A57,'SegEnds_NonXtal_BW#'!$A:$Z,16,FALSE)+VLOOKUP($A57,A:AL,22,FALSE)-50),"-",(VLOOKUP($A57,'SegEnds_NonXtal_BW#'!$A:$Z,16,FALSE)+VLOOKUP($A57,A:AL,22,FALSE)-50))</f>
        <v>212</v>
      </c>
      <c r="X57" s="3">
        <f>IF(ISERROR(VLOOKUP($A57,'SegEnds_NonXtal_BW#'!$A:$Z,17,FALSE)+VLOOKUP($A57,A:AL,25,FALSE)-50),"-",(VLOOKUP($A57,'SegEnds_NonXtal_BW#'!$A:$Z,17,FALSE)+VLOOKUP($A57,A:AL,25,FALSE)-50))</f>
        <v>221</v>
      </c>
      <c r="Y57" s="3">
        <v>221</v>
      </c>
      <c r="Z57" s="3">
        <f t="shared" si="33"/>
        <v>223</v>
      </c>
      <c r="AA57" s="3">
        <f>IF(ISERROR(VLOOKUP($A57,'SegEnds_NonXtal_BW#'!$A:$Z,19,FALSE)+VLOOKUP($A57,A:AL,28,FALSE)-50),"-",(VLOOKUP($A57,'SegEnds_NonXtal_BW#'!$A:$Z,19,FALSE)+VLOOKUP($A57,A:AL,28,FALSE)-50))</f>
        <v>228</v>
      </c>
      <c r="AB57" s="3">
        <v>243</v>
      </c>
      <c r="AC57" s="3">
        <f>IF(ISERROR((VLOOKUP($A57,'SegEnds_NonXtal_BW#'!$A:$Z,20,FALSE)+VLOOKUP($A57,A:AL,28,FALSE)-50)),"-",(VLOOKUP($A57,'SegEnds_NonXtal_BW#'!$A:$Z,20,FALSE)+VLOOKUP($A57,A:AL,28,FALSE)-50))</f>
        <v>268</v>
      </c>
      <c r="AD57" s="3">
        <f>IF(ISERROR(VLOOKUP($A57,'SegEnds_NonXtal_BW#'!$A:$Z,21,FALSE)+VLOOKUP($A57,A:AL,31,FALSE)-50),"-",(VLOOKUP($A57,'SegEnds_NonXtal_BW#'!$A:$Z,21,FALSE)+VLOOKUP($A57,A:AL,31,FALSE)-50))</f>
        <v>480</v>
      </c>
      <c r="AE57" s="3">
        <v>506</v>
      </c>
      <c r="AF57" s="3">
        <f>IF(ISERROR((VLOOKUP($A57,'SegEnds_NonXtal_BW#'!$A:$Z,22,FALSE)+VLOOKUP($A57,A:AL,31,FALSE)-50)),"-",(VLOOKUP($A57,'SegEnds_NonXtal_BW#'!$A:$Z,22,FALSE)+VLOOKUP($A57,A:AL,31,FALSE)-50))</f>
        <v>517</v>
      </c>
      <c r="AG57" s="3">
        <f>IF(ISERROR(VLOOKUP($A57,'SegEnds_NonXtal_BW#'!$A:$Z,23,FALSE)+VLOOKUP($A57,A:AL,34,FALSE)-50),"-",(VLOOKUP($A57,'SegEnds_NonXtal_BW#'!$A:$Z,23,FALSE)+VLOOKUP($A57,A:AL,34,FALSE)-50))</f>
        <v>522</v>
      </c>
      <c r="AH57" s="3">
        <v>541</v>
      </c>
      <c r="AI57" s="3">
        <f>IF(ISERROR((VLOOKUP($A57,'SegEnds_NonXtal_BW#'!$A:$Z,24,FALSE)+VLOOKUP($A57,A:AL,34,FALSE)-50)),"-",(VLOOKUP($A57,'SegEnds_NonXtal_BW#'!$A:$Z,24,FALSE)+VLOOKUP($A57,A:AL,34,FALSE)-50))</f>
        <v>547</v>
      </c>
      <c r="AJ57" s="3">
        <f>IF(ISERROR(VLOOKUP($A57,'SegEnds_NonXtal_BW#'!$A:$Z,25,FALSE)+VLOOKUP($A57,A:AL,37,FALSE)-50),"-",(VLOOKUP($A57,'SegEnds_NonXtal_BW#'!$A:$Z,25,FALSE)+VLOOKUP($A57,A:AL,37,FALSE)-50))</f>
        <v>548</v>
      </c>
      <c r="AK57" s="3">
        <v>551</v>
      </c>
      <c r="AL57" s="3">
        <f>IF(ISERROR((VLOOKUP($A57,'SegEnds_NonXtal_BW#'!$A:$Z,26,FALSE)+VLOOKUP($A57,A:AL,37,FALSE)-50)),"-",(VLOOKUP($A57,'SegEnds_NonXtal_BW#'!$A:$Z,26,FALSE)+VLOOKUP($A57,A:AL,37,FALSE)-50))</f>
        <v>559</v>
      </c>
      <c r="AM57" s="28" t="str">
        <f>VLOOKUP(A57,Classification!A:B,2,FALSE)</f>
        <v>A</v>
      </c>
      <c r="AN57" s="28" t="b">
        <f t="shared" si="34"/>
        <v>1</v>
      </c>
      <c r="AO57" s="3" t="str">
        <f>IF(ISERROR(MATCH(A57,'SegEnds_Xtal_Prot#'!B:B, 0)), "NoXtal", "Xtal")</f>
        <v>NoXtal</v>
      </c>
      <c r="AP57" s="3">
        <f t="shared" si="1"/>
        <v>1</v>
      </c>
      <c r="AQ57" s="3">
        <f t="shared" si="2"/>
        <v>1</v>
      </c>
      <c r="AR57" s="3">
        <f t="shared" si="3"/>
        <v>2</v>
      </c>
      <c r="AS57" s="3">
        <f t="shared" si="4"/>
        <v>1</v>
      </c>
      <c r="AT57" s="3">
        <f t="shared" si="5"/>
        <v>1</v>
      </c>
      <c r="AU57" s="3">
        <f t="shared" si="6"/>
        <v>1</v>
      </c>
      <c r="AV57" s="3">
        <f t="shared" si="7"/>
        <v>9</v>
      </c>
      <c r="AW57" s="3">
        <f t="shared" si="8"/>
        <v>5</v>
      </c>
      <c r="AX57" s="3">
        <f t="shared" si="9"/>
        <v>212</v>
      </c>
      <c r="AY57" s="3">
        <f t="shared" si="10"/>
        <v>5</v>
      </c>
      <c r="AZ57" s="3">
        <f t="shared" si="11"/>
        <v>1</v>
      </c>
      <c r="BA57" s="3">
        <f>IF(ISERROR(LEN(VLOOKUP(A57,Seqs!A:E,2,FALSE))-AL57),"-",LEN(VLOOKUP(A57,Seqs!A:E,2,FALSE))-AL57)</f>
        <v>31</v>
      </c>
      <c r="BB57" s="16">
        <f t="shared" si="12"/>
        <v>28</v>
      </c>
      <c r="BC57" s="9">
        <f t="shared" si="13"/>
        <v>20</v>
      </c>
      <c r="BD57" s="3">
        <f t="shared" si="14"/>
        <v>28</v>
      </c>
      <c r="BE57" s="3">
        <f t="shared" si="15"/>
        <v>263</v>
      </c>
    </row>
    <row r="58" spans="1:58" s="3" customFormat="1" x14ac:dyDescent="0.2">
      <c r="A58" s="3" t="s">
        <v>910</v>
      </c>
      <c r="B58" s="3" t="str">
        <f>LOWER(VLOOKUP(A58,Xtal_Templ!A:B,2,FALSE))</f>
        <v>acm3_rat</v>
      </c>
      <c r="C58" s="3">
        <f>VLOOKUP($A58,'SegEnds_NonXtal_BW#'!$A:$Z,3,FALSE)+D58-50</f>
        <v>64</v>
      </c>
      <c r="D58" s="3">
        <v>85</v>
      </c>
      <c r="E58" s="3">
        <f>IF(ISERROR(VLOOKUP($A58,'SegEnds_NonXtal_BW#'!$A:$Z,4,FALSE)+VLOOKUP($A58,A:AL,4,FALSE)-50),"-",(VLOOKUP($A58,'SegEnds_NonXtal_BW#'!$A:$Z,4,FALSE)+VLOOKUP($A58,A:AL,4,FALSE)-50))</f>
        <v>95</v>
      </c>
      <c r="F58" s="3">
        <f t="shared" si="29"/>
        <v>96</v>
      </c>
      <c r="G58" s="3">
        <v>98</v>
      </c>
      <c r="H58" s="3">
        <f t="shared" si="35"/>
        <v>99</v>
      </c>
      <c r="I58" s="3">
        <f t="shared" si="35"/>
        <v>100</v>
      </c>
      <c r="J58" s="3">
        <v>113</v>
      </c>
      <c r="K58" s="3">
        <f>VLOOKUP($A58,'SegEnds_NonXtal_BW#'!$A:$Z,8,FALSE)+VLOOKUP($A58,A:AL,10,FALSE)-50</f>
        <v>130</v>
      </c>
      <c r="L58" s="3">
        <f>IF(ISERROR(VLOOKUP($A58,'SegEnds_NonXtal_BW#'!$A:$Z,9,FALSE)+VLOOKUP($A58,A:AL,13,FALSE)-50),"-",(VLOOKUP($A58,'SegEnds_NonXtal_BW#'!$A:$Z,9,FALSE)+VLOOKUP($A58,A:AL,13,FALSE)-50))</f>
        <v>132</v>
      </c>
      <c r="M58" s="3">
        <v>133</v>
      </c>
      <c r="N58" s="3">
        <f>IF(ISERROR(VLOOKUP($A58,'SegEnds_NonXtal_BW#'!$A:$Z,10,FALSE)+VLOOKUP($A58,A:AL,13,FALSE)-50),"-",(VLOOKUP($A58,'SegEnds_NonXtal_BW#'!$A:$Z,10,FALSE)+VLOOKUP($A58,A:AL,13,FALSE)-50))</f>
        <v>135</v>
      </c>
      <c r="O58" s="3">
        <f t="shared" si="36"/>
        <v>136</v>
      </c>
      <c r="P58" s="3">
        <v>165</v>
      </c>
      <c r="Q58" s="3">
        <f>VLOOKUP($A58,'SegEnds_NonXtal_BW#'!$A:$Z,12,FALSE)+VLOOKUP($A58,A:AL,16,FALSE)-50</f>
        <v>171</v>
      </c>
      <c r="R58" s="3">
        <f>IF(ISERROR(VLOOKUP($A58,'SegEnds_NonXtal_BW#'!$A:$Z,13,FALSE)+VLOOKUP($A58,A:AL,19,FALSE)-50),"-",VLOOKUP($A58,'SegEnds_NonXtal_BW#'!$A:$Z,13,FALSE)+VLOOKUP($A58,A:AL,19,FALSE)-50)</f>
        <v>172</v>
      </c>
      <c r="S58" s="3">
        <v>172</v>
      </c>
      <c r="T58" s="103">
        <f>IF(ISERROR(VLOOKUP($A58,'SegEnds_NonXtal_BW#'!$A:$Z,14,FALSE)+VLOOKUP($A58,A:AL,19,FALSE)-50),"-",(VLOOKUP($A58,'SegEnds_NonXtal_BW#'!$A:$Z,14,FALSE)+VLOOKUP($A58,A:AL,19,FALSE)-50))</f>
        <v>179</v>
      </c>
      <c r="U58" s="9">
        <f>IF(ISERROR(VLOOKUP($A58,'SegEnds_NonXtal_BW#'!$A:$Z,15,FALSE)+VLOOKUP($A58,A:AL,22,FALSE)-50),"-",VLOOKUP($A58,'SegEnds_NonXtal_BW#'!$A:$Z,15,FALSE)+VLOOKUP($A58,A:AL,22,FALSE)-50)</f>
        <v>180</v>
      </c>
      <c r="V58" s="3">
        <v>192</v>
      </c>
      <c r="W58" s="3">
        <f>IF(ISERROR(VLOOKUP($A58,'SegEnds_NonXtal_BW#'!$A:$Z,16,FALSE)+VLOOKUP($A58,A:AL,22,FALSE)-50),"-",(VLOOKUP($A58,'SegEnds_NonXtal_BW#'!$A:$Z,16,FALSE)+VLOOKUP($A58,A:AL,22,FALSE)-50))</f>
        <v>211</v>
      </c>
      <c r="X58" s="3">
        <f>IF(ISERROR(VLOOKUP($A58,'SegEnds_NonXtal_BW#'!$A:$Z,17,FALSE)+VLOOKUP($A58,A:AL,25,FALSE)-50),"-",(VLOOKUP($A58,'SegEnds_NonXtal_BW#'!$A:$Z,17,FALSE)+VLOOKUP($A58,A:AL,25,FALSE)-50))</f>
        <v>220</v>
      </c>
      <c r="Y58" s="3">
        <v>220</v>
      </c>
      <c r="Z58" s="3">
        <f t="shared" si="33"/>
        <v>222</v>
      </c>
      <c r="AA58" s="3">
        <f>IF(ISERROR(VLOOKUP($A58,'SegEnds_NonXtal_BW#'!$A:$Z,19,FALSE)+VLOOKUP($A58,A:AL,28,FALSE)-50),"-",(VLOOKUP($A58,'SegEnds_NonXtal_BW#'!$A:$Z,19,FALSE)+VLOOKUP($A58,A:AL,28,FALSE)-50))</f>
        <v>227</v>
      </c>
      <c r="AB58" s="3">
        <v>242</v>
      </c>
      <c r="AC58" s="3">
        <f>IF(ISERROR((VLOOKUP($A58,'SegEnds_NonXtal_BW#'!$A:$Z,20,FALSE)+VLOOKUP($A58,A:AL,28,FALSE)-50)),"-",(VLOOKUP($A58,'SegEnds_NonXtal_BW#'!$A:$Z,20,FALSE)+VLOOKUP($A58,A:AL,28,FALSE)-50))</f>
        <v>267</v>
      </c>
      <c r="AD58" s="3">
        <f>IF(ISERROR(VLOOKUP($A58,'SegEnds_NonXtal_BW#'!$A:$Z,21,FALSE)+VLOOKUP($A58,A:AL,31,FALSE)-50),"-",(VLOOKUP($A58,'SegEnds_NonXtal_BW#'!$A:$Z,21,FALSE)+VLOOKUP($A58,A:AL,31,FALSE)-50))</f>
        <v>479</v>
      </c>
      <c r="AE58" s="3">
        <v>505</v>
      </c>
      <c r="AF58" s="3">
        <f>IF(ISERROR((VLOOKUP($A58,'SegEnds_NonXtal_BW#'!$A:$Z,22,FALSE)+VLOOKUP($A58,A:AL,31,FALSE)-50)),"-",(VLOOKUP($A58,'SegEnds_NonXtal_BW#'!$A:$Z,22,FALSE)+VLOOKUP($A58,A:AL,31,FALSE)-50))</f>
        <v>516</v>
      </c>
      <c r="AG58" s="3">
        <f>IF(ISERROR(VLOOKUP($A58,'SegEnds_NonXtal_BW#'!$A:$Z,23,FALSE)+VLOOKUP($A58,A:AL,34,FALSE)-50),"-",(VLOOKUP($A58,'SegEnds_NonXtal_BW#'!$A:$Z,23,FALSE)+VLOOKUP($A58,A:AL,34,FALSE)-50))</f>
        <v>521</v>
      </c>
      <c r="AH58" s="3">
        <v>540</v>
      </c>
      <c r="AI58" s="3">
        <f>IF(ISERROR((VLOOKUP($A58,'SegEnds_NonXtal_BW#'!$A:$Z,24,FALSE)+VLOOKUP($A58,A:AL,34,FALSE)-50)),"-",(VLOOKUP($A58,'SegEnds_NonXtal_BW#'!$A:$Z,24,FALSE)+VLOOKUP($A58,A:AL,34,FALSE)-50))</f>
        <v>546</v>
      </c>
      <c r="AJ58" s="3">
        <f>IF(ISERROR(VLOOKUP($A58,'SegEnds_NonXtal_BW#'!$A:$Z,25,FALSE)+VLOOKUP($A58,A:AL,37,FALSE)-50),"-",(VLOOKUP($A58,'SegEnds_NonXtal_BW#'!$A:$Z,25,FALSE)+VLOOKUP($A58,A:AL,37,FALSE)-50))</f>
        <v>547</v>
      </c>
      <c r="AK58" s="3">
        <v>550</v>
      </c>
      <c r="AL58" s="3">
        <f>IF(ISERROR((VLOOKUP($A58,'SegEnds_NonXtal_BW#'!$A:$Z,26,FALSE)+VLOOKUP($A58,A:AL,37,FALSE)-50)),"-",(VLOOKUP($A58,'SegEnds_NonXtal_BW#'!$A:$Z,26,FALSE)+VLOOKUP($A58,A:AL,37,FALSE)-50))</f>
        <v>558</v>
      </c>
      <c r="AM58" s="28" t="str">
        <f>VLOOKUP(A58,Classification!A:B,2,FALSE)</f>
        <v>A</v>
      </c>
      <c r="AN58" s="28" t="b">
        <f t="shared" si="34"/>
        <v>1</v>
      </c>
      <c r="AO58" s="3" t="str">
        <f>IF(ISERROR(MATCH(A58,'SegEnds_Xtal_Prot#'!B:B, 0)), "NoXtal", "Xtal")</f>
        <v>Xtal</v>
      </c>
      <c r="AP58" s="3">
        <f t="shared" si="1"/>
        <v>1</v>
      </c>
      <c r="AQ58" s="3">
        <f t="shared" si="2"/>
        <v>1</v>
      </c>
      <c r="AR58" s="3">
        <f t="shared" si="3"/>
        <v>2</v>
      </c>
      <c r="AS58" s="3">
        <f t="shared" si="4"/>
        <v>1</v>
      </c>
      <c r="AT58" s="3">
        <f t="shared" si="5"/>
        <v>1</v>
      </c>
      <c r="AU58" s="3">
        <f t="shared" si="6"/>
        <v>1</v>
      </c>
      <c r="AV58" s="3">
        <f t="shared" si="7"/>
        <v>9</v>
      </c>
      <c r="AW58" s="3">
        <f t="shared" si="8"/>
        <v>5</v>
      </c>
      <c r="AX58" s="3">
        <f t="shared" si="9"/>
        <v>212</v>
      </c>
      <c r="AY58" s="3">
        <f t="shared" si="10"/>
        <v>5</v>
      </c>
      <c r="AZ58" s="3">
        <f t="shared" si="11"/>
        <v>1</v>
      </c>
      <c r="BA58" s="3">
        <f>IF(ISERROR(LEN(VLOOKUP(A58,Seqs!A:E,2,FALSE))-AL58),"-",LEN(VLOOKUP(A58,Seqs!A:E,2,FALSE))-AL58)</f>
        <v>31</v>
      </c>
      <c r="BB58" s="16">
        <f t="shared" si="12"/>
        <v>28</v>
      </c>
      <c r="BC58" s="9">
        <f t="shared" si="13"/>
        <v>20</v>
      </c>
      <c r="BD58" s="3">
        <f t="shared" si="14"/>
        <v>28</v>
      </c>
      <c r="BE58" s="3">
        <f t="shared" si="15"/>
        <v>263</v>
      </c>
    </row>
    <row r="59" spans="1:58" s="3" customFormat="1" x14ac:dyDescent="0.2">
      <c r="A59" s="3" t="s">
        <v>149</v>
      </c>
      <c r="B59" s="3" t="str">
        <f>LOWER(VLOOKUP(A59,Xtal_Templ!A:B,2,FALSE))</f>
        <v>acm4_human</v>
      </c>
      <c r="C59" s="3">
        <f>VLOOKUP($A59,'SegEnds_NonXtal_BW#'!$A:$Z,3,FALSE)+D59-50</f>
        <v>26</v>
      </c>
      <c r="D59" s="3">
        <v>50</v>
      </c>
      <c r="E59" s="3">
        <f>IF(ISERROR(VLOOKUP($A59,'SegEnds_NonXtal_BW#'!$A:$Z,4,FALSE)+VLOOKUP($A59,A:AL,4,FALSE)-50),"-",(VLOOKUP($A59,'SegEnds_NonXtal_BW#'!$A:$Z,4,FALSE)+VLOOKUP($A59,A:AL,4,FALSE)-50))</f>
        <v>60</v>
      </c>
      <c r="F59" s="3">
        <f t="shared" si="29"/>
        <v>61</v>
      </c>
      <c r="G59" s="3">
        <v>63</v>
      </c>
      <c r="H59" s="3">
        <f t="shared" si="35"/>
        <v>64</v>
      </c>
      <c r="I59" s="3">
        <f t="shared" si="35"/>
        <v>65</v>
      </c>
      <c r="J59" s="3">
        <v>78</v>
      </c>
      <c r="K59" s="3">
        <f>VLOOKUP($A59,'SegEnds_NonXtal_BW#'!$A:$Z,8,FALSE)+VLOOKUP($A59,A:AL,10,FALSE)-50</f>
        <v>95</v>
      </c>
      <c r="L59" s="3">
        <f>M59-1</f>
        <v>97</v>
      </c>
      <c r="M59" s="3">
        <v>98</v>
      </c>
      <c r="N59" s="3">
        <f>M59+2</f>
        <v>100</v>
      </c>
      <c r="O59" s="3">
        <f t="shared" si="36"/>
        <v>101</v>
      </c>
      <c r="P59" s="3">
        <v>130</v>
      </c>
      <c r="Q59" s="3">
        <f>VLOOKUP($A59,'SegEnds_NonXtal_BW#'!$A:$Z,12,FALSE)+VLOOKUP($A59,A:AL,16,FALSE)-50</f>
        <v>136</v>
      </c>
      <c r="R59" s="3">
        <f>IF(ISERROR(VLOOKUP($A59,'SegEnds_NonXtal_BW#'!$A:$Z,13,FALSE)+VLOOKUP($A59,A:AL,19,FALSE)-50),"-",VLOOKUP($A59,'SegEnds_NonXtal_BW#'!$A:$Z,13,FALSE)+VLOOKUP($A59,A:AL,19,FALSE)-50)</f>
        <v>137</v>
      </c>
      <c r="S59" s="3">
        <v>137</v>
      </c>
      <c r="T59" s="103">
        <f>IF(ISERROR(VLOOKUP($A59,'SegEnds_NonXtal_BW#'!$A:$Z,14,FALSE)+VLOOKUP($A59,A:AL,19,FALSE)-50),"-",(VLOOKUP($A59,'SegEnds_NonXtal_BW#'!$A:$Z,14,FALSE)+VLOOKUP($A59,A:AL,19,FALSE)-50))</f>
        <v>144</v>
      </c>
      <c r="U59" s="9">
        <f>IF(ISERROR(VLOOKUP($A59,'SegEnds_NonXtal_BW#'!$A:$Z,15,FALSE)+VLOOKUP($A59,A:AL,22,FALSE)-50),"-",VLOOKUP($A59,'SegEnds_NonXtal_BW#'!$A:$Z,15,FALSE)+VLOOKUP($A59,A:AL,22,FALSE)-50)</f>
        <v>145</v>
      </c>
      <c r="V59" s="3">
        <v>157</v>
      </c>
      <c r="W59" s="3">
        <f>IF(ISERROR(VLOOKUP($A59,'SegEnds_NonXtal_BW#'!$A:$Z,16,FALSE)+VLOOKUP($A59,A:AL,22,FALSE)-50),"-",(VLOOKUP($A59,'SegEnds_NonXtal_BW#'!$A:$Z,16,FALSE)+VLOOKUP($A59,A:AL,22,FALSE)-50))</f>
        <v>176</v>
      </c>
      <c r="X59" s="3">
        <f>IF(ISERROR(VLOOKUP($A59,'SegEnds_NonXtal_BW#'!$A:$Z,17,FALSE)+VLOOKUP($A59,A:AL,25,FALSE)-50),"-",(VLOOKUP($A59,'SegEnds_NonXtal_BW#'!$A:$Z,17,FALSE)+VLOOKUP($A59,A:AL,25,FALSE)-50))</f>
        <v>185</v>
      </c>
      <c r="Y59" s="3">
        <v>185</v>
      </c>
      <c r="Z59" s="3">
        <f t="shared" si="33"/>
        <v>187</v>
      </c>
      <c r="AA59" s="3">
        <f>IF(ISERROR(VLOOKUP($A59,'SegEnds_NonXtal_BW#'!$A:$Z,19,FALSE)+VLOOKUP($A59,A:AL,28,FALSE)-50),"-",(VLOOKUP($A59,'SegEnds_NonXtal_BW#'!$A:$Z,19,FALSE)+VLOOKUP($A59,A:AL,28,FALSE)-50))</f>
        <v>192</v>
      </c>
      <c r="AB59" s="3">
        <v>207</v>
      </c>
      <c r="AC59" s="3">
        <f>IF(ISERROR((VLOOKUP($A59,'SegEnds_NonXtal_BW#'!$A:$Z,20,FALSE)+VLOOKUP($A59,A:AL,28,FALSE)-50)),"-",(VLOOKUP($A59,'SegEnds_NonXtal_BW#'!$A:$Z,20,FALSE)+VLOOKUP($A59,A:AL,28,FALSE)-50))</f>
        <v>232</v>
      </c>
      <c r="AD59" s="3">
        <f>IF(ISERROR(VLOOKUP($A59,'SegEnds_NonXtal_BW#'!$A:$Z,21,FALSE)+VLOOKUP($A59,A:AL,31,FALSE)-50),"-",(VLOOKUP($A59,'SegEnds_NonXtal_BW#'!$A:$Z,21,FALSE)+VLOOKUP($A59,A:AL,31,FALSE)-50))</f>
        <v>389</v>
      </c>
      <c r="AE59" s="3">
        <v>415</v>
      </c>
      <c r="AF59" s="3">
        <f>IF(ISERROR((VLOOKUP($A59,'SegEnds_NonXtal_BW#'!$A:$Z,22,FALSE)+VLOOKUP($A59,A:AL,31,FALSE)-50)),"-",(VLOOKUP($A59,'SegEnds_NonXtal_BW#'!$A:$Z,22,FALSE)+VLOOKUP($A59,A:AL,31,FALSE)-50))</f>
        <v>426</v>
      </c>
      <c r="AG59" s="3">
        <f>IF(ISERROR(VLOOKUP($A59,'SegEnds_NonXtal_BW#'!$A:$Z,23,FALSE)+VLOOKUP($A59,A:AL,34,FALSE)-50),"-",(VLOOKUP($A59,'SegEnds_NonXtal_BW#'!$A:$Z,23,FALSE)+VLOOKUP($A59,A:AL,34,FALSE)-50))</f>
        <v>431</v>
      </c>
      <c r="AH59" s="3">
        <v>450</v>
      </c>
      <c r="AI59" s="3">
        <f>IF(ISERROR((VLOOKUP($A59,'SegEnds_NonXtal_BW#'!$A:$Z,24,FALSE)+VLOOKUP($A59,A:AL,34,FALSE)-50)),"-",(VLOOKUP($A59,'SegEnds_NonXtal_BW#'!$A:$Z,24,FALSE)+VLOOKUP($A59,A:AL,34,FALSE)-50))</f>
        <v>456</v>
      </c>
      <c r="AJ59" s="3">
        <f>IF(ISERROR(VLOOKUP($A59,'SegEnds_NonXtal_BW#'!$A:$Z,25,FALSE)+VLOOKUP($A59,A:AL,37,FALSE)-50),"-",(VLOOKUP($A59,'SegEnds_NonXtal_BW#'!$A:$Z,25,FALSE)+VLOOKUP($A59,A:AL,37,FALSE)-50))</f>
        <v>457</v>
      </c>
      <c r="AK59" s="3">
        <v>460</v>
      </c>
      <c r="AL59" s="3">
        <f>IF(ISERROR((VLOOKUP($A59,'SegEnds_NonXtal_BW#'!$A:$Z,26,FALSE)+VLOOKUP($A59,A:AL,37,FALSE)-50)),"-",(VLOOKUP($A59,'SegEnds_NonXtal_BW#'!$A:$Z,26,FALSE)+VLOOKUP($A59,A:AL,37,FALSE)-50))</f>
        <v>469</v>
      </c>
      <c r="AM59" s="28" t="str">
        <f>VLOOKUP(A59,Classification!A:B,2,FALSE)</f>
        <v>A</v>
      </c>
      <c r="AN59" s="28" t="b">
        <f t="shared" si="34"/>
        <v>1</v>
      </c>
      <c r="AO59" s="3" t="str">
        <f>IF(ISERROR(MATCH(A59,'SegEnds_Xtal_Prot#'!B:B, 0)), "NoXtal", "Xtal")</f>
        <v>Xtal</v>
      </c>
      <c r="AP59" s="3">
        <f t="shared" si="1"/>
        <v>1</v>
      </c>
      <c r="AQ59" s="3">
        <f t="shared" si="2"/>
        <v>1</v>
      </c>
      <c r="AR59" s="3">
        <f t="shared" si="3"/>
        <v>2</v>
      </c>
      <c r="AS59" s="3">
        <f t="shared" si="4"/>
        <v>1</v>
      </c>
      <c r="AT59" s="3">
        <f t="shared" si="5"/>
        <v>1</v>
      </c>
      <c r="AU59" s="3">
        <f t="shared" si="6"/>
        <v>1</v>
      </c>
      <c r="AV59" s="3">
        <f t="shared" si="7"/>
        <v>9</v>
      </c>
      <c r="AW59" s="3">
        <f t="shared" si="8"/>
        <v>5</v>
      </c>
      <c r="AX59" s="3">
        <f t="shared" si="9"/>
        <v>157</v>
      </c>
      <c r="AY59" s="3">
        <f t="shared" si="10"/>
        <v>5</v>
      </c>
      <c r="AZ59" s="3">
        <f t="shared" si="11"/>
        <v>1</v>
      </c>
      <c r="BA59" s="3">
        <f>IF(ISERROR(LEN(VLOOKUP(A59,Seqs!A:E,2,FALSE))-AL59),"-",LEN(VLOOKUP(A59,Seqs!A:E,2,FALSE))-AL59)</f>
        <v>10</v>
      </c>
      <c r="BB59" s="16">
        <f t="shared" si="12"/>
        <v>28</v>
      </c>
      <c r="BC59" s="9">
        <f t="shared" si="13"/>
        <v>20</v>
      </c>
      <c r="BD59" s="3">
        <f t="shared" si="14"/>
        <v>28</v>
      </c>
      <c r="BE59" s="3">
        <f t="shared" si="15"/>
        <v>208</v>
      </c>
      <c r="BF59" s="3">
        <f>AH59-AE59</f>
        <v>35</v>
      </c>
    </row>
    <row r="60" spans="1:58" s="3" customFormat="1" x14ac:dyDescent="0.2">
      <c r="A60" s="3" t="s">
        <v>150</v>
      </c>
      <c r="B60" s="3" t="str">
        <f>LOWER(VLOOKUP(A60,Xtal_Templ!A:B,2,FALSE))</f>
        <v>acm3_rat</v>
      </c>
      <c r="C60" s="3">
        <f>VLOOKUP($A60,'SegEnds_NonXtal_BW#'!$A:$Z,3,FALSE)+D60-50</f>
        <v>27</v>
      </c>
      <c r="D60" s="3">
        <v>48</v>
      </c>
      <c r="E60" s="3">
        <f>IF(ISERROR(VLOOKUP($A60,'SegEnds_NonXtal_BW#'!$A:$Z,4,FALSE)+VLOOKUP($A60,A:AL,4,FALSE)-50),"-",(VLOOKUP($A60,'SegEnds_NonXtal_BW#'!$A:$Z,4,FALSE)+VLOOKUP($A60,A:AL,4,FALSE)-50))</f>
        <v>58</v>
      </c>
      <c r="F60" s="3">
        <f t="shared" si="29"/>
        <v>59</v>
      </c>
      <c r="G60" s="3">
        <v>61</v>
      </c>
      <c r="H60" s="3">
        <f t="shared" si="35"/>
        <v>62</v>
      </c>
      <c r="I60" s="3">
        <f t="shared" si="35"/>
        <v>63</v>
      </c>
      <c r="J60" s="3">
        <v>76</v>
      </c>
      <c r="K60" s="3">
        <f>VLOOKUP($A60,'SegEnds_NonXtal_BW#'!$A:$Z,8,FALSE)+VLOOKUP($A60,A:AL,10,FALSE)-50</f>
        <v>93</v>
      </c>
      <c r="L60" s="3">
        <f>M60-1</f>
        <v>95</v>
      </c>
      <c r="M60" s="3">
        <v>96</v>
      </c>
      <c r="N60" s="3">
        <f>M60+2</f>
        <v>98</v>
      </c>
      <c r="O60" s="3">
        <f t="shared" si="36"/>
        <v>99</v>
      </c>
      <c r="P60" s="3">
        <v>128</v>
      </c>
      <c r="Q60" s="3">
        <f>VLOOKUP($A60,'SegEnds_NonXtal_BW#'!$A:$Z,12,FALSE)+VLOOKUP($A60,A:AL,16,FALSE)-50</f>
        <v>134</v>
      </c>
      <c r="R60" s="3">
        <f>IF(ISERROR(VLOOKUP($A60,'SegEnds_NonXtal_BW#'!$A:$Z,13,FALSE)+VLOOKUP($A60,A:AL,19,FALSE)-50),"-",VLOOKUP($A60,'SegEnds_NonXtal_BW#'!$A:$Z,13,FALSE)+VLOOKUP($A60,A:AL,19,FALSE)-50)</f>
        <v>135</v>
      </c>
      <c r="S60" s="3">
        <v>135</v>
      </c>
      <c r="T60" s="103">
        <f>IF(ISERROR(VLOOKUP($A60,'SegEnds_NonXtal_BW#'!$A:$Z,14,FALSE)+VLOOKUP($A60,A:AL,19,FALSE)-50),"-",(VLOOKUP($A60,'SegEnds_NonXtal_BW#'!$A:$Z,14,FALSE)+VLOOKUP($A60,A:AL,19,FALSE)-50))</f>
        <v>142</v>
      </c>
      <c r="U60" s="9">
        <f>IF(ISERROR(VLOOKUP($A60,'SegEnds_NonXtal_BW#'!$A:$Z,15,FALSE)+VLOOKUP($A60,A:AL,22,FALSE)-50),"-",VLOOKUP($A60,'SegEnds_NonXtal_BW#'!$A:$Z,15,FALSE)+VLOOKUP($A60,A:AL,22,FALSE)-50)</f>
        <v>143</v>
      </c>
      <c r="V60" s="3">
        <v>155</v>
      </c>
      <c r="W60" s="3">
        <f>IF(ISERROR(VLOOKUP($A60,'SegEnds_NonXtal_BW#'!$A:$Z,16,FALSE)+VLOOKUP($A60,A:AL,22,FALSE)-50),"-",(VLOOKUP($A60,'SegEnds_NonXtal_BW#'!$A:$Z,16,FALSE)+VLOOKUP($A60,A:AL,22,FALSE)-50))</f>
        <v>174</v>
      </c>
      <c r="X60" s="3">
        <f>IF(ISERROR(VLOOKUP($A60,'SegEnds_NonXtal_BW#'!$A:$Z,17,FALSE)+VLOOKUP($A60,A:AL,25,FALSE)-50),"-",(VLOOKUP($A60,'SegEnds_NonXtal_BW#'!$A:$Z,17,FALSE)+VLOOKUP($A60,A:AL,25,FALSE)-50))</f>
        <v>183</v>
      </c>
      <c r="Y60" s="3">
        <v>183</v>
      </c>
      <c r="Z60" s="3">
        <f t="shared" si="33"/>
        <v>185</v>
      </c>
      <c r="AA60" s="3">
        <f>IF(ISERROR(VLOOKUP($A60,'SegEnds_NonXtal_BW#'!$A:$Z,19,FALSE)+VLOOKUP($A60,A:AL,28,FALSE)-50),"-",(VLOOKUP($A60,'SegEnds_NonXtal_BW#'!$A:$Z,19,FALSE)+VLOOKUP($A60,A:AL,28,FALSE)-50))</f>
        <v>190</v>
      </c>
      <c r="AB60" s="3">
        <v>205</v>
      </c>
      <c r="AC60" s="3">
        <f>IF(ISERROR((VLOOKUP($A60,'SegEnds_NonXtal_BW#'!$A:$Z,20,FALSE)+VLOOKUP($A60,A:AL,28,FALSE)-50)),"-",(VLOOKUP($A60,'SegEnds_NonXtal_BW#'!$A:$Z,20,FALSE)+VLOOKUP($A60,A:AL,28,FALSE)-50))</f>
        <v>230</v>
      </c>
      <c r="AD60" s="3">
        <f>IF(ISERROR(VLOOKUP($A60,'SegEnds_NonXtal_BW#'!$A:$Z,21,FALSE)+VLOOKUP($A60,A:AL,31,FALSE)-50),"-",(VLOOKUP($A60,'SegEnds_NonXtal_BW#'!$A:$Z,21,FALSE)+VLOOKUP($A60,A:AL,31,FALSE)-50))</f>
        <v>431</v>
      </c>
      <c r="AE60" s="3">
        <v>457</v>
      </c>
      <c r="AF60" s="3">
        <f>IF(ISERROR((VLOOKUP($A60,'SegEnds_NonXtal_BW#'!$A:$Z,22,FALSE)+VLOOKUP($A60,A:AL,31,FALSE)-50)),"-",(VLOOKUP($A60,'SegEnds_NonXtal_BW#'!$A:$Z,22,FALSE)+VLOOKUP($A60,A:AL,31,FALSE)-50))</f>
        <v>468</v>
      </c>
      <c r="AG60" s="3">
        <f>IF(ISERROR(VLOOKUP($A60,'SegEnds_NonXtal_BW#'!$A:$Z,23,FALSE)+VLOOKUP($A60,A:AL,34,FALSE)-50),"-",(VLOOKUP($A60,'SegEnds_NonXtal_BW#'!$A:$Z,23,FALSE)+VLOOKUP($A60,A:AL,34,FALSE)-50))</f>
        <v>473</v>
      </c>
      <c r="AH60" s="3">
        <v>492</v>
      </c>
      <c r="AI60" s="3">
        <f>IF(ISERROR((VLOOKUP($A60,'SegEnds_NonXtal_BW#'!$A:$Z,24,FALSE)+VLOOKUP($A60,A:AL,34,FALSE)-50)),"-",(VLOOKUP($A60,'SegEnds_NonXtal_BW#'!$A:$Z,24,FALSE)+VLOOKUP($A60,A:AL,34,FALSE)-50))</f>
        <v>498</v>
      </c>
      <c r="AJ60" s="3">
        <f>IF(ISERROR(VLOOKUP($A60,'SegEnds_NonXtal_BW#'!$A:$Z,25,FALSE)+VLOOKUP($A60,A:AL,37,FALSE)-50),"-",(VLOOKUP($A60,'SegEnds_NonXtal_BW#'!$A:$Z,25,FALSE)+VLOOKUP($A60,A:AL,37,FALSE)-50))</f>
        <v>499</v>
      </c>
      <c r="AK60" s="3">
        <v>502</v>
      </c>
      <c r="AL60" s="3">
        <f>IF(ISERROR((VLOOKUP($A60,'SegEnds_NonXtal_BW#'!$A:$Z,26,FALSE)+VLOOKUP($A60,A:AL,37,FALSE)-50)),"-",(VLOOKUP($A60,'SegEnds_NonXtal_BW#'!$A:$Z,26,FALSE)+VLOOKUP($A60,A:AL,37,FALSE)-50))</f>
        <v>510</v>
      </c>
      <c r="AM60" s="28" t="str">
        <f>VLOOKUP(A60,Classification!A:B,2,FALSE)</f>
        <v>A</v>
      </c>
      <c r="AN60" s="28" t="b">
        <f t="shared" si="34"/>
        <v>1</v>
      </c>
      <c r="AO60" s="3" t="str">
        <f>IF(ISERROR(MATCH(A60,'SegEnds_Xtal_Prot#'!B:B, 0)), "NoXtal", "Xtal")</f>
        <v>NoXtal</v>
      </c>
      <c r="AP60" s="3">
        <f t="shared" si="1"/>
        <v>1</v>
      </c>
      <c r="AQ60" s="3">
        <f t="shared" si="2"/>
        <v>1</v>
      </c>
      <c r="AR60" s="3">
        <f t="shared" si="3"/>
        <v>2</v>
      </c>
      <c r="AS60" s="3">
        <f t="shared" si="4"/>
        <v>1</v>
      </c>
      <c r="AT60" s="3">
        <f t="shared" si="5"/>
        <v>1</v>
      </c>
      <c r="AU60" s="3">
        <f t="shared" si="6"/>
        <v>1</v>
      </c>
      <c r="AV60" s="3">
        <f t="shared" si="7"/>
        <v>9</v>
      </c>
      <c r="AW60" s="3">
        <f t="shared" si="8"/>
        <v>5</v>
      </c>
      <c r="AX60" s="3">
        <f t="shared" si="9"/>
        <v>201</v>
      </c>
      <c r="AY60" s="3">
        <f t="shared" si="10"/>
        <v>5</v>
      </c>
      <c r="AZ60" s="3">
        <f t="shared" si="11"/>
        <v>1</v>
      </c>
      <c r="BA60" s="3">
        <f>IF(ISERROR(LEN(VLOOKUP(A60,Seqs!A:E,2,FALSE))-AL60),"-",LEN(VLOOKUP(A60,Seqs!A:E,2,FALSE))-AL60)</f>
        <v>22</v>
      </c>
      <c r="BB60" s="16">
        <f t="shared" si="12"/>
        <v>28</v>
      </c>
      <c r="BC60" s="9">
        <f t="shared" si="13"/>
        <v>20</v>
      </c>
      <c r="BD60" s="3">
        <f t="shared" si="14"/>
        <v>28</v>
      </c>
      <c r="BE60" s="3">
        <f t="shared" si="15"/>
        <v>252</v>
      </c>
      <c r="BF60" s="3">
        <f>AH60-AE60</f>
        <v>35</v>
      </c>
    </row>
    <row r="61" spans="1:58" s="3" customFormat="1" x14ac:dyDescent="0.2">
      <c r="A61" s="3" t="s">
        <v>151</v>
      </c>
      <c r="B61" s="3" t="str">
        <f>LOWER(VLOOKUP(A61,Xtal_Templ!A:B,2,FALSE))</f>
        <v>s1pr1_human</v>
      </c>
      <c r="C61" s="3">
        <f>VLOOKUP($A61,'SegEnds_NonXtal_BW#'!$A:$Z,3,FALSE)+D61-50</f>
        <v>21</v>
      </c>
      <c r="D61" s="3">
        <v>42</v>
      </c>
      <c r="E61" s="3">
        <f>IF(ISERROR(VLOOKUP($A61,'SegEnds_NonXtal_BW#'!$A:$Z,4,FALSE)+VLOOKUP($A61,A:AL,4,FALSE)-50),"-",(VLOOKUP($A61,'SegEnds_NonXtal_BW#'!$A:$Z,4,FALSE)+VLOOKUP($A61,A:AL,4,FALSE)-50))</f>
        <v>52</v>
      </c>
      <c r="F61" s="3">
        <f t="shared" si="29"/>
        <v>53</v>
      </c>
      <c r="G61" s="3">
        <v>55</v>
      </c>
      <c r="H61" s="3">
        <f t="shared" si="35"/>
        <v>56</v>
      </c>
      <c r="I61" s="3">
        <f t="shared" si="35"/>
        <v>57</v>
      </c>
      <c r="J61" s="3">
        <v>70</v>
      </c>
      <c r="K61" s="3">
        <f>VLOOKUP($A61,'SegEnds_NonXtal_BW#'!$A:$Z,8,FALSE)+VLOOKUP($A61,A:AL,10,FALSE)-50</f>
        <v>87</v>
      </c>
      <c r="L61" s="3" t="str">
        <f>IF(ISERROR(VLOOKUP($A61,'SegEnds_NonXtal_BW#'!$A:$Z,9,FALSE)+VLOOKUP($A61,A:AL,13,FALSE)-50),"-",(VLOOKUP($A61,'SegEnds_NonXtal_BW#'!$A:$Z,9,FALSE)+VLOOKUP($A61,A:AL,13,FALSE)-50))</f>
        <v>-</v>
      </c>
      <c r="M61" s="3" t="s">
        <v>23</v>
      </c>
      <c r="N61" s="3" t="str">
        <f>IF(ISERROR(VLOOKUP($A61,'SegEnds_NonXtal_BW#'!$A:$Z,10,FALSE)+VLOOKUP($A61,A:AL,13,FALSE)-50),"-",(VLOOKUP($A61,'SegEnds_NonXtal_BW#'!$A:$Z,10,FALSE)+VLOOKUP($A61,A:AL,13,FALSE)-50))</f>
        <v>-</v>
      </c>
      <c r="O61" s="3">
        <f>VLOOKUP($A61,'SegEnds_NonXtal_BW#'!$A:$Z,11,FALSE)+VLOOKUP($A61,A:AL,16,FALSE)-50</f>
        <v>96</v>
      </c>
      <c r="P61" s="3">
        <v>128</v>
      </c>
      <c r="Q61" s="3">
        <f>VLOOKUP($A61,'SegEnds_NonXtal_BW#'!$A:$Z,12,FALSE)+VLOOKUP($A61,A:AL,16,FALSE)-50</f>
        <v>134</v>
      </c>
      <c r="R61" s="3">
        <f>S61</f>
        <v>135</v>
      </c>
      <c r="S61" s="3">
        <v>135</v>
      </c>
      <c r="T61" s="103">
        <f>S61+7</f>
        <v>142</v>
      </c>
      <c r="U61" s="9">
        <f>IF(ISERROR(VLOOKUP($A61,'SegEnds_NonXtal_BW#'!$A:$Z,15,FALSE)+VLOOKUP($A61,A:AL,22,FALSE)-50),"-",VLOOKUP($A61,'SegEnds_NonXtal_BW#'!$A:$Z,15,FALSE)+VLOOKUP($A61,A:AL,22,FALSE)-50)</f>
        <v>143</v>
      </c>
      <c r="V61" s="3">
        <v>155</v>
      </c>
      <c r="W61" s="3">
        <f>IF(ISERROR(VLOOKUP($A61,'SegEnds_NonXtal_BW#'!$A:$Z,16,FALSE)+VLOOKUP($A61,A:AL,22,FALSE)-50),"-",(VLOOKUP($A61,'SegEnds_NonXtal_BW#'!$A:$Z,16,FALSE)+VLOOKUP($A61,A:AL,22,FALSE)-50))</f>
        <v>168</v>
      </c>
      <c r="X61" s="3" t="str">
        <f>IF(ISERROR(VLOOKUP($A61,'SegEnds_NonXtal_BW#'!$A:$Z,17,FALSE)+VLOOKUP($A61,A:AL,25,FALSE)-50),"-",(VLOOKUP($A61,'SegEnds_NonXtal_BW#'!$A:$Z,17,FALSE)+VLOOKUP($A61,A:AL,25,FALSE)-50))</f>
        <v>-</v>
      </c>
      <c r="Y61" s="3" t="s">
        <v>23</v>
      </c>
      <c r="Z61" s="3" t="str">
        <f>IF(ISERROR(VLOOKUP($A61,'SegEnds_NonXtal_BW#'!$A:$Z,18,FALSE)+VLOOKUP($A61,A:AL,25,FALSE)-50),"-",(VLOOKUP($A61,'SegEnds_NonXtal_BW#'!$A:$Z,18,FALSE)+VLOOKUP($A61,A:AL,25,FALSE)-50))</f>
        <v>-</v>
      </c>
      <c r="AA61" s="3">
        <f>IF(ISERROR(VLOOKUP($A61,'SegEnds_NonXtal_BW#'!$A:$Z,19,FALSE)+VLOOKUP($A61,A:AL,28,FALSE)-50),"-",(VLOOKUP($A61,'SegEnds_NonXtal_BW#'!$A:$Z,19,FALSE)+VLOOKUP($A61,A:AL,28,FALSE)-50))</f>
        <v>178</v>
      </c>
      <c r="AB61" s="9">
        <v>195</v>
      </c>
      <c r="AC61" s="3">
        <f>IF(ISERROR((VLOOKUP($A61,'SegEnds_NonXtal_BW#'!$A:$Z,20,FALSE)+VLOOKUP($A61,A:AL,28,FALSE)-50)),"-",(VLOOKUP($A61,'SegEnds_NonXtal_BW#'!$A:$Z,20,FALSE)+VLOOKUP($A61,A:AL,28,FALSE)-50))</f>
        <v>211</v>
      </c>
      <c r="AD61" s="3">
        <f>IF(ISERROR(VLOOKUP($A61,'SegEnds_NonXtal_BW#'!$A:$Z,21,FALSE)+VLOOKUP($A61,A:AL,31,FALSE)-50),"-",(VLOOKUP($A61,'SegEnds_NonXtal_BW#'!$A:$Z,21,FALSE)+VLOOKUP($A61,A:AL,31,FALSE)-50))</f>
        <v>214</v>
      </c>
      <c r="AE61" s="3">
        <v>234</v>
      </c>
      <c r="AF61" s="3">
        <f>IF(ISERROR((VLOOKUP($A61,'SegEnds_NonXtal_BW#'!$A:$Z,22,FALSE)+VLOOKUP($A61,A:AL,31,FALSE)-50)),"-",(VLOOKUP($A61,'SegEnds_NonXtal_BW#'!$A:$Z,22,FALSE)+VLOOKUP($A61,A:AL,31,FALSE)-50))</f>
        <v>245</v>
      </c>
      <c r="AG61" s="3">
        <f>IF(ISERROR(VLOOKUP($A61,'SegEnds_NonXtal_BW#'!$A:$Z,23,FALSE)+VLOOKUP($A61,A:AL,34,FALSE)-50),"-",(VLOOKUP($A61,'SegEnds_NonXtal_BW#'!$A:$Z,23,FALSE)+VLOOKUP($A61,A:AL,34,FALSE)-50))</f>
        <v>251</v>
      </c>
      <c r="AH61" s="3">
        <v>273</v>
      </c>
      <c r="AI61" s="3">
        <f>IF(ISERROR((VLOOKUP($A61,'SegEnds_NonXtal_BW#'!$A:$Z,24,FALSE)+VLOOKUP($A61,A:AL,34,FALSE)-50)),"-",(VLOOKUP($A61,'SegEnds_NonXtal_BW#'!$A:$Z,24,FALSE)+VLOOKUP($A61,A:AL,34,FALSE)-50))</f>
        <v>279</v>
      </c>
      <c r="AJ61" s="3">
        <f>IF(ISERROR(VLOOKUP($A61,'SegEnds_NonXtal_BW#'!$A:$Z,25,FALSE)+VLOOKUP($A61,A:AL,37,FALSE)-50),"-",(VLOOKUP($A61,'SegEnds_NonXtal_BW#'!$A:$Z,25,FALSE)+VLOOKUP($A61,A:AL,37,FALSE)-50))</f>
        <v>280</v>
      </c>
      <c r="AK61" s="3">
        <v>283</v>
      </c>
      <c r="AL61" s="3">
        <f>IF(ISERROR((VLOOKUP($A61,'SegEnds_NonXtal_BW#'!$A:$Z,26,FALSE)+VLOOKUP($A61,A:AL,37,FALSE)-50)),"-",(VLOOKUP($A61,'SegEnds_NonXtal_BW#'!$A:$Z,26,FALSE)+VLOOKUP($A61,A:AL,37,FALSE)-50))</f>
        <v>292</v>
      </c>
      <c r="AM61" s="28" t="str">
        <f>VLOOKUP(A61,Classification!A:B,2,FALSE)</f>
        <v>A</v>
      </c>
      <c r="AN61" s="28" t="b">
        <f t="shared" si="34"/>
        <v>1</v>
      </c>
      <c r="AO61" s="3" t="str">
        <f>IF(ISERROR(MATCH(A61,'SegEnds_Xtal_Prot#'!B:B, 0)), "NoXtal", "Xtal")</f>
        <v>NoXtal</v>
      </c>
      <c r="AP61" s="3">
        <f t="shared" si="1"/>
        <v>1</v>
      </c>
      <c r="AQ61" s="3">
        <f t="shared" si="2"/>
        <v>1</v>
      </c>
      <c r="AR61" s="3" t="str">
        <f t="shared" si="3"/>
        <v>-</v>
      </c>
      <c r="AS61" s="3" t="str">
        <f t="shared" si="4"/>
        <v>-</v>
      </c>
      <c r="AT61" s="3">
        <f t="shared" si="5"/>
        <v>1</v>
      </c>
      <c r="AU61" s="3">
        <f t="shared" si="6"/>
        <v>1</v>
      </c>
      <c r="AV61" s="3" t="str">
        <f t="shared" si="7"/>
        <v>-</v>
      </c>
      <c r="AW61" s="3" t="str">
        <f t="shared" si="8"/>
        <v>-</v>
      </c>
      <c r="AX61" s="3">
        <f t="shared" si="9"/>
        <v>3</v>
      </c>
      <c r="AY61" s="3">
        <f t="shared" si="10"/>
        <v>6</v>
      </c>
      <c r="AZ61" s="3">
        <f t="shared" si="11"/>
        <v>1</v>
      </c>
      <c r="BA61" s="3">
        <f>IF(ISERROR(LEN(VLOOKUP(A61,Seqs!A:E,2,FALSE))-AL61),"-",LEN(VLOOKUP(A61,Seqs!A:E,2,FALSE))-AL61)</f>
        <v>5</v>
      </c>
      <c r="BB61" s="16">
        <f t="shared" si="12"/>
        <v>28</v>
      </c>
      <c r="BC61" s="9">
        <f t="shared" si="13"/>
        <v>20</v>
      </c>
      <c r="BD61" s="3">
        <f t="shared" si="14"/>
        <v>28</v>
      </c>
      <c r="BE61" s="3">
        <f t="shared" si="15"/>
        <v>39</v>
      </c>
      <c r="BF61" s="3">
        <f>AH61-AE61</f>
        <v>39</v>
      </c>
    </row>
    <row r="62" spans="1:58" s="3" customFormat="1" x14ac:dyDescent="0.2">
      <c r="A62" s="3" t="s">
        <v>152</v>
      </c>
      <c r="B62" s="3" t="str">
        <f>LOWER(VLOOKUP(A62,Xtal_Templ!A:B,2,FALSE))</f>
        <v>5ht1b_human</v>
      </c>
      <c r="C62" s="3">
        <f>VLOOKUP($A62,'SegEnds_NonXtal_BW#'!$A:$Z,3,FALSE)+D62-50</f>
        <v>23</v>
      </c>
      <c r="D62" s="3">
        <v>44</v>
      </c>
      <c r="E62" s="3">
        <f>IF(ISERROR(VLOOKUP($A62,'SegEnds_NonXtal_BW#'!$A:$Z,4,FALSE)+VLOOKUP($A62,A:AL,4,FALSE)-50),"-",(VLOOKUP($A62,'SegEnds_NonXtal_BW#'!$A:$Z,4,FALSE)+VLOOKUP($A62,A:AL,4,FALSE)-50))</f>
        <v>54</v>
      </c>
      <c r="F62" s="3">
        <f t="shared" si="29"/>
        <v>55</v>
      </c>
      <c r="G62" s="3">
        <v>57</v>
      </c>
      <c r="H62" s="3">
        <f t="shared" si="35"/>
        <v>58</v>
      </c>
      <c r="I62" s="3">
        <f t="shared" si="35"/>
        <v>59</v>
      </c>
      <c r="J62" s="3">
        <v>72</v>
      </c>
      <c r="K62" s="3">
        <f>VLOOKUP($A62,'SegEnds_NonXtal_BW#'!$A:$Z,8,FALSE)+VLOOKUP($A62,A:AL,10,FALSE)-50</f>
        <v>89</v>
      </c>
      <c r="L62" s="3">
        <f t="shared" ref="L62:L68" si="37">M62-1</f>
        <v>91</v>
      </c>
      <c r="M62" s="3">
        <v>92</v>
      </c>
      <c r="N62" s="3">
        <f t="shared" ref="N62:N68" si="38">M62+2</f>
        <v>94</v>
      </c>
      <c r="O62" s="3">
        <f t="shared" ref="O62:O89" si="39">N62+1</f>
        <v>95</v>
      </c>
      <c r="P62" s="3">
        <v>124</v>
      </c>
      <c r="Q62" s="3">
        <f>VLOOKUP($A62,'SegEnds_NonXtal_BW#'!$A:$Z,12,FALSE)+VLOOKUP($A62,A:AL,16,FALSE)-50</f>
        <v>130</v>
      </c>
      <c r="R62" s="3">
        <f>IF(ISERROR(VLOOKUP($A62,'SegEnds_NonXtal_BW#'!$A:$Z,13,FALSE)+VLOOKUP($A62,A:AL,19,FALSE)-50),"-",VLOOKUP($A62,'SegEnds_NonXtal_BW#'!$A:$Z,13,FALSE)+VLOOKUP($A62,A:AL,19,FALSE)-50)</f>
        <v>131</v>
      </c>
      <c r="S62" s="3">
        <v>131</v>
      </c>
      <c r="T62" s="103">
        <f>IF(ISERROR(VLOOKUP($A62,'SegEnds_NonXtal_BW#'!$A:$Z,14,FALSE)+VLOOKUP($A62,A:AL,19,FALSE)-50),"-",(VLOOKUP($A62,'SegEnds_NonXtal_BW#'!$A:$Z,14,FALSE)+VLOOKUP($A62,A:AL,19,FALSE)-50))</f>
        <v>138</v>
      </c>
      <c r="U62" s="9">
        <f>IF(ISERROR(VLOOKUP($A62,'SegEnds_NonXtal_BW#'!$A:$Z,15,FALSE)+VLOOKUP($A62,A:AL,22,FALSE)-50),"-",VLOOKUP($A62,'SegEnds_NonXtal_BW#'!$A:$Z,15,FALSE)+VLOOKUP($A62,A:AL,22,FALSE)-50)</f>
        <v>139</v>
      </c>
      <c r="V62" s="3">
        <v>151</v>
      </c>
      <c r="W62" s="3">
        <f>IF(ISERROR(VLOOKUP($A62,'SegEnds_NonXtal_BW#'!$A:$Z,16,FALSE)+VLOOKUP($A62,A:AL,22,FALSE)-50),"-",(VLOOKUP($A62,'SegEnds_NonXtal_BW#'!$A:$Z,16,FALSE)+VLOOKUP($A62,A:AL,22,FALSE)-50))</f>
        <v>164</v>
      </c>
      <c r="X62" s="3">
        <f>IF(ISERROR(VLOOKUP($A62,'SegEnds_NonXtal_BW#'!$A:$Z,17,FALSE)+VLOOKUP($A62,A:AL,25,FALSE)-50),"-",(VLOOKUP($A62,'SegEnds_NonXtal_BW#'!$A:$Z,17,FALSE)+VLOOKUP($A62,A:AL,25,FALSE)-50))</f>
        <v>176</v>
      </c>
      <c r="Y62" s="3">
        <v>176</v>
      </c>
      <c r="Z62" s="3">
        <f t="shared" ref="Z62:Z89" si="40">Y62+2</f>
        <v>178</v>
      </c>
      <c r="AA62" s="3">
        <f>IF(ISERROR(VLOOKUP($A62,'SegEnds_NonXtal_BW#'!$A:$Z,19,FALSE)+VLOOKUP($A62,A:AL,28,FALSE)-50),"-",(VLOOKUP($A62,'SegEnds_NonXtal_BW#'!$A:$Z,19,FALSE)+VLOOKUP($A62,A:AL,28,FALSE)-50))</f>
        <v>181</v>
      </c>
      <c r="AB62" s="3">
        <v>196</v>
      </c>
      <c r="AC62" s="3">
        <f>IF(ISERROR((VLOOKUP($A62,'SegEnds_NonXtal_BW#'!$A:$Z,20,FALSE)+VLOOKUP($A62,A:AL,28,FALSE)-50)),"-",(VLOOKUP($A62,'SegEnds_NonXtal_BW#'!$A:$Z,20,FALSE)+VLOOKUP($A62,A:AL,28,FALSE)-50))</f>
        <v>222</v>
      </c>
      <c r="AD62" s="3">
        <f>IF(ISERROR(VLOOKUP($A62,'SegEnds_NonXtal_BW#'!$A:$Z,21,FALSE)+VLOOKUP($A62,A:AL,31,FALSE)-50),"-",(VLOOKUP($A62,'SegEnds_NonXtal_BW#'!$A:$Z,21,FALSE)+VLOOKUP($A62,A:AL,31,FALSE)-50))</f>
        <v>261</v>
      </c>
      <c r="AE62" s="3">
        <v>287</v>
      </c>
      <c r="AF62" s="3">
        <f>IF(ISERROR((VLOOKUP($A62,'SegEnds_NonXtal_BW#'!$A:$Z,22,FALSE)+VLOOKUP($A62,A:AL,31,FALSE)-50)),"-",(VLOOKUP($A62,'SegEnds_NonXtal_BW#'!$A:$Z,22,FALSE)+VLOOKUP($A62,A:AL,31,FALSE)-50))</f>
        <v>298</v>
      </c>
      <c r="AG62" s="3">
        <f>IF(ISERROR(VLOOKUP($A62,'SegEnds_NonXtal_BW#'!$A:$Z,23,FALSE)+VLOOKUP($A62,A:AL,34,FALSE)-50),"-",(VLOOKUP($A62,'SegEnds_NonXtal_BW#'!$A:$Z,23,FALSE)+VLOOKUP($A62,A:AL,34,FALSE)-50))</f>
        <v>304</v>
      </c>
      <c r="AH62" s="3">
        <v>323</v>
      </c>
      <c r="AI62" s="3">
        <f>IF(ISERROR((VLOOKUP($A62,'SegEnds_NonXtal_BW#'!$A:$Z,24,FALSE)+VLOOKUP($A62,A:AL,34,FALSE)-50)),"-",(VLOOKUP($A62,'SegEnds_NonXtal_BW#'!$A:$Z,24,FALSE)+VLOOKUP($A62,A:AL,34,FALSE)-50))</f>
        <v>329</v>
      </c>
      <c r="AJ62" s="3">
        <f>IF(ISERROR(VLOOKUP($A62,'SegEnds_NonXtal_BW#'!$A:$Z,25,FALSE)+VLOOKUP($A62,A:AL,37,FALSE)-50),"-",(VLOOKUP($A62,'SegEnds_NonXtal_BW#'!$A:$Z,25,FALSE)+VLOOKUP($A62,A:AL,37,FALSE)-50))</f>
        <v>330</v>
      </c>
      <c r="AK62" s="3">
        <v>333</v>
      </c>
      <c r="AL62" s="3">
        <f>IF(ISERROR((VLOOKUP($A62,'SegEnds_NonXtal_BW#'!$A:$Z,26,FALSE)+VLOOKUP($A62,A:AL,37,FALSE)-50)),"-",(VLOOKUP($A62,'SegEnds_NonXtal_BW#'!$A:$Z,26,FALSE)+VLOOKUP($A62,A:AL,37,FALSE)-50))</f>
        <v>341</v>
      </c>
      <c r="AM62" s="28" t="str">
        <f>VLOOKUP(A62,Classification!A:B,2,FALSE)</f>
        <v>A</v>
      </c>
      <c r="AN62" s="28" t="b">
        <f t="shared" si="34"/>
        <v>1</v>
      </c>
      <c r="AO62" s="3" t="str">
        <f>IF(ISERROR(MATCH(A62,'SegEnds_Xtal_Prot#'!B:B, 0)), "NoXtal", "Xtal")</f>
        <v>NoXtal</v>
      </c>
      <c r="AP62" s="3">
        <f t="shared" si="1"/>
        <v>1</v>
      </c>
      <c r="AQ62" s="3">
        <f t="shared" si="2"/>
        <v>1</v>
      </c>
      <c r="AR62" s="3">
        <f t="shared" si="3"/>
        <v>2</v>
      </c>
      <c r="AS62" s="3">
        <f t="shared" si="4"/>
        <v>1</v>
      </c>
      <c r="AT62" s="3">
        <f t="shared" si="5"/>
        <v>1</v>
      </c>
      <c r="AU62" s="3">
        <f t="shared" si="6"/>
        <v>1</v>
      </c>
      <c r="AV62" s="3">
        <f t="shared" si="7"/>
        <v>12</v>
      </c>
      <c r="AW62" s="3">
        <f t="shared" si="8"/>
        <v>3</v>
      </c>
      <c r="AX62" s="3">
        <f t="shared" si="9"/>
        <v>39</v>
      </c>
      <c r="AY62" s="3">
        <f t="shared" si="10"/>
        <v>6</v>
      </c>
      <c r="AZ62" s="3">
        <f t="shared" si="11"/>
        <v>1</v>
      </c>
      <c r="BA62" s="3">
        <f>IF(ISERROR(LEN(VLOOKUP(A62,Seqs!A:E,2,FALSE))-AL62),"-",LEN(VLOOKUP(A62,Seqs!A:E,2,FALSE))-AL62)</f>
        <v>125</v>
      </c>
      <c r="BB62" s="16">
        <f t="shared" si="12"/>
        <v>28</v>
      </c>
      <c r="BC62" s="9">
        <f t="shared" si="13"/>
        <v>20</v>
      </c>
      <c r="BD62" s="3">
        <f t="shared" si="14"/>
        <v>28</v>
      </c>
      <c r="BE62" s="3">
        <f t="shared" si="15"/>
        <v>91</v>
      </c>
    </row>
    <row r="63" spans="1:58" s="3" customFormat="1" x14ac:dyDescent="0.2">
      <c r="A63" s="3" t="s">
        <v>153</v>
      </c>
      <c r="B63" s="3" t="str">
        <f>LOWER(VLOOKUP(A63,Xtal_Templ!A:B,2,FALSE))</f>
        <v>drd3_human</v>
      </c>
      <c r="C63" s="3">
        <f>VLOOKUP($A63,'SegEnds_NonXtal_BW#'!$A:$Z,3,FALSE)+D63-50</f>
        <v>42</v>
      </c>
      <c r="D63" s="3">
        <v>63</v>
      </c>
      <c r="E63" s="3">
        <f>IF(ISERROR(VLOOKUP($A63,'SegEnds_NonXtal_BW#'!$A:$Z,4,FALSE)+VLOOKUP($A63,A:AL,4,FALSE)-50),"-",(VLOOKUP($A63,'SegEnds_NonXtal_BW#'!$A:$Z,4,FALSE)+VLOOKUP($A63,A:AL,4,FALSE)-50))</f>
        <v>73</v>
      </c>
      <c r="F63" s="3">
        <f t="shared" si="29"/>
        <v>74</v>
      </c>
      <c r="G63" s="3">
        <v>76</v>
      </c>
      <c r="H63" s="3">
        <f t="shared" si="35"/>
        <v>77</v>
      </c>
      <c r="I63" s="3">
        <f t="shared" si="35"/>
        <v>78</v>
      </c>
      <c r="J63" s="3">
        <v>91</v>
      </c>
      <c r="K63" s="3">
        <f>VLOOKUP($A63,'SegEnds_NonXtal_BW#'!$A:$Z,8,FALSE)+VLOOKUP($A63,A:AL,10,FALSE)-50</f>
        <v>108</v>
      </c>
      <c r="L63" s="3">
        <f t="shared" si="37"/>
        <v>110</v>
      </c>
      <c r="M63" s="3">
        <v>111</v>
      </c>
      <c r="N63" s="3">
        <f t="shared" si="38"/>
        <v>113</v>
      </c>
      <c r="O63" s="3">
        <f t="shared" si="39"/>
        <v>114</v>
      </c>
      <c r="P63" s="3">
        <v>143</v>
      </c>
      <c r="Q63" s="3">
        <f>VLOOKUP($A63,'SegEnds_NonXtal_BW#'!$A:$Z,12,FALSE)+VLOOKUP($A63,A:AL,16,FALSE)-50</f>
        <v>149</v>
      </c>
      <c r="R63" s="3">
        <f>IF(ISERROR(VLOOKUP($A63,'SegEnds_NonXtal_BW#'!$A:$Z,13,FALSE)+VLOOKUP($A63,A:AL,19,FALSE)-50),"-",VLOOKUP($A63,'SegEnds_NonXtal_BW#'!$A:$Z,13,FALSE)+VLOOKUP($A63,A:AL,19,FALSE)-50)</f>
        <v>150</v>
      </c>
      <c r="S63" s="3">
        <v>150</v>
      </c>
      <c r="T63" s="103">
        <f>IF(ISERROR(VLOOKUP($A63,'SegEnds_NonXtal_BW#'!$A:$Z,14,FALSE)+VLOOKUP($A63,A:AL,19,FALSE)-50),"-",(VLOOKUP($A63,'SegEnds_NonXtal_BW#'!$A:$Z,14,FALSE)+VLOOKUP($A63,A:AL,19,FALSE)-50))</f>
        <v>157</v>
      </c>
      <c r="U63" s="9">
        <f>IF(ISERROR(VLOOKUP($A63,'SegEnds_NonXtal_BW#'!$A:$Z,15,FALSE)+VLOOKUP($A63,A:AL,22,FALSE)-50),"-",VLOOKUP($A63,'SegEnds_NonXtal_BW#'!$A:$Z,15,FALSE)+VLOOKUP($A63,A:AL,22,FALSE)-50)</f>
        <v>158</v>
      </c>
      <c r="V63" s="3">
        <v>170</v>
      </c>
      <c r="W63" s="3">
        <f>IF(ISERROR(VLOOKUP($A63,'SegEnds_NonXtal_BW#'!$A:$Z,16,FALSE)+VLOOKUP($A63,A:AL,22,FALSE)-50),"-",(VLOOKUP($A63,'SegEnds_NonXtal_BW#'!$A:$Z,16,FALSE)+VLOOKUP($A63,A:AL,22,FALSE)-50))</f>
        <v>183</v>
      </c>
      <c r="X63" s="3">
        <f>IF(ISERROR(VLOOKUP($A63,'SegEnds_NonXtal_BW#'!$A:$Z,17,FALSE)+VLOOKUP($A63,A:AL,25,FALSE)-50),"-",(VLOOKUP($A63,'SegEnds_NonXtal_BW#'!$A:$Z,17,FALSE)+VLOOKUP($A63,A:AL,25,FALSE)-50))</f>
        <v>195</v>
      </c>
      <c r="Y63" s="3">
        <v>195</v>
      </c>
      <c r="Z63" s="3">
        <f t="shared" si="40"/>
        <v>197</v>
      </c>
      <c r="AA63" s="3">
        <f>IF(ISERROR(VLOOKUP($A63,'SegEnds_NonXtal_BW#'!$A:$Z,19,FALSE)+VLOOKUP($A63,A:AL,28,FALSE)-50),"-",(VLOOKUP($A63,'SegEnds_NonXtal_BW#'!$A:$Z,19,FALSE)+VLOOKUP($A63,A:AL,28,FALSE)-50))</f>
        <v>200</v>
      </c>
      <c r="AB63" s="3">
        <v>215</v>
      </c>
      <c r="AC63" s="3">
        <f>IF(ISERROR((VLOOKUP($A63,'SegEnds_NonXtal_BW#'!$A:$Z,20,FALSE)+VLOOKUP($A63,A:AL,28,FALSE)-50)),"-",(VLOOKUP($A63,'SegEnds_NonXtal_BW#'!$A:$Z,20,FALSE)+VLOOKUP($A63,A:AL,28,FALSE)-50))</f>
        <v>239</v>
      </c>
      <c r="AD63" s="3">
        <f>IF(ISERROR(VLOOKUP($A63,'SegEnds_NonXtal_BW#'!$A:$Z,21,FALSE)+VLOOKUP($A63,A:AL,31,FALSE)-50),"-",(VLOOKUP($A63,'SegEnds_NonXtal_BW#'!$A:$Z,21,FALSE)+VLOOKUP($A63,A:AL,31,FALSE)-50))</f>
        <v>283</v>
      </c>
      <c r="AE63" s="3">
        <v>309</v>
      </c>
      <c r="AF63" s="3">
        <f>IF(ISERROR((VLOOKUP($A63,'SegEnds_NonXtal_BW#'!$A:$Z,22,FALSE)+VLOOKUP($A63,A:AL,31,FALSE)-50)),"-",(VLOOKUP($A63,'SegEnds_NonXtal_BW#'!$A:$Z,22,FALSE)+VLOOKUP($A63,A:AL,31,FALSE)-50))</f>
        <v>320</v>
      </c>
      <c r="AG63" s="3">
        <f>IF(ISERROR(VLOOKUP($A63,'SegEnds_NonXtal_BW#'!$A:$Z,23,FALSE)+VLOOKUP($A63,A:AL,34,FALSE)-50),"-",(VLOOKUP($A63,'SegEnds_NonXtal_BW#'!$A:$Z,23,FALSE)+VLOOKUP($A63,A:AL,34,FALSE)-50))</f>
        <v>326</v>
      </c>
      <c r="AH63" s="3">
        <v>345</v>
      </c>
      <c r="AI63" s="3">
        <v>351</v>
      </c>
      <c r="AJ63" s="3">
        <f>IF(ISERROR(VLOOKUP($A63,'SegEnds_NonXtal_BW#'!$A:$Z,25,FALSE)+VLOOKUP($A63,A:AL,37,FALSE)-50),"-",(VLOOKUP($A63,'SegEnds_NonXtal_BW#'!$A:$Z,25,FALSE)+VLOOKUP($A63,A:AL,37,FALSE)-50))</f>
        <v>352</v>
      </c>
      <c r="AK63" s="3">
        <v>355</v>
      </c>
      <c r="AL63" s="3">
        <f>IF(ISERROR((VLOOKUP($A63,'SegEnds_NonXtal_BW#'!$A:$Z,26,FALSE)+VLOOKUP($A63,A:AL,37,FALSE)-50)),"-",(VLOOKUP($A63,'SegEnds_NonXtal_BW#'!$A:$Z,26,FALSE)+VLOOKUP($A63,A:AL,37,FALSE)-50))</f>
        <v>364</v>
      </c>
      <c r="AM63" s="28" t="str">
        <f>VLOOKUP(A63,Classification!A:B,2,FALSE)</f>
        <v>A</v>
      </c>
      <c r="AN63" s="28" t="b">
        <f t="shared" si="34"/>
        <v>1</v>
      </c>
      <c r="AO63" s="3" t="str">
        <f>IF(ISERROR(MATCH(A63,'SegEnds_Xtal_Prot#'!B:B, 0)), "NoXtal", "Xtal")</f>
        <v>NoXtal</v>
      </c>
      <c r="AP63" s="3">
        <f t="shared" si="1"/>
        <v>1</v>
      </c>
      <c r="AQ63" s="3">
        <f t="shared" si="2"/>
        <v>1</v>
      </c>
      <c r="AR63" s="3">
        <f t="shared" si="3"/>
        <v>2</v>
      </c>
      <c r="AS63" s="3">
        <f t="shared" si="4"/>
        <v>1</v>
      </c>
      <c r="AT63" s="3">
        <f t="shared" si="5"/>
        <v>1</v>
      </c>
      <c r="AU63" s="3">
        <f t="shared" si="6"/>
        <v>1</v>
      </c>
      <c r="AV63" s="3">
        <f t="shared" si="7"/>
        <v>12</v>
      </c>
      <c r="AW63" s="3">
        <f t="shared" si="8"/>
        <v>3</v>
      </c>
      <c r="AX63" s="3">
        <f t="shared" si="9"/>
        <v>44</v>
      </c>
      <c r="AY63" s="3">
        <f t="shared" si="10"/>
        <v>6</v>
      </c>
      <c r="AZ63" s="3">
        <f t="shared" si="11"/>
        <v>1</v>
      </c>
      <c r="BA63" s="3">
        <f>IF(ISERROR(LEN(VLOOKUP(A63,Seqs!A:E,2,FALSE))-AL63),"-",LEN(VLOOKUP(A63,Seqs!A:E,2,FALSE))-AL63)</f>
        <v>156</v>
      </c>
      <c r="BB63" s="16">
        <f t="shared" si="12"/>
        <v>28</v>
      </c>
      <c r="BC63" s="9">
        <f t="shared" si="13"/>
        <v>20</v>
      </c>
      <c r="BD63" s="3">
        <f t="shared" si="14"/>
        <v>28</v>
      </c>
      <c r="BE63" s="3">
        <f t="shared" si="15"/>
        <v>94</v>
      </c>
    </row>
    <row r="64" spans="1:58" s="3" customFormat="1" x14ac:dyDescent="0.2">
      <c r="A64" s="3" t="s">
        <v>154</v>
      </c>
      <c r="B64" s="3" t="str">
        <f>LOWER(VLOOKUP(A64,Xtal_Templ!A:B,2,FALSE))</f>
        <v>adrb2_human</v>
      </c>
      <c r="C64" s="3">
        <f>VLOOKUP($A64,'SegEnds_NonXtal_BW#'!$A:$Z,3,FALSE)+D64-50</f>
        <v>89</v>
      </c>
      <c r="D64" s="3">
        <v>114</v>
      </c>
      <c r="E64" s="3">
        <f>IF(ISERROR(VLOOKUP($A64,'SegEnds_NonXtal_BW#'!$A:$Z,4,FALSE)+VLOOKUP($A64,A:AL,4,FALSE)-50),"-",(VLOOKUP($A64,'SegEnds_NonXtal_BW#'!$A:$Z,4,FALSE)+VLOOKUP($A64,A:AL,4,FALSE)-50))</f>
        <v>124</v>
      </c>
      <c r="F64" s="3">
        <f t="shared" si="29"/>
        <v>125</v>
      </c>
      <c r="G64" s="3">
        <v>127</v>
      </c>
      <c r="H64" s="3">
        <f t="shared" si="35"/>
        <v>128</v>
      </c>
      <c r="I64" s="3">
        <f t="shared" si="35"/>
        <v>129</v>
      </c>
      <c r="J64" s="3">
        <v>142</v>
      </c>
      <c r="K64" s="3">
        <f>VLOOKUP($A64,'SegEnds_NonXtal_BW#'!$A:$Z,8,FALSE)+VLOOKUP($A64,A:AL,10,FALSE)-50</f>
        <v>159</v>
      </c>
      <c r="L64" s="3">
        <f t="shared" si="37"/>
        <v>161</v>
      </c>
      <c r="M64" s="3">
        <v>162</v>
      </c>
      <c r="N64" s="3">
        <f t="shared" si="38"/>
        <v>164</v>
      </c>
      <c r="O64" s="3">
        <f t="shared" si="39"/>
        <v>165</v>
      </c>
      <c r="P64" s="3">
        <v>194</v>
      </c>
      <c r="Q64" s="3">
        <f>VLOOKUP($A64,'SegEnds_NonXtal_BW#'!$A:$Z,12,FALSE)+VLOOKUP($A64,A:AL,16,FALSE)-50</f>
        <v>200</v>
      </c>
      <c r="R64" s="3">
        <f>IF(ISERROR(VLOOKUP($A64,'SegEnds_NonXtal_BW#'!$A:$Z,13,FALSE)+VLOOKUP($A64,A:AL,19,FALSE)-50),"-",VLOOKUP($A64,'SegEnds_NonXtal_BW#'!$A:$Z,13,FALSE)+VLOOKUP($A64,A:AL,19,FALSE)-50)</f>
        <v>201</v>
      </c>
      <c r="S64" s="3">
        <v>201</v>
      </c>
      <c r="T64" s="103">
        <f>IF(ISERROR(VLOOKUP($A64,'SegEnds_NonXtal_BW#'!$A:$Z,14,FALSE)+VLOOKUP($A64,A:AL,19,FALSE)-50),"-",(VLOOKUP($A64,'SegEnds_NonXtal_BW#'!$A:$Z,14,FALSE)+VLOOKUP($A64,A:AL,19,FALSE)-50))</f>
        <v>208</v>
      </c>
      <c r="U64" s="9">
        <f>IF(ISERROR(VLOOKUP($A64,'SegEnds_NonXtal_BW#'!$A:$Z,15,FALSE)+VLOOKUP($A64,A:AL,22,FALSE)-50),"-",VLOOKUP($A64,'SegEnds_NonXtal_BW#'!$A:$Z,15,FALSE)+VLOOKUP($A64,A:AL,22,FALSE)-50)</f>
        <v>209</v>
      </c>
      <c r="V64" s="3">
        <v>221</v>
      </c>
      <c r="W64" s="3">
        <f>IF(ISERROR(VLOOKUP($A64,'SegEnds_NonXtal_BW#'!$A:$Z,16,FALSE)+VLOOKUP($A64,A:AL,22,FALSE)-50),"-",(VLOOKUP($A64,'SegEnds_NonXtal_BW#'!$A:$Z,16,FALSE)+VLOOKUP($A64,A:AL,22,FALSE)-50))</f>
        <v>235</v>
      </c>
      <c r="X64" s="3">
        <f>IF(ISERROR(VLOOKUP($A64,'SegEnds_NonXtal_BW#'!$A:$Z,17,FALSE)+VLOOKUP($A64,A:AL,25,FALSE)-50),"-",(VLOOKUP($A64,'SegEnds_NonXtal_BW#'!$A:$Z,17,FALSE)+VLOOKUP($A64,A:AL,25,FALSE)-50))</f>
        <v>246</v>
      </c>
      <c r="Y64" s="3">
        <v>246</v>
      </c>
      <c r="Z64" s="3">
        <f t="shared" si="40"/>
        <v>248</v>
      </c>
      <c r="AA64" s="3">
        <f>IF(ISERROR(VLOOKUP($A64,'SegEnds_NonXtal_BW#'!$A:$Z,19,FALSE)+VLOOKUP($A64,A:AL,28,FALSE)-50),"-",(VLOOKUP($A64,'SegEnds_NonXtal_BW#'!$A:$Z,19,FALSE)+VLOOKUP($A64,A:AL,28,FALSE)-50))</f>
        <v>251</v>
      </c>
      <c r="AB64" s="3">
        <v>266</v>
      </c>
      <c r="AC64" s="3">
        <f>IF(ISERROR((VLOOKUP($A64,'SegEnds_NonXtal_BW#'!$A:$Z,20,FALSE)+VLOOKUP($A64,A:AL,28,FALSE)-50)),"-",(VLOOKUP($A64,'SegEnds_NonXtal_BW#'!$A:$Z,20,FALSE)+VLOOKUP($A64,A:AL,28,FALSE)-50))</f>
        <v>290</v>
      </c>
      <c r="AD64" s="3">
        <f>IF(ISERROR(VLOOKUP($A64,'SegEnds_NonXtal_BW#'!$A:$Z,21,FALSE)+VLOOKUP($A64,A:AL,31,FALSE)-50),"-",(VLOOKUP($A64,'SegEnds_NonXtal_BW#'!$A:$Z,21,FALSE)+VLOOKUP($A64,A:AL,31,FALSE)-50))</f>
        <v>337</v>
      </c>
      <c r="AE64" s="3">
        <v>363</v>
      </c>
      <c r="AF64" s="3">
        <f>IF(ISERROR((VLOOKUP($A64,'SegEnds_NonXtal_BW#'!$A:$Z,22,FALSE)+VLOOKUP($A64,A:AL,31,FALSE)-50)),"-",(VLOOKUP($A64,'SegEnds_NonXtal_BW#'!$A:$Z,22,FALSE)+VLOOKUP($A64,A:AL,31,FALSE)-50))</f>
        <v>374</v>
      </c>
      <c r="AG64" s="3">
        <f>IF(ISERROR(VLOOKUP($A64,'SegEnds_NonXtal_BW#'!$A:$Z,23,FALSE)+VLOOKUP($A64,A:AL,34,FALSE)-50),"-",(VLOOKUP($A64,'SegEnds_NonXtal_BW#'!$A:$Z,23,FALSE)+VLOOKUP($A64,A:AL,34,FALSE)-50))</f>
        <v>380</v>
      </c>
      <c r="AH64" s="3">
        <v>399</v>
      </c>
      <c r="AI64" s="3">
        <v>405</v>
      </c>
      <c r="AJ64" s="3">
        <f>IF(ISERROR(VLOOKUP($A64,'SegEnds_NonXtal_BW#'!$A:$Z,25,FALSE)+VLOOKUP($A64,A:AL,37,FALSE)-50),"-",(VLOOKUP($A64,'SegEnds_NonXtal_BW#'!$A:$Z,25,FALSE)+VLOOKUP($A64,A:AL,37,FALSE)-50))</f>
        <v>406</v>
      </c>
      <c r="AK64" s="3">
        <v>409</v>
      </c>
      <c r="AL64" s="3">
        <f>IF(ISERROR((VLOOKUP($A64,'SegEnds_NonXtal_BW#'!$A:$Z,26,FALSE)+VLOOKUP($A64,A:AL,37,FALSE)-50)),"-",(VLOOKUP($A64,'SegEnds_NonXtal_BW#'!$A:$Z,26,FALSE)+VLOOKUP($A64,A:AL,37,FALSE)-50))</f>
        <v>418</v>
      </c>
      <c r="AM64" s="28" t="str">
        <f>VLOOKUP(A64,Classification!A:B,2,FALSE)</f>
        <v>A</v>
      </c>
      <c r="AN64" s="28" t="b">
        <f t="shared" si="34"/>
        <v>1</v>
      </c>
      <c r="AO64" s="3" t="str">
        <f>IF(ISERROR(MATCH(A64,'SegEnds_Xtal_Prot#'!B:B, 0)), "NoXtal", "Xtal")</f>
        <v>NoXtal</v>
      </c>
      <c r="AP64" s="3">
        <f t="shared" si="1"/>
        <v>1</v>
      </c>
      <c r="AQ64" s="3">
        <f t="shared" si="2"/>
        <v>1</v>
      </c>
      <c r="AR64" s="3">
        <f t="shared" si="3"/>
        <v>2</v>
      </c>
      <c r="AS64" s="3">
        <f t="shared" si="4"/>
        <v>1</v>
      </c>
      <c r="AT64" s="3">
        <f t="shared" si="5"/>
        <v>1</v>
      </c>
      <c r="AU64" s="3">
        <f t="shared" si="6"/>
        <v>1</v>
      </c>
      <c r="AV64" s="3">
        <f t="shared" si="7"/>
        <v>11</v>
      </c>
      <c r="AW64" s="3">
        <f t="shared" si="8"/>
        <v>3</v>
      </c>
      <c r="AX64" s="3">
        <f t="shared" si="9"/>
        <v>47</v>
      </c>
      <c r="AY64" s="3">
        <f t="shared" si="10"/>
        <v>6</v>
      </c>
      <c r="AZ64" s="3">
        <f t="shared" si="11"/>
        <v>1</v>
      </c>
      <c r="BA64" s="3">
        <f>IF(ISERROR(LEN(VLOOKUP(A64,Seqs!A:E,2,FALSE))-AL64),"-",LEN(VLOOKUP(A64,Seqs!A:E,2,FALSE))-AL64)</f>
        <v>154</v>
      </c>
      <c r="BB64" s="16">
        <f t="shared" si="12"/>
        <v>28</v>
      </c>
      <c r="BC64" s="9">
        <f t="shared" si="13"/>
        <v>20</v>
      </c>
      <c r="BD64" s="3">
        <f t="shared" si="14"/>
        <v>28</v>
      </c>
      <c r="BE64" s="3">
        <f t="shared" si="15"/>
        <v>97</v>
      </c>
    </row>
    <row r="65" spans="1:58" s="3" customFormat="1" x14ac:dyDescent="0.2">
      <c r="A65" s="3" t="s">
        <v>155</v>
      </c>
      <c r="B65" s="3" t="str">
        <f>LOWER(VLOOKUP(A65,Xtal_Templ!A:B,2,FALSE))</f>
        <v>drd3_human</v>
      </c>
      <c r="C65" s="3">
        <f>VLOOKUP($A65,'SegEnds_NonXtal_BW#'!$A:$Z,3,FALSE)+D65-50</f>
        <v>30</v>
      </c>
      <c r="D65" s="3">
        <v>51</v>
      </c>
      <c r="E65" s="3">
        <f>IF(ISERROR(VLOOKUP($A65,'SegEnds_NonXtal_BW#'!$A:$Z,4,FALSE)+VLOOKUP($A65,A:AL,4,FALSE)-50),"-",(VLOOKUP($A65,'SegEnds_NonXtal_BW#'!$A:$Z,4,FALSE)+VLOOKUP($A65,A:AL,4,FALSE)-50))</f>
        <v>61</v>
      </c>
      <c r="F65" s="3">
        <f t="shared" si="29"/>
        <v>62</v>
      </c>
      <c r="G65" s="3">
        <v>64</v>
      </c>
      <c r="H65" s="3">
        <f t="shared" si="35"/>
        <v>65</v>
      </c>
      <c r="I65" s="3">
        <f t="shared" si="35"/>
        <v>66</v>
      </c>
      <c r="J65" s="3">
        <v>79</v>
      </c>
      <c r="K65" s="3">
        <f>VLOOKUP($A65,'SegEnds_NonXtal_BW#'!$A:$Z,8,FALSE)+VLOOKUP($A65,A:AL,10,FALSE)-50</f>
        <v>96</v>
      </c>
      <c r="L65" s="3">
        <f t="shared" si="37"/>
        <v>98</v>
      </c>
      <c r="M65" s="3">
        <v>99</v>
      </c>
      <c r="N65" s="3">
        <f t="shared" si="38"/>
        <v>101</v>
      </c>
      <c r="O65" s="3">
        <f t="shared" si="39"/>
        <v>102</v>
      </c>
      <c r="P65" s="3">
        <v>131</v>
      </c>
      <c r="Q65" s="3">
        <f>VLOOKUP($A65,'SegEnds_NonXtal_BW#'!$A:$Z,12,FALSE)+VLOOKUP($A65,A:AL,16,FALSE)-50</f>
        <v>137</v>
      </c>
      <c r="R65" s="3">
        <f>IF(ISERROR(VLOOKUP($A65,'SegEnds_NonXtal_BW#'!$A:$Z,13,FALSE)+VLOOKUP($A65,A:AL,19,FALSE)-50),"-",VLOOKUP($A65,'SegEnds_NonXtal_BW#'!$A:$Z,13,FALSE)+VLOOKUP($A65,A:AL,19,FALSE)-50)</f>
        <v>138</v>
      </c>
      <c r="S65" s="3">
        <v>138</v>
      </c>
      <c r="T65" s="103">
        <f>IF(ISERROR(VLOOKUP($A65,'SegEnds_NonXtal_BW#'!$A:$Z,14,FALSE)+VLOOKUP($A65,A:AL,19,FALSE)-50),"-",(VLOOKUP($A65,'SegEnds_NonXtal_BW#'!$A:$Z,14,FALSE)+VLOOKUP($A65,A:AL,19,FALSE)-50))</f>
        <v>145</v>
      </c>
      <c r="U65" s="9">
        <f>IF(ISERROR(VLOOKUP($A65,'SegEnds_NonXtal_BW#'!$A:$Z,15,FALSE)+VLOOKUP($A65,A:AL,22,FALSE)-50),"-",VLOOKUP($A65,'SegEnds_NonXtal_BW#'!$A:$Z,15,FALSE)+VLOOKUP($A65,A:AL,22,FALSE)-50)</f>
        <v>146</v>
      </c>
      <c r="V65" s="3">
        <v>158</v>
      </c>
      <c r="W65" s="3">
        <f>IF(ISERROR(VLOOKUP($A65,'SegEnds_NonXtal_BW#'!$A:$Z,16,FALSE)+VLOOKUP($A65,A:AL,22,FALSE)-50),"-",(VLOOKUP($A65,'SegEnds_NonXtal_BW#'!$A:$Z,16,FALSE)+VLOOKUP($A65,A:AL,22,FALSE)-50))</f>
        <v>171</v>
      </c>
      <c r="X65" s="3">
        <f>IF(ISERROR(VLOOKUP($A65,'SegEnds_NonXtal_BW#'!$A:$Z,17,FALSE)+VLOOKUP($A65,A:AL,25,FALSE)-50),"-",(VLOOKUP($A65,'SegEnds_NonXtal_BW#'!$A:$Z,17,FALSE)+VLOOKUP($A65,A:AL,25,FALSE)-50))</f>
        <v>188</v>
      </c>
      <c r="Y65" s="3">
        <v>188</v>
      </c>
      <c r="Z65" s="3">
        <f t="shared" si="40"/>
        <v>190</v>
      </c>
      <c r="AA65" s="3">
        <f>IF(ISERROR(VLOOKUP($A65,'SegEnds_NonXtal_BW#'!$A:$Z,19,FALSE)+VLOOKUP($A65,A:AL,28,FALSE)-50),"-",(VLOOKUP($A65,'SegEnds_NonXtal_BW#'!$A:$Z,19,FALSE)+VLOOKUP($A65,A:AL,28,FALSE)-50))</f>
        <v>193</v>
      </c>
      <c r="AB65" s="3">
        <v>208</v>
      </c>
      <c r="AC65" s="3">
        <f>IF(ISERROR((VLOOKUP($A65,'SegEnds_NonXtal_BW#'!$A:$Z,20,FALSE)+VLOOKUP($A65,A:AL,28,FALSE)-50)),"-",(VLOOKUP($A65,'SegEnds_NonXtal_BW#'!$A:$Z,20,FALSE)+VLOOKUP($A65,A:AL,28,FALSE)-50))</f>
        <v>233</v>
      </c>
      <c r="AD65" s="3">
        <f>IF(ISERROR(VLOOKUP($A65,'SegEnds_NonXtal_BW#'!$A:$Z,21,FALSE)+VLOOKUP($A65,A:AL,31,FALSE)-50),"-",(VLOOKUP($A65,'SegEnds_NonXtal_BW#'!$A:$Z,21,FALSE)+VLOOKUP($A65,A:AL,31,FALSE)-50))</f>
        <v>363</v>
      </c>
      <c r="AE65" s="3">
        <v>389</v>
      </c>
      <c r="AF65" s="3">
        <f>IF(ISERROR((VLOOKUP($A65,'SegEnds_NonXtal_BW#'!$A:$Z,22,FALSE)+VLOOKUP($A65,A:AL,31,FALSE)-50)),"-",(VLOOKUP($A65,'SegEnds_NonXtal_BW#'!$A:$Z,22,FALSE)+VLOOKUP($A65,A:AL,31,FALSE)-50))</f>
        <v>400</v>
      </c>
      <c r="AG65" s="3">
        <f>IF(ISERROR(VLOOKUP($A65,'SegEnds_NonXtal_BW#'!$A:$Z,23,FALSE)+VLOOKUP($A65,A:AL,34,FALSE)-50),"-",(VLOOKUP($A65,'SegEnds_NonXtal_BW#'!$A:$Z,23,FALSE)+VLOOKUP($A65,A:AL,34,FALSE)-50))</f>
        <v>405</v>
      </c>
      <c r="AH65" s="3">
        <v>423</v>
      </c>
      <c r="AI65" s="3">
        <f>IF(ISERROR((VLOOKUP($A65,'SegEnds_NonXtal_BW#'!$A:$Z,24,FALSE)+VLOOKUP($A65,A:AL,34,FALSE)-50)),"-",(VLOOKUP($A65,'SegEnds_NonXtal_BW#'!$A:$Z,24,FALSE)+VLOOKUP($A65,A:AL,34,FALSE)-50))</f>
        <v>429</v>
      </c>
      <c r="AJ65" s="3">
        <f>IF(ISERROR(VLOOKUP($A65,'SegEnds_NonXtal_BW#'!$A:$Z,25,FALSE)+VLOOKUP($A65,A:AL,37,FALSE)-50),"-",(VLOOKUP($A65,'SegEnds_NonXtal_BW#'!$A:$Z,25,FALSE)+VLOOKUP($A65,A:AL,37,FALSE)-50))</f>
        <v>430</v>
      </c>
      <c r="AK65" s="3">
        <v>433</v>
      </c>
      <c r="AL65" s="3">
        <f>IF(ISERROR((VLOOKUP($A65,'SegEnds_NonXtal_BW#'!$A:$Z,26,FALSE)+VLOOKUP($A65,A:AL,37,FALSE)-50)),"-",(VLOOKUP($A65,'SegEnds_NonXtal_BW#'!$A:$Z,26,FALSE)+VLOOKUP($A65,A:AL,37,FALSE)-50))</f>
        <v>442</v>
      </c>
      <c r="AM65" s="28" t="str">
        <f>VLOOKUP(A65,Classification!A:B,2,FALSE)</f>
        <v>A</v>
      </c>
      <c r="AN65" s="28" t="b">
        <f t="shared" si="34"/>
        <v>1</v>
      </c>
      <c r="AO65" s="3" t="str">
        <f>IF(ISERROR(MATCH(A65,'SegEnds_Xtal_Prot#'!B:B, 0)), "NoXtal", "Xtal")</f>
        <v>NoXtal</v>
      </c>
      <c r="AP65" s="3">
        <f t="shared" si="1"/>
        <v>1</v>
      </c>
      <c r="AQ65" s="3">
        <f t="shared" si="2"/>
        <v>1</v>
      </c>
      <c r="AR65" s="3">
        <f t="shared" si="3"/>
        <v>2</v>
      </c>
      <c r="AS65" s="3">
        <f t="shared" si="4"/>
        <v>1</v>
      </c>
      <c r="AT65" s="3">
        <f t="shared" si="5"/>
        <v>1</v>
      </c>
      <c r="AU65" s="3">
        <f t="shared" si="6"/>
        <v>1</v>
      </c>
      <c r="AV65" s="3">
        <f t="shared" si="7"/>
        <v>17</v>
      </c>
      <c r="AW65" s="3">
        <f t="shared" si="8"/>
        <v>3</v>
      </c>
      <c r="AX65" s="3">
        <f t="shared" si="9"/>
        <v>130</v>
      </c>
      <c r="AY65" s="3">
        <f t="shared" si="10"/>
        <v>5</v>
      </c>
      <c r="AZ65" s="3">
        <f t="shared" si="11"/>
        <v>1</v>
      </c>
      <c r="BA65" s="3">
        <f>IF(ISERROR(LEN(VLOOKUP(A65,Seqs!A:E,2,FALSE))-AL65),"-",LEN(VLOOKUP(A65,Seqs!A:E,2,FALSE))-AL65)</f>
        <v>8</v>
      </c>
      <c r="BB65" s="16">
        <f t="shared" si="12"/>
        <v>28</v>
      </c>
      <c r="BC65" s="9">
        <f t="shared" si="13"/>
        <v>20</v>
      </c>
      <c r="BD65" s="3">
        <f t="shared" si="14"/>
        <v>28</v>
      </c>
      <c r="BE65" s="3">
        <f t="shared" si="15"/>
        <v>181</v>
      </c>
      <c r="BF65" s="3">
        <f>AH65-AE65</f>
        <v>34</v>
      </c>
    </row>
    <row r="66" spans="1:58" s="3" customFormat="1" x14ac:dyDescent="0.2">
      <c r="A66" s="3" t="s">
        <v>156</v>
      </c>
      <c r="B66" s="3" t="str">
        <f>LOWER(VLOOKUP(A66,Xtal_Templ!A:B,2,FALSE))</f>
        <v>drd3_human</v>
      </c>
      <c r="C66" s="3">
        <f>VLOOKUP($A66,'SegEnds_NonXtal_BW#'!$A:$Z,3,FALSE)+D66-50</f>
        <v>9</v>
      </c>
      <c r="D66" s="3">
        <v>30</v>
      </c>
      <c r="E66" s="3">
        <f>IF(ISERROR(VLOOKUP($A66,'SegEnds_NonXtal_BW#'!$A:$Z,4,FALSE)+VLOOKUP($A66,A:AL,4,FALSE)-50),"-",(VLOOKUP($A66,'SegEnds_NonXtal_BW#'!$A:$Z,4,FALSE)+VLOOKUP($A66,A:AL,4,FALSE)-50))</f>
        <v>40</v>
      </c>
      <c r="F66" s="3">
        <f t="shared" si="29"/>
        <v>41</v>
      </c>
      <c r="G66" s="3">
        <v>43</v>
      </c>
      <c r="H66" s="3">
        <f t="shared" si="35"/>
        <v>44</v>
      </c>
      <c r="I66" s="3">
        <f t="shared" si="35"/>
        <v>45</v>
      </c>
      <c r="J66" s="3">
        <v>58</v>
      </c>
      <c r="K66" s="3">
        <f>VLOOKUP($A66,'SegEnds_NonXtal_BW#'!$A:$Z,8,FALSE)+VLOOKUP($A66,A:AL,10,FALSE)-50</f>
        <v>75</v>
      </c>
      <c r="L66" s="3">
        <f t="shared" si="37"/>
        <v>77</v>
      </c>
      <c r="M66" s="3">
        <v>78</v>
      </c>
      <c r="N66" s="3">
        <f t="shared" si="38"/>
        <v>80</v>
      </c>
      <c r="O66" s="3">
        <f t="shared" si="39"/>
        <v>81</v>
      </c>
      <c r="P66" s="3">
        <v>110</v>
      </c>
      <c r="Q66" s="3">
        <f>VLOOKUP($A66,'SegEnds_NonXtal_BW#'!$A:$Z,12,FALSE)+VLOOKUP($A66,A:AL,16,FALSE)-50</f>
        <v>116</v>
      </c>
      <c r="R66" s="3">
        <f>IF(ISERROR(VLOOKUP($A66,'SegEnds_NonXtal_BW#'!$A:$Z,13,FALSE)+VLOOKUP($A66,A:AL,19,FALSE)-50),"-",VLOOKUP($A66,'SegEnds_NonXtal_BW#'!$A:$Z,13,FALSE)+VLOOKUP($A66,A:AL,19,FALSE)-50)</f>
        <v>117</v>
      </c>
      <c r="S66" s="3">
        <v>117</v>
      </c>
      <c r="T66" s="103">
        <f>IF(ISERROR(VLOOKUP($A66,'SegEnds_NonXtal_BW#'!$A:$Z,14,FALSE)+VLOOKUP($A66,A:AL,19,FALSE)-50),"-",(VLOOKUP($A66,'SegEnds_NonXtal_BW#'!$A:$Z,14,FALSE)+VLOOKUP($A66,A:AL,19,FALSE)-50))</f>
        <v>124</v>
      </c>
      <c r="U66" s="9">
        <f>IF(ISERROR(VLOOKUP($A66,'SegEnds_NonXtal_BW#'!$A:$Z,15,FALSE)+VLOOKUP($A66,A:AL,22,FALSE)-50),"-",VLOOKUP($A66,'SegEnds_NonXtal_BW#'!$A:$Z,15,FALSE)+VLOOKUP($A66,A:AL,22,FALSE)-50)</f>
        <v>125</v>
      </c>
      <c r="V66" s="3">
        <v>137</v>
      </c>
      <c r="W66" s="3">
        <f>IF(ISERROR(VLOOKUP($A66,'SegEnds_NonXtal_BW#'!$A:$Z,16,FALSE)+VLOOKUP($A66,A:AL,22,FALSE)-50),"-",(VLOOKUP($A66,'SegEnds_NonXtal_BW#'!$A:$Z,16,FALSE)+VLOOKUP($A66,A:AL,22,FALSE)-50))</f>
        <v>150</v>
      </c>
      <c r="X66" s="3">
        <f>IF(ISERROR(VLOOKUP($A66,'SegEnds_NonXtal_BW#'!$A:$Z,17,FALSE)+VLOOKUP($A66,A:AL,25,FALSE)-50),"-",(VLOOKUP($A66,'SegEnds_NonXtal_BW#'!$A:$Z,17,FALSE)+VLOOKUP($A66,A:AL,25,FALSE)-50))</f>
        <v>164</v>
      </c>
      <c r="Y66" s="3">
        <v>164</v>
      </c>
      <c r="Z66" s="3">
        <f t="shared" si="40"/>
        <v>166</v>
      </c>
      <c r="AA66" s="3">
        <f>IF(ISERROR(VLOOKUP($A66,'SegEnds_NonXtal_BW#'!$A:$Z,19,FALSE)+VLOOKUP($A66,A:AL,28,FALSE)-50),"-",(VLOOKUP($A66,'SegEnds_NonXtal_BW#'!$A:$Z,19,FALSE)+VLOOKUP($A66,A:AL,28,FALSE)-50))</f>
        <v>169</v>
      </c>
      <c r="AB66" s="3">
        <v>184</v>
      </c>
      <c r="AC66" s="3">
        <f>IF(ISERROR((VLOOKUP($A66,'SegEnds_NonXtal_BW#'!$A:$Z,20,FALSE)+VLOOKUP($A66,A:AL,28,FALSE)-50)),"-",(VLOOKUP($A66,'SegEnds_NonXtal_BW#'!$A:$Z,20,FALSE)+VLOOKUP($A66,A:AL,28,FALSE)-50))</f>
        <v>209</v>
      </c>
      <c r="AD66" s="3">
        <f>IF(ISERROR(VLOOKUP($A66,'SegEnds_NonXtal_BW#'!$A:$Z,21,FALSE)+VLOOKUP($A66,A:AL,31,FALSE)-50),"-",(VLOOKUP($A66,'SegEnds_NonXtal_BW#'!$A:$Z,21,FALSE)+VLOOKUP($A66,A:AL,31,FALSE)-50))</f>
        <v>357</v>
      </c>
      <c r="AE66" s="3">
        <v>383</v>
      </c>
      <c r="AF66" s="3">
        <f>IF(ISERROR((VLOOKUP($A66,'SegEnds_NonXtal_BW#'!$A:$Z,22,FALSE)+VLOOKUP($A66,A:AL,31,FALSE)-50)),"-",(VLOOKUP($A66,'SegEnds_NonXtal_BW#'!$A:$Z,22,FALSE)+VLOOKUP($A66,A:AL,31,FALSE)-50))</f>
        <v>394</v>
      </c>
      <c r="AG66" s="3">
        <f>IF(ISERROR(VLOOKUP($A66,'SegEnds_NonXtal_BW#'!$A:$Z,23,FALSE)+VLOOKUP($A66,A:AL,34,FALSE)-50),"-",(VLOOKUP($A66,'SegEnds_NonXtal_BW#'!$A:$Z,23,FALSE)+VLOOKUP($A66,A:AL,34,FALSE)-50))</f>
        <v>401</v>
      </c>
      <c r="AH66" s="3">
        <v>420</v>
      </c>
      <c r="AI66" s="3">
        <f>IF(ISERROR((VLOOKUP($A66,'SegEnds_NonXtal_BW#'!$A:$Z,24,FALSE)+VLOOKUP($A66,A:AL,34,FALSE)-50)),"-",(VLOOKUP($A66,'SegEnds_NonXtal_BW#'!$A:$Z,24,FALSE)+VLOOKUP($A66,A:AL,34,FALSE)-50))</f>
        <v>426</v>
      </c>
      <c r="AJ66" s="3">
        <f>IF(ISERROR(VLOOKUP($A66,'SegEnds_NonXtal_BW#'!$A:$Z,25,FALSE)+VLOOKUP($A66,A:AL,37,FALSE)-50),"-",(VLOOKUP($A66,'SegEnds_NonXtal_BW#'!$A:$Z,25,FALSE)+VLOOKUP($A66,A:AL,37,FALSE)-50))</f>
        <v>427</v>
      </c>
      <c r="AK66" s="3">
        <v>430</v>
      </c>
      <c r="AL66" s="3">
        <f>IF(ISERROR((VLOOKUP($A66,'SegEnds_NonXtal_BW#'!$A:$Z,26,FALSE)+VLOOKUP($A66,A:AL,37,FALSE)-50)),"-",(VLOOKUP($A66,'SegEnds_NonXtal_BW#'!$A:$Z,26,FALSE)+VLOOKUP($A66,A:AL,37,FALSE)-50))</f>
        <v>439</v>
      </c>
      <c r="AM66" s="28" t="str">
        <f>VLOOKUP(A66,Classification!A:B,2,FALSE)</f>
        <v>A</v>
      </c>
      <c r="AN66" s="28" t="b">
        <f t="shared" si="34"/>
        <v>1</v>
      </c>
      <c r="AO66" s="3" t="str">
        <f>IF(ISERROR(MATCH(A66,'SegEnds_Xtal_Prot#'!B:B, 0)), "NoXtal", "Xtal")</f>
        <v>NoXtal</v>
      </c>
      <c r="AP66" s="3">
        <f t="shared" ref="AP66:AP129" si="41">IF(ISERROR(F66-E66),"-",F66-E66)</f>
        <v>1</v>
      </c>
      <c r="AQ66" s="3">
        <f t="shared" ref="AQ66:AQ129" si="42">IF(ISERROR(I66-H66),"-",I66-H66)</f>
        <v>1</v>
      </c>
      <c r="AR66" s="3">
        <f t="shared" ref="AR66:AR129" si="43">IF(ISERROR(L66-K66),"-",L66-K66)</f>
        <v>2</v>
      </c>
      <c r="AS66" s="3">
        <f t="shared" ref="AS66:AS129" si="44">IF(ISERROR(O66-N66),"-",O66-N66)</f>
        <v>1</v>
      </c>
      <c r="AT66" s="3">
        <f t="shared" ref="AT66:AT129" si="45">IF(ISERROR(R66-Q66),"-",R66-Q66)</f>
        <v>1</v>
      </c>
      <c r="AU66" s="3">
        <f t="shared" ref="AU66:AU129" si="46">IF(ISERROR(U66-T66),"-",U66-T66)</f>
        <v>1</v>
      </c>
      <c r="AV66" s="3">
        <f t="shared" ref="AV66:AV129" si="47">IF(ISERROR(X66-W66),"-",X66-W66)</f>
        <v>14</v>
      </c>
      <c r="AW66" s="3">
        <f t="shared" ref="AW66:AW129" si="48">IF(ISERROR(AA66-Z66),"-",AA66-Z66)</f>
        <v>3</v>
      </c>
      <c r="AX66" s="3">
        <f t="shared" ref="AX66:AX129" si="49">IF(ISERROR(AD66-AC66),"-",AD66-AC66)</f>
        <v>148</v>
      </c>
      <c r="AY66" s="3">
        <f t="shared" ref="AY66:AY129" si="50">IF(ISERROR(AG66-AF66),"-",AG66-AF66)</f>
        <v>7</v>
      </c>
      <c r="AZ66" s="3">
        <f t="shared" ref="AZ66:AZ129" si="51">IF(ISERROR(AJ66-AI66),"-",AJ66-AI66)</f>
        <v>1</v>
      </c>
      <c r="BA66" s="3">
        <f>IF(ISERROR(LEN(VLOOKUP(A66,Seqs!A:E,2,FALSE))-AL66),"-",LEN(VLOOKUP(A66,Seqs!A:E,2,FALSE))-AL66)</f>
        <v>8</v>
      </c>
      <c r="BB66" s="16">
        <f t="shared" ref="BB66:BB129" si="52">J66-D66</f>
        <v>28</v>
      </c>
      <c r="BC66" s="9">
        <f t="shared" ref="BC66:BC129" si="53">IF(ISERROR(V66-S66),"-",V66-S66)</f>
        <v>20</v>
      </c>
      <c r="BD66" s="3">
        <f t="shared" ref="BD66:BD129" si="54">J66-D66</f>
        <v>28</v>
      </c>
      <c r="BE66" s="3">
        <f t="shared" ref="BE66:BE129" si="55">AE66-AB66</f>
        <v>199</v>
      </c>
      <c r="BF66" s="3">
        <f>AH66-AE66</f>
        <v>37</v>
      </c>
    </row>
    <row r="67" spans="1:58" s="3" customFormat="1" ht="17" customHeight="1" x14ac:dyDescent="0.2">
      <c r="A67" s="3" t="s">
        <v>157</v>
      </c>
      <c r="B67" s="3" t="str">
        <f>LOWER(VLOOKUP(A67,Xtal_Templ!A:B,2,FALSE))</f>
        <v>drd3_human</v>
      </c>
      <c r="C67" s="3">
        <f>VLOOKUP($A67,'SegEnds_NonXtal_BW#'!$A:$Z,3,FALSE)+D67-50</f>
        <v>48</v>
      </c>
      <c r="D67" s="3">
        <v>69</v>
      </c>
      <c r="E67" s="3">
        <f>IF(ISERROR(VLOOKUP($A67,'SegEnds_NonXtal_BW#'!$A:$Z,4,FALSE)+VLOOKUP($A67,A:AL,4,FALSE)-50),"-",(VLOOKUP($A67,'SegEnds_NonXtal_BW#'!$A:$Z,4,FALSE)+VLOOKUP($A67,A:AL,4,FALSE)-50))</f>
        <v>79</v>
      </c>
      <c r="F67" s="3">
        <f t="shared" si="29"/>
        <v>80</v>
      </c>
      <c r="G67" s="3">
        <v>82</v>
      </c>
      <c r="H67" s="3">
        <f t="shared" si="35"/>
        <v>83</v>
      </c>
      <c r="I67" s="3">
        <f t="shared" si="35"/>
        <v>84</v>
      </c>
      <c r="J67" s="3">
        <v>97</v>
      </c>
      <c r="K67" s="3">
        <f>VLOOKUP($A67,'SegEnds_NonXtal_BW#'!$A:$Z,8,FALSE)+VLOOKUP($A67,A:AL,10,FALSE)-50</f>
        <v>114</v>
      </c>
      <c r="L67" s="3">
        <f t="shared" si="37"/>
        <v>116</v>
      </c>
      <c r="M67" s="3">
        <v>117</v>
      </c>
      <c r="N67" s="3">
        <f t="shared" si="38"/>
        <v>119</v>
      </c>
      <c r="O67" s="3">
        <f t="shared" si="39"/>
        <v>120</v>
      </c>
      <c r="P67" s="3">
        <v>149</v>
      </c>
      <c r="Q67" s="3">
        <f>VLOOKUP($A67,'SegEnds_NonXtal_BW#'!$A:$Z,12,FALSE)+VLOOKUP($A67,A:AL,16,FALSE)-50</f>
        <v>155</v>
      </c>
      <c r="R67" s="3">
        <f>IF(ISERROR(VLOOKUP($A67,'SegEnds_NonXtal_BW#'!$A:$Z,13,FALSE)+VLOOKUP($A67,A:AL,19,FALSE)-50),"-",VLOOKUP($A67,'SegEnds_NonXtal_BW#'!$A:$Z,13,FALSE)+VLOOKUP($A67,A:AL,19,FALSE)-50)</f>
        <v>156</v>
      </c>
      <c r="S67" s="3">
        <v>156</v>
      </c>
      <c r="T67" s="103">
        <f>IF(ISERROR(VLOOKUP($A67,'SegEnds_NonXtal_BW#'!$A:$Z,14,FALSE)+VLOOKUP($A67,A:AL,19,FALSE)-50),"-",(VLOOKUP($A67,'SegEnds_NonXtal_BW#'!$A:$Z,14,FALSE)+VLOOKUP($A67,A:AL,19,FALSE)-50))</f>
        <v>163</v>
      </c>
      <c r="U67" s="9">
        <f>IF(ISERROR(VLOOKUP($A67,'SegEnds_NonXtal_BW#'!$A:$Z,15,FALSE)+VLOOKUP($A67,A:AL,22,FALSE)-50),"-",VLOOKUP($A67,'SegEnds_NonXtal_BW#'!$A:$Z,15,FALSE)+VLOOKUP($A67,A:AL,22,FALSE)-50)</f>
        <v>164</v>
      </c>
      <c r="V67" s="3">
        <v>176</v>
      </c>
      <c r="W67" s="3">
        <f>IF(ISERROR(VLOOKUP($A67,'SegEnds_NonXtal_BW#'!$A:$Z,16,FALSE)+VLOOKUP($A67,A:AL,22,FALSE)-50),"-",(VLOOKUP($A67,'SegEnds_NonXtal_BW#'!$A:$Z,16,FALSE)+VLOOKUP($A67,A:AL,22,FALSE)-50))</f>
        <v>189</v>
      </c>
      <c r="X67" s="3">
        <f>IF(ISERROR(VLOOKUP($A67,'SegEnds_NonXtal_BW#'!$A:$Z,17,FALSE)+VLOOKUP($A67,A:AL,25,FALSE)-50),"-",(VLOOKUP($A67,'SegEnds_NonXtal_BW#'!$A:$Z,17,FALSE)+VLOOKUP($A67,A:AL,25,FALSE)-50))</f>
        <v>202</v>
      </c>
      <c r="Y67" s="3">
        <v>202</v>
      </c>
      <c r="Z67" s="3">
        <f t="shared" si="40"/>
        <v>204</v>
      </c>
      <c r="AA67" s="3">
        <f>IF(ISERROR(VLOOKUP($A67,'SegEnds_NonXtal_BW#'!$A:$Z,19,FALSE)+VLOOKUP($A67,A:AL,28,FALSE)-50),"-",(VLOOKUP($A67,'SegEnds_NonXtal_BW#'!$A:$Z,19,FALSE)+VLOOKUP($A67,A:AL,28,FALSE)-50))</f>
        <v>207</v>
      </c>
      <c r="AB67" s="3">
        <v>222</v>
      </c>
      <c r="AC67" s="3">
        <f>IF(ISERROR((VLOOKUP($A67,'SegEnds_NonXtal_BW#'!$A:$Z,20,FALSE)+VLOOKUP($A67,A:AL,28,FALSE)-50)),"-",(VLOOKUP($A67,'SegEnds_NonXtal_BW#'!$A:$Z,20,FALSE)+VLOOKUP($A67,A:AL,28,FALSE)-50))</f>
        <v>247</v>
      </c>
      <c r="AD67" s="3">
        <f>IF(ISERROR(VLOOKUP($A67,'SegEnds_NonXtal_BW#'!$A:$Z,21,FALSE)+VLOOKUP($A67,A:AL,31,FALSE)-50),"-",(VLOOKUP($A67,'SegEnds_NonXtal_BW#'!$A:$Z,21,FALSE)+VLOOKUP($A67,A:AL,31,FALSE)-50))</f>
        <v>371</v>
      </c>
      <c r="AE67" s="3">
        <v>397</v>
      </c>
      <c r="AF67" s="3">
        <f>IF(ISERROR((VLOOKUP($A67,'SegEnds_NonXtal_BW#'!$A:$Z,22,FALSE)+VLOOKUP($A67,A:AL,31,FALSE)-50)),"-",(VLOOKUP($A67,'SegEnds_NonXtal_BW#'!$A:$Z,22,FALSE)+VLOOKUP($A67,A:AL,31,FALSE)-50))</f>
        <v>408</v>
      </c>
      <c r="AG67" s="3">
        <f>IF(ISERROR(VLOOKUP($A67,'SegEnds_NonXtal_BW#'!$A:$Z,23,FALSE)+VLOOKUP($A67,A:AL,34,FALSE)-50),"-",(VLOOKUP($A67,'SegEnds_NonXtal_BW#'!$A:$Z,23,FALSE)+VLOOKUP($A67,A:AL,34,FALSE)-50))</f>
        <v>415</v>
      </c>
      <c r="AH67" s="3">
        <v>434</v>
      </c>
      <c r="AI67" s="3">
        <f>IF(ISERROR((VLOOKUP($A67,'SegEnds_NonXtal_BW#'!$A:$Z,24,FALSE)+VLOOKUP($A67,A:AL,34,FALSE)-50)),"-",(VLOOKUP($A67,'SegEnds_NonXtal_BW#'!$A:$Z,24,FALSE)+VLOOKUP($A67,A:AL,34,FALSE)-50))</f>
        <v>440</v>
      </c>
      <c r="AJ67" s="3">
        <f>IF(ISERROR(VLOOKUP($A67,'SegEnds_NonXtal_BW#'!$A:$Z,25,FALSE)+VLOOKUP($A67,A:AL,37,FALSE)-50),"-",(VLOOKUP($A67,'SegEnds_NonXtal_BW#'!$A:$Z,25,FALSE)+VLOOKUP($A67,A:AL,37,FALSE)-50))</f>
        <v>441</v>
      </c>
      <c r="AK67" s="3">
        <v>444</v>
      </c>
      <c r="AL67" s="3">
        <f>IF(ISERROR((VLOOKUP($A67,'SegEnds_NonXtal_BW#'!$A:$Z,26,FALSE)+VLOOKUP($A67,A:AL,37,FALSE)-50)),"-",(VLOOKUP($A67,'SegEnds_NonXtal_BW#'!$A:$Z,26,FALSE)+VLOOKUP($A67,A:AL,37,FALSE)-50))</f>
        <v>453</v>
      </c>
      <c r="AM67" s="28" t="str">
        <f>VLOOKUP(A67,Classification!A:B,2,FALSE)</f>
        <v>A</v>
      </c>
      <c r="AN67" s="28" t="b">
        <f t="shared" si="34"/>
        <v>1</v>
      </c>
      <c r="AO67" s="3" t="str">
        <f>IF(ISERROR(MATCH(A67,'SegEnds_Xtal_Prot#'!B:B, 0)), "NoXtal", "Xtal")</f>
        <v>NoXtal</v>
      </c>
      <c r="AP67" s="3">
        <f t="shared" si="41"/>
        <v>1</v>
      </c>
      <c r="AQ67" s="3">
        <f t="shared" si="42"/>
        <v>1</v>
      </c>
      <c r="AR67" s="3">
        <f t="shared" si="43"/>
        <v>2</v>
      </c>
      <c r="AS67" s="3">
        <f t="shared" si="44"/>
        <v>1</v>
      </c>
      <c r="AT67" s="3">
        <f t="shared" si="45"/>
        <v>1</v>
      </c>
      <c r="AU67" s="3">
        <f t="shared" si="46"/>
        <v>1</v>
      </c>
      <c r="AV67" s="3">
        <f t="shared" si="47"/>
        <v>13</v>
      </c>
      <c r="AW67" s="3">
        <f t="shared" si="48"/>
        <v>3</v>
      </c>
      <c r="AX67" s="3">
        <f t="shared" si="49"/>
        <v>124</v>
      </c>
      <c r="AY67" s="3">
        <f t="shared" si="50"/>
        <v>7</v>
      </c>
      <c r="AZ67" s="3">
        <f t="shared" si="51"/>
        <v>1</v>
      </c>
      <c r="BA67" s="3">
        <f>IF(ISERROR(LEN(VLOOKUP(A67,Seqs!A:E,2,FALSE))-AL67),"-",LEN(VLOOKUP(A67,Seqs!A:E,2,FALSE))-AL67)</f>
        <v>9</v>
      </c>
      <c r="BB67" s="16">
        <f t="shared" si="52"/>
        <v>28</v>
      </c>
      <c r="BC67" s="9">
        <f t="shared" si="53"/>
        <v>20</v>
      </c>
      <c r="BD67" s="3">
        <f t="shared" si="54"/>
        <v>28</v>
      </c>
      <c r="BE67" s="3">
        <f t="shared" si="55"/>
        <v>175</v>
      </c>
      <c r="BF67" s="3">
        <f>AH67-AE67</f>
        <v>37</v>
      </c>
    </row>
    <row r="68" spans="1:58" s="3" customFormat="1" x14ac:dyDescent="0.2">
      <c r="A68" s="3" t="s">
        <v>125</v>
      </c>
      <c r="B68" s="3" t="str">
        <f>LOWER(VLOOKUP(A68,Xtal_Templ!A:B,2,FALSE))</f>
        <v>adrb2_human</v>
      </c>
      <c r="C68" s="3">
        <f>VLOOKUP($A68,'SegEnds_NonXtal_BW#'!$A:$Z,3,FALSE)+D68-50</f>
        <v>51</v>
      </c>
      <c r="D68" s="3">
        <v>76</v>
      </c>
      <c r="E68" s="3">
        <f>IF(ISERROR(VLOOKUP($A68,'SegEnds_NonXtal_BW#'!$A:$Z,4,FALSE)+VLOOKUP($A68,A:AL,4,FALSE)-50),"-",(VLOOKUP($A68,'SegEnds_NonXtal_BW#'!$A:$Z,4,FALSE)+VLOOKUP($A68,A:AL,4,FALSE)-50))</f>
        <v>86</v>
      </c>
      <c r="F68" s="3">
        <f t="shared" si="29"/>
        <v>87</v>
      </c>
      <c r="G68" s="3">
        <v>89</v>
      </c>
      <c r="H68" s="3">
        <f t="shared" si="35"/>
        <v>90</v>
      </c>
      <c r="I68" s="3">
        <f t="shared" si="35"/>
        <v>91</v>
      </c>
      <c r="J68" s="3">
        <v>104</v>
      </c>
      <c r="K68" s="3">
        <f>VLOOKUP($A68,'SegEnds_NonXtal_BW#'!$A:$Z,8,FALSE)+VLOOKUP($A68,A:AL,10,FALSE)-50</f>
        <v>121</v>
      </c>
      <c r="L68" s="3">
        <f t="shared" si="37"/>
        <v>123</v>
      </c>
      <c r="M68" s="3">
        <v>124</v>
      </c>
      <c r="N68" s="3">
        <f t="shared" si="38"/>
        <v>126</v>
      </c>
      <c r="O68" s="3">
        <f t="shared" si="39"/>
        <v>127</v>
      </c>
      <c r="P68" s="3">
        <v>156</v>
      </c>
      <c r="Q68" s="3">
        <f>VLOOKUP($A68,'SegEnds_NonXtal_BW#'!$A:$Z,12,FALSE)+VLOOKUP($A68,A:AL,16,FALSE)-50</f>
        <v>162</v>
      </c>
      <c r="R68" s="3">
        <f>IF(ISERROR(VLOOKUP($A68,'SegEnds_NonXtal_BW#'!$A:$Z,13,FALSE)+VLOOKUP($A68,A:AL,19,FALSE)-50),"-",VLOOKUP($A68,'SegEnds_NonXtal_BW#'!$A:$Z,13,FALSE)+VLOOKUP($A68,A:AL,19,FALSE)-50)</f>
        <v>163</v>
      </c>
      <c r="S68" s="3">
        <v>163</v>
      </c>
      <c r="T68" s="103">
        <f>IF(ISERROR(VLOOKUP($A68,'SegEnds_NonXtal_BW#'!$A:$Z,14,FALSE)+VLOOKUP($A68,A:AL,19,FALSE)-50),"-",(VLOOKUP($A68,'SegEnds_NonXtal_BW#'!$A:$Z,14,FALSE)+VLOOKUP($A68,A:AL,19,FALSE)-50))</f>
        <v>170</v>
      </c>
      <c r="U68" s="9">
        <f>IF(ISERROR(VLOOKUP($A68,'SegEnds_NonXtal_BW#'!$A:$Z,15,FALSE)+VLOOKUP($A68,A:AL,22,FALSE)-50),"-",VLOOKUP($A68,'SegEnds_NonXtal_BW#'!$A:$Z,15,FALSE)+VLOOKUP($A68,A:AL,22,FALSE)-50)</f>
        <v>171</v>
      </c>
      <c r="V68" s="3">
        <v>183</v>
      </c>
      <c r="W68" s="3">
        <f>IF(ISERROR(VLOOKUP($A68,'SegEnds_NonXtal_BW#'!$A:$Z,16,FALSE)+VLOOKUP($A68,A:AL,22,FALSE)-50),"-",(VLOOKUP($A68,'SegEnds_NonXtal_BW#'!$A:$Z,16,FALSE)+VLOOKUP($A68,A:AL,22,FALSE)-50))</f>
        <v>197</v>
      </c>
      <c r="X68" s="3">
        <f>IF(ISERROR(VLOOKUP($A68,'SegEnds_NonXtal_BW#'!$A:$Z,17,FALSE)+VLOOKUP($A68,A:AL,25,FALSE)-50),"-",(VLOOKUP($A68,'SegEnds_NonXtal_BW#'!$A:$Z,17,FALSE)+VLOOKUP($A68,A:AL,25,FALSE)-50))</f>
        <v>216</v>
      </c>
      <c r="Y68" s="3">
        <v>216</v>
      </c>
      <c r="Z68" s="3">
        <f t="shared" si="40"/>
        <v>218</v>
      </c>
      <c r="AA68" s="3">
        <f>IF(ISERROR(VLOOKUP($A68,'SegEnds_NonXtal_BW#'!$A:$Z,19,FALSE)+VLOOKUP($A68,A:AL,28,FALSE)-50),"-",(VLOOKUP($A68,'SegEnds_NonXtal_BW#'!$A:$Z,19,FALSE)+VLOOKUP($A68,A:AL,28,FALSE)-50))</f>
        <v>221</v>
      </c>
      <c r="AB68" s="3">
        <v>236</v>
      </c>
      <c r="AC68" s="3">
        <f>IF(ISERROR((VLOOKUP($A68,'SegEnds_NonXtal_BW#'!$A:$Z,20,FALSE)+VLOOKUP($A68,A:AL,28,FALSE)-50)),"-",(VLOOKUP($A68,'SegEnds_NonXtal_BW#'!$A:$Z,20,FALSE)+VLOOKUP($A68,A:AL,28,FALSE)-50))</f>
        <v>260</v>
      </c>
      <c r="AD68" s="3">
        <f>IF(ISERROR(VLOOKUP($A68,'SegEnds_NonXtal_BW#'!$A:$Z,21,FALSE)+VLOOKUP($A68,A:AL,31,FALSE)-50),"-",(VLOOKUP($A68,'SegEnds_NonXtal_BW#'!$A:$Z,21,FALSE)+VLOOKUP($A68,A:AL,31,FALSE)-50))</f>
        <v>313</v>
      </c>
      <c r="AE68" s="3">
        <v>339</v>
      </c>
      <c r="AF68" s="3">
        <f>IF(ISERROR((VLOOKUP($A68,'SegEnds_NonXtal_BW#'!$A:$Z,22,FALSE)+VLOOKUP($A68,A:AL,31,FALSE)-50)),"-",(VLOOKUP($A68,'SegEnds_NonXtal_BW#'!$A:$Z,22,FALSE)+VLOOKUP($A68,A:AL,31,FALSE)-50))</f>
        <v>350</v>
      </c>
      <c r="AG68" s="3">
        <f>IF(ISERROR(VLOOKUP($A68,'SegEnds_NonXtal_BW#'!$A:$Z,23,FALSE)+VLOOKUP($A68,A:AL,34,FALSE)-50),"-",(VLOOKUP($A68,'SegEnds_NonXtal_BW#'!$A:$Z,23,FALSE)+VLOOKUP($A68,A:AL,34,FALSE)-50))</f>
        <v>355</v>
      </c>
      <c r="AH68" s="3">
        <v>374</v>
      </c>
      <c r="AI68" s="3">
        <v>379</v>
      </c>
      <c r="AJ68" s="3">
        <f>IF(ISERROR(VLOOKUP($A68,'SegEnds_NonXtal_BW#'!$A:$Z,25,FALSE)+VLOOKUP($A68,A:AL,37,FALSE)-50),"-",(VLOOKUP($A68,'SegEnds_NonXtal_BW#'!$A:$Z,25,FALSE)+VLOOKUP($A68,A:AL,37,FALSE)-50))</f>
        <v>380</v>
      </c>
      <c r="AK68" s="3">
        <v>383</v>
      </c>
      <c r="AL68" s="3">
        <f>IF(ISERROR((VLOOKUP($A68,'SegEnds_NonXtal_BW#'!$A:$Z,26,FALSE)+VLOOKUP($A68,A:AL,37,FALSE)-50)),"-",(VLOOKUP($A68,'SegEnds_NonXtal_BW#'!$A:$Z,26,FALSE)+VLOOKUP($A68,A:AL,37,FALSE)-50))</f>
        <v>392</v>
      </c>
      <c r="AM68" s="28" t="str">
        <f>VLOOKUP(A68,Classification!A:B,2,FALSE)</f>
        <v>A</v>
      </c>
      <c r="AN68" s="28" t="b">
        <f t="shared" si="34"/>
        <v>1</v>
      </c>
      <c r="AO68" s="3" t="str">
        <f>IF(ISERROR(MATCH(A68,'SegEnds_Xtal_Prot#'!B:B, 0)), "NoXtal", "Xtal")</f>
        <v>NoXtal</v>
      </c>
      <c r="AP68" s="3">
        <f t="shared" si="41"/>
        <v>1</v>
      </c>
      <c r="AQ68" s="3">
        <f t="shared" si="42"/>
        <v>1</v>
      </c>
      <c r="AR68" s="3">
        <f t="shared" si="43"/>
        <v>2</v>
      </c>
      <c r="AS68" s="3">
        <f t="shared" si="44"/>
        <v>1</v>
      </c>
      <c r="AT68" s="3">
        <f t="shared" si="45"/>
        <v>1</v>
      </c>
      <c r="AU68" s="3">
        <f t="shared" si="46"/>
        <v>1</v>
      </c>
      <c r="AV68" s="3">
        <f t="shared" si="47"/>
        <v>19</v>
      </c>
      <c r="AW68" s="3">
        <f t="shared" si="48"/>
        <v>3</v>
      </c>
      <c r="AX68" s="3">
        <f t="shared" si="49"/>
        <v>53</v>
      </c>
      <c r="AY68" s="3">
        <f t="shared" si="50"/>
        <v>5</v>
      </c>
      <c r="AZ68" s="3">
        <f t="shared" si="51"/>
        <v>1</v>
      </c>
      <c r="BA68" s="3">
        <f>IF(ISERROR(LEN(VLOOKUP(A68,Seqs!A:E,2,FALSE))-AL68),"-",LEN(VLOOKUP(A68,Seqs!A:E,2,FALSE))-AL68)</f>
        <v>85</v>
      </c>
      <c r="BB68" s="16">
        <f t="shared" si="52"/>
        <v>28</v>
      </c>
      <c r="BC68" s="9">
        <f t="shared" si="53"/>
        <v>20</v>
      </c>
      <c r="BD68" s="3">
        <f t="shared" si="54"/>
        <v>28</v>
      </c>
      <c r="BE68" s="3">
        <f t="shared" si="55"/>
        <v>103</v>
      </c>
    </row>
    <row r="69" spans="1:58" s="3" customFormat="1" x14ac:dyDescent="0.2">
      <c r="A69" s="3" t="s">
        <v>912</v>
      </c>
      <c r="B69" s="3" t="str">
        <f>LOWER(VLOOKUP(A69,Xtal_Templ!A:B,2,FALSE))</f>
        <v>adrb1_melga</v>
      </c>
      <c r="C69" s="3">
        <f>VLOOKUP($A69,'SegEnds_NonXtal_BW#'!$A:$Z,3,FALSE)+D69-50</f>
        <v>33</v>
      </c>
      <c r="D69" s="3">
        <v>59</v>
      </c>
      <c r="E69" s="3">
        <f>IF(ISERROR(VLOOKUP($A69,'SegEnds_NonXtal_BW#'!$A:$Z,4,FALSE)+VLOOKUP($A69,A:AL,4,FALSE)-50),"-",(VLOOKUP($A69,'SegEnds_NonXtal_BW#'!$A:$Z,4,FALSE)+VLOOKUP($A69,A:AL,4,FALSE)-50))</f>
        <v>69</v>
      </c>
      <c r="F69" s="3">
        <f t="shared" si="29"/>
        <v>70</v>
      </c>
      <c r="G69" s="3">
        <v>72</v>
      </c>
      <c r="H69" s="3">
        <f t="shared" si="35"/>
        <v>73</v>
      </c>
      <c r="I69" s="3">
        <f t="shared" si="35"/>
        <v>74</v>
      </c>
      <c r="J69" s="3">
        <v>87</v>
      </c>
      <c r="K69" s="3">
        <f>VLOOKUP($A69,'SegEnds_NonXtal_BW#'!$A:$Z,8,FALSE)+VLOOKUP($A69,A:AL,10,FALSE)-50</f>
        <v>104</v>
      </c>
      <c r="L69" s="3">
        <f>IF(ISERROR(VLOOKUP($A69,'SegEnds_NonXtal_BW#'!$A:$Z,9,FALSE)+VLOOKUP($A69,A:AL,13,FALSE)-50),"-",(VLOOKUP($A69,'SegEnds_NonXtal_BW#'!$A:$Z,9,FALSE)+VLOOKUP($A69,A:AL,13,FALSE)-50))</f>
        <v>106</v>
      </c>
      <c r="M69" s="3">
        <v>107</v>
      </c>
      <c r="N69" s="3">
        <f>IF(ISERROR(VLOOKUP($A69,'SegEnds_NonXtal_BW#'!$A:$Z,10,FALSE)+VLOOKUP($A69,A:AL,13,FALSE)-50),"-",(VLOOKUP($A69,'SegEnds_NonXtal_BW#'!$A:$Z,10,FALSE)+VLOOKUP($A69,A:AL,13,FALSE)-50))</f>
        <v>109</v>
      </c>
      <c r="O69" s="3">
        <f t="shared" si="39"/>
        <v>110</v>
      </c>
      <c r="P69" s="3">
        <v>139</v>
      </c>
      <c r="Q69" s="3">
        <f>VLOOKUP($A69,'SegEnds_NonXtal_BW#'!$A:$Z,12,FALSE)+VLOOKUP($A69,A:AL,16,FALSE)-50</f>
        <v>145</v>
      </c>
      <c r="R69" s="3">
        <f>IF(ISERROR(VLOOKUP($A69,'SegEnds_NonXtal_BW#'!$A:$Z,13,FALSE)+VLOOKUP($A69,A:AL,19,FALSE)-50),"-",VLOOKUP($A69,'SegEnds_NonXtal_BW#'!$A:$Z,13,FALSE)+VLOOKUP($A69,A:AL,19,FALSE)-50)</f>
        <v>146</v>
      </c>
      <c r="S69" s="3">
        <v>146</v>
      </c>
      <c r="T69" s="103">
        <f>IF(ISERROR(VLOOKUP($A69,'SegEnds_NonXtal_BW#'!$A:$Z,14,FALSE)+VLOOKUP($A69,A:AL,19,FALSE)-50),"-",(VLOOKUP($A69,'SegEnds_NonXtal_BW#'!$A:$Z,14,FALSE)+VLOOKUP($A69,A:AL,19,FALSE)-50))</f>
        <v>153</v>
      </c>
      <c r="U69" s="9">
        <f>IF(ISERROR(VLOOKUP($A69,'SegEnds_NonXtal_BW#'!$A:$Z,15,FALSE)+VLOOKUP($A69,A:AL,22,FALSE)-50),"-",VLOOKUP($A69,'SegEnds_NonXtal_BW#'!$A:$Z,15,FALSE)+VLOOKUP($A69,A:AL,22,FALSE)-50)</f>
        <v>154</v>
      </c>
      <c r="V69" s="3">
        <v>166</v>
      </c>
      <c r="W69" s="3">
        <f>IF(ISERROR(VLOOKUP($A69,'SegEnds_NonXtal_BW#'!$A:$Z,16,FALSE)+VLOOKUP($A69,A:AL,22,FALSE)-50),"-",(VLOOKUP($A69,'SegEnds_NonXtal_BW#'!$A:$Z,16,FALSE)+VLOOKUP($A69,A:AL,22,FALSE)-50))</f>
        <v>180</v>
      </c>
      <c r="X69" s="3">
        <f>IF(ISERROR(VLOOKUP($A69,'SegEnds_NonXtal_BW#'!$A:$Z,17,FALSE)+VLOOKUP($A69,A:AL,25,FALSE)-50),"-",(VLOOKUP($A69,'SegEnds_NonXtal_BW#'!$A:$Z,17,FALSE)+VLOOKUP($A69,A:AL,25,FALSE)-50))</f>
        <v>199</v>
      </c>
      <c r="Y69" s="3">
        <v>199</v>
      </c>
      <c r="Z69" s="3">
        <f t="shared" si="40"/>
        <v>201</v>
      </c>
      <c r="AA69" s="3">
        <f>IF(ISERROR(VLOOKUP($A69,'SegEnds_NonXtal_BW#'!$A:$Z,19,FALSE)+VLOOKUP($A69,A:AL,28,FALSE)-50),"-",(VLOOKUP($A69,'SegEnds_NonXtal_BW#'!$A:$Z,19,FALSE)+VLOOKUP($A69,A:AL,28,FALSE)-50))</f>
        <v>204</v>
      </c>
      <c r="AB69" s="3">
        <v>219</v>
      </c>
      <c r="AC69" s="3">
        <f>IF(ISERROR((VLOOKUP($A69,'SegEnds_NonXtal_BW#'!$A:$Z,20,FALSE)+VLOOKUP($A69,A:AL,28,FALSE)-50)),"-",(VLOOKUP($A69,'SegEnds_NonXtal_BW#'!$A:$Z,20,FALSE)+VLOOKUP($A69,A:AL,28,FALSE)-50))</f>
        <v>245</v>
      </c>
      <c r="AD69" s="3">
        <f>IF(ISERROR(VLOOKUP($A69,'SegEnds_NonXtal_BW#'!$A:$Z,21,FALSE)+VLOOKUP($A69,A:AL,31,FALSE)-50),"-",(VLOOKUP($A69,'SegEnds_NonXtal_BW#'!$A:$Z,21,FALSE)+VLOOKUP($A69,A:AL,31,FALSE)-50))</f>
        <v>275</v>
      </c>
      <c r="AE69" s="3">
        <v>305</v>
      </c>
      <c r="AF69" s="3">
        <f>IF(ISERROR((VLOOKUP($A69,'SegEnds_NonXtal_BW#'!$A:$Z,22,FALSE)+VLOOKUP($A69,A:AL,31,FALSE)-50)),"-",(VLOOKUP($A69,'SegEnds_NonXtal_BW#'!$A:$Z,22,FALSE)+VLOOKUP($A69,A:AL,31,FALSE)-50))</f>
        <v>316</v>
      </c>
      <c r="AG69" s="3">
        <f>IF(ISERROR(VLOOKUP($A69,'SegEnds_NonXtal_BW#'!$A:$Z,23,FALSE)+VLOOKUP($A69,A:AL,34,FALSE)-50),"-",(VLOOKUP($A69,'SegEnds_NonXtal_BW#'!$A:$Z,23,FALSE)+VLOOKUP($A69,A:AL,34,FALSE)-50))</f>
        <v>321</v>
      </c>
      <c r="AH69" s="3">
        <v>340</v>
      </c>
      <c r="AI69" s="3">
        <f>IF(ISERROR((VLOOKUP($A69,'SegEnds_NonXtal_BW#'!$A:$Z,24,FALSE)+VLOOKUP($A69,A:AL,34,FALSE)-50)),"-",(VLOOKUP($A69,'SegEnds_NonXtal_BW#'!$A:$Z,24,FALSE)+VLOOKUP($A69,A:AL,34,FALSE)-50))</f>
        <v>345</v>
      </c>
      <c r="AJ69" s="3">
        <f>IF(ISERROR(VLOOKUP($A69,'SegEnds_NonXtal_BW#'!$A:$Z,25,FALSE)+VLOOKUP($A69,A:AL,37,FALSE)-50),"-",(VLOOKUP($A69,'SegEnds_NonXtal_BW#'!$A:$Z,25,FALSE)+VLOOKUP($A69,A:AL,37,FALSE)-50))</f>
        <v>346</v>
      </c>
      <c r="AK69" s="3">
        <v>349</v>
      </c>
      <c r="AL69" s="3">
        <f>IF(ISERROR((VLOOKUP($A69,'SegEnds_NonXtal_BW#'!$A:$Z,26,FALSE)+VLOOKUP($A69,A:AL,37,FALSE)-50)),"-",(VLOOKUP($A69,'SegEnds_NonXtal_BW#'!$A:$Z,26,FALSE)+VLOOKUP($A69,A:AL,37,FALSE)-50))</f>
        <v>358</v>
      </c>
      <c r="AM69" s="28" t="str">
        <f>VLOOKUP(A69,Classification!A:B,2,FALSE)</f>
        <v>A</v>
      </c>
      <c r="AN69" s="28" t="b">
        <f t="shared" si="34"/>
        <v>1</v>
      </c>
      <c r="AO69" s="3" t="str">
        <f>IF(ISERROR(MATCH(A69,'SegEnds_Xtal_Prot#'!B:B, 0)), "NoXtal", "Xtal")</f>
        <v>Xtal</v>
      </c>
      <c r="AP69" s="3">
        <f t="shared" si="41"/>
        <v>1</v>
      </c>
      <c r="AQ69" s="3">
        <f t="shared" si="42"/>
        <v>1</v>
      </c>
      <c r="AR69" s="3">
        <f t="shared" si="43"/>
        <v>2</v>
      </c>
      <c r="AS69" s="3">
        <f t="shared" si="44"/>
        <v>1</v>
      </c>
      <c r="AT69" s="3">
        <f t="shared" si="45"/>
        <v>1</v>
      </c>
      <c r="AU69" s="3">
        <f t="shared" si="46"/>
        <v>1</v>
      </c>
      <c r="AV69" s="3">
        <f t="shared" si="47"/>
        <v>19</v>
      </c>
      <c r="AW69" s="3">
        <f t="shared" si="48"/>
        <v>3</v>
      </c>
      <c r="AX69" s="3">
        <f t="shared" si="49"/>
        <v>30</v>
      </c>
      <c r="AY69" s="3">
        <f t="shared" si="50"/>
        <v>5</v>
      </c>
      <c r="AZ69" s="3">
        <f t="shared" si="51"/>
        <v>1</v>
      </c>
      <c r="BA69" s="3">
        <f>IF(ISERROR(LEN(VLOOKUP(A69,Seqs!A:E,2,FALSE))-AL69),"-",LEN(VLOOKUP(A69,Seqs!A:E,2,FALSE))-AL69)</f>
        <v>125</v>
      </c>
      <c r="BB69" s="16">
        <f t="shared" si="52"/>
        <v>28</v>
      </c>
      <c r="BC69" s="9">
        <f t="shared" si="53"/>
        <v>20</v>
      </c>
      <c r="BD69" s="3">
        <f t="shared" si="54"/>
        <v>28</v>
      </c>
      <c r="BE69" s="3">
        <f t="shared" si="55"/>
        <v>86</v>
      </c>
    </row>
    <row r="70" spans="1:58" s="3" customFormat="1" x14ac:dyDescent="0.2">
      <c r="A70" s="3" t="s">
        <v>126</v>
      </c>
      <c r="B70" s="3" t="str">
        <f>LOWER(VLOOKUP(A70,Xtal_Templ!A:B,2,FALSE))</f>
        <v>adrb2_human</v>
      </c>
      <c r="C70" s="3">
        <f>VLOOKUP($A70,'SegEnds_NonXtal_BW#'!$A:$Z,3,FALSE)+D70-50</f>
        <v>26</v>
      </c>
      <c r="D70" s="3">
        <v>51</v>
      </c>
      <c r="E70" s="3">
        <f>IF(ISERROR(VLOOKUP($A70,'SegEnds_NonXtal_BW#'!$A:$Z,4,FALSE)+VLOOKUP($A70,A:AL,4,FALSE)-50),"-",(VLOOKUP($A70,'SegEnds_NonXtal_BW#'!$A:$Z,4,FALSE)+VLOOKUP($A70,A:AL,4,FALSE)-50))</f>
        <v>61</v>
      </c>
      <c r="F70" s="3">
        <f t="shared" si="29"/>
        <v>62</v>
      </c>
      <c r="G70" s="3">
        <v>64</v>
      </c>
      <c r="H70" s="3">
        <f t="shared" si="35"/>
        <v>65</v>
      </c>
      <c r="I70" s="3">
        <f t="shared" si="35"/>
        <v>66</v>
      </c>
      <c r="J70" s="3">
        <v>79</v>
      </c>
      <c r="K70" s="3">
        <f>VLOOKUP($A70,'SegEnds_NonXtal_BW#'!$A:$Z,8,FALSE)+VLOOKUP($A70,A:AL,10,FALSE)-50</f>
        <v>96</v>
      </c>
      <c r="L70" s="3">
        <f t="shared" ref="L70:L89" si="56">M70-1</f>
        <v>98</v>
      </c>
      <c r="M70" s="3">
        <v>99</v>
      </c>
      <c r="N70" s="3">
        <f t="shared" ref="N70:N89" si="57">M70+2</f>
        <v>101</v>
      </c>
      <c r="O70" s="3">
        <f t="shared" si="39"/>
        <v>102</v>
      </c>
      <c r="P70" s="3">
        <v>131</v>
      </c>
      <c r="Q70" s="3">
        <f>VLOOKUP($A70,'SegEnds_NonXtal_BW#'!$A:$Z,12,FALSE)+VLOOKUP($A70,A:AL,16,FALSE)-50</f>
        <v>137</v>
      </c>
      <c r="R70" s="3">
        <f>IF(ISERROR(VLOOKUP($A70,'SegEnds_NonXtal_BW#'!$A:$Z,13,FALSE)+VLOOKUP($A70,A:AL,19,FALSE)-50),"-",VLOOKUP($A70,'SegEnds_NonXtal_BW#'!$A:$Z,13,FALSE)+VLOOKUP($A70,A:AL,19,FALSE)-50)</f>
        <v>138</v>
      </c>
      <c r="S70" s="3">
        <v>138</v>
      </c>
      <c r="T70" s="103">
        <f>IF(ISERROR(VLOOKUP($A70,'SegEnds_NonXtal_BW#'!$A:$Z,14,FALSE)+VLOOKUP($A70,A:AL,19,FALSE)-50),"-",(VLOOKUP($A70,'SegEnds_NonXtal_BW#'!$A:$Z,14,FALSE)+VLOOKUP($A70,A:AL,19,FALSE)-50))</f>
        <v>145</v>
      </c>
      <c r="U70" s="9">
        <f>IF(ISERROR(VLOOKUP($A70,'SegEnds_NonXtal_BW#'!$A:$Z,15,FALSE)+VLOOKUP($A70,A:AL,22,FALSE)-50),"-",VLOOKUP($A70,'SegEnds_NonXtal_BW#'!$A:$Z,15,FALSE)+VLOOKUP($A70,A:AL,22,FALSE)-50)</f>
        <v>146</v>
      </c>
      <c r="V70" s="3">
        <v>158</v>
      </c>
      <c r="W70" s="3">
        <f>IF(ISERROR(VLOOKUP($A70,'SegEnds_NonXtal_BW#'!$A:$Z,16,FALSE)+VLOOKUP($A70,A:AL,22,FALSE)-50),"-",(VLOOKUP($A70,'SegEnds_NonXtal_BW#'!$A:$Z,16,FALSE)+VLOOKUP($A70,A:AL,22,FALSE)-50))</f>
        <v>172</v>
      </c>
      <c r="X70" s="3">
        <f>IF(ISERROR(VLOOKUP($A70,'SegEnds_NonXtal_BW#'!$A:$Z,17,FALSE)+VLOOKUP($A70,A:AL,25,FALSE)-50),"-",(VLOOKUP($A70,'SegEnds_NonXtal_BW#'!$A:$Z,17,FALSE)+VLOOKUP($A70,A:AL,25,FALSE)-50))</f>
        <v>191</v>
      </c>
      <c r="Y70" s="3">
        <v>191</v>
      </c>
      <c r="Z70" s="3">
        <f t="shared" si="40"/>
        <v>193</v>
      </c>
      <c r="AA70" s="3">
        <f>IF(ISERROR(VLOOKUP($A70,'SegEnds_NonXtal_BW#'!$A:$Z,19,FALSE)+VLOOKUP($A70,A:AL,28,FALSE)-50),"-",(VLOOKUP($A70,'SegEnds_NonXtal_BW#'!$A:$Z,19,FALSE)+VLOOKUP($A70,A:AL,28,FALSE)-50))</f>
        <v>196</v>
      </c>
      <c r="AB70" s="3">
        <v>211</v>
      </c>
      <c r="AC70" s="3">
        <f>IF(ISERROR((VLOOKUP($A70,'SegEnds_NonXtal_BW#'!$A:$Z,20,FALSE)+VLOOKUP($A70,A:AL,28,FALSE)-50)),"-",(VLOOKUP($A70,'SegEnds_NonXtal_BW#'!$A:$Z,20,FALSE)+VLOOKUP($A70,A:AL,28,FALSE)-50))</f>
        <v>237</v>
      </c>
      <c r="AD70" s="3">
        <f>IF(ISERROR(VLOOKUP($A70,'SegEnds_NonXtal_BW#'!$A:$Z,21,FALSE)+VLOOKUP($A70,A:AL,31,FALSE)-50),"-",(VLOOKUP($A70,'SegEnds_NonXtal_BW#'!$A:$Z,21,FALSE)+VLOOKUP($A70,A:AL,31,FALSE)-50))</f>
        <v>262</v>
      </c>
      <c r="AE70" s="3">
        <v>288</v>
      </c>
      <c r="AF70" s="3">
        <f>IF(ISERROR((VLOOKUP($A70,'SegEnds_NonXtal_BW#'!$A:$Z,22,FALSE)+VLOOKUP($A70,A:AL,31,FALSE)-50)),"-",(VLOOKUP($A70,'SegEnds_NonXtal_BW#'!$A:$Z,22,FALSE)+VLOOKUP($A70,A:AL,31,FALSE)-50))</f>
        <v>299</v>
      </c>
      <c r="AG70" s="3">
        <f>IF(ISERROR(VLOOKUP($A70,'SegEnds_NonXtal_BW#'!$A:$Z,23,FALSE)+VLOOKUP($A70,A:AL,34,FALSE)-50),"-",(VLOOKUP($A70,'SegEnds_NonXtal_BW#'!$A:$Z,23,FALSE)+VLOOKUP($A70,A:AL,34,FALSE)-50))</f>
        <v>304</v>
      </c>
      <c r="AH70" s="3">
        <v>323</v>
      </c>
      <c r="AI70" s="3">
        <v>328</v>
      </c>
      <c r="AJ70" s="3">
        <f>IF(ISERROR(VLOOKUP($A70,'SegEnds_NonXtal_BW#'!$A:$Z,25,FALSE)+VLOOKUP($A70,A:AL,37,FALSE)-50),"-",(VLOOKUP($A70,'SegEnds_NonXtal_BW#'!$A:$Z,25,FALSE)+VLOOKUP($A70,A:AL,37,FALSE)-50))</f>
        <v>329</v>
      </c>
      <c r="AK70" s="3">
        <v>332</v>
      </c>
      <c r="AL70" s="3">
        <f>IF(ISERROR((VLOOKUP($A70,'SegEnds_NonXtal_BW#'!$A:$Z,26,FALSE)+VLOOKUP($A70,A:AL,37,FALSE)-50)),"-",(VLOOKUP($A70,'SegEnds_NonXtal_BW#'!$A:$Z,26,FALSE)+VLOOKUP($A70,A:AL,37,FALSE)-50))</f>
        <v>341</v>
      </c>
      <c r="AM70" s="28" t="str">
        <f>VLOOKUP(A70,Classification!A:B,2,FALSE)</f>
        <v>A</v>
      </c>
      <c r="AN70" s="28" t="b">
        <f t="shared" si="34"/>
        <v>1</v>
      </c>
      <c r="AO70" s="3" t="str">
        <f>IF(ISERROR(MATCH(A70,'SegEnds_Xtal_Prot#'!B:B, 0)), "NoXtal", "Xtal")</f>
        <v>Xtal</v>
      </c>
      <c r="AP70" s="3">
        <f t="shared" si="41"/>
        <v>1</v>
      </c>
      <c r="AQ70" s="3">
        <f t="shared" si="42"/>
        <v>1</v>
      </c>
      <c r="AR70" s="3">
        <f t="shared" si="43"/>
        <v>2</v>
      </c>
      <c r="AS70" s="3">
        <f t="shared" si="44"/>
        <v>1</v>
      </c>
      <c r="AT70" s="3">
        <f t="shared" si="45"/>
        <v>1</v>
      </c>
      <c r="AU70" s="3">
        <f t="shared" si="46"/>
        <v>1</v>
      </c>
      <c r="AV70" s="3">
        <f t="shared" si="47"/>
        <v>19</v>
      </c>
      <c r="AW70" s="3">
        <f t="shared" si="48"/>
        <v>3</v>
      </c>
      <c r="AX70" s="3">
        <f t="shared" si="49"/>
        <v>25</v>
      </c>
      <c r="AY70" s="3">
        <f t="shared" si="50"/>
        <v>5</v>
      </c>
      <c r="AZ70" s="3">
        <f t="shared" si="51"/>
        <v>1</v>
      </c>
      <c r="BA70" s="3">
        <f>IF(ISERROR(LEN(VLOOKUP(A70,Seqs!A:E,2,FALSE))-AL70),"-",LEN(VLOOKUP(A70,Seqs!A:E,2,FALSE))-AL70)</f>
        <v>72</v>
      </c>
      <c r="BB70" s="16">
        <f t="shared" si="52"/>
        <v>28</v>
      </c>
      <c r="BC70" s="9">
        <f t="shared" si="53"/>
        <v>20</v>
      </c>
      <c r="BD70" s="3">
        <f t="shared" si="54"/>
        <v>28</v>
      </c>
      <c r="BE70" s="3">
        <f t="shared" si="55"/>
        <v>77</v>
      </c>
    </row>
    <row r="71" spans="1:58" s="3" customFormat="1" x14ac:dyDescent="0.2">
      <c r="A71" s="3" t="s">
        <v>102</v>
      </c>
      <c r="B71" s="3" t="str">
        <f>LOWER(VLOOKUP(A71,Xtal_Templ!A:B,2,FALSE))</f>
        <v>adrb2_human</v>
      </c>
      <c r="C71" s="3">
        <f>VLOOKUP($A71,'SegEnds_NonXtal_BW#'!$A:$Z,3,FALSE)+D71-50</f>
        <v>30</v>
      </c>
      <c r="D71" s="3">
        <v>55</v>
      </c>
      <c r="E71" s="3">
        <f>IF(ISERROR(VLOOKUP($A71,'SegEnds_NonXtal_BW#'!$A:$Z,4,FALSE)+VLOOKUP($A71,A:AL,4,FALSE)-50),"-",(VLOOKUP($A71,'SegEnds_NonXtal_BW#'!$A:$Z,4,FALSE)+VLOOKUP($A71,A:AL,4,FALSE)-50))</f>
        <v>65</v>
      </c>
      <c r="F71" s="3">
        <f t="shared" si="29"/>
        <v>66</v>
      </c>
      <c r="G71" s="3">
        <v>68</v>
      </c>
      <c r="H71" s="3">
        <f t="shared" si="35"/>
        <v>69</v>
      </c>
      <c r="I71" s="3">
        <f t="shared" si="35"/>
        <v>70</v>
      </c>
      <c r="J71" s="3">
        <v>83</v>
      </c>
      <c r="K71" s="3">
        <f>VLOOKUP($A71,'SegEnds_NonXtal_BW#'!$A:$Z,8,FALSE)+VLOOKUP($A71,A:AL,10,FALSE)-50</f>
        <v>100</v>
      </c>
      <c r="L71" s="3">
        <f t="shared" si="56"/>
        <v>102</v>
      </c>
      <c r="M71" s="3">
        <v>103</v>
      </c>
      <c r="N71" s="3">
        <f t="shared" si="57"/>
        <v>105</v>
      </c>
      <c r="O71" s="3">
        <f t="shared" si="39"/>
        <v>106</v>
      </c>
      <c r="P71" s="3">
        <v>135</v>
      </c>
      <c r="Q71" s="3">
        <f>VLOOKUP($A71,'SegEnds_NonXtal_BW#'!$A:$Z,12,FALSE)+VLOOKUP($A71,A:AL,16,FALSE)-50</f>
        <v>141</v>
      </c>
      <c r="R71" s="3">
        <f>IF(ISERROR(VLOOKUP($A71,'SegEnds_NonXtal_BW#'!$A:$Z,13,FALSE)+VLOOKUP($A71,A:AL,19,FALSE)-50),"-",VLOOKUP($A71,'SegEnds_NonXtal_BW#'!$A:$Z,13,FALSE)+VLOOKUP($A71,A:AL,19,FALSE)-50)</f>
        <v>142</v>
      </c>
      <c r="S71" s="3">
        <v>142</v>
      </c>
      <c r="T71" s="103">
        <f>IF(ISERROR(VLOOKUP($A71,'SegEnds_NonXtal_BW#'!$A:$Z,14,FALSE)+VLOOKUP($A71,A:AL,19,FALSE)-50),"-",(VLOOKUP($A71,'SegEnds_NonXtal_BW#'!$A:$Z,14,FALSE)+VLOOKUP($A71,A:AL,19,FALSE)-50))</f>
        <v>149</v>
      </c>
      <c r="U71" s="9">
        <f>IF(ISERROR(VLOOKUP($A71,'SegEnds_NonXtal_BW#'!$A:$Z,15,FALSE)+VLOOKUP($A71,A:AL,22,FALSE)-50),"-",VLOOKUP($A71,'SegEnds_NonXtal_BW#'!$A:$Z,15,FALSE)+VLOOKUP($A71,A:AL,22,FALSE)-50)</f>
        <v>150</v>
      </c>
      <c r="V71" s="3">
        <v>162</v>
      </c>
      <c r="W71" s="3">
        <f>IF(ISERROR(VLOOKUP($A71,'SegEnds_NonXtal_BW#'!$A:$Z,16,FALSE)+VLOOKUP($A71,A:AL,22,FALSE)-50),"-",(VLOOKUP($A71,'SegEnds_NonXtal_BW#'!$A:$Z,16,FALSE)+VLOOKUP($A71,A:AL,22,FALSE)-50))</f>
        <v>176</v>
      </c>
      <c r="X71" s="3">
        <f>IF(ISERROR(VLOOKUP($A71,'SegEnds_NonXtal_BW#'!$A:$Z,17,FALSE)+VLOOKUP($A71,A:AL,25,FALSE)-50),"-",(VLOOKUP($A71,'SegEnds_NonXtal_BW#'!$A:$Z,17,FALSE)+VLOOKUP($A71,A:AL,25,FALSE)-50))</f>
        <v>196</v>
      </c>
      <c r="Y71" s="3">
        <v>196</v>
      </c>
      <c r="Z71" s="3">
        <f t="shared" si="40"/>
        <v>198</v>
      </c>
      <c r="AA71" s="3">
        <f>IF(ISERROR(VLOOKUP($A71,'SegEnds_NonXtal_BW#'!$A:$Z,19,FALSE)+VLOOKUP($A71,A:AL,28,FALSE)-50),"-",(VLOOKUP($A71,'SegEnds_NonXtal_BW#'!$A:$Z,19,FALSE)+VLOOKUP($A71,A:AL,28,FALSE)-50))</f>
        <v>201</v>
      </c>
      <c r="AB71" s="3">
        <v>216</v>
      </c>
      <c r="AC71" s="3">
        <f>IF(ISERROR((VLOOKUP($A71,'SegEnds_NonXtal_BW#'!$A:$Z,20,FALSE)+VLOOKUP($A71,A:AL,28,FALSE)-50)),"-",(VLOOKUP($A71,'SegEnds_NonXtal_BW#'!$A:$Z,20,FALSE)+VLOOKUP($A71,A:AL,28,FALSE)-50))</f>
        <v>242</v>
      </c>
      <c r="AD71" s="3">
        <f>IF(ISERROR(VLOOKUP($A71,'SegEnds_NonXtal_BW#'!$A:$Z,21,FALSE)+VLOOKUP($A71,A:AL,31,FALSE)-50),"-",(VLOOKUP($A71,'SegEnds_NonXtal_BW#'!$A:$Z,21,FALSE)+VLOOKUP($A71,A:AL,31,FALSE)-50))</f>
        <v>281</v>
      </c>
      <c r="AE71" s="3">
        <v>307</v>
      </c>
      <c r="AF71" s="3">
        <f>IF(ISERROR((VLOOKUP($A71,'SegEnds_NonXtal_BW#'!$A:$Z,22,FALSE)+VLOOKUP($A71,A:AL,31,FALSE)-50)),"-",(VLOOKUP($A71,'SegEnds_NonXtal_BW#'!$A:$Z,22,FALSE)+VLOOKUP($A71,A:AL,31,FALSE)-50))</f>
        <v>318</v>
      </c>
      <c r="AG71" s="3">
        <f>IF(ISERROR(VLOOKUP($A71,'SegEnds_NonXtal_BW#'!$A:$Z,23,FALSE)+VLOOKUP($A71,A:AL,34,FALSE)-50),"-",(VLOOKUP($A71,'SegEnds_NonXtal_BW#'!$A:$Z,23,FALSE)+VLOOKUP($A71,A:AL,34,FALSE)-50))</f>
        <v>324</v>
      </c>
      <c r="AH71" s="3">
        <v>343</v>
      </c>
      <c r="AI71" s="3">
        <v>348</v>
      </c>
      <c r="AJ71" s="3">
        <f>IF(ISERROR(VLOOKUP($A71,'SegEnds_NonXtal_BW#'!$A:$Z,25,FALSE)+VLOOKUP($A71,A:AL,37,FALSE)-50),"-",(VLOOKUP($A71,'SegEnds_NonXtal_BW#'!$A:$Z,25,FALSE)+VLOOKUP($A71,A:AL,37,FALSE)-50))</f>
        <v>349</v>
      </c>
      <c r="AK71" s="3">
        <v>352</v>
      </c>
      <c r="AL71" s="3">
        <f>IF(ISERROR((VLOOKUP($A71,'SegEnds_NonXtal_BW#'!$A:$Z,26,FALSE)+VLOOKUP($A71,A:AL,37,FALSE)-50)),"-",(VLOOKUP($A71,'SegEnds_NonXtal_BW#'!$A:$Z,26,FALSE)+VLOOKUP($A71,A:AL,37,FALSE)-50))</f>
        <v>361</v>
      </c>
      <c r="AM71" s="28" t="str">
        <f>VLOOKUP(A71,Classification!A:B,2,FALSE)</f>
        <v>A</v>
      </c>
      <c r="AN71" s="28" t="b">
        <f t="shared" si="34"/>
        <v>1</v>
      </c>
      <c r="AO71" s="3" t="str">
        <f>IF(ISERROR(MATCH(A71,'SegEnds_Xtal_Prot#'!B:B, 0)), "NoXtal", "Xtal")</f>
        <v>NoXtal</v>
      </c>
      <c r="AP71" s="3">
        <f t="shared" si="41"/>
        <v>1</v>
      </c>
      <c r="AQ71" s="3">
        <f t="shared" si="42"/>
        <v>1</v>
      </c>
      <c r="AR71" s="3">
        <f t="shared" si="43"/>
        <v>2</v>
      </c>
      <c r="AS71" s="3">
        <f t="shared" si="44"/>
        <v>1</v>
      </c>
      <c r="AT71" s="3">
        <f t="shared" si="45"/>
        <v>1</v>
      </c>
      <c r="AU71" s="3">
        <f t="shared" si="46"/>
        <v>1</v>
      </c>
      <c r="AV71" s="3">
        <f t="shared" si="47"/>
        <v>20</v>
      </c>
      <c r="AW71" s="3">
        <f t="shared" si="48"/>
        <v>3</v>
      </c>
      <c r="AX71" s="3">
        <f t="shared" si="49"/>
        <v>39</v>
      </c>
      <c r="AY71" s="3">
        <f t="shared" si="50"/>
        <v>6</v>
      </c>
      <c r="AZ71" s="3">
        <f t="shared" si="51"/>
        <v>1</v>
      </c>
      <c r="BA71" s="3">
        <f>IF(ISERROR(LEN(VLOOKUP(A71,Seqs!A:E,2,FALSE))-AL71),"-",LEN(VLOOKUP(A71,Seqs!A:E,2,FALSE))-AL71)</f>
        <v>47</v>
      </c>
      <c r="BB71" s="16">
        <f t="shared" si="52"/>
        <v>28</v>
      </c>
      <c r="BC71" s="9">
        <f t="shared" si="53"/>
        <v>20</v>
      </c>
      <c r="BD71" s="3">
        <f t="shared" si="54"/>
        <v>28</v>
      </c>
      <c r="BE71" s="3">
        <f t="shared" si="55"/>
        <v>91</v>
      </c>
    </row>
    <row r="72" spans="1:58" s="3" customFormat="1" x14ac:dyDescent="0.2">
      <c r="A72" s="3" t="s">
        <v>158</v>
      </c>
      <c r="B72" s="3" t="str">
        <f>LOWER(VLOOKUP(A72,Xtal_Templ!A:B,2,FALSE))</f>
        <v>agtr1_human</v>
      </c>
      <c r="C72" s="3">
        <f>VLOOKUP($A72,'SegEnds_NonXtal_BW#'!$A:$Z,3,FALSE)+D72-50</f>
        <v>26</v>
      </c>
      <c r="D72" s="3">
        <v>46</v>
      </c>
      <c r="E72" s="3">
        <f>IF(ISERROR(VLOOKUP($A72,'SegEnds_NonXtal_BW#'!$A:$Z,4,FALSE)+VLOOKUP($A72,A:AL,4,FALSE)-50),"-",(VLOOKUP($A72,'SegEnds_NonXtal_BW#'!$A:$Z,4,FALSE)+VLOOKUP($A72,A:AL,4,FALSE)-50))</f>
        <v>56</v>
      </c>
      <c r="F72" s="3">
        <f t="shared" si="29"/>
        <v>57</v>
      </c>
      <c r="G72" s="3">
        <v>59</v>
      </c>
      <c r="H72" s="3">
        <f t="shared" si="35"/>
        <v>60</v>
      </c>
      <c r="I72" s="3">
        <f t="shared" si="35"/>
        <v>61</v>
      </c>
      <c r="J72" s="3">
        <v>74</v>
      </c>
      <c r="K72" s="3">
        <f>VLOOKUP($A72,'SegEnds_NonXtal_BW#'!$A:$Z,8,FALSE)+VLOOKUP($A72,A:AL,10,FALSE)-50</f>
        <v>90</v>
      </c>
      <c r="L72" s="3">
        <f t="shared" si="56"/>
        <v>93</v>
      </c>
      <c r="M72" s="3">
        <v>94</v>
      </c>
      <c r="N72" s="3">
        <f t="shared" si="57"/>
        <v>96</v>
      </c>
      <c r="O72" s="3">
        <f t="shared" si="39"/>
        <v>97</v>
      </c>
      <c r="P72" s="3">
        <v>126</v>
      </c>
      <c r="Q72" s="3">
        <f>VLOOKUP($A72,'SegEnds_NonXtal_BW#'!$A:$Z,12,FALSE)+VLOOKUP($A72,A:AL,16,FALSE)-50</f>
        <v>132</v>
      </c>
      <c r="R72" s="3">
        <f>IF(ISERROR(VLOOKUP($A72,'SegEnds_NonXtal_BW#'!$A:$Z,13,FALSE)+VLOOKUP($A72,A:AL,19,FALSE)-50),"-",VLOOKUP($A72,'SegEnds_NonXtal_BW#'!$A:$Z,13,FALSE)+VLOOKUP($A72,A:AL,19,FALSE)-50)</f>
        <v>133</v>
      </c>
      <c r="S72" s="3">
        <v>133</v>
      </c>
      <c r="T72" s="103">
        <f>IF(ISERROR(VLOOKUP($A72,'SegEnds_NonXtal_BW#'!$A:$Z,14,FALSE)+VLOOKUP($A72,A:AL,19,FALSE)-50),"-",(VLOOKUP($A72,'SegEnds_NonXtal_BW#'!$A:$Z,14,FALSE)+VLOOKUP($A72,A:AL,19,FALSE)-50))</f>
        <v>140</v>
      </c>
      <c r="U72" s="9">
        <f>IF(ISERROR(VLOOKUP($A72,'SegEnds_NonXtal_BW#'!$A:$Z,15,FALSE)+VLOOKUP($A72,A:AL,22,FALSE)-50),"-",VLOOKUP($A72,'SegEnds_NonXtal_BW#'!$A:$Z,15,FALSE)+VLOOKUP($A72,A:AL,22,FALSE)-50)</f>
        <v>141</v>
      </c>
      <c r="V72" s="3">
        <v>153</v>
      </c>
      <c r="W72" s="3">
        <f>IF(ISERROR(VLOOKUP($A72,'SegEnds_NonXtal_BW#'!$A:$Z,16,FALSE)+VLOOKUP($A72,A:AL,22,FALSE)-50),"-",(VLOOKUP($A72,'SegEnds_NonXtal_BW#'!$A:$Z,16,FALSE)+VLOOKUP($A72,A:AL,22,FALSE)-50))</f>
        <v>167</v>
      </c>
      <c r="X72" s="3">
        <f>IF(ISERROR(VLOOKUP($A72,'SegEnds_NonXtal_BW#'!$A:$Z,17,FALSE)+VLOOKUP($A72,A:AL,25,FALSE)-50),"-",(VLOOKUP($A72,'SegEnds_NonXtal_BW#'!$A:$Z,17,FALSE)+VLOOKUP($A72,A:AL,25,FALSE)-50))</f>
        <v>180</v>
      </c>
      <c r="Y72" s="3">
        <v>180</v>
      </c>
      <c r="Z72" s="3">
        <f t="shared" si="40"/>
        <v>182</v>
      </c>
      <c r="AA72" s="3">
        <f>IF(ISERROR(VLOOKUP($A72,'SegEnds_NonXtal_BW#'!$A:$Z,19,FALSE)+VLOOKUP($A72,A:AL,28,FALSE)-50),"-",(VLOOKUP($A72,'SegEnds_NonXtal_BW#'!$A:$Z,19,FALSE)+VLOOKUP($A72,A:AL,28,FALSE)-50))</f>
        <v>191</v>
      </c>
      <c r="AB72" s="3">
        <v>207</v>
      </c>
      <c r="AC72" s="3">
        <f>IF(ISERROR((VLOOKUP($A72,'SegEnds_NonXtal_BW#'!$A:$Z,20,FALSE)+VLOOKUP($A72,A:AL,28,FALSE)-50)),"-",(VLOOKUP($A72,'SegEnds_NonXtal_BW#'!$A:$Z,20,FALSE)+VLOOKUP($A72,A:AL,28,FALSE)-50))</f>
        <v>225</v>
      </c>
      <c r="AD72" s="3">
        <f>IF(ISERROR(VLOOKUP($A72,'SegEnds_NonXtal_BW#'!$A:$Z,21,FALSE)+VLOOKUP($A72,A:AL,31,FALSE)-50),"-",(VLOOKUP($A72,'SegEnds_NonXtal_BW#'!$A:$Z,21,FALSE)+VLOOKUP($A72,A:AL,31,FALSE)-50))</f>
        <v>229</v>
      </c>
      <c r="AE72" s="3">
        <v>255</v>
      </c>
      <c r="AF72" s="3">
        <f>IF(ISERROR((VLOOKUP($A72,'SegEnds_NonXtal_BW#'!$A:$Z,22,FALSE)+VLOOKUP($A72,A:AL,31,FALSE)-50)),"-",(VLOOKUP($A72,'SegEnds_NonXtal_BW#'!$A:$Z,22,FALSE)+VLOOKUP($A72,A:AL,31,FALSE)-50))</f>
        <v>269</v>
      </c>
      <c r="AG72" s="3">
        <f>IF(ISERROR(VLOOKUP($A72,'SegEnds_NonXtal_BW#'!$A:$Z,23,FALSE)+VLOOKUP($A72,A:AL,34,FALSE)-50),"-",(VLOOKUP($A72,'SegEnds_NonXtal_BW#'!$A:$Z,23,FALSE)+VLOOKUP($A72,A:AL,34,FALSE)-50))</f>
        <v>273</v>
      </c>
      <c r="AH72" s="3">
        <v>299</v>
      </c>
      <c r="AI72" s="3">
        <f>IF(ISERROR((VLOOKUP($A72,'SegEnds_NonXtal_BW#'!$A:$Z,24,FALSE)+VLOOKUP($A72,A:AL,34,FALSE)-50)),"-",(VLOOKUP($A72,'SegEnds_NonXtal_BW#'!$A:$Z,24,FALSE)+VLOOKUP($A72,A:AL,34,FALSE)-50))</f>
        <v>305</v>
      </c>
      <c r="AJ72" s="3">
        <f>IF(ISERROR(VLOOKUP($A72,'SegEnds_NonXtal_BW#'!$A:$Z,25,FALSE)+VLOOKUP($A72,A:AL,37,FALSE)-50),"-",(VLOOKUP($A72,'SegEnds_NonXtal_BW#'!$A:$Z,25,FALSE)+VLOOKUP($A72,A:AL,37,FALSE)-50))</f>
        <v>306</v>
      </c>
      <c r="AK72" s="3">
        <v>309</v>
      </c>
      <c r="AL72" s="3">
        <f>IF(ISERROR((VLOOKUP($A72,'SegEnds_NonXtal_BW#'!$A:$Z,26,FALSE)+VLOOKUP($A72,A:AL,37,FALSE)-50)),"-",(VLOOKUP($A72,'SegEnds_NonXtal_BW#'!$A:$Z,26,FALSE)+VLOOKUP($A72,A:AL,37,FALSE)-50))</f>
        <v>320</v>
      </c>
      <c r="AM72" s="28" t="str">
        <f>VLOOKUP(A72,Classification!A:B,2,FALSE)</f>
        <v>A</v>
      </c>
      <c r="AN72" s="28" t="b">
        <f t="shared" si="34"/>
        <v>1</v>
      </c>
      <c r="AO72" s="3" t="str">
        <f>IF(ISERROR(MATCH(A72,'SegEnds_Xtal_Prot#'!B:B, 0)), "NoXtal", "Xtal")</f>
        <v>Xtal</v>
      </c>
      <c r="AP72" s="3">
        <f t="shared" si="41"/>
        <v>1</v>
      </c>
      <c r="AQ72" s="3">
        <f t="shared" si="42"/>
        <v>1</v>
      </c>
      <c r="AR72" s="3">
        <f t="shared" si="43"/>
        <v>3</v>
      </c>
      <c r="AS72" s="3">
        <f t="shared" si="44"/>
        <v>1</v>
      </c>
      <c r="AT72" s="3">
        <f t="shared" si="45"/>
        <v>1</v>
      </c>
      <c r="AU72" s="3">
        <f t="shared" si="46"/>
        <v>1</v>
      </c>
      <c r="AV72" s="3">
        <f t="shared" si="47"/>
        <v>13</v>
      </c>
      <c r="AW72" s="3">
        <f t="shared" si="48"/>
        <v>9</v>
      </c>
      <c r="AX72" s="3">
        <f t="shared" si="49"/>
        <v>4</v>
      </c>
      <c r="AY72" s="3">
        <f t="shared" si="50"/>
        <v>4</v>
      </c>
      <c r="AZ72" s="3">
        <f t="shared" si="51"/>
        <v>1</v>
      </c>
      <c r="BA72" s="3">
        <f>IF(ISERROR(LEN(VLOOKUP(A72,Seqs!A:E,2,FALSE))-AL72),"-",LEN(VLOOKUP(A72,Seqs!A:E,2,FALSE))-AL72)</f>
        <v>39</v>
      </c>
      <c r="BB72" s="16">
        <f t="shared" si="52"/>
        <v>28</v>
      </c>
      <c r="BC72" s="9">
        <f t="shared" si="53"/>
        <v>20</v>
      </c>
      <c r="BD72" s="3">
        <f t="shared" si="54"/>
        <v>28</v>
      </c>
      <c r="BE72" s="3">
        <f t="shared" si="55"/>
        <v>48</v>
      </c>
    </row>
    <row r="73" spans="1:58" s="3" customFormat="1" x14ac:dyDescent="0.2">
      <c r="A73" s="3" t="s">
        <v>160</v>
      </c>
      <c r="B73" s="3" t="str">
        <f>LOWER(VLOOKUP(A73,Xtal_Templ!A:B,2,FALSE))</f>
        <v>apj_human</v>
      </c>
      <c r="C73" s="3">
        <f>VLOOKUP($A73,'SegEnds_NonXtal_BW#'!$A:$Z,3,FALSE)+D73-50</f>
        <v>29</v>
      </c>
      <c r="D73" s="3">
        <v>46</v>
      </c>
      <c r="E73" s="3">
        <f>IF(ISERROR(VLOOKUP($A73,'SegEnds_NonXtal_BW#'!$A:$Z,4,FALSE)+VLOOKUP($A73,A:AL,4,FALSE)-50),"-",(VLOOKUP($A73,'SegEnds_NonXtal_BW#'!$A:$Z,4,FALSE)+VLOOKUP($A73,A:AL,4,FALSE)-50))</f>
        <v>56</v>
      </c>
      <c r="F73" s="3">
        <f>IF(ISERROR(VLOOKUP($A73,'SegEnds_NonXtal_BW#'!$A:$Z,5,FALSE)+VLOOKUP($A73,A:AL,7,FALSE)-50),"-",(VLOOKUP($A73,'SegEnds_NonXtal_BW#'!$A:$Z,5,FALSE)+VLOOKUP($A73,A:AL,7,FALSE)-50))</f>
        <v>57</v>
      </c>
      <c r="G73" s="3">
        <v>59</v>
      </c>
      <c r="H73" s="3">
        <f>IF(ISERROR(VLOOKUP($A73,'SegEnds_NonXtal_BW#'!$A:$Z,6,FALSE)+VLOOKUP($A73,A:AL,7,FALSE)-50),"-",(VLOOKUP($A73,'SegEnds_NonXtal_BW#'!$A:$Z,6,FALSE)+VLOOKUP($A73,A:AL,7,FALSE)-50))</f>
        <v>61</v>
      </c>
      <c r="I73" s="3">
        <f>VLOOKUP($A73,'SegEnds_NonXtal_BW#'!$A:$Z,7,FALSE)+J73-50</f>
        <v>62</v>
      </c>
      <c r="J73" s="3">
        <v>75</v>
      </c>
      <c r="K73" s="3">
        <f>VLOOKUP($A73,'SegEnds_NonXtal_BW#'!$A:$Z,8,FALSE)+VLOOKUP($A73,A:AL,10,FALSE)-50</f>
        <v>92</v>
      </c>
      <c r="L73" s="3">
        <f t="shared" si="56"/>
        <v>94</v>
      </c>
      <c r="M73" s="3">
        <v>95</v>
      </c>
      <c r="N73" s="3">
        <f t="shared" si="57"/>
        <v>97</v>
      </c>
      <c r="O73" s="3">
        <f t="shared" si="39"/>
        <v>98</v>
      </c>
      <c r="P73" s="3">
        <v>127</v>
      </c>
      <c r="Q73" s="3">
        <f>VLOOKUP($A73,'SegEnds_NonXtal_BW#'!$A:$Z,12,FALSE)+VLOOKUP($A73,A:AL,16,FALSE)-50</f>
        <v>133</v>
      </c>
      <c r="R73" s="3">
        <f>IF(ISERROR(VLOOKUP($A73,'SegEnds_NonXtal_BW#'!$A:$Z,13,FALSE)+VLOOKUP($A73,A:AL,19,FALSE)-50),"-",VLOOKUP($A73,'SegEnds_NonXtal_BW#'!$A:$Z,13,FALSE)+VLOOKUP($A73,A:AL,19,FALSE)-50)</f>
        <v>134</v>
      </c>
      <c r="S73" s="3">
        <v>134</v>
      </c>
      <c r="T73" s="103">
        <f>IF(ISERROR(VLOOKUP($A73,'SegEnds_NonXtal_BW#'!$A:$Z,14,FALSE)+VLOOKUP($A73,A:AL,19,FALSE)-50),"-",(VLOOKUP($A73,'SegEnds_NonXtal_BW#'!$A:$Z,14,FALSE)+VLOOKUP($A73,A:AL,19,FALSE)-50))</f>
        <v>141</v>
      </c>
      <c r="U73" s="9">
        <f>IF(ISERROR(VLOOKUP($A73,'SegEnds_NonXtal_BW#'!$A:$Z,15,FALSE)+VLOOKUP($A73,A:AL,22,FALSE)-50),"-",VLOOKUP($A73,'SegEnds_NonXtal_BW#'!$A:$Z,15,FALSE)+VLOOKUP($A73,A:AL,22,FALSE)-50)</f>
        <v>142</v>
      </c>
      <c r="V73" s="3">
        <v>154</v>
      </c>
      <c r="W73" s="3">
        <f>IF(ISERROR(VLOOKUP($A73,'SegEnds_NonXtal_BW#'!$A:$Z,16,FALSE)+VLOOKUP($A73,A:AL,22,FALSE)-50),"-",(VLOOKUP($A73,'SegEnds_NonXtal_BW#'!$A:$Z,16,FALSE)+VLOOKUP($A73,A:AL,22,FALSE)-50))</f>
        <v>168</v>
      </c>
      <c r="X73" s="3">
        <f>IF(ISERROR(VLOOKUP($A73,'SegEnds_NonXtal_BW#'!$A:$Z,17,FALSE)+VLOOKUP($A73,A:AL,25,FALSE)-50),"-",(VLOOKUP($A73,'SegEnds_NonXtal_BW#'!$A:$Z,17,FALSE)+VLOOKUP($A73,A:AL,25,FALSE)-50))</f>
        <v>181</v>
      </c>
      <c r="Y73" s="3">
        <v>181</v>
      </c>
      <c r="Z73" s="3">
        <f t="shared" si="40"/>
        <v>183</v>
      </c>
      <c r="AA73" s="3">
        <f>IF(ISERROR(VLOOKUP($A73,'SegEnds_NonXtal_BW#'!$A:$Z,19,FALSE)+VLOOKUP($A73,A:AL,28,FALSE)-50),"-",(VLOOKUP($A73,'SegEnds_NonXtal_BW#'!$A:$Z,19,FALSE)+VLOOKUP($A73,A:AL,28,FALSE)-50))</f>
        <v>193</v>
      </c>
      <c r="AB73" s="3">
        <v>213</v>
      </c>
      <c r="AC73" s="3">
        <f>IF(ISERROR((VLOOKUP($A73,'SegEnds_NonXtal_BW#'!$A:$Z,20,FALSE)+VLOOKUP($A73,A:AL,28,FALSE)-50)),"-",(VLOOKUP($A73,'SegEnds_NonXtal_BW#'!$A:$Z,20,FALSE)+VLOOKUP($A73,A:AL,28,FALSE)-50))</f>
        <v>235</v>
      </c>
      <c r="AD73" s="3">
        <f>IF(ISERROR(VLOOKUP($A73,'SegEnds_NonXtal_BW#'!$A:$Z,21,FALSE)+VLOOKUP($A73,A:AL,31,FALSE)-50),"-",(VLOOKUP($A73,'SegEnds_NonXtal_BW#'!$A:$Z,21,FALSE)+VLOOKUP($A73,A:AL,31,FALSE)-50))</f>
        <v>242</v>
      </c>
      <c r="AE73" s="3">
        <v>263</v>
      </c>
      <c r="AF73" s="3">
        <f>IF(ISERROR((VLOOKUP($A73,'SegEnds_NonXtal_BW#'!$A:$Z,22,FALSE)+VLOOKUP($A73,A:AL,31,FALSE)-50)),"-",(VLOOKUP($A73,'SegEnds_NonXtal_BW#'!$A:$Z,22,FALSE)+VLOOKUP($A73,A:AL,31,FALSE)-50))</f>
        <v>276</v>
      </c>
      <c r="AG73" s="3">
        <f>IF(ISERROR(VLOOKUP($A73,'SegEnds_NonXtal_BW#'!$A:$Z,23,FALSE)+VLOOKUP($A73,A:AL,34,FALSE)-50),"-",(VLOOKUP($A73,'SegEnds_NonXtal_BW#'!$A:$Z,23,FALSE)+VLOOKUP($A73,A:AL,34,FALSE)-50))</f>
        <v>280</v>
      </c>
      <c r="AH73" s="3">
        <v>306</v>
      </c>
      <c r="AI73" s="3">
        <f>IF(ISERROR((VLOOKUP($A73,'SegEnds_NonXtal_BW#'!$A:$Z,24,FALSE)+VLOOKUP($A73,A:AL,34,FALSE)-50)),"-",(VLOOKUP($A73,'SegEnds_NonXtal_BW#'!$A:$Z,24,FALSE)+VLOOKUP($A73,A:AL,34,FALSE)-50))</f>
        <v>312</v>
      </c>
      <c r="AJ73" s="3">
        <f>IF(ISERROR(VLOOKUP($A73,'SegEnds_NonXtal_BW#'!$A:$Z,25,FALSE)+VLOOKUP($A73,A:AL,37,FALSE)-50),"-",(VLOOKUP($A73,'SegEnds_NonXtal_BW#'!$A:$Z,25,FALSE)+VLOOKUP($A73,A:AL,37,FALSE)-50))</f>
        <v>313</v>
      </c>
      <c r="AK73" s="3">
        <v>316</v>
      </c>
      <c r="AL73" s="3">
        <f>IF(ISERROR((VLOOKUP($A73,'SegEnds_NonXtal_BW#'!$A:$Z,26,FALSE)+VLOOKUP($A73,A:AL,37,FALSE)-50)),"-",(VLOOKUP($A73,'SegEnds_NonXtal_BW#'!$A:$Z,26,FALSE)+VLOOKUP($A73,A:AL,37,FALSE)-50))</f>
        <v>327</v>
      </c>
      <c r="AM73" s="28" t="str">
        <f>VLOOKUP(A73,Classification!A:B,2,FALSE)</f>
        <v>A</v>
      </c>
      <c r="AN73" s="28" t="b">
        <f t="shared" si="34"/>
        <v>1</v>
      </c>
      <c r="AO73" s="3" t="str">
        <f>IF(ISERROR(MATCH(A73,'SegEnds_Xtal_Prot#'!B:B, 0)), "NoXtal", "Xtal")</f>
        <v>Xtal</v>
      </c>
      <c r="AP73" s="3">
        <f t="shared" si="41"/>
        <v>1</v>
      </c>
      <c r="AQ73" s="3">
        <f t="shared" si="42"/>
        <v>1</v>
      </c>
      <c r="AR73" s="3">
        <f t="shared" si="43"/>
        <v>2</v>
      </c>
      <c r="AS73" s="3">
        <f t="shared" si="44"/>
        <v>1</v>
      </c>
      <c r="AT73" s="3">
        <f t="shared" si="45"/>
        <v>1</v>
      </c>
      <c r="AU73" s="3">
        <f t="shared" si="46"/>
        <v>1</v>
      </c>
      <c r="AV73" s="3">
        <f t="shared" si="47"/>
        <v>13</v>
      </c>
      <c r="AW73" s="3">
        <f t="shared" si="48"/>
        <v>10</v>
      </c>
      <c r="AX73" s="3">
        <f t="shared" si="49"/>
        <v>7</v>
      </c>
      <c r="AY73" s="3">
        <f t="shared" si="50"/>
        <v>4</v>
      </c>
      <c r="AZ73" s="3">
        <f t="shared" si="51"/>
        <v>1</v>
      </c>
      <c r="BA73" s="3">
        <f>IF(ISERROR(LEN(VLOOKUP(A73,Seqs!A:E,2,FALSE))-AL73),"-",LEN(VLOOKUP(A73,Seqs!A:E,2,FALSE))-AL73)</f>
        <v>53</v>
      </c>
      <c r="BB73" s="16">
        <f t="shared" si="52"/>
        <v>29</v>
      </c>
      <c r="BC73" s="9">
        <f t="shared" si="53"/>
        <v>20</v>
      </c>
      <c r="BD73" s="3">
        <f t="shared" si="54"/>
        <v>29</v>
      </c>
      <c r="BE73" s="3">
        <f t="shared" si="55"/>
        <v>50</v>
      </c>
    </row>
    <row r="74" spans="1:58" s="3" customFormat="1" x14ac:dyDescent="0.2">
      <c r="A74" s="3" t="s">
        <v>161</v>
      </c>
      <c r="B74" s="3" t="str">
        <f>LOWER(VLOOKUP(A74,Xtal_Templ!A:B,2,FALSE))</f>
        <v>agtr1_human</v>
      </c>
      <c r="C74" s="3">
        <f>VLOOKUP($A74,'SegEnds_NonXtal_BW#'!$A:$Z,3,FALSE)+D74-50</f>
        <v>35</v>
      </c>
      <c r="D74" s="3">
        <v>55</v>
      </c>
      <c r="E74" s="3">
        <f>IF(ISERROR(VLOOKUP($A74,'SegEnds_NonXtal_BW#'!$A:$Z,4,FALSE)+VLOOKUP($A74,A:AL,4,FALSE)-50),"-",(VLOOKUP($A74,'SegEnds_NonXtal_BW#'!$A:$Z,4,FALSE)+VLOOKUP($A74,A:AL,4,FALSE)-50))</f>
        <v>65</v>
      </c>
      <c r="F74" s="3">
        <f>G74-2</f>
        <v>66</v>
      </c>
      <c r="G74" s="3">
        <v>68</v>
      </c>
      <c r="H74" s="3">
        <f t="shared" ref="H74:I76" si="58">G74+1</f>
        <v>69</v>
      </c>
      <c r="I74" s="3">
        <f t="shared" si="58"/>
        <v>70</v>
      </c>
      <c r="J74" s="3">
        <v>83</v>
      </c>
      <c r="K74" s="3">
        <f>VLOOKUP($A74,'SegEnds_NonXtal_BW#'!$A:$Z,8,FALSE)+VLOOKUP($A74,A:AL,10,FALSE)-50</f>
        <v>99</v>
      </c>
      <c r="L74" s="3">
        <f t="shared" si="56"/>
        <v>102</v>
      </c>
      <c r="M74" s="3">
        <v>103</v>
      </c>
      <c r="N74" s="3">
        <f t="shared" si="57"/>
        <v>105</v>
      </c>
      <c r="O74" s="3">
        <f t="shared" si="39"/>
        <v>106</v>
      </c>
      <c r="P74" s="3">
        <v>135</v>
      </c>
      <c r="Q74" s="3">
        <f>VLOOKUP($A74,'SegEnds_NonXtal_BW#'!$A:$Z,12,FALSE)+VLOOKUP($A74,A:AL,16,FALSE)-50</f>
        <v>141</v>
      </c>
      <c r="R74" s="3">
        <f>IF(ISERROR(VLOOKUP($A74,'SegEnds_NonXtal_BW#'!$A:$Z,13,FALSE)+VLOOKUP($A74,A:AL,19,FALSE)-50),"-",VLOOKUP($A74,'SegEnds_NonXtal_BW#'!$A:$Z,13,FALSE)+VLOOKUP($A74,A:AL,19,FALSE)-50)</f>
        <v>142</v>
      </c>
      <c r="S74" s="3">
        <v>142</v>
      </c>
      <c r="T74" s="103">
        <f>IF(ISERROR(VLOOKUP($A74,'SegEnds_NonXtal_BW#'!$A:$Z,14,FALSE)+VLOOKUP($A74,A:AL,19,FALSE)-50),"-",(VLOOKUP($A74,'SegEnds_NonXtal_BW#'!$A:$Z,14,FALSE)+VLOOKUP($A74,A:AL,19,FALSE)-50))</f>
        <v>149</v>
      </c>
      <c r="U74" s="9">
        <f>IF(ISERROR(VLOOKUP($A74,'SegEnds_NonXtal_BW#'!$A:$Z,15,FALSE)+VLOOKUP($A74,A:AL,22,FALSE)-50),"-",VLOOKUP($A74,'SegEnds_NonXtal_BW#'!$A:$Z,15,FALSE)+VLOOKUP($A74,A:AL,22,FALSE)-50)</f>
        <v>150</v>
      </c>
      <c r="V74" s="3">
        <v>162</v>
      </c>
      <c r="W74" s="3">
        <f>IF(ISERROR(VLOOKUP($A74,'SegEnds_NonXtal_BW#'!$A:$Z,16,FALSE)+VLOOKUP($A74,A:AL,22,FALSE)-50),"-",(VLOOKUP($A74,'SegEnds_NonXtal_BW#'!$A:$Z,16,FALSE)+VLOOKUP($A74,A:AL,22,FALSE)-50))</f>
        <v>176</v>
      </c>
      <c r="X74" s="3">
        <f>IF(ISERROR(VLOOKUP($A74,'SegEnds_NonXtal_BW#'!$A:$Z,17,FALSE)+VLOOKUP($A74,A:AL,25,FALSE)-50),"-",(VLOOKUP($A74,'SegEnds_NonXtal_BW#'!$A:$Z,17,FALSE)+VLOOKUP($A74,A:AL,25,FALSE)-50))</f>
        <v>189</v>
      </c>
      <c r="Y74" s="3">
        <v>189</v>
      </c>
      <c r="Z74" s="3">
        <f t="shared" si="40"/>
        <v>191</v>
      </c>
      <c r="AA74" s="3">
        <f>IF(ISERROR(VLOOKUP($A74,'SegEnds_NonXtal_BW#'!$A:$Z,19,FALSE)+VLOOKUP($A74,A:AL,28,FALSE)-50),"-",(VLOOKUP($A74,'SegEnds_NonXtal_BW#'!$A:$Z,19,FALSE)+VLOOKUP($A74,A:AL,28,FALSE)-50))</f>
        <v>198</v>
      </c>
      <c r="AB74" s="3">
        <v>214</v>
      </c>
      <c r="AC74" s="3">
        <f>IF(ISERROR((VLOOKUP($A74,'SegEnds_NonXtal_BW#'!$A:$Z,20,FALSE)+VLOOKUP($A74,A:AL,28,FALSE)-50)),"-",(VLOOKUP($A74,'SegEnds_NonXtal_BW#'!$A:$Z,20,FALSE)+VLOOKUP($A74,A:AL,28,FALSE)-50))</f>
        <v>232</v>
      </c>
      <c r="AD74" s="3">
        <f>IF(ISERROR(VLOOKUP($A74,'SegEnds_NonXtal_BW#'!$A:$Z,21,FALSE)+VLOOKUP($A74,A:AL,31,FALSE)-50),"-",(VLOOKUP($A74,'SegEnds_NonXtal_BW#'!$A:$Z,21,FALSE)+VLOOKUP($A74,A:AL,31,FALSE)-50))</f>
        <v>238</v>
      </c>
      <c r="AE74" s="3">
        <v>265</v>
      </c>
      <c r="AF74" s="3">
        <f>IF(ISERROR((VLOOKUP($A74,'SegEnds_NonXtal_BW#'!$A:$Z,22,FALSE)+VLOOKUP($A74,A:AL,31,FALSE)-50)),"-",(VLOOKUP($A74,'SegEnds_NonXtal_BW#'!$A:$Z,22,FALSE)+VLOOKUP($A74,A:AL,31,FALSE)-50))</f>
        <v>279</v>
      </c>
      <c r="AG74" s="3">
        <f>IF(ISERROR(VLOOKUP($A74,'SegEnds_NonXtal_BW#'!$A:$Z,23,FALSE)+VLOOKUP($A74,A:AL,34,FALSE)-50),"-",(VLOOKUP($A74,'SegEnds_NonXtal_BW#'!$A:$Z,23,FALSE)+VLOOKUP($A74,A:AL,34,FALSE)-50))</f>
        <v>283</v>
      </c>
      <c r="AH74" s="3">
        <v>309</v>
      </c>
      <c r="AI74" s="3">
        <f>IF(ISERROR((VLOOKUP($A74,'SegEnds_NonXtal_BW#'!$A:$Z,24,FALSE)+VLOOKUP($A74,A:AL,34,FALSE)-50)),"-",(VLOOKUP($A74,'SegEnds_NonXtal_BW#'!$A:$Z,24,FALSE)+VLOOKUP($A74,A:AL,34,FALSE)-50))</f>
        <v>315</v>
      </c>
      <c r="AJ74" s="3">
        <f>IF(ISERROR(VLOOKUP($A74,'SegEnds_NonXtal_BW#'!$A:$Z,25,FALSE)+VLOOKUP($A74,A:AL,37,FALSE)-50),"-",(VLOOKUP($A74,'SegEnds_NonXtal_BW#'!$A:$Z,25,FALSE)+VLOOKUP($A74,A:AL,37,FALSE)-50))</f>
        <v>316</v>
      </c>
      <c r="AK74" s="3">
        <v>319</v>
      </c>
      <c r="AL74" s="3">
        <f>IF(ISERROR((VLOOKUP($A74,'SegEnds_NonXtal_BW#'!$A:$Z,26,FALSE)+VLOOKUP($A74,A:AL,37,FALSE)-50)),"-",(VLOOKUP($A74,'SegEnds_NonXtal_BW#'!$A:$Z,26,FALSE)+VLOOKUP($A74,A:AL,37,FALSE)-50))</f>
        <v>330</v>
      </c>
      <c r="AM74" s="28" t="str">
        <f>VLOOKUP(A74,Classification!A:B,2,FALSE)</f>
        <v>A</v>
      </c>
      <c r="AN74" s="28" t="b">
        <f t="shared" si="34"/>
        <v>1</v>
      </c>
      <c r="AO74" s="3" t="str">
        <f>IF(ISERROR(MATCH(A74,'SegEnds_Xtal_Prot#'!B:B, 0)), "NoXtal", "Xtal")</f>
        <v>NoXtal</v>
      </c>
      <c r="AP74" s="3">
        <f t="shared" si="41"/>
        <v>1</v>
      </c>
      <c r="AQ74" s="3">
        <f t="shared" si="42"/>
        <v>1</v>
      </c>
      <c r="AR74" s="3">
        <f t="shared" si="43"/>
        <v>3</v>
      </c>
      <c r="AS74" s="3">
        <f t="shared" si="44"/>
        <v>1</v>
      </c>
      <c r="AT74" s="3">
        <f t="shared" si="45"/>
        <v>1</v>
      </c>
      <c r="AU74" s="3">
        <f t="shared" si="46"/>
        <v>1</v>
      </c>
      <c r="AV74" s="3">
        <f t="shared" si="47"/>
        <v>13</v>
      </c>
      <c r="AW74" s="3">
        <f t="shared" si="48"/>
        <v>7</v>
      </c>
      <c r="AX74" s="3">
        <f t="shared" si="49"/>
        <v>6</v>
      </c>
      <c r="AY74" s="3">
        <f t="shared" si="50"/>
        <v>4</v>
      </c>
      <c r="AZ74" s="3">
        <f t="shared" si="51"/>
        <v>1</v>
      </c>
      <c r="BA74" s="3">
        <f>IF(ISERROR(LEN(VLOOKUP(A74,Seqs!A:E,2,FALSE))-AL74),"-",LEN(VLOOKUP(A74,Seqs!A:E,2,FALSE))-AL74)</f>
        <v>23</v>
      </c>
      <c r="BB74" s="16">
        <f t="shared" si="52"/>
        <v>28</v>
      </c>
      <c r="BC74" s="9">
        <f t="shared" si="53"/>
        <v>20</v>
      </c>
      <c r="BD74" s="3">
        <f t="shared" si="54"/>
        <v>28</v>
      </c>
      <c r="BE74" s="3">
        <f t="shared" si="55"/>
        <v>51</v>
      </c>
      <c r="BF74" s="3">
        <f>AH74-AE74</f>
        <v>44</v>
      </c>
    </row>
    <row r="75" spans="1:58" s="3" customFormat="1" x14ac:dyDescent="0.2">
      <c r="A75" s="3" t="s">
        <v>162</v>
      </c>
      <c r="B75" s="3" t="str">
        <f>LOWER(VLOOKUP(A75,Xtal_Templ!A:B,2,FALSE))</f>
        <v>agtr2_human</v>
      </c>
      <c r="C75" s="3">
        <f>VLOOKUP($A75,'SegEnds_NonXtal_BW#'!$A:$Z,3,FALSE)+D75-50</f>
        <v>58</v>
      </c>
      <c r="D75" s="3">
        <v>75</v>
      </c>
      <c r="E75" s="3">
        <f>IF(ISERROR(VLOOKUP($A75,'SegEnds_NonXtal_BW#'!$A:$Z,4,FALSE)+VLOOKUP($A75,A:AL,4,FALSE)-50),"-",(VLOOKUP($A75,'SegEnds_NonXtal_BW#'!$A:$Z,4,FALSE)+VLOOKUP($A75,A:AL,4,FALSE)-50))</f>
        <v>85</v>
      </c>
      <c r="F75" s="3">
        <f>G75-2</f>
        <v>86</v>
      </c>
      <c r="G75" s="3">
        <v>88</v>
      </c>
      <c r="H75" s="3">
        <f t="shared" si="58"/>
        <v>89</v>
      </c>
      <c r="I75" s="3">
        <f t="shared" si="58"/>
        <v>90</v>
      </c>
      <c r="J75" s="3">
        <v>103</v>
      </c>
      <c r="K75" s="3">
        <f>VLOOKUP($A75,'SegEnds_NonXtal_BW#'!$A:$Z,8,FALSE)+VLOOKUP($A75,A:AL,10,FALSE)-50</f>
        <v>119</v>
      </c>
      <c r="L75" s="3">
        <f t="shared" si="56"/>
        <v>122</v>
      </c>
      <c r="M75" s="3">
        <v>123</v>
      </c>
      <c r="N75" s="3">
        <f t="shared" si="57"/>
        <v>125</v>
      </c>
      <c r="O75" s="3">
        <f t="shared" si="39"/>
        <v>126</v>
      </c>
      <c r="P75" s="3">
        <v>155</v>
      </c>
      <c r="Q75" s="3">
        <f>VLOOKUP($A75,'SegEnds_NonXtal_BW#'!$A:$Z,12,FALSE)+VLOOKUP($A75,A:AL,16,FALSE)-50</f>
        <v>161</v>
      </c>
      <c r="R75" s="3">
        <f>IF(ISERROR(VLOOKUP($A75,'SegEnds_NonXtal_BW#'!$A:$Z,13,FALSE)+VLOOKUP($A75,A:AL,19,FALSE)-50),"-",VLOOKUP($A75,'SegEnds_NonXtal_BW#'!$A:$Z,13,FALSE)+VLOOKUP($A75,A:AL,19,FALSE)-50)</f>
        <v>162</v>
      </c>
      <c r="S75" s="3">
        <v>162</v>
      </c>
      <c r="T75" s="103">
        <f>IF(ISERROR(VLOOKUP($A75,'SegEnds_NonXtal_BW#'!$A:$Z,14,FALSE)+VLOOKUP($A75,A:AL,19,FALSE)-50),"-",(VLOOKUP($A75,'SegEnds_NonXtal_BW#'!$A:$Z,14,FALSE)+VLOOKUP($A75,A:AL,19,FALSE)-50))</f>
        <v>169</v>
      </c>
      <c r="U75" s="9">
        <f>IF(ISERROR(VLOOKUP($A75,'SegEnds_NonXtal_BW#'!$A:$Z,15,FALSE)+VLOOKUP($A75,A:AL,22,FALSE)-50),"-",VLOOKUP($A75,'SegEnds_NonXtal_BW#'!$A:$Z,15,FALSE)+VLOOKUP($A75,A:AL,22,FALSE)-50)</f>
        <v>170</v>
      </c>
      <c r="V75" s="3">
        <v>182</v>
      </c>
      <c r="W75" s="3">
        <f>IF(ISERROR(VLOOKUP($A75,'SegEnds_NonXtal_BW#'!$A:$Z,16,FALSE)+VLOOKUP($A75,A:AL,22,FALSE)-50),"-",(VLOOKUP($A75,'SegEnds_NonXtal_BW#'!$A:$Z,16,FALSE)+VLOOKUP($A75,A:AL,22,FALSE)-50))</f>
        <v>196</v>
      </c>
      <c r="X75" s="3">
        <f>IF(ISERROR(VLOOKUP($A75,'SegEnds_NonXtal_BW#'!$A:$Z,17,FALSE)+VLOOKUP($A75,A:AL,25,FALSE)-50),"-",(VLOOKUP($A75,'SegEnds_NonXtal_BW#'!$A:$Z,17,FALSE)+VLOOKUP($A75,A:AL,25,FALSE)-50))</f>
        <v>211</v>
      </c>
      <c r="Y75" s="3">
        <v>211</v>
      </c>
      <c r="Z75" s="3">
        <f t="shared" si="40"/>
        <v>213</v>
      </c>
      <c r="AA75" s="3">
        <f>IF(ISERROR(VLOOKUP($A75,'SegEnds_NonXtal_BW#'!$A:$Z,19,FALSE)+VLOOKUP($A75,A:AL,28,FALSE)-50),"-",(VLOOKUP($A75,'SegEnds_NonXtal_BW#'!$A:$Z,19,FALSE)+VLOOKUP($A75,A:AL,28,FALSE)-50))</f>
        <v>216</v>
      </c>
      <c r="AB75" s="3">
        <v>236</v>
      </c>
      <c r="AC75" s="3">
        <f>IF(ISERROR((VLOOKUP($A75,'SegEnds_NonXtal_BW#'!$A:$Z,20,FALSE)+VLOOKUP($A75,A:AL,28,FALSE)-50)),"-",(VLOOKUP($A75,'SegEnds_NonXtal_BW#'!$A:$Z,20,FALSE)+VLOOKUP($A75,A:AL,28,FALSE)-50))</f>
        <v>254</v>
      </c>
      <c r="AD75" s="3">
        <f>IF(ISERROR(VLOOKUP($A75,'SegEnds_NonXtal_BW#'!$A:$Z,21,FALSE)+VLOOKUP($A75,A:AL,31,FALSE)-50),"-",(VLOOKUP($A75,'SegEnds_NonXtal_BW#'!$A:$Z,21,FALSE)+VLOOKUP($A75,A:AL,31,FALSE)-50))</f>
        <v>259</v>
      </c>
      <c r="AE75" s="3">
        <v>285</v>
      </c>
      <c r="AF75" s="3">
        <f>IF(ISERROR((VLOOKUP($A75,'SegEnds_NonXtal_BW#'!$A:$Z,22,FALSE)+VLOOKUP($A75,A:AL,31,FALSE)-50)),"-",(VLOOKUP($A75,'SegEnds_NonXtal_BW#'!$A:$Z,22,FALSE)+VLOOKUP($A75,A:AL,31,FALSE)-50))</f>
        <v>299</v>
      </c>
      <c r="AG75" s="3">
        <f>IF(ISERROR(VLOOKUP($A75,'SegEnds_NonXtal_BW#'!$A:$Z,23,FALSE)+VLOOKUP($A75,A:AL,34,FALSE)-50),"-",(VLOOKUP($A75,'SegEnds_NonXtal_BW#'!$A:$Z,23,FALSE)+VLOOKUP($A75,A:AL,34,FALSE)-50))</f>
        <v>303</v>
      </c>
      <c r="AH75" s="3">
        <v>329</v>
      </c>
      <c r="AI75" s="3">
        <f>IF(ISERROR((VLOOKUP($A75,'SegEnds_NonXtal_BW#'!$A:$Z,24,FALSE)+VLOOKUP($A75,A:AL,34,FALSE)-50)),"-",(VLOOKUP($A75,'SegEnds_NonXtal_BW#'!$A:$Z,24,FALSE)+VLOOKUP($A75,A:AL,34,FALSE)-50))</f>
        <v>335</v>
      </c>
      <c r="AJ75" s="3">
        <f>IF(ISERROR(VLOOKUP($A75,'SegEnds_NonXtal_BW#'!$A:$Z,25,FALSE)+VLOOKUP($A75,A:AL,37,FALSE)-50),"-",(VLOOKUP($A75,'SegEnds_NonXtal_BW#'!$A:$Z,25,FALSE)+VLOOKUP($A75,A:AL,37,FALSE)-50))</f>
        <v>336</v>
      </c>
      <c r="AK75" s="3">
        <v>339</v>
      </c>
      <c r="AL75" s="3">
        <f>IF(ISERROR((VLOOKUP($A75,'SegEnds_NonXtal_BW#'!$A:$Z,26,FALSE)+VLOOKUP($A75,A:AL,37,FALSE)-50)),"-",(VLOOKUP($A75,'SegEnds_NonXtal_BW#'!$A:$Z,26,FALSE)+VLOOKUP($A75,A:AL,37,FALSE)-50))</f>
        <v>350</v>
      </c>
      <c r="AM75" s="28" t="str">
        <f>VLOOKUP(A75,Classification!A:B,2,FALSE)</f>
        <v>A</v>
      </c>
      <c r="AN75" s="28" t="b">
        <f t="shared" si="34"/>
        <v>1</v>
      </c>
      <c r="AO75" s="3" t="str">
        <f>IF(ISERROR(MATCH(A75,'SegEnds_Xtal_Prot#'!B:B, 0)), "NoXtal", "Xtal")</f>
        <v>NoXtal</v>
      </c>
      <c r="AP75" s="3">
        <f t="shared" si="41"/>
        <v>1</v>
      </c>
      <c r="AQ75" s="3">
        <f t="shared" si="42"/>
        <v>1</v>
      </c>
      <c r="AR75" s="3">
        <f t="shared" si="43"/>
        <v>3</v>
      </c>
      <c r="AS75" s="3">
        <f t="shared" si="44"/>
        <v>1</v>
      </c>
      <c r="AT75" s="3">
        <f t="shared" si="45"/>
        <v>1</v>
      </c>
      <c r="AU75" s="3">
        <f t="shared" si="46"/>
        <v>1</v>
      </c>
      <c r="AV75" s="3">
        <f t="shared" si="47"/>
        <v>15</v>
      </c>
      <c r="AW75" s="3">
        <f t="shared" si="48"/>
        <v>3</v>
      </c>
      <c r="AX75" s="3">
        <f t="shared" si="49"/>
        <v>5</v>
      </c>
      <c r="AY75" s="3">
        <f t="shared" si="50"/>
        <v>4</v>
      </c>
      <c r="AZ75" s="3">
        <f t="shared" si="51"/>
        <v>1</v>
      </c>
      <c r="BA75" s="3">
        <f>IF(ISERROR(LEN(VLOOKUP(A75,Seqs!A:E,2,FALSE))-AL75),"-",LEN(VLOOKUP(A75,Seqs!A:E,2,FALSE))-AL75)</f>
        <v>41</v>
      </c>
      <c r="BB75" s="16">
        <f t="shared" si="52"/>
        <v>28</v>
      </c>
      <c r="BC75" s="9">
        <f t="shared" si="53"/>
        <v>20</v>
      </c>
      <c r="BD75" s="3">
        <f t="shared" si="54"/>
        <v>28</v>
      </c>
      <c r="BE75" s="3">
        <f t="shared" si="55"/>
        <v>49</v>
      </c>
    </row>
    <row r="76" spans="1:58" s="3" customFormat="1" x14ac:dyDescent="0.2">
      <c r="A76" s="3" t="s">
        <v>163</v>
      </c>
      <c r="B76" s="3" t="str">
        <f>LOWER(VLOOKUP(A76,Xtal_Templ!A:B,2,FALSE))</f>
        <v>ednrb_human</v>
      </c>
      <c r="C76" s="3">
        <f>VLOOKUP($A76,'SegEnds_NonXtal_BW#'!$A:$Z,3,FALSE)+D76-50</f>
        <v>37</v>
      </c>
      <c r="D76" s="3">
        <v>65</v>
      </c>
      <c r="E76" s="3">
        <f>IF(ISERROR(VLOOKUP($A76,'SegEnds_NonXtal_BW#'!$A:$Z,4,FALSE)+VLOOKUP($A76,A:AL,4,FALSE)-50),"-",(VLOOKUP($A76,'SegEnds_NonXtal_BW#'!$A:$Z,4,FALSE)+VLOOKUP($A76,A:AL,4,FALSE)-50))</f>
        <v>75</v>
      </c>
      <c r="F76" s="3">
        <f>G76-2</f>
        <v>76</v>
      </c>
      <c r="G76" s="3">
        <v>78</v>
      </c>
      <c r="H76" s="3">
        <f t="shared" si="58"/>
        <v>79</v>
      </c>
      <c r="I76" s="3">
        <f t="shared" si="58"/>
        <v>80</v>
      </c>
      <c r="J76" s="3">
        <v>93</v>
      </c>
      <c r="K76" s="3">
        <f>VLOOKUP($A76,'SegEnds_NonXtal_BW#'!$A:$Z,8,FALSE)+VLOOKUP($A76,A:AL,10,FALSE)-50</f>
        <v>110</v>
      </c>
      <c r="L76" s="3">
        <f t="shared" si="56"/>
        <v>112</v>
      </c>
      <c r="M76" s="3">
        <v>113</v>
      </c>
      <c r="N76" s="3">
        <f t="shared" si="57"/>
        <v>115</v>
      </c>
      <c r="O76" s="3">
        <f t="shared" si="39"/>
        <v>116</v>
      </c>
      <c r="P76" s="3">
        <v>145</v>
      </c>
      <c r="Q76" s="3">
        <f>VLOOKUP($A76,'SegEnds_NonXtal_BW#'!$A:$Z,12,FALSE)+VLOOKUP($A76,A:AL,16,FALSE)-50</f>
        <v>151</v>
      </c>
      <c r="R76" s="3">
        <f>IF(ISERROR(VLOOKUP($A76,'SegEnds_NonXtal_BW#'!$A:$Z,13,FALSE)+VLOOKUP($A76,A:AL,19,FALSE)-50),"-",VLOOKUP($A76,'SegEnds_NonXtal_BW#'!$A:$Z,13,FALSE)+VLOOKUP($A76,A:AL,19,FALSE)-50)</f>
        <v>152</v>
      </c>
      <c r="S76" s="3">
        <v>152</v>
      </c>
      <c r="T76" s="103">
        <f>IF(ISERROR(VLOOKUP($A76,'SegEnds_NonXtal_BW#'!$A:$Z,14,FALSE)+VLOOKUP($A76,A:AL,19,FALSE)-50),"-",(VLOOKUP($A76,'SegEnds_NonXtal_BW#'!$A:$Z,14,FALSE)+VLOOKUP($A76,A:AL,19,FALSE)-50))</f>
        <v>159</v>
      </c>
      <c r="U76" s="9">
        <f>IF(ISERROR(VLOOKUP($A76,'SegEnds_NonXtal_BW#'!$A:$Z,15,FALSE)+VLOOKUP($A76,A:AL,22,FALSE)-50),"-",VLOOKUP($A76,'SegEnds_NonXtal_BW#'!$A:$Z,15,FALSE)+VLOOKUP($A76,A:AL,22,FALSE)-50)</f>
        <v>160</v>
      </c>
      <c r="V76" s="3">
        <v>172</v>
      </c>
      <c r="W76" s="3">
        <f>IF(ISERROR(VLOOKUP($A76,'SegEnds_NonXtal_BW#'!$A:$Z,16,FALSE)+VLOOKUP($A76,A:AL,22,FALSE)-50),"-",(VLOOKUP($A76,'SegEnds_NonXtal_BW#'!$A:$Z,16,FALSE)+VLOOKUP($A76,A:AL,22,FALSE)-50))</f>
        <v>186</v>
      </c>
      <c r="X76" s="3">
        <f>IF(ISERROR(VLOOKUP($A76,'SegEnds_NonXtal_BW#'!$A:$Z,17,FALSE)+VLOOKUP($A76,A:AL,25,FALSE)-50),"-",(VLOOKUP($A76,'SegEnds_NonXtal_BW#'!$A:$Z,17,FALSE)+VLOOKUP($A76,A:AL,25,FALSE)-50))</f>
        <v>203</v>
      </c>
      <c r="Y76" s="3">
        <v>203</v>
      </c>
      <c r="Z76" s="3">
        <f t="shared" si="40"/>
        <v>205</v>
      </c>
      <c r="AA76" s="3">
        <f>IF(ISERROR(VLOOKUP($A76,'SegEnds_NonXtal_BW#'!$A:$Z,19,FALSE)+VLOOKUP($A76,A:AL,28,FALSE)-50),"-",(VLOOKUP($A76,'SegEnds_NonXtal_BW#'!$A:$Z,19,FALSE)+VLOOKUP($A76,A:AL,28,FALSE)-50))</f>
        <v>208</v>
      </c>
      <c r="AB76" s="3">
        <v>229</v>
      </c>
      <c r="AC76" s="3">
        <f>IF(ISERROR((VLOOKUP($A76,'SegEnds_NonXtal_BW#'!$A:$Z,20,FALSE)+VLOOKUP($A76,A:AL,28,FALSE)-50)),"-",(VLOOKUP($A76,'SegEnds_NonXtal_BW#'!$A:$Z,20,FALSE)+VLOOKUP($A76,A:AL,28,FALSE)-50))</f>
        <v>251</v>
      </c>
      <c r="AD76" s="3">
        <f>IF(ISERROR(VLOOKUP($A76,'SegEnds_NonXtal_BW#'!$A:$Z,21,FALSE)+VLOOKUP($A76,A:AL,31,FALSE)-50),"-",(VLOOKUP($A76,'SegEnds_NonXtal_BW#'!$A:$Z,21,FALSE)+VLOOKUP($A76,A:AL,31,FALSE)-50))</f>
        <v>260</v>
      </c>
      <c r="AE76" s="3">
        <v>286</v>
      </c>
      <c r="AF76" s="3">
        <f>IF(ISERROR((VLOOKUP($A76,'SegEnds_NonXtal_BW#'!$A:$Z,22,FALSE)+VLOOKUP($A76,A:AL,31,FALSE)-50)),"-",(VLOOKUP($A76,'SegEnds_NonXtal_BW#'!$A:$Z,22,FALSE)+VLOOKUP($A76,A:AL,31,FALSE)-50))</f>
        <v>297</v>
      </c>
      <c r="AG76" s="3">
        <f>IF(ISERROR(VLOOKUP($A76,'SegEnds_NonXtal_BW#'!$A:$Z,23,FALSE)+VLOOKUP($A76,A:AL,34,FALSE)-50),"-",(VLOOKUP($A76,'SegEnds_NonXtal_BW#'!$A:$Z,23,FALSE)+VLOOKUP($A76,A:AL,34,FALSE)-50))</f>
        <v>305</v>
      </c>
      <c r="AH76" s="3">
        <v>327</v>
      </c>
      <c r="AI76" s="3">
        <f>IF(ISERROR((VLOOKUP($A76,'SegEnds_NonXtal_BW#'!$A:$Z,24,FALSE)+VLOOKUP($A76,A:AL,34,FALSE)-50)),"-",(VLOOKUP($A76,'SegEnds_NonXtal_BW#'!$A:$Z,24,FALSE)+VLOOKUP($A76,A:AL,34,FALSE)-50))</f>
        <v>333</v>
      </c>
      <c r="AJ76" s="3">
        <f>IF(ISERROR(VLOOKUP($A76,'SegEnds_NonXtal_BW#'!$A:$Z,25,FALSE)+VLOOKUP($A76,A:AL,37,FALSE)-50),"-",(VLOOKUP($A76,'SegEnds_NonXtal_BW#'!$A:$Z,25,FALSE)+VLOOKUP($A76,A:AL,37,FALSE)-50))</f>
        <v>334</v>
      </c>
      <c r="AK76" s="3">
        <v>337</v>
      </c>
      <c r="AL76" s="3">
        <f>IF(ISERROR((VLOOKUP($A76,'SegEnds_NonXtal_BW#'!$A:$Z,26,FALSE)+VLOOKUP($A76,A:AL,37,FALSE)-50)),"-",(VLOOKUP($A76,'SegEnds_NonXtal_BW#'!$A:$Z,26,FALSE)+VLOOKUP($A76,A:AL,37,FALSE)-50))</f>
        <v>347</v>
      </c>
      <c r="AM76" s="28" t="str">
        <f>VLOOKUP(A76,Classification!A:B,2,FALSE)</f>
        <v>A</v>
      </c>
      <c r="AN76" s="28" t="b">
        <f t="shared" ref="AN76:AN106" si="59">AND(IF(Y76="-",IF(AA76-W76&gt;3,TRUE,FALSE),TRUE),IF(M76="-",IF(O76-K76&gt;3,TRUE,FALSE),TRUE),C76&lt;E76,OR(E76&lt;F76,F76="-"),OR(F76&lt;H76,F76="-"),OR(H76&lt;I76,H76="-"),I76&lt;K76,OR(K76&lt;L76,L76="-"),OR(L76&lt;N76,L76="-"),OR(N76&lt;O76,N76="-"),O76&lt;Q76,OR(Q76&lt;R76,R76="-"),OR(R76&lt;T76,R76="-"),OR(T76&lt;U76,T76="-"),U76&lt;W76,OR(W76&lt;X76,X76="-"),OR(X76&lt;Z76,X76="-"),OR(Z76&lt;AA76,Z76="-"),AA76&lt;AC76,AC76&lt;AD76,AD76&lt;AF76,AF76&lt;AG76,AG76&lt;AI76,OR(AI76&lt;AJ76,AJ76="-"),OR(AJ76&lt;AL76,AJ76="-"))</f>
        <v>1</v>
      </c>
      <c r="AO76" s="3" t="str">
        <f>IF(ISERROR(MATCH(A76,'SegEnds_Xtal_Prot#'!B:B, 0)), "NoXtal", "Xtal")</f>
        <v>NoXtal</v>
      </c>
      <c r="AP76" s="3">
        <f t="shared" si="41"/>
        <v>1</v>
      </c>
      <c r="AQ76" s="3">
        <f t="shared" si="42"/>
        <v>1</v>
      </c>
      <c r="AR76" s="3">
        <f t="shared" si="43"/>
        <v>2</v>
      </c>
      <c r="AS76" s="3">
        <f t="shared" si="44"/>
        <v>1</v>
      </c>
      <c r="AT76" s="3">
        <f t="shared" si="45"/>
        <v>1</v>
      </c>
      <c r="AU76" s="3">
        <f t="shared" si="46"/>
        <v>1</v>
      </c>
      <c r="AV76" s="3">
        <f t="shared" si="47"/>
        <v>17</v>
      </c>
      <c r="AW76" s="3">
        <f t="shared" si="48"/>
        <v>3</v>
      </c>
      <c r="AX76" s="3">
        <f t="shared" si="49"/>
        <v>9</v>
      </c>
      <c r="AY76" s="3">
        <f t="shared" si="50"/>
        <v>8</v>
      </c>
      <c r="AZ76" s="3">
        <f t="shared" si="51"/>
        <v>1</v>
      </c>
      <c r="BA76" s="3">
        <f>IF(ISERROR(LEN(VLOOKUP(A76,Seqs!A:E,2,FALSE))-AL76),"-",LEN(VLOOKUP(A76,Seqs!A:E,2,FALSE))-AL76)</f>
        <v>52</v>
      </c>
      <c r="BB76" s="16">
        <f t="shared" si="52"/>
        <v>28</v>
      </c>
      <c r="BC76" s="9">
        <f t="shared" si="53"/>
        <v>20</v>
      </c>
      <c r="BD76" s="3">
        <f t="shared" si="54"/>
        <v>28</v>
      </c>
      <c r="BE76" s="3">
        <f t="shared" si="55"/>
        <v>57</v>
      </c>
    </row>
    <row r="77" spans="1:58" s="3" customFormat="1" x14ac:dyDescent="0.2">
      <c r="A77" s="3" t="s">
        <v>164</v>
      </c>
      <c r="B77" s="3" t="str">
        <f>LOWER(VLOOKUP(A77,Xtal_Templ!A:B,2,FALSE))</f>
        <v>agtr1_human</v>
      </c>
      <c r="C77" s="3">
        <f>VLOOKUP($A77,'SegEnds_NonXtal_BW#'!$A:$Z,3,FALSE)+D77-50</f>
        <v>21</v>
      </c>
      <c r="D77" s="3">
        <v>41</v>
      </c>
      <c r="E77" s="3">
        <f>IF(ISERROR(VLOOKUP($A77,'SegEnds_NonXtal_BW#'!$A:$Z,4,FALSE)+VLOOKUP($A77,A:AL,4,FALSE)-50),"-",(VLOOKUP($A77,'SegEnds_NonXtal_BW#'!$A:$Z,4,FALSE)+VLOOKUP($A77,A:AL,4,FALSE)-50))</f>
        <v>51</v>
      </c>
      <c r="F77" s="3" t="str">
        <f>IF(ISERROR(VLOOKUP($A77,'SegEnds_NonXtal_BW#'!$A:$Z,5,FALSE)+VLOOKUP($A77,A:AL,7,FALSE)-50),"-",(VLOOKUP($A77,'SegEnds_NonXtal_BW#'!$A:$Z,5,FALSE)+VLOOKUP($A77,A:AL,7,FALSE)-50))</f>
        <v>-</v>
      </c>
      <c r="G77" s="3" t="s">
        <v>23</v>
      </c>
      <c r="H77" s="3" t="str">
        <f>IF(ISERROR(VLOOKUP($A77,'SegEnds_NonXtal_BW#'!$A:$Z,6,FALSE)+VLOOKUP($A77,A:AL,7,FALSE)-50),"-",(VLOOKUP($A77,'SegEnds_NonXtal_BW#'!$A:$Z,6,FALSE)+VLOOKUP($A77,A:AL,7,FALSE)-50))</f>
        <v>-</v>
      </c>
      <c r="I77" s="3">
        <f>VLOOKUP($A77,'SegEnds_NonXtal_BW#'!$A:$Z,7,FALSE)+J77-50</f>
        <v>55</v>
      </c>
      <c r="J77" s="3">
        <v>68</v>
      </c>
      <c r="K77" s="3">
        <f>VLOOKUP($A77,'SegEnds_NonXtal_BW#'!$A:$Z,8,FALSE)+VLOOKUP($A77,A:AL,10,FALSE)-50</f>
        <v>84</v>
      </c>
      <c r="L77" s="3">
        <f t="shared" si="56"/>
        <v>87</v>
      </c>
      <c r="M77" s="3">
        <v>88</v>
      </c>
      <c r="N77" s="3">
        <f t="shared" si="57"/>
        <v>90</v>
      </c>
      <c r="O77" s="3">
        <f t="shared" si="39"/>
        <v>91</v>
      </c>
      <c r="P77" s="3">
        <v>120</v>
      </c>
      <c r="Q77" s="3">
        <f>VLOOKUP($A77,'SegEnds_NonXtal_BW#'!$A:$Z,12,FALSE)+VLOOKUP($A77,A:AL,16,FALSE)-50</f>
        <v>126</v>
      </c>
      <c r="R77" s="3">
        <f>IF(ISERROR(VLOOKUP($A77,'SegEnds_NonXtal_BW#'!$A:$Z,13,FALSE)+VLOOKUP($A77,A:AL,19,FALSE)-50),"-",VLOOKUP($A77,'SegEnds_NonXtal_BW#'!$A:$Z,13,FALSE)+VLOOKUP($A77,A:AL,19,FALSE)-50)</f>
        <v>127</v>
      </c>
      <c r="S77" s="3">
        <v>127</v>
      </c>
      <c r="T77" s="103">
        <f>IF(ISERROR(VLOOKUP($A77,'SegEnds_NonXtal_BW#'!$A:$Z,14,FALSE)+VLOOKUP($A77,A:AL,19,FALSE)-50),"-",(VLOOKUP($A77,'SegEnds_NonXtal_BW#'!$A:$Z,14,FALSE)+VLOOKUP($A77,A:AL,19,FALSE)-50))</f>
        <v>134</v>
      </c>
      <c r="U77" s="9">
        <f>IF(ISERROR(VLOOKUP($A77,'SegEnds_NonXtal_BW#'!$A:$Z,15,FALSE)+VLOOKUP($A77,A:AL,22,FALSE)-50),"-",VLOOKUP($A77,'SegEnds_NonXtal_BW#'!$A:$Z,15,FALSE)+VLOOKUP($A77,A:AL,22,FALSE)-50)</f>
        <v>135</v>
      </c>
      <c r="V77" s="3">
        <v>147</v>
      </c>
      <c r="W77" s="3">
        <f>IF(ISERROR(VLOOKUP($A77,'SegEnds_NonXtal_BW#'!$A:$Z,16,FALSE)+VLOOKUP($A77,A:AL,22,FALSE)-50),"-",(VLOOKUP($A77,'SegEnds_NonXtal_BW#'!$A:$Z,16,FALSE)+VLOOKUP($A77,A:AL,22,FALSE)-50))</f>
        <v>161</v>
      </c>
      <c r="X77" s="3">
        <f>IF(ISERROR(VLOOKUP($A77,'SegEnds_NonXtal_BW#'!$A:$Z,17,FALSE)+VLOOKUP($A77,A:AL,25,FALSE)-50),"-",(VLOOKUP($A77,'SegEnds_NonXtal_BW#'!$A:$Z,17,FALSE)+VLOOKUP($A77,A:AL,25,FALSE)-50))</f>
        <v>172</v>
      </c>
      <c r="Y77" s="3">
        <v>172</v>
      </c>
      <c r="Z77" s="3">
        <f t="shared" si="40"/>
        <v>174</v>
      </c>
      <c r="AA77" s="3">
        <f>IF(ISERROR(VLOOKUP($A77,'SegEnds_NonXtal_BW#'!$A:$Z,19,FALSE)+VLOOKUP($A77,A:AL,28,FALSE)-50),"-",(VLOOKUP($A77,'SegEnds_NonXtal_BW#'!$A:$Z,19,FALSE)+VLOOKUP($A77,A:AL,28,FALSE)-50))</f>
        <v>332</v>
      </c>
      <c r="AB77" s="3">
        <v>348</v>
      </c>
      <c r="AC77" s="3">
        <f>IF(ISERROR((VLOOKUP($A77,'SegEnds_NonXtal_BW#'!$A:$Z,20,FALSE)+VLOOKUP($A77,A:AL,28,FALSE)-50)),"-",(VLOOKUP($A77,'SegEnds_NonXtal_BW#'!$A:$Z,20,FALSE)+VLOOKUP($A77,A:AL,28,FALSE)-50))</f>
        <v>366</v>
      </c>
      <c r="AD77" s="3">
        <f>IF(ISERROR(VLOOKUP($A77,'SegEnds_NonXtal_BW#'!$A:$Z,21,FALSE)+VLOOKUP($A77,A:AL,31,FALSE)-50),"-",(VLOOKUP($A77,'SegEnds_NonXtal_BW#'!$A:$Z,21,FALSE)+VLOOKUP($A77,A:AL,31,FALSE)-50))</f>
        <v>370</v>
      </c>
      <c r="AE77" s="3">
        <v>392</v>
      </c>
      <c r="AF77" s="3">
        <f>IF(ISERROR((VLOOKUP($A77,'SegEnds_NonXtal_BW#'!$A:$Z,22,FALSE)+VLOOKUP($A77,A:AL,31,FALSE)-50)),"-",(VLOOKUP($A77,'SegEnds_NonXtal_BW#'!$A:$Z,22,FALSE)+VLOOKUP($A77,A:AL,31,FALSE)-50))</f>
        <v>403</v>
      </c>
      <c r="AG77" s="3">
        <f>IF(ISERROR(VLOOKUP($A77,'SegEnds_NonXtal_BW#'!$A:$Z,23,FALSE)+VLOOKUP($A77,A:AL,34,FALSE)-50),"-",(VLOOKUP($A77,'SegEnds_NonXtal_BW#'!$A:$Z,23,FALSE)+VLOOKUP($A77,A:AL,34,FALSE)-50))</f>
        <v>410</v>
      </c>
      <c r="AH77" s="3">
        <v>432</v>
      </c>
      <c r="AI77" s="3">
        <f>IF(ISERROR((VLOOKUP($A77,'SegEnds_NonXtal_BW#'!$A:$Z,24,FALSE)+VLOOKUP($A77,A:AL,34,FALSE)-50)),"-",(VLOOKUP($A77,'SegEnds_NonXtal_BW#'!$A:$Z,24,FALSE)+VLOOKUP($A77,A:AL,34,FALSE)-50))</f>
        <v>438</v>
      </c>
      <c r="AJ77" s="3">
        <f>IF(ISERROR(VLOOKUP($A77,'SegEnds_NonXtal_BW#'!$A:$Z,25,FALSE)+VLOOKUP($A77,A:AL,37,FALSE)-50),"-",(VLOOKUP($A77,'SegEnds_NonXtal_BW#'!$A:$Z,25,FALSE)+VLOOKUP($A77,A:AL,37,FALSE)-50))</f>
        <v>439</v>
      </c>
      <c r="AK77" s="3">
        <v>442</v>
      </c>
      <c r="AL77" s="3">
        <f>IF(ISERROR((VLOOKUP($A77,'SegEnds_NonXtal_BW#'!$A:$Z,26,FALSE)+VLOOKUP($A77,A:AL,37,FALSE)-50)),"-",(VLOOKUP($A77,'SegEnds_NonXtal_BW#'!$A:$Z,26,FALSE)+VLOOKUP($A77,A:AL,37,FALSE)-50))</f>
        <v>453</v>
      </c>
      <c r="AM77" s="28" t="str">
        <f>VLOOKUP(A77,Classification!A:B,2,FALSE)</f>
        <v>A</v>
      </c>
      <c r="AN77" s="28" t="b">
        <f t="shared" si="59"/>
        <v>1</v>
      </c>
      <c r="AO77" s="3" t="str">
        <f>IF(ISERROR(MATCH(A77,'SegEnds_Xtal_Prot#'!B:B, 0)), "NoXtal", "Xtal")</f>
        <v>NoXtal</v>
      </c>
      <c r="AP77" s="3" t="str">
        <f t="shared" si="41"/>
        <v>-</v>
      </c>
      <c r="AQ77" s="3" t="str">
        <f t="shared" si="42"/>
        <v>-</v>
      </c>
      <c r="AR77" s="3">
        <f t="shared" si="43"/>
        <v>3</v>
      </c>
      <c r="AS77" s="3">
        <f t="shared" si="44"/>
        <v>1</v>
      </c>
      <c r="AT77" s="3">
        <f t="shared" si="45"/>
        <v>1</v>
      </c>
      <c r="AU77" s="3">
        <f t="shared" si="46"/>
        <v>1</v>
      </c>
      <c r="AV77" s="3">
        <f t="shared" si="47"/>
        <v>11</v>
      </c>
      <c r="AW77" s="3">
        <f t="shared" si="48"/>
        <v>158</v>
      </c>
      <c r="AX77" s="3">
        <f t="shared" si="49"/>
        <v>4</v>
      </c>
      <c r="AY77" s="3">
        <f t="shared" si="50"/>
        <v>7</v>
      </c>
      <c r="AZ77" s="3">
        <f t="shared" si="51"/>
        <v>1</v>
      </c>
      <c r="BA77" s="3">
        <f>IF(ISERROR(LEN(VLOOKUP(A77,Seqs!A:E,2,FALSE))-AL77),"-",LEN(VLOOKUP(A77,Seqs!A:E,2,FALSE))-AL77)</f>
        <v>29</v>
      </c>
      <c r="BB77" s="16">
        <f t="shared" si="52"/>
        <v>27</v>
      </c>
      <c r="BC77" s="9">
        <f t="shared" si="53"/>
        <v>20</v>
      </c>
      <c r="BD77" s="3">
        <f t="shared" si="54"/>
        <v>27</v>
      </c>
      <c r="BE77" s="3">
        <f t="shared" si="55"/>
        <v>44</v>
      </c>
    </row>
    <row r="78" spans="1:58" s="3" customFormat="1" x14ac:dyDescent="0.2">
      <c r="A78" s="3" t="s">
        <v>165</v>
      </c>
      <c r="B78" s="3" t="str">
        <f>LOWER(VLOOKUP(A78,Xtal_Templ!A:B,2,FALSE))</f>
        <v>agtr1_human</v>
      </c>
      <c r="C78" s="3">
        <f>VLOOKUP($A78,'SegEnds_NonXtal_BW#'!$A:$Z,3,FALSE)+D78-50</f>
        <v>35</v>
      </c>
      <c r="D78" s="3">
        <v>55</v>
      </c>
      <c r="E78" s="3">
        <f>IF(ISERROR(VLOOKUP($A78,'SegEnds_NonXtal_BW#'!$A:$Z,4,FALSE)+VLOOKUP($A78,A:AL,4,FALSE)-50),"-",(VLOOKUP($A78,'SegEnds_NonXtal_BW#'!$A:$Z,4,FALSE)+VLOOKUP($A78,A:AL,4,FALSE)-50))</f>
        <v>65</v>
      </c>
      <c r="F78" s="3" t="str">
        <f>IF(ISERROR(VLOOKUP($A78,'SegEnds_NonXtal_BW#'!$A:$Z,5,FALSE)+VLOOKUP($A78,A:AL,7,FALSE)-50),"-",(VLOOKUP($A78,'SegEnds_NonXtal_BW#'!$A:$Z,5,FALSE)+VLOOKUP($A78,A:AL,7,FALSE)-50))</f>
        <v>-</v>
      </c>
      <c r="G78" s="3" t="s">
        <v>23</v>
      </c>
      <c r="H78" s="3" t="str">
        <f>IF(ISERROR(VLOOKUP($A78,'SegEnds_NonXtal_BW#'!$A:$Z,6,FALSE)+VLOOKUP($A78,A:AL,7,FALSE)-50),"-",(VLOOKUP($A78,'SegEnds_NonXtal_BW#'!$A:$Z,6,FALSE)+VLOOKUP($A78,A:AL,7,FALSE)-50))</f>
        <v>-</v>
      </c>
      <c r="I78" s="3">
        <f>VLOOKUP($A78,'SegEnds_NonXtal_BW#'!$A:$Z,7,FALSE)+J78-50</f>
        <v>69</v>
      </c>
      <c r="J78" s="3">
        <v>82</v>
      </c>
      <c r="K78" s="3">
        <f>VLOOKUP($A78,'SegEnds_NonXtal_BW#'!$A:$Z,8,FALSE)+VLOOKUP($A78,A:AL,10,FALSE)-50</f>
        <v>98</v>
      </c>
      <c r="L78" s="3">
        <f t="shared" si="56"/>
        <v>101</v>
      </c>
      <c r="M78" s="3">
        <v>102</v>
      </c>
      <c r="N78" s="3">
        <f t="shared" si="57"/>
        <v>104</v>
      </c>
      <c r="O78" s="3">
        <f t="shared" si="39"/>
        <v>105</v>
      </c>
      <c r="P78" s="3">
        <v>134</v>
      </c>
      <c r="Q78" s="3">
        <f>VLOOKUP($A78,'SegEnds_NonXtal_BW#'!$A:$Z,12,FALSE)+VLOOKUP($A78,A:AL,16,FALSE)-50</f>
        <v>140</v>
      </c>
      <c r="R78" s="3">
        <f>IF(ISERROR(VLOOKUP($A78,'SegEnds_NonXtal_BW#'!$A:$Z,13,FALSE)+VLOOKUP($A78,A:AL,19,FALSE)-50),"-",VLOOKUP($A78,'SegEnds_NonXtal_BW#'!$A:$Z,13,FALSE)+VLOOKUP($A78,A:AL,19,FALSE)-50)</f>
        <v>141</v>
      </c>
      <c r="S78" s="3">
        <v>141</v>
      </c>
      <c r="T78" s="103">
        <f>IF(ISERROR(VLOOKUP($A78,'SegEnds_NonXtal_BW#'!$A:$Z,14,FALSE)+VLOOKUP($A78,A:AL,19,FALSE)-50),"-",(VLOOKUP($A78,'SegEnds_NonXtal_BW#'!$A:$Z,14,FALSE)+VLOOKUP($A78,A:AL,19,FALSE)-50))</f>
        <v>148</v>
      </c>
      <c r="U78" s="9">
        <f>IF(ISERROR(VLOOKUP($A78,'SegEnds_NonXtal_BW#'!$A:$Z,15,FALSE)+VLOOKUP($A78,A:AL,22,FALSE)-50),"-",VLOOKUP($A78,'SegEnds_NonXtal_BW#'!$A:$Z,15,FALSE)+VLOOKUP($A78,A:AL,22,FALSE)-50)</f>
        <v>149</v>
      </c>
      <c r="V78" s="3">
        <v>161</v>
      </c>
      <c r="W78" s="3">
        <f>IF(ISERROR(VLOOKUP($A78,'SegEnds_NonXtal_BW#'!$A:$Z,16,FALSE)+VLOOKUP($A78,A:AL,22,FALSE)-50),"-",(VLOOKUP($A78,'SegEnds_NonXtal_BW#'!$A:$Z,16,FALSE)+VLOOKUP($A78,A:AL,22,FALSE)-50))</f>
        <v>175</v>
      </c>
      <c r="X78" s="3">
        <f>IF(ISERROR(VLOOKUP($A78,'SegEnds_NonXtal_BW#'!$A:$Z,17,FALSE)+VLOOKUP($A78,A:AL,25,FALSE)-50),"-",(VLOOKUP($A78,'SegEnds_NonXtal_BW#'!$A:$Z,17,FALSE)+VLOOKUP($A78,A:AL,25,FALSE)-50))</f>
        <v>188</v>
      </c>
      <c r="Y78" s="3">
        <v>188</v>
      </c>
      <c r="Z78" s="3">
        <f t="shared" si="40"/>
        <v>190</v>
      </c>
      <c r="AA78" s="3">
        <f>IF(ISERROR(VLOOKUP($A78,'SegEnds_NonXtal_BW#'!$A:$Z,19,FALSE)+VLOOKUP($A78,A:AL,28,FALSE)-50),"-",(VLOOKUP($A78,'SegEnds_NonXtal_BW#'!$A:$Z,19,FALSE)+VLOOKUP($A78,A:AL,28,FALSE)-50))</f>
        <v>198</v>
      </c>
      <c r="AB78" s="3">
        <v>214</v>
      </c>
      <c r="AC78" s="3">
        <f>IF(ISERROR((VLOOKUP($A78,'SegEnds_NonXtal_BW#'!$A:$Z,20,FALSE)+VLOOKUP($A78,A:AL,28,FALSE)-50)),"-",(VLOOKUP($A78,'SegEnds_NonXtal_BW#'!$A:$Z,20,FALSE)+VLOOKUP($A78,A:AL,28,FALSE)-50))</f>
        <v>232</v>
      </c>
      <c r="AD78" s="3">
        <f>IF(ISERROR(VLOOKUP($A78,'SegEnds_NonXtal_BW#'!$A:$Z,21,FALSE)+VLOOKUP($A78,A:AL,31,FALSE)-50),"-",(VLOOKUP($A78,'SegEnds_NonXtal_BW#'!$A:$Z,21,FALSE)+VLOOKUP($A78,A:AL,31,FALSE)-50))</f>
        <v>237</v>
      </c>
      <c r="AE78" s="3">
        <v>257</v>
      </c>
      <c r="AF78" s="3">
        <f>IF(ISERROR((VLOOKUP($A78,'SegEnds_NonXtal_BW#'!$A:$Z,22,FALSE)+VLOOKUP($A78,A:AL,31,FALSE)-50)),"-",(VLOOKUP($A78,'SegEnds_NonXtal_BW#'!$A:$Z,22,FALSE)+VLOOKUP($A78,A:AL,31,FALSE)-50))</f>
        <v>268</v>
      </c>
      <c r="AG78" s="3">
        <f>IF(ISERROR(VLOOKUP($A78,'SegEnds_NonXtal_BW#'!$A:$Z,23,FALSE)+VLOOKUP($A78,A:AL,34,FALSE)-50),"-",(VLOOKUP($A78,'SegEnds_NonXtal_BW#'!$A:$Z,23,FALSE)+VLOOKUP($A78,A:AL,34,FALSE)-50))</f>
        <v>275</v>
      </c>
      <c r="AH78" s="3">
        <v>297</v>
      </c>
      <c r="AI78" s="3">
        <f>IF(ISERROR((VLOOKUP($A78,'SegEnds_NonXtal_BW#'!$A:$Z,24,FALSE)+VLOOKUP($A78,A:AL,34,FALSE)-50)),"-",(VLOOKUP($A78,'SegEnds_NonXtal_BW#'!$A:$Z,24,FALSE)+VLOOKUP($A78,A:AL,34,FALSE)-50))</f>
        <v>303</v>
      </c>
      <c r="AJ78" s="3">
        <f>IF(ISERROR(VLOOKUP($A78,'SegEnds_NonXtal_BW#'!$A:$Z,25,FALSE)+VLOOKUP($A78,A:AL,37,FALSE)-50),"-",(VLOOKUP($A78,'SegEnds_NonXtal_BW#'!$A:$Z,25,FALSE)+VLOOKUP($A78,A:AL,37,FALSE)-50))</f>
        <v>304</v>
      </c>
      <c r="AK78" s="3">
        <v>307</v>
      </c>
      <c r="AL78" s="3">
        <f>IF(ISERROR((VLOOKUP($A78,'SegEnds_NonXtal_BW#'!$A:$Z,26,FALSE)+VLOOKUP($A78,A:AL,37,FALSE)-50)),"-",(VLOOKUP($A78,'SegEnds_NonXtal_BW#'!$A:$Z,26,FALSE)+VLOOKUP($A78,A:AL,37,FALSE)-50))</f>
        <v>318</v>
      </c>
      <c r="AM78" s="28" t="str">
        <f>VLOOKUP(A78,Classification!A:B,2,FALSE)</f>
        <v>A</v>
      </c>
      <c r="AN78" s="28" t="b">
        <f t="shared" si="59"/>
        <v>1</v>
      </c>
      <c r="AO78" s="3" t="str">
        <f>IF(ISERROR(MATCH(A78,'SegEnds_Xtal_Prot#'!B:B, 0)), "NoXtal", "Xtal")</f>
        <v>NoXtal</v>
      </c>
      <c r="AP78" s="3" t="str">
        <f t="shared" si="41"/>
        <v>-</v>
      </c>
      <c r="AQ78" s="3" t="str">
        <f t="shared" si="42"/>
        <v>-</v>
      </c>
      <c r="AR78" s="3">
        <f t="shared" si="43"/>
        <v>3</v>
      </c>
      <c r="AS78" s="3">
        <f t="shared" si="44"/>
        <v>1</v>
      </c>
      <c r="AT78" s="3">
        <f t="shared" si="45"/>
        <v>1</v>
      </c>
      <c r="AU78" s="3">
        <f t="shared" si="46"/>
        <v>1</v>
      </c>
      <c r="AV78" s="3">
        <f t="shared" si="47"/>
        <v>13</v>
      </c>
      <c r="AW78" s="3">
        <f t="shared" si="48"/>
        <v>8</v>
      </c>
      <c r="AX78" s="3">
        <f t="shared" si="49"/>
        <v>5</v>
      </c>
      <c r="AY78" s="3">
        <f t="shared" si="50"/>
        <v>7</v>
      </c>
      <c r="AZ78" s="3">
        <f t="shared" si="51"/>
        <v>1</v>
      </c>
      <c r="BA78" s="3">
        <f>IF(ISERROR(LEN(VLOOKUP(A78,Seqs!A:E,2,FALSE))-AL78),"-",LEN(VLOOKUP(A78,Seqs!A:E,2,FALSE))-AL78)</f>
        <v>32</v>
      </c>
      <c r="BB78" s="16">
        <f t="shared" si="52"/>
        <v>27</v>
      </c>
      <c r="BC78" s="9">
        <f t="shared" si="53"/>
        <v>20</v>
      </c>
      <c r="BD78" s="3">
        <f t="shared" si="54"/>
        <v>27</v>
      </c>
      <c r="BE78" s="3">
        <f t="shared" si="55"/>
        <v>43</v>
      </c>
    </row>
    <row r="79" spans="1:58" s="3" customFormat="1" x14ac:dyDescent="0.2">
      <c r="A79" s="3" t="s">
        <v>166</v>
      </c>
      <c r="B79" s="3" t="str">
        <f>LOWER(VLOOKUP(A79,Xtal_Templ!A:B,2,FALSE))</f>
        <v>agtr1_human</v>
      </c>
      <c r="C79" s="3">
        <f>VLOOKUP($A79,'SegEnds_NonXtal_BW#'!$A:$Z,3,FALSE)+D79-50</f>
        <v>33</v>
      </c>
      <c r="D79" s="3">
        <v>53</v>
      </c>
      <c r="E79" s="3">
        <f>IF(ISERROR(VLOOKUP($A79,'SegEnds_NonXtal_BW#'!$A:$Z,4,FALSE)+VLOOKUP($A79,A:AL,4,FALSE)-50),"-",(VLOOKUP($A79,'SegEnds_NonXtal_BW#'!$A:$Z,4,FALSE)+VLOOKUP($A79,A:AL,4,FALSE)-50))</f>
        <v>63</v>
      </c>
      <c r="F79" s="3" t="str">
        <f>IF(ISERROR(VLOOKUP($A79,'SegEnds_NonXtal_BW#'!$A:$Z,5,FALSE)+VLOOKUP($A79,A:AL,7,FALSE)-50),"-",(VLOOKUP($A79,'SegEnds_NonXtal_BW#'!$A:$Z,5,FALSE)+VLOOKUP($A79,A:AL,7,FALSE)-50))</f>
        <v>-</v>
      </c>
      <c r="G79" s="3" t="s">
        <v>23</v>
      </c>
      <c r="H79" s="3" t="str">
        <f>IF(ISERROR(VLOOKUP($A79,'SegEnds_NonXtal_BW#'!$A:$Z,6,FALSE)+VLOOKUP($A79,A:AL,7,FALSE)-50),"-",(VLOOKUP($A79,'SegEnds_NonXtal_BW#'!$A:$Z,6,FALSE)+VLOOKUP($A79,A:AL,7,FALSE)-50))</f>
        <v>-</v>
      </c>
      <c r="I79" s="3">
        <f>VLOOKUP($A79,'SegEnds_NonXtal_BW#'!$A:$Z,7,FALSE)+J79-50</f>
        <v>67</v>
      </c>
      <c r="J79" s="3">
        <v>80</v>
      </c>
      <c r="K79" s="3">
        <f>VLOOKUP($A79,'SegEnds_NonXtal_BW#'!$A:$Z,8,FALSE)+VLOOKUP($A79,A:AL,10,FALSE)-50</f>
        <v>96</v>
      </c>
      <c r="L79" s="3">
        <f t="shared" si="56"/>
        <v>99</v>
      </c>
      <c r="M79" s="3">
        <v>100</v>
      </c>
      <c r="N79" s="3">
        <f t="shared" si="57"/>
        <v>102</v>
      </c>
      <c r="O79" s="3">
        <f t="shared" si="39"/>
        <v>103</v>
      </c>
      <c r="P79" s="3">
        <v>132</v>
      </c>
      <c r="Q79" s="3">
        <f>VLOOKUP($A79,'SegEnds_NonXtal_BW#'!$A:$Z,12,FALSE)+VLOOKUP($A79,A:AL,16,FALSE)-50</f>
        <v>138</v>
      </c>
      <c r="R79" s="3">
        <f>IF(ISERROR(VLOOKUP($A79,'SegEnds_NonXtal_BW#'!$A:$Z,13,FALSE)+VLOOKUP($A79,A:AL,19,FALSE)-50),"-",VLOOKUP($A79,'SegEnds_NonXtal_BW#'!$A:$Z,13,FALSE)+VLOOKUP($A79,A:AL,19,FALSE)-50)</f>
        <v>139</v>
      </c>
      <c r="S79" s="3">
        <v>139</v>
      </c>
      <c r="T79" s="103">
        <f>IF(ISERROR(VLOOKUP($A79,'SegEnds_NonXtal_BW#'!$A:$Z,14,FALSE)+VLOOKUP($A79,A:AL,19,FALSE)-50),"-",(VLOOKUP($A79,'SegEnds_NonXtal_BW#'!$A:$Z,14,FALSE)+VLOOKUP($A79,A:AL,19,FALSE)-50))</f>
        <v>146</v>
      </c>
      <c r="U79" s="9">
        <f>IF(ISERROR(VLOOKUP($A79,'SegEnds_NonXtal_BW#'!$A:$Z,15,FALSE)+VLOOKUP($A79,A:AL,22,FALSE)-50),"-",VLOOKUP($A79,'SegEnds_NonXtal_BW#'!$A:$Z,15,FALSE)+VLOOKUP($A79,A:AL,22,FALSE)-50)</f>
        <v>147</v>
      </c>
      <c r="V79" s="3">
        <v>159</v>
      </c>
      <c r="W79" s="3">
        <f>IF(ISERROR(VLOOKUP($A79,'SegEnds_NonXtal_BW#'!$A:$Z,16,FALSE)+VLOOKUP($A79,A:AL,22,FALSE)-50),"-",(VLOOKUP($A79,'SegEnds_NonXtal_BW#'!$A:$Z,16,FALSE)+VLOOKUP($A79,A:AL,22,FALSE)-50))</f>
        <v>173</v>
      </c>
      <c r="X79" s="3">
        <f>IF(ISERROR(VLOOKUP($A79,'SegEnds_NonXtal_BW#'!$A:$Z,17,FALSE)+VLOOKUP($A79,A:AL,25,FALSE)-50),"-",(VLOOKUP($A79,'SegEnds_NonXtal_BW#'!$A:$Z,17,FALSE)+VLOOKUP($A79,A:AL,25,FALSE)-50))</f>
        <v>186</v>
      </c>
      <c r="Y79" s="3">
        <v>186</v>
      </c>
      <c r="Z79" s="3">
        <f t="shared" si="40"/>
        <v>188</v>
      </c>
      <c r="AA79" s="3">
        <f>IF(ISERROR(VLOOKUP($A79,'SegEnds_NonXtal_BW#'!$A:$Z,19,FALSE)+VLOOKUP($A79,A:AL,28,FALSE)-50),"-",(VLOOKUP($A79,'SegEnds_NonXtal_BW#'!$A:$Z,19,FALSE)+VLOOKUP($A79,A:AL,28,FALSE)-50))</f>
        <v>196</v>
      </c>
      <c r="AB79" s="3">
        <v>212</v>
      </c>
      <c r="AC79" s="3">
        <f>IF(ISERROR((VLOOKUP($A79,'SegEnds_NonXtal_BW#'!$A:$Z,20,FALSE)+VLOOKUP($A79,A:AL,28,FALSE)-50)),"-",(VLOOKUP($A79,'SegEnds_NonXtal_BW#'!$A:$Z,20,FALSE)+VLOOKUP($A79,A:AL,28,FALSE)-50))</f>
        <v>226</v>
      </c>
      <c r="AD79" s="3">
        <f>IF(ISERROR(VLOOKUP($A79,'SegEnds_NonXtal_BW#'!$A:$Z,21,FALSE)+VLOOKUP($A79,A:AL,31,FALSE)-50),"-",(VLOOKUP($A79,'SegEnds_NonXtal_BW#'!$A:$Z,21,FALSE)+VLOOKUP($A79,A:AL,31,FALSE)-50))</f>
        <v>232</v>
      </c>
      <c r="AE79" s="3">
        <v>248</v>
      </c>
      <c r="AF79" s="3">
        <f>IF(ISERROR((VLOOKUP($A79,'SegEnds_NonXtal_BW#'!$A:$Z,22,FALSE)+VLOOKUP($A79,A:AL,31,FALSE)-50)),"-",(VLOOKUP($A79,'SegEnds_NonXtal_BW#'!$A:$Z,22,FALSE)+VLOOKUP($A79,A:AL,31,FALSE)-50))</f>
        <v>259</v>
      </c>
      <c r="AG79" s="3">
        <f>IF(ISERROR(VLOOKUP($A79,'SegEnds_NonXtal_BW#'!$A:$Z,23,FALSE)+VLOOKUP($A79,A:AL,34,FALSE)-50),"-",(VLOOKUP($A79,'SegEnds_NonXtal_BW#'!$A:$Z,23,FALSE)+VLOOKUP($A79,A:AL,34,FALSE)-50))</f>
        <v>266</v>
      </c>
      <c r="AH79" s="3">
        <v>288</v>
      </c>
      <c r="AI79" s="3">
        <f>IF(ISERROR((VLOOKUP($A79,'SegEnds_NonXtal_BW#'!$A:$Z,24,FALSE)+VLOOKUP($A79,A:AL,34,FALSE)-50)),"-",(VLOOKUP($A79,'SegEnds_NonXtal_BW#'!$A:$Z,24,FALSE)+VLOOKUP($A79,A:AL,34,FALSE)-50))</f>
        <v>294</v>
      </c>
      <c r="AJ79" s="3">
        <f>IF(ISERROR(VLOOKUP($A79,'SegEnds_NonXtal_BW#'!$A:$Z,25,FALSE)+VLOOKUP($A79,A:AL,37,FALSE)-50),"-",(VLOOKUP($A79,'SegEnds_NonXtal_BW#'!$A:$Z,25,FALSE)+VLOOKUP($A79,A:AL,37,FALSE)-50))</f>
        <v>295</v>
      </c>
      <c r="AK79" s="3">
        <v>298</v>
      </c>
      <c r="AL79" s="3">
        <f>IF(ISERROR((VLOOKUP($A79,'SegEnds_NonXtal_BW#'!$A:$Z,26,FALSE)+VLOOKUP($A79,A:AL,37,FALSE)-50)),"-",(VLOOKUP($A79,'SegEnds_NonXtal_BW#'!$A:$Z,26,FALSE)+VLOOKUP($A79,A:AL,37,FALSE)-50))</f>
        <v>309</v>
      </c>
      <c r="AM79" s="28" t="str">
        <f>VLOOKUP(A79,Classification!A:B,2,FALSE)</f>
        <v>A</v>
      </c>
      <c r="AN79" s="28" t="b">
        <f t="shared" si="59"/>
        <v>1</v>
      </c>
      <c r="AO79" s="3" t="str">
        <f>IF(ISERROR(MATCH(A79,'SegEnds_Xtal_Prot#'!B:B, 0)), "NoXtal", "Xtal")</f>
        <v>NoXtal</v>
      </c>
      <c r="AP79" s="3" t="str">
        <f t="shared" si="41"/>
        <v>-</v>
      </c>
      <c r="AQ79" s="3" t="str">
        <f t="shared" si="42"/>
        <v>-</v>
      </c>
      <c r="AR79" s="3">
        <f t="shared" si="43"/>
        <v>3</v>
      </c>
      <c r="AS79" s="3">
        <f t="shared" si="44"/>
        <v>1</v>
      </c>
      <c r="AT79" s="3">
        <f t="shared" si="45"/>
        <v>1</v>
      </c>
      <c r="AU79" s="3">
        <f t="shared" si="46"/>
        <v>1</v>
      </c>
      <c r="AV79" s="3">
        <f t="shared" si="47"/>
        <v>13</v>
      </c>
      <c r="AW79" s="3">
        <f t="shared" si="48"/>
        <v>8</v>
      </c>
      <c r="AX79" s="3">
        <f t="shared" si="49"/>
        <v>6</v>
      </c>
      <c r="AY79" s="3">
        <f t="shared" si="50"/>
        <v>7</v>
      </c>
      <c r="AZ79" s="3">
        <f t="shared" si="51"/>
        <v>1</v>
      </c>
      <c r="BA79" s="3">
        <f>IF(ISERROR(LEN(VLOOKUP(A79,Seqs!A:E,2,FALSE))-AL79),"-",LEN(VLOOKUP(A79,Seqs!A:E,2,FALSE))-AL79)</f>
        <v>28</v>
      </c>
      <c r="BB79" s="16">
        <f t="shared" si="52"/>
        <v>27</v>
      </c>
      <c r="BC79" s="9">
        <f t="shared" si="53"/>
        <v>20</v>
      </c>
      <c r="BD79" s="3">
        <f t="shared" si="54"/>
        <v>27</v>
      </c>
      <c r="BE79" s="3">
        <f t="shared" si="55"/>
        <v>36</v>
      </c>
      <c r="BF79" s="3">
        <f>MIN(ABS(BE79-'ICL3'!F2:F232))</f>
        <v>36</v>
      </c>
    </row>
    <row r="80" spans="1:58" s="3" customFormat="1" x14ac:dyDescent="0.2">
      <c r="A80" s="3" t="s">
        <v>167</v>
      </c>
      <c r="B80" s="3" t="str">
        <f>LOWER(VLOOKUP(A80,Xtal_Templ!A:B,2,FALSE))</f>
        <v>ox2r_human</v>
      </c>
      <c r="C80" s="3">
        <f>VLOOKUP($A80,'SegEnds_NonXtal_BW#'!$A:$Z,3,FALSE)+D80-50</f>
        <v>40</v>
      </c>
      <c r="D80" s="3">
        <v>59</v>
      </c>
      <c r="E80" s="3">
        <f>IF(ISERROR(VLOOKUP($A80,'SegEnds_NonXtal_BW#'!$A:$Z,4,FALSE)+VLOOKUP($A80,A:AL,4,FALSE)-50),"-",(VLOOKUP($A80,'SegEnds_NonXtal_BW#'!$A:$Z,4,FALSE)+VLOOKUP($A80,A:AL,4,FALSE)-50))</f>
        <v>69</v>
      </c>
      <c r="F80" s="3">
        <f t="shared" ref="F80:F86" si="60">G80-2</f>
        <v>70</v>
      </c>
      <c r="G80" s="3">
        <v>72</v>
      </c>
      <c r="H80" s="3">
        <f t="shared" ref="H80:I86" si="61">G80+1</f>
        <v>73</v>
      </c>
      <c r="I80" s="3">
        <f t="shared" si="61"/>
        <v>74</v>
      </c>
      <c r="J80" s="3">
        <v>87</v>
      </c>
      <c r="K80" s="3">
        <f>VLOOKUP($A80,'SegEnds_NonXtal_BW#'!$A:$Z,8,FALSE)+VLOOKUP($A80,A:AL,10,FALSE)-50</f>
        <v>104</v>
      </c>
      <c r="L80" s="3">
        <f t="shared" si="56"/>
        <v>106</v>
      </c>
      <c r="M80" s="3">
        <v>107</v>
      </c>
      <c r="N80" s="3">
        <f t="shared" si="57"/>
        <v>109</v>
      </c>
      <c r="O80" s="3">
        <f t="shared" si="39"/>
        <v>110</v>
      </c>
      <c r="P80" s="3">
        <v>139</v>
      </c>
      <c r="Q80" s="3">
        <f>VLOOKUP($A80,'SegEnds_NonXtal_BW#'!$A:$Z,12,FALSE)+VLOOKUP($A80,A:AL,16,FALSE)-50</f>
        <v>145</v>
      </c>
      <c r="R80" s="3">
        <f>IF(ISERROR(VLOOKUP($A80,'SegEnds_NonXtal_BW#'!$A:$Z,13,FALSE)+VLOOKUP($A80,A:AL,19,FALSE)-50),"-",VLOOKUP($A80,'SegEnds_NonXtal_BW#'!$A:$Z,13,FALSE)+VLOOKUP($A80,A:AL,19,FALSE)-50)</f>
        <v>146</v>
      </c>
      <c r="S80" s="3">
        <v>146</v>
      </c>
      <c r="T80" s="103">
        <f>IF(ISERROR(VLOOKUP($A80,'SegEnds_NonXtal_BW#'!$A:$Z,14,FALSE)+VLOOKUP($A80,A:AL,19,FALSE)-50),"-",(VLOOKUP($A80,'SegEnds_NonXtal_BW#'!$A:$Z,14,FALSE)+VLOOKUP($A80,A:AL,19,FALSE)-50))</f>
        <v>153</v>
      </c>
      <c r="U80" s="9">
        <f>IF(ISERROR(VLOOKUP($A80,'SegEnds_NonXtal_BW#'!$A:$Z,15,FALSE)+VLOOKUP($A80,A:AL,22,FALSE)-50),"-",VLOOKUP($A80,'SegEnds_NonXtal_BW#'!$A:$Z,15,FALSE)+VLOOKUP($A80,A:AL,22,FALSE)-50)</f>
        <v>154</v>
      </c>
      <c r="V80" s="3">
        <v>166</v>
      </c>
      <c r="W80" s="3">
        <f>IF(ISERROR(VLOOKUP($A80,'SegEnds_NonXtal_BW#'!$A:$Z,16,FALSE)+VLOOKUP($A80,A:AL,22,FALSE)-50),"-",(VLOOKUP($A80,'SegEnds_NonXtal_BW#'!$A:$Z,16,FALSE)+VLOOKUP($A80,A:AL,22,FALSE)-50))</f>
        <v>180</v>
      </c>
      <c r="X80" s="3">
        <f>IF(ISERROR(VLOOKUP($A80,'SegEnds_NonXtal_BW#'!$A:$Z,17,FALSE)+VLOOKUP($A80,A:AL,25,FALSE)-50),"-",(VLOOKUP($A80,'SegEnds_NonXtal_BW#'!$A:$Z,17,FALSE)+VLOOKUP($A80,A:AL,25,FALSE)-50))</f>
        <v>196</v>
      </c>
      <c r="Y80" s="3">
        <v>196</v>
      </c>
      <c r="Z80" s="3">
        <f t="shared" si="40"/>
        <v>198</v>
      </c>
      <c r="AA80" s="3">
        <f>IF(ISERROR(VLOOKUP($A80,'SegEnds_NonXtal_BW#'!$A:$Z,19,FALSE)+VLOOKUP($A80,A:AL,28,FALSE)-50),"-",(VLOOKUP($A80,'SegEnds_NonXtal_BW#'!$A:$Z,19,FALSE)+VLOOKUP($A80,A:AL,28,FALSE)-50))</f>
        <v>203</v>
      </c>
      <c r="AB80" s="3">
        <v>221</v>
      </c>
      <c r="AC80" s="3">
        <f>IF(ISERROR((VLOOKUP($A80,'SegEnds_NonXtal_BW#'!$A:$Z,20,FALSE)+VLOOKUP($A80,A:AL,28,FALSE)-50)),"-",(VLOOKUP($A80,'SegEnds_NonXtal_BW#'!$A:$Z,20,FALSE)+VLOOKUP($A80,A:AL,28,FALSE)-50))</f>
        <v>245</v>
      </c>
      <c r="AD80" s="3">
        <f>IF(ISERROR(VLOOKUP($A80,'SegEnds_NonXtal_BW#'!$A:$Z,21,FALSE)+VLOOKUP($A80,A:AL,31,FALSE)-50),"-",(VLOOKUP($A80,'SegEnds_NonXtal_BW#'!$A:$Z,21,FALSE)+VLOOKUP($A80,A:AL,31,FALSE)-50))</f>
        <v>302</v>
      </c>
      <c r="AE80" s="3">
        <v>328</v>
      </c>
      <c r="AF80" s="3">
        <f>IF(ISERROR((VLOOKUP($A80,'SegEnds_NonXtal_BW#'!$A:$Z,22,FALSE)+VLOOKUP($A80,A:AL,31,FALSE)-50)),"-",(VLOOKUP($A80,'SegEnds_NonXtal_BW#'!$A:$Z,22,FALSE)+VLOOKUP($A80,A:AL,31,FALSE)-50))</f>
        <v>339</v>
      </c>
      <c r="AG80" s="3">
        <f>IF(ISERROR(VLOOKUP($A80,'SegEnds_NonXtal_BW#'!$A:$Z,23,FALSE)+VLOOKUP($A80,A:AL,34,FALSE)-50),"-",(VLOOKUP($A80,'SegEnds_NonXtal_BW#'!$A:$Z,23,FALSE)+VLOOKUP($A80,A:AL,34,FALSE)-50))</f>
        <v>345</v>
      </c>
      <c r="AH80" s="3">
        <v>367</v>
      </c>
      <c r="AI80" s="3">
        <f>IF(ISERROR((VLOOKUP($A80,'SegEnds_NonXtal_BW#'!$A:$Z,24,FALSE)+VLOOKUP($A80,A:AL,34,FALSE)-50)),"-",(VLOOKUP($A80,'SegEnds_NonXtal_BW#'!$A:$Z,24,FALSE)+VLOOKUP($A80,A:AL,34,FALSE)-50))</f>
        <v>373</v>
      </c>
      <c r="AJ80" s="3">
        <f>IF(ISERROR(VLOOKUP($A80,'SegEnds_NonXtal_BW#'!$A:$Z,25,FALSE)+VLOOKUP($A80,A:AL,37,FALSE)-50),"-",(VLOOKUP($A80,'SegEnds_NonXtal_BW#'!$A:$Z,25,FALSE)+VLOOKUP($A80,A:AL,37,FALSE)-50))</f>
        <v>374</v>
      </c>
      <c r="AK80" s="3">
        <v>377</v>
      </c>
      <c r="AL80" s="3">
        <f>IF(ISERROR((VLOOKUP($A80,'SegEnds_NonXtal_BW#'!$A:$Z,26,FALSE)+VLOOKUP($A80,A:AL,37,FALSE)-50)),"-",(VLOOKUP($A80,'SegEnds_NonXtal_BW#'!$A:$Z,26,FALSE)+VLOOKUP($A80,A:AL,37,FALSE)-50))</f>
        <v>385</v>
      </c>
      <c r="AM80" s="28" t="str">
        <f>VLOOKUP(A80,Classification!A:B,2,FALSE)</f>
        <v>A</v>
      </c>
      <c r="AN80" s="28" t="b">
        <f t="shared" si="59"/>
        <v>1</v>
      </c>
      <c r="AO80" s="3" t="str">
        <f>IF(ISERROR(MATCH(A80,'SegEnds_Xtal_Prot#'!B:B, 0)), "NoXtal", "Xtal")</f>
        <v>NoXtal</v>
      </c>
      <c r="AP80" s="3">
        <f t="shared" si="41"/>
        <v>1</v>
      </c>
      <c r="AQ80" s="3">
        <f t="shared" si="42"/>
        <v>1</v>
      </c>
      <c r="AR80" s="3">
        <f t="shared" si="43"/>
        <v>2</v>
      </c>
      <c r="AS80" s="3">
        <f t="shared" si="44"/>
        <v>1</v>
      </c>
      <c r="AT80" s="3">
        <f t="shared" si="45"/>
        <v>1</v>
      </c>
      <c r="AU80" s="3">
        <f t="shared" si="46"/>
        <v>1</v>
      </c>
      <c r="AV80" s="3">
        <f t="shared" si="47"/>
        <v>16</v>
      </c>
      <c r="AW80" s="3">
        <f t="shared" si="48"/>
        <v>5</v>
      </c>
      <c r="AX80" s="3">
        <f t="shared" si="49"/>
        <v>57</v>
      </c>
      <c r="AY80" s="3">
        <f t="shared" si="50"/>
        <v>6</v>
      </c>
      <c r="AZ80" s="3">
        <f t="shared" si="51"/>
        <v>1</v>
      </c>
      <c r="BA80" s="3">
        <f>IF(ISERROR(LEN(VLOOKUP(A80,Seqs!A:E,2,FALSE))-AL80),"-",LEN(VLOOKUP(A80,Seqs!A:E,2,FALSE))-AL80)</f>
        <v>43</v>
      </c>
      <c r="BB80" s="16">
        <f t="shared" si="52"/>
        <v>28</v>
      </c>
      <c r="BC80" s="9">
        <f t="shared" si="53"/>
        <v>20</v>
      </c>
      <c r="BD80" s="3">
        <f t="shared" si="54"/>
        <v>28</v>
      </c>
      <c r="BE80" s="3">
        <f t="shared" si="55"/>
        <v>107</v>
      </c>
    </row>
    <row r="81" spans="1:58" s="3" customFormat="1" x14ac:dyDescent="0.2">
      <c r="A81" s="3" t="s">
        <v>168</v>
      </c>
      <c r="B81" s="3" t="str">
        <f>LOWER(VLOOKUP(A81,Xtal_Templ!A:B,2,FALSE))</f>
        <v>ccr5_human</v>
      </c>
      <c r="C81" s="3">
        <f>VLOOKUP($A81,'SegEnds_NonXtal_BW#'!$A:$Z,3,FALSE)+D81-50</f>
        <v>26</v>
      </c>
      <c r="D81" s="3">
        <v>52</v>
      </c>
      <c r="E81" s="3">
        <f>IF(ISERROR(VLOOKUP($A81,'SegEnds_NonXtal_BW#'!$A:$Z,4,FALSE)+VLOOKUP($A81,A:AL,4,FALSE)-50),"-",(VLOOKUP($A81,'SegEnds_NonXtal_BW#'!$A:$Z,4,FALSE)+VLOOKUP($A81,A:AL,4,FALSE)-50))</f>
        <v>62</v>
      </c>
      <c r="F81" s="3">
        <f t="shared" si="60"/>
        <v>63</v>
      </c>
      <c r="G81" s="3">
        <v>65</v>
      </c>
      <c r="H81" s="3">
        <f t="shared" si="61"/>
        <v>66</v>
      </c>
      <c r="I81" s="3">
        <f t="shared" si="61"/>
        <v>67</v>
      </c>
      <c r="J81" s="3">
        <v>80</v>
      </c>
      <c r="K81" s="3">
        <f>VLOOKUP($A81,'SegEnds_NonXtal_BW#'!$A:$Z,8,FALSE)+VLOOKUP($A81,A:AL,10,FALSE)-50</f>
        <v>96</v>
      </c>
      <c r="L81" s="3">
        <f t="shared" si="56"/>
        <v>98</v>
      </c>
      <c r="M81" s="3">
        <v>99</v>
      </c>
      <c r="N81" s="3">
        <f t="shared" si="57"/>
        <v>101</v>
      </c>
      <c r="O81" s="3">
        <f t="shared" si="39"/>
        <v>102</v>
      </c>
      <c r="P81" s="3">
        <v>131</v>
      </c>
      <c r="Q81" s="3">
        <f>VLOOKUP($A81,'SegEnds_NonXtal_BW#'!$A:$Z,12,FALSE)+VLOOKUP($A81,A:AL,16,FALSE)-50</f>
        <v>137</v>
      </c>
      <c r="R81" s="3">
        <f>IF(ISERROR(VLOOKUP($A81,'SegEnds_NonXtal_BW#'!$A:$Z,13,FALSE)+VLOOKUP($A81,A:AL,19,FALSE)-50),"-",VLOOKUP($A81,'SegEnds_NonXtal_BW#'!$A:$Z,13,FALSE)+VLOOKUP($A81,A:AL,19,FALSE)-50)</f>
        <v>138</v>
      </c>
      <c r="S81" s="3">
        <v>138</v>
      </c>
      <c r="T81" s="103">
        <f>IF(ISERROR(VLOOKUP($A81,'SegEnds_NonXtal_BW#'!$A:$Z,14,FALSE)+VLOOKUP($A81,A:AL,19,FALSE)-50),"-",(VLOOKUP($A81,'SegEnds_NonXtal_BW#'!$A:$Z,14,FALSE)+VLOOKUP($A81,A:AL,19,FALSE)-50))</f>
        <v>145</v>
      </c>
      <c r="U81" s="9">
        <f>IF(ISERROR(VLOOKUP($A81,'SegEnds_NonXtal_BW#'!$A:$Z,15,FALSE)+VLOOKUP($A81,A:AL,22,FALSE)-50),"-",VLOOKUP($A81,'SegEnds_NonXtal_BW#'!$A:$Z,15,FALSE)+VLOOKUP($A81,A:AL,22,FALSE)-50)</f>
        <v>146</v>
      </c>
      <c r="V81" s="3">
        <v>158</v>
      </c>
      <c r="W81" s="3">
        <f>IF(ISERROR(VLOOKUP($A81,'SegEnds_NonXtal_BW#'!$A:$Z,16,FALSE)+VLOOKUP($A81,A:AL,22,FALSE)-50),"-",(VLOOKUP($A81,'SegEnds_NonXtal_BW#'!$A:$Z,16,FALSE)+VLOOKUP($A81,A:AL,22,FALSE)-50))</f>
        <v>172</v>
      </c>
      <c r="X81" s="3">
        <f>IF(ISERROR(VLOOKUP($A81,'SegEnds_NonXtal_BW#'!$A:$Z,17,FALSE)+VLOOKUP($A81,A:AL,25,FALSE)-50),"-",(VLOOKUP($A81,'SegEnds_NonXtal_BW#'!$A:$Z,17,FALSE)+VLOOKUP($A81,A:AL,25,FALSE)-50))</f>
        <v>183</v>
      </c>
      <c r="Y81" s="3">
        <v>183</v>
      </c>
      <c r="Z81" s="3">
        <f t="shared" si="40"/>
        <v>185</v>
      </c>
      <c r="AA81" s="3">
        <f>IF(ISERROR(VLOOKUP($A81,'SegEnds_NonXtal_BW#'!$A:$Z,19,FALSE)+VLOOKUP($A81,A:AL,28,FALSE)-50),"-",(VLOOKUP($A81,'SegEnds_NonXtal_BW#'!$A:$Z,19,FALSE)+VLOOKUP($A81,A:AL,28,FALSE)-50))</f>
        <v>191</v>
      </c>
      <c r="AB81" s="3">
        <v>211</v>
      </c>
      <c r="AC81" s="3">
        <f>IF(ISERROR((VLOOKUP($A81,'SegEnds_NonXtal_BW#'!$A:$Z,20,FALSE)+VLOOKUP($A81,A:AL,28,FALSE)-50)),"-",(VLOOKUP($A81,'SegEnds_NonXtal_BW#'!$A:$Z,20,FALSE)+VLOOKUP($A81,A:AL,28,FALSE)-50))</f>
        <v>229</v>
      </c>
      <c r="AD81" s="3">
        <f>IF(ISERROR(VLOOKUP($A81,'SegEnds_NonXtal_BW#'!$A:$Z,21,FALSE)+VLOOKUP($A81,A:AL,31,FALSE)-50),"-",(VLOOKUP($A81,'SegEnds_NonXtal_BW#'!$A:$Z,21,FALSE)+VLOOKUP($A81,A:AL,31,FALSE)-50))</f>
        <v>234</v>
      </c>
      <c r="AE81" s="3">
        <v>254</v>
      </c>
      <c r="AF81" s="3">
        <f>IF(ISERROR((VLOOKUP($A81,'SegEnds_NonXtal_BW#'!$A:$Z,22,FALSE)+VLOOKUP($A81,A:AL,31,FALSE)-50)),"-",(VLOOKUP($A81,'SegEnds_NonXtal_BW#'!$A:$Z,22,FALSE)+VLOOKUP($A81,A:AL,31,FALSE)-50))</f>
        <v>269</v>
      </c>
      <c r="AG81" s="3">
        <f>IF(ISERROR(VLOOKUP($A81,'SegEnds_NonXtal_BW#'!$A:$Z,23,FALSE)+VLOOKUP($A81,A:AL,34,FALSE)-50),"-",(VLOOKUP($A81,'SegEnds_NonXtal_BW#'!$A:$Z,23,FALSE)+VLOOKUP($A81,A:AL,34,FALSE)-50))</f>
        <v>272</v>
      </c>
      <c r="AH81" s="3">
        <v>298</v>
      </c>
      <c r="AI81" s="3">
        <f>IF(ISERROR((VLOOKUP($A81,'SegEnds_NonXtal_BW#'!$A:$Z,24,FALSE)+VLOOKUP($A81,A:AL,34,FALSE)-50)),"-",(VLOOKUP($A81,'SegEnds_NonXtal_BW#'!$A:$Z,24,FALSE)+VLOOKUP($A81,A:AL,34,FALSE)-50))</f>
        <v>304</v>
      </c>
      <c r="AJ81" s="3">
        <f>IF(ISERROR(VLOOKUP($A81,'SegEnds_NonXtal_BW#'!$A:$Z,25,FALSE)+VLOOKUP($A81,A:AL,37,FALSE)-50),"-",(VLOOKUP($A81,'SegEnds_NonXtal_BW#'!$A:$Z,25,FALSE)+VLOOKUP($A81,A:AL,37,FALSE)-50))</f>
        <v>305</v>
      </c>
      <c r="AK81" s="3">
        <v>308</v>
      </c>
      <c r="AL81" s="3">
        <f>IF(ISERROR((VLOOKUP($A81,'SegEnds_NonXtal_BW#'!$A:$Z,26,FALSE)+VLOOKUP($A81,A:AL,37,FALSE)-50)),"-",(VLOOKUP($A81,'SegEnds_NonXtal_BW#'!$A:$Z,26,FALSE)+VLOOKUP($A81,A:AL,37,FALSE)-50))</f>
        <v>317</v>
      </c>
      <c r="AM81" s="28" t="str">
        <f>VLOOKUP(A81,Classification!A:B,2,FALSE)</f>
        <v>A</v>
      </c>
      <c r="AN81" s="28" t="b">
        <f t="shared" si="59"/>
        <v>1</v>
      </c>
      <c r="AO81" s="3" t="str">
        <f>IF(ISERROR(MATCH(A81,'SegEnds_Xtal_Prot#'!B:B, 0)), "NoXtal", "Xtal")</f>
        <v>NoXtal</v>
      </c>
      <c r="AP81" s="3">
        <f t="shared" si="41"/>
        <v>1</v>
      </c>
      <c r="AQ81" s="3">
        <f t="shared" si="42"/>
        <v>1</v>
      </c>
      <c r="AR81" s="3">
        <f t="shared" si="43"/>
        <v>2</v>
      </c>
      <c r="AS81" s="3">
        <f t="shared" si="44"/>
        <v>1</v>
      </c>
      <c r="AT81" s="3">
        <f t="shared" si="45"/>
        <v>1</v>
      </c>
      <c r="AU81" s="3">
        <f t="shared" si="46"/>
        <v>1</v>
      </c>
      <c r="AV81" s="3">
        <f t="shared" si="47"/>
        <v>11</v>
      </c>
      <c r="AW81" s="3">
        <f t="shared" si="48"/>
        <v>6</v>
      </c>
      <c r="AX81" s="3">
        <f t="shared" si="49"/>
        <v>5</v>
      </c>
      <c r="AY81" s="3">
        <f t="shared" si="50"/>
        <v>3</v>
      </c>
      <c r="AZ81" s="3">
        <f t="shared" si="51"/>
        <v>1</v>
      </c>
      <c r="BA81" s="3">
        <f>IF(ISERROR(LEN(VLOOKUP(A81,Seqs!A:E,2,FALSE))-AL81),"-",LEN(VLOOKUP(A81,Seqs!A:E,2,FALSE))-AL81)</f>
        <v>38</v>
      </c>
      <c r="BB81" s="16">
        <f t="shared" si="52"/>
        <v>28</v>
      </c>
      <c r="BC81" s="9">
        <f t="shared" si="53"/>
        <v>20</v>
      </c>
      <c r="BD81" s="3">
        <f t="shared" si="54"/>
        <v>28</v>
      </c>
      <c r="BE81" s="3">
        <f t="shared" si="55"/>
        <v>43</v>
      </c>
    </row>
    <row r="82" spans="1:58" s="3" customFormat="1" x14ac:dyDescent="0.2">
      <c r="A82" s="3" t="s">
        <v>170</v>
      </c>
      <c r="B82" s="3" t="str">
        <f>LOWER(VLOOKUP(A82,Xtal_Templ!A:B,2,FALSE))</f>
        <v>ccr2_human</v>
      </c>
      <c r="C82" s="3">
        <f>VLOOKUP($A82,'SegEnds_NonXtal_BW#'!$A:$Z,3,FALSE)+D82-50</f>
        <v>37</v>
      </c>
      <c r="D82" s="3">
        <v>60</v>
      </c>
      <c r="E82" s="3">
        <f>IF(ISERROR(VLOOKUP($A82,'SegEnds_NonXtal_BW#'!$A:$Z,4,FALSE)+VLOOKUP($A82,A:AL,4,FALSE)-50),"-",(VLOOKUP($A82,'SegEnds_NonXtal_BW#'!$A:$Z,4,FALSE)+VLOOKUP($A82,A:AL,4,FALSE)-50))</f>
        <v>70</v>
      </c>
      <c r="F82" s="3">
        <f t="shared" si="60"/>
        <v>71</v>
      </c>
      <c r="G82" s="3">
        <v>73</v>
      </c>
      <c r="H82" s="3">
        <f t="shared" si="61"/>
        <v>74</v>
      </c>
      <c r="I82" s="3">
        <f t="shared" si="61"/>
        <v>75</v>
      </c>
      <c r="J82" s="3">
        <v>88</v>
      </c>
      <c r="K82" s="3">
        <f>VLOOKUP($A82,'SegEnds_NonXtal_BW#'!$A:$Z,8,FALSE)+VLOOKUP($A82,A:AL,10,FALSE)-50</f>
        <v>104</v>
      </c>
      <c r="L82" s="3">
        <f t="shared" si="56"/>
        <v>105</v>
      </c>
      <c r="M82" s="3">
        <v>106</v>
      </c>
      <c r="N82" s="3">
        <f t="shared" si="57"/>
        <v>108</v>
      </c>
      <c r="O82" s="3">
        <f t="shared" si="39"/>
        <v>109</v>
      </c>
      <c r="P82" s="3">
        <v>138</v>
      </c>
      <c r="Q82" s="3">
        <f>VLOOKUP($A82,'SegEnds_NonXtal_BW#'!$A:$Z,12,FALSE)+VLOOKUP($A82,A:AL,16,FALSE)-50</f>
        <v>144</v>
      </c>
      <c r="R82" s="3">
        <f>IF(ISERROR(VLOOKUP($A82,'SegEnds_NonXtal_BW#'!$A:$Z,13,FALSE)+VLOOKUP($A82,A:AL,19,FALSE)-50),"-",VLOOKUP($A82,'SegEnds_NonXtal_BW#'!$A:$Z,13,FALSE)+VLOOKUP($A82,A:AL,19,FALSE)-50)</f>
        <v>145</v>
      </c>
      <c r="S82" s="3">
        <v>145</v>
      </c>
      <c r="T82" s="103">
        <f>IF(ISERROR(VLOOKUP($A82,'SegEnds_NonXtal_BW#'!$A:$Z,14,FALSE)+VLOOKUP($A82,A:AL,19,FALSE)-50),"-",(VLOOKUP($A82,'SegEnds_NonXtal_BW#'!$A:$Z,14,FALSE)+VLOOKUP($A82,A:AL,19,FALSE)-50))</f>
        <v>152</v>
      </c>
      <c r="U82" s="9">
        <f>IF(ISERROR(VLOOKUP($A82,'SegEnds_NonXtal_BW#'!$A:$Z,15,FALSE)+VLOOKUP($A82,A:AL,22,FALSE)-50),"-",VLOOKUP($A82,'SegEnds_NonXtal_BW#'!$A:$Z,15,FALSE)+VLOOKUP($A82,A:AL,22,FALSE)-50)</f>
        <v>153</v>
      </c>
      <c r="V82" s="3">
        <v>165</v>
      </c>
      <c r="W82" s="3">
        <f>IF(ISERROR(VLOOKUP($A82,'SegEnds_NonXtal_BW#'!$A:$Z,16,FALSE)+VLOOKUP($A82,A:AL,22,FALSE)-50),"-",(VLOOKUP($A82,'SegEnds_NonXtal_BW#'!$A:$Z,16,FALSE)+VLOOKUP($A82,A:AL,22,FALSE)-50))</f>
        <v>179</v>
      </c>
      <c r="X82" s="3">
        <f>IF(ISERROR(VLOOKUP($A82,'SegEnds_NonXtal_BW#'!$A:$Z,17,FALSE)+VLOOKUP($A82,A:AL,25,FALSE)-50),"-",(VLOOKUP($A82,'SegEnds_NonXtal_BW#'!$A:$Z,17,FALSE)+VLOOKUP($A82,A:AL,25,FALSE)-50))</f>
        <v>190</v>
      </c>
      <c r="Y82" s="3">
        <v>190</v>
      </c>
      <c r="Z82" s="3">
        <f t="shared" si="40"/>
        <v>192</v>
      </c>
      <c r="AA82" s="3">
        <f>IF(ISERROR(VLOOKUP($A82,'SegEnds_NonXtal_BW#'!$A:$Z,19,FALSE)+VLOOKUP($A82,A:AL,28,FALSE)-50),"-",(VLOOKUP($A82,'SegEnds_NonXtal_BW#'!$A:$Z,19,FALSE)+VLOOKUP($A82,A:AL,28,FALSE)-50))</f>
        <v>195</v>
      </c>
      <c r="AB82" s="3">
        <v>214</v>
      </c>
      <c r="AC82" s="3">
        <f>IF(ISERROR((VLOOKUP($A82,'SegEnds_NonXtal_BW#'!$A:$Z,20,FALSE)+VLOOKUP($A82,A:AL,28,FALSE)-50)),"-",(VLOOKUP($A82,'SegEnds_NonXtal_BW#'!$A:$Z,20,FALSE)+VLOOKUP($A82,A:AL,28,FALSE)-50))</f>
        <v>232</v>
      </c>
      <c r="AD82" s="3">
        <f>IF(ISERROR(VLOOKUP($A82,'SegEnds_NonXtal_BW#'!$A:$Z,21,FALSE)+VLOOKUP($A82,A:AL,31,FALSE)-50),"-",(VLOOKUP($A82,'SegEnds_NonXtal_BW#'!$A:$Z,21,FALSE)+VLOOKUP($A82,A:AL,31,FALSE)-50))</f>
        <v>236</v>
      </c>
      <c r="AE82" s="3">
        <v>258</v>
      </c>
      <c r="AF82" s="3">
        <f>IF(ISERROR((VLOOKUP($A82,'SegEnds_NonXtal_BW#'!$A:$Z,22,FALSE)+VLOOKUP($A82,A:AL,31,FALSE)-50)),"-",(VLOOKUP($A82,'SegEnds_NonXtal_BW#'!$A:$Z,22,FALSE)+VLOOKUP($A82,A:AL,31,FALSE)-50))</f>
        <v>273</v>
      </c>
      <c r="AG82" s="3">
        <f>IF(ISERROR(VLOOKUP($A82,'SegEnds_NonXtal_BW#'!$A:$Z,23,FALSE)+VLOOKUP($A82,A:AL,34,FALSE)-50),"-",(VLOOKUP($A82,'SegEnds_NonXtal_BW#'!$A:$Z,23,FALSE)+VLOOKUP($A82,A:AL,34,FALSE)-50))</f>
        <v>276</v>
      </c>
      <c r="AH82" s="3">
        <v>302</v>
      </c>
      <c r="AI82" s="3">
        <f>IF(ISERROR((VLOOKUP($A82,'SegEnds_NonXtal_BW#'!$A:$Z,24,FALSE)+VLOOKUP($A82,A:AL,34,FALSE)-50)),"-",(VLOOKUP($A82,'SegEnds_NonXtal_BW#'!$A:$Z,24,FALSE)+VLOOKUP($A82,A:AL,34,FALSE)-50))</f>
        <v>308</v>
      </c>
      <c r="AJ82" s="3">
        <f>IF(ISERROR(VLOOKUP($A82,'SegEnds_NonXtal_BW#'!$A:$Z,25,FALSE)+VLOOKUP($A82,A:AL,37,FALSE)-50),"-",(VLOOKUP($A82,'SegEnds_NonXtal_BW#'!$A:$Z,25,FALSE)+VLOOKUP($A82,A:AL,37,FALSE)-50))</f>
        <v>309</v>
      </c>
      <c r="AK82" s="3">
        <v>312</v>
      </c>
      <c r="AL82" s="3">
        <f>IF(ISERROR((VLOOKUP($A82,'SegEnds_NonXtal_BW#'!$A:$Z,26,FALSE)+VLOOKUP($A82,A:AL,37,FALSE)-50)),"-",(VLOOKUP($A82,'SegEnds_NonXtal_BW#'!$A:$Z,26,FALSE)+VLOOKUP($A82,A:AL,37,FALSE)-50))</f>
        <v>320</v>
      </c>
      <c r="AM82" s="28" t="str">
        <f>VLOOKUP(A82,Classification!A:B,2,FALSE)</f>
        <v>A</v>
      </c>
      <c r="AN82" s="28" t="b">
        <f t="shared" si="59"/>
        <v>1</v>
      </c>
      <c r="AO82" s="3" t="str">
        <f>IF(ISERROR(MATCH(A82,'SegEnds_Xtal_Prot#'!B:B, 0)), "NoXtal", "Xtal")</f>
        <v>Xtal</v>
      </c>
      <c r="AP82" s="3">
        <f t="shared" si="41"/>
        <v>1</v>
      </c>
      <c r="AQ82" s="3">
        <f t="shared" si="42"/>
        <v>1</v>
      </c>
      <c r="AR82" s="3">
        <f t="shared" si="43"/>
        <v>1</v>
      </c>
      <c r="AS82" s="3">
        <f t="shared" si="44"/>
        <v>1</v>
      </c>
      <c r="AT82" s="3">
        <f t="shared" si="45"/>
        <v>1</v>
      </c>
      <c r="AU82" s="3">
        <f t="shared" si="46"/>
        <v>1</v>
      </c>
      <c r="AV82" s="3">
        <f t="shared" si="47"/>
        <v>11</v>
      </c>
      <c r="AW82" s="3">
        <f t="shared" si="48"/>
        <v>3</v>
      </c>
      <c r="AX82" s="3">
        <f t="shared" si="49"/>
        <v>4</v>
      </c>
      <c r="AY82" s="3">
        <f t="shared" si="50"/>
        <v>3</v>
      </c>
      <c r="AZ82" s="3">
        <f t="shared" si="51"/>
        <v>1</v>
      </c>
      <c r="BA82" s="3">
        <f>IF(ISERROR(LEN(VLOOKUP(A82,Seqs!A:E,2,FALSE))-AL82),"-",LEN(VLOOKUP(A82,Seqs!A:E,2,FALSE))-AL82)</f>
        <v>54</v>
      </c>
      <c r="BB82" s="16">
        <f t="shared" si="52"/>
        <v>28</v>
      </c>
      <c r="BC82" s="9">
        <f t="shared" si="53"/>
        <v>20</v>
      </c>
      <c r="BD82" s="3">
        <f t="shared" si="54"/>
        <v>28</v>
      </c>
      <c r="BE82" s="3">
        <f t="shared" si="55"/>
        <v>44</v>
      </c>
    </row>
    <row r="83" spans="1:58" s="3" customFormat="1" x14ac:dyDescent="0.2">
      <c r="A83" s="3" t="s">
        <v>171</v>
      </c>
      <c r="B83" s="3" t="str">
        <f>LOWER(VLOOKUP(A83,Xtal_Templ!A:B,2,FALSE))</f>
        <v>ccr5_human</v>
      </c>
      <c r="C83" s="3">
        <f>VLOOKUP($A83,'SegEnds_NonXtal_BW#'!$A:$Z,3,FALSE)+D83-50</f>
        <v>26</v>
      </c>
      <c r="D83" s="3">
        <v>52</v>
      </c>
      <c r="E83" s="3">
        <f>IF(ISERROR(VLOOKUP($A83,'SegEnds_NonXtal_BW#'!$A:$Z,4,FALSE)+VLOOKUP($A83,A:AL,4,FALSE)-50),"-",(VLOOKUP($A83,'SegEnds_NonXtal_BW#'!$A:$Z,4,FALSE)+VLOOKUP($A83,A:AL,4,FALSE)-50))</f>
        <v>62</v>
      </c>
      <c r="F83" s="3">
        <f t="shared" si="60"/>
        <v>63</v>
      </c>
      <c r="G83" s="3">
        <v>65</v>
      </c>
      <c r="H83" s="3">
        <f t="shared" si="61"/>
        <v>66</v>
      </c>
      <c r="I83" s="3">
        <f t="shared" si="61"/>
        <v>67</v>
      </c>
      <c r="J83" s="3">
        <v>80</v>
      </c>
      <c r="K83" s="3">
        <f>VLOOKUP($A83,'SegEnds_NonXtal_BW#'!$A:$Z,8,FALSE)+VLOOKUP($A83,A:AL,10,FALSE)-50</f>
        <v>96</v>
      </c>
      <c r="L83" s="3">
        <f t="shared" si="56"/>
        <v>98</v>
      </c>
      <c r="M83" s="3">
        <v>99</v>
      </c>
      <c r="N83" s="3">
        <f t="shared" si="57"/>
        <v>101</v>
      </c>
      <c r="O83" s="3">
        <f t="shared" si="39"/>
        <v>102</v>
      </c>
      <c r="P83" s="3">
        <v>131</v>
      </c>
      <c r="Q83" s="3">
        <f>VLOOKUP($A83,'SegEnds_NonXtal_BW#'!$A:$Z,12,FALSE)+VLOOKUP($A83,A:AL,16,FALSE)-50</f>
        <v>137</v>
      </c>
      <c r="R83" s="3">
        <f>IF(ISERROR(VLOOKUP($A83,'SegEnds_NonXtal_BW#'!$A:$Z,13,FALSE)+VLOOKUP($A83,A:AL,19,FALSE)-50),"-",VLOOKUP($A83,'SegEnds_NonXtal_BW#'!$A:$Z,13,FALSE)+VLOOKUP($A83,A:AL,19,FALSE)-50)</f>
        <v>138</v>
      </c>
      <c r="S83" s="3">
        <v>138</v>
      </c>
      <c r="T83" s="103">
        <f>IF(ISERROR(VLOOKUP($A83,'SegEnds_NonXtal_BW#'!$A:$Z,14,FALSE)+VLOOKUP($A83,A:AL,19,FALSE)-50),"-",(VLOOKUP($A83,'SegEnds_NonXtal_BW#'!$A:$Z,14,FALSE)+VLOOKUP($A83,A:AL,19,FALSE)-50))</f>
        <v>145</v>
      </c>
      <c r="U83" s="9">
        <f>IF(ISERROR(VLOOKUP($A83,'SegEnds_NonXtal_BW#'!$A:$Z,15,FALSE)+VLOOKUP($A83,A:AL,22,FALSE)-50),"-",VLOOKUP($A83,'SegEnds_NonXtal_BW#'!$A:$Z,15,FALSE)+VLOOKUP($A83,A:AL,22,FALSE)-50)</f>
        <v>146</v>
      </c>
      <c r="V83" s="3">
        <v>158</v>
      </c>
      <c r="W83" s="3">
        <f>IF(ISERROR(VLOOKUP($A83,'SegEnds_NonXtal_BW#'!$A:$Z,16,FALSE)+VLOOKUP($A83,A:AL,22,FALSE)-50),"-",(VLOOKUP($A83,'SegEnds_NonXtal_BW#'!$A:$Z,16,FALSE)+VLOOKUP($A83,A:AL,22,FALSE)-50))</f>
        <v>172</v>
      </c>
      <c r="X83" s="3">
        <f>IF(ISERROR(VLOOKUP($A83,'SegEnds_NonXtal_BW#'!$A:$Z,17,FALSE)+VLOOKUP($A83,A:AL,25,FALSE)-50),"-",(VLOOKUP($A83,'SegEnds_NonXtal_BW#'!$A:$Z,17,FALSE)+VLOOKUP($A83,A:AL,25,FALSE)-50))</f>
        <v>183</v>
      </c>
      <c r="Y83" s="3">
        <v>183</v>
      </c>
      <c r="Z83" s="3">
        <f t="shared" si="40"/>
        <v>185</v>
      </c>
      <c r="AA83" s="3">
        <f>IF(ISERROR(VLOOKUP($A83,'SegEnds_NonXtal_BW#'!$A:$Z,19,FALSE)+VLOOKUP($A83,A:AL,28,FALSE)-50),"-",(VLOOKUP($A83,'SegEnds_NonXtal_BW#'!$A:$Z,19,FALSE)+VLOOKUP($A83,A:AL,28,FALSE)-50))</f>
        <v>191</v>
      </c>
      <c r="AB83" s="3">
        <v>211</v>
      </c>
      <c r="AC83" s="3">
        <f>IF(ISERROR((VLOOKUP($A83,'SegEnds_NonXtal_BW#'!$A:$Z,20,FALSE)+VLOOKUP($A83,A:AL,28,FALSE)-50)),"-",(VLOOKUP($A83,'SegEnds_NonXtal_BW#'!$A:$Z,20,FALSE)+VLOOKUP($A83,A:AL,28,FALSE)-50))</f>
        <v>229</v>
      </c>
      <c r="AD83" s="3">
        <f>IF(ISERROR(VLOOKUP($A83,'SegEnds_NonXtal_BW#'!$A:$Z,21,FALSE)+VLOOKUP($A83,A:AL,31,FALSE)-50),"-",(VLOOKUP($A83,'SegEnds_NonXtal_BW#'!$A:$Z,21,FALSE)+VLOOKUP($A83,A:AL,31,FALSE)-50))</f>
        <v>234</v>
      </c>
      <c r="AE83" s="3">
        <v>254</v>
      </c>
      <c r="AF83" s="3">
        <f>IF(ISERROR((VLOOKUP($A83,'SegEnds_NonXtal_BW#'!$A:$Z,22,FALSE)+VLOOKUP($A83,A:AL,31,FALSE)-50)),"-",(VLOOKUP($A83,'SegEnds_NonXtal_BW#'!$A:$Z,22,FALSE)+VLOOKUP($A83,A:AL,31,FALSE)-50))</f>
        <v>269</v>
      </c>
      <c r="AG83" s="3">
        <f>IF(ISERROR(VLOOKUP($A83,'SegEnds_NonXtal_BW#'!$A:$Z,23,FALSE)+VLOOKUP($A83,A:AL,34,FALSE)-50),"-",(VLOOKUP($A83,'SegEnds_NonXtal_BW#'!$A:$Z,23,FALSE)+VLOOKUP($A83,A:AL,34,FALSE)-50))</f>
        <v>272</v>
      </c>
      <c r="AH83" s="3">
        <v>298</v>
      </c>
      <c r="AI83" s="3">
        <f>IF(ISERROR((VLOOKUP($A83,'SegEnds_NonXtal_BW#'!$A:$Z,24,FALSE)+VLOOKUP($A83,A:AL,34,FALSE)-50)),"-",(VLOOKUP($A83,'SegEnds_NonXtal_BW#'!$A:$Z,24,FALSE)+VLOOKUP($A83,A:AL,34,FALSE)-50))</f>
        <v>304</v>
      </c>
      <c r="AJ83" s="3">
        <f>IF(ISERROR(VLOOKUP($A83,'SegEnds_NonXtal_BW#'!$A:$Z,25,FALSE)+VLOOKUP($A83,A:AL,37,FALSE)-50),"-",(VLOOKUP($A83,'SegEnds_NonXtal_BW#'!$A:$Z,25,FALSE)+VLOOKUP($A83,A:AL,37,FALSE)-50))</f>
        <v>305</v>
      </c>
      <c r="AK83" s="3">
        <v>308</v>
      </c>
      <c r="AL83" s="3">
        <f>IF(ISERROR((VLOOKUP($A83,'SegEnds_NonXtal_BW#'!$A:$Z,26,FALSE)+VLOOKUP($A83,A:AL,37,FALSE)-50)),"-",(VLOOKUP($A83,'SegEnds_NonXtal_BW#'!$A:$Z,26,FALSE)+VLOOKUP($A83,A:AL,37,FALSE)-50))</f>
        <v>317</v>
      </c>
      <c r="AM83" s="28" t="str">
        <f>VLOOKUP(A83,Classification!A:B,2,FALSE)</f>
        <v>A</v>
      </c>
      <c r="AN83" s="28" t="b">
        <f t="shared" si="59"/>
        <v>1</v>
      </c>
      <c r="AO83" s="3" t="str">
        <f>IF(ISERROR(MATCH(A83,'SegEnds_Xtal_Prot#'!B:B, 0)), "NoXtal", "Xtal")</f>
        <v>NoXtal</v>
      </c>
      <c r="AP83" s="3">
        <f t="shared" si="41"/>
        <v>1</v>
      </c>
      <c r="AQ83" s="3">
        <f t="shared" si="42"/>
        <v>1</v>
      </c>
      <c r="AR83" s="3">
        <f t="shared" si="43"/>
        <v>2</v>
      </c>
      <c r="AS83" s="3">
        <f t="shared" si="44"/>
        <v>1</v>
      </c>
      <c r="AT83" s="3">
        <f t="shared" si="45"/>
        <v>1</v>
      </c>
      <c r="AU83" s="3">
        <f t="shared" si="46"/>
        <v>1</v>
      </c>
      <c r="AV83" s="3">
        <f t="shared" si="47"/>
        <v>11</v>
      </c>
      <c r="AW83" s="3">
        <f t="shared" si="48"/>
        <v>6</v>
      </c>
      <c r="AX83" s="3">
        <f t="shared" si="49"/>
        <v>5</v>
      </c>
      <c r="AY83" s="3">
        <f t="shared" si="50"/>
        <v>3</v>
      </c>
      <c r="AZ83" s="3">
        <f t="shared" si="51"/>
        <v>1</v>
      </c>
      <c r="BA83" s="3">
        <f>IF(ISERROR(LEN(VLOOKUP(A83,Seqs!A:E,2,FALSE))-AL83),"-",LEN(VLOOKUP(A83,Seqs!A:E,2,FALSE))-AL83)</f>
        <v>38</v>
      </c>
      <c r="BB83" s="16">
        <f t="shared" si="52"/>
        <v>28</v>
      </c>
      <c r="BC83" s="9">
        <f t="shared" si="53"/>
        <v>20</v>
      </c>
      <c r="BD83" s="3">
        <f t="shared" si="54"/>
        <v>28</v>
      </c>
      <c r="BE83" s="3">
        <f t="shared" si="55"/>
        <v>43</v>
      </c>
    </row>
    <row r="84" spans="1:58" s="3" customFormat="1" x14ac:dyDescent="0.2">
      <c r="A84" s="3" t="s">
        <v>172</v>
      </c>
      <c r="B84" s="3" t="str">
        <f>LOWER(VLOOKUP(A84,Xtal_Templ!A:B,2,FALSE))</f>
        <v>ccr5_human</v>
      </c>
      <c r="C84" s="3">
        <f>VLOOKUP($A84,'SegEnds_NonXtal_BW#'!$A:$Z,3,FALSE)+D84-50</f>
        <v>31</v>
      </c>
      <c r="D84" s="3">
        <v>57</v>
      </c>
      <c r="E84" s="3">
        <f>IF(ISERROR(VLOOKUP($A84,'SegEnds_NonXtal_BW#'!$A:$Z,4,FALSE)+VLOOKUP($A84,A:AL,4,FALSE)-50),"-",(VLOOKUP($A84,'SegEnds_NonXtal_BW#'!$A:$Z,4,FALSE)+VLOOKUP($A84,A:AL,4,FALSE)-50))</f>
        <v>67</v>
      </c>
      <c r="F84" s="3">
        <f t="shared" si="60"/>
        <v>68</v>
      </c>
      <c r="G84" s="3">
        <v>70</v>
      </c>
      <c r="H84" s="3">
        <f t="shared" si="61"/>
        <v>71</v>
      </c>
      <c r="I84" s="3">
        <f t="shared" si="61"/>
        <v>72</v>
      </c>
      <c r="J84" s="3">
        <v>85</v>
      </c>
      <c r="K84" s="3">
        <f>VLOOKUP($A84,'SegEnds_NonXtal_BW#'!$A:$Z,8,FALSE)+VLOOKUP($A84,A:AL,10,FALSE)-50</f>
        <v>101</v>
      </c>
      <c r="L84" s="3">
        <f t="shared" si="56"/>
        <v>102</v>
      </c>
      <c r="M84" s="3">
        <v>103</v>
      </c>
      <c r="N84" s="3">
        <f t="shared" si="57"/>
        <v>105</v>
      </c>
      <c r="O84" s="3">
        <f t="shared" si="39"/>
        <v>106</v>
      </c>
      <c r="P84" s="3">
        <v>135</v>
      </c>
      <c r="Q84" s="3">
        <f>VLOOKUP($A84,'SegEnds_NonXtal_BW#'!$A:$Z,12,FALSE)+VLOOKUP($A84,A:AL,16,FALSE)-50</f>
        <v>141</v>
      </c>
      <c r="R84" s="3">
        <f>IF(ISERROR(VLOOKUP($A84,'SegEnds_NonXtal_BW#'!$A:$Z,13,FALSE)+VLOOKUP($A84,A:AL,19,FALSE)-50),"-",VLOOKUP($A84,'SegEnds_NonXtal_BW#'!$A:$Z,13,FALSE)+VLOOKUP($A84,A:AL,19,FALSE)-50)</f>
        <v>142</v>
      </c>
      <c r="S84" s="3">
        <v>142</v>
      </c>
      <c r="T84" s="103">
        <f>IF(ISERROR(VLOOKUP($A84,'SegEnds_NonXtal_BW#'!$A:$Z,14,FALSE)+VLOOKUP($A84,A:AL,19,FALSE)-50),"-",(VLOOKUP($A84,'SegEnds_NonXtal_BW#'!$A:$Z,14,FALSE)+VLOOKUP($A84,A:AL,19,FALSE)-50))</f>
        <v>149</v>
      </c>
      <c r="U84" s="9">
        <f>IF(ISERROR(VLOOKUP($A84,'SegEnds_NonXtal_BW#'!$A:$Z,15,FALSE)+VLOOKUP($A84,A:AL,22,FALSE)-50),"-",VLOOKUP($A84,'SegEnds_NonXtal_BW#'!$A:$Z,15,FALSE)+VLOOKUP($A84,A:AL,22,FALSE)-50)</f>
        <v>150</v>
      </c>
      <c r="V84" s="3">
        <v>162</v>
      </c>
      <c r="W84" s="3">
        <f>IF(ISERROR(VLOOKUP($A84,'SegEnds_NonXtal_BW#'!$A:$Z,16,FALSE)+VLOOKUP($A84,A:AL,22,FALSE)-50),"-",(VLOOKUP($A84,'SegEnds_NonXtal_BW#'!$A:$Z,16,FALSE)+VLOOKUP($A84,A:AL,22,FALSE)-50))</f>
        <v>176</v>
      </c>
      <c r="X84" s="3">
        <f>IF(ISERROR(VLOOKUP($A84,'SegEnds_NonXtal_BW#'!$A:$Z,17,FALSE)+VLOOKUP($A84,A:AL,25,FALSE)-50),"-",(VLOOKUP($A84,'SegEnds_NonXtal_BW#'!$A:$Z,17,FALSE)+VLOOKUP($A84,A:AL,25,FALSE)-50))</f>
        <v>187</v>
      </c>
      <c r="Y84" s="3">
        <v>187</v>
      </c>
      <c r="Z84" s="3">
        <f t="shared" si="40"/>
        <v>189</v>
      </c>
      <c r="AA84" s="3">
        <f>IF(ISERROR(VLOOKUP($A84,'SegEnds_NonXtal_BW#'!$A:$Z,19,FALSE)+VLOOKUP($A84,A:AL,28,FALSE)-50),"-",(VLOOKUP($A84,'SegEnds_NonXtal_BW#'!$A:$Z,19,FALSE)+VLOOKUP($A84,A:AL,28,FALSE)-50))</f>
        <v>194</v>
      </c>
      <c r="AB84" s="3">
        <v>214</v>
      </c>
      <c r="AC84" s="3">
        <f>IF(ISERROR((VLOOKUP($A84,'SegEnds_NonXtal_BW#'!$A:$Z,20,FALSE)+VLOOKUP($A84,A:AL,28,FALSE)-50)),"-",(VLOOKUP($A84,'SegEnds_NonXtal_BW#'!$A:$Z,20,FALSE)+VLOOKUP($A84,A:AL,28,FALSE)-50))</f>
        <v>232</v>
      </c>
      <c r="AD84" s="3">
        <f>IF(ISERROR(VLOOKUP($A84,'SegEnds_NonXtal_BW#'!$A:$Z,21,FALSE)+VLOOKUP($A84,A:AL,31,FALSE)-50),"-",(VLOOKUP($A84,'SegEnds_NonXtal_BW#'!$A:$Z,21,FALSE)+VLOOKUP($A84,A:AL,31,FALSE)-50))</f>
        <v>237</v>
      </c>
      <c r="AE84" s="3">
        <v>257</v>
      </c>
      <c r="AF84" s="3">
        <f>IF(ISERROR((VLOOKUP($A84,'SegEnds_NonXtal_BW#'!$A:$Z,22,FALSE)+VLOOKUP($A84,A:AL,31,FALSE)-50)),"-",(VLOOKUP($A84,'SegEnds_NonXtal_BW#'!$A:$Z,22,FALSE)+VLOOKUP($A84,A:AL,31,FALSE)-50))</f>
        <v>272</v>
      </c>
      <c r="AG84" s="3">
        <f>IF(ISERROR(VLOOKUP($A84,'SegEnds_NonXtal_BW#'!$A:$Z,23,FALSE)+VLOOKUP($A84,A:AL,34,FALSE)-50),"-",(VLOOKUP($A84,'SegEnds_NonXtal_BW#'!$A:$Z,23,FALSE)+VLOOKUP($A84,A:AL,34,FALSE)-50))</f>
        <v>275</v>
      </c>
      <c r="AH84" s="3">
        <v>301</v>
      </c>
      <c r="AI84" s="3">
        <f>IF(ISERROR((VLOOKUP($A84,'SegEnds_NonXtal_BW#'!$A:$Z,24,FALSE)+VLOOKUP($A84,A:AL,34,FALSE)-50)),"-",(VLOOKUP($A84,'SegEnds_NonXtal_BW#'!$A:$Z,24,FALSE)+VLOOKUP($A84,A:AL,34,FALSE)-50))</f>
        <v>307</v>
      </c>
      <c r="AJ84" s="3">
        <f>IF(ISERROR(VLOOKUP($A84,'SegEnds_NonXtal_BW#'!$A:$Z,25,FALSE)+VLOOKUP($A84,A:AL,37,FALSE)-50),"-",(VLOOKUP($A84,'SegEnds_NonXtal_BW#'!$A:$Z,25,FALSE)+VLOOKUP($A84,A:AL,37,FALSE)-50))</f>
        <v>308</v>
      </c>
      <c r="AK84" s="3">
        <v>311</v>
      </c>
      <c r="AL84" s="3">
        <f>IF(ISERROR((VLOOKUP($A84,'SegEnds_NonXtal_BW#'!$A:$Z,26,FALSE)+VLOOKUP($A84,A:AL,37,FALSE)-50)),"-",(VLOOKUP($A84,'SegEnds_NonXtal_BW#'!$A:$Z,26,FALSE)+VLOOKUP($A84,A:AL,37,FALSE)-50))</f>
        <v>320</v>
      </c>
      <c r="AM84" s="28" t="str">
        <f>VLOOKUP(A84,Classification!A:B,2,FALSE)</f>
        <v>A</v>
      </c>
      <c r="AN84" s="28" t="b">
        <f t="shared" si="59"/>
        <v>1</v>
      </c>
      <c r="AO84" s="3" t="str">
        <f>IF(ISERROR(MATCH(A84,'SegEnds_Xtal_Prot#'!B:B, 0)), "NoXtal", "Xtal")</f>
        <v>NoXtal</v>
      </c>
      <c r="AP84" s="3">
        <f t="shared" si="41"/>
        <v>1</v>
      </c>
      <c r="AQ84" s="3">
        <f t="shared" si="42"/>
        <v>1</v>
      </c>
      <c r="AR84" s="3">
        <f t="shared" si="43"/>
        <v>1</v>
      </c>
      <c r="AS84" s="3">
        <f t="shared" si="44"/>
        <v>1</v>
      </c>
      <c r="AT84" s="3">
        <f t="shared" si="45"/>
        <v>1</v>
      </c>
      <c r="AU84" s="3">
        <f t="shared" si="46"/>
        <v>1</v>
      </c>
      <c r="AV84" s="3">
        <f t="shared" si="47"/>
        <v>11</v>
      </c>
      <c r="AW84" s="3">
        <f t="shared" si="48"/>
        <v>5</v>
      </c>
      <c r="AX84" s="3">
        <f t="shared" si="49"/>
        <v>5</v>
      </c>
      <c r="AY84" s="3">
        <f t="shared" si="50"/>
        <v>3</v>
      </c>
      <c r="AZ84" s="3">
        <f t="shared" si="51"/>
        <v>1</v>
      </c>
      <c r="BA84" s="3">
        <f>IF(ISERROR(LEN(VLOOKUP(A84,Seqs!A:E,2,FALSE))-AL84),"-",LEN(VLOOKUP(A84,Seqs!A:E,2,FALSE))-AL84)</f>
        <v>40</v>
      </c>
      <c r="BB84" s="16">
        <f t="shared" si="52"/>
        <v>28</v>
      </c>
      <c r="BC84" s="9">
        <f t="shared" si="53"/>
        <v>20</v>
      </c>
      <c r="BD84" s="3">
        <f t="shared" si="54"/>
        <v>28</v>
      </c>
      <c r="BE84" s="3">
        <f t="shared" si="55"/>
        <v>43</v>
      </c>
    </row>
    <row r="85" spans="1:58" s="3" customFormat="1" x14ac:dyDescent="0.2">
      <c r="A85" s="3" t="s">
        <v>173</v>
      </c>
      <c r="B85" s="3" t="str">
        <f>LOWER(VLOOKUP(A85,Xtal_Templ!A:B,2,FALSE))</f>
        <v>ccr5_human</v>
      </c>
      <c r="C85" s="3">
        <f>VLOOKUP($A85,'SegEnds_NonXtal_BW#'!$A:$Z,3,FALSE)+D85-50</f>
        <v>22</v>
      </c>
      <c r="D85" s="3">
        <v>48</v>
      </c>
      <c r="E85" s="3">
        <f>IF(ISERROR(VLOOKUP($A85,'SegEnds_NonXtal_BW#'!$A:$Z,4,FALSE)+VLOOKUP($A85,A:AL,4,FALSE)-50),"-",(VLOOKUP($A85,'SegEnds_NonXtal_BW#'!$A:$Z,4,FALSE)+VLOOKUP($A85,A:AL,4,FALSE)-50))</f>
        <v>58</v>
      </c>
      <c r="F85" s="3">
        <f t="shared" si="60"/>
        <v>59</v>
      </c>
      <c r="G85" s="3">
        <v>61</v>
      </c>
      <c r="H85" s="3">
        <f t="shared" si="61"/>
        <v>62</v>
      </c>
      <c r="I85" s="3">
        <f t="shared" si="61"/>
        <v>63</v>
      </c>
      <c r="J85" s="3">
        <v>76</v>
      </c>
      <c r="K85" s="3">
        <f>VLOOKUP($A85,'SegEnds_NonXtal_BW#'!$A:$Z,8,FALSE)+VLOOKUP($A85,A:AL,10,FALSE)-50</f>
        <v>92</v>
      </c>
      <c r="L85" s="3">
        <f t="shared" si="56"/>
        <v>93</v>
      </c>
      <c r="M85" s="3">
        <v>94</v>
      </c>
      <c r="N85" s="3">
        <f t="shared" si="57"/>
        <v>96</v>
      </c>
      <c r="O85" s="3">
        <f t="shared" si="39"/>
        <v>97</v>
      </c>
      <c r="P85" s="3">
        <v>126</v>
      </c>
      <c r="Q85" s="3">
        <f>VLOOKUP($A85,'SegEnds_NonXtal_BW#'!$A:$Z,12,FALSE)+VLOOKUP($A85,A:AL,16,FALSE)-50</f>
        <v>132</v>
      </c>
      <c r="R85" s="3">
        <f>IF(ISERROR(VLOOKUP($A85,'SegEnds_NonXtal_BW#'!$A:$Z,13,FALSE)+VLOOKUP($A85,A:AL,19,FALSE)-50),"-",VLOOKUP($A85,'SegEnds_NonXtal_BW#'!$A:$Z,13,FALSE)+VLOOKUP($A85,A:AL,19,FALSE)-50)</f>
        <v>133</v>
      </c>
      <c r="S85" s="3">
        <v>133</v>
      </c>
      <c r="T85" s="3">
        <f>IF(ISERROR(VLOOKUP($A85,'SegEnds_NonXtal_BW#'!$A:$Z,14,FALSE)+VLOOKUP($A85,A:AL,19,FALSE)-50),"-",(VLOOKUP($A85,'SegEnds_NonXtal_BW#'!$A:$Z,14,FALSE)+VLOOKUP($A85,A:AL,19,FALSE)-50))</f>
        <v>140</v>
      </c>
      <c r="U85" s="3">
        <f>IF(ISERROR(VLOOKUP($A85,'SegEnds_NonXtal_BW#'!$A:$Z,15,FALSE)+VLOOKUP($A85,A:AL,22,FALSE)-50),"-",VLOOKUP($A85,'SegEnds_NonXtal_BW#'!$A:$Z,15,FALSE)+VLOOKUP($A85,A:AL,22,FALSE)-50)</f>
        <v>141</v>
      </c>
      <c r="V85" s="3">
        <v>153</v>
      </c>
      <c r="W85" s="3">
        <f>IF(ISERROR(VLOOKUP($A85,'SegEnds_NonXtal_BW#'!$A:$Z,16,FALSE)+VLOOKUP($A85,A:AL,22,FALSE)-50),"-",(VLOOKUP($A85,'SegEnds_NonXtal_BW#'!$A:$Z,16,FALSE)+VLOOKUP($A85,A:AL,22,FALSE)-50))</f>
        <v>167</v>
      </c>
      <c r="X85" s="3">
        <f>IF(ISERROR(VLOOKUP($A85,'SegEnds_NonXtal_BW#'!$A:$Z,17,FALSE)+VLOOKUP($A85,A:AL,25,FALSE)-50),"-",(VLOOKUP($A85,'SegEnds_NonXtal_BW#'!$A:$Z,17,FALSE)+VLOOKUP($A85,A:AL,25,FALSE)-50))</f>
        <v>178</v>
      </c>
      <c r="Y85" s="3">
        <v>178</v>
      </c>
      <c r="Z85" s="3">
        <f t="shared" si="40"/>
        <v>180</v>
      </c>
      <c r="AA85" s="3">
        <f>IF(ISERROR(VLOOKUP($A85,'SegEnds_NonXtal_BW#'!$A:$Z,19,FALSE)+VLOOKUP($A85,A:AL,28,FALSE)-50),"-",(VLOOKUP($A85,'SegEnds_NonXtal_BW#'!$A:$Z,19,FALSE)+VLOOKUP($A85,A:AL,28,FALSE)-50))</f>
        <v>186</v>
      </c>
      <c r="AB85" s="3">
        <v>206</v>
      </c>
      <c r="AC85" s="3">
        <f>IF(ISERROR((VLOOKUP($A85,'SegEnds_NonXtal_BW#'!$A:$Z,20,FALSE)+VLOOKUP($A85,A:AL,28,FALSE)-50)),"-",(VLOOKUP($A85,'SegEnds_NonXtal_BW#'!$A:$Z,20,FALSE)+VLOOKUP($A85,A:AL,28,FALSE)-50))</f>
        <v>224</v>
      </c>
      <c r="AD85" s="3">
        <f>IF(ISERROR(VLOOKUP($A85,'SegEnds_NonXtal_BW#'!$A:$Z,21,FALSE)+VLOOKUP($A85,A:AL,31,FALSE)-50),"-",(VLOOKUP($A85,'SegEnds_NonXtal_BW#'!$A:$Z,21,FALSE)+VLOOKUP($A85,A:AL,31,FALSE)-50))</f>
        <v>228</v>
      </c>
      <c r="AE85" s="3">
        <v>250</v>
      </c>
      <c r="AF85" s="3">
        <f>IF(ISERROR((VLOOKUP($A85,'SegEnds_NonXtal_BW#'!$A:$Z,22,FALSE)+VLOOKUP($A85,A:AL,31,FALSE)-50)),"-",(VLOOKUP($A85,'SegEnds_NonXtal_BW#'!$A:$Z,22,FALSE)+VLOOKUP($A85,A:AL,31,FALSE)-50))</f>
        <v>265</v>
      </c>
      <c r="AG85" s="3">
        <f>IF(ISERROR(VLOOKUP($A85,'SegEnds_NonXtal_BW#'!$A:$Z,23,FALSE)+VLOOKUP($A85,A:AL,34,FALSE)-50),"-",(VLOOKUP($A85,'SegEnds_NonXtal_BW#'!$A:$Z,23,FALSE)+VLOOKUP($A85,A:AL,34,FALSE)-50))</f>
        <v>268</v>
      </c>
      <c r="AH85" s="3">
        <v>294</v>
      </c>
      <c r="AI85" s="3">
        <f>IF(ISERROR((VLOOKUP($A85,'SegEnds_NonXtal_BW#'!$A:$Z,24,FALSE)+VLOOKUP($A85,A:AL,34,FALSE)-50)),"-",(VLOOKUP($A85,'SegEnds_NonXtal_BW#'!$A:$Z,24,FALSE)+VLOOKUP($A85,A:AL,34,FALSE)-50))</f>
        <v>300</v>
      </c>
      <c r="AJ85" s="3">
        <f>IF(ISERROR(VLOOKUP($A85,'SegEnds_NonXtal_BW#'!$A:$Z,25,FALSE)+VLOOKUP($A85,A:AL,37,FALSE)-50),"-",(VLOOKUP($A85,'SegEnds_NonXtal_BW#'!$A:$Z,25,FALSE)+VLOOKUP($A85,A:AL,37,FALSE)-50))</f>
        <v>301</v>
      </c>
      <c r="AK85" s="3">
        <v>304</v>
      </c>
      <c r="AL85" s="3">
        <f>IF(ISERROR((VLOOKUP($A85,'SegEnds_NonXtal_BW#'!$A:$Z,26,FALSE)+VLOOKUP($A85,A:AL,37,FALSE)-50)),"-",(VLOOKUP($A85,'SegEnds_NonXtal_BW#'!$A:$Z,26,FALSE)+VLOOKUP($A85,A:AL,37,FALSE)-50))</f>
        <v>313</v>
      </c>
      <c r="AM85" s="28" t="str">
        <f>VLOOKUP(A85,Classification!A:B,2,FALSE)</f>
        <v>A</v>
      </c>
      <c r="AN85" s="28" t="b">
        <f t="shared" si="59"/>
        <v>1</v>
      </c>
      <c r="AO85" s="3" t="str">
        <f>IF(ISERROR(MATCH(A85,'SegEnds_Xtal_Prot#'!B:B, 0)), "NoXtal", "Xtal")</f>
        <v>Xtal</v>
      </c>
      <c r="AP85" s="3">
        <f t="shared" si="41"/>
        <v>1</v>
      </c>
      <c r="AQ85" s="3">
        <f t="shared" si="42"/>
        <v>1</v>
      </c>
      <c r="AR85" s="3">
        <f t="shared" si="43"/>
        <v>1</v>
      </c>
      <c r="AS85" s="3">
        <f t="shared" si="44"/>
        <v>1</v>
      </c>
      <c r="AT85" s="3">
        <f t="shared" si="45"/>
        <v>1</v>
      </c>
      <c r="AU85" s="3">
        <f t="shared" si="46"/>
        <v>1</v>
      </c>
      <c r="AV85" s="3">
        <f t="shared" si="47"/>
        <v>11</v>
      </c>
      <c r="AW85" s="3">
        <f t="shared" si="48"/>
        <v>6</v>
      </c>
      <c r="AX85" s="3">
        <f t="shared" si="49"/>
        <v>4</v>
      </c>
      <c r="AY85" s="3">
        <f t="shared" si="50"/>
        <v>3</v>
      </c>
      <c r="AZ85" s="3">
        <f t="shared" si="51"/>
        <v>1</v>
      </c>
      <c r="BA85" s="3">
        <f>IF(ISERROR(LEN(VLOOKUP(A85,Seqs!A:E,2,FALSE))-AL85),"-",LEN(VLOOKUP(A85,Seqs!A:E,2,FALSE))-AL85)</f>
        <v>39</v>
      </c>
      <c r="BB85" s="16">
        <f t="shared" si="52"/>
        <v>28</v>
      </c>
      <c r="BC85" s="3">
        <f t="shared" si="53"/>
        <v>20</v>
      </c>
      <c r="BD85" s="3">
        <f t="shared" si="54"/>
        <v>28</v>
      </c>
      <c r="BE85" s="3">
        <f t="shared" si="55"/>
        <v>44</v>
      </c>
    </row>
    <row r="86" spans="1:58" s="3" customFormat="1" x14ac:dyDescent="0.2">
      <c r="A86" s="3" t="s">
        <v>176</v>
      </c>
      <c r="B86" s="3" t="str">
        <f>LOWER(VLOOKUP(A86,Xtal_Templ!A:B,2,FALSE))</f>
        <v>ccr5_human</v>
      </c>
      <c r="C86" s="3">
        <f>VLOOKUP($A86,'SegEnds_NonXtal_BW#'!$A:$Z,3,FALSE)+D86-50</f>
        <v>27</v>
      </c>
      <c r="D86" s="3">
        <v>53</v>
      </c>
      <c r="E86" s="3">
        <f>IF(ISERROR(VLOOKUP($A86,'SegEnds_NonXtal_BW#'!$A:$Z,4,FALSE)+VLOOKUP($A86,A:AL,4,FALSE)-50),"-",(VLOOKUP($A86,'SegEnds_NonXtal_BW#'!$A:$Z,4,FALSE)+VLOOKUP($A86,A:AL,4,FALSE)-50))</f>
        <v>63</v>
      </c>
      <c r="F86" s="3">
        <f t="shared" si="60"/>
        <v>64</v>
      </c>
      <c r="G86" s="3">
        <v>66</v>
      </c>
      <c r="H86" s="3">
        <f t="shared" si="61"/>
        <v>67</v>
      </c>
      <c r="I86" s="3">
        <f t="shared" si="61"/>
        <v>68</v>
      </c>
      <c r="J86" s="3">
        <v>81</v>
      </c>
      <c r="K86" s="3">
        <f>VLOOKUP($A86,'SegEnds_NonXtal_BW#'!$A:$Z,8,FALSE)+VLOOKUP($A86,A:AL,10,FALSE)-50</f>
        <v>97</v>
      </c>
      <c r="L86" s="3">
        <f t="shared" si="56"/>
        <v>98</v>
      </c>
      <c r="M86" s="3">
        <v>99</v>
      </c>
      <c r="N86" s="3">
        <f t="shared" si="57"/>
        <v>101</v>
      </c>
      <c r="O86" s="3">
        <f t="shared" si="39"/>
        <v>102</v>
      </c>
      <c r="P86" s="3">
        <v>131</v>
      </c>
      <c r="Q86" s="3">
        <f>VLOOKUP($A86,'SegEnds_NonXtal_BW#'!$A:$Z,12,FALSE)+VLOOKUP($A86,A:AL,16,FALSE)-50</f>
        <v>137</v>
      </c>
      <c r="R86" s="3">
        <f>IF(ISERROR(VLOOKUP($A86,'SegEnds_NonXtal_BW#'!$A:$Z,13,FALSE)+VLOOKUP($A86,A:AL,19,FALSE)-50),"-",VLOOKUP($A86,'SegEnds_NonXtal_BW#'!$A:$Z,13,FALSE)+VLOOKUP($A86,A:AL,19,FALSE)-50)</f>
        <v>138</v>
      </c>
      <c r="S86" s="3">
        <v>138</v>
      </c>
      <c r="T86" s="103">
        <f>IF(ISERROR(VLOOKUP($A86,'SegEnds_NonXtal_BW#'!$A:$Z,14,FALSE)+VLOOKUP($A86,A:AL,19,FALSE)-50),"-",(VLOOKUP($A86,'SegEnds_NonXtal_BW#'!$A:$Z,14,FALSE)+VLOOKUP($A86,A:AL,19,FALSE)-50))</f>
        <v>145</v>
      </c>
      <c r="U86" s="9">
        <f>IF(ISERROR(VLOOKUP($A86,'SegEnds_NonXtal_BW#'!$A:$Z,15,FALSE)+VLOOKUP($A86,A:AL,22,FALSE)-50),"-",VLOOKUP($A86,'SegEnds_NonXtal_BW#'!$A:$Z,15,FALSE)+VLOOKUP($A86,A:AL,22,FALSE)-50)</f>
        <v>146</v>
      </c>
      <c r="V86" s="3">
        <v>158</v>
      </c>
      <c r="W86" s="3">
        <f>IF(ISERROR(VLOOKUP($A86,'SegEnds_NonXtal_BW#'!$A:$Z,16,FALSE)+VLOOKUP($A86,A:AL,22,FALSE)-50),"-",(VLOOKUP($A86,'SegEnds_NonXtal_BW#'!$A:$Z,16,FALSE)+VLOOKUP($A86,A:AL,22,FALSE)-50))</f>
        <v>172</v>
      </c>
      <c r="X86" s="3">
        <f>IF(ISERROR(VLOOKUP($A86,'SegEnds_NonXtal_BW#'!$A:$Z,17,FALSE)+VLOOKUP($A86,A:AL,25,FALSE)-50),"-",(VLOOKUP($A86,'SegEnds_NonXtal_BW#'!$A:$Z,17,FALSE)+VLOOKUP($A86,A:AL,25,FALSE)-50))</f>
        <v>183</v>
      </c>
      <c r="Y86" s="3">
        <v>183</v>
      </c>
      <c r="Z86" s="3">
        <f t="shared" si="40"/>
        <v>185</v>
      </c>
      <c r="AA86" s="3">
        <f>IF(ISERROR(VLOOKUP($A86,'SegEnds_NonXtal_BW#'!$A:$Z,19,FALSE)+VLOOKUP($A86,A:AL,28,FALSE)-50),"-",(VLOOKUP($A86,'SegEnds_NonXtal_BW#'!$A:$Z,19,FALSE)+VLOOKUP($A86,A:AL,28,FALSE)-50))</f>
        <v>190</v>
      </c>
      <c r="AB86" s="3">
        <v>210</v>
      </c>
      <c r="AC86" s="3">
        <f>IF(ISERROR((VLOOKUP($A86,'SegEnds_NonXtal_BW#'!$A:$Z,20,FALSE)+VLOOKUP($A86,A:AL,28,FALSE)-50)),"-",(VLOOKUP($A86,'SegEnds_NonXtal_BW#'!$A:$Z,20,FALSE)+VLOOKUP($A86,A:AL,28,FALSE)-50))</f>
        <v>228</v>
      </c>
      <c r="AD86" s="3">
        <f>IF(ISERROR(VLOOKUP($A86,'SegEnds_NonXtal_BW#'!$A:$Z,21,FALSE)+VLOOKUP($A86,A:AL,31,FALSE)-50),"-",(VLOOKUP($A86,'SegEnds_NonXtal_BW#'!$A:$Z,21,FALSE)+VLOOKUP($A86,A:AL,31,FALSE)-50))</f>
        <v>233</v>
      </c>
      <c r="AE86" s="3">
        <v>253</v>
      </c>
      <c r="AF86" s="3">
        <f>IF(ISERROR((VLOOKUP($A86,'SegEnds_NonXtal_BW#'!$A:$Z,22,FALSE)+VLOOKUP($A86,A:AL,31,FALSE)-50)),"-",(VLOOKUP($A86,'SegEnds_NonXtal_BW#'!$A:$Z,22,FALSE)+VLOOKUP($A86,A:AL,31,FALSE)-50))</f>
        <v>268</v>
      </c>
      <c r="AG86" s="3">
        <f>IF(ISERROR(VLOOKUP($A86,'SegEnds_NonXtal_BW#'!$A:$Z,23,FALSE)+VLOOKUP($A86,A:AL,34,FALSE)-50),"-",(VLOOKUP($A86,'SegEnds_NonXtal_BW#'!$A:$Z,23,FALSE)+VLOOKUP($A86,A:AL,34,FALSE)-50))</f>
        <v>271</v>
      </c>
      <c r="AH86" s="3">
        <v>297</v>
      </c>
      <c r="AI86" s="3">
        <f>IF(ISERROR((VLOOKUP($A86,'SegEnds_NonXtal_BW#'!$A:$Z,24,FALSE)+VLOOKUP($A86,A:AL,34,FALSE)-50)),"-",(VLOOKUP($A86,'SegEnds_NonXtal_BW#'!$A:$Z,24,FALSE)+VLOOKUP($A86,A:AL,34,FALSE)-50))</f>
        <v>303</v>
      </c>
      <c r="AJ86" s="3">
        <f>IF(ISERROR(VLOOKUP($A86,'SegEnds_NonXtal_BW#'!$A:$Z,25,FALSE)+VLOOKUP($A86,A:AL,37,FALSE)-50),"-",(VLOOKUP($A86,'SegEnds_NonXtal_BW#'!$A:$Z,25,FALSE)+VLOOKUP($A86,A:AL,37,FALSE)-50))</f>
        <v>304</v>
      </c>
      <c r="AK86" s="3">
        <v>307</v>
      </c>
      <c r="AL86" s="3">
        <f>IF(ISERROR((VLOOKUP($A86,'SegEnds_NonXtal_BW#'!$A:$Z,26,FALSE)+VLOOKUP($A86,A:AL,37,FALSE)-50)),"-",(VLOOKUP($A86,'SegEnds_NonXtal_BW#'!$A:$Z,26,FALSE)+VLOOKUP($A86,A:AL,37,FALSE)-50))</f>
        <v>316</v>
      </c>
      <c r="AM86" s="28" t="str">
        <f>VLOOKUP(A86,Classification!A:B,2,FALSE)</f>
        <v>A</v>
      </c>
      <c r="AN86" s="28" t="b">
        <f t="shared" si="59"/>
        <v>1</v>
      </c>
      <c r="AO86" s="3" t="str">
        <f>IF(ISERROR(MATCH(A86,'SegEnds_Xtal_Prot#'!B:B, 0)), "NoXtal", "Xtal")</f>
        <v>NoXtal</v>
      </c>
      <c r="AP86" s="3">
        <f t="shared" si="41"/>
        <v>1</v>
      </c>
      <c r="AQ86" s="3">
        <f t="shared" si="42"/>
        <v>1</v>
      </c>
      <c r="AR86" s="3">
        <f t="shared" si="43"/>
        <v>1</v>
      </c>
      <c r="AS86" s="3">
        <f t="shared" si="44"/>
        <v>1</v>
      </c>
      <c r="AT86" s="3">
        <f t="shared" si="45"/>
        <v>1</v>
      </c>
      <c r="AU86" s="3">
        <f t="shared" si="46"/>
        <v>1</v>
      </c>
      <c r="AV86" s="3">
        <f t="shared" si="47"/>
        <v>11</v>
      </c>
      <c r="AW86" s="3">
        <f t="shared" si="48"/>
        <v>5</v>
      </c>
      <c r="AX86" s="3">
        <f t="shared" si="49"/>
        <v>5</v>
      </c>
      <c r="AY86" s="3">
        <f t="shared" si="50"/>
        <v>3</v>
      </c>
      <c r="AZ86" s="3">
        <f t="shared" si="51"/>
        <v>1</v>
      </c>
      <c r="BA86" s="3">
        <f>IF(ISERROR(LEN(VLOOKUP(A86,Seqs!A:E,2,FALSE))-AL86),"-",LEN(VLOOKUP(A86,Seqs!A:E,2,FALSE))-AL86)</f>
        <v>39</v>
      </c>
      <c r="BB86" s="16">
        <f t="shared" si="52"/>
        <v>28</v>
      </c>
      <c r="BC86" s="9">
        <f t="shared" si="53"/>
        <v>20</v>
      </c>
      <c r="BD86" s="3">
        <f t="shared" si="54"/>
        <v>28</v>
      </c>
      <c r="BE86" s="3">
        <f t="shared" si="55"/>
        <v>43</v>
      </c>
    </row>
    <row r="87" spans="1:58" s="3" customFormat="1" x14ac:dyDescent="0.2">
      <c r="A87" s="3" t="s">
        <v>179</v>
      </c>
      <c r="B87" s="3" t="str">
        <f>LOWER(VLOOKUP(A87,Xtal_Templ!A:B,2,FALSE))</f>
        <v>p2ry1_human</v>
      </c>
      <c r="C87" s="3">
        <f>VLOOKUP($A87,'SegEnds_NonXtal_BW#'!$A:$Z,3,FALSE)+D87-50</f>
        <v>21</v>
      </c>
      <c r="D87" s="3">
        <v>41</v>
      </c>
      <c r="E87" s="3">
        <f>IF(ISERROR(VLOOKUP($A87,'SegEnds_NonXtal_BW#'!$A:$Z,4,FALSE)+VLOOKUP($A87,A:AL,4,FALSE)-50),"-",(VLOOKUP($A87,'SegEnds_NonXtal_BW#'!$A:$Z,4,FALSE)+VLOOKUP($A87,A:AL,4,FALSE)-50))</f>
        <v>51</v>
      </c>
      <c r="F87" s="3" t="str">
        <f>IF(ISERROR(VLOOKUP($A87,'SegEnds_NonXtal_BW#'!$A:$Z,5,FALSE)+VLOOKUP($A87,A:AL,7,FALSE)-50),"-",(VLOOKUP($A87,'SegEnds_NonXtal_BW#'!$A:$Z,5,FALSE)+VLOOKUP($A87,A:AL,7,FALSE)-50))</f>
        <v>-</v>
      </c>
      <c r="G87" s="3" t="s">
        <v>23</v>
      </c>
      <c r="H87" s="3" t="str">
        <f>IF(ISERROR(VLOOKUP($A87,'SegEnds_NonXtal_BW#'!$A:$Z,6,FALSE)+VLOOKUP($A87,A:AL,7,FALSE)-50),"-",(VLOOKUP($A87,'SegEnds_NonXtal_BW#'!$A:$Z,6,FALSE)+VLOOKUP($A87,A:AL,7,FALSE)-50))</f>
        <v>-</v>
      </c>
      <c r="I87" s="3">
        <f>VLOOKUP($A87,'SegEnds_NonXtal_BW#'!$A:$Z,7,FALSE)+J87-50</f>
        <v>56</v>
      </c>
      <c r="J87" s="3">
        <v>69</v>
      </c>
      <c r="K87" s="3">
        <f>VLOOKUP($A87,'SegEnds_NonXtal_BW#'!$A:$Z,8,FALSE)+VLOOKUP($A87,A:AL,10,FALSE)-50</f>
        <v>85</v>
      </c>
      <c r="L87" s="3">
        <f t="shared" si="56"/>
        <v>88</v>
      </c>
      <c r="M87" s="3">
        <v>89</v>
      </c>
      <c r="N87" s="3">
        <f t="shared" si="57"/>
        <v>91</v>
      </c>
      <c r="O87" s="3">
        <f t="shared" si="39"/>
        <v>92</v>
      </c>
      <c r="P87" s="3">
        <v>121</v>
      </c>
      <c r="Q87" s="3">
        <f>VLOOKUP($A87,'SegEnds_NonXtal_BW#'!$A:$Z,12,FALSE)+VLOOKUP($A87,A:AL,16,FALSE)-50</f>
        <v>127</v>
      </c>
      <c r="R87" s="3">
        <f>IF(ISERROR(VLOOKUP($A87,'SegEnds_NonXtal_BW#'!$A:$Z,13,FALSE)+VLOOKUP($A87,A:AL,19,FALSE)-50),"-",VLOOKUP($A87,'SegEnds_NonXtal_BW#'!$A:$Z,13,FALSE)+VLOOKUP($A87,A:AL,19,FALSE)-50)</f>
        <v>128</v>
      </c>
      <c r="S87" s="3">
        <v>128</v>
      </c>
      <c r="T87" s="103">
        <f>IF(ISERROR(VLOOKUP($A87,'SegEnds_NonXtal_BW#'!$A:$Z,14,FALSE)+VLOOKUP($A87,A:AL,19,FALSE)-50),"-",(VLOOKUP($A87,'SegEnds_NonXtal_BW#'!$A:$Z,14,FALSE)+VLOOKUP($A87,A:AL,19,FALSE)-50))</f>
        <v>135</v>
      </c>
      <c r="U87" s="9">
        <f>IF(ISERROR(VLOOKUP($A87,'SegEnds_NonXtal_BW#'!$A:$Z,15,FALSE)+VLOOKUP($A87,A:AL,22,FALSE)-50),"-",VLOOKUP($A87,'SegEnds_NonXtal_BW#'!$A:$Z,15,FALSE)+VLOOKUP($A87,A:AL,22,FALSE)-50)</f>
        <v>136</v>
      </c>
      <c r="V87" s="3">
        <v>148</v>
      </c>
      <c r="W87" s="3">
        <f>IF(ISERROR(VLOOKUP($A87,'SegEnds_NonXtal_BW#'!$A:$Z,16,FALSE)+VLOOKUP($A87,A:AL,22,FALSE)-50),"-",(VLOOKUP($A87,'SegEnds_NonXtal_BW#'!$A:$Z,16,FALSE)+VLOOKUP($A87,A:AL,22,FALSE)-50))</f>
        <v>162</v>
      </c>
      <c r="X87" s="3">
        <f>IF(ISERROR(VLOOKUP($A87,'SegEnds_NonXtal_BW#'!$A:$Z,17,FALSE)+VLOOKUP($A87,A:AL,25,FALSE)-50),"-",(VLOOKUP($A87,'SegEnds_NonXtal_BW#'!$A:$Z,17,FALSE)+VLOOKUP($A87,A:AL,25,FALSE)-50))</f>
        <v>173</v>
      </c>
      <c r="Y87" s="3">
        <v>173</v>
      </c>
      <c r="Z87" s="3">
        <f t="shared" si="40"/>
        <v>175</v>
      </c>
      <c r="AA87" s="3">
        <f>IF(ISERROR(VLOOKUP($A87,'SegEnds_NonXtal_BW#'!$A:$Z,19,FALSE)+VLOOKUP($A87,A:AL,28,FALSE)-50),"-",(VLOOKUP($A87,'SegEnds_NonXtal_BW#'!$A:$Z,19,FALSE)+VLOOKUP($A87,A:AL,28,FALSE)-50))</f>
        <v>183</v>
      </c>
      <c r="AB87" s="3">
        <v>201</v>
      </c>
      <c r="AC87" s="3">
        <f>IF(ISERROR((VLOOKUP($A87,'SegEnds_NonXtal_BW#'!$A:$Z,20,FALSE)+VLOOKUP($A87,A:AL,28,FALSE)-50)),"-",(VLOOKUP($A87,'SegEnds_NonXtal_BW#'!$A:$Z,20,FALSE)+VLOOKUP($A87,A:AL,28,FALSE)-50))</f>
        <v>218</v>
      </c>
      <c r="AD87" s="3">
        <f>IF(ISERROR(VLOOKUP($A87,'SegEnds_NonXtal_BW#'!$A:$Z,21,FALSE)+VLOOKUP($A87,A:AL,31,FALSE)-50),"-",(VLOOKUP($A87,'SegEnds_NonXtal_BW#'!$A:$Z,21,FALSE)+VLOOKUP($A87,A:AL,31,FALSE)-50))</f>
        <v>224</v>
      </c>
      <c r="AE87" s="3">
        <v>248</v>
      </c>
      <c r="AF87" s="3">
        <f>IF(ISERROR((VLOOKUP($A87,'SegEnds_NonXtal_BW#'!$A:$Z,22,FALSE)+VLOOKUP($A87,A:AL,31,FALSE)-50)),"-",(VLOOKUP($A87,'SegEnds_NonXtal_BW#'!$A:$Z,22,FALSE)+VLOOKUP($A87,A:AL,31,FALSE)-50))</f>
        <v>262</v>
      </c>
      <c r="AG87" s="3">
        <f>IF(ISERROR(VLOOKUP($A87,'SegEnds_NonXtal_BW#'!$A:$Z,23,FALSE)+VLOOKUP($A87,A:AL,34,FALSE)-50),"-",(VLOOKUP($A87,'SegEnds_NonXtal_BW#'!$A:$Z,23,FALSE)+VLOOKUP($A87,A:AL,34,FALSE)-50))</f>
        <v>266</v>
      </c>
      <c r="AH87" s="3">
        <v>292</v>
      </c>
      <c r="AI87" s="3">
        <f>IF(ISERROR((VLOOKUP($A87,'SegEnds_NonXtal_BW#'!$A:$Z,24,FALSE)+VLOOKUP($A87,A:AL,34,FALSE)-50)),"-",(VLOOKUP($A87,'SegEnds_NonXtal_BW#'!$A:$Z,24,FALSE)+VLOOKUP($A87,A:AL,34,FALSE)-50))</f>
        <v>298</v>
      </c>
      <c r="AJ87" s="3">
        <f>IF(ISERROR(VLOOKUP($A87,'SegEnds_NonXtal_BW#'!$A:$Z,25,FALSE)+VLOOKUP($A87,A:AL,37,FALSE)-50),"-",(VLOOKUP($A87,'SegEnds_NonXtal_BW#'!$A:$Z,25,FALSE)+VLOOKUP($A87,A:AL,37,FALSE)-50))</f>
        <v>299</v>
      </c>
      <c r="AK87" s="3">
        <v>302</v>
      </c>
      <c r="AL87" s="3">
        <f>IF(ISERROR((VLOOKUP($A87,'SegEnds_NonXtal_BW#'!$A:$Z,26,FALSE)+VLOOKUP($A87,A:AL,37,FALSE)-50)),"-",(VLOOKUP($A87,'SegEnds_NonXtal_BW#'!$A:$Z,26,FALSE)+VLOOKUP($A87,A:AL,37,FALSE)-50))</f>
        <v>311</v>
      </c>
      <c r="AM87" s="28" t="str">
        <f>VLOOKUP(A87,Classification!A:B,2,FALSE)</f>
        <v>A</v>
      </c>
      <c r="AN87" s="28" t="b">
        <f t="shared" si="59"/>
        <v>1</v>
      </c>
      <c r="AO87" s="3" t="str">
        <f>IF(ISERROR(MATCH(A87,'SegEnds_Xtal_Prot#'!B:B, 0)), "NoXtal", "Xtal")</f>
        <v>NoXtal</v>
      </c>
      <c r="AP87" s="3" t="str">
        <f t="shared" si="41"/>
        <v>-</v>
      </c>
      <c r="AQ87" s="3" t="str">
        <f t="shared" si="42"/>
        <v>-</v>
      </c>
      <c r="AR87" s="3">
        <f t="shared" si="43"/>
        <v>3</v>
      </c>
      <c r="AS87" s="3">
        <f t="shared" si="44"/>
        <v>1</v>
      </c>
      <c r="AT87" s="3">
        <f t="shared" si="45"/>
        <v>1</v>
      </c>
      <c r="AU87" s="3">
        <f t="shared" si="46"/>
        <v>1</v>
      </c>
      <c r="AV87" s="3">
        <f t="shared" si="47"/>
        <v>11</v>
      </c>
      <c r="AW87" s="3">
        <f t="shared" si="48"/>
        <v>8</v>
      </c>
      <c r="AX87" s="3">
        <f t="shared" si="49"/>
        <v>6</v>
      </c>
      <c r="AY87" s="3">
        <f t="shared" si="50"/>
        <v>4</v>
      </c>
      <c r="AZ87" s="3">
        <f t="shared" si="51"/>
        <v>1</v>
      </c>
      <c r="BA87" s="3">
        <f>IF(ISERROR(LEN(VLOOKUP(A87,Seqs!A:E,2,FALSE))-AL87),"-",LEN(VLOOKUP(A87,Seqs!A:E,2,FALSE))-AL87)</f>
        <v>26</v>
      </c>
      <c r="BB87" s="16">
        <f t="shared" si="52"/>
        <v>28</v>
      </c>
      <c r="BC87" s="9">
        <f t="shared" si="53"/>
        <v>20</v>
      </c>
      <c r="BD87" s="3">
        <f t="shared" si="54"/>
        <v>28</v>
      </c>
      <c r="BE87" s="3">
        <f t="shared" si="55"/>
        <v>47</v>
      </c>
      <c r="BF87" s="3">
        <f>AH87-AE87</f>
        <v>44</v>
      </c>
    </row>
    <row r="88" spans="1:58" s="3" customFormat="1" x14ac:dyDescent="0.2">
      <c r="A88" s="3" t="s">
        <v>180</v>
      </c>
      <c r="B88" s="3" t="str">
        <f>LOWER(VLOOKUP(A88,Xtal_Templ!A:B,2,FALSE))</f>
        <v>p2ry1_human</v>
      </c>
      <c r="C88" s="3">
        <f>VLOOKUP($A88,'SegEnds_NonXtal_BW#'!$A:$Z,3,FALSE)+D88-50</f>
        <v>36</v>
      </c>
      <c r="D88" s="3">
        <v>56</v>
      </c>
      <c r="E88" s="3">
        <f>IF(ISERROR(VLOOKUP($A88,'SegEnds_NonXtal_BW#'!$A:$Z,4,FALSE)+VLOOKUP($A88,A:AL,4,FALSE)-50),"-",(VLOOKUP($A88,'SegEnds_NonXtal_BW#'!$A:$Z,4,FALSE)+VLOOKUP($A88,A:AL,4,FALSE)-50))</f>
        <v>66</v>
      </c>
      <c r="F88" s="3" t="str">
        <f>IF(ISERROR(VLOOKUP($A88,'SegEnds_NonXtal_BW#'!$A:$Z,5,FALSE)+VLOOKUP($A88,A:AL,7,FALSE)-50),"-",(VLOOKUP($A88,'SegEnds_NonXtal_BW#'!$A:$Z,5,FALSE)+VLOOKUP($A88,A:AL,7,FALSE)-50))</f>
        <v>-</v>
      </c>
      <c r="G88" s="3" t="s">
        <v>23</v>
      </c>
      <c r="H88" s="3" t="str">
        <f>IF(ISERROR(VLOOKUP($A88,'SegEnds_NonXtal_BW#'!$A:$Z,6,FALSE)+VLOOKUP($A88,A:AL,7,FALSE)-50),"-",(VLOOKUP($A88,'SegEnds_NonXtal_BW#'!$A:$Z,6,FALSE)+VLOOKUP($A88,A:AL,7,FALSE)-50))</f>
        <v>-</v>
      </c>
      <c r="I88" s="3">
        <f>VLOOKUP($A88,'SegEnds_NonXtal_BW#'!$A:$Z,7,FALSE)+J88-50</f>
        <v>71</v>
      </c>
      <c r="J88" s="3">
        <v>84</v>
      </c>
      <c r="K88" s="3">
        <f>VLOOKUP($A88,'SegEnds_NonXtal_BW#'!$A:$Z,8,FALSE)+VLOOKUP($A88,A:AL,10,FALSE)-50</f>
        <v>100</v>
      </c>
      <c r="L88" s="3">
        <f t="shared" si="56"/>
        <v>103</v>
      </c>
      <c r="M88" s="3">
        <v>104</v>
      </c>
      <c r="N88" s="3">
        <f t="shared" si="57"/>
        <v>106</v>
      </c>
      <c r="O88" s="3">
        <f t="shared" si="39"/>
        <v>107</v>
      </c>
      <c r="P88" s="3">
        <v>136</v>
      </c>
      <c r="Q88" s="3">
        <f>VLOOKUP($A88,'SegEnds_NonXtal_BW#'!$A:$Z,12,FALSE)+VLOOKUP($A88,A:AL,16,FALSE)-50</f>
        <v>142</v>
      </c>
      <c r="R88" s="3">
        <f>IF(ISERROR(VLOOKUP($A88,'SegEnds_NonXtal_BW#'!$A:$Z,13,FALSE)+VLOOKUP($A88,A:AL,19,FALSE)-50),"-",VLOOKUP($A88,'SegEnds_NonXtal_BW#'!$A:$Z,13,FALSE)+VLOOKUP($A88,A:AL,19,FALSE)-50)</f>
        <v>143</v>
      </c>
      <c r="S88" s="3">
        <v>143</v>
      </c>
      <c r="T88" s="103">
        <f>IF(ISERROR(VLOOKUP($A88,'SegEnds_NonXtal_BW#'!$A:$Z,14,FALSE)+VLOOKUP($A88,A:AL,19,FALSE)-50),"-",(VLOOKUP($A88,'SegEnds_NonXtal_BW#'!$A:$Z,14,FALSE)+VLOOKUP($A88,A:AL,19,FALSE)-50))</f>
        <v>150</v>
      </c>
      <c r="U88" s="9">
        <f>IF(ISERROR(VLOOKUP($A88,'SegEnds_NonXtal_BW#'!$A:$Z,15,FALSE)+VLOOKUP($A88,A:AL,22,FALSE)-50),"-",VLOOKUP($A88,'SegEnds_NonXtal_BW#'!$A:$Z,15,FALSE)+VLOOKUP($A88,A:AL,22,FALSE)-50)</f>
        <v>151</v>
      </c>
      <c r="V88" s="3">
        <v>163</v>
      </c>
      <c r="W88" s="3">
        <f>IF(ISERROR(VLOOKUP($A88,'SegEnds_NonXtal_BW#'!$A:$Z,16,FALSE)+VLOOKUP($A88,A:AL,22,FALSE)-50),"-",(VLOOKUP($A88,'SegEnds_NonXtal_BW#'!$A:$Z,16,FALSE)+VLOOKUP($A88,A:AL,22,FALSE)-50))</f>
        <v>177</v>
      </c>
      <c r="X88" s="3">
        <f>IF(ISERROR(VLOOKUP($A88,'SegEnds_NonXtal_BW#'!$A:$Z,17,FALSE)+VLOOKUP($A88,A:AL,25,FALSE)-50),"-",(VLOOKUP($A88,'SegEnds_NonXtal_BW#'!$A:$Z,17,FALSE)+VLOOKUP($A88,A:AL,25,FALSE)-50))</f>
        <v>187</v>
      </c>
      <c r="Y88" s="3">
        <v>187</v>
      </c>
      <c r="Z88" s="3">
        <f t="shared" si="40"/>
        <v>189</v>
      </c>
      <c r="AA88" s="3">
        <f>IF(ISERROR(VLOOKUP($A88,'SegEnds_NonXtal_BW#'!$A:$Z,19,FALSE)+VLOOKUP($A88,A:AL,28,FALSE)-50),"-",(VLOOKUP($A88,'SegEnds_NonXtal_BW#'!$A:$Z,19,FALSE)+VLOOKUP($A88,A:AL,28,FALSE)-50))</f>
        <v>195</v>
      </c>
      <c r="AB88" s="3">
        <v>213</v>
      </c>
      <c r="AC88" s="3">
        <f>IF(ISERROR((VLOOKUP($A88,'SegEnds_NonXtal_BW#'!$A:$Z,20,FALSE)+VLOOKUP($A88,A:AL,28,FALSE)-50)),"-",(VLOOKUP($A88,'SegEnds_NonXtal_BW#'!$A:$Z,20,FALSE)+VLOOKUP($A88,A:AL,28,FALSE)-50))</f>
        <v>231</v>
      </c>
      <c r="AD88" s="3">
        <f>IF(ISERROR(VLOOKUP($A88,'SegEnds_NonXtal_BW#'!$A:$Z,21,FALSE)+VLOOKUP($A88,A:AL,31,FALSE)-50),"-",(VLOOKUP($A88,'SegEnds_NonXtal_BW#'!$A:$Z,21,FALSE)+VLOOKUP($A88,A:AL,31,FALSE)-50))</f>
        <v>236</v>
      </c>
      <c r="AE88" s="3">
        <v>262</v>
      </c>
      <c r="AF88" s="3">
        <f>IF(ISERROR((VLOOKUP($A88,'SegEnds_NonXtal_BW#'!$A:$Z,22,FALSE)+VLOOKUP($A88,A:AL,31,FALSE)-50)),"-",(VLOOKUP($A88,'SegEnds_NonXtal_BW#'!$A:$Z,22,FALSE)+VLOOKUP($A88,A:AL,31,FALSE)-50))</f>
        <v>273</v>
      </c>
      <c r="AG88" s="3">
        <f>IF(ISERROR(VLOOKUP($A88,'SegEnds_NonXtal_BW#'!$A:$Z,23,FALSE)+VLOOKUP($A88,A:AL,34,FALSE)-50),"-",(VLOOKUP($A88,'SegEnds_NonXtal_BW#'!$A:$Z,23,FALSE)+VLOOKUP($A88,A:AL,34,FALSE)-50))</f>
        <v>280</v>
      </c>
      <c r="AH88" s="3">
        <v>302</v>
      </c>
      <c r="AI88" s="3">
        <f>IF(ISERROR((VLOOKUP($A88,'SegEnds_NonXtal_BW#'!$A:$Z,24,FALSE)+VLOOKUP($A88,A:AL,34,FALSE)-50)),"-",(VLOOKUP($A88,'SegEnds_NonXtal_BW#'!$A:$Z,24,FALSE)+VLOOKUP($A88,A:AL,34,FALSE)-50))</f>
        <v>308</v>
      </c>
      <c r="AJ88" s="3">
        <f>IF(ISERROR(VLOOKUP($A88,'SegEnds_NonXtal_BW#'!$A:$Z,25,FALSE)+VLOOKUP($A88,A:AL,37,FALSE)-50),"-",(VLOOKUP($A88,'SegEnds_NonXtal_BW#'!$A:$Z,25,FALSE)+VLOOKUP($A88,A:AL,37,FALSE)-50))</f>
        <v>309</v>
      </c>
      <c r="AK88" s="3">
        <v>312</v>
      </c>
      <c r="AL88" s="3">
        <f>IF(ISERROR((VLOOKUP($A88,'SegEnds_NonXtal_BW#'!$A:$Z,26,FALSE)+VLOOKUP($A88,A:AL,37,FALSE)-50)),"-",(VLOOKUP($A88,'SegEnds_NonXtal_BW#'!$A:$Z,26,FALSE)+VLOOKUP($A88,A:AL,37,FALSE)-50))</f>
        <v>321</v>
      </c>
      <c r="AM88" s="28" t="str">
        <f>VLOOKUP(A88,Classification!A:B,2,FALSE)</f>
        <v>A</v>
      </c>
      <c r="AN88" s="28" t="b">
        <f t="shared" si="59"/>
        <v>1</v>
      </c>
      <c r="AO88" s="3" t="str">
        <f>IF(ISERROR(MATCH(A88,'SegEnds_Xtal_Prot#'!B:B, 0)), "NoXtal", "Xtal")</f>
        <v>NoXtal</v>
      </c>
      <c r="AP88" s="3" t="str">
        <f t="shared" si="41"/>
        <v>-</v>
      </c>
      <c r="AQ88" s="3" t="str">
        <f t="shared" si="42"/>
        <v>-</v>
      </c>
      <c r="AR88" s="3">
        <f t="shared" si="43"/>
        <v>3</v>
      </c>
      <c r="AS88" s="3">
        <f t="shared" si="44"/>
        <v>1</v>
      </c>
      <c r="AT88" s="3">
        <f t="shared" si="45"/>
        <v>1</v>
      </c>
      <c r="AU88" s="3">
        <f t="shared" si="46"/>
        <v>1</v>
      </c>
      <c r="AV88" s="3">
        <f t="shared" si="47"/>
        <v>10</v>
      </c>
      <c r="AW88" s="3">
        <f t="shared" si="48"/>
        <v>6</v>
      </c>
      <c r="AX88" s="3">
        <f t="shared" si="49"/>
        <v>5</v>
      </c>
      <c r="AY88" s="3">
        <f t="shared" si="50"/>
        <v>7</v>
      </c>
      <c r="AZ88" s="3">
        <f t="shared" si="51"/>
        <v>1</v>
      </c>
      <c r="BA88" s="3">
        <f>IF(ISERROR(LEN(VLOOKUP(A88,Seqs!A:E,2,FALSE))-AL88),"-",LEN(VLOOKUP(A88,Seqs!A:E,2,FALSE))-AL88)</f>
        <v>25</v>
      </c>
      <c r="BB88" s="16">
        <f t="shared" si="52"/>
        <v>28</v>
      </c>
      <c r="BC88" s="9">
        <f t="shared" si="53"/>
        <v>20</v>
      </c>
      <c r="BD88" s="3">
        <f t="shared" si="54"/>
        <v>28</v>
      </c>
      <c r="BE88" s="3">
        <f t="shared" si="55"/>
        <v>49</v>
      </c>
      <c r="BF88" s="3">
        <f>AH88-AE88</f>
        <v>40</v>
      </c>
    </row>
    <row r="89" spans="1:58" s="3" customFormat="1" x14ac:dyDescent="0.2">
      <c r="A89" s="3" t="s">
        <v>181</v>
      </c>
      <c r="B89" s="3" t="str">
        <f>LOWER(VLOOKUP(A89,Xtal_Templ!A:B,2,FALSE))</f>
        <v>agtr1_human</v>
      </c>
      <c r="C89" s="3">
        <f>VLOOKUP($A89,'SegEnds_NonXtal_BW#'!$A:$Z,3,FALSE)+D89-50</f>
        <v>38</v>
      </c>
      <c r="D89" s="3">
        <v>58</v>
      </c>
      <c r="E89" s="3">
        <f>IF(ISERROR(VLOOKUP($A89,'SegEnds_NonXtal_BW#'!$A:$Z,4,FALSE)+VLOOKUP($A89,A:AL,4,FALSE)-50),"-",(VLOOKUP($A89,'SegEnds_NonXtal_BW#'!$A:$Z,4,FALSE)+VLOOKUP($A89,A:AL,4,FALSE)-50))</f>
        <v>68</v>
      </c>
      <c r="F89" s="3" t="str">
        <f>IF(ISERROR(VLOOKUP($A89,'SegEnds_NonXtal_BW#'!$A:$Z,5,FALSE)+VLOOKUP($A89,A:AL,7,FALSE)-50),"-",(VLOOKUP($A89,'SegEnds_NonXtal_BW#'!$A:$Z,5,FALSE)+VLOOKUP($A89,A:AL,7,FALSE)-50))</f>
        <v>-</v>
      </c>
      <c r="G89" s="3" t="s">
        <v>23</v>
      </c>
      <c r="H89" s="3" t="str">
        <f>IF(ISERROR(VLOOKUP($A89,'SegEnds_NonXtal_BW#'!$A:$Z,6,FALSE)+VLOOKUP($A89,A:AL,7,FALSE)-50),"-",(VLOOKUP($A89,'SegEnds_NonXtal_BW#'!$A:$Z,6,FALSE)+VLOOKUP($A89,A:AL,7,FALSE)-50))</f>
        <v>-</v>
      </c>
      <c r="I89" s="3">
        <f>VLOOKUP($A89,'SegEnds_NonXtal_BW#'!$A:$Z,7,FALSE)+J89-50</f>
        <v>72</v>
      </c>
      <c r="J89" s="3">
        <v>85</v>
      </c>
      <c r="K89" s="3">
        <f>VLOOKUP($A89,'SegEnds_NonXtal_BW#'!$A:$Z,8,FALSE)+VLOOKUP($A89,A:AL,10,FALSE)-50</f>
        <v>101</v>
      </c>
      <c r="L89" s="3">
        <f t="shared" si="56"/>
        <v>104</v>
      </c>
      <c r="M89" s="3">
        <v>105</v>
      </c>
      <c r="N89" s="3">
        <f t="shared" si="57"/>
        <v>107</v>
      </c>
      <c r="O89" s="3">
        <f t="shared" si="39"/>
        <v>108</v>
      </c>
      <c r="P89" s="3">
        <v>137</v>
      </c>
      <c r="Q89" s="3">
        <f>VLOOKUP($A89,'SegEnds_NonXtal_BW#'!$A:$Z,12,FALSE)+VLOOKUP($A89,A:AL,16,FALSE)-50</f>
        <v>143</v>
      </c>
      <c r="R89" s="3">
        <f>IF(ISERROR(VLOOKUP($A89,'SegEnds_NonXtal_BW#'!$A:$Z,13,FALSE)+VLOOKUP($A89,A:AL,19,FALSE)-50),"-",VLOOKUP($A89,'SegEnds_NonXtal_BW#'!$A:$Z,13,FALSE)+VLOOKUP($A89,A:AL,19,FALSE)-50)</f>
        <v>144</v>
      </c>
      <c r="S89" s="3">
        <v>144</v>
      </c>
      <c r="T89" s="103">
        <f>IF(ISERROR(VLOOKUP($A89,'SegEnds_NonXtal_BW#'!$A:$Z,14,FALSE)+VLOOKUP($A89,A:AL,19,FALSE)-50),"-",(VLOOKUP($A89,'SegEnds_NonXtal_BW#'!$A:$Z,14,FALSE)+VLOOKUP($A89,A:AL,19,FALSE)-50))</f>
        <v>151</v>
      </c>
      <c r="U89" s="9">
        <f>IF(ISERROR(VLOOKUP($A89,'SegEnds_NonXtal_BW#'!$A:$Z,15,FALSE)+VLOOKUP($A89,A:AL,22,FALSE)-50),"-",VLOOKUP($A89,'SegEnds_NonXtal_BW#'!$A:$Z,15,FALSE)+VLOOKUP($A89,A:AL,22,FALSE)-50)</f>
        <v>152</v>
      </c>
      <c r="V89" s="3">
        <v>164</v>
      </c>
      <c r="W89" s="3">
        <f>IF(ISERROR(VLOOKUP($A89,'SegEnds_NonXtal_BW#'!$A:$Z,16,FALSE)+VLOOKUP($A89,A:AL,22,FALSE)-50),"-",(VLOOKUP($A89,'SegEnds_NonXtal_BW#'!$A:$Z,16,FALSE)+VLOOKUP($A89,A:AL,22,FALSE)-50))</f>
        <v>178</v>
      </c>
      <c r="X89" s="3">
        <f>IF(ISERROR(VLOOKUP($A89,'SegEnds_NonXtal_BW#'!$A:$Z,17,FALSE)+VLOOKUP($A89,A:AL,25,FALSE)-50),"-",(VLOOKUP($A89,'SegEnds_NonXtal_BW#'!$A:$Z,17,FALSE)+VLOOKUP($A89,A:AL,25,FALSE)-50))</f>
        <v>189</v>
      </c>
      <c r="Y89" s="3">
        <v>189</v>
      </c>
      <c r="Z89" s="3">
        <f t="shared" si="40"/>
        <v>191</v>
      </c>
      <c r="AA89" s="3">
        <f>IF(ISERROR(VLOOKUP($A89,'SegEnds_NonXtal_BW#'!$A:$Z,19,FALSE)+VLOOKUP($A89,A:AL,28,FALSE)-50),"-",(VLOOKUP($A89,'SegEnds_NonXtal_BW#'!$A:$Z,19,FALSE)+VLOOKUP($A89,A:AL,28,FALSE)-50))</f>
        <v>216</v>
      </c>
      <c r="AB89" s="3">
        <v>232</v>
      </c>
      <c r="AC89" s="3">
        <f>IF(ISERROR((VLOOKUP($A89,'SegEnds_NonXtal_BW#'!$A:$Z,20,FALSE)+VLOOKUP($A89,A:AL,28,FALSE)-50)),"-",(VLOOKUP($A89,'SegEnds_NonXtal_BW#'!$A:$Z,20,FALSE)+VLOOKUP($A89,A:AL,28,FALSE)-50))</f>
        <v>250</v>
      </c>
      <c r="AD89" s="3">
        <f>IF(ISERROR(VLOOKUP($A89,'SegEnds_NonXtal_BW#'!$A:$Z,21,FALSE)+VLOOKUP($A89,A:AL,31,FALSE)-50),"-",(VLOOKUP($A89,'SegEnds_NonXtal_BW#'!$A:$Z,21,FALSE)+VLOOKUP($A89,A:AL,31,FALSE)-50))</f>
        <v>255</v>
      </c>
      <c r="AE89" s="3">
        <v>275</v>
      </c>
      <c r="AF89" s="3">
        <f>IF(ISERROR((VLOOKUP($A89,'SegEnds_NonXtal_BW#'!$A:$Z,22,FALSE)+VLOOKUP($A89,A:AL,31,FALSE)-50)),"-",(VLOOKUP($A89,'SegEnds_NonXtal_BW#'!$A:$Z,22,FALSE)+VLOOKUP($A89,A:AL,31,FALSE)-50))</f>
        <v>286</v>
      </c>
      <c r="AG89" s="3">
        <f>IF(ISERROR(VLOOKUP($A89,'SegEnds_NonXtal_BW#'!$A:$Z,23,FALSE)+VLOOKUP($A89,A:AL,34,FALSE)-50),"-",(VLOOKUP($A89,'SegEnds_NonXtal_BW#'!$A:$Z,23,FALSE)+VLOOKUP($A89,A:AL,34,FALSE)-50))</f>
        <v>291</v>
      </c>
      <c r="AH89" s="3">
        <v>313</v>
      </c>
      <c r="AI89" s="3">
        <f>IF(ISERROR((VLOOKUP($A89,'SegEnds_NonXtal_BW#'!$A:$Z,24,FALSE)+VLOOKUP($A89,A:AL,34,FALSE)-50)),"-",(VLOOKUP($A89,'SegEnds_NonXtal_BW#'!$A:$Z,24,FALSE)+VLOOKUP($A89,A:AL,34,FALSE)-50))</f>
        <v>319</v>
      </c>
      <c r="AJ89" s="3">
        <f>IF(ISERROR(VLOOKUP($A89,'SegEnds_NonXtal_BW#'!$A:$Z,25,FALSE)+VLOOKUP($A89,A:AL,37,FALSE)-50),"-",(VLOOKUP($A89,'SegEnds_NonXtal_BW#'!$A:$Z,25,FALSE)+VLOOKUP($A89,A:AL,37,FALSE)-50))</f>
        <v>320</v>
      </c>
      <c r="AK89" s="3">
        <v>323</v>
      </c>
      <c r="AL89" s="3">
        <f>IF(ISERROR((VLOOKUP($A89,'SegEnds_NonXtal_BW#'!$A:$Z,26,FALSE)+VLOOKUP($A89,A:AL,37,FALSE)-50)),"-",(VLOOKUP($A89,'SegEnds_NonXtal_BW#'!$A:$Z,26,FALSE)+VLOOKUP($A89,A:AL,37,FALSE)-50))</f>
        <v>334</v>
      </c>
      <c r="AM89" s="28" t="str">
        <f>VLOOKUP(A89,Classification!A:B,2,FALSE)</f>
        <v>A</v>
      </c>
      <c r="AN89" s="28" t="b">
        <f t="shared" si="59"/>
        <v>1</v>
      </c>
      <c r="AO89" s="3" t="str">
        <f>IF(ISERROR(MATCH(A89,'SegEnds_Xtal_Prot#'!B:B, 0)), "NoXtal", "Xtal")</f>
        <v>NoXtal</v>
      </c>
      <c r="AP89" s="3" t="str">
        <f t="shared" si="41"/>
        <v>-</v>
      </c>
      <c r="AQ89" s="3" t="str">
        <f t="shared" si="42"/>
        <v>-</v>
      </c>
      <c r="AR89" s="3">
        <f t="shared" si="43"/>
        <v>3</v>
      </c>
      <c r="AS89" s="3">
        <f t="shared" si="44"/>
        <v>1</v>
      </c>
      <c r="AT89" s="3">
        <f t="shared" si="45"/>
        <v>1</v>
      </c>
      <c r="AU89" s="3">
        <f t="shared" si="46"/>
        <v>1</v>
      </c>
      <c r="AV89" s="3">
        <f t="shared" si="47"/>
        <v>11</v>
      </c>
      <c r="AW89" s="3">
        <f t="shared" si="48"/>
        <v>25</v>
      </c>
      <c r="AX89" s="3">
        <f t="shared" si="49"/>
        <v>5</v>
      </c>
      <c r="AY89" s="3">
        <f t="shared" si="50"/>
        <v>5</v>
      </c>
      <c r="AZ89" s="3">
        <f t="shared" si="51"/>
        <v>1</v>
      </c>
      <c r="BA89" s="3">
        <f>IF(ISERROR(LEN(VLOOKUP(A89,Seqs!A:E,2,FALSE))-AL89),"-",LEN(VLOOKUP(A89,Seqs!A:E,2,FALSE))-AL89)</f>
        <v>39</v>
      </c>
      <c r="BB89" s="16">
        <f t="shared" si="52"/>
        <v>27</v>
      </c>
      <c r="BC89" s="9">
        <f t="shared" si="53"/>
        <v>20</v>
      </c>
      <c r="BD89" s="3">
        <f t="shared" si="54"/>
        <v>27</v>
      </c>
      <c r="BE89" s="3">
        <f t="shared" si="55"/>
        <v>43</v>
      </c>
    </row>
    <row r="90" spans="1:58" s="3" customFormat="1" x14ac:dyDescent="0.2">
      <c r="A90" s="3" t="s">
        <v>182</v>
      </c>
      <c r="B90" s="3" t="str">
        <f>LOWER(VLOOKUP(A90,Xtal_Templ!A:B,2,FALSE))</f>
        <v>cnr1_human</v>
      </c>
      <c r="C90" s="3">
        <f>VLOOKUP($A90,'SegEnds_NonXtal_BW#'!$A:$Z,3,FALSE)+D90-50</f>
        <v>112</v>
      </c>
      <c r="D90" s="3">
        <v>134</v>
      </c>
      <c r="E90" s="3">
        <f>IF(ISERROR(VLOOKUP($A90,'SegEnds_NonXtal_BW#'!$A:$Z,4,FALSE)+VLOOKUP($A90,A:AL,4,FALSE)-50),"-",(VLOOKUP($A90,'SegEnds_NonXtal_BW#'!$A:$Z,4,FALSE)+VLOOKUP($A90,A:AL,4,FALSE)-50))</f>
        <v>144</v>
      </c>
      <c r="F90" s="3">
        <f t="shared" ref="F90:F101" si="62">G90-2</f>
        <v>145</v>
      </c>
      <c r="G90" s="3">
        <v>147</v>
      </c>
      <c r="H90" s="3">
        <f t="shared" ref="H90:H98" si="63">G90+1</f>
        <v>148</v>
      </c>
      <c r="I90" s="3">
        <f>VLOOKUP($A90,'SegEnds_NonXtal_BW#'!$A:$Z,7,FALSE)+J90-50</f>
        <v>150</v>
      </c>
      <c r="J90" s="3">
        <v>163</v>
      </c>
      <c r="K90" s="3">
        <f>VLOOKUP($A90,'SegEnds_NonXtal_BW#'!$A:$Z,8,FALSE)+VLOOKUP($A90,A:AL,10,FALSE)-50</f>
        <v>179</v>
      </c>
      <c r="L90" s="3" t="str">
        <f>IF(ISERROR(VLOOKUP($A90,'SegEnds_NonXtal_BW#'!$A:$Z,9,FALSE)+VLOOKUP($A90,A:AL,13,FALSE)-50),"-",(VLOOKUP($A90,'SegEnds_NonXtal_BW#'!$A:$Z,9,FALSE)+VLOOKUP($A90,A:AL,13,FALSE)-50))</f>
        <v>-</v>
      </c>
      <c r="M90" s="3" t="s">
        <v>23</v>
      </c>
      <c r="N90" s="3" t="str">
        <f>IF(ISERROR(VLOOKUP($A90,'SegEnds_NonXtal_BW#'!$A:$Z,10,FALSE)+VLOOKUP($A90,A:AL,13,FALSE)-50),"-",(VLOOKUP($A90,'SegEnds_NonXtal_BW#'!$A:$Z,10,FALSE)+VLOOKUP($A90,A:AL,13,FALSE)-50))</f>
        <v>-</v>
      </c>
      <c r="O90" s="3">
        <f>VLOOKUP($A90,'SegEnds_NonXtal_BW#'!$A:$Z,11,FALSE)+VLOOKUP($A90,A:AL,16,FALSE)-50</f>
        <v>185</v>
      </c>
      <c r="P90" s="3">
        <v>214</v>
      </c>
      <c r="Q90" s="3">
        <f>VLOOKUP($A90,'SegEnds_NonXtal_BW#'!$A:$Z,12,FALSE)+VLOOKUP($A90,A:AL,16,FALSE)-50</f>
        <v>220</v>
      </c>
      <c r="R90" s="3">
        <f>S90</f>
        <v>221</v>
      </c>
      <c r="S90" s="3">
        <v>221</v>
      </c>
      <c r="T90" s="103">
        <f>S90+7</f>
        <v>228</v>
      </c>
      <c r="U90" s="9">
        <f>IF(ISERROR(VLOOKUP($A90,'SegEnds_NonXtal_BW#'!$A:$Z,15,FALSE)+VLOOKUP($A90,A:AL,22,FALSE)-50),"-",VLOOKUP($A90,'SegEnds_NonXtal_BW#'!$A:$Z,15,FALSE)+VLOOKUP($A90,A:AL,22,FALSE)-50)</f>
        <v>229</v>
      </c>
      <c r="V90" s="3">
        <v>241</v>
      </c>
      <c r="W90" s="3">
        <f>IF(ISERROR(VLOOKUP($A90,'SegEnds_NonXtal_BW#'!$A:$Z,16,FALSE)+VLOOKUP($A90,A:AL,22,FALSE)-50),"-",(VLOOKUP($A90,'SegEnds_NonXtal_BW#'!$A:$Z,16,FALSE)+VLOOKUP($A90,A:AL,22,FALSE)-50))</f>
        <v>254</v>
      </c>
      <c r="X90" s="3" t="str">
        <f>IF(ISERROR(VLOOKUP($A90,'SegEnds_NonXtal_BW#'!$A:$Z,17,FALSE)+VLOOKUP($A90,A:AL,25,FALSE)-50),"-",(VLOOKUP($A90,'SegEnds_NonXtal_BW#'!$A:$Z,17,FALSE)+VLOOKUP($A90,A:AL,25,FALSE)-50))</f>
        <v>-</v>
      </c>
      <c r="Y90" s="3" t="s">
        <v>23</v>
      </c>
      <c r="Z90" s="3" t="str">
        <f>IF(ISERROR(VLOOKUP($A90,'SegEnds_NonXtal_BW#'!$A:$Z,18,FALSE)+VLOOKUP($A90,A:AL,25,FALSE)-50),"-",(VLOOKUP($A90,'SegEnds_NonXtal_BW#'!$A:$Z,18,FALSE)+VLOOKUP($A90,A:AL,25,FALSE)-50))</f>
        <v>-</v>
      </c>
      <c r="AA90" s="3">
        <f>IF(ISERROR(VLOOKUP($A90,'SegEnds_NonXtal_BW#'!$A:$Z,19,FALSE)+VLOOKUP($A90,A:AL,28,FALSE)-50),"-",(VLOOKUP($A90,'SegEnds_NonXtal_BW#'!$A:$Z,19,FALSE)+VLOOKUP($A90,A:AL,28,FALSE)-50))</f>
        <v>272</v>
      </c>
      <c r="AB90" s="3">
        <v>286</v>
      </c>
      <c r="AC90" s="3">
        <f>IF(ISERROR((VLOOKUP($A90,'SegEnds_NonXtal_BW#'!$A:$Z,20,FALSE)+VLOOKUP($A90,A:AL,28,FALSE)-50)),"-",(VLOOKUP($A90,'SegEnds_NonXtal_BW#'!$A:$Z,20,FALSE)+VLOOKUP($A90,A:AL,28,FALSE)-50))</f>
        <v>312</v>
      </c>
      <c r="AD90" s="3">
        <f>IF(ISERROR(VLOOKUP($A90,'SegEnds_NonXtal_BW#'!$A:$Z,21,FALSE)+VLOOKUP($A90,A:AL,31,FALSE)-50),"-",(VLOOKUP($A90,'SegEnds_NonXtal_BW#'!$A:$Z,21,FALSE)+VLOOKUP($A90,A:AL,31,FALSE)-50))</f>
        <v>332</v>
      </c>
      <c r="AE90" s="3">
        <v>358</v>
      </c>
      <c r="AF90" s="3">
        <f>IF(ISERROR((VLOOKUP($A90,'SegEnds_NonXtal_BW#'!$A:$Z,22,FALSE)+VLOOKUP($A90,A:AL,31,FALSE)-50)),"-",(VLOOKUP($A90,'SegEnds_NonXtal_BW#'!$A:$Z,22,FALSE)+VLOOKUP($A90,A:AL,31,FALSE)-50))</f>
        <v>369</v>
      </c>
      <c r="AG90" s="3">
        <f>IF(ISERROR(VLOOKUP($A90,'SegEnds_NonXtal_BW#'!$A:$Z,23,FALSE)+VLOOKUP($A90,A:AL,34,FALSE)-50),"-",(VLOOKUP($A90,'SegEnds_NonXtal_BW#'!$A:$Z,23,FALSE)+VLOOKUP($A90,A:AL,34,FALSE)-50))</f>
        <v>372</v>
      </c>
      <c r="AH90" s="3">
        <v>394</v>
      </c>
      <c r="AI90" s="3">
        <f>IF(ISERROR((VLOOKUP($A90,'SegEnds_NonXtal_BW#'!$A:$Z,24,FALSE)+VLOOKUP($A90,A:AL,34,FALSE)-50)),"-",(VLOOKUP($A90,'SegEnds_NonXtal_BW#'!$A:$Z,24,FALSE)+VLOOKUP($A90,A:AL,34,FALSE)-50))</f>
        <v>400</v>
      </c>
      <c r="AJ90" s="3">
        <f>IF(ISERROR(VLOOKUP($A90,'SegEnds_NonXtal_BW#'!$A:$Z,25,FALSE)+VLOOKUP($A90,A:AL,37,FALSE)-50),"-",(VLOOKUP($A90,'SegEnds_NonXtal_BW#'!$A:$Z,25,FALSE)+VLOOKUP($A90,A:AL,37,FALSE)-50))</f>
        <v>401</v>
      </c>
      <c r="AK90" s="3">
        <v>404</v>
      </c>
      <c r="AL90" s="3">
        <f>IF(ISERROR((VLOOKUP($A90,'SegEnds_NonXtal_BW#'!$A:$Z,26,FALSE)+VLOOKUP($A90,A:AL,37,FALSE)-50)),"-",(VLOOKUP($A90,'SegEnds_NonXtal_BW#'!$A:$Z,26,FALSE)+VLOOKUP($A90,A:AL,37,FALSE)-50))</f>
        <v>413</v>
      </c>
      <c r="AM90" s="28" t="str">
        <f>VLOOKUP(A90,Classification!A:B,2,FALSE)</f>
        <v>A</v>
      </c>
      <c r="AN90" s="28" t="b">
        <f t="shared" si="59"/>
        <v>1</v>
      </c>
      <c r="AO90" s="3" t="str">
        <f>IF(ISERROR(MATCH(A90,'SegEnds_Xtal_Prot#'!B:B, 0)), "NoXtal", "Xtal")</f>
        <v>Xtal</v>
      </c>
      <c r="AP90" s="3">
        <f t="shared" si="41"/>
        <v>1</v>
      </c>
      <c r="AQ90" s="3">
        <f t="shared" si="42"/>
        <v>2</v>
      </c>
      <c r="AR90" s="3" t="str">
        <f t="shared" si="43"/>
        <v>-</v>
      </c>
      <c r="AS90" s="3" t="str">
        <f t="shared" si="44"/>
        <v>-</v>
      </c>
      <c r="AT90" s="3">
        <f t="shared" si="45"/>
        <v>1</v>
      </c>
      <c r="AU90" s="3">
        <f t="shared" si="46"/>
        <v>1</v>
      </c>
      <c r="AV90" s="3" t="str">
        <f t="shared" si="47"/>
        <v>-</v>
      </c>
      <c r="AW90" s="3" t="str">
        <f t="shared" si="48"/>
        <v>-</v>
      </c>
      <c r="AX90" s="3">
        <f t="shared" si="49"/>
        <v>20</v>
      </c>
      <c r="AY90" s="3">
        <f t="shared" si="50"/>
        <v>3</v>
      </c>
      <c r="AZ90" s="3">
        <f t="shared" si="51"/>
        <v>1</v>
      </c>
      <c r="BA90" s="3">
        <f>IF(ISERROR(LEN(VLOOKUP(A90,Seqs!A:E,2,FALSE))-AL90),"-",LEN(VLOOKUP(A90,Seqs!A:E,2,FALSE))-AL90)</f>
        <v>59</v>
      </c>
      <c r="BB90" s="16">
        <f t="shared" si="52"/>
        <v>29</v>
      </c>
      <c r="BC90" s="9">
        <f t="shared" si="53"/>
        <v>20</v>
      </c>
      <c r="BD90" s="3">
        <f t="shared" si="54"/>
        <v>29</v>
      </c>
      <c r="BE90" s="3">
        <f t="shared" si="55"/>
        <v>72</v>
      </c>
    </row>
    <row r="91" spans="1:58" s="3" customFormat="1" x14ac:dyDescent="0.2">
      <c r="A91" s="3" t="s">
        <v>183</v>
      </c>
      <c r="B91" s="3" t="str">
        <f>LOWER(VLOOKUP(A91,Xtal_Templ!A:B,2,FALSE))</f>
        <v>cnr1_human</v>
      </c>
      <c r="C91" s="3">
        <f>VLOOKUP($A91,'SegEnds_NonXtal_BW#'!$A:$Z,3,FALSE)+D91-50</f>
        <v>29</v>
      </c>
      <c r="D91" s="3">
        <v>51</v>
      </c>
      <c r="E91" s="3">
        <f>IF(ISERROR(VLOOKUP($A91,'SegEnds_NonXtal_BW#'!$A:$Z,4,FALSE)+VLOOKUP($A91,A:AL,4,FALSE)-50),"-",(VLOOKUP($A91,'SegEnds_NonXtal_BW#'!$A:$Z,4,FALSE)+VLOOKUP($A91,A:AL,4,FALSE)-50))</f>
        <v>61</v>
      </c>
      <c r="F91" s="3">
        <f t="shared" si="62"/>
        <v>62</v>
      </c>
      <c r="G91" s="3">
        <v>64</v>
      </c>
      <c r="H91" s="3">
        <f t="shared" si="63"/>
        <v>65</v>
      </c>
      <c r="I91" s="3">
        <f t="shared" ref="I91:I101" si="64">H91+1</f>
        <v>66</v>
      </c>
      <c r="J91" s="3">
        <v>80</v>
      </c>
      <c r="K91" s="3">
        <f>VLOOKUP($A91,'SegEnds_NonXtal_BW#'!$A:$Z,8,FALSE)+VLOOKUP($A91,A:AL,10,FALSE)-50</f>
        <v>96</v>
      </c>
      <c r="L91" s="3" t="str">
        <f>IF(ISERROR(VLOOKUP($A91,'SegEnds_NonXtal_BW#'!$A:$Z,9,FALSE)+VLOOKUP($A91,A:AL,13,FALSE)-50),"-",(VLOOKUP($A91,'SegEnds_NonXtal_BW#'!$A:$Z,9,FALSE)+VLOOKUP($A91,A:AL,13,FALSE)-50))</f>
        <v>-</v>
      </c>
      <c r="M91" s="3" t="s">
        <v>23</v>
      </c>
      <c r="N91" s="3" t="str">
        <f>IF(ISERROR(VLOOKUP($A91,'SegEnds_NonXtal_BW#'!$A:$Z,10,FALSE)+VLOOKUP($A91,A:AL,13,FALSE)-50),"-",(VLOOKUP($A91,'SegEnds_NonXtal_BW#'!$A:$Z,10,FALSE)+VLOOKUP($A91,A:AL,13,FALSE)-50))</f>
        <v>-</v>
      </c>
      <c r="O91" s="3">
        <f>VLOOKUP($A91,'SegEnds_NonXtal_BW#'!$A:$Z,11,FALSE)+VLOOKUP($A91,A:AL,16,FALSE)-50</f>
        <v>102</v>
      </c>
      <c r="P91" s="3">
        <v>131</v>
      </c>
      <c r="Q91" s="3">
        <f>VLOOKUP($A91,'SegEnds_NonXtal_BW#'!$A:$Z,12,FALSE)+VLOOKUP($A91,A:AL,16,FALSE)-50</f>
        <v>137</v>
      </c>
      <c r="R91" s="3">
        <f>S91</f>
        <v>138</v>
      </c>
      <c r="S91" s="3">
        <v>138</v>
      </c>
      <c r="T91" s="103">
        <f>S91+7</f>
        <v>145</v>
      </c>
      <c r="U91" s="9">
        <f>IF(ISERROR(VLOOKUP($A91,'SegEnds_NonXtal_BW#'!$A:$Z,15,FALSE)+VLOOKUP($A91,A:AL,22,FALSE)-50),"-",VLOOKUP($A91,'SegEnds_NonXtal_BW#'!$A:$Z,15,FALSE)+VLOOKUP($A91,A:AL,22,FALSE)-50)</f>
        <v>146</v>
      </c>
      <c r="V91" s="3">
        <v>158</v>
      </c>
      <c r="W91" s="3">
        <f>IF(ISERROR(VLOOKUP($A91,'SegEnds_NonXtal_BW#'!$A:$Z,16,FALSE)+VLOOKUP($A91,A:AL,22,FALSE)-50),"-",(VLOOKUP($A91,'SegEnds_NonXtal_BW#'!$A:$Z,16,FALSE)+VLOOKUP($A91,A:AL,22,FALSE)-50))</f>
        <v>171</v>
      </c>
      <c r="X91" s="3" t="str">
        <f>IF(ISERROR(VLOOKUP($A91,'SegEnds_NonXtal_BW#'!$A:$Z,17,FALSE)+VLOOKUP($A91,A:AL,25,FALSE)-50),"-",(VLOOKUP($A91,'SegEnds_NonXtal_BW#'!$A:$Z,17,FALSE)+VLOOKUP($A91,A:AL,25,FALSE)-50))</f>
        <v>-</v>
      </c>
      <c r="Y91" s="3" t="s">
        <v>23</v>
      </c>
      <c r="Z91" s="3" t="str">
        <f>IF(ISERROR(VLOOKUP($A91,'SegEnds_NonXtal_BW#'!$A:$Z,18,FALSE)+VLOOKUP($A91,A:AL,25,FALSE)-50),"-",(VLOOKUP($A91,'SegEnds_NonXtal_BW#'!$A:$Z,18,FALSE)+VLOOKUP($A91,A:AL,25,FALSE)-50))</f>
        <v>-</v>
      </c>
      <c r="AA91" s="3">
        <f>IF(ISERROR(VLOOKUP($A91,'SegEnds_NonXtal_BW#'!$A:$Z,19,FALSE)+VLOOKUP($A91,A:AL,28,FALSE)-50),"-",(VLOOKUP($A91,'SegEnds_NonXtal_BW#'!$A:$Z,19,FALSE)+VLOOKUP($A91,A:AL,28,FALSE)-50))</f>
        <v>187</v>
      </c>
      <c r="AB91" s="3">
        <v>201</v>
      </c>
      <c r="AC91" s="3">
        <f>IF(ISERROR((VLOOKUP($A91,'SegEnds_NonXtal_BW#'!$A:$Z,20,FALSE)+VLOOKUP($A91,A:AL,28,FALSE)-50)),"-",(VLOOKUP($A91,'SegEnds_NonXtal_BW#'!$A:$Z,20,FALSE)+VLOOKUP($A91,A:AL,28,FALSE)-50))</f>
        <v>225</v>
      </c>
      <c r="AD91" s="3">
        <f>IF(ISERROR(VLOOKUP($A91,'SegEnds_NonXtal_BW#'!$A:$Z,21,FALSE)+VLOOKUP($A91,A:AL,31,FALSE)-50),"-",(VLOOKUP($A91,'SegEnds_NonXtal_BW#'!$A:$Z,21,FALSE)+VLOOKUP($A91,A:AL,31,FALSE)-50))</f>
        <v>231</v>
      </c>
      <c r="AE91" s="3">
        <v>260</v>
      </c>
      <c r="AF91" s="3">
        <f>IF(ISERROR((VLOOKUP($A91,'SegEnds_NonXtal_BW#'!$A:$Z,22,FALSE)+VLOOKUP($A91,A:AL,31,FALSE)-50)),"-",(VLOOKUP($A91,'SegEnds_NonXtal_BW#'!$A:$Z,22,FALSE)+VLOOKUP($A91,A:AL,31,FALSE)-50))</f>
        <v>271</v>
      </c>
      <c r="AG91" s="3">
        <f>IF(ISERROR(VLOOKUP($A91,'SegEnds_NonXtal_BW#'!$A:$Z,23,FALSE)+VLOOKUP($A91,A:AL,34,FALSE)-50),"-",(VLOOKUP($A91,'SegEnds_NonXtal_BW#'!$A:$Z,23,FALSE)+VLOOKUP($A91,A:AL,34,FALSE)-50))</f>
        <v>277</v>
      </c>
      <c r="AH91" s="3">
        <v>296</v>
      </c>
      <c r="AI91" s="3">
        <f>IF(ISERROR((VLOOKUP($A91,'SegEnds_NonXtal_BW#'!$A:$Z,24,FALSE)+VLOOKUP($A91,A:AL,34,FALSE)-50)),"-",(VLOOKUP($A91,'SegEnds_NonXtal_BW#'!$A:$Z,24,FALSE)+VLOOKUP($A91,A:AL,34,FALSE)-50))</f>
        <v>302</v>
      </c>
      <c r="AJ91" s="3">
        <f>IF(ISERROR(VLOOKUP($A91,'SegEnds_NonXtal_BW#'!$A:$Z,25,FALSE)+VLOOKUP($A91,A:AL,37,FALSE)-50),"-",(VLOOKUP($A91,'SegEnds_NonXtal_BW#'!$A:$Z,25,FALSE)+VLOOKUP($A91,A:AL,37,FALSE)-50))</f>
        <v>303</v>
      </c>
      <c r="AK91" s="3">
        <v>306</v>
      </c>
      <c r="AL91" s="3">
        <f>IF(ISERROR((VLOOKUP($A91,'SegEnds_NonXtal_BW#'!$A:$Z,26,FALSE)+VLOOKUP($A91,A:AL,37,FALSE)-50)),"-",(VLOOKUP($A91,'SegEnds_NonXtal_BW#'!$A:$Z,26,FALSE)+VLOOKUP($A91,A:AL,37,FALSE)-50))</f>
        <v>315</v>
      </c>
      <c r="AM91" s="28" t="str">
        <f>VLOOKUP(A91,Classification!A:B,2,FALSE)</f>
        <v>A</v>
      </c>
      <c r="AN91" s="28" t="b">
        <f t="shared" si="59"/>
        <v>1</v>
      </c>
      <c r="AO91" s="3" t="str">
        <f>IF(ISERROR(MATCH(A91,'SegEnds_Xtal_Prot#'!B:B, 0)), "NoXtal", "Xtal")</f>
        <v>NoXtal</v>
      </c>
      <c r="AP91" s="3">
        <f t="shared" si="41"/>
        <v>1</v>
      </c>
      <c r="AQ91" s="3">
        <f t="shared" si="42"/>
        <v>1</v>
      </c>
      <c r="AR91" s="3" t="str">
        <f t="shared" si="43"/>
        <v>-</v>
      </c>
      <c r="AS91" s="3" t="str">
        <f t="shared" si="44"/>
        <v>-</v>
      </c>
      <c r="AT91" s="3">
        <f t="shared" si="45"/>
        <v>1</v>
      </c>
      <c r="AU91" s="3">
        <f t="shared" si="46"/>
        <v>1</v>
      </c>
      <c r="AV91" s="3" t="str">
        <f t="shared" si="47"/>
        <v>-</v>
      </c>
      <c r="AW91" s="3" t="str">
        <f t="shared" si="48"/>
        <v>-</v>
      </c>
      <c r="AX91" s="3">
        <f t="shared" si="49"/>
        <v>6</v>
      </c>
      <c r="AY91" s="3">
        <f t="shared" si="50"/>
        <v>6</v>
      </c>
      <c r="AZ91" s="3">
        <f t="shared" si="51"/>
        <v>1</v>
      </c>
      <c r="BA91" s="3">
        <f>IF(ISERROR(LEN(VLOOKUP(A91,Seqs!A:E,2,FALSE))-AL91),"-",LEN(VLOOKUP(A91,Seqs!A:E,2,FALSE))-AL91)</f>
        <v>45</v>
      </c>
      <c r="BB91" s="16">
        <f t="shared" si="52"/>
        <v>29</v>
      </c>
      <c r="BC91" s="9">
        <f t="shared" si="53"/>
        <v>20</v>
      </c>
      <c r="BD91" s="3">
        <f t="shared" si="54"/>
        <v>29</v>
      </c>
      <c r="BE91" s="3">
        <f t="shared" si="55"/>
        <v>59</v>
      </c>
    </row>
    <row r="92" spans="1:58" s="3" customFormat="1" x14ac:dyDescent="0.2">
      <c r="A92" s="3" t="s">
        <v>184</v>
      </c>
      <c r="B92" s="3" t="str">
        <f>LOWER(VLOOKUP(A92,Xtal_Templ!A:B,2,FALSE))</f>
        <v>ccr5_human</v>
      </c>
      <c r="C92" s="3">
        <f>VLOOKUP($A92,'SegEnds_NonXtal_BW#'!$A:$Z,3,FALSE)+D92-50</f>
        <v>23</v>
      </c>
      <c r="D92" s="3">
        <v>49</v>
      </c>
      <c r="E92" s="3">
        <f>IF(ISERROR(VLOOKUP($A92,'SegEnds_NonXtal_BW#'!$A:$Z,4,FALSE)+VLOOKUP($A92,A:AL,4,FALSE)-50),"-",(VLOOKUP($A92,'SegEnds_NonXtal_BW#'!$A:$Z,4,FALSE)+VLOOKUP($A92,A:AL,4,FALSE)-50))</f>
        <v>59</v>
      </c>
      <c r="F92" s="3">
        <f t="shared" si="62"/>
        <v>60</v>
      </c>
      <c r="G92" s="3">
        <v>62</v>
      </c>
      <c r="H92" s="3">
        <f t="shared" si="63"/>
        <v>63</v>
      </c>
      <c r="I92" s="3">
        <f t="shared" si="64"/>
        <v>64</v>
      </c>
      <c r="J92" s="3">
        <v>77</v>
      </c>
      <c r="K92" s="3">
        <f>VLOOKUP($A92,'SegEnds_NonXtal_BW#'!$A:$Z,8,FALSE)+VLOOKUP($A92,A:AL,10,FALSE)-50</f>
        <v>93</v>
      </c>
      <c r="L92" s="3" t="str">
        <f>IF(ISERROR(VLOOKUP($A92,'SegEnds_NonXtal_BW#'!$A:$Z,9,FALSE)+VLOOKUP($A92,A:AL,13,FALSE)-50),"-",(VLOOKUP($A92,'SegEnds_NonXtal_BW#'!$A:$Z,9,FALSE)+VLOOKUP($A92,A:AL,13,FALSE)-50))</f>
        <v>-</v>
      </c>
      <c r="M92" s="3" t="s">
        <v>23</v>
      </c>
      <c r="N92" s="3" t="str">
        <f>IF(ISERROR(VLOOKUP($A92,'SegEnds_NonXtal_BW#'!$A:$Z,10,FALSE)+VLOOKUP($A92,A:AL,13,FALSE)-50),"-",(VLOOKUP($A92,'SegEnds_NonXtal_BW#'!$A:$Z,10,FALSE)+VLOOKUP($A92,A:AL,13,FALSE)-50))</f>
        <v>-</v>
      </c>
      <c r="O92" s="3">
        <f>VLOOKUP($A92,'SegEnds_NonXtal_BW#'!$A:$Z,11,FALSE)+VLOOKUP($A92,A:AL,16,FALSE)-50</f>
        <v>101</v>
      </c>
      <c r="P92" s="3">
        <v>127</v>
      </c>
      <c r="Q92" s="3">
        <f>VLOOKUP($A92,'SegEnds_NonXtal_BW#'!$A:$Z,12,FALSE)+VLOOKUP($A92,A:AL,16,FALSE)-50</f>
        <v>133</v>
      </c>
      <c r="R92" s="3">
        <f>IF(ISERROR(VLOOKUP($A92,'SegEnds_NonXtal_BW#'!$A:$Z,13,FALSE)+VLOOKUP($A92,A:AL,19,FALSE)-50),"-",VLOOKUP($A92,'SegEnds_NonXtal_BW#'!$A:$Z,13,FALSE)+VLOOKUP($A92,A:AL,19,FALSE)-50)</f>
        <v>134</v>
      </c>
      <c r="S92" s="3">
        <v>134</v>
      </c>
      <c r="T92" s="103">
        <f>IF(ISERROR(VLOOKUP($A92,'SegEnds_NonXtal_BW#'!$A:$Z,14,FALSE)+VLOOKUP($A92,A:AL,19,FALSE)-50),"-",(VLOOKUP($A92,'SegEnds_NonXtal_BW#'!$A:$Z,14,FALSE)+VLOOKUP($A92,A:AL,19,FALSE)-50))</f>
        <v>141</v>
      </c>
      <c r="U92" s="9">
        <f>IF(ISERROR(VLOOKUP($A92,'SegEnds_NonXtal_BW#'!$A:$Z,15,FALSE)+VLOOKUP($A92,A:AL,22,FALSE)-50),"-",VLOOKUP($A92,'SegEnds_NonXtal_BW#'!$A:$Z,15,FALSE)+VLOOKUP($A92,A:AL,22,FALSE)-50)</f>
        <v>142</v>
      </c>
      <c r="V92" s="3">
        <v>154</v>
      </c>
      <c r="W92" s="3">
        <f>IF(ISERROR(VLOOKUP($A92,'SegEnds_NonXtal_BW#'!$A:$Z,16,FALSE)+VLOOKUP($A92,A:AL,22,FALSE)-50),"-",(VLOOKUP($A92,'SegEnds_NonXtal_BW#'!$A:$Z,16,FALSE)+VLOOKUP($A92,A:AL,22,FALSE)-50))</f>
        <v>168</v>
      </c>
      <c r="X92" s="3">
        <f>IF(ISERROR(VLOOKUP($A92,'SegEnds_NonXtal_BW#'!$A:$Z,17,FALSE)+VLOOKUP($A92,A:AL,25,FALSE)-50),"-",(VLOOKUP($A92,'SegEnds_NonXtal_BW#'!$A:$Z,17,FALSE)+VLOOKUP($A92,A:AL,25,FALSE)-50))</f>
        <v>175</v>
      </c>
      <c r="Y92" s="3">
        <v>175</v>
      </c>
      <c r="Z92" s="3">
        <f t="shared" ref="Z92:Z117" si="65">Y92+2</f>
        <v>177</v>
      </c>
      <c r="AA92" s="3">
        <f>IF(ISERROR(VLOOKUP($A92,'SegEnds_NonXtal_BW#'!$A:$Z,19,FALSE)+VLOOKUP($A92,A:AL,28,FALSE)-50),"-",(VLOOKUP($A92,'SegEnds_NonXtal_BW#'!$A:$Z,19,FALSE)+VLOOKUP($A92,A:AL,28,FALSE)-50))</f>
        <v>183</v>
      </c>
      <c r="AB92" s="3">
        <v>203</v>
      </c>
      <c r="AC92" s="3">
        <f>IF(ISERROR((VLOOKUP($A92,'SegEnds_NonXtal_BW#'!$A:$Z,20,FALSE)+VLOOKUP($A92,A:AL,28,FALSE)-50)),"-",(VLOOKUP($A92,'SegEnds_NonXtal_BW#'!$A:$Z,20,FALSE)+VLOOKUP($A92,A:AL,28,FALSE)-50))</f>
        <v>221</v>
      </c>
      <c r="AD92" s="3">
        <f>IF(ISERROR(VLOOKUP($A92,'SegEnds_NonXtal_BW#'!$A:$Z,21,FALSE)+VLOOKUP($A92,A:AL,31,FALSE)-50),"-",(VLOOKUP($A92,'SegEnds_NonXtal_BW#'!$A:$Z,21,FALSE)+VLOOKUP($A92,A:AL,31,FALSE)-50))</f>
        <v>226</v>
      </c>
      <c r="AE92" s="3">
        <v>246</v>
      </c>
      <c r="AF92" s="3">
        <f>IF(ISERROR((VLOOKUP($A92,'SegEnds_NonXtal_BW#'!$A:$Z,22,FALSE)+VLOOKUP($A92,A:AL,31,FALSE)-50)),"-",(VLOOKUP($A92,'SegEnds_NonXtal_BW#'!$A:$Z,22,FALSE)+VLOOKUP($A92,A:AL,31,FALSE)-50))</f>
        <v>260</v>
      </c>
      <c r="AG92" s="3">
        <f>IF(ISERROR(VLOOKUP($A92,'SegEnds_NonXtal_BW#'!$A:$Z,23,FALSE)+VLOOKUP($A92,A:AL,34,FALSE)-50),"-",(VLOOKUP($A92,'SegEnds_NonXtal_BW#'!$A:$Z,23,FALSE)+VLOOKUP($A92,A:AL,34,FALSE)-50))</f>
        <v>264</v>
      </c>
      <c r="AH92" s="3">
        <v>290</v>
      </c>
      <c r="AI92" s="3">
        <f>IF(ISERROR((VLOOKUP($A92,'SegEnds_NonXtal_BW#'!$A:$Z,24,FALSE)+VLOOKUP($A92,A:AL,34,FALSE)-50)),"-",(VLOOKUP($A92,'SegEnds_NonXtal_BW#'!$A:$Z,24,FALSE)+VLOOKUP($A92,A:AL,34,FALSE)-50))</f>
        <v>296</v>
      </c>
      <c r="AJ92" s="3">
        <f>IF(ISERROR(VLOOKUP($A92,'SegEnds_NonXtal_BW#'!$A:$Z,25,FALSE)+VLOOKUP($A92,A:AL,37,FALSE)-50),"-",(VLOOKUP($A92,'SegEnds_NonXtal_BW#'!$A:$Z,25,FALSE)+VLOOKUP($A92,A:AL,37,FALSE)-50))</f>
        <v>297</v>
      </c>
      <c r="AK92" s="3">
        <v>300</v>
      </c>
      <c r="AL92" s="3">
        <f>IF(ISERROR((VLOOKUP($A92,'SegEnds_NonXtal_BW#'!$A:$Z,26,FALSE)+VLOOKUP($A92,A:AL,37,FALSE)-50)),"-",(VLOOKUP($A92,'SegEnds_NonXtal_BW#'!$A:$Z,26,FALSE)+VLOOKUP($A92,A:AL,37,FALSE)-50))</f>
        <v>309</v>
      </c>
      <c r="AM92" s="28" t="str">
        <f>VLOOKUP(A92,Classification!A:B,2,FALSE)</f>
        <v>A</v>
      </c>
      <c r="AN92" s="28" t="b">
        <f t="shared" si="59"/>
        <v>1</v>
      </c>
      <c r="AO92" s="3" t="str">
        <f>IF(ISERROR(MATCH(A92,'SegEnds_Xtal_Prot#'!B:B, 0)), "NoXtal", "Xtal")</f>
        <v>NoXtal</v>
      </c>
      <c r="AP92" s="3">
        <f t="shared" si="41"/>
        <v>1</v>
      </c>
      <c r="AQ92" s="3">
        <f t="shared" si="42"/>
        <v>1</v>
      </c>
      <c r="AR92" s="3" t="str">
        <f t="shared" si="43"/>
        <v>-</v>
      </c>
      <c r="AS92" s="3" t="str">
        <f t="shared" si="44"/>
        <v>-</v>
      </c>
      <c r="AT92" s="3">
        <f t="shared" si="45"/>
        <v>1</v>
      </c>
      <c r="AU92" s="3">
        <f t="shared" si="46"/>
        <v>1</v>
      </c>
      <c r="AV92" s="3">
        <f t="shared" si="47"/>
        <v>7</v>
      </c>
      <c r="AW92" s="3">
        <f t="shared" si="48"/>
        <v>6</v>
      </c>
      <c r="AX92" s="3">
        <f t="shared" si="49"/>
        <v>5</v>
      </c>
      <c r="AY92" s="3">
        <f t="shared" si="50"/>
        <v>4</v>
      </c>
      <c r="AZ92" s="3">
        <f t="shared" si="51"/>
        <v>1</v>
      </c>
      <c r="BA92" s="3">
        <f>IF(ISERROR(LEN(VLOOKUP(A92,Seqs!A:E,2,FALSE))-AL92),"-",LEN(VLOOKUP(A92,Seqs!A:E,2,FALSE))-AL92)</f>
        <v>46</v>
      </c>
      <c r="BB92" s="16">
        <f t="shared" si="52"/>
        <v>28</v>
      </c>
      <c r="BC92" s="9">
        <f t="shared" si="53"/>
        <v>20</v>
      </c>
      <c r="BD92" s="3">
        <f t="shared" si="54"/>
        <v>28</v>
      </c>
      <c r="BE92" s="3">
        <f t="shared" si="55"/>
        <v>43</v>
      </c>
    </row>
    <row r="93" spans="1:58" s="3" customFormat="1" x14ac:dyDescent="0.2">
      <c r="A93" s="3" t="s">
        <v>187</v>
      </c>
      <c r="B93" s="3" t="str">
        <f>LOWER(VLOOKUP(A93,Xtal_Templ!A:B,2,FALSE))</f>
        <v>cxcr4_human</v>
      </c>
      <c r="C93" s="3">
        <f>VLOOKUP($A93,'SegEnds_NonXtal_BW#'!$A:$Z,3,FALSE)+D93-50</f>
        <v>45</v>
      </c>
      <c r="D93" s="3">
        <v>71</v>
      </c>
      <c r="E93" s="3">
        <f>IF(ISERROR(VLOOKUP($A93,'SegEnds_NonXtal_BW#'!$A:$Z,4,FALSE)+VLOOKUP($A93,A:AL,4,FALSE)-50),"-",(VLOOKUP($A93,'SegEnds_NonXtal_BW#'!$A:$Z,4,FALSE)+VLOOKUP($A93,A:AL,4,FALSE)-50))</f>
        <v>81</v>
      </c>
      <c r="F93" s="3">
        <f t="shared" si="62"/>
        <v>82</v>
      </c>
      <c r="G93" s="3">
        <v>84</v>
      </c>
      <c r="H93" s="3">
        <f t="shared" si="63"/>
        <v>85</v>
      </c>
      <c r="I93" s="3">
        <f t="shared" si="64"/>
        <v>86</v>
      </c>
      <c r="J93" s="3">
        <v>99</v>
      </c>
      <c r="K93" s="3">
        <f>VLOOKUP($A93,'SegEnds_NonXtal_BW#'!$A:$Z,8,FALSE)+VLOOKUP($A93,A:AL,10,FALSE)-50</f>
        <v>115</v>
      </c>
      <c r="L93" s="3">
        <f t="shared" ref="L93:L100" si="66">M93-1</f>
        <v>116</v>
      </c>
      <c r="M93" s="3">
        <v>117</v>
      </c>
      <c r="N93" s="3">
        <f t="shared" ref="N93:N100" si="67">M93+2</f>
        <v>119</v>
      </c>
      <c r="O93" s="3">
        <f t="shared" ref="O93:O100" si="68">N93+1</f>
        <v>120</v>
      </c>
      <c r="P93" s="3">
        <v>149</v>
      </c>
      <c r="Q93" s="3">
        <f>VLOOKUP($A93,'SegEnds_NonXtal_BW#'!$A:$Z,12,FALSE)+VLOOKUP($A93,A:AL,16,FALSE)-50</f>
        <v>155</v>
      </c>
      <c r="R93" s="3">
        <f>IF(ISERROR(VLOOKUP($A93,'SegEnds_NonXtal_BW#'!$A:$Z,13,FALSE)+VLOOKUP($A93,A:AL,19,FALSE)-50),"-",VLOOKUP($A93,'SegEnds_NonXtal_BW#'!$A:$Z,13,FALSE)+VLOOKUP($A93,A:AL,19,FALSE)-50)</f>
        <v>156</v>
      </c>
      <c r="S93" s="3">
        <v>156</v>
      </c>
      <c r="T93" s="103">
        <f>IF(ISERROR(VLOOKUP($A93,'SegEnds_NonXtal_BW#'!$A:$Z,14,FALSE)+VLOOKUP($A93,A:AL,19,FALSE)-50),"-",(VLOOKUP($A93,'SegEnds_NonXtal_BW#'!$A:$Z,14,FALSE)+VLOOKUP($A93,A:AL,19,FALSE)-50))</f>
        <v>163</v>
      </c>
      <c r="U93" s="9">
        <f>IF(ISERROR(VLOOKUP($A93,'SegEnds_NonXtal_BW#'!$A:$Z,15,FALSE)+VLOOKUP($A93,A:AL,22,FALSE)-50),"-",VLOOKUP($A93,'SegEnds_NonXtal_BW#'!$A:$Z,15,FALSE)+VLOOKUP($A93,A:AL,22,FALSE)-50)</f>
        <v>164</v>
      </c>
      <c r="V93" s="3">
        <v>176</v>
      </c>
      <c r="W93" s="3">
        <f>IF(ISERROR(VLOOKUP($A93,'SegEnds_NonXtal_BW#'!$A:$Z,16,FALSE)+VLOOKUP($A93,A:AL,22,FALSE)-50),"-",(VLOOKUP($A93,'SegEnds_NonXtal_BW#'!$A:$Z,16,FALSE)+VLOOKUP($A93,A:AL,22,FALSE)-50))</f>
        <v>190</v>
      </c>
      <c r="X93" s="3">
        <f>IF(ISERROR(VLOOKUP($A93,'SegEnds_NonXtal_BW#'!$A:$Z,17,FALSE)+VLOOKUP($A93,A:AL,25,FALSE)-50),"-",(VLOOKUP($A93,'SegEnds_NonXtal_BW#'!$A:$Z,17,FALSE)+VLOOKUP($A93,A:AL,25,FALSE)-50))</f>
        <v>203</v>
      </c>
      <c r="Y93" s="3">
        <v>203</v>
      </c>
      <c r="Z93" s="3">
        <f t="shared" si="65"/>
        <v>205</v>
      </c>
      <c r="AA93" s="3">
        <f>IF(ISERROR(VLOOKUP($A93,'SegEnds_NonXtal_BW#'!$A:$Z,19,FALSE)+VLOOKUP($A93,A:AL,28,FALSE)-50),"-",(VLOOKUP($A93,'SegEnds_NonXtal_BW#'!$A:$Z,19,FALSE)+VLOOKUP($A93,A:AL,28,FALSE)-50))</f>
        <v>209</v>
      </c>
      <c r="AB93" s="3">
        <v>227</v>
      </c>
      <c r="AC93" s="3">
        <f>IF(ISERROR((VLOOKUP($A93,'SegEnds_NonXtal_BW#'!$A:$Z,20,FALSE)+VLOOKUP($A93,A:AL,28,FALSE)-50)),"-",(VLOOKUP($A93,'SegEnds_NonXtal_BW#'!$A:$Z,20,FALSE)+VLOOKUP($A93,A:AL,28,FALSE)-50))</f>
        <v>245</v>
      </c>
      <c r="AD93" s="3">
        <f>IF(ISERROR(VLOOKUP($A93,'SegEnds_NonXtal_BW#'!$A:$Z,21,FALSE)+VLOOKUP($A93,A:AL,31,FALSE)-50),"-",(VLOOKUP($A93,'SegEnds_NonXtal_BW#'!$A:$Z,21,FALSE)+VLOOKUP($A93,A:AL,31,FALSE)-50))</f>
        <v>250</v>
      </c>
      <c r="AE93" s="3">
        <v>270</v>
      </c>
      <c r="AF93" s="3">
        <f>IF(ISERROR((VLOOKUP($A93,'SegEnds_NonXtal_BW#'!$A:$Z,22,FALSE)+VLOOKUP($A93,A:AL,31,FALSE)-50)),"-",(VLOOKUP($A93,'SegEnds_NonXtal_BW#'!$A:$Z,22,FALSE)+VLOOKUP($A93,A:AL,31,FALSE)-50))</f>
        <v>284</v>
      </c>
      <c r="AG93" s="3">
        <f>IF(ISERROR(VLOOKUP($A93,'SegEnds_NonXtal_BW#'!$A:$Z,23,FALSE)+VLOOKUP($A93,A:AL,34,FALSE)-50),"-",(VLOOKUP($A93,'SegEnds_NonXtal_BW#'!$A:$Z,23,FALSE)+VLOOKUP($A93,A:AL,34,FALSE)-50))</f>
        <v>289</v>
      </c>
      <c r="AH93" s="3">
        <v>315</v>
      </c>
      <c r="AI93" s="3">
        <f>IF(ISERROR((VLOOKUP($A93,'SegEnds_NonXtal_BW#'!$A:$Z,24,FALSE)+VLOOKUP($A93,A:AL,34,FALSE)-50)),"-",(VLOOKUP($A93,'SegEnds_NonXtal_BW#'!$A:$Z,24,FALSE)+VLOOKUP($A93,A:AL,34,FALSE)-50))</f>
        <v>321</v>
      </c>
      <c r="AJ93" s="3">
        <f>IF(ISERROR(VLOOKUP($A93,'SegEnds_NonXtal_BW#'!$A:$Z,25,FALSE)+VLOOKUP($A93,A:AL,37,FALSE)-50),"-",(VLOOKUP($A93,'SegEnds_NonXtal_BW#'!$A:$Z,25,FALSE)+VLOOKUP($A93,A:AL,37,FALSE)-50))</f>
        <v>322</v>
      </c>
      <c r="AK93" s="3">
        <v>325</v>
      </c>
      <c r="AL93" s="3">
        <f>IF(ISERROR((VLOOKUP($A93,'SegEnds_NonXtal_BW#'!$A:$Z,26,FALSE)+VLOOKUP($A93,A:AL,37,FALSE)-50)),"-",(VLOOKUP($A93,'SegEnds_NonXtal_BW#'!$A:$Z,26,FALSE)+VLOOKUP($A93,A:AL,37,FALSE)-50))</f>
        <v>334</v>
      </c>
      <c r="AM93" s="28" t="str">
        <f>VLOOKUP(A93,Classification!A:B,2,FALSE)</f>
        <v>A</v>
      </c>
      <c r="AN93" s="28" t="b">
        <f t="shared" si="59"/>
        <v>1</v>
      </c>
      <c r="AO93" s="3" t="str">
        <f>IF(ISERROR(MATCH(A93,'SegEnds_Xtal_Prot#'!B:B, 0)), "NoXtal", "Xtal")</f>
        <v>NoXtal</v>
      </c>
      <c r="AP93" s="3">
        <f t="shared" si="41"/>
        <v>1</v>
      </c>
      <c r="AQ93" s="3">
        <f t="shared" si="42"/>
        <v>1</v>
      </c>
      <c r="AR93" s="3">
        <f t="shared" si="43"/>
        <v>1</v>
      </c>
      <c r="AS93" s="3">
        <f t="shared" si="44"/>
        <v>1</v>
      </c>
      <c r="AT93" s="3">
        <f t="shared" si="45"/>
        <v>1</v>
      </c>
      <c r="AU93" s="3">
        <f t="shared" si="46"/>
        <v>1</v>
      </c>
      <c r="AV93" s="3">
        <f t="shared" si="47"/>
        <v>13</v>
      </c>
      <c r="AW93" s="3">
        <f t="shared" si="48"/>
        <v>4</v>
      </c>
      <c r="AX93" s="3">
        <f t="shared" si="49"/>
        <v>5</v>
      </c>
      <c r="AY93" s="3">
        <f t="shared" si="50"/>
        <v>5</v>
      </c>
      <c r="AZ93" s="3">
        <f t="shared" si="51"/>
        <v>1</v>
      </c>
      <c r="BA93" s="3">
        <f>IF(ISERROR(LEN(VLOOKUP(A93,Seqs!A:E,2,FALSE))-AL93),"-",LEN(VLOOKUP(A93,Seqs!A:E,2,FALSE))-AL93)</f>
        <v>34</v>
      </c>
      <c r="BB93" s="16">
        <f t="shared" si="52"/>
        <v>28</v>
      </c>
      <c r="BC93" s="9">
        <f t="shared" si="53"/>
        <v>20</v>
      </c>
      <c r="BD93" s="3">
        <f t="shared" si="54"/>
        <v>28</v>
      </c>
      <c r="BE93" s="3">
        <f t="shared" si="55"/>
        <v>43</v>
      </c>
    </row>
    <row r="94" spans="1:58" s="3" customFormat="1" x14ac:dyDescent="0.2">
      <c r="A94" s="3" t="s">
        <v>1172</v>
      </c>
      <c r="B94" s="3" t="str">
        <f>LOWER(VLOOKUP(A94,Xtal_Templ!A:B,2,FALSE))</f>
        <v>cxcr4_human</v>
      </c>
      <c r="C94" s="3">
        <f>VLOOKUP($A94,'SegEnds_NonXtal_BW#'!$A:$Z,3,FALSE)+D94-50</f>
        <v>30</v>
      </c>
      <c r="D94" s="3">
        <v>56</v>
      </c>
      <c r="E94" s="3">
        <f>IF(ISERROR(VLOOKUP($A94,'SegEnds_NonXtal_BW#'!$A:$Z,4,FALSE)+VLOOKUP($A94,A:AL,4,FALSE)-50),"-",(VLOOKUP($A94,'SegEnds_NonXtal_BW#'!$A:$Z,4,FALSE)+VLOOKUP($A94,A:AL,4,FALSE)-50))</f>
        <v>66</v>
      </c>
      <c r="F94" s="3">
        <f t="shared" si="62"/>
        <v>67</v>
      </c>
      <c r="G94" s="3">
        <v>69</v>
      </c>
      <c r="H94" s="3">
        <f t="shared" si="63"/>
        <v>70</v>
      </c>
      <c r="I94" s="3">
        <f t="shared" si="64"/>
        <v>71</v>
      </c>
      <c r="J94" s="3">
        <v>84</v>
      </c>
      <c r="K94" s="3">
        <f>VLOOKUP($A94,'SegEnds_NonXtal_BW#'!$A:$Z,8,FALSE)+VLOOKUP($A94,A:AL,10,FALSE)-50</f>
        <v>100</v>
      </c>
      <c r="L94" s="3">
        <f t="shared" si="66"/>
        <v>101</v>
      </c>
      <c r="M94" s="3">
        <v>102</v>
      </c>
      <c r="N94" s="3">
        <f t="shared" si="67"/>
        <v>104</v>
      </c>
      <c r="O94" s="3">
        <f t="shared" si="68"/>
        <v>105</v>
      </c>
      <c r="P94" s="3">
        <v>134</v>
      </c>
      <c r="Q94" s="3">
        <f>VLOOKUP($A94,'SegEnds_NonXtal_BW#'!$A:$Z,12,FALSE)+VLOOKUP($A94,A:AL,16,FALSE)-50</f>
        <v>140</v>
      </c>
      <c r="R94" s="3">
        <f>IF(ISERROR(VLOOKUP($A94,'SegEnds_NonXtal_BW#'!$A:$Z,13,FALSE)+VLOOKUP($A94,A:AL,19,FALSE)-50),"-",VLOOKUP($A94,'SegEnds_NonXtal_BW#'!$A:$Z,13,FALSE)+VLOOKUP($A94,A:AL,19,FALSE)-50)</f>
        <v>141</v>
      </c>
      <c r="S94" s="3">
        <v>141</v>
      </c>
      <c r="T94" s="103">
        <f>IF(ISERROR(VLOOKUP($A94,'SegEnds_NonXtal_BW#'!$A:$Z,14,FALSE)+VLOOKUP($A94,A:AL,19,FALSE)-50),"-",(VLOOKUP($A94,'SegEnds_NonXtal_BW#'!$A:$Z,14,FALSE)+VLOOKUP($A94,A:AL,19,FALSE)-50))</f>
        <v>148</v>
      </c>
      <c r="U94" s="9">
        <f>IF(ISERROR(VLOOKUP($A94,'SegEnds_NonXtal_BW#'!$A:$Z,15,FALSE)+VLOOKUP($A94,A:AL,22,FALSE)-50),"-",VLOOKUP($A94,'SegEnds_NonXtal_BW#'!$A:$Z,15,FALSE)+VLOOKUP($A94,A:AL,22,FALSE)-50)</f>
        <v>149</v>
      </c>
      <c r="V94" s="3">
        <v>161</v>
      </c>
      <c r="W94" s="3">
        <f>IF(ISERROR(VLOOKUP($A94,'SegEnds_NonXtal_BW#'!$A:$Z,16,FALSE)+VLOOKUP($A94,A:AL,22,FALSE)-50),"-",(VLOOKUP($A94,'SegEnds_NonXtal_BW#'!$A:$Z,16,FALSE)+VLOOKUP($A94,A:AL,22,FALSE)-50))</f>
        <v>175</v>
      </c>
      <c r="X94" s="3">
        <f>IF(ISERROR(VLOOKUP($A94,'SegEnds_NonXtal_BW#'!$A:$Z,17,FALSE)+VLOOKUP($A94,A:AL,25,FALSE)-50),"-",(VLOOKUP($A94,'SegEnds_NonXtal_BW#'!$A:$Z,17,FALSE)+VLOOKUP($A94,A:AL,25,FALSE)-50))</f>
        <v>186</v>
      </c>
      <c r="Y94" s="3">
        <v>186</v>
      </c>
      <c r="Z94" s="3">
        <f t="shared" si="65"/>
        <v>188</v>
      </c>
      <c r="AA94" s="3">
        <f>IF(ISERROR(VLOOKUP($A94,'SegEnds_NonXtal_BW#'!$A:$Z,19,FALSE)+VLOOKUP($A94,A:AL,28,FALSE)-50),"-",(VLOOKUP($A94,'SegEnds_NonXtal_BW#'!$A:$Z,19,FALSE)+VLOOKUP($A94,A:AL,28,FALSE)-50))</f>
        <v>193</v>
      </c>
      <c r="AB94" s="3">
        <v>211</v>
      </c>
      <c r="AC94" s="3">
        <f>IF(ISERROR((VLOOKUP($A94,'SegEnds_NonXtal_BW#'!$A:$Z,20,FALSE)+VLOOKUP($A94,A:AL,28,FALSE)-50)),"-",(VLOOKUP($A94,'SegEnds_NonXtal_BW#'!$A:$Z,20,FALSE)+VLOOKUP($A94,A:AL,28,FALSE)-50))</f>
        <v>229</v>
      </c>
      <c r="AD94" s="3">
        <f>IF(ISERROR(VLOOKUP($A94,'SegEnds_NonXtal_BW#'!$A:$Z,21,FALSE)+VLOOKUP($A94,A:AL,31,FALSE)-50),"-",(VLOOKUP($A94,'SegEnds_NonXtal_BW#'!$A:$Z,21,FALSE)+VLOOKUP($A94,A:AL,31,FALSE)-50))</f>
        <v>234</v>
      </c>
      <c r="AE94" s="3">
        <v>254</v>
      </c>
      <c r="AF94" s="3">
        <f>IF(ISERROR((VLOOKUP($A94,'SegEnds_NonXtal_BW#'!$A:$Z,22,FALSE)+VLOOKUP($A94,A:AL,31,FALSE)-50)),"-",(VLOOKUP($A94,'SegEnds_NonXtal_BW#'!$A:$Z,22,FALSE)+VLOOKUP($A94,A:AL,31,FALSE)-50))</f>
        <v>268</v>
      </c>
      <c r="AG94" s="3">
        <f>IF(ISERROR(VLOOKUP($A94,'SegEnds_NonXtal_BW#'!$A:$Z,23,FALSE)+VLOOKUP($A94,A:AL,34,FALSE)-50),"-",(VLOOKUP($A94,'SegEnds_NonXtal_BW#'!$A:$Z,23,FALSE)+VLOOKUP($A94,A:AL,34,FALSE)-50))</f>
        <v>273</v>
      </c>
      <c r="AH94" s="3">
        <v>299</v>
      </c>
      <c r="AI94" s="3">
        <f>IF(ISERROR((VLOOKUP($A94,'SegEnds_NonXtal_BW#'!$A:$Z,24,FALSE)+VLOOKUP($A94,A:AL,34,FALSE)-50)),"-",(VLOOKUP($A94,'SegEnds_NonXtal_BW#'!$A:$Z,24,FALSE)+VLOOKUP($A94,A:AL,34,FALSE)-50))</f>
        <v>305</v>
      </c>
      <c r="AJ94" s="3">
        <f>IF(ISERROR(VLOOKUP($A94,'SegEnds_NonXtal_BW#'!$A:$Z,25,FALSE)+VLOOKUP($A94,A:AL,37,FALSE)-50),"-",(VLOOKUP($A94,'SegEnds_NonXtal_BW#'!$A:$Z,25,FALSE)+VLOOKUP($A94,A:AL,37,FALSE)-50))</f>
        <v>306</v>
      </c>
      <c r="AK94" s="3">
        <v>309</v>
      </c>
      <c r="AL94" s="3">
        <f>IF(ISERROR((VLOOKUP($A94,'SegEnds_NonXtal_BW#'!$A:$Z,26,FALSE)+VLOOKUP($A94,A:AL,37,FALSE)-50)),"-",(VLOOKUP($A94,'SegEnds_NonXtal_BW#'!$A:$Z,26,FALSE)+VLOOKUP($A94,A:AL,37,FALSE)-50))</f>
        <v>318</v>
      </c>
      <c r="AM94" s="28" t="str">
        <f>VLOOKUP(A94,Classification!A:B,2,FALSE)</f>
        <v>A</v>
      </c>
      <c r="AN94" s="28" t="b">
        <f t="shared" si="59"/>
        <v>1</v>
      </c>
      <c r="AO94" s="3" t="str">
        <f>IF(ISERROR(MATCH(A94,'SegEnds_Xtal_Prot#'!B:B, 0)), "NoXtal", "Xtal")</f>
        <v>Xtal</v>
      </c>
      <c r="AP94" s="3">
        <f t="shared" si="41"/>
        <v>1</v>
      </c>
      <c r="AQ94" s="3">
        <f t="shared" si="42"/>
        <v>1</v>
      </c>
      <c r="AR94" s="3">
        <f t="shared" si="43"/>
        <v>1</v>
      </c>
      <c r="AS94" s="3">
        <f t="shared" si="44"/>
        <v>1</v>
      </c>
      <c r="AT94" s="3">
        <f t="shared" si="45"/>
        <v>1</v>
      </c>
      <c r="AU94" s="3">
        <f t="shared" si="46"/>
        <v>1</v>
      </c>
      <c r="AV94" s="3">
        <f t="shared" si="47"/>
        <v>11</v>
      </c>
      <c r="AW94" s="3">
        <f t="shared" si="48"/>
        <v>5</v>
      </c>
      <c r="AX94" s="3">
        <f t="shared" si="49"/>
        <v>5</v>
      </c>
      <c r="AY94" s="3">
        <f t="shared" si="50"/>
        <v>5</v>
      </c>
      <c r="AZ94" s="3">
        <f t="shared" si="51"/>
        <v>1</v>
      </c>
      <c r="BA94" s="3">
        <f>IF(ISERROR(LEN(VLOOKUP(A94,Seqs!A:E,2,FALSE))-AL94),"-",LEN(VLOOKUP(A94,Seqs!A:E,2,FALSE))-AL94)</f>
        <v>34</v>
      </c>
      <c r="BB94" s="16">
        <f t="shared" si="52"/>
        <v>28</v>
      </c>
      <c r="BC94" s="9">
        <f t="shared" si="53"/>
        <v>20</v>
      </c>
      <c r="BD94" s="3">
        <f t="shared" si="54"/>
        <v>28</v>
      </c>
      <c r="BE94" s="3">
        <f t="shared" si="55"/>
        <v>43</v>
      </c>
    </row>
    <row r="95" spans="1:58" s="3" customFormat="1" x14ac:dyDescent="0.2">
      <c r="A95" s="3" t="s">
        <v>188</v>
      </c>
      <c r="B95" s="3" t="str">
        <f>LOWER(VLOOKUP(A95,Xtal_Templ!A:B,2,FALSE))</f>
        <v>cxcr4_human</v>
      </c>
      <c r="C95" s="3">
        <f>VLOOKUP($A95,'SegEnds_NonXtal_BW#'!$A:$Z,3,FALSE)+D95-50</f>
        <v>43</v>
      </c>
      <c r="D95" s="3">
        <v>69</v>
      </c>
      <c r="E95" s="3">
        <f>IF(ISERROR(VLOOKUP($A95,'SegEnds_NonXtal_BW#'!$A:$Z,4,FALSE)+VLOOKUP($A95,A:AL,4,FALSE)-50),"-",(VLOOKUP($A95,'SegEnds_NonXtal_BW#'!$A:$Z,4,FALSE)+VLOOKUP($A95,A:AL,4,FALSE)-50))</f>
        <v>79</v>
      </c>
      <c r="F95" s="3">
        <f t="shared" si="62"/>
        <v>80</v>
      </c>
      <c r="G95" s="3">
        <v>82</v>
      </c>
      <c r="H95" s="3">
        <f t="shared" si="63"/>
        <v>83</v>
      </c>
      <c r="I95" s="3">
        <f t="shared" si="64"/>
        <v>84</v>
      </c>
      <c r="J95" s="3">
        <v>97</v>
      </c>
      <c r="K95" s="3">
        <f>VLOOKUP($A95,'SegEnds_NonXtal_BW#'!$A:$Z,8,FALSE)+VLOOKUP($A95,A:AL,10,FALSE)-50</f>
        <v>113</v>
      </c>
      <c r="L95" s="3">
        <f t="shared" si="66"/>
        <v>114</v>
      </c>
      <c r="M95" s="3">
        <v>115</v>
      </c>
      <c r="N95" s="3">
        <f t="shared" si="67"/>
        <v>117</v>
      </c>
      <c r="O95" s="3">
        <f t="shared" si="68"/>
        <v>118</v>
      </c>
      <c r="P95" s="3">
        <v>147</v>
      </c>
      <c r="Q95" s="3">
        <f>VLOOKUP($A95,'SegEnds_NonXtal_BW#'!$A:$Z,12,FALSE)+VLOOKUP($A95,A:AL,16,FALSE)-50</f>
        <v>153</v>
      </c>
      <c r="R95" s="3">
        <f>IF(ISERROR(VLOOKUP($A95,'SegEnds_NonXtal_BW#'!$A:$Z,13,FALSE)+VLOOKUP($A95,A:AL,19,FALSE)-50),"-",VLOOKUP($A95,'SegEnds_NonXtal_BW#'!$A:$Z,13,FALSE)+VLOOKUP($A95,A:AL,19,FALSE)-50)</f>
        <v>154</v>
      </c>
      <c r="S95" s="3">
        <v>154</v>
      </c>
      <c r="T95" s="103">
        <f>IF(ISERROR(VLOOKUP($A95,'SegEnds_NonXtal_BW#'!$A:$Z,14,FALSE)+VLOOKUP($A95,A:AL,19,FALSE)-50),"-",(VLOOKUP($A95,'SegEnds_NonXtal_BW#'!$A:$Z,14,FALSE)+VLOOKUP($A95,A:AL,19,FALSE)-50))</f>
        <v>161</v>
      </c>
      <c r="U95" s="9">
        <f>IF(ISERROR(VLOOKUP($A95,'SegEnds_NonXtal_BW#'!$A:$Z,15,FALSE)+VLOOKUP($A95,A:AL,22,FALSE)-50),"-",VLOOKUP($A95,'SegEnds_NonXtal_BW#'!$A:$Z,15,FALSE)+VLOOKUP($A95,A:AL,22,FALSE)-50)</f>
        <v>162</v>
      </c>
      <c r="V95" s="3">
        <v>174</v>
      </c>
      <c r="W95" s="3">
        <f>IF(ISERROR(VLOOKUP($A95,'SegEnds_NonXtal_BW#'!$A:$Z,16,FALSE)+VLOOKUP($A95,A:AL,22,FALSE)-50),"-",(VLOOKUP($A95,'SegEnds_NonXtal_BW#'!$A:$Z,16,FALSE)+VLOOKUP($A95,A:AL,22,FALSE)-50))</f>
        <v>188</v>
      </c>
      <c r="X95" s="3">
        <f>IF(ISERROR(VLOOKUP($A95,'SegEnds_NonXtal_BW#'!$A:$Z,17,FALSE)+VLOOKUP($A95,A:AL,25,FALSE)-50),"-",(VLOOKUP($A95,'SegEnds_NonXtal_BW#'!$A:$Z,17,FALSE)+VLOOKUP($A95,A:AL,25,FALSE)-50))</f>
        <v>202</v>
      </c>
      <c r="Y95" s="3">
        <v>202</v>
      </c>
      <c r="Z95" s="3">
        <f t="shared" si="65"/>
        <v>204</v>
      </c>
      <c r="AA95" s="3">
        <f>IF(ISERROR(VLOOKUP($A95,'SegEnds_NonXtal_BW#'!$A:$Z,19,FALSE)+VLOOKUP($A95,A:AL,28,FALSE)-50),"-",(VLOOKUP($A95,'SegEnds_NonXtal_BW#'!$A:$Z,19,FALSE)+VLOOKUP($A95,A:AL,28,FALSE)-50))</f>
        <v>212</v>
      </c>
      <c r="AB95" s="3">
        <v>230</v>
      </c>
      <c r="AC95" s="3">
        <f>IF(ISERROR((VLOOKUP($A95,'SegEnds_NonXtal_BW#'!$A:$Z,20,FALSE)+VLOOKUP($A95,A:AL,28,FALSE)-50)),"-",(VLOOKUP($A95,'SegEnds_NonXtal_BW#'!$A:$Z,20,FALSE)+VLOOKUP($A95,A:AL,28,FALSE)-50))</f>
        <v>248</v>
      </c>
      <c r="AD95" s="3">
        <f>IF(ISERROR(VLOOKUP($A95,'SegEnds_NonXtal_BW#'!$A:$Z,21,FALSE)+VLOOKUP($A95,A:AL,31,FALSE)-50),"-",(VLOOKUP($A95,'SegEnds_NonXtal_BW#'!$A:$Z,21,FALSE)+VLOOKUP($A95,A:AL,31,FALSE)-50))</f>
        <v>252</v>
      </c>
      <c r="AE95" s="3">
        <v>274</v>
      </c>
      <c r="AF95" s="3">
        <f>IF(ISERROR((VLOOKUP($A95,'SegEnds_NonXtal_BW#'!$A:$Z,22,FALSE)+VLOOKUP($A95,A:AL,31,FALSE)-50)),"-",(VLOOKUP($A95,'SegEnds_NonXtal_BW#'!$A:$Z,22,FALSE)+VLOOKUP($A95,A:AL,31,FALSE)-50))</f>
        <v>288</v>
      </c>
      <c r="AG95" s="3">
        <f>IF(ISERROR(VLOOKUP($A95,'SegEnds_NonXtal_BW#'!$A:$Z,23,FALSE)+VLOOKUP($A95,A:AL,34,FALSE)-50),"-",(VLOOKUP($A95,'SegEnds_NonXtal_BW#'!$A:$Z,23,FALSE)+VLOOKUP($A95,A:AL,34,FALSE)-50))</f>
        <v>293</v>
      </c>
      <c r="AH95" s="3">
        <v>319</v>
      </c>
      <c r="AI95" s="3">
        <f>IF(ISERROR((VLOOKUP($A95,'SegEnds_NonXtal_BW#'!$A:$Z,24,FALSE)+VLOOKUP($A95,A:AL,34,FALSE)-50)),"-",(VLOOKUP($A95,'SegEnds_NonXtal_BW#'!$A:$Z,24,FALSE)+VLOOKUP($A95,A:AL,34,FALSE)-50))</f>
        <v>325</v>
      </c>
      <c r="AJ95" s="3">
        <f>IF(ISERROR(VLOOKUP($A95,'SegEnds_NonXtal_BW#'!$A:$Z,25,FALSE)+VLOOKUP($A95,A:AL,37,FALSE)-50),"-",(VLOOKUP($A95,'SegEnds_NonXtal_BW#'!$A:$Z,25,FALSE)+VLOOKUP($A95,A:AL,37,FALSE)-50))</f>
        <v>326</v>
      </c>
      <c r="AK95" s="3">
        <v>329</v>
      </c>
      <c r="AL95" s="3">
        <f>IF(ISERROR((VLOOKUP($A95,'SegEnds_NonXtal_BW#'!$A:$Z,26,FALSE)+VLOOKUP($A95,A:AL,37,FALSE)-50)),"-",(VLOOKUP($A95,'SegEnds_NonXtal_BW#'!$A:$Z,26,FALSE)+VLOOKUP($A95,A:AL,37,FALSE)-50))</f>
        <v>338</v>
      </c>
      <c r="AM95" s="28" t="str">
        <f>VLOOKUP(A95,Classification!A:B,2,FALSE)</f>
        <v>A</v>
      </c>
      <c r="AN95" s="28" t="b">
        <f t="shared" si="59"/>
        <v>1</v>
      </c>
      <c r="AO95" s="3" t="str">
        <f>IF(ISERROR(MATCH(A95,'SegEnds_Xtal_Prot#'!B:B, 0)), "NoXtal", "Xtal")</f>
        <v>NoXtal</v>
      </c>
      <c r="AP95" s="3">
        <f t="shared" si="41"/>
        <v>1</v>
      </c>
      <c r="AQ95" s="3">
        <f t="shared" si="42"/>
        <v>1</v>
      </c>
      <c r="AR95" s="3">
        <f t="shared" si="43"/>
        <v>1</v>
      </c>
      <c r="AS95" s="3">
        <f t="shared" si="44"/>
        <v>1</v>
      </c>
      <c r="AT95" s="3">
        <f t="shared" si="45"/>
        <v>1</v>
      </c>
      <c r="AU95" s="3">
        <f t="shared" si="46"/>
        <v>1</v>
      </c>
      <c r="AV95" s="3">
        <f t="shared" si="47"/>
        <v>14</v>
      </c>
      <c r="AW95" s="3">
        <f t="shared" si="48"/>
        <v>8</v>
      </c>
      <c r="AX95" s="3">
        <f t="shared" si="49"/>
        <v>4</v>
      </c>
      <c r="AY95" s="3">
        <f t="shared" si="50"/>
        <v>5</v>
      </c>
      <c r="AZ95" s="3">
        <f t="shared" si="51"/>
        <v>1</v>
      </c>
      <c r="BA95" s="3">
        <f>IF(ISERROR(LEN(VLOOKUP(A95,Seqs!A:E,2,FALSE))-AL95),"-",LEN(VLOOKUP(A95,Seqs!A:E,2,FALSE))-AL95)</f>
        <v>34</v>
      </c>
      <c r="BB95" s="16">
        <f t="shared" si="52"/>
        <v>28</v>
      </c>
      <c r="BC95" s="9">
        <f t="shared" si="53"/>
        <v>20</v>
      </c>
      <c r="BD95" s="3">
        <f t="shared" si="54"/>
        <v>28</v>
      </c>
      <c r="BE95" s="3">
        <f t="shared" si="55"/>
        <v>44</v>
      </c>
    </row>
    <row r="96" spans="1:58" s="3" customFormat="1" x14ac:dyDescent="0.2">
      <c r="A96" s="3" t="s">
        <v>190</v>
      </c>
      <c r="B96" s="3" t="str">
        <f>LOWER(VLOOKUP(A96,Xtal_Templ!A:B,2,FALSE))</f>
        <v>adrb2_human</v>
      </c>
      <c r="C96" s="3">
        <f>VLOOKUP($A96,'SegEnds_NonXtal_BW#'!$A:$Z,3,FALSE)+D96-50</f>
        <v>16</v>
      </c>
      <c r="D96" s="3">
        <v>41</v>
      </c>
      <c r="E96" s="3">
        <f>IF(ISERROR(VLOOKUP($A96,'SegEnds_NonXtal_BW#'!$A:$Z,4,FALSE)+VLOOKUP($A96,A:AL,4,FALSE)-50),"-",(VLOOKUP($A96,'SegEnds_NonXtal_BW#'!$A:$Z,4,FALSE)+VLOOKUP($A96,A:AL,4,FALSE)-50))</f>
        <v>51</v>
      </c>
      <c r="F96" s="3">
        <f t="shared" si="62"/>
        <v>52</v>
      </c>
      <c r="G96" s="3">
        <v>54</v>
      </c>
      <c r="H96" s="3">
        <f t="shared" si="63"/>
        <v>55</v>
      </c>
      <c r="I96" s="3">
        <f t="shared" si="64"/>
        <v>56</v>
      </c>
      <c r="J96" s="3">
        <v>70</v>
      </c>
      <c r="K96" s="3">
        <f>VLOOKUP($A96,'SegEnds_NonXtal_BW#'!$A:$Z,8,FALSE)+VLOOKUP($A96,A:AL,10,FALSE)-50</f>
        <v>86</v>
      </c>
      <c r="L96" s="3">
        <f t="shared" si="66"/>
        <v>89</v>
      </c>
      <c r="M96" s="3">
        <v>90</v>
      </c>
      <c r="N96" s="3">
        <f t="shared" si="67"/>
        <v>92</v>
      </c>
      <c r="O96" s="3">
        <f t="shared" si="68"/>
        <v>93</v>
      </c>
      <c r="P96" s="3">
        <v>121</v>
      </c>
      <c r="Q96" s="3">
        <f>VLOOKUP($A96,'SegEnds_NonXtal_BW#'!$A:$Z,12,FALSE)+VLOOKUP($A96,A:AL,16,FALSE)-50</f>
        <v>127</v>
      </c>
      <c r="R96" s="3">
        <f>IF(ISERROR(VLOOKUP($A96,'SegEnds_NonXtal_BW#'!$A:$Z,13,FALSE)+VLOOKUP($A96,A:AL,19,FALSE)-50),"-",VLOOKUP($A96,'SegEnds_NonXtal_BW#'!$A:$Z,13,FALSE)+VLOOKUP($A96,A:AL,19,FALSE)-50)</f>
        <v>128</v>
      </c>
      <c r="S96" s="3">
        <v>128</v>
      </c>
      <c r="T96" s="103">
        <f>IF(ISERROR(VLOOKUP($A96,'SegEnds_NonXtal_BW#'!$A:$Z,14,FALSE)+VLOOKUP($A96,A:AL,19,FALSE)-50),"-",(VLOOKUP($A96,'SegEnds_NonXtal_BW#'!$A:$Z,14,FALSE)+VLOOKUP($A96,A:AL,19,FALSE)-50))</f>
        <v>135</v>
      </c>
      <c r="U96" s="9">
        <f>IF(ISERROR(VLOOKUP($A96,'SegEnds_NonXtal_BW#'!$A:$Z,15,FALSE)+VLOOKUP($A96,A:AL,22,FALSE)-50),"-",VLOOKUP($A96,'SegEnds_NonXtal_BW#'!$A:$Z,15,FALSE)+VLOOKUP($A96,A:AL,22,FALSE)-50)</f>
        <v>136</v>
      </c>
      <c r="V96" s="3">
        <v>148</v>
      </c>
      <c r="W96" s="3">
        <f>IF(ISERROR(VLOOKUP($A96,'SegEnds_NonXtal_BW#'!$A:$Z,16,FALSE)+VLOOKUP($A96,A:AL,22,FALSE)-50),"-",(VLOOKUP($A96,'SegEnds_NonXtal_BW#'!$A:$Z,16,FALSE)+VLOOKUP($A96,A:AL,22,FALSE)-50))</f>
        <v>162</v>
      </c>
      <c r="X96" s="3">
        <f>IF(ISERROR(VLOOKUP($A96,'SegEnds_NonXtal_BW#'!$A:$Z,17,FALSE)+VLOOKUP($A96,A:AL,25,FALSE)-50),"-",(VLOOKUP($A96,'SegEnds_NonXtal_BW#'!$A:$Z,17,FALSE)+VLOOKUP($A96,A:AL,25,FALSE)-50))</f>
        <v>186</v>
      </c>
      <c r="Y96" s="3">
        <v>186</v>
      </c>
      <c r="Z96" s="3">
        <f t="shared" si="65"/>
        <v>188</v>
      </c>
      <c r="AA96" s="3">
        <f>IF(ISERROR(VLOOKUP($A96,'SegEnds_NonXtal_BW#'!$A:$Z,19,FALSE)+VLOOKUP($A96,A:AL,28,FALSE)-50),"-",(VLOOKUP($A96,'SegEnds_NonXtal_BW#'!$A:$Z,19,FALSE)+VLOOKUP($A96,A:AL,28,FALSE)-50))</f>
        <v>191</v>
      </c>
      <c r="AB96" s="3">
        <v>206</v>
      </c>
      <c r="AC96" s="3">
        <f>IF(ISERROR((VLOOKUP($A96,'SegEnds_NonXtal_BW#'!$A:$Z,20,FALSE)+VLOOKUP($A96,A:AL,28,FALSE)-50)),"-",(VLOOKUP($A96,'SegEnds_NonXtal_BW#'!$A:$Z,20,FALSE)+VLOOKUP($A96,A:AL,28,FALSE)-50))</f>
        <v>232</v>
      </c>
      <c r="AD96" s="3">
        <f>IF(ISERROR(VLOOKUP($A96,'SegEnds_NonXtal_BW#'!$A:$Z,21,FALSE)+VLOOKUP($A96,A:AL,31,FALSE)-50),"-",(VLOOKUP($A96,'SegEnds_NonXtal_BW#'!$A:$Z,21,FALSE)+VLOOKUP($A96,A:AL,31,FALSE)-50))</f>
        <v>261</v>
      </c>
      <c r="AE96" s="3">
        <v>287</v>
      </c>
      <c r="AF96" s="3">
        <f>IF(ISERROR((VLOOKUP($A96,'SegEnds_NonXtal_BW#'!$A:$Z,22,FALSE)+VLOOKUP($A96,A:AL,31,FALSE)-50)),"-",(VLOOKUP($A96,'SegEnds_NonXtal_BW#'!$A:$Z,22,FALSE)+VLOOKUP($A96,A:AL,31,FALSE)-50))</f>
        <v>298</v>
      </c>
      <c r="AG96" s="3">
        <f>IF(ISERROR(VLOOKUP($A96,'SegEnds_NonXtal_BW#'!$A:$Z,23,FALSE)+VLOOKUP($A96,A:AL,34,FALSE)-50),"-",(VLOOKUP($A96,'SegEnds_NonXtal_BW#'!$A:$Z,23,FALSE)+VLOOKUP($A96,A:AL,34,FALSE)-50))</f>
        <v>306</v>
      </c>
      <c r="AH96" s="3">
        <v>328</v>
      </c>
      <c r="AI96" s="3">
        <v>334</v>
      </c>
      <c r="AJ96" s="3">
        <f>IF(ISERROR(VLOOKUP($A96,'SegEnds_NonXtal_BW#'!$A:$Z,25,FALSE)+VLOOKUP($A96,A:AL,37,FALSE)-50),"-",(VLOOKUP($A96,'SegEnds_NonXtal_BW#'!$A:$Z,25,FALSE)+VLOOKUP($A96,A:AL,37,FALSE)-50))</f>
        <v>335</v>
      </c>
      <c r="AK96" s="3">
        <v>338</v>
      </c>
      <c r="AL96" s="3">
        <f>IF(ISERROR((VLOOKUP($A96,'SegEnds_NonXtal_BW#'!$A:$Z,26,FALSE)+VLOOKUP($A96,A:AL,37,FALSE)-50)),"-",(VLOOKUP($A96,'SegEnds_NonXtal_BW#'!$A:$Z,26,FALSE)+VLOOKUP($A96,A:AL,37,FALSE)-50))</f>
        <v>347</v>
      </c>
      <c r="AM96" s="28" t="str">
        <f>VLOOKUP(A96,Classification!A:B,2,FALSE)</f>
        <v>A</v>
      </c>
      <c r="AN96" s="28" t="b">
        <f t="shared" si="59"/>
        <v>1</v>
      </c>
      <c r="AO96" s="3" t="str">
        <f>IF(ISERROR(MATCH(A96,'SegEnds_Xtal_Prot#'!B:B, 0)), "NoXtal", "Xtal")</f>
        <v>NoXtal</v>
      </c>
      <c r="AP96" s="3">
        <f t="shared" si="41"/>
        <v>1</v>
      </c>
      <c r="AQ96" s="3">
        <f t="shared" si="42"/>
        <v>1</v>
      </c>
      <c r="AR96" s="3">
        <f t="shared" si="43"/>
        <v>3</v>
      </c>
      <c r="AS96" s="3">
        <f t="shared" si="44"/>
        <v>1</v>
      </c>
      <c r="AT96" s="3">
        <f t="shared" si="45"/>
        <v>1</v>
      </c>
      <c r="AU96" s="3">
        <f t="shared" si="46"/>
        <v>1</v>
      </c>
      <c r="AV96" s="3">
        <f t="shared" si="47"/>
        <v>24</v>
      </c>
      <c r="AW96" s="3">
        <f t="shared" si="48"/>
        <v>3</v>
      </c>
      <c r="AX96" s="3">
        <f t="shared" si="49"/>
        <v>29</v>
      </c>
      <c r="AY96" s="3">
        <f t="shared" si="50"/>
        <v>8</v>
      </c>
      <c r="AZ96" s="3">
        <f t="shared" si="51"/>
        <v>1</v>
      </c>
      <c r="BA96" s="3">
        <f>IF(ISERROR(LEN(VLOOKUP(A96,Seqs!A:E,2,FALSE))-AL96),"-",LEN(VLOOKUP(A96,Seqs!A:E,2,FALSE))-AL96)</f>
        <v>99</v>
      </c>
      <c r="BB96" s="16">
        <f t="shared" si="52"/>
        <v>29</v>
      </c>
      <c r="BC96" s="9">
        <f t="shared" si="53"/>
        <v>20</v>
      </c>
      <c r="BD96" s="3">
        <f t="shared" si="54"/>
        <v>29</v>
      </c>
      <c r="BE96" s="3">
        <f t="shared" si="55"/>
        <v>81</v>
      </c>
    </row>
    <row r="97" spans="1:58" s="3" customFormat="1" x14ac:dyDescent="0.2">
      <c r="A97" s="3" t="s">
        <v>193</v>
      </c>
      <c r="B97" s="3" t="str">
        <f>LOWER(VLOOKUP(A97,Xtal_Templ!A:B,2,FALSE))</f>
        <v>drd3_human</v>
      </c>
      <c r="C97" s="3">
        <f>VLOOKUP($A97,'SegEnds_NonXtal_BW#'!$A:$Z,3,FALSE)+D97-50</f>
        <v>31</v>
      </c>
      <c r="D97" s="3">
        <v>52</v>
      </c>
      <c r="E97" s="3">
        <f>IF(ISERROR(VLOOKUP($A97,'SegEnds_NonXtal_BW#'!$A:$Z,4,FALSE)+VLOOKUP($A97,A:AL,4,FALSE)-50),"-",(VLOOKUP($A97,'SegEnds_NonXtal_BW#'!$A:$Z,4,FALSE)+VLOOKUP($A97,A:AL,4,FALSE)-50))</f>
        <v>62</v>
      </c>
      <c r="F97" s="3">
        <f t="shared" si="62"/>
        <v>63</v>
      </c>
      <c r="G97" s="3">
        <v>65</v>
      </c>
      <c r="H97" s="3">
        <f t="shared" si="63"/>
        <v>66</v>
      </c>
      <c r="I97" s="3">
        <f t="shared" si="64"/>
        <v>67</v>
      </c>
      <c r="J97" s="3">
        <v>80</v>
      </c>
      <c r="K97" s="3">
        <f>VLOOKUP($A97,'SegEnds_NonXtal_BW#'!$A:$Z,8,FALSE)+VLOOKUP($A97,A:AL,10,FALSE)-50</f>
        <v>97</v>
      </c>
      <c r="L97" s="3">
        <f t="shared" si="66"/>
        <v>100</v>
      </c>
      <c r="M97" s="3">
        <v>101</v>
      </c>
      <c r="N97" s="3">
        <f t="shared" si="67"/>
        <v>103</v>
      </c>
      <c r="O97" s="3">
        <f t="shared" si="68"/>
        <v>104</v>
      </c>
      <c r="P97" s="3">
        <v>133</v>
      </c>
      <c r="Q97" s="3">
        <f>VLOOKUP($A97,'SegEnds_NonXtal_BW#'!$A:$Z,12,FALSE)+VLOOKUP($A97,A:AL,16,FALSE)-50</f>
        <v>139</v>
      </c>
      <c r="R97" s="3">
        <f>IF(ISERROR(VLOOKUP($A97,'SegEnds_NonXtal_BW#'!$A:$Z,13,FALSE)+VLOOKUP($A97,A:AL,19,FALSE)-50),"-",VLOOKUP($A97,'SegEnds_NonXtal_BW#'!$A:$Z,13,FALSE)+VLOOKUP($A97,A:AL,19,FALSE)-50)</f>
        <v>140</v>
      </c>
      <c r="S97" s="3">
        <v>140</v>
      </c>
      <c r="T97" s="103">
        <f>IF(ISERROR(VLOOKUP($A97,'SegEnds_NonXtal_BW#'!$A:$Z,14,FALSE)+VLOOKUP($A97,A:AL,19,FALSE)-50),"-",(VLOOKUP($A97,'SegEnds_NonXtal_BW#'!$A:$Z,14,FALSE)+VLOOKUP($A97,A:AL,19,FALSE)-50))</f>
        <v>147</v>
      </c>
      <c r="U97" s="9">
        <f>IF(ISERROR(VLOOKUP($A97,'SegEnds_NonXtal_BW#'!$A:$Z,15,FALSE)+VLOOKUP($A97,A:AL,22,FALSE)-50),"-",VLOOKUP($A97,'SegEnds_NonXtal_BW#'!$A:$Z,15,FALSE)+VLOOKUP($A97,A:AL,22,FALSE)-50)</f>
        <v>148</v>
      </c>
      <c r="V97" s="3">
        <v>160</v>
      </c>
      <c r="W97" s="3">
        <f>IF(ISERROR(VLOOKUP($A97,'SegEnds_NonXtal_BW#'!$A:$Z,16,FALSE)+VLOOKUP($A97,A:AL,22,FALSE)-50),"-",(VLOOKUP($A97,'SegEnds_NonXtal_BW#'!$A:$Z,16,FALSE)+VLOOKUP($A97,A:AL,22,FALSE)-50))</f>
        <v>173</v>
      </c>
      <c r="X97" s="3">
        <f>IF(ISERROR(VLOOKUP($A97,'SegEnds_NonXtal_BW#'!$A:$Z,17,FALSE)+VLOOKUP($A97,A:AL,25,FALSE)-50),"-",(VLOOKUP($A97,'SegEnds_NonXtal_BW#'!$A:$Z,17,FALSE)+VLOOKUP($A97,A:AL,25,FALSE)-50))</f>
        <v>185</v>
      </c>
      <c r="Y97" s="3">
        <v>185</v>
      </c>
      <c r="Z97" s="3">
        <f t="shared" si="65"/>
        <v>187</v>
      </c>
      <c r="AA97" s="3">
        <f>IF(ISERROR(VLOOKUP($A97,'SegEnds_NonXtal_BW#'!$A:$Z,19,FALSE)+VLOOKUP($A97,A:AL,28,FALSE)-50),"-",(VLOOKUP($A97,'SegEnds_NonXtal_BW#'!$A:$Z,19,FALSE)+VLOOKUP($A97,A:AL,28,FALSE)-50))</f>
        <v>189</v>
      </c>
      <c r="AB97" s="3">
        <v>204</v>
      </c>
      <c r="AC97" s="3">
        <f>IF(ISERROR((VLOOKUP($A97,'SegEnds_NonXtal_BW#'!$A:$Z,20,FALSE)+VLOOKUP($A97,A:AL,28,FALSE)-50)),"-",(VLOOKUP($A97,'SegEnds_NonXtal_BW#'!$A:$Z,20,FALSE)+VLOOKUP($A97,A:AL,28,FALSE)-50))</f>
        <v>229</v>
      </c>
      <c r="AD97" s="3">
        <f>IF(ISERROR(VLOOKUP($A97,'SegEnds_NonXtal_BW#'!$A:$Z,21,FALSE)+VLOOKUP($A97,A:AL,31,FALSE)-50),"-",(VLOOKUP($A97,'SegEnds_NonXtal_BW#'!$A:$Z,21,FALSE)+VLOOKUP($A97,A:AL,31,FALSE)-50))</f>
        <v>383</v>
      </c>
      <c r="AE97" s="3">
        <v>409</v>
      </c>
      <c r="AF97" s="3">
        <f>IF(ISERROR((VLOOKUP($A97,'SegEnds_NonXtal_BW#'!$A:$Z,22,FALSE)+VLOOKUP($A97,A:AL,31,FALSE)-50)),"-",(VLOOKUP($A97,'SegEnds_NonXtal_BW#'!$A:$Z,22,FALSE)+VLOOKUP($A97,A:AL,31,FALSE)-50))</f>
        <v>419</v>
      </c>
      <c r="AG97" s="3">
        <f>IF(ISERROR(VLOOKUP($A97,'SegEnds_NonXtal_BW#'!$A:$Z,23,FALSE)+VLOOKUP($A97,A:AL,34,FALSE)-50),"-",(VLOOKUP($A97,'SegEnds_NonXtal_BW#'!$A:$Z,23,FALSE)+VLOOKUP($A97,A:AL,34,FALSE)-50))</f>
        <v>426</v>
      </c>
      <c r="AH97" s="3">
        <v>445</v>
      </c>
      <c r="AI97" s="3">
        <f>IF(ISERROR((VLOOKUP($A97,'SegEnds_NonXtal_BW#'!$A:$Z,24,FALSE)+VLOOKUP($A97,A:AL,34,FALSE)-50)),"-",(VLOOKUP($A97,'SegEnds_NonXtal_BW#'!$A:$Z,24,FALSE)+VLOOKUP($A97,A:AL,34,FALSE)-50))</f>
        <v>451</v>
      </c>
      <c r="AJ97" s="3">
        <f>IF(ISERROR(VLOOKUP($A97,'SegEnds_NonXtal_BW#'!$A:$Z,25,FALSE)+VLOOKUP($A97,A:AL,37,FALSE)-50),"-",(VLOOKUP($A97,'SegEnds_NonXtal_BW#'!$A:$Z,25,FALSE)+VLOOKUP($A97,A:AL,37,FALSE)-50))</f>
        <v>452</v>
      </c>
      <c r="AK97" s="3">
        <v>455</v>
      </c>
      <c r="AL97" s="3">
        <f>IF(ISERROR((VLOOKUP($A97,'SegEnds_NonXtal_BW#'!$A:$Z,26,FALSE)+VLOOKUP($A97,A:AL,37,FALSE)-50)),"-",(VLOOKUP($A97,'SegEnds_NonXtal_BW#'!$A:$Z,26,FALSE)+VLOOKUP($A97,A:AL,37,FALSE)-50))</f>
        <v>464</v>
      </c>
      <c r="AM97" s="28" t="str">
        <f>VLOOKUP(A97,Classification!A:B,2,FALSE)</f>
        <v>A</v>
      </c>
      <c r="AN97" s="28" t="b">
        <f t="shared" si="59"/>
        <v>1</v>
      </c>
      <c r="AO97" s="3" t="str">
        <f>IF(ISERROR(MATCH(A97,'SegEnds_Xtal_Prot#'!B:B, 0)), "NoXtal", "Xtal")</f>
        <v>NoXtal</v>
      </c>
      <c r="AP97" s="3">
        <f t="shared" si="41"/>
        <v>1</v>
      </c>
      <c r="AQ97" s="3">
        <f t="shared" si="42"/>
        <v>1</v>
      </c>
      <c r="AR97" s="3">
        <f t="shared" si="43"/>
        <v>3</v>
      </c>
      <c r="AS97" s="3">
        <f t="shared" si="44"/>
        <v>1</v>
      </c>
      <c r="AT97" s="3">
        <f t="shared" si="45"/>
        <v>1</v>
      </c>
      <c r="AU97" s="3">
        <f t="shared" si="46"/>
        <v>1</v>
      </c>
      <c r="AV97" s="3">
        <f t="shared" si="47"/>
        <v>12</v>
      </c>
      <c r="AW97" s="3">
        <f t="shared" si="48"/>
        <v>2</v>
      </c>
      <c r="AX97" s="3">
        <f t="shared" si="49"/>
        <v>154</v>
      </c>
      <c r="AY97" s="3">
        <f t="shared" si="50"/>
        <v>7</v>
      </c>
      <c r="AZ97" s="3">
        <f t="shared" si="51"/>
        <v>1</v>
      </c>
      <c r="BA97" s="3">
        <f>IF(ISERROR(LEN(VLOOKUP(A97,Seqs!A:E,2,FALSE))-AL97),"-",LEN(VLOOKUP(A97,Seqs!A:E,2,FALSE))-AL97)</f>
        <v>3</v>
      </c>
      <c r="BB97" s="16">
        <f t="shared" si="52"/>
        <v>28</v>
      </c>
      <c r="BC97" s="9">
        <f t="shared" si="53"/>
        <v>20</v>
      </c>
      <c r="BD97" s="3">
        <f t="shared" si="54"/>
        <v>28</v>
      </c>
      <c r="BE97" s="3">
        <f t="shared" si="55"/>
        <v>205</v>
      </c>
      <c r="BF97" s="3">
        <f>AH97-AE97</f>
        <v>36</v>
      </c>
    </row>
    <row r="98" spans="1:58" s="3" customFormat="1" x14ac:dyDescent="0.2">
      <c r="A98" s="3" t="s">
        <v>194</v>
      </c>
      <c r="B98" s="3" t="str">
        <f>LOWER(VLOOKUP(A98,Xtal_Templ!A:B,2,FALSE))</f>
        <v>adrb2_human</v>
      </c>
      <c r="C98" s="3">
        <f>VLOOKUP($A98,'SegEnds_NonXtal_BW#'!$A:$Z,3,FALSE)+D98-50</f>
        <v>33</v>
      </c>
      <c r="D98" s="3">
        <v>58</v>
      </c>
      <c r="E98" s="3">
        <f>IF(ISERROR(VLOOKUP($A98,'SegEnds_NonXtal_BW#'!$A:$Z,4,FALSE)+VLOOKUP($A98,A:AL,4,FALSE)-50),"-",(VLOOKUP($A98,'SegEnds_NonXtal_BW#'!$A:$Z,4,FALSE)+VLOOKUP($A98,A:AL,4,FALSE)-50))</f>
        <v>68</v>
      </c>
      <c r="F98" s="3">
        <f t="shared" si="62"/>
        <v>69</v>
      </c>
      <c r="G98" s="3">
        <v>71</v>
      </c>
      <c r="H98" s="3">
        <f t="shared" si="63"/>
        <v>72</v>
      </c>
      <c r="I98" s="3">
        <f t="shared" si="64"/>
        <v>73</v>
      </c>
      <c r="J98" s="3">
        <v>87</v>
      </c>
      <c r="K98" s="3">
        <f>VLOOKUP($A98,'SegEnds_NonXtal_BW#'!$A:$Z,8,FALSE)+VLOOKUP($A98,A:AL,10,FALSE)-50</f>
        <v>103</v>
      </c>
      <c r="L98" s="3">
        <f t="shared" si="66"/>
        <v>106</v>
      </c>
      <c r="M98" s="3">
        <v>107</v>
      </c>
      <c r="N98" s="3">
        <f t="shared" si="67"/>
        <v>109</v>
      </c>
      <c r="O98" s="3">
        <f t="shared" si="68"/>
        <v>110</v>
      </c>
      <c r="P98" s="3">
        <v>138</v>
      </c>
      <c r="Q98" s="3">
        <f>VLOOKUP($A98,'SegEnds_NonXtal_BW#'!$A:$Z,12,FALSE)+VLOOKUP($A98,A:AL,16,FALSE)-50</f>
        <v>144</v>
      </c>
      <c r="R98" s="3">
        <f>IF(ISERROR(VLOOKUP($A98,'SegEnds_NonXtal_BW#'!$A:$Z,13,FALSE)+VLOOKUP($A98,A:AL,19,FALSE)-50),"-",VLOOKUP($A98,'SegEnds_NonXtal_BW#'!$A:$Z,13,FALSE)+VLOOKUP($A98,A:AL,19,FALSE)-50)</f>
        <v>145</v>
      </c>
      <c r="S98" s="3">
        <v>145</v>
      </c>
      <c r="T98" s="103">
        <f>IF(ISERROR(VLOOKUP($A98,'SegEnds_NonXtal_BW#'!$A:$Z,14,FALSE)+VLOOKUP($A98,A:AL,19,FALSE)-50),"-",(VLOOKUP($A98,'SegEnds_NonXtal_BW#'!$A:$Z,14,FALSE)+VLOOKUP($A98,A:AL,19,FALSE)-50))</f>
        <v>152</v>
      </c>
      <c r="U98" s="9">
        <f>IF(ISERROR(VLOOKUP($A98,'SegEnds_NonXtal_BW#'!$A:$Z,15,FALSE)+VLOOKUP($A98,A:AL,22,FALSE)-50),"-",VLOOKUP($A98,'SegEnds_NonXtal_BW#'!$A:$Z,15,FALSE)+VLOOKUP($A98,A:AL,22,FALSE)-50)</f>
        <v>153</v>
      </c>
      <c r="V98" s="3">
        <v>165</v>
      </c>
      <c r="W98" s="3">
        <f>IF(ISERROR(VLOOKUP($A98,'SegEnds_NonXtal_BW#'!$A:$Z,16,FALSE)+VLOOKUP($A98,A:AL,22,FALSE)-50),"-",(VLOOKUP($A98,'SegEnds_NonXtal_BW#'!$A:$Z,16,FALSE)+VLOOKUP($A98,A:AL,22,FALSE)-50))</f>
        <v>179</v>
      </c>
      <c r="X98" s="3">
        <f>IF(ISERROR(VLOOKUP($A98,'SegEnds_NonXtal_BW#'!$A:$Z,17,FALSE)+VLOOKUP($A98,A:AL,25,FALSE)-50),"-",(VLOOKUP($A98,'SegEnds_NonXtal_BW#'!$A:$Z,17,FALSE)+VLOOKUP($A98,A:AL,25,FALSE)-50))</f>
        <v>217</v>
      </c>
      <c r="Y98" s="3">
        <v>217</v>
      </c>
      <c r="Z98" s="3">
        <f t="shared" si="65"/>
        <v>219</v>
      </c>
      <c r="AA98" s="3">
        <f>IF(ISERROR(VLOOKUP($A98,'SegEnds_NonXtal_BW#'!$A:$Z,19,FALSE)+VLOOKUP($A98,A:AL,28,FALSE)-50),"-",(VLOOKUP($A98,'SegEnds_NonXtal_BW#'!$A:$Z,19,FALSE)+VLOOKUP($A98,A:AL,28,FALSE)-50))</f>
        <v>222</v>
      </c>
      <c r="AB98" s="3">
        <v>237</v>
      </c>
      <c r="AC98" s="3">
        <f>IF(ISERROR((VLOOKUP($A98,'SegEnds_NonXtal_BW#'!$A:$Z,20,FALSE)+VLOOKUP($A98,A:AL,28,FALSE)-50)),"-",(VLOOKUP($A98,'SegEnds_NonXtal_BW#'!$A:$Z,20,FALSE)+VLOOKUP($A98,A:AL,28,FALSE)-50))</f>
        <v>263</v>
      </c>
      <c r="AD98" s="3">
        <f>IF(ISERROR(VLOOKUP($A98,'SegEnds_NonXtal_BW#'!$A:$Z,21,FALSE)+VLOOKUP($A98,A:AL,31,FALSE)-50),"-",(VLOOKUP($A98,'SegEnds_NonXtal_BW#'!$A:$Z,21,FALSE)+VLOOKUP($A98,A:AL,31,FALSE)-50))</f>
        <v>285</v>
      </c>
      <c r="AE98" s="3">
        <v>311</v>
      </c>
      <c r="AF98" s="3">
        <f>IF(ISERROR((VLOOKUP($A98,'SegEnds_NonXtal_BW#'!$A:$Z,22,FALSE)+VLOOKUP($A98,A:AL,31,FALSE)-50)),"-",(VLOOKUP($A98,'SegEnds_NonXtal_BW#'!$A:$Z,22,FALSE)+VLOOKUP($A98,A:AL,31,FALSE)-50))</f>
        <v>325</v>
      </c>
      <c r="AG98" s="3">
        <f>IF(ISERROR(VLOOKUP($A98,'SegEnds_NonXtal_BW#'!$A:$Z,23,FALSE)+VLOOKUP($A98,A:AL,34,FALSE)-50),"-",(VLOOKUP($A98,'SegEnds_NonXtal_BW#'!$A:$Z,23,FALSE)+VLOOKUP($A98,A:AL,34,FALSE)-50))</f>
        <v>330</v>
      </c>
      <c r="AH98" s="3">
        <v>356</v>
      </c>
      <c r="AI98" s="3">
        <v>362</v>
      </c>
      <c r="AJ98" s="3">
        <f>IF(ISERROR(VLOOKUP($A98,'SegEnds_NonXtal_BW#'!$A:$Z,25,FALSE)+VLOOKUP($A98,A:AL,37,FALSE)-50),"-",(VLOOKUP($A98,'SegEnds_NonXtal_BW#'!$A:$Z,25,FALSE)+VLOOKUP($A98,A:AL,37,FALSE)-50))</f>
        <v>363</v>
      </c>
      <c r="AK98" s="3">
        <v>366</v>
      </c>
      <c r="AL98" s="3">
        <f>IF(ISERROR((VLOOKUP($A98,'SegEnds_NonXtal_BW#'!$A:$Z,26,FALSE)+VLOOKUP($A98,A:AL,37,FALSE)-50)),"-",(VLOOKUP($A98,'SegEnds_NonXtal_BW#'!$A:$Z,26,FALSE)+VLOOKUP($A98,A:AL,37,FALSE)-50))</f>
        <v>375</v>
      </c>
      <c r="AM98" s="28" t="str">
        <f>VLOOKUP(A98,Classification!A:B,2,FALSE)</f>
        <v>A</v>
      </c>
      <c r="AN98" s="28" t="b">
        <f t="shared" si="59"/>
        <v>1</v>
      </c>
      <c r="AO98" s="3" t="str">
        <f>IF(ISERROR(MATCH(A98,'SegEnds_Xtal_Prot#'!B:B, 0)), "NoXtal", "Xtal")</f>
        <v>NoXtal</v>
      </c>
      <c r="AP98" s="3">
        <f t="shared" si="41"/>
        <v>1</v>
      </c>
      <c r="AQ98" s="3">
        <f t="shared" si="42"/>
        <v>1</v>
      </c>
      <c r="AR98" s="3">
        <f t="shared" si="43"/>
        <v>3</v>
      </c>
      <c r="AS98" s="3">
        <f t="shared" si="44"/>
        <v>1</v>
      </c>
      <c r="AT98" s="3">
        <f t="shared" si="45"/>
        <v>1</v>
      </c>
      <c r="AU98" s="3">
        <f t="shared" si="46"/>
        <v>1</v>
      </c>
      <c r="AV98" s="3">
        <f t="shared" si="47"/>
        <v>38</v>
      </c>
      <c r="AW98" s="3">
        <f t="shared" si="48"/>
        <v>3</v>
      </c>
      <c r="AX98" s="3">
        <f t="shared" si="49"/>
        <v>22</v>
      </c>
      <c r="AY98" s="3">
        <f t="shared" si="50"/>
        <v>5</v>
      </c>
      <c r="AZ98" s="3">
        <f t="shared" si="51"/>
        <v>1</v>
      </c>
      <c r="BA98" s="3">
        <f>IF(ISERROR(LEN(VLOOKUP(A98,Seqs!A:E,2,FALSE))-AL98),"-",LEN(VLOOKUP(A98,Seqs!A:E,2,FALSE))-AL98)</f>
        <v>102</v>
      </c>
      <c r="BB98" s="16">
        <f t="shared" si="52"/>
        <v>29</v>
      </c>
      <c r="BC98" s="9">
        <f t="shared" si="53"/>
        <v>20</v>
      </c>
      <c r="BD98" s="3">
        <f t="shared" si="54"/>
        <v>29</v>
      </c>
      <c r="BE98" s="3">
        <f t="shared" si="55"/>
        <v>74</v>
      </c>
    </row>
    <row r="99" spans="1:58" s="3" customFormat="1" x14ac:dyDescent="0.2">
      <c r="A99" s="3" t="s">
        <v>195</v>
      </c>
      <c r="B99" s="3" t="str">
        <f>LOWER(VLOOKUP(A99,Xtal_Templ!A:B,2,FALSE))</f>
        <v>ednrb_human</v>
      </c>
      <c r="C99" s="3">
        <f>VLOOKUP($A99,'SegEnds_NonXtal_BW#'!$A:$Z,3,FALSE)+D99-50</f>
        <v>70</v>
      </c>
      <c r="D99" s="3">
        <v>98</v>
      </c>
      <c r="E99" s="3">
        <f>IF(ISERROR(VLOOKUP($A99,'SegEnds_NonXtal_BW#'!$A:$Z,4,FALSE)+VLOOKUP($A99,A:AL,4,FALSE)-50),"-",(VLOOKUP($A99,'SegEnds_NonXtal_BW#'!$A:$Z,4,FALSE)+VLOOKUP($A99,A:AL,4,FALSE)-50))</f>
        <v>108</v>
      </c>
      <c r="F99" s="3">
        <f t="shared" si="62"/>
        <v>109</v>
      </c>
      <c r="G99" s="3">
        <v>111</v>
      </c>
      <c r="H99" s="3">
        <v>113</v>
      </c>
      <c r="I99" s="3">
        <f t="shared" si="64"/>
        <v>114</v>
      </c>
      <c r="J99" s="3">
        <v>126</v>
      </c>
      <c r="K99" s="3">
        <f>VLOOKUP($A99,'SegEnds_NonXtal_BW#'!$A:$Z,8,FALSE)+VLOOKUP($A99,A:AL,10,FALSE)-50</f>
        <v>143</v>
      </c>
      <c r="L99" s="3">
        <f t="shared" si="66"/>
        <v>145</v>
      </c>
      <c r="M99" s="3">
        <v>146</v>
      </c>
      <c r="N99" s="3">
        <f t="shared" si="67"/>
        <v>148</v>
      </c>
      <c r="O99" s="3">
        <f t="shared" si="68"/>
        <v>149</v>
      </c>
      <c r="P99" s="3">
        <v>183</v>
      </c>
      <c r="Q99" s="3">
        <f>VLOOKUP($A99,'SegEnds_NonXtal_BW#'!$A:$Z,12,FALSE)+VLOOKUP($A99,A:AL,16,FALSE)-50</f>
        <v>189</v>
      </c>
      <c r="R99" s="3">
        <f>IF(ISERROR(VLOOKUP($A99,'SegEnds_NonXtal_BW#'!$A:$Z,13,FALSE)+VLOOKUP($A99,A:AL,19,FALSE)-50),"-",VLOOKUP($A99,'SegEnds_NonXtal_BW#'!$A:$Z,13,FALSE)+VLOOKUP($A99,A:AL,19,FALSE)-50)</f>
        <v>190</v>
      </c>
      <c r="S99" s="3">
        <v>190</v>
      </c>
      <c r="T99" s="103">
        <f>IF(ISERROR(VLOOKUP($A99,'SegEnds_NonXtal_BW#'!$A:$Z,14,FALSE)+VLOOKUP($A99,A:AL,19,FALSE)-50),"-",(VLOOKUP($A99,'SegEnds_NonXtal_BW#'!$A:$Z,14,FALSE)+VLOOKUP($A99,A:AL,19,FALSE)-50))</f>
        <v>197</v>
      </c>
      <c r="U99" s="9">
        <f>IF(ISERROR(VLOOKUP($A99,'SegEnds_NonXtal_BW#'!$A:$Z,15,FALSE)+VLOOKUP($A99,A:AL,22,FALSE)-50),"-",VLOOKUP($A99,'SegEnds_NonXtal_BW#'!$A:$Z,15,FALSE)+VLOOKUP($A99,A:AL,22,FALSE)-50)</f>
        <v>198</v>
      </c>
      <c r="V99" s="3">
        <v>210</v>
      </c>
      <c r="W99" s="3">
        <f>IF(ISERROR(VLOOKUP($A99,'SegEnds_NonXtal_BW#'!$A:$Z,16,FALSE)+VLOOKUP($A99,A:AL,22,FALSE)-50),"-",(VLOOKUP($A99,'SegEnds_NonXtal_BW#'!$A:$Z,16,FALSE)+VLOOKUP($A99,A:AL,22,FALSE)-50))</f>
        <v>224</v>
      </c>
      <c r="X99" s="3">
        <f>IF(ISERROR(VLOOKUP($A99,'SegEnds_NonXtal_BW#'!$A:$Z,17,FALSE)+VLOOKUP($A99,A:AL,25,FALSE)-50),"-",(VLOOKUP($A99,'SegEnds_NonXtal_BW#'!$A:$Z,17,FALSE)+VLOOKUP($A99,A:AL,25,FALSE)-50))</f>
        <v>239</v>
      </c>
      <c r="Y99" s="3">
        <v>239</v>
      </c>
      <c r="Z99" s="3">
        <f t="shared" si="65"/>
        <v>241</v>
      </c>
      <c r="AA99" s="3">
        <f>IF(ISERROR(VLOOKUP($A99,'SegEnds_NonXtal_BW#'!$A:$Z,19,FALSE)+VLOOKUP($A99,A:AL,28,FALSE)-50),"-",(VLOOKUP($A99,'SegEnds_NonXtal_BW#'!$A:$Z,19,FALSE)+VLOOKUP($A99,A:AL,28,FALSE)-50))</f>
        <v>246</v>
      </c>
      <c r="AB99" s="3">
        <v>267</v>
      </c>
      <c r="AC99" s="3">
        <f>IF(ISERROR((VLOOKUP($A99,'SegEnds_NonXtal_BW#'!$A:$Z,20,FALSE)+VLOOKUP($A99,A:AL,28,FALSE)-50)),"-",(VLOOKUP($A99,'SegEnds_NonXtal_BW#'!$A:$Z,20,FALSE)+VLOOKUP($A99,A:AL,28,FALSE)-50))</f>
        <v>289</v>
      </c>
      <c r="AD99" s="3">
        <f>IF(ISERROR(VLOOKUP($A99,'SegEnds_NonXtal_BW#'!$A:$Z,21,FALSE)+VLOOKUP($A99,A:AL,31,FALSE)-50),"-",(VLOOKUP($A99,'SegEnds_NonXtal_BW#'!$A:$Z,21,FALSE)+VLOOKUP($A99,A:AL,31,FALSE)-50))</f>
        <v>295</v>
      </c>
      <c r="AE99" s="3">
        <v>321</v>
      </c>
      <c r="AF99" s="3">
        <f>IF(ISERROR((VLOOKUP($A99,'SegEnds_NonXtal_BW#'!$A:$Z,22,FALSE)+VLOOKUP($A99,A:AL,31,FALSE)-50)),"-",(VLOOKUP($A99,'SegEnds_NonXtal_BW#'!$A:$Z,22,FALSE)+VLOOKUP($A99,A:AL,31,FALSE)-50))</f>
        <v>333</v>
      </c>
      <c r="AG99" s="3">
        <f>IF(ISERROR(VLOOKUP($A99,'SegEnds_NonXtal_BW#'!$A:$Z,23,FALSE)+VLOOKUP($A99,A:AL,34,FALSE)-50),"-",(VLOOKUP($A99,'SegEnds_NonXtal_BW#'!$A:$Z,23,FALSE)+VLOOKUP($A99,A:AL,34,FALSE)-50))</f>
        <v>340</v>
      </c>
      <c r="AH99" s="3">
        <v>366</v>
      </c>
      <c r="AI99" s="3">
        <f>IF(ISERROR((VLOOKUP($A99,'SegEnds_NonXtal_BW#'!$A:$Z,24,FALSE)+VLOOKUP($A99,A:AL,34,FALSE)-50)),"-",(VLOOKUP($A99,'SegEnds_NonXtal_BW#'!$A:$Z,24,FALSE)+VLOOKUP($A99,A:AL,34,FALSE)-50))</f>
        <v>372</v>
      </c>
      <c r="AJ99" s="3">
        <f>IF(ISERROR(VLOOKUP($A99,'SegEnds_NonXtal_BW#'!$A:$Z,25,FALSE)+VLOOKUP($A99,A:AL,37,FALSE)-50),"-",(VLOOKUP($A99,'SegEnds_NonXtal_BW#'!$A:$Z,25,FALSE)+VLOOKUP($A99,A:AL,37,FALSE)-50))</f>
        <v>373</v>
      </c>
      <c r="AK99" s="3">
        <v>376</v>
      </c>
      <c r="AL99" s="3">
        <f>IF(ISERROR((VLOOKUP($A99,'SegEnds_NonXtal_BW#'!$A:$Z,26,FALSE)+VLOOKUP($A99,A:AL,37,FALSE)-50)),"-",(VLOOKUP($A99,'SegEnds_NonXtal_BW#'!$A:$Z,26,FALSE)+VLOOKUP($A99,A:AL,37,FALSE)-50))</f>
        <v>386</v>
      </c>
      <c r="AM99" s="28" t="str">
        <f>VLOOKUP(A99,Classification!A:B,2,FALSE)</f>
        <v>A</v>
      </c>
      <c r="AN99" s="28" t="b">
        <f t="shared" si="59"/>
        <v>1</v>
      </c>
      <c r="AO99" s="3" t="str">
        <f>IF(ISERROR(MATCH(A99,'SegEnds_Xtal_Prot#'!B:B, 0)), "NoXtal", "Xtal")</f>
        <v>NoXtal</v>
      </c>
      <c r="AP99" s="3">
        <f t="shared" si="41"/>
        <v>1</v>
      </c>
      <c r="AQ99" s="3">
        <f t="shared" si="42"/>
        <v>1</v>
      </c>
      <c r="AR99" s="3">
        <f t="shared" si="43"/>
        <v>2</v>
      </c>
      <c r="AS99" s="3">
        <f t="shared" si="44"/>
        <v>1</v>
      </c>
      <c r="AT99" s="3">
        <f t="shared" si="45"/>
        <v>1</v>
      </c>
      <c r="AU99" s="3">
        <f t="shared" si="46"/>
        <v>1</v>
      </c>
      <c r="AV99" s="3">
        <f t="shared" si="47"/>
        <v>15</v>
      </c>
      <c r="AW99" s="3">
        <f t="shared" si="48"/>
        <v>5</v>
      </c>
      <c r="AX99" s="3">
        <f t="shared" si="49"/>
        <v>6</v>
      </c>
      <c r="AY99" s="3">
        <f t="shared" si="50"/>
        <v>7</v>
      </c>
      <c r="AZ99" s="3">
        <f t="shared" si="51"/>
        <v>1</v>
      </c>
      <c r="BA99" s="3">
        <f>IF(ISERROR(LEN(VLOOKUP(A99,Seqs!A:E,2,FALSE))-AL99),"-",LEN(VLOOKUP(A99,Seqs!A:E,2,FALSE))-AL99)</f>
        <v>41</v>
      </c>
      <c r="BB99" s="16">
        <f t="shared" si="52"/>
        <v>28</v>
      </c>
      <c r="BC99" s="9">
        <f t="shared" si="53"/>
        <v>20</v>
      </c>
      <c r="BD99" s="3">
        <f t="shared" si="54"/>
        <v>28</v>
      </c>
      <c r="BE99" s="3">
        <f t="shared" si="55"/>
        <v>54</v>
      </c>
    </row>
    <row r="100" spans="1:58" s="3" customFormat="1" x14ac:dyDescent="0.2">
      <c r="A100" s="3" t="s">
        <v>196</v>
      </c>
      <c r="B100" s="3" t="str">
        <f>LOWER(VLOOKUP(A100,Xtal_Templ!A:B,2,FALSE))</f>
        <v>ednrb_human</v>
      </c>
      <c r="C100" s="3">
        <f>VLOOKUP($A100,'SegEnds_NonXtal_BW#'!$A:$Z,3,FALSE)+D100-50</f>
        <v>91</v>
      </c>
      <c r="D100" s="3">
        <v>119</v>
      </c>
      <c r="E100" s="3">
        <f>IF(ISERROR(VLOOKUP($A100,'SegEnds_NonXtal_BW#'!$A:$Z,4,FALSE)+VLOOKUP($A100,A:AL,4,FALSE)-50),"-",(VLOOKUP($A100,'SegEnds_NonXtal_BW#'!$A:$Z,4,FALSE)+VLOOKUP($A100,A:AL,4,FALSE)-50))</f>
        <v>129</v>
      </c>
      <c r="F100" s="3">
        <f t="shared" si="62"/>
        <v>130</v>
      </c>
      <c r="G100" s="3">
        <v>132</v>
      </c>
      <c r="H100" s="3">
        <v>134</v>
      </c>
      <c r="I100" s="3">
        <f t="shared" si="64"/>
        <v>135</v>
      </c>
      <c r="J100" s="3">
        <v>147</v>
      </c>
      <c r="K100" s="3">
        <f>VLOOKUP($A100,'SegEnds_NonXtal_BW#'!$A:$Z,8,FALSE)+VLOOKUP($A100,A:AL,10,FALSE)-50</f>
        <v>164</v>
      </c>
      <c r="L100" s="3">
        <f t="shared" si="66"/>
        <v>166</v>
      </c>
      <c r="M100" s="3">
        <v>167</v>
      </c>
      <c r="N100" s="3">
        <f t="shared" si="67"/>
        <v>169</v>
      </c>
      <c r="O100" s="3">
        <f t="shared" si="68"/>
        <v>170</v>
      </c>
      <c r="P100" s="3">
        <v>199</v>
      </c>
      <c r="Q100" s="3">
        <f>VLOOKUP($A100,'SegEnds_NonXtal_BW#'!$A:$Z,12,FALSE)+VLOOKUP($A100,A:AL,16,FALSE)-50</f>
        <v>205</v>
      </c>
      <c r="R100" s="3">
        <f>IF(ISERROR(VLOOKUP($A100,'SegEnds_NonXtal_BW#'!$A:$Z,13,FALSE)+VLOOKUP($A100,A:AL,19,FALSE)-50),"-",VLOOKUP($A100,'SegEnds_NonXtal_BW#'!$A:$Z,13,FALSE)+VLOOKUP($A100,A:AL,19,FALSE)-50)</f>
        <v>206</v>
      </c>
      <c r="S100" s="3">
        <v>206</v>
      </c>
      <c r="T100" s="103">
        <f>IF(ISERROR(VLOOKUP($A100,'SegEnds_NonXtal_BW#'!$A:$Z,14,FALSE)+VLOOKUP($A100,A:AL,19,FALSE)-50),"-",(VLOOKUP($A100,'SegEnds_NonXtal_BW#'!$A:$Z,14,FALSE)+VLOOKUP($A100,A:AL,19,FALSE)-50))</f>
        <v>213</v>
      </c>
      <c r="U100" s="9">
        <f>IF(ISERROR(VLOOKUP($A100,'SegEnds_NonXtal_BW#'!$A:$Z,15,FALSE)+VLOOKUP($A100,A:AL,22,FALSE)-50),"-",VLOOKUP($A100,'SegEnds_NonXtal_BW#'!$A:$Z,15,FALSE)+VLOOKUP($A100,A:AL,22,FALSE)-50)</f>
        <v>214</v>
      </c>
      <c r="V100" s="3">
        <v>226</v>
      </c>
      <c r="W100" s="3">
        <f>IF(ISERROR(VLOOKUP($A100,'SegEnds_NonXtal_BW#'!$A:$Z,16,FALSE)+VLOOKUP($A100,A:AL,22,FALSE)-50),"-",(VLOOKUP($A100,'SegEnds_NonXtal_BW#'!$A:$Z,16,FALSE)+VLOOKUP($A100,A:AL,22,FALSE)-50))</f>
        <v>240</v>
      </c>
      <c r="X100" s="3">
        <f>IF(ISERROR(VLOOKUP($A100,'SegEnds_NonXtal_BW#'!$A:$Z,17,FALSE)+VLOOKUP($A100,A:AL,25,FALSE)-50),"-",(VLOOKUP($A100,'SegEnds_NonXtal_BW#'!$A:$Z,17,FALSE)+VLOOKUP($A100,A:AL,25,FALSE)-50))</f>
        <v>255</v>
      </c>
      <c r="Y100" s="3">
        <v>255</v>
      </c>
      <c r="Z100" s="3">
        <f t="shared" si="65"/>
        <v>257</v>
      </c>
      <c r="AA100" s="3">
        <f>IF(ISERROR(VLOOKUP($A100,'SegEnds_NonXtal_BW#'!$A:$Z,19,FALSE)+VLOOKUP($A100,A:AL,28,FALSE)-50),"-",(VLOOKUP($A100,'SegEnds_NonXtal_BW#'!$A:$Z,19,FALSE)+VLOOKUP($A100,A:AL,28,FALSE)-50))</f>
        <v>264</v>
      </c>
      <c r="AB100" s="3">
        <v>285</v>
      </c>
      <c r="AC100" s="3">
        <f>IF(ISERROR((VLOOKUP($A100,'SegEnds_NonXtal_BW#'!$A:$Z,20,FALSE)+VLOOKUP($A100,A:AL,28,FALSE)-50)),"-",(VLOOKUP($A100,'SegEnds_NonXtal_BW#'!$A:$Z,20,FALSE)+VLOOKUP($A100,A:AL,28,FALSE)-50))</f>
        <v>307</v>
      </c>
      <c r="AD100" s="3">
        <f>IF(ISERROR(VLOOKUP($A100,'SegEnds_NonXtal_BW#'!$A:$Z,21,FALSE)+VLOOKUP($A100,A:AL,31,FALSE)-50),"-",(VLOOKUP($A100,'SegEnds_NonXtal_BW#'!$A:$Z,21,FALSE)+VLOOKUP($A100,A:AL,31,FALSE)-50))</f>
        <v>312</v>
      </c>
      <c r="AE100" s="3">
        <v>338</v>
      </c>
      <c r="AF100" s="3">
        <f>IF(ISERROR((VLOOKUP($A100,'SegEnds_NonXtal_BW#'!$A:$Z,22,FALSE)+VLOOKUP($A100,A:AL,31,FALSE)-50)),"-",(VLOOKUP($A100,'SegEnds_NonXtal_BW#'!$A:$Z,22,FALSE)+VLOOKUP($A100,A:AL,31,FALSE)-50))</f>
        <v>350</v>
      </c>
      <c r="AG100" s="3">
        <f>IF(ISERROR(VLOOKUP($A100,'SegEnds_NonXtal_BW#'!$A:$Z,23,FALSE)+VLOOKUP($A100,A:AL,34,FALSE)-50),"-",(VLOOKUP($A100,'SegEnds_NonXtal_BW#'!$A:$Z,23,FALSE)+VLOOKUP($A100,A:AL,34,FALSE)-50))</f>
        <v>357</v>
      </c>
      <c r="AH100" s="3">
        <v>383</v>
      </c>
      <c r="AI100" s="3">
        <f>IF(ISERROR((VLOOKUP($A100,'SegEnds_NonXtal_BW#'!$A:$Z,24,FALSE)+VLOOKUP($A100,A:AL,34,FALSE)-50)),"-",(VLOOKUP($A100,'SegEnds_NonXtal_BW#'!$A:$Z,24,FALSE)+VLOOKUP($A100,A:AL,34,FALSE)-50))</f>
        <v>389</v>
      </c>
      <c r="AJ100" s="3">
        <f>IF(ISERROR(VLOOKUP($A100,'SegEnds_NonXtal_BW#'!$A:$Z,25,FALSE)+VLOOKUP($A100,A:AL,37,FALSE)-50),"-",(VLOOKUP($A100,'SegEnds_NonXtal_BW#'!$A:$Z,25,FALSE)+VLOOKUP($A100,A:AL,37,FALSE)-50))</f>
        <v>390</v>
      </c>
      <c r="AK100" s="3">
        <v>393</v>
      </c>
      <c r="AL100" s="3">
        <f>IF(ISERROR((VLOOKUP($A100,'SegEnds_NonXtal_BW#'!$A:$Z,26,FALSE)+VLOOKUP($A100,A:AL,37,FALSE)-50)),"-",(VLOOKUP($A100,'SegEnds_NonXtal_BW#'!$A:$Z,26,FALSE)+VLOOKUP($A100,A:AL,37,FALSE)-50))</f>
        <v>403</v>
      </c>
      <c r="AM100" s="28" t="str">
        <f>VLOOKUP(A100,Classification!A:B,2,FALSE)</f>
        <v>A</v>
      </c>
      <c r="AN100" s="28" t="b">
        <f t="shared" si="59"/>
        <v>1</v>
      </c>
      <c r="AO100" s="3" t="str">
        <f>IF(ISERROR(MATCH(A100,'SegEnds_Xtal_Prot#'!B:B, 0)), "NoXtal", "Xtal")</f>
        <v>Xtal</v>
      </c>
      <c r="AP100" s="3">
        <f t="shared" si="41"/>
        <v>1</v>
      </c>
      <c r="AQ100" s="3">
        <f t="shared" si="42"/>
        <v>1</v>
      </c>
      <c r="AR100" s="3">
        <f t="shared" si="43"/>
        <v>2</v>
      </c>
      <c r="AS100" s="3">
        <f t="shared" si="44"/>
        <v>1</v>
      </c>
      <c r="AT100" s="3">
        <f t="shared" si="45"/>
        <v>1</v>
      </c>
      <c r="AU100" s="3">
        <f t="shared" si="46"/>
        <v>1</v>
      </c>
      <c r="AV100" s="3">
        <f t="shared" si="47"/>
        <v>15</v>
      </c>
      <c r="AW100" s="3">
        <f t="shared" si="48"/>
        <v>7</v>
      </c>
      <c r="AX100" s="3">
        <f t="shared" si="49"/>
        <v>5</v>
      </c>
      <c r="AY100" s="3">
        <f t="shared" si="50"/>
        <v>7</v>
      </c>
      <c r="AZ100" s="3">
        <f t="shared" si="51"/>
        <v>1</v>
      </c>
      <c r="BA100" s="3">
        <f>IF(ISERROR(LEN(VLOOKUP(A100,Seqs!A:E,2,FALSE))-AL100),"-",LEN(VLOOKUP(A100,Seqs!A:E,2,FALSE))-AL100)</f>
        <v>39</v>
      </c>
      <c r="BB100" s="16">
        <f t="shared" si="52"/>
        <v>28</v>
      </c>
      <c r="BC100" s="9">
        <f t="shared" si="53"/>
        <v>20</v>
      </c>
      <c r="BD100" s="3">
        <f t="shared" si="54"/>
        <v>28</v>
      </c>
      <c r="BE100" s="3">
        <f t="shared" si="55"/>
        <v>53</v>
      </c>
    </row>
    <row r="101" spans="1:58" s="3" customFormat="1" x14ac:dyDescent="0.2">
      <c r="A101" s="3" t="s">
        <v>197</v>
      </c>
      <c r="B101" s="3" t="str">
        <f>LOWER(VLOOKUP(A101,Xtal_Templ!A:B,2,FALSE))</f>
        <v>ednrb_human</v>
      </c>
      <c r="C101" s="3">
        <f>VLOOKUP($A101,'SegEnds_NonXtal_BW#'!$A:$Z,3,FALSE)+D101-50</f>
        <v>120</v>
      </c>
      <c r="D101" s="3">
        <v>148</v>
      </c>
      <c r="E101" s="3">
        <f>IF(ISERROR(VLOOKUP($A101,'SegEnds_NonXtal_BW#'!$A:$Z,4,FALSE)+VLOOKUP($A101,A:AL,4,FALSE)-50),"-",(VLOOKUP($A101,'SegEnds_NonXtal_BW#'!$A:$Z,4,FALSE)+VLOOKUP($A101,A:AL,4,FALSE)-50))</f>
        <v>158</v>
      </c>
      <c r="F101" s="3">
        <f t="shared" si="62"/>
        <v>159</v>
      </c>
      <c r="G101" s="3">
        <v>161</v>
      </c>
      <c r="H101" s="3">
        <f>G101+1</f>
        <v>162</v>
      </c>
      <c r="I101" s="3">
        <f t="shared" si="64"/>
        <v>163</v>
      </c>
      <c r="J101" s="3">
        <v>176</v>
      </c>
      <c r="K101" s="3">
        <f>VLOOKUP($A101,'SegEnds_NonXtal_BW#'!$A:$Z,8,FALSE)+VLOOKUP($A101,A:AL,10,FALSE)-50</f>
        <v>193</v>
      </c>
      <c r="L101" s="3" t="str">
        <f>IF(ISERROR(VLOOKUP($A101,'SegEnds_NonXtal_BW#'!$A:$Z,9,FALSE)+VLOOKUP($A101,A:AL,13,FALSE)-50),"-",(VLOOKUP($A101,'SegEnds_NonXtal_BW#'!$A:$Z,9,FALSE)+VLOOKUP($A101,A:AL,13,FALSE)-50))</f>
        <v>-</v>
      </c>
      <c r="M101" s="3" t="s">
        <v>23</v>
      </c>
      <c r="N101" s="3" t="str">
        <f>IF(ISERROR(VLOOKUP($A101,'SegEnds_NonXtal_BW#'!$A:$Z,10,FALSE)+VLOOKUP($A101,A:AL,13,FALSE)-50),"-",(VLOOKUP($A101,'SegEnds_NonXtal_BW#'!$A:$Z,10,FALSE)+VLOOKUP($A101,A:AL,13,FALSE)-50))</f>
        <v>-</v>
      </c>
      <c r="O101" s="3">
        <f>VLOOKUP($A101,'SegEnds_NonXtal_BW#'!$A:$Z,11,FALSE)+VLOOKUP($A101,A:AL,16,FALSE)-50</f>
        <v>199</v>
      </c>
      <c r="P101" s="3">
        <v>228</v>
      </c>
      <c r="Q101" s="3">
        <f>VLOOKUP($A101,'SegEnds_NonXtal_BW#'!$A:$Z,12,FALSE)+VLOOKUP($A101,A:AL,16,FALSE)-50</f>
        <v>234</v>
      </c>
      <c r="R101" s="3">
        <f>IF(ISERROR(VLOOKUP($A101,'SegEnds_NonXtal_BW#'!$A:$Z,13,FALSE)+VLOOKUP($A101,A:AL,19,FALSE)-50),"-",VLOOKUP($A101,'SegEnds_NonXtal_BW#'!$A:$Z,13,FALSE)+VLOOKUP($A101,A:AL,19,FALSE)-50)</f>
        <v>236</v>
      </c>
      <c r="S101" s="3">
        <v>236</v>
      </c>
      <c r="T101" s="103">
        <f>IF(ISERROR(VLOOKUP($A101,'SegEnds_NonXtal_BW#'!$A:$Z,14,FALSE)+VLOOKUP($A101,A:AL,19,FALSE)-50),"-",(VLOOKUP($A101,'SegEnds_NonXtal_BW#'!$A:$Z,14,FALSE)+VLOOKUP($A101,A:AL,19,FALSE)-50))</f>
        <v>243</v>
      </c>
      <c r="U101" s="9">
        <f>IF(ISERROR(VLOOKUP($A101,'SegEnds_NonXtal_BW#'!$A:$Z,15,FALSE)+VLOOKUP($A101,A:AL,22,FALSE)-50),"-",VLOOKUP($A101,'SegEnds_NonXtal_BW#'!$A:$Z,15,FALSE)+VLOOKUP($A101,A:AL,22,FALSE)-50)</f>
        <v>244</v>
      </c>
      <c r="V101" s="3">
        <v>256</v>
      </c>
      <c r="W101" s="3">
        <f>IF(ISERROR(VLOOKUP($A101,'SegEnds_NonXtal_BW#'!$A:$Z,16,FALSE)+VLOOKUP($A101,A:AL,22,FALSE)-50),"-",(VLOOKUP($A101,'SegEnds_NonXtal_BW#'!$A:$Z,16,FALSE)+VLOOKUP($A101,A:AL,22,FALSE)-50))</f>
        <v>270</v>
      </c>
      <c r="X101" s="3">
        <f>IF(ISERROR(VLOOKUP($A101,'SegEnds_NonXtal_BW#'!$A:$Z,17,FALSE)+VLOOKUP($A101,A:AL,25,FALSE)-50),"-",(VLOOKUP($A101,'SegEnds_NonXtal_BW#'!$A:$Z,17,FALSE)+VLOOKUP($A101,A:AL,25,FALSE)-50))</f>
        <v>286</v>
      </c>
      <c r="Y101" s="3">
        <v>286</v>
      </c>
      <c r="Z101" s="3">
        <f t="shared" si="65"/>
        <v>288</v>
      </c>
      <c r="AA101" s="3">
        <f>IF(ISERROR(VLOOKUP($A101,'SegEnds_NonXtal_BW#'!$A:$Z,19,FALSE)+VLOOKUP($A101,A:AL,28,FALSE)-50),"-",(VLOOKUP($A101,'SegEnds_NonXtal_BW#'!$A:$Z,19,FALSE)+VLOOKUP($A101,A:AL,28,FALSE)-50))</f>
        <v>300</v>
      </c>
      <c r="AB101" s="3">
        <v>321</v>
      </c>
      <c r="AC101" s="3">
        <f>IF(ISERROR((VLOOKUP($A101,'SegEnds_NonXtal_BW#'!$A:$Z,20,FALSE)+VLOOKUP($A101,A:AL,28,FALSE)-50)),"-",(VLOOKUP($A101,'SegEnds_NonXtal_BW#'!$A:$Z,20,FALSE)+VLOOKUP($A101,A:AL,28,FALSE)-50))</f>
        <v>343</v>
      </c>
      <c r="AD101" s="3">
        <f>IF(ISERROR(VLOOKUP($A101,'SegEnds_NonXtal_BW#'!$A:$Z,21,FALSE)+VLOOKUP($A101,A:AL,31,FALSE)-50),"-",(VLOOKUP($A101,'SegEnds_NonXtal_BW#'!$A:$Z,21,FALSE)+VLOOKUP($A101,A:AL,31,FALSE)-50))</f>
        <v>348</v>
      </c>
      <c r="AE101" s="3">
        <v>374</v>
      </c>
      <c r="AF101" s="3">
        <f>IF(ISERROR((VLOOKUP($A101,'SegEnds_NonXtal_BW#'!$A:$Z,22,FALSE)+VLOOKUP($A101,A:AL,31,FALSE)-50)),"-",(VLOOKUP($A101,'SegEnds_NonXtal_BW#'!$A:$Z,22,FALSE)+VLOOKUP($A101,A:AL,31,FALSE)-50))</f>
        <v>385</v>
      </c>
      <c r="AG101" s="3">
        <f>IF(ISERROR(VLOOKUP($A101,'SegEnds_NonXtal_BW#'!$A:$Z,23,FALSE)+VLOOKUP($A101,A:AL,34,FALSE)-50),"-",(VLOOKUP($A101,'SegEnds_NonXtal_BW#'!$A:$Z,23,FALSE)+VLOOKUP($A101,A:AL,34,FALSE)-50))</f>
        <v>391</v>
      </c>
      <c r="AH101" s="3">
        <v>413</v>
      </c>
      <c r="AI101" s="3">
        <f>IF(ISERROR((VLOOKUP($A101,'SegEnds_NonXtal_BW#'!$A:$Z,24,FALSE)+VLOOKUP($A101,A:AL,34,FALSE)-50)),"-",(VLOOKUP($A101,'SegEnds_NonXtal_BW#'!$A:$Z,24,FALSE)+VLOOKUP($A101,A:AL,34,FALSE)-50))</f>
        <v>419</v>
      </c>
      <c r="AJ101" s="3">
        <f>IF(ISERROR(VLOOKUP($A101,'SegEnds_NonXtal_BW#'!$A:$Z,25,FALSE)+VLOOKUP($A101,A:AL,37,FALSE)-50),"-",(VLOOKUP($A101,'SegEnds_NonXtal_BW#'!$A:$Z,25,FALSE)+VLOOKUP($A101,A:AL,37,FALSE)-50))</f>
        <v>420</v>
      </c>
      <c r="AK101" s="3">
        <v>423</v>
      </c>
      <c r="AL101" s="3">
        <f>IF(ISERROR((VLOOKUP($A101,'SegEnds_NonXtal_BW#'!$A:$Z,26,FALSE)+VLOOKUP($A101,A:AL,37,FALSE)-50)),"-",(VLOOKUP($A101,'SegEnds_NonXtal_BW#'!$A:$Z,26,FALSE)+VLOOKUP($A101,A:AL,37,FALSE)-50))</f>
        <v>433</v>
      </c>
      <c r="AM101" s="28" t="str">
        <f>VLOOKUP(A101,Classification!A:B,2,FALSE)</f>
        <v>A</v>
      </c>
      <c r="AN101" s="28" t="b">
        <f t="shared" si="59"/>
        <v>1</v>
      </c>
      <c r="AO101" s="3" t="str">
        <f>IF(ISERROR(MATCH(A101,'SegEnds_Xtal_Prot#'!B:B, 0)), "NoXtal", "Xtal")</f>
        <v>NoXtal</v>
      </c>
      <c r="AP101" s="3">
        <f t="shared" si="41"/>
        <v>1</v>
      </c>
      <c r="AQ101" s="3">
        <f t="shared" si="42"/>
        <v>1</v>
      </c>
      <c r="AR101" s="3" t="str">
        <f t="shared" si="43"/>
        <v>-</v>
      </c>
      <c r="AS101" s="3" t="str">
        <f t="shared" si="44"/>
        <v>-</v>
      </c>
      <c r="AT101" s="3">
        <f t="shared" si="45"/>
        <v>2</v>
      </c>
      <c r="AU101" s="3">
        <f t="shared" si="46"/>
        <v>1</v>
      </c>
      <c r="AV101" s="3">
        <f t="shared" si="47"/>
        <v>16</v>
      </c>
      <c r="AW101" s="3">
        <f t="shared" si="48"/>
        <v>12</v>
      </c>
      <c r="AX101" s="3">
        <f t="shared" si="49"/>
        <v>5</v>
      </c>
      <c r="AY101" s="3">
        <f t="shared" si="50"/>
        <v>6</v>
      </c>
      <c r="AZ101" s="3">
        <f t="shared" si="51"/>
        <v>1</v>
      </c>
      <c r="BA101" s="3">
        <f>IF(ISERROR(LEN(VLOOKUP(A101,Seqs!A:E,2,FALSE))-AL101),"-",LEN(VLOOKUP(A101,Seqs!A:E,2,FALSE))-AL101)</f>
        <v>48</v>
      </c>
      <c r="BB101" s="16">
        <f t="shared" si="52"/>
        <v>28</v>
      </c>
      <c r="BC101" s="9">
        <f t="shared" si="53"/>
        <v>20</v>
      </c>
      <c r="BD101" s="3">
        <f t="shared" si="54"/>
        <v>28</v>
      </c>
      <c r="BE101" s="3">
        <f t="shared" si="55"/>
        <v>53</v>
      </c>
    </row>
    <row r="102" spans="1:58" s="3" customFormat="1" x14ac:dyDescent="0.2">
      <c r="A102" s="3" t="s">
        <v>1173</v>
      </c>
      <c r="B102" s="3" t="str">
        <f>LOWER(VLOOKUP(A102,Xtal_Templ!A:B,2,FALSE))</f>
        <v>ffar1_human</v>
      </c>
      <c r="C102" s="3">
        <f>VLOOKUP($A102,'SegEnds_NonXtal_BW#'!$A:$Z,3,FALSE)+D102-50</f>
        <v>4</v>
      </c>
      <c r="D102" s="3">
        <v>23</v>
      </c>
      <c r="E102" s="3">
        <f>IF(ISERROR(VLOOKUP($A102,'SegEnds_NonXtal_BW#'!$A:$Z,4,FALSE)+VLOOKUP($A102,A:AL,4,FALSE)-50),"-",(VLOOKUP($A102,'SegEnds_NonXtal_BW#'!$A:$Z,4,FALSE)+VLOOKUP($A102,A:AL,4,FALSE)-50))</f>
        <v>37</v>
      </c>
      <c r="F102" s="3" t="str">
        <f>IF(ISERROR(VLOOKUP($A102,'SegEnds_NonXtal_BW#'!$A:$Z,5,FALSE)+VLOOKUP($A102,A:AL,7,FALSE)-50),"-",(VLOOKUP($A102,'SegEnds_NonXtal_BW#'!$A:$Z,5,FALSE)+VLOOKUP($A102,A:AL,7,FALSE)-50))</f>
        <v>-</v>
      </c>
      <c r="G102" s="3" t="s">
        <v>23</v>
      </c>
      <c r="H102" s="3" t="str">
        <f>IF(ISERROR(VLOOKUP($A102,'SegEnds_NonXtal_BW#'!$A:$Z,6,FALSE)+VLOOKUP($A102,A:AL,7,FALSE)-50),"-",(VLOOKUP($A102,'SegEnds_NonXtal_BW#'!$A:$Z,6,FALSE)+VLOOKUP($A102,A:AL,7,FALSE)-50))</f>
        <v>-</v>
      </c>
      <c r="I102" s="3">
        <f>VLOOKUP($A102,'SegEnds_NonXtal_BW#'!$A:$Z,7,FALSE)+J102-50</f>
        <v>39</v>
      </c>
      <c r="J102" s="3">
        <v>52</v>
      </c>
      <c r="K102" s="3">
        <f>VLOOKUP($A102,'SegEnds_NonXtal_BW#'!$A:$Z,8,FALSE)+VLOOKUP($A102,A:AL,10,FALSE)-50</f>
        <v>69</v>
      </c>
      <c r="L102" s="3">
        <f t="shared" ref="L102:L115" si="69">M102-1</f>
        <v>71</v>
      </c>
      <c r="M102" s="3">
        <v>72</v>
      </c>
      <c r="N102" s="3">
        <f t="shared" ref="N102:N115" si="70">M102+2</f>
        <v>74</v>
      </c>
      <c r="O102" s="3">
        <f t="shared" ref="O102:O115" si="71">N102+1</f>
        <v>75</v>
      </c>
      <c r="P102" s="3">
        <v>104</v>
      </c>
      <c r="Q102" s="3">
        <f>VLOOKUP($A102,'SegEnds_NonXtal_BW#'!$A:$Z,12,FALSE)+VLOOKUP($A102,A:AL,16,FALSE)-50</f>
        <v>110</v>
      </c>
      <c r="R102" s="3">
        <f>IF(ISERROR(VLOOKUP($A102,'SegEnds_NonXtal_BW#'!$A:$Z,13,FALSE)+VLOOKUP($A102,A:AL,19,FALSE)-50),"-",VLOOKUP($A102,'SegEnds_NonXtal_BW#'!$A:$Z,13,FALSE)+VLOOKUP($A102,A:AL,19,FALSE)-50)</f>
        <v>111</v>
      </c>
      <c r="S102" s="3">
        <v>111</v>
      </c>
      <c r="T102" s="103">
        <f>IF(ISERROR(VLOOKUP($A102,'SegEnds_NonXtal_BW#'!$A:$Z,14,FALSE)+VLOOKUP($A102,A:AL,19,FALSE)-50),"-",(VLOOKUP($A102,'SegEnds_NonXtal_BW#'!$A:$Z,14,FALSE)+VLOOKUP($A102,A:AL,19,FALSE)-50))</f>
        <v>118</v>
      </c>
      <c r="U102" s="9">
        <f>IF(ISERROR(VLOOKUP($A102,'SegEnds_NonXtal_BW#'!$A:$Z,15,FALSE)+VLOOKUP($A102,A:AL,22,FALSE)-50),"-",VLOOKUP($A102,'SegEnds_NonXtal_BW#'!$A:$Z,15,FALSE)+VLOOKUP($A102,A:AL,22,FALSE)-50)</f>
        <v>119</v>
      </c>
      <c r="V102" s="3">
        <v>131</v>
      </c>
      <c r="W102" s="3">
        <f>IF(ISERROR(VLOOKUP($A102,'SegEnds_NonXtal_BW#'!$A:$Z,16,FALSE)+VLOOKUP($A102,A:AL,22,FALSE)-50),"-",(VLOOKUP($A102,'SegEnds_NonXtal_BW#'!$A:$Z,16,FALSE)+VLOOKUP($A102,A:AL,22,FALSE)-50))</f>
        <v>146</v>
      </c>
      <c r="X102" s="3">
        <f>IF(ISERROR(VLOOKUP($A102,'SegEnds_NonXtal_BW#'!$A:$Z,17,FALSE)+VLOOKUP($A102,A:AL,25,FALSE)-50),"-",(VLOOKUP($A102,'SegEnds_NonXtal_BW#'!$A:$Z,17,FALSE)+VLOOKUP($A102,A:AL,25,FALSE)-50))</f>
        <v>170</v>
      </c>
      <c r="Y102" s="3">
        <v>170</v>
      </c>
      <c r="Z102" s="3">
        <f t="shared" si="65"/>
        <v>172</v>
      </c>
      <c r="AA102" s="3">
        <f>IF(ISERROR(VLOOKUP($A102,'SegEnds_NonXtal_BW#'!$A:$Z,19,FALSE)+VLOOKUP($A102,A:AL,28,FALSE)-50),"-",(VLOOKUP($A102,'SegEnds_NonXtal_BW#'!$A:$Z,19,FALSE)+VLOOKUP($A102,A:AL,28,FALSE)-50))</f>
        <v>175</v>
      </c>
      <c r="AB102" s="3">
        <v>194</v>
      </c>
      <c r="AC102" s="3">
        <f>IF(ISERROR((VLOOKUP($A102,'SegEnds_NonXtal_BW#'!$A:$Z,20,FALSE)+VLOOKUP($A102,A:AL,28,FALSE)-50)),"-",(VLOOKUP($A102,'SegEnds_NonXtal_BW#'!$A:$Z,20,FALSE)+VLOOKUP($A102,A:AL,28,FALSE)-50))</f>
        <v>211</v>
      </c>
      <c r="AD102" s="3">
        <f>IF(ISERROR(VLOOKUP($A102,'SegEnds_NonXtal_BW#'!$A:$Z,21,FALSE)+VLOOKUP($A102,A:AL,31,FALSE)-50),"-",(VLOOKUP($A102,'SegEnds_NonXtal_BW#'!$A:$Z,21,FALSE)+VLOOKUP($A102,A:AL,31,FALSE)-50))</f>
        <v>217</v>
      </c>
      <c r="AE102" s="3">
        <v>239</v>
      </c>
      <c r="AF102" s="3">
        <f>IF(ISERROR((VLOOKUP($A102,'SegEnds_NonXtal_BW#'!$A:$Z,22,FALSE)+VLOOKUP($A102,A:AL,31,FALSE)-50)),"-",(VLOOKUP($A102,'SegEnds_NonXtal_BW#'!$A:$Z,22,FALSE)+VLOOKUP($A102,A:AL,31,FALSE)-50))</f>
        <v>250</v>
      </c>
      <c r="AG102" s="3">
        <f>IF(ISERROR(VLOOKUP($A102,'SegEnds_NonXtal_BW#'!$A:$Z,23,FALSE)+VLOOKUP($A102,A:AL,34,FALSE)-50),"-",(VLOOKUP($A102,'SegEnds_NonXtal_BW#'!$A:$Z,23,FALSE)+VLOOKUP($A102,A:AL,34,FALSE)-50))</f>
        <v>255</v>
      </c>
      <c r="AH102" s="3">
        <v>273</v>
      </c>
      <c r="AI102" s="3">
        <f>IF(ISERROR((VLOOKUP($A102,'SegEnds_NonXtal_BW#'!$A:$Z,24,FALSE)+VLOOKUP($A102,A:AL,34,FALSE)-50)),"-",(VLOOKUP($A102,'SegEnds_NonXtal_BW#'!$A:$Z,24,FALSE)+VLOOKUP($A102,A:AL,34,FALSE)-50))</f>
        <v>279</v>
      </c>
      <c r="AJ102" s="3">
        <f>IF(ISERROR(VLOOKUP($A102,'SegEnds_NonXtal_BW#'!$A:$Z,25,FALSE)+VLOOKUP($A102,A:AL,37,FALSE)-50),"-",(VLOOKUP($A102,'SegEnds_NonXtal_BW#'!$A:$Z,25,FALSE)+VLOOKUP($A102,A:AL,37,FALSE)-50))</f>
        <v>280</v>
      </c>
      <c r="AK102" s="3">
        <v>283</v>
      </c>
      <c r="AL102" s="3">
        <f>IF(ISERROR((VLOOKUP($A102,'SegEnds_NonXtal_BW#'!$A:$Z,26,FALSE)+VLOOKUP($A102,A:AL,37,FALSE)-50)),"-",(VLOOKUP($A102,'SegEnds_NonXtal_BW#'!$A:$Z,26,FALSE)+VLOOKUP($A102,A:AL,37,FALSE)-50))</f>
        <v>294</v>
      </c>
      <c r="AM102" s="28" t="str">
        <f>VLOOKUP(A102,Classification!A:B,2,FALSE)</f>
        <v>A</v>
      </c>
      <c r="AN102" s="28" t="b">
        <f t="shared" si="59"/>
        <v>1</v>
      </c>
      <c r="AO102" s="3" t="str">
        <f>IF(ISERROR(MATCH(A102,'SegEnds_Xtal_Prot#'!B:B, 0)), "NoXtal", "Xtal")</f>
        <v>Xtal</v>
      </c>
      <c r="AP102" s="3" t="str">
        <f t="shared" si="41"/>
        <v>-</v>
      </c>
      <c r="AQ102" s="3" t="str">
        <f t="shared" si="42"/>
        <v>-</v>
      </c>
      <c r="AR102" s="3">
        <f t="shared" si="43"/>
        <v>2</v>
      </c>
      <c r="AS102" s="3">
        <f t="shared" si="44"/>
        <v>1</v>
      </c>
      <c r="AT102" s="3">
        <f t="shared" si="45"/>
        <v>1</v>
      </c>
      <c r="AU102" s="3">
        <f t="shared" si="46"/>
        <v>1</v>
      </c>
      <c r="AV102" s="3">
        <f t="shared" si="47"/>
        <v>24</v>
      </c>
      <c r="AW102" s="3">
        <f t="shared" si="48"/>
        <v>3</v>
      </c>
      <c r="AX102" s="3">
        <f t="shared" si="49"/>
        <v>6</v>
      </c>
      <c r="AY102" s="3">
        <f t="shared" si="50"/>
        <v>5</v>
      </c>
      <c r="AZ102" s="3">
        <f t="shared" si="51"/>
        <v>1</v>
      </c>
      <c r="BA102" s="3">
        <f>IF(ISERROR(LEN(VLOOKUP(A102,Seqs!A:E,2,FALSE))-AL102),"-",LEN(VLOOKUP(A102,Seqs!A:E,2,FALSE))-AL102)</f>
        <v>6</v>
      </c>
      <c r="BB102" s="16">
        <f t="shared" si="52"/>
        <v>29</v>
      </c>
      <c r="BC102" s="9">
        <f t="shared" si="53"/>
        <v>20</v>
      </c>
      <c r="BD102" s="3">
        <f t="shared" si="54"/>
        <v>29</v>
      </c>
      <c r="BE102" s="3">
        <f t="shared" si="55"/>
        <v>45</v>
      </c>
      <c r="BF102" s="3">
        <f>AH102-AE102</f>
        <v>34</v>
      </c>
    </row>
    <row r="103" spans="1:58" s="3" customFormat="1" x14ac:dyDescent="0.2">
      <c r="A103" s="3" t="s">
        <v>198</v>
      </c>
      <c r="B103" s="3" t="str">
        <f>LOWER(VLOOKUP(A103,Xtal_Templ!A:B,2,FALSE))</f>
        <v>par2_human</v>
      </c>
      <c r="C103" s="3">
        <f>VLOOKUP($A103,'SegEnds_NonXtal_BW#'!$A:$Z,3,FALSE)+D103-50</f>
        <v>3</v>
      </c>
      <c r="D103" s="3">
        <v>25</v>
      </c>
      <c r="E103" s="3">
        <f>IF(ISERROR(VLOOKUP($A103,'SegEnds_NonXtal_BW#'!$A:$Z,4,FALSE)+VLOOKUP($A103,A:AL,4,FALSE)-50),"-",(VLOOKUP($A103,'SegEnds_NonXtal_BW#'!$A:$Z,4,FALSE)+VLOOKUP($A103,A:AL,4,FALSE)-50))</f>
        <v>35</v>
      </c>
      <c r="F103" s="3" t="str">
        <f>IF(ISERROR(VLOOKUP($A103,'SegEnds_NonXtal_BW#'!$A:$Z,5,FALSE)+VLOOKUP($A103,A:AL,7,FALSE)-50),"-",(VLOOKUP($A103,'SegEnds_NonXtal_BW#'!$A:$Z,5,FALSE)+VLOOKUP($A103,A:AL,7,FALSE)-50))</f>
        <v>-</v>
      </c>
      <c r="G103" s="3" t="s">
        <v>23</v>
      </c>
      <c r="H103" s="3" t="str">
        <f>IF(ISERROR(VLOOKUP($A103,'SegEnds_NonXtal_BW#'!$A:$Z,6,FALSE)+VLOOKUP($A103,A:AL,7,FALSE)-50),"-",(VLOOKUP($A103,'SegEnds_NonXtal_BW#'!$A:$Z,6,FALSE)+VLOOKUP($A103,A:AL,7,FALSE)-50))</f>
        <v>-</v>
      </c>
      <c r="I103" s="3">
        <f>VLOOKUP($A103,'SegEnds_NonXtal_BW#'!$A:$Z,7,FALSE)+J103-50</f>
        <v>42</v>
      </c>
      <c r="J103" s="3">
        <v>55</v>
      </c>
      <c r="K103" s="3">
        <f>VLOOKUP($A103,'SegEnds_NonXtal_BW#'!$A:$Z,8,FALSE)+VLOOKUP($A103,A:AL,10,FALSE)-50</f>
        <v>71</v>
      </c>
      <c r="L103" s="3">
        <f t="shared" si="69"/>
        <v>74</v>
      </c>
      <c r="M103" s="3">
        <v>75</v>
      </c>
      <c r="N103" s="3">
        <f t="shared" si="70"/>
        <v>77</v>
      </c>
      <c r="O103" s="3">
        <f t="shared" si="71"/>
        <v>78</v>
      </c>
      <c r="P103" s="3">
        <v>107</v>
      </c>
      <c r="Q103" s="3">
        <f>VLOOKUP($A103,'SegEnds_NonXtal_BW#'!$A:$Z,12,FALSE)+VLOOKUP($A103,A:AL,16,FALSE)-50</f>
        <v>113</v>
      </c>
      <c r="R103" s="3">
        <f>IF(ISERROR(VLOOKUP($A103,'SegEnds_NonXtal_BW#'!$A:$Z,13,FALSE)+VLOOKUP($A103,A:AL,19,FALSE)-50),"-",VLOOKUP($A103,'SegEnds_NonXtal_BW#'!$A:$Z,13,FALSE)+VLOOKUP($A103,A:AL,19,FALSE)-50)</f>
        <v>114</v>
      </c>
      <c r="S103" s="3">
        <v>114</v>
      </c>
      <c r="T103" s="103">
        <f>IF(ISERROR(VLOOKUP($A103,'SegEnds_NonXtal_BW#'!$A:$Z,14,FALSE)+VLOOKUP($A103,A:AL,19,FALSE)-50),"-",(VLOOKUP($A103,'SegEnds_NonXtal_BW#'!$A:$Z,14,FALSE)+VLOOKUP($A103,A:AL,19,FALSE)-50))</f>
        <v>121</v>
      </c>
      <c r="U103" s="9">
        <f>IF(ISERROR(VLOOKUP($A103,'SegEnds_NonXtal_BW#'!$A:$Z,15,FALSE)+VLOOKUP($A103,A:AL,22,FALSE)-50),"-",VLOOKUP($A103,'SegEnds_NonXtal_BW#'!$A:$Z,15,FALSE)+VLOOKUP($A103,A:AL,22,FALSE)-50)</f>
        <v>122</v>
      </c>
      <c r="V103" s="3">
        <v>134</v>
      </c>
      <c r="W103" s="3">
        <f>IF(ISERROR(VLOOKUP($A103,'SegEnds_NonXtal_BW#'!$A:$Z,16,FALSE)+VLOOKUP($A103,A:AL,22,FALSE)-50),"-",(VLOOKUP($A103,'SegEnds_NonXtal_BW#'!$A:$Z,16,FALSE)+VLOOKUP($A103,A:AL,22,FALSE)-50))</f>
        <v>146</v>
      </c>
      <c r="X103" s="3">
        <f>IF(ISERROR(VLOOKUP($A103,'SegEnds_NonXtal_BW#'!$A:$Z,17,FALSE)+VLOOKUP($A103,A:AL,25,FALSE)-50),"-",(VLOOKUP($A103,'SegEnds_NonXtal_BW#'!$A:$Z,17,FALSE)+VLOOKUP($A103,A:AL,25,FALSE)-50))</f>
        <v>164</v>
      </c>
      <c r="Y103" s="3">
        <v>164</v>
      </c>
      <c r="Z103" s="3">
        <f t="shared" si="65"/>
        <v>166</v>
      </c>
      <c r="AA103" s="3">
        <f>IF(ISERROR(VLOOKUP($A103,'SegEnds_NonXtal_BW#'!$A:$Z,19,FALSE)+VLOOKUP($A103,A:AL,28,FALSE)-50),"-",(VLOOKUP($A103,'SegEnds_NonXtal_BW#'!$A:$Z,19,FALSE)+VLOOKUP($A103,A:AL,28,FALSE)-50))</f>
        <v>172</v>
      </c>
      <c r="AB103" s="3">
        <v>191</v>
      </c>
      <c r="AC103" s="3">
        <f>IF(ISERROR((VLOOKUP($A103,'SegEnds_NonXtal_BW#'!$A:$Z,20,FALSE)+VLOOKUP($A103,A:AL,28,FALSE)-50)),"-",(VLOOKUP($A103,'SegEnds_NonXtal_BW#'!$A:$Z,20,FALSE)+VLOOKUP($A103,A:AL,28,FALSE)-50))</f>
        <v>208</v>
      </c>
      <c r="AD103" s="3">
        <f>IF(ISERROR(VLOOKUP($A103,'SegEnds_NonXtal_BW#'!$A:$Z,21,FALSE)+VLOOKUP($A103,A:AL,31,FALSE)-50),"-",(VLOOKUP($A103,'SegEnds_NonXtal_BW#'!$A:$Z,21,FALSE)+VLOOKUP($A103,A:AL,31,FALSE)-50))</f>
        <v>213</v>
      </c>
      <c r="AE103" s="3">
        <v>237</v>
      </c>
      <c r="AF103" s="3">
        <f>IF(ISERROR((VLOOKUP($A103,'SegEnds_NonXtal_BW#'!$A:$Z,22,FALSE)+VLOOKUP($A103,A:AL,31,FALSE)-50)),"-",(VLOOKUP($A103,'SegEnds_NonXtal_BW#'!$A:$Z,22,FALSE)+VLOOKUP($A103,A:AL,31,FALSE)-50))</f>
        <v>248</v>
      </c>
      <c r="AG103" s="3">
        <f>IF(ISERROR(VLOOKUP($A103,'SegEnds_NonXtal_BW#'!$A:$Z,23,FALSE)+VLOOKUP($A103,A:AL,34,FALSE)-50),"-",(VLOOKUP($A103,'SegEnds_NonXtal_BW#'!$A:$Z,23,FALSE)+VLOOKUP($A103,A:AL,34,FALSE)-50))</f>
        <v>253</v>
      </c>
      <c r="AH103" s="3">
        <v>270</v>
      </c>
      <c r="AI103" s="3">
        <f>IF(ISERROR((VLOOKUP($A103,'SegEnds_NonXtal_BW#'!$A:$Z,24,FALSE)+VLOOKUP($A103,A:AL,34,FALSE)-50)),"-",(VLOOKUP($A103,'SegEnds_NonXtal_BW#'!$A:$Z,24,FALSE)+VLOOKUP($A103,A:AL,34,FALSE)-50))</f>
        <v>276</v>
      </c>
      <c r="AJ103" s="3">
        <f>IF(ISERROR(VLOOKUP($A103,'SegEnds_NonXtal_BW#'!$A:$Z,25,FALSE)+VLOOKUP($A103,A:AL,37,FALSE)-50),"-",(VLOOKUP($A103,'SegEnds_NonXtal_BW#'!$A:$Z,25,FALSE)+VLOOKUP($A103,A:AL,37,FALSE)-50))</f>
        <v>277</v>
      </c>
      <c r="AK103" s="3">
        <v>280</v>
      </c>
      <c r="AL103" s="3">
        <f>IF(ISERROR((VLOOKUP($A103,'SegEnds_NonXtal_BW#'!$A:$Z,26,FALSE)+VLOOKUP($A103,A:AL,37,FALSE)-50)),"-",(VLOOKUP($A103,'SegEnds_NonXtal_BW#'!$A:$Z,26,FALSE)+VLOOKUP($A103,A:AL,37,FALSE)-50))</f>
        <v>291</v>
      </c>
      <c r="AM103" s="28" t="str">
        <f>VLOOKUP(A103,Classification!A:B,2,FALSE)</f>
        <v>A</v>
      </c>
      <c r="AN103" s="28" t="b">
        <f t="shared" si="59"/>
        <v>1</v>
      </c>
      <c r="AO103" s="3" t="str">
        <f>IF(ISERROR(MATCH(A103,'SegEnds_Xtal_Prot#'!B:B, 0)), "NoXtal", "Xtal")</f>
        <v>NoXtal</v>
      </c>
      <c r="AP103" s="3" t="str">
        <f t="shared" si="41"/>
        <v>-</v>
      </c>
      <c r="AQ103" s="3" t="str">
        <f t="shared" si="42"/>
        <v>-</v>
      </c>
      <c r="AR103" s="3">
        <f t="shared" si="43"/>
        <v>3</v>
      </c>
      <c r="AS103" s="3">
        <f t="shared" si="44"/>
        <v>1</v>
      </c>
      <c r="AT103" s="3">
        <f t="shared" si="45"/>
        <v>1</v>
      </c>
      <c r="AU103" s="3">
        <f t="shared" si="46"/>
        <v>1</v>
      </c>
      <c r="AV103" s="3">
        <f t="shared" si="47"/>
        <v>18</v>
      </c>
      <c r="AW103" s="3">
        <f t="shared" si="48"/>
        <v>6</v>
      </c>
      <c r="AX103" s="3">
        <f t="shared" si="49"/>
        <v>5</v>
      </c>
      <c r="AY103" s="3">
        <f t="shared" si="50"/>
        <v>5</v>
      </c>
      <c r="AZ103" s="3">
        <f t="shared" si="51"/>
        <v>1</v>
      </c>
      <c r="BA103" s="3">
        <f>IF(ISERROR(LEN(VLOOKUP(A103,Seqs!A:E,2,FALSE))-AL103),"-",LEN(VLOOKUP(A103,Seqs!A:E,2,FALSE))-AL103)</f>
        <v>39</v>
      </c>
      <c r="BB103" s="16">
        <f t="shared" si="52"/>
        <v>30</v>
      </c>
      <c r="BC103" s="9">
        <f t="shared" si="53"/>
        <v>20</v>
      </c>
      <c r="BD103" s="3">
        <f t="shared" si="54"/>
        <v>30</v>
      </c>
      <c r="BE103" s="3">
        <f t="shared" si="55"/>
        <v>46</v>
      </c>
    </row>
    <row r="104" spans="1:58" s="3" customFormat="1" x14ac:dyDescent="0.2">
      <c r="A104" s="3" t="s">
        <v>199</v>
      </c>
      <c r="B104" s="3" t="str">
        <f>LOWER(VLOOKUP(A104,Xtal_Templ!A:B,2,FALSE))</f>
        <v>par1_human</v>
      </c>
      <c r="C104" s="3">
        <f>VLOOKUP($A104,'SegEnds_NonXtal_BW#'!$A:$Z,3,FALSE)+D104-50</f>
        <v>11</v>
      </c>
      <c r="D104" s="3">
        <v>32</v>
      </c>
      <c r="E104" s="3">
        <f>IF(ISERROR(VLOOKUP($A104,'SegEnds_NonXtal_BW#'!$A:$Z,4,FALSE)+VLOOKUP($A104,A:AL,4,FALSE)-50),"-",(VLOOKUP($A104,'SegEnds_NonXtal_BW#'!$A:$Z,4,FALSE)+VLOOKUP($A104,A:AL,4,FALSE)-50))</f>
        <v>42</v>
      </c>
      <c r="F104" s="3" t="str">
        <f>IF(ISERROR(VLOOKUP($A104,'SegEnds_NonXtal_BW#'!$A:$Z,5,FALSE)+VLOOKUP($A104,A:AL,7,FALSE)-50),"-",(VLOOKUP($A104,'SegEnds_NonXtal_BW#'!$A:$Z,5,FALSE)+VLOOKUP($A104,A:AL,7,FALSE)-50))</f>
        <v>-</v>
      </c>
      <c r="G104" s="3" t="s">
        <v>23</v>
      </c>
      <c r="H104" s="3" t="str">
        <f>IF(ISERROR(VLOOKUP($A104,'SegEnds_NonXtal_BW#'!$A:$Z,6,FALSE)+VLOOKUP($A104,A:AL,7,FALSE)-50),"-",(VLOOKUP($A104,'SegEnds_NonXtal_BW#'!$A:$Z,6,FALSE)+VLOOKUP($A104,A:AL,7,FALSE)-50))</f>
        <v>-</v>
      </c>
      <c r="I104" s="3">
        <f>VLOOKUP($A104,'SegEnds_NonXtal_BW#'!$A:$Z,7,FALSE)+J104-50</f>
        <v>48</v>
      </c>
      <c r="J104" s="3">
        <v>61</v>
      </c>
      <c r="K104" s="3">
        <f>VLOOKUP($A104,'SegEnds_NonXtal_BW#'!$A:$Z,8,FALSE)+VLOOKUP($A104,A:AL,10,FALSE)-50</f>
        <v>77</v>
      </c>
      <c r="L104" s="3">
        <f t="shared" si="69"/>
        <v>80</v>
      </c>
      <c r="M104" s="3">
        <v>81</v>
      </c>
      <c r="N104" s="3">
        <f t="shared" si="70"/>
        <v>83</v>
      </c>
      <c r="O104" s="3">
        <f t="shared" si="71"/>
        <v>84</v>
      </c>
      <c r="P104" s="3">
        <v>113</v>
      </c>
      <c r="Q104" s="3">
        <f>VLOOKUP($A104,'SegEnds_NonXtal_BW#'!$A:$Z,12,FALSE)+VLOOKUP($A104,A:AL,16,FALSE)-50</f>
        <v>119</v>
      </c>
      <c r="R104" s="3">
        <f>IF(ISERROR(VLOOKUP($A104,'SegEnds_NonXtal_BW#'!$A:$Z,13,FALSE)+VLOOKUP($A104,A:AL,19,FALSE)-50),"-",VLOOKUP($A104,'SegEnds_NonXtal_BW#'!$A:$Z,13,FALSE)+VLOOKUP($A104,A:AL,19,FALSE)-50)</f>
        <v>120</v>
      </c>
      <c r="S104" s="3">
        <v>120</v>
      </c>
      <c r="T104" s="103">
        <f>IF(ISERROR(VLOOKUP($A104,'SegEnds_NonXtal_BW#'!$A:$Z,14,FALSE)+VLOOKUP($A104,A:AL,19,FALSE)-50),"-",(VLOOKUP($A104,'SegEnds_NonXtal_BW#'!$A:$Z,14,FALSE)+VLOOKUP($A104,A:AL,19,FALSE)-50))</f>
        <v>127</v>
      </c>
      <c r="U104" s="9">
        <f>IF(ISERROR(VLOOKUP($A104,'SegEnds_NonXtal_BW#'!$A:$Z,15,FALSE)+VLOOKUP($A104,A:AL,22,FALSE)-50),"-",VLOOKUP($A104,'SegEnds_NonXtal_BW#'!$A:$Z,15,FALSE)+VLOOKUP($A104,A:AL,22,FALSE)-50)</f>
        <v>128</v>
      </c>
      <c r="V104" s="3">
        <v>140</v>
      </c>
      <c r="W104" s="3">
        <f>IF(ISERROR(VLOOKUP($A104,'SegEnds_NonXtal_BW#'!$A:$Z,16,FALSE)+VLOOKUP($A104,A:AL,22,FALSE)-50),"-",(VLOOKUP($A104,'SegEnds_NonXtal_BW#'!$A:$Z,16,FALSE)+VLOOKUP($A104,A:AL,22,FALSE)-50))</f>
        <v>153</v>
      </c>
      <c r="X104" s="3">
        <f>IF(ISERROR(VLOOKUP($A104,'SegEnds_NonXtal_BW#'!$A:$Z,17,FALSE)+VLOOKUP($A104,A:AL,25,FALSE)-50),"-",(VLOOKUP($A104,'SegEnds_NonXtal_BW#'!$A:$Z,17,FALSE)+VLOOKUP($A104,A:AL,25,FALSE)-50))</f>
        <v>169</v>
      </c>
      <c r="Y104" s="3">
        <v>169</v>
      </c>
      <c r="Z104" s="3">
        <f t="shared" si="65"/>
        <v>171</v>
      </c>
      <c r="AA104" s="3">
        <f>IF(ISERROR(VLOOKUP($A104,'SegEnds_NonXtal_BW#'!$A:$Z,19,FALSE)+VLOOKUP($A104,A:AL,28,FALSE)-50),"-",(VLOOKUP($A104,'SegEnds_NonXtal_BW#'!$A:$Z,19,FALSE)+VLOOKUP($A104,A:AL,28,FALSE)-50))</f>
        <v>178</v>
      </c>
      <c r="AB104" s="3">
        <v>196</v>
      </c>
      <c r="AC104" s="3">
        <f>IF(ISERROR((VLOOKUP($A104,'SegEnds_NonXtal_BW#'!$A:$Z,20,FALSE)+VLOOKUP($A104,A:AL,28,FALSE)-50)),"-",(VLOOKUP($A104,'SegEnds_NonXtal_BW#'!$A:$Z,20,FALSE)+VLOOKUP($A104,A:AL,28,FALSE)-50))</f>
        <v>214</v>
      </c>
      <c r="AD104" s="3">
        <f>IF(ISERROR(VLOOKUP($A104,'SegEnds_NonXtal_BW#'!$A:$Z,21,FALSE)+VLOOKUP($A104,A:AL,31,FALSE)-50),"-",(VLOOKUP($A104,'SegEnds_NonXtal_BW#'!$A:$Z,21,FALSE)+VLOOKUP($A104,A:AL,31,FALSE)-50))</f>
        <v>218</v>
      </c>
      <c r="AE104" s="3">
        <v>240</v>
      </c>
      <c r="AF104" s="3">
        <f>IF(ISERROR((VLOOKUP($A104,'SegEnds_NonXtal_BW#'!$A:$Z,22,FALSE)+VLOOKUP($A104,A:AL,31,FALSE)-50)),"-",(VLOOKUP($A104,'SegEnds_NonXtal_BW#'!$A:$Z,22,FALSE)+VLOOKUP($A104,A:AL,31,FALSE)-50))</f>
        <v>251</v>
      </c>
      <c r="AG104" s="3">
        <f>IF(ISERROR(VLOOKUP($A104,'SegEnds_NonXtal_BW#'!$A:$Z,23,FALSE)+VLOOKUP($A104,A:AL,34,FALSE)-50),"-",(VLOOKUP($A104,'SegEnds_NonXtal_BW#'!$A:$Z,23,FALSE)+VLOOKUP($A104,A:AL,34,FALSE)-50))</f>
        <v>256</v>
      </c>
      <c r="AH104" s="3">
        <v>273</v>
      </c>
      <c r="AI104" s="3">
        <f>IF(ISERROR((VLOOKUP($A104,'SegEnds_NonXtal_BW#'!$A:$Z,24,FALSE)+VLOOKUP($A104,A:AL,34,FALSE)-50)),"-",(VLOOKUP($A104,'SegEnds_NonXtal_BW#'!$A:$Z,24,FALSE)+VLOOKUP($A104,A:AL,34,FALSE)-50))</f>
        <v>279</v>
      </c>
      <c r="AJ104" s="3">
        <f>IF(ISERROR(VLOOKUP($A104,'SegEnds_NonXtal_BW#'!$A:$Z,25,FALSE)+VLOOKUP($A104,A:AL,37,FALSE)-50),"-",(VLOOKUP($A104,'SegEnds_NonXtal_BW#'!$A:$Z,25,FALSE)+VLOOKUP($A104,A:AL,37,FALSE)-50))</f>
        <v>280</v>
      </c>
      <c r="AK104" s="3">
        <v>283</v>
      </c>
      <c r="AL104" s="3">
        <f>IF(ISERROR((VLOOKUP($A104,'SegEnds_NonXtal_BW#'!$A:$Z,26,FALSE)+VLOOKUP($A104,A:AL,37,FALSE)-50)),"-",(VLOOKUP($A104,'SegEnds_NonXtal_BW#'!$A:$Z,26,FALSE)+VLOOKUP($A104,A:AL,37,FALSE)-50))</f>
        <v>294</v>
      </c>
      <c r="AM104" s="28" t="str">
        <f>VLOOKUP(A104,Classification!A:B,2,FALSE)</f>
        <v>A</v>
      </c>
      <c r="AN104" s="28" t="b">
        <f t="shared" si="59"/>
        <v>1</v>
      </c>
      <c r="AO104" s="3" t="str">
        <f>IF(ISERROR(MATCH(A104,'SegEnds_Xtal_Prot#'!B:B, 0)), "NoXtal", "Xtal")</f>
        <v>NoXtal</v>
      </c>
      <c r="AP104" s="3" t="str">
        <f t="shared" si="41"/>
        <v>-</v>
      </c>
      <c r="AQ104" s="3" t="str">
        <f t="shared" si="42"/>
        <v>-</v>
      </c>
      <c r="AR104" s="3">
        <f t="shared" si="43"/>
        <v>3</v>
      </c>
      <c r="AS104" s="3">
        <f t="shared" si="44"/>
        <v>1</v>
      </c>
      <c r="AT104" s="3">
        <f t="shared" si="45"/>
        <v>1</v>
      </c>
      <c r="AU104" s="3">
        <f t="shared" si="46"/>
        <v>1</v>
      </c>
      <c r="AV104" s="3">
        <f t="shared" si="47"/>
        <v>16</v>
      </c>
      <c r="AW104" s="3">
        <f t="shared" si="48"/>
        <v>7</v>
      </c>
      <c r="AX104" s="3">
        <f t="shared" si="49"/>
        <v>4</v>
      </c>
      <c r="AY104" s="3">
        <f t="shared" si="50"/>
        <v>5</v>
      </c>
      <c r="AZ104" s="3">
        <f t="shared" si="51"/>
        <v>1</v>
      </c>
      <c r="BA104" s="3">
        <f>IF(ISERROR(LEN(VLOOKUP(A104,Seqs!A:E,2,FALSE))-AL104),"-",LEN(VLOOKUP(A104,Seqs!A:E,2,FALSE))-AL104)</f>
        <v>52</v>
      </c>
      <c r="BB104" s="16">
        <f t="shared" si="52"/>
        <v>29</v>
      </c>
      <c r="BC104" s="9">
        <f t="shared" si="53"/>
        <v>20</v>
      </c>
      <c r="BD104" s="3">
        <f t="shared" si="54"/>
        <v>29</v>
      </c>
      <c r="BE104" s="3">
        <f t="shared" si="55"/>
        <v>44</v>
      </c>
    </row>
    <row r="105" spans="1:58" s="3" customFormat="1" x14ac:dyDescent="0.2">
      <c r="A105" s="3" t="s">
        <v>200</v>
      </c>
      <c r="B105" s="3" t="str">
        <f>LOWER(VLOOKUP(A105,Xtal_Templ!A:B,2,FALSE))</f>
        <v>ox2r_human</v>
      </c>
      <c r="C105" s="3">
        <f>VLOOKUP($A105,'SegEnds_NonXtal_BW#'!$A:$Z,3,FALSE)+D105-50</f>
        <v>39</v>
      </c>
      <c r="D105" s="3">
        <v>58</v>
      </c>
      <c r="E105" s="3">
        <f>IF(ISERROR(VLOOKUP($A105,'SegEnds_NonXtal_BW#'!$A:$Z,4,FALSE)+VLOOKUP($A105,A:AL,4,FALSE)-50),"-",(VLOOKUP($A105,'SegEnds_NonXtal_BW#'!$A:$Z,4,FALSE)+VLOOKUP($A105,A:AL,4,FALSE)-50))</f>
        <v>68</v>
      </c>
      <c r="F105" s="3" t="str">
        <f>IF(ISERROR(VLOOKUP($A105,'SegEnds_NonXtal_BW#'!$A:$Z,5,FALSE)+VLOOKUP($A105,A:AL,7,FALSE)-50),"-",(VLOOKUP($A105,'SegEnds_NonXtal_BW#'!$A:$Z,5,FALSE)+VLOOKUP($A105,A:AL,7,FALSE)-50))</f>
        <v>-</v>
      </c>
      <c r="G105" s="3" t="s">
        <v>23</v>
      </c>
      <c r="H105" s="3" t="str">
        <f>IF(ISERROR(VLOOKUP($A105,'SegEnds_NonXtal_BW#'!$A:$Z,6,FALSE)+VLOOKUP($A105,A:AL,7,FALSE)-50),"-",(VLOOKUP($A105,'SegEnds_NonXtal_BW#'!$A:$Z,6,FALSE)+VLOOKUP($A105,A:AL,7,FALSE)-50))</f>
        <v>-</v>
      </c>
      <c r="I105" s="3">
        <f>VLOOKUP($A105,'SegEnds_NonXtal_BW#'!$A:$Z,7,FALSE)+J105-50</f>
        <v>72</v>
      </c>
      <c r="J105" s="3">
        <v>85</v>
      </c>
      <c r="K105" s="3">
        <f>VLOOKUP($A105,'SegEnds_NonXtal_BW#'!$A:$Z,8,FALSE)+VLOOKUP($A105,A:AL,10,FALSE)-50</f>
        <v>101</v>
      </c>
      <c r="L105" s="3">
        <f t="shared" si="69"/>
        <v>103</v>
      </c>
      <c r="M105" s="3">
        <v>104</v>
      </c>
      <c r="N105" s="3">
        <f t="shared" si="70"/>
        <v>106</v>
      </c>
      <c r="O105" s="3">
        <f t="shared" si="71"/>
        <v>107</v>
      </c>
      <c r="P105" s="3">
        <v>136</v>
      </c>
      <c r="Q105" s="3">
        <f>VLOOKUP($A105,'SegEnds_NonXtal_BW#'!$A:$Z,12,FALSE)+VLOOKUP($A105,A:AL,16,FALSE)-50</f>
        <v>142</v>
      </c>
      <c r="R105" s="3">
        <f>IF(ISERROR(VLOOKUP($A105,'SegEnds_NonXtal_BW#'!$A:$Z,13,FALSE)+VLOOKUP($A105,A:AL,19,FALSE)-50),"-",VLOOKUP($A105,'SegEnds_NonXtal_BW#'!$A:$Z,13,FALSE)+VLOOKUP($A105,A:AL,19,FALSE)-50)</f>
        <v>143</v>
      </c>
      <c r="S105" s="3">
        <v>143</v>
      </c>
      <c r="T105" s="103">
        <f>IF(ISERROR(VLOOKUP($A105,'SegEnds_NonXtal_BW#'!$A:$Z,14,FALSE)+VLOOKUP($A105,A:AL,19,FALSE)-50),"-",(VLOOKUP($A105,'SegEnds_NonXtal_BW#'!$A:$Z,14,FALSE)+VLOOKUP($A105,A:AL,19,FALSE)-50))</f>
        <v>150</v>
      </c>
      <c r="U105" s="9">
        <f>IF(ISERROR(VLOOKUP($A105,'SegEnds_NonXtal_BW#'!$A:$Z,15,FALSE)+VLOOKUP($A105,A:AL,22,FALSE)-50),"-",VLOOKUP($A105,'SegEnds_NonXtal_BW#'!$A:$Z,15,FALSE)+VLOOKUP($A105,A:AL,22,FALSE)-50)</f>
        <v>151</v>
      </c>
      <c r="V105" s="3">
        <v>163</v>
      </c>
      <c r="W105" s="3">
        <f>IF(ISERROR(VLOOKUP($A105,'SegEnds_NonXtal_BW#'!$A:$Z,16,FALSE)+VLOOKUP($A105,A:AL,22,FALSE)-50),"-",(VLOOKUP($A105,'SegEnds_NonXtal_BW#'!$A:$Z,16,FALSE)+VLOOKUP($A105,A:AL,22,FALSE)-50))</f>
        <v>177</v>
      </c>
      <c r="X105" s="3">
        <f>IF(ISERROR(VLOOKUP($A105,'SegEnds_NonXtal_BW#'!$A:$Z,17,FALSE)+VLOOKUP($A105,A:AL,25,FALSE)-50),"-",(VLOOKUP($A105,'SegEnds_NonXtal_BW#'!$A:$Z,17,FALSE)+VLOOKUP($A105,A:AL,25,FALSE)-50))</f>
        <v>194</v>
      </c>
      <c r="Y105" s="3">
        <v>194</v>
      </c>
      <c r="Z105" s="3">
        <f t="shared" si="65"/>
        <v>196</v>
      </c>
      <c r="AA105" s="3">
        <f>IF(ISERROR(VLOOKUP($A105,'SegEnds_NonXtal_BW#'!$A:$Z,19,FALSE)+VLOOKUP($A105,A:AL,28,FALSE)-50),"-",(VLOOKUP($A105,'SegEnds_NonXtal_BW#'!$A:$Z,19,FALSE)+VLOOKUP($A105,A:AL,28,FALSE)-50))</f>
        <v>201</v>
      </c>
      <c r="AB105" s="3">
        <v>219</v>
      </c>
      <c r="AC105" s="3">
        <f>IF(ISERROR((VLOOKUP($A105,'SegEnds_NonXtal_BW#'!$A:$Z,20,FALSE)+VLOOKUP($A105,A:AL,28,FALSE)-50)),"-",(VLOOKUP($A105,'SegEnds_NonXtal_BW#'!$A:$Z,20,FALSE)+VLOOKUP($A105,A:AL,28,FALSE)-50))</f>
        <v>245</v>
      </c>
      <c r="AD105" s="3">
        <f>IF(ISERROR(VLOOKUP($A105,'SegEnds_NonXtal_BW#'!$A:$Z,21,FALSE)+VLOOKUP($A105,A:AL,31,FALSE)-50),"-",(VLOOKUP($A105,'SegEnds_NonXtal_BW#'!$A:$Z,21,FALSE)+VLOOKUP($A105,A:AL,31,FALSE)-50))</f>
        <v>269</v>
      </c>
      <c r="AE105" s="3">
        <v>295</v>
      </c>
      <c r="AF105" s="3">
        <f>IF(ISERROR((VLOOKUP($A105,'SegEnds_NonXtal_BW#'!$A:$Z,22,FALSE)+VLOOKUP($A105,A:AL,31,FALSE)-50)),"-",(VLOOKUP($A105,'SegEnds_NonXtal_BW#'!$A:$Z,22,FALSE)+VLOOKUP($A105,A:AL,31,FALSE)-50))</f>
        <v>306</v>
      </c>
      <c r="AG105" s="3">
        <f>IF(ISERROR(VLOOKUP($A105,'SegEnds_NonXtal_BW#'!$A:$Z,23,FALSE)+VLOOKUP($A105,A:AL,34,FALSE)-50),"-",(VLOOKUP($A105,'SegEnds_NonXtal_BW#'!$A:$Z,23,FALSE)+VLOOKUP($A105,A:AL,34,FALSE)-50))</f>
        <v>312</v>
      </c>
      <c r="AH105" s="3">
        <v>334</v>
      </c>
      <c r="AI105" s="3">
        <f>IF(ISERROR((VLOOKUP($A105,'SegEnds_NonXtal_BW#'!$A:$Z,24,FALSE)+VLOOKUP($A105,A:AL,34,FALSE)-50)),"-",(VLOOKUP($A105,'SegEnds_NonXtal_BW#'!$A:$Z,24,FALSE)+VLOOKUP($A105,A:AL,34,FALSE)-50))</f>
        <v>340</v>
      </c>
      <c r="AJ105" s="3">
        <f>IF(ISERROR(VLOOKUP($A105,'SegEnds_NonXtal_BW#'!$A:$Z,25,FALSE)+VLOOKUP($A105,A:AL,37,FALSE)-50),"-",(VLOOKUP($A105,'SegEnds_NonXtal_BW#'!$A:$Z,25,FALSE)+VLOOKUP($A105,A:AL,37,FALSE)-50))</f>
        <v>341</v>
      </c>
      <c r="AK105" s="3">
        <v>344</v>
      </c>
      <c r="AL105" s="3">
        <f>IF(ISERROR((VLOOKUP($A105,'SegEnds_NonXtal_BW#'!$A:$Z,26,FALSE)+VLOOKUP($A105,A:AL,37,FALSE)-50)),"-",(VLOOKUP($A105,'SegEnds_NonXtal_BW#'!$A:$Z,26,FALSE)+VLOOKUP($A105,A:AL,37,FALSE)-50))</f>
        <v>352</v>
      </c>
      <c r="AM105" s="28" t="str">
        <f>VLOOKUP(A105,Classification!A:B,2,FALSE)</f>
        <v>A</v>
      </c>
      <c r="AN105" s="28" t="b">
        <f t="shared" si="59"/>
        <v>1</v>
      </c>
      <c r="AO105" s="3" t="str">
        <f>IF(ISERROR(MATCH(A105,'SegEnds_Xtal_Prot#'!B:B, 0)), "NoXtal", "Xtal")</f>
        <v>NoXtal</v>
      </c>
      <c r="AP105" s="3" t="str">
        <f t="shared" si="41"/>
        <v>-</v>
      </c>
      <c r="AQ105" s="3" t="str">
        <f t="shared" si="42"/>
        <v>-</v>
      </c>
      <c r="AR105" s="3">
        <f t="shared" si="43"/>
        <v>2</v>
      </c>
      <c r="AS105" s="3">
        <f t="shared" si="44"/>
        <v>1</v>
      </c>
      <c r="AT105" s="3">
        <f t="shared" si="45"/>
        <v>1</v>
      </c>
      <c r="AU105" s="3">
        <f t="shared" si="46"/>
        <v>1</v>
      </c>
      <c r="AV105" s="3">
        <f t="shared" si="47"/>
        <v>17</v>
      </c>
      <c r="AW105" s="3">
        <f t="shared" si="48"/>
        <v>5</v>
      </c>
      <c r="AX105" s="3">
        <f t="shared" si="49"/>
        <v>24</v>
      </c>
      <c r="AY105" s="3">
        <f t="shared" si="50"/>
        <v>6</v>
      </c>
      <c r="AZ105" s="3">
        <f t="shared" si="51"/>
        <v>1</v>
      </c>
      <c r="BA105" s="3">
        <f>IF(ISERROR(LEN(VLOOKUP(A105,Seqs!A:E,2,FALSE))-AL105),"-",LEN(VLOOKUP(A105,Seqs!A:E,2,FALSE))-AL105)</f>
        <v>25</v>
      </c>
      <c r="BB105" s="16">
        <f t="shared" si="52"/>
        <v>27</v>
      </c>
      <c r="BC105" s="9">
        <f t="shared" si="53"/>
        <v>20</v>
      </c>
      <c r="BD105" s="3">
        <f t="shared" si="54"/>
        <v>27</v>
      </c>
      <c r="BE105" s="3">
        <f t="shared" si="55"/>
        <v>76</v>
      </c>
      <c r="BF105" s="3">
        <f>AH105-AE105</f>
        <v>39</v>
      </c>
    </row>
    <row r="106" spans="1:58" s="3" customFormat="1" x14ac:dyDescent="0.2">
      <c r="A106" s="3" t="s">
        <v>201</v>
      </c>
      <c r="B106" s="3" t="str">
        <f>LOWER(VLOOKUP(A106,Xtal_Templ!A:B,2,FALSE))</f>
        <v>agtr1_human</v>
      </c>
      <c r="C106" s="3">
        <f>VLOOKUP($A106,'SegEnds_NonXtal_BW#'!$A:$Z,3,FALSE)+D106-50</f>
        <v>24</v>
      </c>
      <c r="D106" s="3">
        <v>44</v>
      </c>
      <c r="E106" s="3">
        <f>IF(ISERROR(VLOOKUP($A106,'SegEnds_NonXtal_BW#'!$A:$Z,4,FALSE)+VLOOKUP($A106,A:AL,4,FALSE)-50),"-",(VLOOKUP($A106,'SegEnds_NonXtal_BW#'!$A:$Z,4,FALSE)+VLOOKUP($A106,A:AL,4,FALSE)-50))</f>
        <v>54</v>
      </c>
      <c r="F106" s="3" t="str">
        <f>IF(ISERROR(VLOOKUP($A106,'SegEnds_NonXtal_BW#'!$A:$Z,5,FALSE)+VLOOKUP($A106,A:AL,7,FALSE)-50),"-",(VLOOKUP($A106,'SegEnds_NonXtal_BW#'!$A:$Z,5,FALSE)+VLOOKUP($A106,A:AL,7,FALSE)-50))</f>
        <v>-</v>
      </c>
      <c r="G106" s="3" t="s">
        <v>23</v>
      </c>
      <c r="H106" s="3" t="str">
        <f>IF(ISERROR(VLOOKUP($A106,'SegEnds_NonXtal_BW#'!$A:$Z,6,FALSE)+VLOOKUP($A106,A:AL,7,FALSE)-50),"-",(VLOOKUP($A106,'SegEnds_NonXtal_BW#'!$A:$Z,6,FALSE)+VLOOKUP($A106,A:AL,7,FALSE)-50))</f>
        <v>-</v>
      </c>
      <c r="I106" s="3">
        <f>VLOOKUP($A106,'SegEnds_NonXtal_BW#'!$A:$Z,7,FALSE)+J106-50</f>
        <v>58</v>
      </c>
      <c r="J106" s="3">
        <v>71</v>
      </c>
      <c r="K106" s="3">
        <f>VLOOKUP($A106,'SegEnds_NonXtal_BW#'!$A:$Z,8,FALSE)+VLOOKUP($A106,A:AL,10,FALSE)-50</f>
        <v>87</v>
      </c>
      <c r="L106" s="3">
        <f t="shared" si="69"/>
        <v>90</v>
      </c>
      <c r="M106" s="3">
        <v>91</v>
      </c>
      <c r="N106" s="3">
        <f t="shared" si="70"/>
        <v>93</v>
      </c>
      <c r="O106" s="3">
        <f t="shared" si="71"/>
        <v>94</v>
      </c>
      <c r="P106" s="3">
        <v>123</v>
      </c>
      <c r="Q106" s="3">
        <f>VLOOKUP($A106,'SegEnds_NonXtal_BW#'!$A:$Z,12,FALSE)+VLOOKUP($A106,A:AL,16,FALSE)-50</f>
        <v>129</v>
      </c>
      <c r="R106" s="3">
        <f>IF(ISERROR(VLOOKUP($A106,'SegEnds_NonXtal_BW#'!$A:$Z,13,FALSE)+VLOOKUP($A106,A:AL,19,FALSE)-50),"-",VLOOKUP($A106,'SegEnds_NonXtal_BW#'!$A:$Z,13,FALSE)+VLOOKUP($A106,A:AL,19,FALSE)-50)</f>
        <v>130</v>
      </c>
      <c r="S106" s="3">
        <v>130</v>
      </c>
      <c r="T106" s="103">
        <f>IF(ISERROR(VLOOKUP($A106,'SegEnds_NonXtal_BW#'!$A:$Z,14,FALSE)+VLOOKUP($A106,A:AL,19,FALSE)-50),"-",(VLOOKUP($A106,'SegEnds_NonXtal_BW#'!$A:$Z,14,FALSE)+VLOOKUP($A106,A:AL,19,FALSE)-50))</f>
        <v>137</v>
      </c>
      <c r="U106" s="9">
        <f>IF(ISERROR(VLOOKUP($A106,'SegEnds_NonXtal_BW#'!$A:$Z,15,FALSE)+VLOOKUP($A106,A:AL,22,FALSE)-50),"-",VLOOKUP($A106,'SegEnds_NonXtal_BW#'!$A:$Z,15,FALSE)+VLOOKUP($A106,A:AL,22,FALSE)-50)</f>
        <v>138</v>
      </c>
      <c r="V106" s="3">
        <v>150</v>
      </c>
      <c r="W106" s="3">
        <f>IF(ISERROR(VLOOKUP($A106,'SegEnds_NonXtal_BW#'!$A:$Z,16,FALSE)+VLOOKUP($A106,A:AL,22,FALSE)-50),"-",(VLOOKUP($A106,'SegEnds_NonXtal_BW#'!$A:$Z,16,FALSE)+VLOOKUP($A106,A:AL,22,FALSE)-50))</f>
        <v>164</v>
      </c>
      <c r="X106" s="3">
        <f>IF(ISERROR(VLOOKUP($A106,'SegEnds_NonXtal_BW#'!$A:$Z,17,FALSE)+VLOOKUP($A106,A:AL,25,FALSE)-50),"-",(VLOOKUP($A106,'SegEnds_NonXtal_BW#'!$A:$Z,17,FALSE)+VLOOKUP($A106,A:AL,25,FALSE)-50))</f>
        <v>176</v>
      </c>
      <c r="Y106" s="3">
        <v>176</v>
      </c>
      <c r="Z106" s="3">
        <f t="shared" si="65"/>
        <v>178</v>
      </c>
      <c r="AA106" s="3">
        <f>IF(ISERROR(VLOOKUP($A106,'SegEnds_NonXtal_BW#'!$A:$Z,19,FALSE)+VLOOKUP($A106,A:AL,28,FALSE)-50),"-",(VLOOKUP($A106,'SegEnds_NonXtal_BW#'!$A:$Z,19,FALSE)+VLOOKUP($A106,A:AL,28,FALSE)-50))</f>
        <v>197</v>
      </c>
      <c r="AB106" s="3">
        <v>213</v>
      </c>
      <c r="AC106" s="3">
        <f>IF(ISERROR((VLOOKUP($A106,'SegEnds_NonXtal_BW#'!$A:$Z,20,FALSE)+VLOOKUP($A106,A:AL,28,FALSE)-50)),"-",(VLOOKUP($A106,'SegEnds_NonXtal_BW#'!$A:$Z,20,FALSE)+VLOOKUP($A106,A:AL,28,FALSE)-50))</f>
        <v>231</v>
      </c>
      <c r="AD106" s="3">
        <f>IF(ISERROR(VLOOKUP($A106,'SegEnds_NonXtal_BW#'!$A:$Z,21,FALSE)+VLOOKUP($A106,A:AL,31,FALSE)-50),"-",(VLOOKUP($A106,'SegEnds_NonXtal_BW#'!$A:$Z,21,FALSE)+VLOOKUP($A106,A:AL,31,FALSE)-50))</f>
        <v>236</v>
      </c>
      <c r="AE106" s="3">
        <v>256</v>
      </c>
      <c r="AF106" s="3">
        <f>IF(ISERROR((VLOOKUP($A106,'SegEnds_NonXtal_BW#'!$A:$Z,22,FALSE)+VLOOKUP($A106,A:AL,31,FALSE)-50)),"-",(VLOOKUP($A106,'SegEnds_NonXtal_BW#'!$A:$Z,22,FALSE)+VLOOKUP($A106,A:AL,31,FALSE)-50))</f>
        <v>267</v>
      </c>
      <c r="AG106" s="3">
        <f>IF(ISERROR(VLOOKUP($A106,'SegEnds_NonXtal_BW#'!$A:$Z,23,FALSE)+VLOOKUP($A106,A:AL,34,FALSE)-50),"-",(VLOOKUP($A106,'SegEnds_NonXtal_BW#'!$A:$Z,23,FALSE)+VLOOKUP($A106,A:AL,34,FALSE)-50))</f>
        <v>276</v>
      </c>
      <c r="AH106" s="3">
        <v>298</v>
      </c>
      <c r="AI106" s="3">
        <f>IF(ISERROR((VLOOKUP($A106,'SegEnds_NonXtal_BW#'!$A:$Z,24,FALSE)+VLOOKUP($A106,A:AL,34,FALSE)-50)),"-",(VLOOKUP($A106,'SegEnds_NonXtal_BW#'!$A:$Z,24,FALSE)+VLOOKUP($A106,A:AL,34,FALSE)-50))</f>
        <v>304</v>
      </c>
      <c r="AJ106" s="3">
        <f>IF(ISERROR(VLOOKUP($A106,'SegEnds_NonXtal_BW#'!$A:$Z,25,FALSE)+VLOOKUP($A106,A:AL,37,FALSE)-50),"-",(VLOOKUP($A106,'SegEnds_NonXtal_BW#'!$A:$Z,25,FALSE)+VLOOKUP($A106,A:AL,37,FALSE)-50))</f>
        <v>305</v>
      </c>
      <c r="AK106" s="3">
        <v>308</v>
      </c>
      <c r="AL106" s="3">
        <f>IF(ISERROR((VLOOKUP($A106,'SegEnds_NonXtal_BW#'!$A:$Z,26,FALSE)+VLOOKUP($A106,A:AL,37,FALSE)-50)),"-",(VLOOKUP($A106,'SegEnds_NonXtal_BW#'!$A:$Z,26,FALSE)+VLOOKUP($A106,A:AL,37,FALSE)-50))</f>
        <v>319</v>
      </c>
      <c r="AM106" s="28" t="str">
        <f>VLOOKUP(A106,Classification!A:B,2,FALSE)</f>
        <v>A</v>
      </c>
      <c r="AN106" s="28" t="b">
        <f t="shared" si="59"/>
        <v>1</v>
      </c>
      <c r="AO106" s="3" t="str">
        <f>IF(ISERROR(MATCH(A106,'SegEnds_Xtal_Prot#'!B:B, 0)), "NoXtal", "Xtal")</f>
        <v>NoXtal</v>
      </c>
      <c r="AP106" s="3" t="str">
        <f t="shared" si="41"/>
        <v>-</v>
      </c>
      <c r="AQ106" s="3" t="str">
        <f t="shared" si="42"/>
        <v>-</v>
      </c>
      <c r="AR106" s="3">
        <f t="shared" si="43"/>
        <v>3</v>
      </c>
      <c r="AS106" s="3">
        <f t="shared" si="44"/>
        <v>1</v>
      </c>
      <c r="AT106" s="3">
        <f t="shared" si="45"/>
        <v>1</v>
      </c>
      <c r="AU106" s="3">
        <f t="shared" si="46"/>
        <v>1</v>
      </c>
      <c r="AV106" s="3">
        <f t="shared" si="47"/>
        <v>12</v>
      </c>
      <c r="AW106" s="3">
        <f t="shared" si="48"/>
        <v>19</v>
      </c>
      <c r="AX106" s="3">
        <f t="shared" si="49"/>
        <v>5</v>
      </c>
      <c r="AY106" s="3">
        <f t="shared" si="50"/>
        <v>9</v>
      </c>
      <c r="AZ106" s="3">
        <f t="shared" si="51"/>
        <v>1</v>
      </c>
      <c r="BA106" s="3">
        <f>IF(ISERROR(LEN(VLOOKUP(A106,Seqs!A:E,2,FALSE))-AL106),"-",LEN(VLOOKUP(A106,Seqs!A:E,2,FALSE))-AL106)</f>
        <v>31</v>
      </c>
      <c r="BB106" s="16">
        <f t="shared" si="52"/>
        <v>27</v>
      </c>
      <c r="BC106" s="9">
        <f t="shared" si="53"/>
        <v>20</v>
      </c>
      <c r="BD106" s="3">
        <f t="shared" si="54"/>
        <v>27</v>
      </c>
      <c r="BE106" s="3">
        <f t="shared" si="55"/>
        <v>43</v>
      </c>
    </row>
    <row r="107" spans="1:58" s="3" customFormat="1" x14ac:dyDescent="0.2">
      <c r="A107" s="3" t="s">
        <v>202</v>
      </c>
      <c r="B107" s="3" t="str">
        <f>LOWER(VLOOKUP(A107,Xtal_Templ!A:B,2,FALSE))</f>
        <v>cxcr4_human</v>
      </c>
      <c r="C107" s="3">
        <f>VLOOKUP($A107,'SegEnds_NonXtal_BW#'!$A:$Z,3,FALSE)+D107-50</f>
        <v>18</v>
      </c>
      <c r="D107" s="3">
        <v>44</v>
      </c>
      <c r="E107" s="3">
        <f>IF(ISERROR(VLOOKUP($A107,'SegEnds_NonXtal_BW#'!$A:$Z,4,FALSE)+VLOOKUP($A107,A:AL,4,FALSE)-50),"-",(VLOOKUP($A107,'SegEnds_NonXtal_BW#'!$A:$Z,4,FALSE)+VLOOKUP($A107,A:AL,4,FALSE)-50))</f>
        <v>54</v>
      </c>
      <c r="F107" s="3" t="str">
        <f>IF(ISERROR(VLOOKUP($A107,'SegEnds_NonXtal_BW#'!$A:$Z,5,FALSE)+VLOOKUP($A107,A:AL,7,FALSE)-50),"-",(VLOOKUP($A107,'SegEnds_NonXtal_BW#'!$A:$Z,5,FALSE)+VLOOKUP($A107,A:AL,7,FALSE)-50))</f>
        <v>-</v>
      </c>
      <c r="G107" s="3" t="s">
        <v>23</v>
      </c>
      <c r="H107" s="3" t="str">
        <f>IF(ISERROR(VLOOKUP($A107,'SegEnds_NonXtal_BW#'!$A:$Z,6,FALSE)+VLOOKUP($A107,A:AL,7,FALSE)-50),"-",(VLOOKUP($A107,'SegEnds_NonXtal_BW#'!$A:$Z,6,FALSE)+VLOOKUP($A107,A:AL,7,FALSE)-50))</f>
        <v>-</v>
      </c>
      <c r="I107" s="3">
        <f>VLOOKUP($A107,'SegEnds_NonXtal_BW#'!$A:$Z,7,FALSE)+J107-50</f>
        <v>58</v>
      </c>
      <c r="J107" s="3">
        <v>71</v>
      </c>
      <c r="K107" s="3">
        <f>VLOOKUP($A107,'SegEnds_NonXtal_BW#'!$A:$Z,8,FALSE)+VLOOKUP($A107,A:AL,10,FALSE)-50</f>
        <v>87</v>
      </c>
      <c r="L107" s="3">
        <f t="shared" si="69"/>
        <v>90</v>
      </c>
      <c r="M107" s="3">
        <v>91</v>
      </c>
      <c r="N107" s="3">
        <f t="shared" si="70"/>
        <v>93</v>
      </c>
      <c r="O107" s="3">
        <f t="shared" si="71"/>
        <v>94</v>
      </c>
      <c r="P107" s="3">
        <v>123</v>
      </c>
      <c r="Q107" s="3">
        <f>VLOOKUP($A107,'SegEnds_NonXtal_BW#'!$A:$Z,12,FALSE)+VLOOKUP($A107,A:AL,16,FALSE)-50</f>
        <v>129</v>
      </c>
      <c r="R107" s="3">
        <f>IF(ISERROR(VLOOKUP($A107,'SegEnds_NonXtal_BW#'!$A:$Z,13,FALSE)+VLOOKUP($A107,A:AL,19,FALSE)-50),"-",VLOOKUP($A107,'SegEnds_NonXtal_BW#'!$A:$Z,13,FALSE)+VLOOKUP($A107,A:AL,19,FALSE)-50)</f>
        <v>130</v>
      </c>
      <c r="S107" s="3">
        <v>130</v>
      </c>
      <c r="T107" s="103">
        <f>IF(ISERROR(VLOOKUP($A107,'SegEnds_NonXtal_BW#'!$A:$Z,14,FALSE)+VLOOKUP($A107,A:AL,19,FALSE)-50),"-",(VLOOKUP($A107,'SegEnds_NonXtal_BW#'!$A:$Z,14,FALSE)+VLOOKUP($A107,A:AL,19,FALSE)-50))</f>
        <v>137</v>
      </c>
      <c r="U107" s="9">
        <f>IF(ISERROR(VLOOKUP($A107,'SegEnds_NonXtal_BW#'!$A:$Z,15,FALSE)+VLOOKUP($A107,A:AL,22,FALSE)-50),"-",VLOOKUP($A107,'SegEnds_NonXtal_BW#'!$A:$Z,15,FALSE)+VLOOKUP($A107,A:AL,22,FALSE)-50)</f>
        <v>138</v>
      </c>
      <c r="V107" s="3">
        <v>150</v>
      </c>
      <c r="W107" s="3">
        <f>IF(ISERROR(VLOOKUP($A107,'SegEnds_NonXtal_BW#'!$A:$Z,16,FALSE)+VLOOKUP($A107,A:AL,22,FALSE)-50),"-",(VLOOKUP($A107,'SegEnds_NonXtal_BW#'!$A:$Z,16,FALSE)+VLOOKUP($A107,A:AL,22,FALSE)-50))</f>
        <v>164</v>
      </c>
      <c r="X107" s="3">
        <f>IF(ISERROR(VLOOKUP($A107,'SegEnds_NonXtal_BW#'!$A:$Z,17,FALSE)+VLOOKUP($A107,A:AL,25,FALSE)-50),"-",(VLOOKUP($A107,'SegEnds_NonXtal_BW#'!$A:$Z,17,FALSE)+VLOOKUP($A107,A:AL,25,FALSE)-50))</f>
        <v>176</v>
      </c>
      <c r="Y107" s="3">
        <v>176</v>
      </c>
      <c r="Z107" s="3">
        <f t="shared" si="65"/>
        <v>178</v>
      </c>
      <c r="AA107" s="3">
        <f>IF(ISERROR(VLOOKUP($A107,'SegEnds_NonXtal_BW#'!$A:$Z,19,FALSE)+VLOOKUP($A107,A:AL,28,FALSE)-50),"-",(VLOOKUP($A107,'SegEnds_NonXtal_BW#'!$A:$Z,19,FALSE)+VLOOKUP($A107,A:AL,28,FALSE)-50))</f>
        <v>195</v>
      </c>
      <c r="AB107" s="3">
        <v>213</v>
      </c>
      <c r="AC107" s="3">
        <f>IF(ISERROR((VLOOKUP($A107,'SegEnds_NonXtal_BW#'!$A:$Z,20,FALSE)+VLOOKUP($A107,A:AL,28,FALSE)-50)),"-",(VLOOKUP($A107,'SegEnds_NonXtal_BW#'!$A:$Z,20,FALSE)+VLOOKUP($A107,A:AL,28,FALSE)-50))</f>
        <v>231</v>
      </c>
      <c r="AD107" s="3">
        <f>IF(ISERROR(VLOOKUP($A107,'SegEnds_NonXtal_BW#'!$A:$Z,21,FALSE)+VLOOKUP($A107,A:AL,31,FALSE)-50),"-",(VLOOKUP($A107,'SegEnds_NonXtal_BW#'!$A:$Z,21,FALSE)+VLOOKUP($A107,A:AL,31,FALSE)-50))</f>
        <v>236</v>
      </c>
      <c r="AE107" s="3">
        <v>256</v>
      </c>
      <c r="AF107" s="3">
        <f>IF(ISERROR((VLOOKUP($A107,'SegEnds_NonXtal_BW#'!$A:$Z,22,FALSE)+VLOOKUP($A107,A:AL,31,FALSE)-50)),"-",(VLOOKUP($A107,'SegEnds_NonXtal_BW#'!$A:$Z,22,FALSE)+VLOOKUP($A107,A:AL,31,FALSE)-50))</f>
        <v>267</v>
      </c>
      <c r="AG107" s="3">
        <f>IF(ISERROR(VLOOKUP($A107,'SegEnds_NonXtal_BW#'!$A:$Z,23,FALSE)+VLOOKUP($A107,A:AL,34,FALSE)-50),"-",(VLOOKUP($A107,'SegEnds_NonXtal_BW#'!$A:$Z,23,FALSE)+VLOOKUP($A107,A:AL,34,FALSE)-50))</f>
        <v>273</v>
      </c>
      <c r="AH107" s="3">
        <v>299</v>
      </c>
      <c r="AI107" s="3">
        <f>IF(ISERROR((VLOOKUP($A107,'SegEnds_NonXtal_BW#'!$A:$Z,24,FALSE)+VLOOKUP($A107,A:AL,34,FALSE)-50)),"-",(VLOOKUP($A107,'SegEnds_NonXtal_BW#'!$A:$Z,24,FALSE)+VLOOKUP($A107,A:AL,34,FALSE)-50))</f>
        <v>305</v>
      </c>
      <c r="AJ107" s="3">
        <f>IF(ISERROR(VLOOKUP($A107,'SegEnds_NonXtal_BW#'!$A:$Z,25,FALSE)+VLOOKUP($A107,A:AL,37,FALSE)-50),"-",(VLOOKUP($A107,'SegEnds_NonXtal_BW#'!$A:$Z,25,FALSE)+VLOOKUP($A107,A:AL,37,FALSE)-50))</f>
        <v>306</v>
      </c>
      <c r="AK107" s="3">
        <v>309</v>
      </c>
      <c r="AL107" s="3">
        <f>IF(ISERROR((VLOOKUP($A107,'SegEnds_NonXtal_BW#'!$A:$Z,26,FALSE)+VLOOKUP($A107,A:AL,37,FALSE)-50)),"-",(VLOOKUP($A107,'SegEnds_NonXtal_BW#'!$A:$Z,26,FALSE)+VLOOKUP($A107,A:AL,37,FALSE)-50))</f>
        <v>318</v>
      </c>
      <c r="AM107" s="28" t="str">
        <f>VLOOKUP(A107,Classification!A:B,2,FALSE)</f>
        <v>A</v>
      </c>
      <c r="AN107" s="28" t="b">
        <f t="shared" ref="AN107:AN132" si="72">AND(IF(Y107="-",IF(AA107-W107&gt;3,TRUE,FALSE),TRUE),IF(M107="-",IF(O107-K107&gt;3,TRUE,FALSE),TRUE),C107&lt;E107,OR(E107&lt;F107,F107="-"),OR(F107&lt;H107,F107="-"),OR(H107&lt;I107,H107="-"),I107&lt;K107,OR(K107&lt;L107,L107="-"),OR(L107&lt;N107,L107="-"),OR(N107&lt;O107,N107="-"),O107&lt;Q107,OR(Q107&lt;R107,R107="-"),OR(R107&lt;T107,R107="-"),OR(T107&lt;U107,T107="-"),U107&lt;W107,OR(W107&lt;X107,X107="-"),OR(X107&lt;Z107,X107="-"),OR(Z107&lt;AA107,Z107="-"),AA107&lt;AC107,AC107&lt;AD107,AD107&lt;AF107,AF107&lt;AG107,AG107&lt;AI107,OR(AI107&lt;AJ107,AJ107="-"),OR(AJ107&lt;AL107,AJ107="-"))</f>
        <v>1</v>
      </c>
      <c r="AO107" s="3" t="str">
        <f>IF(ISERROR(MATCH(A107,'SegEnds_Xtal_Prot#'!B:B, 0)), "NoXtal", "Xtal")</f>
        <v>NoXtal</v>
      </c>
      <c r="AP107" s="3" t="str">
        <f t="shared" si="41"/>
        <v>-</v>
      </c>
      <c r="AQ107" s="3" t="str">
        <f t="shared" si="42"/>
        <v>-</v>
      </c>
      <c r="AR107" s="3">
        <f t="shared" si="43"/>
        <v>3</v>
      </c>
      <c r="AS107" s="3">
        <f t="shared" si="44"/>
        <v>1</v>
      </c>
      <c r="AT107" s="3">
        <f t="shared" si="45"/>
        <v>1</v>
      </c>
      <c r="AU107" s="3">
        <f t="shared" si="46"/>
        <v>1</v>
      </c>
      <c r="AV107" s="3">
        <f t="shared" si="47"/>
        <v>12</v>
      </c>
      <c r="AW107" s="3">
        <f t="shared" si="48"/>
        <v>17</v>
      </c>
      <c r="AX107" s="3">
        <f t="shared" si="49"/>
        <v>5</v>
      </c>
      <c r="AY107" s="3">
        <f t="shared" si="50"/>
        <v>6</v>
      </c>
      <c r="AZ107" s="3">
        <f t="shared" si="51"/>
        <v>1</v>
      </c>
      <c r="BA107" s="3">
        <f>IF(ISERROR(LEN(VLOOKUP(A107,Seqs!A:E,2,FALSE))-AL107),"-",LEN(VLOOKUP(A107,Seqs!A:E,2,FALSE))-AL107)</f>
        <v>33</v>
      </c>
      <c r="BB107" s="16">
        <f t="shared" si="52"/>
        <v>27</v>
      </c>
      <c r="BC107" s="9">
        <f t="shared" si="53"/>
        <v>20</v>
      </c>
      <c r="BD107" s="3">
        <f t="shared" si="54"/>
        <v>27</v>
      </c>
      <c r="BE107" s="3">
        <f t="shared" si="55"/>
        <v>43</v>
      </c>
    </row>
    <row r="108" spans="1:58" s="3" customFormat="1" x14ac:dyDescent="0.2">
      <c r="A108" s="3" t="s">
        <v>203</v>
      </c>
      <c r="B108" s="3" t="str">
        <f>LOWER(VLOOKUP(A108,Xtal_Templ!A:B,2,FALSE))</f>
        <v>cxcr4_human</v>
      </c>
      <c r="C108" s="3">
        <f>VLOOKUP($A108,'SegEnds_NonXtal_BW#'!$A:$Z,3,FALSE)+D108-50</f>
        <v>18</v>
      </c>
      <c r="D108" s="3">
        <v>44</v>
      </c>
      <c r="E108" s="3">
        <f>IF(ISERROR(VLOOKUP($A108,'SegEnds_NonXtal_BW#'!$A:$Z,4,FALSE)+VLOOKUP($A108,A:AL,4,FALSE)-50),"-",(VLOOKUP($A108,'SegEnds_NonXtal_BW#'!$A:$Z,4,FALSE)+VLOOKUP($A108,A:AL,4,FALSE)-50))</f>
        <v>54</v>
      </c>
      <c r="F108" s="3" t="str">
        <f>IF(ISERROR(VLOOKUP($A108,'SegEnds_NonXtal_BW#'!$A:$Z,5,FALSE)+VLOOKUP($A108,A:AL,7,FALSE)-50),"-",(VLOOKUP($A108,'SegEnds_NonXtal_BW#'!$A:$Z,5,FALSE)+VLOOKUP($A108,A:AL,7,FALSE)-50))</f>
        <v>-</v>
      </c>
      <c r="G108" s="3" t="s">
        <v>23</v>
      </c>
      <c r="H108" s="3" t="str">
        <f>IF(ISERROR(VLOOKUP($A108,'SegEnds_NonXtal_BW#'!$A:$Z,6,FALSE)+VLOOKUP($A108,A:AL,7,FALSE)-50),"-",(VLOOKUP($A108,'SegEnds_NonXtal_BW#'!$A:$Z,6,FALSE)+VLOOKUP($A108,A:AL,7,FALSE)-50))</f>
        <v>-</v>
      </c>
      <c r="I108" s="3">
        <f>VLOOKUP($A108,'SegEnds_NonXtal_BW#'!$A:$Z,7,FALSE)+J108-50</f>
        <v>58</v>
      </c>
      <c r="J108" s="3">
        <v>71</v>
      </c>
      <c r="K108" s="3">
        <f>VLOOKUP($A108,'SegEnds_NonXtal_BW#'!$A:$Z,8,FALSE)+VLOOKUP($A108,A:AL,10,FALSE)-50</f>
        <v>87</v>
      </c>
      <c r="L108" s="3">
        <f t="shared" si="69"/>
        <v>90</v>
      </c>
      <c r="M108" s="3">
        <v>91</v>
      </c>
      <c r="N108" s="3">
        <f t="shared" si="70"/>
        <v>93</v>
      </c>
      <c r="O108" s="3">
        <f t="shared" si="71"/>
        <v>94</v>
      </c>
      <c r="P108" s="3">
        <v>123</v>
      </c>
      <c r="Q108" s="3">
        <f>VLOOKUP($A108,'SegEnds_NonXtal_BW#'!$A:$Z,12,FALSE)+VLOOKUP($A108,A:AL,16,FALSE)-50</f>
        <v>129</v>
      </c>
      <c r="R108" s="3">
        <f>IF(ISERROR(VLOOKUP($A108,'SegEnds_NonXtal_BW#'!$A:$Z,13,FALSE)+VLOOKUP($A108,A:AL,19,FALSE)-50),"-",VLOOKUP($A108,'SegEnds_NonXtal_BW#'!$A:$Z,13,FALSE)+VLOOKUP($A108,A:AL,19,FALSE)-50)</f>
        <v>130</v>
      </c>
      <c r="S108" s="3">
        <v>130</v>
      </c>
      <c r="T108" s="103">
        <f>IF(ISERROR(VLOOKUP($A108,'SegEnds_NonXtal_BW#'!$A:$Z,14,FALSE)+VLOOKUP($A108,A:AL,19,FALSE)-50),"-",(VLOOKUP($A108,'SegEnds_NonXtal_BW#'!$A:$Z,14,FALSE)+VLOOKUP($A108,A:AL,19,FALSE)-50))</f>
        <v>137</v>
      </c>
      <c r="U108" s="9">
        <f>IF(ISERROR(VLOOKUP($A108,'SegEnds_NonXtal_BW#'!$A:$Z,15,FALSE)+VLOOKUP($A108,A:AL,22,FALSE)-50),"-",VLOOKUP($A108,'SegEnds_NonXtal_BW#'!$A:$Z,15,FALSE)+VLOOKUP($A108,A:AL,22,FALSE)-50)</f>
        <v>138</v>
      </c>
      <c r="V108" s="3">
        <v>150</v>
      </c>
      <c r="W108" s="3">
        <f>IF(ISERROR(VLOOKUP($A108,'SegEnds_NonXtal_BW#'!$A:$Z,16,FALSE)+VLOOKUP($A108,A:AL,22,FALSE)-50),"-",(VLOOKUP($A108,'SegEnds_NonXtal_BW#'!$A:$Z,16,FALSE)+VLOOKUP($A108,A:AL,22,FALSE)-50))</f>
        <v>164</v>
      </c>
      <c r="X108" s="3">
        <f>IF(ISERROR(VLOOKUP($A108,'SegEnds_NonXtal_BW#'!$A:$Z,17,FALSE)+VLOOKUP($A108,A:AL,25,FALSE)-50),"-",(VLOOKUP($A108,'SegEnds_NonXtal_BW#'!$A:$Z,17,FALSE)+VLOOKUP($A108,A:AL,25,FALSE)-50))</f>
        <v>176</v>
      </c>
      <c r="Y108" s="3">
        <v>176</v>
      </c>
      <c r="Z108" s="3">
        <f t="shared" si="65"/>
        <v>178</v>
      </c>
      <c r="AA108" s="3">
        <f>IF(ISERROR(VLOOKUP($A108,'SegEnds_NonXtal_BW#'!$A:$Z,19,FALSE)+VLOOKUP($A108,A:AL,28,FALSE)-50),"-",(VLOOKUP($A108,'SegEnds_NonXtal_BW#'!$A:$Z,19,FALSE)+VLOOKUP($A108,A:AL,28,FALSE)-50))</f>
        <v>195</v>
      </c>
      <c r="AB108" s="3">
        <v>213</v>
      </c>
      <c r="AC108" s="3">
        <f>IF(ISERROR((VLOOKUP($A108,'SegEnds_NonXtal_BW#'!$A:$Z,20,FALSE)+VLOOKUP($A108,A:AL,28,FALSE)-50)),"-",(VLOOKUP($A108,'SegEnds_NonXtal_BW#'!$A:$Z,20,FALSE)+VLOOKUP($A108,A:AL,28,FALSE)-50))</f>
        <v>231</v>
      </c>
      <c r="AD108" s="3">
        <f>IF(ISERROR(VLOOKUP($A108,'SegEnds_NonXtal_BW#'!$A:$Z,21,FALSE)+VLOOKUP($A108,A:AL,31,FALSE)-50),"-",(VLOOKUP($A108,'SegEnds_NonXtal_BW#'!$A:$Z,21,FALSE)+VLOOKUP($A108,A:AL,31,FALSE)-50))</f>
        <v>236</v>
      </c>
      <c r="AE108" s="3">
        <v>256</v>
      </c>
      <c r="AF108" s="3">
        <f>IF(ISERROR((VLOOKUP($A108,'SegEnds_NonXtal_BW#'!$A:$Z,22,FALSE)+VLOOKUP($A108,A:AL,31,FALSE)-50)),"-",(VLOOKUP($A108,'SegEnds_NonXtal_BW#'!$A:$Z,22,FALSE)+VLOOKUP($A108,A:AL,31,FALSE)-50))</f>
        <v>267</v>
      </c>
      <c r="AG108" s="3">
        <f>IF(ISERROR(VLOOKUP($A108,'SegEnds_NonXtal_BW#'!$A:$Z,23,FALSE)+VLOOKUP($A108,A:AL,34,FALSE)-50),"-",(VLOOKUP($A108,'SegEnds_NonXtal_BW#'!$A:$Z,23,FALSE)+VLOOKUP($A108,A:AL,34,FALSE)-50))</f>
        <v>273</v>
      </c>
      <c r="AH108" s="3">
        <v>299</v>
      </c>
      <c r="AI108" s="3">
        <f>IF(ISERROR((VLOOKUP($A108,'SegEnds_NonXtal_BW#'!$A:$Z,24,FALSE)+VLOOKUP($A108,A:AL,34,FALSE)-50)),"-",(VLOOKUP($A108,'SegEnds_NonXtal_BW#'!$A:$Z,24,FALSE)+VLOOKUP($A108,A:AL,34,FALSE)-50))</f>
        <v>305</v>
      </c>
      <c r="AJ108" s="3">
        <f>IF(ISERROR(VLOOKUP($A108,'SegEnds_NonXtal_BW#'!$A:$Z,25,FALSE)+VLOOKUP($A108,A:AL,37,FALSE)-50),"-",(VLOOKUP($A108,'SegEnds_NonXtal_BW#'!$A:$Z,25,FALSE)+VLOOKUP($A108,A:AL,37,FALSE)-50))</f>
        <v>306</v>
      </c>
      <c r="AK108" s="3">
        <v>309</v>
      </c>
      <c r="AL108" s="3">
        <f>IF(ISERROR((VLOOKUP($A108,'SegEnds_NonXtal_BW#'!$A:$Z,26,FALSE)+VLOOKUP($A108,A:AL,37,FALSE)-50)),"-",(VLOOKUP($A108,'SegEnds_NonXtal_BW#'!$A:$Z,26,FALSE)+VLOOKUP($A108,A:AL,37,FALSE)-50))</f>
        <v>318</v>
      </c>
      <c r="AM108" s="28" t="str">
        <f>VLOOKUP(A108,Classification!A:B,2,FALSE)</f>
        <v>A</v>
      </c>
      <c r="AN108" s="28" t="b">
        <f t="shared" si="72"/>
        <v>1</v>
      </c>
      <c r="AO108" s="3" t="str">
        <f>IF(ISERROR(MATCH(A108,'SegEnds_Xtal_Prot#'!B:B, 0)), "NoXtal", "Xtal")</f>
        <v>NoXtal</v>
      </c>
      <c r="AP108" s="3" t="str">
        <f t="shared" si="41"/>
        <v>-</v>
      </c>
      <c r="AQ108" s="3" t="str">
        <f t="shared" si="42"/>
        <v>-</v>
      </c>
      <c r="AR108" s="3">
        <f t="shared" si="43"/>
        <v>3</v>
      </c>
      <c r="AS108" s="3">
        <f t="shared" si="44"/>
        <v>1</v>
      </c>
      <c r="AT108" s="3">
        <f t="shared" si="45"/>
        <v>1</v>
      </c>
      <c r="AU108" s="3">
        <f t="shared" si="46"/>
        <v>1</v>
      </c>
      <c r="AV108" s="3">
        <f t="shared" si="47"/>
        <v>12</v>
      </c>
      <c r="AW108" s="3">
        <f t="shared" si="48"/>
        <v>17</v>
      </c>
      <c r="AX108" s="3">
        <f t="shared" si="49"/>
        <v>5</v>
      </c>
      <c r="AY108" s="3">
        <f t="shared" si="50"/>
        <v>6</v>
      </c>
      <c r="AZ108" s="3">
        <f t="shared" si="51"/>
        <v>1</v>
      </c>
      <c r="BA108" s="3">
        <f>IF(ISERROR(LEN(VLOOKUP(A108,Seqs!A:E,2,FALSE))-AL108),"-",LEN(VLOOKUP(A108,Seqs!A:E,2,FALSE))-AL108)</f>
        <v>35</v>
      </c>
      <c r="BB108" s="16">
        <f t="shared" si="52"/>
        <v>27</v>
      </c>
      <c r="BC108" s="9">
        <f t="shared" si="53"/>
        <v>20</v>
      </c>
      <c r="BD108" s="3">
        <f t="shared" si="54"/>
        <v>27</v>
      </c>
      <c r="BE108" s="3">
        <f t="shared" si="55"/>
        <v>43</v>
      </c>
    </row>
    <row r="109" spans="1:58" s="3" customFormat="1" x14ac:dyDescent="0.2">
      <c r="A109" s="3" t="s">
        <v>204</v>
      </c>
      <c r="B109" s="3" t="str">
        <f>LOWER(VLOOKUP(A109,Xtal_Templ!A:B,2,FALSE))</f>
        <v>aa2ar_human</v>
      </c>
      <c r="C109" s="3">
        <f>VLOOKUP($A109,'SegEnds_NonXtal_BW#'!$A:$Z,3,FALSE)+D109-50</f>
        <v>357</v>
      </c>
      <c r="D109" s="3">
        <v>380</v>
      </c>
      <c r="E109" s="3">
        <f>IF(ISERROR(VLOOKUP($A109,'SegEnds_NonXtal_BW#'!$A:$Z,4,FALSE)+VLOOKUP($A109,A:AL,4,FALSE)-50),"-",(VLOOKUP($A109,'SegEnds_NonXtal_BW#'!$A:$Z,4,FALSE)+VLOOKUP($A109,A:AL,4,FALSE)-50))</f>
        <v>390</v>
      </c>
      <c r="F109" s="3">
        <f>G109-2</f>
        <v>392</v>
      </c>
      <c r="G109" s="3">
        <v>394</v>
      </c>
      <c r="H109" s="3">
        <f>G109+1</f>
        <v>395</v>
      </c>
      <c r="I109" s="3">
        <f>H109+1</f>
        <v>396</v>
      </c>
      <c r="J109" s="3">
        <v>408</v>
      </c>
      <c r="K109" s="3">
        <f>VLOOKUP($A109,'SegEnds_NonXtal_BW#'!$A:$Z,8,FALSE)+VLOOKUP($A109,A:AL,10,FALSE)-50</f>
        <v>425</v>
      </c>
      <c r="L109" s="3">
        <f t="shared" si="69"/>
        <v>435</v>
      </c>
      <c r="M109" s="3">
        <v>436</v>
      </c>
      <c r="N109" s="3">
        <f t="shared" si="70"/>
        <v>438</v>
      </c>
      <c r="O109" s="3">
        <f t="shared" si="71"/>
        <v>439</v>
      </c>
      <c r="P109" s="3">
        <v>467</v>
      </c>
      <c r="Q109" s="3">
        <f>VLOOKUP($A109,'SegEnds_NonXtal_BW#'!$A:$Z,12,FALSE)+VLOOKUP($A109,A:AL,16,FALSE)-50</f>
        <v>473</v>
      </c>
      <c r="R109" s="3">
        <f>IF(ISERROR(VLOOKUP($A109,'SegEnds_NonXtal_BW#'!$A:$Z,13,FALSE)+VLOOKUP($A109,A:AL,19,FALSE)-50),"-",VLOOKUP($A109,'SegEnds_NonXtal_BW#'!$A:$Z,13,FALSE)+VLOOKUP($A109,A:AL,19,FALSE)-50)</f>
        <v>474</v>
      </c>
      <c r="S109" s="3">
        <v>474</v>
      </c>
      <c r="T109" s="103">
        <f>IF(ISERROR(VLOOKUP($A109,'SegEnds_NonXtal_BW#'!$A:$Z,14,FALSE)+VLOOKUP($A109,A:AL,19,FALSE)-50),"-",(VLOOKUP($A109,'SegEnds_NonXtal_BW#'!$A:$Z,14,FALSE)+VLOOKUP($A109,A:AL,19,FALSE)-50))</f>
        <v>481</v>
      </c>
      <c r="U109" s="9">
        <f>IF(ISERROR(VLOOKUP($A109,'SegEnds_NonXtal_BW#'!$A:$Z,15,FALSE)+VLOOKUP($A109,A:AL,22,FALSE)-50),"-",VLOOKUP($A109,'SegEnds_NonXtal_BW#'!$A:$Z,15,FALSE)+VLOOKUP($A109,A:AL,22,FALSE)-50)</f>
        <v>482</v>
      </c>
      <c r="V109" s="3">
        <v>494</v>
      </c>
      <c r="W109" s="3">
        <f>IF(ISERROR(VLOOKUP($A109,'SegEnds_NonXtal_BW#'!$A:$Z,16,FALSE)+VLOOKUP($A109,A:AL,22,FALSE)-50),"-",(VLOOKUP($A109,'SegEnds_NonXtal_BW#'!$A:$Z,16,FALSE)+VLOOKUP($A109,A:AL,22,FALSE)-50))</f>
        <v>507</v>
      </c>
      <c r="X109" s="3">
        <f>IF(ISERROR(VLOOKUP($A109,'SegEnds_NonXtal_BW#'!$A:$Z,17,FALSE)+VLOOKUP($A109,A:AL,25,FALSE)-50),"-",(VLOOKUP($A109,'SegEnds_NonXtal_BW#'!$A:$Z,17,FALSE)+VLOOKUP($A109,A:AL,25,FALSE)-50))</f>
        <v>517</v>
      </c>
      <c r="Y109" s="3">
        <v>517</v>
      </c>
      <c r="Z109" s="3">
        <f t="shared" si="65"/>
        <v>519</v>
      </c>
      <c r="AA109" s="3">
        <f>IF(ISERROR(VLOOKUP($A109,'SegEnds_NonXtal_BW#'!$A:$Z,19,FALSE)+VLOOKUP($A109,A:AL,28,FALSE)-50),"-",(VLOOKUP($A109,'SegEnds_NonXtal_BW#'!$A:$Z,19,FALSE)+VLOOKUP($A109,A:AL,28,FALSE)-50))</f>
        <v>525</v>
      </c>
      <c r="AB109" s="3">
        <v>541</v>
      </c>
      <c r="AC109" s="3">
        <f>IF(ISERROR((VLOOKUP($A109,'SegEnds_NonXtal_BW#'!$A:$Z,20,FALSE)+VLOOKUP($A109,A:AL,28,FALSE)-50)),"-",(VLOOKUP($A109,'SegEnds_NonXtal_BW#'!$A:$Z,20,FALSE)+VLOOKUP($A109,A:AL,28,FALSE)-50))</f>
        <v>558</v>
      </c>
      <c r="AD109" s="3">
        <f>IF(ISERROR(VLOOKUP($A109,'SegEnds_NonXtal_BW#'!$A:$Z,21,FALSE)+VLOOKUP($A109,A:AL,31,FALSE)-50),"-",(VLOOKUP($A109,'SegEnds_NonXtal_BW#'!$A:$Z,21,FALSE)+VLOOKUP($A109,A:AL,31,FALSE)-50))</f>
        <v>563</v>
      </c>
      <c r="AE109" s="3">
        <v>587</v>
      </c>
      <c r="AF109" s="3">
        <f>IF(ISERROR((VLOOKUP($A109,'SegEnds_NonXtal_BW#'!$A:$Z,22,FALSE)+VLOOKUP($A109,A:AL,31,FALSE)-50)),"-",(VLOOKUP($A109,'SegEnds_NonXtal_BW#'!$A:$Z,22,FALSE)+VLOOKUP($A109,A:AL,31,FALSE)-50))</f>
        <v>598</v>
      </c>
      <c r="AG109" s="3">
        <f>IF(ISERROR(VLOOKUP($A109,'SegEnds_NonXtal_BW#'!$A:$Z,23,FALSE)+VLOOKUP($A109,A:AL,34,FALSE)-50),"-",(VLOOKUP($A109,'SegEnds_NonXtal_BW#'!$A:$Z,23,FALSE)+VLOOKUP($A109,A:AL,34,FALSE)-50))</f>
        <v>604</v>
      </c>
      <c r="AH109" s="3">
        <v>623</v>
      </c>
      <c r="AI109" s="3">
        <f>IF(ISERROR((VLOOKUP($A109,'SegEnds_NonXtal_BW#'!$A:$Z,24,FALSE)+VLOOKUP($A109,A:AL,34,FALSE)-50)),"-",(VLOOKUP($A109,'SegEnds_NonXtal_BW#'!$A:$Z,24,FALSE)+VLOOKUP($A109,A:AL,34,FALSE)-50))</f>
        <v>629</v>
      </c>
      <c r="AJ109" s="3">
        <f>IF(ISERROR(VLOOKUP($A109,'SegEnds_NonXtal_BW#'!$A:$Z,25,FALSE)+VLOOKUP($A109,A:AL,37,FALSE)-50),"-",(VLOOKUP($A109,'SegEnds_NonXtal_BW#'!$A:$Z,25,FALSE)+VLOOKUP($A109,A:AL,37,FALSE)-50))</f>
        <v>630</v>
      </c>
      <c r="AK109" s="3">
        <v>633</v>
      </c>
      <c r="AL109" s="3">
        <f>IF(ISERROR((VLOOKUP($A109,'SegEnds_NonXtal_BW#'!$A:$Z,26,FALSE)+VLOOKUP($A109,A:AL,37,FALSE)-50)),"-",(VLOOKUP($A109,'SegEnds_NonXtal_BW#'!$A:$Z,26,FALSE)+VLOOKUP($A109,A:AL,37,FALSE)-50))</f>
        <v>652</v>
      </c>
      <c r="AM109" s="28" t="str">
        <f>VLOOKUP(A109,Classification!A:B,2,FALSE)</f>
        <v>A</v>
      </c>
      <c r="AN109" s="28" t="b">
        <f t="shared" si="72"/>
        <v>1</v>
      </c>
      <c r="AO109" s="3" t="str">
        <f>IF(ISERROR(MATCH(A109,'SegEnds_Xtal_Prot#'!B:B, 0)), "NoXtal", "Xtal")</f>
        <v>NoXtal</v>
      </c>
      <c r="AP109" s="3">
        <f t="shared" si="41"/>
        <v>2</v>
      </c>
      <c r="AQ109" s="3">
        <f t="shared" si="42"/>
        <v>1</v>
      </c>
      <c r="AR109" s="3">
        <f t="shared" si="43"/>
        <v>10</v>
      </c>
      <c r="AS109" s="3">
        <f t="shared" si="44"/>
        <v>1</v>
      </c>
      <c r="AT109" s="3">
        <f t="shared" si="45"/>
        <v>1</v>
      </c>
      <c r="AU109" s="3">
        <f t="shared" si="46"/>
        <v>1</v>
      </c>
      <c r="AV109" s="3">
        <f t="shared" si="47"/>
        <v>10</v>
      </c>
      <c r="AW109" s="3">
        <f t="shared" si="48"/>
        <v>6</v>
      </c>
      <c r="AX109" s="3">
        <f t="shared" si="49"/>
        <v>5</v>
      </c>
      <c r="AY109" s="3">
        <f t="shared" si="50"/>
        <v>6</v>
      </c>
      <c r="AZ109" s="3">
        <f t="shared" si="51"/>
        <v>1</v>
      </c>
      <c r="BA109" s="3">
        <f>IF(ISERROR(LEN(VLOOKUP(A109,Seqs!A:E,2,FALSE))-AL109),"-",LEN(VLOOKUP(A109,Seqs!A:E,2,FALSE))-AL109)</f>
        <v>43</v>
      </c>
      <c r="BB109" s="16">
        <f t="shared" si="52"/>
        <v>28</v>
      </c>
      <c r="BC109" s="9">
        <f t="shared" si="53"/>
        <v>20</v>
      </c>
      <c r="BD109" s="3">
        <f t="shared" si="54"/>
        <v>28</v>
      </c>
      <c r="BE109" s="3">
        <f t="shared" si="55"/>
        <v>46</v>
      </c>
    </row>
    <row r="110" spans="1:58" s="3" customFormat="1" x14ac:dyDescent="0.2">
      <c r="A110" s="3" t="s">
        <v>205</v>
      </c>
      <c r="B110" s="3" t="str">
        <f>LOWER(VLOOKUP(A110,Xtal_Templ!A:B,2,FALSE))</f>
        <v>oprk_human</v>
      </c>
      <c r="C110" s="3">
        <f>VLOOKUP($A110,'SegEnds_NonXtal_BW#'!$A:$Z,3,FALSE)+D110-50</f>
        <v>31</v>
      </c>
      <c r="D110" s="3">
        <v>51</v>
      </c>
      <c r="E110" s="3">
        <f>IF(ISERROR(VLOOKUP($A110,'SegEnds_NonXtal_BW#'!$A:$Z,4,FALSE)+VLOOKUP($A110,A:AL,4,FALSE)-50),"-",(VLOOKUP($A110,'SegEnds_NonXtal_BW#'!$A:$Z,4,FALSE)+VLOOKUP($A110,A:AL,4,FALSE)-50))</f>
        <v>61</v>
      </c>
      <c r="F110" s="3" t="str">
        <f>IF(ISERROR(VLOOKUP($A110,'SegEnds_NonXtal_BW#'!$A:$Z,5,FALSE)+VLOOKUP($A110,A:AL,7,FALSE)-50),"-",(VLOOKUP($A110,'SegEnds_NonXtal_BW#'!$A:$Z,5,FALSE)+VLOOKUP($A110,A:AL,7,FALSE)-50))</f>
        <v>-</v>
      </c>
      <c r="G110" s="3" t="s">
        <v>23</v>
      </c>
      <c r="H110" s="3" t="str">
        <f>IF(ISERROR(VLOOKUP($A110,'SegEnds_NonXtal_BW#'!$A:$Z,6,FALSE)+VLOOKUP($A110,A:AL,7,FALSE)-50),"-",(VLOOKUP($A110,'SegEnds_NonXtal_BW#'!$A:$Z,6,FALSE)+VLOOKUP($A110,A:AL,7,FALSE)-50))</f>
        <v>-</v>
      </c>
      <c r="I110" s="3">
        <f>VLOOKUP($A110,'SegEnds_NonXtal_BW#'!$A:$Z,7,FALSE)+J110-50</f>
        <v>68</v>
      </c>
      <c r="J110" s="3">
        <v>81</v>
      </c>
      <c r="K110" s="3">
        <f>VLOOKUP($A110,'SegEnds_NonXtal_BW#'!$A:$Z,8,FALSE)+VLOOKUP($A110,A:AL,10,FALSE)-50</f>
        <v>97</v>
      </c>
      <c r="L110" s="3">
        <f t="shared" si="69"/>
        <v>100</v>
      </c>
      <c r="M110" s="3">
        <v>101</v>
      </c>
      <c r="N110" s="3">
        <f t="shared" si="70"/>
        <v>103</v>
      </c>
      <c r="O110" s="3">
        <f t="shared" si="71"/>
        <v>104</v>
      </c>
      <c r="P110" s="3">
        <v>133</v>
      </c>
      <c r="Q110" s="3">
        <f>VLOOKUP($A110,'SegEnds_NonXtal_BW#'!$A:$Z,12,FALSE)+VLOOKUP($A110,A:AL,16,FALSE)-50</f>
        <v>139</v>
      </c>
      <c r="R110" s="3">
        <f>IF(ISERROR(VLOOKUP($A110,'SegEnds_NonXtal_BW#'!$A:$Z,13,FALSE)+VLOOKUP($A110,A:AL,19,FALSE)-50),"-",VLOOKUP($A110,'SegEnds_NonXtal_BW#'!$A:$Z,13,FALSE)+VLOOKUP($A110,A:AL,19,FALSE)-50)</f>
        <v>140</v>
      </c>
      <c r="S110" s="3">
        <v>140</v>
      </c>
      <c r="T110" s="103">
        <f>IF(ISERROR(VLOOKUP($A110,'SegEnds_NonXtal_BW#'!$A:$Z,14,FALSE)+VLOOKUP($A110,A:AL,19,FALSE)-50),"-",(VLOOKUP($A110,'SegEnds_NonXtal_BW#'!$A:$Z,14,FALSE)+VLOOKUP($A110,A:AL,19,FALSE)-50))</f>
        <v>147</v>
      </c>
      <c r="U110" s="9">
        <f>IF(ISERROR(VLOOKUP($A110,'SegEnds_NonXtal_BW#'!$A:$Z,15,FALSE)+VLOOKUP($A110,A:AL,22,FALSE)-50),"-",VLOOKUP($A110,'SegEnds_NonXtal_BW#'!$A:$Z,15,FALSE)+VLOOKUP($A110,A:AL,22,FALSE)-50)</f>
        <v>148</v>
      </c>
      <c r="V110" s="3">
        <v>160</v>
      </c>
      <c r="W110" s="3">
        <f>IF(ISERROR(VLOOKUP($A110,'SegEnds_NonXtal_BW#'!$A:$Z,16,FALSE)+VLOOKUP($A110,A:AL,22,FALSE)-50),"-",(VLOOKUP($A110,'SegEnds_NonXtal_BW#'!$A:$Z,16,FALSE)+VLOOKUP($A110,A:AL,22,FALSE)-50))</f>
        <v>174</v>
      </c>
      <c r="X110" s="3">
        <f>IF(ISERROR(VLOOKUP($A110,'SegEnds_NonXtal_BW#'!$A:$Z,17,FALSE)+VLOOKUP($A110,A:AL,25,FALSE)-50),"-",(VLOOKUP($A110,'SegEnds_NonXtal_BW#'!$A:$Z,17,FALSE)+VLOOKUP($A110,A:AL,25,FALSE)-50))</f>
        <v>187</v>
      </c>
      <c r="Y110" s="3">
        <v>187</v>
      </c>
      <c r="Z110" s="3">
        <f t="shared" si="65"/>
        <v>189</v>
      </c>
      <c r="AA110" s="3">
        <f>IF(ISERROR(VLOOKUP($A110,'SegEnds_NonXtal_BW#'!$A:$Z,19,FALSE)+VLOOKUP($A110,A:AL,28,FALSE)-50),"-",(VLOOKUP($A110,'SegEnds_NonXtal_BW#'!$A:$Z,19,FALSE)+VLOOKUP($A110,A:AL,28,FALSE)-50))</f>
        <v>193</v>
      </c>
      <c r="AB110" s="3">
        <v>212</v>
      </c>
      <c r="AC110" s="3">
        <f>IF(ISERROR((VLOOKUP($A110,'SegEnds_NonXtal_BW#'!$A:$Z,20,FALSE)+VLOOKUP($A110,A:AL,28,FALSE)-50)),"-",(VLOOKUP($A110,'SegEnds_NonXtal_BW#'!$A:$Z,20,FALSE)+VLOOKUP($A110,A:AL,28,FALSE)-50))</f>
        <v>234</v>
      </c>
      <c r="AD110" s="3">
        <f>IF(ISERROR(VLOOKUP($A110,'SegEnds_NonXtal_BW#'!$A:$Z,21,FALSE)+VLOOKUP($A110,A:AL,31,FALSE)-50),"-",(VLOOKUP($A110,'SegEnds_NonXtal_BW#'!$A:$Z,21,FALSE)+VLOOKUP($A110,A:AL,31,FALSE)-50))</f>
        <v>241</v>
      </c>
      <c r="AE110" s="3">
        <v>262</v>
      </c>
      <c r="AF110" s="3">
        <f>IF(ISERROR((VLOOKUP($A110,'SegEnds_NonXtal_BW#'!$A:$Z,22,FALSE)+VLOOKUP($A110,A:AL,31,FALSE)-50)),"-",(VLOOKUP($A110,'SegEnds_NonXtal_BW#'!$A:$Z,22,FALSE)+VLOOKUP($A110,A:AL,31,FALSE)-50))</f>
        <v>273</v>
      </c>
      <c r="AG110" s="3">
        <f>IF(ISERROR(VLOOKUP($A110,'SegEnds_NonXtal_BW#'!$A:$Z,23,FALSE)+VLOOKUP($A110,A:AL,34,FALSE)-50),"-",(VLOOKUP($A110,'SegEnds_NonXtal_BW#'!$A:$Z,23,FALSE)+VLOOKUP($A110,A:AL,34,FALSE)-50))</f>
        <v>278</v>
      </c>
      <c r="AH110" s="3">
        <v>300</v>
      </c>
      <c r="AI110" s="3">
        <f>IF(ISERROR((VLOOKUP($A110,'SegEnds_NonXtal_BW#'!$A:$Z,24,FALSE)+VLOOKUP($A110,A:AL,34,FALSE)-50)),"-",(VLOOKUP($A110,'SegEnds_NonXtal_BW#'!$A:$Z,24,FALSE)+VLOOKUP($A110,A:AL,34,FALSE)-50))</f>
        <v>306</v>
      </c>
      <c r="AJ110" s="3">
        <f>IF(ISERROR(VLOOKUP($A110,'SegEnds_NonXtal_BW#'!$A:$Z,25,FALSE)+VLOOKUP($A110,A:AL,37,FALSE)-50),"-",(VLOOKUP($A110,'SegEnds_NonXtal_BW#'!$A:$Z,25,FALSE)+VLOOKUP($A110,A:AL,37,FALSE)-50))</f>
        <v>307</v>
      </c>
      <c r="AK110" s="3">
        <v>310</v>
      </c>
      <c r="AL110" s="3">
        <f>IF(ISERROR((VLOOKUP($A110,'SegEnds_NonXtal_BW#'!$A:$Z,26,FALSE)+VLOOKUP($A110,A:AL,37,FALSE)-50)),"-",(VLOOKUP($A110,'SegEnds_NonXtal_BW#'!$A:$Z,26,FALSE)+VLOOKUP($A110,A:AL,37,FALSE)-50))</f>
        <v>319</v>
      </c>
      <c r="AM110" s="28" t="str">
        <f>VLOOKUP(A110,Classification!A:B,2,FALSE)</f>
        <v>A</v>
      </c>
      <c r="AN110" s="28" t="b">
        <f t="shared" si="72"/>
        <v>1</v>
      </c>
      <c r="AO110" s="3" t="str">
        <f>IF(ISERROR(MATCH(A110,'SegEnds_Xtal_Prot#'!B:B, 0)), "NoXtal", "Xtal")</f>
        <v>NoXtal</v>
      </c>
      <c r="AP110" s="3" t="str">
        <f t="shared" si="41"/>
        <v>-</v>
      </c>
      <c r="AQ110" s="3" t="str">
        <f t="shared" si="42"/>
        <v>-</v>
      </c>
      <c r="AR110" s="3">
        <f t="shared" si="43"/>
        <v>3</v>
      </c>
      <c r="AS110" s="3">
        <f t="shared" si="44"/>
        <v>1</v>
      </c>
      <c r="AT110" s="3">
        <f t="shared" si="45"/>
        <v>1</v>
      </c>
      <c r="AU110" s="3">
        <f t="shared" si="46"/>
        <v>1</v>
      </c>
      <c r="AV110" s="3">
        <f t="shared" si="47"/>
        <v>13</v>
      </c>
      <c r="AW110" s="3">
        <f t="shared" si="48"/>
        <v>4</v>
      </c>
      <c r="AX110" s="3">
        <f t="shared" si="49"/>
        <v>7</v>
      </c>
      <c r="AY110" s="3">
        <f t="shared" si="50"/>
        <v>5</v>
      </c>
      <c r="AZ110" s="3">
        <f t="shared" si="51"/>
        <v>1</v>
      </c>
      <c r="BA110" s="3">
        <f>IF(ISERROR(LEN(VLOOKUP(A110,Seqs!A:E,2,FALSE))-AL110),"-",LEN(VLOOKUP(A110,Seqs!A:E,2,FALSE))-AL110)</f>
        <v>30</v>
      </c>
      <c r="BB110" s="16">
        <f t="shared" si="52"/>
        <v>30</v>
      </c>
      <c r="BC110" s="9">
        <f t="shared" si="53"/>
        <v>20</v>
      </c>
      <c r="BD110" s="3">
        <f t="shared" si="54"/>
        <v>30</v>
      </c>
      <c r="BE110" s="3">
        <f t="shared" si="55"/>
        <v>50</v>
      </c>
    </row>
    <row r="111" spans="1:58" s="3" customFormat="1" x14ac:dyDescent="0.2">
      <c r="A111" s="3" t="s">
        <v>206</v>
      </c>
      <c r="B111" s="3" t="str">
        <f>LOWER(VLOOKUP(A111,Xtal_Templ!A:B,2,FALSE))</f>
        <v>oprk_human</v>
      </c>
      <c r="C111" s="3">
        <f>VLOOKUP($A111,'SegEnds_NonXtal_BW#'!$A:$Z,3,FALSE)+D111-50</f>
        <v>23</v>
      </c>
      <c r="D111" s="3">
        <v>43</v>
      </c>
      <c r="E111" s="3">
        <f>IF(ISERROR(VLOOKUP($A111,'SegEnds_NonXtal_BW#'!$A:$Z,4,FALSE)+VLOOKUP($A111,A:AL,4,FALSE)-50),"-",(VLOOKUP($A111,'SegEnds_NonXtal_BW#'!$A:$Z,4,FALSE)+VLOOKUP($A111,A:AL,4,FALSE)-50))</f>
        <v>53</v>
      </c>
      <c r="F111" s="3">
        <f>G111-2</f>
        <v>54</v>
      </c>
      <c r="G111" s="3">
        <v>56</v>
      </c>
      <c r="H111" s="3">
        <f t="shared" ref="H111:I115" si="73">G111+1</f>
        <v>57</v>
      </c>
      <c r="I111" s="3">
        <f t="shared" si="73"/>
        <v>58</v>
      </c>
      <c r="J111" s="3">
        <v>71</v>
      </c>
      <c r="K111" s="3">
        <f>VLOOKUP($A111,'SegEnds_NonXtal_BW#'!$A:$Z,8,FALSE)+VLOOKUP($A111,A:AL,10,FALSE)-50</f>
        <v>87</v>
      </c>
      <c r="L111" s="3">
        <f t="shared" si="69"/>
        <v>90</v>
      </c>
      <c r="M111" s="3">
        <v>91</v>
      </c>
      <c r="N111" s="3">
        <f t="shared" si="70"/>
        <v>93</v>
      </c>
      <c r="O111" s="3">
        <f t="shared" si="71"/>
        <v>94</v>
      </c>
      <c r="P111" s="3">
        <v>123</v>
      </c>
      <c r="Q111" s="3">
        <f>VLOOKUP($A111,'SegEnds_NonXtal_BW#'!$A:$Z,12,FALSE)+VLOOKUP($A111,A:AL,16,FALSE)-50</f>
        <v>129</v>
      </c>
      <c r="R111" s="3">
        <f>IF(ISERROR(VLOOKUP($A111,'SegEnds_NonXtal_BW#'!$A:$Z,13,FALSE)+VLOOKUP($A111,A:AL,19,FALSE)-50),"-",VLOOKUP($A111,'SegEnds_NonXtal_BW#'!$A:$Z,13,FALSE)+VLOOKUP($A111,A:AL,19,FALSE)-50)</f>
        <v>130</v>
      </c>
      <c r="S111" s="3">
        <v>130</v>
      </c>
      <c r="T111" s="103">
        <f>IF(ISERROR(VLOOKUP($A111,'SegEnds_NonXtal_BW#'!$A:$Z,14,FALSE)+VLOOKUP($A111,A:AL,19,FALSE)-50),"-",(VLOOKUP($A111,'SegEnds_NonXtal_BW#'!$A:$Z,14,FALSE)+VLOOKUP($A111,A:AL,19,FALSE)-50))</f>
        <v>137</v>
      </c>
      <c r="U111" s="9">
        <f>IF(ISERROR(VLOOKUP($A111,'SegEnds_NonXtal_BW#'!$A:$Z,15,FALSE)+VLOOKUP($A111,A:AL,22,FALSE)-50),"-",VLOOKUP($A111,'SegEnds_NonXtal_BW#'!$A:$Z,15,FALSE)+VLOOKUP($A111,A:AL,22,FALSE)-50)</f>
        <v>138</v>
      </c>
      <c r="V111" s="3">
        <v>150</v>
      </c>
      <c r="W111" s="3">
        <f>IF(ISERROR(VLOOKUP($A111,'SegEnds_NonXtal_BW#'!$A:$Z,16,FALSE)+VLOOKUP($A111,A:AL,22,FALSE)-50),"-",(VLOOKUP($A111,'SegEnds_NonXtal_BW#'!$A:$Z,16,FALSE)+VLOOKUP($A111,A:AL,22,FALSE)-50))</f>
        <v>164</v>
      </c>
      <c r="X111" s="3">
        <f>IF(ISERROR(VLOOKUP($A111,'SegEnds_NonXtal_BW#'!$A:$Z,17,FALSE)+VLOOKUP($A111,A:AL,25,FALSE)-50),"-",(VLOOKUP($A111,'SegEnds_NonXtal_BW#'!$A:$Z,17,FALSE)+VLOOKUP($A111,A:AL,25,FALSE)-50))</f>
        <v>175</v>
      </c>
      <c r="Y111" s="3">
        <v>175</v>
      </c>
      <c r="Z111" s="3">
        <f t="shared" si="65"/>
        <v>177</v>
      </c>
      <c r="AA111" s="3">
        <f>IF(ISERROR(VLOOKUP($A111,'SegEnds_NonXtal_BW#'!$A:$Z,19,FALSE)+VLOOKUP($A111,A:AL,28,FALSE)-50),"-",(VLOOKUP($A111,'SegEnds_NonXtal_BW#'!$A:$Z,19,FALSE)+VLOOKUP($A111,A:AL,28,FALSE)-50))</f>
        <v>180</v>
      </c>
      <c r="AB111" s="3">
        <v>199</v>
      </c>
      <c r="AC111" s="3">
        <f>IF(ISERROR((VLOOKUP($A111,'SegEnds_NonXtal_BW#'!$A:$Z,20,FALSE)+VLOOKUP($A111,A:AL,28,FALSE)-50)),"-",(VLOOKUP($A111,'SegEnds_NonXtal_BW#'!$A:$Z,20,FALSE)+VLOOKUP($A111,A:AL,28,FALSE)-50))</f>
        <v>221</v>
      </c>
      <c r="AD111" s="3">
        <f>IF(ISERROR(VLOOKUP($A111,'SegEnds_NonXtal_BW#'!$A:$Z,21,FALSE)+VLOOKUP($A111,A:AL,31,FALSE)-50),"-",(VLOOKUP($A111,'SegEnds_NonXtal_BW#'!$A:$Z,21,FALSE)+VLOOKUP($A111,A:AL,31,FALSE)-50))</f>
        <v>225</v>
      </c>
      <c r="AE111" s="3">
        <v>251</v>
      </c>
      <c r="AF111" s="3">
        <f>IF(ISERROR((VLOOKUP($A111,'SegEnds_NonXtal_BW#'!$A:$Z,22,FALSE)+VLOOKUP($A111,A:AL,31,FALSE)-50)),"-",(VLOOKUP($A111,'SegEnds_NonXtal_BW#'!$A:$Z,22,FALSE)+VLOOKUP($A111,A:AL,31,FALSE)-50))</f>
        <v>262</v>
      </c>
      <c r="AG111" s="3">
        <f>IF(ISERROR(VLOOKUP($A111,'SegEnds_NonXtal_BW#'!$A:$Z,23,FALSE)+VLOOKUP($A111,A:AL,34,FALSE)-50),"-",(VLOOKUP($A111,'SegEnds_NonXtal_BW#'!$A:$Z,23,FALSE)+VLOOKUP($A111,A:AL,34,FALSE)-50))</f>
        <v>267</v>
      </c>
      <c r="AH111" s="3">
        <v>289</v>
      </c>
      <c r="AI111" s="3">
        <f>IF(ISERROR((VLOOKUP($A111,'SegEnds_NonXtal_BW#'!$A:$Z,24,FALSE)+VLOOKUP($A111,A:AL,34,FALSE)-50)),"-",(VLOOKUP($A111,'SegEnds_NonXtal_BW#'!$A:$Z,24,FALSE)+VLOOKUP($A111,A:AL,34,FALSE)-50))</f>
        <v>295</v>
      </c>
      <c r="AJ111" s="3">
        <f>IF(ISERROR(VLOOKUP($A111,'SegEnds_NonXtal_BW#'!$A:$Z,25,FALSE)+VLOOKUP($A111,A:AL,37,FALSE)-50),"-",(VLOOKUP($A111,'SegEnds_NonXtal_BW#'!$A:$Z,25,FALSE)+VLOOKUP($A111,A:AL,37,FALSE)-50))</f>
        <v>296</v>
      </c>
      <c r="AK111" s="3">
        <v>299</v>
      </c>
      <c r="AL111" s="3">
        <f>IF(ISERROR((VLOOKUP($A111,'SegEnds_NonXtal_BW#'!$A:$Z,26,FALSE)+VLOOKUP($A111,A:AL,37,FALSE)-50)),"-",(VLOOKUP($A111,'SegEnds_NonXtal_BW#'!$A:$Z,26,FALSE)+VLOOKUP($A111,A:AL,37,FALSE)-50))</f>
        <v>308</v>
      </c>
      <c r="AM111" s="28" t="str">
        <f>VLOOKUP(A111,Classification!A:B,2,FALSE)</f>
        <v>A</v>
      </c>
      <c r="AN111" s="28" t="b">
        <f t="shared" si="72"/>
        <v>1</v>
      </c>
      <c r="AO111" s="3" t="str">
        <f>IF(ISERROR(MATCH(A111,'SegEnds_Xtal_Prot#'!B:B, 0)), "NoXtal", "Xtal")</f>
        <v>NoXtal</v>
      </c>
      <c r="AP111" s="3">
        <f t="shared" si="41"/>
        <v>1</v>
      </c>
      <c r="AQ111" s="3">
        <f t="shared" si="42"/>
        <v>1</v>
      </c>
      <c r="AR111" s="3">
        <f t="shared" si="43"/>
        <v>3</v>
      </c>
      <c r="AS111" s="3">
        <f t="shared" si="44"/>
        <v>1</v>
      </c>
      <c r="AT111" s="3">
        <f t="shared" si="45"/>
        <v>1</v>
      </c>
      <c r="AU111" s="3">
        <f t="shared" si="46"/>
        <v>1</v>
      </c>
      <c r="AV111" s="3">
        <f t="shared" si="47"/>
        <v>11</v>
      </c>
      <c r="AW111" s="3">
        <f t="shared" si="48"/>
        <v>3</v>
      </c>
      <c r="AX111" s="3">
        <f t="shared" si="49"/>
        <v>4</v>
      </c>
      <c r="AY111" s="3">
        <f t="shared" si="50"/>
        <v>5</v>
      </c>
      <c r="AZ111" s="3">
        <f t="shared" si="51"/>
        <v>1</v>
      </c>
      <c r="BA111" s="3">
        <f>IF(ISERROR(LEN(VLOOKUP(A111,Seqs!A:E,2,FALSE))-AL111),"-",LEN(VLOOKUP(A111,Seqs!A:E,2,FALSE))-AL111)</f>
        <v>79</v>
      </c>
      <c r="BB111" s="16">
        <f t="shared" si="52"/>
        <v>28</v>
      </c>
      <c r="BC111" s="9">
        <f t="shared" si="53"/>
        <v>20</v>
      </c>
      <c r="BD111" s="3">
        <f t="shared" si="54"/>
        <v>28</v>
      </c>
      <c r="BE111" s="3">
        <f t="shared" si="55"/>
        <v>52</v>
      </c>
    </row>
    <row r="112" spans="1:58" s="3" customFormat="1" x14ac:dyDescent="0.2">
      <c r="A112" s="3" t="s">
        <v>207</v>
      </c>
      <c r="B112" s="3" t="str">
        <f>LOWER(VLOOKUP(A112,Xtal_Templ!A:B,2,FALSE))</f>
        <v>oprk_human</v>
      </c>
      <c r="C112" s="3">
        <f>VLOOKUP($A112,'SegEnds_NonXtal_BW#'!$A:$Z,3,FALSE)+D112-50</f>
        <v>15</v>
      </c>
      <c r="D112" s="3">
        <v>35</v>
      </c>
      <c r="E112" s="3">
        <f>IF(ISERROR(VLOOKUP($A112,'SegEnds_NonXtal_BW#'!$A:$Z,4,FALSE)+VLOOKUP($A112,A:AL,4,FALSE)-50),"-",(VLOOKUP($A112,'SegEnds_NonXtal_BW#'!$A:$Z,4,FALSE)+VLOOKUP($A112,A:AL,4,FALSE)-50))</f>
        <v>45</v>
      </c>
      <c r="F112" s="3">
        <f>G112-2</f>
        <v>47</v>
      </c>
      <c r="G112" s="3">
        <v>49</v>
      </c>
      <c r="H112" s="3">
        <f t="shared" si="73"/>
        <v>50</v>
      </c>
      <c r="I112" s="3">
        <f t="shared" si="73"/>
        <v>51</v>
      </c>
      <c r="J112" s="3">
        <v>68</v>
      </c>
      <c r="K112" s="3">
        <f>VLOOKUP($A112,'SegEnds_NonXtal_BW#'!$A:$Z,8,FALSE)+VLOOKUP($A112,A:AL,10,FALSE)-50</f>
        <v>84</v>
      </c>
      <c r="L112" s="3">
        <f t="shared" si="69"/>
        <v>87</v>
      </c>
      <c r="M112" s="3">
        <v>88</v>
      </c>
      <c r="N112" s="3">
        <f t="shared" si="70"/>
        <v>90</v>
      </c>
      <c r="O112" s="3">
        <f t="shared" si="71"/>
        <v>91</v>
      </c>
      <c r="P112" s="3">
        <v>120</v>
      </c>
      <c r="Q112" s="3">
        <f>VLOOKUP($A112,'SegEnds_NonXtal_BW#'!$A:$Z,12,FALSE)+VLOOKUP($A112,A:AL,16,FALSE)-50</f>
        <v>126</v>
      </c>
      <c r="R112" s="3">
        <f>IF(ISERROR(VLOOKUP($A112,'SegEnds_NonXtal_BW#'!$A:$Z,13,FALSE)+VLOOKUP($A112,A:AL,19,FALSE)-50),"-",VLOOKUP($A112,'SegEnds_NonXtal_BW#'!$A:$Z,13,FALSE)+VLOOKUP($A112,A:AL,19,FALSE)-50)</f>
        <v>127</v>
      </c>
      <c r="S112" s="3">
        <v>127</v>
      </c>
      <c r="T112" s="103">
        <f>IF(ISERROR(VLOOKUP($A112,'SegEnds_NonXtal_BW#'!$A:$Z,14,FALSE)+VLOOKUP($A112,A:AL,19,FALSE)-50),"-",(VLOOKUP($A112,'SegEnds_NonXtal_BW#'!$A:$Z,14,FALSE)+VLOOKUP($A112,A:AL,19,FALSE)-50))</f>
        <v>134</v>
      </c>
      <c r="U112" s="9">
        <f>IF(ISERROR(VLOOKUP($A112,'SegEnds_NonXtal_BW#'!$A:$Z,15,FALSE)+VLOOKUP($A112,A:AL,22,FALSE)-50),"-",VLOOKUP($A112,'SegEnds_NonXtal_BW#'!$A:$Z,15,FALSE)+VLOOKUP($A112,A:AL,22,FALSE)-50)</f>
        <v>135</v>
      </c>
      <c r="V112" s="3">
        <v>147</v>
      </c>
      <c r="W112" s="3">
        <f>IF(ISERROR(VLOOKUP($A112,'SegEnds_NonXtal_BW#'!$A:$Z,16,FALSE)+VLOOKUP($A112,A:AL,22,FALSE)-50),"-",(VLOOKUP($A112,'SegEnds_NonXtal_BW#'!$A:$Z,16,FALSE)+VLOOKUP($A112,A:AL,22,FALSE)-50))</f>
        <v>161</v>
      </c>
      <c r="X112" s="3">
        <f>IF(ISERROR(VLOOKUP($A112,'SegEnds_NonXtal_BW#'!$A:$Z,17,FALSE)+VLOOKUP($A112,A:AL,25,FALSE)-50),"-",(VLOOKUP($A112,'SegEnds_NonXtal_BW#'!$A:$Z,17,FALSE)+VLOOKUP($A112,A:AL,25,FALSE)-50))</f>
        <v>172</v>
      </c>
      <c r="Y112" s="3">
        <v>172</v>
      </c>
      <c r="Z112" s="3">
        <f t="shared" si="65"/>
        <v>174</v>
      </c>
      <c r="AA112" s="3">
        <f>IF(ISERROR(VLOOKUP($A112,'SegEnds_NonXtal_BW#'!$A:$Z,19,FALSE)+VLOOKUP($A112,A:AL,28,FALSE)-50),"-",(VLOOKUP($A112,'SegEnds_NonXtal_BW#'!$A:$Z,19,FALSE)+VLOOKUP($A112,A:AL,28,FALSE)-50))</f>
        <v>177</v>
      </c>
      <c r="AB112" s="3">
        <v>196</v>
      </c>
      <c r="AC112" s="3">
        <f>IF(ISERROR((VLOOKUP($A112,'SegEnds_NonXtal_BW#'!$A:$Z,20,FALSE)+VLOOKUP($A112,A:AL,28,FALSE)-50)),"-",(VLOOKUP($A112,'SegEnds_NonXtal_BW#'!$A:$Z,20,FALSE)+VLOOKUP($A112,A:AL,28,FALSE)-50))</f>
        <v>218</v>
      </c>
      <c r="AD112" s="3">
        <f>IF(ISERROR(VLOOKUP($A112,'SegEnds_NonXtal_BW#'!$A:$Z,21,FALSE)+VLOOKUP($A112,A:AL,31,FALSE)-50),"-",(VLOOKUP($A112,'SegEnds_NonXtal_BW#'!$A:$Z,21,FALSE)+VLOOKUP($A112,A:AL,31,FALSE)-50))</f>
        <v>224</v>
      </c>
      <c r="AE112" s="3">
        <v>250</v>
      </c>
      <c r="AF112" s="3">
        <f>IF(ISERROR((VLOOKUP($A112,'SegEnds_NonXtal_BW#'!$A:$Z,22,FALSE)+VLOOKUP($A112,A:AL,31,FALSE)-50)),"-",(VLOOKUP($A112,'SegEnds_NonXtal_BW#'!$A:$Z,22,FALSE)+VLOOKUP($A112,A:AL,31,FALSE)-50))</f>
        <v>261</v>
      </c>
      <c r="AG112" s="3">
        <f>IF(ISERROR(VLOOKUP($A112,'SegEnds_NonXtal_BW#'!$A:$Z,23,FALSE)+VLOOKUP($A112,A:AL,34,FALSE)-50),"-",(VLOOKUP($A112,'SegEnds_NonXtal_BW#'!$A:$Z,23,FALSE)+VLOOKUP($A112,A:AL,34,FALSE)-50))</f>
        <v>266</v>
      </c>
      <c r="AH112" s="3">
        <v>288</v>
      </c>
      <c r="AI112" s="3">
        <f>IF(ISERROR((VLOOKUP($A112,'SegEnds_NonXtal_BW#'!$A:$Z,24,FALSE)+VLOOKUP($A112,A:AL,34,FALSE)-50)),"-",(VLOOKUP($A112,'SegEnds_NonXtal_BW#'!$A:$Z,24,FALSE)+VLOOKUP($A112,A:AL,34,FALSE)-50))</f>
        <v>294</v>
      </c>
      <c r="AJ112" s="3">
        <f>IF(ISERROR(VLOOKUP($A112,'SegEnds_NonXtal_BW#'!$A:$Z,25,FALSE)+VLOOKUP($A112,A:AL,37,FALSE)-50),"-",(VLOOKUP($A112,'SegEnds_NonXtal_BW#'!$A:$Z,25,FALSE)+VLOOKUP($A112,A:AL,37,FALSE)-50))</f>
        <v>295</v>
      </c>
      <c r="AK112" s="3">
        <v>298</v>
      </c>
      <c r="AL112" s="3">
        <f>IF(ISERROR((VLOOKUP($A112,'SegEnds_NonXtal_BW#'!$A:$Z,26,FALSE)+VLOOKUP($A112,A:AL,37,FALSE)-50)),"-",(VLOOKUP($A112,'SegEnds_NonXtal_BW#'!$A:$Z,26,FALSE)+VLOOKUP($A112,A:AL,37,FALSE)-50))</f>
        <v>307</v>
      </c>
      <c r="AM112" s="28" t="str">
        <f>VLOOKUP(A112,Classification!A:B,2,FALSE)</f>
        <v>A</v>
      </c>
      <c r="AN112" s="28" t="b">
        <f t="shared" si="72"/>
        <v>1</v>
      </c>
      <c r="AO112" s="3" t="str">
        <f>IF(ISERROR(MATCH(A112,'SegEnds_Xtal_Prot#'!B:B, 0)), "NoXtal", "Xtal")</f>
        <v>NoXtal</v>
      </c>
      <c r="AP112" s="3">
        <f t="shared" si="41"/>
        <v>2</v>
      </c>
      <c r="AQ112" s="3">
        <f t="shared" si="42"/>
        <v>1</v>
      </c>
      <c r="AR112" s="3">
        <f t="shared" si="43"/>
        <v>3</v>
      </c>
      <c r="AS112" s="3">
        <f t="shared" si="44"/>
        <v>1</v>
      </c>
      <c r="AT112" s="3">
        <f t="shared" si="45"/>
        <v>1</v>
      </c>
      <c r="AU112" s="3">
        <f t="shared" si="46"/>
        <v>1</v>
      </c>
      <c r="AV112" s="3">
        <f t="shared" si="47"/>
        <v>11</v>
      </c>
      <c r="AW112" s="3">
        <f t="shared" si="48"/>
        <v>3</v>
      </c>
      <c r="AX112" s="3">
        <f t="shared" si="49"/>
        <v>6</v>
      </c>
      <c r="AY112" s="3">
        <f t="shared" si="50"/>
        <v>5</v>
      </c>
      <c r="AZ112" s="3">
        <f t="shared" si="51"/>
        <v>1</v>
      </c>
      <c r="BA112" s="3">
        <f>IF(ISERROR(LEN(VLOOKUP(A112,Seqs!A:E,2,FALSE))-AL112),"-",LEN(VLOOKUP(A112,Seqs!A:E,2,FALSE))-AL112)</f>
        <v>61</v>
      </c>
      <c r="BB112" s="16">
        <f t="shared" si="52"/>
        <v>33</v>
      </c>
      <c r="BC112" s="9">
        <f t="shared" si="53"/>
        <v>20</v>
      </c>
      <c r="BD112" s="3">
        <f t="shared" si="54"/>
        <v>33</v>
      </c>
      <c r="BE112" s="3">
        <f t="shared" si="55"/>
        <v>54</v>
      </c>
    </row>
    <row r="113" spans="1:60" s="3" customFormat="1" x14ac:dyDescent="0.2">
      <c r="A113" s="3" t="s">
        <v>208</v>
      </c>
      <c r="B113" s="3" t="str">
        <f>LOWER(VLOOKUP(A113,Xtal_Templ!A:B,2,FALSE))</f>
        <v>ox2r_human</v>
      </c>
      <c r="C113" s="3">
        <f>VLOOKUP($A113,'SegEnds_NonXtal_BW#'!$A:$Z,3,FALSE)+D113-50</f>
        <v>53</v>
      </c>
      <c r="D113" s="3">
        <v>72</v>
      </c>
      <c r="E113" s="3">
        <f>IF(ISERROR(VLOOKUP($A113,'SegEnds_NonXtal_BW#'!$A:$Z,4,FALSE)+VLOOKUP($A113,A:AL,4,FALSE)-50),"-",(VLOOKUP($A113,'SegEnds_NonXtal_BW#'!$A:$Z,4,FALSE)+VLOOKUP($A113,A:AL,4,FALSE)-50))</f>
        <v>82</v>
      </c>
      <c r="F113" s="3">
        <f>G113-2</f>
        <v>83</v>
      </c>
      <c r="G113" s="3">
        <v>85</v>
      </c>
      <c r="H113" s="3">
        <f t="shared" si="73"/>
        <v>86</v>
      </c>
      <c r="I113" s="3">
        <f t="shared" si="73"/>
        <v>87</v>
      </c>
      <c r="J113" s="3">
        <v>100</v>
      </c>
      <c r="K113" s="3">
        <f>VLOOKUP($A113,'SegEnds_NonXtal_BW#'!$A:$Z,8,FALSE)+VLOOKUP($A113,A:AL,10,FALSE)-50</f>
        <v>117</v>
      </c>
      <c r="L113" s="3">
        <f t="shared" si="69"/>
        <v>119</v>
      </c>
      <c r="M113" s="3">
        <v>120</v>
      </c>
      <c r="N113" s="3">
        <f t="shared" si="70"/>
        <v>122</v>
      </c>
      <c r="O113" s="3">
        <f t="shared" si="71"/>
        <v>123</v>
      </c>
      <c r="P113" s="3">
        <v>152</v>
      </c>
      <c r="Q113" s="3">
        <f>VLOOKUP($A113,'SegEnds_NonXtal_BW#'!$A:$Z,12,FALSE)+VLOOKUP($A113,A:AL,16,FALSE)-50</f>
        <v>158</v>
      </c>
      <c r="R113" s="3">
        <f>IF(ISERROR(VLOOKUP($A113,'SegEnds_NonXtal_BW#'!$A:$Z,13,FALSE)+VLOOKUP($A113,A:AL,19,FALSE)-50),"-",VLOOKUP($A113,'SegEnds_NonXtal_BW#'!$A:$Z,13,FALSE)+VLOOKUP($A113,A:AL,19,FALSE)-50)</f>
        <v>159</v>
      </c>
      <c r="S113" s="3">
        <v>159</v>
      </c>
      <c r="T113" s="103">
        <f>IF(ISERROR(VLOOKUP($A113,'SegEnds_NonXtal_BW#'!$A:$Z,14,FALSE)+VLOOKUP($A113,A:AL,19,FALSE)-50),"-",(VLOOKUP($A113,'SegEnds_NonXtal_BW#'!$A:$Z,14,FALSE)+VLOOKUP($A113,A:AL,19,FALSE)-50))</f>
        <v>166</v>
      </c>
      <c r="U113" s="9">
        <f>IF(ISERROR(VLOOKUP($A113,'SegEnds_NonXtal_BW#'!$A:$Z,15,FALSE)+VLOOKUP($A113,A:AL,22,FALSE)-50),"-",VLOOKUP($A113,'SegEnds_NonXtal_BW#'!$A:$Z,15,FALSE)+VLOOKUP($A113,A:AL,22,FALSE)-50)</f>
        <v>167</v>
      </c>
      <c r="V113" s="3">
        <v>179</v>
      </c>
      <c r="W113" s="3">
        <f>IF(ISERROR(VLOOKUP($A113,'SegEnds_NonXtal_BW#'!$A:$Z,16,FALSE)+VLOOKUP($A113,A:AL,22,FALSE)-50),"-",(VLOOKUP($A113,'SegEnds_NonXtal_BW#'!$A:$Z,16,FALSE)+VLOOKUP($A113,A:AL,22,FALSE)-50))</f>
        <v>193</v>
      </c>
      <c r="X113" s="3">
        <f>IF(ISERROR(VLOOKUP($A113,'SegEnds_NonXtal_BW#'!$A:$Z,17,FALSE)+VLOOKUP($A113,A:AL,25,FALSE)-50),"-",(VLOOKUP($A113,'SegEnds_NonXtal_BW#'!$A:$Z,17,FALSE)+VLOOKUP($A113,A:AL,25,FALSE)-50))</f>
        <v>205</v>
      </c>
      <c r="Y113" s="3">
        <v>205</v>
      </c>
      <c r="Z113" s="3">
        <f t="shared" si="65"/>
        <v>207</v>
      </c>
      <c r="AA113" s="3">
        <f>IF(ISERROR(VLOOKUP($A113,'SegEnds_NonXtal_BW#'!$A:$Z,19,FALSE)+VLOOKUP($A113,A:AL,28,FALSE)-50),"-",(VLOOKUP($A113,'SegEnds_NonXtal_BW#'!$A:$Z,19,FALSE)+VLOOKUP($A113,A:AL,28,FALSE)-50))</f>
        <v>212</v>
      </c>
      <c r="AB113" s="3">
        <v>230</v>
      </c>
      <c r="AC113" s="3">
        <f>IF(ISERROR((VLOOKUP($A113,'SegEnds_NonXtal_BW#'!$A:$Z,20,FALSE)+VLOOKUP($A113,A:AL,28,FALSE)-50)),"-",(VLOOKUP($A113,'SegEnds_NonXtal_BW#'!$A:$Z,20,FALSE)+VLOOKUP($A113,A:AL,28,FALSE)-50))</f>
        <v>256</v>
      </c>
      <c r="AD113" s="3">
        <f>IF(ISERROR(VLOOKUP($A113,'SegEnds_NonXtal_BW#'!$A:$Z,21,FALSE)+VLOOKUP($A113,A:AL,31,FALSE)-50),"-",(VLOOKUP($A113,'SegEnds_NonXtal_BW#'!$A:$Z,21,FALSE)+VLOOKUP($A113,A:AL,31,FALSE)-50))</f>
        <v>322</v>
      </c>
      <c r="AE113" s="3">
        <v>348</v>
      </c>
      <c r="AF113" s="3">
        <f>IF(ISERROR((VLOOKUP($A113,'SegEnds_NonXtal_BW#'!$A:$Z,22,FALSE)+VLOOKUP($A113,A:AL,31,FALSE)-50)),"-",(VLOOKUP($A113,'SegEnds_NonXtal_BW#'!$A:$Z,22,FALSE)+VLOOKUP($A113,A:AL,31,FALSE)-50))</f>
        <v>359</v>
      </c>
      <c r="AG113" s="3">
        <f>IF(ISERROR(VLOOKUP($A113,'SegEnds_NonXtal_BW#'!$A:$Z,23,FALSE)+VLOOKUP($A113,A:AL,34,FALSE)-50),"-",(VLOOKUP($A113,'SegEnds_NonXtal_BW#'!$A:$Z,23,FALSE)+VLOOKUP($A113,A:AL,34,FALSE)-50))</f>
        <v>365</v>
      </c>
      <c r="AH113" s="3">
        <v>387</v>
      </c>
      <c r="AI113" s="3">
        <f>IF(ISERROR((VLOOKUP($A113,'SegEnds_NonXtal_BW#'!$A:$Z,24,FALSE)+VLOOKUP($A113,A:AL,34,FALSE)-50)),"-",(VLOOKUP($A113,'SegEnds_NonXtal_BW#'!$A:$Z,24,FALSE)+VLOOKUP($A113,A:AL,34,FALSE)-50))</f>
        <v>393</v>
      </c>
      <c r="AJ113" s="3">
        <f>IF(ISERROR(VLOOKUP($A113,'SegEnds_NonXtal_BW#'!$A:$Z,25,FALSE)+VLOOKUP($A113,A:AL,37,FALSE)-50),"-",(VLOOKUP($A113,'SegEnds_NonXtal_BW#'!$A:$Z,25,FALSE)+VLOOKUP($A113,A:AL,37,FALSE)-50))</f>
        <v>394</v>
      </c>
      <c r="AK113" s="3">
        <v>397</v>
      </c>
      <c r="AL113" s="3">
        <f>IF(ISERROR((VLOOKUP($A113,'SegEnds_NonXtal_BW#'!$A:$Z,26,FALSE)+VLOOKUP($A113,A:AL,37,FALSE)-50)),"-",(VLOOKUP($A113,'SegEnds_NonXtal_BW#'!$A:$Z,26,FALSE)+VLOOKUP($A113,A:AL,37,FALSE)-50))</f>
        <v>405</v>
      </c>
      <c r="AM113" s="28" t="str">
        <f>VLOOKUP(A113,Classification!A:B,2,FALSE)</f>
        <v>A</v>
      </c>
      <c r="AN113" s="28" t="b">
        <f t="shared" si="72"/>
        <v>1</v>
      </c>
      <c r="AO113" s="3" t="str">
        <f>IF(ISERROR(MATCH(A113,'SegEnds_Xtal_Prot#'!B:B, 0)), "NoXtal", "Xtal")</f>
        <v>NoXtal</v>
      </c>
      <c r="AP113" s="3">
        <f t="shared" si="41"/>
        <v>1</v>
      </c>
      <c r="AQ113" s="3">
        <f t="shared" si="42"/>
        <v>1</v>
      </c>
      <c r="AR113" s="3">
        <f t="shared" si="43"/>
        <v>2</v>
      </c>
      <c r="AS113" s="3">
        <f t="shared" si="44"/>
        <v>1</v>
      </c>
      <c r="AT113" s="3">
        <f t="shared" si="45"/>
        <v>1</v>
      </c>
      <c r="AU113" s="3">
        <f t="shared" si="46"/>
        <v>1</v>
      </c>
      <c r="AV113" s="3">
        <f t="shared" si="47"/>
        <v>12</v>
      </c>
      <c r="AW113" s="3">
        <f t="shared" si="48"/>
        <v>5</v>
      </c>
      <c r="AX113" s="3">
        <f t="shared" si="49"/>
        <v>66</v>
      </c>
      <c r="AY113" s="3">
        <f t="shared" si="50"/>
        <v>6</v>
      </c>
      <c r="AZ113" s="3">
        <f t="shared" si="51"/>
        <v>1</v>
      </c>
      <c r="BA113" s="3">
        <f>IF(ISERROR(LEN(VLOOKUP(A113,Seqs!A:E,2,FALSE))-AL113),"-",LEN(VLOOKUP(A113,Seqs!A:E,2,FALSE))-AL113)</f>
        <v>42</v>
      </c>
      <c r="BB113" s="16">
        <f t="shared" si="52"/>
        <v>28</v>
      </c>
      <c r="BC113" s="9">
        <f t="shared" si="53"/>
        <v>20</v>
      </c>
      <c r="BD113" s="3">
        <f t="shared" si="54"/>
        <v>28</v>
      </c>
      <c r="BE113" s="3">
        <f t="shared" si="55"/>
        <v>118</v>
      </c>
    </row>
    <row r="114" spans="1:60" s="3" customFormat="1" x14ac:dyDescent="0.2">
      <c r="A114" s="3" t="s">
        <v>209</v>
      </c>
      <c r="B114" s="3" t="str">
        <f>LOWER(VLOOKUP(A114,Xtal_Templ!A:B,2,FALSE))</f>
        <v>ntr1_rat</v>
      </c>
      <c r="C114" s="3">
        <f>VLOOKUP($A114,'SegEnds_NonXtal_BW#'!$A:$Z,3,FALSE)+D114-50</f>
        <v>40</v>
      </c>
      <c r="D114" s="3">
        <v>61</v>
      </c>
      <c r="E114" s="3">
        <f>IF(ISERROR(VLOOKUP($A114,'SegEnds_NonXtal_BW#'!$A:$Z,4,FALSE)+VLOOKUP($A114,A:AL,4,FALSE)-50),"-",(VLOOKUP($A114,'SegEnds_NonXtal_BW#'!$A:$Z,4,FALSE)+VLOOKUP($A114,A:AL,4,FALSE)-50))</f>
        <v>71</v>
      </c>
      <c r="F114" s="3">
        <f>G114-2</f>
        <v>72</v>
      </c>
      <c r="G114" s="3">
        <v>74</v>
      </c>
      <c r="H114" s="3">
        <f t="shared" si="73"/>
        <v>75</v>
      </c>
      <c r="I114" s="3">
        <f t="shared" si="73"/>
        <v>76</v>
      </c>
      <c r="J114" s="3">
        <v>89</v>
      </c>
      <c r="K114" s="3">
        <f>VLOOKUP($A114,'SegEnds_NonXtal_BW#'!$A:$Z,8,FALSE)+VLOOKUP($A114,A:AL,10,FALSE)-50</f>
        <v>106</v>
      </c>
      <c r="L114" s="3">
        <f t="shared" si="69"/>
        <v>108</v>
      </c>
      <c r="M114" s="3">
        <v>109</v>
      </c>
      <c r="N114" s="3">
        <f t="shared" si="70"/>
        <v>111</v>
      </c>
      <c r="O114" s="3">
        <f t="shared" si="71"/>
        <v>112</v>
      </c>
      <c r="P114" s="3">
        <v>141</v>
      </c>
      <c r="Q114" s="3">
        <f>VLOOKUP($A114,'SegEnds_NonXtal_BW#'!$A:$Z,12,FALSE)+VLOOKUP($A114,A:AL,16,FALSE)-50</f>
        <v>147</v>
      </c>
      <c r="R114" s="3">
        <f>IF(ISERROR(VLOOKUP($A114,'SegEnds_NonXtal_BW#'!$A:$Z,13,FALSE)+VLOOKUP($A114,A:AL,19,FALSE)-50),"-",VLOOKUP($A114,'SegEnds_NonXtal_BW#'!$A:$Z,13,FALSE)+VLOOKUP($A114,A:AL,19,FALSE)-50)</f>
        <v>148</v>
      </c>
      <c r="S114" s="3">
        <v>148</v>
      </c>
      <c r="T114" s="103">
        <f>IF(ISERROR(VLOOKUP($A114,'SegEnds_NonXtal_BW#'!$A:$Z,14,FALSE)+VLOOKUP($A114,A:AL,19,FALSE)-50),"-",(VLOOKUP($A114,'SegEnds_NonXtal_BW#'!$A:$Z,14,FALSE)+VLOOKUP($A114,A:AL,19,FALSE)-50))</f>
        <v>155</v>
      </c>
      <c r="U114" s="9">
        <f>IF(ISERROR(VLOOKUP($A114,'SegEnds_NonXtal_BW#'!$A:$Z,15,FALSE)+VLOOKUP($A114,A:AL,22,FALSE)-50),"-",VLOOKUP($A114,'SegEnds_NonXtal_BW#'!$A:$Z,15,FALSE)+VLOOKUP($A114,A:AL,22,FALSE)-50)</f>
        <v>156</v>
      </c>
      <c r="V114" s="3">
        <v>168</v>
      </c>
      <c r="W114" s="3">
        <f>IF(ISERROR(VLOOKUP($A114,'SegEnds_NonXtal_BW#'!$A:$Z,16,FALSE)+VLOOKUP($A114,A:AL,22,FALSE)-50),"-",(VLOOKUP($A114,'SegEnds_NonXtal_BW#'!$A:$Z,16,FALSE)+VLOOKUP($A114,A:AL,22,FALSE)-50))</f>
        <v>182</v>
      </c>
      <c r="X114" s="3">
        <f>IF(ISERROR(VLOOKUP($A114,'SegEnds_NonXtal_BW#'!$A:$Z,17,FALSE)+VLOOKUP($A114,A:AL,25,FALSE)-50),"-",(VLOOKUP($A114,'SegEnds_NonXtal_BW#'!$A:$Z,17,FALSE)+VLOOKUP($A114,A:AL,25,FALSE)-50))</f>
        <v>198</v>
      </c>
      <c r="Y114" s="3">
        <v>198</v>
      </c>
      <c r="Z114" s="3">
        <f t="shared" si="65"/>
        <v>200</v>
      </c>
      <c r="AA114" s="3">
        <f>IF(ISERROR(VLOOKUP($A114,'SegEnds_NonXtal_BW#'!$A:$Z,19,FALSE)+VLOOKUP($A114,A:AL,28,FALSE)-50),"-",(VLOOKUP($A114,'SegEnds_NonXtal_BW#'!$A:$Z,19,FALSE)+VLOOKUP($A114,A:AL,28,FALSE)-50))</f>
        <v>206</v>
      </c>
      <c r="AB114" s="3">
        <v>224</v>
      </c>
      <c r="AC114" s="3">
        <f>IF(ISERROR((VLOOKUP($A114,'SegEnds_NonXtal_BW#'!$A:$Z,20,FALSE)+VLOOKUP($A114,A:AL,28,FALSE)-50)),"-",(VLOOKUP($A114,'SegEnds_NonXtal_BW#'!$A:$Z,20,FALSE)+VLOOKUP($A114,A:AL,28,FALSE)-50))</f>
        <v>246</v>
      </c>
      <c r="AD114" s="3">
        <f>IF(ISERROR(VLOOKUP($A114,'SegEnds_NonXtal_BW#'!$A:$Z,21,FALSE)+VLOOKUP($A114,A:AL,31,FALSE)-50),"-",(VLOOKUP($A114,'SegEnds_NonXtal_BW#'!$A:$Z,21,FALSE)+VLOOKUP($A114,A:AL,31,FALSE)-50))</f>
        <v>252</v>
      </c>
      <c r="AE114" s="3">
        <v>278</v>
      </c>
      <c r="AF114" s="3">
        <f>IF(ISERROR((VLOOKUP($A114,'SegEnds_NonXtal_BW#'!$A:$Z,22,FALSE)+VLOOKUP($A114,A:AL,31,FALSE)-50)),"-",(VLOOKUP($A114,'SegEnds_NonXtal_BW#'!$A:$Z,22,FALSE)+VLOOKUP($A114,A:AL,31,FALSE)-50))</f>
        <v>289</v>
      </c>
      <c r="AG114" s="3">
        <f>IF(ISERROR(VLOOKUP($A114,'SegEnds_NonXtal_BW#'!$A:$Z,23,FALSE)+VLOOKUP($A114,A:AL,34,FALSE)-50),"-",(VLOOKUP($A114,'SegEnds_NonXtal_BW#'!$A:$Z,23,FALSE)+VLOOKUP($A114,A:AL,34,FALSE)-50))</f>
        <v>298</v>
      </c>
      <c r="AH114" s="3">
        <v>320</v>
      </c>
      <c r="AI114" s="3">
        <f>IF(ISERROR((VLOOKUP($A114,'SegEnds_NonXtal_BW#'!$A:$Z,24,FALSE)+VLOOKUP($A114,A:AL,34,FALSE)-50)),"-",(VLOOKUP($A114,'SegEnds_NonXtal_BW#'!$A:$Z,24,FALSE)+VLOOKUP($A114,A:AL,34,FALSE)-50))</f>
        <v>326</v>
      </c>
      <c r="AJ114" s="3">
        <f>IF(ISERROR(VLOOKUP($A114,'SegEnds_NonXtal_BW#'!$A:$Z,25,FALSE)+VLOOKUP($A114,A:AL,37,FALSE)-50),"-",(VLOOKUP($A114,'SegEnds_NonXtal_BW#'!$A:$Z,25,FALSE)+VLOOKUP($A114,A:AL,37,FALSE)-50))</f>
        <v>327</v>
      </c>
      <c r="AK114" s="3">
        <v>330</v>
      </c>
      <c r="AL114" s="3">
        <f>IF(ISERROR((VLOOKUP($A114,'SegEnds_NonXtal_BW#'!$A:$Z,26,FALSE)+VLOOKUP($A114,A:AL,37,FALSE)-50)),"-",(VLOOKUP($A114,'SegEnds_NonXtal_BW#'!$A:$Z,26,FALSE)+VLOOKUP($A114,A:AL,37,FALSE)-50))</f>
        <v>338</v>
      </c>
      <c r="AM114" s="28" t="str">
        <f>VLOOKUP(A114,Classification!A:B,2,FALSE)</f>
        <v>A</v>
      </c>
      <c r="AN114" s="28" t="b">
        <f t="shared" si="72"/>
        <v>1</v>
      </c>
      <c r="AO114" s="3" t="str">
        <f>IF(ISERROR(MATCH(A114,'SegEnds_Xtal_Prot#'!B:B, 0)), "NoXtal", "Xtal")</f>
        <v>NoXtal</v>
      </c>
      <c r="AP114" s="3">
        <f t="shared" si="41"/>
        <v>1</v>
      </c>
      <c r="AQ114" s="3">
        <f t="shared" si="42"/>
        <v>1</v>
      </c>
      <c r="AR114" s="3">
        <f t="shared" si="43"/>
        <v>2</v>
      </c>
      <c r="AS114" s="3">
        <f t="shared" si="44"/>
        <v>1</v>
      </c>
      <c r="AT114" s="3">
        <f t="shared" si="45"/>
        <v>1</v>
      </c>
      <c r="AU114" s="3">
        <f t="shared" si="46"/>
        <v>1</v>
      </c>
      <c r="AV114" s="3">
        <f t="shared" si="47"/>
        <v>16</v>
      </c>
      <c r="AW114" s="3">
        <f t="shared" si="48"/>
        <v>6</v>
      </c>
      <c r="AX114" s="3">
        <f t="shared" si="49"/>
        <v>6</v>
      </c>
      <c r="AY114" s="3">
        <f t="shared" si="50"/>
        <v>9</v>
      </c>
      <c r="AZ114" s="3">
        <f t="shared" si="51"/>
        <v>1</v>
      </c>
      <c r="BA114" s="3">
        <f>IF(ISERROR(LEN(VLOOKUP(A114,Seqs!A:E,2,FALSE))-AL114),"-",LEN(VLOOKUP(A114,Seqs!A:E,2,FALSE))-AL114)</f>
        <v>28</v>
      </c>
      <c r="BB114" s="16">
        <f t="shared" si="52"/>
        <v>28</v>
      </c>
      <c r="BC114" s="9">
        <f t="shared" si="53"/>
        <v>20</v>
      </c>
      <c r="BD114" s="3">
        <f t="shared" si="54"/>
        <v>28</v>
      </c>
      <c r="BE114" s="3">
        <f t="shared" si="55"/>
        <v>54</v>
      </c>
      <c r="BF114" s="3">
        <f>AH114-AE114</f>
        <v>42</v>
      </c>
    </row>
    <row r="115" spans="1:60" s="3" customFormat="1" x14ac:dyDescent="0.2">
      <c r="A115" s="3" t="s">
        <v>212</v>
      </c>
      <c r="B115" s="3" t="str">
        <f>LOWER(VLOOKUP(A115,Xtal_Templ!A:B,2,FALSE))</f>
        <v>ccr5_human</v>
      </c>
      <c r="C115" s="3">
        <f>VLOOKUP($A115,'SegEnds_NonXtal_BW#'!$A:$Z,3,FALSE)+D115-50</f>
        <v>23</v>
      </c>
      <c r="D115" s="3">
        <v>49</v>
      </c>
      <c r="E115" s="3">
        <f>IF(ISERROR(VLOOKUP($A115,'SegEnds_NonXtal_BW#'!$A:$Z,4,FALSE)+VLOOKUP($A115,A:AL,4,FALSE)-50),"-",(VLOOKUP($A115,'SegEnds_NonXtal_BW#'!$A:$Z,4,FALSE)+VLOOKUP($A115,A:AL,4,FALSE)-50))</f>
        <v>59</v>
      </c>
      <c r="F115" s="3">
        <f>G115-2</f>
        <v>60</v>
      </c>
      <c r="G115" s="3">
        <v>62</v>
      </c>
      <c r="H115" s="3">
        <f t="shared" si="73"/>
        <v>63</v>
      </c>
      <c r="I115" s="3">
        <f t="shared" si="73"/>
        <v>64</v>
      </c>
      <c r="J115" s="3">
        <v>77</v>
      </c>
      <c r="K115" s="3">
        <f>VLOOKUP($A115,'SegEnds_NonXtal_BW#'!$A:$Z,8,FALSE)+VLOOKUP($A115,A:AL,10,FALSE)-50</f>
        <v>93</v>
      </c>
      <c r="L115" s="3">
        <f t="shared" si="69"/>
        <v>96</v>
      </c>
      <c r="M115" s="3">
        <v>97</v>
      </c>
      <c r="N115" s="3">
        <f t="shared" si="70"/>
        <v>99</v>
      </c>
      <c r="O115" s="3">
        <f t="shared" si="71"/>
        <v>100</v>
      </c>
      <c r="P115" s="3">
        <v>129</v>
      </c>
      <c r="Q115" s="3">
        <f>VLOOKUP($A115,'SegEnds_NonXtal_BW#'!$A:$Z,12,FALSE)+VLOOKUP($A115,A:AL,16,FALSE)-50</f>
        <v>135</v>
      </c>
      <c r="R115" s="3">
        <f>IF(ISERROR(VLOOKUP($A115,'SegEnds_NonXtal_BW#'!$A:$Z,13,FALSE)+VLOOKUP($A115,A:AL,19,FALSE)-50),"-",VLOOKUP($A115,'SegEnds_NonXtal_BW#'!$A:$Z,13,FALSE)+VLOOKUP($A115,A:AL,19,FALSE)-50)</f>
        <v>136</v>
      </c>
      <c r="S115" s="3">
        <v>136</v>
      </c>
      <c r="T115" s="103">
        <f>IF(ISERROR(VLOOKUP($A115,'SegEnds_NonXtal_BW#'!$A:$Z,14,FALSE)+VLOOKUP($A115,A:AL,19,FALSE)-50),"-",(VLOOKUP($A115,'SegEnds_NonXtal_BW#'!$A:$Z,14,FALSE)+VLOOKUP($A115,A:AL,19,FALSE)-50))</f>
        <v>143</v>
      </c>
      <c r="U115" s="9">
        <f>IF(ISERROR(VLOOKUP($A115,'SegEnds_NonXtal_BW#'!$A:$Z,15,FALSE)+VLOOKUP($A115,A:AL,22,FALSE)-50),"-",VLOOKUP($A115,'SegEnds_NonXtal_BW#'!$A:$Z,15,FALSE)+VLOOKUP($A115,A:AL,22,FALSE)-50)</f>
        <v>144</v>
      </c>
      <c r="V115" s="3">
        <v>156</v>
      </c>
      <c r="W115" s="3">
        <f>IF(ISERROR(VLOOKUP($A115,'SegEnds_NonXtal_BW#'!$A:$Z,16,FALSE)+VLOOKUP($A115,A:AL,22,FALSE)-50),"-",(VLOOKUP($A115,'SegEnds_NonXtal_BW#'!$A:$Z,16,FALSE)+VLOOKUP($A115,A:AL,22,FALSE)-50))</f>
        <v>170</v>
      </c>
      <c r="X115" s="3">
        <f>IF(ISERROR(VLOOKUP($A115,'SegEnds_NonXtal_BW#'!$A:$Z,17,FALSE)+VLOOKUP($A115,A:AL,25,FALSE)-50),"-",(VLOOKUP($A115,'SegEnds_NonXtal_BW#'!$A:$Z,17,FALSE)+VLOOKUP($A115,A:AL,25,FALSE)-50))</f>
        <v>182</v>
      </c>
      <c r="Y115" s="3">
        <v>182</v>
      </c>
      <c r="Z115" s="3">
        <f t="shared" si="65"/>
        <v>184</v>
      </c>
      <c r="AA115" s="3">
        <f>IF(ISERROR(VLOOKUP($A115,'SegEnds_NonXtal_BW#'!$A:$Z,19,FALSE)+VLOOKUP($A115,A:AL,28,FALSE)-50),"-",(VLOOKUP($A115,'SegEnds_NonXtal_BW#'!$A:$Z,19,FALSE)+VLOOKUP($A115,A:AL,28,FALSE)-50))</f>
        <v>189</v>
      </c>
      <c r="AB115" s="3">
        <v>204</v>
      </c>
      <c r="AC115" s="3">
        <f>IF(ISERROR((VLOOKUP($A115,'SegEnds_NonXtal_BW#'!$A:$Z,20,FALSE)+VLOOKUP($A115,A:AL,28,FALSE)-50)),"-",(VLOOKUP($A115,'SegEnds_NonXtal_BW#'!$A:$Z,20,FALSE)+VLOOKUP($A115,A:AL,28,FALSE)-50))</f>
        <v>229</v>
      </c>
      <c r="AD115" s="3">
        <f>IF(ISERROR(VLOOKUP($A115,'SegEnds_NonXtal_BW#'!$A:$Z,21,FALSE)+VLOOKUP($A115,A:AL,31,FALSE)-50),"-",(VLOOKUP($A115,'SegEnds_NonXtal_BW#'!$A:$Z,21,FALSE)+VLOOKUP($A115,A:AL,31,FALSE)-50))</f>
        <v>388</v>
      </c>
      <c r="AE115" s="3">
        <v>414</v>
      </c>
      <c r="AF115" s="3">
        <f>IF(ISERROR((VLOOKUP($A115,'SegEnds_NonXtal_BW#'!$A:$Z,22,FALSE)+VLOOKUP($A115,A:AL,31,FALSE)-50)),"-",(VLOOKUP($A115,'SegEnds_NonXtal_BW#'!$A:$Z,22,FALSE)+VLOOKUP($A115,A:AL,31,FALSE)-50))</f>
        <v>425</v>
      </c>
      <c r="AG115" s="3">
        <f>IF(ISERROR(VLOOKUP($A115,'SegEnds_NonXtal_BW#'!$A:$Z,23,FALSE)+VLOOKUP($A115,A:AL,34,FALSE)-50),"-",(VLOOKUP($A115,'SegEnds_NonXtal_BW#'!$A:$Z,23,FALSE)+VLOOKUP($A115,A:AL,34,FALSE)-50))</f>
        <v>432</v>
      </c>
      <c r="AH115" s="3">
        <v>451</v>
      </c>
      <c r="AI115" s="3">
        <f>IF(ISERROR((VLOOKUP($A115,'SegEnds_NonXtal_BW#'!$A:$Z,24,FALSE)+VLOOKUP($A115,A:AL,34,FALSE)-50)),"-",(VLOOKUP($A115,'SegEnds_NonXtal_BW#'!$A:$Z,24,FALSE)+VLOOKUP($A115,A:AL,34,FALSE)-50))</f>
        <v>457</v>
      </c>
      <c r="AJ115" s="3">
        <f>IF(ISERROR(VLOOKUP($A115,'SegEnds_NonXtal_BW#'!$A:$Z,25,FALSE)+VLOOKUP($A115,A:AL,37,FALSE)-50),"-",(VLOOKUP($A115,'SegEnds_NonXtal_BW#'!$A:$Z,25,FALSE)+VLOOKUP($A115,A:AL,37,FALSE)-50))</f>
        <v>458</v>
      </c>
      <c r="AK115" s="3">
        <v>461</v>
      </c>
      <c r="AL115" s="3">
        <f>IF(ISERROR((VLOOKUP($A115,'SegEnds_NonXtal_BW#'!$A:$Z,26,FALSE)+VLOOKUP($A115,A:AL,37,FALSE)-50)),"-",(VLOOKUP($A115,'SegEnds_NonXtal_BW#'!$A:$Z,26,FALSE)+VLOOKUP($A115,A:AL,37,FALSE)-50))</f>
        <v>470</v>
      </c>
      <c r="AM115" s="28" t="str">
        <f>VLOOKUP(A115,Classification!A:B,2,FALSE)</f>
        <v>A</v>
      </c>
      <c r="AN115" s="28" t="b">
        <f t="shared" si="72"/>
        <v>1</v>
      </c>
      <c r="AO115" s="3" t="str">
        <f>IF(ISERROR(MATCH(A115,'SegEnds_Xtal_Prot#'!B:B, 0)), "NoXtal", "Xtal")</f>
        <v>NoXtal</v>
      </c>
      <c r="AP115" s="3">
        <f t="shared" si="41"/>
        <v>1</v>
      </c>
      <c r="AQ115" s="3">
        <f t="shared" si="42"/>
        <v>1</v>
      </c>
      <c r="AR115" s="3">
        <f t="shared" si="43"/>
        <v>3</v>
      </c>
      <c r="AS115" s="3">
        <f t="shared" si="44"/>
        <v>1</v>
      </c>
      <c r="AT115" s="3">
        <f t="shared" si="45"/>
        <v>1</v>
      </c>
      <c r="AU115" s="3">
        <f t="shared" si="46"/>
        <v>1</v>
      </c>
      <c r="AV115" s="3">
        <f t="shared" si="47"/>
        <v>12</v>
      </c>
      <c r="AW115" s="3">
        <f t="shared" si="48"/>
        <v>5</v>
      </c>
      <c r="AX115" s="3">
        <f t="shared" si="49"/>
        <v>159</v>
      </c>
      <c r="AY115" s="3">
        <f t="shared" si="50"/>
        <v>7</v>
      </c>
      <c r="AZ115" s="3">
        <f t="shared" si="51"/>
        <v>1</v>
      </c>
      <c r="BA115" s="3">
        <f>IF(ISERROR(LEN(VLOOKUP(A115,Seqs!A:E,2,FALSE))-AL115),"-",LEN(VLOOKUP(A115,Seqs!A:E,2,FALSE))-AL115)</f>
        <v>38</v>
      </c>
      <c r="BB115" s="16">
        <f t="shared" si="52"/>
        <v>28</v>
      </c>
      <c r="BC115" s="9">
        <f t="shared" si="53"/>
        <v>20</v>
      </c>
      <c r="BD115" s="3">
        <f t="shared" si="54"/>
        <v>28</v>
      </c>
      <c r="BE115" s="3">
        <f t="shared" si="55"/>
        <v>210</v>
      </c>
    </row>
    <row r="116" spans="1:60" s="3" customFormat="1" x14ac:dyDescent="0.2">
      <c r="A116" s="3" t="s">
        <v>213</v>
      </c>
      <c r="B116" s="3" t="str">
        <f>LOWER(VLOOKUP(A116,Xtal_Templ!A:B,2,FALSE))</f>
        <v>5ht2b_human</v>
      </c>
      <c r="C116" s="3">
        <f>VLOOKUP($A116,'SegEnds_NonXtal_BW#'!$A:$Z,3,FALSE)+D116-50</f>
        <v>4</v>
      </c>
      <c r="D116" s="3">
        <v>22</v>
      </c>
      <c r="E116" s="3">
        <f>IF(ISERROR(VLOOKUP($A116,'SegEnds_NonXtal_BW#'!$A:$Z,4,FALSE)+VLOOKUP($A116,A:AL,4,FALSE)-50),"-",(VLOOKUP($A116,'SegEnds_NonXtal_BW#'!$A:$Z,4,FALSE)+VLOOKUP($A116,A:AL,4,FALSE)-50))</f>
        <v>32</v>
      </c>
      <c r="F116" s="3" t="str">
        <f>IF(ISERROR(VLOOKUP($A116,'SegEnds_NonXtal_BW#'!$A:$Z,5,FALSE)+VLOOKUP($A116,A:AL,7,FALSE)-50),"-",(VLOOKUP($A116,'SegEnds_NonXtal_BW#'!$A:$Z,5,FALSE)+VLOOKUP($A116,A:AL,7,FALSE)-50))</f>
        <v>-</v>
      </c>
      <c r="G116" s="3" t="s">
        <v>23</v>
      </c>
      <c r="H116" s="3" t="str">
        <f>IF(ISERROR(VLOOKUP($A116,'SegEnds_NonXtal_BW#'!$A:$Z,6,FALSE)+VLOOKUP($A116,A:AL,7,FALSE)-50),"-",(VLOOKUP($A116,'SegEnds_NonXtal_BW#'!$A:$Z,6,FALSE)+VLOOKUP($A116,A:AL,7,FALSE)-50))</f>
        <v>-</v>
      </c>
      <c r="I116" s="3">
        <f>VLOOKUP($A116,'SegEnds_NonXtal_BW#'!$A:$Z,7,FALSE)+J116-50</f>
        <v>38</v>
      </c>
      <c r="J116" s="3">
        <v>51</v>
      </c>
      <c r="K116" s="3">
        <f>VLOOKUP($A116,'SegEnds_NonXtal_BW#'!$A:$Z,8,FALSE)+VLOOKUP($A116,A:AL,10,FALSE)-50</f>
        <v>67</v>
      </c>
      <c r="L116" s="3" t="str">
        <f>IF(ISERROR(VLOOKUP($A116,'SegEnds_NonXtal_BW#'!$A:$Z,9,FALSE)+VLOOKUP($A116,A:AL,13,FALSE)-50),"-",(VLOOKUP($A116,'SegEnds_NonXtal_BW#'!$A:$Z,9,FALSE)+VLOOKUP($A116,A:AL,13,FALSE)-50))</f>
        <v>-</v>
      </c>
      <c r="M116" s="3" t="s">
        <v>23</v>
      </c>
      <c r="N116" s="3" t="str">
        <f>IF(ISERROR(VLOOKUP($A116,'SegEnds_NonXtal_BW#'!$A:$Z,10,FALSE)+VLOOKUP($A116,A:AL,13,FALSE)-50),"-",(VLOOKUP($A116,'SegEnds_NonXtal_BW#'!$A:$Z,10,FALSE)+VLOOKUP($A116,A:AL,13,FALSE)-50))</f>
        <v>-</v>
      </c>
      <c r="O116" s="3">
        <f>VLOOKUP($A116,'SegEnds_NonXtal_BW#'!$A:$Z,11,FALSE)+VLOOKUP($A116,A:AL,16,FALSE)-50</f>
        <v>71</v>
      </c>
      <c r="P116" s="3">
        <v>103</v>
      </c>
      <c r="Q116" s="3">
        <f>VLOOKUP($A116,'SegEnds_NonXtal_BW#'!$A:$Z,12,FALSE)+VLOOKUP($A116,A:AL,16,FALSE)-50</f>
        <v>109</v>
      </c>
      <c r="R116" s="3">
        <f>IF(ISERROR(VLOOKUP($A116,'SegEnds_NonXtal_BW#'!$A:$Z,13,FALSE)+VLOOKUP($A116,A:AL,19,FALSE)-50),"-",VLOOKUP($A116,'SegEnds_NonXtal_BW#'!$A:$Z,13,FALSE)+VLOOKUP($A116,A:AL,19,FALSE)-50)</f>
        <v>110</v>
      </c>
      <c r="S116" s="3">
        <v>110</v>
      </c>
      <c r="T116" s="103">
        <f>IF(ISERROR(VLOOKUP($A116,'SegEnds_NonXtal_BW#'!$A:$Z,14,FALSE)+VLOOKUP($A116,A:AL,19,FALSE)-50),"-",(VLOOKUP($A116,'SegEnds_NonXtal_BW#'!$A:$Z,14,FALSE)+VLOOKUP($A116,A:AL,19,FALSE)-50))</f>
        <v>117</v>
      </c>
      <c r="U116" s="9">
        <f>IF(ISERROR(VLOOKUP($A116,'SegEnds_NonXtal_BW#'!$A:$Z,15,FALSE)+VLOOKUP($A116,A:AL,22,FALSE)-50),"-",VLOOKUP($A116,'SegEnds_NonXtal_BW#'!$A:$Z,15,FALSE)+VLOOKUP($A116,A:AL,22,FALSE)-50)</f>
        <v>118</v>
      </c>
      <c r="V116" s="3">
        <v>130</v>
      </c>
      <c r="W116" s="3">
        <f>IF(ISERROR(VLOOKUP($A116,'SegEnds_NonXtal_BW#'!$A:$Z,16,FALSE)+VLOOKUP($A116,A:AL,22,FALSE)-50),"-",(VLOOKUP($A116,'SegEnds_NonXtal_BW#'!$A:$Z,16,FALSE)+VLOOKUP($A116,A:AL,22,FALSE)-50))</f>
        <v>144</v>
      </c>
      <c r="X116" s="3">
        <f>Y116</f>
        <v>155</v>
      </c>
      <c r="Y116" s="3">
        <v>155</v>
      </c>
      <c r="Z116" s="3">
        <f t="shared" si="65"/>
        <v>157</v>
      </c>
      <c r="AA116" s="3">
        <f>IF(ISERROR(VLOOKUP($A116,'SegEnds_NonXtal_BW#'!$A:$Z,19,FALSE)+VLOOKUP($A116,A:AL,28,FALSE)-50),"-",(VLOOKUP($A116,'SegEnds_NonXtal_BW#'!$A:$Z,19,FALSE)+VLOOKUP($A116,A:AL,28,FALSE)-50))</f>
        <v>161</v>
      </c>
      <c r="AB116" s="3">
        <v>176</v>
      </c>
      <c r="AC116" s="3">
        <f>IF(ISERROR((VLOOKUP($A116,'SegEnds_NonXtal_BW#'!$A:$Z,20,FALSE)+VLOOKUP($A116,A:AL,28,FALSE)-50)),"-",(VLOOKUP($A116,'SegEnds_NonXtal_BW#'!$A:$Z,20,FALSE)+VLOOKUP($A116,A:AL,28,FALSE)-50))</f>
        <v>200</v>
      </c>
      <c r="AD116" s="3">
        <f>IF(ISERROR(VLOOKUP($A116,'SegEnds_NonXtal_BW#'!$A:$Z,21,FALSE)+VLOOKUP($A116,A:AL,31,FALSE)-50),"-",(VLOOKUP($A116,'SegEnds_NonXtal_BW#'!$A:$Z,21,FALSE)+VLOOKUP($A116,A:AL,31,FALSE)-50))</f>
        <v>211</v>
      </c>
      <c r="AE116" s="3">
        <v>240</v>
      </c>
      <c r="AF116" s="3">
        <f>IF(ISERROR((VLOOKUP($A116,'SegEnds_NonXtal_BW#'!$A:$Z,22,FALSE)+VLOOKUP($A116,A:AL,31,FALSE)-50)),"-",(VLOOKUP($A116,'SegEnds_NonXtal_BW#'!$A:$Z,22,FALSE)+VLOOKUP($A116,A:AL,31,FALSE)-50))</f>
        <v>251</v>
      </c>
      <c r="AG116" s="3">
        <f>IF(ISERROR(VLOOKUP($A116,'SegEnds_NonXtal_BW#'!$A:$Z,23,FALSE)+VLOOKUP($A116,A:AL,34,FALSE)-50),"-",(VLOOKUP($A116,'SegEnds_NonXtal_BW#'!$A:$Z,23,FALSE)+VLOOKUP($A116,A:AL,34,FALSE)-50))</f>
        <v>257</v>
      </c>
      <c r="AH116" s="3">
        <v>276</v>
      </c>
      <c r="AI116" s="3">
        <v>282</v>
      </c>
      <c r="AJ116" s="3">
        <f>IF(ISERROR(VLOOKUP($A116,'SegEnds_NonXtal_BW#'!$A:$Z,25,FALSE)+VLOOKUP($A116,A:AL,37,FALSE)-50),"-",(VLOOKUP($A116,'SegEnds_NonXtal_BW#'!$A:$Z,25,FALSE)+VLOOKUP($A116,A:AL,37,FALSE)-50))</f>
        <v>283</v>
      </c>
      <c r="AK116" s="3">
        <v>286</v>
      </c>
      <c r="AL116" s="3">
        <f>IF(ISERROR((VLOOKUP($A116,'SegEnds_NonXtal_BW#'!$A:$Z,26,FALSE)+VLOOKUP($A116,A:AL,37,FALSE)-50)),"-",(VLOOKUP($A116,'SegEnds_NonXtal_BW#'!$A:$Z,26,FALSE)+VLOOKUP($A116,A:AL,37,FALSE)-50))</f>
        <v>294</v>
      </c>
      <c r="AM116" s="28" t="str">
        <f>VLOOKUP(A116,Classification!A:B,2,FALSE)</f>
        <v>A</v>
      </c>
      <c r="AN116" s="28" t="b">
        <f t="shared" si="72"/>
        <v>1</v>
      </c>
      <c r="AO116" s="3" t="str">
        <f>IF(ISERROR(MATCH(A116,'SegEnds_Xtal_Prot#'!B:B, 0)), "NoXtal", "Xtal")</f>
        <v>NoXtal</v>
      </c>
      <c r="AP116" s="3" t="str">
        <f t="shared" si="41"/>
        <v>-</v>
      </c>
      <c r="AQ116" s="3" t="str">
        <f t="shared" si="42"/>
        <v>-</v>
      </c>
      <c r="AR116" s="3" t="str">
        <f t="shared" si="43"/>
        <v>-</v>
      </c>
      <c r="AS116" s="3" t="str">
        <f t="shared" si="44"/>
        <v>-</v>
      </c>
      <c r="AT116" s="3">
        <f t="shared" si="45"/>
        <v>1</v>
      </c>
      <c r="AU116" s="3">
        <f t="shared" si="46"/>
        <v>1</v>
      </c>
      <c r="AV116" s="3">
        <f t="shared" si="47"/>
        <v>11</v>
      </c>
      <c r="AW116" s="3">
        <f t="shared" si="48"/>
        <v>4</v>
      </c>
      <c r="AX116" s="3">
        <f t="shared" si="49"/>
        <v>11</v>
      </c>
      <c r="AY116" s="3">
        <f t="shared" si="50"/>
        <v>6</v>
      </c>
      <c r="AZ116" s="3">
        <f t="shared" si="51"/>
        <v>1</v>
      </c>
      <c r="BA116" s="3">
        <f>IF(ISERROR(LEN(VLOOKUP(A116,Seqs!A:E,2,FALSE))-AL116),"-",LEN(VLOOKUP(A116,Seqs!A:E,2,FALSE))-AL116)</f>
        <v>41</v>
      </c>
      <c r="BB116" s="16">
        <f t="shared" si="52"/>
        <v>29</v>
      </c>
      <c r="BC116" s="9">
        <f t="shared" si="53"/>
        <v>20</v>
      </c>
      <c r="BD116" s="3">
        <f t="shared" si="54"/>
        <v>29</v>
      </c>
      <c r="BE116" s="3">
        <f t="shared" si="55"/>
        <v>64</v>
      </c>
    </row>
    <row r="117" spans="1:60" s="3" customFormat="1" x14ac:dyDescent="0.2">
      <c r="A117" s="3" t="s">
        <v>217</v>
      </c>
      <c r="B117" s="3" t="str">
        <f>LOWER(VLOOKUP(A117,Xtal_Templ!A:B,2,FALSE))</f>
        <v>hrh1_human</v>
      </c>
      <c r="C117" s="3">
        <f>VLOOKUP($A117,'SegEnds_NonXtal_BW#'!$A:$Z,3,FALSE)+D117-50</f>
        <v>18</v>
      </c>
      <c r="D117" s="3">
        <v>34</v>
      </c>
      <c r="E117" s="3">
        <f>IF(ISERROR(VLOOKUP($A117,'SegEnds_NonXtal_BW#'!$A:$Z,4,FALSE)+VLOOKUP($A117,A:AL,4,FALSE)-50),"-",(VLOOKUP($A117,'SegEnds_NonXtal_BW#'!$A:$Z,4,FALSE)+VLOOKUP($A117,A:AL,4,FALSE)-50))</f>
        <v>44</v>
      </c>
      <c r="F117" s="3">
        <f>G117-2</f>
        <v>45</v>
      </c>
      <c r="G117" s="3">
        <v>47</v>
      </c>
      <c r="H117" s="3">
        <f>G117+1</f>
        <v>48</v>
      </c>
      <c r="I117" s="3">
        <f>H117+1</f>
        <v>49</v>
      </c>
      <c r="J117" s="3">
        <v>62</v>
      </c>
      <c r="K117" s="3">
        <f>VLOOKUP($A117,'SegEnds_NonXtal_BW#'!$A:$Z,8,FALSE)+VLOOKUP($A117,A:AL,10,FALSE)-50</f>
        <v>78</v>
      </c>
      <c r="L117" s="3">
        <f t="shared" ref="L117:L122" si="74">M117-1</f>
        <v>80</v>
      </c>
      <c r="M117" s="3">
        <v>81</v>
      </c>
      <c r="N117" s="3">
        <f t="shared" ref="N117:N122" si="75">M117+2</f>
        <v>83</v>
      </c>
      <c r="O117" s="3">
        <f t="shared" ref="O117:O122" si="76">N117+1</f>
        <v>84</v>
      </c>
      <c r="P117" s="3">
        <v>113</v>
      </c>
      <c r="Q117" s="3">
        <f>VLOOKUP($A117,'SegEnds_NonXtal_BW#'!$A:$Z,12,FALSE)+VLOOKUP($A117,A:AL,16,FALSE)-50</f>
        <v>119</v>
      </c>
      <c r="R117" s="3">
        <f>IF(ISERROR(VLOOKUP($A117,'SegEnds_NonXtal_BW#'!$A:$Z,13,FALSE)+VLOOKUP($A117,A:AL,19,FALSE)-50),"-",VLOOKUP($A117,'SegEnds_NonXtal_BW#'!$A:$Z,13,FALSE)+VLOOKUP($A117,A:AL,19,FALSE)-50)</f>
        <v>120</v>
      </c>
      <c r="S117" s="3">
        <v>120</v>
      </c>
      <c r="T117" s="103">
        <f>IF(ISERROR(VLOOKUP($A117,'SegEnds_NonXtal_BW#'!$A:$Z,14,FALSE)+VLOOKUP($A117,A:AL,19,FALSE)-50),"-",(VLOOKUP($A117,'SegEnds_NonXtal_BW#'!$A:$Z,14,FALSE)+VLOOKUP($A117,A:AL,19,FALSE)-50))</f>
        <v>127</v>
      </c>
      <c r="U117" s="9">
        <f>IF(ISERROR(VLOOKUP($A117,'SegEnds_NonXtal_BW#'!$A:$Z,15,FALSE)+VLOOKUP($A117,A:AL,22,FALSE)-50),"-",VLOOKUP($A117,'SegEnds_NonXtal_BW#'!$A:$Z,15,FALSE)+VLOOKUP($A117,A:AL,22,FALSE)-50)</f>
        <v>128</v>
      </c>
      <c r="V117" s="3">
        <v>140</v>
      </c>
      <c r="W117" s="3">
        <f>IF(ISERROR(VLOOKUP($A117,'SegEnds_NonXtal_BW#'!$A:$Z,16,FALSE)+VLOOKUP($A117,A:AL,22,FALSE)-50),"-",(VLOOKUP($A117,'SegEnds_NonXtal_BW#'!$A:$Z,16,FALSE)+VLOOKUP($A117,A:AL,22,FALSE)-50))</f>
        <v>152</v>
      </c>
      <c r="X117" s="3">
        <f>IF(ISERROR(VLOOKUP($A117,'SegEnds_NonXtal_BW#'!$A:$Z,17,FALSE)+VLOOKUP($A117,A:AL,25,FALSE)-50),"-",(VLOOKUP($A117,'SegEnds_NonXtal_BW#'!$A:$Z,17,FALSE)+VLOOKUP($A117,A:AL,25,FALSE)-50))</f>
        <v>166</v>
      </c>
      <c r="Y117" s="3">
        <v>166</v>
      </c>
      <c r="Z117" s="3">
        <f t="shared" si="65"/>
        <v>168</v>
      </c>
      <c r="AA117" s="3">
        <f>IF(ISERROR(VLOOKUP($A117,'SegEnds_NonXtal_BW#'!$A:$Z,19,FALSE)+VLOOKUP($A117,A:AL,28,FALSE)-50),"-",(VLOOKUP($A117,'SegEnds_NonXtal_BW#'!$A:$Z,19,FALSE)+VLOOKUP($A117,A:AL,28,FALSE)-50))</f>
        <v>181</v>
      </c>
      <c r="AB117" s="3">
        <v>196</v>
      </c>
      <c r="AC117" s="3">
        <f>IF(ISERROR((VLOOKUP($A117,'SegEnds_NonXtal_BW#'!$A:$Z,20,FALSE)+VLOOKUP($A117,A:AL,28,FALSE)-50)),"-",(VLOOKUP($A117,'SegEnds_NonXtal_BW#'!$A:$Z,20,FALSE)+VLOOKUP($A117,A:AL,28,FALSE)-50))</f>
        <v>214</v>
      </c>
      <c r="AD117" s="3">
        <f>IF(ISERROR(VLOOKUP($A117,'SegEnds_NonXtal_BW#'!$A:$Z,21,FALSE)+VLOOKUP($A117,A:AL,31,FALSE)-50),"-",(VLOOKUP($A117,'SegEnds_NonXtal_BW#'!$A:$Z,21,FALSE)+VLOOKUP($A117,A:AL,31,FALSE)-50))</f>
        <v>218</v>
      </c>
      <c r="AE117" s="3">
        <v>240</v>
      </c>
      <c r="AF117" s="3">
        <f>IF(ISERROR((VLOOKUP($A117,'SegEnds_NonXtal_BW#'!$A:$Z,22,FALSE)+VLOOKUP($A117,A:AL,31,FALSE)-50)),"-",(VLOOKUP($A117,'SegEnds_NonXtal_BW#'!$A:$Z,22,FALSE)+VLOOKUP($A117,A:AL,31,FALSE)-50))</f>
        <v>251</v>
      </c>
      <c r="AG117" s="3">
        <f>IF(ISERROR(VLOOKUP($A117,'SegEnds_NonXtal_BW#'!$A:$Z,23,FALSE)+VLOOKUP($A117,A:AL,34,FALSE)-50),"-",(VLOOKUP($A117,'SegEnds_NonXtal_BW#'!$A:$Z,23,FALSE)+VLOOKUP($A117,A:AL,34,FALSE)-50))</f>
        <v>258</v>
      </c>
      <c r="AH117" s="3">
        <v>280</v>
      </c>
      <c r="AI117" s="3">
        <f>IF(ISERROR((VLOOKUP($A117,'SegEnds_NonXtal_BW#'!$A:$Z,24,FALSE)+VLOOKUP($A117,A:AL,34,FALSE)-50)),"-",(VLOOKUP($A117,'SegEnds_NonXtal_BW#'!$A:$Z,24,FALSE)+VLOOKUP($A117,A:AL,34,FALSE)-50))</f>
        <v>286</v>
      </c>
      <c r="AJ117" s="3">
        <v>288</v>
      </c>
      <c r="AK117" s="3">
        <v>291</v>
      </c>
      <c r="AL117" s="3">
        <v>300</v>
      </c>
      <c r="AM117" s="28" t="str">
        <f>VLOOKUP(A117,Classification!A:B,2,FALSE)</f>
        <v>A</v>
      </c>
      <c r="AN117" s="28" t="b">
        <f t="shared" si="72"/>
        <v>1</v>
      </c>
      <c r="AO117" s="3" t="str">
        <f>IF(ISERROR(MATCH(A117,'SegEnds_Xtal_Prot#'!B:B, 0)), "NoXtal", "Xtal")</f>
        <v>NoXtal</v>
      </c>
      <c r="AP117" s="3">
        <f t="shared" si="41"/>
        <v>1</v>
      </c>
      <c r="AQ117" s="3">
        <f t="shared" si="42"/>
        <v>1</v>
      </c>
      <c r="AR117" s="3">
        <f t="shared" si="43"/>
        <v>2</v>
      </c>
      <c r="AS117" s="3">
        <f t="shared" si="44"/>
        <v>1</v>
      </c>
      <c r="AT117" s="3">
        <f t="shared" si="45"/>
        <v>1</v>
      </c>
      <c r="AU117" s="3">
        <f t="shared" si="46"/>
        <v>1</v>
      </c>
      <c r="AV117" s="3">
        <f t="shared" si="47"/>
        <v>14</v>
      </c>
      <c r="AW117" s="3">
        <f t="shared" si="48"/>
        <v>13</v>
      </c>
      <c r="AX117" s="3">
        <f t="shared" si="49"/>
        <v>4</v>
      </c>
      <c r="AY117" s="3">
        <f t="shared" si="50"/>
        <v>7</v>
      </c>
      <c r="AZ117" s="3">
        <f t="shared" si="51"/>
        <v>2</v>
      </c>
      <c r="BA117" s="3">
        <f>IF(ISERROR(LEN(VLOOKUP(A117,Seqs!A:E,2,FALSE))-AL117),"-",LEN(VLOOKUP(A117,Seqs!A:E,2,FALSE))-AL117)</f>
        <v>5</v>
      </c>
      <c r="BB117" s="16">
        <f t="shared" si="52"/>
        <v>28</v>
      </c>
      <c r="BC117" s="9">
        <f t="shared" si="53"/>
        <v>20</v>
      </c>
      <c r="BD117" s="3">
        <f t="shared" si="54"/>
        <v>28</v>
      </c>
      <c r="BE117" s="3">
        <f t="shared" si="55"/>
        <v>44</v>
      </c>
      <c r="BF117" s="3">
        <f>AH117-AE117</f>
        <v>40</v>
      </c>
    </row>
    <row r="118" spans="1:60" s="3" customFormat="1" x14ac:dyDescent="0.2">
      <c r="A118" s="3" t="s">
        <v>220</v>
      </c>
      <c r="B118" s="3" t="str">
        <f>LOWER(VLOOKUP(A118,Xtal_Templ!A:B,2,FALSE))</f>
        <v>5ht1b_human</v>
      </c>
      <c r="C118" s="3">
        <f>VLOOKUP($A118,'SegEnds_NonXtal_BW#'!$A:$Z,3,FALSE)+D118-50</f>
        <v>46</v>
      </c>
      <c r="D118" s="3">
        <v>67</v>
      </c>
      <c r="E118" s="3">
        <f>IF(ISERROR(VLOOKUP($A118,'SegEnds_NonXtal_BW#'!$A:$Z,4,FALSE)+VLOOKUP($A118,A:AL,4,FALSE)-50),"-",(VLOOKUP($A118,'SegEnds_NonXtal_BW#'!$A:$Z,4,FALSE)+VLOOKUP($A118,A:AL,4,FALSE)-50))</f>
        <v>77</v>
      </c>
      <c r="F118" s="3">
        <f>G118-2</f>
        <v>78</v>
      </c>
      <c r="G118" s="3">
        <v>80</v>
      </c>
      <c r="H118" s="3">
        <f>G118+1</f>
        <v>81</v>
      </c>
      <c r="I118" s="3">
        <f>H118+1</f>
        <v>82</v>
      </c>
      <c r="J118" s="3">
        <v>96</v>
      </c>
      <c r="K118" s="3">
        <f>VLOOKUP($A118,'SegEnds_NonXtal_BW#'!$A:$Z,8,FALSE)+VLOOKUP($A118,A:AL,10,FALSE)-50</f>
        <v>112</v>
      </c>
      <c r="L118" s="3">
        <f t="shared" si="74"/>
        <v>113</v>
      </c>
      <c r="M118" s="3">
        <v>114</v>
      </c>
      <c r="N118" s="3">
        <f t="shared" si="75"/>
        <v>116</v>
      </c>
      <c r="O118" s="3">
        <f t="shared" si="76"/>
        <v>117</v>
      </c>
      <c r="P118" s="3">
        <v>146</v>
      </c>
      <c r="Q118" s="3">
        <f>VLOOKUP($A118,'SegEnds_NonXtal_BW#'!$A:$Z,12,FALSE)+VLOOKUP($A118,A:AL,16,FALSE)-50</f>
        <v>152</v>
      </c>
      <c r="R118" s="3">
        <f>IF(ISERROR(VLOOKUP($A118,'SegEnds_NonXtal_BW#'!$A:$Z,13,FALSE)+VLOOKUP($A118,A:AL,19,FALSE)-50),"-",VLOOKUP($A118,'SegEnds_NonXtal_BW#'!$A:$Z,13,FALSE)+VLOOKUP($A118,A:AL,19,FALSE)-50)</f>
        <v>153</v>
      </c>
      <c r="S118" s="3">
        <v>153</v>
      </c>
      <c r="T118" s="103">
        <f>IF(ISERROR(VLOOKUP($A118,'SegEnds_NonXtal_BW#'!$A:$Z,14,FALSE)+VLOOKUP($A118,A:AL,19,FALSE)-50),"-",(VLOOKUP($A118,'SegEnds_NonXtal_BW#'!$A:$Z,14,FALSE)+VLOOKUP($A118,A:AL,19,FALSE)-50))</f>
        <v>160</v>
      </c>
      <c r="U118" s="9">
        <f>IF(ISERROR(VLOOKUP($A118,'SegEnds_NonXtal_BW#'!$A:$Z,15,FALSE)+VLOOKUP($A118,A:AL,22,FALSE)-50),"-",VLOOKUP($A118,'SegEnds_NonXtal_BW#'!$A:$Z,15,FALSE)+VLOOKUP($A118,A:AL,22,FALSE)-50)</f>
        <v>161</v>
      </c>
      <c r="V118" s="3">
        <v>173</v>
      </c>
      <c r="W118" s="3">
        <f>IF(ISERROR(VLOOKUP($A118,'SegEnds_NonXtal_BW#'!$A:$Z,16,FALSE)+VLOOKUP($A118,A:AL,22,FALSE)-50),"-",(VLOOKUP($A118,'SegEnds_NonXtal_BW#'!$A:$Z,16,FALSE)+VLOOKUP($A118,A:AL,22,FALSE)-50))</f>
        <v>186</v>
      </c>
      <c r="X118" s="3" t="str">
        <f>IF(ISERROR(VLOOKUP($A118,'SegEnds_NonXtal_BW#'!$A:$Z,17,FALSE)+VLOOKUP($A118,A:AL,25,FALSE)-50),"-",(VLOOKUP($A118,'SegEnds_NonXtal_BW#'!$A:$Z,17,FALSE)+VLOOKUP($A118,A:AL,25,FALSE)-50))</f>
        <v>-</v>
      </c>
      <c r="Y118" s="3" t="s">
        <v>23</v>
      </c>
      <c r="Z118" s="3" t="str">
        <f>IF(ISERROR(VLOOKUP($A118,'SegEnds_NonXtal_BW#'!$A:$Z,18,FALSE)+VLOOKUP($A118,A:AL,25,FALSE)-50),"-",(VLOOKUP($A118,'SegEnds_NonXtal_BW#'!$A:$Z,18,FALSE)+VLOOKUP($A118,A:AL,25,FALSE)-50))</f>
        <v>-</v>
      </c>
      <c r="AA118" s="3">
        <f>IF(ISERROR(VLOOKUP($A118,'SegEnds_NonXtal_BW#'!$A:$Z,19,FALSE)+VLOOKUP($A118,A:AL,28,FALSE)-50),"-",(VLOOKUP($A118,'SegEnds_NonXtal_BW#'!$A:$Z,19,FALSE)+VLOOKUP($A118,A:AL,28,FALSE)-50))</f>
        <v>196</v>
      </c>
      <c r="AB118" s="3">
        <v>211</v>
      </c>
      <c r="AC118" s="3">
        <f>IF(ISERROR((VLOOKUP($A118,'SegEnds_NonXtal_BW#'!$A:$Z,20,FALSE)+VLOOKUP($A118,A:AL,28,FALSE)-50)),"-",(VLOOKUP($A118,'SegEnds_NonXtal_BW#'!$A:$Z,20,FALSE)+VLOOKUP($A118,A:AL,28,FALSE)-50))</f>
        <v>237</v>
      </c>
      <c r="AD118" s="3">
        <f>IF(ISERROR(VLOOKUP($A118,'SegEnds_NonXtal_BW#'!$A:$Z,21,FALSE)+VLOOKUP($A118,A:AL,31,FALSE)-50),"-",(VLOOKUP($A118,'SegEnds_NonXtal_BW#'!$A:$Z,21,FALSE)+VLOOKUP($A118,A:AL,31,FALSE)-50))</f>
        <v>253</v>
      </c>
      <c r="AE118" s="3">
        <v>279</v>
      </c>
      <c r="AF118" s="3">
        <f>IF(ISERROR((VLOOKUP($A118,'SegEnds_NonXtal_BW#'!$A:$Z,22,FALSE)+VLOOKUP($A118,A:AL,31,FALSE)-50)),"-",(VLOOKUP($A118,'SegEnds_NonXtal_BW#'!$A:$Z,22,FALSE)+VLOOKUP($A118,A:AL,31,FALSE)-50))</f>
        <v>287</v>
      </c>
      <c r="AG118" s="3">
        <f>IF(ISERROR(VLOOKUP($A118,'SegEnds_NonXtal_BW#'!$A:$Z,23,FALSE)+VLOOKUP($A118,A:AL,34,FALSE)-50),"-",(VLOOKUP($A118,'SegEnds_NonXtal_BW#'!$A:$Z,23,FALSE)+VLOOKUP($A118,A:AL,34,FALSE)-50))</f>
        <v>295</v>
      </c>
      <c r="AH118" s="3">
        <v>309</v>
      </c>
      <c r="AI118" s="3">
        <v>316</v>
      </c>
      <c r="AJ118" s="3">
        <f>IF(ISERROR(VLOOKUP($A118,'SegEnds_NonXtal_BW#'!$A:$Z,25,FALSE)+VLOOKUP($A118,A:AL,37,FALSE)-50),"-",(VLOOKUP($A118,'SegEnds_NonXtal_BW#'!$A:$Z,25,FALSE)+VLOOKUP($A118,A:AL,37,FALSE)-50))</f>
        <v>317</v>
      </c>
      <c r="AK118" s="3">
        <v>320</v>
      </c>
      <c r="AL118" s="3">
        <f>IF(ISERROR((VLOOKUP($A118,'SegEnds_NonXtal_BW#'!$A:$Z,26,FALSE)+VLOOKUP($A118,A:AL,37,FALSE)-50)),"-",(VLOOKUP($A118,'SegEnds_NonXtal_BW#'!$A:$Z,26,FALSE)+VLOOKUP($A118,A:AL,37,FALSE)-50))</f>
        <v>328</v>
      </c>
      <c r="AM118" s="28" t="str">
        <f>VLOOKUP(A118,Classification!A:B,2,FALSE)</f>
        <v>A</v>
      </c>
      <c r="AN118" s="28" t="b">
        <f t="shared" si="72"/>
        <v>1</v>
      </c>
      <c r="AO118" s="3" t="str">
        <f>IF(ISERROR(MATCH(A118,'SegEnds_Xtal_Prot#'!B:B, 0)), "NoXtal", "Xtal")</f>
        <v>NoXtal</v>
      </c>
      <c r="AP118" s="3">
        <f t="shared" si="41"/>
        <v>1</v>
      </c>
      <c r="AQ118" s="3">
        <f t="shared" si="42"/>
        <v>1</v>
      </c>
      <c r="AR118" s="3">
        <f t="shared" si="43"/>
        <v>1</v>
      </c>
      <c r="AS118" s="3">
        <f t="shared" si="44"/>
        <v>1</v>
      </c>
      <c r="AT118" s="3">
        <f t="shared" si="45"/>
        <v>1</v>
      </c>
      <c r="AU118" s="3">
        <f t="shared" si="46"/>
        <v>1</v>
      </c>
      <c r="AV118" s="3" t="str">
        <f t="shared" si="47"/>
        <v>-</v>
      </c>
      <c r="AW118" s="3" t="str">
        <f t="shared" si="48"/>
        <v>-</v>
      </c>
      <c r="AX118" s="3">
        <f t="shared" si="49"/>
        <v>16</v>
      </c>
      <c r="AY118" s="3">
        <f t="shared" si="50"/>
        <v>8</v>
      </c>
      <c r="AZ118" s="3">
        <f t="shared" si="51"/>
        <v>1</v>
      </c>
      <c r="BA118" s="3">
        <f>IF(ISERROR(LEN(VLOOKUP(A118,Seqs!A:E,2,FALSE))-AL118),"-",LEN(VLOOKUP(A118,Seqs!A:E,2,FALSE))-AL118)</f>
        <v>19</v>
      </c>
      <c r="BB118" s="16">
        <f t="shared" si="52"/>
        <v>29</v>
      </c>
      <c r="BC118" s="9">
        <f t="shared" si="53"/>
        <v>20</v>
      </c>
      <c r="BD118" s="3">
        <f t="shared" si="54"/>
        <v>29</v>
      </c>
      <c r="BE118" s="3">
        <f t="shared" si="55"/>
        <v>68</v>
      </c>
      <c r="BF118" s="3">
        <f>AH118-AE118</f>
        <v>30</v>
      </c>
    </row>
    <row r="119" spans="1:60" s="3" customFormat="1" x14ac:dyDescent="0.2">
      <c r="A119" s="3" t="s">
        <v>224</v>
      </c>
      <c r="B119" s="3" t="str">
        <f>LOWER(VLOOKUP(A119,Xtal_Templ!A:B,2,FALSE))</f>
        <v>ntr1_rat</v>
      </c>
      <c r="C119" s="3">
        <f>VLOOKUP($A119,'SegEnds_NonXtal_BW#'!$A:$Z,3,FALSE)+D119-50</f>
        <v>26</v>
      </c>
      <c r="D119" s="3">
        <v>47</v>
      </c>
      <c r="E119" s="3">
        <f>IF(ISERROR(VLOOKUP($A119,'SegEnds_NonXtal_BW#'!$A:$Z,4,FALSE)+VLOOKUP($A119,A:AL,4,FALSE)-50),"-",(VLOOKUP($A119,'SegEnds_NonXtal_BW#'!$A:$Z,4,FALSE)+VLOOKUP($A119,A:AL,4,FALSE)-50))</f>
        <v>57</v>
      </c>
      <c r="F119" s="3" t="str">
        <f>IF(ISERROR(VLOOKUP($A119,'SegEnds_NonXtal_BW#'!$A:$Z,5,FALSE)+VLOOKUP($A119,A:AL,7,FALSE)-50),"-",(VLOOKUP($A119,'SegEnds_NonXtal_BW#'!$A:$Z,5,FALSE)+VLOOKUP($A119,A:AL,7,FALSE)-50))</f>
        <v>-</v>
      </c>
      <c r="G119" s="3" t="s">
        <v>23</v>
      </c>
      <c r="H119" s="3" t="str">
        <f>IF(ISERROR(VLOOKUP($A119,'SegEnds_NonXtal_BW#'!$A:$Z,6,FALSE)+VLOOKUP($A119,A:AL,7,FALSE)-50),"-",(VLOOKUP($A119,'SegEnds_NonXtal_BW#'!$A:$Z,6,FALSE)+VLOOKUP($A119,A:AL,7,FALSE)-50))</f>
        <v>-</v>
      </c>
      <c r="I119" s="3">
        <f>VLOOKUP($A119,'SegEnds_NonXtal_BW#'!$A:$Z,7,FALSE)+J119-50</f>
        <v>64</v>
      </c>
      <c r="J119" s="3">
        <v>77</v>
      </c>
      <c r="K119" s="3">
        <f>VLOOKUP($A119,'SegEnds_NonXtal_BW#'!$A:$Z,8,FALSE)+VLOOKUP($A119,A:AL,10,FALSE)-50</f>
        <v>94</v>
      </c>
      <c r="L119" s="3">
        <f t="shared" si="74"/>
        <v>96</v>
      </c>
      <c r="M119" s="3">
        <v>97</v>
      </c>
      <c r="N119" s="3">
        <f t="shared" si="75"/>
        <v>99</v>
      </c>
      <c r="O119" s="3">
        <f t="shared" si="76"/>
        <v>100</v>
      </c>
      <c r="P119" s="3">
        <v>129</v>
      </c>
      <c r="Q119" s="3">
        <f>VLOOKUP($A119,'SegEnds_NonXtal_BW#'!$A:$Z,12,FALSE)+VLOOKUP($A119,A:AL,16,FALSE)-50</f>
        <v>135</v>
      </c>
      <c r="R119" s="3">
        <f>IF(ISERROR(VLOOKUP($A119,'SegEnds_NonXtal_BW#'!$A:$Z,13,FALSE)+VLOOKUP($A119,A:AL,19,FALSE)-50),"-",VLOOKUP($A119,'SegEnds_NonXtal_BW#'!$A:$Z,13,FALSE)+VLOOKUP($A119,A:AL,19,FALSE)-50)</f>
        <v>136</v>
      </c>
      <c r="S119" s="3">
        <v>136</v>
      </c>
      <c r="T119" s="103">
        <f>IF(ISERROR(VLOOKUP($A119,'SegEnds_NonXtal_BW#'!$A:$Z,14,FALSE)+VLOOKUP($A119,A:AL,19,FALSE)-50),"-",(VLOOKUP($A119,'SegEnds_NonXtal_BW#'!$A:$Z,14,FALSE)+VLOOKUP($A119,A:AL,19,FALSE)-50))</f>
        <v>143</v>
      </c>
      <c r="U119" s="9">
        <f>IF(ISERROR(VLOOKUP($A119,'SegEnds_NonXtal_BW#'!$A:$Z,15,FALSE)+VLOOKUP($A119,A:AL,22,FALSE)-50),"-",VLOOKUP($A119,'SegEnds_NonXtal_BW#'!$A:$Z,15,FALSE)+VLOOKUP($A119,A:AL,22,FALSE)-50)</f>
        <v>144</v>
      </c>
      <c r="V119" s="3">
        <v>156</v>
      </c>
      <c r="W119" s="3">
        <f>IF(ISERROR(VLOOKUP($A119,'SegEnds_NonXtal_BW#'!$A:$Z,16,FALSE)+VLOOKUP($A119,A:AL,22,FALSE)-50),"-",(VLOOKUP($A119,'SegEnds_NonXtal_BW#'!$A:$Z,16,FALSE)+VLOOKUP($A119,A:AL,22,FALSE)-50))</f>
        <v>170</v>
      </c>
      <c r="X119" s="3">
        <f>IF(ISERROR(VLOOKUP($A119,'SegEnds_NonXtal_BW#'!$A:$Z,17,FALSE)+VLOOKUP($A119,A:AL,25,FALSE)-50),"-",(VLOOKUP($A119,'SegEnds_NonXtal_BW#'!$A:$Z,17,FALSE)+VLOOKUP($A119,A:AL,25,FALSE)-50))</f>
        <v>182</v>
      </c>
      <c r="Y119" s="3">
        <v>182</v>
      </c>
      <c r="Z119" s="3">
        <f t="shared" ref="Z119:Z128" si="77">Y119+2</f>
        <v>184</v>
      </c>
      <c r="AA119" s="3">
        <f>IF(ISERROR(VLOOKUP($A119,'SegEnds_NonXtal_BW#'!$A:$Z,19,FALSE)+VLOOKUP($A119,A:AL,28,FALSE)-50),"-",(VLOOKUP($A119,'SegEnds_NonXtal_BW#'!$A:$Z,19,FALSE)+VLOOKUP($A119,A:AL,28,FALSE)-50))</f>
        <v>189</v>
      </c>
      <c r="AB119" s="3">
        <v>204</v>
      </c>
      <c r="AC119" s="3">
        <f>IF(ISERROR((VLOOKUP($A119,'SegEnds_NonXtal_BW#'!$A:$Z,20,FALSE)+VLOOKUP($A119,A:AL,28,FALSE)-50)),"-",(VLOOKUP($A119,'SegEnds_NonXtal_BW#'!$A:$Z,20,FALSE)+VLOOKUP($A119,A:AL,28,FALSE)-50))</f>
        <v>222</v>
      </c>
      <c r="AD119" s="3">
        <f>IF(ISERROR(VLOOKUP($A119,'SegEnds_NonXtal_BW#'!$A:$Z,21,FALSE)+VLOOKUP($A119,A:AL,31,FALSE)-50),"-",(VLOOKUP($A119,'SegEnds_NonXtal_BW#'!$A:$Z,21,FALSE)+VLOOKUP($A119,A:AL,31,FALSE)-50))</f>
        <v>226</v>
      </c>
      <c r="AE119" s="3">
        <v>252</v>
      </c>
      <c r="AF119" s="3">
        <f>IF(ISERROR((VLOOKUP($A119,'SegEnds_NonXtal_BW#'!$A:$Z,22,FALSE)+VLOOKUP($A119,A:AL,31,FALSE)-50)),"-",(VLOOKUP($A119,'SegEnds_NonXtal_BW#'!$A:$Z,22,FALSE)+VLOOKUP($A119,A:AL,31,FALSE)-50))</f>
        <v>263</v>
      </c>
      <c r="AG119" s="3">
        <f>IF(ISERROR(VLOOKUP($A119,'SegEnds_NonXtal_BW#'!$A:$Z,23,FALSE)+VLOOKUP($A119,A:AL,34,FALSE)-50),"-",(VLOOKUP($A119,'SegEnds_NonXtal_BW#'!$A:$Z,23,FALSE)+VLOOKUP($A119,A:AL,34,FALSE)-50))</f>
        <v>270</v>
      </c>
      <c r="AH119" s="3">
        <v>292</v>
      </c>
      <c r="AI119" s="3">
        <f>IF(ISERROR((VLOOKUP($A119,'SegEnds_NonXtal_BW#'!$A:$Z,24,FALSE)+VLOOKUP($A119,A:AL,34,FALSE)-50)),"-",(VLOOKUP($A119,'SegEnds_NonXtal_BW#'!$A:$Z,24,FALSE)+VLOOKUP($A119,A:AL,34,FALSE)-50))</f>
        <v>298</v>
      </c>
      <c r="AJ119" s="3">
        <f>IF(ISERROR(VLOOKUP($A119,'SegEnds_NonXtal_BW#'!$A:$Z,25,FALSE)+VLOOKUP($A119,A:AL,37,FALSE)-50),"-",(VLOOKUP($A119,'SegEnds_NonXtal_BW#'!$A:$Z,25,FALSE)+VLOOKUP($A119,A:AL,37,FALSE)-50))</f>
        <v>299</v>
      </c>
      <c r="AK119" s="3">
        <v>302</v>
      </c>
      <c r="AL119" s="3">
        <f>IF(ISERROR((VLOOKUP($A119,'SegEnds_NonXtal_BW#'!$A:$Z,26,FALSE)+VLOOKUP($A119,A:AL,37,FALSE)-50)),"-",(VLOOKUP($A119,'SegEnds_NonXtal_BW#'!$A:$Z,26,FALSE)+VLOOKUP($A119,A:AL,37,FALSE)-50))</f>
        <v>310</v>
      </c>
      <c r="AM119" s="28" t="str">
        <f>VLOOKUP(A119,Classification!A:B,2,FALSE)</f>
        <v>A</v>
      </c>
      <c r="AN119" s="28" t="b">
        <f t="shared" si="72"/>
        <v>1</v>
      </c>
      <c r="AO119" s="3" t="str">
        <f>IF(ISERROR(MATCH(A119,'SegEnds_Xtal_Prot#'!B:B, 0)), "NoXtal", "Xtal")</f>
        <v>NoXtal</v>
      </c>
      <c r="AP119" s="3" t="str">
        <f t="shared" si="41"/>
        <v>-</v>
      </c>
      <c r="AQ119" s="3" t="str">
        <f t="shared" si="42"/>
        <v>-</v>
      </c>
      <c r="AR119" s="3">
        <f t="shared" si="43"/>
        <v>2</v>
      </c>
      <c r="AS119" s="3">
        <f t="shared" si="44"/>
        <v>1</v>
      </c>
      <c r="AT119" s="3">
        <f t="shared" si="45"/>
        <v>1</v>
      </c>
      <c r="AU119" s="3">
        <f t="shared" si="46"/>
        <v>1</v>
      </c>
      <c r="AV119" s="3">
        <f t="shared" si="47"/>
        <v>12</v>
      </c>
      <c r="AW119" s="3">
        <f t="shared" si="48"/>
        <v>5</v>
      </c>
      <c r="AX119" s="3">
        <f t="shared" si="49"/>
        <v>4</v>
      </c>
      <c r="AY119" s="3">
        <f t="shared" si="50"/>
        <v>7</v>
      </c>
      <c r="AZ119" s="3">
        <f t="shared" si="51"/>
        <v>1</v>
      </c>
      <c r="BA119" s="3">
        <f>IF(ISERROR(LEN(VLOOKUP(A119,Seqs!A:E,2,FALSE))-AL119),"-",LEN(VLOOKUP(A119,Seqs!A:E,2,FALSE))-AL119)</f>
        <v>160</v>
      </c>
      <c r="BB119" s="16">
        <f t="shared" si="52"/>
        <v>30</v>
      </c>
      <c r="BC119" s="9">
        <f t="shared" si="53"/>
        <v>20</v>
      </c>
      <c r="BD119" s="3">
        <f t="shared" si="54"/>
        <v>30</v>
      </c>
      <c r="BE119" s="3">
        <f t="shared" si="55"/>
        <v>48</v>
      </c>
    </row>
    <row r="120" spans="1:60" s="3" customFormat="1" x14ac:dyDescent="0.2">
      <c r="A120" s="3" t="s">
        <v>225</v>
      </c>
      <c r="B120" s="3" t="str">
        <f>LOWER(VLOOKUP(A120,Xtal_Templ!A:B,2,FALSE))</f>
        <v>ox2r_human</v>
      </c>
      <c r="C120" s="3">
        <f>VLOOKUP($A120,'SegEnds_NonXtal_BW#'!$A:$Z,3,FALSE)+D120-50</f>
        <v>6</v>
      </c>
      <c r="D120" s="3">
        <v>25</v>
      </c>
      <c r="E120" s="3">
        <f>IF(ISERROR(VLOOKUP($A120,'SegEnds_NonXtal_BW#'!$A:$Z,4,FALSE)+VLOOKUP($A120,A:AL,4,FALSE)-50),"-",(VLOOKUP($A120,'SegEnds_NonXtal_BW#'!$A:$Z,4,FALSE)+VLOOKUP($A120,A:AL,4,FALSE)-50))</f>
        <v>35</v>
      </c>
      <c r="F120" s="3">
        <f>G120-2</f>
        <v>36</v>
      </c>
      <c r="G120" s="3">
        <v>38</v>
      </c>
      <c r="H120" s="3">
        <f t="shared" ref="H120:I122" si="78">G120+1</f>
        <v>39</v>
      </c>
      <c r="I120" s="3">
        <f t="shared" si="78"/>
        <v>40</v>
      </c>
      <c r="J120" s="108">
        <v>52</v>
      </c>
      <c r="K120" s="3">
        <f>VLOOKUP($A120,'SegEnds_NonXtal_BW#'!$A:$Z,8,FALSE)+VLOOKUP($A120,A:AL,10,FALSE)-50</f>
        <v>69</v>
      </c>
      <c r="L120" s="3">
        <f t="shared" si="74"/>
        <v>75</v>
      </c>
      <c r="M120" s="3">
        <v>76</v>
      </c>
      <c r="N120" s="3">
        <f t="shared" si="75"/>
        <v>78</v>
      </c>
      <c r="O120" s="3">
        <f t="shared" si="76"/>
        <v>79</v>
      </c>
      <c r="P120" s="3">
        <v>108</v>
      </c>
      <c r="Q120" s="3">
        <f>VLOOKUP($A120,'SegEnds_NonXtal_BW#'!$A:$Z,12,FALSE)+VLOOKUP($A120,A:AL,16,FALSE)-50</f>
        <v>114</v>
      </c>
      <c r="R120" s="3">
        <f>IF(ISERROR(VLOOKUP($A120,'SegEnds_NonXtal_BW#'!$A:$Z,13,FALSE)+VLOOKUP($A120,A:AL,19,FALSE)-50),"-",VLOOKUP($A120,'SegEnds_NonXtal_BW#'!$A:$Z,13,FALSE)+VLOOKUP($A120,A:AL,19,FALSE)-50)</f>
        <v>115</v>
      </c>
      <c r="S120" s="3">
        <v>115</v>
      </c>
      <c r="T120" s="103">
        <f>IF(ISERROR(VLOOKUP($A120,'SegEnds_NonXtal_BW#'!$A:$Z,14,FALSE)+VLOOKUP($A120,A:AL,19,FALSE)-50),"-",(VLOOKUP($A120,'SegEnds_NonXtal_BW#'!$A:$Z,14,FALSE)+VLOOKUP($A120,A:AL,19,FALSE)-50))</f>
        <v>122</v>
      </c>
      <c r="U120" s="9">
        <f>IF(ISERROR(VLOOKUP($A120,'SegEnds_NonXtal_BW#'!$A:$Z,15,FALSE)+VLOOKUP($A120,A:AL,22,FALSE)-50),"-",VLOOKUP($A120,'SegEnds_NonXtal_BW#'!$A:$Z,15,FALSE)+VLOOKUP($A120,A:AL,22,FALSE)-50)</f>
        <v>123</v>
      </c>
      <c r="V120" s="3">
        <v>135</v>
      </c>
      <c r="W120" s="3">
        <f>IF(ISERROR(VLOOKUP($A120,'SegEnds_NonXtal_BW#'!$A:$Z,16,FALSE)+VLOOKUP($A120,A:AL,22,FALSE)-50),"-",(VLOOKUP($A120,'SegEnds_NonXtal_BW#'!$A:$Z,16,FALSE)+VLOOKUP($A120,A:AL,22,FALSE)-50))</f>
        <v>148</v>
      </c>
      <c r="X120" s="3">
        <f>IF(ISERROR(VLOOKUP($A120,'SegEnds_NonXtal_BW#'!$A:$Z,17,FALSE)+VLOOKUP($A120,A:AL,25,FALSE)-50),"-",(VLOOKUP($A120,'SegEnds_NonXtal_BW#'!$A:$Z,17,FALSE)+VLOOKUP($A120,A:AL,25,FALSE)-50))</f>
        <v>161</v>
      </c>
      <c r="Y120" s="3">
        <v>161</v>
      </c>
      <c r="Z120" s="3">
        <f t="shared" si="77"/>
        <v>163</v>
      </c>
      <c r="AA120" s="3">
        <f>IF(ISERROR(VLOOKUP($A120,'SegEnds_NonXtal_BW#'!$A:$Z,19,FALSE)+VLOOKUP($A120,A:AL,28,FALSE)-50),"-",(VLOOKUP($A120,'SegEnds_NonXtal_BW#'!$A:$Z,19,FALSE)+VLOOKUP($A120,A:AL,28,FALSE)-50))</f>
        <v>169</v>
      </c>
      <c r="AB120" s="3">
        <v>184</v>
      </c>
      <c r="AC120" s="3">
        <f>IF(ISERROR((VLOOKUP($A120,'SegEnds_NonXtal_BW#'!$A:$Z,20,FALSE)+VLOOKUP($A120,A:AL,28,FALSE)-50)),"-",(VLOOKUP($A120,'SegEnds_NonXtal_BW#'!$A:$Z,20,FALSE)+VLOOKUP($A120,A:AL,28,FALSE)-50))</f>
        <v>210</v>
      </c>
      <c r="AD120" s="3">
        <f>IF(ISERROR(VLOOKUP($A120,'SegEnds_NonXtal_BW#'!$A:$Z,21,FALSE)+VLOOKUP($A120,A:AL,31,FALSE)-50),"-",(VLOOKUP($A120,'SegEnds_NonXtal_BW#'!$A:$Z,21,FALSE)+VLOOKUP($A120,A:AL,31,FALSE)-50))</f>
        <v>234</v>
      </c>
      <c r="AE120" s="3">
        <v>260</v>
      </c>
      <c r="AF120" s="3">
        <f>IF(ISERROR((VLOOKUP($A120,'SegEnds_NonXtal_BW#'!$A:$Z,22,FALSE)+VLOOKUP($A120,A:AL,31,FALSE)-50)),"-",(VLOOKUP($A120,'SegEnds_NonXtal_BW#'!$A:$Z,22,FALSE)+VLOOKUP($A120,A:AL,31,FALSE)-50))</f>
        <v>271</v>
      </c>
      <c r="AG120" s="3">
        <f>IF(ISERROR(VLOOKUP($A120,'SegEnds_NonXtal_BW#'!$A:$Z,23,FALSE)+VLOOKUP($A120,A:AL,34,FALSE)-50),"-",(VLOOKUP($A120,'SegEnds_NonXtal_BW#'!$A:$Z,23,FALSE)+VLOOKUP($A120,A:AL,34,FALSE)-50))</f>
        <v>276</v>
      </c>
      <c r="AH120" s="3">
        <v>294</v>
      </c>
      <c r="AI120" s="3">
        <v>299</v>
      </c>
      <c r="AJ120" s="3">
        <f>IF(ISERROR(VLOOKUP($A120,'SegEnds_NonXtal_BW#'!$A:$Z,25,FALSE)+VLOOKUP($A120,A:AL,37,FALSE)-50),"-",(VLOOKUP($A120,'SegEnds_NonXtal_BW#'!$A:$Z,25,FALSE)+VLOOKUP($A120,A:AL,37,FALSE)-50))</f>
        <v>300</v>
      </c>
      <c r="AK120" s="3">
        <v>303</v>
      </c>
      <c r="AL120" s="3">
        <f>IF(ISERROR((VLOOKUP($A120,'SegEnds_NonXtal_BW#'!$A:$Z,26,FALSE)+VLOOKUP($A120,A:AL,37,FALSE)-50)),"-",(VLOOKUP($A120,'SegEnds_NonXtal_BW#'!$A:$Z,26,FALSE)+VLOOKUP($A120,A:AL,37,FALSE)-50))</f>
        <v>311</v>
      </c>
      <c r="AM120" s="28" t="str">
        <f>VLOOKUP(A120,Classification!A:B,2,FALSE)</f>
        <v>A</v>
      </c>
      <c r="AN120" s="28" t="b">
        <f t="shared" si="72"/>
        <v>1</v>
      </c>
      <c r="AO120" s="3" t="str">
        <f>IF(ISERROR(MATCH(A120,'SegEnds_Xtal_Prot#'!B:B, 0)), "NoXtal", "Xtal")</f>
        <v>NoXtal</v>
      </c>
      <c r="AP120" s="3">
        <f t="shared" si="41"/>
        <v>1</v>
      </c>
      <c r="AQ120" s="3">
        <f t="shared" si="42"/>
        <v>1</v>
      </c>
      <c r="AR120" s="3">
        <f t="shared" si="43"/>
        <v>6</v>
      </c>
      <c r="AS120" s="3">
        <f t="shared" si="44"/>
        <v>1</v>
      </c>
      <c r="AT120" s="3">
        <f t="shared" si="45"/>
        <v>1</v>
      </c>
      <c r="AU120" s="3">
        <f t="shared" si="46"/>
        <v>1</v>
      </c>
      <c r="AV120" s="3">
        <f t="shared" si="47"/>
        <v>13</v>
      </c>
      <c r="AW120" s="3">
        <f t="shared" si="48"/>
        <v>6</v>
      </c>
      <c r="AX120" s="3">
        <f t="shared" si="49"/>
        <v>24</v>
      </c>
      <c r="AY120" s="3">
        <f t="shared" si="50"/>
        <v>5</v>
      </c>
      <c r="AZ120" s="3">
        <f t="shared" si="51"/>
        <v>1</v>
      </c>
      <c r="BA120" s="3">
        <f>IF(ISERROR(LEN(VLOOKUP(A120,Seqs!A:E,2,FALSE))-AL120),"-",LEN(VLOOKUP(A120,Seqs!A:E,2,FALSE))-AL120)</f>
        <v>298</v>
      </c>
      <c r="BB120" s="16">
        <f t="shared" si="52"/>
        <v>27</v>
      </c>
      <c r="BC120" s="9">
        <f t="shared" si="53"/>
        <v>20</v>
      </c>
      <c r="BD120" s="3">
        <f t="shared" si="54"/>
        <v>27</v>
      </c>
      <c r="BE120" s="3">
        <f t="shared" si="55"/>
        <v>76</v>
      </c>
    </row>
    <row r="121" spans="1:60" s="9" customFormat="1" x14ac:dyDescent="0.2">
      <c r="A121" s="3" t="s">
        <v>227</v>
      </c>
      <c r="B121" s="3" t="str">
        <f>LOWER(VLOOKUP(A121,Xtal_Templ!A:B,2,FALSE))</f>
        <v>5ht1b_human</v>
      </c>
      <c r="C121" s="3">
        <f>VLOOKUP($A121,'SegEnds_NonXtal_BW#'!$A:$Z,3,FALSE)+D121-50</f>
        <v>24</v>
      </c>
      <c r="D121" s="3">
        <v>45</v>
      </c>
      <c r="E121" s="3">
        <f>IF(ISERROR(VLOOKUP($A121,'SegEnds_NonXtal_BW#'!$A:$Z,4,FALSE)+VLOOKUP($A121,A:AL,4,FALSE)-50),"-",(VLOOKUP($A121,'SegEnds_NonXtal_BW#'!$A:$Z,4,FALSE)+VLOOKUP($A121,A:AL,4,FALSE)-50))</f>
        <v>55</v>
      </c>
      <c r="F121" s="3">
        <f>G121-2</f>
        <v>56</v>
      </c>
      <c r="G121" s="3">
        <v>58</v>
      </c>
      <c r="H121" s="3">
        <f t="shared" si="78"/>
        <v>59</v>
      </c>
      <c r="I121" s="3">
        <f t="shared" si="78"/>
        <v>60</v>
      </c>
      <c r="J121" s="3">
        <v>73</v>
      </c>
      <c r="K121" s="3">
        <f>VLOOKUP($A121,'SegEnds_NonXtal_BW#'!$A:$Z,8,FALSE)+VLOOKUP($A121,A:AL,10,FALSE)-50</f>
        <v>90</v>
      </c>
      <c r="L121" s="3">
        <f t="shared" si="74"/>
        <v>92</v>
      </c>
      <c r="M121" s="3">
        <v>93</v>
      </c>
      <c r="N121" s="3">
        <f t="shared" si="75"/>
        <v>95</v>
      </c>
      <c r="O121" s="3">
        <f t="shared" si="76"/>
        <v>96</v>
      </c>
      <c r="P121" s="3">
        <v>125</v>
      </c>
      <c r="Q121" s="3">
        <f>VLOOKUP($A121,'SegEnds_NonXtal_BW#'!$A:$Z,12,FALSE)+VLOOKUP($A121,A:AL,16,FALSE)-50</f>
        <v>131</v>
      </c>
      <c r="R121" s="3">
        <f>IF(ISERROR(VLOOKUP($A121,'SegEnds_NonXtal_BW#'!$A:$Z,13,FALSE)+VLOOKUP($A121,A:AL,19,FALSE)-50),"-",VLOOKUP($A121,'SegEnds_NonXtal_BW#'!$A:$Z,13,FALSE)+VLOOKUP($A121,A:AL,19,FALSE)-50)</f>
        <v>132</v>
      </c>
      <c r="S121" s="3">
        <v>132</v>
      </c>
      <c r="T121" s="103">
        <f>IF(ISERROR(VLOOKUP($A121,'SegEnds_NonXtal_BW#'!$A:$Z,14,FALSE)+VLOOKUP($A121,A:AL,19,FALSE)-50),"-",(VLOOKUP($A121,'SegEnds_NonXtal_BW#'!$A:$Z,14,FALSE)+VLOOKUP($A121,A:AL,19,FALSE)-50))</f>
        <v>139</v>
      </c>
      <c r="U121" s="9">
        <f>IF(ISERROR(VLOOKUP($A121,'SegEnds_NonXtal_BW#'!$A:$Z,15,FALSE)+VLOOKUP($A121,A:AL,22,FALSE)-50),"-",VLOOKUP($A121,'SegEnds_NonXtal_BW#'!$A:$Z,15,FALSE)+VLOOKUP($A121,A:AL,22,FALSE)-50)</f>
        <v>140</v>
      </c>
      <c r="V121" s="3">
        <v>152</v>
      </c>
      <c r="W121" s="3">
        <f>IF(ISERROR(VLOOKUP($A121,'SegEnds_NonXtal_BW#'!$A:$Z,16,FALSE)+VLOOKUP($A121,A:AL,22,FALSE)-50),"-",(VLOOKUP($A121,'SegEnds_NonXtal_BW#'!$A:$Z,16,FALSE)+VLOOKUP($A121,A:AL,22,FALSE)-50))</f>
        <v>165</v>
      </c>
      <c r="X121" s="3">
        <f>IF(ISERROR(VLOOKUP($A121,'SegEnds_NonXtal_BW#'!$A:$Z,17,FALSE)+VLOOKUP($A121,A:AL,25,FALSE)-50),"-",(VLOOKUP($A121,'SegEnds_NonXtal_BW#'!$A:$Z,17,FALSE)+VLOOKUP($A121,A:AL,25,FALSE)-50))</f>
        <v>178</v>
      </c>
      <c r="Y121" s="3">
        <v>178</v>
      </c>
      <c r="Z121" s="3">
        <f t="shared" si="77"/>
        <v>180</v>
      </c>
      <c r="AA121" s="3">
        <f>IF(ISERROR(VLOOKUP($A121,'SegEnds_NonXtal_BW#'!$A:$Z,19,FALSE)+VLOOKUP($A121,A:AL,28,FALSE)-50),"-",(VLOOKUP($A121,'SegEnds_NonXtal_BW#'!$A:$Z,19,FALSE)+VLOOKUP($A121,A:AL,28,FALSE)-50))</f>
        <v>185</v>
      </c>
      <c r="AB121" s="3">
        <v>200</v>
      </c>
      <c r="AC121" s="3">
        <f>IF(ISERROR((VLOOKUP($A121,'SegEnds_NonXtal_BW#'!$A:$Z,20,FALSE)+VLOOKUP($A121,A:AL,28,FALSE)-50)),"-",(VLOOKUP($A121,'SegEnds_NonXtal_BW#'!$A:$Z,20,FALSE)+VLOOKUP($A121,A:AL,28,FALSE)-50))</f>
        <v>226</v>
      </c>
      <c r="AD121" s="3">
        <f>IF(ISERROR(VLOOKUP($A121,'SegEnds_NonXtal_BW#'!$A:$Z,21,FALSE)+VLOOKUP($A121,A:AL,31,FALSE)-50),"-",(VLOOKUP($A121,'SegEnds_NonXtal_BW#'!$A:$Z,21,FALSE)+VLOOKUP($A121,A:AL,31,FALSE)-50))</f>
        <v>259</v>
      </c>
      <c r="AE121" s="3">
        <v>285</v>
      </c>
      <c r="AF121" s="3">
        <f>IF(ISERROR((VLOOKUP($A121,'SegEnds_NonXtal_BW#'!$A:$Z,22,FALSE)+VLOOKUP($A121,A:AL,31,FALSE)-50)),"-",(VLOOKUP($A121,'SegEnds_NonXtal_BW#'!$A:$Z,22,FALSE)+VLOOKUP($A121,A:AL,31,FALSE)-50))</f>
        <v>296</v>
      </c>
      <c r="AG121" s="3">
        <f>IF(ISERROR(VLOOKUP($A121,'SegEnds_NonXtal_BW#'!$A:$Z,23,FALSE)+VLOOKUP($A121,A:AL,34,FALSE)-50),"-",(VLOOKUP($A121,'SegEnds_NonXtal_BW#'!$A:$Z,23,FALSE)+VLOOKUP($A121,A:AL,34,FALSE)-50))</f>
        <v>302</v>
      </c>
      <c r="AH121" s="3">
        <v>321</v>
      </c>
      <c r="AI121" s="3">
        <f>IF(ISERROR((VLOOKUP($A121,'SegEnds_NonXtal_BW#'!$A:$Z,24,FALSE)+VLOOKUP($A121,A:AL,34,FALSE)-50)),"-",(VLOOKUP($A121,'SegEnds_NonXtal_BW#'!$A:$Z,24,FALSE)+VLOOKUP($A121,A:AL,34,FALSE)-50))</f>
        <v>327</v>
      </c>
      <c r="AJ121" s="3">
        <f>IF(ISERROR(VLOOKUP($A121,'SegEnds_NonXtal_BW#'!$A:$Z,25,FALSE)+VLOOKUP($A121,A:AL,37,FALSE)-50),"-",(VLOOKUP($A121,'SegEnds_NonXtal_BW#'!$A:$Z,25,FALSE)+VLOOKUP($A121,A:AL,37,FALSE)-50))</f>
        <v>328</v>
      </c>
      <c r="AK121" s="3">
        <v>331</v>
      </c>
      <c r="AL121" s="3">
        <f>IF(ISERROR((VLOOKUP($A121,'SegEnds_NonXtal_BW#'!$A:$Z,26,FALSE)+VLOOKUP($A121,A:AL,37,FALSE)-50)),"-",(VLOOKUP($A121,'SegEnds_NonXtal_BW#'!$A:$Z,26,FALSE)+VLOOKUP($A121,A:AL,37,FALSE)-50))</f>
        <v>339</v>
      </c>
      <c r="AM121" s="28" t="str">
        <f>VLOOKUP(A121,Classification!A:B,2,FALSE)</f>
        <v>A</v>
      </c>
      <c r="AN121" s="28" t="b">
        <f t="shared" si="72"/>
        <v>1</v>
      </c>
      <c r="AO121" s="3" t="str">
        <f>IF(ISERROR(MATCH(A121,'SegEnds_Xtal_Prot#'!B:B, 0)), "NoXtal", "Xtal")</f>
        <v>NoXtal</v>
      </c>
      <c r="AP121" s="3">
        <f t="shared" si="41"/>
        <v>1</v>
      </c>
      <c r="AQ121" s="3">
        <f t="shared" si="42"/>
        <v>1</v>
      </c>
      <c r="AR121" s="3">
        <f t="shared" si="43"/>
        <v>2</v>
      </c>
      <c r="AS121" s="3">
        <f t="shared" si="44"/>
        <v>1</v>
      </c>
      <c r="AT121" s="3">
        <f t="shared" si="45"/>
        <v>1</v>
      </c>
      <c r="AU121" s="3">
        <f t="shared" si="46"/>
        <v>1</v>
      </c>
      <c r="AV121" s="3">
        <f t="shared" si="47"/>
        <v>13</v>
      </c>
      <c r="AW121" s="3">
        <f t="shared" si="48"/>
        <v>5</v>
      </c>
      <c r="AX121" s="3">
        <f t="shared" si="49"/>
        <v>33</v>
      </c>
      <c r="AY121" s="3">
        <f t="shared" si="50"/>
        <v>6</v>
      </c>
      <c r="AZ121" s="3">
        <f t="shared" si="51"/>
        <v>1</v>
      </c>
      <c r="BA121" s="3">
        <f>IF(ISERROR(LEN(VLOOKUP(A121,Seqs!A:E,2,FALSE))-AL121),"-",LEN(VLOOKUP(A121,Seqs!A:E,2,FALSE))-AL121)</f>
        <v>190</v>
      </c>
      <c r="BB121" s="16">
        <f t="shared" si="52"/>
        <v>28</v>
      </c>
      <c r="BC121" s="9">
        <f t="shared" si="53"/>
        <v>20</v>
      </c>
      <c r="BD121" s="3">
        <f t="shared" si="54"/>
        <v>28</v>
      </c>
      <c r="BE121" s="3">
        <f t="shared" si="55"/>
        <v>85</v>
      </c>
      <c r="BF121" s="3"/>
      <c r="BG121" s="3"/>
      <c r="BH121" s="3"/>
    </row>
    <row r="122" spans="1:60" s="3" customFormat="1" x14ac:dyDescent="0.2">
      <c r="A122" s="3" t="s">
        <v>228</v>
      </c>
      <c r="B122" s="3" t="str">
        <f>LOWER(VLOOKUP(A122,Xtal_Templ!A:B,2,FALSE))</f>
        <v>ox2r_human</v>
      </c>
      <c r="C122" s="3">
        <f>VLOOKUP($A122,'SegEnds_NonXtal_BW#'!$A:$Z,3,FALSE)+D122-50</f>
        <v>12</v>
      </c>
      <c r="D122" s="3">
        <v>31</v>
      </c>
      <c r="E122" s="3">
        <f>IF(ISERROR(VLOOKUP($A122,'SegEnds_NonXtal_BW#'!$A:$Z,4,FALSE)+VLOOKUP($A122,A:AL,4,FALSE)-50),"-",(VLOOKUP($A122,'SegEnds_NonXtal_BW#'!$A:$Z,4,FALSE)+VLOOKUP($A122,A:AL,4,FALSE)-50))</f>
        <v>41</v>
      </c>
      <c r="F122" s="3">
        <f>G122-2</f>
        <v>42</v>
      </c>
      <c r="G122" s="3">
        <v>44</v>
      </c>
      <c r="H122" s="3">
        <f t="shared" si="78"/>
        <v>45</v>
      </c>
      <c r="I122" s="3">
        <f t="shared" si="78"/>
        <v>46</v>
      </c>
      <c r="J122" s="108">
        <v>58</v>
      </c>
      <c r="K122" s="3">
        <f>VLOOKUP($A122,'SegEnds_NonXtal_BW#'!$A:$Z,8,FALSE)+VLOOKUP($A122,A:AL,10,FALSE)-50</f>
        <v>75</v>
      </c>
      <c r="L122" s="3">
        <f t="shared" si="74"/>
        <v>82</v>
      </c>
      <c r="M122" s="3">
        <v>83</v>
      </c>
      <c r="N122" s="3">
        <f t="shared" si="75"/>
        <v>85</v>
      </c>
      <c r="O122" s="3">
        <f t="shared" si="76"/>
        <v>86</v>
      </c>
      <c r="P122" s="3">
        <v>115</v>
      </c>
      <c r="Q122" s="3">
        <f>VLOOKUP($A122,'SegEnds_NonXtal_BW#'!$A:$Z,12,FALSE)+VLOOKUP($A122,A:AL,16,FALSE)-50</f>
        <v>121</v>
      </c>
      <c r="R122" s="3">
        <f>IF(ISERROR(VLOOKUP($A122,'SegEnds_NonXtal_BW#'!$A:$Z,13,FALSE)+VLOOKUP($A122,A:AL,19,FALSE)-50),"-",VLOOKUP($A122,'SegEnds_NonXtal_BW#'!$A:$Z,13,FALSE)+VLOOKUP($A122,A:AL,19,FALSE)-50)</f>
        <v>122</v>
      </c>
      <c r="S122" s="3">
        <v>122</v>
      </c>
      <c r="T122" s="103">
        <f>IF(ISERROR(VLOOKUP($A122,'SegEnds_NonXtal_BW#'!$A:$Z,14,FALSE)+VLOOKUP($A122,A:AL,19,FALSE)-50),"-",(VLOOKUP($A122,'SegEnds_NonXtal_BW#'!$A:$Z,14,FALSE)+VLOOKUP($A122,A:AL,19,FALSE)-50))</f>
        <v>129</v>
      </c>
      <c r="U122" s="9">
        <f>IF(ISERROR(VLOOKUP($A122,'SegEnds_NonXtal_BW#'!$A:$Z,15,FALSE)+VLOOKUP($A122,A:AL,22,FALSE)-50),"-",VLOOKUP($A122,'SegEnds_NonXtal_BW#'!$A:$Z,15,FALSE)+VLOOKUP($A122,A:AL,22,FALSE)-50)</f>
        <v>130</v>
      </c>
      <c r="V122" s="3">
        <v>142</v>
      </c>
      <c r="W122" s="3">
        <f>IF(ISERROR(VLOOKUP($A122,'SegEnds_NonXtal_BW#'!$A:$Z,16,FALSE)+VLOOKUP($A122,A:AL,22,FALSE)-50),"-",(VLOOKUP($A122,'SegEnds_NonXtal_BW#'!$A:$Z,16,FALSE)+VLOOKUP($A122,A:AL,22,FALSE)-50))</f>
        <v>156</v>
      </c>
      <c r="X122" s="3">
        <f>IF(ISERROR(VLOOKUP($A122,'SegEnds_NonXtal_BW#'!$A:$Z,17,FALSE)+VLOOKUP($A122,A:AL,25,FALSE)-50),"-",(VLOOKUP($A122,'SegEnds_NonXtal_BW#'!$A:$Z,17,FALSE)+VLOOKUP($A122,A:AL,25,FALSE)-50))</f>
        <v>168</v>
      </c>
      <c r="Y122" s="3">
        <v>168</v>
      </c>
      <c r="Z122" s="3">
        <f t="shared" si="77"/>
        <v>170</v>
      </c>
      <c r="AA122" s="3">
        <f>IF(ISERROR(VLOOKUP($A122,'SegEnds_NonXtal_BW#'!$A:$Z,19,FALSE)+VLOOKUP($A122,A:AL,28,FALSE)-50),"-",(VLOOKUP($A122,'SegEnds_NonXtal_BW#'!$A:$Z,19,FALSE)+VLOOKUP($A122,A:AL,28,FALSE)-50))</f>
        <v>176</v>
      </c>
      <c r="AB122" s="3">
        <v>191</v>
      </c>
      <c r="AC122" s="3">
        <f>IF(ISERROR((VLOOKUP($A122,'SegEnds_NonXtal_BW#'!$A:$Z,20,FALSE)+VLOOKUP($A122,A:AL,28,FALSE)-50)),"-",(VLOOKUP($A122,'SegEnds_NonXtal_BW#'!$A:$Z,20,FALSE)+VLOOKUP($A122,A:AL,28,FALSE)-50))</f>
        <v>215</v>
      </c>
      <c r="AD122" s="3">
        <f>IF(ISERROR(VLOOKUP($A122,'SegEnds_NonXtal_BW#'!$A:$Z,21,FALSE)+VLOOKUP($A122,A:AL,31,FALSE)-50),"-",(VLOOKUP($A122,'SegEnds_NonXtal_BW#'!$A:$Z,21,FALSE)+VLOOKUP($A122,A:AL,31,FALSE)-50))</f>
        <v>261</v>
      </c>
      <c r="AE122" s="3">
        <v>287</v>
      </c>
      <c r="AF122" s="3">
        <f>IF(ISERROR((VLOOKUP($A122,'SegEnds_NonXtal_BW#'!$A:$Z,22,FALSE)+VLOOKUP($A122,A:AL,31,FALSE)-50)),"-",(VLOOKUP($A122,'SegEnds_NonXtal_BW#'!$A:$Z,22,FALSE)+VLOOKUP($A122,A:AL,31,FALSE)-50))</f>
        <v>298</v>
      </c>
      <c r="AG122" s="3">
        <f>IF(ISERROR(VLOOKUP($A122,'SegEnds_NonXtal_BW#'!$A:$Z,23,FALSE)+VLOOKUP($A122,A:AL,34,FALSE)-50),"-",(VLOOKUP($A122,'SegEnds_NonXtal_BW#'!$A:$Z,23,FALSE)+VLOOKUP($A122,A:AL,34,FALSE)-50))</f>
        <v>303</v>
      </c>
      <c r="AH122" s="3">
        <v>321</v>
      </c>
      <c r="AI122" s="3">
        <v>326</v>
      </c>
      <c r="AJ122" s="3">
        <f>IF(ISERROR(VLOOKUP($A122,'SegEnds_NonXtal_BW#'!$A:$Z,25,FALSE)+VLOOKUP($A122,A:AL,37,FALSE)-50),"-",(VLOOKUP($A122,'SegEnds_NonXtal_BW#'!$A:$Z,25,FALSE)+VLOOKUP($A122,A:AL,37,FALSE)-50))</f>
        <v>327</v>
      </c>
      <c r="AK122" s="3">
        <v>330</v>
      </c>
      <c r="AL122" s="3">
        <f>IF(ISERROR((VLOOKUP($A122,'SegEnds_NonXtal_BW#'!$A:$Z,26,FALSE)+VLOOKUP($A122,A:AL,37,FALSE)-50)),"-",(VLOOKUP($A122,'SegEnds_NonXtal_BW#'!$A:$Z,26,FALSE)+VLOOKUP($A122,A:AL,37,FALSE)-50))</f>
        <v>338</v>
      </c>
      <c r="AM122" s="28" t="str">
        <f>VLOOKUP(A122,Classification!A:B,2,FALSE)</f>
        <v>A</v>
      </c>
      <c r="AN122" s="28" t="b">
        <f t="shared" si="72"/>
        <v>1</v>
      </c>
      <c r="AO122" s="3" t="str">
        <f>IF(ISERROR(MATCH(A122,'SegEnds_Xtal_Prot#'!B:B, 0)), "NoXtal", "Xtal")</f>
        <v>NoXtal</v>
      </c>
      <c r="AP122" s="3">
        <f t="shared" si="41"/>
        <v>1</v>
      </c>
      <c r="AQ122" s="3">
        <f t="shared" si="42"/>
        <v>1</v>
      </c>
      <c r="AR122" s="3">
        <f t="shared" si="43"/>
        <v>7</v>
      </c>
      <c r="AS122" s="3">
        <f t="shared" si="44"/>
        <v>1</v>
      </c>
      <c r="AT122" s="3">
        <f t="shared" si="45"/>
        <v>1</v>
      </c>
      <c r="AU122" s="3">
        <f t="shared" si="46"/>
        <v>1</v>
      </c>
      <c r="AV122" s="3">
        <f t="shared" si="47"/>
        <v>12</v>
      </c>
      <c r="AW122" s="3">
        <f t="shared" si="48"/>
        <v>6</v>
      </c>
      <c r="AX122" s="3">
        <f t="shared" si="49"/>
        <v>46</v>
      </c>
      <c r="AY122" s="3">
        <f t="shared" si="50"/>
        <v>5</v>
      </c>
      <c r="AZ122" s="3">
        <f t="shared" si="51"/>
        <v>1</v>
      </c>
      <c r="BA122" s="3">
        <f>IF(ISERROR(LEN(VLOOKUP(A122,Seqs!A:E,2,FALSE))-AL122),"-",LEN(VLOOKUP(A122,Seqs!A:E,2,FALSE))-AL122)</f>
        <v>250</v>
      </c>
      <c r="BB122" s="16">
        <f t="shared" si="52"/>
        <v>27</v>
      </c>
      <c r="BC122" s="9">
        <f t="shared" si="53"/>
        <v>20</v>
      </c>
      <c r="BD122" s="3">
        <f t="shared" si="54"/>
        <v>27</v>
      </c>
      <c r="BE122" s="3">
        <f t="shared" si="55"/>
        <v>96</v>
      </c>
    </row>
    <row r="123" spans="1:60" s="3" customFormat="1" x14ac:dyDescent="0.2">
      <c r="A123" s="3" t="s">
        <v>229</v>
      </c>
      <c r="B123" s="3" t="str">
        <f>LOWER(VLOOKUP(A123,Xtal_Templ!A:B,2,FALSE))</f>
        <v>p2y12_human</v>
      </c>
      <c r="C123" s="3">
        <f>VLOOKUP($A123,'SegEnds_NonXtal_BW#'!$A:$Z,3,FALSE)+D123-50</f>
        <v>10</v>
      </c>
      <c r="D123" s="3">
        <v>32</v>
      </c>
      <c r="E123" s="3">
        <f>IF(ISERROR(VLOOKUP($A123,'SegEnds_NonXtal_BW#'!$A:$Z,4,FALSE)+VLOOKUP($A123,A:AL,4,FALSE)-50),"-",(VLOOKUP($A123,'SegEnds_NonXtal_BW#'!$A:$Z,4,FALSE)+VLOOKUP($A123,A:AL,4,FALSE)-50))</f>
        <v>42</v>
      </c>
      <c r="F123" s="3" t="str">
        <f>IF(ISERROR(VLOOKUP($A123,'SegEnds_NonXtal_BW#'!$A:$Z,5,FALSE)+VLOOKUP($A123,A:AL,7,FALSE)-50),"-",(VLOOKUP($A123,'SegEnds_NonXtal_BW#'!$A:$Z,5,FALSE)+VLOOKUP($A123,A:AL,7,FALSE)-50))</f>
        <v>-</v>
      </c>
      <c r="G123" s="3" t="s">
        <v>23</v>
      </c>
      <c r="H123" s="3" t="str">
        <f>IF(ISERROR(VLOOKUP($A123,'SegEnds_NonXtal_BW#'!$A:$Z,6,FALSE)+VLOOKUP($A123,A:AL,7,FALSE)-50),"-",(VLOOKUP($A123,'SegEnds_NonXtal_BW#'!$A:$Z,6,FALSE)+VLOOKUP($A123,A:AL,7,FALSE)-50))</f>
        <v>-</v>
      </c>
      <c r="I123" s="3">
        <f>VLOOKUP($A123,'SegEnds_NonXtal_BW#'!$A:$Z,7,FALSE)+J123-50</f>
        <v>47</v>
      </c>
      <c r="J123" s="3">
        <v>60</v>
      </c>
      <c r="K123" s="3">
        <f>VLOOKUP($A123,'SegEnds_NonXtal_BW#'!$A:$Z,8,FALSE)+VLOOKUP($A123,A:AL,10,FALSE)-50</f>
        <v>76</v>
      </c>
      <c r="L123" s="3" t="str">
        <f>IF(ISERROR(VLOOKUP($A123,'SegEnds_NonXtal_BW#'!$A:$Z,9,FALSE)+VLOOKUP($A123,A:AL,13,FALSE)-50),"-",(VLOOKUP($A123,'SegEnds_NonXtal_BW#'!$A:$Z,9,FALSE)+VLOOKUP($A123,A:AL,13,FALSE)-50))</f>
        <v>-</v>
      </c>
      <c r="M123" s="3" t="s">
        <v>23</v>
      </c>
      <c r="N123" s="3" t="str">
        <f>IF(ISERROR(VLOOKUP($A123,'SegEnds_NonXtal_BW#'!$A:$Z,10,FALSE)+VLOOKUP($A123,A:AL,13,FALSE)-50),"-",(VLOOKUP($A123,'SegEnds_NonXtal_BW#'!$A:$Z,10,FALSE)+VLOOKUP($A123,A:AL,13,FALSE)-50))</f>
        <v>-</v>
      </c>
      <c r="O123" s="3">
        <f>VLOOKUP($A123,'SegEnds_NonXtal_BW#'!$A:$Z,11,FALSE)+VLOOKUP($A123,A:AL,16,FALSE)-50</f>
        <v>80</v>
      </c>
      <c r="P123" s="3">
        <v>112</v>
      </c>
      <c r="Q123" s="3">
        <f>VLOOKUP($A123,'SegEnds_NonXtal_BW#'!$A:$Z,12,FALSE)+VLOOKUP($A123,A:AL,16,FALSE)-50</f>
        <v>118</v>
      </c>
      <c r="R123" s="3">
        <f>IF(ISERROR(VLOOKUP($A123,'SegEnds_NonXtal_BW#'!$A:$Z,13,FALSE)+VLOOKUP($A123,A:AL,19,FALSE)-50),"-",VLOOKUP($A123,'SegEnds_NonXtal_BW#'!$A:$Z,13,FALSE)+VLOOKUP($A123,A:AL,19,FALSE)-50)</f>
        <v>119</v>
      </c>
      <c r="S123" s="3">
        <v>119</v>
      </c>
      <c r="T123" s="103">
        <f>IF(ISERROR(VLOOKUP($A123,'SegEnds_NonXtal_BW#'!$A:$Z,14,FALSE)+VLOOKUP($A123,A:AL,19,FALSE)-50),"-",(VLOOKUP($A123,'SegEnds_NonXtal_BW#'!$A:$Z,14,FALSE)+VLOOKUP($A123,A:AL,19,FALSE)-50))</f>
        <v>126</v>
      </c>
      <c r="U123" s="9">
        <f>IF(ISERROR(VLOOKUP($A123,'SegEnds_NonXtal_BW#'!$A:$Z,15,FALSE)+VLOOKUP($A123,A:AL,22,FALSE)-50),"-",VLOOKUP($A123,'SegEnds_NonXtal_BW#'!$A:$Z,15,FALSE)+VLOOKUP($A123,A:AL,22,FALSE)-50)</f>
        <v>127</v>
      </c>
      <c r="V123" s="3">
        <v>139</v>
      </c>
      <c r="W123" s="3">
        <f>IF(ISERROR(VLOOKUP($A123,'SegEnds_NonXtal_BW#'!$A:$Z,16,FALSE)+VLOOKUP($A123,A:AL,22,FALSE)-50),"-",(VLOOKUP($A123,'SegEnds_NonXtal_BW#'!$A:$Z,16,FALSE)+VLOOKUP($A123,A:AL,22,FALSE)-50))</f>
        <v>153</v>
      </c>
      <c r="X123" s="3">
        <f>IF(ISERROR(VLOOKUP($A123,'SegEnds_NonXtal_BW#'!$A:$Z,17,FALSE)+VLOOKUP($A123,A:AL,25,FALSE)-50),"-",(VLOOKUP($A123,'SegEnds_NonXtal_BW#'!$A:$Z,17,FALSE)+VLOOKUP($A123,A:AL,25,FALSE)-50))</f>
        <v>165</v>
      </c>
      <c r="Y123" s="3">
        <v>165</v>
      </c>
      <c r="Z123" s="3">
        <f t="shared" si="77"/>
        <v>167</v>
      </c>
      <c r="AA123" s="3">
        <f>IF(ISERROR(VLOOKUP($A123,'SegEnds_NonXtal_BW#'!$A:$Z,19,FALSE)+VLOOKUP($A123,A:AL,28,FALSE)-50),"-",(VLOOKUP($A123,'SegEnds_NonXtal_BW#'!$A:$Z,19,FALSE)+VLOOKUP($A123,A:AL,28,FALSE)-50))</f>
        <v>171</v>
      </c>
      <c r="AB123" s="3">
        <v>191</v>
      </c>
      <c r="AC123" s="3">
        <f>IF(ISERROR((VLOOKUP($A123,'SegEnds_NonXtal_BW#'!$A:$Z,20,FALSE)+VLOOKUP($A123,A:AL,28,FALSE)-50)),"-",(VLOOKUP($A123,'SegEnds_NonXtal_BW#'!$A:$Z,20,FALSE)+VLOOKUP($A123,A:AL,28,FALSE)-50))</f>
        <v>208</v>
      </c>
      <c r="AD123" s="3">
        <f>IF(ISERROR(VLOOKUP($A123,'SegEnds_NonXtal_BW#'!$A:$Z,21,FALSE)+VLOOKUP($A123,A:AL,31,FALSE)-50),"-",(VLOOKUP($A123,'SegEnds_NonXtal_BW#'!$A:$Z,21,FALSE)+VLOOKUP($A123,A:AL,31,FALSE)-50))</f>
        <v>214</v>
      </c>
      <c r="AE123" s="3">
        <v>238</v>
      </c>
      <c r="AF123" s="3">
        <f>IF(ISERROR((VLOOKUP($A123,'SegEnds_NonXtal_BW#'!$A:$Z,22,FALSE)+VLOOKUP($A123,A:AL,31,FALSE)-50)),"-",(VLOOKUP($A123,'SegEnds_NonXtal_BW#'!$A:$Z,22,FALSE)+VLOOKUP($A123,A:AL,31,FALSE)-50))</f>
        <v>252</v>
      </c>
      <c r="AG123" s="3">
        <f>IF(ISERROR(VLOOKUP($A123,'SegEnds_NonXtal_BW#'!$A:$Z,23,FALSE)+VLOOKUP($A123,A:AL,34,FALSE)-50),"-",(VLOOKUP($A123,'SegEnds_NonXtal_BW#'!$A:$Z,23,FALSE)+VLOOKUP($A123,A:AL,34,FALSE)-50))</f>
        <v>256</v>
      </c>
      <c r="AH123" s="3">
        <v>282</v>
      </c>
      <c r="AI123" s="3">
        <f>IF(ISERROR((VLOOKUP($A123,'SegEnds_NonXtal_BW#'!$A:$Z,24,FALSE)+VLOOKUP($A123,A:AL,34,FALSE)-50)),"-",(VLOOKUP($A123,'SegEnds_NonXtal_BW#'!$A:$Z,24,FALSE)+VLOOKUP($A123,A:AL,34,FALSE)-50))</f>
        <v>288</v>
      </c>
      <c r="AJ123" s="3">
        <f>IF(ISERROR(VLOOKUP($A123,'SegEnds_NonXtal_BW#'!$A:$Z,25,FALSE)+VLOOKUP($A123,A:AL,37,FALSE)-50),"-",(VLOOKUP($A123,'SegEnds_NonXtal_BW#'!$A:$Z,25,FALSE)+VLOOKUP($A123,A:AL,37,FALSE)-50))</f>
        <v>289</v>
      </c>
      <c r="AK123" s="3">
        <v>292</v>
      </c>
      <c r="AL123" s="3">
        <f>IF(ISERROR((VLOOKUP($A123,'SegEnds_NonXtal_BW#'!$A:$Z,26,FALSE)+VLOOKUP($A123,A:AL,37,FALSE)-50)),"-",(VLOOKUP($A123,'SegEnds_NonXtal_BW#'!$A:$Z,26,FALSE)+VLOOKUP($A123,A:AL,37,FALSE)-50))</f>
        <v>299</v>
      </c>
      <c r="AM123" s="28" t="str">
        <f>VLOOKUP(A123,Classification!A:B,2,FALSE)</f>
        <v>A</v>
      </c>
      <c r="AN123" s="28" t="b">
        <f t="shared" si="72"/>
        <v>1</v>
      </c>
      <c r="AO123" s="3" t="str">
        <f>IF(ISERROR(MATCH(A123,'SegEnds_Xtal_Prot#'!B:B, 0)), "NoXtal", "Xtal")</f>
        <v>NoXtal</v>
      </c>
      <c r="AP123" s="3" t="str">
        <f t="shared" si="41"/>
        <v>-</v>
      </c>
      <c r="AQ123" s="3" t="str">
        <f t="shared" si="42"/>
        <v>-</v>
      </c>
      <c r="AR123" s="3" t="str">
        <f t="shared" si="43"/>
        <v>-</v>
      </c>
      <c r="AS123" s="3" t="str">
        <f t="shared" si="44"/>
        <v>-</v>
      </c>
      <c r="AT123" s="3">
        <f t="shared" si="45"/>
        <v>1</v>
      </c>
      <c r="AU123" s="3">
        <f t="shared" si="46"/>
        <v>1</v>
      </c>
      <c r="AV123" s="3">
        <f t="shared" si="47"/>
        <v>12</v>
      </c>
      <c r="AW123" s="3">
        <f t="shared" si="48"/>
        <v>4</v>
      </c>
      <c r="AX123" s="3">
        <f t="shared" si="49"/>
        <v>6</v>
      </c>
      <c r="AY123" s="3">
        <f t="shared" si="50"/>
        <v>4</v>
      </c>
      <c r="AZ123" s="3">
        <f t="shared" si="51"/>
        <v>1</v>
      </c>
      <c r="BA123" s="3">
        <f>IF(ISERROR(LEN(VLOOKUP(A123,Seqs!A:E,2,FALSE))-AL123),"-",LEN(VLOOKUP(A123,Seqs!A:E,2,FALSE))-AL123)</f>
        <v>20</v>
      </c>
      <c r="BB123" s="16">
        <f t="shared" si="52"/>
        <v>28</v>
      </c>
      <c r="BC123" s="9">
        <f t="shared" si="53"/>
        <v>20</v>
      </c>
      <c r="BD123" s="3">
        <f t="shared" si="54"/>
        <v>28</v>
      </c>
      <c r="BE123" s="3">
        <f t="shared" si="55"/>
        <v>47</v>
      </c>
      <c r="BF123" s="3">
        <f>AH123-AE123</f>
        <v>44</v>
      </c>
    </row>
    <row r="124" spans="1:60" s="3" customFormat="1" x14ac:dyDescent="0.2">
      <c r="A124" s="3" t="s">
        <v>230</v>
      </c>
      <c r="B124" s="3" t="str">
        <f>LOWER(VLOOKUP(A124,Xtal_Templ!A:B,2,FALSE))</f>
        <v>ox1r_human</v>
      </c>
      <c r="C124" s="3">
        <f>VLOOKUP($A124,'SegEnds_NonXtal_BW#'!$A:$Z,3,FALSE)+D124-50</f>
        <v>22</v>
      </c>
      <c r="D124" s="3">
        <v>40</v>
      </c>
      <c r="E124" s="3">
        <f>IF(ISERROR(VLOOKUP($A124,'SegEnds_NonXtal_BW#'!$A:$Z,4,FALSE)+VLOOKUP($A124,A:AL,4,FALSE)-50),"-",(VLOOKUP($A124,'SegEnds_NonXtal_BW#'!$A:$Z,4,FALSE)+VLOOKUP($A124,A:AL,4,FALSE)-50))</f>
        <v>50</v>
      </c>
      <c r="F124" s="3">
        <f>G124-2</f>
        <v>51</v>
      </c>
      <c r="G124" s="3">
        <v>53</v>
      </c>
      <c r="H124" s="3">
        <f t="shared" ref="H124:I127" si="79">G124+1</f>
        <v>54</v>
      </c>
      <c r="I124" s="3">
        <f t="shared" si="79"/>
        <v>55</v>
      </c>
      <c r="J124" s="3">
        <v>68</v>
      </c>
      <c r="K124" s="3">
        <f>VLOOKUP($A124,'SegEnds_NonXtal_BW#'!$A:$Z,8,FALSE)+VLOOKUP($A124,A:AL,10,FALSE)-50</f>
        <v>85</v>
      </c>
      <c r="L124" s="3">
        <f t="shared" ref="L124:L132" si="80">M124-1</f>
        <v>88</v>
      </c>
      <c r="M124" s="3">
        <v>89</v>
      </c>
      <c r="N124" s="3">
        <f t="shared" ref="N124:N132" si="81">M124+2</f>
        <v>91</v>
      </c>
      <c r="O124" s="3">
        <f t="shared" ref="O124:O132" si="82">N124+1</f>
        <v>92</v>
      </c>
      <c r="P124" s="3">
        <v>121</v>
      </c>
      <c r="Q124" s="3">
        <f>VLOOKUP($A124,'SegEnds_NonXtal_BW#'!$A:$Z,12,FALSE)+VLOOKUP($A124,A:AL,16,FALSE)-50</f>
        <v>127</v>
      </c>
      <c r="R124" s="3">
        <f>IF(ISERROR(VLOOKUP($A124,'SegEnds_NonXtal_BW#'!$A:$Z,13,FALSE)+VLOOKUP($A124,A:AL,19,FALSE)-50),"-",VLOOKUP($A124,'SegEnds_NonXtal_BW#'!$A:$Z,13,FALSE)+VLOOKUP($A124,A:AL,19,FALSE)-50)</f>
        <v>128</v>
      </c>
      <c r="S124" s="3">
        <v>128</v>
      </c>
      <c r="T124" s="103">
        <f>IF(ISERROR(VLOOKUP($A124,'SegEnds_NonXtal_BW#'!$A:$Z,14,FALSE)+VLOOKUP($A124,A:AL,19,FALSE)-50),"-",(VLOOKUP($A124,'SegEnds_NonXtal_BW#'!$A:$Z,14,FALSE)+VLOOKUP($A124,A:AL,19,FALSE)-50))</f>
        <v>135</v>
      </c>
      <c r="U124" s="9">
        <f>IF(ISERROR(VLOOKUP($A124,'SegEnds_NonXtal_BW#'!$A:$Z,15,FALSE)+VLOOKUP($A124,A:AL,22,FALSE)-50),"-",VLOOKUP($A124,'SegEnds_NonXtal_BW#'!$A:$Z,15,FALSE)+VLOOKUP($A124,A:AL,22,FALSE)-50)</f>
        <v>136</v>
      </c>
      <c r="V124" s="3">
        <v>148</v>
      </c>
      <c r="W124" s="3">
        <f>IF(ISERROR(VLOOKUP($A124,'SegEnds_NonXtal_BW#'!$A:$Z,16,FALSE)+VLOOKUP($A124,A:AL,22,FALSE)-50),"-",(VLOOKUP($A124,'SegEnds_NonXtal_BW#'!$A:$Z,16,FALSE)+VLOOKUP($A124,A:AL,22,FALSE)-50))</f>
        <v>162</v>
      </c>
      <c r="X124" s="3">
        <f>IF(ISERROR(VLOOKUP($A124,'SegEnds_NonXtal_BW#'!$A:$Z,17,FALSE)+VLOOKUP($A124,A:AL,25,FALSE)-50),"-",(VLOOKUP($A124,'SegEnds_NonXtal_BW#'!$A:$Z,17,FALSE)+VLOOKUP($A124,A:AL,25,FALSE)-50))</f>
        <v>174</v>
      </c>
      <c r="Y124" s="3">
        <v>174</v>
      </c>
      <c r="Z124" s="3">
        <f t="shared" si="77"/>
        <v>176</v>
      </c>
      <c r="AA124" s="3">
        <f>IF(ISERROR(VLOOKUP($A124,'SegEnds_NonXtal_BW#'!$A:$Z,19,FALSE)+VLOOKUP($A124,A:AL,28,FALSE)-50),"-",(VLOOKUP($A124,'SegEnds_NonXtal_BW#'!$A:$Z,19,FALSE)+VLOOKUP($A124,A:AL,28,FALSE)-50))</f>
        <v>220</v>
      </c>
      <c r="AB124" s="3">
        <v>235</v>
      </c>
      <c r="AC124" s="3">
        <f>IF(ISERROR((VLOOKUP($A124,'SegEnds_NonXtal_BW#'!$A:$Z,20,FALSE)+VLOOKUP($A124,A:AL,28,FALSE)-50)),"-",(VLOOKUP($A124,'SegEnds_NonXtal_BW#'!$A:$Z,20,FALSE)+VLOOKUP($A124,A:AL,28,FALSE)-50))</f>
        <v>259</v>
      </c>
      <c r="AD124" s="3">
        <f>IF(ISERROR(VLOOKUP($A124,'SegEnds_NonXtal_BW#'!$A:$Z,21,FALSE)+VLOOKUP($A124,A:AL,31,FALSE)-50),"-",(VLOOKUP($A124,'SegEnds_NonXtal_BW#'!$A:$Z,21,FALSE)+VLOOKUP($A124,A:AL,31,FALSE)-50))</f>
        <v>272</v>
      </c>
      <c r="AE124" s="3">
        <v>301</v>
      </c>
      <c r="AF124" s="3">
        <f>IF(ISERROR((VLOOKUP($A124,'SegEnds_NonXtal_BW#'!$A:$Z,22,FALSE)+VLOOKUP($A124,A:AL,31,FALSE)-50)),"-",(VLOOKUP($A124,'SegEnds_NonXtal_BW#'!$A:$Z,22,FALSE)+VLOOKUP($A124,A:AL,31,FALSE)-50))</f>
        <v>312</v>
      </c>
      <c r="AG124" s="3">
        <f>IF(ISERROR(VLOOKUP($A124,'SegEnds_NonXtal_BW#'!$A:$Z,23,FALSE)+VLOOKUP($A124,A:AL,34,FALSE)-50),"-",(VLOOKUP($A124,'SegEnds_NonXtal_BW#'!$A:$Z,23,FALSE)+VLOOKUP($A124,A:AL,34,FALSE)-50))</f>
        <v>318</v>
      </c>
      <c r="AH124" s="3">
        <v>337</v>
      </c>
      <c r="AI124" s="3">
        <f>IF(ISERROR((VLOOKUP($A124,'SegEnds_NonXtal_BW#'!$A:$Z,24,FALSE)+VLOOKUP($A124,A:AL,34,FALSE)-50)),"-",(VLOOKUP($A124,'SegEnds_NonXtal_BW#'!$A:$Z,24,FALSE)+VLOOKUP($A124,A:AL,34,FALSE)-50))</f>
        <v>343</v>
      </c>
      <c r="AJ124" s="3">
        <f>IF(ISERROR(VLOOKUP($A124,'SegEnds_NonXtal_BW#'!$A:$Z,25,FALSE)+VLOOKUP($A124,A:AL,37,FALSE)-50),"-",(VLOOKUP($A124,'SegEnds_NonXtal_BW#'!$A:$Z,25,FALSE)+VLOOKUP($A124,A:AL,37,FALSE)-50))</f>
        <v>344</v>
      </c>
      <c r="AK124" s="3">
        <v>347</v>
      </c>
      <c r="AL124" s="3">
        <f>IF(ISERROR((VLOOKUP($A124,'SegEnds_NonXtal_BW#'!$A:$Z,26,FALSE)+VLOOKUP($A124,A:AL,37,FALSE)-50)),"-",(VLOOKUP($A124,'SegEnds_NonXtal_BW#'!$A:$Z,26,FALSE)+VLOOKUP($A124,A:AL,37,FALSE)-50))</f>
        <v>355</v>
      </c>
      <c r="AM124" s="28" t="str">
        <f>VLOOKUP(A124,Classification!A:B,2,FALSE)</f>
        <v>A</v>
      </c>
      <c r="AN124" s="28" t="b">
        <f t="shared" si="72"/>
        <v>1</v>
      </c>
      <c r="AO124" s="3" t="str">
        <f>IF(ISERROR(MATCH(A124,'SegEnds_Xtal_Prot#'!B:B, 0)), "NoXtal", "Xtal")</f>
        <v>NoXtal</v>
      </c>
      <c r="AP124" s="3">
        <f t="shared" si="41"/>
        <v>1</v>
      </c>
      <c r="AQ124" s="3">
        <f t="shared" si="42"/>
        <v>1</v>
      </c>
      <c r="AR124" s="3">
        <f t="shared" si="43"/>
        <v>3</v>
      </c>
      <c r="AS124" s="3">
        <f t="shared" si="44"/>
        <v>1</v>
      </c>
      <c r="AT124" s="3">
        <f t="shared" si="45"/>
        <v>1</v>
      </c>
      <c r="AU124" s="3">
        <f t="shared" si="46"/>
        <v>1</v>
      </c>
      <c r="AV124" s="3">
        <f t="shared" si="47"/>
        <v>12</v>
      </c>
      <c r="AW124" s="3">
        <f t="shared" si="48"/>
        <v>44</v>
      </c>
      <c r="AX124" s="3">
        <f t="shared" si="49"/>
        <v>13</v>
      </c>
      <c r="AY124" s="3">
        <f t="shared" si="50"/>
        <v>6</v>
      </c>
      <c r="AZ124" s="3">
        <f t="shared" si="51"/>
        <v>1</v>
      </c>
      <c r="BA124" s="3">
        <f>IF(ISERROR(LEN(VLOOKUP(A124,Seqs!A:E,2,FALSE))-AL124),"-",LEN(VLOOKUP(A124,Seqs!A:E,2,FALSE))-AL124)</f>
        <v>18</v>
      </c>
      <c r="BB124" s="16">
        <f t="shared" si="52"/>
        <v>28</v>
      </c>
      <c r="BC124" s="9">
        <f t="shared" si="53"/>
        <v>20</v>
      </c>
      <c r="BD124" s="3">
        <f t="shared" si="54"/>
        <v>28</v>
      </c>
      <c r="BE124" s="3">
        <f t="shared" si="55"/>
        <v>66</v>
      </c>
      <c r="BF124" s="3">
        <f>AH124-AE124</f>
        <v>36</v>
      </c>
    </row>
    <row r="125" spans="1:60" s="3" customFormat="1" x14ac:dyDescent="0.2">
      <c r="A125" s="3" t="s">
        <v>233</v>
      </c>
      <c r="B125" s="3" t="str">
        <f>LOWER(VLOOKUP(A125,Xtal_Templ!A:B,2,FALSE))</f>
        <v>apj_human</v>
      </c>
      <c r="C125" s="3">
        <f>VLOOKUP($A125,'SegEnds_NonXtal_BW#'!$A:$Z,3,FALSE)+D125-50</f>
        <v>54</v>
      </c>
      <c r="D125" s="3">
        <v>71</v>
      </c>
      <c r="E125" s="3">
        <f>IF(ISERROR(VLOOKUP($A125,'SegEnds_NonXtal_BW#'!$A:$Z,4,FALSE)+VLOOKUP($A125,A:AL,4,FALSE)-50),"-",(VLOOKUP($A125,'SegEnds_NonXtal_BW#'!$A:$Z,4,FALSE)+VLOOKUP($A125,A:AL,4,FALSE)-50))</f>
        <v>81</v>
      </c>
      <c r="F125" s="3">
        <f>G125-2</f>
        <v>82</v>
      </c>
      <c r="G125" s="3">
        <v>84</v>
      </c>
      <c r="H125" s="3">
        <f t="shared" si="79"/>
        <v>85</v>
      </c>
      <c r="I125" s="3">
        <f t="shared" si="79"/>
        <v>86</v>
      </c>
      <c r="J125" s="3">
        <v>99</v>
      </c>
      <c r="K125" s="3">
        <f>VLOOKUP($A125,'SegEnds_NonXtal_BW#'!$A:$Z,8,FALSE)+VLOOKUP($A125,A:AL,10,FALSE)-50</f>
        <v>116</v>
      </c>
      <c r="L125" s="3">
        <f t="shared" si="80"/>
        <v>118</v>
      </c>
      <c r="M125" s="3">
        <v>119</v>
      </c>
      <c r="N125" s="3">
        <f t="shared" si="81"/>
        <v>121</v>
      </c>
      <c r="O125" s="3">
        <f t="shared" si="82"/>
        <v>122</v>
      </c>
      <c r="P125" s="3">
        <v>151</v>
      </c>
      <c r="Q125" s="3">
        <f>VLOOKUP($A125,'SegEnds_NonXtal_BW#'!$A:$Z,12,FALSE)+VLOOKUP($A125,A:AL,16,FALSE)-50</f>
        <v>157</v>
      </c>
      <c r="R125" s="3">
        <f>IF(ISERROR(VLOOKUP($A125,'SegEnds_NonXtal_BW#'!$A:$Z,13,FALSE)+VLOOKUP($A125,A:AL,19,FALSE)-50),"-",VLOOKUP($A125,'SegEnds_NonXtal_BW#'!$A:$Z,13,FALSE)+VLOOKUP($A125,A:AL,19,FALSE)-50)</f>
        <v>158</v>
      </c>
      <c r="S125" s="3">
        <v>158</v>
      </c>
      <c r="T125" s="103">
        <f>IF(ISERROR(VLOOKUP($A125,'SegEnds_NonXtal_BW#'!$A:$Z,14,FALSE)+VLOOKUP($A125,A:AL,19,FALSE)-50),"-",(VLOOKUP($A125,'SegEnds_NonXtal_BW#'!$A:$Z,14,FALSE)+VLOOKUP($A125,A:AL,19,FALSE)-50))</f>
        <v>165</v>
      </c>
      <c r="U125" s="9">
        <f>IF(ISERROR(VLOOKUP($A125,'SegEnds_NonXtal_BW#'!$A:$Z,15,FALSE)+VLOOKUP($A125,A:AL,22,FALSE)-50),"-",VLOOKUP($A125,'SegEnds_NonXtal_BW#'!$A:$Z,15,FALSE)+VLOOKUP($A125,A:AL,22,FALSE)-50)</f>
        <v>166</v>
      </c>
      <c r="V125" s="3">
        <v>178</v>
      </c>
      <c r="W125" s="3">
        <f>IF(ISERROR(VLOOKUP($A125,'SegEnds_NonXtal_BW#'!$A:$Z,16,FALSE)+VLOOKUP($A125,A:AL,22,FALSE)-50),"-",(VLOOKUP($A125,'SegEnds_NonXtal_BW#'!$A:$Z,16,FALSE)+VLOOKUP($A125,A:AL,22,FALSE)-50))</f>
        <v>192</v>
      </c>
      <c r="X125" s="3">
        <f>IF(ISERROR(VLOOKUP($A125,'SegEnds_NonXtal_BW#'!$A:$Z,17,FALSE)+VLOOKUP($A125,A:AL,25,FALSE)-50),"-",(VLOOKUP($A125,'SegEnds_NonXtal_BW#'!$A:$Z,17,FALSE)+VLOOKUP($A125,A:AL,25,FALSE)-50))</f>
        <v>202</v>
      </c>
      <c r="Y125" s="3">
        <v>202</v>
      </c>
      <c r="Z125" s="3">
        <f t="shared" si="77"/>
        <v>204</v>
      </c>
      <c r="AA125" s="3">
        <f>IF(ISERROR(VLOOKUP($A125,'SegEnds_NonXtal_BW#'!$A:$Z,19,FALSE)+VLOOKUP($A125,A:AL,28,FALSE)-50),"-",(VLOOKUP($A125,'SegEnds_NonXtal_BW#'!$A:$Z,19,FALSE)+VLOOKUP($A125,A:AL,28,FALSE)-50))</f>
        <v>210</v>
      </c>
      <c r="AB125" s="3">
        <v>230</v>
      </c>
      <c r="AC125" s="3">
        <f>IF(ISERROR((VLOOKUP($A125,'SegEnds_NonXtal_BW#'!$A:$Z,20,FALSE)+VLOOKUP($A125,A:AL,28,FALSE)-50)),"-",(VLOOKUP($A125,'SegEnds_NonXtal_BW#'!$A:$Z,20,FALSE)+VLOOKUP($A125,A:AL,28,FALSE)-50))</f>
        <v>248</v>
      </c>
      <c r="AD125" s="3">
        <f>IF(ISERROR(VLOOKUP($A125,'SegEnds_NonXtal_BW#'!$A:$Z,21,FALSE)+VLOOKUP($A125,A:AL,31,FALSE)-50),"-",(VLOOKUP($A125,'SegEnds_NonXtal_BW#'!$A:$Z,21,FALSE)+VLOOKUP($A125,A:AL,31,FALSE)-50))</f>
        <v>253</v>
      </c>
      <c r="AE125" s="3">
        <v>273</v>
      </c>
      <c r="AF125" s="3">
        <f>IF(ISERROR((VLOOKUP($A125,'SegEnds_NonXtal_BW#'!$A:$Z,22,FALSE)+VLOOKUP($A125,A:AL,31,FALSE)-50)),"-",(VLOOKUP($A125,'SegEnds_NonXtal_BW#'!$A:$Z,22,FALSE)+VLOOKUP($A125,A:AL,31,FALSE)-50))</f>
        <v>287</v>
      </c>
      <c r="AG125" s="3">
        <f>IF(ISERROR(VLOOKUP($A125,'SegEnds_NonXtal_BW#'!$A:$Z,23,FALSE)+VLOOKUP($A125,A:AL,34,FALSE)-50),"-",(VLOOKUP($A125,'SegEnds_NonXtal_BW#'!$A:$Z,23,FALSE)+VLOOKUP($A125,A:AL,34,FALSE)-50))</f>
        <v>291</v>
      </c>
      <c r="AH125" s="3">
        <v>317</v>
      </c>
      <c r="AI125" s="3">
        <f>IF(ISERROR((VLOOKUP($A125,'SegEnds_NonXtal_BW#'!$A:$Z,24,FALSE)+VLOOKUP($A125,A:AL,34,FALSE)-50)),"-",(VLOOKUP($A125,'SegEnds_NonXtal_BW#'!$A:$Z,24,FALSE)+VLOOKUP($A125,A:AL,34,FALSE)-50))</f>
        <v>323</v>
      </c>
      <c r="AJ125" s="3">
        <f>IF(ISERROR(VLOOKUP($A125,'SegEnds_NonXtal_BW#'!$A:$Z,25,FALSE)+VLOOKUP($A125,A:AL,37,FALSE)-50),"-",(VLOOKUP($A125,'SegEnds_NonXtal_BW#'!$A:$Z,25,FALSE)+VLOOKUP($A125,A:AL,37,FALSE)-50))</f>
        <v>324</v>
      </c>
      <c r="AK125" s="3">
        <v>327</v>
      </c>
      <c r="AL125" s="3">
        <f>IF(ISERROR((VLOOKUP($A125,'SegEnds_NonXtal_BW#'!$A:$Z,26,FALSE)+VLOOKUP($A125,A:AL,37,FALSE)-50)),"-",(VLOOKUP($A125,'SegEnds_NonXtal_BW#'!$A:$Z,26,FALSE)+VLOOKUP($A125,A:AL,37,FALSE)-50))</f>
        <v>338</v>
      </c>
      <c r="AM125" s="28" t="str">
        <f>VLOOKUP(A125,Classification!A:B,2,FALSE)</f>
        <v>A</v>
      </c>
      <c r="AN125" s="28" t="b">
        <f t="shared" si="72"/>
        <v>1</v>
      </c>
      <c r="AO125" s="3" t="str">
        <f>IF(ISERROR(MATCH(A125,'SegEnds_Xtal_Prot#'!B:B, 0)), "NoXtal", "Xtal")</f>
        <v>NoXtal</v>
      </c>
      <c r="AP125" s="3">
        <f t="shared" si="41"/>
        <v>1</v>
      </c>
      <c r="AQ125" s="3">
        <f t="shared" si="42"/>
        <v>1</v>
      </c>
      <c r="AR125" s="3">
        <f t="shared" si="43"/>
        <v>2</v>
      </c>
      <c r="AS125" s="3">
        <f t="shared" si="44"/>
        <v>1</v>
      </c>
      <c r="AT125" s="3">
        <f t="shared" si="45"/>
        <v>1</v>
      </c>
      <c r="AU125" s="3">
        <f t="shared" si="46"/>
        <v>1</v>
      </c>
      <c r="AV125" s="3">
        <f t="shared" si="47"/>
        <v>10</v>
      </c>
      <c r="AW125" s="3">
        <f t="shared" si="48"/>
        <v>6</v>
      </c>
      <c r="AX125" s="3">
        <f t="shared" si="49"/>
        <v>5</v>
      </c>
      <c r="AY125" s="3">
        <f t="shared" si="50"/>
        <v>4</v>
      </c>
      <c r="AZ125" s="3">
        <f t="shared" si="51"/>
        <v>1</v>
      </c>
      <c r="BA125" s="3">
        <f>IF(ISERROR(LEN(VLOOKUP(A125,Seqs!A:E,2,FALSE))-AL125),"-",LEN(VLOOKUP(A125,Seqs!A:E,2,FALSE))-AL125)</f>
        <v>66</v>
      </c>
      <c r="BB125" s="16">
        <f t="shared" si="52"/>
        <v>28</v>
      </c>
      <c r="BC125" s="9">
        <f t="shared" si="53"/>
        <v>20</v>
      </c>
      <c r="BD125" s="3">
        <f t="shared" si="54"/>
        <v>28</v>
      </c>
      <c r="BE125" s="3">
        <f t="shared" si="55"/>
        <v>43</v>
      </c>
    </row>
    <row r="126" spans="1:60" s="3" customFormat="1" x14ac:dyDescent="0.2">
      <c r="A126" s="3" t="s">
        <v>234</v>
      </c>
      <c r="B126" s="3" t="str">
        <f>LOWER(VLOOKUP(A126,Xtal_Templ!A:B,2,FALSE))</f>
        <v>oprk_human</v>
      </c>
      <c r="C126" s="3">
        <f>VLOOKUP($A126,'SegEnds_NonXtal_BW#'!$A:$Z,3,FALSE)+D126-50</f>
        <v>29</v>
      </c>
      <c r="D126" s="3">
        <v>49</v>
      </c>
      <c r="E126" s="3">
        <f>IF(ISERROR(VLOOKUP($A126,'SegEnds_NonXtal_BW#'!$A:$Z,4,FALSE)+VLOOKUP($A126,A:AL,4,FALSE)-50),"-",(VLOOKUP($A126,'SegEnds_NonXtal_BW#'!$A:$Z,4,FALSE)+VLOOKUP($A126,A:AL,4,FALSE)-50))</f>
        <v>59</v>
      </c>
      <c r="F126" s="3">
        <f>G126-2</f>
        <v>60</v>
      </c>
      <c r="G126" s="3">
        <v>62</v>
      </c>
      <c r="H126" s="3">
        <f t="shared" si="79"/>
        <v>63</v>
      </c>
      <c r="I126" s="3">
        <f t="shared" si="79"/>
        <v>64</v>
      </c>
      <c r="J126" s="3">
        <v>77</v>
      </c>
      <c r="K126" s="3">
        <f>VLOOKUP($A126,'SegEnds_NonXtal_BW#'!$A:$Z,8,FALSE)+VLOOKUP($A126,A:AL,10,FALSE)-50</f>
        <v>93</v>
      </c>
      <c r="L126" s="3">
        <f t="shared" si="80"/>
        <v>96</v>
      </c>
      <c r="M126" s="3">
        <v>97</v>
      </c>
      <c r="N126" s="3">
        <f t="shared" si="81"/>
        <v>99</v>
      </c>
      <c r="O126" s="3">
        <f t="shared" si="82"/>
        <v>100</v>
      </c>
      <c r="P126" s="3">
        <v>129</v>
      </c>
      <c r="Q126" s="3">
        <f>VLOOKUP($A126,'SegEnds_NonXtal_BW#'!$A:$Z,12,FALSE)+VLOOKUP($A126,A:AL,16,FALSE)-50</f>
        <v>135</v>
      </c>
      <c r="R126" s="3">
        <f>IF(ISERROR(VLOOKUP($A126,'SegEnds_NonXtal_BW#'!$A:$Z,13,FALSE)+VLOOKUP($A126,A:AL,19,FALSE)-50),"-",VLOOKUP($A126,'SegEnds_NonXtal_BW#'!$A:$Z,13,FALSE)+VLOOKUP($A126,A:AL,19,FALSE)-50)</f>
        <v>136</v>
      </c>
      <c r="S126" s="3">
        <v>136</v>
      </c>
      <c r="T126" s="103">
        <f>IF(ISERROR(VLOOKUP($A126,'SegEnds_NonXtal_BW#'!$A:$Z,14,FALSE)+VLOOKUP($A126,A:AL,19,FALSE)-50),"-",(VLOOKUP($A126,'SegEnds_NonXtal_BW#'!$A:$Z,14,FALSE)+VLOOKUP($A126,A:AL,19,FALSE)-50))</f>
        <v>143</v>
      </c>
      <c r="U126" s="9">
        <f>IF(ISERROR(VLOOKUP($A126,'SegEnds_NonXtal_BW#'!$A:$Z,15,FALSE)+VLOOKUP($A126,A:AL,22,FALSE)-50),"-",VLOOKUP($A126,'SegEnds_NonXtal_BW#'!$A:$Z,15,FALSE)+VLOOKUP($A126,A:AL,22,FALSE)-50)</f>
        <v>144</v>
      </c>
      <c r="V126" s="3">
        <v>156</v>
      </c>
      <c r="W126" s="3">
        <f>IF(ISERROR(VLOOKUP($A126,'SegEnds_NonXtal_BW#'!$A:$Z,16,FALSE)+VLOOKUP($A126,A:AL,22,FALSE)-50),"-",(VLOOKUP($A126,'SegEnds_NonXtal_BW#'!$A:$Z,16,FALSE)+VLOOKUP($A126,A:AL,22,FALSE)-50))</f>
        <v>170</v>
      </c>
      <c r="X126" s="3">
        <f>IF(ISERROR(VLOOKUP($A126,'SegEnds_NonXtal_BW#'!$A:$Z,17,FALSE)+VLOOKUP($A126,A:AL,25,FALSE)-50),"-",(VLOOKUP($A126,'SegEnds_NonXtal_BW#'!$A:$Z,17,FALSE)+VLOOKUP($A126,A:AL,25,FALSE)-50))</f>
        <v>181</v>
      </c>
      <c r="Y126" s="3">
        <v>181</v>
      </c>
      <c r="Z126" s="3">
        <f t="shared" si="77"/>
        <v>183</v>
      </c>
      <c r="AA126" s="3">
        <f>IF(ISERROR(VLOOKUP($A126,'SegEnds_NonXtal_BW#'!$A:$Z,19,FALSE)+VLOOKUP($A126,A:AL,28,FALSE)-50),"-",(VLOOKUP($A126,'SegEnds_NonXtal_BW#'!$A:$Z,19,FALSE)+VLOOKUP($A126,A:AL,28,FALSE)-50))</f>
        <v>189</v>
      </c>
      <c r="AB126" s="3">
        <v>208</v>
      </c>
      <c r="AC126" s="3">
        <f>IF(ISERROR((VLOOKUP($A126,'SegEnds_NonXtal_BW#'!$A:$Z,20,FALSE)+VLOOKUP($A126,A:AL,28,FALSE)-50)),"-",(VLOOKUP($A126,'SegEnds_NonXtal_BW#'!$A:$Z,20,FALSE)+VLOOKUP($A126,A:AL,28,FALSE)-50))</f>
        <v>226</v>
      </c>
      <c r="AD126" s="3">
        <f>IF(ISERROR(VLOOKUP($A126,'SegEnds_NonXtal_BW#'!$A:$Z,21,FALSE)+VLOOKUP($A126,A:AL,31,FALSE)-50),"-",(VLOOKUP($A126,'SegEnds_NonXtal_BW#'!$A:$Z,21,FALSE)+VLOOKUP($A126,A:AL,31,FALSE)-50))</f>
        <v>232</v>
      </c>
      <c r="AE126" s="3">
        <v>259</v>
      </c>
      <c r="AF126" s="3">
        <f>IF(ISERROR((VLOOKUP($A126,'SegEnds_NonXtal_BW#'!$A:$Z,22,FALSE)+VLOOKUP($A126,A:AL,31,FALSE)-50)),"-",(VLOOKUP($A126,'SegEnds_NonXtal_BW#'!$A:$Z,22,FALSE)+VLOOKUP($A126,A:AL,31,FALSE)-50))</f>
        <v>273</v>
      </c>
      <c r="AG126" s="3">
        <f>IF(ISERROR(VLOOKUP($A126,'SegEnds_NonXtal_BW#'!$A:$Z,23,FALSE)+VLOOKUP($A126,A:AL,34,FALSE)-50),"-",(VLOOKUP($A126,'SegEnds_NonXtal_BW#'!$A:$Z,23,FALSE)+VLOOKUP($A126,A:AL,34,FALSE)-50))</f>
        <v>279</v>
      </c>
      <c r="AH126" s="3">
        <v>305</v>
      </c>
      <c r="AI126" s="3">
        <f>IF(ISERROR((VLOOKUP($A126,'SegEnds_NonXtal_BW#'!$A:$Z,24,FALSE)+VLOOKUP($A126,A:AL,34,FALSE)-50)),"-",(VLOOKUP($A126,'SegEnds_NonXtal_BW#'!$A:$Z,24,FALSE)+VLOOKUP($A126,A:AL,34,FALSE)-50))</f>
        <v>311</v>
      </c>
      <c r="AJ126" s="3">
        <f>IF(ISERROR(VLOOKUP($A126,'SegEnds_NonXtal_BW#'!$A:$Z,25,FALSE)+VLOOKUP($A126,A:AL,37,FALSE)-50),"-",(VLOOKUP($A126,'SegEnds_NonXtal_BW#'!$A:$Z,25,FALSE)+VLOOKUP($A126,A:AL,37,FALSE)-50))</f>
        <v>312</v>
      </c>
      <c r="AK126" s="3">
        <v>315</v>
      </c>
      <c r="AL126" s="3">
        <f>IF(ISERROR((VLOOKUP($A126,'SegEnds_NonXtal_BW#'!$A:$Z,26,FALSE)+VLOOKUP($A126,A:AL,37,FALSE)-50)),"-",(VLOOKUP($A126,'SegEnds_NonXtal_BW#'!$A:$Z,26,FALSE)+VLOOKUP($A126,A:AL,37,FALSE)-50))</f>
        <v>324</v>
      </c>
      <c r="AM126" s="28" t="str">
        <f>VLOOKUP(A126,Classification!A:B,2,FALSE)</f>
        <v>A</v>
      </c>
      <c r="AN126" s="28" t="b">
        <f t="shared" si="72"/>
        <v>1</v>
      </c>
      <c r="AO126" s="3" t="str">
        <f>IF(ISERROR(MATCH(A126,'SegEnds_Xtal_Prot#'!B:B, 0)), "NoXtal", "Xtal")</f>
        <v>NoXtal</v>
      </c>
      <c r="AP126" s="3">
        <f t="shared" si="41"/>
        <v>1</v>
      </c>
      <c r="AQ126" s="3">
        <f t="shared" si="42"/>
        <v>1</v>
      </c>
      <c r="AR126" s="3">
        <f t="shared" si="43"/>
        <v>3</v>
      </c>
      <c r="AS126" s="3">
        <f t="shared" si="44"/>
        <v>1</v>
      </c>
      <c r="AT126" s="3">
        <f t="shared" si="45"/>
        <v>1</v>
      </c>
      <c r="AU126" s="3">
        <f t="shared" si="46"/>
        <v>1</v>
      </c>
      <c r="AV126" s="3">
        <f t="shared" si="47"/>
        <v>11</v>
      </c>
      <c r="AW126" s="3">
        <f t="shared" si="48"/>
        <v>6</v>
      </c>
      <c r="AX126" s="3">
        <f t="shared" si="49"/>
        <v>6</v>
      </c>
      <c r="AY126" s="3">
        <f t="shared" si="50"/>
        <v>6</v>
      </c>
      <c r="AZ126" s="3">
        <f t="shared" si="51"/>
        <v>1</v>
      </c>
      <c r="BA126" s="3">
        <f>IF(ISERROR(LEN(VLOOKUP(A126,Seqs!A:E,2,FALSE))-AL126),"-",LEN(VLOOKUP(A126,Seqs!A:E,2,FALSE))-AL126)</f>
        <v>37</v>
      </c>
      <c r="BB126" s="16">
        <f t="shared" si="52"/>
        <v>28</v>
      </c>
      <c r="BC126" s="9">
        <f t="shared" si="53"/>
        <v>20</v>
      </c>
      <c r="BD126" s="3">
        <f t="shared" si="54"/>
        <v>28</v>
      </c>
      <c r="BE126" s="3">
        <f t="shared" si="55"/>
        <v>51</v>
      </c>
    </row>
    <row r="127" spans="1:60" s="3" customFormat="1" x14ac:dyDescent="0.2">
      <c r="A127" s="3" t="s">
        <v>236</v>
      </c>
      <c r="B127" s="3" t="str">
        <f>LOWER(VLOOKUP(A127,Xtal_Templ!A:B,2,FALSE))</f>
        <v>ccr5_human</v>
      </c>
      <c r="C127" s="3">
        <f>VLOOKUP($A127,'SegEnds_NonXtal_BW#'!$A:$Z,3,FALSE)+D127-50</f>
        <v>51</v>
      </c>
      <c r="D127" s="3">
        <v>77</v>
      </c>
      <c r="E127" s="3">
        <f>IF(ISERROR(VLOOKUP($A127,'SegEnds_NonXtal_BW#'!$A:$Z,4,FALSE)+VLOOKUP($A127,A:AL,4,FALSE)-50),"-",(VLOOKUP($A127,'SegEnds_NonXtal_BW#'!$A:$Z,4,FALSE)+VLOOKUP($A127,A:AL,4,FALSE)-50))</f>
        <v>87</v>
      </c>
      <c r="F127" s="3">
        <f>G127-2</f>
        <v>88</v>
      </c>
      <c r="G127" s="3">
        <v>90</v>
      </c>
      <c r="H127" s="3">
        <f t="shared" si="79"/>
        <v>91</v>
      </c>
      <c r="I127" s="3">
        <f t="shared" si="79"/>
        <v>92</v>
      </c>
      <c r="J127" s="3">
        <v>105</v>
      </c>
      <c r="K127" s="3">
        <f>VLOOKUP($A127,'SegEnds_NonXtal_BW#'!$A:$Z,8,FALSE)+VLOOKUP($A127,A:AL,10,FALSE)-50</f>
        <v>121</v>
      </c>
      <c r="L127" s="3">
        <f t="shared" si="80"/>
        <v>123</v>
      </c>
      <c r="M127" s="3">
        <v>124</v>
      </c>
      <c r="N127" s="3">
        <f t="shared" si="81"/>
        <v>126</v>
      </c>
      <c r="O127" s="3">
        <f t="shared" si="82"/>
        <v>127</v>
      </c>
      <c r="P127" s="3">
        <v>155</v>
      </c>
      <c r="Q127" s="3">
        <f>VLOOKUP($A127,'SegEnds_NonXtal_BW#'!$A:$Z,12,FALSE)+VLOOKUP($A127,A:AL,16,FALSE)-50</f>
        <v>161</v>
      </c>
      <c r="R127" s="3">
        <f>IF(ISERROR(VLOOKUP($A127,'SegEnds_NonXtal_BW#'!$A:$Z,13,FALSE)+VLOOKUP($A127,A:AL,19,FALSE)-50),"-",VLOOKUP($A127,'SegEnds_NonXtal_BW#'!$A:$Z,13,FALSE)+VLOOKUP($A127,A:AL,19,FALSE)-50)</f>
        <v>162</v>
      </c>
      <c r="S127" s="3">
        <v>162</v>
      </c>
      <c r="T127" s="103">
        <f>IF(ISERROR(VLOOKUP($A127,'SegEnds_NonXtal_BW#'!$A:$Z,14,FALSE)+VLOOKUP($A127,A:AL,19,FALSE)-50),"-",(VLOOKUP($A127,'SegEnds_NonXtal_BW#'!$A:$Z,14,FALSE)+VLOOKUP($A127,A:AL,19,FALSE)-50))</f>
        <v>169</v>
      </c>
      <c r="U127" s="9">
        <f>IF(ISERROR(VLOOKUP($A127,'SegEnds_NonXtal_BW#'!$A:$Z,15,FALSE)+VLOOKUP($A127,A:AL,22,FALSE)-50),"-",VLOOKUP($A127,'SegEnds_NonXtal_BW#'!$A:$Z,15,FALSE)+VLOOKUP($A127,A:AL,22,FALSE)-50)</f>
        <v>170</v>
      </c>
      <c r="V127" s="3">
        <v>182</v>
      </c>
      <c r="W127" s="3">
        <f>IF(ISERROR(VLOOKUP($A127,'SegEnds_NonXtal_BW#'!$A:$Z,16,FALSE)+VLOOKUP($A127,A:AL,22,FALSE)-50),"-",(VLOOKUP($A127,'SegEnds_NonXtal_BW#'!$A:$Z,16,FALSE)+VLOOKUP($A127,A:AL,22,FALSE)-50))</f>
        <v>196</v>
      </c>
      <c r="X127" s="3">
        <f>IF(ISERROR(VLOOKUP($A127,'SegEnds_NonXtal_BW#'!$A:$Z,17,FALSE)+VLOOKUP($A127,A:AL,25,FALSE)-50),"-",(VLOOKUP($A127,'SegEnds_NonXtal_BW#'!$A:$Z,17,FALSE)+VLOOKUP($A127,A:AL,25,FALSE)-50))</f>
        <v>205</v>
      </c>
      <c r="Y127" s="3">
        <v>205</v>
      </c>
      <c r="Z127" s="3">
        <f t="shared" si="77"/>
        <v>207</v>
      </c>
      <c r="AA127" s="3">
        <f>IF(ISERROR(VLOOKUP($A127,'SegEnds_NonXtal_BW#'!$A:$Z,19,FALSE)+VLOOKUP($A127,A:AL,28,FALSE)-50),"-",(VLOOKUP($A127,'SegEnds_NonXtal_BW#'!$A:$Z,19,FALSE)+VLOOKUP($A127,A:AL,28,FALSE)-50))</f>
        <v>210</v>
      </c>
      <c r="AB127" s="3">
        <v>226</v>
      </c>
      <c r="AC127" s="3">
        <f>IF(ISERROR((VLOOKUP($A127,'SegEnds_NonXtal_BW#'!$A:$Z,20,FALSE)+VLOOKUP($A127,A:AL,28,FALSE)-50)),"-",(VLOOKUP($A127,'SegEnds_NonXtal_BW#'!$A:$Z,20,FALSE)+VLOOKUP($A127,A:AL,28,FALSE)-50))</f>
        <v>244</v>
      </c>
      <c r="AD127" s="3">
        <f>IF(ISERROR(VLOOKUP($A127,'SegEnds_NonXtal_BW#'!$A:$Z,21,FALSE)+VLOOKUP($A127,A:AL,31,FALSE)-50),"-",(VLOOKUP($A127,'SegEnds_NonXtal_BW#'!$A:$Z,21,FALSE)+VLOOKUP($A127,A:AL,31,FALSE)-50))</f>
        <v>248</v>
      </c>
      <c r="AE127" s="3">
        <v>274</v>
      </c>
      <c r="AF127" s="3">
        <f>IF(ISERROR((VLOOKUP($A127,'SegEnds_NonXtal_BW#'!$A:$Z,22,FALSE)+VLOOKUP($A127,A:AL,31,FALSE)-50)),"-",(VLOOKUP($A127,'SegEnds_NonXtal_BW#'!$A:$Z,22,FALSE)+VLOOKUP($A127,A:AL,31,FALSE)-50))</f>
        <v>288</v>
      </c>
      <c r="AG127" s="3">
        <f>IF(ISERROR(VLOOKUP($A127,'SegEnds_NonXtal_BW#'!$A:$Z,23,FALSE)+VLOOKUP($A127,A:AL,34,FALSE)-50),"-",(VLOOKUP($A127,'SegEnds_NonXtal_BW#'!$A:$Z,23,FALSE)+VLOOKUP($A127,A:AL,34,FALSE)-50))</f>
        <v>295</v>
      </c>
      <c r="AH127" s="3">
        <v>321</v>
      </c>
      <c r="AI127" s="3">
        <f>IF(ISERROR((VLOOKUP($A127,'SegEnds_NonXtal_BW#'!$A:$Z,24,FALSE)+VLOOKUP($A127,A:AL,34,FALSE)-50)),"-",(VLOOKUP($A127,'SegEnds_NonXtal_BW#'!$A:$Z,24,FALSE)+VLOOKUP($A127,A:AL,34,FALSE)-50))</f>
        <v>327</v>
      </c>
      <c r="AJ127" s="3">
        <f>IF(ISERROR(VLOOKUP($A127,'SegEnds_NonXtal_BW#'!$A:$Z,25,FALSE)+VLOOKUP($A127,A:AL,37,FALSE)-50),"-",(VLOOKUP($A127,'SegEnds_NonXtal_BW#'!$A:$Z,25,FALSE)+VLOOKUP($A127,A:AL,37,FALSE)-50))</f>
        <v>328</v>
      </c>
      <c r="AK127" s="3">
        <v>331</v>
      </c>
      <c r="AL127" s="3">
        <f>IF(ISERROR((VLOOKUP($A127,'SegEnds_NonXtal_BW#'!$A:$Z,26,FALSE)+VLOOKUP($A127,A:AL,37,FALSE)-50)),"-",(VLOOKUP($A127,'SegEnds_NonXtal_BW#'!$A:$Z,26,FALSE)+VLOOKUP($A127,A:AL,37,FALSE)-50))</f>
        <v>340</v>
      </c>
      <c r="AM127" s="28" t="str">
        <f>VLOOKUP(A127,Classification!A:B,2,FALSE)</f>
        <v>A</v>
      </c>
      <c r="AN127" s="28" t="b">
        <f t="shared" si="72"/>
        <v>1</v>
      </c>
      <c r="AO127" s="3" t="str">
        <f>IF(ISERROR(MATCH(A127,'SegEnds_Xtal_Prot#'!B:B, 0)), "NoXtal", "Xtal")</f>
        <v>NoXtal</v>
      </c>
      <c r="AP127" s="3">
        <f t="shared" si="41"/>
        <v>1</v>
      </c>
      <c r="AQ127" s="3">
        <f t="shared" si="42"/>
        <v>1</v>
      </c>
      <c r="AR127" s="3">
        <f t="shared" si="43"/>
        <v>2</v>
      </c>
      <c r="AS127" s="3">
        <f t="shared" si="44"/>
        <v>1</v>
      </c>
      <c r="AT127" s="3">
        <f t="shared" si="45"/>
        <v>1</v>
      </c>
      <c r="AU127" s="3">
        <f t="shared" si="46"/>
        <v>1</v>
      </c>
      <c r="AV127" s="3">
        <f t="shared" si="47"/>
        <v>9</v>
      </c>
      <c r="AW127" s="3">
        <f t="shared" si="48"/>
        <v>3</v>
      </c>
      <c r="AX127" s="3">
        <f t="shared" si="49"/>
        <v>4</v>
      </c>
      <c r="AY127" s="3">
        <f t="shared" si="50"/>
        <v>7</v>
      </c>
      <c r="AZ127" s="3">
        <f t="shared" si="51"/>
        <v>1</v>
      </c>
      <c r="BA127" s="3">
        <f>IF(ISERROR(LEN(VLOOKUP(A127,Seqs!A:E,2,FALSE))-AL127),"-",LEN(VLOOKUP(A127,Seqs!A:E,2,FALSE))-AL127)</f>
        <v>35</v>
      </c>
      <c r="BB127" s="16">
        <f t="shared" si="52"/>
        <v>28</v>
      </c>
      <c r="BC127" s="9">
        <f t="shared" si="53"/>
        <v>20</v>
      </c>
      <c r="BD127" s="3">
        <f t="shared" si="54"/>
        <v>28</v>
      </c>
      <c r="BE127" s="3">
        <f t="shared" si="55"/>
        <v>48</v>
      </c>
    </row>
    <row r="128" spans="1:60" s="3" customFormat="1" x14ac:dyDescent="0.2">
      <c r="A128" s="3" t="s">
        <v>237</v>
      </c>
      <c r="B128" s="3" t="str">
        <f>LOWER(VLOOKUP(A128,Xtal_Templ!A:B,2,FALSE))</f>
        <v>agtr1_human</v>
      </c>
      <c r="C128" s="3">
        <f>VLOOKUP($A128,'SegEnds_NonXtal_BW#'!$A:$Z,3,FALSE)+D128-50</f>
        <v>36</v>
      </c>
      <c r="D128" s="3">
        <v>56</v>
      </c>
      <c r="E128" s="3">
        <f>IF(ISERROR(VLOOKUP($A128,'SegEnds_NonXtal_BW#'!$A:$Z,4,FALSE)+VLOOKUP($A128,A:AL,4,FALSE)-50),"-",(VLOOKUP($A128,'SegEnds_NonXtal_BW#'!$A:$Z,4,FALSE)+VLOOKUP($A128,A:AL,4,FALSE)-50))</f>
        <v>66</v>
      </c>
      <c r="F128" s="3" t="str">
        <f>IF(ISERROR(VLOOKUP($A128,'SegEnds_NonXtal_BW#'!$A:$Z,5,FALSE)+VLOOKUP($A128,A:AL,7,FALSE)-50),"-",(VLOOKUP($A128,'SegEnds_NonXtal_BW#'!$A:$Z,5,FALSE)+VLOOKUP($A128,A:AL,7,FALSE)-50))</f>
        <v>-</v>
      </c>
      <c r="G128" s="3" t="s">
        <v>23</v>
      </c>
      <c r="H128" s="3" t="str">
        <f>IF(ISERROR(VLOOKUP($A128,'SegEnds_NonXtal_BW#'!$A:$Z,6,FALSE)+VLOOKUP($A128,A:AL,7,FALSE)-50),"-",(VLOOKUP($A128,'SegEnds_NonXtal_BW#'!$A:$Z,6,FALSE)+VLOOKUP($A128,A:AL,7,FALSE)-50))</f>
        <v>-</v>
      </c>
      <c r="I128" s="3">
        <f>VLOOKUP($A128,'SegEnds_NonXtal_BW#'!$A:$Z,7,FALSE)+J128-50</f>
        <v>70</v>
      </c>
      <c r="J128" s="3">
        <v>83</v>
      </c>
      <c r="K128" s="3">
        <f>VLOOKUP($A128,'SegEnds_NonXtal_BW#'!$A:$Z,8,FALSE)+VLOOKUP($A128,A:AL,10,FALSE)-50</f>
        <v>99</v>
      </c>
      <c r="L128" s="3">
        <f t="shared" si="80"/>
        <v>102</v>
      </c>
      <c r="M128" s="3">
        <v>103</v>
      </c>
      <c r="N128" s="3">
        <f t="shared" si="81"/>
        <v>105</v>
      </c>
      <c r="O128" s="3">
        <f t="shared" si="82"/>
        <v>106</v>
      </c>
      <c r="P128" s="3">
        <v>135</v>
      </c>
      <c r="Q128" s="3">
        <f>VLOOKUP($A128,'SegEnds_NonXtal_BW#'!$A:$Z,12,FALSE)+VLOOKUP($A128,A:AL,16,FALSE)-50</f>
        <v>141</v>
      </c>
      <c r="R128" s="3">
        <f>IF(ISERROR(VLOOKUP($A128,'SegEnds_NonXtal_BW#'!$A:$Z,13,FALSE)+VLOOKUP($A128,A:AL,19,FALSE)-50),"-",VLOOKUP($A128,'SegEnds_NonXtal_BW#'!$A:$Z,13,FALSE)+VLOOKUP($A128,A:AL,19,FALSE)-50)</f>
        <v>142</v>
      </c>
      <c r="S128" s="3">
        <v>142</v>
      </c>
      <c r="T128" s="103">
        <f>IF(ISERROR(VLOOKUP($A128,'SegEnds_NonXtal_BW#'!$A:$Z,14,FALSE)+VLOOKUP($A128,A:AL,19,FALSE)-50),"-",(VLOOKUP($A128,'SegEnds_NonXtal_BW#'!$A:$Z,14,FALSE)+VLOOKUP($A128,A:AL,19,FALSE)-50))</f>
        <v>149</v>
      </c>
      <c r="U128" s="9">
        <f>IF(ISERROR(VLOOKUP($A128,'SegEnds_NonXtal_BW#'!$A:$Z,15,FALSE)+VLOOKUP($A128,A:AL,22,FALSE)-50),"-",VLOOKUP($A128,'SegEnds_NonXtal_BW#'!$A:$Z,15,FALSE)+VLOOKUP($A128,A:AL,22,FALSE)-50)</f>
        <v>150</v>
      </c>
      <c r="V128" s="3">
        <v>162</v>
      </c>
      <c r="W128" s="3">
        <f>IF(ISERROR(VLOOKUP($A128,'SegEnds_NonXtal_BW#'!$A:$Z,16,FALSE)+VLOOKUP($A128,A:AL,22,FALSE)-50),"-",(VLOOKUP($A128,'SegEnds_NonXtal_BW#'!$A:$Z,16,FALSE)+VLOOKUP($A128,A:AL,22,FALSE)-50))</f>
        <v>176</v>
      </c>
      <c r="X128" s="3">
        <f>IF(ISERROR(VLOOKUP($A128,'SegEnds_NonXtal_BW#'!$A:$Z,17,FALSE)+VLOOKUP($A128,A:AL,25,FALSE)-50),"-",(VLOOKUP($A128,'SegEnds_NonXtal_BW#'!$A:$Z,17,FALSE)+VLOOKUP($A128,A:AL,25,FALSE)-50))</f>
        <v>187</v>
      </c>
      <c r="Y128" s="3">
        <v>187</v>
      </c>
      <c r="Z128" s="3">
        <f t="shared" si="77"/>
        <v>189</v>
      </c>
      <c r="AA128" s="3">
        <f>IF(ISERROR(VLOOKUP($A128,'SegEnds_NonXtal_BW#'!$A:$Z,19,FALSE)+VLOOKUP($A128,A:AL,28,FALSE)-50),"-",(VLOOKUP($A128,'SegEnds_NonXtal_BW#'!$A:$Z,19,FALSE)+VLOOKUP($A128,A:AL,28,FALSE)-50))</f>
        <v>202</v>
      </c>
      <c r="AB128" s="3">
        <v>218</v>
      </c>
      <c r="AC128" s="3">
        <f>IF(ISERROR((VLOOKUP($A128,'SegEnds_NonXtal_BW#'!$A:$Z,20,FALSE)+VLOOKUP($A128,A:AL,28,FALSE)-50)),"-",(VLOOKUP($A128,'SegEnds_NonXtal_BW#'!$A:$Z,20,FALSE)+VLOOKUP($A128,A:AL,28,FALSE)-50))</f>
        <v>236</v>
      </c>
      <c r="AD128" s="3">
        <f>IF(ISERROR(VLOOKUP($A128,'SegEnds_NonXtal_BW#'!$A:$Z,21,FALSE)+VLOOKUP($A128,A:AL,31,FALSE)-50),"-",(VLOOKUP($A128,'SegEnds_NonXtal_BW#'!$A:$Z,21,FALSE)+VLOOKUP($A128,A:AL,31,FALSE)-50))</f>
        <v>241</v>
      </c>
      <c r="AE128" s="3">
        <v>261</v>
      </c>
      <c r="AF128" s="3">
        <f>IF(ISERROR((VLOOKUP($A128,'SegEnds_NonXtal_BW#'!$A:$Z,22,FALSE)+VLOOKUP($A128,A:AL,31,FALSE)-50)),"-",(VLOOKUP($A128,'SegEnds_NonXtal_BW#'!$A:$Z,22,FALSE)+VLOOKUP($A128,A:AL,31,FALSE)-50))</f>
        <v>272</v>
      </c>
      <c r="AG128" s="3">
        <f>IF(ISERROR(VLOOKUP($A128,'SegEnds_NonXtal_BW#'!$A:$Z,23,FALSE)+VLOOKUP($A128,A:AL,34,FALSE)-50),"-",(VLOOKUP($A128,'SegEnds_NonXtal_BW#'!$A:$Z,23,FALSE)+VLOOKUP($A128,A:AL,34,FALSE)-50))</f>
        <v>279</v>
      </c>
      <c r="AH128" s="3">
        <v>301</v>
      </c>
      <c r="AI128" s="3">
        <f>IF(ISERROR((VLOOKUP($A128,'SegEnds_NonXtal_BW#'!$A:$Z,24,FALSE)+VLOOKUP($A128,A:AL,34,FALSE)-50)),"-",(VLOOKUP($A128,'SegEnds_NonXtal_BW#'!$A:$Z,24,FALSE)+VLOOKUP($A128,A:AL,34,FALSE)-50))</f>
        <v>307</v>
      </c>
      <c r="AJ128" s="3">
        <f>IF(ISERROR(VLOOKUP($A128,'SegEnds_NonXtal_BW#'!$A:$Z,25,FALSE)+VLOOKUP($A128,A:AL,37,FALSE)-50),"-",(VLOOKUP($A128,'SegEnds_NonXtal_BW#'!$A:$Z,25,FALSE)+VLOOKUP($A128,A:AL,37,FALSE)-50))</f>
        <v>308</v>
      </c>
      <c r="AK128" s="3">
        <v>311</v>
      </c>
      <c r="AL128" s="3">
        <f>IF(ISERROR((VLOOKUP($A128,'SegEnds_NonXtal_BW#'!$A:$Z,26,FALSE)+VLOOKUP($A128,A:AL,37,FALSE)-50)),"-",(VLOOKUP($A128,'SegEnds_NonXtal_BW#'!$A:$Z,26,FALSE)+VLOOKUP($A128,A:AL,37,FALSE)-50))</f>
        <v>322</v>
      </c>
      <c r="AM128" s="28" t="str">
        <f>VLOOKUP(A128,Classification!A:B,2,FALSE)</f>
        <v>A</v>
      </c>
      <c r="AN128" s="28" t="b">
        <f t="shared" si="72"/>
        <v>1</v>
      </c>
      <c r="AO128" s="3" t="str">
        <f>IF(ISERROR(MATCH(A128,'SegEnds_Xtal_Prot#'!B:B, 0)), "NoXtal", "Xtal")</f>
        <v>NoXtal</v>
      </c>
      <c r="AP128" s="3" t="str">
        <f t="shared" si="41"/>
        <v>-</v>
      </c>
      <c r="AQ128" s="3" t="str">
        <f t="shared" si="42"/>
        <v>-</v>
      </c>
      <c r="AR128" s="3">
        <f t="shared" si="43"/>
        <v>3</v>
      </c>
      <c r="AS128" s="3">
        <f t="shared" si="44"/>
        <v>1</v>
      </c>
      <c r="AT128" s="3">
        <f t="shared" si="45"/>
        <v>1</v>
      </c>
      <c r="AU128" s="3">
        <f t="shared" si="46"/>
        <v>1</v>
      </c>
      <c r="AV128" s="3">
        <f t="shared" si="47"/>
        <v>11</v>
      </c>
      <c r="AW128" s="3">
        <f t="shared" si="48"/>
        <v>13</v>
      </c>
      <c r="AX128" s="3">
        <f t="shared" si="49"/>
        <v>5</v>
      </c>
      <c r="AY128" s="3">
        <f t="shared" si="50"/>
        <v>7</v>
      </c>
      <c r="AZ128" s="3">
        <f t="shared" si="51"/>
        <v>1</v>
      </c>
      <c r="BA128" s="3">
        <f>IF(ISERROR(LEN(VLOOKUP(A128,Seqs!A:E,2,FALSE))-AL128),"-",LEN(VLOOKUP(A128,Seqs!A:E,2,FALSE))-AL128)</f>
        <v>33</v>
      </c>
      <c r="BB128" s="16">
        <f t="shared" si="52"/>
        <v>27</v>
      </c>
      <c r="BC128" s="9">
        <f t="shared" si="53"/>
        <v>20</v>
      </c>
      <c r="BD128" s="3">
        <f t="shared" si="54"/>
        <v>27</v>
      </c>
      <c r="BE128" s="3">
        <f t="shared" si="55"/>
        <v>43</v>
      </c>
    </row>
    <row r="129" spans="1:58" s="3" customFormat="1" x14ac:dyDescent="0.2">
      <c r="A129" s="3" t="s">
        <v>238</v>
      </c>
      <c r="B129" s="3" t="str">
        <f>LOWER(VLOOKUP(A129,Xtal_Templ!A:B,2,FALSE))</f>
        <v>lpar1_human</v>
      </c>
      <c r="C129" s="3">
        <f>VLOOKUP($A129,'SegEnds_NonXtal_BW#'!$A:$Z,3,FALSE)+D129-50</f>
        <v>42</v>
      </c>
      <c r="D129" s="3">
        <v>62</v>
      </c>
      <c r="E129" s="3">
        <f>IF(ISERROR(VLOOKUP($A129,'SegEnds_NonXtal_BW#'!$A:$Z,4,FALSE)+VLOOKUP($A129,A:AL,4,FALSE)-50),"-",(VLOOKUP($A129,'SegEnds_NonXtal_BW#'!$A:$Z,4,FALSE)+VLOOKUP($A129,A:AL,4,FALSE)-50))</f>
        <v>72</v>
      </c>
      <c r="F129" s="3" t="str">
        <f>IF(ISERROR(VLOOKUP($A129,'SegEnds_NonXtal_BW#'!$A:$Z,5,FALSE)+VLOOKUP($A129,A:AL,7,FALSE)-50),"-",(VLOOKUP($A129,'SegEnds_NonXtal_BW#'!$A:$Z,5,FALSE)+VLOOKUP($A129,A:AL,7,FALSE)-50))</f>
        <v>-</v>
      </c>
      <c r="G129" s="3" t="s">
        <v>23</v>
      </c>
      <c r="H129" s="3" t="str">
        <f>IF(ISERROR(VLOOKUP($A129,'SegEnds_NonXtal_BW#'!$A:$Z,6,FALSE)+VLOOKUP($A129,A:AL,7,FALSE)-50),"-",(VLOOKUP($A129,'SegEnds_NonXtal_BW#'!$A:$Z,6,FALSE)+VLOOKUP($A129,A:AL,7,FALSE)-50))</f>
        <v>-</v>
      </c>
      <c r="I129" s="3">
        <f>VLOOKUP($A129,'SegEnds_NonXtal_BW#'!$A:$Z,7,FALSE)+J129-50</f>
        <v>77</v>
      </c>
      <c r="J129" s="3">
        <v>90</v>
      </c>
      <c r="K129" s="3">
        <f>VLOOKUP($A129,'SegEnds_NonXtal_BW#'!$A:$Z,8,FALSE)+VLOOKUP($A129,A:AL,10,FALSE)-50</f>
        <v>102</v>
      </c>
      <c r="L129" s="3">
        <f t="shared" si="80"/>
        <v>104</v>
      </c>
      <c r="M129" s="3">
        <v>105</v>
      </c>
      <c r="N129" s="3">
        <f t="shared" si="81"/>
        <v>107</v>
      </c>
      <c r="O129" s="3">
        <f t="shared" si="82"/>
        <v>108</v>
      </c>
      <c r="P129" s="3">
        <v>138</v>
      </c>
      <c r="Q129" s="3">
        <f>VLOOKUP($A129,'SegEnds_NonXtal_BW#'!$A:$Z,12,FALSE)+VLOOKUP($A129,A:AL,16,FALSE)-50</f>
        <v>144</v>
      </c>
      <c r="R129" s="3">
        <f>S129</f>
        <v>145</v>
      </c>
      <c r="S129" s="3">
        <v>145</v>
      </c>
      <c r="T129" s="103">
        <f>S129+7</f>
        <v>152</v>
      </c>
      <c r="U129" s="9">
        <f>IF(ISERROR(VLOOKUP($A129,'SegEnds_NonXtal_BW#'!$A:$Z,15,FALSE)+VLOOKUP($A129,A:AL,22,FALSE)-50),"-",VLOOKUP($A129,'SegEnds_NonXtal_BW#'!$A:$Z,15,FALSE)+VLOOKUP($A129,A:AL,22,FALSE)-50)</f>
        <v>153</v>
      </c>
      <c r="V129" s="3">
        <v>165</v>
      </c>
      <c r="W129" s="3">
        <f>IF(ISERROR(VLOOKUP($A129,'SegEnds_NonXtal_BW#'!$A:$Z,16,FALSE)+VLOOKUP($A129,A:AL,22,FALSE)-50),"-",(VLOOKUP($A129,'SegEnds_NonXtal_BW#'!$A:$Z,16,FALSE)+VLOOKUP($A129,A:AL,22,FALSE)-50))</f>
        <v>178</v>
      </c>
      <c r="X129" s="3" t="str">
        <f>IF(ISERROR(VLOOKUP($A129,'SegEnds_NonXtal_BW#'!$A:$Z,17,FALSE)+VLOOKUP($A129,A:AL,25,FALSE)-50),"-",(VLOOKUP($A129,'SegEnds_NonXtal_BW#'!$A:$Z,17,FALSE)+VLOOKUP($A129,A:AL,25,FALSE)-50))</f>
        <v>-</v>
      </c>
      <c r="Y129" s="3" t="s">
        <v>23</v>
      </c>
      <c r="Z129" s="3" t="str">
        <f>IF(ISERROR(VLOOKUP($A129,'SegEnds_NonXtal_BW#'!$A:$Z,18,FALSE)+VLOOKUP($A129,A:AL,25,FALSE)-50),"-",(VLOOKUP($A129,'SegEnds_NonXtal_BW#'!$A:$Z,18,FALSE)+VLOOKUP($A129,A:AL,25,FALSE)-50))</f>
        <v>-</v>
      </c>
      <c r="AA129" s="3">
        <f>IF(ISERROR(VLOOKUP($A129,'SegEnds_NonXtal_BW#'!$A:$Z,19,FALSE)+VLOOKUP($A129,A:AL,28,FALSE)-50),"-",(VLOOKUP($A129,'SegEnds_NonXtal_BW#'!$A:$Z,19,FALSE)+VLOOKUP($A129,A:AL,28,FALSE)-50))</f>
        <v>195</v>
      </c>
      <c r="AB129" s="3">
        <v>209</v>
      </c>
      <c r="AC129" s="3">
        <f>IF(ISERROR((VLOOKUP($A129,'SegEnds_NonXtal_BW#'!$A:$Z,20,FALSE)+VLOOKUP($A129,A:AL,28,FALSE)-50)),"-",(VLOOKUP($A129,'SegEnds_NonXtal_BW#'!$A:$Z,20,FALSE)+VLOOKUP($A129,A:AL,28,FALSE)-50))</f>
        <v>231</v>
      </c>
      <c r="AD129" s="3">
        <f>IF(ISERROR(VLOOKUP($A129,'SegEnds_NonXtal_BW#'!$A:$Z,21,FALSE)+VLOOKUP($A129,A:AL,31,FALSE)-50),"-",(VLOOKUP($A129,'SegEnds_NonXtal_BW#'!$A:$Z,21,FALSE)+VLOOKUP($A129,A:AL,31,FALSE)-50))</f>
        <v>240</v>
      </c>
      <c r="AE129" s="3">
        <v>266</v>
      </c>
      <c r="AF129" s="3">
        <f>IF(ISERROR((VLOOKUP($A129,'SegEnds_NonXtal_BW#'!$A:$Z,22,FALSE)+VLOOKUP($A129,A:AL,31,FALSE)-50)),"-",(VLOOKUP($A129,'SegEnds_NonXtal_BW#'!$A:$Z,22,FALSE)+VLOOKUP($A129,A:AL,31,FALSE)-50))</f>
        <v>277</v>
      </c>
      <c r="AG129" s="3">
        <f>IF(ISERROR(VLOOKUP($A129,'SegEnds_NonXtal_BW#'!$A:$Z,23,FALSE)+VLOOKUP($A129,A:AL,34,FALSE)-50),"-",(VLOOKUP($A129,'SegEnds_NonXtal_BW#'!$A:$Z,23,FALSE)+VLOOKUP($A129,A:AL,34,FALSE)-50))</f>
        <v>282</v>
      </c>
      <c r="AH129" s="3">
        <v>298</v>
      </c>
      <c r="AI129" s="3">
        <f>IF(ISERROR((VLOOKUP($A129,'SegEnds_NonXtal_BW#'!$A:$Z,24,FALSE)+VLOOKUP($A129,A:AL,34,FALSE)-50)),"-",(VLOOKUP($A129,'SegEnds_NonXtal_BW#'!$A:$Z,24,FALSE)+VLOOKUP($A129,A:AL,34,FALSE)-50))</f>
        <v>304</v>
      </c>
      <c r="AJ129" s="3">
        <f>IF(ISERROR(VLOOKUP($A129,'SegEnds_NonXtal_BW#'!$A:$Z,25,FALSE)+VLOOKUP($A129,A:AL,37,FALSE)-50),"-",(VLOOKUP($A129,'SegEnds_NonXtal_BW#'!$A:$Z,25,FALSE)+VLOOKUP($A129,A:AL,37,FALSE)-50))</f>
        <v>305</v>
      </c>
      <c r="AK129" s="3">
        <v>308</v>
      </c>
      <c r="AL129" s="3">
        <f>IF(ISERROR((VLOOKUP($A129,'SegEnds_NonXtal_BW#'!$A:$Z,26,FALSE)+VLOOKUP($A129,A:AL,37,FALSE)-50)),"-",(VLOOKUP($A129,'SegEnds_NonXtal_BW#'!$A:$Z,26,FALSE)+VLOOKUP($A129,A:AL,37,FALSE)-50))</f>
        <v>317</v>
      </c>
      <c r="AM129" s="28" t="str">
        <f>VLOOKUP(A129,Classification!A:B,2,FALSE)</f>
        <v>A</v>
      </c>
      <c r="AN129" s="28" t="b">
        <f t="shared" si="72"/>
        <v>1</v>
      </c>
      <c r="AO129" s="3" t="str">
        <f>IF(ISERROR(MATCH(A129,'SegEnds_Xtal_Prot#'!B:B, 0)), "NoXtal", "Xtal")</f>
        <v>NoXtal</v>
      </c>
      <c r="AP129" s="3" t="str">
        <f t="shared" si="41"/>
        <v>-</v>
      </c>
      <c r="AQ129" s="3" t="str">
        <f t="shared" si="42"/>
        <v>-</v>
      </c>
      <c r="AR129" s="3">
        <f t="shared" si="43"/>
        <v>2</v>
      </c>
      <c r="AS129" s="3">
        <f t="shared" si="44"/>
        <v>1</v>
      </c>
      <c r="AT129" s="3">
        <f t="shared" si="45"/>
        <v>1</v>
      </c>
      <c r="AU129" s="3">
        <f t="shared" si="46"/>
        <v>1</v>
      </c>
      <c r="AV129" s="3" t="str">
        <f t="shared" si="47"/>
        <v>-</v>
      </c>
      <c r="AW129" s="3" t="str">
        <f t="shared" si="48"/>
        <v>-</v>
      </c>
      <c r="AX129" s="3">
        <f t="shared" si="49"/>
        <v>9</v>
      </c>
      <c r="AY129" s="3">
        <f t="shared" si="50"/>
        <v>5</v>
      </c>
      <c r="AZ129" s="3">
        <f t="shared" si="51"/>
        <v>1</v>
      </c>
      <c r="BA129" s="3">
        <f>IF(ISERROR(LEN(VLOOKUP(A129,Seqs!A:E,2,FALSE))-AL129),"-",LEN(VLOOKUP(A129,Seqs!A:E,2,FALSE))-AL129)</f>
        <v>17</v>
      </c>
      <c r="BB129" s="16">
        <f t="shared" si="52"/>
        <v>28</v>
      </c>
      <c r="BC129" s="9">
        <f t="shared" si="53"/>
        <v>20</v>
      </c>
      <c r="BD129" s="3">
        <f t="shared" si="54"/>
        <v>28</v>
      </c>
      <c r="BE129" s="3">
        <f t="shared" si="55"/>
        <v>57</v>
      </c>
      <c r="BF129" s="3">
        <f>AH129-AE129</f>
        <v>32</v>
      </c>
    </row>
    <row r="130" spans="1:58" s="3" customFormat="1" x14ac:dyDescent="0.2">
      <c r="A130" s="3" t="s">
        <v>239</v>
      </c>
      <c r="B130" s="3" t="str">
        <f>LOWER(VLOOKUP(A130,Xtal_Templ!A:B,2,FALSE))</f>
        <v>agtr1_human</v>
      </c>
      <c r="C130" s="3">
        <f>VLOOKUP($A130,'SegEnds_NonXtal_BW#'!$A:$Z,3,FALSE)+D130-50</f>
        <v>31</v>
      </c>
      <c r="D130" s="3">
        <v>51</v>
      </c>
      <c r="E130" s="3">
        <f>IF(ISERROR(VLOOKUP($A130,'SegEnds_NonXtal_BW#'!$A:$Z,4,FALSE)+VLOOKUP($A130,A:AL,4,FALSE)-50),"-",(VLOOKUP($A130,'SegEnds_NonXtal_BW#'!$A:$Z,4,FALSE)+VLOOKUP($A130,A:AL,4,FALSE)-50))</f>
        <v>61</v>
      </c>
      <c r="F130" s="3" t="str">
        <f>IF(ISERROR(VLOOKUP($A130,'SegEnds_NonXtal_BW#'!$A:$Z,5,FALSE)+VLOOKUP($A130,A:AL,7,FALSE)-50),"-",(VLOOKUP($A130,'SegEnds_NonXtal_BW#'!$A:$Z,5,FALSE)+VLOOKUP($A130,A:AL,7,FALSE)-50))</f>
        <v>-</v>
      </c>
      <c r="G130" s="3" t="s">
        <v>23</v>
      </c>
      <c r="H130" s="3" t="str">
        <f>IF(ISERROR(VLOOKUP($A130,'SegEnds_NonXtal_BW#'!$A:$Z,6,FALSE)+VLOOKUP($A130,A:AL,7,FALSE)-50),"-",(VLOOKUP($A130,'SegEnds_NonXtal_BW#'!$A:$Z,6,FALSE)+VLOOKUP($A130,A:AL,7,FALSE)-50))</f>
        <v>-</v>
      </c>
      <c r="I130" s="3">
        <f>VLOOKUP($A130,'SegEnds_NonXtal_BW#'!$A:$Z,7,FALSE)+J130-50</f>
        <v>66</v>
      </c>
      <c r="J130" s="3">
        <v>79</v>
      </c>
      <c r="K130" s="3">
        <f>VLOOKUP($A130,'SegEnds_NonXtal_BW#'!$A:$Z,8,FALSE)+VLOOKUP($A130,A:AL,10,FALSE)-50</f>
        <v>95</v>
      </c>
      <c r="L130" s="3">
        <f t="shared" si="80"/>
        <v>98</v>
      </c>
      <c r="M130" s="3">
        <v>99</v>
      </c>
      <c r="N130" s="3">
        <f t="shared" si="81"/>
        <v>101</v>
      </c>
      <c r="O130" s="3">
        <f t="shared" si="82"/>
        <v>102</v>
      </c>
      <c r="P130" s="3">
        <v>131</v>
      </c>
      <c r="Q130" s="3">
        <f>VLOOKUP($A130,'SegEnds_NonXtal_BW#'!$A:$Z,12,FALSE)+VLOOKUP($A130,A:AL,16,FALSE)-50</f>
        <v>137</v>
      </c>
      <c r="R130" s="3">
        <f>IF(ISERROR(VLOOKUP($A130,'SegEnds_NonXtal_BW#'!$A:$Z,13,FALSE)+VLOOKUP($A130,A:AL,19,FALSE)-50),"-",VLOOKUP($A130,'SegEnds_NonXtal_BW#'!$A:$Z,13,FALSE)+VLOOKUP($A130,A:AL,19,FALSE)-50)</f>
        <v>138</v>
      </c>
      <c r="S130" s="3">
        <v>138</v>
      </c>
      <c r="T130" s="103">
        <f>IF(ISERROR(VLOOKUP($A130,'SegEnds_NonXtal_BW#'!$A:$Z,14,FALSE)+VLOOKUP($A130,A:AL,19,FALSE)-50),"-",(VLOOKUP($A130,'SegEnds_NonXtal_BW#'!$A:$Z,14,FALSE)+VLOOKUP($A130,A:AL,19,FALSE)-50))</f>
        <v>145</v>
      </c>
      <c r="U130" s="9">
        <f>IF(ISERROR(VLOOKUP($A130,'SegEnds_NonXtal_BW#'!$A:$Z,15,FALSE)+VLOOKUP($A130,A:AL,22,FALSE)-50),"-",VLOOKUP($A130,'SegEnds_NonXtal_BW#'!$A:$Z,15,FALSE)+VLOOKUP($A130,A:AL,22,FALSE)-50)</f>
        <v>146</v>
      </c>
      <c r="V130" s="3">
        <v>158</v>
      </c>
      <c r="W130" s="3">
        <f>IF(ISERROR(VLOOKUP($A130,'SegEnds_NonXtal_BW#'!$A:$Z,16,FALSE)+VLOOKUP($A130,A:AL,22,FALSE)-50),"-",(VLOOKUP($A130,'SegEnds_NonXtal_BW#'!$A:$Z,16,FALSE)+VLOOKUP($A130,A:AL,22,FALSE)-50))</f>
        <v>172</v>
      </c>
      <c r="X130" s="3">
        <f>IF(ISERROR(VLOOKUP($A130,'SegEnds_NonXtal_BW#'!$A:$Z,17,FALSE)+VLOOKUP($A130,A:AL,25,FALSE)-50),"-",(VLOOKUP($A130,'SegEnds_NonXtal_BW#'!$A:$Z,17,FALSE)+VLOOKUP($A130,A:AL,25,FALSE)-50))</f>
        <v>183</v>
      </c>
      <c r="Y130" s="3">
        <v>183</v>
      </c>
      <c r="Z130" s="3">
        <f>Y130+2</f>
        <v>185</v>
      </c>
      <c r="AA130" s="3">
        <f>IF(ISERROR(VLOOKUP($A130,'SegEnds_NonXtal_BW#'!$A:$Z,19,FALSE)+VLOOKUP($A130,A:AL,28,FALSE)-50),"-",(VLOOKUP($A130,'SegEnds_NonXtal_BW#'!$A:$Z,19,FALSE)+VLOOKUP($A130,A:AL,28,FALSE)-50))</f>
        <v>191</v>
      </c>
      <c r="AB130" s="3">
        <v>207</v>
      </c>
      <c r="AC130" s="3">
        <f>IF(ISERROR((VLOOKUP($A130,'SegEnds_NonXtal_BW#'!$A:$Z,20,FALSE)+VLOOKUP($A130,A:AL,28,FALSE)-50)),"-",(VLOOKUP($A130,'SegEnds_NonXtal_BW#'!$A:$Z,20,FALSE)+VLOOKUP($A130,A:AL,28,FALSE)-50))</f>
        <v>225</v>
      </c>
      <c r="AD130" s="3">
        <f>IF(ISERROR(VLOOKUP($A130,'SegEnds_NonXtal_BW#'!$A:$Z,21,FALSE)+VLOOKUP($A130,A:AL,31,FALSE)-50),"-",(VLOOKUP($A130,'SegEnds_NonXtal_BW#'!$A:$Z,21,FALSE)+VLOOKUP($A130,A:AL,31,FALSE)-50))</f>
        <v>230</v>
      </c>
      <c r="AE130" s="3">
        <v>256</v>
      </c>
      <c r="AF130" s="3">
        <f>IF(ISERROR((VLOOKUP($A130,'SegEnds_NonXtal_BW#'!$A:$Z,22,FALSE)+VLOOKUP($A130,A:AL,31,FALSE)-50)),"-",(VLOOKUP($A130,'SegEnds_NonXtal_BW#'!$A:$Z,22,FALSE)+VLOOKUP($A130,A:AL,31,FALSE)-50))</f>
        <v>267</v>
      </c>
      <c r="AG130" s="3">
        <f>IF(ISERROR(VLOOKUP($A130,'SegEnds_NonXtal_BW#'!$A:$Z,23,FALSE)+VLOOKUP($A130,A:AL,34,FALSE)-50),"-",(VLOOKUP($A130,'SegEnds_NonXtal_BW#'!$A:$Z,23,FALSE)+VLOOKUP($A130,A:AL,34,FALSE)-50))</f>
        <v>273</v>
      </c>
      <c r="AH130" s="3">
        <v>299</v>
      </c>
      <c r="AI130" s="3">
        <f>IF(ISERROR((VLOOKUP($A130,'SegEnds_NonXtal_BW#'!$A:$Z,24,FALSE)+VLOOKUP($A130,A:AL,34,FALSE)-50)),"-",(VLOOKUP($A130,'SegEnds_NonXtal_BW#'!$A:$Z,24,FALSE)+VLOOKUP($A130,A:AL,34,FALSE)-50))</f>
        <v>305</v>
      </c>
      <c r="AJ130" s="3">
        <f>IF(ISERROR(VLOOKUP($A130,'SegEnds_NonXtal_BW#'!$A:$Z,25,FALSE)+VLOOKUP($A130,A:AL,37,FALSE)-50),"-",(VLOOKUP($A130,'SegEnds_NonXtal_BW#'!$A:$Z,25,FALSE)+VLOOKUP($A130,A:AL,37,FALSE)-50))</f>
        <v>306</v>
      </c>
      <c r="AK130" s="3">
        <v>309</v>
      </c>
      <c r="AL130" s="3">
        <f>IF(ISERROR((VLOOKUP($A130,'SegEnds_NonXtal_BW#'!$A:$Z,26,FALSE)+VLOOKUP($A130,A:AL,37,FALSE)-50)),"-",(VLOOKUP($A130,'SegEnds_NonXtal_BW#'!$A:$Z,26,FALSE)+VLOOKUP($A130,A:AL,37,FALSE)-50))</f>
        <v>320</v>
      </c>
      <c r="AM130" s="28" t="str">
        <f>VLOOKUP(A130,Classification!A:B,2,FALSE)</f>
        <v>A</v>
      </c>
      <c r="AN130" s="28" t="b">
        <f t="shared" si="72"/>
        <v>1</v>
      </c>
      <c r="AO130" s="3" t="str">
        <f>IF(ISERROR(MATCH(A130,'SegEnds_Xtal_Prot#'!B:B, 0)), "NoXtal", "Xtal")</f>
        <v>NoXtal</v>
      </c>
      <c r="AP130" s="3" t="str">
        <f t="shared" ref="AP130:AP193" si="83">IF(ISERROR(F130-E130),"-",F130-E130)</f>
        <v>-</v>
      </c>
      <c r="AQ130" s="3" t="str">
        <f t="shared" ref="AQ130:AQ193" si="84">IF(ISERROR(I130-H130),"-",I130-H130)</f>
        <v>-</v>
      </c>
      <c r="AR130" s="3">
        <f t="shared" ref="AR130:AR193" si="85">IF(ISERROR(L130-K130),"-",L130-K130)</f>
        <v>3</v>
      </c>
      <c r="AS130" s="3">
        <f t="shared" ref="AS130:AS193" si="86">IF(ISERROR(O130-N130),"-",O130-N130)</f>
        <v>1</v>
      </c>
      <c r="AT130" s="3">
        <f t="shared" ref="AT130:AT193" si="87">IF(ISERROR(R130-Q130),"-",R130-Q130)</f>
        <v>1</v>
      </c>
      <c r="AU130" s="3">
        <f t="shared" ref="AU130:AU193" si="88">IF(ISERROR(U130-T130),"-",U130-T130)</f>
        <v>1</v>
      </c>
      <c r="AV130" s="3">
        <f t="shared" ref="AV130:AV193" si="89">IF(ISERROR(X130-W130),"-",X130-W130)</f>
        <v>11</v>
      </c>
      <c r="AW130" s="3">
        <f t="shared" ref="AW130:AW193" si="90">IF(ISERROR(AA130-Z130),"-",AA130-Z130)</f>
        <v>6</v>
      </c>
      <c r="AX130" s="3">
        <f t="shared" ref="AX130:AX193" si="91">IF(ISERROR(AD130-AC130),"-",AD130-AC130)</f>
        <v>5</v>
      </c>
      <c r="AY130" s="3">
        <f t="shared" ref="AY130:AY193" si="92">IF(ISERROR(AG130-AF130),"-",AG130-AF130)</f>
        <v>6</v>
      </c>
      <c r="AZ130" s="3">
        <f t="shared" ref="AZ130:AZ193" si="93">IF(ISERROR(AJ130-AI130),"-",AJ130-AI130)</f>
        <v>1</v>
      </c>
      <c r="BA130" s="3">
        <f>IF(ISERROR(LEN(VLOOKUP(A130,Seqs!A:E,2,FALSE))-AL130),"-",LEN(VLOOKUP(A130,Seqs!A:E,2,FALSE))-AL130)</f>
        <v>40</v>
      </c>
      <c r="BB130" s="16">
        <f t="shared" ref="BB130:BB193" si="94">J130-D130</f>
        <v>28</v>
      </c>
      <c r="BC130" s="9">
        <f t="shared" ref="BC130:BC193" si="95">IF(ISERROR(V130-S130),"-",V130-S130)</f>
        <v>20</v>
      </c>
      <c r="BD130" s="3">
        <f t="shared" ref="BD130:BD193" si="96">J130-D130</f>
        <v>28</v>
      </c>
      <c r="BE130" s="3">
        <f t="shared" ref="BE130:BE193" si="97">AE130-AB130</f>
        <v>49</v>
      </c>
    </row>
    <row r="131" spans="1:58" s="3" customFormat="1" x14ac:dyDescent="0.2">
      <c r="A131" s="3" t="s">
        <v>240</v>
      </c>
      <c r="B131" s="3" t="str">
        <f>LOWER(VLOOKUP(A131,Xtal_Templ!A:B,2,FALSE))</f>
        <v>apj_human</v>
      </c>
      <c r="C131" s="3">
        <f>VLOOKUP($A131,'SegEnds_NonXtal_BW#'!$A:$Z,3,FALSE)+D131-50</f>
        <v>60</v>
      </c>
      <c r="D131" s="3">
        <v>77</v>
      </c>
      <c r="E131" s="3">
        <f>IF(ISERROR(VLOOKUP($A131,'SegEnds_NonXtal_BW#'!$A:$Z,4,FALSE)+VLOOKUP($A131,A:AL,4,FALSE)-50),"-",(VLOOKUP($A131,'SegEnds_NonXtal_BW#'!$A:$Z,4,FALSE)+VLOOKUP($A131,A:AL,4,FALSE)-50))</f>
        <v>87</v>
      </c>
      <c r="F131" s="3" t="str">
        <f>IF(ISERROR(VLOOKUP($A131,'SegEnds_NonXtal_BW#'!$A:$Z,5,FALSE)+VLOOKUP($A131,A:AL,7,FALSE)-50),"-",(VLOOKUP($A131,'SegEnds_NonXtal_BW#'!$A:$Z,5,FALSE)+VLOOKUP($A131,A:AL,7,FALSE)-50))</f>
        <v>-</v>
      </c>
      <c r="G131" s="3" t="s">
        <v>23</v>
      </c>
      <c r="H131" s="3" t="str">
        <f>IF(ISERROR(VLOOKUP($A131,'SegEnds_NonXtal_BW#'!$A:$Z,6,FALSE)+VLOOKUP($A131,A:AL,7,FALSE)-50),"-",(VLOOKUP($A131,'SegEnds_NonXtal_BW#'!$A:$Z,6,FALSE)+VLOOKUP($A131,A:AL,7,FALSE)-50))</f>
        <v>-</v>
      </c>
      <c r="I131" s="3">
        <f>VLOOKUP($A131,'SegEnds_NonXtal_BW#'!$A:$Z,7,FALSE)+J131-50</f>
        <v>92</v>
      </c>
      <c r="J131" s="3">
        <v>105</v>
      </c>
      <c r="K131" s="3">
        <f>VLOOKUP($A131,'SegEnds_NonXtal_BW#'!$A:$Z,8,FALSE)+VLOOKUP($A131,A:AL,10,FALSE)-50</f>
        <v>122</v>
      </c>
      <c r="L131" s="3">
        <f t="shared" si="80"/>
        <v>124</v>
      </c>
      <c r="M131" s="3">
        <v>125</v>
      </c>
      <c r="N131" s="3">
        <f t="shared" si="81"/>
        <v>127</v>
      </c>
      <c r="O131" s="3">
        <f t="shared" si="82"/>
        <v>128</v>
      </c>
      <c r="P131" s="3">
        <v>157</v>
      </c>
      <c r="Q131" s="3">
        <f>VLOOKUP($A131,'SegEnds_NonXtal_BW#'!$A:$Z,12,FALSE)+VLOOKUP($A131,A:AL,16,FALSE)-50</f>
        <v>163</v>
      </c>
      <c r="R131" s="3">
        <f>IF(ISERROR(VLOOKUP($A131,'SegEnds_NonXtal_BW#'!$A:$Z,13,FALSE)+VLOOKUP($A131,A:AL,19,FALSE)-50),"-",VLOOKUP($A131,'SegEnds_NonXtal_BW#'!$A:$Z,13,FALSE)+VLOOKUP($A131,A:AL,19,FALSE)-50)</f>
        <v>164</v>
      </c>
      <c r="S131" s="3">
        <v>164</v>
      </c>
      <c r="T131" s="103">
        <f>IF(ISERROR(VLOOKUP($A131,'SegEnds_NonXtal_BW#'!$A:$Z,14,FALSE)+VLOOKUP($A131,A:AL,19,FALSE)-50),"-",(VLOOKUP($A131,'SegEnds_NonXtal_BW#'!$A:$Z,14,FALSE)+VLOOKUP($A131,A:AL,19,FALSE)-50))</f>
        <v>171</v>
      </c>
      <c r="U131" s="9">
        <f>IF(ISERROR(VLOOKUP($A131,'SegEnds_NonXtal_BW#'!$A:$Z,15,FALSE)+VLOOKUP($A131,A:AL,22,FALSE)-50),"-",VLOOKUP($A131,'SegEnds_NonXtal_BW#'!$A:$Z,15,FALSE)+VLOOKUP($A131,A:AL,22,FALSE)-50)</f>
        <v>172</v>
      </c>
      <c r="V131" s="3">
        <v>184</v>
      </c>
      <c r="W131" s="3">
        <f>IF(ISERROR(VLOOKUP($A131,'SegEnds_NonXtal_BW#'!$A:$Z,16,FALSE)+VLOOKUP($A131,A:AL,22,FALSE)-50),"-",(VLOOKUP($A131,'SegEnds_NonXtal_BW#'!$A:$Z,16,FALSE)+VLOOKUP($A131,A:AL,22,FALSE)-50))</f>
        <v>198</v>
      </c>
      <c r="X131" s="3">
        <f>IF(ISERROR(VLOOKUP($A131,'SegEnds_NonXtal_BW#'!$A:$Z,17,FALSE)+VLOOKUP($A131,A:AL,25,FALSE)-50),"-",(VLOOKUP($A131,'SegEnds_NonXtal_BW#'!$A:$Z,17,FALSE)+VLOOKUP($A131,A:AL,25,FALSE)-50))</f>
        <v>209</v>
      </c>
      <c r="Y131" s="3">
        <v>209</v>
      </c>
      <c r="Z131" s="3">
        <f>Y131+2</f>
        <v>211</v>
      </c>
      <c r="AA131" s="3">
        <f>IF(ISERROR(VLOOKUP($A131,'SegEnds_NonXtal_BW#'!$A:$Z,19,FALSE)+VLOOKUP($A131,A:AL,28,FALSE)-50),"-",(VLOOKUP($A131,'SegEnds_NonXtal_BW#'!$A:$Z,19,FALSE)+VLOOKUP($A131,A:AL,28,FALSE)-50))</f>
        <v>212</v>
      </c>
      <c r="AB131" s="3">
        <v>232</v>
      </c>
      <c r="AC131" s="3">
        <f>IF(ISERROR((VLOOKUP($A131,'SegEnds_NonXtal_BW#'!$A:$Z,20,FALSE)+VLOOKUP($A131,A:AL,28,FALSE)-50)),"-",(VLOOKUP($A131,'SegEnds_NonXtal_BW#'!$A:$Z,20,FALSE)+VLOOKUP($A131,A:AL,28,FALSE)-50))</f>
        <v>249</v>
      </c>
      <c r="AD131" s="3">
        <f>IF(ISERROR(VLOOKUP($A131,'SegEnds_NonXtal_BW#'!$A:$Z,21,FALSE)+VLOOKUP($A131,A:AL,31,FALSE)-50),"-",(VLOOKUP($A131,'SegEnds_NonXtal_BW#'!$A:$Z,21,FALSE)+VLOOKUP($A131,A:AL,31,FALSE)-50))</f>
        <v>254</v>
      </c>
      <c r="AE131" s="3">
        <v>278</v>
      </c>
      <c r="AF131" s="3">
        <f>IF(ISERROR((VLOOKUP($A131,'SegEnds_NonXtal_BW#'!$A:$Z,22,FALSE)+VLOOKUP($A131,A:AL,31,FALSE)-50)),"-",(VLOOKUP($A131,'SegEnds_NonXtal_BW#'!$A:$Z,22,FALSE)+VLOOKUP($A131,A:AL,31,FALSE)-50))</f>
        <v>292</v>
      </c>
      <c r="AG131" s="3">
        <f>IF(ISERROR(VLOOKUP($A131,'SegEnds_NonXtal_BW#'!$A:$Z,23,FALSE)+VLOOKUP($A131,A:AL,34,FALSE)-50),"-",(VLOOKUP($A131,'SegEnds_NonXtal_BW#'!$A:$Z,23,FALSE)+VLOOKUP($A131,A:AL,34,FALSE)-50))</f>
        <v>296</v>
      </c>
      <c r="AH131" s="3">
        <v>322</v>
      </c>
      <c r="AI131" s="3">
        <f>IF(ISERROR((VLOOKUP($A131,'SegEnds_NonXtal_BW#'!$A:$Z,24,FALSE)+VLOOKUP($A131,A:AL,34,FALSE)-50)),"-",(VLOOKUP($A131,'SegEnds_NonXtal_BW#'!$A:$Z,24,FALSE)+VLOOKUP($A131,A:AL,34,FALSE)-50))</f>
        <v>328</v>
      </c>
      <c r="AJ131" s="3">
        <f>IF(ISERROR(VLOOKUP($A131,'SegEnds_NonXtal_BW#'!$A:$Z,25,FALSE)+VLOOKUP($A131,A:AL,37,FALSE)-50),"-",(VLOOKUP($A131,'SegEnds_NonXtal_BW#'!$A:$Z,25,FALSE)+VLOOKUP($A131,A:AL,37,FALSE)-50))</f>
        <v>329</v>
      </c>
      <c r="AK131" s="3">
        <v>332</v>
      </c>
      <c r="AL131" s="3">
        <f>IF(ISERROR((VLOOKUP($A131,'SegEnds_NonXtal_BW#'!$A:$Z,26,FALSE)+VLOOKUP($A131,A:AL,37,FALSE)-50)),"-",(VLOOKUP($A131,'SegEnds_NonXtal_BW#'!$A:$Z,26,FALSE)+VLOOKUP($A131,A:AL,37,FALSE)-50))</f>
        <v>343</v>
      </c>
      <c r="AM131" s="28" t="str">
        <f>VLOOKUP(A131,Classification!A:B,2,FALSE)</f>
        <v>A</v>
      </c>
      <c r="AN131" s="28" t="b">
        <f t="shared" si="72"/>
        <v>1</v>
      </c>
      <c r="AO131" s="3" t="str">
        <f>IF(ISERROR(MATCH(A131,'SegEnds_Xtal_Prot#'!B:B, 0)), "NoXtal", "Xtal")</f>
        <v>NoXtal</v>
      </c>
      <c r="AP131" s="3" t="str">
        <f t="shared" si="83"/>
        <v>-</v>
      </c>
      <c r="AQ131" s="3" t="str">
        <f t="shared" si="84"/>
        <v>-</v>
      </c>
      <c r="AR131" s="3">
        <f t="shared" si="85"/>
        <v>2</v>
      </c>
      <c r="AS131" s="3">
        <f t="shared" si="86"/>
        <v>1</v>
      </c>
      <c r="AT131" s="3">
        <f t="shared" si="87"/>
        <v>1</v>
      </c>
      <c r="AU131" s="3">
        <f t="shared" si="88"/>
        <v>1</v>
      </c>
      <c r="AV131" s="3">
        <f t="shared" si="89"/>
        <v>11</v>
      </c>
      <c r="AW131" s="3">
        <f t="shared" si="90"/>
        <v>1</v>
      </c>
      <c r="AX131" s="3">
        <f t="shared" si="91"/>
        <v>5</v>
      </c>
      <c r="AY131" s="3">
        <f t="shared" si="92"/>
        <v>4</v>
      </c>
      <c r="AZ131" s="3">
        <f t="shared" si="93"/>
        <v>1</v>
      </c>
      <c r="BA131" s="3">
        <f>IF(ISERROR(LEN(VLOOKUP(A131,Seqs!A:E,2,FALSE))-AL131),"-",LEN(VLOOKUP(A131,Seqs!A:E,2,FALSE))-AL131)</f>
        <v>24</v>
      </c>
      <c r="BB131" s="16">
        <f t="shared" si="94"/>
        <v>28</v>
      </c>
      <c r="BC131" s="9">
        <f t="shared" si="95"/>
        <v>20</v>
      </c>
      <c r="BD131" s="3">
        <f t="shared" si="96"/>
        <v>28</v>
      </c>
      <c r="BE131" s="3">
        <f t="shared" si="97"/>
        <v>46</v>
      </c>
      <c r="BF131" s="3">
        <f>AH131-AE131</f>
        <v>44</v>
      </c>
    </row>
    <row r="132" spans="1:58" s="3" customFormat="1" x14ac:dyDescent="0.2">
      <c r="A132" s="3" t="s">
        <v>241</v>
      </c>
      <c r="B132" s="3" t="str">
        <f>LOWER(VLOOKUP(A132,Xtal_Templ!A:B,2,FALSE))</f>
        <v>oprk_human</v>
      </c>
      <c r="C132" s="3">
        <f>VLOOKUP($A132,'SegEnds_NonXtal_BW#'!$A:$Z,3,FALSE)+D132-50</f>
        <v>20</v>
      </c>
      <c r="D132" s="3">
        <v>40</v>
      </c>
      <c r="E132" s="3">
        <f>IF(ISERROR(VLOOKUP($A132,'SegEnds_NonXtal_BW#'!$A:$Z,4,FALSE)+VLOOKUP($A132,A:AL,4,FALSE)-50),"-",(VLOOKUP($A132,'SegEnds_NonXtal_BW#'!$A:$Z,4,FALSE)+VLOOKUP($A132,A:AL,4,FALSE)-50))</f>
        <v>50</v>
      </c>
      <c r="F132" s="3" t="str">
        <f>IF(ISERROR(VLOOKUP($A132,'SegEnds_NonXtal_BW#'!$A:$Z,5,FALSE)+VLOOKUP($A132,A:AL,7,FALSE)-50),"-",(VLOOKUP($A132,'SegEnds_NonXtal_BW#'!$A:$Z,5,FALSE)+VLOOKUP($A132,A:AL,7,FALSE)-50))</f>
        <v>-</v>
      </c>
      <c r="G132" s="3" t="s">
        <v>23</v>
      </c>
      <c r="H132" s="3" t="str">
        <f>IF(ISERROR(VLOOKUP($A132,'SegEnds_NonXtal_BW#'!$A:$Z,6,FALSE)+VLOOKUP($A132,A:AL,7,FALSE)-50),"-",(VLOOKUP($A132,'SegEnds_NonXtal_BW#'!$A:$Z,6,FALSE)+VLOOKUP($A132,A:AL,7,FALSE)-50))</f>
        <v>-</v>
      </c>
      <c r="I132" s="3">
        <f>VLOOKUP($A132,'SegEnds_NonXtal_BW#'!$A:$Z,7,FALSE)+J132-50</f>
        <v>55</v>
      </c>
      <c r="J132" s="3">
        <v>68</v>
      </c>
      <c r="K132" s="3">
        <f>VLOOKUP($A132,'SegEnds_NonXtal_BW#'!$A:$Z,8,FALSE)+VLOOKUP($A132,A:AL,10,FALSE)-50</f>
        <v>84</v>
      </c>
      <c r="L132" s="3">
        <f t="shared" si="80"/>
        <v>86</v>
      </c>
      <c r="M132" s="3">
        <v>87</v>
      </c>
      <c r="N132" s="3">
        <f t="shared" si="81"/>
        <v>89</v>
      </c>
      <c r="O132" s="3">
        <f t="shared" si="82"/>
        <v>90</v>
      </c>
      <c r="P132" s="3">
        <v>119</v>
      </c>
      <c r="Q132" s="3">
        <f>VLOOKUP($A132,'SegEnds_NonXtal_BW#'!$A:$Z,12,FALSE)+VLOOKUP($A132,A:AL,16,FALSE)-50</f>
        <v>125</v>
      </c>
      <c r="R132" s="3">
        <f>IF(ISERROR(VLOOKUP($A132,'SegEnds_NonXtal_BW#'!$A:$Z,13,FALSE)+VLOOKUP($A132,A:AL,19,FALSE)-50),"-",VLOOKUP($A132,'SegEnds_NonXtal_BW#'!$A:$Z,13,FALSE)+VLOOKUP($A132,A:AL,19,FALSE)-50)</f>
        <v>126</v>
      </c>
      <c r="S132" s="3">
        <v>126</v>
      </c>
      <c r="T132" s="103">
        <f>IF(ISERROR(VLOOKUP($A132,'SegEnds_NonXtal_BW#'!$A:$Z,14,FALSE)+VLOOKUP($A132,A:AL,19,FALSE)-50),"-",(VLOOKUP($A132,'SegEnds_NonXtal_BW#'!$A:$Z,14,FALSE)+VLOOKUP($A132,A:AL,19,FALSE)-50))</f>
        <v>133</v>
      </c>
      <c r="U132" s="9">
        <f>IF(ISERROR(VLOOKUP($A132,'SegEnds_NonXtal_BW#'!$A:$Z,15,FALSE)+VLOOKUP($A132,A:AL,22,FALSE)-50),"-",VLOOKUP($A132,'SegEnds_NonXtal_BW#'!$A:$Z,15,FALSE)+VLOOKUP($A132,A:AL,22,FALSE)-50)</f>
        <v>134</v>
      </c>
      <c r="V132" s="3">
        <v>146</v>
      </c>
      <c r="W132" s="3">
        <f>IF(ISERROR(VLOOKUP($A132,'SegEnds_NonXtal_BW#'!$A:$Z,16,FALSE)+VLOOKUP($A132,A:AL,22,FALSE)-50),"-",(VLOOKUP($A132,'SegEnds_NonXtal_BW#'!$A:$Z,16,FALSE)+VLOOKUP($A132,A:AL,22,FALSE)-50))</f>
        <v>160</v>
      </c>
      <c r="X132" s="3">
        <f>IF(ISERROR(VLOOKUP($A132,'SegEnds_NonXtal_BW#'!$A:$Z,17,FALSE)+VLOOKUP($A132,A:AL,25,FALSE)-50),"-",(VLOOKUP($A132,'SegEnds_NonXtal_BW#'!$A:$Z,17,FALSE)+VLOOKUP($A132,A:AL,25,FALSE)-50))</f>
        <v>172</v>
      </c>
      <c r="Y132" s="3">
        <v>172</v>
      </c>
      <c r="Z132" s="3">
        <f>Y132+2</f>
        <v>174</v>
      </c>
      <c r="AA132" s="3">
        <f>IF(ISERROR(VLOOKUP($A132,'SegEnds_NonXtal_BW#'!$A:$Z,19,FALSE)+VLOOKUP($A132,A:AL,28,FALSE)-50),"-",(VLOOKUP($A132,'SegEnds_NonXtal_BW#'!$A:$Z,19,FALSE)+VLOOKUP($A132,A:AL,28,FALSE)-50))</f>
        <v>180</v>
      </c>
      <c r="AB132" s="3">
        <v>199</v>
      </c>
      <c r="AC132" s="3">
        <f>IF(ISERROR((VLOOKUP($A132,'SegEnds_NonXtal_BW#'!$A:$Z,20,FALSE)+VLOOKUP($A132,A:AL,28,FALSE)-50)),"-",(VLOOKUP($A132,'SegEnds_NonXtal_BW#'!$A:$Z,20,FALSE)+VLOOKUP($A132,A:AL,28,FALSE)-50))</f>
        <v>217</v>
      </c>
      <c r="AD132" s="3">
        <f>IF(ISERROR(VLOOKUP($A132,'SegEnds_NonXtal_BW#'!$A:$Z,21,FALSE)+VLOOKUP($A132,A:AL,31,FALSE)-50),"-",(VLOOKUP($A132,'SegEnds_NonXtal_BW#'!$A:$Z,21,FALSE)+VLOOKUP($A132,A:AL,31,FALSE)-50))</f>
        <v>221</v>
      </c>
      <c r="AE132" s="3">
        <v>247</v>
      </c>
      <c r="AF132" s="3">
        <f>IF(ISERROR((VLOOKUP($A132,'SegEnds_NonXtal_BW#'!$A:$Z,22,FALSE)+VLOOKUP($A132,A:AL,31,FALSE)-50)),"-",(VLOOKUP($A132,'SegEnds_NonXtal_BW#'!$A:$Z,22,FALSE)+VLOOKUP($A132,A:AL,31,FALSE)-50))</f>
        <v>258</v>
      </c>
      <c r="AG132" s="3">
        <f>IF(ISERROR(VLOOKUP($A132,'SegEnds_NonXtal_BW#'!$A:$Z,23,FALSE)+VLOOKUP($A132,A:AL,34,FALSE)-50),"-",(VLOOKUP($A132,'SegEnds_NonXtal_BW#'!$A:$Z,23,FALSE)+VLOOKUP($A132,A:AL,34,FALSE)-50))</f>
        <v>264</v>
      </c>
      <c r="AH132" s="3">
        <v>283</v>
      </c>
      <c r="AI132" s="3">
        <f>IF(ISERROR((VLOOKUP($A132,'SegEnds_NonXtal_BW#'!$A:$Z,24,FALSE)+VLOOKUP($A132,A:AL,34,FALSE)-50)),"-",(VLOOKUP($A132,'SegEnds_NonXtal_BW#'!$A:$Z,24,FALSE)+VLOOKUP($A132,A:AL,34,FALSE)-50))</f>
        <v>289</v>
      </c>
      <c r="AJ132" s="3">
        <f>IF(ISERROR(VLOOKUP($A132,'SegEnds_NonXtal_BW#'!$A:$Z,25,FALSE)+VLOOKUP($A132,A:AL,37,FALSE)-50),"-",(VLOOKUP($A132,'SegEnds_NonXtal_BW#'!$A:$Z,25,FALSE)+VLOOKUP($A132,A:AL,37,FALSE)-50))</f>
        <v>290</v>
      </c>
      <c r="AK132" s="3">
        <v>293</v>
      </c>
      <c r="AL132" s="3">
        <f>IF(ISERROR((VLOOKUP($A132,'SegEnds_NonXtal_BW#'!$A:$Z,26,FALSE)+VLOOKUP($A132,A:AL,37,FALSE)-50)),"-",(VLOOKUP($A132,'SegEnds_NonXtal_BW#'!$A:$Z,26,FALSE)+VLOOKUP($A132,A:AL,37,FALSE)-50))</f>
        <v>302</v>
      </c>
      <c r="AM132" s="28" t="str">
        <f>VLOOKUP(A132,Classification!A:B,2,FALSE)</f>
        <v>A</v>
      </c>
      <c r="AN132" s="28" t="b">
        <f t="shared" si="72"/>
        <v>1</v>
      </c>
      <c r="AO132" s="3" t="str">
        <f>IF(ISERROR(MATCH(A132,'SegEnds_Xtal_Prot#'!B:B, 0)), "NoXtal", "Xtal")</f>
        <v>NoXtal</v>
      </c>
      <c r="AP132" s="3" t="str">
        <f t="shared" si="83"/>
        <v>-</v>
      </c>
      <c r="AQ132" s="3" t="str">
        <f t="shared" si="84"/>
        <v>-</v>
      </c>
      <c r="AR132" s="3">
        <f t="shared" si="85"/>
        <v>2</v>
      </c>
      <c r="AS132" s="3">
        <f t="shared" si="86"/>
        <v>1</v>
      </c>
      <c r="AT132" s="3">
        <f t="shared" si="87"/>
        <v>1</v>
      </c>
      <c r="AU132" s="3">
        <f t="shared" si="88"/>
        <v>1</v>
      </c>
      <c r="AV132" s="3">
        <f t="shared" si="89"/>
        <v>12</v>
      </c>
      <c r="AW132" s="3">
        <f t="shared" si="90"/>
        <v>6</v>
      </c>
      <c r="AX132" s="3">
        <f t="shared" si="91"/>
        <v>4</v>
      </c>
      <c r="AY132" s="3">
        <f t="shared" si="92"/>
        <v>6</v>
      </c>
      <c r="AZ132" s="3">
        <f t="shared" si="93"/>
        <v>1</v>
      </c>
      <c r="BA132" s="3">
        <f>IF(ISERROR(LEN(VLOOKUP(A132,Seqs!A:E,2,FALSE))-AL132),"-",LEN(VLOOKUP(A132,Seqs!A:E,2,FALSE))-AL132)</f>
        <v>29</v>
      </c>
      <c r="BB132" s="16">
        <f t="shared" si="94"/>
        <v>28</v>
      </c>
      <c r="BC132" s="9">
        <f t="shared" si="95"/>
        <v>20</v>
      </c>
      <c r="BD132" s="3">
        <f t="shared" si="96"/>
        <v>28</v>
      </c>
      <c r="BE132" s="3">
        <f t="shared" si="97"/>
        <v>48</v>
      </c>
      <c r="BF132" s="3">
        <f>AH132-AE132</f>
        <v>36</v>
      </c>
    </row>
    <row r="133" spans="1:58" s="3" customFormat="1" x14ac:dyDescent="0.2">
      <c r="A133" s="3" t="s">
        <v>243</v>
      </c>
      <c r="B133" s="3" t="str">
        <f>LOWER(VLOOKUP(A133,Xtal_Templ!A:B,2,FALSE))</f>
        <v>oprk_human</v>
      </c>
      <c r="C133" s="3">
        <f>VLOOKUP($A133,'SegEnds_NonXtal_BW#'!$A:$Z,3,FALSE)+D133-50</f>
        <v>51</v>
      </c>
      <c r="D133" s="3">
        <v>71</v>
      </c>
      <c r="E133" s="3">
        <f>IF(ISERROR(VLOOKUP($A133,'SegEnds_NonXtal_BW#'!$A:$Z,4,FALSE)+VLOOKUP($A133,A:AL,4,FALSE)-50),"-",(VLOOKUP($A133,'SegEnds_NonXtal_BW#'!$A:$Z,4,FALSE)+VLOOKUP($A133,A:AL,4,FALSE)-50))</f>
        <v>81</v>
      </c>
      <c r="F133" s="3">
        <f t="shared" ref="F133:F138" si="98">G133-2</f>
        <v>82</v>
      </c>
      <c r="G133" s="3">
        <v>84</v>
      </c>
      <c r="H133" s="3">
        <f t="shared" ref="H133:I138" si="99">G133+1</f>
        <v>85</v>
      </c>
      <c r="I133" s="3">
        <f t="shared" si="99"/>
        <v>86</v>
      </c>
      <c r="J133" s="3">
        <v>99</v>
      </c>
      <c r="K133" s="3">
        <f>VLOOKUP($A133,'SegEnds_NonXtal_BW#'!$A:$Z,8,FALSE)+VLOOKUP($A133,A:AL,10,FALSE)-50</f>
        <v>115</v>
      </c>
      <c r="L133" s="3" t="str">
        <f>IF(ISERROR(VLOOKUP($A133,'SegEnds_NonXtal_BW#'!$A:$Z,9,FALSE)+VLOOKUP($A133,A:AL,13,FALSE)-50),"-",(VLOOKUP($A133,'SegEnds_NonXtal_BW#'!$A:$Z,9,FALSE)+VLOOKUP($A133,A:AL,13,FALSE)-50))</f>
        <v>-</v>
      </c>
      <c r="M133" s="3" t="s">
        <v>23</v>
      </c>
      <c r="N133" s="3" t="str">
        <f>IF(ISERROR(VLOOKUP($A133,'SegEnds_NonXtal_BW#'!$A:$Z,10,FALSE)+VLOOKUP($A133,A:AL,13,FALSE)-50),"-",(VLOOKUP($A133,'SegEnds_NonXtal_BW#'!$A:$Z,10,FALSE)+VLOOKUP($A133,A:AL,13,FALSE)-50))</f>
        <v>-</v>
      </c>
      <c r="O133" s="3">
        <f>VLOOKUP($A133,'SegEnds_NonXtal_BW#'!$A:$Z,11,FALSE)+VLOOKUP($A133,A:AL,16,FALSE)-50</f>
        <v>122</v>
      </c>
      <c r="P133" s="3">
        <v>148</v>
      </c>
      <c r="Q133" s="3">
        <f>VLOOKUP($A133,'SegEnds_NonXtal_BW#'!$A:$Z,12,FALSE)+VLOOKUP($A133,A:AL,16,FALSE)-50</f>
        <v>154</v>
      </c>
      <c r="R133" s="3">
        <f>IF(ISERROR(VLOOKUP($A133,'SegEnds_NonXtal_BW#'!$A:$Z,13,FALSE)+VLOOKUP($A133,A:AL,19,FALSE)-50),"-",VLOOKUP($A133,'SegEnds_NonXtal_BW#'!$A:$Z,13,FALSE)+VLOOKUP($A133,A:AL,19,FALSE)-50)</f>
        <v>155</v>
      </c>
      <c r="S133" s="3">
        <v>155</v>
      </c>
      <c r="T133" s="103">
        <f>IF(ISERROR(VLOOKUP($A133,'SegEnds_NonXtal_BW#'!$A:$Z,14,FALSE)+VLOOKUP($A133,A:AL,19,FALSE)-50),"-",(VLOOKUP($A133,'SegEnds_NonXtal_BW#'!$A:$Z,14,FALSE)+VLOOKUP($A133,A:AL,19,FALSE)-50))</f>
        <v>162</v>
      </c>
      <c r="U133" s="9">
        <f>IF(ISERROR(VLOOKUP($A133,'SegEnds_NonXtal_BW#'!$A:$Z,15,FALSE)+VLOOKUP($A133,A:AL,22,FALSE)-50),"-",VLOOKUP($A133,'SegEnds_NonXtal_BW#'!$A:$Z,15,FALSE)+VLOOKUP($A133,A:AL,22,FALSE)-50)</f>
        <v>163</v>
      </c>
      <c r="V133" s="3">
        <v>175</v>
      </c>
      <c r="W133" s="3">
        <f>IF(ISERROR(VLOOKUP($A133,'SegEnds_NonXtal_BW#'!$A:$Z,16,FALSE)+VLOOKUP($A133,A:AL,22,FALSE)-50),"-",(VLOOKUP($A133,'SegEnds_NonXtal_BW#'!$A:$Z,16,FALSE)+VLOOKUP($A133,A:AL,22,FALSE)-50))</f>
        <v>189</v>
      </c>
      <c r="X133" s="3" t="str">
        <f>IF(ISERROR(VLOOKUP($A133,'SegEnds_NonXtal_BW#'!$A:$Z,17,FALSE)+VLOOKUP($A133,A:AL,25,FALSE)-50),"-",(VLOOKUP($A133,'SegEnds_NonXtal_BW#'!$A:$Z,17,FALSE)+VLOOKUP($A133,A:AL,25,FALSE)-50))</f>
        <v>-</v>
      </c>
      <c r="Y133" s="3" t="s">
        <v>23</v>
      </c>
      <c r="Z133" s="3" t="str">
        <f>IF(ISERROR(VLOOKUP($A133,'SegEnds_NonXtal_BW#'!$A:$Z,18,FALSE)+VLOOKUP($A133,A:AL,25,FALSE)-50),"-",(VLOOKUP($A133,'SegEnds_NonXtal_BW#'!$A:$Z,18,FALSE)+VLOOKUP($A133,A:AL,25,FALSE)-50))</f>
        <v>-</v>
      </c>
      <c r="AA133" s="3">
        <f>IF(ISERROR(VLOOKUP($A133,'SegEnds_NonXtal_BW#'!$A:$Z,19,FALSE)+VLOOKUP($A133,A:AL,28,FALSE)-50),"-",(VLOOKUP($A133,'SegEnds_NonXtal_BW#'!$A:$Z,19,FALSE)+VLOOKUP($A133,A:AL,28,FALSE)-50))</f>
        <v>196</v>
      </c>
      <c r="AB133" s="3">
        <v>208</v>
      </c>
      <c r="AC133" s="3">
        <f>IF(ISERROR((VLOOKUP($A133,'SegEnds_NonXtal_BW#'!$A:$Z,20,FALSE)+VLOOKUP($A133,A:AL,28,FALSE)-50)),"-",(VLOOKUP($A133,'SegEnds_NonXtal_BW#'!$A:$Z,20,FALSE)+VLOOKUP($A133,A:AL,28,FALSE)-50))</f>
        <v>226</v>
      </c>
      <c r="AD133" s="3">
        <f>IF(ISERROR(VLOOKUP($A133,'SegEnds_NonXtal_BW#'!$A:$Z,21,FALSE)+VLOOKUP($A133,A:AL,31,FALSE)-50),"-",(VLOOKUP($A133,'SegEnds_NonXtal_BW#'!$A:$Z,21,FALSE)+VLOOKUP($A133,A:AL,31,FALSE)-50))</f>
        <v>230</v>
      </c>
      <c r="AE133" s="3">
        <v>256</v>
      </c>
      <c r="AF133" s="3">
        <f>IF(ISERROR((VLOOKUP($A133,'SegEnds_NonXtal_BW#'!$A:$Z,22,FALSE)+VLOOKUP($A133,A:AL,31,FALSE)-50)),"-",(VLOOKUP($A133,'SegEnds_NonXtal_BW#'!$A:$Z,22,FALSE)+VLOOKUP($A133,A:AL,31,FALSE)-50))</f>
        <v>267</v>
      </c>
      <c r="AG133" s="3">
        <f>IF(ISERROR(VLOOKUP($A133,'SegEnds_NonXtal_BW#'!$A:$Z,23,FALSE)+VLOOKUP($A133,A:AL,34,FALSE)-50),"-",(VLOOKUP($A133,'SegEnds_NonXtal_BW#'!$A:$Z,23,FALSE)+VLOOKUP($A133,A:AL,34,FALSE)-50))</f>
        <v>272</v>
      </c>
      <c r="AH133" s="3">
        <v>294</v>
      </c>
      <c r="AI133" s="3">
        <f>IF(ISERROR((VLOOKUP($A133,'SegEnds_NonXtal_BW#'!$A:$Z,24,FALSE)+VLOOKUP($A133,A:AL,34,FALSE)-50)),"-",(VLOOKUP($A133,'SegEnds_NonXtal_BW#'!$A:$Z,24,FALSE)+VLOOKUP($A133,A:AL,34,FALSE)-50))</f>
        <v>300</v>
      </c>
      <c r="AJ133" s="3">
        <f>IF(ISERROR(VLOOKUP($A133,'SegEnds_NonXtal_BW#'!$A:$Z,25,FALSE)+VLOOKUP($A133,A:AL,37,FALSE)-50),"-",(VLOOKUP($A133,'SegEnds_NonXtal_BW#'!$A:$Z,25,FALSE)+VLOOKUP($A133,A:AL,37,FALSE)-50))</f>
        <v>301</v>
      </c>
      <c r="AK133" s="3">
        <v>304</v>
      </c>
      <c r="AL133" s="3">
        <f>IF(ISERROR((VLOOKUP($A133,'SegEnds_NonXtal_BW#'!$A:$Z,26,FALSE)+VLOOKUP($A133,A:AL,37,FALSE)-50)),"-",(VLOOKUP($A133,'SegEnds_NonXtal_BW#'!$A:$Z,26,FALSE)+VLOOKUP($A133,A:AL,37,FALSE)-50))</f>
        <v>313</v>
      </c>
      <c r="AM133" s="28" t="str">
        <f>VLOOKUP(A133,Classification!A:B,2,FALSE)</f>
        <v>A</v>
      </c>
      <c r="AN133" s="28" t="b">
        <f>AND(IF(Y133="-",IF(AA133-W133&gt;3,TRUE,FALSE),TRUE),IF(M133="-",IF(O133-K133&gt;3,TRUE,FALSE),TRUE),C133&lt;E133,OR(E133&lt;F133,F133="-"),OR(F133&lt;H133,F133="-"),OR(H133&lt;I133,H133="-"),I133&lt;K133,OR(K133&lt;L133,L133="-"),OR(L133&lt;N133,L133="-"),OR(N133&lt;O133,N133="-"),O133&lt;Q133,OR(Q133&lt;R133,R133="-"),OR(R133&lt;T133,R133="-"),OR(T133&lt;U133,T133="-"),U133&lt;W133,OR(W133&lt;X133,X133="-"),OR(X133&lt;Z133,X133="-"),OR(Z133&lt;AA133,Z133="-"),AA133&lt;AC133,AC133&lt;AD133,AD133&lt;AF133,AF133&lt;AG133,AG133&lt;AI133,OR(AI133&lt;AJ133,AJ133="-"),OR(AJ133&lt;AL133,AJ133="-"))</f>
        <v>1</v>
      </c>
      <c r="AO133" s="3" t="str">
        <f>IF(ISERROR(MATCH(A133,'SegEnds_Xtal_Prot#'!B:B, 0)), "NoXtal", "Xtal")</f>
        <v>NoXtal</v>
      </c>
      <c r="AP133" s="3">
        <f t="shared" si="83"/>
        <v>1</v>
      </c>
      <c r="AQ133" s="3">
        <f t="shared" si="84"/>
        <v>1</v>
      </c>
      <c r="AR133" s="3" t="str">
        <f t="shared" si="85"/>
        <v>-</v>
      </c>
      <c r="AS133" s="3" t="str">
        <f t="shared" si="86"/>
        <v>-</v>
      </c>
      <c r="AT133" s="3">
        <f t="shared" si="87"/>
        <v>1</v>
      </c>
      <c r="AU133" s="3">
        <f t="shared" si="88"/>
        <v>1</v>
      </c>
      <c r="AV133" s="3" t="str">
        <f t="shared" si="89"/>
        <v>-</v>
      </c>
      <c r="AW133" s="3" t="str">
        <f t="shared" si="90"/>
        <v>-</v>
      </c>
      <c r="AX133" s="3">
        <f t="shared" si="91"/>
        <v>4</v>
      </c>
      <c r="AY133" s="3">
        <f t="shared" si="92"/>
        <v>5</v>
      </c>
      <c r="AZ133" s="3">
        <f t="shared" si="93"/>
        <v>1</v>
      </c>
      <c r="BA133" s="3">
        <f>IF(ISERROR(LEN(VLOOKUP(A133,Seqs!A:E,2,FALSE))-AL133),"-",LEN(VLOOKUP(A133,Seqs!A:E,2,FALSE))-AL133)</f>
        <v>45</v>
      </c>
      <c r="BB133" s="16">
        <f t="shared" si="94"/>
        <v>28</v>
      </c>
      <c r="BC133" s="9">
        <f t="shared" si="95"/>
        <v>20</v>
      </c>
      <c r="BD133" s="3">
        <f t="shared" si="96"/>
        <v>28</v>
      </c>
      <c r="BE133" s="3">
        <f t="shared" si="97"/>
        <v>48</v>
      </c>
    </row>
    <row r="134" spans="1:58" s="3" customFormat="1" x14ac:dyDescent="0.2">
      <c r="A134" s="3" t="s">
        <v>244</v>
      </c>
      <c r="B134" s="3" t="str">
        <f>LOWER(VLOOKUP(A134,Xtal_Templ!A:B,2,FALSE))</f>
        <v>5ht2b_human</v>
      </c>
      <c r="C134" s="3">
        <f>VLOOKUP($A134,'SegEnds_NonXtal_BW#'!$A:$Z,3,FALSE)+D134-50</f>
        <v>28</v>
      </c>
      <c r="D134" s="3">
        <v>46</v>
      </c>
      <c r="E134" s="3">
        <f>IF(ISERROR(VLOOKUP($A134,'SegEnds_NonXtal_BW#'!$A:$Z,4,FALSE)+VLOOKUP($A134,A:AL,4,FALSE)-50),"-",(VLOOKUP($A134,'SegEnds_NonXtal_BW#'!$A:$Z,4,FALSE)+VLOOKUP($A134,A:AL,4,FALSE)-50))</f>
        <v>56</v>
      </c>
      <c r="F134" s="3">
        <f t="shared" si="98"/>
        <v>57</v>
      </c>
      <c r="G134" s="3">
        <v>59</v>
      </c>
      <c r="H134" s="3">
        <f t="shared" si="99"/>
        <v>60</v>
      </c>
      <c r="I134" s="3">
        <f t="shared" si="99"/>
        <v>61</v>
      </c>
      <c r="J134" s="3">
        <v>75</v>
      </c>
      <c r="K134" s="3">
        <f>VLOOKUP($A134,'SegEnds_NonXtal_BW#'!$A:$Z,8,FALSE)+VLOOKUP($A134,A:AL,10,FALSE)-50</f>
        <v>91</v>
      </c>
      <c r="L134" s="3" t="str">
        <f>IF(ISERROR(VLOOKUP($A134,'SegEnds_NonXtal_BW#'!$A:$Z,9,FALSE)+VLOOKUP($A134,A:AL,13,FALSE)-50),"-",(VLOOKUP($A134,'SegEnds_NonXtal_BW#'!$A:$Z,9,FALSE)+VLOOKUP($A134,A:AL,13,FALSE)-50))</f>
        <v>-</v>
      </c>
      <c r="M134" s="3" t="s">
        <v>23</v>
      </c>
      <c r="N134" s="3" t="str">
        <f>IF(ISERROR(VLOOKUP($A134,'SegEnds_NonXtal_BW#'!$A:$Z,10,FALSE)+VLOOKUP($A134,A:AL,13,FALSE)-50),"-",(VLOOKUP($A134,'SegEnds_NonXtal_BW#'!$A:$Z,10,FALSE)+VLOOKUP($A134,A:AL,13,FALSE)-50))</f>
        <v>-</v>
      </c>
      <c r="O134" s="3">
        <f>VLOOKUP($A134,'SegEnds_NonXtal_BW#'!$A:$Z,11,FALSE)+VLOOKUP($A134,A:AL,16,FALSE)-50</f>
        <v>95</v>
      </c>
      <c r="P134" s="3">
        <v>127</v>
      </c>
      <c r="Q134" s="3">
        <f>VLOOKUP($A134,'SegEnds_NonXtal_BW#'!$A:$Z,12,FALSE)+VLOOKUP($A134,A:AL,16,FALSE)-50</f>
        <v>133</v>
      </c>
      <c r="R134" s="3">
        <f>IF(ISERROR(VLOOKUP($A134,'SegEnds_NonXtal_BW#'!$A:$Z,13,FALSE)+VLOOKUP($A134,A:AL,19,FALSE)-50),"-",VLOOKUP($A134,'SegEnds_NonXtal_BW#'!$A:$Z,13,FALSE)+VLOOKUP($A134,A:AL,19,FALSE)-50)</f>
        <v>134</v>
      </c>
      <c r="S134" s="3">
        <v>134</v>
      </c>
      <c r="T134" s="103">
        <f>IF(ISERROR(VLOOKUP($A134,'SegEnds_NonXtal_BW#'!$A:$Z,14,FALSE)+VLOOKUP($A134,A:AL,19,FALSE)-50),"-",(VLOOKUP($A134,'SegEnds_NonXtal_BW#'!$A:$Z,14,FALSE)+VLOOKUP($A134,A:AL,19,FALSE)-50))</f>
        <v>141</v>
      </c>
      <c r="U134" s="9">
        <f>IF(ISERROR(VLOOKUP($A134,'SegEnds_NonXtal_BW#'!$A:$Z,15,FALSE)+VLOOKUP($A134,A:AL,22,FALSE)-50),"-",VLOOKUP($A134,'SegEnds_NonXtal_BW#'!$A:$Z,15,FALSE)+VLOOKUP($A134,A:AL,22,FALSE)-50)</f>
        <v>142</v>
      </c>
      <c r="V134" s="3">
        <v>154</v>
      </c>
      <c r="W134" s="3">
        <f>IF(ISERROR(VLOOKUP($A134,'SegEnds_NonXtal_BW#'!$A:$Z,16,FALSE)+VLOOKUP($A134,A:AL,22,FALSE)-50),"-",(VLOOKUP($A134,'SegEnds_NonXtal_BW#'!$A:$Z,16,FALSE)+VLOOKUP($A134,A:AL,22,FALSE)-50))</f>
        <v>168</v>
      </c>
      <c r="X134" s="3">
        <f>IF(ISERROR(VLOOKUP($A134,'SegEnds_NonXtal_BW#'!$A:$Z,17,FALSE)+VLOOKUP($A134,A:AL,25,FALSE)-50),"-",(VLOOKUP($A134,'SegEnds_NonXtal_BW#'!$A:$Z,17,FALSE)+VLOOKUP($A134,A:AL,25,FALSE)-50))</f>
        <v>181</v>
      </c>
      <c r="Y134" s="3">
        <v>181</v>
      </c>
      <c r="Z134" s="3">
        <f>Y134+2</f>
        <v>183</v>
      </c>
      <c r="AA134" s="3">
        <f>IF(ISERROR(VLOOKUP($A134,'SegEnds_NonXtal_BW#'!$A:$Z,19,FALSE)+VLOOKUP($A134,A:AL,28,FALSE)-50),"-",(VLOOKUP($A134,'SegEnds_NonXtal_BW#'!$A:$Z,19,FALSE)+VLOOKUP($A134,A:AL,28,FALSE)-50))</f>
        <v>187</v>
      </c>
      <c r="AB134" s="3">
        <v>202</v>
      </c>
      <c r="AC134" s="3">
        <f>IF(ISERROR((VLOOKUP($A134,'SegEnds_NonXtal_BW#'!$A:$Z,20,FALSE)+VLOOKUP($A134,A:AL,28,FALSE)-50)),"-",(VLOOKUP($A134,'SegEnds_NonXtal_BW#'!$A:$Z,20,FALSE)+VLOOKUP($A134,A:AL,28,FALSE)-50))</f>
        <v>226</v>
      </c>
      <c r="AD134" s="3">
        <f>IF(ISERROR(VLOOKUP($A134,'SegEnds_NonXtal_BW#'!$A:$Z,21,FALSE)+VLOOKUP($A134,A:AL,31,FALSE)-50),"-",(VLOOKUP($A134,'SegEnds_NonXtal_BW#'!$A:$Z,21,FALSE)+VLOOKUP($A134,A:AL,31,FALSE)-50))</f>
        <v>238</v>
      </c>
      <c r="AE134" s="3">
        <v>267</v>
      </c>
      <c r="AF134" s="3">
        <f>IF(ISERROR((VLOOKUP($A134,'SegEnds_NonXtal_BW#'!$A:$Z,22,FALSE)+VLOOKUP($A134,A:AL,31,FALSE)-50)),"-",(VLOOKUP($A134,'SegEnds_NonXtal_BW#'!$A:$Z,22,FALSE)+VLOOKUP($A134,A:AL,31,FALSE)-50))</f>
        <v>278</v>
      </c>
      <c r="AG134" s="3">
        <f>IF(ISERROR(VLOOKUP($A134,'SegEnds_NonXtal_BW#'!$A:$Z,23,FALSE)+VLOOKUP($A134,A:AL,34,FALSE)-50),"-",(VLOOKUP($A134,'SegEnds_NonXtal_BW#'!$A:$Z,23,FALSE)+VLOOKUP($A134,A:AL,34,FALSE)-50))</f>
        <v>283</v>
      </c>
      <c r="AH134" s="3">
        <v>301</v>
      </c>
      <c r="AI134" s="3">
        <f>IF(ISERROR((VLOOKUP($A134,'SegEnds_NonXtal_BW#'!$A:$Z,24,FALSE)+VLOOKUP($A134,A:AL,34,FALSE)-50)),"-",(VLOOKUP($A134,'SegEnds_NonXtal_BW#'!$A:$Z,24,FALSE)+VLOOKUP($A134,A:AL,34,FALSE)-50))</f>
        <v>307</v>
      </c>
      <c r="AJ134" s="3">
        <f>IF(ISERROR(VLOOKUP($A134,'SegEnds_NonXtal_BW#'!$A:$Z,25,FALSE)+VLOOKUP($A134,A:AL,37,FALSE)-50),"-",(VLOOKUP($A134,'SegEnds_NonXtal_BW#'!$A:$Z,25,FALSE)+VLOOKUP($A134,A:AL,37,FALSE)-50))</f>
        <v>308</v>
      </c>
      <c r="AK134" s="3">
        <v>311</v>
      </c>
      <c r="AL134" s="3">
        <f>IF(ISERROR((VLOOKUP($A134,'SegEnds_NonXtal_BW#'!$A:$Z,26,FALSE)+VLOOKUP($A134,A:AL,37,FALSE)-50)),"-",(VLOOKUP($A134,'SegEnds_NonXtal_BW#'!$A:$Z,26,FALSE)+VLOOKUP($A134,A:AL,37,FALSE)-50))</f>
        <v>319</v>
      </c>
      <c r="AM134" s="28" t="str">
        <f>VLOOKUP(A134,Classification!A:B,2,FALSE)</f>
        <v>A</v>
      </c>
      <c r="AN134" s="28" t="b">
        <f t="shared" ref="AN134:AN197" si="100">AND(IF(Y134="-",IF(AA134-W134&gt;3,TRUE,FALSE),TRUE),IF(M134="-",IF(O134-K134&gt;3,TRUE,FALSE),TRUE),C134&lt;E134,OR(E134&lt;F134,F134="-"),OR(F134&lt;H134,F134="-"),OR(H134&lt;I134,H134="-"),I134&lt;K134,OR(K134&lt;L134,L134="-"),OR(L134&lt;N134,L134="-"),OR(N134&lt;O134,N134="-"),O134&lt;Q134,OR(Q134&lt;R134,R134="-"),OR(R134&lt;T134,R134="-"),OR(T134&lt;U134,T134="-"),U134&lt;W134,OR(W134&lt;X134,X134="-"),OR(X134&lt;Z134,X134="-"),OR(Z134&lt;AA134,Z134="-"),AA134&lt;AC134,AC134&lt;AD134,AD134&lt;AF134,AF134&lt;AG134,AG134&lt;AI134,OR(AI134&lt;AJ134,AJ134="-"),OR(AJ134&lt;AL134,AJ134="-"))</f>
        <v>1</v>
      </c>
      <c r="AO134" s="3" t="str">
        <f>IF(ISERROR(MATCH(A134,'SegEnds_Xtal_Prot#'!B:B, 0)), "NoXtal", "Xtal")</f>
        <v>NoXtal</v>
      </c>
      <c r="AP134" s="3">
        <f t="shared" si="83"/>
        <v>1</v>
      </c>
      <c r="AQ134" s="3">
        <f t="shared" si="84"/>
        <v>1</v>
      </c>
      <c r="AR134" s="3" t="str">
        <f t="shared" si="85"/>
        <v>-</v>
      </c>
      <c r="AS134" s="3" t="str">
        <f t="shared" si="86"/>
        <v>-</v>
      </c>
      <c r="AT134" s="3">
        <f t="shared" si="87"/>
        <v>1</v>
      </c>
      <c r="AU134" s="3">
        <f t="shared" si="88"/>
        <v>1</v>
      </c>
      <c r="AV134" s="3">
        <f t="shared" si="89"/>
        <v>13</v>
      </c>
      <c r="AW134" s="3">
        <f t="shared" si="90"/>
        <v>4</v>
      </c>
      <c r="AX134" s="3">
        <f t="shared" si="91"/>
        <v>12</v>
      </c>
      <c r="AY134" s="3">
        <f t="shared" si="92"/>
        <v>5</v>
      </c>
      <c r="AZ134" s="3">
        <f t="shared" si="93"/>
        <v>1</v>
      </c>
      <c r="BA134" s="3">
        <f>IF(ISERROR(LEN(VLOOKUP(A134,Seqs!A:E,2,FALSE))-AL134),"-",LEN(VLOOKUP(A134,Seqs!A:E,2,FALSE))-AL134)</f>
        <v>30</v>
      </c>
      <c r="BB134" s="16">
        <f t="shared" si="94"/>
        <v>29</v>
      </c>
      <c r="BC134" s="9">
        <f t="shared" si="95"/>
        <v>20</v>
      </c>
      <c r="BD134" s="3">
        <f t="shared" si="96"/>
        <v>29</v>
      </c>
      <c r="BE134" s="3">
        <f t="shared" si="97"/>
        <v>65</v>
      </c>
    </row>
    <row r="135" spans="1:58" s="3" customFormat="1" x14ac:dyDescent="0.2">
      <c r="A135" s="3" t="s">
        <v>246</v>
      </c>
      <c r="B135" s="3" t="str">
        <f>LOWER(VLOOKUP(A135,Xtal_Templ!A:B,2,FALSE))</f>
        <v>agtr1_human</v>
      </c>
      <c r="C135" s="3">
        <f>VLOOKUP($A135,'SegEnds_NonXtal_BW#'!$A:$Z,3,FALSE)+D135-50</f>
        <v>37</v>
      </c>
      <c r="D135" s="3">
        <v>57</v>
      </c>
      <c r="E135" s="3">
        <f>IF(ISERROR(VLOOKUP($A135,'SegEnds_NonXtal_BW#'!$A:$Z,4,FALSE)+VLOOKUP($A135,A:AL,4,FALSE)-50),"-",(VLOOKUP($A135,'SegEnds_NonXtal_BW#'!$A:$Z,4,FALSE)+VLOOKUP($A135,A:AL,4,FALSE)-50))</f>
        <v>67</v>
      </c>
      <c r="F135" s="3">
        <f t="shared" si="98"/>
        <v>68</v>
      </c>
      <c r="G135" s="3">
        <v>70</v>
      </c>
      <c r="H135" s="3">
        <f t="shared" si="99"/>
        <v>71</v>
      </c>
      <c r="I135" s="3">
        <f t="shared" si="99"/>
        <v>72</v>
      </c>
      <c r="J135" s="3">
        <v>85</v>
      </c>
      <c r="K135" s="3">
        <f>VLOOKUP($A135,'SegEnds_NonXtal_BW#'!$A:$Z,8,FALSE)+VLOOKUP($A135,A:AL,10,FALSE)-50</f>
        <v>101</v>
      </c>
      <c r="L135" s="3">
        <f>M135-1</f>
        <v>104</v>
      </c>
      <c r="M135" s="3">
        <v>105</v>
      </c>
      <c r="N135" s="3">
        <f>M135+2</f>
        <v>107</v>
      </c>
      <c r="O135" s="3">
        <f>N135+1</f>
        <v>108</v>
      </c>
      <c r="P135" s="3">
        <v>137</v>
      </c>
      <c r="Q135" s="3">
        <f>VLOOKUP($A135,'SegEnds_NonXtal_BW#'!$A:$Z,12,FALSE)+VLOOKUP($A135,A:AL,16,FALSE)-50</f>
        <v>143</v>
      </c>
      <c r="R135" s="3">
        <f>IF(ISERROR(VLOOKUP($A135,'SegEnds_NonXtal_BW#'!$A:$Z,13,FALSE)+VLOOKUP($A135,A:AL,19,FALSE)-50),"-",VLOOKUP($A135,'SegEnds_NonXtal_BW#'!$A:$Z,13,FALSE)+VLOOKUP($A135,A:AL,19,FALSE)-50)</f>
        <v>144</v>
      </c>
      <c r="S135" s="3">
        <v>144</v>
      </c>
      <c r="T135" s="103">
        <f>IF(ISERROR(VLOOKUP($A135,'SegEnds_NonXtal_BW#'!$A:$Z,14,FALSE)+VLOOKUP($A135,A:AL,19,FALSE)-50),"-",(VLOOKUP($A135,'SegEnds_NonXtal_BW#'!$A:$Z,14,FALSE)+VLOOKUP($A135,A:AL,19,FALSE)-50))</f>
        <v>151</v>
      </c>
      <c r="U135" s="9">
        <f>IF(ISERROR(VLOOKUP($A135,'SegEnds_NonXtal_BW#'!$A:$Z,15,FALSE)+VLOOKUP($A135,A:AL,22,FALSE)-50),"-",VLOOKUP($A135,'SegEnds_NonXtal_BW#'!$A:$Z,15,FALSE)+VLOOKUP($A135,A:AL,22,FALSE)-50)</f>
        <v>152</v>
      </c>
      <c r="V135" s="3">
        <v>164</v>
      </c>
      <c r="W135" s="3">
        <f>IF(ISERROR(VLOOKUP($A135,'SegEnds_NonXtal_BW#'!$A:$Z,16,FALSE)+VLOOKUP($A135,A:AL,22,FALSE)-50),"-",(VLOOKUP($A135,'SegEnds_NonXtal_BW#'!$A:$Z,16,FALSE)+VLOOKUP($A135,A:AL,22,FALSE)-50))</f>
        <v>178</v>
      </c>
      <c r="X135" s="3">
        <f>IF(ISERROR(VLOOKUP($A135,'SegEnds_NonXtal_BW#'!$A:$Z,17,FALSE)+VLOOKUP($A135,A:AL,25,FALSE)-50),"-",(VLOOKUP($A135,'SegEnds_NonXtal_BW#'!$A:$Z,17,FALSE)+VLOOKUP($A135,A:AL,25,FALSE)-50))</f>
        <v>191</v>
      </c>
      <c r="Y135" s="3">
        <v>191</v>
      </c>
      <c r="Z135" s="3">
        <f>Y135+2</f>
        <v>193</v>
      </c>
      <c r="AA135" s="3">
        <f>IF(ISERROR(VLOOKUP($A135,'SegEnds_NonXtal_BW#'!$A:$Z,19,FALSE)+VLOOKUP($A135,A:AL,28,FALSE)-50),"-",(VLOOKUP($A135,'SegEnds_NonXtal_BW#'!$A:$Z,19,FALSE)+VLOOKUP($A135,A:AL,28,FALSE)-50))</f>
        <v>198</v>
      </c>
      <c r="AB135" s="3">
        <v>214</v>
      </c>
      <c r="AC135" s="3">
        <f>IF(ISERROR((VLOOKUP($A135,'SegEnds_NonXtal_BW#'!$A:$Z,20,FALSE)+VLOOKUP($A135,A:AL,28,FALSE)-50)),"-",(VLOOKUP($A135,'SegEnds_NonXtal_BW#'!$A:$Z,20,FALSE)+VLOOKUP($A135,A:AL,28,FALSE)-50))</f>
        <v>231</v>
      </c>
      <c r="AD135" s="3">
        <f>IF(ISERROR(VLOOKUP($A135,'SegEnds_NonXtal_BW#'!$A:$Z,21,FALSE)+VLOOKUP($A135,A:AL,31,FALSE)-50),"-",(VLOOKUP($A135,'SegEnds_NonXtal_BW#'!$A:$Z,21,FALSE)+VLOOKUP($A135,A:AL,31,FALSE)-50))</f>
        <v>237</v>
      </c>
      <c r="AE135" s="3">
        <v>259</v>
      </c>
      <c r="AF135" s="3">
        <f>IF(ISERROR((VLOOKUP($A135,'SegEnds_NonXtal_BW#'!$A:$Z,22,FALSE)+VLOOKUP($A135,A:AL,31,FALSE)-50)),"-",(VLOOKUP($A135,'SegEnds_NonXtal_BW#'!$A:$Z,22,FALSE)+VLOOKUP($A135,A:AL,31,FALSE)-50))</f>
        <v>273</v>
      </c>
      <c r="AG135" s="3">
        <f>IF(ISERROR(VLOOKUP($A135,'SegEnds_NonXtal_BW#'!$A:$Z,23,FALSE)+VLOOKUP($A135,A:AL,34,FALSE)-50),"-",(VLOOKUP($A135,'SegEnds_NonXtal_BW#'!$A:$Z,23,FALSE)+VLOOKUP($A135,A:AL,34,FALSE)-50))</f>
        <v>278</v>
      </c>
      <c r="AH135" s="3">
        <v>304</v>
      </c>
      <c r="AI135" s="3">
        <f>IF(ISERROR((VLOOKUP($A135,'SegEnds_NonXtal_BW#'!$A:$Z,24,FALSE)+VLOOKUP($A135,A:AL,34,FALSE)-50)),"-",(VLOOKUP($A135,'SegEnds_NonXtal_BW#'!$A:$Z,24,FALSE)+VLOOKUP($A135,A:AL,34,FALSE)-50))</f>
        <v>310</v>
      </c>
      <c r="AJ135" s="3">
        <f>IF(ISERROR(VLOOKUP($A135,'SegEnds_NonXtal_BW#'!$A:$Z,25,FALSE)+VLOOKUP($A135,A:AL,37,FALSE)-50),"-",(VLOOKUP($A135,'SegEnds_NonXtal_BW#'!$A:$Z,25,FALSE)+VLOOKUP($A135,A:AL,37,FALSE)-50))</f>
        <v>311</v>
      </c>
      <c r="AK135" s="3">
        <v>314</v>
      </c>
      <c r="AL135" s="3">
        <f>IF(ISERROR((VLOOKUP($A135,'SegEnds_NonXtal_BW#'!$A:$Z,26,FALSE)+VLOOKUP($A135,A:AL,37,FALSE)-50)),"-",(VLOOKUP($A135,'SegEnds_NonXtal_BW#'!$A:$Z,26,FALSE)+VLOOKUP($A135,A:AL,37,FALSE)-50))</f>
        <v>325</v>
      </c>
      <c r="AM135" s="28" t="str">
        <f>VLOOKUP(A135,Classification!A:B,2,FALSE)</f>
        <v>A</v>
      </c>
      <c r="AN135" s="28" t="b">
        <f t="shared" si="100"/>
        <v>1</v>
      </c>
      <c r="AO135" s="3" t="str">
        <f>IF(ISERROR(MATCH(A135,'SegEnds_Xtal_Prot#'!B:B, 0)), "NoXtal", "Xtal")</f>
        <v>NoXtal</v>
      </c>
      <c r="AP135" s="3">
        <f t="shared" si="83"/>
        <v>1</v>
      </c>
      <c r="AQ135" s="3">
        <f t="shared" si="84"/>
        <v>1</v>
      </c>
      <c r="AR135" s="3">
        <f t="shared" si="85"/>
        <v>3</v>
      </c>
      <c r="AS135" s="3">
        <f t="shared" si="86"/>
        <v>1</v>
      </c>
      <c r="AT135" s="3">
        <f t="shared" si="87"/>
        <v>1</v>
      </c>
      <c r="AU135" s="3">
        <f t="shared" si="88"/>
        <v>1</v>
      </c>
      <c r="AV135" s="3">
        <f t="shared" si="89"/>
        <v>13</v>
      </c>
      <c r="AW135" s="3">
        <f t="shared" si="90"/>
        <v>5</v>
      </c>
      <c r="AX135" s="3">
        <f t="shared" si="91"/>
        <v>6</v>
      </c>
      <c r="AY135" s="3">
        <f t="shared" si="92"/>
        <v>5</v>
      </c>
      <c r="AZ135" s="3">
        <f t="shared" si="93"/>
        <v>1</v>
      </c>
      <c r="BA135" s="3">
        <f>IF(ISERROR(LEN(VLOOKUP(A135,Seqs!A:E,2,FALSE))-AL135),"-",LEN(VLOOKUP(A135,Seqs!A:E,2,FALSE))-AL135)</f>
        <v>36</v>
      </c>
      <c r="BB135" s="16">
        <f t="shared" si="94"/>
        <v>28</v>
      </c>
      <c r="BC135" s="9">
        <f t="shared" si="95"/>
        <v>20</v>
      </c>
      <c r="BD135" s="3">
        <f t="shared" si="96"/>
        <v>28</v>
      </c>
      <c r="BE135" s="3">
        <f t="shared" si="97"/>
        <v>45</v>
      </c>
    </row>
    <row r="136" spans="1:58" s="3" customFormat="1" x14ac:dyDescent="0.2">
      <c r="A136" s="3" t="s">
        <v>247</v>
      </c>
      <c r="B136" s="3" t="str">
        <f>LOWER(VLOOKUP(A136,Xtal_Templ!A:B,2,FALSE))</f>
        <v>ox2r_human</v>
      </c>
      <c r="C136" s="3">
        <f>VLOOKUP($A136,'SegEnds_NonXtal_BW#'!$A:$Z,3,FALSE)+D136-50</f>
        <v>4</v>
      </c>
      <c r="D136" s="3">
        <v>23</v>
      </c>
      <c r="E136" s="3">
        <f>IF(ISERROR(VLOOKUP($A136,'SegEnds_NonXtal_BW#'!$A:$Z,4,FALSE)+VLOOKUP($A136,A:AL,4,FALSE)-50),"-",(VLOOKUP($A136,'SegEnds_NonXtal_BW#'!$A:$Z,4,FALSE)+VLOOKUP($A136,A:AL,4,FALSE)-50))</f>
        <v>33</v>
      </c>
      <c r="F136" s="3">
        <f t="shared" si="98"/>
        <v>34</v>
      </c>
      <c r="G136" s="3">
        <v>36</v>
      </c>
      <c r="H136" s="3">
        <f t="shared" si="99"/>
        <v>37</v>
      </c>
      <c r="I136" s="3">
        <f t="shared" si="99"/>
        <v>38</v>
      </c>
      <c r="J136" s="3">
        <v>52</v>
      </c>
      <c r="K136" s="3">
        <f>VLOOKUP($A136,'SegEnds_NonXtal_BW#'!$A:$Z,8,FALSE)+VLOOKUP($A136,A:AL,10,FALSE)-50</f>
        <v>69</v>
      </c>
      <c r="L136" s="3" t="str">
        <f>IF(ISERROR(VLOOKUP($A136,'SegEnds_NonXtal_BW#'!$A:$Z,9,FALSE)+VLOOKUP($A136,A:AL,13,FALSE)-50),"-",(VLOOKUP($A136,'SegEnds_NonXtal_BW#'!$A:$Z,9,FALSE)+VLOOKUP($A136,A:AL,13,FALSE)-50))</f>
        <v>-</v>
      </c>
      <c r="M136" s="3" t="s">
        <v>23</v>
      </c>
      <c r="N136" s="3" t="str">
        <f>IF(ISERROR(VLOOKUP($A136,'SegEnds_NonXtal_BW#'!$A:$Z,10,FALSE)+VLOOKUP($A136,A:AL,13,FALSE)-50),"-",(VLOOKUP($A136,'SegEnds_NonXtal_BW#'!$A:$Z,10,FALSE)+VLOOKUP($A136,A:AL,13,FALSE)-50))</f>
        <v>-</v>
      </c>
      <c r="O136" s="3">
        <f>VLOOKUP($A136,'SegEnds_NonXtal_BW#'!$A:$Z,11,FALSE)+VLOOKUP($A136,A:AL,16,FALSE)-50</f>
        <v>75</v>
      </c>
      <c r="P136" s="3">
        <v>104</v>
      </c>
      <c r="Q136" s="3">
        <f>VLOOKUP($A136,'SegEnds_NonXtal_BW#'!$A:$Z,12,FALSE)+VLOOKUP($A136,A:AL,16,FALSE)-50</f>
        <v>110</v>
      </c>
      <c r="R136" s="3">
        <f>IF(ISERROR(VLOOKUP($A136,'SegEnds_NonXtal_BW#'!$A:$Z,13,FALSE)+VLOOKUP($A136,A:AL,19,FALSE)-50),"-",VLOOKUP($A136,'SegEnds_NonXtal_BW#'!$A:$Z,13,FALSE)+VLOOKUP($A136,A:AL,19,FALSE)-50)</f>
        <v>111</v>
      </c>
      <c r="S136" s="3">
        <v>111</v>
      </c>
      <c r="T136" s="103">
        <f>IF(ISERROR(VLOOKUP($A136,'SegEnds_NonXtal_BW#'!$A:$Z,14,FALSE)+VLOOKUP($A136,A:AL,19,FALSE)-50),"-",(VLOOKUP($A136,'SegEnds_NonXtal_BW#'!$A:$Z,14,FALSE)+VLOOKUP($A136,A:AL,19,FALSE)-50))</f>
        <v>118</v>
      </c>
      <c r="U136" s="9">
        <f>IF(ISERROR(VLOOKUP($A136,'SegEnds_NonXtal_BW#'!$A:$Z,15,FALSE)+VLOOKUP($A136,A:AL,22,FALSE)-50),"-",VLOOKUP($A136,'SegEnds_NonXtal_BW#'!$A:$Z,15,FALSE)+VLOOKUP($A136,A:AL,22,FALSE)-50)</f>
        <v>119</v>
      </c>
      <c r="V136" s="3">
        <v>131</v>
      </c>
      <c r="W136" s="3">
        <f>IF(ISERROR(VLOOKUP($A136,'SegEnds_NonXtal_BW#'!$A:$Z,16,FALSE)+VLOOKUP($A136,A:AL,22,FALSE)-50),"-",(VLOOKUP($A136,'SegEnds_NonXtal_BW#'!$A:$Z,16,FALSE)+VLOOKUP($A136,A:AL,22,FALSE)-50))</f>
        <v>145</v>
      </c>
      <c r="X136" s="3">
        <f>IF(ISERROR(VLOOKUP($A136,'SegEnds_NonXtal_BW#'!$A:$Z,17,FALSE)+VLOOKUP($A136,A:AL,25,FALSE)-50),"-",(VLOOKUP($A136,'SegEnds_NonXtal_BW#'!$A:$Z,17,FALSE)+VLOOKUP($A136,A:AL,25,FALSE)-50))</f>
        <v>159</v>
      </c>
      <c r="Y136" s="3">
        <v>159</v>
      </c>
      <c r="Z136" s="3">
        <f>Y136+2</f>
        <v>161</v>
      </c>
      <c r="AA136" s="3">
        <f>IF(ISERROR(VLOOKUP($A136,'SegEnds_NonXtal_BW#'!$A:$Z,19,FALSE)+VLOOKUP($A136,A:AL,28,FALSE)-50),"-",(VLOOKUP($A136,'SegEnds_NonXtal_BW#'!$A:$Z,19,FALSE)+VLOOKUP($A136,A:AL,28,FALSE)-50))</f>
        <v>169</v>
      </c>
      <c r="AB136" s="3">
        <v>184</v>
      </c>
      <c r="AC136" s="3">
        <f>IF(ISERROR((VLOOKUP($A136,'SegEnds_NonXtal_BW#'!$A:$Z,20,FALSE)+VLOOKUP($A136,A:AL,28,FALSE)-50)),"-",(VLOOKUP($A136,'SegEnds_NonXtal_BW#'!$A:$Z,20,FALSE)+VLOOKUP($A136,A:AL,28,FALSE)-50))</f>
        <v>210</v>
      </c>
      <c r="AD136" s="3">
        <f>IF(ISERROR(VLOOKUP($A136,'SegEnds_NonXtal_BW#'!$A:$Z,21,FALSE)+VLOOKUP($A136,A:AL,31,FALSE)-50),"-",(VLOOKUP($A136,'SegEnds_NonXtal_BW#'!$A:$Z,21,FALSE)+VLOOKUP($A136,A:AL,31,FALSE)-50))</f>
        <v>230</v>
      </c>
      <c r="AE136" s="3">
        <v>256</v>
      </c>
      <c r="AF136" s="3">
        <f>IF(ISERROR((VLOOKUP($A136,'SegEnds_NonXtal_BW#'!$A:$Z,22,FALSE)+VLOOKUP($A136,A:AL,31,FALSE)-50)),"-",(VLOOKUP($A136,'SegEnds_NonXtal_BW#'!$A:$Z,22,FALSE)+VLOOKUP($A136,A:AL,31,FALSE)-50))</f>
        <v>267</v>
      </c>
      <c r="AG136" s="3">
        <f>IF(ISERROR(VLOOKUP($A136,'SegEnds_NonXtal_BW#'!$A:$Z,23,FALSE)+VLOOKUP($A136,A:AL,34,FALSE)-50),"-",(VLOOKUP($A136,'SegEnds_NonXtal_BW#'!$A:$Z,23,FALSE)+VLOOKUP($A136,A:AL,34,FALSE)-50))</f>
        <v>272</v>
      </c>
      <c r="AH136" s="3">
        <v>291</v>
      </c>
      <c r="AI136" s="3">
        <f>IF(ISERROR((VLOOKUP($A136,'SegEnds_NonXtal_BW#'!$A:$Z,24,FALSE)+VLOOKUP($A136,A:AL,34,FALSE)-50)),"-",(VLOOKUP($A136,'SegEnds_NonXtal_BW#'!$A:$Z,24,FALSE)+VLOOKUP($A136,A:AL,34,FALSE)-50))</f>
        <v>297</v>
      </c>
      <c r="AJ136" s="3">
        <f>IF(ISERROR(VLOOKUP($A136,'SegEnds_NonXtal_BW#'!$A:$Z,25,FALSE)+VLOOKUP($A136,A:AL,37,FALSE)-50),"-",(VLOOKUP($A136,'SegEnds_NonXtal_BW#'!$A:$Z,25,FALSE)+VLOOKUP($A136,A:AL,37,FALSE)-50))</f>
        <v>298</v>
      </c>
      <c r="AK136" s="3">
        <v>301</v>
      </c>
      <c r="AL136" s="3">
        <f>IF(ISERROR((VLOOKUP($A136,'SegEnds_NonXtal_BW#'!$A:$Z,26,FALSE)+VLOOKUP($A136,A:AL,37,FALSE)-50)),"-",(VLOOKUP($A136,'SegEnds_NonXtal_BW#'!$A:$Z,26,FALSE)+VLOOKUP($A136,A:AL,37,FALSE)-50))</f>
        <v>309</v>
      </c>
      <c r="AM136" s="28" t="str">
        <f>VLOOKUP(A136,Classification!A:B,2,FALSE)</f>
        <v>A</v>
      </c>
      <c r="AN136" s="28" t="b">
        <f t="shared" si="100"/>
        <v>1</v>
      </c>
      <c r="AO136" s="3" t="str">
        <f>IF(ISERROR(MATCH(A136,'SegEnds_Xtal_Prot#'!B:B, 0)), "NoXtal", "Xtal")</f>
        <v>NoXtal</v>
      </c>
      <c r="AP136" s="3">
        <f t="shared" si="83"/>
        <v>1</v>
      </c>
      <c r="AQ136" s="3">
        <f t="shared" si="84"/>
        <v>1</v>
      </c>
      <c r="AR136" s="3" t="str">
        <f t="shared" si="85"/>
        <v>-</v>
      </c>
      <c r="AS136" s="3" t="str">
        <f t="shared" si="86"/>
        <v>-</v>
      </c>
      <c r="AT136" s="3">
        <f t="shared" si="87"/>
        <v>1</v>
      </c>
      <c r="AU136" s="3">
        <f t="shared" si="88"/>
        <v>1</v>
      </c>
      <c r="AV136" s="3">
        <f t="shared" si="89"/>
        <v>14</v>
      </c>
      <c r="AW136" s="3">
        <f t="shared" si="90"/>
        <v>8</v>
      </c>
      <c r="AX136" s="3">
        <f t="shared" si="91"/>
        <v>20</v>
      </c>
      <c r="AY136" s="3">
        <f t="shared" si="92"/>
        <v>5</v>
      </c>
      <c r="AZ136" s="3">
        <f t="shared" si="93"/>
        <v>1</v>
      </c>
      <c r="BA136" s="3">
        <f>IF(ISERROR(LEN(VLOOKUP(A136,Seqs!A:E,2,FALSE))-AL136),"-",LEN(VLOOKUP(A136,Seqs!A:E,2,FALSE))-AL136)</f>
        <v>28</v>
      </c>
      <c r="BB136" s="16">
        <f t="shared" si="94"/>
        <v>29</v>
      </c>
      <c r="BC136" s="9">
        <f t="shared" si="95"/>
        <v>20</v>
      </c>
      <c r="BD136" s="3">
        <f t="shared" si="96"/>
        <v>29</v>
      </c>
      <c r="BE136" s="3">
        <f t="shared" si="97"/>
        <v>72</v>
      </c>
      <c r="BF136" s="3">
        <f>AH136-AE136</f>
        <v>35</v>
      </c>
    </row>
    <row r="137" spans="1:58" s="3" customFormat="1" x14ac:dyDescent="0.2">
      <c r="A137" s="3" t="s">
        <v>249</v>
      </c>
      <c r="B137" s="3" t="str">
        <f>LOWER(VLOOKUP(A137,Xtal_Templ!A:B,2,FALSE))</f>
        <v>s1pr1_human</v>
      </c>
      <c r="C137" s="3">
        <f>VLOOKUP($A137,'SegEnds_NonXtal_BW#'!$A:$Z,3,FALSE)+D137-50</f>
        <v>37</v>
      </c>
      <c r="D137" s="3">
        <v>58</v>
      </c>
      <c r="E137" s="3">
        <f>IF(ISERROR(VLOOKUP($A137,'SegEnds_NonXtal_BW#'!$A:$Z,4,FALSE)+VLOOKUP($A137,A:AL,4,FALSE)-50),"-",(VLOOKUP($A137,'SegEnds_NonXtal_BW#'!$A:$Z,4,FALSE)+VLOOKUP($A137,A:AL,4,FALSE)-50))</f>
        <v>68</v>
      </c>
      <c r="F137" s="3">
        <f t="shared" si="98"/>
        <v>69</v>
      </c>
      <c r="G137" s="3">
        <v>71</v>
      </c>
      <c r="H137" s="3">
        <f t="shared" si="99"/>
        <v>72</v>
      </c>
      <c r="I137" s="3">
        <f t="shared" si="99"/>
        <v>73</v>
      </c>
      <c r="J137" s="3">
        <v>86</v>
      </c>
      <c r="K137" s="3">
        <f>VLOOKUP($A137,'SegEnds_NonXtal_BW#'!$A:$Z,8,FALSE)+VLOOKUP($A137,A:AL,10,FALSE)-50</f>
        <v>98</v>
      </c>
      <c r="L137" s="3">
        <f>M137-1</f>
        <v>100</v>
      </c>
      <c r="M137" s="3">
        <v>101</v>
      </c>
      <c r="N137" s="3">
        <f>M137+2</f>
        <v>103</v>
      </c>
      <c r="O137" s="3">
        <f>N137+1</f>
        <v>104</v>
      </c>
      <c r="P137" s="3">
        <v>134</v>
      </c>
      <c r="Q137" s="3">
        <f>VLOOKUP($A137,'SegEnds_NonXtal_BW#'!$A:$Z,12,FALSE)+VLOOKUP($A137,A:AL,16,FALSE)-50</f>
        <v>140</v>
      </c>
      <c r="R137" s="3">
        <f>S137</f>
        <v>141</v>
      </c>
      <c r="S137" s="3">
        <v>141</v>
      </c>
      <c r="T137" s="103">
        <f>S137+7</f>
        <v>148</v>
      </c>
      <c r="U137" s="9">
        <f>IF(ISERROR(VLOOKUP($A137,'SegEnds_NonXtal_BW#'!$A:$Z,15,FALSE)+VLOOKUP($A137,A:AL,22,FALSE)-50),"-",VLOOKUP($A137,'SegEnds_NonXtal_BW#'!$A:$Z,15,FALSE)+VLOOKUP($A137,A:AL,22,FALSE)-50)</f>
        <v>149</v>
      </c>
      <c r="V137" s="3">
        <v>161</v>
      </c>
      <c r="W137" s="3">
        <f>IF(ISERROR(VLOOKUP($A137,'SegEnds_NonXtal_BW#'!$A:$Z,16,FALSE)+VLOOKUP($A137,A:AL,22,FALSE)-50),"-",(VLOOKUP($A137,'SegEnds_NonXtal_BW#'!$A:$Z,16,FALSE)+VLOOKUP($A137,A:AL,22,FALSE)-50))</f>
        <v>174</v>
      </c>
      <c r="X137" s="3" t="str">
        <f>IF(ISERROR(VLOOKUP($A137,'SegEnds_NonXtal_BW#'!$A:$Z,17,FALSE)+VLOOKUP($A137,A:AL,25,FALSE)-50),"-",(VLOOKUP($A137,'SegEnds_NonXtal_BW#'!$A:$Z,17,FALSE)+VLOOKUP($A137,A:AL,25,FALSE)-50))</f>
        <v>-</v>
      </c>
      <c r="Y137" s="3" t="s">
        <v>23</v>
      </c>
      <c r="Z137" s="3" t="str">
        <f>IF(ISERROR(VLOOKUP($A137,'SegEnds_NonXtal_BW#'!$A:$Z,18,FALSE)+VLOOKUP($A137,A:AL,25,FALSE)-50),"-",(VLOOKUP($A137,'SegEnds_NonXtal_BW#'!$A:$Z,18,FALSE)+VLOOKUP($A137,A:AL,25,FALSE)-50))</f>
        <v>-</v>
      </c>
      <c r="AA137" s="3">
        <f>IF(ISERROR(VLOOKUP($A137,'SegEnds_NonXtal_BW#'!$A:$Z,19,FALSE)+VLOOKUP($A137,A:AL,28,FALSE)-50),"-",(VLOOKUP($A137,'SegEnds_NonXtal_BW#'!$A:$Z,19,FALSE)+VLOOKUP($A137,A:AL,28,FALSE)-50))</f>
        <v>191</v>
      </c>
      <c r="AB137" s="3">
        <v>205</v>
      </c>
      <c r="AC137" s="3">
        <f>IF(ISERROR((VLOOKUP($A137,'SegEnds_NonXtal_BW#'!$A:$Z,20,FALSE)+VLOOKUP($A137,A:AL,28,FALSE)-50)),"-",(VLOOKUP($A137,'SegEnds_NonXtal_BW#'!$A:$Z,20,FALSE)+VLOOKUP($A137,A:AL,28,FALSE)-50))</f>
        <v>227</v>
      </c>
      <c r="AD137" s="3">
        <f>IF(ISERROR(VLOOKUP($A137,'SegEnds_NonXtal_BW#'!$A:$Z,21,FALSE)+VLOOKUP($A137,A:AL,31,FALSE)-50),"-",(VLOOKUP($A137,'SegEnds_NonXtal_BW#'!$A:$Z,21,FALSE)+VLOOKUP($A137,A:AL,31,FALSE)-50))</f>
        <v>236</v>
      </c>
      <c r="AE137" s="3">
        <v>262</v>
      </c>
      <c r="AF137" s="3">
        <f>IF(ISERROR((VLOOKUP($A137,'SegEnds_NonXtal_BW#'!$A:$Z,22,FALSE)+VLOOKUP($A137,A:AL,31,FALSE)-50)),"-",(VLOOKUP($A137,'SegEnds_NonXtal_BW#'!$A:$Z,22,FALSE)+VLOOKUP($A137,A:AL,31,FALSE)-50))</f>
        <v>273</v>
      </c>
      <c r="AG137" s="3">
        <f>IF(ISERROR(VLOOKUP($A137,'SegEnds_NonXtal_BW#'!$A:$Z,23,FALSE)+VLOOKUP($A137,A:AL,34,FALSE)-50),"-",(VLOOKUP($A137,'SegEnds_NonXtal_BW#'!$A:$Z,23,FALSE)+VLOOKUP($A137,A:AL,34,FALSE)-50))</f>
        <v>278</v>
      </c>
      <c r="AH137" s="3">
        <v>294</v>
      </c>
      <c r="AI137" s="3">
        <f>IF(ISERROR((VLOOKUP($A137,'SegEnds_NonXtal_BW#'!$A:$Z,24,FALSE)+VLOOKUP($A137,A:AL,34,FALSE)-50)),"-",(VLOOKUP($A137,'SegEnds_NonXtal_BW#'!$A:$Z,24,FALSE)+VLOOKUP($A137,A:AL,34,FALSE)-50))</f>
        <v>300</v>
      </c>
      <c r="AJ137" s="3">
        <f>IF(ISERROR(VLOOKUP($A137,'SegEnds_NonXtal_BW#'!$A:$Z,25,FALSE)+VLOOKUP($A137,A:AL,37,FALSE)-50),"-",(VLOOKUP($A137,'SegEnds_NonXtal_BW#'!$A:$Z,25,FALSE)+VLOOKUP($A137,A:AL,37,FALSE)-50))</f>
        <v>301</v>
      </c>
      <c r="AK137" s="3">
        <v>304</v>
      </c>
      <c r="AL137" s="3">
        <f>IF(ISERROR((VLOOKUP($A137,'SegEnds_NonXtal_BW#'!$A:$Z,26,FALSE)+VLOOKUP($A137,A:AL,37,FALSE)-50)),"-",(VLOOKUP($A137,'SegEnds_NonXtal_BW#'!$A:$Z,26,FALSE)+VLOOKUP($A137,A:AL,37,FALSE)-50))</f>
        <v>313</v>
      </c>
      <c r="AM137" s="28" t="str">
        <f>VLOOKUP(A137,Classification!A:B,2,FALSE)</f>
        <v>A</v>
      </c>
      <c r="AN137" s="28" t="b">
        <f t="shared" si="100"/>
        <v>1</v>
      </c>
      <c r="AO137" s="3" t="str">
        <f>IF(ISERROR(MATCH(A137,'SegEnds_Xtal_Prot#'!B:B, 0)), "NoXtal", "Xtal")</f>
        <v>NoXtal</v>
      </c>
      <c r="AP137" s="3">
        <f t="shared" si="83"/>
        <v>1</v>
      </c>
      <c r="AQ137" s="3">
        <f t="shared" si="84"/>
        <v>1</v>
      </c>
      <c r="AR137" s="3">
        <f t="shared" si="85"/>
        <v>2</v>
      </c>
      <c r="AS137" s="3">
        <f t="shared" si="86"/>
        <v>1</v>
      </c>
      <c r="AT137" s="3">
        <f t="shared" si="87"/>
        <v>1</v>
      </c>
      <c r="AU137" s="3">
        <f t="shared" si="88"/>
        <v>1</v>
      </c>
      <c r="AV137" s="3" t="str">
        <f t="shared" si="89"/>
        <v>-</v>
      </c>
      <c r="AW137" s="3" t="str">
        <f t="shared" si="90"/>
        <v>-</v>
      </c>
      <c r="AX137" s="3">
        <f t="shared" si="91"/>
        <v>9</v>
      </c>
      <c r="AY137" s="3">
        <f t="shared" si="92"/>
        <v>5</v>
      </c>
      <c r="AZ137" s="3">
        <f t="shared" si="93"/>
        <v>1</v>
      </c>
      <c r="BA137" s="3">
        <f>IF(ISERROR(LEN(VLOOKUP(A137,Seqs!A:E,2,FALSE))-AL137),"-",LEN(VLOOKUP(A137,Seqs!A:E,2,FALSE))-AL137)</f>
        <v>17</v>
      </c>
      <c r="BB137" s="16">
        <f t="shared" si="94"/>
        <v>28</v>
      </c>
      <c r="BC137" s="9">
        <f t="shared" si="95"/>
        <v>20</v>
      </c>
      <c r="BD137" s="3">
        <f t="shared" si="96"/>
        <v>28</v>
      </c>
      <c r="BE137" s="3">
        <f t="shared" si="97"/>
        <v>57</v>
      </c>
      <c r="BF137" s="3">
        <f>AH137-AE137</f>
        <v>32</v>
      </c>
    </row>
    <row r="138" spans="1:58" s="3" customFormat="1" x14ac:dyDescent="0.2">
      <c r="A138" s="3" t="s">
        <v>250</v>
      </c>
      <c r="B138" s="3" t="str">
        <f>LOWER(VLOOKUP(A138,Xtal_Templ!A:B,2,FALSE))</f>
        <v>oprd_human</v>
      </c>
      <c r="C138" s="3">
        <f>VLOOKUP($A138,'SegEnds_NonXtal_BW#'!$A:$Z,3,FALSE)+D138-50</f>
        <v>4</v>
      </c>
      <c r="D138" s="3">
        <v>32</v>
      </c>
      <c r="E138" s="3">
        <f>IF(ISERROR(VLOOKUP($A138,'SegEnds_NonXtal_BW#'!$A:$Z,4,FALSE)+VLOOKUP($A138,A:AL,4,FALSE)-50),"-",(VLOOKUP($A138,'SegEnds_NonXtal_BW#'!$A:$Z,4,FALSE)+VLOOKUP($A138,A:AL,4,FALSE)-50))</f>
        <v>42</v>
      </c>
      <c r="F138" s="3">
        <f t="shared" si="98"/>
        <v>43</v>
      </c>
      <c r="G138" s="3">
        <v>45</v>
      </c>
      <c r="H138" s="3">
        <f t="shared" si="99"/>
        <v>46</v>
      </c>
      <c r="I138" s="3">
        <f t="shared" si="99"/>
        <v>47</v>
      </c>
      <c r="J138" s="3">
        <v>60</v>
      </c>
      <c r="K138" s="3">
        <f>VLOOKUP($A138,'SegEnds_NonXtal_BW#'!$A:$Z,8,FALSE)+VLOOKUP($A138,A:AL,10,FALSE)-50</f>
        <v>76</v>
      </c>
      <c r="L138" s="3">
        <f>M138-1</f>
        <v>79</v>
      </c>
      <c r="M138" s="3">
        <v>80</v>
      </c>
      <c r="N138" s="3">
        <f>M138+2</f>
        <v>82</v>
      </c>
      <c r="O138" s="3">
        <f>N138+1</f>
        <v>83</v>
      </c>
      <c r="P138" s="3">
        <v>112</v>
      </c>
      <c r="Q138" s="3">
        <f>VLOOKUP($A138,'SegEnds_NonXtal_BW#'!$A:$Z,12,FALSE)+VLOOKUP($A138,A:AL,16,FALSE)-50</f>
        <v>118</v>
      </c>
      <c r="R138" s="3">
        <f>IF(ISERROR(VLOOKUP($A138,'SegEnds_NonXtal_BW#'!$A:$Z,13,FALSE)+VLOOKUP($A138,A:AL,19,FALSE)-50),"-",VLOOKUP($A138,'SegEnds_NonXtal_BW#'!$A:$Z,13,FALSE)+VLOOKUP($A138,A:AL,19,FALSE)-50)</f>
        <v>119</v>
      </c>
      <c r="S138" s="3">
        <v>119</v>
      </c>
      <c r="T138" s="103">
        <f>IF(ISERROR(VLOOKUP($A138,'SegEnds_NonXtal_BW#'!$A:$Z,14,FALSE)+VLOOKUP($A138,A:AL,19,FALSE)-50),"-",(VLOOKUP($A138,'SegEnds_NonXtal_BW#'!$A:$Z,14,FALSE)+VLOOKUP($A138,A:AL,19,FALSE)-50))</f>
        <v>126</v>
      </c>
      <c r="U138" s="9">
        <f>IF(ISERROR(VLOOKUP($A138,'SegEnds_NonXtal_BW#'!$A:$Z,15,FALSE)+VLOOKUP($A138,A:AL,22,FALSE)-50),"-",VLOOKUP($A138,'SegEnds_NonXtal_BW#'!$A:$Z,15,FALSE)+VLOOKUP($A138,A:AL,22,FALSE)-50)</f>
        <v>127</v>
      </c>
      <c r="V138" s="3">
        <v>139</v>
      </c>
      <c r="W138" s="3">
        <f>IF(ISERROR(VLOOKUP($A138,'SegEnds_NonXtal_BW#'!$A:$Z,16,FALSE)+VLOOKUP($A138,A:AL,22,FALSE)-50),"-",(VLOOKUP($A138,'SegEnds_NonXtal_BW#'!$A:$Z,16,FALSE)+VLOOKUP($A138,A:AL,22,FALSE)-50))</f>
        <v>153</v>
      </c>
      <c r="X138" s="3">
        <f>IF(ISERROR(VLOOKUP($A138,'SegEnds_NonXtal_BW#'!$A:$Z,17,FALSE)+VLOOKUP($A138,A:AL,25,FALSE)-50),"-",(VLOOKUP($A138,'SegEnds_NonXtal_BW#'!$A:$Z,17,FALSE)+VLOOKUP($A138,A:AL,25,FALSE)-50))</f>
        <v>162</v>
      </c>
      <c r="Y138" s="3">
        <v>162</v>
      </c>
      <c r="Z138" s="3">
        <f t="shared" ref="Z138:Z148" si="101">Y138+2</f>
        <v>164</v>
      </c>
      <c r="AA138" s="3">
        <f>IF(ISERROR(VLOOKUP($A138,'SegEnds_NonXtal_BW#'!$A:$Z,19,FALSE)+VLOOKUP($A138,A:AL,28,FALSE)-50),"-",(VLOOKUP($A138,'SegEnds_NonXtal_BW#'!$A:$Z,19,FALSE)+VLOOKUP($A138,A:AL,28,FALSE)-50))</f>
        <v>170</v>
      </c>
      <c r="AB138" s="3">
        <v>189</v>
      </c>
      <c r="AC138" s="3">
        <f>IF(ISERROR((VLOOKUP($A138,'SegEnds_NonXtal_BW#'!$A:$Z,20,FALSE)+VLOOKUP($A138,A:AL,28,FALSE)-50)),"-",(VLOOKUP($A138,'SegEnds_NonXtal_BW#'!$A:$Z,20,FALSE)+VLOOKUP($A138,A:AL,28,FALSE)-50))</f>
        <v>207</v>
      </c>
      <c r="AD138" s="3">
        <f>IF(ISERROR(VLOOKUP($A138,'SegEnds_NonXtal_BW#'!$A:$Z,21,FALSE)+VLOOKUP($A138,A:AL,31,FALSE)-50),"-",(VLOOKUP($A138,'SegEnds_NonXtal_BW#'!$A:$Z,21,FALSE)+VLOOKUP($A138,A:AL,31,FALSE)-50))</f>
        <v>211</v>
      </c>
      <c r="AE138" s="3">
        <v>237</v>
      </c>
      <c r="AF138" s="3">
        <f>IF(ISERROR((VLOOKUP($A138,'SegEnds_NonXtal_BW#'!$A:$Z,22,FALSE)+VLOOKUP($A138,A:AL,31,FALSE)-50)),"-",(VLOOKUP($A138,'SegEnds_NonXtal_BW#'!$A:$Z,22,FALSE)+VLOOKUP($A138,A:AL,31,FALSE)-50))</f>
        <v>248</v>
      </c>
      <c r="AG138" s="3">
        <f>IF(ISERROR(VLOOKUP($A138,'SegEnds_NonXtal_BW#'!$A:$Z,23,FALSE)+VLOOKUP($A138,A:AL,34,FALSE)-50),"-",(VLOOKUP($A138,'SegEnds_NonXtal_BW#'!$A:$Z,23,FALSE)+VLOOKUP($A138,A:AL,34,FALSE)-50))</f>
        <v>257</v>
      </c>
      <c r="AH138" s="3">
        <v>279</v>
      </c>
      <c r="AI138" s="3">
        <f>IF(ISERROR((VLOOKUP($A138,'SegEnds_NonXtal_BW#'!$A:$Z,24,FALSE)+VLOOKUP($A138,A:AL,34,FALSE)-50)),"-",(VLOOKUP($A138,'SegEnds_NonXtal_BW#'!$A:$Z,24,FALSE)+VLOOKUP($A138,A:AL,34,FALSE)-50))</f>
        <v>285</v>
      </c>
      <c r="AJ138" s="3">
        <f>IF(ISERROR(VLOOKUP($A138,'SegEnds_NonXtal_BW#'!$A:$Z,25,FALSE)+VLOOKUP($A138,A:AL,37,FALSE)-50),"-",(VLOOKUP($A138,'SegEnds_NonXtal_BW#'!$A:$Z,25,FALSE)+VLOOKUP($A138,A:AL,37,FALSE)-50))</f>
        <v>286</v>
      </c>
      <c r="AK138" s="3">
        <v>289</v>
      </c>
      <c r="AL138" s="3">
        <f>IF(ISERROR((VLOOKUP($A138,'SegEnds_NonXtal_BW#'!$A:$Z,26,FALSE)+VLOOKUP($A138,A:AL,37,FALSE)-50)),"-",(VLOOKUP($A138,'SegEnds_NonXtal_BW#'!$A:$Z,26,FALSE)+VLOOKUP($A138,A:AL,37,FALSE)-50))</f>
        <v>299</v>
      </c>
      <c r="AM138" s="28" t="str">
        <f>VLOOKUP(A138,Classification!A:B,2,FALSE)</f>
        <v>A</v>
      </c>
      <c r="AN138" s="28" t="b">
        <f t="shared" si="100"/>
        <v>1</v>
      </c>
      <c r="AO138" s="3" t="str">
        <f>IF(ISERROR(MATCH(A138,'SegEnds_Xtal_Prot#'!B:B, 0)), "NoXtal", "Xtal")</f>
        <v>NoXtal</v>
      </c>
      <c r="AP138" s="3">
        <f t="shared" si="83"/>
        <v>1</v>
      </c>
      <c r="AQ138" s="3">
        <f t="shared" si="84"/>
        <v>1</v>
      </c>
      <c r="AR138" s="3">
        <f t="shared" si="85"/>
        <v>3</v>
      </c>
      <c r="AS138" s="3">
        <f t="shared" si="86"/>
        <v>1</v>
      </c>
      <c r="AT138" s="3">
        <f t="shared" si="87"/>
        <v>1</v>
      </c>
      <c r="AU138" s="3">
        <f t="shared" si="88"/>
        <v>1</v>
      </c>
      <c r="AV138" s="3">
        <f t="shared" si="89"/>
        <v>9</v>
      </c>
      <c r="AW138" s="3">
        <f t="shared" si="90"/>
        <v>6</v>
      </c>
      <c r="AX138" s="3">
        <f t="shared" si="91"/>
        <v>4</v>
      </c>
      <c r="AY138" s="3">
        <f t="shared" si="92"/>
        <v>9</v>
      </c>
      <c r="AZ138" s="3">
        <f t="shared" si="93"/>
        <v>1</v>
      </c>
      <c r="BA138" s="3">
        <f>IF(ISERROR(LEN(VLOOKUP(A138,Seqs!A:E,2,FALSE))-AL138),"-",LEN(VLOOKUP(A138,Seqs!A:E,2,FALSE))-AL138)</f>
        <v>20</v>
      </c>
      <c r="BB138" s="16">
        <f t="shared" si="94"/>
        <v>28</v>
      </c>
      <c r="BC138" s="9">
        <f t="shared" si="95"/>
        <v>20</v>
      </c>
      <c r="BD138" s="3">
        <f t="shared" si="96"/>
        <v>28</v>
      </c>
      <c r="BE138" s="3">
        <f t="shared" si="97"/>
        <v>48</v>
      </c>
      <c r="BF138" s="3">
        <f>AH138-AE138</f>
        <v>42</v>
      </c>
    </row>
    <row r="139" spans="1:58" s="3" customFormat="1" x14ac:dyDescent="0.2">
      <c r="A139" s="3" t="s">
        <v>251</v>
      </c>
      <c r="B139" s="3" t="str">
        <f>LOWER(VLOOKUP(A139,Xtal_Templ!A:B,2,FALSE))</f>
        <v>oprk_human</v>
      </c>
      <c r="C139" s="3">
        <f>VLOOKUP($A139,'SegEnds_NonXtal_BW#'!$A:$Z,3,FALSE)+D139-50</f>
        <v>41</v>
      </c>
      <c r="D139" s="3">
        <v>61</v>
      </c>
      <c r="E139" s="3">
        <f>IF(ISERROR(VLOOKUP($A139,'SegEnds_NonXtal_BW#'!$A:$Z,4,FALSE)+VLOOKUP($A139,A:AL,4,FALSE)-50),"-",(VLOOKUP($A139,'SegEnds_NonXtal_BW#'!$A:$Z,4,FALSE)+VLOOKUP($A139,A:AL,4,FALSE)-50))</f>
        <v>71</v>
      </c>
      <c r="F139" s="3" t="str">
        <f>IF(ISERROR(VLOOKUP($A139,'SegEnds_NonXtal_BW#'!$A:$Z,5,FALSE)+VLOOKUP($A139,A:AL,7,FALSE)-50),"-",(VLOOKUP($A139,'SegEnds_NonXtal_BW#'!$A:$Z,5,FALSE)+VLOOKUP($A139,A:AL,7,FALSE)-50))</f>
        <v>-</v>
      </c>
      <c r="G139" s="3" t="s">
        <v>23</v>
      </c>
      <c r="H139" s="3" t="str">
        <f>IF(ISERROR(VLOOKUP($A139,'SegEnds_NonXtal_BW#'!$A:$Z,6,FALSE)+VLOOKUP($A139,A:AL,7,FALSE)-50),"-",(VLOOKUP($A139,'SegEnds_NonXtal_BW#'!$A:$Z,6,FALSE)+VLOOKUP($A139,A:AL,7,FALSE)-50))</f>
        <v>-</v>
      </c>
      <c r="I139" s="3">
        <f>VLOOKUP($A139,'SegEnds_NonXtal_BW#'!$A:$Z,7,FALSE)+J139-50</f>
        <v>75</v>
      </c>
      <c r="J139" s="3">
        <v>88</v>
      </c>
      <c r="K139" s="3">
        <f>VLOOKUP($A139,'SegEnds_NonXtal_BW#'!$A:$Z,8,FALSE)+VLOOKUP($A139,A:AL,10,FALSE)-50</f>
        <v>104</v>
      </c>
      <c r="L139" s="3">
        <f>M139-1</f>
        <v>106</v>
      </c>
      <c r="M139" s="3">
        <v>107</v>
      </c>
      <c r="N139" s="3">
        <f>M139+2</f>
        <v>109</v>
      </c>
      <c r="O139" s="3">
        <f>N139+1</f>
        <v>110</v>
      </c>
      <c r="P139" s="3">
        <v>139</v>
      </c>
      <c r="Q139" s="3">
        <f>VLOOKUP($A139,'SegEnds_NonXtal_BW#'!$A:$Z,12,FALSE)+VLOOKUP($A139,A:AL,16,FALSE)-50</f>
        <v>145</v>
      </c>
      <c r="R139" s="3">
        <f>IF(ISERROR(VLOOKUP($A139,'SegEnds_NonXtal_BW#'!$A:$Z,13,FALSE)+VLOOKUP($A139,A:AL,19,FALSE)-50),"-",VLOOKUP($A139,'SegEnds_NonXtal_BW#'!$A:$Z,13,FALSE)+VLOOKUP($A139,A:AL,19,FALSE)-50)</f>
        <v>146</v>
      </c>
      <c r="S139" s="3">
        <v>146</v>
      </c>
      <c r="T139" s="103">
        <f>IF(ISERROR(VLOOKUP($A139,'SegEnds_NonXtal_BW#'!$A:$Z,14,FALSE)+VLOOKUP($A139,A:AL,19,FALSE)-50),"-",(VLOOKUP($A139,'SegEnds_NonXtal_BW#'!$A:$Z,14,FALSE)+VLOOKUP($A139,A:AL,19,FALSE)-50))</f>
        <v>153</v>
      </c>
      <c r="U139" s="9">
        <f>IF(ISERROR(VLOOKUP($A139,'SegEnds_NonXtal_BW#'!$A:$Z,15,FALSE)+VLOOKUP($A139,A:AL,22,FALSE)-50),"-",VLOOKUP($A139,'SegEnds_NonXtal_BW#'!$A:$Z,15,FALSE)+VLOOKUP($A139,A:AL,22,FALSE)-50)</f>
        <v>154</v>
      </c>
      <c r="V139" s="3">
        <v>166</v>
      </c>
      <c r="W139" s="3">
        <f>IF(ISERROR(VLOOKUP($A139,'SegEnds_NonXtal_BW#'!$A:$Z,16,FALSE)+VLOOKUP($A139,A:AL,22,FALSE)-50),"-",(VLOOKUP($A139,'SegEnds_NonXtal_BW#'!$A:$Z,16,FALSE)+VLOOKUP($A139,A:AL,22,FALSE)-50))</f>
        <v>180</v>
      </c>
      <c r="X139" s="3">
        <f>IF(ISERROR(VLOOKUP($A139,'SegEnds_NonXtal_BW#'!$A:$Z,17,FALSE)+VLOOKUP($A139,A:AL,25,FALSE)-50),"-",(VLOOKUP($A139,'SegEnds_NonXtal_BW#'!$A:$Z,17,FALSE)+VLOOKUP($A139,A:AL,25,FALSE)-50))</f>
        <v>191</v>
      </c>
      <c r="Y139" s="3">
        <v>191</v>
      </c>
      <c r="Z139" s="3">
        <f t="shared" si="101"/>
        <v>193</v>
      </c>
      <c r="AA139" s="3">
        <f>IF(ISERROR(VLOOKUP($A139,'SegEnds_NonXtal_BW#'!$A:$Z,19,FALSE)+VLOOKUP($A139,A:AL,28,FALSE)-50),"-",(VLOOKUP($A139,'SegEnds_NonXtal_BW#'!$A:$Z,19,FALSE)+VLOOKUP($A139,A:AL,28,FALSE)-50))</f>
        <v>209</v>
      </c>
      <c r="AB139" s="3">
        <v>228</v>
      </c>
      <c r="AC139" s="3">
        <f>IF(ISERROR((VLOOKUP($A139,'SegEnds_NonXtal_BW#'!$A:$Z,20,FALSE)+VLOOKUP($A139,A:AL,28,FALSE)-50)),"-",(VLOOKUP($A139,'SegEnds_NonXtal_BW#'!$A:$Z,20,FALSE)+VLOOKUP($A139,A:AL,28,FALSE)-50))</f>
        <v>246</v>
      </c>
      <c r="AD139" s="3">
        <f>IF(ISERROR(VLOOKUP($A139,'SegEnds_NonXtal_BW#'!$A:$Z,21,FALSE)+VLOOKUP($A139,A:AL,31,FALSE)-50),"-",(VLOOKUP($A139,'SegEnds_NonXtal_BW#'!$A:$Z,21,FALSE)+VLOOKUP($A139,A:AL,31,FALSE)-50))</f>
        <v>251</v>
      </c>
      <c r="AE139" s="3">
        <v>271</v>
      </c>
      <c r="AF139" s="3">
        <f>IF(ISERROR((VLOOKUP($A139,'SegEnds_NonXtal_BW#'!$A:$Z,22,FALSE)+VLOOKUP($A139,A:AL,31,FALSE)-50)),"-",(VLOOKUP($A139,'SegEnds_NonXtal_BW#'!$A:$Z,22,FALSE)+VLOOKUP($A139,A:AL,31,FALSE)-50))</f>
        <v>282</v>
      </c>
      <c r="AG139" s="3">
        <f>IF(ISERROR(VLOOKUP($A139,'SegEnds_NonXtal_BW#'!$A:$Z,23,FALSE)+VLOOKUP($A139,A:AL,34,FALSE)-50),"-",(VLOOKUP($A139,'SegEnds_NonXtal_BW#'!$A:$Z,23,FALSE)+VLOOKUP($A139,A:AL,34,FALSE)-50))</f>
        <v>291</v>
      </c>
      <c r="AH139" s="3">
        <v>313</v>
      </c>
      <c r="AI139" s="3">
        <f>IF(ISERROR((VLOOKUP($A139,'SegEnds_NonXtal_BW#'!$A:$Z,24,FALSE)+VLOOKUP($A139,A:AL,34,FALSE)-50)),"-",(VLOOKUP($A139,'SegEnds_NonXtal_BW#'!$A:$Z,24,FALSE)+VLOOKUP($A139,A:AL,34,FALSE)-50))</f>
        <v>319</v>
      </c>
      <c r="AJ139" s="3">
        <f>IF(ISERROR(VLOOKUP($A139,'SegEnds_NonXtal_BW#'!$A:$Z,25,FALSE)+VLOOKUP($A139,A:AL,37,FALSE)-50),"-",(VLOOKUP($A139,'SegEnds_NonXtal_BW#'!$A:$Z,25,FALSE)+VLOOKUP($A139,A:AL,37,FALSE)-50))</f>
        <v>320</v>
      </c>
      <c r="AK139" s="3">
        <v>323</v>
      </c>
      <c r="AL139" s="3">
        <f>IF(ISERROR((VLOOKUP($A139,'SegEnds_NonXtal_BW#'!$A:$Z,26,FALSE)+VLOOKUP($A139,A:AL,37,FALSE)-50)),"-",(VLOOKUP($A139,'SegEnds_NonXtal_BW#'!$A:$Z,26,FALSE)+VLOOKUP($A139,A:AL,37,FALSE)-50))</f>
        <v>332</v>
      </c>
      <c r="AM139" s="28" t="str">
        <f>VLOOKUP(A139,Classification!A:B,2,FALSE)</f>
        <v>A</v>
      </c>
      <c r="AN139" s="28" t="b">
        <f t="shared" si="100"/>
        <v>1</v>
      </c>
      <c r="AO139" s="3" t="str">
        <f>IF(ISERROR(MATCH(A139,'SegEnds_Xtal_Prot#'!B:B, 0)), "NoXtal", "Xtal")</f>
        <v>NoXtal</v>
      </c>
      <c r="AP139" s="3" t="str">
        <f t="shared" si="83"/>
        <v>-</v>
      </c>
      <c r="AQ139" s="3" t="str">
        <f t="shared" si="84"/>
        <v>-</v>
      </c>
      <c r="AR139" s="3">
        <f t="shared" si="85"/>
        <v>2</v>
      </c>
      <c r="AS139" s="3">
        <f t="shared" si="86"/>
        <v>1</v>
      </c>
      <c r="AT139" s="3">
        <f t="shared" si="87"/>
        <v>1</v>
      </c>
      <c r="AU139" s="3">
        <f t="shared" si="88"/>
        <v>1</v>
      </c>
      <c r="AV139" s="3">
        <f t="shared" si="89"/>
        <v>11</v>
      </c>
      <c r="AW139" s="3">
        <f t="shared" si="90"/>
        <v>16</v>
      </c>
      <c r="AX139" s="3">
        <f t="shared" si="91"/>
        <v>5</v>
      </c>
      <c r="AY139" s="3">
        <f t="shared" si="92"/>
        <v>9</v>
      </c>
      <c r="AZ139" s="3">
        <f t="shared" si="93"/>
        <v>1</v>
      </c>
      <c r="BA139" s="3">
        <f>IF(ISERROR(LEN(VLOOKUP(A139,Seqs!A:E,2,FALSE))-AL139),"-",LEN(VLOOKUP(A139,Seqs!A:E,2,FALSE))-AL139)</f>
        <v>24</v>
      </c>
      <c r="BB139" s="16">
        <f t="shared" si="94"/>
        <v>27</v>
      </c>
      <c r="BC139" s="9">
        <f t="shared" si="95"/>
        <v>20</v>
      </c>
      <c r="BD139" s="3">
        <f t="shared" si="96"/>
        <v>27</v>
      </c>
      <c r="BE139" s="3">
        <f t="shared" si="97"/>
        <v>43</v>
      </c>
      <c r="BF139" s="3">
        <f>AH139-AE139</f>
        <v>42</v>
      </c>
    </row>
    <row r="140" spans="1:58" s="3" customFormat="1" x14ac:dyDescent="0.2">
      <c r="A140" s="3" t="s">
        <v>252</v>
      </c>
      <c r="B140" s="3" t="str">
        <f>LOWER(VLOOKUP(A140,Xtal_Templ!A:B,2,FALSE))</f>
        <v>agtr1_human</v>
      </c>
      <c r="C140" s="3">
        <f>VLOOKUP($A140,'SegEnds_NonXtal_BW#'!$A:$Z,3,FALSE)+D140-50</f>
        <v>27</v>
      </c>
      <c r="D140" s="3">
        <v>47</v>
      </c>
      <c r="E140" s="3">
        <f>IF(ISERROR(VLOOKUP($A140,'SegEnds_NonXtal_BW#'!$A:$Z,4,FALSE)+VLOOKUP($A140,A:AL,4,FALSE)-50),"-",(VLOOKUP($A140,'SegEnds_NonXtal_BW#'!$A:$Z,4,FALSE)+VLOOKUP($A140,A:AL,4,FALSE)-50))</f>
        <v>57</v>
      </c>
      <c r="F140" s="3" t="str">
        <f>IF(ISERROR(VLOOKUP($A140,'SegEnds_NonXtal_BW#'!$A:$Z,5,FALSE)+VLOOKUP($A140,A:AL,7,FALSE)-50),"-",(VLOOKUP($A140,'SegEnds_NonXtal_BW#'!$A:$Z,5,FALSE)+VLOOKUP($A140,A:AL,7,FALSE)-50))</f>
        <v>-</v>
      </c>
      <c r="G140" s="3" t="s">
        <v>23</v>
      </c>
      <c r="H140" s="3" t="str">
        <f>IF(ISERROR(VLOOKUP($A140,'SegEnds_NonXtal_BW#'!$A:$Z,6,FALSE)+VLOOKUP($A140,A:AL,7,FALSE)-50),"-",(VLOOKUP($A140,'SegEnds_NonXtal_BW#'!$A:$Z,6,FALSE)+VLOOKUP($A140,A:AL,7,FALSE)-50))</f>
        <v>-</v>
      </c>
      <c r="I140" s="3">
        <f>VLOOKUP($A140,'SegEnds_NonXtal_BW#'!$A:$Z,7,FALSE)+J140-50</f>
        <v>61</v>
      </c>
      <c r="J140" s="3">
        <v>74</v>
      </c>
      <c r="K140" s="3">
        <f>VLOOKUP($A140,'SegEnds_NonXtal_BW#'!$A:$Z,8,FALSE)+VLOOKUP($A140,A:AL,10,FALSE)-50</f>
        <v>90</v>
      </c>
      <c r="L140" s="3">
        <f>M140-1</f>
        <v>93</v>
      </c>
      <c r="M140" s="3">
        <v>94</v>
      </c>
      <c r="N140" s="3">
        <f>M140+2</f>
        <v>96</v>
      </c>
      <c r="O140" s="3">
        <f>N140+1</f>
        <v>97</v>
      </c>
      <c r="P140" s="3">
        <v>126</v>
      </c>
      <c r="Q140" s="3">
        <f>VLOOKUP($A140,'SegEnds_NonXtal_BW#'!$A:$Z,12,FALSE)+VLOOKUP($A140,A:AL,16,FALSE)-50</f>
        <v>132</v>
      </c>
      <c r="R140" s="3">
        <f>IF(ISERROR(VLOOKUP($A140,'SegEnds_NonXtal_BW#'!$A:$Z,13,FALSE)+VLOOKUP($A140,A:AL,19,FALSE)-50),"-",VLOOKUP($A140,'SegEnds_NonXtal_BW#'!$A:$Z,13,FALSE)+VLOOKUP($A140,A:AL,19,FALSE)-50)</f>
        <v>133</v>
      </c>
      <c r="S140" s="3">
        <v>133</v>
      </c>
      <c r="T140" s="103">
        <f>IF(ISERROR(VLOOKUP($A140,'SegEnds_NonXtal_BW#'!$A:$Z,14,FALSE)+VLOOKUP($A140,A:AL,19,FALSE)-50),"-",(VLOOKUP($A140,'SegEnds_NonXtal_BW#'!$A:$Z,14,FALSE)+VLOOKUP($A140,A:AL,19,FALSE)-50))</f>
        <v>140</v>
      </c>
      <c r="U140" s="9">
        <f>IF(ISERROR(VLOOKUP($A140,'SegEnds_NonXtal_BW#'!$A:$Z,15,FALSE)+VLOOKUP($A140,A:AL,22,FALSE)-50),"-",VLOOKUP($A140,'SegEnds_NonXtal_BW#'!$A:$Z,15,FALSE)+VLOOKUP($A140,A:AL,22,FALSE)-50)</f>
        <v>141</v>
      </c>
      <c r="V140" s="3">
        <v>153</v>
      </c>
      <c r="W140" s="3">
        <f>IF(ISERROR(VLOOKUP($A140,'SegEnds_NonXtal_BW#'!$A:$Z,16,FALSE)+VLOOKUP($A140,A:AL,22,FALSE)-50),"-",(VLOOKUP($A140,'SegEnds_NonXtal_BW#'!$A:$Z,16,FALSE)+VLOOKUP($A140,A:AL,22,FALSE)-50))</f>
        <v>167</v>
      </c>
      <c r="X140" s="3">
        <f>IF(ISERROR(VLOOKUP($A140,'SegEnds_NonXtal_BW#'!$A:$Z,17,FALSE)+VLOOKUP($A140,A:AL,25,FALSE)-50),"-",(VLOOKUP($A140,'SegEnds_NonXtal_BW#'!$A:$Z,17,FALSE)+VLOOKUP($A140,A:AL,25,FALSE)-50))</f>
        <v>179</v>
      </c>
      <c r="Y140" s="3">
        <v>179</v>
      </c>
      <c r="Z140" s="3">
        <f t="shared" si="101"/>
        <v>181</v>
      </c>
      <c r="AA140" s="3">
        <f>IF(ISERROR(VLOOKUP($A140,'SegEnds_NonXtal_BW#'!$A:$Z,19,FALSE)+VLOOKUP($A140,A:AL,28,FALSE)-50),"-",(VLOOKUP($A140,'SegEnds_NonXtal_BW#'!$A:$Z,19,FALSE)+VLOOKUP($A140,A:AL,28,FALSE)-50))</f>
        <v>201</v>
      </c>
      <c r="AB140" s="3">
        <v>217</v>
      </c>
      <c r="AC140" s="3">
        <f>IF(ISERROR((VLOOKUP($A140,'SegEnds_NonXtal_BW#'!$A:$Z,20,FALSE)+VLOOKUP($A140,A:AL,28,FALSE)-50)),"-",(VLOOKUP($A140,'SegEnds_NonXtal_BW#'!$A:$Z,20,FALSE)+VLOOKUP($A140,A:AL,28,FALSE)-50))</f>
        <v>235</v>
      </c>
      <c r="AD140" s="3">
        <f>IF(ISERROR(VLOOKUP($A140,'SegEnds_NonXtal_BW#'!$A:$Z,21,FALSE)+VLOOKUP($A140,A:AL,31,FALSE)-50),"-",(VLOOKUP($A140,'SegEnds_NonXtal_BW#'!$A:$Z,21,FALSE)+VLOOKUP($A140,A:AL,31,FALSE)-50))</f>
        <v>240</v>
      </c>
      <c r="AE140" s="3">
        <v>260</v>
      </c>
      <c r="AF140" s="3">
        <f>IF(ISERROR((VLOOKUP($A140,'SegEnds_NonXtal_BW#'!$A:$Z,22,FALSE)+VLOOKUP($A140,A:AL,31,FALSE)-50)),"-",(VLOOKUP($A140,'SegEnds_NonXtal_BW#'!$A:$Z,22,FALSE)+VLOOKUP($A140,A:AL,31,FALSE)-50))</f>
        <v>271</v>
      </c>
      <c r="AG140" s="3">
        <f>IF(ISERROR(VLOOKUP($A140,'SegEnds_NonXtal_BW#'!$A:$Z,23,FALSE)+VLOOKUP($A140,A:AL,34,FALSE)-50),"-",(VLOOKUP($A140,'SegEnds_NonXtal_BW#'!$A:$Z,23,FALSE)+VLOOKUP($A140,A:AL,34,FALSE)-50))</f>
        <v>277</v>
      </c>
      <c r="AH140" s="3">
        <v>296</v>
      </c>
      <c r="AI140" s="3">
        <f>IF(ISERROR((VLOOKUP($A140,'SegEnds_NonXtal_BW#'!$A:$Z,24,FALSE)+VLOOKUP($A140,A:AL,34,FALSE)-50)),"-",(VLOOKUP($A140,'SegEnds_NonXtal_BW#'!$A:$Z,24,FALSE)+VLOOKUP($A140,A:AL,34,FALSE)-50))</f>
        <v>302</v>
      </c>
      <c r="AJ140" s="3">
        <f>IF(ISERROR(VLOOKUP($A140,'SegEnds_NonXtal_BW#'!$A:$Z,25,FALSE)+VLOOKUP($A140,A:AL,37,FALSE)-50),"-",(VLOOKUP($A140,'SegEnds_NonXtal_BW#'!$A:$Z,25,FALSE)+VLOOKUP($A140,A:AL,37,FALSE)-50))</f>
        <v>303</v>
      </c>
      <c r="AK140" s="3">
        <v>306</v>
      </c>
      <c r="AL140" s="3">
        <f>IF(ISERROR((VLOOKUP($A140,'SegEnds_NonXtal_BW#'!$A:$Z,26,FALSE)+VLOOKUP($A140,A:AL,37,FALSE)-50)),"-",(VLOOKUP($A140,'SegEnds_NonXtal_BW#'!$A:$Z,26,FALSE)+VLOOKUP($A140,A:AL,37,FALSE)-50))</f>
        <v>317</v>
      </c>
      <c r="AM140" s="28" t="str">
        <f>VLOOKUP(A140,Classification!A:B,2,FALSE)</f>
        <v>A</v>
      </c>
      <c r="AN140" s="28" t="b">
        <f t="shared" si="100"/>
        <v>1</v>
      </c>
      <c r="AO140" s="3" t="str">
        <f>IF(ISERROR(MATCH(A140,'SegEnds_Xtal_Prot#'!B:B, 0)), "NoXtal", "Xtal")</f>
        <v>NoXtal</v>
      </c>
      <c r="AP140" s="3" t="str">
        <f t="shared" si="83"/>
        <v>-</v>
      </c>
      <c r="AQ140" s="3" t="str">
        <f t="shared" si="84"/>
        <v>-</v>
      </c>
      <c r="AR140" s="3">
        <f t="shared" si="85"/>
        <v>3</v>
      </c>
      <c r="AS140" s="3">
        <f t="shared" si="86"/>
        <v>1</v>
      </c>
      <c r="AT140" s="3">
        <f t="shared" si="87"/>
        <v>1</v>
      </c>
      <c r="AU140" s="3">
        <f t="shared" si="88"/>
        <v>1</v>
      </c>
      <c r="AV140" s="3">
        <f t="shared" si="89"/>
        <v>12</v>
      </c>
      <c r="AW140" s="3">
        <f t="shared" si="90"/>
        <v>20</v>
      </c>
      <c r="AX140" s="3">
        <f t="shared" si="91"/>
        <v>5</v>
      </c>
      <c r="AY140" s="3">
        <f t="shared" si="92"/>
        <v>6</v>
      </c>
      <c r="AZ140" s="3">
        <f t="shared" si="93"/>
        <v>1</v>
      </c>
      <c r="BA140" s="3">
        <f>IF(ISERROR(LEN(VLOOKUP(A140,Seqs!A:E,2,FALSE))-AL140),"-",LEN(VLOOKUP(A140,Seqs!A:E,2,FALSE))-AL140)</f>
        <v>16</v>
      </c>
      <c r="BB140" s="16">
        <f t="shared" si="94"/>
        <v>27</v>
      </c>
      <c r="BC140" s="9">
        <f t="shared" si="95"/>
        <v>20</v>
      </c>
      <c r="BD140" s="3">
        <f t="shared" si="96"/>
        <v>27</v>
      </c>
      <c r="BE140" s="3">
        <f t="shared" si="97"/>
        <v>43</v>
      </c>
      <c r="BF140" s="3">
        <f>AH140-AE140</f>
        <v>36</v>
      </c>
    </row>
    <row r="141" spans="1:58" s="3" customFormat="1" x14ac:dyDescent="0.2">
      <c r="A141" s="3" t="s">
        <v>253</v>
      </c>
      <c r="B141" s="3" t="str">
        <f>LOWER(VLOOKUP(A141,Xtal_Templ!A:B,2,FALSE))</f>
        <v>par1_human</v>
      </c>
      <c r="C141" s="3">
        <f>VLOOKUP($A141,'SegEnds_NonXtal_BW#'!$A:$Z,3,FALSE)+D141-50</f>
        <v>51</v>
      </c>
      <c r="D141" s="3">
        <v>72</v>
      </c>
      <c r="E141" s="3">
        <f>IF(ISERROR(VLOOKUP($A141,'SegEnds_NonXtal_BW#'!$A:$Z,4,FALSE)+VLOOKUP($A141,A:AL,4,FALSE)-50),"-",(VLOOKUP($A141,'SegEnds_NonXtal_BW#'!$A:$Z,4,FALSE)+VLOOKUP($A141,A:AL,4,FALSE)-50))</f>
        <v>82</v>
      </c>
      <c r="F141" s="3" t="str">
        <f>IF(ISERROR(VLOOKUP($A141,'SegEnds_NonXtal_BW#'!$A:$Z,5,FALSE)+VLOOKUP($A141,A:AL,7,FALSE)-50),"-",(VLOOKUP($A141,'SegEnds_NonXtal_BW#'!$A:$Z,5,FALSE)+VLOOKUP($A141,A:AL,7,FALSE)-50))</f>
        <v>-</v>
      </c>
      <c r="G141" s="3" t="s">
        <v>23</v>
      </c>
      <c r="H141" s="3" t="str">
        <f>IF(ISERROR(VLOOKUP($A141,'SegEnds_NonXtal_BW#'!$A:$Z,6,FALSE)+VLOOKUP($A141,A:AL,7,FALSE)-50),"-",(VLOOKUP($A141,'SegEnds_NonXtal_BW#'!$A:$Z,6,FALSE)+VLOOKUP($A141,A:AL,7,FALSE)-50))</f>
        <v>-</v>
      </c>
      <c r="I141" s="3">
        <f>VLOOKUP($A141,'SegEnds_NonXtal_BW#'!$A:$Z,7,FALSE)+J141-50</f>
        <v>87</v>
      </c>
      <c r="J141" s="3">
        <v>100</v>
      </c>
      <c r="K141" s="3">
        <f>VLOOKUP($A141,'SegEnds_NonXtal_BW#'!$A:$Z,8,FALSE)+VLOOKUP($A141,A:AL,10,FALSE)-50</f>
        <v>116</v>
      </c>
      <c r="L141" s="3">
        <f>M141-1</f>
        <v>119</v>
      </c>
      <c r="M141" s="3">
        <v>120</v>
      </c>
      <c r="N141" s="3">
        <f>M141+2</f>
        <v>122</v>
      </c>
      <c r="O141" s="3">
        <f>N141+1</f>
        <v>123</v>
      </c>
      <c r="P141" s="3">
        <v>152</v>
      </c>
      <c r="Q141" s="3">
        <f>VLOOKUP($A141,'SegEnds_NonXtal_BW#'!$A:$Z,12,FALSE)+VLOOKUP($A141,A:AL,16,FALSE)-50</f>
        <v>158</v>
      </c>
      <c r="R141" s="3">
        <f>IF(ISERROR(VLOOKUP($A141,'SegEnds_NonXtal_BW#'!$A:$Z,13,FALSE)+VLOOKUP($A141,A:AL,19,FALSE)-50),"-",VLOOKUP($A141,'SegEnds_NonXtal_BW#'!$A:$Z,13,FALSE)+VLOOKUP($A141,A:AL,19,FALSE)-50)</f>
        <v>159</v>
      </c>
      <c r="S141" s="3">
        <v>159</v>
      </c>
      <c r="T141" s="103">
        <f>IF(ISERROR(VLOOKUP($A141,'SegEnds_NonXtal_BW#'!$A:$Z,14,FALSE)+VLOOKUP($A141,A:AL,19,FALSE)-50),"-",(VLOOKUP($A141,'SegEnds_NonXtal_BW#'!$A:$Z,14,FALSE)+VLOOKUP($A141,A:AL,19,FALSE)-50))</f>
        <v>166</v>
      </c>
      <c r="U141" s="9">
        <f>IF(ISERROR(VLOOKUP($A141,'SegEnds_NonXtal_BW#'!$A:$Z,15,FALSE)+VLOOKUP($A141,A:AL,22,FALSE)-50),"-",VLOOKUP($A141,'SegEnds_NonXtal_BW#'!$A:$Z,15,FALSE)+VLOOKUP($A141,A:AL,22,FALSE)-50)</f>
        <v>167</v>
      </c>
      <c r="V141" s="3">
        <v>179</v>
      </c>
      <c r="W141" s="3">
        <f>IF(ISERROR(VLOOKUP($A141,'SegEnds_NonXtal_BW#'!$A:$Z,16,FALSE)+VLOOKUP($A141,A:AL,22,FALSE)-50),"-",(VLOOKUP($A141,'SegEnds_NonXtal_BW#'!$A:$Z,16,FALSE)+VLOOKUP($A141,A:AL,22,FALSE)-50))</f>
        <v>192</v>
      </c>
      <c r="X141" s="3">
        <f>IF(ISERROR(VLOOKUP($A141,'SegEnds_NonXtal_BW#'!$A:$Z,17,FALSE)+VLOOKUP($A141,A:AL,25,FALSE)-50),"-",(VLOOKUP($A141,'SegEnds_NonXtal_BW#'!$A:$Z,17,FALSE)+VLOOKUP($A141,A:AL,25,FALSE)-50))</f>
        <v>204</v>
      </c>
      <c r="Y141" s="3">
        <v>204</v>
      </c>
      <c r="Z141" s="3">
        <f t="shared" si="101"/>
        <v>206</v>
      </c>
      <c r="AA141" s="3">
        <f>IF(ISERROR(VLOOKUP($A141,'SegEnds_NonXtal_BW#'!$A:$Z,19,FALSE)+VLOOKUP($A141,A:AL,28,FALSE)-50),"-",(VLOOKUP($A141,'SegEnds_NonXtal_BW#'!$A:$Z,19,FALSE)+VLOOKUP($A141,A:AL,28,FALSE)-50))</f>
        <v>212</v>
      </c>
      <c r="AB141" s="3">
        <v>230</v>
      </c>
      <c r="AC141" s="3">
        <f>IF(ISERROR((VLOOKUP($A141,'SegEnds_NonXtal_BW#'!$A:$Z,20,FALSE)+VLOOKUP($A141,A:AL,28,FALSE)-50)),"-",(VLOOKUP($A141,'SegEnds_NonXtal_BW#'!$A:$Z,20,FALSE)+VLOOKUP($A141,A:AL,28,FALSE)-50))</f>
        <v>248</v>
      </c>
      <c r="AD141" s="3">
        <f>IF(ISERROR(VLOOKUP($A141,'SegEnds_NonXtal_BW#'!$A:$Z,21,FALSE)+VLOOKUP($A141,A:AL,31,FALSE)-50),"-",(VLOOKUP($A141,'SegEnds_NonXtal_BW#'!$A:$Z,21,FALSE)+VLOOKUP($A141,A:AL,31,FALSE)-50))</f>
        <v>254</v>
      </c>
      <c r="AE141" s="3">
        <v>281</v>
      </c>
      <c r="AF141" s="3">
        <f>IF(ISERROR((VLOOKUP($A141,'SegEnds_NonXtal_BW#'!$A:$Z,22,FALSE)+VLOOKUP($A141,A:AL,31,FALSE)-50)),"-",(VLOOKUP($A141,'SegEnds_NonXtal_BW#'!$A:$Z,22,FALSE)+VLOOKUP($A141,A:AL,31,FALSE)-50))</f>
        <v>292</v>
      </c>
      <c r="AG141" s="3">
        <f>IF(ISERROR(VLOOKUP($A141,'SegEnds_NonXtal_BW#'!$A:$Z,23,FALSE)+VLOOKUP($A141,A:AL,34,FALSE)-50),"-",(VLOOKUP($A141,'SegEnds_NonXtal_BW#'!$A:$Z,23,FALSE)+VLOOKUP($A141,A:AL,34,FALSE)-50))</f>
        <v>298</v>
      </c>
      <c r="AH141" s="3">
        <v>324</v>
      </c>
      <c r="AI141" s="3">
        <f>IF(ISERROR((VLOOKUP($A141,'SegEnds_NonXtal_BW#'!$A:$Z,24,FALSE)+VLOOKUP($A141,A:AL,34,FALSE)-50)),"-",(VLOOKUP($A141,'SegEnds_NonXtal_BW#'!$A:$Z,24,FALSE)+VLOOKUP($A141,A:AL,34,FALSE)-50))</f>
        <v>330</v>
      </c>
      <c r="AJ141" s="3">
        <f>IF(ISERROR(VLOOKUP($A141,'SegEnds_NonXtal_BW#'!$A:$Z,25,FALSE)+VLOOKUP($A141,A:AL,37,FALSE)-50),"-",(VLOOKUP($A141,'SegEnds_NonXtal_BW#'!$A:$Z,25,FALSE)+VLOOKUP($A141,A:AL,37,FALSE)-50))</f>
        <v>331</v>
      </c>
      <c r="AK141" s="3">
        <v>334</v>
      </c>
      <c r="AL141" s="3">
        <f>IF(ISERROR((VLOOKUP($A141,'SegEnds_NonXtal_BW#'!$A:$Z,26,FALSE)+VLOOKUP($A141,A:AL,37,FALSE)-50)),"-",(VLOOKUP($A141,'SegEnds_NonXtal_BW#'!$A:$Z,26,FALSE)+VLOOKUP($A141,A:AL,37,FALSE)-50))</f>
        <v>345</v>
      </c>
      <c r="AM141" s="28" t="str">
        <f>VLOOKUP(A141,Classification!A:B,2,FALSE)</f>
        <v>A</v>
      </c>
      <c r="AN141" s="28" t="b">
        <f t="shared" si="100"/>
        <v>1</v>
      </c>
      <c r="AO141" s="3" t="str">
        <f>IF(ISERROR(MATCH(A141,'SegEnds_Xtal_Prot#'!B:B, 0)), "NoXtal", "Xtal")</f>
        <v>NoXtal</v>
      </c>
      <c r="AP141" s="3" t="str">
        <f t="shared" si="83"/>
        <v>-</v>
      </c>
      <c r="AQ141" s="3" t="str">
        <f t="shared" si="84"/>
        <v>-</v>
      </c>
      <c r="AR141" s="3">
        <f t="shared" si="85"/>
        <v>3</v>
      </c>
      <c r="AS141" s="3">
        <f t="shared" si="86"/>
        <v>1</v>
      </c>
      <c r="AT141" s="3">
        <f t="shared" si="87"/>
        <v>1</v>
      </c>
      <c r="AU141" s="3">
        <f t="shared" si="88"/>
        <v>1</v>
      </c>
      <c r="AV141" s="3">
        <f t="shared" si="89"/>
        <v>12</v>
      </c>
      <c r="AW141" s="3">
        <f t="shared" si="90"/>
        <v>6</v>
      </c>
      <c r="AX141" s="3">
        <f t="shared" si="91"/>
        <v>6</v>
      </c>
      <c r="AY141" s="3">
        <f t="shared" si="92"/>
        <v>6</v>
      </c>
      <c r="AZ141" s="3">
        <f t="shared" si="93"/>
        <v>1</v>
      </c>
      <c r="BA141" s="3">
        <f>IF(ISERROR(LEN(VLOOKUP(A141,Seqs!A:E,2,FALSE))-AL141),"-",LEN(VLOOKUP(A141,Seqs!A:E,2,FALSE))-AL141)</f>
        <v>36</v>
      </c>
      <c r="BB141" s="16">
        <f t="shared" si="94"/>
        <v>28</v>
      </c>
      <c r="BC141" s="9">
        <f t="shared" si="95"/>
        <v>20</v>
      </c>
      <c r="BD141" s="3">
        <f t="shared" si="96"/>
        <v>28</v>
      </c>
      <c r="BE141" s="3">
        <f t="shared" si="97"/>
        <v>51</v>
      </c>
    </row>
    <row r="142" spans="1:58" s="3" customFormat="1" x14ac:dyDescent="0.2">
      <c r="A142" s="3" t="s">
        <v>254</v>
      </c>
      <c r="B142" s="3" t="str">
        <f>LOWER(VLOOKUP(A142,Xtal_Templ!A:B,2,FALSE))</f>
        <v>ccr2_human</v>
      </c>
      <c r="C142" s="3">
        <f>VLOOKUP($A142,'SegEnds_NonXtal_BW#'!$A:$Z,3,FALSE)+D142-50</f>
        <v>15</v>
      </c>
      <c r="D142" s="3">
        <v>38</v>
      </c>
      <c r="E142" s="3">
        <f>IF(ISERROR(VLOOKUP($A142,'SegEnds_NonXtal_BW#'!$A:$Z,4,FALSE)+VLOOKUP($A142,A:AL,4,FALSE)-50),"-",(VLOOKUP($A142,'SegEnds_NonXtal_BW#'!$A:$Z,4,FALSE)+VLOOKUP($A142,A:AL,4,FALSE)-50))</f>
        <v>48</v>
      </c>
      <c r="F142" s="3">
        <f>G142-2</f>
        <v>49</v>
      </c>
      <c r="G142" s="3">
        <v>51</v>
      </c>
      <c r="H142" s="3">
        <f>G142+1</f>
        <v>52</v>
      </c>
      <c r="I142" s="3">
        <f>H142+1</f>
        <v>53</v>
      </c>
      <c r="J142" s="3">
        <v>66</v>
      </c>
      <c r="K142" s="3">
        <f>VLOOKUP($A142,'SegEnds_NonXtal_BW#'!$A:$Z,8,FALSE)+VLOOKUP($A142,A:AL,10,FALSE)-50</f>
        <v>82</v>
      </c>
      <c r="L142" s="3" t="str">
        <f>IF(ISERROR(VLOOKUP($A142,'SegEnds_NonXtal_BW#'!$A:$Z,9,FALSE)+VLOOKUP($A142,A:AL,13,FALSE)-50),"-",(VLOOKUP($A142,'SegEnds_NonXtal_BW#'!$A:$Z,9,FALSE)+VLOOKUP($A142,A:AL,13,FALSE)-50))</f>
        <v>-</v>
      </c>
      <c r="M142" s="3" t="s">
        <v>23</v>
      </c>
      <c r="N142" s="3" t="str">
        <f>IF(ISERROR(VLOOKUP($A142,'SegEnds_NonXtal_BW#'!$A:$Z,10,FALSE)+VLOOKUP($A142,A:AL,13,FALSE)-50),"-",(VLOOKUP($A142,'SegEnds_NonXtal_BW#'!$A:$Z,10,FALSE)+VLOOKUP($A142,A:AL,13,FALSE)-50))</f>
        <v>-</v>
      </c>
      <c r="O142" s="3">
        <f>VLOOKUP($A142,'SegEnds_NonXtal_BW#'!$A:$Z,11,FALSE)+VLOOKUP($A142,A:AL,16,FALSE)-50</f>
        <v>88</v>
      </c>
      <c r="P142" s="3">
        <v>114</v>
      </c>
      <c r="Q142" s="3">
        <f>VLOOKUP($A142,'SegEnds_NonXtal_BW#'!$A:$Z,12,FALSE)+VLOOKUP($A142,A:AL,16,FALSE)-50</f>
        <v>120</v>
      </c>
      <c r="R142" s="3">
        <f>IF(ISERROR(VLOOKUP($A142,'SegEnds_NonXtal_BW#'!$A:$Z,13,FALSE)+VLOOKUP($A142,A:AL,19,FALSE)-50),"-",VLOOKUP($A142,'SegEnds_NonXtal_BW#'!$A:$Z,13,FALSE)+VLOOKUP($A142,A:AL,19,FALSE)-50)</f>
        <v>121</v>
      </c>
      <c r="S142" s="3">
        <v>121</v>
      </c>
      <c r="T142" s="103">
        <f>IF(ISERROR(VLOOKUP($A142,'SegEnds_NonXtal_BW#'!$A:$Z,14,FALSE)+VLOOKUP($A142,A:AL,19,FALSE)-50),"-",(VLOOKUP($A142,'SegEnds_NonXtal_BW#'!$A:$Z,14,FALSE)+VLOOKUP($A142,A:AL,19,FALSE)-50))</f>
        <v>128</v>
      </c>
      <c r="U142" s="9">
        <f>IF(ISERROR(VLOOKUP($A142,'SegEnds_NonXtal_BW#'!$A:$Z,15,FALSE)+VLOOKUP($A142,A:AL,22,FALSE)-50),"-",VLOOKUP($A142,'SegEnds_NonXtal_BW#'!$A:$Z,15,FALSE)+VLOOKUP($A142,A:AL,22,FALSE)-50)</f>
        <v>129</v>
      </c>
      <c r="V142" s="3">
        <v>141</v>
      </c>
      <c r="W142" s="3">
        <f>IF(ISERROR(VLOOKUP($A142,'SegEnds_NonXtal_BW#'!$A:$Z,16,FALSE)+VLOOKUP($A142,A:AL,22,FALSE)-50),"-",(VLOOKUP($A142,'SegEnds_NonXtal_BW#'!$A:$Z,16,FALSE)+VLOOKUP($A142,A:AL,22,FALSE)-50))</f>
        <v>155</v>
      </c>
      <c r="X142" s="3">
        <f>IF(ISERROR(VLOOKUP($A142,'SegEnds_NonXtal_BW#'!$A:$Z,17,FALSE)+VLOOKUP($A142,A:AL,25,FALSE)-50),"-",(VLOOKUP($A142,'SegEnds_NonXtal_BW#'!$A:$Z,17,FALSE)+VLOOKUP($A142,A:AL,25,FALSE)-50))</f>
        <v>162</v>
      </c>
      <c r="Y142" s="3">
        <v>162</v>
      </c>
      <c r="Z142" s="3">
        <f t="shared" si="101"/>
        <v>164</v>
      </c>
      <c r="AA142" s="3">
        <f>IF(ISERROR(VLOOKUP($A142,'SegEnds_NonXtal_BW#'!$A:$Z,19,FALSE)+VLOOKUP($A142,A:AL,28,FALSE)-50),"-",(VLOOKUP($A142,'SegEnds_NonXtal_BW#'!$A:$Z,19,FALSE)+VLOOKUP($A142,A:AL,28,FALSE)-50))</f>
        <v>168</v>
      </c>
      <c r="AB142" s="3">
        <v>183</v>
      </c>
      <c r="AC142" s="3">
        <f>IF(ISERROR((VLOOKUP($A142,'SegEnds_NonXtal_BW#'!$A:$Z,20,FALSE)+VLOOKUP($A142,A:AL,28,FALSE)-50)),"-",(VLOOKUP($A142,'SegEnds_NonXtal_BW#'!$A:$Z,20,FALSE)+VLOOKUP($A142,A:AL,28,FALSE)-50))</f>
        <v>201</v>
      </c>
      <c r="AD142" s="3">
        <f>IF(ISERROR(VLOOKUP($A142,'SegEnds_NonXtal_BW#'!$A:$Z,21,FALSE)+VLOOKUP($A142,A:AL,31,FALSE)-50),"-",(VLOOKUP($A142,'SegEnds_NonXtal_BW#'!$A:$Z,21,FALSE)+VLOOKUP($A142,A:AL,31,FALSE)-50))</f>
        <v>206</v>
      </c>
      <c r="AE142" s="3">
        <v>232</v>
      </c>
      <c r="AF142" s="3">
        <f>IF(ISERROR((VLOOKUP($A142,'SegEnds_NonXtal_BW#'!$A:$Z,22,FALSE)+VLOOKUP($A142,A:AL,31,FALSE)-50)),"-",(VLOOKUP($A142,'SegEnds_NonXtal_BW#'!$A:$Z,22,FALSE)+VLOOKUP($A142,A:AL,31,FALSE)-50))</f>
        <v>243</v>
      </c>
      <c r="AG142" s="3">
        <f>IF(ISERROR(VLOOKUP($A142,'SegEnds_NonXtal_BW#'!$A:$Z,23,FALSE)+VLOOKUP($A142,A:AL,34,FALSE)-50),"-",(VLOOKUP($A142,'SegEnds_NonXtal_BW#'!$A:$Z,23,FALSE)+VLOOKUP($A142,A:AL,34,FALSE)-50))</f>
        <v>251</v>
      </c>
      <c r="AH142" s="3">
        <v>273</v>
      </c>
      <c r="AI142" s="3">
        <f>IF(ISERROR((VLOOKUP($A142,'SegEnds_NonXtal_BW#'!$A:$Z,24,FALSE)+VLOOKUP($A142,A:AL,34,FALSE)-50)),"-",(VLOOKUP($A142,'SegEnds_NonXtal_BW#'!$A:$Z,24,FALSE)+VLOOKUP($A142,A:AL,34,FALSE)-50))</f>
        <v>279</v>
      </c>
      <c r="AJ142" s="3">
        <f>IF(ISERROR(VLOOKUP($A142,'SegEnds_NonXtal_BW#'!$A:$Z,25,FALSE)+VLOOKUP($A142,A:AL,37,FALSE)-50),"-",(VLOOKUP($A142,'SegEnds_NonXtal_BW#'!$A:$Z,25,FALSE)+VLOOKUP($A142,A:AL,37,FALSE)-50))</f>
        <v>280</v>
      </c>
      <c r="AK142" s="3">
        <v>283</v>
      </c>
      <c r="AL142" s="3">
        <f>IF(ISERROR((VLOOKUP($A142,'SegEnds_NonXtal_BW#'!$A:$Z,26,FALSE)+VLOOKUP($A142,A:AL,37,FALSE)-50)),"-",(VLOOKUP($A142,'SegEnds_NonXtal_BW#'!$A:$Z,26,FALSE)+VLOOKUP($A142,A:AL,37,FALSE)-50))</f>
        <v>291</v>
      </c>
      <c r="AM142" s="28" t="str">
        <f>VLOOKUP(A142,Classification!A:B,2,FALSE)</f>
        <v>A</v>
      </c>
      <c r="AN142" s="28" t="b">
        <f t="shared" si="100"/>
        <v>1</v>
      </c>
      <c r="AO142" s="3" t="str">
        <f>IF(ISERROR(MATCH(A142,'SegEnds_Xtal_Prot#'!B:B, 0)), "NoXtal", "Xtal")</f>
        <v>NoXtal</v>
      </c>
      <c r="AP142" s="3">
        <f t="shared" si="83"/>
        <v>1</v>
      </c>
      <c r="AQ142" s="3">
        <f t="shared" si="84"/>
        <v>1</v>
      </c>
      <c r="AR142" s="3" t="str">
        <f t="shared" si="85"/>
        <v>-</v>
      </c>
      <c r="AS142" s="3" t="str">
        <f t="shared" si="86"/>
        <v>-</v>
      </c>
      <c r="AT142" s="3">
        <f t="shared" si="87"/>
        <v>1</v>
      </c>
      <c r="AU142" s="3">
        <f t="shared" si="88"/>
        <v>1</v>
      </c>
      <c r="AV142" s="3">
        <f t="shared" si="89"/>
        <v>7</v>
      </c>
      <c r="AW142" s="3">
        <f t="shared" si="90"/>
        <v>4</v>
      </c>
      <c r="AX142" s="3">
        <f t="shared" si="91"/>
        <v>5</v>
      </c>
      <c r="AY142" s="3">
        <f t="shared" si="92"/>
        <v>8</v>
      </c>
      <c r="AZ142" s="3">
        <f t="shared" si="93"/>
        <v>1</v>
      </c>
      <c r="BA142" s="3">
        <f>IF(ISERROR(LEN(VLOOKUP(A142,Seqs!A:E,2,FALSE))-AL142),"-",LEN(VLOOKUP(A142,Seqs!A:E,2,FALSE))-AL142)</f>
        <v>18</v>
      </c>
      <c r="BB142" s="16">
        <f t="shared" si="94"/>
        <v>28</v>
      </c>
      <c r="BC142" s="9">
        <f t="shared" si="95"/>
        <v>20</v>
      </c>
      <c r="BD142" s="3">
        <f t="shared" si="96"/>
        <v>28</v>
      </c>
      <c r="BE142" s="3">
        <f t="shared" si="97"/>
        <v>49</v>
      </c>
      <c r="BF142" s="3">
        <f>AH142-AE142</f>
        <v>41</v>
      </c>
    </row>
    <row r="143" spans="1:58" s="3" customFormat="1" x14ac:dyDescent="0.2">
      <c r="A143" s="3" t="s">
        <v>255</v>
      </c>
      <c r="B143" s="3" t="str">
        <f>LOWER(VLOOKUP(A143,Xtal_Templ!A:B,2,FALSE))</f>
        <v>ednrb_human</v>
      </c>
      <c r="C143" s="3">
        <f>VLOOKUP($A143,'SegEnds_NonXtal_BW#'!$A:$Z,3,FALSE)+D143-50</f>
        <v>251</v>
      </c>
      <c r="D143" s="3">
        <v>279</v>
      </c>
      <c r="E143" s="3">
        <f>IF(ISERROR(VLOOKUP($A143,'SegEnds_NonXtal_BW#'!$A:$Z,4,FALSE)+VLOOKUP($A143,A:AL,4,FALSE)-50),"-",(VLOOKUP($A143,'SegEnds_NonXtal_BW#'!$A:$Z,4,FALSE)+VLOOKUP($A143,A:AL,4,FALSE)-50))</f>
        <v>289</v>
      </c>
      <c r="F143" s="3">
        <f>G143-2</f>
        <v>290</v>
      </c>
      <c r="G143" s="3">
        <v>292</v>
      </c>
      <c r="H143" s="3">
        <f>G143+1</f>
        <v>293</v>
      </c>
      <c r="I143" s="3">
        <f>H143+1</f>
        <v>294</v>
      </c>
      <c r="J143" s="3">
        <v>307</v>
      </c>
      <c r="K143" s="3">
        <f>VLOOKUP($A143,'SegEnds_NonXtal_BW#'!$A:$Z,8,FALSE)+VLOOKUP($A143,A:AL,10,FALSE)-50</f>
        <v>324</v>
      </c>
      <c r="L143" s="3">
        <f>M143-1</f>
        <v>326</v>
      </c>
      <c r="M143" s="3">
        <v>327</v>
      </c>
      <c r="N143" s="3">
        <f>M143+2</f>
        <v>329</v>
      </c>
      <c r="O143" s="3">
        <f>N143+1</f>
        <v>330</v>
      </c>
      <c r="P143" s="3">
        <v>359</v>
      </c>
      <c r="Q143" s="3">
        <f>VLOOKUP($A143,'SegEnds_NonXtal_BW#'!$A:$Z,12,FALSE)+VLOOKUP($A143,A:AL,16,FALSE)-50</f>
        <v>365</v>
      </c>
      <c r="R143" s="3">
        <f>IF(ISERROR(VLOOKUP($A143,'SegEnds_NonXtal_BW#'!$A:$Z,13,FALSE)+VLOOKUP($A143,A:AL,19,FALSE)-50),"-",VLOOKUP($A143,'SegEnds_NonXtal_BW#'!$A:$Z,13,FALSE)+VLOOKUP($A143,A:AL,19,FALSE)-50)</f>
        <v>367</v>
      </c>
      <c r="S143" s="3">
        <v>367</v>
      </c>
      <c r="T143" s="103">
        <f>IF(ISERROR(VLOOKUP($A143,'SegEnds_NonXtal_BW#'!$A:$Z,14,FALSE)+VLOOKUP($A143,A:AL,19,FALSE)-50),"-",(VLOOKUP($A143,'SegEnds_NonXtal_BW#'!$A:$Z,14,FALSE)+VLOOKUP($A143,A:AL,19,FALSE)-50))</f>
        <v>374</v>
      </c>
      <c r="U143" s="9">
        <f>IF(ISERROR(VLOOKUP($A143,'SegEnds_NonXtal_BW#'!$A:$Z,15,FALSE)+VLOOKUP($A143,A:AL,22,FALSE)-50),"-",VLOOKUP($A143,'SegEnds_NonXtal_BW#'!$A:$Z,15,FALSE)+VLOOKUP($A143,A:AL,22,FALSE)-50)</f>
        <v>375</v>
      </c>
      <c r="V143" s="3">
        <v>387</v>
      </c>
      <c r="W143" s="3">
        <f>IF(ISERROR(VLOOKUP($A143,'SegEnds_NonXtal_BW#'!$A:$Z,16,FALSE)+VLOOKUP($A143,A:AL,22,FALSE)-50),"-",(VLOOKUP($A143,'SegEnds_NonXtal_BW#'!$A:$Z,16,FALSE)+VLOOKUP($A143,A:AL,22,FALSE)-50))</f>
        <v>401</v>
      </c>
      <c r="X143" s="3">
        <f>IF(ISERROR(VLOOKUP($A143,'SegEnds_NonXtal_BW#'!$A:$Z,17,FALSE)+VLOOKUP($A143,A:AL,25,FALSE)-50),"-",(VLOOKUP($A143,'SegEnds_NonXtal_BW#'!$A:$Z,17,FALSE)+VLOOKUP($A143,A:AL,25,FALSE)-50))</f>
        <v>419</v>
      </c>
      <c r="Y143" s="3">
        <v>419</v>
      </c>
      <c r="Z143" s="3">
        <f t="shared" si="101"/>
        <v>421</v>
      </c>
      <c r="AA143" s="3">
        <f>IF(ISERROR(VLOOKUP($A143,'SegEnds_NonXtal_BW#'!$A:$Z,19,FALSE)+VLOOKUP($A143,A:AL,28,FALSE)-50),"-",(VLOOKUP($A143,'SegEnds_NonXtal_BW#'!$A:$Z,19,FALSE)+VLOOKUP($A143,A:AL,28,FALSE)-50))</f>
        <v>433</v>
      </c>
      <c r="AB143" s="3">
        <v>454</v>
      </c>
      <c r="AC143" s="3">
        <f>IF(ISERROR((VLOOKUP($A143,'SegEnds_NonXtal_BW#'!$A:$Z,20,FALSE)+VLOOKUP($A143,A:AL,28,FALSE)-50)),"-",(VLOOKUP($A143,'SegEnds_NonXtal_BW#'!$A:$Z,20,FALSE)+VLOOKUP($A143,A:AL,28,FALSE)-50))</f>
        <v>476</v>
      </c>
      <c r="AD143" s="3">
        <f>IF(ISERROR(VLOOKUP($A143,'SegEnds_NonXtal_BW#'!$A:$Z,21,FALSE)+VLOOKUP($A143,A:AL,31,FALSE)-50),"-",(VLOOKUP($A143,'SegEnds_NonXtal_BW#'!$A:$Z,21,FALSE)+VLOOKUP($A143,A:AL,31,FALSE)-50))</f>
        <v>481</v>
      </c>
      <c r="AE143" s="3">
        <v>507</v>
      </c>
      <c r="AF143" s="3">
        <f>IF(ISERROR((VLOOKUP($A143,'SegEnds_NonXtal_BW#'!$A:$Z,22,FALSE)+VLOOKUP($A143,A:AL,31,FALSE)-50)),"-",(VLOOKUP($A143,'SegEnds_NonXtal_BW#'!$A:$Z,22,FALSE)+VLOOKUP($A143,A:AL,31,FALSE)-50))</f>
        <v>518</v>
      </c>
      <c r="AG143" s="3">
        <f>IF(ISERROR(VLOOKUP($A143,'SegEnds_NonXtal_BW#'!$A:$Z,23,FALSE)+VLOOKUP($A143,A:AL,34,FALSE)-50),"-",(VLOOKUP($A143,'SegEnds_NonXtal_BW#'!$A:$Z,23,FALSE)+VLOOKUP($A143,A:AL,34,FALSE)-50))</f>
        <v>524</v>
      </c>
      <c r="AH143" s="3">
        <v>546</v>
      </c>
      <c r="AI143" s="3">
        <f>IF(ISERROR((VLOOKUP($A143,'SegEnds_NonXtal_BW#'!$A:$Z,24,FALSE)+VLOOKUP($A143,A:AL,34,FALSE)-50)),"-",(VLOOKUP($A143,'SegEnds_NonXtal_BW#'!$A:$Z,24,FALSE)+VLOOKUP($A143,A:AL,34,FALSE)-50))</f>
        <v>552</v>
      </c>
      <c r="AJ143" s="3">
        <f>IF(ISERROR(VLOOKUP($A143,'SegEnds_NonXtal_BW#'!$A:$Z,25,FALSE)+VLOOKUP($A143,A:AL,37,FALSE)-50),"-",(VLOOKUP($A143,'SegEnds_NonXtal_BW#'!$A:$Z,25,FALSE)+VLOOKUP($A143,A:AL,37,FALSE)-50))</f>
        <v>553</v>
      </c>
      <c r="AK143" s="3">
        <v>556</v>
      </c>
      <c r="AL143" s="3">
        <f>IF(ISERROR((VLOOKUP($A143,'SegEnds_NonXtal_BW#'!$A:$Z,26,FALSE)+VLOOKUP($A143,A:AL,37,FALSE)-50)),"-",(VLOOKUP($A143,'SegEnds_NonXtal_BW#'!$A:$Z,26,FALSE)+VLOOKUP($A143,A:AL,37,FALSE)-50))</f>
        <v>566</v>
      </c>
      <c r="AM143" s="28" t="str">
        <f>VLOOKUP(A143,Classification!A:B,2,FALSE)</f>
        <v>A</v>
      </c>
      <c r="AN143" s="28" t="b">
        <f t="shared" si="100"/>
        <v>1</v>
      </c>
      <c r="AO143" s="3" t="str">
        <f>IF(ISERROR(MATCH(A143,'SegEnds_Xtal_Prot#'!B:B, 0)), "NoXtal", "Xtal")</f>
        <v>NoXtal</v>
      </c>
      <c r="AP143" s="3">
        <f t="shared" si="83"/>
        <v>1</v>
      </c>
      <c r="AQ143" s="3">
        <f t="shared" si="84"/>
        <v>1</v>
      </c>
      <c r="AR143" s="3">
        <f t="shared" si="85"/>
        <v>2</v>
      </c>
      <c r="AS143" s="3">
        <f t="shared" si="86"/>
        <v>1</v>
      </c>
      <c r="AT143" s="3">
        <f t="shared" si="87"/>
        <v>2</v>
      </c>
      <c r="AU143" s="3">
        <f t="shared" si="88"/>
        <v>1</v>
      </c>
      <c r="AV143" s="3">
        <f t="shared" si="89"/>
        <v>18</v>
      </c>
      <c r="AW143" s="3">
        <f t="shared" si="90"/>
        <v>12</v>
      </c>
      <c r="AX143" s="3">
        <f t="shared" si="91"/>
        <v>5</v>
      </c>
      <c r="AY143" s="3">
        <f t="shared" si="92"/>
        <v>6</v>
      </c>
      <c r="AZ143" s="3">
        <f t="shared" si="93"/>
        <v>1</v>
      </c>
      <c r="BA143" s="3">
        <f>IF(ISERROR(LEN(VLOOKUP(A143,Seqs!A:E,2,FALSE))-AL143),"-",LEN(VLOOKUP(A143,Seqs!A:E,2,FALSE))-AL143)</f>
        <v>47</v>
      </c>
      <c r="BB143" s="16">
        <f t="shared" si="94"/>
        <v>28</v>
      </c>
      <c r="BC143" s="9">
        <f t="shared" si="95"/>
        <v>20</v>
      </c>
      <c r="BD143" s="3">
        <f t="shared" si="96"/>
        <v>28</v>
      </c>
      <c r="BE143" s="3">
        <f t="shared" si="97"/>
        <v>53</v>
      </c>
    </row>
    <row r="144" spans="1:58" s="3" customFormat="1" x14ac:dyDescent="0.2">
      <c r="A144" s="3" t="s">
        <v>256</v>
      </c>
      <c r="B144" s="3" t="str">
        <f>LOWER(VLOOKUP(A144,Xtal_Templ!A:B,2,FALSE))</f>
        <v>ntr1_rat</v>
      </c>
      <c r="C144" s="3">
        <f>VLOOKUP($A144,'SegEnds_NonXtal_BW#'!$A:$Z,3,FALSE)+D144-50</f>
        <v>27</v>
      </c>
      <c r="D144" s="3">
        <v>48</v>
      </c>
      <c r="E144" s="3">
        <f>IF(ISERROR(VLOOKUP($A144,'SegEnds_NonXtal_BW#'!$A:$Z,4,FALSE)+VLOOKUP($A144,A:AL,4,FALSE)-50),"-",(VLOOKUP($A144,'SegEnds_NonXtal_BW#'!$A:$Z,4,FALSE)+VLOOKUP($A144,A:AL,4,FALSE)-50))</f>
        <v>58</v>
      </c>
      <c r="F144" s="3" t="str">
        <f>IF(ISERROR(VLOOKUP($A144,'SegEnds_NonXtal_BW#'!$A:$Z,5,FALSE)+VLOOKUP($A144,A:AL,7,FALSE)-50),"-",(VLOOKUP($A144,'SegEnds_NonXtal_BW#'!$A:$Z,5,FALSE)+VLOOKUP($A144,A:AL,7,FALSE)-50))</f>
        <v>-</v>
      </c>
      <c r="G144" s="3" t="s">
        <v>23</v>
      </c>
      <c r="H144" s="3" t="str">
        <f>IF(ISERROR(VLOOKUP($A144,'SegEnds_NonXtal_BW#'!$A:$Z,6,FALSE)+VLOOKUP($A144,A:AL,7,FALSE)-50),"-",(VLOOKUP($A144,'SegEnds_NonXtal_BW#'!$A:$Z,6,FALSE)+VLOOKUP($A144,A:AL,7,FALSE)-50))</f>
        <v>-</v>
      </c>
      <c r="I144" s="3">
        <f>VLOOKUP($A144,'SegEnds_NonXtal_BW#'!$A:$Z,7,FALSE)+J144-50</f>
        <v>66</v>
      </c>
      <c r="J144" s="3">
        <v>79</v>
      </c>
      <c r="K144" s="3">
        <f>VLOOKUP($A144,'SegEnds_NonXtal_BW#'!$A:$Z,8,FALSE)+VLOOKUP($A144,A:AL,10,FALSE)-50</f>
        <v>97</v>
      </c>
      <c r="L144" s="3" t="str">
        <f>IF(ISERROR(VLOOKUP($A144,'SegEnds_NonXtal_BW#'!$A:$Z,9,FALSE)+VLOOKUP($A144,A:AL,13,FALSE)-50),"-",(VLOOKUP($A144,'SegEnds_NonXtal_BW#'!$A:$Z,9,FALSE)+VLOOKUP($A144,A:AL,13,FALSE)-50))</f>
        <v>-</v>
      </c>
      <c r="M144" s="3" t="s">
        <v>23</v>
      </c>
      <c r="N144" s="3" t="str">
        <f>IF(ISERROR(VLOOKUP($A144,'SegEnds_NonXtal_BW#'!$A:$Z,10,FALSE)+VLOOKUP($A144,A:AL,13,FALSE)-50),"-",(VLOOKUP($A144,'SegEnds_NonXtal_BW#'!$A:$Z,10,FALSE)+VLOOKUP($A144,A:AL,13,FALSE)-50))</f>
        <v>-</v>
      </c>
      <c r="O144" s="3">
        <f>VLOOKUP($A144,'SegEnds_NonXtal_BW#'!$A:$Z,11,FALSE)+VLOOKUP($A144,A:AL,16,FALSE)-50</f>
        <v>101</v>
      </c>
      <c r="P144" s="3">
        <v>133</v>
      </c>
      <c r="Q144" s="3">
        <f>VLOOKUP($A144,'SegEnds_NonXtal_BW#'!$A:$Z,12,FALSE)+VLOOKUP($A144,A:AL,16,FALSE)-50</f>
        <v>139</v>
      </c>
      <c r="R144" s="3">
        <f>IF(ISERROR(VLOOKUP($A144,'SegEnds_NonXtal_BW#'!$A:$Z,13,FALSE)+VLOOKUP($A144,A:AL,19,FALSE)-50),"-",VLOOKUP($A144,'SegEnds_NonXtal_BW#'!$A:$Z,13,FALSE)+VLOOKUP($A144,A:AL,19,FALSE)-50)</f>
        <v>140</v>
      </c>
      <c r="S144" s="3">
        <v>140</v>
      </c>
      <c r="T144" s="103">
        <f>IF(ISERROR(VLOOKUP($A144,'SegEnds_NonXtal_BW#'!$A:$Z,14,FALSE)+VLOOKUP($A144,A:AL,19,FALSE)-50),"-",(VLOOKUP($A144,'SegEnds_NonXtal_BW#'!$A:$Z,14,FALSE)+VLOOKUP($A144,A:AL,19,FALSE)-50))</f>
        <v>147</v>
      </c>
      <c r="U144" s="9">
        <f>IF(ISERROR(VLOOKUP($A144,'SegEnds_NonXtal_BW#'!$A:$Z,15,FALSE)+VLOOKUP($A144,A:AL,22,FALSE)-50),"-",VLOOKUP($A144,'SegEnds_NonXtal_BW#'!$A:$Z,15,FALSE)+VLOOKUP($A144,A:AL,22,FALSE)-50)</f>
        <v>148</v>
      </c>
      <c r="V144" s="3">
        <v>160</v>
      </c>
      <c r="W144" s="3">
        <f>IF(ISERROR(VLOOKUP($A144,'SegEnds_NonXtal_BW#'!$A:$Z,16,FALSE)+VLOOKUP($A144,A:AL,22,FALSE)-50),"-",(VLOOKUP($A144,'SegEnds_NonXtal_BW#'!$A:$Z,16,FALSE)+VLOOKUP($A144,A:AL,22,FALSE)-50))</f>
        <v>174</v>
      </c>
      <c r="X144" s="3">
        <f>IF(ISERROR(VLOOKUP($A144,'SegEnds_NonXtal_BW#'!$A:$Z,17,FALSE)+VLOOKUP($A144,A:AL,25,FALSE)-50),"-",(VLOOKUP($A144,'SegEnds_NonXtal_BW#'!$A:$Z,17,FALSE)+VLOOKUP($A144,A:AL,25,FALSE)-50))</f>
        <v>210</v>
      </c>
      <c r="Y144" s="3">
        <v>210</v>
      </c>
      <c r="Z144" s="3">
        <f t="shared" si="101"/>
        <v>212</v>
      </c>
      <c r="AA144" s="3">
        <f>IF(ISERROR(VLOOKUP($A144,'SegEnds_NonXtal_BW#'!$A:$Z,19,FALSE)+VLOOKUP($A144,A:AL,28,FALSE)-50),"-",(VLOOKUP($A144,'SegEnds_NonXtal_BW#'!$A:$Z,19,FALSE)+VLOOKUP($A144,A:AL,28,FALSE)-50))</f>
        <v>216</v>
      </c>
      <c r="AB144" s="3">
        <v>231</v>
      </c>
      <c r="AC144" s="3">
        <f>IF(ISERROR((VLOOKUP($A144,'SegEnds_NonXtal_BW#'!$A:$Z,20,FALSE)+VLOOKUP($A144,A:AL,28,FALSE)-50)),"-",(VLOOKUP($A144,'SegEnds_NonXtal_BW#'!$A:$Z,20,FALSE)+VLOOKUP($A144,A:AL,28,FALSE)-50))</f>
        <v>257</v>
      </c>
      <c r="AD144" s="3">
        <f>IF(ISERROR(VLOOKUP($A144,'SegEnds_NonXtal_BW#'!$A:$Z,21,FALSE)+VLOOKUP($A144,A:AL,31,FALSE)-50),"-",(VLOOKUP($A144,'SegEnds_NonXtal_BW#'!$A:$Z,21,FALSE)+VLOOKUP($A144,A:AL,31,FALSE)-50))</f>
        <v>272</v>
      </c>
      <c r="AE144" s="3">
        <v>298</v>
      </c>
      <c r="AF144" s="3">
        <f>IF(ISERROR((VLOOKUP($A144,'SegEnds_NonXtal_BW#'!$A:$Z,22,FALSE)+VLOOKUP($A144,A:AL,31,FALSE)-50)),"-",(VLOOKUP($A144,'SegEnds_NonXtal_BW#'!$A:$Z,22,FALSE)+VLOOKUP($A144,A:AL,31,FALSE)-50))</f>
        <v>309</v>
      </c>
      <c r="AG144" s="3">
        <f>IF(ISERROR(VLOOKUP($A144,'SegEnds_NonXtal_BW#'!$A:$Z,23,FALSE)+VLOOKUP($A144,A:AL,34,FALSE)-50),"-",(VLOOKUP($A144,'SegEnds_NonXtal_BW#'!$A:$Z,23,FALSE)+VLOOKUP($A144,A:AL,34,FALSE)-50))</f>
        <v>315</v>
      </c>
      <c r="AH144" s="3">
        <v>341</v>
      </c>
      <c r="AI144" s="3">
        <f>IF(ISERROR((VLOOKUP($A144,'SegEnds_NonXtal_BW#'!$A:$Z,24,FALSE)+VLOOKUP($A144,A:AL,34,FALSE)-50)),"-",(VLOOKUP($A144,'SegEnds_NonXtal_BW#'!$A:$Z,24,FALSE)+VLOOKUP($A144,A:AL,34,FALSE)-50))</f>
        <v>347</v>
      </c>
      <c r="AJ144" s="3">
        <f>IF(ISERROR(VLOOKUP($A144,'SegEnds_NonXtal_BW#'!$A:$Z,25,FALSE)+VLOOKUP($A144,A:AL,37,FALSE)-50),"-",(VLOOKUP($A144,'SegEnds_NonXtal_BW#'!$A:$Z,25,FALSE)+VLOOKUP($A144,A:AL,37,FALSE)-50))</f>
        <v>348</v>
      </c>
      <c r="AK144" s="3">
        <v>351</v>
      </c>
      <c r="AL144" s="3">
        <f>IF(ISERROR((VLOOKUP($A144,'SegEnds_NonXtal_BW#'!$A:$Z,26,FALSE)+VLOOKUP($A144,A:AL,37,FALSE)-50)),"-",(VLOOKUP($A144,'SegEnds_NonXtal_BW#'!$A:$Z,26,FALSE)+VLOOKUP($A144,A:AL,37,FALSE)-50))</f>
        <v>359</v>
      </c>
      <c r="AM144" s="28" t="str">
        <f>VLOOKUP(A144,Classification!A:B,2,FALSE)</f>
        <v>A</v>
      </c>
      <c r="AN144" s="28" t="b">
        <f t="shared" si="100"/>
        <v>1</v>
      </c>
      <c r="AO144" s="3" t="str">
        <f>IF(ISERROR(MATCH(A144,'SegEnds_Xtal_Prot#'!B:B, 0)), "NoXtal", "Xtal")</f>
        <v>NoXtal</v>
      </c>
      <c r="AP144" s="3" t="str">
        <f t="shared" si="83"/>
        <v>-</v>
      </c>
      <c r="AQ144" s="3" t="str">
        <f t="shared" si="84"/>
        <v>-</v>
      </c>
      <c r="AR144" s="3" t="str">
        <f t="shared" si="85"/>
        <v>-</v>
      </c>
      <c r="AS144" s="3" t="str">
        <f t="shared" si="86"/>
        <v>-</v>
      </c>
      <c r="AT144" s="3">
        <f t="shared" si="87"/>
        <v>1</v>
      </c>
      <c r="AU144" s="3">
        <f t="shared" si="88"/>
        <v>1</v>
      </c>
      <c r="AV144" s="3">
        <f t="shared" si="89"/>
        <v>36</v>
      </c>
      <c r="AW144" s="3">
        <f t="shared" si="90"/>
        <v>4</v>
      </c>
      <c r="AX144" s="3">
        <f t="shared" si="91"/>
        <v>15</v>
      </c>
      <c r="AY144" s="3">
        <f t="shared" si="92"/>
        <v>6</v>
      </c>
      <c r="AZ144" s="3">
        <f t="shared" si="93"/>
        <v>1</v>
      </c>
      <c r="BA144" s="3">
        <f>IF(ISERROR(LEN(VLOOKUP(A144,Seqs!A:E,2,FALSE))-AL144),"-",LEN(VLOOKUP(A144,Seqs!A:E,2,FALSE))-AL144)</f>
        <v>94</v>
      </c>
      <c r="BB144" s="16">
        <f t="shared" si="94"/>
        <v>31</v>
      </c>
      <c r="BC144" s="9">
        <f t="shared" si="95"/>
        <v>20</v>
      </c>
      <c r="BD144" s="3">
        <f t="shared" si="96"/>
        <v>31</v>
      </c>
      <c r="BE144" s="3">
        <f t="shared" si="97"/>
        <v>67</v>
      </c>
    </row>
    <row r="145" spans="1:58" s="3" customFormat="1" x14ac:dyDescent="0.2">
      <c r="A145" s="3" t="s">
        <v>257</v>
      </c>
      <c r="B145" s="3" t="str">
        <f>LOWER(VLOOKUP(A145,Xtal_Templ!A:B,2,FALSE))</f>
        <v>par2_human</v>
      </c>
      <c r="C145" s="3">
        <f>VLOOKUP($A145,'SegEnds_NonXtal_BW#'!$A:$Z,3,FALSE)+D145-50</f>
        <v>13</v>
      </c>
      <c r="D145" s="3">
        <v>35</v>
      </c>
      <c r="E145" s="3">
        <f>IF(ISERROR(VLOOKUP($A145,'SegEnds_NonXtal_BW#'!$A:$Z,4,FALSE)+VLOOKUP($A145,A:AL,4,FALSE)-50),"-",(VLOOKUP($A145,'SegEnds_NonXtal_BW#'!$A:$Z,4,FALSE)+VLOOKUP($A145,A:AL,4,FALSE)-50))</f>
        <v>45</v>
      </c>
      <c r="F145" s="3" t="str">
        <f>IF(ISERROR(VLOOKUP($A145,'SegEnds_NonXtal_BW#'!$A:$Z,5,FALSE)+VLOOKUP($A145,A:AL,7,FALSE)-50),"-",(VLOOKUP($A145,'SegEnds_NonXtal_BW#'!$A:$Z,5,FALSE)+VLOOKUP($A145,A:AL,7,FALSE)-50))</f>
        <v>-</v>
      </c>
      <c r="G145" s="3" t="s">
        <v>23</v>
      </c>
      <c r="H145" s="3" t="str">
        <f>IF(ISERROR(VLOOKUP($A145,'SegEnds_NonXtal_BW#'!$A:$Z,6,FALSE)+VLOOKUP($A145,A:AL,7,FALSE)-50),"-",(VLOOKUP($A145,'SegEnds_NonXtal_BW#'!$A:$Z,6,FALSE)+VLOOKUP($A145,A:AL,7,FALSE)-50))</f>
        <v>-</v>
      </c>
      <c r="I145" s="3">
        <f>VLOOKUP($A145,'SegEnds_NonXtal_BW#'!$A:$Z,7,FALSE)+J145-50</f>
        <v>50</v>
      </c>
      <c r="J145" s="3">
        <v>63</v>
      </c>
      <c r="K145" s="3">
        <f>VLOOKUP($A145,'SegEnds_NonXtal_BW#'!$A:$Z,8,FALSE)+VLOOKUP($A145,A:AL,10,FALSE)-50</f>
        <v>79</v>
      </c>
      <c r="L145" s="3">
        <f>M145-1</f>
        <v>82</v>
      </c>
      <c r="M145" s="3">
        <v>83</v>
      </c>
      <c r="N145" s="3">
        <f>M145+2</f>
        <v>85</v>
      </c>
      <c r="O145" s="3">
        <f>N145+1</f>
        <v>86</v>
      </c>
      <c r="P145" s="3">
        <v>115</v>
      </c>
      <c r="Q145" s="3">
        <f>VLOOKUP($A145,'SegEnds_NonXtal_BW#'!$A:$Z,12,FALSE)+VLOOKUP($A145,A:AL,16,FALSE)-50</f>
        <v>121</v>
      </c>
      <c r="R145" s="3">
        <f>IF(ISERROR(VLOOKUP($A145,'SegEnds_NonXtal_BW#'!$A:$Z,13,FALSE)+VLOOKUP($A145,A:AL,19,FALSE)-50),"-",VLOOKUP($A145,'SegEnds_NonXtal_BW#'!$A:$Z,13,FALSE)+VLOOKUP($A145,A:AL,19,FALSE)-50)</f>
        <v>122</v>
      </c>
      <c r="S145" s="3">
        <v>122</v>
      </c>
      <c r="T145" s="103">
        <f>IF(ISERROR(VLOOKUP($A145,'SegEnds_NonXtal_BW#'!$A:$Z,14,FALSE)+VLOOKUP($A145,A:AL,19,FALSE)-50),"-",(VLOOKUP($A145,'SegEnds_NonXtal_BW#'!$A:$Z,14,FALSE)+VLOOKUP($A145,A:AL,19,FALSE)-50))</f>
        <v>129</v>
      </c>
      <c r="U145" s="9">
        <f>IF(ISERROR(VLOOKUP($A145,'SegEnds_NonXtal_BW#'!$A:$Z,15,FALSE)+VLOOKUP($A145,A:AL,22,FALSE)-50),"-",VLOOKUP($A145,'SegEnds_NonXtal_BW#'!$A:$Z,15,FALSE)+VLOOKUP($A145,A:AL,22,FALSE)-50)</f>
        <v>130</v>
      </c>
      <c r="V145" s="3">
        <v>142</v>
      </c>
      <c r="W145" s="3">
        <f>IF(ISERROR(VLOOKUP($A145,'SegEnds_NonXtal_BW#'!$A:$Z,16,FALSE)+VLOOKUP($A145,A:AL,22,FALSE)-50),"-",(VLOOKUP($A145,'SegEnds_NonXtal_BW#'!$A:$Z,16,FALSE)+VLOOKUP($A145,A:AL,22,FALSE)-50))</f>
        <v>154</v>
      </c>
      <c r="X145" s="3">
        <f>IF(ISERROR(VLOOKUP($A145,'SegEnds_NonXtal_BW#'!$A:$Z,17,FALSE)+VLOOKUP($A145,A:AL,25,FALSE)-50),"-",(VLOOKUP($A145,'SegEnds_NonXtal_BW#'!$A:$Z,17,FALSE)+VLOOKUP($A145,A:AL,25,FALSE)-50))</f>
        <v>168</v>
      </c>
      <c r="Y145" s="3">
        <v>168</v>
      </c>
      <c r="Z145" s="3">
        <f t="shared" si="101"/>
        <v>170</v>
      </c>
      <c r="AA145" s="3">
        <f>IF(ISERROR(VLOOKUP($A145,'SegEnds_NonXtal_BW#'!$A:$Z,19,FALSE)+VLOOKUP($A145,A:AL,28,FALSE)-50),"-",(VLOOKUP($A145,'SegEnds_NonXtal_BW#'!$A:$Z,19,FALSE)+VLOOKUP($A145,A:AL,28,FALSE)-50))</f>
        <v>174</v>
      </c>
      <c r="AB145" s="3">
        <v>193</v>
      </c>
      <c r="AC145" s="3">
        <f>IF(ISERROR((VLOOKUP($A145,'SegEnds_NonXtal_BW#'!$A:$Z,20,FALSE)+VLOOKUP($A145,A:AL,28,FALSE)-50)),"-",(VLOOKUP($A145,'SegEnds_NonXtal_BW#'!$A:$Z,20,FALSE)+VLOOKUP($A145,A:AL,28,FALSE)-50))</f>
        <v>210</v>
      </c>
      <c r="AD145" s="3">
        <f>IF(ISERROR(VLOOKUP($A145,'SegEnds_NonXtal_BW#'!$A:$Z,21,FALSE)+VLOOKUP($A145,A:AL,31,FALSE)-50),"-",(VLOOKUP($A145,'SegEnds_NonXtal_BW#'!$A:$Z,21,FALSE)+VLOOKUP($A145,A:AL,31,FALSE)-50))</f>
        <v>215</v>
      </c>
      <c r="AE145" s="3">
        <v>239</v>
      </c>
      <c r="AF145" s="3">
        <f>IF(ISERROR((VLOOKUP($A145,'SegEnds_NonXtal_BW#'!$A:$Z,22,FALSE)+VLOOKUP($A145,A:AL,31,FALSE)-50)),"-",(VLOOKUP($A145,'SegEnds_NonXtal_BW#'!$A:$Z,22,FALSE)+VLOOKUP($A145,A:AL,31,FALSE)-50))</f>
        <v>253</v>
      </c>
      <c r="AG145" s="3">
        <f>IF(ISERROR(VLOOKUP($A145,'SegEnds_NonXtal_BW#'!$A:$Z,23,FALSE)+VLOOKUP($A145,A:AL,34,FALSE)-50),"-",(VLOOKUP($A145,'SegEnds_NonXtal_BW#'!$A:$Z,23,FALSE)+VLOOKUP($A145,A:AL,34,FALSE)-50))</f>
        <v>257</v>
      </c>
      <c r="AH145" s="3">
        <v>283</v>
      </c>
      <c r="AI145" s="3">
        <f>IF(ISERROR((VLOOKUP($A145,'SegEnds_NonXtal_BW#'!$A:$Z,24,FALSE)+VLOOKUP($A145,A:AL,34,FALSE)-50)),"-",(VLOOKUP($A145,'SegEnds_NonXtal_BW#'!$A:$Z,24,FALSE)+VLOOKUP($A145,A:AL,34,FALSE)-50))</f>
        <v>289</v>
      </c>
      <c r="AJ145" s="3">
        <f>IF(ISERROR(VLOOKUP($A145,'SegEnds_NonXtal_BW#'!$A:$Z,25,FALSE)+VLOOKUP($A145,A:AL,37,FALSE)-50),"-",(VLOOKUP($A145,'SegEnds_NonXtal_BW#'!$A:$Z,25,FALSE)+VLOOKUP($A145,A:AL,37,FALSE)-50))</f>
        <v>290</v>
      </c>
      <c r="AK145" s="3">
        <v>293</v>
      </c>
      <c r="AL145" s="3">
        <f>IF(ISERROR((VLOOKUP($A145,'SegEnds_NonXtal_BW#'!$A:$Z,26,FALSE)+VLOOKUP($A145,A:AL,37,FALSE)-50)),"-",(VLOOKUP($A145,'SegEnds_NonXtal_BW#'!$A:$Z,26,FALSE)+VLOOKUP($A145,A:AL,37,FALSE)-50))</f>
        <v>304</v>
      </c>
      <c r="AM145" s="28" t="str">
        <f>VLOOKUP(A145,Classification!A:B,2,FALSE)</f>
        <v>A</v>
      </c>
      <c r="AN145" s="28" t="b">
        <f t="shared" si="100"/>
        <v>1</v>
      </c>
      <c r="AO145" s="3" t="str">
        <f>IF(ISERROR(MATCH(A145,'SegEnds_Xtal_Prot#'!B:B, 0)), "NoXtal", "Xtal")</f>
        <v>NoXtal</v>
      </c>
      <c r="AP145" s="3" t="str">
        <f t="shared" si="83"/>
        <v>-</v>
      </c>
      <c r="AQ145" s="3" t="str">
        <f t="shared" si="84"/>
        <v>-</v>
      </c>
      <c r="AR145" s="3">
        <f t="shared" si="85"/>
        <v>3</v>
      </c>
      <c r="AS145" s="3">
        <f t="shared" si="86"/>
        <v>1</v>
      </c>
      <c r="AT145" s="3">
        <f t="shared" si="87"/>
        <v>1</v>
      </c>
      <c r="AU145" s="3">
        <f t="shared" si="88"/>
        <v>1</v>
      </c>
      <c r="AV145" s="3">
        <f t="shared" si="89"/>
        <v>14</v>
      </c>
      <c r="AW145" s="3">
        <f t="shared" si="90"/>
        <v>4</v>
      </c>
      <c r="AX145" s="3">
        <f t="shared" si="91"/>
        <v>5</v>
      </c>
      <c r="AY145" s="3">
        <f t="shared" si="92"/>
        <v>4</v>
      </c>
      <c r="AZ145" s="3">
        <f t="shared" si="93"/>
        <v>1</v>
      </c>
      <c r="BA145" s="3">
        <f>IF(ISERROR(LEN(VLOOKUP(A145,Seqs!A:E,2,FALSE))-AL145),"-",LEN(VLOOKUP(A145,Seqs!A:E,2,FALSE))-AL145)</f>
        <v>58</v>
      </c>
      <c r="BB145" s="16">
        <f t="shared" si="94"/>
        <v>28</v>
      </c>
      <c r="BC145" s="9">
        <f t="shared" si="95"/>
        <v>20</v>
      </c>
      <c r="BD145" s="3">
        <f t="shared" si="96"/>
        <v>28</v>
      </c>
      <c r="BE145" s="3">
        <f t="shared" si="97"/>
        <v>46</v>
      </c>
    </row>
    <row r="146" spans="1:58" s="3" customFormat="1" x14ac:dyDescent="0.2">
      <c r="A146" s="3" t="s">
        <v>258</v>
      </c>
      <c r="B146" s="3" t="str">
        <f>LOWER(VLOOKUP(A146,Xtal_Templ!A:B,2,FALSE))</f>
        <v>par1_human</v>
      </c>
      <c r="C146" s="3">
        <f>VLOOKUP($A146,'SegEnds_NonXtal_BW#'!$A:$Z,3,FALSE)+D146-50</f>
        <v>11</v>
      </c>
      <c r="D146" s="3">
        <v>32</v>
      </c>
      <c r="E146" s="3">
        <f>IF(ISERROR(VLOOKUP($A146,'SegEnds_NonXtal_BW#'!$A:$Z,4,FALSE)+VLOOKUP($A146,A:AL,4,FALSE)-50),"-",(VLOOKUP($A146,'SegEnds_NonXtal_BW#'!$A:$Z,4,FALSE)+VLOOKUP($A146,A:AL,4,FALSE)-50))</f>
        <v>42</v>
      </c>
      <c r="F146" s="3" t="str">
        <f>IF(ISERROR(VLOOKUP($A146,'SegEnds_NonXtal_BW#'!$A:$Z,5,FALSE)+VLOOKUP($A146,A:AL,7,FALSE)-50),"-",(VLOOKUP($A146,'SegEnds_NonXtal_BW#'!$A:$Z,5,FALSE)+VLOOKUP($A146,A:AL,7,FALSE)-50))</f>
        <v>-</v>
      </c>
      <c r="G146" s="3" t="s">
        <v>23</v>
      </c>
      <c r="H146" s="3" t="str">
        <f>IF(ISERROR(VLOOKUP($A146,'SegEnds_NonXtal_BW#'!$A:$Z,6,FALSE)+VLOOKUP($A146,A:AL,7,FALSE)-50),"-",(VLOOKUP($A146,'SegEnds_NonXtal_BW#'!$A:$Z,6,FALSE)+VLOOKUP($A146,A:AL,7,FALSE)-50))</f>
        <v>-</v>
      </c>
      <c r="I146" s="3">
        <f>VLOOKUP($A146,'SegEnds_NonXtal_BW#'!$A:$Z,7,FALSE)+J146-50</f>
        <v>48</v>
      </c>
      <c r="J146" s="3">
        <v>61</v>
      </c>
      <c r="K146" s="3">
        <f>VLOOKUP($A146,'SegEnds_NonXtal_BW#'!$A:$Z,8,FALSE)+VLOOKUP($A146,A:AL,10,FALSE)-50</f>
        <v>77</v>
      </c>
      <c r="L146" s="3">
        <f>M146-1</f>
        <v>80</v>
      </c>
      <c r="M146" s="3">
        <v>81</v>
      </c>
      <c r="N146" s="3">
        <f>M146+2</f>
        <v>83</v>
      </c>
      <c r="O146" s="3">
        <f>N146+1</f>
        <v>84</v>
      </c>
      <c r="P146" s="3">
        <v>113</v>
      </c>
      <c r="Q146" s="3">
        <f>VLOOKUP($A146,'SegEnds_NonXtal_BW#'!$A:$Z,12,FALSE)+VLOOKUP($A146,A:AL,16,FALSE)-50</f>
        <v>119</v>
      </c>
      <c r="R146" s="3">
        <f>IF(ISERROR(VLOOKUP($A146,'SegEnds_NonXtal_BW#'!$A:$Z,13,FALSE)+VLOOKUP($A146,A:AL,19,FALSE)-50),"-",VLOOKUP($A146,'SegEnds_NonXtal_BW#'!$A:$Z,13,FALSE)+VLOOKUP($A146,A:AL,19,FALSE)-50)</f>
        <v>120</v>
      </c>
      <c r="S146" s="3">
        <v>120</v>
      </c>
      <c r="T146" s="103">
        <f>IF(ISERROR(VLOOKUP($A146,'SegEnds_NonXtal_BW#'!$A:$Z,14,FALSE)+VLOOKUP($A146,A:AL,19,FALSE)-50),"-",(VLOOKUP($A146,'SegEnds_NonXtal_BW#'!$A:$Z,14,FALSE)+VLOOKUP($A146,A:AL,19,FALSE)-50))</f>
        <v>127</v>
      </c>
      <c r="U146" s="9">
        <f>IF(ISERROR(VLOOKUP($A146,'SegEnds_NonXtal_BW#'!$A:$Z,15,FALSE)+VLOOKUP($A146,A:AL,22,FALSE)-50),"-",VLOOKUP($A146,'SegEnds_NonXtal_BW#'!$A:$Z,15,FALSE)+VLOOKUP($A146,A:AL,22,FALSE)-50)</f>
        <v>128</v>
      </c>
      <c r="V146" s="3">
        <v>140</v>
      </c>
      <c r="W146" s="3">
        <f>IF(ISERROR(VLOOKUP($A146,'SegEnds_NonXtal_BW#'!$A:$Z,16,FALSE)+VLOOKUP($A146,A:AL,22,FALSE)-50),"-",(VLOOKUP($A146,'SegEnds_NonXtal_BW#'!$A:$Z,16,FALSE)+VLOOKUP($A146,A:AL,22,FALSE)-50))</f>
        <v>153</v>
      </c>
      <c r="X146" s="3">
        <f>IF(ISERROR(VLOOKUP($A146,'SegEnds_NonXtal_BW#'!$A:$Z,17,FALSE)+VLOOKUP($A146,A:AL,25,FALSE)-50),"-",(VLOOKUP($A146,'SegEnds_NonXtal_BW#'!$A:$Z,17,FALSE)+VLOOKUP($A146,A:AL,25,FALSE)-50))</f>
        <v>169</v>
      </c>
      <c r="Y146" s="3">
        <v>169</v>
      </c>
      <c r="Z146" s="3">
        <f t="shared" si="101"/>
        <v>171</v>
      </c>
      <c r="AA146" s="3">
        <f>IF(ISERROR(VLOOKUP($A146,'SegEnds_NonXtal_BW#'!$A:$Z,19,FALSE)+VLOOKUP($A146,A:AL,28,FALSE)-50),"-",(VLOOKUP($A146,'SegEnds_NonXtal_BW#'!$A:$Z,19,FALSE)+VLOOKUP($A146,A:AL,28,FALSE)-50))</f>
        <v>178</v>
      </c>
      <c r="AB146" s="3">
        <v>196</v>
      </c>
      <c r="AC146" s="3">
        <f>IF(ISERROR((VLOOKUP($A146,'SegEnds_NonXtal_BW#'!$A:$Z,20,FALSE)+VLOOKUP($A146,A:AL,28,FALSE)-50)),"-",(VLOOKUP($A146,'SegEnds_NonXtal_BW#'!$A:$Z,20,FALSE)+VLOOKUP($A146,A:AL,28,FALSE)-50))</f>
        <v>214</v>
      </c>
      <c r="AD146" s="3">
        <f>IF(ISERROR(VLOOKUP($A146,'SegEnds_NonXtal_BW#'!$A:$Z,21,FALSE)+VLOOKUP($A146,A:AL,31,FALSE)-50),"-",(VLOOKUP($A146,'SegEnds_NonXtal_BW#'!$A:$Z,21,FALSE)+VLOOKUP($A146,A:AL,31,FALSE)-50))</f>
        <v>218</v>
      </c>
      <c r="AE146" s="3">
        <v>240</v>
      </c>
      <c r="AF146" s="3">
        <f>IF(ISERROR((VLOOKUP($A146,'SegEnds_NonXtal_BW#'!$A:$Z,22,FALSE)+VLOOKUP($A146,A:AL,31,FALSE)-50)),"-",(VLOOKUP($A146,'SegEnds_NonXtal_BW#'!$A:$Z,22,FALSE)+VLOOKUP($A146,A:AL,31,FALSE)-50))</f>
        <v>251</v>
      </c>
      <c r="AG146" s="3">
        <f>IF(ISERROR(VLOOKUP($A146,'SegEnds_NonXtal_BW#'!$A:$Z,23,FALSE)+VLOOKUP($A146,A:AL,34,FALSE)-50),"-",(VLOOKUP($A146,'SegEnds_NonXtal_BW#'!$A:$Z,23,FALSE)+VLOOKUP($A146,A:AL,34,FALSE)-50))</f>
        <v>256</v>
      </c>
      <c r="AH146" s="3">
        <v>273</v>
      </c>
      <c r="AI146" s="3">
        <f>IF(ISERROR((VLOOKUP($A146,'SegEnds_NonXtal_BW#'!$A:$Z,24,FALSE)+VLOOKUP($A146,A:AL,34,FALSE)-50)),"-",(VLOOKUP($A146,'SegEnds_NonXtal_BW#'!$A:$Z,24,FALSE)+VLOOKUP($A146,A:AL,34,FALSE)-50))</f>
        <v>279</v>
      </c>
      <c r="AJ146" s="3">
        <f>IF(ISERROR(VLOOKUP($A146,'SegEnds_NonXtal_BW#'!$A:$Z,25,FALSE)+VLOOKUP($A146,A:AL,37,FALSE)-50),"-",(VLOOKUP($A146,'SegEnds_NonXtal_BW#'!$A:$Z,25,FALSE)+VLOOKUP($A146,A:AL,37,FALSE)-50))</f>
        <v>280</v>
      </c>
      <c r="AK146" s="3">
        <v>283</v>
      </c>
      <c r="AL146" s="3">
        <f>IF(ISERROR((VLOOKUP($A146,'SegEnds_NonXtal_BW#'!$A:$Z,26,FALSE)+VLOOKUP($A146,A:AL,37,FALSE)-50)),"-",(VLOOKUP($A146,'SegEnds_NonXtal_BW#'!$A:$Z,26,FALSE)+VLOOKUP($A146,A:AL,37,FALSE)-50))</f>
        <v>294</v>
      </c>
      <c r="AM146" s="28" t="str">
        <f>VLOOKUP(A146,Classification!A:B,2,FALSE)</f>
        <v>A</v>
      </c>
      <c r="AN146" s="28" t="b">
        <f t="shared" si="100"/>
        <v>1</v>
      </c>
      <c r="AO146" s="3" t="str">
        <f>IF(ISERROR(MATCH(A146,'SegEnds_Xtal_Prot#'!B:B, 0)), "NoXtal", "Xtal")</f>
        <v>NoXtal</v>
      </c>
      <c r="AP146" s="3" t="str">
        <f t="shared" si="83"/>
        <v>-</v>
      </c>
      <c r="AQ146" s="3" t="str">
        <f t="shared" si="84"/>
        <v>-</v>
      </c>
      <c r="AR146" s="3">
        <f t="shared" si="85"/>
        <v>3</v>
      </c>
      <c r="AS146" s="3">
        <f t="shared" si="86"/>
        <v>1</v>
      </c>
      <c r="AT146" s="3">
        <f t="shared" si="87"/>
        <v>1</v>
      </c>
      <c r="AU146" s="3">
        <f t="shared" si="88"/>
        <v>1</v>
      </c>
      <c r="AV146" s="3">
        <f t="shared" si="89"/>
        <v>16</v>
      </c>
      <c r="AW146" s="3">
        <f t="shared" si="90"/>
        <v>7</v>
      </c>
      <c r="AX146" s="3">
        <f t="shared" si="91"/>
        <v>4</v>
      </c>
      <c r="AY146" s="3">
        <f t="shared" si="92"/>
        <v>5</v>
      </c>
      <c r="AZ146" s="3">
        <f t="shared" si="93"/>
        <v>1</v>
      </c>
      <c r="BA146" s="3">
        <f>IF(ISERROR(LEN(VLOOKUP(A146,Seqs!A:E,2,FALSE))-AL146),"-",LEN(VLOOKUP(A146,Seqs!A:E,2,FALSE))-AL146)</f>
        <v>52</v>
      </c>
      <c r="BB146" s="16">
        <f t="shared" si="94"/>
        <v>29</v>
      </c>
      <c r="BC146" s="9">
        <f t="shared" si="95"/>
        <v>20</v>
      </c>
      <c r="BD146" s="3">
        <f t="shared" si="96"/>
        <v>29</v>
      </c>
      <c r="BE146" s="3">
        <f t="shared" si="97"/>
        <v>44</v>
      </c>
    </row>
    <row r="147" spans="1:58" s="3" customFormat="1" x14ac:dyDescent="0.2">
      <c r="A147" s="3" t="s">
        <v>260</v>
      </c>
      <c r="B147" s="3" t="str">
        <f>LOWER(VLOOKUP(A147,Xtal_Templ!A:B,2,FALSE))</f>
        <v>5ht2b_human</v>
      </c>
      <c r="C147" s="3">
        <f>VLOOKUP($A147,'SegEnds_NonXtal_BW#'!$A:$Z,3,FALSE)+D147-50</f>
        <v>40</v>
      </c>
      <c r="D147" s="3">
        <v>58</v>
      </c>
      <c r="E147" s="3">
        <f>IF(ISERROR(VLOOKUP($A147,'SegEnds_NonXtal_BW#'!$A:$Z,4,FALSE)+VLOOKUP($A147,A:AL,4,FALSE)-50),"-",(VLOOKUP($A147,'SegEnds_NonXtal_BW#'!$A:$Z,4,FALSE)+VLOOKUP($A147,A:AL,4,FALSE)-50))</f>
        <v>68</v>
      </c>
      <c r="F147" s="3">
        <f>G147-2</f>
        <v>69</v>
      </c>
      <c r="G147" s="3">
        <v>71</v>
      </c>
      <c r="H147" s="3">
        <f>G147+1</f>
        <v>72</v>
      </c>
      <c r="I147" s="3">
        <f>H147+1</f>
        <v>73</v>
      </c>
      <c r="J147" s="3">
        <v>87</v>
      </c>
      <c r="K147" s="3">
        <f>VLOOKUP($A147,'SegEnds_NonXtal_BW#'!$A:$Z,8,FALSE)+VLOOKUP($A147,A:AL,10,FALSE)-50</f>
        <v>103</v>
      </c>
      <c r="L147" s="3" t="str">
        <f>IF(ISERROR(VLOOKUP($A147,'SegEnds_NonXtal_BW#'!$A:$Z,9,FALSE)+VLOOKUP($A147,A:AL,13,FALSE)-50),"-",(VLOOKUP($A147,'SegEnds_NonXtal_BW#'!$A:$Z,9,FALSE)+VLOOKUP($A147,A:AL,13,FALSE)-50))</f>
        <v>-</v>
      </c>
      <c r="M147" s="3" t="s">
        <v>23</v>
      </c>
      <c r="N147" s="3" t="str">
        <f>IF(ISERROR(VLOOKUP($A147,'SegEnds_NonXtal_BW#'!$A:$Z,10,FALSE)+VLOOKUP($A147,A:AL,13,FALSE)-50),"-",(VLOOKUP($A147,'SegEnds_NonXtal_BW#'!$A:$Z,10,FALSE)+VLOOKUP($A147,A:AL,13,FALSE)-50))</f>
        <v>-</v>
      </c>
      <c r="O147" s="3">
        <f>VLOOKUP($A147,'SegEnds_NonXtal_BW#'!$A:$Z,11,FALSE)+VLOOKUP($A147,A:AL,16,FALSE)-50</f>
        <v>107</v>
      </c>
      <c r="P147" s="3">
        <v>139</v>
      </c>
      <c r="Q147" s="3">
        <f>VLOOKUP($A147,'SegEnds_NonXtal_BW#'!$A:$Z,12,FALSE)+VLOOKUP($A147,A:AL,16,FALSE)-50</f>
        <v>145</v>
      </c>
      <c r="R147" s="3">
        <f>IF(ISERROR(VLOOKUP($A147,'SegEnds_NonXtal_BW#'!$A:$Z,13,FALSE)+VLOOKUP($A147,A:AL,19,FALSE)-50),"-",VLOOKUP($A147,'SegEnds_NonXtal_BW#'!$A:$Z,13,FALSE)+VLOOKUP($A147,A:AL,19,FALSE)-50)</f>
        <v>146</v>
      </c>
      <c r="S147" s="3">
        <v>146</v>
      </c>
      <c r="T147" s="103">
        <f>IF(ISERROR(VLOOKUP($A147,'SegEnds_NonXtal_BW#'!$A:$Z,14,FALSE)+VLOOKUP($A147,A:AL,19,FALSE)-50),"-",(VLOOKUP($A147,'SegEnds_NonXtal_BW#'!$A:$Z,14,FALSE)+VLOOKUP($A147,A:AL,19,FALSE)-50))</f>
        <v>153</v>
      </c>
      <c r="U147" s="9">
        <f>IF(ISERROR(VLOOKUP($A147,'SegEnds_NonXtal_BW#'!$A:$Z,15,FALSE)+VLOOKUP($A147,A:AL,22,FALSE)-50),"-",VLOOKUP($A147,'SegEnds_NonXtal_BW#'!$A:$Z,15,FALSE)+VLOOKUP($A147,A:AL,22,FALSE)-50)</f>
        <v>154</v>
      </c>
      <c r="V147" s="3">
        <v>166</v>
      </c>
      <c r="W147" s="3">
        <f>IF(ISERROR(VLOOKUP($A147,'SegEnds_NonXtal_BW#'!$A:$Z,16,FALSE)+VLOOKUP($A147,A:AL,22,FALSE)-50),"-",(VLOOKUP($A147,'SegEnds_NonXtal_BW#'!$A:$Z,16,FALSE)+VLOOKUP($A147,A:AL,22,FALSE)-50))</f>
        <v>180</v>
      </c>
      <c r="X147" s="3">
        <f>IF(ISERROR(VLOOKUP($A147,'SegEnds_NonXtal_BW#'!$A:$Z,17,FALSE)+VLOOKUP($A147,A:AL,25,FALSE)-50),"-",(VLOOKUP($A147,'SegEnds_NonXtal_BW#'!$A:$Z,17,FALSE)+VLOOKUP($A147,A:AL,25,FALSE)-50))</f>
        <v>193</v>
      </c>
      <c r="Y147" s="3">
        <v>193</v>
      </c>
      <c r="Z147" s="3">
        <f t="shared" si="101"/>
        <v>195</v>
      </c>
      <c r="AA147" s="3">
        <f>IF(ISERROR(VLOOKUP($A147,'SegEnds_NonXtal_BW#'!$A:$Z,19,FALSE)+VLOOKUP($A147,A:AL,28,FALSE)-50),"-",(VLOOKUP($A147,'SegEnds_NonXtal_BW#'!$A:$Z,19,FALSE)+VLOOKUP($A147,A:AL,28,FALSE)-50))</f>
        <v>199</v>
      </c>
      <c r="AB147" s="3">
        <v>214</v>
      </c>
      <c r="AC147" s="3">
        <f>IF(ISERROR((VLOOKUP($A147,'SegEnds_NonXtal_BW#'!$A:$Z,20,FALSE)+VLOOKUP($A147,A:AL,28,FALSE)-50)),"-",(VLOOKUP($A147,'SegEnds_NonXtal_BW#'!$A:$Z,20,FALSE)+VLOOKUP($A147,A:AL,28,FALSE)-50))</f>
        <v>238</v>
      </c>
      <c r="AD147" s="3">
        <f>IF(ISERROR(VLOOKUP($A147,'SegEnds_NonXtal_BW#'!$A:$Z,21,FALSE)+VLOOKUP($A147,A:AL,31,FALSE)-50),"-",(VLOOKUP($A147,'SegEnds_NonXtal_BW#'!$A:$Z,21,FALSE)+VLOOKUP($A147,A:AL,31,FALSE)-50))</f>
        <v>251</v>
      </c>
      <c r="AE147" s="3">
        <v>280</v>
      </c>
      <c r="AF147" s="3">
        <f>IF(ISERROR((VLOOKUP($A147,'SegEnds_NonXtal_BW#'!$A:$Z,22,FALSE)+VLOOKUP($A147,A:AL,31,FALSE)-50)),"-",(VLOOKUP($A147,'SegEnds_NonXtal_BW#'!$A:$Z,22,FALSE)+VLOOKUP($A147,A:AL,31,FALSE)-50))</f>
        <v>291</v>
      </c>
      <c r="AG147" s="3">
        <f>IF(ISERROR(VLOOKUP($A147,'SegEnds_NonXtal_BW#'!$A:$Z,23,FALSE)+VLOOKUP($A147,A:AL,34,FALSE)-50),"-",(VLOOKUP($A147,'SegEnds_NonXtal_BW#'!$A:$Z,23,FALSE)+VLOOKUP($A147,A:AL,34,FALSE)-50))</f>
        <v>296</v>
      </c>
      <c r="AH147" s="3">
        <v>314</v>
      </c>
      <c r="AI147" s="3">
        <f>IF(ISERROR((VLOOKUP($A147,'SegEnds_NonXtal_BW#'!$A:$Z,24,FALSE)+VLOOKUP($A147,A:AL,34,FALSE)-50)),"-",(VLOOKUP($A147,'SegEnds_NonXtal_BW#'!$A:$Z,24,FALSE)+VLOOKUP($A147,A:AL,34,FALSE)-50))</f>
        <v>320</v>
      </c>
      <c r="AJ147" s="3">
        <f>IF(ISERROR(VLOOKUP($A147,'SegEnds_NonXtal_BW#'!$A:$Z,25,FALSE)+VLOOKUP($A147,A:AL,37,FALSE)-50),"-",(VLOOKUP($A147,'SegEnds_NonXtal_BW#'!$A:$Z,25,FALSE)+VLOOKUP($A147,A:AL,37,FALSE)-50))</f>
        <v>321</v>
      </c>
      <c r="AK147" s="3">
        <v>324</v>
      </c>
      <c r="AL147" s="3">
        <f>IF(ISERROR((VLOOKUP($A147,'SegEnds_NonXtal_BW#'!$A:$Z,26,FALSE)+VLOOKUP($A147,A:AL,37,FALSE)-50)),"-",(VLOOKUP($A147,'SegEnds_NonXtal_BW#'!$A:$Z,26,FALSE)+VLOOKUP($A147,A:AL,37,FALSE)-50))</f>
        <v>332</v>
      </c>
      <c r="AM147" s="28" t="str">
        <f>VLOOKUP(A147,Classification!A:B,2,FALSE)</f>
        <v>A</v>
      </c>
      <c r="AN147" s="28" t="b">
        <f t="shared" si="100"/>
        <v>1</v>
      </c>
      <c r="AO147" s="3" t="str">
        <f>IF(ISERROR(MATCH(A147,'SegEnds_Xtal_Prot#'!B:B, 0)), "NoXtal", "Xtal")</f>
        <v>NoXtal</v>
      </c>
      <c r="AP147" s="3">
        <f t="shared" si="83"/>
        <v>1</v>
      </c>
      <c r="AQ147" s="3">
        <f t="shared" si="84"/>
        <v>1</v>
      </c>
      <c r="AR147" s="3" t="str">
        <f t="shared" si="85"/>
        <v>-</v>
      </c>
      <c r="AS147" s="3" t="str">
        <f t="shared" si="86"/>
        <v>-</v>
      </c>
      <c r="AT147" s="3">
        <f t="shared" si="87"/>
        <v>1</v>
      </c>
      <c r="AU147" s="3">
        <f t="shared" si="88"/>
        <v>1</v>
      </c>
      <c r="AV147" s="3">
        <f t="shared" si="89"/>
        <v>13</v>
      </c>
      <c r="AW147" s="3">
        <f t="shared" si="90"/>
        <v>4</v>
      </c>
      <c r="AX147" s="3">
        <f t="shared" si="91"/>
        <v>13</v>
      </c>
      <c r="AY147" s="3">
        <f t="shared" si="92"/>
        <v>5</v>
      </c>
      <c r="AZ147" s="3">
        <f t="shared" si="93"/>
        <v>1</v>
      </c>
      <c r="BA147" s="3">
        <f>IF(ISERROR(LEN(VLOOKUP(A147,Seqs!A:E,2,FALSE))-AL147),"-",LEN(VLOOKUP(A147,Seqs!A:E,2,FALSE))-AL147)</f>
        <v>29</v>
      </c>
      <c r="BB147" s="16">
        <f t="shared" si="94"/>
        <v>29</v>
      </c>
      <c r="BC147" s="9">
        <f t="shared" si="95"/>
        <v>20</v>
      </c>
      <c r="BD147" s="3">
        <f t="shared" si="96"/>
        <v>29</v>
      </c>
      <c r="BE147" s="3">
        <f t="shared" si="97"/>
        <v>66</v>
      </c>
      <c r="BF147" s="3">
        <f>AH147-AE147</f>
        <v>34</v>
      </c>
    </row>
    <row r="148" spans="1:58" s="3" customFormat="1" x14ac:dyDescent="0.2">
      <c r="A148" s="3" t="s">
        <v>261</v>
      </c>
      <c r="B148" s="3" t="str">
        <f>LOWER(VLOOKUP(A148,Xtal_Templ!A:B,2,FALSE))</f>
        <v>oprk_human</v>
      </c>
      <c r="C148" s="3">
        <f>VLOOKUP($A148,'SegEnds_NonXtal_BW#'!$A:$Z,3,FALSE)+D148-50</f>
        <v>18</v>
      </c>
      <c r="D148" s="3">
        <v>38</v>
      </c>
      <c r="E148" s="3">
        <f>IF(ISERROR(VLOOKUP($A148,'SegEnds_NonXtal_BW#'!$A:$Z,4,FALSE)+VLOOKUP($A148,A:AL,4,FALSE)-50),"-",(VLOOKUP($A148,'SegEnds_NonXtal_BW#'!$A:$Z,4,FALSE)+VLOOKUP($A148,A:AL,4,FALSE)-50))</f>
        <v>48</v>
      </c>
      <c r="F148" s="3" t="str">
        <f>IF(ISERROR(VLOOKUP($A148,'SegEnds_NonXtal_BW#'!$A:$Z,5,FALSE)+VLOOKUP($A148,A:AL,7,FALSE)-50),"-",(VLOOKUP($A148,'SegEnds_NonXtal_BW#'!$A:$Z,5,FALSE)+VLOOKUP($A148,A:AL,7,FALSE)-50))</f>
        <v>-</v>
      </c>
      <c r="G148" s="3" t="s">
        <v>23</v>
      </c>
      <c r="H148" s="3" t="str">
        <f>IF(ISERROR(VLOOKUP($A148,'SegEnds_NonXtal_BW#'!$A:$Z,6,FALSE)+VLOOKUP($A148,A:AL,7,FALSE)-50),"-",(VLOOKUP($A148,'SegEnds_NonXtal_BW#'!$A:$Z,6,FALSE)+VLOOKUP($A148,A:AL,7,FALSE)-50))</f>
        <v>-</v>
      </c>
      <c r="I148" s="3">
        <f>VLOOKUP($A148,'SegEnds_NonXtal_BW#'!$A:$Z,7,FALSE)+J148-50</f>
        <v>57</v>
      </c>
      <c r="J148" s="3">
        <v>70</v>
      </c>
      <c r="K148" s="3">
        <f>VLOOKUP($A148,'SegEnds_NonXtal_BW#'!$A:$Z,8,FALSE)+VLOOKUP($A148,A:AL,10,FALSE)-50</f>
        <v>86</v>
      </c>
      <c r="L148" s="3" t="str">
        <f>IF(ISERROR(VLOOKUP($A148,'SegEnds_NonXtal_BW#'!$A:$Z,9,FALSE)+VLOOKUP($A148,A:AL,13,FALSE)-50),"-",(VLOOKUP($A148,'SegEnds_NonXtal_BW#'!$A:$Z,9,FALSE)+VLOOKUP($A148,A:AL,13,FALSE)-50))</f>
        <v>-</v>
      </c>
      <c r="M148" s="3" t="s">
        <v>23</v>
      </c>
      <c r="N148" s="3" t="str">
        <f>IF(ISERROR(VLOOKUP($A148,'SegEnds_NonXtal_BW#'!$A:$Z,10,FALSE)+VLOOKUP($A148,A:AL,13,FALSE)-50),"-",(VLOOKUP($A148,'SegEnds_NonXtal_BW#'!$A:$Z,10,FALSE)+VLOOKUP($A148,A:AL,13,FALSE)-50))</f>
        <v>-</v>
      </c>
      <c r="O148" s="3">
        <f>VLOOKUP($A148,'SegEnds_NonXtal_BW#'!$A:$Z,11,FALSE)+VLOOKUP($A148,A:AL,16,FALSE)-50</f>
        <v>93</v>
      </c>
      <c r="P148" s="3">
        <v>119</v>
      </c>
      <c r="Q148" s="3">
        <f>VLOOKUP($A148,'SegEnds_NonXtal_BW#'!$A:$Z,12,FALSE)+VLOOKUP($A148,A:AL,16,FALSE)-50</f>
        <v>125</v>
      </c>
      <c r="R148" s="3">
        <f>IF(ISERROR(VLOOKUP($A148,'SegEnds_NonXtal_BW#'!$A:$Z,13,FALSE)+VLOOKUP($A148,A:AL,19,FALSE)-50),"-",VLOOKUP($A148,'SegEnds_NonXtal_BW#'!$A:$Z,13,FALSE)+VLOOKUP($A148,A:AL,19,FALSE)-50)</f>
        <v>126</v>
      </c>
      <c r="S148" s="3">
        <v>126</v>
      </c>
      <c r="T148" s="103">
        <f>IF(ISERROR(VLOOKUP($A148,'SegEnds_NonXtal_BW#'!$A:$Z,14,FALSE)+VLOOKUP($A148,A:AL,19,FALSE)-50),"-",(VLOOKUP($A148,'SegEnds_NonXtal_BW#'!$A:$Z,14,FALSE)+VLOOKUP($A148,A:AL,19,FALSE)-50))</f>
        <v>133</v>
      </c>
      <c r="U148" s="9">
        <f>IF(ISERROR(VLOOKUP($A148,'SegEnds_NonXtal_BW#'!$A:$Z,15,FALSE)+VLOOKUP($A148,A:AL,22,FALSE)-50),"-",VLOOKUP($A148,'SegEnds_NonXtal_BW#'!$A:$Z,15,FALSE)+VLOOKUP($A148,A:AL,22,FALSE)-50)</f>
        <v>134</v>
      </c>
      <c r="V148" s="3">
        <v>146</v>
      </c>
      <c r="W148" s="3">
        <f>IF(ISERROR(VLOOKUP($A148,'SegEnds_NonXtal_BW#'!$A:$Z,16,FALSE)+VLOOKUP($A148,A:AL,22,FALSE)-50),"-",(VLOOKUP($A148,'SegEnds_NonXtal_BW#'!$A:$Z,16,FALSE)+VLOOKUP($A148,A:AL,22,FALSE)-50))</f>
        <v>160</v>
      </c>
      <c r="X148" s="3">
        <f>IF(ISERROR(VLOOKUP($A148,'SegEnds_NonXtal_BW#'!$A:$Z,17,FALSE)+VLOOKUP($A148,A:AL,25,FALSE)-50),"-",(VLOOKUP($A148,'SegEnds_NonXtal_BW#'!$A:$Z,17,FALSE)+VLOOKUP($A148,A:AL,25,FALSE)-50))</f>
        <v>168</v>
      </c>
      <c r="Y148" s="3">
        <v>168</v>
      </c>
      <c r="Z148" s="3">
        <f t="shared" si="101"/>
        <v>170</v>
      </c>
      <c r="AA148" s="3">
        <f>IF(ISERROR(VLOOKUP($A148,'SegEnds_NonXtal_BW#'!$A:$Z,19,FALSE)+VLOOKUP($A148,A:AL,28,FALSE)-50),"-",(VLOOKUP($A148,'SegEnds_NonXtal_BW#'!$A:$Z,19,FALSE)+VLOOKUP($A148,A:AL,28,FALSE)-50))</f>
        <v>174</v>
      </c>
      <c r="AB148" s="3">
        <v>193</v>
      </c>
      <c r="AC148" s="3">
        <f>IF(ISERROR((VLOOKUP($A148,'SegEnds_NonXtal_BW#'!$A:$Z,20,FALSE)+VLOOKUP($A148,A:AL,28,FALSE)-50)),"-",(VLOOKUP($A148,'SegEnds_NonXtal_BW#'!$A:$Z,20,FALSE)+VLOOKUP($A148,A:AL,28,FALSE)-50))</f>
        <v>211</v>
      </c>
      <c r="AD148" s="3">
        <f>IF(ISERROR(VLOOKUP($A148,'SegEnds_NonXtal_BW#'!$A:$Z,21,FALSE)+VLOOKUP($A148,A:AL,31,FALSE)-50),"-",(VLOOKUP($A148,'SegEnds_NonXtal_BW#'!$A:$Z,21,FALSE)+VLOOKUP($A148,A:AL,31,FALSE)-50))</f>
        <v>215</v>
      </c>
      <c r="AE148" s="3">
        <v>241</v>
      </c>
      <c r="AF148" s="3">
        <f>IF(ISERROR((VLOOKUP($A148,'SegEnds_NonXtal_BW#'!$A:$Z,22,FALSE)+VLOOKUP($A148,A:AL,31,FALSE)-50)),"-",(VLOOKUP($A148,'SegEnds_NonXtal_BW#'!$A:$Z,22,FALSE)+VLOOKUP($A148,A:AL,31,FALSE)-50))</f>
        <v>255</v>
      </c>
      <c r="AG148" s="3">
        <f>IF(ISERROR(VLOOKUP($A148,'SegEnds_NonXtal_BW#'!$A:$Z,23,FALSE)+VLOOKUP($A148,A:AL,34,FALSE)-50),"-",(VLOOKUP($A148,'SegEnds_NonXtal_BW#'!$A:$Z,23,FALSE)+VLOOKUP($A148,A:AL,34,FALSE)-50))</f>
        <v>259</v>
      </c>
      <c r="AH148" s="3">
        <v>285</v>
      </c>
      <c r="AI148" s="3">
        <f>IF(ISERROR((VLOOKUP($A148,'SegEnds_NonXtal_BW#'!$A:$Z,24,FALSE)+VLOOKUP($A148,A:AL,34,FALSE)-50)),"-",(VLOOKUP($A148,'SegEnds_NonXtal_BW#'!$A:$Z,24,FALSE)+VLOOKUP($A148,A:AL,34,FALSE)-50))</f>
        <v>291</v>
      </c>
      <c r="AJ148" s="3">
        <f>IF(ISERROR(VLOOKUP($A148,'SegEnds_NonXtal_BW#'!$A:$Z,25,FALSE)+VLOOKUP($A148,A:AL,37,FALSE)-50),"-",(VLOOKUP($A148,'SegEnds_NonXtal_BW#'!$A:$Z,25,FALSE)+VLOOKUP($A148,A:AL,37,FALSE)-50))</f>
        <v>292</v>
      </c>
      <c r="AK148" s="3">
        <v>295</v>
      </c>
      <c r="AL148" s="3">
        <f>IF(ISERROR((VLOOKUP($A148,'SegEnds_NonXtal_BW#'!$A:$Z,26,FALSE)+VLOOKUP($A148,A:AL,37,FALSE)-50)),"-",(VLOOKUP($A148,'SegEnds_NonXtal_BW#'!$A:$Z,26,FALSE)+VLOOKUP($A148,A:AL,37,FALSE)-50))</f>
        <v>304</v>
      </c>
      <c r="AM148" s="28" t="str">
        <f>VLOOKUP(A148,Classification!A:B,2,FALSE)</f>
        <v>A</v>
      </c>
      <c r="AN148" s="28" t="b">
        <f t="shared" si="100"/>
        <v>1</v>
      </c>
      <c r="AO148" s="3" t="str">
        <f>IF(ISERROR(MATCH(A148,'SegEnds_Xtal_Prot#'!B:B, 0)), "NoXtal", "Xtal")</f>
        <v>NoXtal</v>
      </c>
      <c r="AP148" s="3" t="str">
        <f t="shared" si="83"/>
        <v>-</v>
      </c>
      <c r="AQ148" s="3" t="str">
        <f t="shared" si="84"/>
        <v>-</v>
      </c>
      <c r="AR148" s="3" t="str">
        <f t="shared" si="85"/>
        <v>-</v>
      </c>
      <c r="AS148" s="3" t="str">
        <f t="shared" si="86"/>
        <v>-</v>
      </c>
      <c r="AT148" s="3">
        <f t="shared" si="87"/>
        <v>1</v>
      </c>
      <c r="AU148" s="3">
        <f t="shared" si="88"/>
        <v>1</v>
      </c>
      <c r="AV148" s="3">
        <f t="shared" si="89"/>
        <v>8</v>
      </c>
      <c r="AW148" s="3">
        <f t="shared" si="90"/>
        <v>4</v>
      </c>
      <c r="AX148" s="3">
        <f t="shared" si="91"/>
        <v>4</v>
      </c>
      <c r="AY148" s="3">
        <f t="shared" si="92"/>
        <v>4</v>
      </c>
      <c r="AZ148" s="3">
        <f t="shared" si="93"/>
        <v>1</v>
      </c>
      <c r="BA148" s="3">
        <f>IF(ISERROR(LEN(VLOOKUP(A148,Seqs!A:E,2,FALSE))-AL148),"-",LEN(VLOOKUP(A148,Seqs!A:E,2,FALSE))-AL148)</f>
        <v>15</v>
      </c>
      <c r="BB148" s="16">
        <f t="shared" si="94"/>
        <v>32</v>
      </c>
      <c r="BC148" s="9">
        <f t="shared" si="95"/>
        <v>20</v>
      </c>
      <c r="BD148" s="3">
        <f t="shared" si="96"/>
        <v>32</v>
      </c>
      <c r="BE148" s="3">
        <f t="shared" si="97"/>
        <v>48</v>
      </c>
      <c r="BF148" s="3">
        <f>AH148-AE148</f>
        <v>44</v>
      </c>
    </row>
    <row r="149" spans="1:58" s="3" customFormat="1" x14ac:dyDescent="0.2">
      <c r="A149" s="3" t="s">
        <v>262</v>
      </c>
      <c r="B149" s="3" t="str">
        <f>LOWER(VLOOKUP(A149,Xtal_Templ!A:B,2,FALSE))</f>
        <v>s1pr1_human</v>
      </c>
      <c r="C149" s="3">
        <f>VLOOKUP($A149,'SegEnds_NonXtal_BW#'!$A:$Z,3,FALSE)+D149-50</f>
        <v>69</v>
      </c>
      <c r="D149" s="3">
        <v>90</v>
      </c>
      <c r="E149" s="3">
        <f>IF(ISERROR(VLOOKUP($A149,'SegEnds_NonXtal_BW#'!$A:$Z,4,FALSE)+VLOOKUP($A149,A:AL,4,FALSE)-50),"-",(VLOOKUP($A149,'SegEnds_NonXtal_BW#'!$A:$Z,4,FALSE)+VLOOKUP($A149,A:AL,4,FALSE)-50))</f>
        <v>100</v>
      </c>
      <c r="F149" s="3">
        <f>G149-2</f>
        <v>101</v>
      </c>
      <c r="G149" s="3">
        <v>103</v>
      </c>
      <c r="H149" s="3">
        <f>G149+1</f>
        <v>104</v>
      </c>
      <c r="I149" s="3">
        <f>H149+1</f>
        <v>105</v>
      </c>
      <c r="J149" s="3">
        <v>118</v>
      </c>
      <c r="K149" s="3">
        <f>VLOOKUP($A149,'SegEnds_NonXtal_BW#'!$A:$Z,8,FALSE)+VLOOKUP($A149,A:AL,10,FALSE)-50</f>
        <v>130</v>
      </c>
      <c r="L149" s="3">
        <f>M149-1</f>
        <v>132</v>
      </c>
      <c r="M149" s="3">
        <v>133</v>
      </c>
      <c r="N149" s="3">
        <f>M149+2</f>
        <v>135</v>
      </c>
      <c r="O149" s="3">
        <f>N149+1</f>
        <v>136</v>
      </c>
      <c r="P149" s="3">
        <v>166</v>
      </c>
      <c r="Q149" s="3">
        <f>VLOOKUP($A149,'SegEnds_NonXtal_BW#'!$A:$Z,12,FALSE)+VLOOKUP($A149,A:AL,16,FALSE)-50</f>
        <v>172</v>
      </c>
      <c r="R149" s="3">
        <f>S149</f>
        <v>173</v>
      </c>
      <c r="S149" s="3">
        <v>173</v>
      </c>
      <c r="T149" s="103">
        <f>S149+7</f>
        <v>180</v>
      </c>
      <c r="U149" s="9">
        <f>IF(ISERROR(VLOOKUP($A149,'SegEnds_NonXtal_BW#'!$A:$Z,15,FALSE)+VLOOKUP($A149,A:AL,22,FALSE)-50),"-",VLOOKUP($A149,'SegEnds_NonXtal_BW#'!$A:$Z,15,FALSE)+VLOOKUP($A149,A:AL,22,FALSE)-50)</f>
        <v>181</v>
      </c>
      <c r="V149" s="3">
        <v>193</v>
      </c>
      <c r="W149" s="3">
        <f>IF(ISERROR(VLOOKUP($A149,'SegEnds_NonXtal_BW#'!$A:$Z,16,FALSE)+VLOOKUP($A149,A:AL,22,FALSE)-50),"-",(VLOOKUP($A149,'SegEnds_NonXtal_BW#'!$A:$Z,16,FALSE)+VLOOKUP($A149,A:AL,22,FALSE)-50))</f>
        <v>206</v>
      </c>
      <c r="X149" s="3" t="str">
        <f>IF(ISERROR(VLOOKUP($A149,'SegEnds_NonXtal_BW#'!$A:$Z,17,FALSE)+VLOOKUP($A149,A:AL,25,FALSE)-50),"-",(VLOOKUP($A149,'SegEnds_NonXtal_BW#'!$A:$Z,17,FALSE)+VLOOKUP($A149,A:AL,25,FALSE)-50))</f>
        <v>-</v>
      </c>
      <c r="Y149" s="3" t="s">
        <v>23</v>
      </c>
      <c r="Z149" s="3" t="str">
        <f>IF(ISERROR(VLOOKUP($A149,'SegEnds_NonXtal_BW#'!$A:$Z,18,FALSE)+VLOOKUP($A149,A:AL,25,FALSE)-50),"-",(VLOOKUP($A149,'SegEnds_NonXtal_BW#'!$A:$Z,18,FALSE)+VLOOKUP($A149,A:AL,25,FALSE)-50))</f>
        <v>-</v>
      </c>
      <c r="AA149" s="3">
        <f>IF(ISERROR(VLOOKUP($A149,'SegEnds_NonXtal_BW#'!$A:$Z,19,FALSE)+VLOOKUP($A149,A:AL,28,FALSE)-50),"-",(VLOOKUP($A149,'SegEnds_NonXtal_BW#'!$A:$Z,19,FALSE)+VLOOKUP($A149,A:AL,28,FALSE)-50))</f>
        <v>223</v>
      </c>
      <c r="AB149" s="3">
        <v>237</v>
      </c>
      <c r="AC149" s="3">
        <f>IF(ISERROR((VLOOKUP($A149,'SegEnds_NonXtal_BW#'!$A:$Z,20,FALSE)+VLOOKUP($A149,A:AL,28,FALSE)-50)),"-",(VLOOKUP($A149,'SegEnds_NonXtal_BW#'!$A:$Z,20,FALSE)+VLOOKUP($A149,A:AL,28,FALSE)-50))</f>
        <v>259</v>
      </c>
      <c r="AD149" s="3">
        <f>IF(ISERROR(VLOOKUP($A149,'SegEnds_NonXtal_BW#'!$A:$Z,21,FALSE)+VLOOKUP($A149,A:AL,31,FALSE)-50),"-",(VLOOKUP($A149,'SegEnds_NonXtal_BW#'!$A:$Z,21,FALSE)+VLOOKUP($A149,A:AL,31,FALSE)-50))</f>
        <v>268</v>
      </c>
      <c r="AE149" s="3">
        <v>294</v>
      </c>
      <c r="AF149" s="3">
        <f>IF(ISERROR((VLOOKUP($A149,'SegEnds_NonXtal_BW#'!$A:$Z,22,FALSE)+VLOOKUP($A149,A:AL,31,FALSE)-50)),"-",(VLOOKUP($A149,'SegEnds_NonXtal_BW#'!$A:$Z,22,FALSE)+VLOOKUP($A149,A:AL,31,FALSE)-50))</f>
        <v>305</v>
      </c>
      <c r="AG149" s="3">
        <f>IF(ISERROR(VLOOKUP($A149,'SegEnds_NonXtal_BW#'!$A:$Z,23,FALSE)+VLOOKUP($A149,A:AL,34,FALSE)-50),"-",(VLOOKUP($A149,'SegEnds_NonXtal_BW#'!$A:$Z,23,FALSE)+VLOOKUP($A149,A:AL,34,FALSE)-50))</f>
        <v>310</v>
      </c>
      <c r="AH149" s="3">
        <v>326</v>
      </c>
      <c r="AI149" s="3">
        <f>IF(ISERROR((VLOOKUP($A149,'SegEnds_NonXtal_BW#'!$A:$Z,24,FALSE)+VLOOKUP($A149,A:AL,34,FALSE)-50)),"-",(VLOOKUP($A149,'SegEnds_NonXtal_BW#'!$A:$Z,24,FALSE)+VLOOKUP($A149,A:AL,34,FALSE)-50))</f>
        <v>332</v>
      </c>
      <c r="AJ149" s="3">
        <f>IF(ISERROR(VLOOKUP($A149,'SegEnds_NonXtal_BW#'!$A:$Z,25,FALSE)+VLOOKUP($A149,A:AL,37,FALSE)-50),"-",(VLOOKUP($A149,'SegEnds_NonXtal_BW#'!$A:$Z,25,FALSE)+VLOOKUP($A149,A:AL,37,FALSE)-50))</f>
        <v>333</v>
      </c>
      <c r="AK149" s="3">
        <v>336</v>
      </c>
      <c r="AL149" s="3">
        <f>IF(ISERROR((VLOOKUP($A149,'SegEnds_NonXtal_BW#'!$A:$Z,26,FALSE)+VLOOKUP($A149,A:AL,37,FALSE)-50)),"-",(VLOOKUP($A149,'SegEnds_NonXtal_BW#'!$A:$Z,26,FALSE)+VLOOKUP($A149,A:AL,37,FALSE)-50))</f>
        <v>345</v>
      </c>
      <c r="AM149" s="28" t="str">
        <f>VLOOKUP(A149,Classification!A:B,2,FALSE)</f>
        <v>A</v>
      </c>
      <c r="AN149" s="28" t="b">
        <f t="shared" si="100"/>
        <v>1</v>
      </c>
      <c r="AO149" s="3" t="str">
        <f>IF(ISERROR(MATCH(A149,'SegEnds_Xtal_Prot#'!B:B, 0)), "NoXtal", "Xtal")</f>
        <v>NoXtal</v>
      </c>
      <c r="AP149" s="3">
        <f t="shared" si="83"/>
        <v>1</v>
      </c>
      <c r="AQ149" s="3">
        <f t="shared" si="84"/>
        <v>1</v>
      </c>
      <c r="AR149" s="3">
        <f t="shared" si="85"/>
        <v>2</v>
      </c>
      <c r="AS149" s="3">
        <f t="shared" si="86"/>
        <v>1</v>
      </c>
      <c r="AT149" s="3">
        <f t="shared" si="87"/>
        <v>1</v>
      </c>
      <c r="AU149" s="3">
        <f t="shared" si="88"/>
        <v>1</v>
      </c>
      <c r="AV149" s="3" t="str">
        <f t="shared" si="89"/>
        <v>-</v>
      </c>
      <c r="AW149" s="3" t="str">
        <f t="shared" si="90"/>
        <v>-</v>
      </c>
      <c r="AX149" s="3">
        <f t="shared" si="91"/>
        <v>9</v>
      </c>
      <c r="AY149" s="3">
        <f t="shared" si="92"/>
        <v>5</v>
      </c>
      <c r="AZ149" s="3">
        <f t="shared" si="93"/>
        <v>1</v>
      </c>
      <c r="BA149" s="3">
        <f>IF(ISERROR(LEN(VLOOKUP(A149,Seqs!A:E,2,FALSE))-AL149),"-",LEN(VLOOKUP(A149,Seqs!A:E,2,FALSE))-AL149)</f>
        <v>17</v>
      </c>
      <c r="BB149" s="16">
        <f t="shared" si="94"/>
        <v>28</v>
      </c>
      <c r="BC149" s="9">
        <f t="shared" si="95"/>
        <v>20</v>
      </c>
      <c r="BD149" s="3">
        <f t="shared" si="96"/>
        <v>28</v>
      </c>
      <c r="BE149" s="3">
        <f t="shared" si="97"/>
        <v>57</v>
      </c>
      <c r="BF149" s="3">
        <f>AH149-AE149</f>
        <v>32</v>
      </c>
    </row>
    <row r="150" spans="1:58" s="3" customFormat="1" x14ac:dyDescent="0.2">
      <c r="A150" s="3" t="s">
        <v>263</v>
      </c>
      <c r="B150" s="3" t="str">
        <f>LOWER(VLOOKUP(A150,Xtal_Templ!A:B,2,FALSE))</f>
        <v>ox2r_human</v>
      </c>
      <c r="C150" s="3">
        <f>VLOOKUP($A150,'SegEnds_NonXtal_BW#'!$A:$Z,3,FALSE)+D150-50</f>
        <v>41</v>
      </c>
      <c r="D150" s="3">
        <v>60</v>
      </c>
      <c r="E150" s="3">
        <f>IF(ISERROR(VLOOKUP($A150,'SegEnds_NonXtal_BW#'!$A:$Z,4,FALSE)+VLOOKUP($A150,A:AL,4,FALSE)-50),"-",(VLOOKUP($A150,'SegEnds_NonXtal_BW#'!$A:$Z,4,FALSE)+VLOOKUP($A150,A:AL,4,FALSE)-50))</f>
        <v>70</v>
      </c>
      <c r="F150" s="3" t="str">
        <f>IF(ISERROR(VLOOKUP($A150,'SegEnds_NonXtal_BW#'!$A:$Z,5,FALSE)+VLOOKUP($A150,A:AL,7,FALSE)-50),"-",(VLOOKUP($A150,'SegEnds_NonXtal_BW#'!$A:$Z,5,FALSE)+VLOOKUP($A150,A:AL,7,FALSE)-50))</f>
        <v>-</v>
      </c>
      <c r="G150" s="3" t="s">
        <v>23</v>
      </c>
      <c r="H150" s="3" t="str">
        <f>IF(ISERROR(VLOOKUP($A150,'SegEnds_NonXtal_BW#'!$A:$Z,6,FALSE)+VLOOKUP($A150,A:AL,7,FALSE)-50),"-",(VLOOKUP($A150,'SegEnds_NonXtal_BW#'!$A:$Z,6,FALSE)+VLOOKUP($A150,A:AL,7,FALSE)-50))</f>
        <v>-</v>
      </c>
      <c r="I150" s="3">
        <f>VLOOKUP($A150,'SegEnds_NonXtal_BW#'!$A:$Z,7,FALSE)+J150-50</f>
        <v>73</v>
      </c>
      <c r="J150" s="3">
        <v>86</v>
      </c>
      <c r="K150" s="3">
        <f>VLOOKUP($A150,'SegEnds_NonXtal_BW#'!$A:$Z,8,FALSE)+VLOOKUP($A150,A:AL,10,FALSE)-50</f>
        <v>103</v>
      </c>
      <c r="L150" s="3">
        <f>M150-1</f>
        <v>106</v>
      </c>
      <c r="M150" s="3">
        <v>107</v>
      </c>
      <c r="N150" s="3">
        <f>M150+2</f>
        <v>109</v>
      </c>
      <c r="O150" s="3">
        <f>N150+1</f>
        <v>110</v>
      </c>
      <c r="P150" s="3">
        <v>140</v>
      </c>
      <c r="Q150" s="3">
        <f>VLOOKUP($A150,'SegEnds_NonXtal_BW#'!$A:$Z,12,FALSE)+VLOOKUP($A150,A:AL,16,FALSE)-50</f>
        <v>146</v>
      </c>
      <c r="R150" s="3">
        <f>IF(ISERROR(VLOOKUP($A150,'SegEnds_NonXtal_BW#'!$A:$Z,13,FALSE)+VLOOKUP($A150,A:AL,19,FALSE)-50),"-",VLOOKUP($A150,'SegEnds_NonXtal_BW#'!$A:$Z,13,FALSE)+VLOOKUP($A150,A:AL,19,FALSE)-50)</f>
        <v>147</v>
      </c>
      <c r="S150" s="3">
        <v>147</v>
      </c>
      <c r="T150" s="103">
        <f>IF(ISERROR(VLOOKUP($A150,'SegEnds_NonXtal_BW#'!$A:$Z,14,FALSE)+VLOOKUP($A150,A:AL,19,FALSE)-50),"-",(VLOOKUP($A150,'SegEnds_NonXtal_BW#'!$A:$Z,14,FALSE)+VLOOKUP($A150,A:AL,19,FALSE)-50))</f>
        <v>154</v>
      </c>
      <c r="U150" s="9">
        <f>IF(ISERROR(VLOOKUP($A150,'SegEnds_NonXtal_BW#'!$A:$Z,15,FALSE)+VLOOKUP($A150,A:AL,22,FALSE)-50),"-",VLOOKUP($A150,'SegEnds_NonXtal_BW#'!$A:$Z,15,FALSE)+VLOOKUP($A150,A:AL,22,FALSE)-50)</f>
        <v>155</v>
      </c>
      <c r="V150" s="3">
        <v>167</v>
      </c>
      <c r="W150" s="3">
        <f>IF(ISERROR(VLOOKUP($A150,'SegEnds_NonXtal_BW#'!$A:$Z,16,FALSE)+VLOOKUP($A150,A:AL,22,FALSE)-50),"-",(VLOOKUP($A150,'SegEnds_NonXtal_BW#'!$A:$Z,16,FALSE)+VLOOKUP($A150,A:AL,22,FALSE)-50))</f>
        <v>181</v>
      </c>
      <c r="X150" s="3">
        <f>IF(ISERROR(VLOOKUP($A150,'SegEnds_NonXtal_BW#'!$A:$Z,17,FALSE)+VLOOKUP($A150,A:AL,25,FALSE)-50),"-",(VLOOKUP($A150,'SegEnds_NonXtal_BW#'!$A:$Z,17,FALSE)+VLOOKUP($A150,A:AL,25,FALSE)-50))</f>
        <v>195</v>
      </c>
      <c r="Y150" s="3">
        <v>195</v>
      </c>
      <c r="Z150" s="3">
        <f>Y150+2</f>
        <v>197</v>
      </c>
      <c r="AA150" s="3">
        <f>IF(ISERROR(VLOOKUP($A150,'SegEnds_NonXtal_BW#'!$A:$Z,19,FALSE)+VLOOKUP($A150,A:AL,28,FALSE)-50),"-",(VLOOKUP($A150,'SegEnds_NonXtal_BW#'!$A:$Z,19,FALSE)+VLOOKUP($A150,A:AL,28,FALSE)-50))</f>
        <v>205</v>
      </c>
      <c r="AB150" s="3">
        <v>220</v>
      </c>
      <c r="AC150" s="3">
        <f>IF(ISERROR((VLOOKUP($A150,'SegEnds_NonXtal_BW#'!$A:$Z,20,FALSE)+VLOOKUP($A150,A:AL,28,FALSE)-50)),"-",(VLOOKUP($A150,'SegEnds_NonXtal_BW#'!$A:$Z,20,FALSE)+VLOOKUP($A150,A:AL,28,FALSE)-50))</f>
        <v>246</v>
      </c>
      <c r="AD150" s="3">
        <f>IF(ISERROR(VLOOKUP($A150,'SegEnds_NonXtal_BW#'!$A:$Z,21,FALSE)+VLOOKUP($A150,A:AL,31,FALSE)-50),"-",(VLOOKUP($A150,'SegEnds_NonXtal_BW#'!$A:$Z,21,FALSE)+VLOOKUP($A150,A:AL,31,FALSE)-50))</f>
        <v>276</v>
      </c>
      <c r="AE150" s="3">
        <v>302</v>
      </c>
      <c r="AF150" s="3">
        <f>IF(ISERROR((VLOOKUP($A150,'SegEnds_NonXtal_BW#'!$A:$Z,22,FALSE)+VLOOKUP($A150,A:AL,31,FALSE)-50)),"-",(VLOOKUP($A150,'SegEnds_NonXtal_BW#'!$A:$Z,22,FALSE)+VLOOKUP($A150,A:AL,31,FALSE)-50))</f>
        <v>313</v>
      </c>
      <c r="AG150" s="3">
        <f>IF(ISERROR(VLOOKUP($A150,'SegEnds_NonXtal_BW#'!$A:$Z,23,FALSE)+VLOOKUP($A150,A:AL,34,FALSE)-50),"-",(VLOOKUP($A150,'SegEnds_NonXtal_BW#'!$A:$Z,23,FALSE)+VLOOKUP($A150,A:AL,34,FALSE)-50))</f>
        <v>319</v>
      </c>
      <c r="AH150" s="3">
        <v>338</v>
      </c>
      <c r="AI150" s="3">
        <f>IF(ISERROR((VLOOKUP($A150,'SegEnds_NonXtal_BW#'!$A:$Z,24,FALSE)+VLOOKUP($A150,A:AL,34,FALSE)-50)),"-",(VLOOKUP($A150,'SegEnds_NonXtal_BW#'!$A:$Z,24,FALSE)+VLOOKUP($A150,A:AL,34,FALSE)-50))</f>
        <v>344</v>
      </c>
      <c r="AJ150" s="3">
        <f>IF(ISERROR(VLOOKUP($A150,'SegEnds_NonXtal_BW#'!$A:$Z,25,FALSE)+VLOOKUP($A150,A:AL,37,FALSE)-50),"-",(VLOOKUP($A150,'SegEnds_NonXtal_BW#'!$A:$Z,25,FALSE)+VLOOKUP($A150,A:AL,37,FALSE)-50))</f>
        <v>345</v>
      </c>
      <c r="AK150" s="3">
        <v>348</v>
      </c>
      <c r="AL150" s="3">
        <f>IF(ISERROR((VLOOKUP($A150,'SegEnds_NonXtal_BW#'!$A:$Z,26,FALSE)+VLOOKUP($A150,A:AL,37,FALSE)-50)),"-",(VLOOKUP($A150,'SegEnds_NonXtal_BW#'!$A:$Z,26,FALSE)+VLOOKUP($A150,A:AL,37,FALSE)-50))</f>
        <v>356</v>
      </c>
      <c r="AM150" s="28" t="str">
        <f>VLOOKUP(A150,Classification!A:B,2,FALSE)</f>
        <v>A</v>
      </c>
      <c r="AN150" s="28" t="b">
        <f t="shared" si="100"/>
        <v>1</v>
      </c>
      <c r="AO150" s="3" t="str">
        <f>IF(ISERROR(MATCH(A150,'SegEnds_Xtal_Prot#'!B:B, 0)), "NoXtal", "Xtal")</f>
        <v>NoXtal</v>
      </c>
      <c r="AP150" s="3" t="str">
        <f t="shared" si="83"/>
        <v>-</v>
      </c>
      <c r="AQ150" s="3" t="str">
        <f t="shared" si="84"/>
        <v>-</v>
      </c>
      <c r="AR150" s="3">
        <f t="shared" si="85"/>
        <v>3</v>
      </c>
      <c r="AS150" s="3">
        <f t="shared" si="86"/>
        <v>1</v>
      </c>
      <c r="AT150" s="3">
        <f t="shared" si="87"/>
        <v>1</v>
      </c>
      <c r="AU150" s="3">
        <f t="shared" si="88"/>
        <v>1</v>
      </c>
      <c r="AV150" s="3">
        <f t="shared" si="89"/>
        <v>14</v>
      </c>
      <c r="AW150" s="3">
        <f t="shared" si="90"/>
        <v>8</v>
      </c>
      <c r="AX150" s="3">
        <f t="shared" si="91"/>
        <v>30</v>
      </c>
      <c r="AY150" s="3">
        <f t="shared" si="92"/>
        <v>6</v>
      </c>
      <c r="AZ150" s="3">
        <f t="shared" si="93"/>
        <v>1</v>
      </c>
      <c r="BA150" s="3">
        <f>IF(ISERROR(LEN(VLOOKUP(A150,Seqs!A:E,2,FALSE))-AL150),"-",LEN(VLOOKUP(A150,Seqs!A:E,2,FALSE))-AL150)</f>
        <v>95</v>
      </c>
      <c r="BB150" s="16">
        <f t="shared" si="94"/>
        <v>26</v>
      </c>
      <c r="BC150" s="9">
        <f t="shared" si="95"/>
        <v>20</v>
      </c>
      <c r="BD150" s="3">
        <f t="shared" si="96"/>
        <v>26</v>
      </c>
      <c r="BE150" s="3">
        <f t="shared" si="97"/>
        <v>82</v>
      </c>
    </row>
    <row r="151" spans="1:58" s="3" customFormat="1" x14ac:dyDescent="0.2">
      <c r="A151" s="3" t="s">
        <v>267</v>
      </c>
      <c r="B151" s="3" t="str">
        <f>LOWER(VLOOKUP(A151,Xtal_Templ!A:B,2,FALSE))</f>
        <v>ox1r_human</v>
      </c>
      <c r="C151" s="3">
        <f>VLOOKUP($A151,'SegEnds_NonXtal_BW#'!$A:$Z,3,FALSE)+D151-50</f>
        <v>5</v>
      </c>
      <c r="D151" s="3">
        <v>23</v>
      </c>
      <c r="E151" s="3">
        <f>IF(ISERROR(VLOOKUP($A151,'SegEnds_NonXtal_BW#'!$A:$Z,4,FALSE)+VLOOKUP($A151,A:AL,4,FALSE)-50),"-",(VLOOKUP($A151,'SegEnds_NonXtal_BW#'!$A:$Z,4,FALSE)+VLOOKUP($A151,A:AL,4,FALSE)-50))</f>
        <v>33</v>
      </c>
      <c r="F151" s="3">
        <f>G151-2</f>
        <v>34</v>
      </c>
      <c r="G151" s="3">
        <v>36</v>
      </c>
      <c r="H151" s="3">
        <f>G151+1</f>
        <v>37</v>
      </c>
      <c r="I151" s="3">
        <f>H151+1</f>
        <v>38</v>
      </c>
      <c r="J151" s="3">
        <v>52</v>
      </c>
      <c r="K151" s="3">
        <f>VLOOKUP($A151,'SegEnds_NonXtal_BW#'!$A:$Z,8,FALSE)+VLOOKUP($A151,A:AL,10,FALSE)-50</f>
        <v>69</v>
      </c>
      <c r="L151" s="3" t="str">
        <f>IF(ISERROR(VLOOKUP($A151,'SegEnds_NonXtal_BW#'!$A:$Z,9,FALSE)+VLOOKUP($A151,A:AL,13,FALSE)-50),"-",(VLOOKUP($A151,'SegEnds_NonXtal_BW#'!$A:$Z,9,FALSE)+VLOOKUP($A151,A:AL,13,FALSE)-50))</f>
        <v>-</v>
      </c>
      <c r="M151" s="3" t="s">
        <v>23</v>
      </c>
      <c r="N151" s="3" t="str">
        <f>IF(ISERROR(VLOOKUP($A151,'SegEnds_NonXtal_BW#'!$A:$Z,10,FALSE)+VLOOKUP($A151,A:AL,13,FALSE)-50),"-",(VLOOKUP($A151,'SegEnds_NonXtal_BW#'!$A:$Z,10,FALSE)+VLOOKUP($A151,A:AL,13,FALSE)-50))</f>
        <v>-</v>
      </c>
      <c r="O151" s="3">
        <f>VLOOKUP($A151,'SegEnds_NonXtal_BW#'!$A:$Z,11,FALSE)+VLOOKUP($A151,A:AL,16,FALSE)-50</f>
        <v>75</v>
      </c>
      <c r="P151" s="3">
        <v>104</v>
      </c>
      <c r="Q151" s="3">
        <f>VLOOKUP($A151,'SegEnds_NonXtal_BW#'!$A:$Z,12,FALSE)+VLOOKUP($A151,A:AL,16,FALSE)-50</f>
        <v>110</v>
      </c>
      <c r="R151" s="3">
        <f>IF(ISERROR(VLOOKUP($A151,'SegEnds_NonXtal_BW#'!$A:$Z,13,FALSE)+VLOOKUP($A151,A:AL,19,FALSE)-50),"-",VLOOKUP($A151,'SegEnds_NonXtal_BW#'!$A:$Z,13,FALSE)+VLOOKUP($A151,A:AL,19,FALSE)-50)</f>
        <v>111</v>
      </c>
      <c r="S151" s="3">
        <v>111</v>
      </c>
      <c r="T151" s="103">
        <f>IF(ISERROR(VLOOKUP($A151,'SegEnds_NonXtal_BW#'!$A:$Z,14,FALSE)+VLOOKUP($A151,A:AL,19,FALSE)-50),"-",(VLOOKUP($A151,'SegEnds_NonXtal_BW#'!$A:$Z,14,FALSE)+VLOOKUP($A151,A:AL,19,FALSE)-50))</f>
        <v>118</v>
      </c>
      <c r="U151" s="9">
        <f>IF(ISERROR(VLOOKUP($A151,'SegEnds_NonXtal_BW#'!$A:$Z,15,FALSE)+VLOOKUP($A151,A:AL,22,FALSE)-50),"-",VLOOKUP($A151,'SegEnds_NonXtal_BW#'!$A:$Z,15,FALSE)+VLOOKUP($A151,A:AL,22,FALSE)-50)</f>
        <v>119</v>
      </c>
      <c r="V151" s="3">
        <v>131</v>
      </c>
      <c r="W151" s="3">
        <f>IF(ISERROR(VLOOKUP($A151,'SegEnds_NonXtal_BW#'!$A:$Z,16,FALSE)+VLOOKUP($A151,A:AL,22,FALSE)-50),"-",(VLOOKUP($A151,'SegEnds_NonXtal_BW#'!$A:$Z,16,FALSE)+VLOOKUP($A151,A:AL,22,FALSE)-50))</f>
        <v>145</v>
      </c>
      <c r="X151" s="3">
        <f>IF(ISERROR(VLOOKUP($A151,'SegEnds_NonXtal_BW#'!$A:$Z,17,FALSE)+VLOOKUP($A151,A:AL,25,FALSE)-50),"-",(VLOOKUP($A151,'SegEnds_NonXtal_BW#'!$A:$Z,17,FALSE)+VLOOKUP($A151,A:AL,25,FALSE)-50))</f>
        <v>156</v>
      </c>
      <c r="Y151" s="3">
        <v>156</v>
      </c>
      <c r="Z151" s="3">
        <f>Y151+2</f>
        <v>158</v>
      </c>
      <c r="AA151" s="3">
        <f>IF(ISERROR(VLOOKUP($A151,'SegEnds_NonXtal_BW#'!$A:$Z,19,FALSE)+VLOOKUP($A151,A:AL,28,FALSE)-50),"-",(VLOOKUP($A151,'SegEnds_NonXtal_BW#'!$A:$Z,19,FALSE)+VLOOKUP($A151,A:AL,28,FALSE)-50))</f>
        <v>166</v>
      </c>
      <c r="AB151" s="3">
        <v>184</v>
      </c>
      <c r="AC151" s="3">
        <f>IF(ISERROR((VLOOKUP($A151,'SegEnds_NonXtal_BW#'!$A:$Z,20,FALSE)+VLOOKUP($A151,A:AL,28,FALSE)-50)),"-",(VLOOKUP($A151,'SegEnds_NonXtal_BW#'!$A:$Z,20,FALSE)+VLOOKUP($A151,A:AL,28,FALSE)-50))</f>
        <v>210</v>
      </c>
      <c r="AD151" s="3">
        <f>IF(ISERROR(VLOOKUP($A151,'SegEnds_NonXtal_BW#'!$A:$Z,21,FALSE)+VLOOKUP($A151,A:AL,31,FALSE)-50),"-",(VLOOKUP($A151,'SegEnds_NonXtal_BW#'!$A:$Z,21,FALSE)+VLOOKUP($A151,A:AL,31,FALSE)-50))</f>
        <v>230</v>
      </c>
      <c r="AE151" s="3">
        <v>256</v>
      </c>
      <c r="AF151" s="3">
        <f>IF(ISERROR((VLOOKUP($A151,'SegEnds_NonXtal_BW#'!$A:$Z,22,FALSE)+VLOOKUP($A151,A:AL,31,FALSE)-50)),"-",(VLOOKUP($A151,'SegEnds_NonXtal_BW#'!$A:$Z,22,FALSE)+VLOOKUP($A151,A:AL,31,FALSE)-50))</f>
        <v>267</v>
      </c>
      <c r="AG151" s="3">
        <f>IF(ISERROR(VLOOKUP($A151,'SegEnds_NonXtal_BW#'!$A:$Z,23,FALSE)+VLOOKUP($A151,A:AL,34,FALSE)-50),"-",(VLOOKUP($A151,'SegEnds_NonXtal_BW#'!$A:$Z,23,FALSE)+VLOOKUP($A151,A:AL,34,FALSE)-50))</f>
        <v>272</v>
      </c>
      <c r="AH151" s="3">
        <v>291</v>
      </c>
      <c r="AI151" s="3">
        <f>IF(ISERROR((VLOOKUP($A151,'SegEnds_NonXtal_BW#'!$A:$Z,24,FALSE)+VLOOKUP($A151,A:AL,34,FALSE)-50)),"-",(VLOOKUP($A151,'SegEnds_NonXtal_BW#'!$A:$Z,24,FALSE)+VLOOKUP($A151,A:AL,34,FALSE)-50))</f>
        <v>297</v>
      </c>
      <c r="AJ151" s="3">
        <f>IF(ISERROR(VLOOKUP($A151,'SegEnds_NonXtal_BW#'!$A:$Z,25,FALSE)+VLOOKUP($A151,A:AL,37,FALSE)-50),"-",(VLOOKUP($A151,'SegEnds_NonXtal_BW#'!$A:$Z,25,FALSE)+VLOOKUP($A151,A:AL,37,FALSE)-50))</f>
        <v>298</v>
      </c>
      <c r="AK151" s="3">
        <v>301</v>
      </c>
      <c r="AL151" s="3">
        <f>IF(ISERROR((VLOOKUP($A151,'SegEnds_NonXtal_BW#'!$A:$Z,26,FALSE)+VLOOKUP($A151,A:AL,37,FALSE)-50)),"-",(VLOOKUP($A151,'SegEnds_NonXtal_BW#'!$A:$Z,26,FALSE)+VLOOKUP($A151,A:AL,37,FALSE)-50))</f>
        <v>309</v>
      </c>
      <c r="AM151" s="28" t="str">
        <f>VLOOKUP(A151,Classification!A:B,2,FALSE)</f>
        <v>A</v>
      </c>
      <c r="AN151" s="28" t="b">
        <f t="shared" si="100"/>
        <v>1</v>
      </c>
      <c r="AO151" s="3" t="str">
        <f>IF(ISERROR(MATCH(A151,'SegEnds_Xtal_Prot#'!B:B, 0)), "NoXtal", "Xtal")</f>
        <v>NoXtal</v>
      </c>
      <c r="AP151" s="3">
        <f t="shared" si="83"/>
        <v>1</v>
      </c>
      <c r="AQ151" s="3">
        <f t="shared" si="84"/>
        <v>1</v>
      </c>
      <c r="AR151" s="3" t="str">
        <f t="shared" si="85"/>
        <v>-</v>
      </c>
      <c r="AS151" s="3" t="str">
        <f t="shared" si="86"/>
        <v>-</v>
      </c>
      <c r="AT151" s="3">
        <f t="shared" si="87"/>
        <v>1</v>
      </c>
      <c r="AU151" s="3">
        <f t="shared" si="88"/>
        <v>1</v>
      </c>
      <c r="AV151" s="3">
        <f t="shared" si="89"/>
        <v>11</v>
      </c>
      <c r="AW151" s="3">
        <f t="shared" si="90"/>
        <v>8</v>
      </c>
      <c r="AX151" s="3">
        <f t="shared" si="91"/>
        <v>20</v>
      </c>
      <c r="AY151" s="3">
        <f t="shared" si="92"/>
        <v>5</v>
      </c>
      <c r="AZ151" s="3">
        <f t="shared" si="93"/>
        <v>1</v>
      </c>
      <c r="BA151" s="3">
        <f>IF(ISERROR(LEN(VLOOKUP(A151,Seqs!A:E,2,FALSE))-AL151),"-",LEN(VLOOKUP(A151,Seqs!A:E,2,FALSE))-AL151)</f>
        <v>54</v>
      </c>
      <c r="BB151" s="16">
        <f t="shared" si="94"/>
        <v>29</v>
      </c>
      <c r="BC151" s="9">
        <f t="shared" si="95"/>
        <v>20</v>
      </c>
      <c r="BD151" s="3">
        <f t="shared" si="96"/>
        <v>29</v>
      </c>
      <c r="BE151" s="3">
        <f t="shared" si="97"/>
        <v>72</v>
      </c>
    </row>
    <row r="152" spans="1:58" s="3" customFormat="1" x14ac:dyDescent="0.2">
      <c r="A152" s="3" t="s">
        <v>268</v>
      </c>
      <c r="B152" s="3" t="str">
        <f>LOWER(VLOOKUP(A152,Xtal_Templ!A:B,2,FALSE))</f>
        <v>oprm_mouse</v>
      </c>
      <c r="C152" s="3">
        <f>VLOOKUP($A152,'SegEnds_NonXtal_BW#'!$A:$Z,3,FALSE)+D152-50</f>
        <v>12</v>
      </c>
      <c r="D152" s="3">
        <v>33</v>
      </c>
      <c r="E152" s="3">
        <f>IF(ISERROR(VLOOKUP($A152,'SegEnds_NonXtal_BW#'!$A:$Z,4,FALSE)+VLOOKUP($A152,A:AL,4,FALSE)-50),"-",(VLOOKUP($A152,'SegEnds_NonXtal_BW#'!$A:$Z,4,FALSE)+VLOOKUP($A152,A:AL,4,FALSE)-50))</f>
        <v>43</v>
      </c>
      <c r="F152" s="3" t="str">
        <f>IF(ISERROR(VLOOKUP($A152,'SegEnds_NonXtal_BW#'!$A:$Z,5,FALSE)+VLOOKUP($A152,A:AL,7,FALSE)-50),"-",(VLOOKUP($A152,'SegEnds_NonXtal_BW#'!$A:$Z,5,FALSE)+VLOOKUP($A152,A:AL,7,FALSE)-50))</f>
        <v>-</v>
      </c>
      <c r="G152" s="3" t="s">
        <v>23</v>
      </c>
      <c r="H152" s="3" t="str">
        <f>IF(ISERROR(VLOOKUP($A152,'SegEnds_NonXtal_BW#'!$A:$Z,6,FALSE)+VLOOKUP($A152,A:AL,7,FALSE)-50),"-",(VLOOKUP($A152,'SegEnds_NonXtal_BW#'!$A:$Z,6,FALSE)+VLOOKUP($A152,A:AL,7,FALSE)-50))</f>
        <v>-</v>
      </c>
      <c r="I152" s="3">
        <f>VLOOKUP($A152,'SegEnds_NonXtal_BW#'!$A:$Z,7,FALSE)+J152-50</f>
        <v>48</v>
      </c>
      <c r="J152" s="3">
        <v>61</v>
      </c>
      <c r="K152" s="3">
        <f>VLOOKUP($A152,'SegEnds_NonXtal_BW#'!$A:$Z,8,FALSE)+VLOOKUP($A152,A:AL,10,FALSE)-50</f>
        <v>78</v>
      </c>
      <c r="L152" s="3">
        <f>M152-1</f>
        <v>80</v>
      </c>
      <c r="M152" s="3">
        <v>81</v>
      </c>
      <c r="N152" s="3">
        <f>M152+2</f>
        <v>83</v>
      </c>
      <c r="O152" s="3">
        <f>N152+1</f>
        <v>84</v>
      </c>
      <c r="P152" s="3">
        <v>117</v>
      </c>
      <c r="Q152" s="3">
        <f>VLOOKUP($A152,'SegEnds_NonXtal_BW#'!$A:$Z,12,FALSE)+VLOOKUP($A152,A:AL,16,FALSE)-50</f>
        <v>123</v>
      </c>
      <c r="R152" s="3">
        <f>IF(ISERROR(VLOOKUP($A152,'SegEnds_NonXtal_BW#'!$A:$Z,13,FALSE)+VLOOKUP($A152,A:AL,19,FALSE)-50),"-",VLOOKUP($A152,'SegEnds_NonXtal_BW#'!$A:$Z,13,FALSE)+VLOOKUP($A152,A:AL,19,FALSE)-50)</f>
        <v>140</v>
      </c>
      <c r="S152" s="3">
        <v>140</v>
      </c>
      <c r="T152" s="103">
        <f>IF(ISERROR(VLOOKUP($A152,'SegEnds_NonXtal_BW#'!$A:$Z,14,FALSE)+VLOOKUP($A152,A:AL,19,FALSE)-50),"-",(VLOOKUP($A152,'SegEnds_NonXtal_BW#'!$A:$Z,14,FALSE)+VLOOKUP($A152,A:AL,19,FALSE)-50))</f>
        <v>147</v>
      </c>
      <c r="U152" s="9">
        <f>IF(ISERROR(VLOOKUP($A152,'SegEnds_NonXtal_BW#'!$A:$Z,15,FALSE)+VLOOKUP($A152,A:AL,22,FALSE)-50),"-",VLOOKUP($A152,'SegEnds_NonXtal_BW#'!$A:$Z,15,FALSE)+VLOOKUP($A152,A:AL,22,FALSE)-50)</f>
        <v>148</v>
      </c>
      <c r="V152" s="3">
        <v>160</v>
      </c>
      <c r="W152" s="3">
        <f>IF(ISERROR(VLOOKUP($A152,'SegEnds_NonXtal_BW#'!$A:$Z,16,FALSE)+VLOOKUP($A152,A:AL,22,FALSE)-50),"-",(VLOOKUP($A152,'SegEnds_NonXtal_BW#'!$A:$Z,16,FALSE)+VLOOKUP($A152,A:AL,22,FALSE)-50))</f>
        <v>174</v>
      </c>
      <c r="X152" s="3" t="str">
        <f>IF(ISERROR(VLOOKUP($A152,'SegEnds_NonXtal_BW#'!$A:$Z,17,FALSE)+VLOOKUP($A152,A:AL,25,FALSE)-50),"-",(VLOOKUP($A152,'SegEnds_NonXtal_BW#'!$A:$Z,17,FALSE)+VLOOKUP($A152,A:AL,25,FALSE)-50))</f>
        <v>-</v>
      </c>
      <c r="Y152" s="3" t="s">
        <v>23</v>
      </c>
      <c r="Z152" s="3" t="str">
        <f>IF(ISERROR(VLOOKUP($A152,'SegEnds_NonXtal_BW#'!$A:$Z,18,FALSE)+VLOOKUP($A152,A:AL,25,FALSE)-50),"-",(VLOOKUP($A152,'SegEnds_NonXtal_BW#'!$A:$Z,18,FALSE)+VLOOKUP($A152,A:AL,25,FALSE)-50))</f>
        <v>-</v>
      </c>
      <c r="AA152" s="3">
        <f>IF(ISERROR(VLOOKUP($A152,'SegEnds_NonXtal_BW#'!$A:$Z,19,FALSE)+VLOOKUP($A152,A:AL,28,FALSE)-50),"-",(VLOOKUP($A152,'SegEnds_NonXtal_BW#'!$A:$Z,19,FALSE)+VLOOKUP($A152,A:AL,28,FALSE)-50))</f>
        <v>194</v>
      </c>
      <c r="AB152" s="3">
        <v>213</v>
      </c>
      <c r="AC152" s="3">
        <f>IF(ISERROR((VLOOKUP($A152,'SegEnds_NonXtal_BW#'!$A:$Z,20,FALSE)+VLOOKUP($A152,A:AL,28,FALSE)-50)),"-",(VLOOKUP($A152,'SegEnds_NonXtal_BW#'!$A:$Z,20,FALSE)+VLOOKUP($A152,A:AL,28,FALSE)-50))</f>
        <v>231</v>
      </c>
      <c r="AD152" s="3">
        <f>IF(ISERROR(VLOOKUP($A152,'SegEnds_NonXtal_BW#'!$A:$Z,21,FALSE)+VLOOKUP($A152,A:AL,31,FALSE)-50),"-",(VLOOKUP($A152,'SegEnds_NonXtal_BW#'!$A:$Z,21,FALSE)+VLOOKUP($A152,A:AL,31,FALSE)-50))</f>
        <v>237</v>
      </c>
      <c r="AE152" s="3">
        <v>264</v>
      </c>
      <c r="AF152" s="3">
        <f>IF(ISERROR((VLOOKUP($A152,'SegEnds_NonXtal_BW#'!$A:$Z,22,FALSE)+VLOOKUP($A152,A:AL,31,FALSE)-50)),"-",(VLOOKUP($A152,'SegEnds_NonXtal_BW#'!$A:$Z,22,FALSE)+VLOOKUP($A152,A:AL,31,FALSE)-50))</f>
        <v>275</v>
      </c>
      <c r="AG152" s="3">
        <f>IF(ISERROR(VLOOKUP($A152,'SegEnds_NonXtal_BW#'!$A:$Z,23,FALSE)+VLOOKUP($A152,A:AL,34,FALSE)-50),"-",(VLOOKUP($A152,'SegEnds_NonXtal_BW#'!$A:$Z,23,FALSE)+VLOOKUP($A152,A:AL,34,FALSE)-50))</f>
        <v>284</v>
      </c>
      <c r="AH152" s="3">
        <v>306</v>
      </c>
      <c r="AI152" s="3">
        <f>IF(ISERROR((VLOOKUP($A152,'SegEnds_NonXtal_BW#'!$A:$Z,24,FALSE)+VLOOKUP($A152,A:AL,34,FALSE)-50)),"-",(VLOOKUP($A152,'SegEnds_NonXtal_BW#'!$A:$Z,24,FALSE)+VLOOKUP($A152,A:AL,34,FALSE)-50))</f>
        <v>312</v>
      </c>
      <c r="AJ152" s="3">
        <f>IF(ISERROR(VLOOKUP($A152,'SegEnds_NonXtal_BW#'!$A:$Z,25,FALSE)+VLOOKUP($A152,A:AL,37,FALSE)-50),"-",(VLOOKUP($A152,'SegEnds_NonXtal_BW#'!$A:$Z,25,FALSE)+VLOOKUP($A152,A:AL,37,FALSE)-50))</f>
        <v>313</v>
      </c>
      <c r="AK152" s="3">
        <v>316</v>
      </c>
      <c r="AL152" s="3">
        <f>IF(ISERROR((VLOOKUP($A152,'SegEnds_NonXtal_BW#'!$A:$Z,26,FALSE)+VLOOKUP($A152,A:AL,37,FALSE)-50)),"-",(VLOOKUP($A152,'SegEnds_NonXtal_BW#'!$A:$Z,26,FALSE)+VLOOKUP($A152,A:AL,37,FALSE)-50))</f>
        <v>325</v>
      </c>
      <c r="AM152" s="28" t="str">
        <f>VLOOKUP(A152,Classification!A:B,2,FALSE)</f>
        <v>A</v>
      </c>
      <c r="AN152" s="28" t="b">
        <f t="shared" si="100"/>
        <v>1</v>
      </c>
      <c r="AO152" s="3" t="str">
        <f>IF(ISERROR(MATCH(A152,'SegEnds_Xtal_Prot#'!B:B, 0)), "NoXtal", "Xtal")</f>
        <v>NoXtal</v>
      </c>
      <c r="AP152" s="3" t="str">
        <f t="shared" si="83"/>
        <v>-</v>
      </c>
      <c r="AQ152" s="3" t="str">
        <f t="shared" si="84"/>
        <v>-</v>
      </c>
      <c r="AR152" s="3">
        <f t="shared" si="85"/>
        <v>2</v>
      </c>
      <c r="AS152" s="3">
        <f t="shared" si="86"/>
        <v>1</v>
      </c>
      <c r="AT152" s="3">
        <f t="shared" si="87"/>
        <v>17</v>
      </c>
      <c r="AU152" s="3">
        <f t="shared" si="88"/>
        <v>1</v>
      </c>
      <c r="AV152" s="3" t="str">
        <f t="shared" si="89"/>
        <v>-</v>
      </c>
      <c r="AW152" s="3" t="str">
        <f t="shared" si="90"/>
        <v>-</v>
      </c>
      <c r="AX152" s="3">
        <f t="shared" si="91"/>
        <v>6</v>
      </c>
      <c r="AY152" s="3">
        <f t="shared" si="92"/>
        <v>9</v>
      </c>
      <c r="AZ152" s="3">
        <f t="shared" si="93"/>
        <v>1</v>
      </c>
      <c r="BA152" s="3">
        <f>IF(ISERROR(LEN(VLOOKUP(A152,Seqs!A:E,2,FALSE))-AL152),"-",LEN(VLOOKUP(A152,Seqs!A:E,2,FALSE))-AL152)</f>
        <v>11</v>
      </c>
      <c r="BB152" s="16">
        <f t="shared" si="94"/>
        <v>28</v>
      </c>
      <c r="BC152" s="9">
        <f t="shared" si="95"/>
        <v>20</v>
      </c>
      <c r="BD152" s="3">
        <f t="shared" si="96"/>
        <v>28</v>
      </c>
      <c r="BE152" s="3">
        <f t="shared" si="97"/>
        <v>51</v>
      </c>
      <c r="BF152" s="3">
        <f>AH152-AE152</f>
        <v>42</v>
      </c>
    </row>
    <row r="153" spans="1:58" s="3" customFormat="1" x14ac:dyDescent="0.2">
      <c r="A153" s="3" t="s">
        <v>270</v>
      </c>
      <c r="B153" s="3" t="str">
        <f>LOWER(VLOOKUP(A153,Xtal_Templ!A:B,2,FALSE))</f>
        <v>ednrb_human</v>
      </c>
      <c r="C153" s="3">
        <f>VLOOKUP($A153,'SegEnds_NonXtal_BW#'!$A:$Z,3,FALSE)+D153-50</f>
        <v>10</v>
      </c>
      <c r="D153" s="3">
        <v>38</v>
      </c>
      <c r="E153" s="3">
        <f>IF(ISERROR(VLOOKUP($A153,'SegEnds_NonXtal_BW#'!$A:$Z,4,FALSE)+VLOOKUP($A153,A:AL,4,FALSE)-50),"-",(VLOOKUP($A153,'SegEnds_NonXtal_BW#'!$A:$Z,4,FALSE)+VLOOKUP($A153,A:AL,4,FALSE)-50))</f>
        <v>48</v>
      </c>
      <c r="F153" s="3">
        <f>G153-2</f>
        <v>49</v>
      </c>
      <c r="G153" s="3">
        <v>51</v>
      </c>
      <c r="H153" s="3">
        <f>G153+1</f>
        <v>52</v>
      </c>
      <c r="I153" s="3">
        <f>H153+1</f>
        <v>53</v>
      </c>
      <c r="J153" s="3">
        <v>66</v>
      </c>
      <c r="K153" s="3">
        <f>VLOOKUP($A153,'SegEnds_NonXtal_BW#'!$A:$Z,8,FALSE)+VLOOKUP($A153,A:AL,10,FALSE)-50</f>
        <v>83</v>
      </c>
      <c r="L153" s="3" t="str">
        <f>IF(ISERROR(VLOOKUP($A153,'SegEnds_NonXtal_BW#'!$A:$Z,9,FALSE)+VLOOKUP($A153,A:AL,13,FALSE)-50),"-",(VLOOKUP($A153,'SegEnds_NonXtal_BW#'!$A:$Z,9,FALSE)+VLOOKUP($A153,A:AL,13,FALSE)-50))</f>
        <v>-</v>
      </c>
      <c r="M153" s="3" t="s">
        <v>23</v>
      </c>
      <c r="N153" s="3" t="str">
        <f>IF(ISERROR(VLOOKUP($A153,'SegEnds_NonXtal_BW#'!$A:$Z,10,FALSE)+VLOOKUP($A153,A:AL,13,FALSE)-50),"-",(VLOOKUP($A153,'SegEnds_NonXtal_BW#'!$A:$Z,10,FALSE)+VLOOKUP($A153,A:AL,13,FALSE)-50))</f>
        <v>-</v>
      </c>
      <c r="O153" s="3">
        <f>VLOOKUP($A153,'SegEnds_NonXtal_BW#'!$A:$Z,11,FALSE)+VLOOKUP($A153,A:AL,16,FALSE)-50</f>
        <v>89</v>
      </c>
      <c r="P153" s="3">
        <v>118</v>
      </c>
      <c r="Q153" s="3">
        <f>VLOOKUP($A153,'SegEnds_NonXtal_BW#'!$A:$Z,12,FALSE)+VLOOKUP($A153,A:AL,16,FALSE)-50</f>
        <v>124</v>
      </c>
      <c r="R153" s="3">
        <f>IF(ISERROR(VLOOKUP($A153,'SegEnds_NonXtal_BW#'!$A:$Z,13,FALSE)+VLOOKUP($A153,A:AL,19,FALSE)-50),"-",VLOOKUP($A153,'SegEnds_NonXtal_BW#'!$A:$Z,13,FALSE)+VLOOKUP($A153,A:AL,19,FALSE)-50)</f>
        <v>125</v>
      </c>
      <c r="S153" s="3">
        <v>125</v>
      </c>
      <c r="T153" s="103">
        <f>IF(ISERROR(VLOOKUP($A153,'SegEnds_NonXtal_BW#'!$A:$Z,14,FALSE)+VLOOKUP($A153,A:AL,19,FALSE)-50),"-",(VLOOKUP($A153,'SegEnds_NonXtal_BW#'!$A:$Z,14,FALSE)+VLOOKUP($A153,A:AL,19,FALSE)-50))</f>
        <v>132</v>
      </c>
      <c r="U153" s="9">
        <f>IF(ISERROR(VLOOKUP($A153,'SegEnds_NonXtal_BW#'!$A:$Z,15,FALSE)+VLOOKUP($A153,A:AL,22,FALSE)-50),"-",VLOOKUP($A153,'SegEnds_NonXtal_BW#'!$A:$Z,15,FALSE)+VLOOKUP($A153,A:AL,22,FALSE)-50)</f>
        <v>133</v>
      </c>
      <c r="V153" s="3">
        <v>145</v>
      </c>
      <c r="W153" s="3">
        <f>IF(ISERROR(VLOOKUP($A153,'SegEnds_NonXtal_BW#'!$A:$Z,16,FALSE)+VLOOKUP($A153,A:AL,22,FALSE)-50),"-",(VLOOKUP($A153,'SegEnds_NonXtal_BW#'!$A:$Z,16,FALSE)+VLOOKUP($A153,A:AL,22,FALSE)-50))</f>
        <v>159</v>
      </c>
      <c r="X153" s="3">
        <f>IF(ISERROR(VLOOKUP($A153,'SegEnds_NonXtal_BW#'!$A:$Z,17,FALSE)+VLOOKUP($A153,A:AL,25,FALSE)-50),"-",(VLOOKUP($A153,'SegEnds_NonXtal_BW#'!$A:$Z,17,FALSE)+VLOOKUP($A153,A:AL,25,FALSE)-50))</f>
        <v>168</v>
      </c>
      <c r="Y153" s="3">
        <v>168</v>
      </c>
      <c r="Z153" s="3">
        <f>Y153+2</f>
        <v>170</v>
      </c>
      <c r="AA153" s="3">
        <f>IF(ISERROR(VLOOKUP($A153,'SegEnds_NonXtal_BW#'!$A:$Z,19,FALSE)+VLOOKUP($A153,A:AL,28,FALSE)-50),"-",(VLOOKUP($A153,'SegEnds_NonXtal_BW#'!$A:$Z,19,FALSE)+VLOOKUP($A153,A:AL,28,FALSE)-50))</f>
        <v>214</v>
      </c>
      <c r="AB153" s="3">
        <v>235</v>
      </c>
      <c r="AC153" s="3">
        <f>IF(ISERROR((VLOOKUP($A153,'SegEnds_NonXtal_BW#'!$A:$Z,20,FALSE)+VLOOKUP($A153,A:AL,28,FALSE)-50)),"-",(VLOOKUP($A153,'SegEnds_NonXtal_BW#'!$A:$Z,20,FALSE)+VLOOKUP($A153,A:AL,28,FALSE)-50))</f>
        <v>259</v>
      </c>
      <c r="AD153" s="3">
        <f>IF(ISERROR(VLOOKUP($A153,'SegEnds_NonXtal_BW#'!$A:$Z,21,FALSE)+VLOOKUP($A153,A:AL,31,FALSE)-50),"-",(VLOOKUP($A153,'SegEnds_NonXtal_BW#'!$A:$Z,21,FALSE)+VLOOKUP($A153,A:AL,31,FALSE)-50))</f>
        <v>308</v>
      </c>
      <c r="AE153" s="3">
        <v>334</v>
      </c>
      <c r="AF153" s="3">
        <f>IF(ISERROR((VLOOKUP($A153,'SegEnds_NonXtal_BW#'!$A:$Z,22,FALSE)+VLOOKUP($A153,A:AL,31,FALSE)-50)),"-",(VLOOKUP($A153,'SegEnds_NonXtal_BW#'!$A:$Z,22,FALSE)+VLOOKUP($A153,A:AL,31,FALSE)-50))</f>
        <v>345</v>
      </c>
      <c r="AG153" s="3">
        <f>IF(ISERROR(VLOOKUP($A153,'SegEnds_NonXtal_BW#'!$A:$Z,23,FALSE)+VLOOKUP($A153,A:AL,34,FALSE)-50),"-",(VLOOKUP($A153,'SegEnds_NonXtal_BW#'!$A:$Z,23,FALSE)+VLOOKUP($A153,A:AL,34,FALSE)-50))</f>
        <v>350</v>
      </c>
      <c r="AH153" s="3">
        <v>367</v>
      </c>
      <c r="AI153" s="3">
        <f>IF(ISERROR((VLOOKUP($A153,'SegEnds_NonXtal_BW#'!$A:$Z,24,FALSE)+VLOOKUP($A153,A:AL,34,FALSE)-50)),"-",(VLOOKUP($A153,'SegEnds_NonXtal_BW#'!$A:$Z,24,FALSE)+VLOOKUP($A153,A:AL,34,FALSE)-50))</f>
        <v>373</v>
      </c>
      <c r="AJ153" s="3">
        <f>IF(ISERROR(VLOOKUP($A153,'SegEnds_NonXtal_BW#'!$A:$Z,25,FALSE)+VLOOKUP($A153,A:AL,37,FALSE)-50),"-",(VLOOKUP($A153,'SegEnds_NonXtal_BW#'!$A:$Z,25,FALSE)+VLOOKUP($A153,A:AL,37,FALSE)-50))</f>
        <v>374</v>
      </c>
      <c r="AK153" s="3">
        <v>377</v>
      </c>
      <c r="AL153" s="3">
        <f>IF(ISERROR((VLOOKUP($A153,'SegEnds_NonXtal_BW#'!$A:$Z,26,FALSE)+VLOOKUP($A153,A:AL,37,FALSE)-50)),"-",(VLOOKUP($A153,'SegEnds_NonXtal_BW#'!$A:$Z,26,FALSE)+VLOOKUP($A153,A:AL,37,FALSE)-50))</f>
        <v>387</v>
      </c>
      <c r="AM153" s="28" t="str">
        <f>VLOOKUP(A153,Classification!A:B,2,FALSE)</f>
        <v>A</v>
      </c>
      <c r="AN153" s="28" t="b">
        <f t="shared" si="100"/>
        <v>1</v>
      </c>
      <c r="AO153" s="3" t="str">
        <f>IF(ISERROR(MATCH(A153,'SegEnds_Xtal_Prot#'!B:B, 0)), "NoXtal", "Xtal")</f>
        <v>NoXtal</v>
      </c>
      <c r="AP153" s="3">
        <f t="shared" si="83"/>
        <v>1</v>
      </c>
      <c r="AQ153" s="3">
        <f t="shared" si="84"/>
        <v>1</v>
      </c>
      <c r="AR153" s="3" t="str">
        <f t="shared" si="85"/>
        <v>-</v>
      </c>
      <c r="AS153" s="3" t="str">
        <f t="shared" si="86"/>
        <v>-</v>
      </c>
      <c r="AT153" s="3">
        <f t="shared" si="87"/>
        <v>1</v>
      </c>
      <c r="AU153" s="3">
        <f t="shared" si="88"/>
        <v>1</v>
      </c>
      <c r="AV153" s="3">
        <f t="shared" si="89"/>
        <v>9</v>
      </c>
      <c r="AW153" s="3">
        <f t="shared" si="90"/>
        <v>44</v>
      </c>
      <c r="AX153" s="3">
        <f t="shared" si="91"/>
        <v>49</v>
      </c>
      <c r="AY153" s="3">
        <f t="shared" si="92"/>
        <v>5</v>
      </c>
      <c r="AZ153" s="3">
        <f t="shared" si="93"/>
        <v>1</v>
      </c>
      <c r="BA153" s="3">
        <f>IF(ISERROR(LEN(VLOOKUP(A153,Seqs!A:E,2,FALSE))-AL153),"-",LEN(VLOOKUP(A153,Seqs!A:E,2,FALSE))-AL153)</f>
        <v>9</v>
      </c>
      <c r="BB153" s="16">
        <f t="shared" si="94"/>
        <v>28</v>
      </c>
      <c r="BC153" s="9">
        <f t="shared" si="95"/>
        <v>20</v>
      </c>
      <c r="BD153" s="3">
        <f t="shared" si="96"/>
        <v>28</v>
      </c>
      <c r="BE153" s="3">
        <f t="shared" si="97"/>
        <v>99</v>
      </c>
      <c r="BF153" s="3">
        <f>AH153-AE153</f>
        <v>33</v>
      </c>
    </row>
    <row r="154" spans="1:58" s="3" customFormat="1" x14ac:dyDescent="0.2">
      <c r="A154" s="3" t="s">
        <v>271</v>
      </c>
      <c r="B154" s="3" t="str">
        <f>LOWER(VLOOKUP(A154,Xtal_Templ!A:B,2,FALSE))</f>
        <v>ox1r_human</v>
      </c>
      <c r="C154" s="3">
        <f>VLOOKUP($A154,'SegEnds_NonXtal_BW#'!$A:$Z,3,FALSE)+D154-50</f>
        <v>20</v>
      </c>
      <c r="D154" s="3">
        <v>38</v>
      </c>
      <c r="E154" s="3">
        <f>IF(ISERROR(VLOOKUP($A154,'SegEnds_NonXtal_BW#'!$A:$Z,4,FALSE)+VLOOKUP($A154,A:AL,4,FALSE)-50),"-",(VLOOKUP($A154,'SegEnds_NonXtal_BW#'!$A:$Z,4,FALSE)+VLOOKUP($A154,A:AL,4,FALSE)-50))</f>
        <v>48</v>
      </c>
      <c r="F154" s="3">
        <f>G154-2</f>
        <v>49</v>
      </c>
      <c r="G154" s="3">
        <v>51</v>
      </c>
      <c r="H154" s="3">
        <f>G154+1</f>
        <v>52</v>
      </c>
      <c r="I154" s="3">
        <f>H154+1</f>
        <v>53</v>
      </c>
      <c r="J154" s="3">
        <v>66</v>
      </c>
      <c r="K154" s="3">
        <f>VLOOKUP($A154,'SegEnds_NonXtal_BW#'!$A:$Z,8,FALSE)+VLOOKUP($A154,A:AL,10,FALSE)-50</f>
        <v>83</v>
      </c>
      <c r="L154" s="3">
        <f>M154-1</f>
        <v>86</v>
      </c>
      <c r="M154" s="3">
        <v>87</v>
      </c>
      <c r="N154" s="3">
        <f>M154+2</f>
        <v>89</v>
      </c>
      <c r="O154" s="3">
        <f>N154+1</f>
        <v>90</v>
      </c>
      <c r="P154" s="3">
        <v>119</v>
      </c>
      <c r="Q154" s="3">
        <f>VLOOKUP($A154,'SegEnds_NonXtal_BW#'!$A:$Z,12,FALSE)+VLOOKUP($A154,A:AL,16,FALSE)-50</f>
        <v>125</v>
      </c>
      <c r="R154" s="3">
        <f>IF(ISERROR(VLOOKUP($A154,'SegEnds_NonXtal_BW#'!$A:$Z,13,FALSE)+VLOOKUP($A154,A:AL,19,FALSE)-50),"-",VLOOKUP($A154,'SegEnds_NonXtal_BW#'!$A:$Z,13,FALSE)+VLOOKUP($A154,A:AL,19,FALSE)-50)</f>
        <v>126</v>
      </c>
      <c r="S154" s="3">
        <v>126</v>
      </c>
      <c r="T154" s="103">
        <f>IF(ISERROR(VLOOKUP($A154,'SegEnds_NonXtal_BW#'!$A:$Z,14,FALSE)+VLOOKUP($A154,A:AL,19,FALSE)-50),"-",(VLOOKUP($A154,'SegEnds_NonXtal_BW#'!$A:$Z,14,FALSE)+VLOOKUP($A154,A:AL,19,FALSE)-50))</f>
        <v>133</v>
      </c>
      <c r="U154" s="9">
        <f>IF(ISERROR(VLOOKUP($A154,'SegEnds_NonXtal_BW#'!$A:$Z,15,FALSE)+VLOOKUP($A154,A:AL,22,FALSE)-50),"-",VLOOKUP($A154,'SegEnds_NonXtal_BW#'!$A:$Z,15,FALSE)+VLOOKUP($A154,A:AL,22,FALSE)-50)</f>
        <v>134</v>
      </c>
      <c r="V154" s="3">
        <v>146</v>
      </c>
      <c r="W154" s="3">
        <f>IF(ISERROR(VLOOKUP($A154,'SegEnds_NonXtal_BW#'!$A:$Z,16,FALSE)+VLOOKUP($A154,A:AL,22,FALSE)-50),"-",(VLOOKUP($A154,'SegEnds_NonXtal_BW#'!$A:$Z,16,FALSE)+VLOOKUP($A154,A:AL,22,FALSE)-50))</f>
        <v>160</v>
      </c>
      <c r="X154" s="3">
        <f>IF(ISERROR(VLOOKUP($A154,'SegEnds_NonXtal_BW#'!$A:$Z,17,FALSE)+VLOOKUP($A154,A:AL,25,FALSE)-50),"-",(VLOOKUP($A154,'SegEnds_NonXtal_BW#'!$A:$Z,17,FALSE)+VLOOKUP($A154,A:AL,25,FALSE)-50))</f>
        <v>172</v>
      </c>
      <c r="Y154" s="3">
        <v>172</v>
      </c>
      <c r="Z154" s="3">
        <f>Y154+2</f>
        <v>174</v>
      </c>
      <c r="AA154" s="3">
        <f>IF(ISERROR(VLOOKUP($A154,'SegEnds_NonXtal_BW#'!$A:$Z,19,FALSE)+VLOOKUP($A154,A:AL,28,FALSE)-50),"-",(VLOOKUP($A154,'SegEnds_NonXtal_BW#'!$A:$Z,19,FALSE)+VLOOKUP($A154,A:AL,28,FALSE)-50))</f>
        <v>218</v>
      </c>
      <c r="AB154" s="3">
        <v>233</v>
      </c>
      <c r="AC154" s="3">
        <f>IF(ISERROR((VLOOKUP($A154,'SegEnds_NonXtal_BW#'!$A:$Z,20,FALSE)+VLOOKUP($A154,A:AL,28,FALSE)-50)),"-",(VLOOKUP($A154,'SegEnds_NonXtal_BW#'!$A:$Z,20,FALSE)+VLOOKUP($A154,A:AL,28,FALSE)-50))</f>
        <v>259</v>
      </c>
      <c r="AD154" s="3">
        <f>IF(ISERROR(VLOOKUP($A154,'SegEnds_NonXtal_BW#'!$A:$Z,21,FALSE)+VLOOKUP($A154,A:AL,31,FALSE)-50),"-",(VLOOKUP($A154,'SegEnds_NonXtal_BW#'!$A:$Z,21,FALSE)+VLOOKUP($A154,A:AL,31,FALSE)-50))</f>
        <v>274</v>
      </c>
      <c r="AE154" s="3">
        <v>300</v>
      </c>
      <c r="AF154" s="3">
        <f>IF(ISERROR((VLOOKUP($A154,'SegEnds_NonXtal_BW#'!$A:$Z,22,FALSE)+VLOOKUP($A154,A:AL,31,FALSE)-50)),"-",(VLOOKUP($A154,'SegEnds_NonXtal_BW#'!$A:$Z,22,FALSE)+VLOOKUP($A154,A:AL,31,FALSE)-50))</f>
        <v>311</v>
      </c>
      <c r="AG154" s="3">
        <f>IF(ISERROR(VLOOKUP($A154,'SegEnds_NonXtal_BW#'!$A:$Z,23,FALSE)+VLOOKUP($A154,A:AL,34,FALSE)-50),"-",(VLOOKUP($A154,'SegEnds_NonXtal_BW#'!$A:$Z,23,FALSE)+VLOOKUP($A154,A:AL,34,FALSE)-50))</f>
        <v>317</v>
      </c>
      <c r="AH154" s="3">
        <v>336</v>
      </c>
      <c r="AI154" s="3">
        <f>IF(ISERROR((VLOOKUP($A154,'SegEnds_NonXtal_BW#'!$A:$Z,24,FALSE)+VLOOKUP($A154,A:AL,34,FALSE)-50)),"-",(VLOOKUP($A154,'SegEnds_NonXtal_BW#'!$A:$Z,24,FALSE)+VLOOKUP($A154,A:AL,34,FALSE)-50))</f>
        <v>342</v>
      </c>
      <c r="AJ154" s="3">
        <f>IF(ISERROR(VLOOKUP($A154,'SegEnds_NonXtal_BW#'!$A:$Z,25,FALSE)+VLOOKUP($A154,A:AL,37,FALSE)-50),"-",(VLOOKUP($A154,'SegEnds_NonXtal_BW#'!$A:$Z,25,FALSE)+VLOOKUP($A154,A:AL,37,FALSE)-50))</f>
        <v>343</v>
      </c>
      <c r="AK154" s="3">
        <v>346</v>
      </c>
      <c r="AL154" s="3">
        <f>IF(ISERROR((VLOOKUP($A154,'SegEnds_NonXtal_BW#'!$A:$Z,26,FALSE)+VLOOKUP($A154,A:AL,37,FALSE)-50)),"-",(VLOOKUP($A154,'SegEnds_NonXtal_BW#'!$A:$Z,26,FALSE)+VLOOKUP($A154,A:AL,37,FALSE)-50))</f>
        <v>354</v>
      </c>
      <c r="AM154" s="28" t="str">
        <f>VLOOKUP(A154,Classification!A:B,2,FALSE)</f>
        <v>A</v>
      </c>
      <c r="AN154" s="28" t="b">
        <f t="shared" si="100"/>
        <v>1</v>
      </c>
      <c r="AO154" s="3" t="str">
        <f>IF(ISERROR(MATCH(A154,'SegEnds_Xtal_Prot#'!B:B, 0)), "NoXtal", "Xtal")</f>
        <v>NoXtal</v>
      </c>
      <c r="AP154" s="3">
        <f t="shared" si="83"/>
        <v>1</v>
      </c>
      <c r="AQ154" s="3">
        <f t="shared" si="84"/>
        <v>1</v>
      </c>
      <c r="AR154" s="3">
        <f t="shared" si="85"/>
        <v>3</v>
      </c>
      <c r="AS154" s="3">
        <f t="shared" si="86"/>
        <v>1</v>
      </c>
      <c r="AT154" s="3">
        <f t="shared" si="87"/>
        <v>1</v>
      </c>
      <c r="AU154" s="3">
        <f t="shared" si="88"/>
        <v>1</v>
      </c>
      <c r="AV154" s="3">
        <f t="shared" si="89"/>
        <v>12</v>
      </c>
      <c r="AW154" s="3">
        <f t="shared" si="90"/>
        <v>44</v>
      </c>
      <c r="AX154" s="3">
        <f t="shared" si="91"/>
        <v>15</v>
      </c>
      <c r="AY154" s="3">
        <f t="shared" si="92"/>
        <v>6</v>
      </c>
      <c r="AZ154" s="3">
        <f t="shared" si="93"/>
        <v>1</v>
      </c>
      <c r="BA154" s="3">
        <f>IF(ISERROR(LEN(VLOOKUP(A154,Seqs!A:E,2,FALSE))-AL154),"-",LEN(VLOOKUP(A154,Seqs!A:E,2,FALSE))-AL154)</f>
        <v>16</v>
      </c>
      <c r="BB154" s="16">
        <f t="shared" si="94"/>
        <v>28</v>
      </c>
      <c r="BC154" s="9">
        <f t="shared" si="95"/>
        <v>20</v>
      </c>
      <c r="BD154" s="3">
        <f t="shared" si="96"/>
        <v>28</v>
      </c>
      <c r="BE154" s="3">
        <f t="shared" si="97"/>
        <v>67</v>
      </c>
      <c r="BF154" s="3">
        <f>AH154-AE154</f>
        <v>36</v>
      </c>
    </row>
    <row r="155" spans="1:58" s="3" customFormat="1" x14ac:dyDescent="0.2">
      <c r="A155" s="3" t="s">
        <v>272</v>
      </c>
      <c r="B155" s="3" t="str">
        <f>LOWER(VLOOKUP(A155,Xtal_Templ!A:B,2,FALSE))</f>
        <v>p2y12_human</v>
      </c>
      <c r="C155" s="3">
        <f>VLOOKUP($A155,'SegEnds_NonXtal_BW#'!$A:$Z,3,FALSE)+D155-50</f>
        <v>38</v>
      </c>
      <c r="D155" s="3">
        <v>60</v>
      </c>
      <c r="E155" s="3">
        <f>IF(ISERROR(VLOOKUP($A155,'SegEnds_NonXtal_BW#'!$A:$Z,4,FALSE)+VLOOKUP($A155,A:AL,4,FALSE)-50),"-",(VLOOKUP($A155,'SegEnds_NonXtal_BW#'!$A:$Z,4,FALSE)+VLOOKUP($A155,A:AL,4,FALSE)-50))</f>
        <v>70</v>
      </c>
      <c r="F155" s="3" t="str">
        <f>IF(ISERROR(VLOOKUP($A155,'SegEnds_NonXtal_BW#'!$A:$Z,5,FALSE)+VLOOKUP($A155,A:AL,7,FALSE)-50),"-",(VLOOKUP($A155,'SegEnds_NonXtal_BW#'!$A:$Z,5,FALSE)+VLOOKUP($A155,A:AL,7,FALSE)-50))</f>
        <v>-</v>
      </c>
      <c r="G155" s="3" t="s">
        <v>23</v>
      </c>
      <c r="H155" s="3" t="str">
        <f>IF(ISERROR(VLOOKUP($A155,'SegEnds_NonXtal_BW#'!$A:$Z,6,FALSE)+VLOOKUP($A155,A:AL,7,FALSE)-50),"-",(VLOOKUP($A155,'SegEnds_NonXtal_BW#'!$A:$Z,6,FALSE)+VLOOKUP($A155,A:AL,7,FALSE)-50))</f>
        <v>-</v>
      </c>
      <c r="I155" s="3">
        <f>VLOOKUP($A155,'SegEnds_NonXtal_BW#'!$A:$Z,7,FALSE)+J155-50</f>
        <v>74</v>
      </c>
      <c r="J155" s="3">
        <v>87</v>
      </c>
      <c r="K155" s="3">
        <f>VLOOKUP($A155,'SegEnds_NonXtal_BW#'!$A:$Z,8,FALSE)+VLOOKUP($A155,A:AL,10,FALSE)-50</f>
        <v>103</v>
      </c>
      <c r="L155" s="3">
        <f>M155-1</f>
        <v>106</v>
      </c>
      <c r="M155" s="3">
        <v>107</v>
      </c>
      <c r="N155" s="3">
        <f>M155+2</f>
        <v>109</v>
      </c>
      <c r="O155" s="3">
        <f>N155+1</f>
        <v>110</v>
      </c>
      <c r="P155" s="3">
        <v>139</v>
      </c>
      <c r="Q155" s="3">
        <f>VLOOKUP($A155,'SegEnds_NonXtal_BW#'!$A:$Z,12,FALSE)+VLOOKUP($A155,A:AL,16,FALSE)-50</f>
        <v>145</v>
      </c>
      <c r="R155" s="3">
        <f>IF(ISERROR(VLOOKUP($A155,'SegEnds_NonXtal_BW#'!$A:$Z,13,FALSE)+VLOOKUP($A155,A:AL,19,FALSE)-50),"-",VLOOKUP($A155,'SegEnds_NonXtal_BW#'!$A:$Z,13,FALSE)+VLOOKUP($A155,A:AL,19,FALSE)-50)</f>
        <v>146</v>
      </c>
      <c r="S155" s="3">
        <v>146</v>
      </c>
      <c r="T155" s="103">
        <f>IF(ISERROR(VLOOKUP($A155,'SegEnds_NonXtal_BW#'!$A:$Z,14,FALSE)+VLOOKUP($A155,A:AL,19,FALSE)-50),"-",(VLOOKUP($A155,'SegEnds_NonXtal_BW#'!$A:$Z,14,FALSE)+VLOOKUP($A155,A:AL,19,FALSE)-50))</f>
        <v>153</v>
      </c>
      <c r="U155" s="9">
        <f>IF(ISERROR(VLOOKUP($A155,'SegEnds_NonXtal_BW#'!$A:$Z,15,FALSE)+VLOOKUP($A155,A:AL,22,FALSE)-50),"-",VLOOKUP($A155,'SegEnds_NonXtal_BW#'!$A:$Z,15,FALSE)+VLOOKUP($A155,A:AL,22,FALSE)-50)</f>
        <v>154</v>
      </c>
      <c r="V155" s="3">
        <v>166</v>
      </c>
      <c r="W155" s="3">
        <f>IF(ISERROR(VLOOKUP($A155,'SegEnds_NonXtal_BW#'!$A:$Z,16,FALSE)+VLOOKUP($A155,A:AL,22,FALSE)-50),"-",(VLOOKUP($A155,'SegEnds_NonXtal_BW#'!$A:$Z,16,FALSE)+VLOOKUP($A155,A:AL,22,FALSE)-50))</f>
        <v>180</v>
      </c>
      <c r="X155" s="3">
        <f>IF(ISERROR(VLOOKUP($A155,'SegEnds_NonXtal_BW#'!$A:$Z,17,FALSE)+VLOOKUP($A155,A:AL,25,FALSE)-50),"-",(VLOOKUP($A155,'SegEnds_NonXtal_BW#'!$A:$Z,17,FALSE)+VLOOKUP($A155,A:AL,25,FALSE)-50))</f>
        <v>192</v>
      </c>
      <c r="Y155" s="3">
        <v>192</v>
      </c>
      <c r="Z155" s="3">
        <f>Y155+2</f>
        <v>194</v>
      </c>
      <c r="AA155" s="3">
        <f>IF(ISERROR(VLOOKUP($A155,'SegEnds_NonXtal_BW#'!$A:$Z,19,FALSE)+VLOOKUP($A155,A:AL,28,FALSE)-50),"-",(VLOOKUP($A155,'SegEnds_NonXtal_BW#'!$A:$Z,19,FALSE)+VLOOKUP($A155,A:AL,28,FALSE)-50))</f>
        <v>198</v>
      </c>
      <c r="AB155" s="3">
        <v>218</v>
      </c>
      <c r="AC155" s="3">
        <f>IF(ISERROR((VLOOKUP($A155,'SegEnds_NonXtal_BW#'!$A:$Z,20,FALSE)+VLOOKUP($A155,A:AL,28,FALSE)-50)),"-",(VLOOKUP($A155,'SegEnds_NonXtal_BW#'!$A:$Z,20,FALSE)+VLOOKUP($A155,A:AL,28,FALSE)-50))</f>
        <v>236</v>
      </c>
      <c r="AD155" s="3">
        <f>IF(ISERROR(VLOOKUP($A155,'SegEnds_NonXtal_BW#'!$A:$Z,21,FALSE)+VLOOKUP($A155,A:AL,31,FALSE)-50),"-",(VLOOKUP($A155,'SegEnds_NonXtal_BW#'!$A:$Z,21,FALSE)+VLOOKUP($A155,A:AL,31,FALSE)-50))</f>
        <v>241</v>
      </c>
      <c r="AE155" s="3">
        <v>267</v>
      </c>
      <c r="AF155" s="3">
        <f>IF(ISERROR((VLOOKUP($A155,'SegEnds_NonXtal_BW#'!$A:$Z,22,FALSE)+VLOOKUP($A155,A:AL,31,FALSE)-50)),"-",(VLOOKUP($A155,'SegEnds_NonXtal_BW#'!$A:$Z,22,FALSE)+VLOOKUP($A155,A:AL,31,FALSE)-50))</f>
        <v>281</v>
      </c>
      <c r="AG155" s="3">
        <f>IF(ISERROR(VLOOKUP($A155,'SegEnds_NonXtal_BW#'!$A:$Z,23,FALSE)+VLOOKUP($A155,A:AL,34,FALSE)-50),"-",(VLOOKUP($A155,'SegEnds_NonXtal_BW#'!$A:$Z,23,FALSE)+VLOOKUP($A155,A:AL,34,FALSE)-50))</f>
        <v>285</v>
      </c>
      <c r="AH155" s="3">
        <v>311</v>
      </c>
      <c r="AI155" s="3">
        <f>IF(ISERROR((VLOOKUP($A155,'SegEnds_NonXtal_BW#'!$A:$Z,24,FALSE)+VLOOKUP($A155,A:AL,34,FALSE)-50)),"-",(VLOOKUP($A155,'SegEnds_NonXtal_BW#'!$A:$Z,24,FALSE)+VLOOKUP($A155,A:AL,34,FALSE)-50))</f>
        <v>317</v>
      </c>
      <c r="AJ155" s="3">
        <f>IF(ISERROR(VLOOKUP($A155,'SegEnds_NonXtal_BW#'!$A:$Z,25,FALSE)+VLOOKUP($A155,A:AL,37,FALSE)-50),"-",(VLOOKUP($A155,'SegEnds_NonXtal_BW#'!$A:$Z,25,FALSE)+VLOOKUP($A155,A:AL,37,FALSE)-50))</f>
        <v>318</v>
      </c>
      <c r="AK155" s="3">
        <v>321</v>
      </c>
      <c r="AL155" s="3">
        <f>IF(ISERROR((VLOOKUP($A155,'SegEnds_NonXtal_BW#'!$A:$Z,26,FALSE)+VLOOKUP($A155,A:AL,37,FALSE)-50)),"-",(VLOOKUP($A155,'SegEnds_NonXtal_BW#'!$A:$Z,26,FALSE)+VLOOKUP($A155,A:AL,37,FALSE)-50))</f>
        <v>328</v>
      </c>
      <c r="AM155" s="28" t="str">
        <f>VLOOKUP(A155,Classification!A:B,2,FALSE)</f>
        <v>A</v>
      </c>
      <c r="AN155" s="28" t="b">
        <f t="shared" si="100"/>
        <v>1</v>
      </c>
      <c r="AO155" s="3" t="str">
        <f>IF(ISERROR(MATCH(A155,'SegEnds_Xtal_Prot#'!B:B, 0)), "NoXtal", "Xtal")</f>
        <v>NoXtal</v>
      </c>
      <c r="AP155" s="3" t="str">
        <f t="shared" si="83"/>
        <v>-</v>
      </c>
      <c r="AQ155" s="3" t="str">
        <f t="shared" si="84"/>
        <v>-</v>
      </c>
      <c r="AR155" s="3">
        <f t="shared" si="85"/>
        <v>3</v>
      </c>
      <c r="AS155" s="3">
        <f t="shared" si="86"/>
        <v>1</v>
      </c>
      <c r="AT155" s="3">
        <f t="shared" si="87"/>
        <v>1</v>
      </c>
      <c r="AU155" s="3">
        <f t="shared" si="88"/>
        <v>1</v>
      </c>
      <c r="AV155" s="3">
        <f t="shared" si="89"/>
        <v>12</v>
      </c>
      <c r="AW155" s="3">
        <f t="shared" si="90"/>
        <v>4</v>
      </c>
      <c r="AX155" s="3">
        <f t="shared" si="91"/>
        <v>5</v>
      </c>
      <c r="AY155" s="3">
        <f t="shared" si="92"/>
        <v>4</v>
      </c>
      <c r="AZ155" s="3">
        <f t="shared" si="93"/>
        <v>1</v>
      </c>
      <c r="BA155" s="3">
        <f>IF(ISERROR(LEN(VLOOKUP(A155,Seqs!A:E,2,FALSE))-AL155),"-",LEN(VLOOKUP(A155,Seqs!A:E,2,FALSE))-AL155)</f>
        <v>30</v>
      </c>
      <c r="BB155" s="16">
        <f t="shared" si="94"/>
        <v>27</v>
      </c>
      <c r="BC155" s="9">
        <f t="shared" si="95"/>
        <v>20</v>
      </c>
      <c r="BD155" s="3">
        <f t="shared" si="96"/>
        <v>27</v>
      </c>
      <c r="BE155" s="3">
        <f t="shared" si="97"/>
        <v>49</v>
      </c>
    </row>
    <row r="156" spans="1:58" s="3" customFormat="1" x14ac:dyDescent="0.2">
      <c r="A156" s="3" t="s">
        <v>273</v>
      </c>
      <c r="B156" s="3" t="str">
        <f>LOWER(VLOOKUP(A156,Xtal_Templ!A:B,2,FALSE))</f>
        <v>ox1r_human</v>
      </c>
      <c r="C156" s="3">
        <f>VLOOKUP($A156,'SegEnds_NonXtal_BW#'!$A:$Z,3,FALSE)+D156-50</f>
        <v>31</v>
      </c>
      <c r="D156" s="3">
        <v>49</v>
      </c>
      <c r="E156" s="3">
        <f>IF(ISERROR(VLOOKUP($A156,'SegEnds_NonXtal_BW#'!$A:$Z,4,FALSE)+VLOOKUP($A156,A:AL,4,FALSE)-50),"-",(VLOOKUP($A156,'SegEnds_NonXtal_BW#'!$A:$Z,4,FALSE)+VLOOKUP($A156,A:AL,4,FALSE)-50))</f>
        <v>59</v>
      </c>
      <c r="F156" s="3">
        <f>G156-2</f>
        <v>60</v>
      </c>
      <c r="G156" s="3">
        <v>62</v>
      </c>
      <c r="H156" s="3">
        <f>G156+1</f>
        <v>63</v>
      </c>
      <c r="I156" s="3">
        <f>H156+1</f>
        <v>64</v>
      </c>
      <c r="J156" s="3">
        <v>77</v>
      </c>
      <c r="K156" s="3">
        <f>VLOOKUP($A156,'SegEnds_NonXtal_BW#'!$A:$Z,8,FALSE)+VLOOKUP($A156,A:AL,10,FALSE)-50</f>
        <v>94</v>
      </c>
      <c r="L156" s="3" t="str">
        <f>IF(ISERROR(VLOOKUP($A156,'SegEnds_NonXtal_BW#'!$A:$Z,9,FALSE)+VLOOKUP($A156,A:AL,13,FALSE)-50),"-",(VLOOKUP($A156,'SegEnds_NonXtal_BW#'!$A:$Z,9,FALSE)+VLOOKUP($A156,A:AL,13,FALSE)-50))</f>
        <v>-</v>
      </c>
      <c r="M156" s="3" t="s">
        <v>23</v>
      </c>
      <c r="N156" s="3" t="str">
        <f>IF(ISERROR(VLOOKUP($A156,'SegEnds_NonXtal_BW#'!$A:$Z,10,FALSE)+VLOOKUP($A156,A:AL,13,FALSE)-50),"-",(VLOOKUP($A156,'SegEnds_NonXtal_BW#'!$A:$Z,10,FALSE)+VLOOKUP($A156,A:AL,13,FALSE)-50))</f>
        <v>-</v>
      </c>
      <c r="O156" s="3">
        <f>VLOOKUP($A156,'SegEnds_NonXtal_BW#'!$A:$Z,11,FALSE)+VLOOKUP($A156,A:AL,16,FALSE)-50</f>
        <v>106</v>
      </c>
      <c r="P156" s="3">
        <v>138</v>
      </c>
      <c r="Q156" s="3">
        <f>VLOOKUP($A156,'SegEnds_NonXtal_BW#'!$A:$Z,12,FALSE)+VLOOKUP($A156,A:AL,16,FALSE)-50</f>
        <v>144</v>
      </c>
      <c r="R156" s="3">
        <f>IF(ISERROR(VLOOKUP($A156,'SegEnds_NonXtal_BW#'!$A:$Z,13,FALSE)+VLOOKUP($A156,A:AL,19,FALSE)-50),"-",VLOOKUP($A156,'SegEnds_NonXtal_BW#'!$A:$Z,13,FALSE)+VLOOKUP($A156,A:AL,19,FALSE)-50)</f>
        <v>146</v>
      </c>
      <c r="S156" s="3">
        <v>146</v>
      </c>
      <c r="T156" s="103">
        <f>IF(ISERROR(VLOOKUP($A156,'SegEnds_NonXtal_BW#'!$A:$Z,14,FALSE)+VLOOKUP($A156,A:AL,19,FALSE)-50),"-",(VLOOKUP($A156,'SegEnds_NonXtal_BW#'!$A:$Z,14,FALSE)+VLOOKUP($A156,A:AL,19,FALSE)-50))</f>
        <v>153</v>
      </c>
      <c r="U156" s="9">
        <f>IF(ISERROR(VLOOKUP($A156,'SegEnds_NonXtal_BW#'!$A:$Z,15,FALSE)+VLOOKUP($A156,A:AL,22,FALSE)-50),"-",VLOOKUP($A156,'SegEnds_NonXtal_BW#'!$A:$Z,15,FALSE)+VLOOKUP($A156,A:AL,22,FALSE)-50)</f>
        <v>154</v>
      </c>
      <c r="V156" s="3">
        <v>166</v>
      </c>
      <c r="W156" s="3">
        <f>IF(ISERROR(VLOOKUP($A156,'SegEnds_NonXtal_BW#'!$A:$Z,16,FALSE)+VLOOKUP($A156,A:AL,22,FALSE)-50),"-",(VLOOKUP($A156,'SegEnds_NonXtal_BW#'!$A:$Z,16,FALSE)+VLOOKUP($A156,A:AL,22,FALSE)-50))</f>
        <v>180</v>
      </c>
      <c r="X156" s="3" t="str">
        <f>IF(ISERROR(VLOOKUP($A156,'SegEnds_NonXtal_BW#'!$A:$Z,17,FALSE)+VLOOKUP($A156,A:AL,25,FALSE)-50),"-",(VLOOKUP($A156,'SegEnds_NonXtal_BW#'!$A:$Z,17,FALSE)+VLOOKUP($A156,A:AL,25,FALSE)-50))</f>
        <v>-</v>
      </c>
      <c r="Y156" s="3" t="s">
        <v>23</v>
      </c>
      <c r="Z156" s="3" t="str">
        <f>IF(ISERROR(VLOOKUP($A156,'SegEnds_NonXtal_BW#'!$A:$Z,18,FALSE)+VLOOKUP($A156,A:AL,25,FALSE)-50),"-",(VLOOKUP($A156,'SegEnds_NonXtal_BW#'!$A:$Z,18,FALSE)+VLOOKUP($A156,A:AL,25,FALSE)-50))</f>
        <v>-</v>
      </c>
      <c r="AA156" s="3">
        <f>IF(ISERROR(VLOOKUP($A156,'SegEnds_NonXtal_BW#'!$A:$Z,19,FALSE)+VLOOKUP($A156,A:AL,28,FALSE)-50),"-",(VLOOKUP($A156,'SegEnds_NonXtal_BW#'!$A:$Z,19,FALSE)+VLOOKUP($A156,A:AL,28,FALSE)-50))</f>
        <v>223</v>
      </c>
      <c r="AB156" s="3">
        <v>238</v>
      </c>
      <c r="AC156" s="3">
        <f>IF(ISERROR((VLOOKUP($A156,'SegEnds_NonXtal_BW#'!$A:$Z,20,FALSE)+VLOOKUP($A156,A:AL,28,FALSE)-50)),"-",(VLOOKUP($A156,'SegEnds_NonXtal_BW#'!$A:$Z,20,FALSE)+VLOOKUP($A156,A:AL,28,FALSE)-50))</f>
        <v>262</v>
      </c>
      <c r="AD156" s="3">
        <f>IF(ISERROR(VLOOKUP($A156,'SegEnds_NonXtal_BW#'!$A:$Z,21,FALSE)+VLOOKUP($A156,A:AL,31,FALSE)-50),"-",(VLOOKUP($A156,'SegEnds_NonXtal_BW#'!$A:$Z,21,FALSE)+VLOOKUP($A156,A:AL,31,FALSE)-50))</f>
        <v>270</v>
      </c>
      <c r="AE156" s="3">
        <v>299</v>
      </c>
      <c r="AF156" s="3">
        <f>IF(ISERROR((VLOOKUP($A156,'SegEnds_NonXtal_BW#'!$A:$Z,22,FALSE)+VLOOKUP($A156,A:AL,31,FALSE)-50)),"-",(VLOOKUP($A156,'SegEnds_NonXtal_BW#'!$A:$Z,22,FALSE)+VLOOKUP($A156,A:AL,31,FALSE)-50))</f>
        <v>310</v>
      </c>
      <c r="AG156" s="3">
        <f>IF(ISERROR(VLOOKUP($A156,'SegEnds_NonXtal_BW#'!$A:$Z,23,FALSE)+VLOOKUP($A156,A:AL,34,FALSE)-50),"-",(VLOOKUP($A156,'SegEnds_NonXtal_BW#'!$A:$Z,23,FALSE)+VLOOKUP($A156,A:AL,34,FALSE)-50))</f>
        <v>315</v>
      </c>
      <c r="AH156" s="3">
        <v>333</v>
      </c>
      <c r="AI156" s="3">
        <f>IF(ISERROR((VLOOKUP($A156,'SegEnds_NonXtal_BW#'!$A:$Z,24,FALSE)+VLOOKUP($A156,A:AL,34,FALSE)-50)),"-",(VLOOKUP($A156,'SegEnds_NonXtal_BW#'!$A:$Z,24,FALSE)+VLOOKUP($A156,A:AL,34,FALSE)-50))</f>
        <v>339</v>
      </c>
      <c r="AJ156" s="3">
        <f>IF(ISERROR(VLOOKUP($A156,'SegEnds_NonXtal_BW#'!$A:$Z,25,FALSE)+VLOOKUP($A156,A:AL,37,FALSE)-50),"-",(VLOOKUP($A156,'SegEnds_NonXtal_BW#'!$A:$Z,25,FALSE)+VLOOKUP($A156,A:AL,37,FALSE)-50))</f>
        <v>340</v>
      </c>
      <c r="AK156" s="3">
        <v>343</v>
      </c>
      <c r="AL156" s="3">
        <f>IF(ISERROR((VLOOKUP($A156,'SegEnds_NonXtal_BW#'!$A:$Z,26,FALSE)+VLOOKUP($A156,A:AL,37,FALSE)-50)),"-",(VLOOKUP($A156,'SegEnds_NonXtal_BW#'!$A:$Z,26,FALSE)+VLOOKUP($A156,A:AL,37,FALSE)-50))</f>
        <v>351</v>
      </c>
      <c r="AM156" s="28" t="str">
        <f>VLOOKUP(A156,Classification!A:B,2,FALSE)</f>
        <v>A</v>
      </c>
      <c r="AN156" s="28" t="b">
        <f t="shared" si="100"/>
        <v>1</v>
      </c>
      <c r="AO156" s="3" t="str">
        <f>IF(ISERROR(MATCH(A156,'SegEnds_Xtal_Prot#'!B:B, 0)), "NoXtal", "Xtal")</f>
        <v>NoXtal</v>
      </c>
      <c r="AP156" s="3">
        <f t="shared" si="83"/>
        <v>1</v>
      </c>
      <c r="AQ156" s="3">
        <f t="shared" si="84"/>
        <v>1</v>
      </c>
      <c r="AR156" s="3" t="str">
        <f t="shared" si="85"/>
        <v>-</v>
      </c>
      <c r="AS156" s="3" t="str">
        <f t="shared" si="86"/>
        <v>-</v>
      </c>
      <c r="AT156" s="3">
        <f t="shared" si="87"/>
        <v>2</v>
      </c>
      <c r="AU156" s="3">
        <f t="shared" si="88"/>
        <v>1</v>
      </c>
      <c r="AV156" s="3" t="str">
        <f t="shared" si="89"/>
        <v>-</v>
      </c>
      <c r="AW156" s="3" t="str">
        <f t="shared" si="90"/>
        <v>-</v>
      </c>
      <c r="AX156" s="3">
        <f t="shared" si="91"/>
        <v>8</v>
      </c>
      <c r="AY156" s="3">
        <f t="shared" si="92"/>
        <v>5</v>
      </c>
      <c r="AZ156" s="3">
        <f t="shared" si="93"/>
        <v>1</v>
      </c>
      <c r="BA156" s="3">
        <f>IF(ISERROR(LEN(VLOOKUP(A156,Seqs!A:E,2,FALSE))-AL156),"-",LEN(VLOOKUP(A156,Seqs!A:E,2,FALSE))-AL156)</f>
        <v>33</v>
      </c>
      <c r="BB156" s="16">
        <f t="shared" si="94"/>
        <v>28</v>
      </c>
      <c r="BC156" s="9">
        <f t="shared" si="95"/>
        <v>20</v>
      </c>
      <c r="BD156" s="3">
        <f t="shared" si="96"/>
        <v>28</v>
      </c>
      <c r="BE156" s="3">
        <f t="shared" si="97"/>
        <v>61</v>
      </c>
    </row>
    <row r="157" spans="1:58" s="3" customFormat="1" x14ac:dyDescent="0.2">
      <c r="A157" s="3" t="s">
        <v>274</v>
      </c>
      <c r="B157" s="3" t="str">
        <f>LOWER(VLOOKUP(A157,Xtal_Templ!A:B,2,FALSE))</f>
        <v>ednrb_human</v>
      </c>
      <c r="C157" s="3">
        <f>VLOOKUP($A157,'SegEnds_NonXtal_BW#'!$A:$Z,3,FALSE)+D157-50</f>
        <v>30</v>
      </c>
      <c r="D157" s="3">
        <v>58</v>
      </c>
      <c r="E157" s="3">
        <f>IF(ISERROR(VLOOKUP($A157,'SegEnds_NonXtal_BW#'!$A:$Z,4,FALSE)+VLOOKUP($A157,A:AL,4,FALSE)-50),"-",(VLOOKUP($A157,'SegEnds_NonXtal_BW#'!$A:$Z,4,FALSE)+VLOOKUP($A157,A:AL,4,FALSE)-50))</f>
        <v>68</v>
      </c>
      <c r="F157" s="3">
        <f>G157-2</f>
        <v>69</v>
      </c>
      <c r="G157" s="3">
        <v>71</v>
      </c>
      <c r="H157" s="3">
        <f>G157+1</f>
        <v>72</v>
      </c>
      <c r="I157" s="3">
        <f>H157+1</f>
        <v>73</v>
      </c>
      <c r="J157" s="3">
        <v>86</v>
      </c>
      <c r="K157" s="3">
        <f>VLOOKUP($A157,'SegEnds_NonXtal_BW#'!$A:$Z,8,FALSE)+VLOOKUP($A157,A:AL,10,FALSE)-50</f>
        <v>103</v>
      </c>
      <c r="L157" s="3">
        <f t="shared" ref="L157:L163" si="102">M157-1</f>
        <v>105</v>
      </c>
      <c r="M157" s="3">
        <v>106</v>
      </c>
      <c r="N157" s="3">
        <f t="shared" ref="N157:N163" si="103">M157+2</f>
        <v>108</v>
      </c>
      <c r="O157" s="3">
        <f t="shared" ref="O157:O163" si="104">N157+1</f>
        <v>109</v>
      </c>
      <c r="P157" s="3">
        <v>138</v>
      </c>
      <c r="Q157" s="3">
        <f>VLOOKUP($A157,'SegEnds_NonXtal_BW#'!$A:$Z,12,FALSE)+VLOOKUP($A157,A:AL,16,FALSE)-50</f>
        <v>144</v>
      </c>
      <c r="R157" s="3">
        <f>IF(ISERROR(VLOOKUP($A157,'SegEnds_NonXtal_BW#'!$A:$Z,13,FALSE)+VLOOKUP($A157,A:AL,19,FALSE)-50),"-",VLOOKUP($A157,'SegEnds_NonXtal_BW#'!$A:$Z,13,FALSE)+VLOOKUP($A157,A:AL,19,FALSE)-50)</f>
        <v>145</v>
      </c>
      <c r="S157" s="3">
        <v>145</v>
      </c>
      <c r="T157" s="103">
        <f>IF(ISERROR(VLOOKUP($A157,'SegEnds_NonXtal_BW#'!$A:$Z,14,FALSE)+VLOOKUP($A157,A:AL,19,FALSE)-50),"-",(VLOOKUP($A157,'SegEnds_NonXtal_BW#'!$A:$Z,14,FALSE)+VLOOKUP($A157,A:AL,19,FALSE)-50))</f>
        <v>152</v>
      </c>
      <c r="U157" s="9">
        <f>IF(ISERROR(VLOOKUP($A157,'SegEnds_NonXtal_BW#'!$A:$Z,15,FALSE)+VLOOKUP($A157,A:AL,22,FALSE)-50),"-",VLOOKUP($A157,'SegEnds_NonXtal_BW#'!$A:$Z,15,FALSE)+VLOOKUP($A157,A:AL,22,FALSE)-50)</f>
        <v>153</v>
      </c>
      <c r="V157" s="3">
        <v>165</v>
      </c>
      <c r="W157" s="3">
        <f>IF(ISERROR(VLOOKUP($A157,'SegEnds_NonXtal_BW#'!$A:$Z,16,FALSE)+VLOOKUP($A157,A:AL,22,FALSE)-50),"-",(VLOOKUP($A157,'SegEnds_NonXtal_BW#'!$A:$Z,16,FALSE)+VLOOKUP($A157,A:AL,22,FALSE)-50))</f>
        <v>179</v>
      </c>
      <c r="X157" s="3">
        <f>IF(ISERROR(VLOOKUP($A157,'SegEnds_NonXtal_BW#'!$A:$Z,17,FALSE)+VLOOKUP($A157,A:AL,25,FALSE)-50),"-",(VLOOKUP($A157,'SegEnds_NonXtal_BW#'!$A:$Z,17,FALSE)+VLOOKUP($A157,A:AL,25,FALSE)-50))</f>
        <v>196</v>
      </c>
      <c r="Y157" s="3">
        <v>196</v>
      </c>
      <c r="Z157" s="3">
        <f t="shared" ref="Z157:Z172" si="105">Y157+2</f>
        <v>198</v>
      </c>
      <c r="AA157" s="3">
        <f>IF(ISERROR(VLOOKUP($A157,'SegEnds_NonXtal_BW#'!$A:$Z,19,FALSE)+VLOOKUP($A157,A:AL,28,FALSE)-50),"-",(VLOOKUP($A157,'SegEnds_NonXtal_BW#'!$A:$Z,19,FALSE)+VLOOKUP($A157,A:AL,28,FALSE)-50))</f>
        <v>201</v>
      </c>
      <c r="AB157" s="3">
        <v>222</v>
      </c>
      <c r="AC157" s="3">
        <f>IF(ISERROR((VLOOKUP($A157,'SegEnds_NonXtal_BW#'!$A:$Z,20,FALSE)+VLOOKUP($A157,A:AL,28,FALSE)-50)),"-",(VLOOKUP($A157,'SegEnds_NonXtal_BW#'!$A:$Z,20,FALSE)+VLOOKUP($A157,A:AL,28,FALSE)-50))</f>
        <v>244</v>
      </c>
      <c r="AD157" s="3">
        <f>IF(ISERROR(VLOOKUP($A157,'SegEnds_NonXtal_BW#'!$A:$Z,21,FALSE)+VLOOKUP($A157,A:AL,31,FALSE)-50),"-",(VLOOKUP($A157,'SegEnds_NonXtal_BW#'!$A:$Z,21,FALSE)+VLOOKUP($A157,A:AL,31,FALSE)-50))</f>
        <v>253</v>
      </c>
      <c r="AE157" s="3">
        <v>279</v>
      </c>
      <c r="AF157" s="3">
        <f>IF(ISERROR((VLOOKUP($A157,'SegEnds_NonXtal_BW#'!$A:$Z,22,FALSE)+VLOOKUP($A157,A:AL,31,FALSE)-50)),"-",(VLOOKUP($A157,'SegEnds_NonXtal_BW#'!$A:$Z,22,FALSE)+VLOOKUP($A157,A:AL,31,FALSE)-50))</f>
        <v>290</v>
      </c>
      <c r="AG157" s="3">
        <f>IF(ISERROR(VLOOKUP($A157,'SegEnds_NonXtal_BW#'!$A:$Z,23,FALSE)+VLOOKUP($A157,A:AL,34,FALSE)-50),"-",(VLOOKUP($A157,'SegEnds_NonXtal_BW#'!$A:$Z,23,FALSE)+VLOOKUP($A157,A:AL,34,FALSE)-50))</f>
        <v>297</v>
      </c>
      <c r="AH157" s="3">
        <v>319</v>
      </c>
      <c r="AI157" s="3">
        <f>IF(ISERROR((VLOOKUP($A157,'SegEnds_NonXtal_BW#'!$A:$Z,24,FALSE)+VLOOKUP($A157,A:AL,34,FALSE)-50)),"-",(VLOOKUP($A157,'SegEnds_NonXtal_BW#'!$A:$Z,24,FALSE)+VLOOKUP($A157,A:AL,34,FALSE)-50))</f>
        <v>325</v>
      </c>
      <c r="AJ157" s="3">
        <f>IF(ISERROR(VLOOKUP($A157,'SegEnds_NonXtal_BW#'!$A:$Z,25,FALSE)+VLOOKUP($A157,A:AL,37,FALSE)-50),"-",(VLOOKUP($A157,'SegEnds_NonXtal_BW#'!$A:$Z,25,FALSE)+VLOOKUP($A157,A:AL,37,FALSE)-50))</f>
        <v>326</v>
      </c>
      <c r="AK157" s="3">
        <v>329</v>
      </c>
      <c r="AL157" s="3">
        <f>IF(ISERROR((VLOOKUP($A157,'SegEnds_NonXtal_BW#'!$A:$Z,26,FALSE)+VLOOKUP($A157,A:AL,37,FALSE)-50)),"-",(VLOOKUP($A157,'SegEnds_NonXtal_BW#'!$A:$Z,26,FALSE)+VLOOKUP($A157,A:AL,37,FALSE)-50))</f>
        <v>339</v>
      </c>
      <c r="AM157" s="28" t="str">
        <f>VLOOKUP(A157,Classification!A:B,2,FALSE)</f>
        <v>A</v>
      </c>
      <c r="AN157" s="28" t="b">
        <f t="shared" si="100"/>
        <v>1</v>
      </c>
      <c r="AO157" s="3" t="str">
        <f>IF(ISERROR(MATCH(A157,'SegEnds_Xtal_Prot#'!B:B, 0)), "NoXtal", "Xtal")</f>
        <v>NoXtal</v>
      </c>
      <c r="AP157" s="3">
        <f t="shared" si="83"/>
        <v>1</v>
      </c>
      <c r="AQ157" s="3">
        <f t="shared" si="84"/>
        <v>1</v>
      </c>
      <c r="AR157" s="3">
        <f t="shared" si="85"/>
        <v>2</v>
      </c>
      <c r="AS157" s="3">
        <f t="shared" si="86"/>
        <v>1</v>
      </c>
      <c r="AT157" s="3">
        <f t="shared" si="87"/>
        <v>1</v>
      </c>
      <c r="AU157" s="3">
        <f t="shared" si="88"/>
        <v>1</v>
      </c>
      <c r="AV157" s="3">
        <f t="shared" si="89"/>
        <v>17</v>
      </c>
      <c r="AW157" s="3">
        <f t="shared" si="90"/>
        <v>3</v>
      </c>
      <c r="AX157" s="3">
        <f t="shared" si="91"/>
        <v>9</v>
      </c>
      <c r="AY157" s="3">
        <f t="shared" si="92"/>
        <v>7</v>
      </c>
      <c r="AZ157" s="3">
        <f t="shared" si="93"/>
        <v>1</v>
      </c>
      <c r="BA157" s="3">
        <f>IF(ISERROR(LEN(VLOOKUP(A157,Seqs!A:E,2,FALSE))-AL157),"-",LEN(VLOOKUP(A157,Seqs!A:E,2,FALSE))-AL157)</f>
        <v>45</v>
      </c>
      <c r="BB157" s="16">
        <f t="shared" si="94"/>
        <v>28</v>
      </c>
      <c r="BC157" s="9">
        <f t="shared" si="95"/>
        <v>20</v>
      </c>
      <c r="BD157" s="3">
        <f t="shared" si="96"/>
        <v>28</v>
      </c>
      <c r="BE157" s="3">
        <f t="shared" si="97"/>
        <v>57</v>
      </c>
    </row>
    <row r="158" spans="1:58" s="3" customFormat="1" x14ac:dyDescent="0.2">
      <c r="A158" s="3" t="s">
        <v>275</v>
      </c>
      <c r="B158" s="3" t="str">
        <f>LOWER(VLOOKUP(A158,Xtal_Templ!A:B,2,FALSE))</f>
        <v>p2ry1_human</v>
      </c>
      <c r="C158" s="3">
        <f>VLOOKUP($A158,'SegEnds_NonXtal_BW#'!$A:$Z,3,FALSE)+D158-50</f>
        <v>13</v>
      </c>
      <c r="D158" s="3">
        <v>33</v>
      </c>
      <c r="E158" s="3">
        <f>IF(ISERROR(VLOOKUP($A158,'SegEnds_NonXtal_BW#'!$A:$Z,4,FALSE)+VLOOKUP($A158,A:AL,4,FALSE)-50),"-",(VLOOKUP($A158,'SegEnds_NonXtal_BW#'!$A:$Z,4,FALSE)+VLOOKUP($A158,A:AL,4,FALSE)-50))</f>
        <v>43</v>
      </c>
      <c r="F158" s="3" t="str">
        <f>IF(ISERROR(VLOOKUP($A158,'SegEnds_NonXtal_BW#'!$A:$Z,5,FALSE)+VLOOKUP($A158,A:AL,7,FALSE)-50),"-",(VLOOKUP($A158,'SegEnds_NonXtal_BW#'!$A:$Z,5,FALSE)+VLOOKUP($A158,A:AL,7,FALSE)-50))</f>
        <v>-</v>
      </c>
      <c r="G158" s="3" t="s">
        <v>23</v>
      </c>
      <c r="H158" s="3" t="str">
        <f>IF(ISERROR(VLOOKUP($A158,'SegEnds_NonXtal_BW#'!$A:$Z,6,FALSE)+VLOOKUP($A158,A:AL,7,FALSE)-50),"-",(VLOOKUP($A158,'SegEnds_NonXtal_BW#'!$A:$Z,6,FALSE)+VLOOKUP($A158,A:AL,7,FALSE)-50))</f>
        <v>-</v>
      </c>
      <c r="I158" s="3">
        <f>VLOOKUP($A158,'SegEnds_NonXtal_BW#'!$A:$Z,7,FALSE)+J158-50</f>
        <v>48</v>
      </c>
      <c r="J158" s="3">
        <v>61</v>
      </c>
      <c r="K158" s="3">
        <f>VLOOKUP($A158,'SegEnds_NonXtal_BW#'!$A:$Z,8,FALSE)+VLOOKUP($A158,A:AL,10,FALSE)-50</f>
        <v>77</v>
      </c>
      <c r="L158" s="3">
        <f t="shared" si="102"/>
        <v>80</v>
      </c>
      <c r="M158" s="3">
        <v>81</v>
      </c>
      <c r="N158" s="3">
        <f t="shared" si="103"/>
        <v>83</v>
      </c>
      <c r="O158" s="3">
        <f t="shared" si="104"/>
        <v>84</v>
      </c>
      <c r="P158" s="3">
        <v>113</v>
      </c>
      <c r="Q158" s="3">
        <f>VLOOKUP($A158,'SegEnds_NonXtal_BW#'!$A:$Z,12,FALSE)+VLOOKUP($A158,A:AL,16,FALSE)-50</f>
        <v>119</v>
      </c>
      <c r="R158" s="3">
        <f>IF(ISERROR(VLOOKUP($A158,'SegEnds_NonXtal_BW#'!$A:$Z,13,FALSE)+VLOOKUP($A158,A:AL,19,FALSE)-50),"-",VLOOKUP($A158,'SegEnds_NonXtal_BW#'!$A:$Z,13,FALSE)+VLOOKUP($A158,A:AL,19,FALSE)-50)</f>
        <v>120</v>
      </c>
      <c r="S158" s="3">
        <v>120</v>
      </c>
      <c r="T158" s="103">
        <f>IF(ISERROR(VLOOKUP($A158,'SegEnds_NonXtal_BW#'!$A:$Z,14,FALSE)+VLOOKUP($A158,A:AL,19,FALSE)-50),"-",(VLOOKUP($A158,'SegEnds_NonXtal_BW#'!$A:$Z,14,FALSE)+VLOOKUP($A158,A:AL,19,FALSE)-50))</f>
        <v>127</v>
      </c>
      <c r="U158" s="9">
        <f>IF(ISERROR(VLOOKUP($A158,'SegEnds_NonXtal_BW#'!$A:$Z,15,FALSE)+VLOOKUP($A158,A:AL,22,FALSE)-50),"-",VLOOKUP($A158,'SegEnds_NonXtal_BW#'!$A:$Z,15,FALSE)+VLOOKUP($A158,A:AL,22,FALSE)-50)</f>
        <v>128</v>
      </c>
      <c r="V158" s="3">
        <v>140</v>
      </c>
      <c r="W158" s="3">
        <f>IF(ISERROR(VLOOKUP($A158,'SegEnds_NonXtal_BW#'!$A:$Z,16,FALSE)+VLOOKUP($A158,A:AL,22,FALSE)-50),"-",(VLOOKUP($A158,'SegEnds_NonXtal_BW#'!$A:$Z,16,FALSE)+VLOOKUP($A158,A:AL,22,FALSE)-50))</f>
        <v>154</v>
      </c>
      <c r="X158" s="3">
        <f>IF(ISERROR(VLOOKUP($A158,'SegEnds_NonXtal_BW#'!$A:$Z,17,FALSE)+VLOOKUP($A158,A:AL,25,FALSE)-50),"-",(VLOOKUP($A158,'SegEnds_NonXtal_BW#'!$A:$Z,17,FALSE)+VLOOKUP($A158,A:AL,25,FALSE)-50))</f>
        <v>165</v>
      </c>
      <c r="Y158" s="3">
        <v>165</v>
      </c>
      <c r="Z158" s="3">
        <f t="shared" si="105"/>
        <v>167</v>
      </c>
      <c r="AA158" s="3">
        <f>IF(ISERROR(VLOOKUP($A158,'SegEnds_NonXtal_BW#'!$A:$Z,19,FALSE)+VLOOKUP($A158,A:AL,28,FALSE)-50),"-",(VLOOKUP($A158,'SegEnds_NonXtal_BW#'!$A:$Z,19,FALSE)+VLOOKUP($A158,A:AL,28,FALSE)-50))</f>
        <v>170</v>
      </c>
      <c r="AB158" s="3">
        <v>188</v>
      </c>
      <c r="AC158" s="3">
        <f>IF(ISERROR((VLOOKUP($A158,'SegEnds_NonXtal_BW#'!$A:$Z,20,FALSE)+VLOOKUP($A158,A:AL,28,FALSE)-50)),"-",(VLOOKUP($A158,'SegEnds_NonXtal_BW#'!$A:$Z,20,FALSE)+VLOOKUP($A158,A:AL,28,FALSE)-50))</f>
        <v>205</v>
      </c>
      <c r="AD158" s="3">
        <f>IF(ISERROR(VLOOKUP($A158,'SegEnds_NonXtal_BW#'!$A:$Z,21,FALSE)+VLOOKUP($A158,A:AL,31,FALSE)-50),"-",(VLOOKUP($A158,'SegEnds_NonXtal_BW#'!$A:$Z,21,FALSE)+VLOOKUP($A158,A:AL,31,FALSE)-50))</f>
        <v>211</v>
      </c>
      <c r="AE158" s="3">
        <v>235</v>
      </c>
      <c r="AF158" s="3">
        <f>IF(ISERROR((VLOOKUP($A158,'SegEnds_NonXtal_BW#'!$A:$Z,22,FALSE)+VLOOKUP($A158,A:AL,31,FALSE)-50)),"-",(VLOOKUP($A158,'SegEnds_NonXtal_BW#'!$A:$Z,22,FALSE)+VLOOKUP($A158,A:AL,31,FALSE)-50))</f>
        <v>246</v>
      </c>
      <c r="AG158" s="3">
        <f>IF(ISERROR(VLOOKUP($A158,'SegEnds_NonXtal_BW#'!$A:$Z,23,FALSE)+VLOOKUP($A158,A:AL,34,FALSE)-50),"-",(VLOOKUP($A158,'SegEnds_NonXtal_BW#'!$A:$Z,23,FALSE)+VLOOKUP($A158,A:AL,34,FALSE)-50))</f>
        <v>253</v>
      </c>
      <c r="AH158" s="3">
        <v>275</v>
      </c>
      <c r="AI158" s="3">
        <f>IF(ISERROR((VLOOKUP($A158,'SegEnds_NonXtal_BW#'!$A:$Z,24,FALSE)+VLOOKUP($A158,A:AL,34,FALSE)-50)),"-",(VLOOKUP($A158,'SegEnds_NonXtal_BW#'!$A:$Z,24,FALSE)+VLOOKUP($A158,A:AL,34,FALSE)-50))</f>
        <v>281</v>
      </c>
      <c r="AJ158" s="3">
        <f>IF(ISERROR(VLOOKUP($A158,'SegEnds_NonXtal_BW#'!$A:$Z,25,FALSE)+VLOOKUP($A158,A:AL,37,FALSE)-50),"-",(VLOOKUP($A158,'SegEnds_NonXtal_BW#'!$A:$Z,25,FALSE)+VLOOKUP($A158,A:AL,37,FALSE)-50))</f>
        <v>282</v>
      </c>
      <c r="AK158" s="3">
        <v>285</v>
      </c>
      <c r="AL158" s="3">
        <f>IF(ISERROR((VLOOKUP($A158,'SegEnds_NonXtal_BW#'!$A:$Z,26,FALSE)+VLOOKUP($A158,A:AL,37,FALSE)-50)),"-",(VLOOKUP($A158,'SegEnds_NonXtal_BW#'!$A:$Z,26,FALSE)+VLOOKUP($A158,A:AL,37,FALSE)-50))</f>
        <v>294</v>
      </c>
      <c r="AM158" s="28" t="str">
        <f>VLOOKUP(A158,Classification!A:B,2,FALSE)</f>
        <v>A</v>
      </c>
      <c r="AN158" s="28" t="b">
        <f t="shared" si="100"/>
        <v>1</v>
      </c>
      <c r="AO158" s="3" t="str">
        <f>IF(ISERROR(MATCH(A158,'SegEnds_Xtal_Prot#'!B:B, 0)), "NoXtal", "Xtal")</f>
        <v>NoXtal</v>
      </c>
      <c r="AP158" s="3" t="str">
        <f t="shared" si="83"/>
        <v>-</v>
      </c>
      <c r="AQ158" s="3" t="str">
        <f t="shared" si="84"/>
        <v>-</v>
      </c>
      <c r="AR158" s="3">
        <f t="shared" si="85"/>
        <v>3</v>
      </c>
      <c r="AS158" s="3">
        <f t="shared" si="86"/>
        <v>1</v>
      </c>
      <c r="AT158" s="3">
        <f t="shared" si="87"/>
        <v>1</v>
      </c>
      <c r="AU158" s="3">
        <f t="shared" si="88"/>
        <v>1</v>
      </c>
      <c r="AV158" s="3">
        <f t="shared" si="89"/>
        <v>11</v>
      </c>
      <c r="AW158" s="3">
        <f t="shared" si="90"/>
        <v>3</v>
      </c>
      <c r="AX158" s="3">
        <f t="shared" si="91"/>
        <v>6</v>
      </c>
      <c r="AY158" s="3">
        <f t="shared" si="92"/>
        <v>7</v>
      </c>
      <c r="AZ158" s="3">
        <f t="shared" si="93"/>
        <v>1</v>
      </c>
      <c r="BA158" s="3">
        <f>IF(ISERROR(LEN(VLOOKUP(A158,Seqs!A:E,2,FALSE))-AL158),"-",LEN(VLOOKUP(A158,Seqs!A:E,2,FALSE))-AL158)</f>
        <v>52</v>
      </c>
      <c r="BB158" s="16">
        <f t="shared" si="94"/>
        <v>28</v>
      </c>
      <c r="BC158" s="9">
        <f t="shared" si="95"/>
        <v>20</v>
      </c>
      <c r="BD158" s="3">
        <f t="shared" si="96"/>
        <v>28</v>
      </c>
      <c r="BE158" s="3">
        <f t="shared" si="97"/>
        <v>47</v>
      </c>
    </row>
    <row r="159" spans="1:58" s="3" customFormat="1" x14ac:dyDescent="0.2">
      <c r="A159" s="3" t="s">
        <v>276</v>
      </c>
      <c r="B159" s="3" t="str">
        <f>LOWER(VLOOKUP(A159,Xtal_Templ!A:B,2,FALSE))</f>
        <v>oprk_human</v>
      </c>
      <c r="C159" s="3">
        <f>VLOOKUP($A159,'SegEnds_NonXtal_BW#'!$A:$Z,3,FALSE)+D159-50</f>
        <v>25</v>
      </c>
      <c r="D159" s="3">
        <v>45</v>
      </c>
      <c r="E159" s="3">
        <f>IF(ISERROR(VLOOKUP($A159,'SegEnds_NonXtal_BW#'!$A:$Z,4,FALSE)+VLOOKUP($A159,A:AL,4,FALSE)-50),"-",(VLOOKUP($A159,'SegEnds_NonXtal_BW#'!$A:$Z,4,FALSE)+VLOOKUP($A159,A:AL,4,FALSE)-50))</f>
        <v>55</v>
      </c>
      <c r="F159" s="3" t="str">
        <f>IF(ISERROR(VLOOKUP($A159,'SegEnds_NonXtal_BW#'!$A:$Z,5,FALSE)+VLOOKUP($A159,A:AL,7,FALSE)-50),"-",(VLOOKUP($A159,'SegEnds_NonXtal_BW#'!$A:$Z,5,FALSE)+VLOOKUP($A159,A:AL,7,FALSE)-50))</f>
        <v>-</v>
      </c>
      <c r="G159" s="3" t="s">
        <v>23</v>
      </c>
      <c r="H159" s="3" t="str">
        <f>IF(ISERROR(VLOOKUP($A159,'SegEnds_NonXtal_BW#'!$A:$Z,6,FALSE)+VLOOKUP($A159,A:AL,7,FALSE)-50),"-",(VLOOKUP($A159,'SegEnds_NonXtal_BW#'!$A:$Z,6,FALSE)+VLOOKUP($A159,A:AL,7,FALSE)-50))</f>
        <v>-</v>
      </c>
      <c r="I159" s="3">
        <f>VLOOKUP($A159,'SegEnds_NonXtal_BW#'!$A:$Z,7,FALSE)+J159-50</f>
        <v>60</v>
      </c>
      <c r="J159" s="3">
        <v>73</v>
      </c>
      <c r="K159" s="3">
        <f>VLOOKUP($A159,'SegEnds_NonXtal_BW#'!$A:$Z,8,FALSE)+VLOOKUP($A159,A:AL,10,FALSE)-50</f>
        <v>89</v>
      </c>
      <c r="L159" s="3">
        <f t="shared" si="102"/>
        <v>92</v>
      </c>
      <c r="M159" s="3">
        <v>93</v>
      </c>
      <c r="N159" s="3">
        <f t="shared" si="103"/>
        <v>95</v>
      </c>
      <c r="O159" s="3">
        <f t="shared" si="104"/>
        <v>96</v>
      </c>
      <c r="P159" s="3">
        <v>125</v>
      </c>
      <c r="Q159" s="3">
        <f>VLOOKUP($A159,'SegEnds_NonXtal_BW#'!$A:$Z,12,FALSE)+VLOOKUP($A159,A:AL,16,FALSE)-50</f>
        <v>131</v>
      </c>
      <c r="R159" s="3">
        <f>IF(ISERROR(VLOOKUP($A159,'SegEnds_NonXtal_BW#'!$A:$Z,13,FALSE)+VLOOKUP($A159,A:AL,19,FALSE)-50),"-",VLOOKUP($A159,'SegEnds_NonXtal_BW#'!$A:$Z,13,FALSE)+VLOOKUP($A159,A:AL,19,FALSE)-50)</f>
        <v>132</v>
      </c>
      <c r="S159" s="3">
        <v>132</v>
      </c>
      <c r="T159" s="103">
        <f>IF(ISERROR(VLOOKUP($A159,'SegEnds_NonXtal_BW#'!$A:$Z,14,FALSE)+VLOOKUP($A159,A:AL,19,FALSE)-50),"-",(VLOOKUP($A159,'SegEnds_NonXtal_BW#'!$A:$Z,14,FALSE)+VLOOKUP($A159,A:AL,19,FALSE)-50))</f>
        <v>139</v>
      </c>
      <c r="U159" s="9">
        <f>IF(ISERROR(VLOOKUP($A159,'SegEnds_NonXtal_BW#'!$A:$Z,15,FALSE)+VLOOKUP($A159,A:AL,22,FALSE)-50),"-",VLOOKUP($A159,'SegEnds_NonXtal_BW#'!$A:$Z,15,FALSE)+VLOOKUP($A159,A:AL,22,FALSE)-50)</f>
        <v>140</v>
      </c>
      <c r="V159" s="3">
        <v>152</v>
      </c>
      <c r="W159" s="3">
        <f>IF(ISERROR(VLOOKUP($A159,'SegEnds_NonXtal_BW#'!$A:$Z,16,FALSE)+VLOOKUP($A159,A:AL,22,FALSE)-50),"-",(VLOOKUP($A159,'SegEnds_NonXtal_BW#'!$A:$Z,16,FALSE)+VLOOKUP($A159,A:AL,22,FALSE)-50))</f>
        <v>166</v>
      </c>
      <c r="X159" s="3">
        <f>IF(ISERROR(VLOOKUP($A159,'SegEnds_NonXtal_BW#'!$A:$Z,17,FALSE)+VLOOKUP($A159,A:AL,25,FALSE)-50),"-",(VLOOKUP($A159,'SegEnds_NonXtal_BW#'!$A:$Z,17,FALSE)+VLOOKUP($A159,A:AL,25,FALSE)-50))</f>
        <v>177</v>
      </c>
      <c r="Y159" s="3">
        <v>177</v>
      </c>
      <c r="Z159" s="3">
        <f t="shared" si="105"/>
        <v>179</v>
      </c>
      <c r="AA159" s="3">
        <f>IF(ISERROR(VLOOKUP($A159,'SegEnds_NonXtal_BW#'!$A:$Z,19,FALSE)+VLOOKUP($A159,A:AL,28,FALSE)-50),"-",(VLOOKUP($A159,'SegEnds_NonXtal_BW#'!$A:$Z,19,FALSE)+VLOOKUP($A159,A:AL,28,FALSE)-50))</f>
        <v>181</v>
      </c>
      <c r="AB159" s="3">
        <v>200</v>
      </c>
      <c r="AC159" s="3">
        <f>IF(ISERROR((VLOOKUP($A159,'SegEnds_NonXtal_BW#'!$A:$Z,20,FALSE)+VLOOKUP($A159,A:AL,28,FALSE)-50)),"-",(VLOOKUP($A159,'SegEnds_NonXtal_BW#'!$A:$Z,20,FALSE)+VLOOKUP($A159,A:AL,28,FALSE)-50))</f>
        <v>217</v>
      </c>
      <c r="AD159" s="3">
        <f>IF(ISERROR(VLOOKUP($A159,'SegEnds_NonXtal_BW#'!$A:$Z,21,FALSE)+VLOOKUP($A159,A:AL,31,FALSE)-50),"-",(VLOOKUP($A159,'SegEnds_NonXtal_BW#'!$A:$Z,21,FALSE)+VLOOKUP($A159,A:AL,31,FALSE)-50))</f>
        <v>222</v>
      </c>
      <c r="AE159" s="3">
        <v>246</v>
      </c>
      <c r="AF159" s="3">
        <f>IF(ISERROR((VLOOKUP($A159,'SegEnds_NonXtal_BW#'!$A:$Z,22,FALSE)+VLOOKUP($A159,A:AL,31,FALSE)-50)),"-",(VLOOKUP($A159,'SegEnds_NonXtal_BW#'!$A:$Z,22,FALSE)+VLOOKUP($A159,A:AL,31,FALSE)-50))</f>
        <v>260</v>
      </c>
      <c r="AG159" s="3">
        <f>IF(ISERROR(VLOOKUP($A159,'SegEnds_NonXtal_BW#'!$A:$Z,23,FALSE)+VLOOKUP($A159,A:AL,34,FALSE)-50),"-",(VLOOKUP($A159,'SegEnds_NonXtal_BW#'!$A:$Z,23,FALSE)+VLOOKUP($A159,A:AL,34,FALSE)-50))</f>
        <v>265</v>
      </c>
      <c r="AH159" s="3">
        <v>291</v>
      </c>
      <c r="AI159" s="3">
        <f>IF(ISERROR((VLOOKUP($A159,'SegEnds_NonXtal_BW#'!$A:$Z,24,FALSE)+VLOOKUP($A159,A:AL,34,FALSE)-50)),"-",(VLOOKUP($A159,'SegEnds_NonXtal_BW#'!$A:$Z,24,FALSE)+VLOOKUP($A159,A:AL,34,FALSE)-50))</f>
        <v>297</v>
      </c>
      <c r="AJ159" s="3">
        <f>IF(ISERROR(VLOOKUP($A159,'SegEnds_NonXtal_BW#'!$A:$Z,25,FALSE)+VLOOKUP($A159,A:AL,37,FALSE)-50),"-",(VLOOKUP($A159,'SegEnds_NonXtal_BW#'!$A:$Z,25,FALSE)+VLOOKUP($A159,A:AL,37,FALSE)-50))</f>
        <v>298</v>
      </c>
      <c r="AK159" s="3">
        <v>301</v>
      </c>
      <c r="AL159" s="3">
        <f>IF(ISERROR((VLOOKUP($A159,'SegEnds_NonXtal_BW#'!$A:$Z,26,FALSE)+VLOOKUP($A159,A:AL,37,FALSE)-50)),"-",(VLOOKUP($A159,'SegEnds_NonXtal_BW#'!$A:$Z,26,FALSE)+VLOOKUP($A159,A:AL,37,FALSE)-50))</f>
        <v>310</v>
      </c>
      <c r="AM159" s="28" t="str">
        <f>VLOOKUP(A159,Classification!A:B,2,FALSE)</f>
        <v>A</v>
      </c>
      <c r="AN159" s="28" t="b">
        <f t="shared" si="100"/>
        <v>1</v>
      </c>
      <c r="AO159" s="3" t="str">
        <f>IF(ISERROR(MATCH(A159,'SegEnds_Xtal_Prot#'!B:B, 0)), "NoXtal", "Xtal")</f>
        <v>NoXtal</v>
      </c>
      <c r="AP159" s="3" t="str">
        <f t="shared" si="83"/>
        <v>-</v>
      </c>
      <c r="AQ159" s="3" t="str">
        <f t="shared" si="84"/>
        <v>-</v>
      </c>
      <c r="AR159" s="3">
        <f t="shared" si="85"/>
        <v>3</v>
      </c>
      <c r="AS159" s="3">
        <f t="shared" si="86"/>
        <v>1</v>
      </c>
      <c r="AT159" s="3">
        <f t="shared" si="87"/>
        <v>1</v>
      </c>
      <c r="AU159" s="3">
        <f t="shared" si="88"/>
        <v>1</v>
      </c>
      <c r="AV159" s="3">
        <f t="shared" si="89"/>
        <v>11</v>
      </c>
      <c r="AW159" s="3">
        <f t="shared" si="90"/>
        <v>2</v>
      </c>
      <c r="AX159" s="3">
        <f t="shared" si="91"/>
        <v>5</v>
      </c>
      <c r="AY159" s="3">
        <f t="shared" si="92"/>
        <v>5</v>
      </c>
      <c r="AZ159" s="3">
        <f t="shared" si="93"/>
        <v>1</v>
      </c>
      <c r="BA159" s="3">
        <f>IF(ISERROR(LEN(VLOOKUP(A159,Seqs!A:E,2,FALSE))-AL159),"-",LEN(VLOOKUP(A159,Seqs!A:E,2,FALSE))-AL159)</f>
        <v>53</v>
      </c>
      <c r="BB159" s="16">
        <f t="shared" si="94"/>
        <v>28</v>
      </c>
      <c r="BC159" s="9">
        <f t="shared" si="95"/>
        <v>20</v>
      </c>
      <c r="BD159" s="3">
        <f t="shared" si="96"/>
        <v>28</v>
      </c>
      <c r="BE159" s="3">
        <f t="shared" si="97"/>
        <v>46</v>
      </c>
    </row>
    <row r="160" spans="1:58" s="3" customFormat="1" x14ac:dyDescent="0.2">
      <c r="A160" s="3" t="s">
        <v>277</v>
      </c>
      <c r="B160" s="3" t="str">
        <f>LOWER(VLOOKUP(A160,Xtal_Templ!A:B,2,FALSE))</f>
        <v>p2ry1_human</v>
      </c>
      <c r="C160" s="3">
        <f>VLOOKUP($A160,'SegEnds_NonXtal_BW#'!$A:$Z,3,FALSE)+D160-50</f>
        <v>25</v>
      </c>
      <c r="D160" s="3">
        <v>45</v>
      </c>
      <c r="E160" s="3">
        <f>IF(ISERROR(VLOOKUP($A160,'SegEnds_NonXtal_BW#'!$A:$Z,4,FALSE)+VLOOKUP($A160,A:AL,4,FALSE)-50),"-",(VLOOKUP($A160,'SegEnds_NonXtal_BW#'!$A:$Z,4,FALSE)+VLOOKUP($A160,A:AL,4,FALSE)-50))</f>
        <v>55</v>
      </c>
      <c r="F160" s="3" t="str">
        <f>IF(ISERROR(VLOOKUP($A160,'SegEnds_NonXtal_BW#'!$A:$Z,5,FALSE)+VLOOKUP($A160,A:AL,7,FALSE)-50),"-",(VLOOKUP($A160,'SegEnds_NonXtal_BW#'!$A:$Z,5,FALSE)+VLOOKUP($A160,A:AL,7,FALSE)-50))</f>
        <v>-</v>
      </c>
      <c r="G160" s="3" t="s">
        <v>23</v>
      </c>
      <c r="H160" s="3" t="str">
        <f>IF(ISERROR(VLOOKUP($A160,'SegEnds_NonXtal_BW#'!$A:$Z,6,FALSE)+VLOOKUP($A160,A:AL,7,FALSE)-50),"-",(VLOOKUP($A160,'SegEnds_NonXtal_BW#'!$A:$Z,6,FALSE)+VLOOKUP($A160,A:AL,7,FALSE)-50))</f>
        <v>-</v>
      </c>
      <c r="I160" s="3">
        <f>VLOOKUP($A160,'SegEnds_NonXtal_BW#'!$A:$Z,7,FALSE)+J160-50</f>
        <v>60</v>
      </c>
      <c r="J160" s="3">
        <v>73</v>
      </c>
      <c r="K160" s="3">
        <f>VLOOKUP($A160,'SegEnds_NonXtal_BW#'!$A:$Z,8,FALSE)+VLOOKUP($A160,A:AL,10,FALSE)-50</f>
        <v>89</v>
      </c>
      <c r="L160" s="3">
        <f t="shared" si="102"/>
        <v>92</v>
      </c>
      <c r="M160" s="3">
        <v>93</v>
      </c>
      <c r="N160" s="3">
        <f t="shared" si="103"/>
        <v>95</v>
      </c>
      <c r="O160" s="3">
        <f t="shared" si="104"/>
        <v>96</v>
      </c>
      <c r="P160" s="3">
        <v>125</v>
      </c>
      <c r="Q160" s="3">
        <f>VLOOKUP($A160,'SegEnds_NonXtal_BW#'!$A:$Z,12,FALSE)+VLOOKUP($A160,A:AL,16,FALSE)-50</f>
        <v>131</v>
      </c>
      <c r="R160" s="3">
        <f>IF(ISERROR(VLOOKUP($A160,'SegEnds_NonXtal_BW#'!$A:$Z,13,FALSE)+VLOOKUP($A160,A:AL,19,FALSE)-50),"-",VLOOKUP($A160,'SegEnds_NonXtal_BW#'!$A:$Z,13,FALSE)+VLOOKUP($A160,A:AL,19,FALSE)-50)</f>
        <v>132</v>
      </c>
      <c r="S160" s="3">
        <v>132</v>
      </c>
      <c r="T160" s="103">
        <f>IF(ISERROR(VLOOKUP($A160,'SegEnds_NonXtal_BW#'!$A:$Z,14,FALSE)+VLOOKUP($A160,A:AL,19,FALSE)-50),"-",(VLOOKUP($A160,'SegEnds_NonXtal_BW#'!$A:$Z,14,FALSE)+VLOOKUP($A160,A:AL,19,FALSE)-50))</f>
        <v>139</v>
      </c>
      <c r="U160" s="9">
        <f>IF(ISERROR(VLOOKUP($A160,'SegEnds_NonXtal_BW#'!$A:$Z,15,FALSE)+VLOOKUP($A160,A:AL,22,FALSE)-50),"-",VLOOKUP($A160,'SegEnds_NonXtal_BW#'!$A:$Z,15,FALSE)+VLOOKUP($A160,A:AL,22,FALSE)-50)</f>
        <v>140</v>
      </c>
      <c r="V160" s="3">
        <v>152</v>
      </c>
      <c r="W160" s="3">
        <f>IF(ISERROR(VLOOKUP($A160,'SegEnds_NonXtal_BW#'!$A:$Z,16,FALSE)+VLOOKUP($A160,A:AL,22,FALSE)-50),"-",(VLOOKUP($A160,'SegEnds_NonXtal_BW#'!$A:$Z,16,FALSE)+VLOOKUP($A160,A:AL,22,FALSE)-50))</f>
        <v>166</v>
      </c>
      <c r="X160" s="3">
        <f>IF(ISERROR(VLOOKUP($A160,'SegEnds_NonXtal_BW#'!$A:$Z,17,FALSE)+VLOOKUP($A160,A:AL,25,FALSE)-50),"-",(VLOOKUP($A160,'SegEnds_NonXtal_BW#'!$A:$Z,17,FALSE)+VLOOKUP($A160,A:AL,25,FALSE)-50))</f>
        <v>177</v>
      </c>
      <c r="Y160" s="3">
        <v>177</v>
      </c>
      <c r="Z160" s="3">
        <f t="shared" si="105"/>
        <v>179</v>
      </c>
      <c r="AA160" s="3">
        <f>IF(ISERROR(VLOOKUP($A160,'SegEnds_NonXtal_BW#'!$A:$Z,19,FALSE)+VLOOKUP($A160,A:AL,28,FALSE)-50),"-",(VLOOKUP($A160,'SegEnds_NonXtal_BW#'!$A:$Z,19,FALSE)+VLOOKUP($A160,A:AL,28,FALSE)-50))</f>
        <v>182</v>
      </c>
      <c r="AB160" s="3">
        <v>200</v>
      </c>
      <c r="AC160" s="3">
        <f>IF(ISERROR((VLOOKUP($A160,'SegEnds_NonXtal_BW#'!$A:$Z,20,FALSE)+VLOOKUP($A160,A:AL,28,FALSE)-50)),"-",(VLOOKUP($A160,'SegEnds_NonXtal_BW#'!$A:$Z,20,FALSE)+VLOOKUP($A160,A:AL,28,FALSE)-50))</f>
        <v>217</v>
      </c>
      <c r="AD160" s="3">
        <f>IF(ISERROR(VLOOKUP($A160,'SegEnds_NonXtal_BW#'!$A:$Z,21,FALSE)+VLOOKUP($A160,A:AL,31,FALSE)-50),"-",(VLOOKUP($A160,'SegEnds_NonXtal_BW#'!$A:$Z,21,FALSE)+VLOOKUP($A160,A:AL,31,FALSE)-50))</f>
        <v>222</v>
      </c>
      <c r="AE160" s="3">
        <v>246</v>
      </c>
      <c r="AF160" s="3">
        <f>IF(ISERROR((VLOOKUP($A160,'SegEnds_NonXtal_BW#'!$A:$Z,22,FALSE)+VLOOKUP($A160,A:AL,31,FALSE)-50)),"-",(VLOOKUP($A160,'SegEnds_NonXtal_BW#'!$A:$Z,22,FALSE)+VLOOKUP($A160,A:AL,31,FALSE)-50))</f>
        <v>260</v>
      </c>
      <c r="AG160" s="3">
        <f>IF(ISERROR(VLOOKUP($A160,'SegEnds_NonXtal_BW#'!$A:$Z,23,FALSE)+VLOOKUP($A160,A:AL,34,FALSE)-50),"-",(VLOOKUP($A160,'SegEnds_NonXtal_BW#'!$A:$Z,23,FALSE)+VLOOKUP($A160,A:AL,34,FALSE)-50))</f>
        <v>265</v>
      </c>
      <c r="AH160" s="3">
        <v>291</v>
      </c>
      <c r="AI160" s="3">
        <f>IF(ISERROR((VLOOKUP($A160,'SegEnds_NonXtal_BW#'!$A:$Z,24,FALSE)+VLOOKUP($A160,A:AL,34,FALSE)-50)),"-",(VLOOKUP($A160,'SegEnds_NonXtal_BW#'!$A:$Z,24,FALSE)+VLOOKUP($A160,A:AL,34,FALSE)-50))</f>
        <v>297</v>
      </c>
      <c r="AJ160" s="3">
        <f>IF(ISERROR(VLOOKUP($A160,'SegEnds_NonXtal_BW#'!$A:$Z,25,FALSE)+VLOOKUP($A160,A:AL,37,FALSE)-50),"-",(VLOOKUP($A160,'SegEnds_NonXtal_BW#'!$A:$Z,25,FALSE)+VLOOKUP($A160,A:AL,37,FALSE)-50))</f>
        <v>298</v>
      </c>
      <c r="AK160" s="3">
        <v>301</v>
      </c>
      <c r="AL160" s="3">
        <f>IF(ISERROR((VLOOKUP($A160,'SegEnds_NonXtal_BW#'!$A:$Z,26,FALSE)+VLOOKUP($A160,A:AL,37,FALSE)-50)),"-",(VLOOKUP($A160,'SegEnds_NonXtal_BW#'!$A:$Z,26,FALSE)+VLOOKUP($A160,A:AL,37,FALSE)-50))</f>
        <v>310</v>
      </c>
      <c r="AM160" s="28" t="str">
        <f>VLOOKUP(A160,Classification!A:B,2,FALSE)</f>
        <v>A</v>
      </c>
      <c r="AN160" s="28" t="b">
        <f t="shared" si="100"/>
        <v>1</v>
      </c>
      <c r="AO160" s="3" t="str">
        <f>IF(ISERROR(MATCH(A160,'SegEnds_Xtal_Prot#'!B:B, 0)), "NoXtal", "Xtal")</f>
        <v>NoXtal</v>
      </c>
      <c r="AP160" s="3" t="str">
        <f t="shared" si="83"/>
        <v>-</v>
      </c>
      <c r="AQ160" s="3" t="str">
        <f t="shared" si="84"/>
        <v>-</v>
      </c>
      <c r="AR160" s="3">
        <f t="shared" si="85"/>
        <v>3</v>
      </c>
      <c r="AS160" s="3">
        <f t="shared" si="86"/>
        <v>1</v>
      </c>
      <c r="AT160" s="3">
        <f t="shared" si="87"/>
        <v>1</v>
      </c>
      <c r="AU160" s="3">
        <f t="shared" si="88"/>
        <v>1</v>
      </c>
      <c r="AV160" s="3">
        <f t="shared" si="89"/>
        <v>11</v>
      </c>
      <c r="AW160" s="3">
        <f t="shared" si="90"/>
        <v>3</v>
      </c>
      <c r="AX160" s="3">
        <f t="shared" si="91"/>
        <v>5</v>
      </c>
      <c r="AY160" s="3">
        <f t="shared" si="92"/>
        <v>5</v>
      </c>
      <c r="AZ160" s="3">
        <f t="shared" si="93"/>
        <v>1</v>
      </c>
      <c r="BA160" s="3">
        <f>IF(ISERROR(LEN(VLOOKUP(A160,Seqs!A:E,2,FALSE))-AL160),"-",LEN(VLOOKUP(A160,Seqs!A:E,2,FALSE))-AL160)</f>
        <v>77</v>
      </c>
      <c r="BB160" s="16">
        <f t="shared" si="94"/>
        <v>28</v>
      </c>
      <c r="BC160" s="9">
        <f t="shared" si="95"/>
        <v>20</v>
      </c>
      <c r="BD160" s="3">
        <f t="shared" si="96"/>
        <v>28</v>
      </c>
      <c r="BE160" s="3">
        <f t="shared" si="97"/>
        <v>46</v>
      </c>
    </row>
    <row r="161" spans="1:58" s="3" customFormat="1" x14ac:dyDescent="0.2">
      <c r="A161" s="3" t="s">
        <v>278</v>
      </c>
      <c r="B161" s="3" t="str">
        <f>LOWER(VLOOKUP(A161,Xtal_Templ!A:B,2,FALSE))</f>
        <v>hrh1_human</v>
      </c>
      <c r="C161" s="3">
        <f>VLOOKUP($A161,'SegEnds_NonXtal_BW#'!$A:$Z,3,FALSE)+D161-50</f>
        <v>29</v>
      </c>
      <c r="D161" s="3">
        <v>45</v>
      </c>
      <c r="E161" s="3">
        <f>IF(ISERROR(VLOOKUP($A161,'SegEnds_NonXtal_BW#'!$A:$Z,4,FALSE)+VLOOKUP($A161,A:AL,4,FALSE)-50),"-",(VLOOKUP($A161,'SegEnds_NonXtal_BW#'!$A:$Z,4,FALSE)+VLOOKUP($A161,A:AL,4,FALSE)-50))</f>
        <v>55</v>
      </c>
      <c r="F161" s="3">
        <f>G161-2</f>
        <v>56</v>
      </c>
      <c r="G161" s="3">
        <v>58</v>
      </c>
      <c r="H161" s="3">
        <f t="shared" ref="H161:I163" si="106">G161+1</f>
        <v>59</v>
      </c>
      <c r="I161" s="3">
        <f t="shared" si="106"/>
        <v>60</v>
      </c>
      <c r="J161" s="3">
        <v>73</v>
      </c>
      <c r="K161" s="3">
        <f>VLOOKUP($A161,'SegEnds_NonXtal_BW#'!$A:$Z,8,FALSE)+VLOOKUP($A161,A:AL,10,FALSE)-50</f>
        <v>90</v>
      </c>
      <c r="L161" s="3">
        <f t="shared" si="102"/>
        <v>92</v>
      </c>
      <c r="M161" s="3">
        <v>93</v>
      </c>
      <c r="N161" s="3">
        <f t="shared" si="103"/>
        <v>95</v>
      </c>
      <c r="O161" s="3">
        <f t="shared" si="104"/>
        <v>96</v>
      </c>
      <c r="P161" s="3">
        <v>125</v>
      </c>
      <c r="Q161" s="3">
        <f>VLOOKUP($A161,'SegEnds_NonXtal_BW#'!$A:$Z,12,FALSE)+VLOOKUP($A161,A:AL,16,FALSE)-50</f>
        <v>131</v>
      </c>
      <c r="R161" s="3">
        <f>IF(ISERROR(VLOOKUP($A161,'SegEnds_NonXtal_BW#'!$A:$Z,13,FALSE)+VLOOKUP($A161,A:AL,19,FALSE)-50),"-",VLOOKUP($A161,'SegEnds_NonXtal_BW#'!$A:$Z,13,FALSE)+VLOOKUP($A161,A:AL,19,FALSE)-50)</f>
        <v>132</v>
      </c>
      <c r="S161" s="3">
        <v>132</v>
      </c>
      <c r="T161" s="103">
        <f>IF(ISERROR(VLOOKUP($A161,'SegEnds_NonXtal_BW#'!$A:$Z,14,FALSE)+VLOOKUP($A161,A:AL,19,FALSE)-50),"-",(VLOOKUP($A161,'SegEnds_NonXtal_BW#'!$A:$Z,14,FALSE)+VLOOKUP($A161,A:AL,19,FALSE)-50))</f>
        <v>139</v>
      </c>
      <c r="U161" s="9">
        <f>IF(ISERROR(VLOOKUP($A161,'SegEnds_NonXtal_BW#'!$A:$Z,15,FALSE)+VLOOKUP($A161,A:AL,22,FALSE)-50),"-",VLOOKUP($A161,'SegEnds_NonXtal_BW#'!$A:$Z,15,FALSE)+VLOOKUP($A161,A:AL,22,FALSE)-50)</f>
        <v>140</v>
      </c>
      <c r="V161" s="3">
        <v>152</v>
      </c>
      <c r="W161" s="3">
        <f>IF(ISERROR(VLOOKUP($A161,'SegEnds_NonXtal_BW#'!$A:$Z,16,FALSE)+VLOOKUP($A161,A:AL,22,FALSE)-50),"-",(VLOOKUP($A161,'SegEnds_NonXtal_BW#'!$A:$Z,16,FALSE)+VLOOKUP($A161,A:AL,22,FALSE)-50))</f>
        <v>164</v>
      </c>
      <c r="X161" s="3">
        <f>IF(ISERROR(VLOOKUP($A161,'SegEnds_NonXtal_BW#'!$A:$Z,17,FALSE)+VLOOKUP($A161,A:AL,25,FALSE)-50),"-",(VLOOKUP($A161,'SegEnds_NonXtal_BW#'!$A:$Z,17,FALSE)+VLOOKUP($A161,A:AL,25,FALSE)-50))</f>
        <v>180</v>
      </c>
      <c r="Y161" s="3">
        <v>180</v>
      </c>
      <c r="Z161" s="3">
        <f t="shared" si="105"/>
        <v>182</v>
      </c>
      <c r="AA161" s="3">
        <f>IF(ISERROR(VLOOKUP($A161,'SegEnds_NonXtal_BW#'!$A:$Z,19,FALSE)+VLOOKUP($A161,A:AL,28,FALSE)-50),"-",(VLOOKUP($A161,'SegEnds_NonXtal_BW#'!$A:$Z,19,FALSE)+VLOOKUP($A161,A:AL,28,FALSE)-50))</f>
        <v>187</v>
      </c>
      <c r="AB161" s="3">
        <v>202</v>
      </c>
      <c r="AC161" s="3">
        <f>IF(ISERROR((VLOOKUP($A161,'SegEnds_NonXtal_BW#'!$A:$Z,20,FALSE)+VLOOKUP($A161,A:AL,28,FALSE)-50)),"-",(VLOOKUP($A161,'SegEnds_NonXtal_BW#'!$A:$Z,20,FALSE)+VLOOKUP($A161,A:AL,28,FALSE)-50))</f>
        <v>228</v>
      </c>
      <c r="AD161" s="3">
        <f>IF(ISERROR(VLOOKUP($A161,'SegEnds_NonXtal_BW#'!$A:$Z,21,FALSE)+VLOOKUP($A161,A:AL,31,FALSE)-50),"-",(VLOOKUP($A161,'SegEnds_NonXtal_BW#'!$A:$Z,21,FALSE)+VLOOKUP($A161,A:AL,31,FALSE)-50))</f>
        <v>404</v>
      </c>
      <c r="AE161" s="3">
        <v>430</v>
      </c>
      <c r="AF161" s="3">
        <f>IF(ISERROR((VLOOKUP($A161,'SegEnds_NonXtal_BW#'!$A:$Z,22,FALSE)+VLOOKUP($A161,A:AL,31,FALSE)-50)),"-",(VLOOKUP($A161,'SegEnds_NonXtal_BW#'!$A:$Z,22,FALSE)+VLOOKUP($A161,A:AL,31,FALSE)-50))</f>
        <v>441</v>
      </c>
      <c r="AG161" s="3">
        <f>IF(ISERROR(VLOOKUP($A161,'SegEnds_NonXtal_BW#'!$A:$Z,23,FALSE)+VLOOKUP($A161,A:AL,34,FALSE)-50),"-",(VLOOKUP($A161,'SegEnds_NonXtal_BW#'!$A:$Z,23,FALSE)+VLOOKUP($A161,A:AL,34,FALSE)-50))</f>
        <v>446</v>
      </c>
      <c r="AH161" s="3">
        <v>465</v>
      </c>
      <c r="AI161" s="3">
        <f>IF(ISERROR((VLOOKUP($A161,'SegEnds_NonXtal_BW#'!$A:$Z,24,FALSE)+VLOOKUP($A161,A:AL,34,FALSE)-50)),"-",(VLOOKUP($A161,'SegEnds_NonXtal_BW#'!$A:$Z,24,FALSE)+VLOOKUP($A161,A:AL,34,FALSE)-50))</f>
        <v>471</v>
      </c>
      <c r="AJ161" s="3">
        <f>IF(ISERROR(VLOOKUP($A161,'SegEnds_NonXtal_BW#'!$A:$Z,25,FALSE)+VLOOKUP($A161,A:AL,37,FALSE)-50),"-",(VLOOKUP($A161,'SegEnds_NonXtal_BW#'!$A:$Z,25,FALSE)+VLOOKUP($A161,A:AL,37,FALSE)-50))</f>
        <v>472</v>
      </c>
      <c r="AK161" s="3">
        <v>475</v>
      </c>
      <c r="AL161" s="3">
        <f>IF(ISERROR((VLOOKUP($A161,'SegEnds_NonXtal_BW#'!$A:$Z,26,FALSE)+VLOOKUP($A161,A:AL,37,FALSE)-50)),"-",(VLOOKUP($A161,'SegEnds_NonXtal_BW#'!$A:$Z,26,FALSE)+VLOOKUP($A161,A:AL,37,FALSE)-50))</f>
        <v>484</v>
      </c>
      <c r="AM161" s="28" t="str">
        <f>VLOOKUP(A161,Classification!A:B,2,FALSE)</f>
        <v>A</v>
      </c>
      <c r="AN161" s="28" t="b">
        <f t="shared" si="100"/>
        <v>1</v>
      </c>
      <c r="AO161" s="3" t="str">
        <f>IF(ISERROR(MATCH(A161,'SegEnds_Xtal_Prot#'!B:B, 0)), "NoXtal", "Xtal")</f>
        <v>Xtal</v>
      </c>
      <c r="AP161" s="3">
        <f t="shared" si="83"/>
        <v>1</v>
      </c>
      <c r="AQ161" s="3">
        <f t="shared" si="84"/>
        <v>1</v>
      </c>
      <c r="AR161" s="3">
        <f t="shared" si="85"/>
        <v>2</v>
      </c>
      <c r="AS161" s="3">
        <f t="shared" si="86"/>
        <v>1</v>
      </c>
      <c r="AT161" s="3">
        <f t="shared" si="87"/>
        <v>1</v>
      </c>
      <c r="AU161" s="3">
        <f t="shared" si="88"/>
        <v>1</v>
      </c>
      <c r="AV161" s="3">
        <f t="shared" si="89"/>
        <v>16</v>
      </c>
      <c r="AW161" s="3">
        <f t="shared" si="90"/>
        <v>5</v>
      </c>
      <c r="AX161" s="3">
        <f t="shared" si="91"/>
        <v>176</v>
      </c>
      <c r="AY161" s="3">
        <f t="shared" si="92"/>
        <v>5</v>
      </c>
      <c r="AZ161" s="3">
        <f t="shared" si="93"/>
        <v>1</v>
      </c>
      <c r="BA161" s="3">
        <f>IF(ISERROR(LEN(VLOOKUP(A161,Seqs!A:E,2,FALSE))-AL161),"-",LEN(VLOOKUP(A161,Seqs!A:E,2,FALSE))-AL161)</f>
        <v>3</v>
      </c>
      <c r="BB161" s="16">
        <f t="shared" si="94"/>
        <v>28</v>
      </c>
      <c r="BC161" s="9">
        <f t="shared" si="95"/>
        <v>20</v>
      </c>
      <c r="BD161" s="3">
        <f t="shared" si="96"/>
        <v>28</v>
      </c>
      <c r="BE161" s="3">
        <f t="shared" si="97"/>
        <v>228</v>
      </c>
      <c r="BF161" s="3">
        <f>AH161-AE161</f>
        <v>35</v>
      </c>
    </row>
    <row r="162" spans="1:58" s="3" customFormat="1" x14ac:dyDescent="0.2">
      <c r="A162" s="3" t="s">
        <v>279</v>
      </c>
      <c r="B162" s="3" t="str">
        <f>LOWER(VLOOKUP(A162,Xtal_Templ!A:B,2,FALSE))</f>
        <v>adrb2_human</v>
      </c>
      <c r="C162" s="3">
        <f>VLOOKUP($A162,'SegEnds_NonXtal_BW#'!$A:$Z,3,FALSE)+D162-50</f>
        <v>11</v>
      </c>
      <c r="D162" s="3">
        <v>36</v>
      </c>
      <c r="E162" s="3">
        <f>IF(ISERROR(VLOOKUP($A162,'SegEnds_NonXtal_BW#'!$A:$Z,4,FALSE)+VLOOKUP($A162,A:AL,4,FALSE)-50),"-",(VLOOKUP($A162,'SegEnds_NonXtal_BW#'!$A:$Z,4,FALSE)+VLOOKUP($A162,A:AL,4,FALSE)-50))</f>
        <v>46</v>
      </c>
      <c r="F162" s="3">
        <f>G162-2</f>
        <v>47</v>
      </c>
      <c r="G162" s="3">
        <v>49</v>
      </c>
      <c r="H162" s="3">
        <f t="shared" si="106"/>
        <v>50</v>
      </c>
      <c r="I162" s="3">
        <f t="shared" si="106"/>
        <v>51</v>
      </c>
      <c r="J162" s="3">
        <v>64</v>
      </c>
      <c r="K162" s="3">
        <f>VLOOKUP($A162,'SegEnds_NonXtal_BW#'!$A:$Z,8,FALSE)+VLOOKUP($A162,A:AL,10,FALSE)-50</f>
        <v>81</v>
      </c>
      <c r="L162" s="3">
        <f t="shared" si="102"/>
        <v>83</v>
      </c>
      <c r="M162" s="3">
        <v>84</v>
      </c>
      <c r="N162" s="3">
        <f t="shared" si="103"/>
        <v>86</v>
      </c>
      <c r="O162" s="3">
        <f t="shared" si="104"/>
        <v>87</v>
      </c>
      <c r="P162" s="3">
        <v>116</v>
      </c>
      <c r="Q162" s="3">
        <f>VLOOKUP($A162,'SegEnds_NonXtal_BW#'!$A:$Z,12,FALSE)+VLOOKUP($A162,A:AL,16,FALSE)-50</f>
        <v>122</v>
      </c>
      <c r="R162" s="3">
        <f>IF(ISERROR(VLOOKUP($A162,'SegEnds_NonXtal_BW#'!$A:$Z,13,FALSE)+VLOOKUP($A162,A:AL,19,FALSE)-50),"-",VLOOKUP($A162,'SegEnds_NonXtal_BW#'!$A:$Z,13,FALSE)+VLOOKUP($A162,A:AL,19,FALSE)-50)</f>
        <v>123</v>
      </c>
      <c r="S162" s="3">
        <v>123</v>
      </c>
      <c r="T162" s="103">
        <f>IF(ISERROR(VLOOKUP($A162,'SegEnds_NonXtal_BW#'!$A:$Z,14,FALSE)+VLOOKUP($A162,A:AL,19,FALSE)-50),"-",(VLOOKUP($A162,'SegEnds_NonXtal_BW#'!$A:$Z,14,FALSE)+VLOOKUP($A162,A:AL,19,FALSE)-50))</f>
        <v>130</v>
      </c>
      <c r="U162" s="9">
        <f>IF(ISERROR(VLOOKUP($A162,'SegEnds_NonXtal_BW#'!$A:$Z,15,FALSE)+VLOOKUP($A162,A:AL,22,FALSE)-50),"-",VLOOKUP($A162,'SegEnds_NonXtal_BW#'!$A:$Z,15,FALSE)+VLOOKUP($A162,A:AL,22,FALSE)-50)</f>
        <v>131</v>
      </c>
      <c r="V162" s="3">
        <v>143</v>
      </c>
      <c r="W162" s="3">
        <f>IF(ISERROR(VLOOKUP($A162,'SegEnds_NonXtal_BW#'!$A:$Z,16,FALSE)+VLOOKUP($A162,A:AL,22,FALSE)-50),"-",(VLOOKUP($A162,'SegEnds_NonXtal_BW#'!$A:$Z,16,FALSE)+VLOOKUP($A162,A:AL,22,FALSE)-50))</f>
        <v>157</v>
      </c>
      <c r="X162" s="3">
        <f>IF(ISERROR(VLOOKUP($A162,'SegEnds_NonXtal_BW#'!$A:$Z,17,FALSE)+VLOOKUP($A162,A:AL,25,FALSE)-50),"-",(VLOOKUP($A162,'SegEnds_NonXtal_BW#'!$A:$Z,17,FALSE)+VLOOKUP($A162,A:AL,25,FALSE)-50))</f>
        <v>174</v>
      </c>
      <c r="Y162" s="3">
        <v>174</v>
      </c>
      <c r="Z162" s="3">
        <f t="shared" si="105"/>
        <v>176</v>
      </c>
      <c r="AA162" s="3">
        <f>IF(ISERROR(VLOOKUP($A162,'SegEnds_NonXtal_BW#'!$A:$Z,19,FALSE)+VLOOKUP($A162,A:AL,28,FALSE)-50),"-",(VLOOKUP($A162,'SegEnds_NonXtal_BW#'!$A:$Z,19,FALSE)+VLOOKUP($A162,A:AL,28,FALSE)-50))</f>
        <v>179</v>
      </c>
      <c r="AB162" s="3">
        <v>194</v>
      </c>
      <c r="AC162" s="3">
        <f>IF(ISERROR((VLOOKUP($A162,'SegEnds_NonXtal_BW#'!$A:$Z,20,FALSE)+VLOOKUP($A162,A:AL,28,FALSE)-50)),"-",(VLOOKUP($A162,'SegEnds_NonXtal_BW#'!$A:$Z,20,FALSE)+VLOOKUP($A162,A:AL,28,FALSE)-50))</f>
        <v>217</v>
      </c>
      <c r="AD162" s="3">
        <f>IF(ISERROR(VLOOKUP($A162,'SegEnds_NonXtal_BW#'!$A:$Z,21,FALSE)+VLOOKUP($A162,A:AL,31,FALSE)-50),"-",(VLOOKUP($A162,'SegEnds_NonXtal_BW#'!$A:$Z,21,FALSE)+VLOOKUP($A162,A:AL,31,FALSE)-50))</f>
        <v>221</v>
      </c>
      <c r="AE162" s="3">
        <v>249</v>
      </c>
      <c r="AF162" s="3">
        <f>IF(ISERROR((VLOOKUP($A162,'SegEnds_NonXtal_BW#'!$A:$Z,22,FALSE)+VLOOKUP($A162,A:AL,31,FALSE)-50)),"-",(VLOOKUP($A162,'SegEnds_NonXtal_BW#'!$A:$Z,22,FALSE)+VLOOKUP($A162,A:AL,31,FALSE)-50))</f>
        <v>260</v>
      </c>
      <c r="AG162" s="3">
        <f>IF(ISERROR(VLOOKUP($A162,'SegEnds_NonXtal_BW#'!$A:$Z,23,FALSE)+VLOOKUP($A162,A:AL,34,FALSE)-50),"-",(VLOOKUP($A162,'SegEnds_NonXtal_BW#'!$A:$Z,23,FALSE)+VLOOKUP($A162,A:AL,34,FALSE)-50))</f>
        <v>266</v>
      </c>
      <c r="AH162" s="3">
        <v>285</v>
      </c>
      <c r="AI162" s="3">
        <v>291</v>
      </c>
      <c r="AJ162" s="3">
        <f>IF(ISERROR(VLOOKUP($A162,'SegEnds_NonXtal_BW#'!$A:$Z,25,FALSE)+VLOOKUP($A162,A:AL,37,FALSE)-50),"-",(VLOOKUP($A162,'SegEnds_NonXtal_BW#'!$A:$Z,25,FALSE)+VLOOKUP($A162,A:AL,37,FALSE)-50))</f>
        <v>292</v>
      </c>
      <c r="AK162" s="3">
        <v>295</v>
      </c>
      <c r="AL162" s="3">
        <f>IF(ISERROR((VLOOKUP($A162,'SegEnds_NonXtal_BW#'!$A:$Z,26,FALSE)+VLOOKUP($A162,A:AL,37,FALSE)-50)),"-",(VLOOKUP($A162,'SegEnds_NonXtal_BW#'!$A:$Z,26,FALSE)+VLOOKUP($A162,A:AL,37,FALSE)-50))</f>
        <v>304</v>
      </c>
      <c r="AM162" s="28" t="str">
        <f>VLOOKUP(A162,Classification!A:B,2,FALSE)</f>
        <v>A</v>
      </c>
      <c r="AN162" s="28" t="b">
        <f t="shared" si="100"/>
        <v>1</v>
      </c>
      <c r="AO162" s="3" t="str">
        <f>IF(ISERROR(MATCH(A162,'SegEnds_Xtal_Prot#'!B:B, 0)), "NoXtal", "Xtal")</f>
        <v>NoXtal</v>
      </c>
      <c r="AP162" s="3">
        <f t="shared" si="83"/>
        <v>1</v>
      </c>
      <c r="AQ162" s="3">
        <f t="shared" si="84"/>
        <v>1</v>
      </c>
      <c r="AR162" s="3">
        <f t="shared" si="85"/>
        <v>2</v>
      </c>
      <c r="AS162" s="3">
        <f t="shared" si="86"/>
        <v>1</v>
      </c>
      <c r="AT162" s="3">
        <f t="shared" si="87"/>
        <v>1</v>
      </c>
      <c r="AU162" s="3">
        <f t="shared" si="88"/>
        <v>1</v>
      </c>
      <c r="AV162" s="3">
        <f t="shared" si="89"/>
        <v>17</v>
      </c>
      <c r="AW162" s="3">
        <f t="shared" si="90"/>
        <v>3</v>
      </c>
      <c r="AX162" s="3">
        <f t="shared" si="91"/>
        <v>4</v>
      </c>
      <c r="AY162" s="3">
        <f t="shared" si="92"/>
        <v>6</v>
      </c>
      <c r="AZ162" s="3">
        <f t="shared" si="93"/>
        <v>1</v>
      </c>
      <c r="BA162" s="3">
        <f>IF(ISERROR(LEN(VLOOKUP(A162,Seqs!A:E,2,FALSE))-AL162),"-",LEN(VLOOKUP(A162,Seqs!A:E,2,FALSE))-AL162)</f>
        <v>55</v>
      </c>
      <c r="BB162" s="16">
        <f t="shared" si="94"/>
        <v>28</v>
      </c>
      <c r="BC162" s="9">
        <f t="shared" si="95"/>
        <v>20</v>
      </c>
      <c r="BD162" s="3">
        <f t="shared" si="96"/>
        <v>28</v>
      </c>
      <c r="BE162" s="3">
        <f t="shared" si="97"/>
        <v>55</v>
      </c>
    </row>
    <row r="163" spans="1:58" s="3" customFormat="1" x14ac:dyDescent="0.2">
      <c r="A163" s="3" t="s">
        <v>282</v>
      </c>
      <c r="B163" s="3" t="str">
        <f>LOWER(VLOOKUP(A163,Xtal_Templ!A:B,2,FALSE))</f>
        <v>oprk_human</v>
      </c>
      <c r="C163" s="3">
        <f>VLOOKUP($A163,'SegEnds_NonXtal_BW#'!$A:$Z,3,FALSE)+D163-50</f>
        <v>40</v>
      </c>
      <c r="D163" s="3">
        <v>60</v>
      </c>
      <c r="E163" s="3">
        <f>IF(ISERROR(VLOOKUP($A163,'SegEnds_NonXtal_BW#'!$A:$Z,4,FALSE)+VLOOKUP($A163,A:AL,4,FALSE)-50),"-",(VLOOKUP($A163,'SegEnds_NonXtal_BW#'!$A:$Z,4,FALSE)+VLOOKUP($A163,A:AL,4,FALSE)-50))</f>
        <v>70</v>
      </c>
      <c r="F163" s="3">
        <f>G163-2</f>
        <v>71</v>
      </c>
      <c r="G163" s="3">
        <v>73</v>
      </c>
      <c r="H163" s="3">
        <f t="shared" si="106"/>
        <v>74</v>
      </c>
      <c r="I163" s="3">
        <f t="shared" si="106"/>
        <v>75</v>
      </c>
      <c r="J163" s="3">
        <v>88</v>
      </c>
      <c r="K163" s="3">
        <f>VLOOKUP($A163,'SegEnds_NonXtal_BW#'!$A:$Z,8,FALSE)+VLOOKUP($A163,A:AL,10,FALSE)-50</f>
        <v>104</v>
      </c>
      <c r="L163" s="3">
        <f t="shared" si="102"/>
        <v>107</v>
      </c>
      <c r="M163" s="3">
        <v>108</v>
      </c>
      <c r="N163" s="3">
        <f t="shared" si="103"/>
        <v>110</v>
      </c>
      <c r="O163" s="3">
        <f t="shared" si="104"/>
        <v>111</v>
      </c>
      <c r="P163" s="3">
        <v>140</v>
      </c>
      <c r="Q163" s="3">
        <f>VLOOKUP($A163,'SegEnds_NonXtal_BW#'!$A:$Z,12,FALSE)+VLOOKUP($A163,A:AL,16,FALSE)-50</f>
        <v>146</v>
      </c>
      <c r="R163" s="3">
        <f>IF(ISERROR(VLOOKUP($A163,'SegEnds_NonXtal_BW#'!$A:$Z,13,FALSE)+VLOOKUP($A163,A:AL,19,FALSE)-50),"-",VLOOKUP($A163,'SegEnds_NonXtal_BW#'!$A:$Z,13,FALSE)+VLOOKUP($A163,A:AL,19,FALSE)-50)</f>
        <v>147</v>
      </c>
      <c r="S163" s="3">
        <v>147</v>
      </c>
      <c r="T163" s="103">
        <f>IF(ISERROR(VLOOKUP($A163,'SegEnds_NonXtal_BW#'!$A:$Z,14,FALSE)+VLOOKUP($A163,A:AL,19,FALSE)-50),"-",(VLOOKUP($A163,'SegEnds_NonXtal_BW#'!$A:$Z,14,FALSE)+VLOOKUP($A163,A:AL,19,FALSE)-50))</f>
        <v>154</v>
      </c>
      <c r="U163" s="9">
        <f>IF(ISERROR(VLOOKUP($A163,'SegEnds_NonXtal_BW#'!$A:$Z,15,FALSE)+VLOOKUP($A163,A:AL,22,FALSE)-50),"-",VLOOKUP($A163,'SegEnds_NonXtal_BW#'!$A:$Z,15,FALSE)+VLOOKUP($A163,A:AL,22,FALSE)-50)</f>
        <v>155</v>
      </c>
      <c r="V163" s="3">
        <v>167</v>
      </c>
      <c r="W163" s="3">
        <f>IF(ISERROR(VLOOKUP($A163,'SegEnds_NonXtal_BW#'!$A:$Z,16,FALSE)+VLOOKUP($A163,A:AL,22,FALSE)-50),"-",(VLOOKUP($A163,'SegEnds_NonXtal_BW#'!$A:$Z,16,FALSE)+VLOOKUP($A163,A:AL,22,FALSE)-50))</f>
        <v>181</v>
      </c>
      <c r="X163" s="3">
        <f>IF(ISERROR(VLOOKUP($A163,'SegEnds_NonXtal_BW#'!$A:$Z,17,FALSE)+VLOOKUP($A163,A:AL,25,FALSE)-50),"-",(VLOOKUP($A163,'SegEnds_NonXtal_BW#'!$A:$Z,17,FALSE)+VLOOKUP($A163,A:AL,25,FALSE)-50))</f>
        <v>191</v>
      </c>
      <c r="Y163" s="3">
        <v>191</v>
      </c>
      <c r="Z163" s="3">
        <f t="shared" si="105"/>
        <v>193</v>
      </c>
      <c r="AA163" s="3">
        <f>IF(ISERROR(VLOOKUP($A163,'SegEnds_NonXtal_BW#'!$A:$Z,19,FALSE)+VLOOKUP($A163,A:AL,28,FALSE)-50),"-",(VLOOKUP($A163,'SegEnds_NonXtal_BW#'!$A:$Z,19,FALSE)+VLOOKUP($A163,A:AL,28,FALSE)-50))</f>
        <v>197</v>
      </c>
      <c r="AB163" s="3">
        <v>216</v>
      </c>
      <c r="AC163" s="3">
        <f>IF(ISERROR((VLOOKUP($A163,'SegEnds_NonXtal_BW#'!$A:$Z,20,FALSE)+VLOOKUP($A163,A:AL,28,FALSE)-50)),"-",(VLOOKUP($A163,'SegEnds_NonXtal_BW#'!$A:$Z,20,FALSE)+VLOOKUP($A163,A:AL,28,FALSE)-50))</f>
        <v>240</v>
      </c>
      <c r="AD163" s="3">
        <f>IF(ISERROR(VLOOKUP($A163,'SegEnds_NonXtal_BW#'!$A:$Z,21,FALSE)+VLOOKUP($A163,A:AL,31,FALSE)-50),"-",(VLOOKUP($A163,'SegEnds_NonXtal_BW#'!$A:$Z,21,FALSE)+VLOOKUP($A163,A:AL,31,FALSE)-50))</f>
        <v>249</v>
      </c>
      <c r="AE163" s="3">
        <v>278</v>
      </c>
      <c r="AF163" s="3">
        <f>IF(ISERROR((VLOOKUP($A163,'SegEnds_NonXtal_BW#'!$A:$Z,22,FALSE)+VLOOKUP($A163,A:AL,31,FALSE)-50)),"-",(VLOOKUP($A163,'SegEnds_NonXtal_BW#'!$A:$Z,22,FALSE)+VLOOKUP($A163,A:AL,31,FALSE)-50))</f>
        <v>289</v>
      </c>
      <c r="AG163" s="3">
        <f>IF(ISERROR(VLOOKUP($A163,'SegEnds_NonXtal_BW#'!$A:$Z,23,FALSE)+VLOOKUP($A163,A:AL,34,FALSE)-50),"-",(VLOOKUP($A163,'SegEnds_NonXtal_BW#'!$A:$Z,23,FALSE)+VLOOKUP($A163,A:AL,34,FALSE)-50))</f>
        <v>298</v>
      </c>
      <c r="AH163" s="3">
        <v>320</v>
      </c>
      <c r="AI163" s="3">
        <f>IF(ISERROR((VLOOKUP($A163,'SegEnds_NonXtal_BW#'!$A:$Z,24,FALSE)+VLOOKUP($A163,A:AL,34,FALSE)-50)),"-",(VLOOKUP($A163,'SegEnds_NonXtal_BW#'!$A:$Z,24,FALSE)+VLOOKUP($A163,A:AL,34,FALSE)-50))</f>
        <v>326</v>
      </c>
      <c r="AJ163" s="3">
        <f>IF(ISERROR(VLOOKUP($A163,'SegEnds_NonXtal_BW#'!$A:$Z,25,FALSE)+VLOOKUP($A163,A:AL,37,FALSE)-50),"-",(VLOOKUP($A163,'SegEnds_NonXtal_BW#'!$A:$Z,25,FALSE)+VLOOKUP($A163,A:AL,37,FALSE)-50))</f>
        <v>327</v>
      </c>
      <c r="AK163" s="3">
        <v>330</v>
      </c>
      <c r="AL163" s="3">
        <f>IF(ISERROR((VLOOKUP($A163,'SegEnds_NonXtal_BW#'!$A:$Z,26,FALSE)+VLOOKUP($A163,A:AL,37,FALSE)-50)),"-",(VLOOKUP($A163,'SegEnds_NonXtal_BW#'!$A:$Z,26,FALSE)+VLOOKUP($A163,A:AL,37,FALSE)-50))</f>
        <v>339</v>
      </c>
      <c r="AM163" s="28" t="str">
        <f>VLOOKUP(A163,Classification!A:B,2,FALSE)</f>
        <v>A</v>
      </c>
      <c r="AN163" s="28" t="b">
        <f t="shared" si="100"/>
        <v>1</v>
      </c>
      <c r="AO163" s="3" t="str">
        <f>IF(ISERROR(MATCH(A163,'SegEnds_Xtal_Prot#'!B:B, 0)), "NoXtal", "Xtal")</f>
        <v>NoXtal</v>
      </c>
      <c r="AP163" s="3">
        <f t="shared" si="83"/>
        <v>1</v>
      </c>
      <c r="AQ163" s="3">
        <f t="shared" si="84"/>
        <v>1</v>
      </c>
      <c r="AR163" s="3">
        <f t="shared" si="85"/>
        <v>3</v>
      </c>
      <c r="AS163" s="3">
        <f t="shared" si="86"/>
        <v>1</v>
      </c>
      <c r="AT163" s="3">
        <f t="shared" si="87"/>
        <v>1</v>
      </c>
      <c r="AU163" s="3">
        <f t="shared" si="88"/>
        <v>1</v>
      </c>
      <c r="AV163" s="3">
        <f t="shared" si="89"/>
        <v>10</v>
      </c>
      <c r="AW163" s="3">
        <f t="shared" si="90"/>
        <v>4</v>
      </c>
      <c r="AX163" s="3">
        <f t="shared" si="91"/>
        <v>9</v>
      </c>
      <c r="AY163" s="3">
        <f t="shared" si="92"/>
        <v>9</v>
      </c>
      <c r="AZ163" s="3">
        <f t="shared" si="93"/>
        <v>1</v>
      </c>
      <c r="BA163" s="3">
        <f>IF(ISERROR(LEN(VLOOKUP(A163,Seqs!A:E,2,FALSE))-AL163),"-",LEN(VLOOKUP(A163,Seqs!A:E,2,FALSE))-AL163)</f>
        <v>59</v>
      </c>
      <c r="BB163" s="16">
        <f t="shared" si="94"/>
        <v>28</v>
      </c>
      <c r="BC163" s="9">
        <f t="shared" si="95"/>
        <v>20</v>
      </c>
      <c r="BD163" s="3">
        <f t="shared" si="96"/>
        <v>28</v>
      </c>
      <c r="BE163" s="3">
        <f t="shared" si="97"/>
        <v>62</v>
      </c>
    </row>
    <row r="164" spans="1:58" s="3" customFormat="1" x14ac:dyDescent="0.2">
      <c r="A164" s="3" t="s">
        <v>283</v>
      </c>
      <c r="B164" s="3" t="str">
        <f>LOWER(VLOOKUP(A164,Xtal_Templ!A:B,2,FALSE))</f>
        <v>agtr1_human</v>
      </c>
      <c r="C164" s="3">
        <f>VLOOKUP($A164,'SegEnds_NonXtal_BW#'!$A:$Z,3,FALSE)+D164-50</f>
        <v>536</v>
      </c>
      <c r="D164" s="3">
        <v>556</v>
      </c>
      <c r="E164" s="3">
        <f>IF(ISERROR(VLOOKUP($A164,'SegEnds_NonXtal_BW#'!$A:$Z,4,FALSE)+VLOOKUP($A164,A:AL,4,FALSE)-50),"-",(VLOOKUP($A164,'SegEnds_NonXtal_BW#'!$A:$Z,4,FALSE)+VLOOKUP($A164,A:AL,4,FALSE)-50))</f>
        <v>566</v>
      </c>
      <c r="F164" s="3" t="str">
        <f>IF(ISERROR(VLOOKUP($A164,'SegEnds_NonXtal_BW#'!$A:$Z,5,FALSE)+VLOOKUP($A164,A:AL,7,FALSE)-50),"-",(VLOOKUP($A164,'SegEnds_NonXtal_BW#'!$A:$Z,5,FALSE)+VLOOKUP($A164,A:AL,7,FALSE)-50))</f>
        <v>-</v>
      </c>
      <c r="G164" s="3" t="s">
        <v>23</v>
      </c>
      <c r="H164" s="3" t="str">
        <f>IF(ISERROR(VLOOKUP($A164,'SegEnds_NonXtal_BW#'!$A:$Z,6,FALSE)+VLOOKUP($A164,A:AL,7,FALSE)-50),"-",(VLOOKUP($A164,'SegEnds_NonXtal_BW#'!$A:$Z,6,FALSE)+VLOOKUP($A164,A:AL,7,FALSE)-50))</f>
        <v>-</v>
      </c>
      <c r="I164" s="3">
        <f>VLOOKUP($A164,'SegEnds_NonXtal_BW#'!$A:$Z,7,FALSE)+J164-50</f>
        <v>571</v>
      </c>
      <c r="J164" s="3">
        <v>584</v>
      </c>
      <c r="K164" s="3">
        <f>VLOOKUP($A164,'SegEnds_NonXtal_BW#'!$A:$Z,8,FALSE)+VLOOKUP($A164,A:AL,10,FALSE)-50</f>
        <v>601</v>
      </c>
      <c r="L164" s="3" t="str">
        <f>IF(ISERROR(VLOOKUP($A164,'SegEnds_NonXtal_BW#'!$A:$Z,9,FALSE)+VLOOKUP($A164,A:AL,13,FALSE)-50),"-",(VLOOKUP($A164,'SegEnds_NonXtal_BW#'!$A:$Z,9,FALSE)+VLOOKUP($A164,A:AL,13,FALSE)-50))</f>
        <v>-</v>
      </c>
      <c r="M164" s="3" t="s">
        <v>23</v>
      </c>
      <c r="N164" s="3" t="str">
        <f>IF(ISERROR(VLOOKUP($A164,'SegEnds_NonXtal_BW#'!$A:$Z,10,FALSE)+VLOOKUP($A164,A:AL,13,FALSE)-50),"-",(VLOOKUP($A164,'SegEnds_NonXtal_BW#'!$A:$Z,10,FALSE)+VLOOKUP($A164,A:AL,13,FALSE)-50))</f>
        <v>-</v>
      </c>
      <c r="O164" s="3">
        <f>VLOOKUP($A164,'SegEnds_NonXtal_BW#'!$A:$Z,11,FALSE)+VLOOKUP($A164,A:AL,16,FALSE)-50</f>
        <v>611</v>
      </c>
      <c r="P164" s="3">
        <v>643</v>
      </c>
      <c r="Q164" s="3">
        <f>VLOOKUP($A164,'SegEnds_NonXtal_BW#'!$A:$Z,12,FALSE)+VLOOKUP($A164,A:AL,16,FALSE)-50</f>
        <v>649</v>
      </c>
      <c r="R164" s="3">
        <f>IF(ISERROR(VLOOKUP($A164,'SegEnds_NonXtal_BW#'!$A:$Z,13,FALSE)+VLOOKUP($A164,A:AL,19,FALSE)-50),"-",VLOOKUP($A164,'SegEnds_NonXtal_BW#'!$A:$Z,13,FALSE)+VLOOKUP($A164,A:AL,19,FALSE)-50)</f>
        <v>650</v>
      </c>
      <c r="S164" s="3">
        <v>650</v>
      </c>
      <c r="T164" s="103">
        <f>IF(ISERROR(VLOOKUP($A164,'SegEnds_NonXtal_BW#'!$A:$Z,14,FALSE)+VLOOKUP($A164,A:AL,19,FALSE)-50),"-",(VLOOKUP($A164,'SegEnds_NonXtal_BW#'!$A:$Z,14,FALSE)+VLOOKUP($A164,A:AL,19,FALSE)-50))</f>
        <v>657</v>
      </c>
      <c r="U164" s="9">
        <f>IF(ISERROR(VLOOKUP($A164,'SegEnds_NonXtal_BW#'!$A:$Z,15,FALSE)+VLOOKUP($A164,A:AL,22,FALSE)-50),"-",VLOOKUP($A164,'SegEnds_NonXtal_BW#'!$A:$Z,15,FALSE)+VLOOKUP($A164,A:AL,22,FALSE)-50)</f>
        <v>658</v>
      </c>
      <c r="V164" s="3">
        <v>670</v>
      </c>
      <c r="W164" s="3">
        <f>IF(ISERROR(VLOOKUP($A164,'SegEnds_NonXtal_BW#'!$A:$Z,16,FALSE)+VLOOKUP($A164,A:AL,22,FALSE)-50),"-",(VLOOKUP($A164,'SegEnds_NonXtal_BW#'!$A:$Z,16,FALSE)+VLOOKUP($A164,A:AL,22,FALSE)-50))</f>
        <v>684</v>
      </c>
      <c r="X164" s="3">
        <f>IF(ISERROR(VLOOKUP($A164,'SegEnds_NonXtal_BW#'!$A:$Z,17,FALSE)+VLOOKUP($A164,A:AL,25,FALSE)-50),"-",(VLOOKUP($A164,'SegEnds_NonXtal_BW#'!$A:$Z,17,FALSE)+VLOOKUP($A164,A:AL,25,FALSE)-50))</f>
        <v>693</v>
      </c>
      <c r="Y164" s="3">
        <v>693</v>
      </c>
      <c r="Z164" s="3">
        <f t="shared" si="105"/>
        <v>695</v>
      </c>
      <c r="AA164" s="3">
        <f>IF(ISERROR(VLOOKUP($A164,'SegEnds_NonXtal_BW#'!$A:$Z,19,FALSE)+VLOOKUP($A164,A:AL,28,FALSE)-50),"-",(VLOOKUP($A164,'SegEnds_NonXtal_BW#'!$A:$Z,19,FALSE)+VLOOKUP($A164,A:AL,28,FALSE)-50))</f>
        <v>701</v>
      </c>
      <c r="AB164" s="3">
        <v>717</v>
      </c>
      <c r="AC164" s="3">
        <f>IF(ISERROR((VLOOKUP($A164,'SegEnds_NonXtal_BW#'!$A:$Z,20,FALSE)+VLOOKUP($A164,A:AL,28,FALSE)-50)),"-",(VLOOKUP($A164,'SegEnds_NonXtal_BW#'!$A:$Z,20,FALSE)+VLOOKUP($A164,A:AL,28,FALSE)-50))</f>
        <v>734</v>
      </c>
      <c r="AD164" s="3">
        <f>IF(ISERROR(VLOOKUP($A164,'SegEnds_NonXtal_BW#'!$A:$Z,21,FALSE)+VLOOKUP($A164,A:AL,31,FALSE)-50),"-",(VLOOKUP($A164,'SegEnds_NonXtal_BW#'!$A:$Z,21,FALSE)+VLOOKUP($A164,A:AL,31,FALSE)-50))</f>
        <v>740</v>
      </c>
      <c r="AE164" s="3">
        <v>762</v>
      </c>
      <c r="AF164" s="3">
        <f>IF(ISERROR((VLOOKUP($A164,'SegEnds_NonXtal_BW#'!$A:$Z,22,FALSE)+VLOOKUP($A164,A:AL,31,FALSE)-50)),"-",(VLOOKUP($A164,'SegEnds_NonXtal_BW#'!$A:$Z,22,FALSE)+VLOOKUP($A164,A:AL,31,FALSE)-50))</f>
        <v>773</v>
      </c>
      <c r="AG164" s="3">
        <f>IF(ISERROR(VLOOKUP($A164,'SegEnds_NonXtal_BW#'!$A:$Z,23,FALSE)+VLOOKUP($A164,A:AL,34,FALSE)-50),"-",(VLOOKUP($A164,'SegEnds_NonXtal_BW#'!$A:$Z,23,FALSE)+VLOOKUP($A164,A:AL,34,FALSE)-50))</f>
        <v>779</v>
      </c>
      <c r="AH164" s="3">
        <v>798</v>
      </c>
      <c r="AI164" s="3">
        <f>IF(ISERROR((VLOOKUP($A164,'SegEnds_NonXtal_BW#'!$A:$Z,24,FALSE)+VLOOKUP($A164,A:AL,34,FALSE)-50)),"-",(VLOOKUP($A164,'SegEnds_NonXtal_BW#'!$A:$Z,24,FALSE)+VLOOKUP($A164,A:AL,34,FALSE)-50))</f>
        <v>804</v>
      </c>
      <c r="AJ164" s="3">
        <f>IF(ISERROR(VLOOKUP($A164,'SegEnds_NonXtal_BW#'!$A:$Z,25,FALSE)+VLOOKUP($A164,A:AL,37,FALSE)-50),"-",(VLOOKUP($A164,'SegEnds_NonXtal_BW#'!$A:$Z,25,FALSE)+VLOOKUP($A164,A:AL,37,FALSE)-50))</f>
        <v>805</v>
      </c>
      <c r="AK164" s="3">
        <v>808</v>
      </c>
      <c r="AL164" s="3">
        <f>IF(ISERROR((VLOOKUP($A164,'SegEnds_NonXtal_BW#'!$A:$Z,26,FALSE)+VLOOKUP($A164,A:AL,37,FALSE)-50)),"-",(VLOOKUP($A164,'SegEnds_NonXtal_BW#'!$A:$Z,26,FALSE)+VLOOKUP($A164,A:AL,37,FALSE)-50))</f>
        <v>819</v>
      </c>
      <c r="AM164" s="28" t="str">
        <f>VLOOKUP(A164,Classification!A:B,2,FALSE)</f>
        <v>A</v>
      </c>
      <c r="AN164" s="28" t="b">
        <f t="shared" si="100"/>
        <v>1</v>
      </c>
      <c r="AO164" s="3" t="str">
        <f>IF(ISERROR(MATCH(A164,'SegEnds_Xtal_Prot#'!B:B, 0)), "NoXtal", "Xtal")</f>
        <v>NoXtal</v>
      </c>
      <c r="AP164" s="3" t="str">
        <f t="shared" si="83"/>
        <v>-</v>
      </c>
      <c r="AQ164" s="3" t="str">
        <f t="shared" si="84"/>
        <v>-</v>
      </c>
      <c r="AR164" s="3" t="str">
        <f t="shared" si="85"/>
        <v>-</v>
      </c>
      <c r="AS164" s="3" t="str">
        <f t="shared" si="86"/>
        <v>-</v>
      </c>
      <c r="AT164" s="3">
        <f t="shared" si="87"/>
        <v>1</v>
      </c>
      <c r="AU164" s="3">
        <f t="shared" si="88"/>
        <v>1</v>
      </c>
      <c r="AV164" s="3">
        <f t="shared" si="89"/>
        <v>9</v>
      </c>
      <c r="AW164" s="3">
        <f t="shared" si="90"/>
        <v>6</v>
      </c>
      <c r="AX164" s="3">
        <f t="shared" si="91"/>
        <v>6</v>
      </c>
      <c r="AY164" s="3">
        <f t="shared" si="92"/>
        <v>6</v>
      </c>
      <c r="AZ164" s="3">
        <f t="shared" si="93"/>
        <v>1</v>
      </c>
      <c r="BA164" s="3">
        <f>IF(ISERROR(LEN(VLOOKUP(A164,Seqs!A:E,2,FALSE))-AL164),"-",LEN(VLOOKUP(A164,Seqs!A:E,2,FALSE))-AL164)</f>
        <v>132</v>
      </c>
      <c r="BB164" s="16">
        <f t="shared" si="94"/>
        <v>28</v>
      </c>
      <c r="BC164" s="9">
        <f t="shared" si="95"/>
        <v>20</v>
      </c>
      <c r="BD164" s="3">
        <f t="shared" si="96"/>
        <v>28</v>
      </c>
      <c r="BE164" s="3">
        <f t="shared" si="97"/>
        <v>45</v>
      </c>
    </row>
    <row r="165" spans="1:58" s="3" customFormat="1" x14ac:dyDescent="0.2">
      <c r="A165" s="3" t="s">
        <v>284</v>
      </c>
      <c r="B165" s="3" t="str">
        <f>LOWER(VLOOKUP(A165,Xtal_Templ!A:B,2,FALSE))</f>
        <v>aa2ar_human</v>
      </c>
      <c r="C165" s="3">
        <f>VLOOKUP($A165,'SegEnds_NonXtal_BW#'!$A:$Z,3,FALSE)+D165-50</f>
        <v>552</v>
      </c>
      <c r="D165" s="3">
        <v>575</v>
      </c>
      <c r="E165" s="3">
        <f>IF(ISERROR(VLOOKUP($A165,'SegEnds_NonXtal_BW#'!$A:$Z,4,FALSE)+VLOOKUP($A165,A:AL,4,FALSE)-50),"-",(VLOOKUP($A165,'SegEnds_NonXtal_BW#'!$A:$Z,4,FALSE)+VLOOKUP($A165,A:AL,4,FALSE)-50))</f>
        <v>585</v>
      </c>
      <c r="F165" s="3" t="str">
        <f>IF(ISERROR(VLOOKUP($A165,'SegEnds_NonXtal_BW#'!$A:$Z,5,FALSE)+VLOOKUP($A165,A:AL,7,FALSE)-50),"-",(VLOOKUP($A165,'SegEnds_NonXtal_BW#'!$A:$Z,5,FALSE)+VLOOKUP($A165,A:AL,7,FALSE)-50))</f>
        <v>-</v>
      </c>
      <c r="G165" s="3" t="s">
        <v>23</v>
      </c>
      <c r="H165" s="3" t="str">
        <f>IF(ISERROR(VLOOKUP($A165,'SegEnds_NonXtal_BW#'!$A:$Z,6,FALSE)+VLOOKUP($A165,A:AL,7,FALSE)-50),"-",(VLOOKUP($A165,'SegEnds_NonXtal_BW#'!$A:$Z,6,FALSE)+VLOOKUP($A165,A:AL,7,FALSE)-50))</f>
        <v>-</v>
      </c>
      <c r="I165" s="3">
        <f>VLOOKUP($A165,'SegEnds_NonXtal_BW#'!$A:$Z,7,FALSE)+J165-50</f>
        <v>590</v>
      </c>
      <c r="J165" s="3">
        <v>603</v>
      </c>
      <c r="K165" s="3">
        <f>VLOOKUP($A165,'SegEnds_NonXtal_BW#'!$A:$Z,8,FALSE)+VLOOKUP($A165,A:AL,10,FALSE)-50</f>
        <v>620</v>
      </c>
      <c r="L165" s="3" t="str">
        <f>IF(ISERROR(VLOOKUP($A165,'SegEnds_NonXtal_BW#'!$A:$Z,9,FALSE)+VLOOKUP($A165,A:AL,13,FALSE)-50),"-",(VLOOKUP($A165,'SegEnds_NonXtal_BW#'!$A:$Z,9,FALSE)+VLOOKUP($A165,A:AL,13,FALSE)-50))</f>
        <v>-</v>
      </c>
      <c r="M165" s="3" t="s">
        <v>23</v>
      </c>
      <c r="N165" s="3" t="str">
        <f>IF(ISERROR(VLOOKUP($A165,'SegEnds_NonXtal_BW#'!$A:$Z,10,FALSE)+VLOOKUP($A165,A:AL,13,FALSE)-50),"-",(VLOOKUP($A165,'SegEnds_NonXtal_BW#'!$A:$Z,10,FALSE)+VLOOKUP($A165,A:AL,13,FALSE)-50))</f>
        <v>-</v>
      </c>
      <c r="O165" s="3">
        <f>VLOOKUP($A165,'SegEnds_NonXtal_BW#'!$A:$Z,11,FALSE)+VLOOKUP($A165,A:AL,16,FALSE)-50</f>
        <v>630</v>
      </c>
      <c r="P165" s="3">
        <v>662</v>
      </c>
      <c r="Q165" s="3">
        <f>VLOOKUP($A165,'SegEnds_NonXtal_BW#'!$A:$Z,12,FALSE)+VLOOKUP($A165,A:AL,16,FALSE)-50</f>
        <v>668</v>
      </c>
      <c r="R165" s="3">
        <f>IF(ISERROR(VLOOKUP($A165,'SegEnds_NonXtal_BW#'!$A:$Z,13,FALSE)+VLOOKUP($A165,A:AL,19,FALSE)-50),"-",VLOOKUP($A165,'SegEnds_NonXtal_BW#'!$A:$Z,13,FALSE)+VLOOKUP($A165,A:AL,19,FALSE)-50)</f>
        <v>669</v>
      </c>
      <c r="S165" s="3">
        <v>669</v>
      </c>
      <c r="T165" s="103">
        <f>IF(ISERROR(VLOOKUP($A165,'SegEnds_NonXtal_BW#'!$A:$Z,14,FALSE)+VLOOKUP($A165,A:AL,19,FALSE)-50),"-",(VLOOKUP($A165,'SegEnds_NonXtal_BW#'!$A:$Z,14,FALSE)+VLOOKUP($A165,A:AL,19,FALSE)-50))</f>
        <v>676</v>
      </c>
      <c r="U165" s="9">
        <f>IF(ISERROR(VLOOKUP($A165,'SegEnds_NonXtal_BW#'!$A:$Z,15,FALSE)+VLOOKUP($A165,A:AL,22,FALSE)-50),"-",VLOOKUP($A165,'SegEnds_NonXtal_BW#'!$A:$Z,15,FALSE)+VLOOKUP($A165,A:AL,22,FALSE)-50)</f>
        <v>677</v>
      </c>
      <c r="V165" s="3">
        <v>689</v>
      </c>
      <c r="W165" s="3">
        <f>IF(ISERROR(VLOOKUP($A165,'SegEnds_NonXtal_BW#'!$A:$Z,16,FALSE)+VLOOKUP($A165,A:AL,22,FALSE)-50),"-",(VLOOKUP($A165,'SegEnds_NonXtal_BW#'!$A:$Z,16,FALSE)+VLOOKUP($A165,A:AL,22,FALSE)-50))</f>
        <v>702</v>
      </c>
      <c r="X165" s="3">
        <f>IF(ISERROR(VLOOKUP($A165,'SegEnds_NonXtal_BW#'!$A:$Z,17,FALSE)+VLOOKUP($A165,A:AL,25,FALSE)-50),"-",(VLOOKUP($A165,'SegEnds_NonXtal_BW#'!$A:$Z,17,FALSE)+VLOOKUP($A165,A:AL,25,FALSE)-50))</f>
        <v>712</v>
      </c>
      <c r="Y165" s="3">
        <v>712</v>
      </c>
      <c r="Z165" s="3">
        <f t="shared" si="105"/>
        <v>714</v>
      </c>
      <c r="AA165" s="3">
        <f>IF(ISERROR(VLOOKUP($A165,'SegEnds_NonXtal_BW#'!$A:$Z,19,FALSE)+VLOOKUP($A165,A:AL,28,FALSE)-50),"-",(VLOOKUP($A165,'SegEnds_NonXtal_BW#'!$A:$Z,19,FALSE)+VLOOKUP($A165,A:AL,28,FALSE)-50))</f>
        <v>720</v>
      </c>
      <c r="AB165" s="3">
        <v>736</v>
      </c>
      <c r="AC165" s="3">
        <f>IF(ISERROR((VLOOKUP($A165,'SegEnds_NonXtal_BW#'!$A:$Z,20,FALSE)+VLOOKUP($A165,A:AL,28,FALSE)-50)),"-",(VLOOKUP($A165,'SegEnds_NonXtal_BW#'!$A:$Z,20,FALSE)+VLOOKUP($A165,A:AL,28,FALSE)-50))</f>
        <v>753</v>
      </c>
      <c r="AD165" s="3">
        <f>IF(ISERROR(VLOOKUP($A165,'SegEnds_NonXtal_BW#'!$A:$Z,21,FALSE)+VLOOKUP($A165,A:AL,31,FALSE)-50),"-",(VLOOKUP($A165,'SegEnds_NonXtal_BW#'!$A:$Z,21,FALSE)+VLOOKUP($A165,A:AL,31,FALSE)-50))</f>
        <v>759</v>
      </c>
      <c r="AE165" s="3">
        <v>781</v>
      </c>
      <c r="AF165" s="3">
        <f>IF(ISERROR((VLOOKUP($A165,'SegEnds_NonXtal_BW#'!$A:$Z,22,FALSE)+VLOOKUP($A165,A:AL,31,FALSE)-50)),"-",(VLOOKUP($A165,'SegEnds_NonXtal_BW#'!$A:$Z,22,FALSE)+VLOOKUP($A165,A:AL,31,FALSE)-50))</f>
        <v>792</v>
      </c>
      <c r="AG165" s="3">
        <f>IF(ISERROR(VLOOKUP($A165,'SegEnds_NonXtal_BW#'!$A:$Z,23,FALSE)+VLOOKUP($A165,A:AL,34,FALSE)-50),"-",(VLOOKUP($A165,'SegEnds_NonXtal_BW#'!$A:$Z,23,FALSE)+VLOOKUP($A165,A:AL,34,FALSE)-50))</f>
        <v>798</v>
      </c>
      <c r="AH165" s="3">
        <v>817</v>
      </c>
      <c r="AI165" s="3">
        <f>IF(ISERROR((VLOOKUP($A165,'SegEnds_NonXtal_BW#'!$A:$Z,24,FALSE)+VLOOKUP($A165,A:AL,34,FALSE)-50)),"-",(VLOOKUP($A165,'SegEnds_NonXtal_BW#'!$A:$Z,24,FALSE)+VLOOKUP($A165,A:AL,34,FALSE)-50))</f>
        <v>823</v>
      </c>
      <c r="AJ165" s="3">
        <f>IF(ISERROR(VLOOKUP($A165,'SegEnds_NonXtal_BW#'!$A:$Z,25,FALSE)+VLOOKUP($A165,A:AL,37,FALSE)-50),"-",(VLOOKUP($A165,'SegEnds_NonXtal_BW#'!$A:$Z,25,FALSE)+VLOOKUP($A165,A:AL,37,FALSE)-50))</f>
        <v>824</v>
      </c>
      <c r="AK165" s="3">
        <v>827</v>
      </c>
      <c r="AL165" s="3">
        <f>IF(ISERROR((VLOOKUP($A165,'SegEnds_NonXtal_BW#'!$A:$Z,26,FALSE)+VLOOKUP($A165,A:AL,37,FALSE)-50)),"-",(VLOOKUP($A165,'SegEnds_NonXtal_BW#'!$A:$Z,26,FALSE)+VLOOKUP($A165,A:AL,37,FALSE)-50))</f>
        <v>846</v>
      </c>
      <c r="AM165" s="28" t="str">
        <f>VLOOKUP(A165,Classification!A:B,2,FALSE)</f>
        <v>A</v>
      </c>
      <c r="AN165" s="28" t="b">
        <f t="shared" si="100"/>
        <v>1</v>
      </c>
      <c r="AO165" s="3" t="str">
        <f>IF(ISERROR(MATCH(A165,'SegEnds_Xtal_Prot#'!B:B, 0)), "NoXtal", "Xtal")</f>
        <v>NoXtal</v>
      </c>
      <c r="AP165" s="3" t="str">
        <f t="shared" si="83"/>
        <v>-</v>
      </c>
      <c r="AQ165" s="3" t="str">
        <f t="shared" si="84"/>
        <v>-</v>
      </c>
      <c r="AR165" s="3" t="str">
        <f t="shared" si="85"/>
        <v>-</v>
      </c>
      <c r="AS165" s="3" t="str">
        <f t="shared" si="86"/>
        <v>-</v>
      </c>
      <c r="AT165" s="3">
        <f t="shared" si="87"/>
        <v>1</v>
      </c>
      <c r="AU165" s="3">
        <f t="shared" si="88"/>
        <v>1</v>
      </c>
      <c r="AV165" s="3">
        <f t="shared" si="89"/>
        <v>10</v>
      </c>
      <c r="AW165" s="3">
        <f t="shared" si="90"/>
        <v>6</v>
      </c>
      <c r="AX165" s="3">
        <f t="shared" si="91"/>
        <v>6</v>
      </c>
      <c r="AY165" s="3">
        <f t="shared" si="92"/>
        <v>6</v>
      </c>
      <c r="AZ165" s="3">
        <f t="shared" si="93"/>
        <v>1</v>
      </c>
      <c r="BA165" s="3">
        <f>IF(ISERROR(LEN(VLOOKUP(A165,Seqs!A:E,2,FALSE))-AL165),"-",LEN(VLOOKUP(A165,Seqs!A:E,2,FALSE))-AL165)</f>
        <v>61</v>
      </c>
      <c r="BB165" s="16">
        <f t="shared" si="94"/>
        <v>28</v>
      </c>
      <c r="BC165" s="9">
        <f t="shared" si="95"/>
        <v>20</v>
      </c>
      <c r="BD165" s="3">
        <f t="shared" si="96"/>
        <v>28</v>
      </c>
      <c r="BE165" s="3">
        <f t="shared" si="97"/>
        <v>45</v>
      </c>
    </row>
    <row r="166" spans="1:58" s="3" customFormat="1" x14ac:dyDescent="0.2">
      <c r="A166" s="3" t="s">
        <v>285</v>
      </c>
      <c r="B166" s="3" t="str">
        <f>LOWER(VLOOKUP(A166,Xtal_Templ!A:B,2,FALSE))</f>
        <v>adrb2_human</v>
      </c>
      <c r="C166" s="3">
        <f>VLOOKUP($A166,'SegEnds_NonXtal_BW#'!$A:$Z,3,FALSE)+D166-50</f>
        <v>554</v>
      </c>
      <c r="D166" s="3">
        <v>579</v>
      </c>
      <c r="E166" s="3">
        <f>IF(ISERROR(VLOOKUP($A166,'SegEnds_NonXtal_BW#'!$A:$Z,4,FALSE)+VLOOKUP($A166,A:AL,4,FALSE)-50),"-",(VLOOKUP($A166,'SegEnds_NonXtal_BW#'!$A:$Z,4,FALSE)+VLOOKUP($A166,A:AL,4,FALSE)-50))</f>
        <v>589</v>
      </c>
      <c r="F166" s="3" t="str">
        <f>IF(ISERROR(VLOOKUP($A166,'SegEnds_NonXtal_BW#'!$A:$Z,5,FALSE)+VLOOKUP($A166,A:AL,7,FALSE)-50),"-",(VLOOKUP($A166,'SegEnds_NonXtal_BW#'!$A:$Z,5,FALSE)+VLOOKUP($A166,A:AL,7,FALSE)-50))</f>
        <v>-</v>
      </c>
      <c r="G166" s="3" t="s">
        <v>23</v>
      </c>
      <c r="H166" s="3" t="str">
        <f>IF(ISERROR(VLOOKUP($A166,'SegEnds_NonXtal_BW#'!$A:$Z,6,FALSE)+VLOOKUP($A166,A:AL,7,FALSE)-50),"-",(VLOOKUP($A166,'SegEnds_NonXtal_BW#'!$A:$Z,6,FALSE)+VLOOKUP($A166,A:AL,7,FALSE)-50))</f>
        <v>-</v>
      </c>
      <c r="I166" s="3">
        <f>VLOOKUP($A166,'SegEnds_NonXtal_BW#'!$A:$Z,7,FALSE)+J166-50</f>
        <v>595</v>
      </c>
      <c r="J166" s="3">
        <v>608</v>
      </c>
      <c r="K166" s="3">
        <f>VLOOKUP($A166,'SegEnds_NonXtal_BW#'!$A:$Z,8,FALSE)+VLOOKUP($A166,A:AL,10,FALSE)-50</f>
        <v>625</v>
      </c>
      <c r="L166" s="3" t="str">
        <f>IF(ISERROR(VLOOKUP($A166,'SegEnds_NonXtal_BW#'!$A:$Z,9,FALSE)+VLOOKUP($A166,A:AL,13,FALSE)-50),"-",(VLOOKUP($A166,'SegEnds_NonXtal_BW#'!$A:$Z,9,FALSE)+VLOOKUP($A166,A:AL,13,FALSE)-50))</f>
        <v>-</v>
      </c>
      <c r="M166" s="3" t="s">
        <v>23</v>
      </c>
      <c r="N166" s="3" t="str">
        <f>IF(ISERROR(VLOOKUP($A166,'SegEnds_NonXtal_BW#'!$A:$Z,10,FALSE)+VLOOKUP($A166,A:AL,13,FALSE)-50),"-",(VLOOKUP($A166,'SegEnds_NonXtal_BW#'!$A:$Z,10,FALSE)+VLOOKUP($A166,A:AL,13,FALSE)-50))</f>
        <v>-</v>
      </c>
      <c r="O166" s="3">
        <f>VLOOKUP($A166,'SegEnds_NonXtal_BW#'!$A:$Z,11,FALSE)+VLOOKUP($A166,A:AL,16,FALSE)-50</f>
        <v>635</v>
      </c>
      <c r="P166" s="3">
        <v>667</v>
      </c>
      <c r="Q166" s="3">
        <f>VLOOKUP($A166,'SegEnds_NonXtal_BW#'!$A:$Z,12,FALSE)+VLOOKUP($A166,A:AL,16,FALSE)-50</f>
        <v>673</v>
      </c>
      <c r="R166" s="3">
        <f>IF(ISERROR(VLOOKUP($A166,'SegEnds_NonXtal_BW#'!$A:$Z,13,FALSE)+VLOOKUP($A166,A:AL,19,FALSE)-50),"-",VLOOKUP($A166,'SegEnds_NonXtal_BW#'!$A:$Z,13,FALSE)+VLOOKUP($A166,A:AL,19,FALSE)-50)</f>
        <v>674</v>
      </c>
      <c r="S166" s="3">
        <v>674</v>
      </c>
      <c r="T166" s="103">
        <f>IF(ISERROR(VLOOKUP($A166,'SegEnds_NonXtal_BW#'!$A:$Z,14,FALSE)+VLOOKUP($A166,A:AL,19,FALSE)-50),"-",(VLOOKUP($A166,'SegEnds_NonXtal_BW#'!$A:$Z,14,FALSE)+VLOOKUP($A166,A:AL,19,FALSE)-50))</f>
        <v>681</v>
      </c>
      <c r="U166" s="9">
        <f>IF(ISERROR(VLOOKUP($A166,'SegEnds_NonXtal_BW#'!$A:$Z,15,FALSE)+VLOOKUP($A166,A:AL,22,FALSE)-50),"-",VLOOKUP($A166,'SegEnds_NonXtal_BW#'!$A:$Z,15,FALSE)+VLOOKUP($A166,A:AL,22,FALSE)-50)</f>
        <v>682</v>
      </c>
      <c r="V166" s="3">
        <v>694</v>
      </c>
      <c r="W166" s="3">
        <f>IF(ISERROR(VLOOKUP($A166,'SegEnds_NonXtal_BW#'!$A:$Z,16,FALSE)+VLOOKUP($A166,A:AL,22,FALSE)-50),"-",(VLOOKUP($A166,'SegEnds_NonXtal_BW#'!$A:$Z,16,FALSE)+VLOOKUP($A166,A:AL,22,FALSE)-50))</f>
        <v>708</v>
      </c>
      <c r="X166" s="3">
        <f>IF(ISERROR(VLOOKUP($A166,'SegEnds_NonXtal_BW#'!$A:$Z,17,FALSE)+VLOOKUP($A166,A:AL,25,FALSE)-50),"-",(VLOOKUP($A166,'SegEnds_NonXtal_BW#'!$A:$Z,17,FALSE)+VLOOKUP($A166,A:AL,25,FALSE)-50))</f>
        <v>717</v>
      </c>
      <c r="Y166" s="3">
        <v>717</v>
      </c>
      <c r="Z166" s="3">
        <f t="shared" si="105"/>
        <v>719</v>
      </c>
      <c r="AA166" s="3">
        <f>IF(ISERROR(VLOOKUP($A166,'SegEnds_NonXtal_BW#'!$A:$Z,19,FALSE)+VLOOKUP($A166,A:AL,28,FALSE)-50),"-",(VLOOKUP($A166,'SegEnds_NonXtal_BW#'!$A:$Z,19,FALSE)+VLOOKUP($A166,A:AL,28,FALSE)-50))</f>
        <v>728</v>
      </c>
      <c r="AB166" s="3">
        <v>743</v>
      </c>
      <c r="AC166" s="3">
        <f>IF(ISERROR((VLOOKUP($A166,'SegEnds_NonXtal_BW#'!$A:$Z,20,FALSE)+VLOOKUP($A166,A:AL,28,FALSE)-50)),"-",(VLOOKUP($A166,'SegEnds_NonXtal_BW#'!$A:$Z,20,FALSE)+VLOOKUP($A166,A:AL,28,FALSE)-50))</f>
        <v>760</v>
      </c>
      <c r="AD166" s="3">
        <f>IF(ISERROR(VLOOKUP($A166,'SegEnds_NonXtal_BW#'!$A:$Z,21,FALSE)+VLOOKUP($A166,A:AL,31,FALSE)-50),"-",(VLOOKUP($A166,'SegEnds_NonXtal_BW#'!$A:$Z,21,FALSE)+VLOOKUP($A166,A:AL,31,FALSE)-50))</f>
        <v>766</v>
      </c>
      <c r="AE166" s="3">
        <v>788</v>
      </c>
      <c r="AF166" s="3">
        <f>IF(ISERROR((VLOOKUP($A166,'SegEnds_NonXtal_BW#'!$A:$Z,22,FALSE)+VLOOKUP($A166,A:AL,31,FALSE)-50)),"-",(VLOOKUP($A166,'SegEnds_NonXtal_BW#'!$A:$Z,22,FALSE)+VLOOKUP($A166,A:AL,31,FALSE)-50))</f>
        <v>799</v>
      </c>
      <c r="AG166" s="3">
        <f>IF(ISERROR(VLOOKUP($A166,'SegEnds_NonXtal_BW#'!$A:$Z,23,FALSE)+VLOOKUP($A166,A:AL,34,FALSE)-50),"-",(VLOOKUP($A166,'SegEnds_NonXtal_BW#'!$A:$Z,23,FALSE)+VLOOKUP($A166,A:AL,34,FALSE)-50))</f>
        <v>805</v>
      </c>
      <c r="AH166" s="3">
        <v>824</v>
      </c>
      <c r="AI166" s="3">
        <f>IF(ISERROR((VLOOKUP($A166,'SegEnds_NonXtal_BW#'!$A:$Z,24,FALSE)+VLOOKUP($A166,A:AL,34,FALSE)-50)),"-",(VLOOKUP($A166,'SegEnds_NonXtal_BW#'!$A:$Z,24,FALSE)+VLOOKUP($A166,A:AL,34,FALSE)-50))</f>
        <v>829</v>
      </c>
      <c r="AJ166" s="3">
        <f>IF(ISERROR(VLOOKUP($A166,'SegEnds_NonXtal_BW#'!$A:$Z,25,FALSE)+VLOOKUP($A166,A:AL,37,FALSE)-50),"-",(VLOOKUP($A166,'SegEnds_NonXtal_BW#'!$A:$Z,25,FALSE)+VLOOKUP($A166,A:AL,37,FALSE)-50))</f>
        <v>831</v>
      </c>
      <c r="AK166" s="3">
        <v>834</v>
      </c>
      <c r="AL166" s="3">
        <f>IF(ISERROR((VLOOKUP($A166,'SegEnds_NonXtal_BW#'!$A:$Z,26,FALSE)+VLOOKUP($A166,A:AL,37,FALSE)-50)),"-",(VLOOKUP($A166,'SegEnds_NonXtal_BW#'!$A:$Z,26,FALSE)+VLOOKUP($A166,A:AL,37,FALSE)-50))</f>
        <v>843</v>
      </c>
      <c r="AM166" s="28" t="str">
        <f>VLOOKUP(A166,Classification!A:B,2,FALSE)</f>
        <v>A</v>
      </c>
      <c r="AN166" s="28" t="b">
        <f t="shared" si="100"/>
        <v>1</v>
      </c>
      <c r="AO166" s="3" t="str">
        <f>IF(ISERROR(MATCH(A166,'SegEnds_Xtal_Prot#'!B:B, 0)), "NoXtal", "Xtal")</f>
        <v>NoXtal</v>
      </c>
      <c r="AP166" s="3" t="str">
        <f t="shared" si="83"/>
        <v>-</v>
      </c>
      <c r="AQ166" s="3" t="str">
        <f t="shared" si="84"/>
        <v>-</v>
      </c>
      <c r="AR166" s="3" t="str">
        <f t="shared" si="85"/>
        <v>-</v>
      </c>
      <c r="AS166" s="3" t="str">
        <f t="shared" si="86"/>
        <v>-</v>
      </c>
      <c r="AT166" s="3">
        <f t="shared" si="87"/>
        <v>1</v>
      </c>
      <c r="AU166" s="3">
        <f t="shared" si="88"/>
        <v>1</v>
      </c>
      <c r="AV166" s="3">
        <f t="shared" si="89"/>
        <v>9</v>
      </c>
      <c r="AW166" s="3">
        <f t="shared" si="90"/>
        <v>9</v>
      </c>
      <c r="AX166" s="3">
        <f t="shared" si="91"/>
        <v>6</v>
      </c>
      <c r="AY166" s="3">
        <f t="shared" si="92"/>
        <v>6</v>
      </c>
      <c r="AZ166" s="3">
        <f t="shared" si="93"/>
        <v>2</v>
      </c>
      <c r="BA166" s="3">
        <f>IF(ISERROR(LEN(VLOOKUP(A166,Seqs!A:E,2,FALSE))-AL166),"-",LEN(VLOOKUP(A166,Seqs!A:E,2,FALSE))-AL166)</f>
        <v>124</v>
      </c>
      <c r="BB166" s="16">
        <f t="shared" si="94"/>
        <v>29</v>
      </c>
      <c r="BC166" s="9">
        <f t="shared" si="95"/>
        <v>20</v>
      </c>
      <c r="BD166" s="3">
        <f t="shared" si="96"/>
        <v>29</v>
      </c>
      <c r="BE166" s="3">
        <f t="shared" si="97"/>
        <v>45</v>
      </c>
    </row>
    <row r="167" spans="1:58" s="3" customFormat="1" x14ac:dyDescent="0.2">
      <c r="A167" s="3" t="s">
        <v>288</v>
      </c>
      <c r="B167" s="3" t="str">
        <f>LOWER(VLOOKUP(A167,Xtal_Templ!A:B,2,FALSE))</f>
        <v>oprk_human</v>
      </c>
      <c r="C167" s="3">
        <f>VLOOKUP($A167,'SegEnds_NonXtal_BW#'!$A:$Z,3,FALSE)+D167-50</f>
        <v>37</v>
      </c>
      <c r="D167" s="3">
        <v>57</v>
      </c>
      <c r="E167" s="3">
        <f>IF(ISERROR(VLOOKUP($A167,'SegEnds_NonXtal_BW#'!$A:$Z,4,FALSE)+VLOOKUP($A167,A:AL,4,FALSE)-50),"-",(VLOOKUP($A167,'SegEnds_NonXtal_BW#'!$A:$Z,4,FALSE)+VLOOKUP($A167,A:AL,4,FALSE)-50))</f>
        <v>67</v>
      </c>
      <c r="F167" s="3">
        <f t="shared" ref="F167:F172" si="107">G167-2</f>
        <v>68</v>
      </c>
      <c r="G167" s="3">
        <v>70</v>
      </c>
      <c r="H167" s="3">
        <f t="shared" ref="H167:I172" si="108">G167+1</f>
        <v>71</v>
      </c>
      <c r="I167" s="3">
        <f t="shared" si="108"/>
        <v>72</v>
      </c>
      <c r="J167" s="3">
        <v>85</v>
      </c>
      <c r="K167" s="3">
        <f>VLOOKUP($A167,'SegEnds_NonXtal_BW#'!$A:$Z,8,FALSE)+VLOOKUP($A167,A:AL,10,FALSE)-50</f>
        <v>101</v>
      </c>
      <c r="L167" s="3">
        <f t="shared" ref="L167:L172" si="109">M167-1</f>
        <v>103</v>
      </c>
      <c r="M167" s="3">
        <v>104</v>
      </c>
      <c r="N167" s="3">
        <f t="shared" ref="N167:N172" si="110">M167+2</f>
        <v>106</v>
      </c>
      <c r="O167" s="3">
        <f t="shared" ref="O167:O172" si="111">N167+1</f>
        <v>107</v>
      </c>
      <c r="P167" s="3">
        <v>136</v>
      </c>
      <c r="Q167" s="3">
        <f>VLOOKUP($A167,'SegEnds_NonXtal_BW#'!$A:$Z,12,FALSE)+VLOOKUP($A167,A:AL,16,FALSE)-50</f>
        <v>142</v>
      </c>
      <c r="R167" s="3">
        <f>IF(ISERROR(VLOOKUP($A167,'SegEnds_NonXtal_BW#'!$A:$Z,13,FALSE)+VLOOKUP($A167,A:AL,19,FALSE)-50),"-",VLOOKUP($A167,'SegEnds_NonXtal_BW#'!$A:$Z,13,FALSE)+VLOOKUP($A167,A:AL,19,FALSE)-50)</f>
        <v>143</v>
      </c>
      <c r="S167" s="3">
        <v>143</v>
      </c>
      <c r="T167" s="103">
        <f>IF(ISERROR(VLOOKUP($A167,'SegEnds_NonXtal_BW#'!$A:$Z,14,FALSE)+VLOOKUP($A167,A:AL,19,FALSE)-50),"-",(VLOOKUP($A167,'SegEnds_NonXtal_BW#'!$A:$Z,14,FALSE)+VLOOKUP($A167,A:AL,19,FALSE)-50))</f>
        <v>150</v>
      </c>
      <c r="U167" s="9">
        <f>IF(ISERROR(VLOOKUP($A167,'SegEnds_NonXtal_BW#'!$A:$Z,15,FALSE)+VLOOKUP($A167,A:AL,22,FALSE)-50),"-",VLOOKUP($A167,'SegEnds_NonXtal_BW#'!$A:$Z,15,FALSE)+VLOOKUP($A167,A:AL,22,FALSE)-50)</f>
        <v>151</v>
      </c>
      <c r="V167" s="3">
        <v>163</v>
      </c>
      <c r="W167" s="3">
        <f>IF(ISERROR(VLOOKUP($A167,'SegEnds_NonXtal_BW#'!$A:$Z,16,FALSE)+VLOOKUP($A167,A:AL,22,FALSE)-50),"-",(VLOOKUP($A167,'SegEnds_NonXtal_BW#'!$A:$Z,16,FALSE)+VLOOKUP($A167,A:AL,22,FALSE)-50))</f>
        <v>177</v>
      </c>
      <c r="X167" s="3">
        <f>IF(ISERROR(VLOOKUP($A167,'SegEnds_NonXtal_BW#'!$A:$Z,17,FALSE)+VLOOKUP($A167,A:AL,25,FALSE)-50),"-",(VLOOKUP($A167,'SegEnds_NonXtal_BW#'!$A:$Z,17,FALSE)+VLOOKUP($A167,A:AL,25,FALSE)-50))</f>
        <v>188</v>
      </c>
      <c r="Y167" s="3">
        <v>188</v>
      </c>
      <c r="Z167" s="3">
        <f t="shared" si="105"/>
        <v>190</v>
      </c>
      <c r="AA167" s="3">
        <f>IF(ISERROR(VLOOKUP($A167,'SegEnds_NonXtal_BW#'!$A:$Z,19,FALSE)+VLOOKUP($A167,A:AL,28,FALSE)-50),"-",(VLOOKUP($A167,'SegEnds_NonXtal_BW#'!$A:$Z,19,FALSE)+VLOOKUP($A167,A:AL,28,FALSE)-50))</f>
        <v>197</v>
      </c>
      <c r="AB167" s="3">
        <v>216</v>
      </c>
      <c r="AC167" s="3">
        <f>IF(ISERROR((VLOOKUP($A167,'SegEnds_NonXtal_BW#'!$A:$Z,20,FALSE)+VLOOKUP($A167,A:AL,28,FALSE)-50)),"-",(VLOOKUP($A167,'SegEnds_NonXtal_BW#'!$A:$Z,20,FALSE)+VLOOKUP($A167,A:AL,28,FALSE)-50))</f>
        <v>234</v>
      </c>
      <c r="AD167" s="3">
        <f>IF(ISERROR(VLOOKUP($A167,'SegEnds_NonXtal_BW#'!$A:$Z,21,FALSE)+VLOOKUP($A167,A:AL,31,FALSE)-50),"-",(VLOOKUP($A167,'SegEnds_NonXtal_BW#'!$A:$Z,21,FALSE)+VLOOKUP($A167,A:AL,31,FALSE)-50))</f>
        <v>238</v>
      </c>
      <c r="AE167" s="3">
        <v>264</v>
      </c>
      <c r="AF167" s="3">
        <f>IF(ISERROR((VLOOKUP($A167,'SegEnds_NonXtal_BW#'!$A:$Z,22,FALSE)+VLOOKUP($A167,A:AL,31,FALSE)-50)),"-",(VLOOKUP($A167,'SegEnds_NonXtal_BW#'!$A:$Z,22,FALSE)+VLOOKUP($A167,A:AL,31,FALSE)-50))</f>
        <v>278</v>
      </c>
      <c r="AG167" s="3">
        <f>IF(ISERROR(VLOOKUP($A167,'SegEnds_NonXtal_BW#'!$A:$Z,23,FALSE)+VLOOKUP($A167,A:AL,34,FALSE)-50),"-",(VLOOKUP($A167,'SegEnds_NonXtal_BW#'!$A:$Z,23,FALSE)+VLOOKUP($A167,A:AL,34,FALSE)-50))</f>
        <v>282</v>
      </c>
      <c r="AH167" s="3">
        <v>308</v>
      </c>
      <c r="AI167" s="3">
        <f>IF(ISERROR((VLOOKUP($A167,'SegEnds_NonXtal_BW#'!$A:$Z,24,FALSE)+VLOOKUP($A167,A:AL,34,FALSE)-50)),"-",(VLOOKUP($A167,'SegEnds_NonXtal_BW#'!$A:$Z,24,FALSE)+VLOOKUP($A167,A:AL,34,FALSE)-50))</f>
        <v>314</v>
      </c>
      <c r="AJ167" s="3">
        <f>IF(ISERROR(VLOOKUP($A167,'SegEnds_NonXtal_BW#'!$A:$Z,25,FALSE)+VLOOKUP($A167,A:AL,37,FALSE)-50),"-",(VLOOKUP($A167,'SegEnds_NonXtal_BW#'!$A:$Z,25,FALSE)+VLOOKUP($A167,A:AL,37,FALSE)-50))</f>
        <v>315</v>
      </c>
      <c r="AK167" s="3">
        <v>318</v>
      </c>
      <c r="AL167" s="3">
        <f>IF(ISERROR((VLOOKUP($A167,'SegEnds_NonXtal_BW#'!$A:$Z,26,FALSE)+VLOOKUP($A167,A:AL,37,FALSE)-50)),"-",(VLOOKUP($A167,'SegEnds_NonXtal_BW#'!$A:$Z,26,FALSE)+VLOOKUP($A167,A:AL,37,FALSE)-50))</f>
        <v>327</v>
      </c>
      <c r="AM167" s="28" t="str">
        <f>VLOOKUP(A167,Classification!A:B,2,FALSE)</f>
        <v>A</v>
      </c>
      <c r="AN167" s="28" t="b">
        <f t="shared" si="100"/>
        <v>1</v>
      </c>
      <c r="AO167" s="3" t="str">
        <f>IF(ISERROR(MATCH(A167,'SegEnds_Xtal_Prot#'!B:B, 0)), "NoXtal", "Xtal")</f>
        <v>NoXtal</v>
      </c>
      <c r="AP167" s="3">
        <f t="shared" si="83"/>
        <v>1</v>
      </c>
      <c r="AQ167" s="3">
        <f t="shared" si="84"/>
        <v>1</v>
      </c>
      <c r="AR167" s="3">
        <f t="shared" si="85"/>
        <v>2</v>
      </c>
      <c r="AS167" s="3">
        <f t="shared" si="86"/>
        <v>1</v>
      </c>
      <c r="AT167" s="3">
        <f t="shared" si="87"/>
        <v>1</v>
      </c>
      <c r="AU167" s="3">
        <f t="shared" si="88"/>
        <v>1</v>
      </c>
      <c r="AV167" s="3">
        <f t="shared" si="89"/>
        <v>11</v>
      </c>
      <c r="AW167" s="3">
        <f t="shared" si="90"/>
        <v>7</v>
      </c>
      <c r="AX167" s="3">
        <f t="shared" si="91"/>
        <v>4</v>
      </c>
      <c r="AY167" s="3">
        <f t="shared" si="92"/>
        <v>4</v>
      </c>
      <c r="AZ167" s="3">
        <f t="shared" si="93"/>
        <v>1</v>
      </c>
      <c r="BA167" s="3">
        <f>IF(ISERROR(LEN(VLOOKUP(A167,Seqs!A:E,2,FALSE))-AL167),"-",LEN(VLOOKUP(A167,Seqs!A:E,2,FALSE))-AL167)</f>
        <v>43</v>
      </c>
      <c r="BB167" s="16">
        <f t="shared" si="94"/>
        <v>28</v>
      </c>
      <c r="BC167" s="9">
        <f t="shared" si="95"/>
        <v>20</v>
      </c>
      <c r="BD167" s="3">
        <f t="shared" si="96"/>
        <v>28</v>
      </c>
      <c r="BE167" s="3">
        <f t="shared" si="97"/>
        <v>48</v>
      </c>
    </row>
    <row r="168" spans="1:58" s="3" customFormat="1" x14ac:dyDescent="0.2">
      <c r="A168" s="3" t="s">
        <v>289</v>
      </c>
      <c r="B168" s="3" t="str">
        <f>LOWER(VLOOKUP(A168,Xtal_Templ!A:B,2,FALSE))</f>
        <v>par2_human</v>
      </c>
      <c r="C168" s="3">
        <f>VLOOKUP($A168,'SegEnds_NonXtal_BW#'!$A:$Z,3,FALSE)+D168-50</f>
        <v>18</v>
      </c>
      <c r="D168" s="3">
        <v>40</v>
      </c>
      <c r="E168" s="3">
        <f>IF(ISERROR(VLOOKUP($A168,'SegEnds_NonXtal_BW#'!$A:$Z,4,FALSE)+VLOOKUP($A168,A:AL,4,FALSE)-50),"-",(VLOOKUP($A168,'SegEnds_NonXtal_BW#'!$A:$Z,4,FALSE)+VLOOKUP($A168,A:AL,4,FALSE)-50))</f>
        <v>50</v>
      </c>
      <c r="F168" s="3">
        <f t="shared" si="107"/>
        <v>51</v>
      </c>
      <c r="G168" s="3">
        <v>53</v>
      </c>
      <c r="H168" s="3">
        <f t="shared" si="108"/>
        <v>54</v>
      </c>
      <c r="I168" s="3">
        <f t="shared" si="108"/>
        <v>55</v>
      </c>
      <c r="J168" s="3">
        <v>68</v>
      </c>
      <c r="K168" s="3">
        <f>VLOOKUP($A168,'SegEnds_NonXtal_BW#'!$A:$Z,8,FALSE)+VLOOKUP($A168,A:AL,10,FALSE)-50</f>
        <v>84</v>
      </c>
      <c r="L168" s="3">
        <f t="shared" si="109"/>
        <v>86</v>
      </c>
      <c r="M168" s="3">
        <v>87</v>
      </c>
      <c r="N168" s="3">
        <f t="shared" si="110"/>
        <v>89</v>
      </c>
      <c r="O168" s="3">
        <f t="shared" si="111"/>
        <v>90</v>
      </c>
      <c r="P168" s="3">
        <v>119</v>
      </c>
      <c r="Q168" s="3">
        <f>VLOOKUP($A168,'SegEnds_NonXtal_BW#'!$A:$Z,12,FALSE)+VLOOKUP($A168,A:AL,16,FALSE)-50</f>
        <v>125</v>
      </c>
      <c r="R168" s="3">
        <f>IF(ISERROR(VLOOKUP($A168,'SegEnds_NonXtal_BW#'!$A:$Z,13,FALSE)+VLOOKUP($A168,A:AL,19,FALSE)-50),"-",VLOOKUP($A168,'SegEnds_NonXtal_BW#'!$A:$Z,13,FALSE)+VLOOKUP($A168,A:AL,19,FALSE)-50)</f>
        <v>126</v>
      </c>
      <c r="S168" s="3">
        <v>126</v>
      </c>
      <c r="T168" s="103">
        <f>IF(ISERROR(VLOOKUP($A168,'SegEnds_NonXtal_BW#'!$A:$Z,14,FALSE)+VLOOKUP($A168,A:AL,19,FALSE)-50),"-",(VLOOKUP($A168,'SegEnds_NonXtal_BW#'!$A:$Z,14,FALSE)+VLOOKUP($A168,A:AL,19,FALSE)-50))</f>
        <v>133</v>
      </c>
      <c r="U168" s="9">
        <f>IF(ISERROR(VLOOKUP($A168,'SegEnds_NonXtal_BW#'!$A:$Z,15,FALSE)+VLOOKUP($A168,A:AL,22,FALSE)-50),"-",VLOOKUP($A168,'SegEnds_NonXtal_BW#'!$A:$Z,15,FALSE)+VLOOKUP($A168,A:AL,22,FALSE)-50)</f>
        <v>134</v>
      </c>
      <c r="V168" s="3">
        <v>146</v>
      </c>
      <c r="W168" s="3">
        <f>IF(ISERROR(VLOOKUP($A168,'SegEnds_NonXtal_BW#'!$A:$Z,16,FALSE)+VLOOKUP($A168,A:AL,22,FALSE)-50),"-",(VLOOKUP($A168,'SegEnds_NonXtal_BW#'!$A:$Z,16,FALSE)+VLOOKUP($A168,A:AL,22,FALSE)-50))</f>
        <v>158</v>
      </c>
      <c r="X168" s="3">
        <f>IF(ISERROR(VLOOKUP($A168,'SegEnds_NonXtal_BW#'!$A:$Z,17,FALSE)+VLOOKUP($A168,A:AL,25,FALSE)-50),"-",(VLOOKUP($A168,'SegEnds_NonXtal_BW#'!$A:$Z,17,FALSE)+VLOOKUP($A168,A:AL,25,FALSE)-50))</f>
        <v>175</v>
      </c>
      <c r="Y168" s="3">
        <v>175</v>
      </c>
      <c r="Z168" s="3">
        <f t="shared" si="105"/>
        <v>177</v>
      </c>
      <c r="AA168" s="3">
        <f>IF(ISERROR(VLOOKUP($A168,'SegEnds_NonXtal_BW#'!$A:$Z,19,FALSE)+VLOOKUP($A168,A:AL,28,FALSE)-50),"-",(VLOOKUP($A168,'SegEnds_NonXtal_BW#'!$A:$Z,19,FALSE)+VLOOKUP($A168,A:AL,28,FALSE)-50))</f>
        <v>184</v>
      </c>
      <c r="AB168" s="3">
        <v>203</v>
      </c>
      <c r="AC168" s="3">
        <f>IF(ISERROR((VLOOKUP($A168,'SegEnds_NonXtal_BW#'!$A:$Z,20,FALSE)+VLOOKUP($A168,A:AL,28,FALSE)-50)),"-",(VLOOKUP($A168,'SegEnds_NonXtal_BW#'!$A:$Z,20,FALSE)+VLOOKUP($A168,A:AL,28,FALSE)-50))</f>
        <v>220</v>
      </c>
      <c r="AD168" s="3">
        <f>IF(ISERROR(VLOOKUP($A168,'SegEnds_NonXtal_BW#'!$A:$Z,21,FALSE)+VLOOKUP($A168,A:AL,31,FALSE)-50),"-",(VLOOKUP($A168,'SegEnds_NonXtal_BW#'!$A:$Z,21,FALSE)+VLOOKUP($A168,A:AL,31,FALSE)-50))</f>
        <v>225</v>
      </c>
      <c r="AE168" s="3">
        <v>249</v>
      </c>
      <c r="AF168" s="3">
        <f>IF(ISERROR((VLOOKUP($A168,'SegEnds_NonXtal_BW#'!$A:$Z,22,FALSE)+VLOOKUP($A168,A:AL,31,FALSE)-50)),"-",(VLOOKUP($A168,'SegEnds_NonXtal_BW#'!$A:$Z,22,FALSE)+VLOOKUP($A168,A:AL,31,FALSE)-50))</f>
        <v>263</v>
      </c>
      <c r="AG168" s="3">
        <f>IF(ISERROR(VLOOKUP($A168,'SegEnds_NonXtal_BW#'!$A:$Z,23,FALSE)+VLOOKUP($A168,A:AL,34,FALSE)-50),"-",(VLOOKUP($A168,'SegEnds_NonXtal_BW#'!$A:$Z,23,FALSE)+VLOOKUP($A168,A:AL,34,FALSE)-50))</f>
        <v>268</v>
      </c>
      <c r="AH168" s="3">
        <v>294</v>
      </c>
      <c r="AI168" s="3">
        <f>IF(ISERROR((VLOOKUP($A168,'SegEnds_NonXtal_BW#'!$A:$Z,24,FALSE)+VLOOKUP($A168,A:AL,34,FALSE)-50)),"-",(VLOOKUP($A168,'SegEnds_NonXtal_BW#'!$A:$Z,24,FALSE)+VLOOKUP($A168,A:AL,34,FALSE)-50))</f>
        <v>300</v>
      </c>
      <c r="AJ168" s="3">
        <f>IF(ISERROR(VLOOKUP($A168,'SegEnds_NonXtal_BW#'!$A:$Z,25,FALSE)+VLOOKUP($A168,A:AL,37,FALSE)-50),"-",(VLOOKUP($A168,'SegEnds_NonXtal_BW#'!$A:$Z,25,FALSE)+VLOOKUP($A168,A:AL,37,FALSE)-50))</f>
        <v>301</v>
      </c>
      <c r="AK168" s="3">
        <v>304</v>
      </c>
      <c r="AL168" s="3">
        <f>IF(ISERROR((VLOOKUP($A168,'SegEnds_NonXtal_BW#'!$A:$Z,26,FALSE)+VLOOKUP($A168,A:AL,37,FALSE)-50)),"-",(VLOOKUP($A168,'SegEnds_NonXtal_BW#'!$A:$Z,26,FALSE)+VLOOKUP($A168,A:AL,37,FALSE)-50))</f>
        <v>315</v>
      </c>
      <c r="AM168" s="28" t="str">
        <f>VLOOKUP(A168,Classification!A:B,2,FALSE)</f>
        <v>A</v>
      </c>
      <c r="AN168" s="28" t="b">
        <f t="shared" si="100"/>
        <v>1</v>
      </c>
      <c r="AO168" s="3" t="str">
        <f>IF(ISERROR(MATCH(A168,'SegEnds_Xtal_Prot#'!B:B, 0)), "NoXtal", "Xtal")</f>
        <v>NoXtal</v>
      </c>
      <c r="AP168" s="3">
        <f t="shared" si="83"/>
        <v>1</v>
      </c>
      <c r="AQ168" s="3">
        <f t="shared" si="84"/>
        <v>1</v>
      </c>
      <c r="AR168" s="3">
        <f t="shared" si="85"/>
        <v>2</v>
      </c>
      <c r="AS168" s="3">
        <f t="shared" si="86"/>
        <v>1</v>
      </c>
      <c r="AT168" s="3">
        <f t="shared" si="87"/>
        <v>1</v>
      </c>
      <c r="AU168" s="3">
        <f t="shared" si="88"/>
        <v>1</v>
      </c>
      <c r="AV168" s="3">
        <f t="shared" si="89"/>
        <v>17</v>
      </c>
      <c r="AW168" s="3">
        <f t="shared" si="90"/>
        <v>7</v>
      </c>
      <c r="AX168" s="3">
        <f t="shared" si="91"/>
        <v>5</v>
      </c>
      <c r="AY168" s="3">
        <f t="shared" si="92"/>
        <v>5</v>
      </c>
      <c r="AZ168" s="3">
        <f t="shared" si="93"/>
        <v>1</v>
      </c>
      <c r="BA168" s="3">
        <f>IF(ISERROR(LEN(VLOOKUP(A168,Seqs!A:E,2,FALSE))-AL168),"-",LEN(VLOOKUP(A168,Seqs!A:E,2,FALSE))-AL168)</f>
        <v>57</v>
      </c>
      <c r="BB168" s="16">
        <f t="shared" si="94"/>
        <v>28</v>
      </c>
      <c r="BC168" s="9">
        <f t="shared" si="95"/>
        <v>20</v>
      </c>
      <c r="BD168" s="3">
        <f t="shared" si="96"/>
        <v>28</v>
      </c>
      <c r="BE168" s="3">
        <f t="shared" si="97"/>
        <v>46</v>
      </c>
    </row>
    <row r="169" spans="1:58" s="3" customFormat="1" x14ac:dyDescent="0.2">
      <c r="A169" s="3" t="s">
        <v>290</v>
      </c>
      <c r="B169" s="3" t="str">
        <f>LOWER(VLOOKUP(A169,Xtal_Templ!A:B,2,FALSE))</f>
        <v>agtr1_human</v>
      </c>
      <c r="C169" s="3">
        <f>VLOOKUP($A169,'SegEnds_NonXtal_BW#'!$A:$Z,3,FALSE)+D169-50</f>
        <v>15</v>
      </c>
      <c r="D169" s="3">
        <v>35</v>
      </c>
      <c r="E169" s="3">
        <f>IF(ISERROR(VLOOKUP($A169,'SegEnds_NonXtal_BW#'!$A:$Z,4,FALSE)+VLOOKUP($A169,A:AL,4,FALSE)-50),"-",(VLOOKUP($A169,'SegEnds_NonXtal_BW#'!$A:$Z,4,FALSE)+VLOOKUP($A169,A:AL,4,FALSE)-50))</f>
        <v>45</v>
      </c>
      <c r="F169" s="3">
        <f t="shared" si="107"/>
        <v>46</v>
      </c>
      <c r="G169" s="3">
        <v>48</v>
      </c>
      <c r="H169" s="3">
        <f t="shared" si="108"/>
        <v>49</v>
      </c>
      <c r="I169" s="3">
        <f t="shared" si="108"/>
        <v>50</v>
      </c>
      <c r="J169" s="3">
        <v>63</v>
      </c>
      <c r="K169" s="3">
        <f>VLOOKUP($A169,'SegEnds_NonXtal_BW#'!$A:$Z,8,FALSE)+VLOOKUP($A169,A:AL,10,FALSE)-50</f>
        <v>79</v>
      </c>
      <c r="L169" s="3">
        <f t="shared" si="109"/>
        <v>81</v>
      </c>
      <c r="M169" s="3">
        <v>82</v>
      </c>
      <c r="N169" s="3">
        <f t="shared" si="110"/>
        <v>84</v>
      </c>
      <c r="O169" s="3">
        <f t="shared" si="111"/>
        <v>85</v>
      </c>
      <c r="P169" s="3">
        <v>114</v>
      </c>
      <c r="Q169" s="3">
        <f>VLOOKUP($A169,'SegEnds_NonXtal_BW#'!$A:$Z,12,FALSE)+VLOOKUP($A169,A:AL,16,FALSE)-50</f>
        <v>120</v>
      </c>
      <c r="R169" s="3">
        <f>IF(ISERROR(VLOOKUP($A169,'SegEnds_NonXtal_BW#'!$A:$Z,13,FALSE)+VLOOKUP($A169,A:AL,19,FALSE)-50),"-",VLOOKUP($A169,'SegEnds_NonXtal_BW#'!$A:$Z,13,FALSE)+VLOOKUP($A169,A:AL,19,FALSE)-50)</f>
        <v>121</v>
      </c>
      <c r="S169" s="3">
        <v>121</v>
      </c>
      <c r="T169" s="103">
        <f>IF(ISERROR(VLOOKUP($A169,'SegEnds_NonXtal_BW#'!$A:$Z,14,FALSE)+VLOOKUP($A169,A:AL,19,FALSE)-50),"-",(VLOOKUP($A169,'SegEnds_NonXtal_BW#'!$A:$Z,14,FALSE)+VLOOKUP($A169,A:AL,19,FALSE)-50))</f>
        <v>128</v>
      </c>
      <c r="U169" s="9">
        <f>IF(ISERROR(VLOOKUP($A169,'SegEnds_NonXtal_BW#'!$A:$Z,15,FALSE)+VLOOKUP($A169,A:AL,22,FALSE)-50),"-",VLOOKUP($A169,'SegEnds_NonXtal_BW#'!$A:$Z,15,FALSE)+VLOOKUP($A169,A:AL,22,FALSE)-50)</f>
        <v>129</v>
      </c>
      <c r="V169" s="3">
        <v>141</v>
      </c>
      <c r="W169" s="3">
        <f>IF(ISERROR(VLOOKUP($A169,'SegEnds_NonXtal_BW#'!$A:$Z,16,FALSE)+VLOOKUP($A169,A:AL,22,FALSE)-50),"-",(VLOOKUP($A169,'SegEnds_NonXtal_BW#'!$A:$Z,16,FALSE)+VLOOKUP($A169,A:AL,22,FALSE)-50))</f>
        <v>155</v>
      </c>
      <c r="X169" s="3">
        <f>IF(ISERROR(VLOOKUP($A169,'SegEnds_NonXtal_BW#'!$A:$Z,17,FALSE)+VLOOKUP($A169,A:AL,25,FALSE)-50),"-",(VLOOKUP($A169,'SegEnds_NonXtal_BW#'!$A:$Z,17,FALSE)+VLOOKUP($A169,A:AL,25,FALSE)-50))</f>
        <v>168</v>
      </c>
      <c r="Y169" s="3">
        <v>168</v>
      </c>
      <c r="Z169" s="3">
        <f t="shared" si="105"/>
        <v>170</v>
      </c>
      <c r="AA169" s="3">
        <f>IF(ISERROR(VLOOKUP($A169,'SegEnds_NonXtal_BW#'!$A:$Z,19,FALSE)+VLOOKUP($A169,A:AL,28,FALSE)-50),"-",(VLOOKUP($A169,'SegEnds_NonXtal_BW#'!$A:$Z,19,FALSE)+VLOOKUP($A169,A:AL,28,FALSE)-50))</f>
        <v>180</v>
      </c>
      <c r="AB169" s="3">
        <v>196</v>
      </c>
      <c r="AC169" s="3">
        <f>IF(ISERROR((VLOOKUP($A169,'SegEnds_NonXtal_BW#'!$A:$Z,20,FALSE)+VLOOKUP($A169,A:AL,28,FALSE)-50)),"-",(VLOOKUP($A169,'SegEnds_NonXtal_BW#'!$A:$Z,20,FALSE)+VLOOKUP($A169,A:AL,28,FALSE)-50))</f>
        <v>214</v>
      </c>
      <c r="AD169" s="3">
        <f>IF(ISERROR(VLOOKUP($A169,'SegEnds_NonXtal_BW#'!$A:$Z,21,FALSE)+VLOOKUP($A169,A:AL,31,FALSE)-50),"-",(VLOOKUP($A169,'SegEnds_NonXtal_BW#'!$A:$Z,21,FALSE)+VLOOKUP($A169,A:AL,31,FALSE)-50))</f>
        <v>218</v>
      </c>
      <c r="AE169" s="3">
        <v>244</v>
      </c>
      <c r="AF169" s="3">
        <f>IF(ISERROR((VLOOKUP($A169,'SegEnds_NonXtal_BW#'!$A:$Z,22,FALSE)+VLOOKUP($A169,A:AL,31,FALSE)-50)),"-",(VLOOKUP($A169,'SegEnds_NonXtal_BW#'!$A:$Z,22,FALSE)+VLOOKUP($A169,A:AL,31,FALSE)-50))</f>
        <v>258</v>
      </c>
      <c r="AG169" s="3">
        <f>IF(ISERROR(VLOOKUP($A169,'SegEnds_NonXtal_BW#'!$A:$Z,23,FALSE)+VLOOKUP($A169,A:AL,34,FALSE)-50),"-",(VLOOKUP($A169,'SegEnds_NonXtal_BW#'!$A:$Z,23,FALSE)+VLOOKUP($A169,A:AL,34,FALSE)-50))</f>
        <v>262</v>
      </c>
      <c r="AH169" s="3">
        <v>288</v>
      </c>
      <c r="AI169" s="3">
        <f>IF(ISERROR((VLOOKUP($A169,'SegEnds_NonXtal_BW#'!$A:$Z,24,FALSE)+VLOOKUP($A169,A:AL,34,FALSE)-50)),"-",(VLOOKUP($A169,'SegEnds_NonXtal_BW#'!$A:$Z,24,FALSE)+VLOOKUP($A169,A:AL,34,FALSE)-50))</f>
        <v>294</v>
      </c>
      <c r="AJ169" s="3">
        <f>IF(ISERROR(VLOOKUP($A169,'SegEnds_NonXtal_BW#'!$A:$Z,25,FALSE)+VLOOKUP($A169,A:AL,37,FALSE)-50),"-",(VLOOKUP($A169,'SegEnds_NonXtal_BW#'!$A:$Z,25,FALSE)+VLOOKUP($A169,A:AL,37,FALSE)-50))</f>
        <v>295</v>
      </c>
      <c r="AK169" s="3">
        <v>298</v>
      </c>
      <c r="AL169" s="3">
        <f>IF(ISERROR((VLOOKUP($A169,'SegEnds_NonXtal_BW#'!$A:$Z,26,FALSE)+VLOOKUP($A169,A:AL,37,FALSE)-50)),"-",(VLOOKUP($A169,'SegEnds_NonXtal_BW#'!$A:$Z,26,FALSE)+VLOOKUP($A169,A:AL,37,FALSE)-50))</f>
        <v>309</v>
      </c>
      <c r="AM169" s="28" t="str">
        <f>VLOOKUP(A169,Classification!A:B,2,FALSE)</f>
        <v>A</v>
      </c>
      <c r="AN169" s="28" t="b">
        <f t="shared" si="100"/>
        <v>1</v>
      </c>
      <c r="AO169" s="3" t="str">
        <f>IF(ISERROR(MATCH(A169,'SegEnds_Xtal_Prot#'!B:B, 0)), "NoXtal", "Xtal")</f>
        <v>NoXtal</v>
      </c>
      <c r="AP169" s="3">
        <f t="shared" si="83"/>
        <v>1</v>
      </c>
      <c r="AQ169" s="3">
        <f t="shared" si="84"/>
        <v>1</v>
      </c>
      <c r="AR169" s="3">
        <f t="shared" si="85"/>
        <v>2</v>
      </c>
      <c r="AS169" s="3">
        <f t="shared" si="86"/>
        <v>1</v>
      </c>
      <c r="AT169" s="3">
        <f t="shared" si="87"/>
        <v>1</v>
      </c>
      <c r="AU169" s="3">
        <f t="shared" si="88"/>
        <v>1</v>
      </c>
      <c r="AV169" s="3">
        <f t="shared" si="89"/>
        <v>13</v>
      </c>
      <c r="AW169" s="3">
        <f t="shared" si="90"/>
        <v>10</v>
      </c>
      <c r="AX169" s="3">
        <f t="shared" si="91"/>
        <v>4</v>
      </c>
      <c r="AY169" s="3">
        <f t="shared" si="92"/>
        <v>4</v>
      </c>
      <c r="AZ169" s="3">
        <f t="shared" si="93"/>
        <v>1</v>
      </c>
      <c r="BA169" s="3">
        <f>IF(ISERROR(LEN(VLOOKUP(A169,Seqs!A:E,2,FALSE))-AL169),"-",LEN(VLOOKUP(A169,Seqs!A:E,2,FALSE))-AL169)</f>
        <v>35</v>
      </c>
      <c r="BB169" s="16">
        <f t="shared" si="94"/>
        <v>28</v>
      </c>
      <c r="BC169" s="9">
        <f t="shared" si="95"/>
        <v>20</v>
      </c>
      <c r="BD169" s="3">
        <f t="shared" si="96"/>
        <v>28</v>
      </c>
      <c r="BE169" s="3">
        <f t="shared" si="97"/>
        <v>48</v>
      </c>
    </row>
    <row r="170" spans="1:58" s="3" customFormat="1" x14ac:dyDescent="0.2">
      <c r="A170" s="3" t="s">
        <v>291</v>
      </c>
      <c r="B170" s="3" t="str">
        <f>LOWER(VLOOKUP(A170,Xtal_Templ!A:B,2,FALSE))</f>
        <v>hrh1_human</v>
      </c>
      <c r="C170" s="3">
        <f>VLOOKUP($A170,'SegEnds_NonXtal_BW#'!$A:$Z,3,FALSE)+D170-50</f>
        <v>361</v>
      </c>
      <c r="D170" s="3">
        <v>377</v>
      </c>
      <c r="E170" s="3">
        <f>IF(ISERROR(VLOOKUP($A170,'SegEnds_NonXtal_BW#'!$A:$Z,4,FALSE)+VLOOKUP($A170,A:AL,4,FALSE)-50),"-",(VLOOKUP($A170,'SegEnds_NonXtal_BW#'!$A:$Z,4,FALSE)+VLOOKUP($A170,A:AL,4,FALSE)-50))</f>
        <v>387</v>
      </c>
      <c r="F170" s="3">
        <f t="shared" si="107"/>
        <v>389</v>
      </c>
      <c r="G170" s="3">
        <v>391</v>
      </c>
      <c r="H170" s="3">
        <f t="shared" si="108"/>
        <v>392</v>
      </c>
      <c r="I170" s="3">
        <f t="shared" si="108"/>
        <v>393</v>
      </c>
      <c r="J170" s="3">
        <v>405</v>
      </c>
      <c r="K170" s="3">
        <f>VLOOKUP($A170,'SegEnds_NonXtal_BW#'!$A:$Z,8,FALSE)+VLOOKUP($A170,A:AL,10,FALSE)-50</f>
        <v>422</v>
      </c>
      <c r="L170" s="3">
        <f t="shared" si="109"/>
        <v>432</v>
      </c>
      <c r="M170" s="3">
        <v>433</v>
      </c>
      <c r="N170" s="3">
        <f t="shared" si="110"/>
        <v>435</v>
      </c>
      <c r="O170" s="3">
        <f t="shared" si="111"/>
        <v>436</v>
      </c>
      <c r="P170" s="3">
        <v>464</v>
      </c>
      <c r="Q170" s="3">
        <f>VLOOKUP($A170,'SegEnds_NonXtal_BW#'!$A:$Z,12,FALSE)+VLOOKUP($A170,A:AL,16,FALSE)-50</f>
        <v>470</v>
      </c>
      <c r="R170" s="3">
        <f>IF(ISERROR(VLOOKUP($A170,'SegEnds_NonXtal_BW#'!$A:$Z,13,FALSE)+VLOOKUP($A170,A:AL,19,FALSE)-50),"-",VLOOKUP($A170,'SegEnds_NonXtal_BW#'!$A:$Z,13,FALSE)+VLOOKUP($A170,A:AL,19,FALSE)-50)</f>
        <v>471</v>
      </c>
      <c r="S170" s="3">
        <v>471</v>
      </c>
      <c r="T170" s="103">
        <f>IF(ISERROR(VLOOKUP($A170,'SegEnds_NonXtal_BW#'!$A:$Z,14,FALSE)+VLOOKUP($A170,A:AL,19,FALSE)-50),"-",(VLOOKUP($A170,'SegEnds_NonXtal_BW#'!$A:$Z,14,FALSE)+VLOOKUP($A170,A:AL,19,FALSE)-50))</f>
        <v>478</v>
      </c>
      <c r="U170" s="9">
        <f>IF(ISERROR(VLOOKUP($A170,'SegEnds_NonXtal_BW#'!$A:$Z,15,FALSE)+VLOOKUP($A170,A:AL,22,FALSE)-50),"-",VLOOKUP($A170,'SegEnds_NonXtal_BW#'!$A:$Z,15,FALSE)+VLOOKUP($A170,A:AL,22,FALSE)-50)</f>
        <v>479</v>
      </c>
      <c r="V170" s="3">
        <v>491</v>
      </c>
      <c r="W170" s="3">
        <f>IF(ISERROR(VLOOKUP($A170,'SegEnds_NonXtal_BW#'!$A:$Z,16,FALSE)+VLOOKUP($A170,A:AL,22,FALSE)-50),"-",(VLOOKUP($A170,'SegEnds_NonXtal_BW#'!$A:$Z,16,FALSE)+VLOOKUP($A170,A:AL,22,FALSE)-50))</f>
        <v>503</v>
      </c>
      <c r="X170" s="3">
        <f>IF(ISERROR(VLOOKUP($A170,'SegEnds_NonXtal_BW#'!$A:$Z,17,FALSE)+VLOOKUP($A170,A:AL,25,FALSE)-50),"-",(VLOOKUP($A170,'SegEnds_NonXtal_BW#'!$A:$Z,17,FALSE)+VLOOKUP($A170,A:AL,25,FALSE)-50))</f>
        <v>514</v>
      </c>
      <c r="Y170" s="3">
        <v>514</v>
      </c>
      <c r="Z170" s="3">
        <f t="shared" si="105"/>
        <v>516</v>
      </c>
      <c r="AA170" s="3">
        <f>IF(ISERROR(VLOOKUP($A170,'SegEnds_NonXtal_BW#'!$A:$Z,19,FALSE)+VLOOKUP($A170,A:AL,28,FALSE)-50),"-",(VLOOKUP($A170,'SegEnds_NonXtal_BW#'!$A:$Z,19,FALSE)+VLOOKUP($A170,A:AL,28,FALSE)-50))</f>
        <v>523</v>
      </c>
      <c r="AB170" s="3">
        <v>538</v>
      </c>
      <c r="AC170" s="3">
        <f>IF(ISERROR((VLOOKUP($A170,'SegEnds_NonXtal_BW#'!$A:$Z,20,FALSE)+VLOOKUP($A170,A:AL,28,FALSE)-50)),"-",(VLOOKUP($A170,'SegEnds_NonXtal_BW#'!$A:$Z,20,FALSE)+VLOOKUP($A170,A:AL,28,FALSE)-50))</f>
        <v>555</v>
      </c>
      <c r="AD170" s="3">
        <f>IF(ISERROR(VLOOKUP($A170,'SegEnds_NonXtal_BW#'!$A:$Z,21,FALSE)+VLOOKUP($A170,A:AL,31,FALSE)-50),"-",(VLOOKUP($A170,'SegEnds_NonXtal_BW#'!$A:$Z,21,FALSE)+VLOOKUP($A170,A:AL,31,FALSE)-50))</f>
        <v>560</v>
      </c>
      <c r="AE170" s="3">
        <v>584</v>
      </c>
      <c r="AF170" s="3">
        <f>IF(ISERROR((VLOOKUP($A170,'SegEnds_NonXtal_BW#'!$A:$Z,22,FALSE)+VLOOKUP($A170,A:AL,31,FALSE)-50)),"-",(VLOOKUP($A170,'SegEnds_NonXtal_BW#'!$A:$Z,22,FALSE)+VLOOKUP($A170,A:AL,31,FALSE)-50))</f>
        <v>595</v>
      </c>
      <c r="AG170" s="3">
        <f>IF(ISERROR(VLOOKUP($A170,'SegEnds_NonXtal_BW#'!$A:$Z,23,FALSE)+VLOOKUP($A170,A:AL,34,FALSE)-50),"-",(VLOOKUP($A170,'SegEnds_NonXtal_BW#'!$A:$Z,23,FALSE)+VLOOKUP($A170,A:AL,34,FALSE)-50))</f>
        <v>601</v>
      </c>
      <c r="AH170" s="3">
        <v>620</v>
      </c>
      <c r="AI170" s="3">
        <f>IF(ISERROR((VLOOKUP($A170,'SegEnds_NonXtal_BW#'!$A:$Z,24,FALSE)+VLOOKUP($A170,A:AL,34,FALSE)-50)),"-",(VLOOKUP($A170,'SegEnds_NonXtal_BW#'!$A:$Z,24,FALSE)+VLOOKUP($A170,A:AL,34,FALSE)-50))</f>
        <v>626</v>
      </c>
      <c r="AJ170" s="3">
        <f>IF(ISERROR(VLOOKUP($A170,'SegEnds_NonXtal_BW#'!$A:$Z,25,FALSE)+VLOOKUP($A170,A:AL,37,FALSE)-50),"-",(VLOOKUP($A170,'SegEnds_NonXtal_BW#'!$A:$Z,25,FALSE)+VLOOKUP($A170,A:AL,37,FALSE)-50))</f>
        <v>627</v>
      </c>
      <c r="AK170" s="3">
        <v>630</v>
      </c>
      <c r="AL170" s="3">
        <f>IF(ISERROR((VLOOKUP($A170,'SegEnds_NonXtal_BW#'!$A:$Z,26,FALSE)+VLOOKUP($A170,A:AL,37,FALSE)-50)),"-",(VLOOKUP($A170,'SegEnds_NonXtal_BW#'!$A:$Z,26,FALSE)+VLOOKUP($A170,A:AL,37,FALSE)-50))</f>
        <v>639</v>
      </c>
      <c r="AM170" s="28" t="str">
        <f>VLOOKUP(A170,Classification!A:B,2,FALSE)</f>
        <v>A</v>
      </c>
      <c r="AN170" s="28" t="b">
        <f t="shared" si="100"/>
        <v>1</v>
      </c>
      <c r="AO170" s="3" t="str">
        <f>IF(ISERROR(MATCH(A170,'SegEnds_Xtal_Prot#'!B:B, 0)), "NoXtal", "Xtal")</f>
        <v>NoXtal</v>
      </c>
      <c r="AP170" s="3">
        <f t="shared" si="83"/>
        <v>2</v>
      </c>
      <c r="AQ170" s="3">
        <f t="shared" si="84"/>
        <v>1</v>
      </c>
      <c r="AR170" s="3">
        <f t="shared" si="85"/>
        <v>10</v>
      </c>
      <c r="AS170" s="3">
        <f t="shared" si="86"/>
        <v>1</v>
      </c>
      <c r="AT170" s="3">
        <f t="shared" si="87"/>
        <v>1</v>
      </c>
      <c r="AU170" s="3">
        <f t="shared" si="88"/>
        <v>1</v>
      </c>
      <c r="AV170" s="3">
        <f t="shared" si="89"/>
        <v>11</v>
      </c>
      <c r="AW170" s="3">
        <f t="shared" si="90"/>
        <v>7</v>
      </c>
      <c r="AX170" s="3">
        <f t="shared" si="91"/>
        <v>5</v>
      </c>
      <c r="AY170" s="3">
        <f t="shared" si="92"/>
        <v>6</v>
      </c>
      <c r="AZ170" s="3">
        <f t="shared" si="93"/>
        <v>1</v>
      </c>
      <c r="BA170" s="3">
        <f>IF(ISERROR(LEN(VLOOKUP(A170,Seqs!A:E,2,FALSE))-AL170),"-",LEN(VLOOKUP(A170,Seqs!A:E,2,FALSE))-AL170)</f>
        <v>60</v>
      </c>
      <c r="BB170" s="16">
        <f t="shared" si="94"/>
        <v>28</v>
      </c>
      <c r="BC170" s="9">
        <f t="shared" si="95"/>
        <v>20</v>
      </c>
      <c r="BD170" s="3">
        <f t="shared" si="96"/>
        <v>28</v>
      </c>
      <c r="BE170" s="3">
        <f t="shared" si="97"/>
        <v>46</v>
      </c>
    </row>
    <row r="171" spans="1:58" s="3" customFormat="1" x14ac:dyDescent="0.2">
      <c r="A171" s="3" t="s">
        <v>292</v>
      </c>
      <c r="B171" s="3" t="str">
        <f>LOWER(VLOOKUP(A171,Xtal_Templ!A:B,2,FALSE))</f>
        <v>agtr1_human</v>
      </c>
      <c r="C171" s="3">
        <f>VLOOKUP($A171,'SegEnds_NonXtal_BW#'!$A:$Z,3,FALSE)+D171-50</f>
        <v>16</v>
      </c>
      <c r="D171" s="3">
        <v>36</v>
      </c>
      <c r="E171" s="3">
        <f>IF(ISERROR(VLOOKUP($A171,'SegEnds_NonXtal_BW#'!$A:$Z,4,FALSE)+VLOOKUP($A171,A:AL,4,FALSE)-50),"-",(VLOOKUP($A171,'SegEnds_NonXtal_BW#'!$A:$Z,4,FALSE)+VLOOKUP($A171,A:AL,4,FALSE)-50))</f>
        <v>46</v>
      </c>
      <c r="F171" s="3">
        <f t="shared" si="107"/>
        <v>47</v>
      </c>
      <c r="G171" s="3">
        <v>49</v>
      </c>
      <c r="H171" s="3">
        <f t="shared" si="108"/>
        <v>50</v>
      </c>
      <c r="I171" s="3">
        <f t="shared" si="108"/>
        <v>51</v>
      </c>
      <c r="J171" s="3">
        <v>64</v>
      </c>
      <c r="K171" s="3">
        <f>VLOOKUP($A171,'SegEnds_NonXtal_BW#'!$A:$Z,8,FALSE)+VLOOKUP($A171,A:AL,10,FALSE)-50</f>
        <v>80</v>
      </c>
      <c r="L171" s="3">
        <f t="shared" si="109"/>
        <v>82</v>
      </c>
      <c r="M171" s="3">
        <v>83</v>
      </c>
      <c r="N171" s="3">
        <f t="shared" si="110"/>
        <v>85</v>
      </c>
      <c r="O171" s="3">
        <f t="shared" si="111"/>
        <v>86</v>
      </c>
      <c r="P171" s="3">
        <v>115</v>
      </c>
      <c r="Q171" s="3">
        <f>VLOOKUP($A171,'SegEnds_NonXtal_BW#'!$A:$Z,12,FALSE)+VLOOKUP($A171,A:AL,16,FALSE)-50</f>
        <v>121</v>
      </c>
      <c r="R171" s="3">
        <f>IF(ISERROR(VLOOKUP($A171,'SegEnds_NonXtal_BW#'!$A:$Z,13,FALSE)+VLOOKUP($A171,A:AL,19,FALSE)-50),"-",VLOOKUP($A171,'SegEnds_NonXtal_BW#'!$A:$Z,13,FALSE)+VLOOKUP($A171,A:AL,19,FALSE)-50)</f>
        <v>122</v>
      </c>
      <c r="S171" s="3">
        <v>122</v>
      </c>
      <c r="T171" s="103">
        <f>IF(ISERROR(VLOOKUP($A171,'SegEnds_NonXtal_BW#'!$A:$Z,14,FALSE)+VLOOKUP($A171,A:AL,19,FALSE)-50),"-",(VLOOKUP($A171,'SegEnds_NonXtal_BW#'!$A:$Z,14,FALSE)+VLOOKUP($A171,A:AL,19,FALSE)-50))</f>
        <v>129</v>
      </c>
      <c r="U171" s="9">
        <f>IF(ISERROR(VLOOKUP($A171,'SegEnds_NonXtal_BW#'!$A:$Z,15,FALSE)+VLOOKUP($A171,A:AL,22,FALSE)-50),"-",VLOOKUP($A171,'SegEnds_NonXtal_BW#'!$A:$Z,15,FALSE)+VLOOKUP($A171,A:AL,22,FALSE)-50)</f>
        <v>130</v>
      </c>
      <c r="V171" s="3">
        <v>142</v>
      </c>
      <c r="W171" s="3">
        <f>IF(ISERROR(VLOOKUP($A171,'SegEnds_NonXtal_BW#'!$A:$Z,16,FALSE)+VLOOKUP($A171,A:AL,22,FALSE)-50),"-",(VLOOKUP($A171,'SegEnds_NonXtal_BW#'!$A:$Z,16,FALSE)+VLOOKUP($A171,A:AL,22,FALSE)-50))</f>
        <v>156</v>
      </c>
      <c r="X171" s="3">
        <f>IF(ISERROR(VLOOKUP($A171,'SegEnds_NonXtal_BW#'!$A:$Z,17,FALSE)+VLOOKUP($A171,A:AL,25,FALSE)-50),"-",(VLOOKUP($A171,'SegEnds_NonXtal_BW#'!$A:$Z,17,FALSE)+VLOOKUP($A171,A:AL,25,FALSE)-50))</f>
        <v>168</v>
      </c>
      <c r="Y171" s="3">
        <v>168</v>
      </c>
      <c r="Z171" s="3">
        <f t="shared" si="105"/>
        <v>170</v>
      </c>
      <c r="AA171" s="3">
        <f>IF(ISERROR(VLOOKUP($A171,'SegEnds_NonXtal_BW#'!$A:$Z,19,FALSE)+VLOOKUP($A171,A:AL,28,FALSE)-50),"-",(VLOOKUP($A171,'SegEnds_NonXtal_BW#'!$A:$Z,19,FALSE)+VLOOKUP($A171,A:AL,28,FALSE)-50))</f>
        <v>177</v>
      </c>
      <c r="AB171" s="3">
        <v>193</v>
      </c>
      <c r="AC171" s="3">
        <f>IF(ISERROR((VLOOKUP($A171,'SegEnds_NonXtal_BW#'!$A:$Z,20,FALSE)+VLOOKUP($A171,A:AL,28,FALSE)-50)),"-",(VLOOKUP($A171,'SegEnds_NonXtal_BW#'!$A:$Z,20,FALSE)+VLOOKUP($A171,A:AL,28,FALSE)-50))</f>
        <v>211</v>
      </c>
      <c r="AD171" s="3">
        <f>IF(ISERROR(VLOOKUP($A171,'SegEnds_NonXtal_BW#'!$A:$Z,21,FALSE)+VLOOKUP($A171,A:AL,31,FALSE)-50),"-",(VLOOKUP($A171,'SegEnds_NonXtal_BW#'!$A:$Z,21,FALSE)+VLOOKUP($A171,A:AL,31,FALSE)-50))</f>
        <v>216</v>
      </c>
      <c r="AE171" s="3">
        <v>236</v>
      </c>
      <c r="AF171" s="3">
        <f>IF(ISERROR((VLOOKUP($A171,'SegEnds_NonXtal_BW#'!$A:$Z,22,FALSE)+VLOOKUP($A171,A:AL,31,FALSE)-50)),"-",(VLOOKUP($A171,'SegEnds_NonXtal_BW#'!$A:$Z,22,FALSE)+VLOOKUP($A171,A:AL,31,FALSE)-50))</f>
        <v>250</v>
      </c>
      <c r="AG171" s="3">
        <f>IF(ISERROR(VLOOKUP($A171,'SegEnds_NonXtal_BW#'!$A:$Z,23,FALSE)+VLOOKUP($A171,A:AL,34,FALSE)-50),"-",(VLOOKUP($A171,'SegEnds_NonXtal_BW#'!$A:$Z,23,FALSE)+VLOOKUP($A171,A:AL,34,FALSE)-50))</f>
        <v>256</v>
      </c>
      <c r="AH171" s="3">
        <v>282</v>
      </c>
      <c r="AI171" s="3">
        <f>IF(ISERROR((VLOOKUP($A171,'SegEnds_NonXtal_BW#'!$A:$Z,24,FALSE)+VLOOKUP($A171,A:AL,34,FALSE)-50)),"-",(VLOOKUP($A171,'SegEnds_NonXtal_BW#'!$A:$Z,24,FALSE)+VLOOKUP($A171,A:AL,34,FALSE)-50))</f>
        <v>288</v>
      </c>
      <c r="AJ171" s="3">
        <f>IF(ISERROR(VLOOKUP($A171,'SegEnds_NonXtal_BW#'!$A:$Z,25,FALSE)+VLOOKUP($A171,A:AL,37,FALSE)-50),"-",(VLOOKUP($A171,'SegEnds_NonXtal_BW#'!$A:$Z,25,FALSE)+VLOOKUP($A171,A:AL,37,FALSE)-50))</f>
        <v>289</v>
      </c>
      <c r="AK171" s="3">
        <v>292</v>
      </c>
      <c r="AL171" s="3">
        <f>IF(ISERROR((VLOOKUP($A171,'SegEnds_NonXtal_BW#'!$A:$Z,26,FALSE)+VLOOKUP($A171,A:AL,37,FALSE)-50)),"-",(VLOOKUP($A171,'SegEnds_NonXtal_BW#'!$A:$Z,26,FALSE)+VLOOKUP($A171,A:AL,37,FALSE)-50))</f>
        <v>303</v>
      </c>
      <c r="AM171" s="28" t="str">
        <f>VLOOKUP(A171,Classification!A:B,2,FALSE)</f>
        <v>A</v>
      </c>
      <c r="AN171" s="28" t="b">
        <f t="shared" si="100"/>
        <v>1</v>
      </c>
      <c r="AO171" s="3" t="str">
        <f>IF(ISERROR(MATCH(A171,'SegEnds_Xtal_Prot#'!B:B, 0)), "NoXtal", "Xtal")</f>
        <v>NoXtal</v>
      </c>
      <c r="AP171" s="3">
        <f t="shared" si="83"/>
        <v>1</v>
      </c>
      <c r="AQ171" s="3">
        <f t="shared" si="84"/>
        <v>1</v>
      </c>
      <c r="AR171" s="3">
        <f t="shared" si="85"/>
        <v>2</v>
      </c>
      <c r="AS171" s="3">
        <f t="shared" si="86"/>
        <v>1</v>
      </c>
      <c r="AT171" s="3">
        <f t="shared" si="87"/>
        <v>1</v>
      </c>
      <c r="AU171" s="3">
        <f t="shared" si="88"/>
        <v>1</v>
      </c>
      <c r="AV171" s="3">
        <f t="shared" si="89"/>
        <v>12</v>
      </c>
      <c r="AW171" s="3">
        <f t="shared" si="90"/>
        <v>7</v>
      </c>
      <c r="AX171" s="3">
        <f t="shared" si="91"/>
        <v>5</v>
      </c>
      <c r="AY171" s="3">
        <f t="shared" si="92"/>
        <v>6</v>
      </c>
      <c r="AZ171" s="3">
        <f t="shared" si="93"/>
        <v>1</v>
      </c>
      <c r="BA171" s="3">
        <f>IF(ISERROR(LEN(VLOOKUP(A171,Seqs!A:E,2,FALSE))-AL171),"-",LEN(VLOOKUP(A171,Seqs!A:E,2,FALSE))-AL171)</f>
        <v>49</v>
      </c>
      <c r="BB171" s="16">
        <f t="shared" si="94"/>
        <v>28</v>
      </c>
      <c r="BC171" s="9">
        <f t="shared" si="95"/>
        <v>20</v>
      </c>
      <c r="BD171" s="3">
        <f t="shared" si="96"/>
        <v>28</v>
      </c>
      <c r="BE171" s="3">
        <f t="shared" si="97"/>
        <v>43</v>
      </c>
    </row>
    <row r="172" spans="1:58" s="3" customFormat="1" x14ac:dyDescent="0.2">
      <c r="A172" s="3" t="s">
        <v>293</v>
      </c>
      <c r="B172" s="3" t="str">
        <f>LOWER(VLOOKUP(A172,Xtal_Templ!A:B,2,FALSE))</f>
        <v>ntr1_rat</v>
      </c>
      <c r="C172" s="3">
        <f>VLOOKUP($A172,'SegEnds_NonXtal_BW#'!$A:$Z,3,FALSE)+D172-50</f>
        <v>48</v>
      </c>
      <c r="D172" s="3">
        <v>69</v>
      </c>
      <c r="E172" s="3">
        <f>IF(ISERROR(VLOOKUP($A172,'SegEnds_NonXtal_BW#'!$A:$Z,4,FALSE)+VLOOKUP($A172,A:AL,4,FALSE)-50),"-",(VLOOKUP($A172,'SegEnds_NonXtal_BW#'!$A:$Z,4,FALSE)+VLOOKUP($A172,A:AL,4,FALSE)-50))</f>
        <v>79</v>
      </c>
      <c r="F172" s="3">
        <f t="shared" si="107"/>
        <v>80</v>
      </c>
      <c r="G172" s="3">
        <v>82</v>
      </c>
      <c r="H172" s="3">
        <f t="shared" si="108"/>
        <v>83</v>
      </c>
      <c r="I172" s="3">
        <f t="shared" si="108"/>
        <v>84</v>
      </c>
      <c r="J172" s="3">
        <v>99</v>
      </c>
      <c r="K172" s="3">
        <f>VLOOKUP($A172,'SegEnds_NonXtal_BW#'!$A:$Z,8,FALSE)+VLOOKUP($A172,A:AL,10,FALSE)-50</f>
        <v>115</v>
      </c>
      <c r="L172" s="3">
        <f t="shared" si="109"/>
        <v>117</v>
      </c>
      <c r="M172" s="3">
        <v>118</v>
      </c>
      <c r="N172" s="3">
        <f t="shared" si="110"/>
        <v>120</v>
      </c>
      <c r="O172" s="3">
        <f t="shared" si="111"/>
        <v>121</v>
      </c>
      <c r="P172" s="3">
        <v>150</v>
      </c>
      <c r="Q172" s="3">
        <f>VLOOKUP($A172,'SegEnds_NonXtal_BW#'!$A:$Z,12,FALSE)+VLOOKUP($A172,A:AL,16,FALSE)-50</f>
        <v>156</v>
      </c>
      <c r="R172" s="3">
        <f>IF(ISERROR(VLOOKUP($A172,'SegEnds_NonXtal_BW#'!$A:$Z,13,FALSE)+VLOOKUP($A172,A:AL,19,FALSE)-50),"-",VLOOKUP($A172,'SegEnds_NonXtal_BW#'!$A:$Z,13,FALSE)+VLOOKUP($A172,A:AL,19,FALSE)-50)</f>
        <v>157</v>
      </c>
      <c r="S172" s="3">
        <v>157</v>
      </c>
      <c r="T172" s="103">
        <f>IF(ISERROR(VLOOKUP($A172,'SegEnds_NonXtal_BW#'!$A:$Z,14,FALSE)+VLOOKUP($A172,A:AL,19,FALSE)-50),"-",(VLOOKUP($A172,'SegEnds_NonXtal_BW#'!$A:$Z,14,FALSE)+VLOOKUP($A172,A:AL,19,FALSE)-50))</f>
        <v>164</v>
      </c>
      <c r="U172" s="9">
        <f>IF(ISERROR(VLOOKUP($A172,'SegEnds_NonXtal_BW#'!$A:$Z,15,FALSE)+VLOOKUP($A172,A:AL,22,FALSE)-50),"-",VLOOKUP($A172,'SegEnds_NonXtal_BW#'!$A:$Z,15,FALSE)+VLOOKUP($A172,A:AL,22,FALSE)-50)</f>
        <v>165</v>
      </c>
      <c r="V172" s="3">
        <v>177</v>
      </c>
      <c r="W172" s="3">
        <f>IF(ISERROR(VLOOKUP($A172,'SegEnds_NonXtal_BW#'!$A:$Z,16,FALSE)+VLOOKUP($A172,A:AL,22,FALSE)-50),"-",(VLOOKUP($A172,'SegEnds_NonXtal_BW#'!$A:$Z,16,FALSE)+VLOOKUP($A172,A:AL,22,FALSE)-50))</f>
        <v>191</v>
      </c>
      <c r="X172" s="3">
        <f>IF(ISERROR(VLOOKUP($A172,'SegEnds_NonXtal_BW#'!$A:$Z,17,FALSE)+VLOOKUP($A172,A:AL,25,FALSE)-50),"-",(VLOOKUP($A172,'SegEnds_NonXtal_BW#'!$A:$Z,17,FALSE)+VLOOKUP($A172,A:AL,25,FALSE)-50))</f>
        <v>202</v>
      </c>
      <c r="Y172" s="3">
        <v>202</v>
      </c>
      <c r="Z172" s="3">
        <f t="shared" si="105"/>
        <v>204</v>
      </c>
      <c r="AA172" s="3">
        <f>IF(ISERROR(VLOOKUP($A172,'SegEnds_NonXtal_BW#'!$A:$Z,19,FALSE)+VLOOKUP($A172,A:AL,28,FALSE)-50),"-",(VLOOKUP($A172,'SegEnds_NonXtal_BW#'!$A:$Z,19,FALSE)+VLOOKUP($A172,A:AL,28,FALSE)-50))</f>
        <v>209</v>
      </c>
      <c r="AB172" s="3">
        <v>224</v>
      </c>
      <c r="AC172" s="3">
        <f>IF(ISERROR((VLOOKUP($A172,'SegEnds_NonXtal_BW#'!$A:$Z,20,FALSE)+VLOOKUP($A172,A:AL,28,FALSE)-50)),"-",(VLOOKUP($A172,'SegEnds_NonXtal_BW#'!$A:$Z,20,FALSE)+VLOOKUP($A172,A:AL,28,FALSE)-50))</f>
        <v>241</v>
      </c>
      <c r="AD172" s="3">
        <f>IF(ISERROR(VLOOKUP($A172,'SegEnds_NonXtal_BW#'!$A:$Z,21,FALSE)+VLOOKUP($A172,A:AL,31,FALSE)-50),"-",(VLOOKUP($A172,'SegEnds_NonXtal_BW#'!$A:$Z,21,FALSE)+VLOOKUP($A172,A:AL,31,FALSE)-50))</f>
        <v>246</v>
      </c>
      <c r="AE172" s="3">
        <v>270</v>
      </c>
      <c r="AF172" s="3">
        <f>IF(ISERROR((VLOOKUP($A172,'SegEnds_NonXtal_BW#'!$A:$Z,22,FALSE)+VLOOKUP($A172,A:AL,31,FALSE)-50)),"-",(VLOOKUP($A172,'SegEnds_NonXtal_BW#'!$A:$Z,22,FALSE)+VLOOKUP($A172,A:AL,31,FALSE)-50))</f>
        <v>284</v>
      </c>
      <c r="AG172" s="3">
        <f>IF(ISERROR(VLOOKUP($A172,'SegEnds_NonXtal_BW#'!$A:$Z,23,FALSE)+VLOOKUP($A172,A:AL,34,FALSE)-50),"-",(VLOOKUP($A172,'SegEnds_NonXtal_BW#'!$A:$Z,23,FALSE)+VLOOKUP($A172,A:AL,34,FALSE)-50))</f>
        <v>290</v>
      </c>
      <c r="AH172" s="3">
        <v>316</v>
      </c>
      <c r="AI172" s="3">
        <f>IF(ISERROR((VLOOKUP($A172,'SegEnds_NonXtal_BW#'!$A:$Z,24,FALSE)+VLOOKUP($A172,A:AL,34,FALSE)-50)),"-",(VLOOKUP($A172,'SegEnds_NonXtal_BW#'!$A:$Z,24,FALSE)+VLOOKUP($A172,A:AL,34,FALSE)-50))</f>
        <v>322</v>
      </c>
      <c r="AJ172" s="3">
        <f>IF(ISERROR(VLOOKUP($A172,'SegEnds_NonXtal_BW#'!$A:$Z,25,FALSE)+VLOOKUP($A172,A:AL,37,FALSE)-50),"-",(VLOOKUP($A172,'SegEnds_NonXtal_BW#'!$A:$Z,25,FALSE)+VLOOKUP($A172,A:AL,37,FALSE)-50))</f>
        <v>323</v>
      </c>
      <c r="AK172" s="3">
        <v>326</v>
      </c>
      <c r="AL172" s="3">
        <f>IF(ISERROR((VLOOKUP($A172,'SegEnds_NonXtal_BW#'!$A:$Z,26,FALSE)+VLOOKUP($A172,A:AL,37,FALSE)-50)),"-",(VLOOKUP($A172,'SegEnds_NonXtal_BW#'!$A:$Z,26,FALSE)+VLOOKUP($A172,A:AL,37,FALSE)-50))</f>
        <v>334</v>
      </c>
      <c r="AM172" s="28" t="str">
        <f>VLOOKUP(A172,Classification!A:B,2,FALSE)</f>
        <v>A</v>
      </c>
      <c r="AN172" s="28" t="b">
        <f t="shared" si="100"/>
        <v>1</v>
      </c>
      <c r="AO172" s="3" t="str">
        <f>IF(ISERROR(MATCH(A172,'SegEnds_Xtal_Prot#'!B:B, 0)), "NoXtal", "Xtal")</f>
        <v>NoXtal</v>
      </c>
      <c r="AP172" s="3">
        <f t="shared" si="83"/>
        <v>1</v>
      </c>
      <c r="AQ172" s="3">
        <f t="shared" si="84"/>
        <v>1</v>
      </c>
      <c r="AR172" s="3">
        <f t="shared" si="85"/>
        <v>2</v>
      </c>
      <c r="AS172" s="3">
        <f t="shared" si="86"/>
        <v>1</v>
      </c>
      <c r="AT172" s="3">
        <f t="shared" si="87"/>
        <v>1</v>
      </c>
      <c r="AU172" s="3">
        <f t="shared" si="88"/>
        <v>1</v>
      </c>
      <c r="AV172" s="3">
        <f t="shared" si="89"/>
        <v>11</v>
      </c>
      <c r="AW172" s="3">
        <f t="shared" si="90"/>
        <v>5</v>
      </c>
      <c r="AX172" s="3">
        <f t="shared" si="91"/>
        <v>5</v>
      </c>
      <c r="AY172" s="3">
        <f t="shared" si="92"/>
        <v>6</v>
      </c>
      <c r="AZ172" s="3">
        <f t="shared" si="93"/>
        <v>1</v>
      </c>
      <c r="BA172" s="3">
        <f>IF(ISERROR(LEN(VLOOKUP(A172,Seqs!A:E,2,FALSE))-AL172),"-",LEN(VLOOKUP(A172,Seqs!A:E,2,FALSE))-AL172)</f>
        <v>55</v>
      </c>
      <c r="BB172" s="16">
        <f t="shared" si="94"/>
        <v>30</v>
      </c>
      <c r="BC172" s="9">
        <f t="shared" si="95"/>
        <v>20</v>
      </c>
      <c r="BD172" s="3">
        <f t="shared" si="96"/>
        <v>30</v>
      </c>
      <c r="BE172" s="3">
        <f t="shared" si="97"/>
        <v>46</v>
      </c>
    </row>
    <row r="173" spans="1:58" s="3" customFormat="1" x14ac:dyDescent="0.2">
      <c r="A173" s="3" t="s">
        <v>294</v>
      </c>
      <c r="B173" s="3" t="str">
        <f>LOWER(VLOOKUP(A173,Xtal_Templ!A:B,2,FALSE))</f>
        <v>agtr1_human</v>
      </c>
      <c r="C173" s="3">
        <f>VLOOKUP($A173,'SegEnds_NonXtal_BW#'!$A:$Z,3,FALSE)+D173-50</f>
        <v>30</v>
      </c>
      <c r="D173" s="3">
        <v>50</v>
      </c>
      <c r="E173" s="3">
        <f>IF(ISERROR(VLOOKUP($A173,'SegEnds_NonXtal_BW#'!$A:$Z,4,FALSE)+VLOOKUP($A173,A:AL,4,FALSE)-50),"-",(VLOOKUP($A173,'SegEnds_NonXtal_BW#'!$A:$Z,4,FALSE)+VLOOKUP($A173,A:AL,4,FALSE)-50))</f>
        <v>60</v>
      </c>
      <c r="F173" s="3" t="str">
        <f>IF(ISERROR(VLOOKUP($A173,'SegEnds_NonXtal_BW#'!$A:$Z,5,FALSE)+VLOOKUP($A173,A:AL,7,FALSE)-50),"-",(VLOOKUP($A173,'SegEnds_NonXtal_BW#'!$A:$Z,5,FALSE)+VLOOKUP($A173,A:AL,7,FALSE)-50))</f>
        <v>-</v>
      </c>
      <c r="G173" s="3" t="s">
        <v>23</v>
      </c>
      <c r="H173" s="3" t="str">
        <f>IF(ISERROR(VLOOKUP($A173,'SegEnds_NonXtal_BW#'!$A:$Z,6,FALSE)+VLOOKUP($A173,A:AL,7,FALSE)-50),"-",(VLOOKUP($A173,'SegEnds_NonXtal_BW#'!$A:$Z,6,FALSE)+VLOOKUP($A173,A:AL,7,FALSE)-50))</f>
        <v>-</v>
      </c>
      <c r="I173" s="3">
        <f>VLOOKUP($A173,'SegEnds_NonXtal_BW#'!$A:$Z,7,FALSE)+J173-50</f>
        <v>64</v>
      </c>
      <c r="J173" s="3">
        <v>77</v>
      </c>
      <c r="K173" s="3">
        <f>VLOOKUP($A173,'SegEnds_NonXtal_BW#'!$A:$Z,8,FALSE)+VLOOKUP($A173,A:AL,10,FALSE)-50</f>
        <v>94</v>
      </c>
      <c r="L173" s="3" t="s">
        <v>23</v>
      </c>
      <c r="M173" s="3" t="s">
        <v>23</v>
      </c>
      <c r="N173" s="3" t="s">
        <v>23</v>
      </c>
      <c r="O173" s="3">
        <f>VLOOKUP($A173,'SegEnds_NonXtal_BW#'!$A:$Z,11,FALSE)+VLOOKUP($A173,A:AL,16,FALSE)-50</f>
        <v>98</v>
      </c>
      <c r="P173" s="3">
        <v>130</v>
      </c>
      <c r="Q173" s="3">
        <f>VLOOKUP($A173,'SegEnds_NonXtal_BW#'!$A:$Z,12,FALSE)+VLOOKUP($A173,A:AL,16,FALSE)-50</f>
        <v>136</v>
      </c>
      <c r="R173" s="3">
        <f>IF(ISERROR(VLOOKUP($A173,'SegEnds_NonXtal_BW#'!$A:$Z,13,FALSE)+VLOOKUP($A173,A:AL,19,FALSE)-50),"-",VLOOKUP($A173,'SegEnds_NonXtal_BW#'!$A:$Z,13,FALSE)+VLOOKUP($A173,A:AL,19,FALSE)-50)</f>
        <v>137</v>
      </c>
      <c r="S173" s="3">
        <v>137</v>
      </c>
      <c r="T173" s="103">
        <f>IF(ISERROR(VLOOKUP($A173,'SegEnds_NonXtal_BW#'!$A:$Z,14,FALSE)+VLOOKUP($A173,A:AL,19,FALSE)-50),"-",(VLOOKUP($A173,'SegEnds_NonXtal_BW#'!$A:$Z,14,FALSE)+VLOOKUP($A173,A:AL,19,FALSE)-50))</f>
        <v>144</v>
      </c>
      <c r="U173" s="9">
        <f>IF(ISERROR(VLOOKUP($A173,'SegEnds_NonXtal_BW#'!$A:$Z,15,FALSE)+VLOOKUP($A173,A:AL,22,FALSE)-50),"-",VLOOKUP($A173,'SegEnds_NonXtal_BW#'!$A:$Z,15,FALSE)+VLOOKUP($A173,A:AL,22,FALSE)-50)</f>
        <v>145</v>
      </c>
      <c r="V173" s="3">
        <v>157</v>
      </c>
      <c r="W173" s="3">
        <f>IF(ISERROR(VLOOKUP($A173,'SegEnds_NonXtal_BW#'!$A:$Z,16,FALSE)+VLOOKUP($A173,A:AL,22,FALSE)-50),"-",(VLOOKUP($A173,'SegEnds_NonXtal_BW#'!$A:$Z,16,FALSE)+VLOOKUP($A173,A:AL,22,FALSE)-50))</f>
        <v>171</v>
      </c>
      <c r="X173" s="3" t="str">
        <f>IF(ISERROR(VLOOKUP($A173,'SegEnds_NonXtal_BW#'!$A:$Z,17,FALSE)+VLOOKUP($A173,A:AL,25,FALSE)-50),"-",(VLOOKUP($A173,'SegEnds_NonXtal_BW#'!$A:$Z,17,FALSE)+VLOOKUP($A173,A:AL,25,FALSE)-50))</f>
        <v>-</v>
      </c>
      <c r="Y173" s="3" t="s">
        <v>23</v>
      </c>
      <c r="Z173" s="3" t="str">
        <f>IF(ISERROR(VLOOKUP($A173,'SegEnds_NonXtal_BW#'!$A:$Z,18,FALSE)+VLOOKUP($A173,A:AL,25,FALSE)-50),"-",(VLOOKUP($A173,'SegEnds_NonXtal_BW#'!$A:$Z,18,FALSE)+VLOOKUP($A173,A:AL,25,FALSE)-50))</f>
        <v>-</v>
      </c>
      <c r="AA173" s="3">
        <f>IF(ISERROR(VLOOKUP($A173,'SegEnds_NonXtal_BW#'!$A:$Z,19,FALSE)+VLOOKUP($A173,A:AL,28,FALSE)-50),"-",(VLOOKUP($A173,'SegEnds_NonXtal_BW#'!$A:$Z,19,FALSE)+VLOOKUP($A173,A:AL,28,FALSE)-50))</f>
        <v>185</v>
      </c>
      <c r="AB173" s="3">
        <v>201</v>
      </c>
      <c r="AC173" s="3">
        <f>IF(ISERROR((VLOOKUP($A173,'SegEnds_NonXtal_BW#'!$A:$Z,20,FALSE)+VLOOKUP($A173,A:AL,28,FALSE)-50)),"-",(VLOOKUP($A173,'SegEnds_NonXtal_BW#'!$A:$Z,20,FALSE)+VLOOKUP($A173,A:AL,28,FALSE)-50))</f>
        <v>219</v>
      </c>
      <c r="AD173" s="3">
        <f>IF(ISERROR(VLOOKUP($A173,'SegEnds_NonXtal_BW#'!$A:$Z,21,FALSE)+VLOOKUP($A173,A:AL,31,FALSE)-50),"-",(VLOOKUP($A173,'SegEnds_NonXtal_BW#'!$A:$Z,21,FALSE)+VLOOKUP($A173,A:AL,31,FALSE)-50))</f>
        <v>223</v>
      </c>
      <c r="AE173" s="3">
        <v>243</v>
      </c>
      <c r="AF173" s="3">
        <f>IF(ISERROR((VLOOKUP($A173,'SegEnds_NonXtal_BW#'!$A:$Z,22,FALSE)+VLOOKUP($A173,A:AL,31,FALSE)-50)),"-",(VLOOKUP($A173,'SegEnds_NonXtal_BW#'!$A:$Z,22,FALSE)+VLOOKUP($A173,A:AL,31,FALSE)-50))</f>
        <v>254</v>
      </c>
      <c r="AG173" s="3">
        <f>IF(ISERROR(VLOOKUP($A173,'SegEnds_NonXtal_BW#'!$A:$Z,23,FALSE)+VLOOKUP($A173,A:AL,34,FALSE)-50),"-",(VLOOKUP($A173,'SegEnds_NonXtal_BW#'!$A:$Z,23,FALSE)+VLOOKUP($A173,A:AL,34,FALSE)-50))</f>
        <v>259</v>
      </c>
      <c r="AH173" s="3">
        <v>277</v>
      </c>
      <c r="AI173" s="3">
        <f>IF(ISERROR((VLOOKUP($A173,'SegEnds_NonXtal_BW#'!$A:$Z,24,FALSE)+VLOOKUP($A173,A:AL,34,FALSE)-50)),"-",(VLOOKUP($A173,'SegEnds_NonXtal_BW#'!$A:$Z,24,FALSE)+VLOOKUP($A173,A:AL,34,FALSE)-50))</f>
        <v>283</v>
      </c>
      <c r="AJ173" s="3">
        <f>IF(ISERROR(VLOOKUP($A173,'SegEnds_NonXtal_BW#'!$A:$Z,25,FALSE)+VLOOKUP($A173,A:AL,37,FALSE)-50),"-",(VLOOKUP($A173,'SegEnds_NonXtal_BW#'!$A:$Z,25,FALSE)+VLOOKUP($A173,A:AL,37,FALSE)-50))</f>
        <v>284</v>
      </c>
      <c r="AK173" s="3">
        <v>287</v>
      </c>
      <c r="AL173" s="3">
        <f>IF(ISERROR((VLOOKUP($A173,'SegEnds_NonXtal_BW#'!$A:$Z,26,FALSE)+VLOOKUP($A173,A:AL,37,FALSE)-50)),"-",(VLOOKUP($A173,'SegEnds_NonXtal_BW#'!$A:$Z,26,FALSE)+VLOOKUP($A173,A:AL,37,FALSE)-50))</f>
        <v>298</v>
      </c>
      <c r="AM173" s="28" t="str">
        <f>VLOOKUP(A173,Classification!A:B,2,FALSE)</f>
        <v>A</v>
      </c>
      <c r="AN173" s="28" t="b">
        <f t="shared" si="100"/>
        <v>1</v>
      </c>
      <c r="AO173" s="3" t="str">
        <f>IF(ISERROR(MATCH(A173,'SegEnds_Xtal_Prot#'!B:B, 0)), "NoXtal", "Xtal")</f>
        <v>NoXtal</v>
      </c>
      <c r="AP173" s="3" t="str">
        <f t="shared" si="83"/>
        <v>-</v>
      </c>
      <c r="AQ173" s="3" t="str">
        <f t="shared" si="84"/>
        <v>-</v>
      </c>
      <c r="AR173" s="3" t="str">
        <f t="shared" si="85"/>
        <v>-</v>
      </c>
      <c r="AS173" s="3" t="str">
        <f t="shared" si="86"/>
        <v>-</v>
      </c>
      <c r="AT173" s="3">
        <f t="shared" si="87"/>
        <v>1</v>
      </c>
      <c r="AU173" s="3">
        <f t="shared" si="88"/>
        <v>1</v>
      </c>
      <c r="AV173" s="3" t="str">
        <f t="shared" si="89"/>
        <v>-</v>
      </c>
      <c r="AW173" s="3" t="str">
        <f t="shared" si="90"/>
        <v>-</v>
      </c>
      <c r="AX173" s="3">
        <f t="shared" si="91"/>
        <v>4</v>
      </c>
      <c r="AY173" s="3">
        <f t="shared" si="92"/>
        <v>5</v>
      </c>
      <c r="AZ173" s="3">
        <f t="shared" si="93"/>
        <v>1</v>
      </c>
      <c r="BA173" s="3">
        <f>IF(ISERROR(LEN(VLOOKUP(A173,Seqs!A:E,2,FALSE))-AL173),"-",LEN(VLOOKUP(A173,Seqs!A:E,2,FALSE))-AL173)</f>
        <v>27</v>
      </c>
      <c r="BB173" s="16">
        <f t="shared" si="94"/>
        <v>27</v>
      </c>
      <c r="BC173" s="9">
        <f t="shared" si="95"/>
        <v>20</v>
      </c>
      <c r="BD173" s="3">
        <f t="shared" si="96"/>
        <v>27</v>
      </c>
      <c r="BE173" s="3">
        <f t="shared" si="97"/>
        <v>42</v>
      </c>
      <c r="BF173" s="3">
        <f>AH173-AE173</f>
        <v>34</v>
      </c>
    </row>
    <row r="174" spans="1:58" s="3" customFormat="1" x14ac:dyDescent="0.2">
      <c r="A174" s="3" t="s">
        <v>295</v>
      </c>
      <c r="B174" s="3" t="str">
        <f>LOWER(VLOOKUP(A174,Xtal_Templ!A:B,2,FALSE))</f>
        <v>ccr9_human</v>
      </c>
      <c r="C174" s="3">
        <f>VLOOKUP($A174,'SegEnds_NonXtal_BW#'!$A:$Z,3,FALSE)+D174-50</f>
        <v>70</v>
      </c>
      <c r="D174" s="3">
        <v>93</v>
      </c>
      <c r="E174" s="3">
        <f>IF(ISERROR(VLOOKUP($A174,'SegEnds_NonXtal_BW#'!$A:$Z,4,FALSE)+VLOOKUP($A174,A:AL,4,FALSE)-50),"-",(VLOOKUP($A174,'SegEnds_NonXtal_BW#'!$A:$Z,4,FALSE)+VLOOKUP($A174,A:AL,4,FALSE)-50))</f>
        <v>103</v>
      </c>
      <c r="F174" s="3" t="str">
        <f>IF(ISERROR(VLOOKUP($A174,'SegEnds_NonXtal_BW#'!$A:$Z,5,FALSE)+VLOOKUP($A174,A:AL,7,FALSE)-50),"-",(VLOOKUP($A174,'SegEnds_NonXtal_BW#'!$A:$Z,5,FALSE)+VLOOKUP($A174,A:AL,7,FALSE)-50))</f>
        <v>-</v>
      </c>
      <c r="G174" s="3" t="s">
        <v>23</v>
      </c>
      <c r="H174" s="3" t="str">
        <f>IF(ISERROR(VLOOKUP($A174,'SegEnds_NonXtal_BW#'!$A:$Z,6,FALSE)+VLOOKUP($A174,A:AL,7,FALSE)-50),"-",(VLOOKUP($A174,'SegEnds_NonXtal_BW#'!$A:$Z,6,FALSE)+VLOOKUP($A174,A:AL,7,FALSE)-50))</f>
        <v>-</v>
      </c>
      <c r="I174" s="3">
        <f>VLOOKUP($A174,'SegEnds_NonXtal_BW#'!$A:$Z,7,FALSE)+J174-50</f>
        <v>106</v>
      </c>
      <c r="J174" s="3">
        <v>119</v>
      </c>
      <c r="K174" s="3">
        <f>VLOOKUP($A174,'SegEnds_NonXtal_BW#'!$A:$Z,8,FALSE)+VLOOKUP($A174,A:AL,10,FALSE)-50</f>
        <v>135</v>
      </c>
      <c r="L174" s="3" t="str">
        <f>IF(ISERROR(VLOOKUP($A174,'SegEnds_NonXtal_BW#'!$A:$Z,9,FALSE)+VLOOKUP($A174,A:AL,13,FALSE)-50),"-",(VLOOKUP($A174,'SegEnds_NonXtal_BW#'!$A:$Z,9,FALSE)+VLOOKUP($A174,A:AL,13,FALSE)-50))</f>
        <v>-</v>
      </c>
      <c r="M174" s="3" t="s">
        <v>23</v>
      </c>
      <c r="N174" s="3" t="str">
        <f>IF(ISERROR(VLOOKUP($A174,'SegEnds_NonXtal_BW#'!$A:$Z,10,FALSE)+VLOOKUP($A174,A:AL,13,FALSE)-50),"-",(VLOOKUP($A174,'SegEnds_NonXtal_BW#'!$A:$Z,10,FALSE)+VLOOKUP($A174,A:AL,13,FALSE)-50))</f>
        <v>-</v>
      </c>
      <c r="O174" s="3">
        <f>VLOOKUP($A174,'SegEnds_NonXtal_BW#'!$A:$Z,11,FALSE)+VLOOKUP($A174,A:AL,16,FALSE)-50</f>
        <v>139</v>
      </c>
      <c r="P174" s="3">
        <v>171</v>
      </c>
      <c r="Q174" s="3">
        <f>VLOOKUP($A174,'SegEnds_NonXtal_BW#'!$A:$Z,12,FALSE)+VLOOKUP($A174,A:AL,16,FALSE)-50</f>
        <v>177</v>
      </c>
      <c r="R174" s="3">
        <f>IF(ISERROR(VLOOKUP($A174,'SegEnds_NonXtal_BW#'!$A:$Z,13,FALSE)+VLOOKUP($A174,A:AL,19,FALSE)-50),"-",VLOOKUP($A174,'SegEnds_NonXtal_BW#'!$A:$Z,13,FALSE)+VLOOKUP($A174,A:AL,19,FALSE)-50)</f>
        <v>178</v>
      </c>
      <c r="S174" s="3">
        <v>178</v>
      </c>
      <c r="T174" s="103">
        <f>IF(ISERROR(VLOOKUP($A174,'SegEnds_NonXtal_BW#'!$A:$Z,14,FALSE)+VLOOKUP($A174,A:AL,19,FALSE)-50),"-",(VLOOKUP($A174,'SegEnds_NonXtal_BW#'!$A:$Z,14,FALSE)+VLOOKUP($A174,A:AL,19,FALSE)-50))</f>
        <v>185</v>
      </c>
      <c r="U174" s="9">
        <f>IF(ISERROR(VLOOKUP($A174,'SegEnds_NonXtal_BW#'!$A:$Z,15,FALSE)+VLOOKUP($A174,A:AL,22,FALSE)-50),"-",VLOOKUP($A174,'SegEnds_NonXtal_BW#'!$A:$Z,15,FALSE)+VLOOKUP($A174,A:AL,22,FALSE)-50)</f>
        <v>186</v>
      </c>
      <c r="V174" s="3">
        <v>198</v>
      </c>
      <c r="W174" s="3">
        <f>IF(ISERROR(VLOOKUP($A174,'SegEnds_NonXtal_BW#'!$A:$Z,16,FALSE)+VLOOKUP($A174,A:AL,22,FALSE)-50),"-",(VLOOKUP($A174,'SegEnds_NonXtal_BW#'!$A:$Z,16,FALSE)+VLOOKUP($A174,A:AL,22,FALSE)-50))</f>
        <v>212</v>
      </c>
      <c r="X174" s="3" t="str">
        <f>IF(ISERROR(VLOOKUP($A174,'SegEnds_NonXtal_BW#'!$A:$Z,17,FALSE)+VLOOKUP($A174,A:AL,25,FALSE)-50),"-",(VLOOKUP($A174,'SegEnds_NonXtal_BW#'!$A:$Z,17,FALSE)+VLOOKUP($A174,A:AL,25,FALSE)-50))</f>
        <v>-</v>
      </c>
      <c r="Y174" s="3" t="s">
        <v>23</v>
      </c>
      <c r="Z174" s="3" t="str">
        <f>IF(ISERROR(VLOOKUP($A174,'SegEnds_NonXtal_BW#'!$A:$Z,18,FALSE)+VLOOKUP($A174,A:AL,25,FALSE)-50),"-",(VLOOKUP($A174,'SegEnds_NonXtal_BW#'!$A:$Z,18,FALSE)+VLOOKUP($A174,A:AL,25,FALSE)-50))</f>
        <v>-</v>
      </c>
      <c r="AA174" s="3">
        <f>IF(ISERROR(VLOOKUP($A174,'SegEnds_NonXtal_BW#'!$A:$Z,19,FALSE)+VLOOKUP($A174,A:AL,28,FALSE)-50),"-",(VLOOKUP($A174,'SegEnds_NonXtal_BW#'!$A:$Z,19,FALSE)+VLOOKUP($A174,A:AL,28,FALSE)-50))</f>
        <v>220</v>
      </c>
      <c r="AB174" s="3">
        <v>237</v>
      </c>
      <c r="AC174" s="3">
        <f>IF(ISERROR((VLOOKUP($A174,'SegEnds_NonXtal_BW#'!$A:$Z,20,FALSE)+VLOOKUP($A174,A:AL,28,FALSE)-50)),"-",(VLOOKUP($A174,'SegEnds_NonXtal_BW#'!$A:$Z,20,FALSE)+VLOOKUP($A174,A:AL,28,FALSE)-50))</f>
        <v>255</v>
      </c>
      <c r="AD174" s="3">
        <f>IF(ISERROR(VLOOKUP($A174,'SegEnds_NonXtal_BW#'!$A:$Z,21,FALSE)+VLOOKUP($A174,A:AL,31,FALSE)-50),"-",(VLOOKUP($A174,'SegEnds_NonXtal_BW#'!$A:$Z,21,FALSE)+VLOOKUP($A174,A:AL,31,FALSE)-50))</f>
        <v>259</v>
      </c>
      <c r="AE174" s="3">
        <v>279</v>
      </c>
      <c r="AF174" s="3">
        <f>IF(ISERROR((VLOOKUP($A174,'SegEnds_NonXtal_BW#'!$A:$Z,22,FALSE)+VLOOKUP($A174,A:AL,31,FALSE)-50)),"-",(VLOOKUP($A174,'SegEnds_NonXtal_BW#'!$A:$Z,22,FALSE)+VLOOKUP($A174,A:AL,31,FALSE)-50))</f>
        <v>290</v>
      </c>
      <c r="AG174" s="3">
        <f>IF(ISERROR(VLOOKUP($A174,'SegEnds_NonXtal_BW#'!$A:$Z,23,FALSE)+VLOOKUP($A174,A:AL,34,FALSE)-50),"-",(VLOOKUP($A174,'SegEnds_NonXtal_BW#'!$A:$Z,23,FALSE)+VLOOKUP($A174,A:AL,34,FALSE)-50))</f>
        <v>295</v>
      </c>
      <c r="AH174" s="3">
        <v>311</v>
      </c>
      <c r="AI174" s="3">
        <f>IF(ISERROR((VLOOKUP($A174,'SegEnds_NonXtal_BW#'!$A:$Z,24,FALSE)+VLOOKUP($A174,A:AL,34,FALSE)-50)),"-",(VLOOKUP($A174,'SegEnds_NonXtal_BW#'!$A:$Z,24,FALSE)+VLOOKUP($A174,A:AL,34,FALSE)-50))</f>
        <v>317</v>
      </c>
      <c r="AJ174" s="3">
        <f>IF(ISERROR(VLOOKUP($A174,'SegEnds_NonXtal_BW#'!$A:$Z,25,FALSE)+VLOOKUP($A174,A:AL,37,FALSE)-50),"-",(VLOOKUP($A174,'SegEnds_NonXtal_BW#'!$A:$Z,25,FALSE)+VLOOKUP($A174,A:AL,37,FALSE)-50))</f>
        <v>318</v>
      </c>
      <c r="AK174" s="3">
        <v>321</v>
      </c>
      <c r="AL174" s="3">
        <f>IF(ISERROR((VLOOKUP($A174,'SegEnds_NonXtal_BW#'!$A:$Z,26,FALSE)+VLOOKUP($A174,A:AL,37,FALSE)-50)),"-",(VLOOKUP($A174,'SegEnds_NonXtal_BW#'!$A:$Z,26,FALSE)+VLOOKUP($A174,A:AL,37,FALSE)-50))</f>
        <v>338</v>
      </c>
      <c r="AM174" s="28" t="str">
        <f>VLOOKUP(A174,Classification!A:B,2,FALSE)</f>
        <v>A</v>
      </c>
      <c r="AN174" s="28" t="b">
        <f t="shared" si="100"/>
        <v>1</v>
      </c>
      <c r="AO174" s="3" t="str">
        <f>IF(ISERROR(MATCH(A174,'SegEnds_Xtal_Prot#'!B:B, 0)), "NoXtal", "Xtal")</f>
        <v>NoXtal</v>
      </c>
      <c r="AP174" s="3" t="str">
        <f t="shared" si="83"/>
        <v>-</v>
      </c>
      <c r="AQ174" s="3" t="str">
        <f t="shared" si="84"/>
        <v>-</v>
      </c>
      <c r="AR174" s="3" t="str">
        <f t="shared" si="85"/>
        <v>-</v>
      </c>
      <c r="AS174" s="3" t="str">
        <f t="shared" si="86"/>
        <v>-</v>
      </c>
      <c r="AT174" s="3">
        <f t="shared" si="87"/>
        <v>1</v>
      </c>
      <c r="AU174" s="3">
        <f t="shared" si="88"/>
        <v>1</v>
      </c>
      <c r="AV174" s="3" t="str">
        <f t="shared" si="89"/>
        <v>-</v>
      </c>
      <c r="AW174" s="3" t="str">
        <f t="shared" si="90"/>
        <v>-</v>
      </c>
      <c r="AX174" s="3">
        <f t="shared" si="91"/>
        <v>4</v>
      </c>
      <c r="AY174" s="3">
        <f t="shared" si="92"/>
        <v>5</v>
      </c>
      <c r="AZ174" s="3">
        <f t="shared" si="93"/>
        <v>1</v>
      </c>
      <c r="BA174" s="3">
        <f>IF(ISERROR(LEN(VLOOKUP(A174,Seqs!A:E,2,FALSE))-AL174),"-",LEN(VLOOKUP(A174,Seqs!A:E,2,FALSE))-AL174)</f>
        <v>40</v>
      </c>
      <c r="BB174" s="16">
        <f t="shared" si="94"/>
        <v>26</v>
      </c>
      <c r="BC174" s="9">
        <f t="shared" si="95"/>
        <v>20</v>
      </c>
      <c r="BD174" s="3">
        <f t="shared" si="96"/>
        <v>26</v>
      </c>
      <c r="BE174" s="3">
        <f t="shared" si="97"/>
        <v>42</v>
      </c>
    </row>
    <row r="175" spans="1:58" s="3" customFormat="1" x14ac:dyDescent="0.2">
      <c r="A175" s="3" t="s">
        <v>296</v>
      </c>
      <c r="B175" s="3" t="str">
        <f>LOWER(VLOOKUP(A175,Xtal_Templ!A:B,2,FALSE))</f>
        <v>lpar1_human</v>
      </c>
      <c r="C175" s="3">
        <f>VLOOKUP($A175,'SegEnds_NonXtal_BW#'!$A:$Z,3,FALSE)+D175-50</f>
        <v>36</v>
      </c>
      <c r="D175" s="3">
        <v>56</v>
      </c>
      <c r="E175" s="3">
        <f>IF(ISERROR(VLOOKUP($A175,'SegEnds_NonXtal_BW#'!$A:$Z,4,FALSE)+VLOOKUP($A175,A:AL,4,FALSE)-50),"-",(VLOOKUP($A175,'SegEnds_NonXtal_BW#'!$A:$Z,4,FALSE)+VLOOKUP($A175,A:AL,4,FALSE)-50))</f>
        <v>66</v>
      </c>
      <c r="F175" s="3">
        <f>G175-2</f>
        <v>67</v>
      </c>
      <c r="G175" s="3">
        <v>69</v>
      </c>
      <c r="H175" s="3">
        <f t="shared" ref="H175:I178" si="112">G175+1</f>
        <v>70</v>
      </c>
      <c r="I175" s="3">
        <f t="shared" si="112"/>
        <v>71</v>
      </c>
      <c r="J175" s="3">
        <v>84</v>
      </c>
      <c r="K175" s="3">
        <f>VLOOKUP($A175,'SegEnds_NonXtal_BW#'!$A:$Z,8,FALSE)+VLOOKUP($A175,A:AL,10,FALSE)-50</f>
        <v>101</v>
      </c>
      <c r="L175" s="3" t="str">
        <f>IF(ISERROR(VLOOKUP($A175,'SegEnds_NonXtal_BW#'!$A:$Z,9,FALSE)+VLOOKUP($A175,A:AL,13,FALSE)-50),"-",(VLOOKUP($A175,'SegEnds_NonXtal_BW#'!$A:$Z,9,FALSE)+VLOOKUP($A175,A:AL,13,FALSE)-50))</f>
        <v>-</v>
      </c>
      <c r="M175" s="3" t="s">
        <v>23</v>
      </c>
      <c r="N175" s="3" t="str">
        <f>IF(ISERROR(VLOOKUP($A175,'SegEnds_NonXtal_BW#'!$A:$Z,10,FALSE)+VLOOKUP($A175,A:AL,13,FALSE)-50),"-",(VLOOKUP($A175,'SegEnds_NonXtal_BW#'!$A:$Z,10,FALSE)+VLOOKUP($A175,A:AL,13,FALSE)-50))</f>
        <v>-</v>
      </c>
      <c r="O175" s="3">
        <f>VLOOKUP($A175,'SegEnds_NonXtal_BW#'!$A:$Z,11,FALSE)+VLOOKUP($A175,A:AL,16,FALSE)-50</f>
        <v>110</v>
      </c>
      <c r="P175" s="3">
        <v>142</v>
      </c>
      <c r="Q175" s="3">
        <f>VLOOKUP($A175,'SegEnds_NonXtal_BW#'!$A:$Z,12,FALSE)+VLOOKUP($A175,A:AL,16,FALSE)-50</f>
        <v>148</v>
      </c>
      <c r="R175" s="3">
        <f>S175</f>
        <v>149</v>
      </c>
      <c r="S175" s="3">
        <v>149</v>
      </c>
      <c r="T175" s="103">
        <f>S175+7</f>
        <v>156</v>
      </c>
      <c r="U175" s="9">
        <f>IF(ISERROR(VLOOKUP($A175,'SegEnds_NonXtal_BW#'!$A:$Z,15,FALSE)+VLOOKUP($A175,A:AL,22,FALSE)-50),"-",VLOOKUP($A175,'SegEnds_NonXtal_BW#'!$A:$Z,15,FALSE)+VLOOKUP($A175,A:AL,22,FALSE)-50)</f>
        <v>157</v>
      </c>
      <c r="V175" s="3">
        <v>169</v>
      </c>
      <c r="W175" s="3">
        <f>IF(ISERROR(VLOOKUP($A175,'SegEnds_NonXtal_BW#'!$A:$Z,16,FALSE)+VLOOKUP($A175,A:AL,22,FALSE)-50),"-",(VLOOKUP($A175,'SegEnds_NonXtal_BW#'!$A:$Z,16,FALSE)+VLOOKUP($A175,A:AL,22,FALSE)-50))</f>
        <v>182</v>
      </c>
      <c r="X175" s="3" t="str">
        <f>IF(ISERROR(VLOOKUP($A175,'SegEnds_NonXtal_BW#'!$A:$Z,17,FALSE)+VLOOKUP($A175,A:AL,25,FALSE)-50),"-",(VLOOKUP($A175,'SegEnds_NonXtal_BW#'!$A:$Z,17,FALSE)+VLOOKUP($A175,A:AL,25,FALSE)-50))</f>
        <v>-</v>
      </c>
      <c r="Y175" s="3" t="s">
        <v>23</v>
      </c>
      <c r="Z175" s="3" t="str">
        <f>IF(ISERROR(VLOOKUP($A175,'SegEnds_NonXtal_BW#'!$A:$Z,18,FALSE)+VLOOKUP($A175,A:AL,25,FALSE)-50),"-",(VLOOKUP($A175,'SegEnds_NonXtal_BW#'!$A:$Z,18,FALSE)+VLOOKUP($A175,A:AL,25,FALSE)-50))</f>
        <v>-</v>
      </c>
      <c r="AA175" s="3">
        <f>IF(ISERROR(VLOOKUP($A175,'SegEnds_NonXtal_BW#'!$A:$Z,19,FALSE)+VLOOKUP($A175,A:AL,28,FALSE)-50),"-",(VLOOKUP($A175,'SegEnds_NonXtal_BW#'!$A:$Z,19,FALSE)+VLOOKUP($A175,A:AL,28,FALSE)-50))</f>
        <v>192</v>
      </c>
      <c r="AB175" s="9">
        <v>209</v>
      </c>
      <c r="AC175" s="3">
        <f>IF(ISERROR((VLOOKUP($A175,'SegEnds_NonXtal_BW#'!$A:$Z,20,FALSE)+VLOOKUP($A175,A:AL,28,FALSE)-50)),"-",(VLOOKUP($A175,'SegEnds_NonXtal_BW#'!$A:$Z,20,FALSE)+VLOOKUP($A175,A:AL,28,FALSE)-50))</f>
        <v>227</v>
      </c>
      <c r="AD175" s="3">
        <f>IF(ISERROR(VLOOKUP($A175,'SegEnds_NonXtal_BW#'!$A:$Z,21,FALSE)+VLOOKUP($A175,A:AL,31,FALSE)-50),"-",(VLOOKUP($A175,'SegEnds_NonXtal_BW#'!$A:$Z,21,FALSE)+VLOOKUP($A175,A:AL,31,FALSE)-50))</f>
        <v>234</v>
      </c>
      <c r="AE175" s="3">
        <v>257</v>
      </c>
      <c r="AF175" s="3">
        <f>IF(ISERROR((VLOOKUP($A175,'SegEnds_NonXtal_BW#'!$A:$Z,22,FALSE)+VLOOKUP($A175,A:AL,31,FALSE)-50)),"-",(VLOOKUP($A175,'SegEnds_NonXtal_BW#'!$A:$Z,22,FALSE)+VLOOKUP($A175,A:AL,31,FALSE)-50))</f>
        <v>268</v>
      </c>
      <c r="AG175" s="3">
        <f>IF(ISERROR(VLOOKUP($A175,'SegEnds_NonXtal_BW#'!$A:$Z,23,FALSE)+VLOOKUP($A175,A:AL,34,FALSE)-50),"-",(VLOOKUP($A175,'SegEnds_NonXtal_BW#'!$A:$Z,23,FALSE)+VLOOKUP($A175,A:AL,34,FALSE)-50))</f>
        <v>274</v>
      </c>
      <c r="AH175" s="3">
        <v>296</v>
      </c>
      <c r="AI175" s="3">
        <f>IF(ISERROR((VLOOKUP($A175,'SegEnds_NonXtal_BW#'!$A:$Z,24,FALSE)+VLOOKUP($A175,A:AL,34,FALSE)-50)),"-",(VLOOKUP($A175,'SegEnds_NonXtal_BW#'!$A:$Z,24,FALSE)+VLOOKUP($A175,A:AL,34,FALSE)-50))</f>
        <v>302</v>
      </c>
      <c r="AJ175" s="3">
        <f>IF(ISERROR(VLOOKUP($A175,'SegEnds_NonXtal_BW#'!$A:$Z,25,FALSE)+VLOOKUP($A175,A:AL,37,FALSE)-50),"-",(VLOOKUP($A175,'SegEnds_NonXtal_BW#'!$A:$Z,25,FALSE)+VLOOKUP($A175,A:AL,37,FALSE)-50))</f>
        <v>303</v>
      </c>
      <c r="AK175" s="3">
        <v>306</v>
      </c>
      <c r="AL175" s="3">
        <f>IF(ISERROR((VLOOKUP($A175,'SegEnds_NonXtal_BW#'!$A:$Z,26,FALSE)+VLOOKUP($A175,A:AL,37,FALSE)-50)),"-",(VLOOKUP($A175,'SegEnds_NonXtal_BW#'!$A:$Z,26,FALSE)+VLOOKUP($A175,A:AL,37,FALSE)-50))</f>
        <v>315</v>
      </c>
      <c r="AM175" s="28" t="str">
        <f>VLOOKUP(A175,Classification!A:B,2,FALSE)</f>
        <v>A</v>
      </c>
      <c r="AN175" s="28" t="b">
        <f t="shared" si="100"/>
        <v>1</v>
      </c>
      <c r="AO175" s="3" t="str">
        <f>IF(ISERROR(MATCH(A175,'SegEnds_Xtal_Prot#'!B:B, 0)), "NoXtal", "Xtal")</f>
        <v>NoXtal</v>
      </c>
      <c r="AP175" s="3">
        <f t="shared" si="83"/>
        <v>1</v>
      </c>
      <c r="AQ175" s="3">
        <f t="shared" si="84"/>
        <v>1</v>
      </c>
      <c r="AR175" s="3" t="str">
        <f t="shared" si="85"/>
        <v>-</v>
      </c>
      <c r="AS175" s="3" t="str">
        <f t="shared" si="86"/>
        <v>-</v>
      </c>
      <c r="AT175" s="3">
        <f t="shared" si="87"/>
        <v>1</v>
      </c>
      <c r="AU175" s="3">
        <f t="shared" si="88"/>
        <v>1</v>
      </c>
      <c r="AV175" s="3" t="str">
        <f t="shared" si="89"/>
        <v>-</v>
      </c>
      <c r="AW175" s="3" t="str">
        <f t="shared" si="90"/>
        <v>-</v>
      </c>
      <c r="AX175" s="3">
        <f t="shared" si="91"/>
        <v>7</v>
      </c>
      <c r="AY175" s="3">
        <f t="shared" si="92"/>
        <v>6</v>
      </c>
      <c r="AZ175" s="3">
        <f t="shared" si="93"/>
        <v>1</v>
      </c>
      <c r="BA175" s="3">
        <f>IF(ISERROR(LEN(VLOOKUP(A175,Seqs!A:E,2,FALSE))-AL175),"-",LEN(VLOOKUP(A175,Seqs!A:E,2,FALSE))-AL175)</f>
        <v>8</v>
      </c>
      <c r="BB175" s="16">
        <f t="shared" si="94"/>
        <v>28</v>
      </c>
      <c r="BC175" s="9">
        <f t="shared" si="95"/>
        <v>20</v>
      </c>
      <c r="BD175" s="3">
        <f t="shared" si="96"/>
        <v>28</v>
      </c>
      <c r="BE175" s="3">
        <f t="shared" si="97"/>
        <v>48</v>
      </c>
      <c r="BF175" s="3">
        <f t="shared" ref="BF175:BF181" si="113">AH175-AE175</f>
        <v>39</v>
      </c>
    </row>
    <row r="176" spans="1:58" s="3" customFormat="1" x14ac:dyDescent="0.2">
      <c r="A176" s="3" t="s">
        <v>297</v>
      </c>
      <c r="B176" s="3" t="str">
        <f>LOWER(VLOOKUP(A176,Xtal_Templ!A:B,2,FALSE))</f>
        <v>s1pr1_human</v>
      </c>
      <c r="C176" s="3">
        <f>VLOOKUP($A176,'SegEnds_NonXtal_BW#'!$A:$Z,3,FALSE)+D176-50</f>
        <v>41</v>
      </c>
      <c r="D176" s="3">
        <v>62</v>
      </c>
      <c r="E176" s="3">
        <f>IF(ISERROR(VLOOKUP($A176,'SegEnds_NonXtal_BW#'!$A:$Z,4,FALSE)+VLOOKUP($A176,A:AL,4,FALSE)-50),"-",(VLOOKUP($A176,'SegEnds_NonXtal_BW#'!$A:$Z,4,FALSE)+VLOOKUP($A176,A:AL,4,FALSE)-50))</f>
        <v>72</v>
      </c>
      <c r="F176" s="3">
        <f>G176-2</f>
        <v>73</v>
      </c>
      <c r="G176" s="3">
        <v>75</v>
      </c>
      <c r="H176" s="3">
        <f t="shared" si="112"/>
        <v>76</v>
      </c>
      <c r="I176" s="3">
        <f t="shared" si="112"/>
        <v>77</v>
      </c>
      <c r="J176" s="3">
        <v>90</v>
      </c>
      <c r="K176" s="3">
        <f>VLOOKUP($A176,'SegEnds_NonXtal_BW#'!$A:$Z,8,FALSE)+VLOOKUP($A176,A:AL,10,FALSE)-50</f>
        <v>107</v>
      </c>
      <c r="L176" s="3" t="str">
        <f>IF(ISERROR(VLOOKUP($A176,'SegEnds_NonXtal_BW#'!$A:$Z,9,FALSE)+VLOOKUP($A176,A:AL,13,FALSE)-50),"-",(VLOOKUP($A176,'SegEnds_NonXtal_BW#'!$A:$Z,9,FALSE)+VLOOKUP($A176,A:AL,13,FALSE)-50))</f>
        <v>-</v>
      </c>
      <c r="M176" s="3" t="s">
        <v>23</v>
      </c>
      <c r="N176" s="3" t="str">
        <f>IF(ISERROR(VLOOKUP($A176,'SegEnds_NonXtal_BW#'!$A:$Z,10,FALSE)+VLOOKUP($A176,A:AL,13,FALSE)-50),"-",(VLOOKUP($A176,'SegEnds_NonXtal_BW#'!$A:$Z,10,FALSE)+VLOOKUP($A176,A:AL,13,FALSE)-50))</f>
        <v>-</v>
      </c>
      <c r="O176" s="3">
        <f>VLOOKUP($A176,'SegEnds_NonXtal_BW#'!$A:$Z,11,FALSE)+VLOOKUP($A176,A:AL,16,FALSE)-50</f>
        <v>115</v>
      </c>
      <c r="P176" s="3">
        <v>147</v>
      </c>
      <c r="Q176" s="3">
        <f>VLOOKUP($A176,'SegEnds_NonXtal_BW#'!$A:$Z,12,FALSE)+VLOOKUP($A176,A:AL,16,FALSE)-50</f>
        <v>153</v>
      </c>
      <c r="R176" s="3">
        <f>S176</f>
        <v>154</v>
      </c>
      <c r="S176" s="3">
        <v>154</v>
      </c>
      <c r="T176" s="103">
        <f>S176+7</f>
        <v>161</v>
      </c>
      <c r="U176" s="9">
        <f>IF(ISERROR(VLOOKUP($A176,'SegEnds_NonXtal_BW#'!$A:$Z,15,FALSE)+VLOOKUP($A176,A:AL,22,FALSE)-50),"-",VLOOKUP($A176,'SegEnds_NonXtal_BW#'!$A:$Z,15,FALSE)+VLOOKUP($A176,A:AL,22,FALSE)-50)</f>
        <v>162</v>
      </c>
      <c r="V176" s="3">
        <v>174</v>
      </c>
      <c r="W176" s="3">
        <f>IF(ISERROR(VLOOKUP($A176,'SegEnds_NonXtal_BW#'!$A:$Z,16,FALSE)+VLOOKUP($A176,A:AL,22,FALSE)-50),"-",(VLOOKUP($A176,'SegEnds_NonXtal_BW#'!$A:$Z,16,FALSE)+VLOOKUP($A176,A:AL,22,FALSE)-50))</f>
        <v>187</v>
      </c>
      <c r="X176" s="3" t="str">
        <f>IF(ISERROR(VLOOKUP($A176,'SegEnds_NonXtal_BW#'!$A:$Z,17,FALSE)+VLOOKUP($A176,A:AL,25,FALSE)-50),"-",(VLOOKUP($A176,'SegEnds_NonXtal_BW#'!$A:$Z,17,FALSE)+VLOOKUP($A176,A:AL,25,FALSE)-50))</f>
        <v>-</v>
      </c>
      <c r="Y176" s="3" t="s">
        <v>23</v>
      </c>
      <c r="Z176" s="3" t="str">
        <f>IF(ISERROR(VLOOKUP($A176,'SegEnds_NonXtal_BW#'!$A:$Z,18,FALSE)+VLOOKUP($A176,A:AL,25,FALSE)-50),"-",(VLOOKUP($A176,'SegEnds_NonXtal_BW#'!$A:$Z,18,FALSE)+VLOOKUP($A176,A:AL,25,FALSE)-50))</f>
        <v>-</v>
      </c>
      <c r="AA176" s="3">
        <f>IF(ISERROR(VLOOKUP($A176,'SegEnds_NonXtal_BW#'!$A:$Z,19,FALSE)+VLOOKUP($A176,A:AL,28,FALSE)-50),"-",(VLOOKUP($A176,'SegEnds_NonXtal_BW#'!$A:$Z,19,FALSE)+VLOOKUP($A176,A:AL,28,FALSE)-50))</f>
        <v>197</v>
      </c>
      <c r="AB176" s="9">
        <v>214</v>
      </c>
      <c r="AC176" s="3">
        <f>IF(ISERROR((VLOOKUP($A176,'SegEnds_NonXtal_BW#'!$A:$Z,20,FALSE)+VLOOKUP($A176,A:AL,28,FALSE)-50)),"-",(VLOOKUP($A176,'SegEnds_NonXtal_BW#'!$A:$Z,20,FALSE)+VLOOKUP($A176,A:AL,28,FALSE)-50))</f>
        <v>231</v>
      </c>
      <c r="AD176" s="3">
        <f>IF(ISERROR(VLOOKUP($A176,'SegEnds_NonXtal_BW#'!$A:$Z,21,FALSE)+VLOOKUP($A176,A:AL,31,FALSE)-50),"-",(VLOOKUP($A176,'SegEnds_NonXtal_BW#'!$A:$Z,21,FALSE)+VLOOKUP($A176,A:AL,31,FALSE)-50))</f>
        <v>237</v>
      </c>
      <c r="AE176" s="3">
        <v>260</v>
      </c>
      <c r="AF176" s="3">
        <f>IF(ISERROR((VLOOKUP($A176,'SegEnds_NonXtal_BW#'!$A:$Z,22,FALSE)+VLOOKUP($A176,A:AL,31,FALSE)-50)),"-",(VLOOKUP($A176,'SegEnds_NonXtal_BW#'!$A:$Z,22,FALSE)+VLOOKUP($A176,A:AL,31,FALSE)-50))</f>
        <v>271</v>
      </c>
      <c r="AG176" s="3">
        <f>IF(ISERROR(VLOOKUP($A176,'SegEnds_NonXtal_BW#'!$A:$Z,23,FALSE)+VLOOKUP($A176,A:AL,34,FALSE)-50),"-",(VLOOKUP($A176,'SegEnds_NonXtal_BW#'!$A:$Z,23,FALSE)+VLOOKUP($A176,A:AL,34,FALSE)-50))</f>
        <v>277</v>
      </c>
      <c r="AH176" s="3">
        <v>299</v>
      </c>
      <c r="AI176" s="3">
        <f>IF(ISERROR((VLOOKUP($A176,'SegEnds_NonXtal_BW#'!$A:$Z,24,FALSE)+VLOOKUP($A176,A:AL,34,FALSE)-50)),"-",(VLOOKUP($A176,'SegEnds_NonXtal_BW#'!$A:$Z,24,FALSE)+VLOOKUP($A176,A:AL,34,FALSE)-50))</f>
        <v>305</v>
      </c>
      <c r="AJ176" s="3">
        <f>IF(ISERROR(VLOOKUP($A176,'SegEnds_NonXtal_BW#'!$A:$Z,25,FALSE)+VLOOKUP($A176,A:AL,37,FALSE)-50),"-",(VLOOKUP($A176,'SegEnds_NonXtal_BW#'!$A:$Z,25,FALSE)+VLOOKUP($A176,A:AL,37,FALSE)-50))</f>
        <v>306</v>
      </c>
      <c r="AK176" s="3">
        <v>309</v>
      </c>
      <c r="AL176" s="3">
        <f>IF(ISERROR((VLOOKUP($A176,'SegEnds_NonXtal_BW#'!$A:$Z,26,FALSE)+VLOOKUP($A176,A:AL,37,FALSE)-50)),"-",(VLOOKUP($A176,'SegEnds_NonXtal_BW#'!$A:$Z,26,FALSE)+VLOOKUP($A176,A:AL,37,FALSE)-50))</f>
        <v>318</v>
      </c>
      <c r="AM176" s="28" t="str">
        <f>VLOOKUP(A176,Classification!A:B,2,FALSE)</f>
        <v>A</v>
      </c>
      <c r="AN176" s="28" t="b">
        <f t="shared" si="100"/>
        <v>1</v>
      </c>
      <c r="AO176" s="3" t="str">
        <f>IF(ISERROR(MATCH(A176,'SegEnds_Xtal_Prot#'!B:B, 0)), "NoXtal", "Xtal")</f>
        <v>NoXtal</v>
      </c>
      <c r="AP176" s="3">
        <f t="shared" si="83"/>
        <v>1</v>
      </c>
      <c r="AQ176" s="3">
        <f t="shared" si="84"/>
        <v>1</v>
      </c>
      <c r="AR176" s="3" t="str">
        <f t="shared" si="85"/>
        <v>-</v>
      </c>
      <c r="AS176" s="3" t="str">
        <f t="shared" si="86"/>
        <v>-</v>
      </c>
      <c r="AT176" s="3">
        <f t="shared" si="87"/>
        <v>1</v>
      </c>
      <c r="AU176" s="3">
        <f t="shared" si="88"/>
        <v>1</v>
      </c>
      <c r="AV176" s="3" t="str">
        <f t="shared" si="89"/>
        <v>-</v>
      </c>
      <c r="AW176" s="3" t="str">
        <f t="shared" si="90"/>
        <v>-</v>
      </c>
      <c r="AX176" s="3">
        <f t="shared" si="91"/>
        <v>6</v>
      </c>
      <c r="AY176" s="3">
        <f t="shared" si="92"/>
        <v>6</v>
      </c>
      <c r="AZ176" s="3">
        <f t="shared" si="93"/>
        <v>1</v>
      </c>
      <c r="BA176" s="3">
        <f>IF(ISERROR(LEN(VLOOKUP(A176,Seqs!A:E,2,FALSE))-AL176),"-",LEN(VLOOKUP(A176,Seqs!A:E,2,FALSE))-AL176)</f>
        <v>14</v>
      </c>
      <c r="BB176" s="16">
        <f t="shared" si="94"/>
        <v>28</v>
      </c>
      <c r="BC176" s="9">
        <f t="shared" si="95"/>
        <v>20</v>
      </c>
      <c r="BD176" s="3">
        <f t="shared" si="96"/>
        <v>28</v>
      </c>
      <c r="BE176" s="3">
        <f t="shared" si="97"/>
        <v>46</v>
      </c>
      <c r="BF176" s="3">
        <f t="shared" si="113"/>
        <v>39</v>
      </c>
    </row>
    <row r="177" spans="1:58" s="3" customFormat="1" x14ac:dyDescent="0.2">
      <c r="A177" s="3" t="s">
        <v>298</v>
      </c>
      <c r="B177" s="3" t="str">
        <f>LOWER(VLOOKUP(A177,Xtal_Templ!A:B,2,FALSE))</f>
        <v>lpar1_human</v>
      </c>
      <c r="C177" s="3">
        <f>VLOOKUP($A177,'SegEnds_NonXtal_BW#'!$A:$Z,3,FALSE)+D177-50</f>
        <v>34</v>
      </c>
      <c r="D177" s="3">
        <v>54</v>
      </c>
      <c r="E177" s="3">
        <f>IF(ISERROR(VLOOKUP($A177,'SegEnds_NonXtal_BW#'!$A:$Z,4,FALSE)+VLOOKUP($A177,A:AL,4,FALSE)-50),"-",(VLOOKUP($A177,'SegEnds_NonXtal_BW#'!$A:$Z,4,FALSE)+VLOOKUP($A177,A:AL,4,FALSE)-50))</f>
        <v>64</v>
      </c>
      <c r="F177" s="3">
        <f>G177-2</f>
        <v>65</v>
      </c>
      <c r="G177" s="3">
        <v>67</v>
      </c>
      <c r="H177" s="3">
        <f t="shared" si="112"/>
        <v>68</v>
      </c>
      <c r="I177" s="3">
        <f t="shared" si="112"/>
        <v>69</v>
      </c>
      <c r="J177" s="3">
        <v>82</v>
      </c>
      <c r="K177" s="3">
        <f>VLOOKUP($A177,'SegEnds_NonXtal_BW#'!$A:$Z,8,FALSE)+VLOOKUP($A177,A:AL,10,FALSE)-50</f>
        <v>95</v>
      </c>
      <c r="L177" s="3" t="str">
        <f>IF(ISERROR(VLOOKUP($A177,'SegEnds_NonXtal_BW#'!$A:$Z,9,FALSE)+VLOOKUP($A177,A:AL,13,FALSE)-50),"-",(VLOOKUP($A177,'SegEnds_NonXtal_BW#'!$A:$Z,9,FALSE)+VLOOKUP($A177,A:AL,13,FALSE)-50))</f>
        <v>-</v>
      </c>
      <c r="M177" s="3" t="s">
        <v>23</v>
      </c>
      <c r="N177" s="3" t="str">
        <f>IF(ISERROR(VLOOKUP($A177,'SegEnds_NonXtal_BW#'!$A:$Z,10,FALSE)+VLOOKUP($A177,A:AL,13,FALSE)-50),"-",(VLOOKUP($A177,'SegEnds_NonXtal_BW#'!$A:$Z,10,FALSE)+VLOOKUP($A177,A:AL,13,FALSE)-50))</f>
        <v>-</v>
      </c>
      <c r="O177" s="3">
        <f>VLOOKUP($A177,'SegEnds_NonXtal_BW#'!$A:$Z,11,FALSE)+VLOOKUP($A177,A:AL,16,FALSE)-50</f>
        <v>108</v>
      </c>
      <c r="P177" s="3">
        <v>140</v>
      </c>
      <c r="Q177" s="3">
        <f>VLOOKUP($A177,'SegEnds_NonXtal_BW#'!$A:$Z,12,FALSE)+VLOOKUP($A177,A:AL,16,FALSE)-50</f>
        <v>146</v>
      </c>
      <c r="R177" s="3">
        <f>IF(ISERROR(VLOOKUP($A177,'SegEnds_NonXtal_BW#'!$A:$Z,13,FALSE)+VLOOKUP($A177,A:AL,19,FALSE)-50),"-",VLOOKUP($A177,'SegEnds_NonXtal_BW#'!$A:$Z,13,FALSE)+VLOOKUP($A177,A:AL,19,FALSE)-50)</f>
        <v>147</v>
      </c>
      <c r="S177" s="3">
        <v>147</v>
      </c>
      <c r="T177" s="103">
        <f>IF(ISERROR(VLOOKUP($A177,'SegEnds_NonXtal_BW#'!$A:$Z,14,FALSE)+VLOOKUP($A177,A:AL,19,FALSE)-50),"-",(VLOOKUP($A177,'SegEnds_NonXtal_BW#'!$A:$Z,14,FALSE)+VLOOKUP($A177,A:AL,19,FALSE)-50))</f>
        <v>154</v>
      </c>
      <c r="U177" s="9">
        <f>IF(ISERROR(VLOOKUP($A177,'SegEnds_NonXtal_BW#'!$A:$Z,15,FALSE)+VLOOKUP($A177,A:AL,22,FALSE)-50),"-",VLOOKUP($A177,'SegEnds_NonXtal_BW#'!$A:$Z,15,FALSE)+VLOOKUP($A177,A:AL,22,FALSE)-50)</f>
        <v>155</v>
      </c>
      <c r="V177" s="3">
        <v>167</v>
      </c>
      <c r="W177" s="3">
        <f>IF(ISERROR(VLOOKUP($A177,'SegEnds_NonXtal_BW#'!$A:$Z,16,FALSE)+VLOOKUP($A177,A:AL,22,FALSE)-50),"-",(VLOOKUP($A177,'SegEnds_NonXtal_BW#'!$A:$Z,16,FALSE)+VLOOKUP($A177,A:AL,22,FALSE)-50))</f>
        <v>180</v>
      </c>
      <c r="X177" s="3" t="str">
        <f>IF(ISERROR(VLOOKUP($A177,'SegEnds_NonXtal_BW#'!$A:$Z,17,FALSE)+VLOOKUP($A177,A:AL,25,FALSE)-50),"-",(VLOOKUP($A177,'SegEnds_NonXtal_BW#'!$A:$Z,17,FALSE)+VLOOKUP($A177,A:AL,25,FALSE)-50))</f>
        <v>-</v>
      </c>
      <c r="Y177" s="3" t="s">
        <v>23</v>
      </c>
      <c r="Z177" s="3" t="str">
        <f>IF(ISERROR(VLOOKUP($A177,'SegEnds_NonXtal_BW#'!$A:$Z,18,FALSE)+VLOOKUP($A177,A:AL,25,FALSE)-50),"-",(VLOOKUP($A177,'SegEnds_NonXtal_BW#'!$A:$Z,18,FALSE)+VLOOKUP($A177,A:AL,25,FALSE)-50))</f>
        <v>-</v>
      </c>
      <c r="AA177" s="3">
        <f>IF(ISERROR(VLOOKUP($A177,'SegEnds_NonXtal_BW#'!$A:$Z,19,FALSE)+VLOOKUP($A177,A:AL,28,FALSE)-50),"-",(VLOOKUP($A177,'SegEnds_NonXtal_BW#'!$A:$Z,19,FALSE)+VLOOKUP($A177,A:AL,28,FALSE)-50))</f>
        <v>190</v>
      </c>
      <c r="AB177" s="9">
        <v>207</v>
      </c>
      <c r="AC177" s="3">
        <f>IF(ISERROR((VLOOKUP($A177,'SegEnds_NonXtal_BW#'!$A:$Z,20,FALSE)+VLOOKUP($A177,A:AL,28,FALSE)-50)),"-",(VLOOKUP($A177,'SegEnds_NonXtal_BW#'!$A:$Z,20,FALSE)+VLOOKUP($A177,A:AL,28,FALSE)-50))</f>
        <v>224</v>
      </c>
      <c r="AD177" s="3">
        <f>IF(ISERROR(VLOOKUP($A177,'SegEnds_NonXtal_BW#'!$A:$Z,21,FALSE)+VLOOKUP($A177,A:AL,31,FALSE)-50),"-",(VLOOKUP($A177,'SegEnds_NonXtal_BW#'!$A:$Z,21,FALSE)+VLOOKUP($A177,A:AL,31,FALSE)-50))</f>
        <v>230</v>
      </c>
      <c r="AE177" s="3">
        <v>253</v>
      </c>
      <c r="AF177" s="3">
        <f>IF(ISERROR((VLOOKUP($A177,'SegEnds_NonXtal_BW#'!$A:$Z,22,FALSE)+VLOOKUP($A177,A:AL,31,FALSE)-50)),"-",(VLOOKUP($A177,'SegEnds_NonXtal_BW#'!$A:$Z,22,FALSE)+VLOOKUP($A177,A:AL,31,FALSE)-50))</f>
        <v>264</v>
      </c>
      <c r="AG177" s="3">
        <f>IF(ISERROR(VLOOKUP($A177,'SegEnds_NonXtal_BW#'!$A:$Z,23,FALSE)+VLOOKUP($A177,A:AL,34,FALSE)-50),"-",(VLOOKUP($A177,'SegEnds_NonXtal_BW#'!$A:$Z,23,FALSE)+VLOOKUP($A177,A:AL,34,FALSE)-50))</f>
        <v>270</v>
      </c>
      <c r="AH177" s="3">
        <v>292</v>
      </c>
      <c r="AI177" s="3">
        <f>IF(ISERROR((VLOOKUP($A177,'SegEnds_NonXtal_BW#'!$A:$Z,24,FALSE)+VLOOKUP($A177,A:AL,34,FALSE)-50)),"-",(VLOOKUP($A177,'SegEnds_NonXtal_BW#'!$A:$Z,24,FALSE)+VLOOKUP($A177,A:AL,34,FALSE)-50))</f>
        <v>298</v>
      </c>
      <c r="AJ177" s="3">
        <f>IF(ISERROR(VLOOKUP($A177,'SegEnds_NonXtal_BW#'!$A:$Z,25,FALSE)+VLOOKUP($A177,A:AL,37,FALSE)-50),"-",(VLOOKUP($A177,'SegEnds_NonXtal_BW#'!$A:$Z,25,FALSE)+VLOOKUP($A177,A:AL,37,FALSE)-50))</f>
        <v>299</v>
      </c>
      <c r="AK177" s="3">
        <v>302</v>
      </c>
      <c r="AL177" s="3">
        <f>IF(ISERROR((VLOOKUP($A177,'SegEnds_NonXtal_BW#'!$A:$Z,26,FALSE)+VLOOKUP($A177,A:AL,37,FALSE)-50)),"-",(VLOOKUP($A177,'SegEnds_NonXtal_BW#'!$A:$Z,26,FALSE)+VLOOKUP($A177,A:AL,37,FALSE)-50))</f>
        <v>311</v>
      </c>
      <c r="AM177" s="28" t="str">
        <f>VLOOKUP(A177,Classification!A:B,2,FALSE)</f>
        <v>A</v>
      </c>
      <c r="AN177" s="28" t="b">
        <f t="shared" si="100"/>
        <v>1</v>
      </c>
      <c r="AO177" s="3" t="str">
        <f>IF(ISERROR(MATCH(A177,'SegEnds_Xtal_Prot#'!B:B, 0)), "NoXtal", "Xtal")</f>
        <v>NoXtal</v>
      </c>
      <c r="AP177" s="3">
        <f t="shared" si="83"/>
        <v>1</v>
      </c>
      <c r="AQ177" s="3">
        <f t="shared" si="84"/>
        <v>1</v>
      </c>
      <c r="AR177" s="3" t="str">
        <f t="shared" si="85"/>
        <v>-</v>
      </c>
      <c r="AS177" s="3" t="str">
        <f t="shared" si="86"/>
        <v>-</v>
      </c>
      <c r="AT177" s="3">
        <f t="shared" si="87"/>
        <v>1</v>
      </c>
      <c r="AU177" s="3">
        <f t="shared" si="88"/>
        <v>1</v>
      </c>
      <c r="AV177" s="3" t="str">
        <f t="shared" si="89"/>
        <v>-</v>
      </c>
      <c r="AW177" s="3" t="str">
        <f t="shared" si="90"/>
        <v>-</v>
      </c>
      <c r="AX177" s="3">
        <f t="shared" si="91"/>
        <v>6</v>
      </c>
      <c r="AY177" s="3">
        <f t="shared" si="92"/>
        <v>6</v>
      </c>
      <c r="AZ177" s="3">
        <f t="shared" si="93"/>
        <v>1</v>
      </c>
      <c r="BA177" s="3">
        <f>IF(ISERROR(LEN(VLOOKUP(A177,Seqs!A:E,2,FALSE))-AL177),"-",LEN(VLOOKUP(A177,Seqs!A:E,2,FALSE))-AL177)</f>
        <v>14</v>
      </c>
      <c r="BB177" s="16">
        <f t="shared" si="94"/>
        <v>28</v>
      </c>
      <c r="BC177" s="9">
        <f t="shared" si="95"/>
        <v>20</v>
      </c>
      <c r="BD177" s="3">
        <f t="shared" si="96"/>
        <v>28</v>
      </c>
      <c r="BE177" s="3">
        <f t="shared" si="97"/>
        <v>46</v>
      </c>
      <c r="BF177" s="3">
        <f t="shared" si="113"/>
        <v>39</v>
      </c>
    </row>
    <row r="178" spans="1:58" s="3" customFormat="1" x14ac:dyDescent="0.2">
      <c r="A178" s="3" t="s">
        <v>299</v>
      </c>
      <c r="B178" s="3" t="str">
        <f>LOWER(VLOOKUP(A178,Xtal_Templ!A:B,2,FALSE))</f>
        <v>oprk_human</v>
      </c>
      <c r="C178" s="3">
        <f>VLOOKUP($A178,'SegEnds_NonXtal_BW#'!$A:$Z,3,FALSE)+D178-50</f>
        <v>107</v>
      </c>
      <c r="D178" s="3">
        <v>127</v>
      </c>
      <c r="E178" s="3">
        <f>IF(ISERROR(VLOOKUP($A178,'SegEnds_NonXtal_BW#'!$A:$Z,4,FALSE)+VLOOKUP($A178,A:AL,4,FALSE)-50),"-",(VLOOKUP($A178,'SegEnds_NonXtal_BW#'!$A:$Z,4,FALSE)+VLOOKUP($A178,A:AL,4,FALSE)-50))</f>
        <v>137</v>
      </c>
      <c r="F178" s="3">
        <f>G178-2</f>
        <v>138</v>
      </c>
      <c r="G178" s="3">
        <v>140</v>
      </c>
      <c r="H178" s="3">
        <f t="shared" si="112"/>
        <v>141</v>
      </c>
      <c r="I178" s="3">
        <f t="shared" si="112"/>
        <v>142</v>
      </c>
      <c r="J178" s="3">
        <v>158</v>
      </c>
      <c r="K178" s="3">
        <f>VLOOKUP($A178,'SegEnds_NonXtal_BW#'!$A:$Z,8,FALSE)+VLOOKUP($A178,A:AL,10,FALSE)-50</f>
        <v>174</v>
      </c>
      <c r="L178" s="3">
        <f>M178-1</f>
        <v>177</v>
      </c>
      <c r="M178" s="3">
        <v>178</v>
      </c>
      <c r="N178" s="3">
        <f>M178+2</f>
        <v>180</v>
      </c>
      <c r="O178" s="3">
        <f>N178+1</f>
        <v>181</v>
      </c>
      <c r="P178" s="3">
        <v>210</v>
      </c>
      <c r="Q178" s="3">
        <f>VLOOKUP($A178,'SegEnds_NonXtal_BW#'!$A:$Z,12,FALSE)+VLOOKUP($A178,A:AL,16,FALSE)-50</f>
        <v>216</v>
      </c>
      <c r="R178" s="3">
        <f>IF(ISERROR(VLOOKUP($A178,'SegEnds_NonXtal_BW#'!$A:$Z,13,FALSE)+VLOOKUP($A178,A:AL,19,FALSE)-50),"-",VLOOKUP($A178,'SegEnds_NonXtal_BW#'!$A:$Z,13,FALSE)+VLOOKUP($A178,A:AL,19,FALSE)-50)</f>
        <v>217</v>
      </c>
      <c r="S178" s="3">
        <v>217</v>
      </c>
      <c r="T178" s="103">
        <f>IF(ISERROR(VLOOKUP($A178,'SegEnds_NonXtal_BW#'!$A:$Z,14,FALSE)+VLOOKUP($A178,A:AL,19,FALSE)-50),"-",(VLOOKUP($A178,'SegEnds_NonXtal_BW#'!$A:$Z,14,FALSE)+VLOOKUP($A178,A:AL,19,FALSE)-50))</f>
        <v>224</v>
      </c>
      <c r="U178" s="9">
        <f>IF(ISERROR(VLOOKUP($A178,'SegEnds_NonXtal_BW#'!$A:$Z,15,FALSE)+VLOOKUP($A178,A:AL,22,FALSE)-50),"-",VLOOKUP($A178,'SegEnds_NonXtal_BW#'!$A:$Z,15,FALSE)+VLOOKUP($A178,A:AL,22,FALSE)-50)</f>
        <v>225</v>
      </c>
      <c r="V178" s="3">
        <v>237</v>
      </c>
      <c r="W178" s="3">
        <f>IF(ISERROR(VLOOKUP($A178,'SegEnds_NonXtal_BW#'!$A:$Z,16,FALSE)+VLOOKUP($A178,A:AL,22,FALSE)-50),"-",(VLOOKUP($A178,'SegEnds_NonXtal_BW#'!$A:$Z,16,FALSE)+VLOOKUP($A178,A:AL,22,FALSE)-50))</f>
        <v>251</v>
      </c>
      <c r="X178" s="3">
        <f>IF(ISERROR(VLOOKUP($A178,'SegEnds_NonXtal_BW#'!$A:$Z,17,FALSE)+VLOOKUP($A178,A:AL,25,FALSE)-50),"-",(VLOOKUP($A178,'SegEnds_NonXtal_BW#'!$A:$Z,17,FALSE)+VLOOKUP($A178,A:AL,25,FALSE)-50))</f>
        <v>263</v>
      </c>
      <c r="Y178" s="3">
        <v>263</v>
      </c>
      <c r="Z178" s="3">
        <f>Y178+2</f>
        <v>265</v>
      </c>
      <c r="AA178" s="3">
        <f>IF(ISERROR(VLOOKUP($A178,'SegEnds_NonXtal_BW#'!$A:$Z,19,FALSE)+VLOOKUP($A178,A:AL,28,FALSE)-50),"-",(VLOOKUP($A178,'SegEnds_NonXtal_BW#'!$A:$Z,19,FALSE)+VLOOKUP($A178,A:AL,28,FALSE)-50))</f>
        <v>270</v>
      </c>
      <c r="AB178" s="3">
        <v>289</v>
      </c>
      <c r="AC178" s="3">
        <f>IF(ISERROR((VLOOKUP($A178,'SegEnds_NonXtal_BW#'!$A:$Z,20,FALSE)+VLOOKUP($A178,A:AL,28,FALSE)-50)),"-",(VLOOKUP($A178,'SegEnds_NonXtal_BW#'!$A:$Z,20,FALSE)+VLOOKUP($A178,A:AL,28,FALSE)-50))</f>
        <v>307</v>
      </c>
      <c r="AD178" s="3">
        <f>IF(ISERROR(VLOOKUP($A178,'SegEnds_NonXtal_BW#'!$A:$Z,21,FALSE)+VLOOKUP($A178,A:AL,31,FALSE)-50),"-",(VLOOKUP($A178,'SegEnds_NonXtal_BW#'!$A:$Z,21,FALSE)+VLOOKUP($A178,A:AL,31,FALSE)-50))</f>
        <v>313</v>
      </c>
      <c r="AE178" s="3">
        <v>340</v>
      </c>
      <c r="AF178" s="3">
        <f>IF(ISERROR((VLOOKUP($A178,'SegEnds_NonXtal_BW#'!$A:$Z,22,FALSE)+VLOOKUP($A178,A:AL,31,FALSE)-50)),"-",(VLOOKUP($A178,'SegEnds_NonXtal_BW#'!$A:$Z,22,FALSE)+VLOOKUP($A178,A:AL,31,FALSE)-50))</f>
        <v>351</v>
      </c>
      <c r="AG178" s="3">
        <f>IF(ISERROR(VLOOKUP($A178,'SegEnds_NonXtal_BW#'!$A:$Z,23,FALSE)+VLOOKUP($A178,A:AL,34,FALSE)-50),"-",(VLOOKUP($A178,'SegEnds_NonXtal_BW#'!$A:$Z,23,FALSE)+VLOOKUP($A178,A:AL,34,FALSE)-50))</f>
        <v>358</v>
      </c>
      <c r="AH178" s="3">
        <v>377</v>
      </c>
      <c r="AI178" s="3">
        <f>IF(ISERROR((VLOOKUP($A178,'SegEnds_NonXtal_BW#'!$A:$Z,24,FALSE)+VLOOKUP($A178,A:AL,34,FALSE)-50)),"-",(VLOOKUP($A178,'SegEnds_NonXtal_BW#'!$A:$Z,24,FALSE)+VLOOKUP($A178,A:AL,34,FALSE)-50))</f>
        <v>383</v>
      </c>
      <c r="AJ178" s="3">
        <f>IF(ISERROR(VLOOKUP($A178,'SegEnds_NonXtal_BW#'!$A:$Z,25,FALSE)+VLOOKUP($A178,A:AL,37,FALSE)-50),"-",(VLOOKUP($A178,'SegEnds_NonXtal_BW#'!$A:$Z,25,FALSE)+VLOOKUP($A178,A:AL,37,FALSE)-50))</f>
        <v>384</v>
      </c>
      <c r="AK178" s="3">
        <v>387</v>
      </c>
      <c r="AL178" s="3">
        <f>IF(ISERROR((VLOOKUP($A178,'SegEnds_NonXtal_BW#'!$A:$Z,26,FALSE)+VLOOKUP($A178,A:AL,37,FALSE)-50)),"-",(VLOOKUP($A178,'SegEnds_NonXtal_BW#'!$A:$Z,26,FALSE)+VLOOKUP($A178,A:AL,37,FALSE)-50))</f>
        <v>396</v>
      </c>
      <c r="AM178" s="28" t="str">
        <f>VLOOKUP(A178,Classification!A:B,2,FALSE)</f>
        <v>A</v>
      </c>
      <c r="AN178" s="28" t="b">
        <f t="shared" si="100"/>
        <v>1</v>
      </c>
      <c r="AO178" s="3" t="str">
        <f>IF(ISERROR(MATCH(A178,'SegEnds_Xtal_Prot#'!B:B, 0)), "NoXtal", "Xtal")</f>
        <v>NoXtal</v>
      </c>
      <c r="AP178" s="3">
        <f t="shared" si="83"/>
        <v>1</v>
      </c>
      <c r="AQ178" s="3">
        <f t="shared" si="84"/>
        <v>1</v>
      </c>
      <c r="AR178" s="3">
        <f t="shared" si="85"/>
        <v>3</v>
      </c>
      <c r="AS178" s="3">
        <f t="shared" si="86"/>
        <v>1</v>
      </c>
      <c r="AT178" s="3">
        <f t="shared" si="87"/>
        <v>1</v>
      </c>
      <c r="AU178" s="3">
        <f t="shared" si="88"/>
        <v>1</v>
      </c>
      <c r="AV178" s="3">
        <f t="shared" si="89"/>
        <v>12</v>
      </c>
      <c r="AW178" s="3">
        <f t="shared" si="90"/>
        <v>5</v>
      </c>
      <c r="AX178" s="3">
        <f t="shared" si="91"/>
        <v>6</v>
      </c>
      <c r="AY178" s="3">
        <f t="shared" si="92"/>
        <v>7</v>
      </c>
      <c r="AZ178" s="3">
        <f t="shared" si="93"/>
        <v>1</v>
      </c>
      <c r="BA178" s="3">
        <f>IF(ISERROR(LEN(VLOOKUP(A178,Seqs!A:E,2,FALSE))-AL178),"-",LEN(VLOOKUP(A178,Seqs!A:E,2,FALSE))-AL178)</f>
        <v>26</v>
      </c>
      <c r="BB178" s="16">
        <f t="shared" si="94"/>
        <v>31</v>
      </c>
      <c r="BC178" s="9">
        <f t="shared" si="95"/>
        <v>20</v>
      </c>
      <c r="BD178" s="3">
        <f t="shared" si="96"/>
        <v>31</v>
      </c>
      <c r="BE178" s="3">
        <f t="shared" si="97"/>
        <v>51</v>
      </c>
      <c r="BF178" s="3">
        <f t="shared" si="113"/>
        <v>37</v>
      </c>
    </row>
    <row r="179" spans="1:58" s="3" customFormat="1" x14ac:dyDescent="0.2">
      <c r="A179" s="3" t="s">
        <v>300</v>
      </c>
      <c r="B179" s="3" t="str">
        <f>LOWER(VLOOKUP(A179,Xtal_Templ!A:B,2,FALSE))</f>
        <v>oprd_human</v>
      </c>
      <c r="C179" s="3">
        <f>VLOOKUP($A179,'SegEnds_NonXtal_BW#'!$A:$Z,3,FALSE)+D179-50</f>
        <v>24</v>
      </c>
      <c r="D179" s="3">
        <v>52</v>
      </c>
      <c r="E179" s="3">
        <f>IF(ISERROR(VLOOKUP($A179,'SegEnds_NonXtal_BW#'!$A:$Z,4,FALSE)+VLOOKUP($A179,A:AL,4,FALSE)-50),"-",(VLOOKUP($A179,'SegEnds_NonXtal_BW#'!$A:$Z,4,FALSE)+VLOOKUP($A179,A:AL,4,FALSE)-50))</f>
        <v>62</v>
      </c>
      <c r="F179" s="3" t="str">
        <f>IF(ISERROR(VLOOKUP($A179,'SegEnds_NonXtal_BW#'!$A:$Z,5,FALSE)+VLOOKUP($A179,A:AL,7,FALSE)-50),"-",(VLOOKUP($A179,'SegEnds_NonXtal_BW#'!$A:$Z,5,FALSE)+VLOOKUP($A179,A:AL,7,FALSE)-50))</f>
        <v>-</v>
      </c>
      <c r="G179" s="3" t="s">
        <v>23</v>
      </c>
      <c r="H179" s="3" t="str">
        <f>IF(ISERROR(VLOOKUP($A179,'SegEnds_NonXtal_BW#'!$A:$Z,6,FALSE)+VLOOKUP($A179,A:AL,7,FALSE)-50),"-",(VLOOKUP($A179,'SegEnds_NonXtal_BW#'!$A:$Z,6,FALSE)+VLOOKUP($A179,A:AL,7,FALSE)-50))</f>
        <v>-</v>
      </c>
      <c r="I179" s="3">
        <f>VLOOKUP($A179,'SegEnds_NonXtal_BW#'!$A:$Z,7,FALSE)+J179-50</f>
        <v>66</v>
      </c>
      <c r="J179" s="3">
        <v>79</v>
      </c>
      <c r="K179" s="3">
        <f>VLOOKUP($A179,'SegEnds_NonXtal_BW#'!$A:$Z,8,FALSE)+VLOOKUP($A179,A:AL,10,FALSE)-50</f>
        <v>95</v>
      </c>
      <c r="L179" s="3">
        <f>M179-1</f>
        <v>98</v>
      </c>
      <c r="M179" s="3">
        <v>99</v>
      </c>
      <c r="N179" s="3">
        <f>M179+2</f>
        <v>101</v>
      </c>
      <c r="O179" s="3">
        <f>N179+1</f>
        <v>102</v>
      </c>
      <c r="P179" s="3">
        <v>131</v>
      </c>
      <c r="Q179" s="3">
        <f>VLOOKUP($A179,'SegEnds_NonXtal_BW#'!$A:$Z,12,FALSE)+VLOOKUP($A179,A:AL,16,FALSE)-50</f>
        <v>137</v>
      </c>
      <c r="R179" s="3">
        <f>IF(ISERROR(VLOOKUP($A179,'SegEnds_NonXtal_BW#'!$A:$Z,13,FALSE)+VLOOKUP($A179,A:AL,19,FALSE)-50),"-",VLOOKUP($A179,'SegEnds_NonXtal_BW#'!$A:$Z,13,FALSE)+VLOOKUP($A179,A:AL,19,FALSE)-50)</f>
        <v>138</v>
      </c>
      <c r="S179" s="3">
        <v>138</v>
      </c>
      <c r="T179" s="103">
        <f>IF(ISERROR(VLOOKUP($A179,'SegEnds_NonXtal_BW#'!$A:$Z,14,FALSE)+VLOOKUP($A179,A:AL,19,FALSE)-50),"-",(VLOOKUP($A179,'SegEnds_NonXtal_BW#'!$A:$Z,14,FALSE)+VLOOKUP($A179,A:AL,19,FALSE)-50))</f>
        <v>145</v>
      </c>
      <c r="U179" s="9">
        <f>IF(ISERROR(VLOOKUP($A179,'SegEnds_NonXtal_BW#'!$A:$Z,15,FALSE)+VLOOKUP($A179,A:AL,22,FALSE)-50),"-",VLOOKUP($A179,'SegEnds_NonXtal_BW#'!$A:$Z,15,FALSE)+VLOOKUP($A179,A:AL,22,FALSE)-50)</f>
        <v>146</v>
      </c>
      <c r="V179" s="3">
        <v>158</v>
      </c>
      <c r="W179" s="3">
        <f>IF(ISERROR(VLOOKUP($A179,'SegEnds_NonXtal_BW#'!$A:$Z,16,FALSE)+VLOOKUP($A179,A:AL,22,FALSE)-50),"-",(VLOOKUP($A179,'SegEnds_NonXtal_BW#'!$A:$Z,16,FALSE)+VLOOKUP($A179,A:AL,22,FALSE)-50))</f>
        <v>172</v>
      </c>
      <c r="X179" s="3">
        <f>IF(ISERROR(VLOOKUP($A179,'SegEnds_NonXtal_BW#'!$A:$Z,17,FALSE)+VLOOKUP($A179,A:AL,25,FALSE)-50),"-",(VLOOKUP($A179,'SegEnds_NonXtal_BW#'!$A:$Z,17,FALSE)+VLOOKUP($A179,A:AL,25,FALSE)-50))</f>
        <v>184</v>
      </c>
      <c r="Y179" s="3">
        <v>184</v>
      </c>
      <c r="Z179" s="3">
        <f>Y179+2</f>
        <v>186</v>
      </c>
      <c r="AA179" s="3">
        <f>IF(ISERROR(VLOOKUP($A179,'SegEnds_NonXtal_BW#'!$A:$Z,19,FALSE)+VLOOKUP($A179,A:AL,28,FALSE)-50),"-",(VLOOKUP($A179,'SegEnds_NonXtal_BW#'!$A:$Z,19,FALSE)+VLOOKUP($A179,A:AL,28,FALSE)-50))</f>
        <v>190</v>
      </c>
      <c r="AB179" s="3">
        <v>209</v>
      </c>
      <c r="AC179" s="3">
        <f>IF(ISERROR((VLOOKUP($A179,'SegEnds_NonXtal_BW#'!$A:$Z,20,FALSE)+VLOOKUP($A179,A:AL,28,FALSE)-50)),"-",(VLOOKUP($A179,'SegEnds_NonXtal_BW#'!$A:$Z,20,FALSE)+VLOOKUP($A179,A:AL,28,FALSE)-50))</f>
        <v>231</v>
      </c>
      <c r="AD179" s="3">
        <f>IF(ISERROR(VLOOKUP($A179,'SegEnds_NonXtal_BW#'!$A:$Z,21,FALSE)+VLOOKUP($A179,A:AL,31,FALSE)-50),"-",(VLOOKUP($A179,'SegEnds_NonXtal_BW#'!$A:$Z,21,FALSE)+VLOOKUP($A179,A:AL,31,FALSE)-50))</f>
        <v>240</v>
      </c>
      <c r="AE179" s="3">
        <v>266</v>
      </c>
      <c r="AF179" s="3">
        <f>IF(ISERROR((VLOOKUP($A179,'SegEnds_NonXtal_BW#'!$A:$Z,22,FALSE)+VLOOKUP($A179,A:AL,31,FALSE)-50)),"-",(VLOOKUP($A179,'SegEnds_NonXtal_BW#'!$A:$Z,22,FALSE)+VLOOKUP($A179,A:AL,31,FALSE)-50))</f>
        <v>277</v>
      </c>
      <c r="AG179" s="3">
        <f>IF(ISERROR(VLOOKUP($A179,'SegEnds_NonXtal_BW#'!$A:$Z,23,FALSE)+VLOOKUP($A179,A:AL,34,FALSE)-50),"-",(VLOOKUP($A179,'SegEnds_NonXtal_BW#'!$A:$Z,23,FALSE)+VLOOKUP($A179,A:AL,34,FALSE)-50))</f>
        <v>284</v>
      </c>
      <c r="AH179" s="3">
        <v>303</v>
      </c>
      <c r="AI179" s="3">
        <f>IF(ISERROR((VLOOKUP($A179,'SegEnds_NonXtal_BW#'!$A:$Z,24,FALSE)+VLOOKUP($A179,A:AL,34,FALSE)-50)),"-",(VLOOKUP($A179,'SegEnds_NonXtal_BW#'!$A:$Z,24,FALSE)+VLOOKUP($A179,A:AL,34,FALSE)-50))</f>
        <v>309</v>
      </c>
      <c r="AJ179" s="3">
        <f>IF(ISERROR(VLOOKUP($A179,'SegEnds_NonXtal_BW#'!$A:$Z,25,FALSE)+VLOOKUP($A179,A:AL,37,FALSE)-50),"-",(VLOOKUP($A179,'SegEnds_NonXtal_BW#'!$A:$Z,25,FALSE)+VLOOKUP($A179,A:AL,37,FALSE)-50))</f>
        <v>310</v>
      </c>
      <c r="AK179" s="3">
        <v>313</v>
      </c>
      <c r="AL179" s="3">
        <f>IF(ISERROR((VLOOKUP($A179,'SegEnds_NonXtal_BW#'!$A:$Z,26,FALSE)+VLOOKUP($A179,A:AL,37,FALSE)-50)),"-",(VLOOKUP($A179,'SegEnds_NonXtal_BW#'!$A:$Z,26,FALSE)+VLOOKUP($A179,A:AL,37,FALSE)-50))</f>
        <v>323</v>
      </c>
      <c r="AM179" s="28" t="str">
        <f>VLOOKUP(A179,Classification!A:B,2,FALSE)</f>
        <v>A</v>
      </c>
      <c r="AN179" s="28" t="b">
        <f t="shared" si="100"/>
        <v>1</v>
      </c>
      <c r="AO179" s="3" t="str">
        <f>IF(ISERROR(MATCH(A179,'SegEnds_Xtal_Prot#'!B:B, 0)), "NoXtal", "Xtal")</f>
        <v>NoXtal</v>
      </c>
      <c r="AP179" s="3" t="str">
        <f t="shared" si="83"/>
        <v>-</v>
      </c>
      <c r="AQ179" s="3" t="str">
        <f t="shared" si="84"/>
        <v>-</v>
      </c>
      <c r="AR179" s="3">
        <f t="shared" si="85"/>
        <v>3</v>
      </c>
      <c r="AS179" s="3">
        <f t="shared" si="86"/>
        <v>1</v>
      </c>
      <c r="AT179" s="3">
        <f t="shared" si="87"/>
        <v>1</v>
      </c>
      <c r="AU179" s="3">
        <f t="shared" si="88"/>
        <v>1</v>
      </c>
      <c r="AV179" s="3">
        <f t="shared" si="89"/>
        <v>12</v>
      </c>
      <c r="AW179" s="3">
        <f t="shared" si="90"/>
        <v>4</v>
      </c>
      <c r="AX179" s="3">
        <f t="shared" si="91"/>
        <v>9</v>
      </c>
      <c r="AY179" s="3">
        <f t="shared" si="92"/>
        <v>7</v>
      </c>
      <c r="AZ179" s="3">
        <f t="shared" si="93"/>
        <v>1</v>
      </c>
      <c r="BA179" s="3">
        <f>IF(ISERROR(LEN(VLOOKUP(A179,Seqs!A:E,2,FALSE))-AL179),"-",LEN(VLOOKUP(A179,Seqs!A:E,2,FALSE))-AL179)</f>
        <v>17</v>
      </c>
      <c r="BB179" s="16">
        <f t="shared" si="94"/>
        <v>27</v>
      </c>
      <c r="BC179" s="9">
        <f t="shared" si="95"/>
        <v>20</v>
      </c>
      <c r="BD179" s="3">
        <f t="shared" si="96"/>
        <v>27</v>
      </c>
      <c r="BE179" s="3">
        <f t="shared" si="97"/>
        <v>57</v>
      </c>
      <c r="BF179" s="3">
        <f t="shared" si="113"/>
        <v>37</v>
      </c>
    </row>
    <row r="180" spans="1:58" s="3" customFormat="1" x14ac:dyDescent="0.2">
      <c r="A180" s="3" t="s">
        <v>301</v>
      </c>
      <c r="B180" s="3" t="str">
        <f>LOWER(VLOOKUP(A180,Xtal_Templ!A:B,2,FALSE))</f>
        <v>agtr1_human</v>
      </c>
      <c r="C180" s="3">
        <f>VLOOKUP($A180,'SegEnds_NonXtal_BW#'!$A:$Z,3,FALSE)+D180-50</f>
        <v>25</v>
      </c>
      <c r="D180" s="3">
        <v>45</v>
      </c>
      <c r="E180" s="3">
        <f>IF(ISERROR(VLOOKUP($A180,'SegEnds_NonXtal_BW#'!$A:$Z,4,FALSE)+VLOOKUP($A180,A:AL,4,FALSE)-50),"-",(VLOOKUP($A180,'SegEnds_NonXtal_BW#'!$A:$Z,4,FALSE)+VLOOKUP($A180,A:AL,4,FALSE)-50))</f>
        <v>55</v>
      </c>
      <c r="F180" s="3" t="str">
        <f>IF(ISERROR(VLOOKUP($A180,'SegEnds_NonXtal_BW#'!$A:$Z,5,FALSE)+VLOOKUP($A180,A:AL,7,FALSE)-50),"-",(VLOOKUP($A180,'SegEnds_NonXtal_BW#'!$A:$Z,5,FALSE)+VLOOKUP($A180,A:AL,7,FALSE)-50))</f>
        <v>-</v>
      </c>
      <c r="G180" s="3" t="s">
        <v>23</v>
      </c>
      <c r="H180" s="3" t="str">
        <f>IF(ISERROR(VLOOKUP($A180,'SegEnds_NonXtal_BW#'!$A:$Z,6,FALSE)+VLOOKUP($A180,A:AL,7,FALSE)-50),"-",(VLOOKUP($A180,'SegEnds_NonXtal_BW#'!$A:$Z,6,FALSE)+VLOOKUP($A180,A:AL,7,FALSE)-50))</f>
        <v>-</v>
      </c>
      <c r="I180" s="3">
        <f>VLOOKUP($A180,'SegEnds_NonXtal_BW#'!$A:$Z,7,FALSE)+J180-50</f>
        <v>59</v>
      </c>
      <c r="J180" s="3">
        <v>72</v>
      </c>
      <c r="K180" s="3">
        <f>VLOOKUP($A180,'SegEnds_NonXtal_BW#'!$A:$Z,8,FALSE)+VLOOKUP($A180,A:AL,10,FALSE)-50</f>
        <v>88</v>
      </c>
      <c r="L180" s="3" t="str">
        <f>IF(ISERROR(VLOOKUP($A180,'SegEnds_NonXtal_BW#'!$A:$Z,9,FALSE)+VLOOKUP($A180,A:AL,13,FALSE)-50),"-",(VLOOKUP($A180,'SegEnds_NonXtal_BW#'!$A:$Z,9,FALSE)+VLOOKUP($A180,A:AL,13,FALSE)-50))</f>
        <v>-</v>
      </c>
      <c r="M180" s="3" t="s">
        <v>23</v>
      </c>
      <c r="N180" s="3" t="str">
        <f>IF(ISERROR(VLOOKUP($A180,'SegEnds_NonXtal_BW#'!$A:$Z,10,FALSE)+VLOOKUP($A180,A:AL,13,FALSE)-50),"-",(VLOOKUP($A180,'SegEnds_NonXtal_BW#'!$A:$Z,10,FALSE)+VLOOKUP($A180,A:AL,13,FALSE)-50))</f>
        <v>-</v>
      </c>
      <c r="O180" s="3">
        <f>VLOOKUP($A180,'SegEnds_NonXtal_BW#'!$A:$Z,11,FALSE)+VLOOKUP($A180,A:AL,16,FALSE)-50</f>
        <v>94</v>
      </c>
      <c r="P180" s="3">
        <v>123</v>
      </c>
      <c r="Q180" s="3">
        <f>VLOOKUP($A180,'SegEnds_NonXtal_BW#'!$A:$Z,12,FALSE)+VLOOKUP($A180,A:AL,16,FALSE)-50</f>
        <v>129</v>
      </c>
      <c r="R180" s="3">
        <f>IF(ISERROR(VLOOKUP($A180,'SegEnds_NonXtal_BW#'!$A:$Z,13,FALSE)+VLOOKUP($A180,A:AL,19,FALSE)-50),"-",VLOOKUP($A180,'SegEnds_NonXtal_BW#'!$A:$Z,13,FALSE)+VLOOKUP($A180,A:AL,19,FALSE)-50)</f>
        <v>130</v>
      </c>
      <c r="S180" s="3">
        <v>130</v>
      </c>
      <c r="T180" s="103">
        <f>IF(ISERROR(VLOOKUP($A180,'SegEnds_NonXtal_BW#'!$A:$Z,14,FALSE)+VLOOKUP($A180,A:AL,19,FALSE)-50),"-",(VLOOKUP($A180,'SegEnds_NonXtal_BW#'!$A:$Z,14,FALSE)+VLOOKUP($A180,A:AL,19,FALSE)-50))</f>
        <v>137</v>
      </c>
      <c r="U180" s="9">
        <f>IF(ISERROR(VLOOKUP($A180,'SegEnds_NonXtal_BW#'!$A:$Z,15,FALSE)+VLOOKUP($A180,A:AL,22,FALSE)-50),"-",VLOOKUP($A180,'SegEnds_NonXtal_BW#'!$A:$Z,15,FALSE)+VLOOKUP($A180,A:AL,22,FALSE)-50)</f>
        <v>138</v>
      </c>
      <c r="V180" s="3">
        <v>150</v>
      </c>
      <c r="W180" s="3">
        <f>IF(ISERROR(VLOOKUP($A180,'SegEnds_NonXtal_BW#'!$A:$Z,16,FALSE)+VLOOKUP($A180,A:AL,22,FALSE)-50),"-",(VLOOKUP($A180,'SegEnds_NonXtal_BW#'!$A:$Z,16,FALSE)+VLOOKUP($A180,A:AL,22,FALSE)-50))</f>
        <v>164</v>
      </c>
      <c r="X180" s="3" t="str">
        <f>IF(ISERROR(VLOOKUP($A180,'SegEnds_NonXtal_BW#'!$A:$Z,17,FALSE)+VLOOKUP($A180,A:AL,25,FALSE)-50),"-",(VLOOKUP($A180,'SegEnds_NonXtal_BW#'!$A:$Z,17,FALSE)+VLOOKUP($A180,A:AL,25,FALSE)-50))</f>
        <v>-</v>
      </c>
      <c r="Y180" s="3" t="s">
        <v>23</v>
      </c>
      <c r="Z180" s="3" t="str">
        <f>IF(ISERROR(VLOOKUP($A180,'SegEnds_NonXtal_BW#'!$A:$Z,18,FALSE)+VLOOKUP($A180,A:AL,25,FALSE)-50),"-",(VLOOKUP($A180,'SegEnds_NonXtal_BW#'!$A:$Z,18,FALSE)+VLOOKUP($A180,A:AL,25,FALSE)-50))</f>
        <v>-</v>
      </c>
      <c r="AA180" s="3">
        <f>IF(ISERROR(VLOOKUP($A180,'SegEnds_NonXtal_BW#'!$A:$Z,19,FALSE)+VLOOKUP($A180,A:AL,28,FALSE)-50),"-",(VLOOKUP($A180,'SegEnds_NonXtal_BW#'!$A:$Z,19,FALSE)+VLOOKUP($A180,A:AL,28,FALSE)-50))</f>
        <v>176</v>
      </c>
      <c r="AB180" s="3">
        <v>192</v>
      </c>
      <c r="AC180" s="3">
        <f>IF(ISERROR((VLOOKUP($A180,'SegEnds_NonXtal_BW#'!$A:$Z,20,FALSE)+VLOOKUP($A180,A:AL,28,FALSE)-50)),"-",(VLOOKUP($A180,'SegEnds_NonXtal_BW#'!$A:$Z,20,FALSE)+VLOOKUP($A180,A:AL,28,FALSE)-50))</f>
        <v>210</v>
      </c>
      <c r="AD180" s="3">
        <f>IF(ISERROR(VLOOKUP($A180,'SegEnds_NonXtal_BW#'!$A:$Z,21,FALSE)+VLOOKUP($A180,A:AL,31,FALSE)-50),"-",(VLOOKUP($A180,'SegEnds_NonXtal_BW#'!$A:$Z,21,FALSE)+VLOOKUP($A180,A:AL,31,FALSE)-50))</f>
        <v>214</v>
      </c>
      <c r="AE180" s="3">
        <v>236</v>
      </c>
      <c r="AF180" s="3">
        <f>IF(ISERROR((VLOOKUP($A180,'SegEnds_NonXtal_BW#'!$A:$Z,22,FALSE)+VLOOKUP($A180,A:AL,31,FALSE)-50)),"-",(VLOOKUP($A180,'SegEnds_NonXtal_BW#'!$A:$Z,22,FALSE)+VLOOKUP($A180,A:AL,31,FALSE)-50))</f>
        <v>247</v>
      </c>
      <c r="AG180" s="3">
        <f>IF(ISERROR(VLOOKUP($A180,'SegEnds_NonXtal_BW#'!$A:$Z,23,FALSE)+VLOOKUP($A180,A:AL,34,FALSE)-50),"-",(VLOOKUP($A180,'SegEnds_NonXtal_BW#'!$A:$Z,23,FALSE)+VLOOKUP($A180,A:AL,34,FALSE)-50))</f>
        <v>254</v>
      </c>
      <c r="AH180" s="3">
        <v>273</v>
      </c>
      <c r="AI180" s="3">
        <f>IF(ISERROR((VLOOKUP($A180,'SegEnds_NonXtal_BW#'!$A:$Z,24,FALSE)+VLOOKUP($A180,A:AL,34,FALSE)-50)),"-",(VLOOKUP($A180,'SegEnds_NonXtal_BW#'!$A:$Z,24,FALSE)+VLOOKUP($A180,A:AL,34,FALSE)-50))</f>
        <v>279</v>
      </c>
      <c r="AJ180" s="3">
        <f>IF(ISERROR(VLOOKUP($A180,'SegEnds_NonXtal_BW#'!$A:$Z,25,FALSE)+VLOOKUP($A180,A:AL,37,FALSE)-50),"-",(VLOOKUP($A180,'SegEnds_NonXtal_BW#'!$A:$Z,25,FALSE)+VLOOKUP($A180,A:AL,37,FALSE)-50))</f>
        <v>280</v>
      </c>
      <c r="AK180" s="3">
        <v>283</v>
      </c>
      <c r="AL180" s="3">
        <f>IF(ISERROR((VLOOKUP($A180,'SegEnds_NonXtal_BW#'!$A:$Z,26,FALSE)+VLOOKUP($A180,A:AL,37,FALSE)-50)),"-",(VLOOKUP($A180,'SegEnds_NonXtal_BW#'!$A:$Z,26,FALSE)+VLOOKUP($A180,A:AL,37,FALSE)-50))</f>
        <v>294</v>
      </c>
      <c r="AM180" s="28" t="str">
        <f>VLOOKUP(A180,Classification!A:B,2,FALSE)</f>
        <v>A</v>
      </c>
      <c r="AN180" s="28" t="b">
        <f t="shared" si="100"/>
        <v>1</v>
      </c>
      <c r="AO180" s="3" t="str">
        <f>IF(ISERROR(MATCH(A180,'SegEnds_Xtal_Prot#'!B:B, 0)), "NoXtal", "Xtal")</f>
        <v>NoXtal</v>
      </c>
      <c r="AP180" s="3" t="str">
        <f t="shared" si="83"/>
        <v>-</v>
      </c>
      <c r="AQ180" s="3" t="str">
        <f t="shared" si="84"/>
        <v>-</v>
      </c>
      <c r="AR180" s="3" t="str">
        <f t="shared" si="85"/>
        <v>-</v>
      </c>
      <c r="AS180" s="3" t="str">
        <f t="shared" si="86"/>
        <v>-</v>
      </c>
      <c r="AT180" s="3">
        <f t="shared" si="87"/>
        <v>1</v>
      </c>
      <c r="AU180" s="3">
        <f t="shared" si="88"/>
        <v>1</v>
      </c>
      <c r="AV180" s="3" t="str">
        <f t="shared" si="89"/>
        <v>-</v>
      </c>
      <c r="AW180" s="3" t="str">
        <f t="shared" si="90"/>
        <v>-</v>
      </c>
      <c r="AX180" s="3">
        <f t="shared" si="91"/>
        <v>4</v>
      </c>
      <c r="AY180" s="3">
        <f t="shared" si="92"/>
        <v>7</v>
      </c>
      <c r="AZ180" s="3">
        <f t="shared" si="93"/>
        <v>1</v>
      </c>
      <c r="BA180" s="3">
        <f>IF(ISERROR(LEN(VLOOKUP(A180,Seqs!A:E,2,FALSE))-AL180),"-",LEN(VLOOKUP(A180,Seqs!A:E,2,FALSE))-AL180)</f>
        <v>27</v>
      </c>
      <c r="BB180" s="16">
        <f t="shared" si="94"/>
        <v>27</v>
      </c>
      <c r="BC180" s="9">
        <f t="shared" si="95"/>
        <v>20</v>
      </c>
      <c r="BD180" s="3">
        <f t="shared" si="96"/>
        <v>27</v>
      </c>
      <c r="BE180" s="3">
        <f t="shared" si="97"/>
        <v>44</v>
      </c>
      <c r="BF180" s="3">
        <f t="shared" si="113"/>
        <v>37</v>
      </c>
    </row>
    <row r="181" spans="1:58" s="3" customFormat="1" x14ac:dyDescent="0.2">
      <c r="A181" s="3" t="s">
        <v>302</v>
      </c>
      <c r="B181" s="3" t="str">
        <f>LOWER(VLOOKUP(A181,Xtal_Templ!A:B,2,FALSE))</f>
        <v>cxcr4_human</v>
      </c>
      <c r="C181" s="3">
        <f>VLOOKUP($A181,'SegEnds_NonXtal_BW#'!$A:$Z,3,FALSE)+D181-50</f>
        <v>16</v>
      </c>
      <c r="D181" s="3">
        <v>42</v>
      </c>
      <c r="E181" s="3">
        <f>IF(ISERROR(VLOOKUP($A181,'SegEnds_NonXtal_BW#'!$A:$Z,4,FALSE)+VLOOKUP($A181,A:AL,4,FALSE)-50),"-",(VLOOKUP($A181,'SegEnds_NonXtal_BW#'!$A:$Z,4,FALSE)+VLOOKUP($A181,A:AL,4,FALSE)-50))</f>
        <v>52</v>
      </c>
      <c r="F181" s="3" t="str">
        <f>IF(ISERROR(VLOOKUP($A181,'SegEnds_NonXtal_BW#'!$A:$Z,5,FALSE)+VLOOKUP($A181,A:AL,7,FALSE)-50),"-",(VLOOKUP($A181,'SegEnds_NonXtal_BW#'!$A:$Z,5,FALSE)+VLOOKUP($A181,A:AL,7,FALSE)-50))</f>
        <v>-</v>
      </c>
      <c r="G181" s="3" t="s">
        <v>23</v>
      </c>
      <c r="H181" s="3" t="str">
        <f>IF(ISERROR(VLOOKUP($A181,'SegEnds_NonXtal_BW#'!$A:$Z,6,FALSE)+VLOOKUP($A181,A:AL,7,FALSE)-50),"-",(VLOOKUP($A181,'SegEnds_NonXtal_BW#'!$A:$Z,6,FALSE)+VLOOKUP($A181,A:AL,7,FALSE)-50))</f>
        <v>-</v>
      </c>
      <c r="I181" s="3">
        <f>VLOOKUP($A181,'SegEnds_NonXtal_BW#'!$A:$Z,7,FALSE)+J181-50</f>
        <v>56</v>
      </c>
      <c r="J181" s="3">
        <v>69</v>
      </c>
      <c r="K181" s="3">
        <f>VLOOKUP($A181,'SegEnds_NonXtal_BW#'!$A:$Z,8,FALSE)+VLOOKUP($A181,A:AL,10,FALSE)-50</f>
        <v>85</v>
      </c>
      <c r="L181" s="3" t="str">
        <f>IF(ISERROR(VLOOKUP($A181,'SegEnds_NonXtal_BW#'!$A:$Z,9,FALSE)+VLOOKUP($A181,A:AL,13,FALSE)-50),"-",(VLOOKUP($A181,'SegEnds_NonXtal_BW#'!$A:$Z,9,FALSE)+VLOOKUP($A181,A:AL,13,FALSE)-50))</f>
        <v>-</v>
      </c>
      <c r="M181" s="3" t="s">
        <v>23</v>
      </c>
      <c r="N181" s="3" t="str">
        <f>IF(ISERROR(VLOOKUP($A181,'SegEnds_NonXtal_BW#'!$A:$Z,10,FALSE)+VLOOKUP($A181,A:AL,13,FALSE)-50),"-",(VLOOKUP($A181,'SegEnds_NonXtal_BW#'!$A:$Z,10,FALSE)+VLOOKUP($A181,A:AL,13,FALSE)-50))</f>
        <v>-</v>
      </c>
      <c r="O181" s="3">
        <f>VLOOKUP($A181,'SegEnds_NonXtal_BW#'!$A:$Z,11,FALSE)+VLOOKUP($A181,A:AL,16,FALSE)-50</f>
        <v>92</v>
      </c>
      <c r="P181" s="3">
        <v>121</v>
      </c>
      <c r="Q181" s="3">
        <f>VLOOKUP($A181,'SegEnds_NonXtal_BW#'!$A:$Z,12,FALSE)+VLOOKUP($A181,A:AL,16,FALSE)-50</f>
        <v>127</v>
      </c>
      <c r="R181" s="3">
        <f>IF(ISERROR(VLOOKUP($A181,'SegEnds_NonXtal_BW#'!$A:$Z,13,FALSE)+VLOOKUP($A181,A:AL,19,FALSE)-50),"-",VLOOKUP($A181,'SegEnds_NonXtal_BW#'!$A:$Z,13,FALSE)+VLOOKUP($A181,A:AL,19,FALSE)-50)</f>
        <v>128</v>
      </c>
      <c r="S181" s="3">
        <v>128</v>
      </c>
      <c r="T181" s="103">
        <f>IF(ISERROR(VLOOKUP($A181,'SegEnds_NonXtal_BW#'!$A:$Z,14,FALSE)+VLOOKUP($A181,A:AL,19,FALSE)-50),"-",(VLOOKUP($A181,'SegEnds_NonXtal_BW#'!$A:$Z,14,FALSE)+VLOOKUP($A181,A:AL,19,FALSE)-50))</f>
        <v>135</v>
      </c>
      <c r="U181" s="9">
        <f>IF(ISERROR(VLOOKUP($A181,'SegEnds_NonXtal_BW#'!$A:$Z,15,FALSE)+VLOOKUP($A181,A:AL,22,FALSE)-50),"-",VLOOKUP($A181,'SegEnds_NonXtal_BW#'!$A:$Z,15,FALSE)+VLOOKUP($A181,A:AL,22,FALSE)-50)</f>
        <v>136</v>
      </c>
      <c r="V181" s="3">
        <v>148</v>
      </c>
      <c r="W181" s="3">
        <f>IF(ISERROR(VLOOKUP($A181,'SegEnds_NonXtal_BW#'!$A:$Z,16,FALSE)+VLOOKUP($A181,A:AL,22,FALSE)-50),"-",(VLOOKUP($A181,'SegEnds_NonXtal_BW#'!$A:$Z,16,FALSE)+VLOOKUP($A181,A:AL,22,FALSE)-50))</f>
        <v>162</v>
      </c>
      <c r="X181" s="3" t="str">
        <f>IF(ISERROR(VLOOKUP($A181,'SegEnds_NonXtal_BW#'!$A:$Z,17,FALSE)+VLOOKUP($A181,A:AL,25,FALSE)-50),"-",(VLOOKUP($A181,'SegEnds_NonXtal_BW#'!$A:$Z,17,FALSE)+VLOOKUP($A181,A:AL,25,FALSE)-50))</f>
        <v>-</v>
      </c>
      <c r="Y181" s="3" t="s">
        <v>23</v>
      </c>
      <c r="Z181" s="3" t="str">
        <f>IF(ISERROR(VLOOKUP($A181,'SegEnds_NonXtal_BW#'!$A:$Z,18,FALSE)+VLOOKUP($A181,A:AL,25,FALSE)-50),"-",(VLOOKUP($A181,'SegEnds_NonXtal_BW#'!$A:$Z,18,FALSE)+VLOOKUP($A181,A:AL,25,FALSE)-50))</f>
        <v>-</v>
      </c>
      <c r="AA181" s="3">
        <f>IF(ISERROR(VLOOKUP($A181,'SegEnds_NonXtal_BW#'!$A:$Z,19,FALSE)+VLOOKUP($A181,A:AL,28,FALSE)-50),"-",(VLOOKUP($A181,'SegEnds_NonXtal_BW#'!$A:$Z,19,FALSE)+VLOOKUP($A181,A:AL,28,FALSE)-50))</f>
        <v>172</v>
      </c>
      <c r="AB181" s="3">
        <v>190</v>
      </c>
      <c r="AC181" s="3">
        <f>IF(ISERROR((VLOOKUP($A181,'SegEnds_NonXtal_BW#'!$A:$Z,20,FALSE)+VLOOKUP($A181,A:AL,28,FALSE)-50)),"-",(VLOOKUP($A181,'SegEnds_NonXtal_BW#'!$A:$Z,20,FALSE)+VLOOKUP($A181,A:AL,28,FALSE)-50))</f>
        <v>208</v>
      </c>
      <c r="AD181" s="3">
        <f>IF(ISERROR(VLOOKUP($A181,'SegEnds_NonXtal_BW#'!$A:$Z,21,FALSE)+VLOOKUP($A181,A:AL,31,FALSE)-50),"-",(VLOOKUP($A181,'SegEnds_NonXtal_BW#'!$A:$Z,21,FALSE)+VLOOKUP($A181,A:AL,31,FALSE)-50))</f>
        <v>212</v>
      </c>
      <c r="AE181" s="3">
        <v>232</v>
      </c>
      <c r="AF181" s="3">
        <f>IF(ISERROR((VLOOKUP($A181,'SegEnds_NonXtal_BW#'!$A:$Z,22,FALSE)+VLOOKUP($A181,A:AL,31,FALSE)-50)),"-",(VLOOKUP($A181,'SegEnds_NonXtal_BW#'!$A:$Z,22,FALSE)+VLOOKUP($A181,A:AL,31,FALSE)-50))</f>
        <v>243</v>
      </c>
      <c r="AG181" s="3">
        <f>IF(ISERROR(VLOOKUP($A181,'SegEnds_NonXtal_BW#'!$A:$Z,23,FALSE)+VLOOKUP($A181,A:AL,34,FALSE)-50),"-",(VLOOKUP($A181,'SegEnds_NonXtal_BW#'!$A:$Z,23,FALSE)+VLOOKUP($A181,A:AL,34,FALSE)-50))</f>
        <v>248</v>
      </c>
      <c r="AH181" s="3">
        <v>266</v>
      </c>
      <c r="AI181" s="3">
        <f>IF(ISERROR((VLOOKUP($A181,'SegEnds_NonXtal_BW#'!$A:$Z,24,FALSE)+VLOOKUP($A181,A:AL,34,FALSE)-50)),"-",(VLOOKUP($A181,'SegEnds_NonXtal_BW#'!$A:$Z,24,FALSE)+VLOOKUP($A181,A:AL,34,FALSE)-50))</f>
        <v>272</v>
      </c>
      <c r="AJ181" s="3">
        <f>IF(ISERROR(VLOOKUP($A181,'SegEnds_NonXtal_BW#'!$A:$Z,25,FALSE)+VLOOKUP($A181,A:AL,37,FALSE)-50),"-",(VLOOKUP($A181,'SegEnds_NonXtal_BW#'!$A:$Z,25,FALSE)+VLOOKUP($A181,A:AL,37,FALSE)-50))</f>
        <v>273</v>
      </c>
      <c r="AK181" s="3">
        <v>276</v>
      </c>
      <c r="AL181" s="3">
        <f>IF(ISERROR((VLOOKUP($A181,'SegEnds_NonXtal_BW#'!$A:$Z,26,FALSE)+VLOOKUP($A181,A:AL,37,FALSE)-50)),"-",(VLOOKUP($A181,'SegEnds_NonXtal_BW#'!$A:$Z,26,FALSE)+VLOOKUP($A181,A:AL,37,FALSE)-50))</f>
        <v>285</v>
      </c>
      <c r="AM181" s="28" t="str">
        <f>VLOOKUP(A181,Classification!A:B,2,FALSE)</f>
        <v>A</v>
      </c>
      <c r="AN181" s="28" t="b">
        <f t="shared" si="100"/>
        <v>1</v>
      </c>
      <c r="AO181" s="3" t="str">
        <f>IF(ISERROR(MATCH(A181,'SegEnds_Xtal_Prot#'!B:B, 0)), "NoXtal", "Xtal")</f>
        <v>NoXtal</v>
      </c>
      <c r="AP181" s="3" t="str">
        <f t="shared" si="83"/>
        <v>-</v>
      </c>
      <c r="AQ181" s="3" t="str">
        <f t="shared" si="84"/>
        <v>-</v>
      </c>
      <c r="AR181" s="3" t="str">
        <f t="shared" si="85"/>
        <v>-</v>
      </c>
      <c r="AS181" s="3" t="str">
        <f t="shared" si="86"/>
        <v>-</v>
      </c>
      <c r="AT181" s="3">
        <f t="shared" si="87"/>
        <v>1</v>
      </c>
      <c r="AU181" s="3">
        <f t="shared" si="88"/>
        <v>1</v>
      </c>
      <c r="AV181" s="3" t="str">
        <f t="shared" si="89"/>
        <v>-</v>
      </c>
      <c r="AW181" s="3" t="str">
        <f t="shared" si="90"/>
        <v>-</v>
      </c>
      <c r="AX181" s="3">
        <f t="shared" si="91"/>
        <v>4</v>
      </c>
      <c r="AY181" s="3">
        <f t="shared" si="92"/>
        <v>5</v>
      </c>
      <c r="AZ181" s="3">
        <f t="shared" si="93"/>
        <v>1</v>
      </c>
      <c r="BA181" s="3">
        <f>IF(ISERROR(LEN(VLOOKUP(A181,Seqs!A:E,2,FALSE))-AL181),"-",LEN(VLOOKUP(A181,Seqs!A:E,2,FALSE))-AL181)</f>
        <v>27</v>
      </c>
      <c r="BB181" s="16">
        <f t="shared" si="94"/>
        <v>27</v>
      </c>
      <c r="BC181" s="9">
        <f t="shared" si="95"/>
        <v>20</v>
      </c>
      <c r="BD181" s="3">
        <f t="shared" si="96"/>
        <v>27</v>
      </c>
      <c r="BE181" s="3">
        <f t="shared" si="97"/>
        <v>42</v>
      </c>
      <c r="BF181" s="3">
        <f t="shared" si="113"/>
        <v>34</v>
      </c>
    </row>
    <row r="182" spans="1:58" s="3" customFormat="1" x14ac:dyDescent="0.2">
      <c r="A182" s="3" t="s">
        <v>303</v>
      </c>
      <c r="B182" s="3" t="str">
        <f>LOWER(VLOOKUP(A182,Xtal_Templ!A:B,2,FALSE))</f>
        <v>agtr1_human</v>
      </c>
      <c r="C182" s="3">
        <f>VLOOKUP($A182,'SegEnds_NonXtal_BW#'!$A:$Z,3,FALSE)+D182-50</f>
        <v>42</v>
      </c>
      <c r="D182" s="3">
        <v>62</v>
      </c>
      <c r="E182" s="3">
        <f>IF(ISERROR(VLOOKUP($A182,'SegEnds_NonXtal_BW#'!$A:$Z,4,FALSE)+VLOOKUP($A182,A:AL,4,FALSE)-50),"-",(VLOOKUP($A182,'SegEnds_NonXtal_BW#'!$A:$Z,4,FALSE)+VLOOKUP($A182,A:AL,4,FALSE)-50))</f>
        <v>72</v>
      </c>
      <c r="F182" s="3" t="str">
        <f>IF(ISERROR(VLOOKUP($A182,'SegEnds_NonXtal_BW#'!$A:$Z,5,FALSE)+VLOOKUP($A182,A:AL,7,FALSE)-50),"-",(VLOOKUP($A182,'SegEnds_NonXtal_BW#'!$A:$Z,5,FALSE)+VLOOKUP($A182,A:AL,7,FALSE)-50))</f>
        <v>-</v>
      </c>
      <c r="G182" s="3" t="s">
        <v>23</v>
      </c>
      <c r="H182" s="3" t="str">
        <f>IF(ISERROR(VLOOKUP($A182,'SegEnds_NonXtal_BW#'!$A:$Z,6,FALSE)+VLOOKUP($A182,A:AL,7,FALSE)-50),"-",(VLOOKUP($A182,'SegEnds_NonXtal_BW#'!$A:$Z,6,FALSE)+VLOOKUP($A182,A:AL,7,FALSE)-50))</f>
        <v>-</v>
      </c>
      <c r="I182" s="3">
        <f>VLOOKUP($A182,'SegEnds_NonXtal_BW#'!$A:$Z,7,FALSE)+J182-50</f>
        <v>76</v>
      </c>
      <c r="J182" s="3">
        <v>89</v>
      </c>
      <c r="K182" s="3">
        <f>VLOOKUP($A182,'SegEnds_NonXtal_BW#'!$A:$Z,8,FALSE)+VLOOKUP($A182,A:AL,10,FALSE)-50</f>
        <v>105</v>
      </c>
      <c r="L182" s="3" t="str">
        <f>IF(ISERROR(VLOOKUP($A182,'SegEnds_NonXtal_BW#'!$A:$Z,9,FALSE)+VLOOKUP($A182,A:AL,13,FALSE)-50),"-",(VLOOKUP($A182,'SegEnds_NonXtal_BW#'!$A:$Z,9,FALSE)+VLOOKUP($A182,A:AL,13,FALSE)-50))</f>
        <v>-</v>
      </c>
      <c r="M182" s="3" t="s">
        <v>23</v>
      </c>
      <c r="N182" s="3" t="str">
        <f>IF(ISERROR(VLOOKUP($A182,'SegEnds_NonXtal_BW#'!$A:$Z,10,FALSE)+VLOOKUP($A182,A:AL,13,FALSE)-50),"-",(VLOOKUP($A182,'SegEnds_NonXtal_BW#'!$A:$Z,10,FALSE)+VLOOKUP($A182,A:AL,13,FALSE)-50))</f>
        <v>-</v>
      </c>
      <c r="O182" s="3">
        <f>VLOOKUP($A182,'SegEnds_NonXtal_BW#'!$A:$Z,11,FALSE)+VLOOKUP($A182,A:AL,16,FALSE)-50</f>
        <v>112</v>
      </c>
      <c r="P182" s="3">
        <v>141</v>
      </c>
      <c r="Q182" s="3">
        <f>VLOOKUP($A182,'SegEnds_NonXtal_BW#'!$A:$Z,12,FALSE)+VLOOKUP($A182,A:AL,16,FALSE)-50</f>
        <v>147</v>
      </c>
      <c r="R182" s="3">
        <f>IF(ISERROR(VLOOKUP($A182,'SegEnds_NonXtal_BW#'!$A:$Z,13,FALSE)+VLOOKUP($A182,A:AL,19,FALSE)-50),"-",VLOOKUP($A182,'SegEnds_NonXtal_BW#'!$A:$Z,13,FALSE)+VLOOKUP($A182,A:AL,19,FALSE)-50)</f>
        <v>148</v>
      </c>
      <c r="S182" s="3">
        <v>148</v>
      </c>
      <c r="T182" s="103">
        <f>IF(ISERROR(VLOOKUP($A182,'SegEnds_NonXtal_BW#'!$A:$Z,14,FALSE)+VLOOKUP($A182,A:AL,19,FALSE)-50),"-",(VLOOKUP($A182,'SegEnds_NonXtal_BW#'!$A:$Z,14,FALSE)+VLOOKUP($A182,A:AL,19,FALSE)-50))</f>
        <v>155</v>
      </c>
      <c r="U182" s="9">
        <f>IF(ISERROR(VLOOKUP($A182,'SegEnds_NonXtal_BW#'!$A:$Z,15,FALSE)+VLOOKUP($A182,A:AL,22,FALSE)-50),"-",VLOOKUP($A182,'SegEnds_NonXtal_BW#'!$A:$Z,15,FALSE)+VLOOKUP($A182,A:AL,22,FALSE)-50)</f>
        <v>156</v>
      </c>
      <c r="V182" s="3">
        <v>168</v>
      </c>
      <c r="W182" s="3">
        <f>IF(ISERROR(VLOOKUP($A182,'SegEnds_NonXtal_BW#'!$A:$Z,16,FALSE)+VLOOKUP($A182,A:AL,22,FALSE)-50),"-",(VLOOKUP($A182,'SegEnds_NonXtal_BW#'!$A:$Z,16,FALSE)+VLOOKUP($A182,A:AL,22,FALSE)-50))</f>
        <v>182</v>
      </c>
      <c r="X182" s="3" t="str">
        <f>IF(ISERROR(VLOOKUP($A182,'SegEnds_NonXtal_BW#'!$A:$Z,17,FALSE)+VLOOKUP($A182,A:AL,25,FALSE)-50),"-",(VLOOKUP($A182,'SegEnds_NonXtal_BW#'!$A:$Z,17,FALSE)+VLOOKUP($A182,A:AL,25,FALSE)-50))</f>
        <v>-</v>
      </c>
      <c r="Y182" s="3" t="s">
        <v>23</v>
      </c>
      <c r="Z182" s="3" t="str">
        <f>IF(ISERROR(VLOOKUP($A182,'SegEnds_NonXtal_BW#'!$A:$Z,18,FALSE)+VLOOKUP($A182,A:AL,25,FALSE)-50),"-",(VLOOKUP($A182,'SegEnds_NonXtal_BW#'!$A:$Z,18,FALSE)+VLOOKUP($A182,A:AL,25,FALSE)-50))</f>
        <v>-</v>
      </c>
      <c r="AA182" s="3">
        <f>IF(ISERROR(VLOOKUP($A182,'SegEnds_NonXtal_BW#'!$A:$Z,19,FALSE)+VLOOKUP($A182,A:AL,28,FALSE)-50),"-",(VLOOKUP($A182,'SegEnds_NonXtal_BW#'!$A:$Z,19,FALSE)+VLOOKUP($A182,A:AL,28,FALSE)-50))</f>
        <v>195</v>
      </c>
      <c r="AB182" s="3">
        <v>211</v>
      </c>
      <c r="AC182" s="3">
        <f>IF(ISERROR((VLOOKUP($A182,'SegEnds_NonXtal_BW#'!$A:$Z,20,FALSE)+VLOOKUP($A182,A:AL,28,FALSE)-50)),"-",(VLOOKUP($A182,'SegEnds_NonXtal_BW#'!$A:$Z,20,FALSE)+VLOOKUP($A182,A:AL,28,FALSE)-50))</f>
        <v>229</v>
      </c>
      <c r="AD182" s="3">
        <f>IF(ISERROR(VLOOKUP($A182,'SegEnds_NonXtal_BW#'!$A:$Z,21,FALSE)+VLOOKUP($A182,A:AL,31,FALSE)-50),"-",(VLOOKUP($A182,'SegEnds_NonXtal_BW#'!$A:$Z,21,FALSE)+VLOOKUP($A182,A:AL,31,FALSE)-50))</f>
        <v>234</v>
      </c>
      <c r="AE182" s="3">
        <v>254</v>
      </c>
      <c r="AF182" s="3">
        <f>IF(ISERROR((VLOOKUP($A182,'SegEnds_NonXtal_BW#'!$A:$Z,22,FALSE)+VLOOKUP($A182,A:AL,31,FALSE)-50)),"-",(VLOOKUP($A182,'SegEnds_NonXtal_BW#'!$A:$Z,22,FALSE)+VLOOKUP($A182,A:AL,31,FALSE)-50))</f>
        <v>265</v>
      </c>
      <c r="AG182" s="3">
        <f>IF(ISERROR(VLOOKUP($A182,'SegEnds_NonXtal_BW#'!$A:$Z,23,FALSE)+VLOOKUP($A182,A:AL,34,FALSE)-50),"-",(VLOOKUP($A182,'SegEnds_NonXtal_BW#'!$A:$Z,23,FALSE)+VLOOKUP($A182,A:AL,34,FALSE)-50))</f>
        <v>270</v>
      </c>
      <c r="AH182" s="3">
        <v>288</v>
      </c>
      <c r="AI182" s="3">
        <f>IF(ISERROR((VLOOKUP($A182,'SegEnds_NonXtal_BW#'!$A:$Z,24,FALSE)+VLOOKUP($A182,A:AL,34,FALSE)-50)),"-",(VLOOKUP($A182,'SegEnds_NonXtal_BW#'!$A:$Z,24,FALSE)+VLOOKUP($A182,A:AL,34,FALSE)-50))</f>
        <v>294</v>
      </c>
      <c r="AJ182" s="3">
        <f>IF(ISERROR(VLOOKUP($A182,'SegEnds_NonXtal_BW#'!$A:$Z,25,FALSE)+VLOOKUP($A182,A:AL,37,FALSE)-50),"-",(VLOOKUP($A182,'SegEnds_NonXtal_BW#'!$A:$Z,25,FALSE)+VLOOKUP($A182,A:AL,37,FALSE)-50))</f>
        <v>295</v>
      </c>
      <c r="AK182" s="3">
        <v>298</v>
      </c>
      <c r="AL182" s="3">
        <f>IF(ISERROR((VLOOKUP($A182,'SegEnds_NonXtal_BW#'!$A:$Z,26,FALSE)+VLOOKUP($A182,A:AL,37,FALSE)-50)),"-",(VLOOKUP($A182,'SegEnds_NonXtal_BW#'!$A:$Z,26,FALSE)+VLOOKUP($A182,A:AL,37,FALSE)-50))</f>
        <v>309</v>
      </c>
      <c r="AM182" s="28" t="str">
        <f>VLOOKUP(A182,Classification!A:B,2,FALSE)</f>
        <v>A</v>
      </c>
      <c r="AN182" s="28" t="b">
        <f t="shared" si="100"/>
        <v>1</v>
      </c>
      <c r="AO182" s="3" t="str">
        <f>IF(ISERROR(MATCH(A182,'SegEnds_Xtal_Prot#'!B:B, 0)), "NoXtal", "Xtal")</f>
        <v>NoXtal</v>
      </c>
      <c r="AP182" s="3" t="str">
        <f t="shared" si="83"/>
        <v>-</v>
      </c>
      <c r="AQ182" s="3" t="str">
        <f t="shared" si="84"/>
        <v>-</v>
      </c>
      <c r="AR182" s="3" t="str">
        <f t="shared" si="85"/>
        <v>-</v>
      </c>
      <c r="AS182" s="3" t="str">
        <f t="shared" si="86"/>
        <v>-</v>
      </c>
      <c r="AT182" s="3">
        <f t="shared" si="87"/>
        <v>1</v>
      </c>
      <c r="AU182" s="3">
        <f t="shared" si="88"/>
        <v>1</v>
      </c>
      <c r="AV182" s="3" t="str">
        <f t="shared" si="89"/>
        <v>-</v>
      </c>
      <c r="AW182" s="3" t="str">
        <f t="shared" si="90"/>
        <v>-</v>
      </c>
      <c r="AX182" s="3">
        <f t="shared" si="91"/>
        <v>5</v>
      </c>
      <c r="AY182" s="3">
        <f t="shared" si="92"/>
        <v>5</v>
      </c>
      <c r="AZ182" s="3">
        <f t="shared" si="93"/>
        <v>1</v>
      </c>
      <c r="BA182" s="3">
        <f>IF(ISERROR(LEN(VLOOKUP(A182,Seqs!A:E,2,FALSE))-AL182),"-",LEN(VLOOKUP(A182,Seqs!A:E,2,FALSE))-AL182)</f>
        <v>34</v>
      </c>
      <c r="BB182" s="16">
        <f t="shared" si="94"/>
        <v>27</v>
      </c>
      <c r="BC182" s="9">
        <f t="shared" si="95"/>
        <v>20</v>
      </c>
      <c r="BD182" s="3">
        <f t="shared" si="96"/>
        <v>27</v>
      </c>
      <c r="BE182" s="3">
        <f t="shared" si="97"/>
        <v>43</v>
      </c>
    </row>
    <row r="183" spans="1:58" s="3" customFormat="1" x14ac:dyDescent="0.2">
      <c r="A183" s="3" t="s">
        <v>304</v>
      </c>
      <c r="B183" s="3" t="str">
        <f>LOWER(VLOOKUP(A183,Xtal_Templ!A:B,2,FALSE))</f>
        <v>agtr1_human</v>
      </c>
      <c r="C183" s="3">
        <f>VLOOKUP($A183,'SegEnds_NonXtal_BW#'!$A:$Z,3,FALSE)+D183-50</f>
        <v>10</v>
      </c>
      <c r="D183" s="3">
        <v>30</v>
      </c>
      <c r="E183" s="3">
        <f>IF(ISERROR(VLOOKUP($A183,'SegEnds_NonXtal_BW#'!$A:$Z,4,FALSE)+VLOOKUP($A183,A:AL,4,FALSE)-50),"-",(VLOOKUP($A183,'SegEnds_NonXtal_BW#'!$A:$Z,4,FALSE)+VLOOKUP($A183,A:AL,4,FALSE)-50))</f>
        <v>40</v>
      </c>
      <c r="F183" s="3" t="str">
        <f>IF(ISERROR(VLOOKUP($A183,'SegEnds_NonXtal_BW#'!$A:$Z,5,FALSE)+VLOOKUP($A183,A:AL,7,FALSE)-50),"-",(VLOOKUP($A183,'SegEnds_NonXtal_BW#'!$A:$Z,5,FALSE)+VLOOKUP($A183,A:AL,7,FALSE)-50))</f>
        <v>-</v>
      </c>
      <c r="G183" s="3" t="s">
        <v>23</v>
      </c>
      <c r="H183" s="3" t="str">
        <f>IF(ISERROR(VLOOKUP($A183,'SegEnds_NonXtal_BW#'!$A:$Z,6,FALSE)+VLOOKUP($A183,A:AL,7,FALSE)-50),"-",(VLOOKUP($A183,'SegEnds_NonXtal_BW#'!$A:$Z,6,FALSE)+VLOOKUP($A183,A:AL,7,FALSE)-50))</f>
        <v>-</v>
      </c>
      <c r="I183" s="3">
        <f>VLOOKUP($A183,'SegEnds_NonXtal_BW#'!$A:$Z,7,FALSE)+J183-50</f>
        <v>44</v>
      </c>
      <c r="J183" s="3">
        <v>57</v>
      </c>
      <c r="K183" s="3">
        <f>VLOOKUP($A183,'SegEnds_NonXtal_BW#'!$A:$Z,8,FALSE)+VLOOKUP($A183,A:AL,10,FALSE)-50</f>
        <v>70</v>
      </c>
      <c r="L183" s="3" t="str">
        <f>IF(ISERROR(VLOOKUP($A183,'SegEnds_NonXtal_BW#'!$A:$Z,9,FALSE)+VLOOKUP($A183,A:AL,13,FALSE)-50),"-",(VLOOKUP($A183,'SegEnds_NonXtal_BW#'!$A:$Z,9,FALSE)+VLOOKUP($A183,A:AL,13,FALSE)-50))</f>
        <v>-</v>
      </c>
      <c r="M183" s="3" t="s">
        <v>23</v>
      </c>
      <c r="N183" s="3" t="str">
        <f>IF(ISERROR(VLOOKUP($A183,'SegEnds_NonXtal_BW#'!$A:$Z,10,FALSE)+VLOOKUP($A183,A:AL,13,FALSE)-50),"-",(VLOOKUP($A183,'SegEnds_NonXtal_BW#'!$A:$Z,10,FALSE)+VLOOKUP($A183,A:AL,13,FALSE)-50))</f>
        <v>-</v>
      </c>
      <c r="O183" s="3">
        <f>VLOOKUP($A183,'SegEnds_NonXtal_BW#'!$A:$Z,11,FALSE)+VLOOKUP($A183,A:AL,16,FALSE)-50</f>
        <v>79</v>
      </c>
      <c r="P183" s="3">
        <v>103</v>
      </c>
      <c r="Q183" s="3">
        <f>VLOOKUP($A183,'SegEnds_NonXtal_BW#'!$A:$Z,12,FALSE)+VLOOKUP($A183,A:AL,16,FALSE)-50</f>
        <v>109</v>
      </c>
      <c r="R183" s="3">
        <f>IF(ISERROR(VLOOKUP($A183,'SegEnds_NonXtal_BW#'!$A:$Z,13,FALSE)+VLOOKUP($A183,A:AL,19,FALSE)-50),"-",VLOOKUP($A183,'SegEnds_NonXtal_BW#'!$A:$Z,13,FALSE)+VLOOKUP($A183,A:AL,19,FALSE)-50)</f>
        <v>110</v>
      </c>
      <c r="S183" s="3">
        <v>110</v>
      </c>
      <c r="T183" s="103">
        <f>IF(ISERROR(VLOOKUP($A183,'SegEnds_NonXtal_BW#'!$A:$Z,14,FALSE)+VLOOKUP($A183,A:AL,19,FALSE)-50),"-",(VLOOKUP($A183,'SegEnds_NonXtal_BW#'!$A:$Z,14,FALSE)+VLOOKUP($A183,A:AL,19,FALSE)-50))</f>
        <v>117</v>
      </c>
      <c r="U183" s="9">
        <f>IF(ISERROR(VLOOKUP($A183,'SegEnds_NonXtal_BW#'!$A:$Z,15,FALSE)+VLOOKUP($A183,A:AL,22,FALSE)-50),"-",VLOOKUP($A183,'SegEnds_NonXtal_BW#'!$A:$Z,15,FALSE)+VLOOKUP($A183,A:AL,22,FALSE)-50)</f>
        <v>118</v>
      </c>
      <c r="V183" s="3">
        <v>130</v>
      </c>
      <c r="W183" s="3">
        <f>IF(ISERROR(VLOOKUP($A183,'SegEnds_NonXtal_BW#'!$A:$Z,16,FALSE)+VLOOKUP($A183,A:AL,22,FALSE)-50),"-",(VLOOKUP($A183,'SegEnds_NonXtal_BW#'!$A:$Z,16,FALSE)+VLOOKUP($A183,A:AL,22,FALSE)-50))</f>
        <v>144</v>
      </c>
      <c r="X183" s="3" t="str">
        <f>IF(ISERROR(VLOOKUP($A183,'SegEnds_NonXtal_BW#'!$A:$Z,17,FALSE)+VLOOKUP($A183,A:AL,25,FALSE)-50),"-",(VLOOKUP($A183,'SegEnds_NonXtal_BW#'!$A:$Z,17,FALSE)+VLOOKUP($A183,A:AL,25,FALSE)-50))</f>
        <v>-</v>
      </c>
      <c r="Y183" s="3" t="s">
        <v>23</v>
      </c>
      <c r="Z183" s="3" t="str">
        <f>IF(ISERROR(VLOOKUP($A183,'SegEnds_NonXtal_BW#'!$A:$Z,18,FALSE)+VLOOKUP($A183,A:AL,25,FALSE)-50),"-",(VLOOKUP($A183,'SegEnds_NonXtal_BW#'!$A:$Z,18,FALSE)+VLOOKUP($A183,A:AL,25,FALSE)-50))</f>
        <v>-</v>
      </c>
      <c r="AA183" s="3">
        <f>IF(ISERROR(VLOOKUP($A183,'SegEnds_NonXtal_BW#'!$A:$Z,19,FALSE)+VLOOKUP($A183,A:AL,28,FALSE)-50),"-",(VLOOKUP($A183,'SegEnds_NonXtal_BW#'!$A:$Z,19,FALSE)+VLOOKUP($A183,A:AL,28,FALSE)-50))</f>
        <v>156</v>
      </c>
      <c r="AB183" s="3">
        <v>172</v>
      </c>
      <c r="AC183" s="3">
        <f>IF(ISERROR((VLOOKUP($A183,'SegEnds_NonXtal_BW#'!$A:$Z,20,FALSE)+VLOOKUP($A183,A:AL,28,FALSE)-50)),"-",(VLOOKUP($A183,'SegEnds_NonXtal_BW#'!$A:$Z,20,FALSE)+VLOOKUP($A183,A:AL,28,FALSE)-50))</f>
        <v>189</v>
      </c>
      <c r="AD183" s="3">
        <f>IF(ISERROR(VLOOKUP($A183,'SegEnds_NonXtal_BW#'!$A:$Z,21,FALSE)+VLOOKUP($A183,A:AL,31,FALSE)-50),"-",(VLOOKUP($A183,'SegEnds_NonXtal_BW#'!$A:$Z,21,FALSE)+VLOOKUP($A183,A:AL,31,FALSE)-50))</f>
        <v>193</v>
      </c>
      <c r="AE183" s="3">
        <v>213</v>
      </c>
      <c r="AF183" s="3">
        <f>IF(ISERROR((VLOOKUP($A183,'SegEnds_NonXtal_BW#'!$A:$Z,22,FALSE)+VLOOKUP($A183,A:AL,31,FALSE)-50)),"-",(VLOOKUP($A183,'SegEnds_NonXtal_BW#'!$A:$Z,22,FALSE)+VLOOKUP($A183,A:AL,31,FALSE)-50))</f>
        <v>224</v>
      </c>
      <c r="AG183" s="3">
        <f>IF(ISERROR(VLOOKUP($A183,'SegEnds_NonXtal_BW#'!$A:$Z,23,FALSE)+VLOOKUP($A183,A:AL,34,FALSE)-50),"-",(VLOOKUP($A183,'SegEnds_NonXtal_BW#'!$A:$Z,23,FALSE)+VLOOKUP($A183,A:AL,34,FALSE)-50))</f>
        <v>229</v>
      </c>
      <c r="AH183" s="3">
        <v>247</v>
      </c>
      <c r="AI183" s="3">
        <f>IF(ISERROR((VLOOKUP($A183,'SegEnds_NonXtal_BW#'!$A:$Z,24,FALSE)+VLOOKUP($A183,A:AL,34,FALSE)-50)),"-",(VLOOKUP($A183,'SegEnds_NonXtal_BW#'!$A:$Z,24,FALSE)+VLOOKUP($A183,A:AL,34,FALSE)-50))</f>
        <v>253</v>
      </c>
      <c r="AJ183" s="3">
        <f>IF(ISERROR(VLOOKUP($A183,'SegEnds_NonXtal_BW#'!$A:$Z,25,FALSE)+VLOOKUP($A183,A:AL,37,FALSE)-50),"-",(VLOOKUP($A183,'SegEnds_NonXtal_BW#'!$A:$Z,25,FALSE)+VLOOKUP($A183,A:AL,37,FALSE)-50))</f>
        <v>254</v>
      </c>
      <c r="AK183" s="3">
        <v>257</v>
      </c>
      <c r="AL183" s="3">
        <f>IF(ISERROR((VLOOKUP($A183,'SegEnds_NonXtal_BW#'!$A:$Z,26,FALSE)+VLOOKUP($A183,A:AL,37,FALSE)-50)),"-",(VLOOKUP($A183,'SegEnds_NonXtal_BW#'!$A:$Z,26,FALSE)+VLOOKUP($A183,A:AL,37,FALSE)-50))</f>
        <v>268</v>
      </c>
      <c r="AM183" s="28" t="str">
        <f>VLOOKUP(A183,Classification!A:B,2,FALSE)</f>
        <v>A</v>
      </c>
      <c r="AN183" s="28" t="b">
        <f t="shared" si="100"/>
        <v>1</v>
      </c>
      <c r="AO183" s="3" t="str">
        <f>IF(ISERROR(MATCH(A183,'SegEnds_Xtal_Prot#'!B:B, 0)), "NoXtal", "Xtal")</f>
        <v>NoXtal</v>
      </c>
      <c r="AP183" s="3" t="str">
        <f t="shared" si="83"/>
        <v>-</v>
      </c>
      <c r="AQ183" s="3" t="str">
        <f t="shared" si="84"/>
        <v>-</v>
      </c>
      <c r="AR183" s="3" t="str">
        <f t="shared" si="85"/>
        <v>-</v>
      </c>
      <c r="AS183" s="3" t="str">
        <f t="shared" si="86"/>
        <v>-</v>
      </c>
      <c r="AT183" s="3">
        <f t="shared" si="87"/>
        <v>1</v>
      </c>
      <c r="AU183" s="3">
        <f t="shared" si="88"/>
        <v>1</v>
      </c>
      <c r="AV183" s="3" t="str">
        <f t="shared" si="89"/>
        <v>-</v>
      </c>
      <c r="AW183" s="3" t="str">
        <f t="shared" si="90"/>
        <v>-</v>
      </c>
      <c r="AX183" s="3">
        <f t="shared" si="91"/>
        <v>4</v>
      </c>
      <c r="AY183" s="3">
        <f t="shared" si="92"/>
        <v>5</v>
      </c>
      <c r="AZ183" s="3">
        <f t="shared" si="93"/>
        <v>1</v>
      </c>
      <c r="BA183" s="3">
        <f>IF(ISERROR(LEN(VLOOKUP(A183,Seqs!A:E,2,FALSE))-AL183),"-",LEN(VLOOKUP(A183,Seqs!A:E,2,FALSE))-AL183)</f>
        <v>21</v>
      </c>
      <c r="BB183" s="16">
        <f t="shared" si="94"/>
        <v>27</v>
      </c>
      <c r="BC183" s="9">
        <f t="shared" si="95"/>
        <v>20</v>
      </c>
      <c r="BD183" s="3">
        <f t="shared" si="96"/>
        <v>27</v>
      </c>
      <c r="BE183" s="3">
        <f t="shared" si="97"/>
        <v>41</v>
      </c>
      <c r="BF183" s="3">
        <f>AH183-AE183</f>
        <v>34</v>
      </c>
    </row>
    <row r="184" spans="1:58" s="3" customFormat="1" x14ac:dyDescent="0.2">
      <c r="A184" s="3" t="s">
        <v>305</v>
      </c>
      <c r="B184" s="3" t="str">
        <f>LOWER(VLOOKUP(A184,Xtal_Templ!A:B,2,FALSE))</f>
        <v>agtr1_human</v>
      </c>
      <c r="C184" s="3">
        <f>VLOOKUP($A184,'SegEnds_NonXtal_BW#'!$A:$Z,3,FALSE)+D184-50</f>
        <v>25</v>
      </c>
      <c r="D184" s="3">
        <v>45</v>
      </c>
      <c r="E184" s="3">
        <f>IF(ISERROR(VLOOKUP($A184,'SegEnds_NonXtal_BW#'!$A:$Z,4,FALSE)+VLOOKUP($A184,A:AL,4,FALSE)-50),"-",(VLOOKUP($A184,'SegEnds_NonXtal_BW#'!$A:$Z,4,FALSE)+VLOOKUP($A184,A:AL,4,FALSE)-50))</f>
        <v>55</v>
      </c>
      <c r="F184" s="3" t="str">
        <f>IF(ISERROR(VLOOKUP($A184,'SegEnds_NonXtal_BW#'!$A:$Z,5,FALSE)+VLOOKUP($A184,A:AL,7,FALSE)-50),"-",(VLOOKUP($A184,'SegEnds_NonXtal_BW#'!$A:$Z,5,FALSE)+VLOOKUP($A184,A:AL,7,FALSE)-50))</f>
        <v>-</v>
      </c>
      <c r="G184" s="3" t="s">
        <v>23</v>
      </c>
      <c r="H184" s="3" t="str">
        <f>IF(ISERROR(VLOOKUP($A184,'SegEnds_NonXtal_BW#'!$A:$Z,6,FALSE)+VLOOKUP($A184,A:AL,7,FALSE)-50),"-",(VLOOKUP($A184,'SegEnds_NonXtal_BW#'!$A:$Z,6,FALSE)+VLOOKUP($A184,A:AL,7,FALSE)-50))</f>
        <v>-</v>
      </c>
      <c r="I184" s="3">
        <f>VLOOKUP($A184,'SegEnds_NonXtal_BW#'!$A:$Z,7,FALSE)+J184-50</f>
        <v>59</v>
      </c>
      <c r="J184" s="3">
        <v>72</v>
      </c>
      <c r="K184" s="3">
        <f>VLOOKUP($A184,'SegEnds_NonXtal_BW#'!$A:$Z,8,FALSE)+VLOOKUP($A184,A:AL,10,FALSE)-50</f>
        <v>88</v>
      </c>
      <c r="L184" s="3" t="str">
        <f>IF(ISERROR(VLOOKUP($A184,'SegEnds_NonXtal_BW#'!$A:$Z,9,FALSE)+VLOOKUP($A184,A:AL,13,FALSE)-50),"-",(VLOOKUP($A184,'SegEnds_NonXtal_BW#'!$A:$Z,9,FALSE)+VLOOKUP($A184,A:AL,13,FALSE)-50))</f>
        <v>-</v>
      </c>
      <c r="M184" s="3" t="s">
        <v>23</v>
      </c>
      <c r="N184" s="3" t="str">
        <f>IF(ISERROR(VLOOKUP($A184,'SegEnds_NonXtal_BW#'!$A:$Z,10,FALSE)+VLOOKUP($A184,A:AL,13,FALSE)-50),"-",(VLOOKUP($A184,'SegEnds_NonXtal_BW#'!$A:$Z,10,FALSE)+VLOOKUP($A184,A:AL,13,FALSE)-50))</f>
        <v>-</v>
      </c>
      <c r="O184" s="3">
        <f>VLOOKUP($A184,'SegEnds_NonXtal_BW#'!$A:$Z,11,FALSE)+VLOOKUP($A184,A:AL,16,FALSE)-50</f>
        <v>94</v>
      </c>
      <c r="P184" s="3">
        <v>120</v>
      </c>
      <c r="Q184" s="3">
        <f>VLOOKUP($A184,'SegEnds_NonXtal_BW#'!$A:$Z,12,FALSE)+VLOOKUP($A184,A:AL,16,FALSE)-50</f>
        <v>126</v>
      </c>
      <c r="R184" s="3">
        <f>IF(ISERROR(VLOOKUP($A184,'SegEnds_NonXtal_BW#'!$A:$Z,13,FALSE)+VLOOKUP($A184,A:AL,19,FALSE)-50),"-",VLOOKUP($A184,'SegEnds_NonXtal_BW#'!$A:$Z,13,FALSE)+VLOOKUP($A184,A:AL,19,FALSE)-50)</f>
        <v>127</v>
      </c>
      <c r="S184" s="3">
        <v>127</v>
      </c>
      <c r="T184" s="103">
        <f>IF(ISERROR(VLOOKUP($A184,'SegEnds_NonXtal_BW#'!$A:$Z,14,FALSE)+VLOOKUP($A184,A:AL,19,FALSE)-50),"-",(VLOOKUP($A184,'SegEnds_NonXtal_BW#'!$A:$Z,14,FALSE)+VLOOKUP($A184,A:AL,19,FALSE)-50))</f>
        <v>134</v>
      </c>
      <c r="U184" s="9">
        <f>IF(ISERROR(VLOOKUP($A184,'SegEnds_NonXtal_BW#'!$A:$Z,15,FALSE)+VLOOKUP($A184,A:AL,22,FALSE)-50),"-",VLOOKUP($A184,'SegEnds_NonXtal_BW#'!$A:$Z,15,FALSE)+VLOOKUP($A184,A:AL,22,FALSE)-50)</f>
        <v>135</v>
      </c>
      <c r="V184" s="3">
        <v>147</v>
      </c>
      <c r="W184" s="3">
        <f>IF(ISERROR(VLOOKUP($A184,'SegEnds_NonXtal_BW#'!$A:$Z,16,FALSE)+VLOOKUP($A184,A:AL,22,FALSE)-50),"-",(VLOOKUP($A184,'SegEnds_NonXtal_BW#'!$A:$Z,16,FALSE)+VLOOKUP($A184,A:AL,22,FALSE)-50))</f>
        <v>161</v>
      </c>
      <c r="X184" s="3" t="str">
        <f>IF(ISERROR(VLOOKUP($A184,'SegEnds_NonXtal_BW#'!$A:$Z,17,FALSE)+VLOOKUP($A184,A:AL,25,FALSE)-50),"-",(VLOOKUP($A184,'SegEnds_NonXtal_BW#'!$A:$Z,17,FALSE)+VLOOKUP($A184,A:AL,25,FALSE)-50))</f>
        <v>-</v>
      </c>
      <c r="Y184" s="3" t="s">
        <v>23</v>
      </c>
      <c r="Z184" s="3" t="str">
        <f>IF(ISERROR(VLOOKUP($A184,'SegEnds_NonXtal_BW#'!$A:$Z,18,FALSE)+VLOOKUP($A184,A:AL,25,FALSE)-50),"-",(VLOOKUP($A184,'SegEnds_NonXtal_BW#'!$A:$Z,18,FALSE)+VLOOKUP($A184,A:AL,25,FALSE)-50))</f>
        <v>-</v>
      </c>
      <c r="AA184" s="3">
        <f>IF(ISERROR(VLOOKUP($A184,'SegEnds_NonXtal_BW#'!$A:$Z,19,FALSE)+VLOOKUP($A184,A:AL,28,FALSE)-50),"-",(VLOOKUP($A184,'SegEnds_NonXtal_BW#'!$A:$Z,19,FALSE)+VLOOKUP($A184,A:AL,28,FALSE)-50))</f>
        <v>173</v>
      </c>
      <c r="AB184" s="3">
        <v>189</v>
      </c>
      <c r="AC184" s="3">
        <f>IF(ISERROR((VLOOKUP($A184,'SegEnds_NonXtal_BW#'!$A:$Z,20,FALSE)+VLOOKUP($A184,A:AL,28,FALSE)-50)),"-",(VLOOKUP($A184,'SegEnds_NonXtal_BW#'!$A:$Z,20,FALSE)+VLOOKUP($A184,A:AL,28,FALSE)-50))</f>
        <v>207</v>
      </c>
      <c r="AD184" s="3">
        <f>IF(ISERROR(VLOOKUP($A184,'SegEnds_NonXtal_BW#'!$A:$Z,21,FALSE)+VLOOKUP($A184,A:AL,31,FALSE)-50),"-",(VLOOKUP($A184,'SegEnds_NonXtal_BW#'!$A:$Z,21,FALSE)+VLOOKUP($A184,A:AL,31,FALSE)-50))</f>
        <v>211</v>
      </c>
      <c r="AE184" s="3">
        <v>231</v>
      </c>
      <c r="AF184" s="3">
        <f>IF(ISERROR((VLOOKUP($A184,'SegEnds_NonXtal_BW#'!$A:$Z,22,FALSE)+VLOOKUP($A184,A:AL,31,FALSE)-50)),"-",(VLOOKUP($A184,'SegEnds_NonXtal_BW#'!$A:$Z,22,FALSE)+VLOOKUP($A184,A:AL,31,FALSE)-50))</f>
        <v>242</v>
      </c>
      <c r="AG184" s="3">
        <f>IF(ISERROR(VLOOKUP($A184,'SegEnds_NonXtal_BW#'!$A:$Z,23,FALSE)+VLOOKUP($A184,A:AL,34,FALSE)-50),"-",(VLOOKUP($A184,'SegEnds_NonXtal_BW#'!$A:$Z,23,FALSE)+VLOOKUP($A184,A:AL,34,FALSE)-50))</f>
        <v>247</v>
      </c>
      <c r="AH184" s="3">
        <v>269</v>
      </c>
      <c r="AI184" s="3">
        <f>IF(ISERROR((VLOOKUP($A184,'SegEnds_NonXtal_BW#'!$A:$Z,24,FALSE)+VLOOKUP($A184,A:AL,34,FALSE)-50)),"-",(VLOOKUP($A184,'SegEnds_NonXtal_BW#'!$A:$Z,24,FALSE)+VLOOKUP($A184,A:AL,34,FALSE)-50))</f>
        <v>275</v>
      </c>
      <c r="AJ184" s="3">
        <f>IF(ISERROR(VLOOKUP($A184,'SegEnds_NonXtal_BW#'!$A:$Z,25,FALSE)+VLOOKUP($A184,A:AL,37,FALSE)-50),"-",(VLOOKUP($A184,'SegEnds_NonXtal_BW#'!$A:$Z,25,FALSE)+VLOOKUP($A184,A:AL,37,FALSE)-50))</f>
        <v>276</v>
      </c>
      <c r="AK184" s="3">
        <v>279</v>
      </c>
      <c r="AL184" s="3">
        <f>IF(ISERROR((VLOOKUP($A184,'SegEnds_NonXtal_BW#'!$A:$Z,26,FALSE)+VLOOKUP($A184,A:AL,37,FALSE)-50)),"-",(VLOOKUP($A184,'SegEnds_NonXtal_BW#'!$A:$Z,26,FALSE)+VLOOKUP($A184,A:AL,37,FALSE)-50))</f>
        <v>290</v>
      </c>
      <c r="AM184" s="28" t="str">
        <f>VLOOKUP(A184,Classification!A:B,2,FALSE)</f>
        <v>A</v>
      </c>
      <c r="AN184" s="28" t="b">
        <f t="shared" si="100"/>
        <v>1</v>
      </c>
      <c r="AO184" s="3" t="str">
        <f>IF(ISERROR(MATCH(A184,'SegEnds_Xtal_Prot#'!B:B, 0)), "NoXtal", "Xtal")</f>
        <v>NoXtal</v>
      </c>
      <c r="AP184" s="3" t="str">
        <f t="shared" si="83"/>
        <v>-</v>
      </c>
      <c r="AQ184" s="3" t="str">
        <f t="shared" si="84"/>
        <v>-</v>
      </c>
      <c r="AR184" s="3" t="str">
        <f t="shared" si="85"/>
        <v>-</v>
      </c>
      <c r="AS184" s="3" t="str">
        <f t="shared" si="86"/>
        <v>-</v>
      </c>
      <c r="AT184" s="3">
        <f t="shared" si="87"/>
        <v>1</v>
      </c>
      <c r="AU184" s="3">
        <f t="shared" si="88"/>
        <v>1</v>
      </c>
      <c r="AV184" s="3" t="str">
        <f t="shared" si="89"/>
        <v>-</v>
      </c>
      <c r="AW184" s="3" t="str">
        <f t="shared" si="90"/>
        <v>-</v>
      </c>
      <c r="AX184" s="3">
        <f t="shared" si="91"/>
        <v>4</v>
      </c>
      <c r="AY184" s="3">
        <f t="shared" si="92"/>
        <v>5</v>
      </c>
      <c r="AZ184" s="3">
        <f t="shared" si="93"/>
        <v>1</v>
      </c>
      <c r="BA184" s="3">
        <f>IF(ISERROR(LEN(VLOOKUP(A184,Seqs!A:E,2,FALSE))-AL184),"-",LEN(VLOOKUP(A184,Seqs!A:E,2,FALSE))-AL184)</f>
        <v>32</v>
      </c>
      <c r="BB184" s="16">
        <f t="shared" si="94"/>
        <v>27</v>
      </c>
      <c r="BC184" s="9">
        <f t="shared" si="95"/>
        <v>20</v>
      </c>
      <c r="BD184" s="3">
        <f t="shared" si="96"/>
        <v>27</v>
      </c>
      <c r="BE184" s="3">
        <f t="shared" si="97"/>
        <v>42</v>
      </c>
    </row>
    <row r="185" spans="1:58" s="3" customFormat="1" x14ac:dyDescent="0.2">
      <c r="A185" s="3" t="s">
        <v>306</v>
      </c>
      <c r="B185" s="3" t="str">
        <f>LOWER(VLOOKUP(A185,Xtal_Templ!A:B,2,FALSE))</f>
        <v>agtr1_human</v>
      </c>
      <c r="C185" s="3">
        <f>VLOOKUP($A185,'SegEnds_NonXtal_BW#'!$A:$Z,3,FALSE)+D185-50</f>
        <v>28</v>
      </c>
      <c r="D185" s="3">
        <v>48</v>
      </c>
      <c r="E185" s="3">
        <f>IF(ISERROR(VLOOKUP($A185,'SegEnds_NonXtal_BW#'!$A:$Z,4,FALSE)+VLOOKUP($A185,A:AL,4,FALSE)-50),"-",(VLOOKUP($A185,'SegEnds_NonXtal_BW#'!$A:$Z,4,FALSE)+VLOOKUP($A185,A:AL,4,FALSE)-50))</f>
        <v>58</v>
      </c>
      <c r="F185" s="3" t="str">
        <f>IF(ISERROR(VLOOKUP($A185,'SegEnds_NonXtal_BW#'!$A:$Z,5,FALSE)+VLOOKUP($A185,A:AL,7,FALSE)-50),"-",(VLOOKUP($A185,'SegEnds_NonXtal_BW#'!$A:$Z,5,FALSE)+VLOOKUP($A185,A:AL,7,FALSE)-50))</f>
        <v>-</v>
      </c>
      <c r="G185" s="3" t="s">
        <v>23</v>
      </c>
      <c r="H185" s="3" t="str">
        <f>IF(ISERROR(VLOOKUP($A185,'SegEnds_NonXtal_BW#'!$A:$Z,6,FALSE)+VLOOKUP($A185,A:AL,7,FALSE)-50),"-",(VLOOKUP($A185,'SegEnds_NonXtal_BW#'!$A:$Z,6,FALSE)+VLOOKUP($A185,A:AL,7,FALSE)-50))</f>
        <v>-</v>
      </c>
      <c r="I185" s="3">
        <f>VLOOKUP($A185,'SegEnds_NonXtal_BW#'!$A:$Z,7,FALSE)+J185-50</f>
        <v>62</v>
      </c>
      <c r="J185" s="3">
        <v>75</v>
      </c>
      <c r="K185" s="3">
        <f>VLOOKUP($A185,'SegEnds_NonXtal_BW#'!$A:$Z,8,FALSE)+VLOOKUP($A185,A:AL,10,FALSE)-50</f>
        <v>91</v>
      </c>
      <c r="L185" s="3" t="str">
        <f>IF(ISERROR(VLOOKUP($A185,'SegEnds_NonXtal_BW#'!$A:$Z,9,FALSE)+VLOOKUP($A185,A:AL,13,FALSE)-50),"-",(VLOOKUP($A185,'SegEnds_NonXtal_BW#'!$A:$Z,9,FALSE)+VLOOKUP($A185,A:AL,13,FALSE)-50))</f>
        <v>-</v>
      </c>
      <c r="M185" s="3" t="s">
        <v>23</v>
      </c>
      <c r="N185" s="3" t="str">
        <f>IF(ISERROR(VLOOKUP($A185,'SegEnds_NonXtal_BW#'!$A:$Z,10,FALSE)+VLOOKUP($A185,A:AL,13,FALSE)-50),"-",(VLOOKUP($A185,'SegEnds_NonXtal_BW#'!$A:$Z,10,FALSE)+VLOOKUP($A185,A:AL,13,FALSE)-50))</f>
        <v>-</v>
      </c>
      <c r="O185" s="3">
        <f>VLOOKUP($A185,'SegEnds_NonXtal_BW#'!$A:$Z,11,FALSE)+VLOOKUP($A185,A:AL,16,FALSE)-50</f>
        <v>98</v>
      </c>
      <c r="P185" s="3">
        <v>127</v>
      </c>
      <c r="Q185" s="3">
        <f>VLOOKUP($A185,'SegEnds_NonXtal_BW#'!$A:$Z,12,FALSE)+VLOOKUP($A185,A:AL,16,FALSE)-50</f>
        <v>133</v>
      </c>
      <c r="R185" s="3">
        <f>IF(ISERROR(VLOOKUP($A185,'SegEnds_NonXtal_BW#'!$A:$Z,13,FALSE)+VLOOKUP($A185,A:AL,19,FALSE)-50),"-",VLOOKUP($A185,'SegEnds_NonXtal_BW#'!$A:$Z,13,FALSE)+VLOOKUP($A185,A:AL,19,FALSE)-50)</f>
        <v>134</v>
      </c>
      <c r="S185" s="3">
        <v>134</v>
      </c>
      <c r="T185" s="103">
        <f>IF(ISERROR(VLOOKUP($A185,'SegEnds_NonXtal_BW#'!$A:$Z,14,FALSE)+VLOOKUP($A185,A:AL,19,FALSE)-50),"-",(VLOOKUP($A185,'SegEnds_NonXtal_BW#'!$A:$Z,14,FALSE)+VLOOKUP($A185,A:AL,19,FALSE)-50))</f>
        <v>141</v>
      </c>
      <c r="U185" s="9">
        <f>IF(ISERROR(VLOOKUP($A185,'SegEnds_NonXtal_BW#'!$A:$Z,15,FALSE)+VLOOKUP($A185,A:AL,22,FALSE)-50),"-",VLOOKUP($A185,'SegEnds_NonXtal_BW#'!$A:$Z,15,FALSE)+VLOOKUP($A185,A:AL,22,FALSE)-50)</f>
        <v>142</v>
      </c>
      <c r="V185" s="3">
        <v>154</v>
      </c>
      <c r="W185" s="3">
        <f>IF(ISERROR(VLOOKUP($A185,'SegEnds_NonXtal_BW#'!$A:$Z,16,FALSE)+VLOOKUP($A185,A:AL,22,FALSE)-50),"-",(VLOOKUP($A185,'SegEnds_NonXtal_BW#'!$A:$Z,16,FALSE)+VLOOKUP($A185,A:AL,22,FALSE)-50))</f>
        <v>168</v>
      </c>
      <c r="X185" s="3" t="str">
        <f>IF(ISERROR(VLOOKUP($A185,'SegEnds_NonXtal_BW#'!$A:$Z,17,FALSE)+VLOOKUP($A185,A:AL,25,FALSE)-50),"-",(VLOOKUP($A185,'SegEnds_NonXtal_BW#'!$A:$Z,17,FALSE)+VLOOKUP($A185,A:AL,25,FALSE)-50))</f>
        <v>-</v>
      </c>
      <c r="Y185" s="3" t="s">
        <v>23</v>
      </c>
      <c r="Z185" s="3" t="str">
        <f>IF(ISERROR(VLOOKUP($A185,'SegEnds_NonXtal_BW#'!$A:$Z,18,FALSE)+VLOOKUP($A185,A:AL,25,FALSE)-50),"-",(VLOOKUP($A185,'SegEnds_NonXtal_BW#'!$A:$Z,18,FALSE)+VLOOKUP($A185,A:AL,25,FALSE)-50))</f>
        <v>-</v>
      </c>
      <c r="AA185" s="3">
        <f>IF(ISERROR(VLOOKUP($A185,'SegEnds_NonXtal_BW#'!$A:$Z,19,FALSE)+VLOOKUP($A185,A:AL,28,FALSE)-50),"-",(VLOOKUP($A185,'SegEnds_NonXtal_BW#'!$A:$Z,19,FALSE)+VLOOKUP($A185,A:AL,28,FALSE)-50))</f>
        <v>180</v>
      </c>
      <c r="AB185" s="3">
        <v>196</v>
      </c>
      <c r="AC185" s="3">
        <f>IF(ISERROR((VLOOKUP($A185,'SegEnds_NonXtal_BW#'!$A:$Z,20,FALSE)+VLOOKUP($A185,A:AL,28,FALSE)-50)),"-",(VLOOKUP($A185,'SegEnds_NonXtal_BW#'!$A:$Z,20,FALSE)+VLOOKUP($A185,A:AL,28,FALSE)-50))</f>
        <v>214</v>
      </c>
      <c r="AD185" s="3">
        <f>IF(ISERROR(VLOOKUP($A185,'SegEnds_NonXtal_BW#'!$A:$Z,21,FALSE)+VLOOKUP($A185,A:AL,31,FALSE)-50),"-",(VLOOKUP($A185,'SegEnds_NonXtal_BW#'!$A:$Z,21,FALSE)+VLOOKUP($A185,A:AL,31,FALSE)-50))</f>
        <v>218</v>
      </c>
      <c r="AE185" s="3">
        <v>238</v>
      </c>
      <c r="AF185" s="3">
        <f>IF(ISERROR((VLOOKUP($A185,'SegEnds_NonXtal_BW#'!$A:$Z,22,FALSE)+VLOOKUP($A185,A:AL,31,FALSE)-50)),"-",(VLOOKUP($A185,'SegEnds_NonXtal_BW#'!$A:$Z,22,FALSE)+VLOOKUP($A185,A:AL,31,FALSE)-50))</f>
        <v>249</v>
      </c>
      <c r="AG185" s="3">
        <f>IF(ISERROR(VLOOKUP($A185,'SegEnds_NonXtal_BW#'!$A:$Z,23,FALSE)+VLOOKUP($A185,A:AL,34,FALSE)-50),"-",(VLOOKUP($A185,'SegEnds_NonXtal_BW#'!$A:$Z,23,FALSE)+VLOOKUP($A185,A:AL,34,FALSE)-50))</f>
        <v>254</v>
      </c>
      <c r="AH185" s="3">
        <v>276</v>
      </c>
      <c r="AI185" s="3">
        <f>IF(ISERROR((VLOOKUP($A185,'SegEnds_NonXtal_BW#'!$A:$Z,24,FALSE)+VLOOKUP($A185,A:AL,34,FALSE)-50)),"-",(VLOOKUP($A185,'SegEnds_NonXtal_BW#'!$A:$Z,24,FALSE)+VLOOKUP($A185,A:AL,34,FALSE)-50))</f>
        <v>282</v>
      </c>
      <c r="AJ185" s="3">
        <f>IF(ISERROR(VLOOKUP($A185,'SegEnds_NonXtal_BW#'!$A:$Z,25,FALSE)+VLOOKUP($A185,A:AL,37,FALSE)-50),"-",(VLOOKUP($A185,'SegEnds_NonXtal_BW#'!$A:$Z,25,FALSE)+VLOOKUP($A185,A:AL,37,FALSE)-50))</f>
        <v>283</v>
      </c>
      <c r="AK185" s="3">
        <v>286</v>
      </c>
      <c r="AL185" s="3">
        <f>IF(ISERROR((VLOOKUP($A185,'SegEnds_NonXtal_BW#'!$A:$Z,26,FALSE)+VLOOKUP($A185,A:AL,37,FALSE)-50)),"-",(VLOOKUP($A185,'SegEnds_NonXtal_BW#'!$A:$Z,26,FALSE)+VLOOKUP($A185,A:AL,37,FALSE)-50))</f>
        <v>297</v>
      </c>
      <c r="AM185" s="28" t="str">
        <f>VLOOKUP(A185,Classification!A:B,2,FALSE)</f>
        <v>A</v>
      </c>
      <c r="AN185" s="28" t="b">
        <f t="shared" si="100"/>
        <v>1</v>
      </c>
      <c r="AO185" s="3" t="str">
        <f>IF(ISERROR(MATCH(A185,'SegEnds_Xtal_Prot#'!B:B, 0)), "NoXtal", "Xtal")</f>
        <v>NoXtal</v>
      </c>
      <c r="AP185" s="3" t="str">
        <f t="shared" si="83"/>
        <v>-</v>
      </c>
      <c r="AQ185" s="3" t="str">
        <f t="shared" si="84"/>
        <v>-</v>
      </c>
      <c r="AR185" s="3" t="str">
        <f t="shared" si="85"/>
        <v>-</v>
      </c>
      <c r="AS185" s="3" t="str">
        <f t="shared" si="86"/>
        <v>-</v>
      </c>
      <c r="AT185" s="3">
        <f t="shared" si="87"/>
        <v>1</v>
      </c>
      <c r="AU185" s="3">
        <f t="shared" si="88"/>
        <v>1</v>
      </c>
      <c r="AV185" s="3" t="str">
        <f t="shared" si="89"/>
        <v>-</v>
      </c>
      <c r="AW185" s="3" t="str">
        <f t="shared" si="90"/>
        <v>-</v>
      </c>
      <c r="AX185" s="3">
        <f t="shared" si="91"/>
        <v>4</v>
      </c>
      <c r="AY185" s="3">
        <f t="shared" si="92"/>
        <v>5</v>
      </c>
      <c r="AZ185" s="3">
        <f t="shared" si="93"/>
        <v>1</v>
      </c>
      <c r="BA185" s="3">
        <f>IF(ISERROR(LEN(VLOOKUP(A185,Seqs!A:E,2,FALSE))-AL185),"-",LEN(VLOOKUP(A185,Seqs!A:E,2,FALSE))-AL185)</f>
        <v>33</v>
      </c>
      <c r="BB185" s="16">
        <f t="shared" si="94"/>
        <v>27</v>
      </c>
      <c r="BC185" s="9">
        <f t="shared" si="95"/>
        <v>20</v>
      </c>
      <c r="BD185" s="3">
        <f t="shared" si="96"/>
        <v>27</v>
      </c>
      <c r="BE185" s="3">
        <f t="shared" si="97"/>
        <v>42</v>
      </c>
    </row>
    <row r="186" spans="1:58" s="3" customFormat="1" x14ac:dyDescent="0.2">
      <c r="A186" s="3" t="s">
        <v>307</v>
      </c>
      <c r="B186" s="3" t="str">
        <f>LOWER(VLOOKUP(A186,Xtal_Templ!A:B,2,FALSE))</f>
        <v>agtr1_human</v>
      </c>
      <c r="C186" s="3">
        <f>VLOOKUP($A186,'SegEnds_NonXtal_BW#'!$A:$Z,3,FALSE)+D186-50</f>
        <v>25</v>
      </c>
      <c r="D186" s="3">
        <v>45</v>
      </c>
      <c r="E186" s="3">
        <f>IF(ISERROR(VLOOKUP($A186,'SegEnds_NonXtal_BW#'!$A:$Z,4,FALSE)+VLOOKUP($A186,A:AL,4,FALSE)-50),"-",(VLOOKUP($A186,'SegEnds_NonXtal_BW#'!$A:$Z,4,FALSE)+VLOOKUP($A186,A:AL,4,FALSE)-50))</f>
        <v>55</v>
      </c>
      <c r="F186" s="3" t="str">
        <f>IF(ISERROR(VLOOKUP($A186,'SegEnds_NonXtal_BW#'!$A:$Z,5,FALSE)+VLOOKUP($A186,A:AL,7,FALSE)-50),"-",(VLOOKUP($A186,'SegEnds_NonXtal_BW#'!$A:$Z,5,FALSE)+VLOOKUP($A186,A:AL,7,FALSE)-50))</f>
        <v>-</v>
      </c>
      <c r="G186" s="3" t="s">
        <v>23</v>
      </c>
      <c r="H186" s="3" t="str">
        <f>IF(ISERROR(VLOOKUP($A186,'SegEnds_NonXtal_BW#'!$A:$Z,6,FALSE)+VLOOKUP($A186,A:AL,7,FALSE)-50),"-",(VLOOKUP($A186,'SegEnds_NonXtal_BW#'!$A:$Z,6,FALSE)+VLOOKUP($A186,A:AL,7,FALSE)-50))</f>
        <v>-</v>
      </c>
      <c r="I186" s="3">
        <f>VLOOKUP($A186,'SegEnds_NonXtal_BW#'!$A:$Z,7,FALSE)+J186-50</f>
        <v>59</v>
      </c>
      <c r="J186" s="3">
        <v>72</v>
      </c>
      <c r="K186" s="3">
        <f>VLOOKUP($A186,'SegEnds_NonXtal_BW#'!$A:$Z,8,FALSE)+VLOOKUP($A186,A:AL,10,FALSE)-50</f>
        <v>88</v>
      </c>
      <c r="L186" s="3" t="str">
        <f>IF(ISERROR(VLOOKUP($A186,'SegEnds_NonXtal_BW#'!$A:$Z,9,FALSE)+VLOOKUP($A186,A:AL,13,FALSE)-50),"-",(VLOOKUP($A186,'SegEnds_NonXtal_BW#'!$A:$Z,9,FALSE)+VLOOKUP($A186,A:AL,13,FALSE)-50))</f>
        <v>-</v>
      </c>
      <c r="M186" s="3" t="s">
        <v>23</v>
      </c>
      <c r="N186" s="3" t="str">
        <f>IF(ISERROR(VLOOKUP($A186,'SegEnds_NonXtal_BW#'!$A:$Z,10,FALSE)+VLOOKUP($A186,A:AL,13,FALSE)-50),"-",(VLOOKUP($A186,'SegEnds_NonXtal_BW#'!$A:$Z,10,FALSE)+VLOOKUP($A186,A:AL,13,FALSE)-50))</f>
        <v>-</v>
      </c>
      <c r="O186" s="3">
        <f>VLOOKUP($A186,'SegEnds_NonXtal_BW#'!$A:$Z,11,FALSE)+VLOOKUP($A186,A:AL,16,FALSE)-50</f>
        <v>94</v>
      </c>
      <c r="P186" s="3">
        <v>120</v>
      </c>
      <c r="Q186" s="3">
        <f>VLOOKUP($A186,'SegEnds_NonXtal_BW#'!$A:$Z,12,FALSE)+VLOOKUP($A186,A:AL,16,FALSE)-50</f>
        <v>126</v>
      </c>
      <c r="R186" s="3">
        <f>IF(ISERROR(VLOOKUP($A186,'SegEnds_NonXtal_BW#'!$A:$Z,13,FALSE)+VLOOKUP($A186,A:AL,19,FALSE)-50),"-",VLOOKUP($A186,'SegEnds_NonXtal_BW#'!$A:$Z,13,FALSE)+VLOOKUP($A186,A:AL,19,FALSE)-50)</f>
        <v>127</v>
      </c>
      <c r="S186" s="3">
        <v>127</v>
      </c>
      <c r="T186" s="103">
        <f>IF(ISERROR(VLOOKUP($A186,'SegEnds_NonXtal_BW#'!$A:$Z,14,FALSE)+VLOOKUP($A186,A:AL,19,FALSE)-50),"-",(VLOOKUP($A186,'SegEnds_NonXtal_BW#'!$A:$Z,14,FALSE)+VLOOKUP($A186,A:AL,19,FALSE)-50))</f>
        <v>134</v>
      </c>
      <c r="U186" s="9">
        <f>IF(ISERROR(VLOOKUP($A186,'SegEnds_NonXtal_BW#'!$A:$Z,15,FALSE)+VLOOKUP($A186,A:AL,22,FALSE)-50),"-",VLOOKUP($A186,'SegEnds_NonXtal_BW#'!$A:$Z,15,FALSE)+VLOOKUP($A186,A:AL,22,FALSE)-50)</f>
        <v>135</v>
      </c>
      <c r="V186" s="3">
        <v>147</v>
      </c>
      <c r="W186" s="3">
        <f>IF(ISERROR(VLOOKUP($A186,'SegEnds_NonXtal_BW#'!$A:$Z,16,FALSE)+VLOOKUP($A186,A:AL,22,FALSE)-50),"-",(VLOOKUP($A186,'SegEnds_NonXtal_BW#'!$A:$Z,16,FALSE)+VLOOKUP($A186,A:AL,22,FALSE)-50))</f>
        <v>161</v>
      </c>
      <c r="X186" s="3" t="str">
        <f>IF(ISERROR(VLOOKUP($A186,'SegEnds_NonXtal_BW#'!$A:$Z,17,FALSE)+VLOOKUP($A186,A:AL,25,FALSE)-50),"-",(VLOOKUP($A186,'SegEnds_NonXtal_BW#'!$A:$Z,17,FALSE)+VLOOKUP($A186,A:AL,25,FALSE)-50))</f>
        <v>-</v>
      </c>
      <c r="Y186" s="3" t="s">
        <v>23</v>
      </c>
      <c r="Z186" s="3" t="str">
        <f>IF(ISERROR(VLOOKUP($A186,'SegEnds_NonXtal_BW#'!$A:$Z,18,FALSE)+VLOOKUP($A186,A:AL,25,FALSE)-50),"-",(VLOOKUP($A186,'SegEnds_NonXtal_BW#'!$A:$Z,18,FALSE)+VLOOKUP($A186,A:AL,25,FALSE)-50))</f>
        <v>-</v>
      </c>
      <c r="AA186" s="3">
        <f>IF(ISERROR(VLOOKUP($A186,'SegEnds_NonXtal_BW#'!$A:$Z,19,FALSE)+VLOOKUP($A186,A:AL,28,FALSE)-50),"-",(VLOOKUP($A186,'SegEnds_NonXtal_BW#'!$A:$Z,19,FALSE)+VLOOKUP($A186,A:AL,28,FALSE)-50))</f>
        <v>173</v>
      </c>
      <c r="AB186" s="3">
        <v>189</v>
      </c>
      <c r="AC186" s="3">
        <f>IF(ISERROR((VLOOKUP($A186,'SegEnds_NonXtal_BW#'!$A:$Z,20,FALSE)+VLOOKUP($A186,A:AL,28,FALSE)-50)),"-",(VLOOKUP($A186,'SegEnds_NonXtal_BW#'!$A:$Z,20,FALSE)+VLOOKUP($A186,A:AL,28,FALSE)-50))</f>
        <v>207</v>
      </c>
      <c r="AD186" s="3">
        <f>IF(ISERROR(VLOOKUP($A186,'SegEnds_NonXtal_BW#'!$A:$Z,21,FALSE)+VLOOKUP($A186,A:AL,31,FALSE)-50),"-",(VLOOKUP($A186,'SegEnds_NonXtal_BW#'!$A:$Z,21,FALSE)+VLOOKUP($A186,A:AL,31,FALSE)-50))</f>
        <v>211</v>
      </c>
      <c r="AE186" s="3">
        <v>231</v>
      </c>
      <c r="AF186" s="3">
        <f>IF(ISERROR((VLOOKUP($A186,'SegEnds_NonXtal_BW#'!$A:$Z,22,FALSE)+VLOOKUP($A186,A:AL,31,FALSE)-50)),"-",(VLOOKUP($A186,'SegEnds_NonXtal_BW#'!$A:$Z,22,FALSE)+VLOOKUP($A186,A:AL,31,FALSE)-50))</f>
        <v>242</v>
      </c>
      <c r="AG186" s="3">
        <f>IF(ISERROR(VLOOKUP($A186,'SegEnds_NonXtal_BW#'!$A:$Z,23,FALSE)+VLOOKUP($A186,A:AL,34,FALSE)-50),"-",(VLOOKUP($A186,'SegEnds_NonXtal_BW#'!$A:$Z,23,FALSE)+VLOOKUP($A186,A:AL,34,FALSE)-50))</f>
        <v>247</v>
      </c>
      <c r="AH186" s="3">
        <v>269</v>
      </c>
      <c r="AI186" s="3">
        <f>IF(ISERROR((VLOOKUP($A186,'SegEnds_NonXtal_BW#'!$A:$Z,24,FALSE)+VLOOKUP($A186,A:AL,34,FALSE)-50)),"-",(VLOOKUP($A186,'SegEnds_NonXtal_BW#'!$A:$Z,24,FALSE)+VLOOKUP($A186,A:AL,34,FALSE)-50))</f>
        <v>275</v>
      </c>
      <c r="AJ186" s="3">
        <f>IF(ISERROR(VLOOKUP($A186,'SegEnds_NonXtal_BW#'!$A:$Z,25,FALSE)+VLOOKUP($A186,A:AL,37,FALSE)-50),"-",(VLOOKUP($A186,'SegEnds_NonXtal_BW#'!$A:$Z,25,FALSE)+VLOOKUP($A186,A:AL,37,FALSE)-50))</f>
        <v>276</v>
      </c>
      <c r="AK186" s="3">
        <v>279</v>
      </c>
      <c r="AL186" s="3">
        <f>IF(ISERROR((VLOOKUP($A186,'SegEnds_NonXtal_BW#'!$A:$Z,26,FALSE)+VLOOKUP($A186,A:AL,37,FALSE)-50)),"-",(VLOOKUP($A186,'SegEnds_NonXtal_BW#'!$A:$Z,26,FALSE)+VLOOKUP($A186,A:AL,37,FALSE)-50))</f>
        <v>290</v>
      </c>
      <c r="AM186" s="28" t="str">
        <f>VLOOKUP(A186,Classification!A:B,2,FALSE)</f>
        <v>A</v>
      </c>
      <c r="AN186" s="28" t="b">
        <f t="shared" si="100"/>
        <v>1</v>
      </c>
      <c r="AO186" s="3" t="str">
        <f>IF(ISERROR(MATCH(A186,'SegEnds_Xtal_Prot#'!B:B, 0)), "NoXtal", "Xtal")</f>
        <v>NoXtal</v>
      </c>
      <c r="AP186" s="3" t="str">
        <f t="shared" si="83"/>
        <v>-</v>
      </c>
      <c r="AQ186" s="3" t="str">
        <f t="shared" si="84"/>
        <v>-</v>
      </c>
      <c r="AR186" s="3" t="str">
        <f t="shared" si="85"/>
        <v>-</v>
      </c>
      <c r="AS186" s="3" t="str">
        <f t="shared" si="86"/>
        <v>-</v>
      </c>
      <c r="AT186" s="3">
        <f t="shared" si="87"/>
        <v>1</v>
      </c>
      <c r="AU186" s="3">
        <f t="shared" si="88"/>
        <v>1</v>
      </c>
      <c r="AV186" s="3" t="str">
        <f t="shared" si="89"/>
        <v>-</v>
      </c>
      <c r="AW186" s="3" t="str">
        <f t="shared" si="90"/>
        <v>-</v>
      </c>
      <c r="AX186" s="3">
        <f t="shared" si="91"/>
        <v>4</v>
      </c>
      <c r="AY186" s="3">
        <f t="shared" si="92"/>
        <v>5</v>
      </c>
      <c r="AZ186" s="3">
        <f t="shared" si="93"/>
        <v>1</v>
      </c>
      <c r="BA186" s="3">
        <f>IF(ISERROR(LEN(VLOOKUP(A186,Seqs!A:E,2,FALSE))-AL186),"-",LEN(VLOOKUP(A186,Seqs!A:E,2,FALSE))-AL186)</f>
        <v>32</v>
      </c>
      <c r="BB186" s="16">
        <f t="shared" si="94"/>
        <v>27</v>
      </c>
      <c r="BC186" s="9">
        <f t="shared" si="95"/>
        <v>20</v>
      </c>
      <c r="BD186" s="3">
        <f t="shared" si="96"/>
        <v>27</v>
      </c>
      <c r="BE186" s="3">
        <f t="shared" si="97"/>
        <v>42</v>
      </c>
    </row>
    <row r="187" spans="1:58" s="3" customFormat="1" x14ac:dyDescent="0.2">
      <c r="A187" s="3" t="s">
        <v>308</v>
      </c>
      <c r="B187" s="3" t="str">
        <f>LOWER(VLOOKUP(A187,Xtal_Templ!A:B,2,FALSE))</f>
        <v>oprm_mouse</v>
      </c>
      <c r="C187" s="3">
        <f>VLOOKUP($A187,'SegEnds_NonXtal_BW#'!$A:$Z,3,FALSE)+D187-50</f>
        <v>24</v>
      </c>
      <c r="D187" s="3">
        <v>45</v>
      </c>
      <c r="E187" s="3">
        <f>IF(ISERROR(VLOOKUP($A187,'SegEnds_NonXtal_BW#'!$A:$Z,4,FALSE)+VLOOKUP($A187,A:AL,4,FALSE)-50),"-",(VLOOKUP($A187,'SegEnds_NonXtal_BW#'!$A:$Z,4,FALSE)+VLOOKUP($A187,A:AL,4,FALSE)-50))</f>
        <v>55</v>
      </c>
      <c r="F187" s="3" t="str">
        <f>IF(ISERROR(VLOOKUP($A187,'SegEnds_NonXtal_BW#'!$A:$Z,5,FALSE)+VLOOKUP($A187,A:AL,7,FALSE)-50),"-",(VLOOKUP($A187,'SegEnds_NonXtal_BW#'!$A:$Z,5,FALSE)+VLOOKUP($A187,A:AL,7,FALSE)-50))</f>
        <v>-</v>
      </c>
      <c r="G187" s="3" t="s">
        <v>23</v>
      </c>
      <c r="H187" s="3" t="str">
        <f>IF(ISERROR(VLOOKUP($A187,'SegEnds_NonXtal_BW#'!$A:$Z,6,FALSE)+VLOOKUP($A187,A:AL,7,FALSE)-50),"-",(VLOOKUP($A187,'SegEnds_NonXtal_BW#'!$A:$Z,6,FALSE)+VLOOKUP($A187,A:AL,7,FALSE)-50))</f>
        <v>-</v>
      </c>
      <c r="I187" s="3">
        <f>VLOOKUP($A187,'SegEnds_NonXtal_BW#'!$A:$Z,7,FALSE)+J187-50</f>
        <v>59</v>
      </c>
      <c r="J187" s="3">
        <v>72</v>
      </c>
      <c r="K187" s="3">
        <f>VLOOKUP($A187,'SegEnds_NonXtal_BW#'!$A:$Z,8,FALSE)+VLOOKUP($A187,A:AL,10,FALSE)-50</f>
        <v>88</v>
      </c>
      <c r="L187" s="3" t="str">
        <f>IF(ISERROR(VLOOKUP($A187,'SegEnds_NonXtal_BW#'!$A:$Z,9,FALSE)+VLOOKUP($A187,A:AL,13,FALSE)-50),"-",(VLOOKUP($A187,'SegEnds_NonXtal_BW#'!$A:$Z,9,FALSE)+VLOOKUP($A187,A:AL,13,FALSE)-50))</f>
        <v>-</v>
      </c>
      <c r="M187" s="3" t="s">
        <v>23</v>
      </c>
      <c r="N187" s="3" t="str">
        <f>IF(ISERROR(VLOOKUP($A187,'SegEnds_NonXtal_BW#'!$A:$Z,10,FALSE)+VLOOKUP($A187,A:AL,13,FALSE)-50),"-",(VLOOKUP($A187,'SegEnds_NonXtal_BW#'!$A:$Z,10,FALSE)+VLOOKUP($A187,A:AL,13,FALSE)-50))</f>
        <v>-</v>
      </c>
      <c r="O187" s="3">
        <f>VLOOKUP($A187,'SegEnds_NonXtal_BW#'!$A:$Z,11,FALSE)+VLOOKUP($A187,A:AL,16,FALSE)-50</f>
        <v>94</v>
      </c>
      <c r="P187" s="3">
        <v>120</v>
      </c>
      <c r="Q187" s="3">
        <f>VLOOKUP($A187,'SegEnds_NonXtal_BW#'!$A:$Z,12,FALSE)+VLOOKUP($A187,A:AL,16,FALSE)-50</f>
        <v>126</v>
      </c>
      <c r="R187" s="3">
        <f>IF(ISERROR(VLOOKUP($A187,'SegEnds_NonXtal_BW#'!$A:$Z,13,FALSE)+VLOOKUP($A187,A:AL,19,FALSE)-50),"-",VLOOKUP($A187,'SegEnds_NonXtal_BW#'!$A:$Z,13,FALSE)+VLOOKUP($A187,A:AL,19,FALSE)-50)</f>
        <v>127</v>
      </c>
      <c r="S187" s="3">
        <v>127</v>
      </c>
      <c r="T187" s="103">
        <f>IF(ISERROR(VLOOKUP($A187,'SegEnds_NonXtal_BW#'!$A:$Z,14,FALSE)+VLOOKUP($A187,A:AL,19,FALSE)-50),"-",(VLOOKUP($A187,'SegEnds_NonXtal_BW#'!$A:$Z,14,FALSE)+VLOOKUP($A187,A:AL,19,FALSE)-50))</f>
        <v>134</v>
      </c>
      <c r="U187" s="9">
        <f>IF(ISERROR(VLOOKUP($A187,'SegEnds_NonXtal_BW#'!$A:$Z,15,FALSE)+VLOOKUP($A187,A:AL,22,FALSE)-50),"-",VLOOKUP($A187,'SegEnds_NonXtal_BW#'!$A:$Z,15,FALSE)+VLOOKUP($A187,A:AL,22,FALSE)-50)</f>
        <v>135</v>
      </c>
      <c r="V187" s="3">
        <v>147</v>
      </c>
      <c r="W187" s="3">
        <f>IF(ISERROR(VLOOKUP($A187,'SegEnds_NonXtal_BW#'!$A:$Z,16,FALSE)+VLOOKUP($A187,A:AL,22,FALSE)-50),"-",(VLOOKUP($A187,'SegEnds_NonXtal_BW#'!$A:$Z,16,FALSE)+VLOOKUP($A187,A:AL,22,FALSE)-50))</f>
        <v>161</v>
      </c>
      <c r="X187" s="3" t="str">
        <f>IF(ISERROR(VLOOKUP($A187,'SegEnds_NonXtal_BW#'!$A:$Z,17,FALSE)+VLOOKUP($A187,A:AL,25,FALSE)-50),"-",(VLOOKUP($A187,'SegEnds_NonXtal_BW#'!$A:$Z,17,FALSE)+VLOOKUP($A187,A:AL,25,FALSE)-50))</f>
        <v>-</v>
      </c>
      <c r="Y187" s="3" t="s">
        <v>23</v>
      </c>
      <c r="Z187" s="3" t="str">
        <f>IF(ISERROR(VLOOKUP($A187,'SegEnds_NonXtal_BW#'!$A:$Z,18,FALSE)+VLOOKUP($A187,A:AL,25,FALSE)-50),"-",(VLOOKUP($A187,'SegEnds_NonXtal_BW#'!$A:$Z,18,FALSE)+VLOOKUP($A187,A:AL,25,FALSE)-50))</f>
        <v>-</v>
      </c>
      <c r="AA187" s="3">
        <f>IF(ISERROR(VLOOKUP($A187,'SegEnds_NonXtal_BW#'!$A:$Z,19,FALSE)+VLOOKUP($A187,A:AL,28,FALSE)-50),"-",(VLOOKUP($A187,'SegEnds_NonXtal_BW#'!$A:$Z,19,FALSE)+VLOOKUP($A187,A:AL,28,FALSE)-50))</f>
        <v>170</v>
      </c>
      <c r="AB187" s="3">
        <v>189</v>
      </c>
      <c r="AC187" s="3">
        <f>IF(ISERROR((VLOOKUP($A187,'SegEnds_NonXtal_BW#'!$A:$Z,20,FALSE)+VLOOKUP($A187,A:AL,28,FALSE)-50)),"-",(VLOOKUP($A187,'SegEnds_NonXtal_BW#'!$A:$Z,20,FALSE)+VLOOKUP($A187,A:AL,28,FALSE)-50))</f>
        <v>207</v>
      </c>
      <c r="AD187" s="3">
        <f>IF(ISERROR(VLOOKUP($A187,'SegEnds_NonXtal_BW#'!$A:$Z,21,FALSE)+VLOOKUP($A187,A:AL,31,FALSE)-50),"-",(VLOOKUP($A187,'SegEnds_NonXtal_BW#'!$A:$Z,21,FALSE)+VLOOKUP($A187,A:AL,31,FALSE)-50))</f>
        <v>211</v>
      </c>
      <c r="AE187" s="3">
        <v>231</v>
      </c>
      <c r="AF187" s="3">
        <f>IF(ISERROR((VLOOKUP($A187,'SegEnds_NonXtal_BW#'!$A:$Z,22,FALSE)+VLOOKUP($A187,A:AL,31,FALSE)-50)),"-",(VLOOKUP($A187,'SegEnds_NonXtal_BW#'!$A:$Z,22,FALSE)+VLOOKUP($A187,A:AL,31,FALSE)-50))</f>
        <v>242</v>
      </c>
      <c r="AG187" s="3">
        <f>IF(ISERROR(VLOOKUP($A187,'SegEnds_NonXtal_BW#'!$A:$Z,23,FALSE)+VLOOKUP($A187,A:AL,34,FALSE)-50),"-",(VLOOKUP($A187,'SegEnds_NonXtal_BW#'!$A:$Z,23,FALSE)+VLOOKUP($A187,A:AL,34,FALSE)-50))</f>
        <v>247</v>
      </c>
      <c r="AH187" s="3">
        <v>269</v>
      </c>
      <c r="AI187" s="3">
        <f>IF(ISERROR((VLOOKUP($A187,'SegEnds_NonXtal_BW#'!$A:$Z,24,FALSE)+VLOOKUP($A187,A:AL,34,FALSE)-50)),"-",(VLOOKUP($A187,'SegEnds_NonXtal_BW#'!$A:$Z,24,FALSE)+VLOOKUP($A187,A:AL,34,FALSE)-50))</f>
        <v>275</v>
      </c>
      <c r="AJ187" s="3">
        <f>IF(ISERROR(VLOOKUP($A187,'SegEnds_NonXtal_BW#'!$A:$Z,25,FALSE)+VLOOKUP($A187,A:AL,37,FALSE)-50),"-",(VLOOKUP($A187,'SegEnds_NonXtal_BW#'!$A:$Z,25,FALSE)+VLOOKUP($A187,A:AL,37,FALSE)-50))</f>
        <v>276</v>
      </c>
      <c r="AK187" s="3">
        <v>279</v>
      </c>
      <c r="AL187" s="3">
        <f>IF(ISERROR((VLOOKUP($A187,'SegEnds_NonXtal_BW#'!$A:$Z,26,FALSE)+VLOOKUP($A187,A:AL,37,FALSE)-50)),"-",(VLOOKUP($A187,'SegEnds_NonXtal_BW#'!$A:$Z,26,FALSE)+VLOOKUP($A187,A:AL,37,FALSE)-50))</f>
        <v>288</v>
      </c>
      <c r="AM187" s="28" t="str">
        <f>VLOOKUP(A187,Classification!A:B,2,FALSE)</f>
        <v>A</v>
      </c>
      <c r="AN187" s="28" t="b">
        <f t="shared" si="100"/>
        <v>1</v>
      </c>
      <c r="AO187" s="3" t="str">
        <f>IF(ISERROR(MATCH(A187,'SegEnds_Xtal_Prot#'!B:B, 0)), "NoXtal", "Xtal")</f>
        <v>NoXtal</v>
      </c>
      <c r="AP187" s="3" t="str">
        <f t="shared" si="83"/>
        <v>-</v>
      </c>
      <c r="AQ187" s="3" t="str">
        <f t="shared" si="84"/>
        <v>-</v>
      </c>
      <c r="AR187" s="3" t="str">
        <f t="shared" si="85"/>
        <v>-</v>
      </c>
      <c r="AS187" s="3" t="str">
        <f t="shared" si="86"/>
        <v>-</v>
      </c>
      <c r="AT187" s="3">
        <f t="shared" si="87"/>
        <v>1</v>
      </c>
      <c r="AU187" s="3">
        <f t="shared" si="88"/>
        <v>1</v>
      </c>
      <c r="AV187" s="3" t="str">
        <f t="shared" si="89"/>
        <v>-</v>
      </c>
      <c r="AW187" s="3" t="str">
        <f t="shared" si="90"/>
        <v>-</v>
      </c>
      <c r="AX187" s="3">
        <f t="shared" si="91"/>
        <v>4</v>
      </c>
      <c r="AY187" s="3">
        <f t="shared" si="92"/>
        <v>5</v>
      </c>
      <c r="AZ187" s="3">
        <f t="shared" si="93"/>
        <v>1</v>
      </c>
      <c r="BA187" s="3">
        <f>IF(ISERROR(LEN(VLOOKUP(A187,Seqs!A:E,2,FALSE))-AL187),"-",LEN(VLOOKUP(A187,Seqs!A:E,2,FALSE))-AL187)</f>
        <v>34</v>
      </c>
      <c r="BB187" s="16">
        <f t="shared" si="94"/>
        <v>27</v>
      </c>
      <c r="BC187" s="9">
        <f t="shared" si="95"/>
        <v>20</v>
      </c>
      <c r="BD187" s="3">
        <f t="shared" si="96"/>
        <v>27</v>
      </c>
      <c r="BE187" s="3">
        <f t="shared" si="97"/>
        <v>42</v>
      </c>
    </row>
    <row r="188" spans="1:58" s="3" customFormat="1" x14ac:dyDescent="0.2">
      <c r="A188" s="3" t="s">
        <v>309</v>
      </c>
      <c r="B188" s="3" t="str">
        <f>LOWER(VLOOKUP(A188,Xtal_Templ!A:B,2,FALSE))</f>
        <v>s1pr1_human</v>
      </c>
      <c r="C188" s="3">
        <f>VLOOKUP($A188,'SegEnds_NonXtal_BW#'!$A:$Z,3,FALSE)+D188-50</f>
        <v>35</v>
      </c>
      <c r="D188" s="3">
        <v>56</v>
      </c>
      <c r="E188" s="3">
        <f>IF(ISERROR(VLOOKUP($A188,'SegEnds_NonXtal_BW#'!$A:$Z,4,FALSE)+VLOOKUP($A188,A:AL,4,FALSE)-50),"-",(VLOOKUP($A188,'SegEnds_NonXtal_BW#'!$A:$Z,4,FALSE)+VLOOKUP($A188,A:AL,4,FALSE)-50))</f>
        <v>66</v>
      </c>
      <c r="F188" s="3">
        <f t="shared" ref="F188:F197" si="114">G188-2</f>
        <v>67</v>
      </c>
      <c r="G188" s="3">
        <v>69</v>
      </c>
      <c r="H188" s="3">
        <f t="shared" ref="H188:I197" si="115">G188+1</f>
        <v>70</v>
      </c>
      <c r="I188" s="3">
        <f t="shared" si="115"/>
        <v>71</v>
      </c>
      <c r="J188" s="3">
        <v>84</v>
      </c>
      <c r="K188" s="3">
        <f>VLOOKUP($A188,'SegEnds_NonXtal_BW#'!$A:$Z,8,FALSE)+VLOOKUP($A188,A:AL,10,FALSE)-50</f>
        <v>101</v>
      </c>
      <c r="L188" s="3" t="str">
        <f>IF(ISERROR(VLOOKUP($A188,'SegEnds_NonXtal_BW#'!$A:$Z,9,FALSE)+VLOOKUP($A188,A:AL,13,FALSE)-50),"-",(VLOOKUP($A188,'SegEnds_NonXtal_BW#'!$A:$Z,9,FALSE)+VLOOKUP($A188,A:AL,13,FALSE)-50))</f>
        <v>-</v>
      </c>
      <c r="M188" s="3" t="s">
        <v>23</v>
      </c>
      <c r="N188" s="3" t="str">
        <f>IF(ISERROR(VLOOKUP($A188,'SegEnds_NonXtal_BW#'!$A:$Z,10,FALSE)+VLOOKUP($A188,A:AL,13,FALSE)-50),"-",(VLOOKUP($A188,'SegEnds_NonXtal_BW#'!$A:$Z,10,FALSE)+VLOOKUP($A188,A:AL,13,FALSE)-50))</f>
        <v>-</v>
      </c>
      <c r="O188" s="3">
        <f>VLOOKUP($A188,'SegEnds_NonXtal_BW#'!$A:$Z,11,FALSE)+VLOOKUP($A188,A:AL,16,FALSE)-50</f>
        <v>110</v>
      </c>
      <c r="P188" s="3">
        <v>142</v>
      </c>
      <c r="Q188" s="3">
        <f>VLOOKUP($A188,'SegEnds_NonXtal_BW#'!$A:$Z,12,FALSE)+VLOOKUP($A188,A:AL,16,FALSE)-50</f>
        <v>148</v>
      </c>
      <c r="R188" s="3">
        <f>S188</f>
        <v>149</v>
      </c>
      <c r="S188" s="3">
        <v>149</v>
      </c>
      <c r="T188" s="103">
        <f>S188+7</f>
        <v>156</v>
      </c>
      <c r="U188" s="9">
        <f>IF(ISERROR(VLOOKUP($A188,'SegEnds_NonXtal_BW#'!$A:$Z,15,FALSE)+VLOOKUP($A188,A:AL,22,FALSE)-50),"-",VLOOKUP($A188,'SegEnds_NonXtal_BW#'!$A:$Z,15,FALSE)+VLOOKUP($A188,A:AL,22,FALSE)-50)</f>
        <v>157</v>
      </c>
      <c r="V188" s="3">
        <v>169</v>
      </c>
      <c r="W188" s="3">
        <f>IF(ISERROR(VLOOKUP($A188,'SegEnds_NonXtal_BW#'!$A:$Z,16,FALSE)+VLOOKUP($A188,A:AL,22,FALSE)-50),"-",(VLOOKUP($A188,'SegEnds_NonXtal_BW#'!$A:$Z,16,FALSE)+VLOOKUP($A188,A:AL,22,FALSE)-50))</f>
        <v>182</v>
      </c>
      <c r="X188" s="3" t="str">
        <f>IF(ISERROR(VLOOKUP($A188,'SegEnds_NonXtal_BW#'!$A:$Z,17,FALSE)+VLOOKUP($A188,A:AL,25,FALSE)-50),"-",(VLOOKUP($A188,'SegEnds_NonXtal_BW#'!$A:$Z,17,FALSE)+VLOOKUP($A188,A:AL,25,FALSE)-50))</f>
        <v>-</v>
      </c>
      <c r="Y188" s="3" t="s">
        <v>23</v>
      </c>
      <c r="Z188" s="3" t="str">
        <f>IF(ISERROR(VLOOKUP($A188,'SegEnds_NonXtal_BW#'!$A:$Z,18,FALSE)+VLOOKUP($A188,A:AL,25,FALSE)-50),"-",(VLOOKUP($A188,'SegEnds_NonXtal_BW#'!$A:$Z,18,FALSE)+VLOOKUP($A188,A:AL,25,FALSE)-50))</f>
        <v>-</v>
      </c>
      <c r="AA188" s="3">
        <f>IF(ISERROR(VLOOKUP($A188,'SegEnds_NonXtal_BW#'!$A:$Z,19,FALSE)+VLOOKUP($A188,A:AL,28,FALSE)-50),"-",(VLOOKUP($A188,'SegEnds_NonXtal_BW#'!$A:$Z,19,FALSE)+VLOOKUP($A188,A:AL,28,FALSE)-50))</f>
        <v>192</v>
      </c>
      <c r="AB188" s="9">
        <v>209</v>
      </c>
      <c r="AC188" s="3">
        <f>IF(ISERROR((VLOOKUP($A188,'SegEnds_NonXtal_BW#'!$A:$Z,20,FALSE)+VLOOKUP($A188,A:AL,28,FALSE)-50)),"-",(VLOOKUP($A188,'SegEnds_NonXtal_BW#'!$A:$Z,20,FALSE)+VLOOKUP($A188,A:AL,28,FALSE)-50))</f>
        <v>226</v>
      </c>
      <c r="AD188" s="3">
        <f>IF(ISERROR(VLOOKUP($A188,'SegEnds_NonXtal_BW#'!$A:$Z,21,FALSE)+VLOOKUP($A188,A:AL,31,FALSE)-50),"-",(VLOOKUP($A188,'SegEnds_NonXtal_BW#'!$A:$Z,21,FALSE)+VLOOKUP($A188,A:AL,31,FALSE)-50))</f>
        <v>233</v>
      </c>
      <c r="AE188" s="3">
        <v>256</v>
      </c>
      <c r="AF188" s="3">
        <f>IF(ISERROR((VLOOKUP($A188,'SegEnds_NonXtal_BW#'!$A:$Z,22,FALSE)+VLOOKUP($A188,A:AL,31,FALSE)-50)),"-",(VLOOKUP($A188,'SegEnds_NonXtal_BW#'!$A:$Z,22,FALSE)+VLOOKUP($A188,A:AL,31,FALSE)-50))</f>
        <v>267</v>
      </c>
      <c r="AG188" s="3">
        <f>IF(ISERROR(VLOOKUP($A188,'SegEnds_NonXtal_BW#'!$A:$Z,23,FALSE)+VLOOKUP($A188,A:AL,34,FALSE)-50),"-",(VLOOKUP($A188,'SegEnds_NonXtal_BW#'!$A:$Z,23,FALSE)+VLOOKUP($A188,A:AL,34,FALSE)-50))</f>
        <v>273</v>
      </c>
      <c r="AH188" s="3">
        <v>295</v>
      </c>
      <c r="AI188" s="3">
        <f>IF(ISERROR((VLOOKUP($A188,'SegEnds_NonXtal_BW#'!$A:$Z,24,FALSE)+VLOOKUP($A188,A:AL,34,FALSE)-50)),"-",(VLOOKUP($A188,'SegEnds_NonXtal_BW#'!$A:$Z,24,FALSE)+VLOOKUP($A188,A:AL,34,FALSE)-50))</f>
        <v>301</v>
      </c>
      <c r="AJ188" s="3">
        <f>IF(ISERROR(VLOOKUP($A188,'SegEnds_NonXtal_BW#'!$A:$Z,25,FALSE)+VLOOKUP($A188,A:AL,37,FALSE)-50),"-",(VLOOKUP($A188,'SegEnds_NonXtal_BW#'!$A:$Z,25,FALSE)+VLOOKUP($A188,A:AL,37,FALSE)-50))</f>
        <v>302</v>
      </c>
      <c r="AK188" s="3">
        <v>305</v>
      </c>
      <c r="AL188" s="3">
        <f>IF(ISERROR((VLOOKUP($A188,'SegEnds_NonXtal_BW#'!$A:$Z,26,FALSE)+VLOOKUP($A188,A:AL,37,FALSE)-50)),"-",(VLOOKUP($A188,'SegEnds_NonXtal_BW#'!$A:$Z,26,FALSE)+VLOOKUP($A188,A:AL,37,FALSE)-50))</f>
        <v>314</v>
      </c>
      <c r="AM188" s="28" t="str">
        <f>VLOOKUP(A188,Classification!A:B,2,FALSE)</f>
        <v>A</v>
      </c>
      <c r="AN188" s="28" t="b">
        <f t="shared" si="100"/>
        <v>1</v>
      </c>
      <c r="AO188" s="3" t="str">
        <f>IF(ISERROR(MATCH(A188,'SegEnds_Xtal_Prot#'!B:B, 0)), "NoXtal", "Xtal")</f>
        <v>NoXtal</v>
      </c>
      <c r="AP188" s="3">
        <f t="shared" si="83"/>
        <v>1</v>
      </c>
      <c r="AQ188" s="3">
        <f t="shared" si="84"/>
        <v>1</v>
      </c>
      <c r="AR188" s="3" t="str">
        <f t="shared" si="85"/>
        <v>-</v>
      </c>
      <c r="AS188" s="3" t="str">
        <f t="shared" si="86"/>
        <v>-</v>
      </c>
      <c r="AT188" s="3">
        <f t="shared" si="87"/>
        <v>1</v>
      </c>
      <c r="AU188" s="3">
        <f t="shared" si="88"/>
        <v>1</v>
      </c>
      <c r="AV188" s="3" t="str">
        <f t="shared" si="89"/>
        <v>-</v>
      </c>
      <c r="AW188" s="3" t="str">
        <f t="shared" si="90"/>
        <v>-</v>
      </c>
      <c r="AX188" s="3">
        <f t="shared" si="91"/>
        <v>7</v>
      </c>
      <c r="AY188" s="3">
        <f t="shared" si="92"/>
        <v>6</v>
      </c>
      <c r="AZ188" s="3">
        <f t="shared" si="93"/>
        <v>1</v>
      </c>
      <c r="BA188" s="3">
        <f>IF(ISERROR(LEN(VLOOKUP(A188,Seqs!A:E,2,FALSE))-AL188),"-",LEN(VLOOKUP(A188,Seqs!A:E,2,FALSE))-AL188)</f>
        <v>3</v>
      </c>
      <c r="BB188" s="16">
        <f t="shared" si="94"/>
        <v>28</v>
      </c>
      <c r="BC188" s="9">
        <f t="shared" si="95"/>
        <v>20</v>
      </c>
      <c r="BD188" s="3">
        <f t="shared" si="96"/>
        <v>28</v>
      </c>
      <c r="BE188" s="3">
        <f t="shared" si="97"/>
        <v>47</v>
      </c>
      <c r="BF188" s="3">
        <f>AH188-AE188</f>
        <v>39</v>
      </c>
    </row>
    <row r="189" spans="1:58" s="3" customFormat="1" x14ac:dyDescent="0.2">
      <c r="A189" s="3" t="s">
        <v>310</v>
      </c>
      <c r="B189" s="3" t="str">
        <f>LOWER(VLOOKUP(A189,Xtal_Templ!A:B,2,FALSE))</f>
        <v>ntr1_rat</v>
      </c>
      <c r="C189" s="3">
        <f>VLOOKUP($A189,'SegEnds_NonXtal_BW#'!$A:$Z,3,FALSE)+D189-50</f>
        <v>35</v>
      </c>
      <c r="D189" s="3">
        <v>56</v>
      </c>
      <c r="E189" s="3">
        <f>IF(ISERROR(VLOOKUP($A189,'SegEnds_NonXtal_BW#'!$A:$Z,4,FALSE)+VLOOKUP($A189,A:AL,4,FALSE)-50),"-",(VLOOKUP($A189,'SegEnds_NonXtal_BW#'!$A:$Z,4,FALSE)+VLOOKUP($A189,A:AL,4,FALSE)-50))</f>
        <v>66</v>
      </c>
      <c r="F189" s="3">
        <f t="shared" si="114"/>
        <v>67</v>
      </c>
      <c r="G189" s="3">
        <v>69</v>
      </c>
      <c r="H189" s="3">
        <f t="shared" si="115"/>
        <v>70</v>
      </c>
      <c r="I189" s="3">
        <f t="shared" si="115"/>
        <v>71</v>
      </c>
      <c r="J189" s="3">
        <v>84</v>
      </c>
      <c r="K189" s="3">
        <f>VLOOKUP($A189,'SegEnds_NonXtal_BW#'!$A:$Z,8,FALSE)+VLOOKUP($A189,A:AL,10,FALSE)-50</f>
        <v>101</v>
      </c>
      <c r="L189" s="3">
        <f t="shared" ref="L189:L196" si="116">M189-1</f>
        <v>103</v>
      </c>
      <c r="M189" s="3">
        <v>104</v>
      </c>
      <c r="N189" s="3">
        <f t="shared" ref="N189:N196" si="117">M189+2</f>
        <v>106</v>
      </c>
      <c r="O189" s="3">
        <f t="shared" ref="O189:O214" si="118">N189+1</f>
        <v>107</v>
      </c>
      <c r="P189" s="3">
        <v>136</v>
      </c>
      <c r="Q189" s="3">
        <f>VLOOKUP($A189,'SegEnds_NonXtal_BW#'!$A:$Z,12,FALSE)+VLOOKUP($A189,A:AL,16,FALSE)-50</f>
        <v>142</v>
      </c>
      <c r="R189" s="3">
        <f>IF(ISERROR(VLOOKUP($A189,'SegEnds_NonXtal_BW#'!$A:$Z,13,FALSE)+VLOOKUP($A189,A:AL,19,FALSE)-50),"-",VLOOKUP($A189,'SegEnds_NonXtal_BW#'!$A:$Z,13,FALSE)+VLOOKUP($A189,A:AL,19,FALSE)-50)</f>
        <v>143</v>
      </c>
      <c r="S189" s="3">
        <v>143</v>
      </c>
      <c r="T189" s="103">
        <f>IF(ISERROR(VLOOKUP($A189,'SegEnds_NonXtal_BW#'!$A:$Z,14,FALSE)+VLOOKUP($A189,A:AL,19,FALSE)-50),"-",(VLOOKUP($A189,'SegEnds_NonXtal_BW#'!$A:$Z,14,FALSE)+VLOOKUP($A189,A:AL,19,FALSE)-50))</f>
        <v>150</v>
      </c>
      <c r="U189" s="9">
        <f>IF(ISERROR(VLOOKUP($A189,'SegEnds_NonXtal_BW#'!$A:$Z,15,FALSE)+VLOOKUP($A189,A:AL,22,FALSE)-50),"-",VLOOKUP($A189,'SegEnds_NonXtal_BW#'!$A:$Z,15,FALSE)+VLOOKUP($A189,A:AL,22,FALSE)-50)</f>
        <v>151</v>
      </c>
      <c r="V189" s="3">
        <v>163</v>
      </c>
      <c r="W189" s="3">
        <f>IF(ISERROR(VLOOKUP($A189,'SegEnds_NonXtal_BW#'!$A:$Z,16,FALSE)+VLOOKUP($A189,A:AL,22,FALSE)-50),"-",(VLOOKUP($A189,'SegEnds_NonXtal_BW#'!$A:$Z,16,FALSE)+VLOOKUP($A189,A:AL,22,FALSE)-50))</f>
        <v>177</v>
      </c>
      <c r="X189" s="3">
        <f>IF(ISERROR(VLOOKUP($A189,'SegEnds_NonXtal_BW#'!$A:$Z,17,FALSE)+VLOOKUP($A189,A:AL,25,FALSE)-50),"-",(VLOOKUP($A189,'SegEnds_NonXtal_BW#'!$A:$Z,17,FALSE)+VLOOKUP($A189,A:AL,25,FALSE)-50))</f>
        <v>235</v>
      </c>
      <c r="Y189" s="3">
        <v>235</v>
      </c>
      <c r="Z189" s="3">
        <f t="shared" ref="Z189:Z225" si="119">Y189+2</f>
        <v>237</v>
      </c>
      <c r="AA189" s="3">
        <f>IF(ISERROR(VLOOKUP($A189,'SegEnds_NonXtal_BW#'!$A:$Z,19,FALSE)+VLOOKUP($A189,A:AL,28,FALSE)-50),"-",(VLOOKUP($A189,'SegEnds_NonXtal_BW#'!$A:$Z,19,FALSE)+VLOOKUP($A189,A:AL,28,FALSE)-50))</f>
        <v>241</v>
      </c>
      <c r="AB189" s="3">
        <v>259</v>
      </c>
      <c r="AC189" s="3">
        <f>IF(ISERROR((VLOOKUP($A189,'SegEnds_NonXtal_BW#'!$A:$Z,20,FALSE)+VLOOKUP($A189,A:AL,28,FALSE)-50)),"-",(VLOOKUP($A189,'SegEnds_NonXtal_BW#'!$A:$Z,20,FALSE)+VLOOKUP($A189,A:AL,28,FALSE)-50))</f>
        <v>281</v>
      </c>
      <c r="AD189" s="3">
        <f>IF(ISERROR(VLOOKUP($A189,'SegEnds_NonXtal_BW#'!$A:$Z,21,FALSE)+VLOOKUP($A189,A:AL,31,FALSE)-50),"-",(VLOOKUP($A189,'SegEnds_NonXtal_BW#'!$A:$Z,21,FALSE)+VLOOKUP($A189,A:AL,31,FALSE)-50))</f>
        <v>287</v>
      </c>
      <c r="AE189" s="3">
        <v>313</v>
      </c>
      <c r="AF189" s="3">
        <f>IF(ISERROR((VLOOKUP($A189,'SegEnds_NonXtal_BW#'!$A:$Z,22,FALSE)+VLOOKUP($A189,A:AL,31,FALSE)-50)),"-",(VLOOKUP($A189,'SegEnds_NonXtal_BW#'!$A:$Z,22,FALSE)+VLOOKUP($A189,A:AL,31,FALSE)-50))</f>
        <v>324</v>
      </c>
      <c r="AG189" s="3">
        <f>IF(ISERROR(VLOOKUP($A189,'SegEnds_NonXtal_BW#'!$A:$Z,23,FALSE)+VLOOKUP($A189,A:AL,34,FALSE)-50),"-",(VLOOKUP($A189,'SegEnds_NonXtal_BW#'!$A:$Z,23,FALSE)+VLOOKUP($A189,A:AL,34,FALSE)-50))</f>
        <v>330</v>
      </c>
      <c r="AH189" s="3">
        <v>352</v>
      </c>
      <c r="AI189" s="3">
        <f>IF(ISERROR((VLOOKUP($A189,'SegEnds_NonXtal_BW#'!$A:$Z,24,FALSE)+VLOOKUP($A189,A:AL,34,FALSE)-50)),"-",(VLOOKUP($A189,'SegEnds_NonXtal_BW#'!$A:$Z,24,FALSE)+VLOOKUP($A189,A:AL,34,FALSE)-50))</f>
        <v>358</v>
      </c>
      <c r="AJ189" s="3">
        <f>IF(ISERROR(VLOOKUP($A189,'SegEnds_NonXtal_BW#'!$A:$Z,25,FALSE)+VLOOKUP($A189,A:AL,37,FALSE)-50),"-",(VLOOKUP($A189,'SegEnds_NonXtal_BW#'!$A:$Z,25,FALSE)+VLOOKUP($A189,A:AL,37,FALSE)-50))</f>
        <v>359</v>
      </c>
      <c r="AK189" s="3">
        <v>362</v>
      </c>
      <c r="AL189" s="3">
        <f>IF(ISERROR((VLOOKUP($A189,'SegEnds_NonXtal_BW#'!$A:$Z,26,FALSE)+VLOOKUP($A189,A:AL,37,FALSE)-50)),"-",(VLOOKUP($A189,'SegEnds_NonXtal_BW#'!$A:$Z,26,FALSE)+VLOOKUP($A189,A:AL,37,FALSE)-50))</f>
        <v>370</v>
      </c>
      <c r="AM189" s="28" t="str">
        <f>VLOOKUP(A189,Classification!A:B,2,FALSE)</f>
        <v>A</v>
      </c>
      <c r="AN189" s="28" t="b">
        <f t="shared" si="100"/>
        <v>1</v>
      </c>
      <c r="AO189" s="3" t="str">
        <f>IF(ISERROR(MATCH(A189,'SegEnds_Xtal_Prot#'!B:B, 0)), "NoXtal", "Xtal")</f>
        <v>NoXtal</v>
      </c>
      <c r="AP189" s="3">
        <f t="shared" si="83"/>
        <v>1</v>
      </c>
      <c r="AQ189" s="3">
        <f t="shared" si="84"/>
        <v>1</v>
      </c>
      <c r="AR189" s="3">
        <f t="shared" si="85"/>
        <v>2</v>
      </c>
      <c r="AS189" s="3">
        <f t="shared" si="86"/>
        <v>1</v>
      </c>
      <c r="AT189" s="3">
        <f t="shared" si="87"/>
        <v>1</v>
      </c>
      <c r="AU189" s="3">
        <f t="shared" si="88"/>
        <v>1</v>
      </c>
      <c r="AV189" s="3">
        <f t="shared" si="89"/>
        <v>58</v>
      </c>
      <c r="AW189" s="3">
        <f t="shared" si="90"/>
        <v>4</v>
      </c>
      <c r="AX189" s="3">
        <f t="shared" si="91"/>
        <v>6</v>
      </c>
      <c r="AY189" s="3">
        <f t="shared" si="92"/>
        <v>6</v>
      </c>
      <c r="AZ189" s="3">
        <f t="shared" si="93"/>
        <v>1</v>
      </c>
      <c r="BA189" s="3">
        <f>IF(ISERROR(LEN(VLOOKUP(A189,Seqs!A:E,2,FALSE))-AL189),"-",LEN(VLOOKUP(A189,Seqs!A:E,2,FALSE))-AL189)</f>
        <v>42</v>
      </c>
      <c r="BB189" s="16">
        <f t="shared" si="94"/>
        <v>28</v>
      </c>
      <c r="BC189" s="9">
        <f t="shared" si="95"/>
        <v>20</v>
      </c>
      <c r="BD189" s="3">
        <f t="shared" si="96"/>
        <v>28</v>
      </c>
      <c r="BE189" s="3">
        <f t="shared" si="97"/>
        <v>54</v>
      </c>
    </row>
    <row r="190" spans="1:58" s="3" customFormat="1" x14ac:dyDescent="0.2">
      <c r="A190" s="3" t="s">
        <v>311</v>
      </c>
      <c r="B190" s="3" t="str">
        <f>LOWER(VLOOKUP(A190,Xtal_Templ!A:B,2,FALSE))</f>
        <v>ox2r_human</v>
      </c>
      <c r="C190" s="3">
        <f>VLOOKUP($A190,'SegEnds_NonXtal_BW#'!$A:$Z,3,FALSE)+D190-50</f>
        <v>26</v>
      </c>
      <c r="D190" s="3">
        <v>45</v>
      </c>
      <c r="E190" s="3">
        <f>IF(ISERROR(VLOOKUP($A190,'SegEnds_NonXtal_BW#'!$A:$Z,4,FALSE)+VLOOKUP($A190,A:AL,4,FALSE)-50),"-",(VLOOKUP($A190,'SegEnds_NonXtal_BW#'!$A:$Z,4,FALSE)+VLOOKUP($A190,A:AL,4,FALSE)-50))</f>
        <v>55</v>
      </c>
      <c r="F190" s="3">
        <f t="shared" si="114"/>
        <v>56</v>
      </c>
      <c r="G190" s="3">
        <v>58</v>
      </c>
      <c r="H190" s="3">
        <f t="shared" si="115"/>
        <v>59</v>
      </c>
      <c r="I190" s="3">
        <f t="shared" si="115"/>
        <v>60</v>
      </c>
      <c r="J190" s="3">
        <v>73</v>
      </c>
      <c r="K190" s="3">
        <f>VLOOKUP($A190,'SegEnds_NonXtal_BW#'!$A:$Z,8,FALSE)+VLOOKUP($A190,A:AL,10,FALSE)-50</f>
        <v>90</v>
      </c>
      <c r="L190" s="3">
        <f t="shared" si="116"/>
        <v>92</v>
      </c>
      <c r="M190" s="3">
        <v>93</v>
      </c>
      <c r="N190" s="3">
        <f t="shared" si="117"/>
        <v>95</v>
      </c>
      <c r="O190" s="3">
        <f t="shared" si="118"/>
        <v>96</v>
      </c>
      <c r="P190" s="3">
        <v>125</v>
      </c>
      <c r="Q190" s="3">
        <f>VLOOKUP($A190,'SegEnds_NonXtal_BW#'!$A:$Z,12,FALSE)+VLOOKUP($A190,A:AL,16,FALSE)-50</f>
        <v>131</v>
      </c>
      <c r="R190" s="3">
        <f>IF(ISERROR(VLOOKUP($A190,'SegEnds_NonXtal_BW#'!$A:$Z,13,FALSE)+VLOOKUP($A190,A:AL,19,FALSE)-50),"-",VLOOKUP($A190,'SegEnds_NonXtal_BW#'!$A:$Z,13,FALSE)+VLOOKUP($A190,A:AL,19,FALSE)-50)</f>
        <v>132</v>
      </c>
      <c r="S190" s="3">
        <v>132</v>
      </c>
      <c r="T190" s="103">
        <f>IF(ISERROR(VLOOKUP($A190,'SegEnds_NonXtal_BW#'!$A:$Z,14,FALSE)+VLOOKUP($A190,A:AL,19,FALSE)-50),"-",(VLOOKUP($A190,'SegEnds_NonXtal_BW#'!$A:$Z,14,FALSE)+VLOOKUP($A190,A:AL,19,FALSE)-50))</f>
        <v>139</v>
      </c>
      <c r="U190" s="9">
        <f>IF(ISERROR(VLOOKUP($A190,'SegEnds_NonXtal_BW#'!$A:$Z,15,FALSE)+VLOOKUP($A190,A:AL,22,FALSE)-50),"-",VLOOKUP($A190,'SegEnds_NonXtal_BW#'!$A:$Z,15,FALSE)+VLOOKUP($A190,A:AL,22,FALSE)-50)</f>
        <v>140</v>
      </c>
      <c r="V190" s="3">
        <v>152</v>
      </c>
      <c r="W190" s="3">
        <f>IF(ISERROR(VLOOKUP($A190,'SegEnds_NonXtal_BW#'!$A:$Z,16,FALSE)+VLOOKUP($A190,A:AL,22,FALSE)-50),"-",(VLOOKUP($A190,'SegEnds_NonXtal_BW#'!$A:$Z,16,FALSE)+VLOOKUP($A190,A:AL,22,FALSE)-50))</f>
        <v>166</v>
      </c>
      <c r="X190" s="3">
        <f>IF(ISERROR(VLOOKUP($A190,'SegEnds_NonXtal_BW#'!$A:$Z,17,FALSE)+VLOOKUP($A190,A:AL,25,FALSE)-50),"-",(VLOOKUP($A190,'SegEnds_NonXtal_BW#'!$A:$Z,17,FALSE)+VLOOKUP($A190,A:AL,25,FALSE)-50))</f>
        <v>177</v>
      </c>
      <c r="Y190" s="3">
        <v>177</v>
      </c>
      <c r="Z190" s="3">
        <f t="shared" si="119"/>
        <v>179</v>
      </c>
      <c r="AA190" s="3">
        <f>IF(ISERROR(VLOOKUP($A190,'SegEnds_NonXtal_BW#'!$A:$Z,19,FALSE)+VLOOKUP($A190,A:AL,28,FALSE)-50),"-",(VLOOKUP($A190,'SegEnds_NonXtal_BW#'!$A:$Z,19,FALSE)+VLOOKUP($A190,A:AL,28,FALSE)-50))</f>
        <v>184</v>
      </c>
      <c r="AB190" s="3">
        <v>199</v>
      </c>
      <c r="AC190" s="3">
        <f>IF(ISERROR((VLOOKUP($A190,'SegEnds_NonXtal_BW#'!$A:$Z,20,FALSE)+VLOOKUP($A190,A:AL,28,FALSE)-50)),"-",(VLOOKUP($A190,'SegEnds_NonXtal_BW#'!$A:$Z,20,FALSE)+VLOOKUP($A190,A:AL,28,FALSE)-50))</f>
        <v>221</v>
      </c>
      <c r="AD190" s="3">
        <f>IF(ISERROR(VLOOKUP($A190,'SegEnds_NonXtal_BW#'!$A:$Z,21,FALSE)+VLOOKUP($A190,A:AL,31,FALSE)-50),"-",(VLOOKUP($A190,'SegEnds_NonXtal_BW#'!$A:$Z,21,FALSE)+VLOOKUP($A190,A:AL,31,FALSE)-50))</f>
        <v>227</v>
      </c>
      <c r="AE190" s="3">
        <v>253</v>
      </c>
      <c r="AF190" s="3">
        <f>IF(ISERROR((VLOOKUP($A190,'SegEnds_NonXtal_BW#'!$A:$Z,22,FALSE)+VLOOKUP($A190,A:AL,31,FALSE)-50)),"-",(VLOOKUP($A190,'SegEnds_NonXtal_BW#'!$A:$Z,22,FALSE)+VLOOKUP($A190,A:AL,31,FALSE)-50))</f>
        <v>264</v>
      </c>
      <c r="AG190" s="3">
        <f>IF(ISERROR(VLOOKUP($A190,'SegEnds_NonXtal_BW#'!$A:$Z,23,FALSE)+VLOOKUP($A190,A:AL,34,FALSE)-50),"-",(VLOOKUP($A190,'SegEnds_NonXtal_BW#'!$A:$Z,23,FALSE)+VLOOKUP($A190,A:AL,34,FALSE)-50))</f>
        <v>270</v>
      </c>
      <c r="AH190" s="3">
        <v>292</v>
      </c>
      <c r="AI190" s="3">
        <f>IF(ISERROR((VLOOKUP($A190,'SegEnds_NonXtal_BW#'!$A:$Z,24,FALSE)+VLOOKUP($A190,A:AL,34,FALSE)-50)),"-",(VLOOKUP($A190,'SegEnds_NonXtal_BW#'!$A:$Z,24,FALSE)+VLOOKUP($A190,A:AL,34,FALSE)-50))</f>
        <v>298</v>
      </c>
      <c r="AJ190" s="3">
        <f>IF(ISERROR(VLOOKUP($A190,'SegEnds_NonXtal_BW#'!$A:$Z,25,FALSE)+VLOOKUP($A190,A:AL,37,FALSE)-50),"-",(VLOOKUP($A190,'SegEnds_NonXtal_BW#'!$A:$Z,25,FALSE)+VLOOKUP($A190,A:AL,37,FALSE)-50))</f>
        <v>299</v>
      </c>
      <c r="AK190" s="3">
        <v>302</v>
      </c>
      <c r="AL190" s="3">
        <f>IF(ISERROR((VLOOKUP($A190,'SegEnds_NonXtal_BW#'!$A:$Z,26,FALSE)+VLOOKUP($A190,A:AL,37,FALSE)-50)),"-",(VLOOKUP($A190,'SegEnds_NonXtal_BW#'!$A:$Z,26,FALSE)+VLOOKUP($A190,A:AL,37,FALSE)-50))</f>
        <v>310</v>
      </c>
      <c r="AM190" s="28" t="str">
        <f>VLOOKUP(A190,Classification!A:B,2,FALSE)</f>
        <v>A</v>
      </c>
      <c r="AN190" s="28" t="b">
        <f t="shared" si="100"/>
        <v>1</v>
      </c>
      <c r="AO190" s="3" t="str">
        <f>IF(ISERROR(MATCH(A190,'SegEnds_Xtal_Prot#'!B:B, 0)), "NoXtal", "Xtal")</f>
        <v>NoXtal</v>
      </c>
      <c r="AP190" s="3">
        <f t="shared" si="83"/>
        <v>1</v>
      </c>
      <c r="AQ190" s="3">
        <f t="shared" si="84"/>
        <v>1</v>
      </c>
      <c r="AR190" s="3">
        <f t="shared" si="85"/>
        <v>2</v>
      </c>
      <c r="AS190" s="3">
        <f t="shared" si="86"/>
        <v>1</v>
      </c>
      <c r="AT190" s="3">
        <f t="shared" si="87"/>
        <v>1</v>
      </c>
      <c r="AU190" s="3">
        <f t="shared" si="88"/>
        <v>1</v>
      </c>
      <c r="AV190" s="3">
        <f t="shared" si="89"/>
        <v>11</v>
      </c>
      <c r="AW190" s="3">
        <f t="shared" si="90"/>
        <v>5</v>
      </c>
      <c r="AX190" s="3">
        <f t="shared" si="91"/>
        <v>6</v>
      </c>
      <c r="AY190" s="3">
        <f t="shared" si="92"/>
        <v>6</v>
      </c>
      <c r="AZ190" s="3">
        <f t="shared" si="93"/>
        <v>1</v>
      </c>
      <c r="BA190" s="3">
        <f>IF(ISERROR(LEN(VLOOKUP(A190,Seqs!A:E,2,FALSE))-AL190),"-",LEN(VLOOKUP(A190,Seqs!A:E,2,FALSE))-AL190)</f>
        <v>40</v>
      </c>
      <c r="BB190" s="16">
        <f t="shared" si="94"/>
        <v>28</v>
      </c>
      <c r="BC190" s="9">
        <f t="shared" si="95"/>
        <v>20</v>
      </c>
      <c r="BD190" s="3">
        <f t="shared" si="96"/>
        <v>28</v>
      </c>
      <c r="BE190" s="3">
        <f t="shared" si="97"/>
        <v>54</v>
      </c>
    </row>
    <row r="191" spans="1:58" s="3" customFormat="1" x14ac:dyDescent="0.2">
      <c r="A191" s="3" t="s">
        <v>312</v>
      </c>
      <c r="B191" s="3" t="str">
        <f>LOWER(VLOOKUP(A191,Xtal_Templ!A:B,2,FALSE))</f>
        <v>ox2r_human</v>
      </c>
      <c r="C191" s="3">
        <f>VLOOKUP($A191,'SegEnds_NonXtal_BW#'!$A:$Z,3,FALSE)+D191-50</f>
        <v>39</v>
      </c>
      <c r="D191" s="3">
        <v>58</v>
      </c>
      <c r="E191" s="3">
        <f>IF(ISERROR(VLOOKUP($A191,'SegEnds_NonXtal_BW#'!$A:$Z,4,FALSE)+VLOOKUP($A191,A:AL,4,FALSE)-50),"-",(VLOOKUP($A191,'SegEnds_NonXtal_BW#'!$A:$Z,4,FALSE)+VLOOKUP($A191,A:AL,4,FALSE)-50))</f>
        <v>68</v>
      </c>
      <c r="F191" s="3">
        <f t="shared" si="114"/>
        <v>69</v>
      </c>
      <c r="G191" s="3">
        <v>71</v>
      </c>
      <c r="H191" s="3">
        <f t="shared" si="115"/>
        <v>72</v>
      </c>
      <c r="I191" s="3">
        <f t="shared" si="115"/>
        <v>73</v>
      </c>
      <c r="J191" s="3">
        <v>86</v>
      </c>
      <c r="K191" s="3">
        <f>VLOOKUP($A191,'SegEnds_NonXtal_BW#'!$A:$Z,8,FALSE)+VLOOKUP($A191,A:AL,10,FALSE)-50</f>
        <v>103</v>
      </c>
      <c r="L191" s="3">
        <f t="shared" si="116"/>
        <v>105</v>
      </c>
      <c r="M191" s="3">
        <v>106</v>
      </c>
      <c r="N191" s="3">
        <f t="shared" si="117"/>
        <v>108</v>
      </c>
      <c r="O191" s="3">
        <f t="shared" si="118"/>
        <v>109</v>
      </c>
      <c r="P191" s="3">
        <v>138</v>
      </c>
      <c r="Q191" s="3">
        <f>VLOOKUP($A191,'SegEnds_NonXtal_BW#'!$A:$Z,12,FALSE)+VLOOKUP($A191,A:AL,16,FALSE)-50</f>
        <v>144</v>
      </c>
      <c r="R191" s="3">
        <f>IF(ISERROR(VLOOKUP($A191,'SegEnds_NonXtal_BW#'!$A:$Z,13,FALSE)+VLOOKUP($A191,A:AL,19,FALSE)-50),"-",VLOOKUP($A191,'SegEnds_NonXtal_BW#'!$A:$Z,13,FALSE)+VLOOKUP($A191,A:AL,19,FALSE)-50)</f>
        <v>145</v>
      </c>
      <c r="S191" s="3">
        <v>145</v>
      </c>
      <c r="T191" s="103">
        <f>IF(ISERROR(VLOOKUP($A191,'SegEnds_NonXtal_BW#'!$A:$Z,14,FALSE)+VLOOKUP($A191,A:AL,19,FALSE)-50),"-",(VLOOKUP($A191,'SegEnds_NonXtal_BW#'!$A:$Z,14,FALSE)+VLOOKUP($A191,A:AL,19,FALSE)-50))</f>
        <v>152</v>
      </c>
      <c r="U191" s="9">
        <f>IF(ISERROR(VLOOKUP($A191,'SegEnds_NonXtal_BW#'!$A:$Z,15,FALSE)+VLOOKUP($A191,A:AL,22,FALSE)-50),"-",VLOOKUP($A191,'SegEnds_NonXtal_BW#'!$A:$Z,15,FALSE)+VLOOKUP($A191,A:AL,22,FALSE)-50)</f>
        <v>153</v>
      </c>
      <c r="V191" s="3">
        <v>165</v>
      </c>
      <c r="W191" s="3">
        <f>IF(ISERROR(VLOOKUP($A191,'SegEnds_NonXtal_BW#'!$A:$Z,16,FALSE)+VLOOKUP($A191,A:AL,22,FALSE)-50),"-",(VLOOKUP($A191,'SegEnds_NonXtal_BW#'!$A:$Z,16,FALSE)+VLOOKUP($A191,A:AL,22,FALSE)-50))</f>
        <v>179</v>
      </c>
      <c r="X191" s="3">
        <f>IF(ISERROR(VLOOKUP($A191,'SegEnds_NonXtal_BW#'!$A:$Z,17,FALSE)+VLOOKUP($A191,A:AL,25,FALSE)-50),"-",(VLOOKUP($A191,'SegEnds_NonXtal_BW#'!$A:$Z,17,FALSE)+VLOOKUP($A191,A:AL,25,FALSE)-50))</f>
        <v>190</v>
      </c>
      <c r="Y191" s="3">
        <v>190</v>
      </c>
      <c r="Z191" s="3">
        <f t="shared" si="119"/>
        <v>192</v>
      </c>
      <c r="AA191" s="3">
        <f>IF(ISERROR(VLOOKUP($A191,'SegEnds_NonXtal_BW#'!$A:$Z,19,FALSE)+VLOOKUP($A191,A:AL,28,FALSE)-50),"-",(VLOOKUP($A191,'SegEnds_NonXtal_BW#'!$A:$Z,19,FALSE)+VLOOKUP($A191,A:AL,28,FALSE)-50))</f>
        <v>197</v>
      </c>
      <c r="AB191" s="3">
        <v>212</v>
      </c>
      <c r="AC191" s="3">
        <f>IF(ISERROR((VLOOKUP($A191,'SegEnds_NonXtal_BW#'!$A:$Z,20,FALSE)+VLOOKUP($A191,A:AL,28,FALSE)-50)),"-",(VLOOKUP($A191,'SegEnds_NonXtal_BW#'!$A:$Z,20,FALSE)+VLOOKUP($A191,A:AL,28,FALSE)-50))</f>
        <v>234</v>
      </c>
      <c r="AD191" s="3">
        <f>IF(ISERROR(VLOOKUP($A191,'SegEnds_NonXtal_BW#'!$A:$Z,21,FALSE)+VLOOKUP($A191,A:AL,31,FALSE)-50),"-",(VLOOKUP($A191,'SegEnds_NonXtal_BW#'!$A:$Z,21,FALSE)+VLOOKUP($A191,A:AL,31,FALSE)-50))</f>
        <v>240</v>
      </c>
      <c r="AE191" s="3">
        <v>266</v>
      </c>
      <c r="AF191" s="3">
        <f>IF(ISERROR((VLOOKUP($A191,'SegEnds_NonXtal_BW#'!$A:$Z,22,FALSE)+VLOOKUP($A191,A:AL,31,FALSE)-50)),"-",(VLOOKUP($A191,'SegEnds_NonXtal_BW#'!$A:$Z,22,FALSE)+VLOOKUP($A191,A:AL,31,FALSE)-50))</f>
        <v>277</v>
      </c>
      <c r="AG191" s="3">
        <f>IF(ISERROR(VLOOKUP($A191,'SegEnds_NonXtal_BW#'!$A:$Z,23,FALSE)+VLOOKUP($A191,A:AL,34,FALSE)-50),"-",(VLOOKUP($A191,'SegEnds_NonXtal_BW#'!$A:$Z,23,FALSE)+VLOOKUP($A191,A:AL,34,FALSE)-50))</f>
        <v>283</v>
      </c>
      <c r="AH191" s="3">
        <v>305</v>
      </c>
      <c r="AI191" s="3">
        <f>IF(ISERROR((VLOOKUP($A191,'SegEnds_NonXtal_BW#'!$A:$Z,24,FALSE)+VLOOKUP($A191,A:AL,34,FALSE)-50)),"-",(VLOOKUP($A191,'SegEnds_NonXtal_BW#'!$A:$Z,24,FALSE)+VLOOKUP($A191,A:AL,34,FALSE)-50))</f>
        <v>311</v>
      </c>
      <c r="AJ191" s="3">
        <f>IF(ISERROR(VLOOKUP($A191,'SegEnds_NonXtal_BW#'!$A:$Z,25,FALSE)+VLOOKUP($A191,A:AL,37,FALSE)-50),"-",(VLOOKUP($A191,'SegEnds_NonXtal_BW#'!$A:$Z,25,FALSE)+VLOOKUP($A191,A:AL,37,FALSE)-50))</f>
        <v>312</v>
      </c>
      <c r="AK191" s="3">
        <v>315</v>
      </c>
      <c r="AL191" s="3">
        <f>IF(ISERROR((VLOOKUP($A191,'SegEnds_NonXtal_BW#'!$A:$Z,26,FALSE)+VLOOKUP($A191,A:AL,37,FALSE)-50)),"-",(VLOOKUP($A191,'SegEnds_NonXtal_BW#'!$A:$Z,26,FALSE)+VLOOKUP($A191,A:AL,37,FALSE)-50))</f>
        <v>323</v>
      </c>
      <c r="AM191" s="28" t="str">
        <f>VLOOKUP(A191,Classification!A:B,2,FALSE)</f>
        <v>A</v>
      </c>
      <c r="AN191" s="28" t="b">
        <f t="shared" si="100"/>
        <v>1</v>
      </c>
      <c r="AO191" s="3" t="str">
        <f>IF(ISERROR(MATCH(A191,'SegEnds_Xtal_Prot#'!B:B, 0)), "NoXtal", "Xtal")</f>
        <v>NoXtal</v>
      </c>
      <c r="AP191" s="3">
        <f t="shared" si="83"/>
        <v>1</v>
      </c>
      <c r="AQ191" s="3">
        <f t="shared" si="84"/>
        <v>1</v>
      </c>
      <c r="AR191" s="3">
        <f t="shared" si="85"/>
        <v>2</v>
      </c>
      <c r="AS191" s="3">
        <f t="shared" si="86"/>
        <v>1</v>
      </c>
      <c r="AT191" s="3">
        <f t="shared" si="87"/>
        <v>1</v>
      </c>
      <c r="AU191" s="3">
        <f t="shared" si="88"/>
        <v>1</v>
      </c>
      <c r="AV191" s="3">
        <f t="shared" si="89"/>
        <v>11</v>
      </c>
      <c r="AW191" s="3">
        <f t="shared" si="90"/>
        <v>5</v>
      </c>
      <c r="AX191" s="3">
        <f t="shared" si="91"/>
        <v>6</v>
      </c>
      <c r="AY191" s="3">
        <f t="shared" si="92"/>
        <v>6</v>
      </c>
      <c r="AZ191" s="3">
        <f t="shared" si="93"/>
        <v>1</v>
      </c>
      <c r="BA191" s="3">
        <f>IF(ISERROR(LEN(VLOOKUP(A191,Seqs!A:E,2,FALSE))-AL191),"-",LEN(VLOOKUP(A191,Seqs!A:E,2,FALSE))-AL191)</f>
        <v>39</v>
      </c>
      <c r="BB191" s="16">
        <f t="shared" si="94"/>
        <v>28</v>
      </c>
      <c r="BC191" s="9">
        <f t="shared" si="95"/>
        <v>20</v>
      </c>
      <c r="BD191" s="3">
        <f t="shared" si="96"/>
        <v>28</v>
      </c>
      <c r="BE191" s="3">
        <f t="shared" si="97"/>
        <v>54</v>
      </c>
    </row>
    <row r="192" spans="1:58" s="3" customFormat="1" x14ac:dyDescent="0.2">
      <c r="A192" s="3" t="s">
        <v>313</v>
      </c>
      <c r="B192" s="3" t="str">
        <f>LOWER(VLOOKUP(A192,Xtal_Templ!A:B,2,FALSE))</f>
        <v>ox2r_human</v>
      </c>
      <c r="C192" s="3">
        <f>VLOOKUP($A192,'SegEnds_NonXtal_BW#'!$A:$Z,3,FALSE)+D192-50</f>
        <v>27</v>
      </c>
      <c r="D192" s="3">
        <v>46</v>
      </c>
      <c r="E192" s="3">
        <f>IF(ISERROR(VLOOKUP($A192,'SegEnds_NonXtal_BW#'!$A:$Z,4,FALSE)+VLOOKUP($A192,A:AL,4,FALSE)-50),"-",(VLOOKUP($A192,'SegEnds_NonXtal_BW#'!$A:$Z,4,FALSE)+VLOOKUP($A192,A:AL,4,FALSE)-50))</f>
        <v>56</v>
      </c>
      <c r="F192" s="3">
        <f t="shared" si="114"/>
        <v>57</v>
      </c>
      <c r="G192" s="3">
        <v>59</v>
      </c>
      <c r="H192" s="3">
        <f t="shared" si="115"/>
        <v>60</v>
      </c>
      <c r="I192" s="3">
        <f t="shared" si="115"/>
        <v>61</v>
      </c>
      <c r="J192" s="3">
        <v>74</v>
      </c>
      <c r="K192" s="3">
        <f>VLOOKUP($A192,'SegEnds_NonXtal_BW#'!$A:$Z,8,FALSE)+VLOOKUP($A192,A:AL,10,FALSE)-50</f>
        <v>91</v>
      </c>
      <c r="L192" s="3">
        <f t="shared" si="116"/>
        <v>93</v>
      </c>
      <c r="M192" s="3">
        <v>94</v>
      </c>
      <c r="N192" s="3">
        <f t="shared" si="117"/>
        <v>96</v>
      </c>
      <c r="O192" s="3">
        <f t="shared" si="118"/>
        <v>97</v>
      </c>
      <c r="P192" s="3">
        <v>126</v>
      </c>
      <c r="Q192" s="3">
        <f>VLOOKUP($A192,'SegEnds_NonXtal_BW#'!$A:$Z,12,FALSE)+VLOOKUP($A192,A:AL,16,FALSE)-50</f>
        <v>132</v>
      </c>
      <c r="R192" s="3">
        <f>IF(ISERROR(VLOOKUP($A192,'SegEnds_NonXtal_BW#'!$A:$Z,13,FALSE)+VLOOKUP($A192,A:AL,19,FALSE)-50),"-",VLOOKUP($A192,'SegEnds_NonXtal_BW#'!$A:$Z,13,FALSE)+VLOOKUP($A192,A:AL,19,FALSE)-50)</f>
        <v>133</v>
      </c>
      <c r="S192" s="3">
        <v>133</v>
      </c>
      <c r="T192" s="103">
        <f>IF(ISERROR(VLOOKUP($A192,'SegEnds_NonXtal_BW#'!$A:$Z,14,FALSE)+VLOOKUP($A192,A:AL,19,FALSE)-50),"-",(VLOOKUP($A192,'SegEnds_NonXtal_BW#'!$A:$Z,14,FALSE)+VLOOKUP($A192,A:AL,19,FALSE)-50))</f>
        <v>140</v>
      </c>
      <c r="U192" s="9">
        <f>IF(ISERROR(VLOOKUP($A192,'SegEnds_NonXtal_BW#'!$A:$Z,15,FALSE)+VLOOKUP($A192,A:AL,22,FALSE)-50),"-",VLOOKUP($A192,'SegEnds_NonXtal_BW#'!$A:$Z,15,FALSE)+VLOOKUP($A192,A:AL,22,FALSE)-50)</f>
        <v>141</v>
      </c>
      <c r="V192" s="3">
        <v>153</v>
      </c>
      <c r="W192" s="3">
        <f>IF(ISERROR(VLOOKUP($A192,'SegEnds_NonXtal_BW#'!$A:$Z,16,FALSE)+VLOOKUP($A192,A:AL,22,FALSE)-50),"-",(VLOOKUP($A192,'SegEnds_NonXtal_BW#'!$A:$Z,16,FALSE)+VLOOKUP($A192,A:AL,22,FALSE)-50))</f>
        <v>167</v>
      </c>
      <c r="X192" s="3">
        <f>IF(ISERROR(VLOOKUP($A192,'SegEnds_NonXtal_BW#'!$A:$Z,17,FALSE)+VLOOKUP($A192,A:AL,25,FALSE)-50),"-",(VLOOKUP($A192,'SegEnds_NonXtal_BW#'!$A:$Z,17,FALSE)+VLOOKUP($A192,A:AL,25,FALSE)-50))</f>
        <v>178</v>
      </c>
      <c r="Y192" s="3">
        <v>178</v>
      </c>
      <c r="Z192" s="3">
        <f t="shared" si="119"/>
        <v>180</v>
      </c>
      <c r="AA192" s="3">
        <f>IF(ISERROR(VLOOKUP($A192,'SegEnds_NonXtal_BW#'!$A:$Z,19,FALSE)+VLOOKUP($A192,A:AL,28,FALSE)-50),"-",(VLOOKUP($A192,'SegEnds_NonXtal_BW#'!$A:$Z,19,FALSE)+VLOOKUP($A192,A:AL,28,FALSE)-50))</f>
        <v>185</v>
      </c>
      <c r="AB192" s="3">
        <v>200</v>
      </c>
      <c r="AC192" s="3">
        <f>IF(ISERROR((VLOOKUP($A192,'SegEnds_NonXtal_BW#'!$A:$Z,20,FALSE)+VLOOKUP($A192,A:AL,28,FALSE)-50)),"-",(VLOOKUP($A192,'SegEnds_NonXtal_BW#'!$A:$Z,20,FALSE)+VLOOKUP($A192,A:AL,28,FALSE)-50))</f>
        <v>222</v>
      </c>
      <c r="AD192" s="3">
        <f>IF(ISERROR(VLOOKUP($A192,'SegEnds_NonXtal_BW#'!$A:$Z,21,FALSE)+VLOOKUP($A192,A:AL,31,FALSE)-50),"-",(VLOOKUP($A192,'SegEnds_NonXtal_BW#'!$A:$Z,21,FALSE)+VLOOKUP($A192,A:AL,31,FALSE)-50))</f>
        <v>226</v>
      </c>
      <c r="AE192" s="3">
        <v>252</v>
      </c>
      <c r="AF192" s="3">
        <f>IF(ISERROR((VLOOKUP($A192,'SegEnds_NonXtal_BW#'!$A:$Z,22,FALSE)+VLOOKUP($A192,A:AL,31,FALSE)-50)),"-",(VLOOKUP($A192,'SegEnds_NonXtal_BW#'!$A:$Z,22,FALSE)+VLOOKUP($A192,A:AL,31,FALSE)-50))</f>
        <v>263</v>
      </c>
      <c r="AG192" s="3">
        <f>IF(ISERROR(VLOOKUP($A192,'SegEnds_NonXtal_BW#'!$A:$Z,23,FALSE)+VLOOKUP($A192,A:AL,34,FALSE)-50),"-",(VLOOKUP($A192,'SegEnds_NonXtal_BW#'!$A:$Z,23,FALSE)+VLOOKUP($A192,A:AL,34,FALSE)-50))</f>
        <v>269</v>
      </c>
      <c r="AH192" s="3">
        <v>291</v>
      </c>
      <c r="AI192" s="3">
        <f>IF(ISERROR((VLOOKUP($A192,'SegEnds_NonXtal_BW#'!$A:$Z,24,FALSE)+VLOOKUP($A192,A:AL,34,FALSE)-50)),"-",(VLOOKUP($A192,'SegEnds_NonXtal_BW#'!$A:$Z,24,FALSE)+VLOOKUP($A192,A:AL,34,FALSE)-50))</f>
        <v>297</v>
      </c>
      <c r="AJ192" s="3">
        <f>IF(ISERROR(VLOOKUP($A192,'SegEnds_NonXtal_BW#'!$A:$Z,25,FALSE)+VLOOKUP($A192,A:AL,37,FALSE)-50),"-",(VLOOKUP($A192,'SegEnds_NonXtal_BW#'!$A:$Z,25,FALSE)+VLOOKUP($A192,A:AL,37,FALSE)-50))</f>
        <v>298</v>
      </c>
      <c r="AK192" s="3">
        <v>301</v>
      </c>
      <c r="AL192" s="3">
        <f>IF(ISERROR((VLOOKUP($A192,'SegEnds_NonXtal_BW#'!$A:$Z,26,FALSE)+VLOOKUP($A192,A:AL,37,FALSE)-50)),"-",(VLOOKUP($A192,'SegEnds_NonXtal_BW#'!$A:$Z,26,FALSE)+VLOOKUP($A192,A:AL,37,FALSE)-50))</f>
        <v>309</v>
      </c>
      <c r="AM192" s="28" t="str">
        <f>VLOOKUP(A192,Classification!A:B,2,FALSE)</f>
        <v>A</v>
      </c>
      <c r="AN192" s="28" t="b">
        <f t="shared" si="100"/>
        <v>1</v>
      </c>
      <c r="AO192" s="3" t="str">
        <f>IF(ISERROR(MATCH(A192,'SegEnds_Xtal_Prot#'!B:B, 0)), "NoXtal", "Xtal")</f>
        <v>NoXtal</v>
      </c>
      <c r="AP192" s="3">
        <f t="shared" si="83"/>
        <v>1</v>
      </c>
      <c r="AQ192" s="3">
        <f t="shared" si="84"/>
        <v>1</v>
      </c>
      <c r="AR192" s="3">
        <f t="shared" si="85"/>
        <v>2</v>
      </c>
      <c r="AS192" s="3">
        <f t="shared" si="86"/>
        <v>1</v>
      </c>
      <c r="AT192" s="3">
        <f t="shared" si="87"/>
        <v>1</v>
      </c>
      <c r="AU192" s="3">
        <f t="shared" si="88"/>
        <v>1</v>
      </c>
      <c r="AV192" s="3">
        <f t="shared" si="89"/>
        <v>11</v>
      </c>
      <c r="AW192" s="3">
        <f t="shared" si="90"/>
        <v>5</v>
      </c>
      <c r="AX192" s="3">
        <f t="shared" si="91"/>
        <v>4</v>
      </c>
      <c r="AY192" s="3">
        <f t="shared" si="92"/>
        <v>6</v>
      </c>
      <c r="AZ192" s="3">
        <f t="shared" si="93"/>
        <v>1</v>
      </c>
      <c r="BA192" s="3">
        <f>IF(ISERROR(LEN(VLOOKUP(A192,Seqs!A:E,2,FALSE))-AL192),"-",LEN(VLOOKUP(A192,Seqs!A:E,2,FALSE))-AL192)</f>
        <v>308</v>
      </c>
      <c r="BB192" s="16">
        <f t="shared" si="94"/>
        <v>28</v>
      </c>
      <c r="BC192" s="9">
        <f t="shared" si="95"/>
        <v>20</v>
      </c>
      <c r="BD192" s="3">
        <f t="shared" si="96"/>
        <v>28</v>
      </c>
      <c r="BE192" s="3">
        <f t="shared" si="97"/>
        <v>52</v>
      </c>
    </row>
    <row r="193" spans="1:57" s="3" customFormat="1" x14ac:dyDescent="0.2">
      <c r="A193" s="3" t="s">
        <v>317</v>
      </c>
      <c r="B193" s="3" t="str">
        <f>LOWER(VLOOKUP(A193,Xtal_Templ!A:B,2,FALSE))</f>
        <v>ednrb_human</v>
      </c>
      <c r="C193" s="3">
        <f>VLOOKUP($A193,'SegEnds_NonXtal_BW#'!$A:$Z,3,FALSE)+D193-50</f>
        <v>33</v>
      </c>
      <c r="D193" s="3">
        <v>61</v>
      </c>
      <c r="E193" s="3">
        <f>IF(ISERROR(VLOOKUP($A193,'SegEnds_NonXtal_BW#'!$A:$Z,4,FALSE)+VLOOKUP($A193,A:AL,4,FALSE)-50),"-",(VLOOKUP($A193,'SegEnds_NonXtal_BW#'!$A:$Z,4,FALSE)+VLOOKUP($A193,A:AL,4,FALSE)-50))</f>
        <v>71</v>
      </c>
      <c r="F193" s="3">
        <f t="shared" si="114"/>
        <v>72</v>
      </c>
      <c r="G193" s="3">
        <v>74</v>
      </c>
      <c r="H193" s="3">
        <f t="shared" si="115"/>
        <v>75</v>
      </c>
      <c r="I193" s="3">
        <f t="shared" si="115"/>
        <v>76</v>
      </c>
      <c r="J193" s="3">
        <v>89</v>
      </c>
      <c r="K193" s="3">
        <f>VLOOKUP($A193,'SegEnds_NonXtal_BW#'!$A:$Z,8,FALSE)+VLOOKUP($A193,A:AL,10,FALSE)-50</f>
        <v>106</v>
      </c>
      <c r="L193" s="3">
        <f t="shared" si="116"/>
        <v>108</v>
      </c>
      <c r="M193" s="3">
        <v>109</v>
      </c>
      <c r="N193" s="3">
        <f t="shared" si="117"/>
        <v>111</v>
      </c>
      <c r="O193" s="3">
        <f t="shared" si="118"/>
        <v>112</v>
      </c>
      <c r="P193" s="3">
        <v>141</v>
      </c>
      <c r="Q193" s="3">
        <f>VLOOKUP($A193,'SegEnds_NonXtal_BW#'!$A:$Z,12,FALSE)+VLOOKUP($A193,A:AL,16,FALSE)-50</f>
        <v>147</v>
      </c>
      <c r="R193" s="3">
        <f>IF(ISERROR(VLOOKUP($A193,'SegEnds_NonXtal_BW#'!$A:$Z,13,FALSE)+VLOOKUP($A193,A:AL,19,FALSE)-50),"-",VLOOKUP($A193,'SegEnds_NonXtal_BW#'!$A:$Z,13,FALSE)+VLOOKUP($A193,A:AL,19,FALSE)-50)</f>
        <v>148</v>
      </c>
      <c r="S193" s="3">
        <v>148</v>
      </c>
      <c r="T193" s="103">
        <f>IF(ISERROR(VLOOKUP($A193,'SegEnds_NonXtal_BW#'!$A:$Z,14,FALSE)+VLOOKUP($A193,A:AL,19,FALSE)-50),"-",(VLOOKUP($A193,'SegEnds_NonXtal_BW#'!$A:$Z,14,FALSE)+VLOOKUP($A193,A:AL,19,FALSE)-50))</f>
        <v>155</v>
      </c>
      <c r="U193" s="9">
        <f>IF(ISERROR(VLOOKUP($A193,'SegEnds_NonXtal_BW#'!$A:$Z,15,FALSE)+VLOOKUP($A193,A:AL,22,FALSE)-50),"-",VLOOKUP($A193,'SegEnds_NonXtal_BW#'!$A:$Z,15,FALSE)+VLOOKUP($A193,A:AL,22,FALSE)-50)</f>
        <v>156</v>
      </c>
      <c r="V193" s="3">
        <v>168</v>
      </c>
      <c r="W193" s="3">
        <f>IF(ISERROR(VLOOKUP($A193,'SegEnds_NonXtal_BW#'!$A:$Z,16,FALSE)+VLOOKUP($A193,A:AL,22,FALSE)-50),"-",(VLOOKUP($A193,'SegEnds_NonXtal_BW#'!$A:$Z,16,FALSE)+VLOOKUP($A193,A:AL,22,FALSE)-50))</f>
        <v>182</v>
      </c>
      <c r="X193" s="3">
        <f>IF(ISERROR(VLOOKUP($A193,'SegEnds_NonXtal_BW#'!$A:$Z,17,FALSE)+VLOOKUP($A193,A:AL,25,FALSE)-50),"-",(VLOOKUP($A193,'SegEnds_NonXtal_BW#'!$A:$Z,17,FALSE)+VLOOKUP($A193,A:AL,25,FALSE)-50))</f>
        <v>198</v>
      </c>
      <c r="Y193" s="3">
        <v>198</v>
      </c>
      <c r="Z193" s="3">
        <f t="shared" si="119"/>
        <v>200</v>
      </c>
      <c r="AA193" s="3">
        <f>IF(ISERROR(VLOOKUP($A193,'SegEnds_NonXtal_BW#'!$A:$Z,19,FALSE)+VLOOKUP($A193,A:AL,28,FALSE)-50),"-",(VLOOKUP($A193,'SegEnds_NonXtal_BW#'!$A:$Z,19,FALSE)+VLOOKUP($A193,A:AL,28,FALSE)-50))</f>
        <v>203</v>
      </c>
      <c r="AB193" s="3">
        <v>224</v>
      </c>
      <c r="AC193" s="3">
        <f>IF(ISERROR((VLOOKUP($A193,'SegEnds_NonXtal_BW#'!$A:$Z,20,FALSE)+VLOOKUP($A193,A:AL,28,FALSE)-50)),"-",(VLOOKUP($A193,'SegEnds_NonXtal_BW#'!$A:$Z,20,FALSE)+VLOOKUP($A193,A:AL,28,FALSE)-50))</f>
        <v>246</v>
      </c>
      <c r="AD193" s="3">
        <f>IF(ISERROR(VLOOKUP($A193,'SegEnds_NonXtal_BW#'!$A:$Z,21,FALSE)+VLOOKUP($A193,A:AL,31,FALSE)-50),"-",(VLOOKUP($A193,'SegEnds_NonXtal_BW#'!$A:$Z,21,FALSE)+VLOOKUP($A193,A:AL,31,FALSE)-50))</f>
        <v>255</v>
      </c>
      <c r="AE193" s="3">
        <v>281</v>
      </c>
      <c r="AF193" s="3">
        <f>IF(ISERROR((VLOOKUP($A193,'SegEnds_NonXtal_BW#'!$A:$Z,22,FALSE)+VLOOKUP($A193,A:AL,31,FALSE)-50)),"-",(VLOOKUP($A193,'SegEnds_NonXtal_BW#'!$A:$Z,22,FALSE)+VLOOKUP($A193,A:AL,31,FALSE)-50))</f>
        <v>292</v>
      </c>
      <c r="AG193" s="3">
        <f>IF(ISERROR(VLOOKUP($A193,'SegEnds_NonXtal_BW#'!$A:$Z,23,FALSE)+VLOOKUP($A193,A:AL,34,FALSE)-50),"-",(VLOOKUP($A193,'SegEnds_NonXtal_BW#'!$A:$Z,23,FALSE)+VLOOKUP($A193,A:AL,34,FALSE)-50))</f>
        <v>299</v>
      </c>
      <c r="AH193" s="3">
        <v>321</v>
      </c>
      <c r="AI193" s="3">
        <f>IF(ISERROR((VLOOKUP($A193,'SegEnds_NonXtal_BW#'!$A:$Z,24,FALSE)+VLOOKUP($A193,A:AL,34,FALSE)-50)),"-",(VLOOKUP($A193,'SegEnds_NonXtal_BW#'!$A:$Z,24,FALSE)+VLOOKUP($A193,A:AL,34,FALSE)-50))</f>
        <v>327</v>
      </c>
      <c r="AJ193" s="3">
        <f>IF(ISERROR(VLOOKUP($A193,'SegEnds_NonXtal_BW#'!$A:$Z,25,FALSE)+VLOOKUP($A193,A:AL,37,FALSE)-50),"-",(VLOOKUP($A193,'SegEnds_NonXtal_BW#'!$A:$Z,25,FALSE)+VLOOKUP($A193,A:AL,37,FALSE)-50))</f>
        <v>328</v>
      </c>
      <c r="AK193" s="3">
        <v>331</v>
      </c>
      <c r="AL193" s="3">
        <f>IF(ISERROR((VLOOKUP($A193,'SegEnds_NonXtal_BW#'!$A:$Z,26,FALSE)+VLOOKUP($A193,A:AL,37,FALSE)-50)),"-",(VLOOKUP($A193,'SegEnds_NonXtal_BW#'!$A:$Z,26,FALSE)+VLOOKUP($A193,A:AL,37,FALSE)-50))</f>
        <v>341</v>
      </c>
      <c r="AM193" s="28" t="str">
        <f>VLOOKUP(A193,Classification!A:B,2,FALSE)</f>
        <v>A</v>
      </c>
      <c r="AN193" s="28" t="b">
        <f t="shared" si="100"/>
        <v>1</v>
      </c>
      <c r="AO193" s="3" t="str">
        <f>IF(ISERROR(MATCH(A193,'SegEnds_Xtal_Prot#'!B:B, 0)), "NoXtal", "Xtal")</f>
        <v>NoXtal</v>
      </c>
      <c r="AP193" s="3">
        <f t="shared" si="83"/>
        <v>1</v>
      </c>
      <c r="AQ193" s="3">
        <f t="shared" si="84"/>
        <v>1</v>
      </c>
      <c r="AR193" s="3">
        <f t="shared" si="85"/>
        <v>2</v>
      </c>
      <c r="AS193" s="3">
        <f t="shared" si="86"/>
        <v>1</v>
      </c>
      <c r="AT193" s="3">
        <f t="shared" si="87"/>
        <v>1</v>
      </c>
      <c r="AU193" s="3">
        <f t="shared" si="88"/>
        <v>1</v>
      </c>
      <c r="AV193" s="3">
        <f t="shared" si="89"/>
        <v>16</v>
      </c>
      <c r="AW193" s="3">
        <f t="shared" si="90"/>
        <v>3</v>
      </c>
      <c r="AX193" s="3">
        <f t="shared" si="91"/>
        <v>9</v>
      </c>
      <c r="AY193" s="3">
        <f t="shared" si="92"/>
        <v>7</v>
      </c>
      <c r="AZ193" s="3">
        <f t="shared" si="93"/>
        <v>1</v>
      </c>
      <c r="BA193" s="3">
        <f>IF(ISERROR(LEN(VLOOKUP(A193,Seqs!A:E,2,FALSE))-AL193),"-",LEN(VLOOKUP(A193,Seqs!A:E,2,FALSE))-AL193)</f>
        <v>49</v>
      </c>
      <c r="BB193" s="16">
        <f t="shared" si="94"/>
        <v>28</v>
      </c>
      <c r="BC193" s="9">
        <f t="shared" si="95"/>
        <v>20</v>
      </c>
      <c r="BD193" s="3">
        <f t="shared" si="96"/>
        <v>28</v>
      </c>
      <c r="BE193" s="3">
        <f t="shared" si="97"/>
        <v>57</v>
      </c>
    </row>
    <row r="194" spans="1:57" s="3" customFormat="1" x14ac:dyDescent="0.2">
      <c r="A194" s="3" t="s">
        <v>318</v>
      </c>
      <c r="B194" s="3" t="str">
        <f>LOWER(VLOOKUP(A194,Xtal_Templ!A:B,2,FALSE))</f>
        <v>ntr1_rat</v>
      </c>
      <c r="C194" s="3">
        <f>VLOOKUP($A194,'SegEnds_NonXtal_BW#'!$A:$Z,3,FALSE)+D194-50</f>
        <v>57</v>
      </c>
      <c r="D194" s="3">
        <v>78</v>
      </c>
      <c r="E194" s="3">
        <f>IF(ISERROR(VLOOKUP($A194,'SegEnds_NonXtal_BW#'!$A:$Z,4,FALSE)+VLOOKUP($A194,A:AL,4,FALSE)-50),"-",(VLOOKUP($A194,'SegEnds_NonXtal_BW#'!$A:$Z,4,FALSE)+VLOOKUP($A194,A:AL,4,FALSE)-50))</f>
        <v>88</v>
      </c>
      <c r="F194" s="3">
        <f t="shared" si="114"/>
        <v>89</v>
      </c>
      <c r="G194" s="3">
        <v>91</v>
      </c>
      <c r="H194" s="3">
        <f t="shared" si="115"/>
        <v>92</v>
      </c>
      <c r="I194" s="3">
        <f t="shared" si="115"/>
        <v>93</v>
      </c>
      <c r="J194" s="3">
        <v>106</v>
      </c>
      <c r="K194" s="3">
        <f>VLOOKUP($A194,'SegEnds_NonXtal_BW#'!$A:$Z,8,FALSE)+VLOOKUP($A194,A:AL,10,FALSE)-50</f>
        <v>122</v>
      </c>
      <c r="L194" s="3">
        <f t="shared" si="116"/>
        <v>124</v>
      </c>
      <c r="M194" s="3">
        <v>125</v>
      </c>
      <c r="N194" s="3">
        <f t="shared" si="117"/>
        <v>127</v>
      </c>
      <c r="O194" s="3">
        <f t="shared" si="118"/>
        <v>128</v>
      </c>
      <c r="P194" s="3">
        <v>159</v>
      </c>
      <c r="Q194" s="3">
        <f>VLOOKUP($A194,'SegEnds_NonXtal_BW#'!$A:$Z,12,FALSE)+VLOOKUP($A194,A:AL,16,FALSE)-50</f>
        <v>165</v>
      </c>
      <c r="R194" s="3">
        <f>IF(ISERROR(VLOOKUP($A194,'SegEnds_NonXtal_BW#'!$A:$Z,13,FALSE)+VLOOKUP($A194,A:AL,19,FALSE)-50),"-",VLOOKUP($A194,'SegEnds_NonXtal_BW#'!$A:$Z,13,FALSE)+VLOOKUP($A194,A:AL,19,FALSE)-50)</f>
        <v>166</v>
      </c>
      <c r="S194" s="3">
        <v>166</v>
      </c>
      <c r="T194" s="103">
        <f>IF(ISERROR(VLOOKUP($A194,'SegEnds_NonXtal_BW#'!$A:$Z,14,FALSE)+VLOOKUP($A194,A:AL,19,FALSE)-50),"-",(VLOOKUP($A194,'SegEnds_NonXtal_BW#'!$A:$Z,14,FALSE)+VLOOKUP($A194,A:AL,19,FALSE)-50))</f>
        <v>173</v>
      </c>
      <c r="U194" s="9">
        <f>IF(ISERROR(VLOOKUP($A194,'SegEnds_NonXtal_BW#'!$A:$Z,15,FALSE)+VLOOKUP($A194,A:AL,22,FALSE)-50),"-",VLOOKUP($A194,'SegEnds_NonXtal_BW#'!$A:$Z,15,FALSE)+VLOOKUP($A194,A:AL,22,FALSE)-50)</f>
        <v>174</v>
      </c>
      <c r="V194" s="3">
        <v>186</v>
      </c>
      <c r="W194" s="3">
        <f>IF(ISERROR(VLOOKUP($A194,'SegEnds_NonXtal_BW#'!$A:$Z,16,FALSE)+VLOOKUP($A194,A:AL,22,FALSE)-50),"-",(VLOOKUP($A194,'SegEnds_NonXtal_BW#'!$A:$Z,16,FALSE)+VLOOKUP($A194,A:AL,22,FALSE)-50))</f>
        <v>200</v>
      </c>
      <c r="X194" s="3">
        <f>IF(ISERROR(VLOOKUP($A194,'SegEnds_NonXtal_BW#'!$A:$Z,17,FALSE)+VLOOKUP($A194,A:AL,25,FALSE)-50),"-",(VLOOKUP($A194,'SegEnds_NonXtal_BW#'!$A:$Z,17,FALSE)+VLOOKUP($A194,A:AL,25,FALSE)-50))</f>
        <v>219</v>
      </c>
      <c r="Y194" s="3">
        <v>219</v>
      </c>
      <c r="Z194" s="3">
        <f t="shared" si="119"/>
        <v>221</v>
      </c>
      <c r="AA194" s="3">
        <f>IF(ISERROR(VLOOKUP($A194,'SegEnds_NonXtal_BW#'!$A:$Z,19,FALSE)+VLOOKUP($A194,A:AL,28,FALSE)-50),"-",(VLOOKUP($A194,'SegEnds_NonXtal_BW#'!$A:$Z,19,FALSE)+VLOOKUP($A194,A:AL,28,FALSE)-50))</f>
        <v>225</v>
      </c>
      <c r="AB194" s="3">
        <v>243</v>
      </c>
      <c r="AC194" s="3">
        <f>IF(ISERROR((VLOOKUP($A194,'SegEnds_NonXtal_BW#'!$A:$Z,20,FALSE)+VLOOKUP($A194,A:AL,28,FALSE)-50)),"-",(VLOOKUP($A194,'SegEnds_NonXtal_BW#'!$A:$Z,20,FALSE)+VLOOKUP($A194,A:AL,28,FALSE)-50))</f>
        <v>269</v>
      </c>
      <c r="AD194" s="3">
        <f>IF(ISERROR(VLOOKUP($A194,'SegEnds_NonXtal_BW#'!$A:$Z,21,FALSE)+VLOOKUP($A194,A:AL,31,FALSE)-50),"-",(VLOOKUP($A194,'SegEnds_NonXtal_BW#'!$A:$Z,21,FALSE)+VLOOKUP($A194,A:AL,31,FALSE)-50))</f>
        <v>286</v>
      </c>
      <c r="AE194" s="3">
        <v>312</v>
      </c>
      <c r="AF194" s="3">
        <f>IF(ISERROR((VLOOKUP($A194,'SegEnds_NonXtal_BW#'!$A:$Z,22,FALSE)+VLOOKUP($A194,A:AL,31,FALSE)-50)),"-",(VLOOKUP($A194,'SegEnds_NonXtal_BW#'!$A:$Z,22,FALSE)+VLOOKUP($A194,A:AL,31,FALSE)-50))</f>
        <v>323</v>
      </c>
      <c r="AG194" s="3">
        <f>IF(ISERROR(VLOOKUP($A194,'SegEnds_NonXtal_BW#'!$A:$Z,23,FALSE)+VLOOKUP($A194,A:AL,34,FALSE)-50),"-",(VLOOKUP($A194,'SegEnds_NonXtal_BW#'!$A:$Z,23,FALSE)+VLOOKUP($A194,A:AL,34,FALSE)-50))</f>
        <v>331</v>
      </c>
      <c r="AH194" s="3">
        <v>353</v>
      </c>
      <c r="AI194" s="3">
        <f>IF(ISERROR((VLOOKUP($A194,'SegEnds_NonXtal_BW#'!$A:$Z,24,FALSE)+VLOOKUP($A194,A:AL,34,FALSE)-50)),"-",(VLOOKUP($A194,'SegEnds_NonXtal_BW#'!$A:$Z,24,FALSE)+VLOOKUP($A194,A:AL,34,FALSE)-50))</f>
        <v>359</v>
      </c>
      <c r="AJ194" s="3">
        <f>IF(ISERROR(VLOOKUP($A194,'SegEnds_NonXtal_BW#'!$A:$Z,25,FALSE)+VLOOKUP($A194,A:AL,37,FALSE)-50),"-",(VLOOKUP($A194,'SegEnds_NonXtal_BW#'!$A:$Z,25,FALSE)+VLOOKUP($A194,A:AL,37,FALSE)-50))</f>
        <v>360</v>
      </c>
      <c r="AK194" s="3">
        <v>363</v>
      </c>
      <c r="AL194" s="3">
        <f>IF(ISERROR((VLOOKUP($A194,'SegEnds_NonXtal_BW#'!$A:$Z,26,FALSE)+VLOOKUP($A194,A:AL,37,FALSE)-50)),"-",(VLOOKUP($A194,'SegEnds_NonXtal_BW#'!$A:$Z,26,FALSE)+VLOOKUP($A194,A:AL,37,FALSE)-50))</f>
        <v>371</v>
      </c>
      <c r="AM194" s="28" t="str">
        <f>VLOOKUP(A194,Classification!A:B,2,FALSE)</f>
        <v>A</v>
      </c>
      <c r="AN194" s="28" t="b">
        <f t="shared" si="100"/>
        <v>1</v>
      </c>
      <c r="AO194" s="3" t="str">
        <f>IF(ISERROR(MATCH(A194,'SegEnds_Xtal_Prot#'!B:B, 0)), "NoXtal", "Xtal")</f>
        <v>NoXtal</v>
      </c>
      <c r="AP194" s="3">
        <f t="shared" ref="AP194:AP257" si="120">IF(ISERROR(F194-E194),"-",F194-E194)</f>
        <v>1</v>
      </c>
      <c r="AQ194" s="3">
        <f t="shared" ref="AQ194:AQ257" si="121">IF(ISERROR(I194-H194),"-",I194-H194)</f>
        <v>1</v>
      </c>
      <c r="AR194" s="3">
        <f t="shared" ref="AR194:AR257" si="122">IF(ISERROR(L194-K194),"-",L194-K194)</f>
        <v>2</v>
      </c>
      <c r="AS194" s="3">
        <f t="shared" ref="AS194:AS257" si="123">IF(ISERROR(O194-N194),"-",O194-N194)</f>
        <v>1</v>
      </c>
      <c r="AT194" s="3">
        <f t="shared" ref="AT194:AT257" si="124">IF(ISERROR(R194-Q194),"-",R194-Q194)</f>
        <v>1</v>
      </c>
      <c r="AU194" s="3">
        <f t="shared" ref="AU194:AU257" si="125">IF(ISERROR(U194-T194),"-",U194-T194)</f>
        <v>1</v>
      </c>
      <c r="AV194" s="3">
        <f t="shared" ref="AV194:AV257" si="126">IF(ISERROR(X194-W194),"-",X194-W194)</f>
        <v>19</v>
      </c>
      <c r="AW194" s="3">
        <f t="shared" ref="AW194:AW257" si="127">IF(ISERROR(AA194-Z194),"-",AA194-Z194)</f>
        <v>4</v>
      </c>
      <c r="AX194" s="3">
        <f t="shared" ref="AX194:AX257" si="128">IF(ISERROR(AD194-AC194),"-",AD194-AC194)</f>
        <v>17</v>
      </c>
      <c r="AY194" s="3">
        <f t="shared" ref="AY194:AY257" si="129">IF(ISERROR(AG194-AF194),"-",AG194-AF194)</f>
        <v>8</v>
      </c>
      <c r="AZ194" s="3">
        <f t="shared" ref="AZ194:AZ257" si="130">IF(ISERROR(AJ194-AI194),"-",AJ194-AI194)</f>
        <v>1</v>
      </c>
      <c r="BA194" s="3">
        <f>IF(ISERROR(LEN(VLOOKUP(A194,Seqs!A:E,2,FALSE))-AL194),"-",LEN(VLOOKUP(A194,Seqs!A:E,2,FALSE))-AL194)</f>
        <v>55</v>
      </c>
      <c r="BB194" s="16">
        <f t="shared" ref="BB194:BB257" si="131">J194-D194</f>
        <v>28</v>
      </c>
      <c r="BC194" s="9">
        <f t="shared" ref="BC194:BC257" si="132">IF(ISERROR(V194-S194),"-",V194-S194)</f>
        <v>20</v>
      </c>
      <c r="BD194" s="3">
        <f t="shared" ref="BD194:BD257" si="133">J194-D194</f>
        <v>28</v>
      </c>
      <c r="BE194" s="3">
        <f t="shared" ref="BE194:BE257" si="134">AE194-AB194</f>
        <v>69</v>
      </c>
    </row>
    <row r="195" spans="1:57" s="3" customFormat="1" x14ac:dyDescent="0.2">
      <c r="A195" s="3" t="s">
        <v>319</v>
      </c>
      <c r="B195" s="3" t="str">
        <f>LOWER(VLOOKUP(A195,Xtal_Templ!A:B,2,FALSE))</f>
        <v>ntr1_rat</v>
      </c>
      <c r="C195" s="3">
        <f>VLOOKUP($A195,'SegEnds_NonXtal_BW#'!$A:$Z,3,FALSE)+D195-50</f>
        <v>42</v>
      </c>
      <c r="D195" s="3">
        <v>63</v>
      </c>
      <c r="E195" s="3">
        <f>IF(ISERROR(VLOOKUP($A195,'SegEnds_NonXtal_BW#'!$A:$Z,4,FALSE)+VLOOKUP($A195,A:AL,4,FALSE)-50),"-",(VLOOKUP($A195,'SegEnds_NonXtal_BW#'!$A:$Z,4,FALSE)+VLOOKUP($A195,A:AL,4,FALSE)-50))</f>
        <v>73</v>
      </c>
      <c r="F195" s="3">
        <f t="shared" si="114"/>
        <v>74</v>
      </c>
      <c r="G195" s="3">
        <v>76</v>
      </c>
      <c r="H195" s="3">
        <f t="shared" si="115"/>
        <v>77</v>
      </c>
      <c r="I195" s="3">
        <f t="shared" si="115"/>
        <v>78</v>
      </c>
      <c r="J195" s="3">
        <v>91</v>
      </c>
      <c r="K195" s="3">
        <f>VLOOKUP($A195,'SegEnds_NonXtal_BW#'!$A:$Z,8,FALSE)+VLOOKUP($A195,A:AL,10,FALSE)-50</f>
        <v>107</v>
      </c>
      <c r="L195" s="3">
        <f t="shared" si="116"/>
        <v>109</v>
      </c>
      <c r="M195" s="3">
        <v>110</v>
      </c>
      <c r="N195" s="3">
        <f t="shared" si="117"/>
        <v>112</v>
      </c>
      <c r="O195" s="3">
        <f t="shared" si="118"/>
        <v>113</v>
      </c>
      <c r="P195" s="3">
        <v>144</v>
      </c>
      <c r="Q195" s="3">
        <f>VLOOKUP($A195,'SegEnds_NonXtal_BW#'!$A:$Z,12,FALSE)+VLOOKUP($A195,A:AL,16,FALSE)-50</f>
        <v>150</v>
      </c>
      <c r="R195" s="3">
        <f>IF(ISERROR(VLOOKUP($A195,'SegEnds_NonXtal_BW#'!$A:$Z,13,FALSE)+VLOOKUP($A195,A:AL,19,FALSE)-50),"-",VLOOKUP($A195,'SegEnds_NonXtal_BW#'!$A:$Z,13,FALSE)+VLOOKUP($A195,A:AL,19,FALSE)-50)</f>
        <v>151</v>
      </c>
      <c r="S195" s="3">
        <v>151</v>
      </c>
      <c r="T195" s="103">
        <f>IF(ISERROR(VLOOKUP($A195,'SegEnds_NonXtal_BW#'!$A:$Z,14,FALSE)+VLOOKUP($A195,A:AL,19,FALSE)-50),"-",(VLOOKUP($A195,'SegEnds_NonXtal_BW#'!$A:$Z,14,FALSE)+VLOOKUP($A195,A:AL,19,FALSE)-50))</f>
        <v>158</v>
      </c>
      <c r="U195" s="9">
        <f>IF(ISERROR(VLOOKUP($A195,'SegEnds_NonXtal_BW#'!$A:$Z,15,FALSE)+VLOOKUP($A195,A:AL,22,FALSE)-50),"-",VLOOKUP($A195,'SegEnds_NonXtal_BW#'!$A:$Z,15,FALSE)+VLOOKUP($A195,A:AL,22,FALSE)-50)</f>
        <v>159</v>
      </c>
      <c r="V195" s="3">
        <v>171</v>
      </c>
      <c r="W195" s="3">
        <f>IF(ISERROR(VLOOKUP($A195,'SegEnds_NonXtal_BW#'!$A:$Z,16,FALSE)+VLOOKUP($A195,A:AL,22,FALSE)-50),"-",(VLOOKUP($A195,'SegEnds_NonXtal_BW#'!$A:$Z,16,FALSE)+VLOOKUP($A195,A:AL,22,FALSE)-50))</f>
        <v>185</v>
      </c>
      <c r="X195" s="3">
        <f>IF(ISERROR(VLOOKUP($A195,'SegEnds_NonXtal_BW#'!$A:$Z,17,FALSE)+VLOOKUP($A195,A:AL,25,FALSE)-50),"-",(VLOOKUP($A195,'SegEnds_NonXtal_BW#'!$A:$Z,17,FALSE)+VLOOKUP($A195,A:AL,25,FALSE)-50))</f>
        <v>204</v>
      </c>
      <c r="Y195" s="3">
        <v>204</v>
      </c>
      <c r="Z195" s="3">
        <f t="shared" si="119"/>
        <v>206</v>
      </c>
      <c r="AA195" s="3">
        <f>IF(ISERROR(VLOOKUP($A195,'SegEnds_NonXtal_BW#'!$A:$Z,19,FALSE)+VLOOKUP($A195,A:AL,28,FALSE)-50),"-",(VLOOKUP($A195,'SegEnds_NonXtal_BW#'!$A:$Z,19,FALSE)+VLOOKUP($A195,A:AL,28,FALSE)-50))</f>
        <v>210</v>
      </c>
      <c r="AB195" s="3">
        <v>228</v>
      </c>
      <c r="AC195" s="3">
        <f>IF(ISERROR((VLOOKUP($A195,'SegEnds_NonXtal_BW#'!$A:$Z,20,FALSE)+VLOOKUP($A195,A:AL,28,FALSE)-50)),"-",(VLOOKUP($A195,'SegEnds_NonXtal_BW#'!$A:$Z,20,FALSE)+VLOOKUP($A195,A:AL,28,FALSE)-50))</f>
        <v>251</v>
      </c>
      <c r="AD195" s="3">
        <f>IF(ISERROR(VLOOKUP($A195,'SegEnds_NonXtal_BW#'!$A:$Z,21,FALSE)+VLOOKUP($A195,A:AL,31,FALSE)-50),"-",(VLOOKUP($A195,'SegEnds_NonXtal_BW#'!$A:$Z,21,FALSE)+VLOOKUP($A195,A:AL,31,FALSE)-50))</f>
        <v>255</v>
      </c>
      <c r="AE195" s="3">
        <v>283</v>
      </c>
      <c r="AF195" s="3">
        <f>IF(ISERROR((VLOOKUP($A195,'SegEnds_NonXtal_BW#'!$A:$Z,22,FALSE)+VLOOKUP($A195,A:AL,31,FALSE)-50)),"-",(VLOOKUP($A195,'SegEnds_NonXtal_BW#'!$A:$Z,22,FALSE)+VLOOKUP($A195,A:AL,31,FALSE)-50))</f>
        <v>294</v>
      </c>
      <c r="AG195" s="3">
        <f>IF(ISERROR(VLOOKUP($A195,'SegEnds_NonXtal_BW#'!$A:$Z,23,FALSE)+VLOOKUP($A195,A:AL,34,FALSE)-50),"-",(VLOOKUP($A195,'SegEnds_NonXtal_BW#'!$A:$Z,23,FALSE)+VLOOKUP($A195,A:AL,34,FALSE)-50))</f>
        <v>302</v>
      </c>
      <c r="AH195" s="3">
        <v>324</v>
      </c>
      <c r="AI195" s="3">
        <f>IF(ISERROR((VLOOKUP($A195,'SegEnds_NonXtal_BW#'!$A:$Z,24,FALSE)+VLOOKUP($A195,A:AL,34,FALSE)-50)),"-",(VLOOKUP($A195,'SegEnds_NonXtal_BW#'!$A:$Z,24,FALSE)+VLOOKUP($A195,A:AL,34,FALSE)-50))</f>
        <v>330</v>
      </c>
      <c r="AJ195" s="3">
        <f>IF(ISERROR(VLOOKUP($A195,'SegEnds_NonXtal_BW#'!$A:$Z,25,FALSE)+VLOOKUP($A195,A:AL,37,FALSE)-50),"-",(VLOOKUP($A195,'SegEnds_NonXtal_BW#'!$A:$Z,25,FALSE)+VLOOKUP($A195,A:AL,37,FALSE)-50))</f>
        <v>331</v>
      </c>
      <c r="AK195" s="3">
        <v>334</v>
      </c>
      <c r="AL195" s="3">
        <f>IF(ISERROR((VLOOKUP($A195,'SegEnds_NonXtal_BW#'!$A:$Z,26,FALSE)+VLOOKUP($A195,A:AL,37,FALSE)-50)),"-",(VLOOKUP($A195,'SegEnds_NonXtal_BW#'!$A:$Z,26,FALSE)+VLOOKUP($A195,A:AL,37,FALSE)-50))</f>
        <v>342</v>
      </c>
      <c r="AM195" s="28" t="str">
        <f>VLOOKUP(A195,Classification!A:B,2,FALSE)</f>
        <v>A</v>
      </c>
      <c r="AN195" s="28" t="b">
        <f t="shared" si="100"/>
        <v>1</v>
      </c>
      <c r="AO195" s="3" t="str">
        <f>IF(ISERROR(MATCH(A195,'SegEnds_Xtal_Prot#'!B:B, 0)), "NoXtal", "Xtal")</f>
        <v>NoXtal</v>
      </c>
      <c r="AP195" s="3">
        <f t="shared" si="120"/>
        <v>1</v>
      </c>
      <c r="AQ195" s="3">
        <f t="shared" si="121"/>
        <v>1</v>
      </c>
      <c r="AR195" s="3">
        <f t="shared" si="122"/>
        <v>2</v>
      </c>
      <c r="AS195" s="3">
        <f t="shared" si="123"/>
        <v>1</v>
      </c>
      <c r="AT195" s="3">
        <f t="shared" si="124"/>
        <v>1</v>
      </c>
      <c r="AU195" s="3">
        <f t="shared" si="125"/>
        <v>1</v>
      </c>
      <c r="AV195" s="3">
        <f t="shared" si="126"/>
        <v>19</v>
      </c>
      <c r="AW195" s="3">
        <f t="shared" si="127"/>
        <v>4</v>
      </c>
      <c r="AX195" s="3">
        <f t="shared" si="128"/>
        <v>4</v>
      </c>
      <c r="AY195" s="3">
        <f t="shared" si="129"/>
        <v>8</v>
      </c>
      <c r="AZ195" s="3">
        <f t="shared" si="130"/>
        <v>1</v>
      </c>
      <c r="BA195" s="3">
        <f>IF(ISERROR(LEN(VLOOKUP(A195,Seqs!A:E,2,FALSE))-AL195),"-",LEN(VLOOKUP(A195,Seqs!A:E,2,FALSE))-AL195)</f>
        <v>73</v>
      </c>
      <c r="BB195" s="16">
        <f t="shared" si="131"/>
        <v>28</v>
      </c>
      <c r="BC195" s="9">
        <f t="shared" si="132"/>
        <v>20</v>
      </c>
      <c r="BD195" s="3">
        <f t="shared" si="133"/>
        <v>28</v>
      </c>
      <c r="BE195" s="3">
        <f t="shared" si="134"/>
        <v>55</v>
      </c>
    </row>
    <row r="196" spans="1:57" s="3" customFormat="1" x14ac:dyDescent="0.2">
      <c r="A196" s="3" t="s">
        <v>127</v>
      </c>
      <c r="B196" s="3" t="str">
        <f>LOWER(VLOOKUP(A196,Xtal_Templ!A:B,2,FALSE))</f>
        <v>ntr1_rat</v>
      </c>
      <c r="C196" s="3">
        <f>VLOOKUP($A196,'SegEnds_NonXtal_BW#'!$A:$Z,3,FALSE)+D196-50</f>
        <v>60</v>
      </c>
      <c r="D196" s="3">
        <v>81</v>
      </c>
      <c r="E196" s="3">
        <f>IF(ISERROR(VLOOKUP($A196,'SegEnds_NonXtal_BW#'!$A:$Z,4,FALSE)+VLOOKUP($A196,A:AL,4,FALSE)-50),"-",(VLOOKUP($A196,'SegEnds_NonXtal_BW#'!$A:$Z,4,FALSE)+VLOOKUP($A196,A:AL,4,FALSE)-50))</f>
        <v>91</v>
      </c>
      <c r="F196" s="3">
        <f t="shared" si="114"/>
        <v>92</v>
      </c>
      <c r="G196" s="3">
        <v>94</v>
      </c>
      <c r="H196" s="3">
        <f t="shared" si="115"/>
        <v>95</v>
      </c>
      <c r="I196" s="3">
        <f t="shared" si="115"/>
        <v>96</v>
      </c>
      <c r="J196" s="3">
        <v>112</v>
      </c>
      <c r="K196" s="3">
        <f>VLOOKUP($A196,'SegEnds_NonXtal_BW#'!$A:$Z,8,FALSE)+VLOOKUP($A196,A:AL,10,FALSE)-50</f>
        <v>130</v>
      </c>
      <c r="L196" s="3">
        <f t="shared" si="116"/>
        <v>133</v>
      </c>
      <c r="M196" s="3">
        <v>134</v>
      </c>
      <c r="N196" s="3">
        <f t="shared" si="117"/>
        <v>136</v>
      </c>
      <c r="O196" s="3">
        <f t="shared" si="118"/>
        <v>137</v>
      </c>
      <c r="P196" s="3">
        <v>166</v>
      </c>
      <c r="Q196" s="3">
        <f>VLOOKUP($A196,'SegEnds_NonXtal_BW#'!$A:$Z,12,FALSE)+VLOOKUP($A196,A:AL,16,FALSE)-50</f>
        <v>172</v>
      </c>
      <c r="R196" s="3">
        <f>IF(ISERROR(VLOOKUP($A196,'SegEnds_NonXtal_BW#'!$A:$Z,13,FALSE)+VLOOKUP($A196,A:AL,19,FALSE)-50),"-",VLOOKUP($A196,'SegEnds_NonXtal_BW#'!$A:$Z,13,FALSE)+VLOOKUP($A196,A:AL,19,FALSE)-50)</f>
        <v>173</v>
      </c>
      <c r="S196" s="3">
        <v>173</v>
      </c>
      <c r="T196" s="103">
        <f>IF(ISERROR(VLOOKUP($A196,'SegEnds_NonXtal_BW#'!$A:$Z,14,FALSE)+VLOOKUP($A196,A:AL,19,FALSE)-50),"-",(VLOOKUP($A196,'SegEnds_NonXtal_BW#'!$A:$Z,14,FALSE)+VLOOKUP($A196,A:AL,19,FALSE)-50))</f>
        <v>180</v>
      </c>
      <c r="U196" s="9">
        <f>IF(ISERROR(VLOOKUP($A196,'SegEnds_NonXtal_BW#'!$A:$Z,15,FALSE)+VLOOKUP($A196,A:AL,22,FALSE)-50),"-",VLOOKUP($A196,'SegEnds_NonXtal_BW#'!$A:$Z,15,FALSE)+VLOOKUP($A196,A:AL,22,FALSE)-50)</f>
        <v>181</v>
      </c>
      <c r="V196" s="3">
        <v>193</v>
      </c>
      <c r="W196" s="3">
        <f>IF(ISERROR(VLOOKUP($A196,'SegEnds_NonXtal_BW#'!$A:$Z,16,FALSE)+VLOOKUP($A196,A:AL,22,FALSE)-50),"-",(VLOOKUP($A196,'SegEnds_NonXtal_BW#'!$A:$Z,16,FALSE)+VLOOKUP($A196,A:AL,22,FALSE)-50))</f>
        <v>207</v>
      </c>
      <c r="X196" s="3">
        <f>IF(ISERROR(VLOOKUP($A196,'SegEnds_NonXtal_BW#'!$A:$Z,17,FALSE)+VLOOKUP($A196,A:AL,25,FALSE)-50),"-",(VLOOKUP($A196,'SegEnds_NonXtal_BW#'!$A:$Z,17,FALSE)+VLOOKUP($A196,A:AL,25,FALSE)-50))</f>
        <v>224</v>
      </c>
      <c r="Y196" s="3">
        <v>224</v>
      </c>
      <c r="Z196" s="3">
        <f t="shared" si="119"/>
        <v>226</v>
      </c>
      <c r="AA196" s="3">
        <f>IF(ISERROR(VLOOKUP($A196,'SegEnds_NonXtal_BW#'!$A:$Z,19,FALSE)+VLOOKUP($A196,A:AL,28,FALSE)-50),"-",(VLOOKUP($A196,'SegEnds_NonXtal_BW#'!$A:$Z,19,FALSE)+VLOOKUP($A196,A:AL,28,FALSE)-50))</f>
        <v>230</v>
      </c>
      <c r="AB196" s="3">
        <v>248</v>
      </c>
      <c r="AC196" s="3">
        <f>IF(ISERROR((VLOOKUP($A196,'SegEnds_NonXtal_BW#'!$A:$Z,20,FALSE)+VLOOKUP($A196,A:AL,28,FALSE)-50)),"-",(VLOOKUP($A196,'SegEnds_NonXtal_BW#'!$A:$Z,20,FALSE)+VLOOKUP($A196,A:AL,28,FALSE)-50))</f>
        <v>274</v>
      </c>
      <c r="AD196" s="3">
        <f>IF(ISERROR(VLOOKUP($A196,'SegEnds_NonXtal_BW#'!$A:$Z,21,FALSE)+VLOOKUP($A196,A:AL,31,FALSE)-50),"-",(VLOOKUP($A196,'SegEnds_NonXtal_BW#'!$A:$Z,21,FALSE)+VLOOKUP($A196,A:AL,31,FALSE)-50))</f>
        <v>292</v>
      </c>
      <c r="AE196" s="3">
        <v>318</v>
      </c>
      <c r="AF196" s="3">
        <f>IF(ISERROR((VLOOKUP($A196,'SegEnds_NonXtal_BW#'!$A:$Z,22,FALSE)+VLOOKUP($A196,A:AL,31,FALSE)-50)),"-",(VLOOKUP($A196,'SegEnds_NonXtal_BW#'!$A:$Z,22,FALSE)+VLOOKUP($A196,A:AL,31,FALSE)-50))</f>
        <v>329</v>
      </c>
      <c r="AG196" s="3">
        <f>IF(ISERROR(VLOOKUP($A196,'SegEnds_NonXtal_BW#'!$A:$Z,23,FALSE)+VLOOKUP($A196,A:AL,34,FALSE)-50),"-",(VLOOKUP($A196,'SegEnds_NonXtal_BW#'!$A:$Z,23,FALSE)+VLOOKUP($A196,A:AL,34,FALSE)-50))</f>
        <v>335</v>
      </c>
      <c r="AH196" s="3">
        <v>361</v>
      </c>
      <c r="AI196" s="3">
        <f>IF(ISERROR((VLOOKUP($A196,'SegEnds_NonXtal_BW#'!$A:$Z,24,FALSE)+VLOOKUP($A196,A:AL,34,FALSE)-50)),"-",(VLOOKUP($A196,'SegEnds_NonXtal_BW#'!$A:$Z,24,FALSE)+VLOOKUP($A196,A:AL,34,FALSE)-50))</f>
        <v>367</v>
      </c>
      <c r="AJ196" s="3">
        <f>IF(ISERROR(VLOOKUP($A196,'SegEnds_NonXtal_BW#'!$A:$Z,25,FALSE)+VLOOKUP($A196,A:AL,37,FALSE)-50),"-",(VLOOKUP($A196,'SegEnds_NonXtal_BW#'!$A:$Z,25,FALSE)+VLOOKUP($A196,A:AL,37,FALSE)-50))</f>
        <v>368</v>
      </c>
      <c r="AK196" s="3">
        <v>371</v>
      </c>
      <c r="AL196" s="3">
        <f>IF(ISERROR((VLOOKUP($A196,'SegEnds_NonXtal_BW#'!$A:$Z,26,FALSE)+VLOOKUP($A196,A:AL,37,FALSE)-50)),"-",(VLOOKUP($A196,'SegEnds_NonXtal_BW#'!$A:$Z,26,FALSE)+VLOOKUP($A196,A:AL,37,FALSE)-50))</f>
        <v>379</v>
      </c>
      <c r="AM196" s="28" t="str">
        <f>VLOOKUP(A196,Classification!A:B,2,FALSE)</f>
        <v>A</v>
      </c>
      <c r="AN196" s="28" t="b">
        <f t="shared" si="100"/>
        <v>1</v>
      </c>
      <c r="AO196" s="3" t="str">
        <f>IF(ISERROR(MATCH(A196,'SegEnds_Xtal_Prot#'!B:B, 0)), "NoXtal", "Xtal")</f>
        <v>NoXtal</v>
      </c>
      <c r="AP196" s="3">
        <f t="shared" si="120"/>
        <v>1</v>
      </c>
      <c r="AQ196" s="3">
        <f t="shared" si="121"/>
        <v>1</v>
      </c>
      <c r="AR196" s="3">
        <f t="shared" si="122"/>
        <v>3</v>
      </c>
      <c r="AS196" s="3">
        <f t="shared" si="123"/>
        <v>1</v>
      </c>
      <c r="AT196" s="3">
        <f t="shared" si="124"/>
        <v>1</v>
      </c>
      <c r="AU196" s="3">
        <f t="shared" si="125"/>
        <v>1</v>
      </c>
      <c r="AV196" s="3">
        <f t="shared" si="126"/>
        <v>17</v>
      </c>
      <c r="AW196" s="3">
        <f t="shared" si="127"/>
        <v>4</v>
      </c>
      <c r="AX196" s="3">
        <f t="shared" si="128"/>
        <v>18</v>
      </c>
      <c r="AY196" s="3">
        <f t="shared" si="129"/>
        <v>6</v>
      </c>
      <c r="AZ196" s="3">
        <f t="shared" si="130"/>
        <v>1</v>
      </c>
      <c r="BA196" s="3">
        <f>IF(ISERROR(LEN(VLOOKUP(A196,Seqs!A:E,2,FALSE))-AL196),"-",LEN(VLOOKUP(A196,Seqs!A:E,2,FALSE))-AL196)</f>
        <v>39</v>
      </c>
      <c r="BB196" s="16">
        <f t="shared" si="131"/>
        <v>31</v>
      </c>
      <c r="BC196" s="9">
        <f t="shared" si="132"/>
        <v>20</v>
      </c>
      <c r="BD196" s="3">
        <f t="shared" si="133"/>
        <v>31</v>
      </c>
      <c r="BE196" s="3">
        <f t="shared" si="134"/>
        <v>70</v>
      </c>
    </row>
    <row r="197" spans="1:57" s="3" customFormat="1" x14ac:dyDescent="0.2">
      <c r="A197" s="3" t="s">
        <v>914</v>
      </c>
      <c r="B197" s="3" t="str">
        <f>LOWER(VLOOKUP(A197,Xtal_Templ!A:B,2,FALSE))</f>
        <v>ntr1_rat</v>
      </c>
      <c r="C197" s="3">
        <f>VLOOKUP($A197,'SegEnds_NonXtal_BW#'!$A:$Z,3,FALSE)+D197-50</f>
        <v>61</v>
      </c>
      <c r="D197" s="3">
        <v>82</v>
      </c>
      <c r="E197" s="3">
        <f>IF(ISERROR(VLOOKUP($A197,'SegEnds_NonXtal_BW#'!$A:$Z,4,FALSE)+VLOOKUP($A197,A:AL,4,FALSE)-50),"-",(VLOOKUP($A197,'SegEnds_NonXtal_BW#'!$A:$Z,4,FALSE)+VLOOKUP($A197,A:AL,4,FALSE)-50))</f>
        <v>92</v>
      </c>
      <c r="F197" s="3">
        <f t="shared" si="114"/>
        <v>93</v>
      </c>
      <c r="G197" s="3">
        <v>95</v>
      </c>
      <c r="H197" s="3">
        <f t="shared" si="115"/>
        <v>96</v>
      </c>
      <c r="I197" s="3">
        <f t="shared" si="115"/>
        <v>97</v>
      </c>
      <c r="J197" s="3">
        <v>113</v>
      </c>
      <c r="K197" s="3">
        <f>VLOOKUP($A197,'SegEnds_NonXtal_BW#'!$A:$Z,8,FALSE)+VLOOKUP($A197,A:AL,10,FALSE)-50</f>
        <v>131</v>
      </c>
      <c r="L197" s="3">
        <f>IF(ISERROR(VLOOKUP($A197,'SegEnds_NonXtal_BW#'!$A:$Z,9,FALSE)+VLOOKUP($A197,A:AL,13,FALSE)-50),"-",(VLOOKUP($A197,'SegEnds_NonXtal_BW#'!$A:$Z,9,FALSE)+VLOOKUP($A197,A:AL,13,FALSE)-50))</f>
        <v>134</v>
      </c>
      <c r="M197" s="3">
        <v>135</v>
      </c>
      <c r="N197" s="3">
        <f>IF(ISERROR(VLOOKUP($A197,'SegEnds_NonXtal_BW#'!$A:$Z,10,FALSE)+VLOOKUP($A197,A:AL,13,FALSE)-50),"-",(VLOOKUP($A197,'SegEnds_NonXtal_BW#'!$A:$Z,10,FALSE)+VLOOKUP($A197,A:AL,13,FALSE)-50))</f>
        <v>137</v>
      </c>
      <c r="O197" s="3">
        <f t="shared" si="118"/>
        <v>138</v>
      </c>
      <c r="P197" s="3">
        <v>167</v>
      </c>
      <c r="Q197" s="3">
        <f>VLOOKUP($A197,'SegEnds_NonXtal_BW#'!$A:$Z,12,FALSE)+VLOOKUP($A197,A:AL,16,FALSE)-50</f>
        <v>173</v>
      </c>
      <c r="R197" s="3">
        <f>IF(ISERROR(VLOOKUP($A197,'SegEnds_NonXtal_BW#'!$A:$Z,13,FALSE)+VLOOKUP($A197,A:AL,19,FALSE)-50),"-",VLOOKUP($A197,'SegEnds_NonXtal_BW#'!$A:$Z,13,FALSE)+VLOOKUP($A197,A:AL,19,FALSE)-50)</f>
        <v>174</v>
      </c>
      <c r="S197" s="3">
        <v>174</v>
      </c>
      <c r="T197" s="103">
        <f>IF(ISERROR(VLOOKUP($A197,'SegEnds_NonXtal_BW#'!$A:$Z,14,FALSE)+VLOOKUP($A197,A:AL,19,FALSE)-50),"-",(VLOOKUP($A197,'SegEnds_NonXtal_BW#'!$A:$Z,14,FALSE)+VLOOKUP($A197,A:AL,19,FALSE)-50))</f>
        <v>181</v>
      </c>
      <c r="U197" s="9">
        <f>IF(ISERROR(VLOOKUP($A197,'SegEnds_NonXtal_BW#'!$A:$Z,15,FALSE)+VLOOKUP($A197,A:AL,22,FALSE)-50),"-",VLOOKUP($A197,'SegEnds_NonXtal_BW#'!$A:$Z,15,FALSE)+VLOOKUP($A197,A:AL,22,FALSE)-50)</f>
        <v>182</v>
      </c>
      <c r="V197" s="3">
        <v>194</v>
      </c>
      <c r="W197" s="3">
        <f>IF(ISERROR(VLOOKUP($A197,'SegEnds_NonXtal_BW#'!$A:$Z,16,FALSE)+VLOOKUP($A197,A:AL,22,FALSE)-50),"-",(VLOOKUP($A197,'SegEnds_NonXtal_BW#'!$A:$Z,16,FALSE)+VLOOKUP($A197,A:AL,22,FALSE)-50))</f>
        <v>208</v>
      </c>
      <c r="X197" s="3">
        <f>IF(ISERROR(VLOOKUP($A197,'SegEnds_NonXtal_BW#'!$A:$Z,17,FALSE)+VLOOKUP($A197,A:AL,25,FALSE)-50),"-",(VLOOKUP($A197,'SegEnds_NonXtal_BW#'!$A:$Z,17,FALSE)+VLOOKUP($A197,A:AL,25,FALSE)-50))</f>
        <v>225</v>
      </c>
      <c r="Y197" s="3">
        <v>225</v>
      </c>
      <c r="Z197" s="3">
        <f t="shared" si="119"/>
        <v>227</v>
      </c>
      <c r="AA197" s="3">
        <f>IF(ISERROR(VLOOKUP($A197,'SegEnds_NonXtal_BW#'!$A:$Z,19,FALSE)+VLOOKUP($A197,A:AL,28,FALSE)-50),"-",(VLOOKUP($A197,'SegEnds_NonXtal_BW#'!$A:$Z,19,FALSE)+VLOOKUP($A197,A:AL,28,FALSE)-50))</f>
        <v>231</v>
      </c>
      <c r="AB197" s="3">
        <v>249</v>
      </c>
      <c r="AC197" s="3">
        <f>IF(ISERROR((VLOOKUP($A197,'SegEnds_NonXtal_BW#'!$A:$Z,20,FALSE)+VLOOKUP($A197,A:AL,28,FALSE)-50)),"-",(VLOOKUP($A197,'SegEnds_NonXtal_BW#'!$A:$Z,20,FALSE)+VLOOKUP($A197,A:AL,28,FALSE)-50))</f>
        <v>275</v>
      </c>
      <c r="AD197" s="3">
        <f>IF(ISERROR(VLOOKUP($A197,'SegEnds_NonXtal_BW#'!$A:$Z,21,FALSE)+VLOOKUP($A197,A:AL,31,FALSE)-50),"-",(VLOOKUP($A197,'SegEnds_NonXtal_BW#'!$A:$Z,21,FALSE)+VLOOKUP($A197,A:AL,31,FALSE)-50))</f>
        <v>297</v>
      </c>
      <c r="AE197" s="3">
        <v>323</v>
      </c>
      <c r="AF197" s="3">
        <f>IF(ISERROR((VLOOKUP($A197,'SegEnds_NonXtal_BW#'!$A:$Z,22,FALSE)+VLOOKUP($A197,A:AL,31,FALSE)-50)),"-",(VLOOKUP($A197,'SegEnds_NonXtal_BW#'!$A:$Z,22,FALSE)+VLOOKUP($A197,A:AL,31,FALSE)-50))</f>
        <v>334</v>
      </c>
      <c r="AG197" s="3">
        <f>IF(ISERROR(VLOOKUP($A197,'SegEnds_NonXtal_BW#'!$A:$Z,23,FALSE)+VLOOKUP($A197,A:AL,34,FALSE)-50),"-",(VLOOKUP($A197,'SegEnds_NonXtal_BW#'!$A:$Z,23,FALSE)+VLOOKUP($A197,A:AL,34,FALSE)-50))</f>
        <v>340</v>
      </c>
      <c r="AH197" s="3">
        <v>366</v>
      </c>
      <c r="AI197" s="3">
        <f>IF(ISERROR((VLOOKUP($A197,'SegEnds_NonXtal_BW#'!$A:$Z,24,FALSE)+VLOOKUP($A197,A:AL,34,FALSE)-50)),"-",(VLOOKUP($A197,'SegEnds_NonXtal_BW#'!$A:$Z,24,FALSE)+VLOOKUP($A197,A:AL,34,FALSE)-50))</f>
        <v>372</v>
      </c>
      <c r="AJ197" s="3">
        <f>IF(ISERROR(VLOOKUP($A197,'SegEnds_NonXtal_BW#'!$A:$Z,25,FALSE)+VLOOKUP($A197,A:AL,37,FALSE)-50),"-",(VLOOKUP($A197,'SegEnds_NonXtal_BW#'!$A:$Z,25,FALSE)+VLOOKUP($A197,A:AL,37,FALSE)-50))</f>
        <v>373</v>
      </c>
      <c r="AK197" s="3">
        <v>376</v>
      </c>
      <c r="AL197" s="3">
        <f>IF(ISERROR((VLOOKUP($A197,'SegEnds_NonXtal_BW#'!$A:$Z,26,FALSE)+VLOOKUP($A197,A:AL,37,FALSE)-50)),"-",(VLOOKUP($A197,'SegEnds_NonXtal_BW#'!$A:$Z,26,FALSE)+VLOOKUP($A197,A:AL,37,FALSE)-50))</f>
        <v>384</v>
      </c>
      <c r="AM197" s="28" t="str">
        <f>VLOOKUP(A197,Classification!A:B,2,FALSE)</f>
        <v>A</v>
      </c>
      <c r="AN197" s="28" t="b">
        <f t="shared" si="100"/>
        <v>1</v>
      </c>
      <c r="AO197" s="3" t="str">
        <f>IF(ISERROR(MATCH(A197,'SegEnds_Xtal_Prot#'!B:B, 0)), "NoXtal", "Xtal")</f>
        <v>Xtal</v>
      </c>
      <c r="AP197" s="3">
        <f t="shared" si="120"/>
        <v>1</v>
      </c>
      <c r="AQ197" s="3">
        <f t="shared" si="121"/>
        <v>1</v>
      </c>
      <c r="AR197" s="3">
        <f t="shared" si="122"/>
        <v>3</v>
      </c>
      <c r="AS197" s="3">
        <f t="shared" si="123"/>
        <v>1</v>
      </c>
      <c r="AT197" s="3">
        <f t="shared" si="124"/>
        <v>1</v>
      </c>
      <c r="AU197" s="3">
        <f t="shared" si="125"/>
        <v>1</v>
      </c>
      <c r="AV197" s="3">
        <f t="shared" si="126"/>
        <v>17</v>
      </c>
      <c r="AW197" s="3">
        <f t="shared" si="127"/>
        <v>4</v>
      </c>
      <c r="AX197" s="3">
        <f t="shared" si="128"/>
        <v>22</v>
      </c>
      <c r="AY197" s="3">
        <f t="shared" si="129"/>
        <v>6</v>
      </c>
      <c r="AZ197" s="3">
        <f t="shared" si="130"/>
        <v>1</v>
      </c>
      <c r="BA197" s="3">
        <f>IF(ISERROR(LEN(VLOOKUP(A197,Seqs!A:E,2,FALSE))-AL197),"-",LEN(VLOOKUP(A197,Seqs!A:E,2,FALSE))-AL197)</f>
        <v>40</v>
      </c>
      <c r="BB197" s="16">
        <f t="shared" si="131"/>
        <v>31</v>
      </c>
      <c r="BC197" s="9">
        <f t="shared" si="132"/>
        <v>20</v>
      </c>
      <c r="BD197" s="3">
        <f t="shared" si="133"/>
        <v>31</v>
      </c>
      <c r="BE197" s="3">
        <f t="shared" si="134"/>
        <v>74</v>
      </c>
    </row>
    <row r="198" spans="1:57" s="3" customFormat="1" x14ac:dyDescent="0.2">
      <c r="A198" s="3" t="s">
        <v>330</v>
      </c>
      <c r="B198" s="3" t="str">
        <f>LOWER(VLOOKUP(A198,Xtal_Templ!A:B,2,FALSE))</f>
        <v>ntr1_rat</v>
      </c>
      <c r="C198" s="3">
        <f>VLOOKUP($A198,'SegEnds_NonXtal_BW#'!$A:$Z,3,FALSE)+D198-50</f>
        <v>29</v>
      </c>
      <c r="D198" s="3">
        <v>50</v>
      </c>
      <c r="E198" s="3">
        <f>IF(ISERROR(VLOOKUP($A198,'SegEnds_NonXtal_BW#'!$A:$Z,4,FALSE)+VLOOKUP($A198,A:AL,4,FALSE)-50),"-",(VLOOKUP($A198,'SegEnds_NonXtal_BW#'!$A:$Z,4,FALSE)+VLOOKUP($A198,A:AL,4,FALSE)-50))</f>
        <v>60</v>
      </c>
      <c r="F198" s="3" t="str">
        <f>IF(ISERROR(VLOOKUP($A198,'SegEnds_NonXtal_BW#'!$A:$Z,5,FALSE)+VLOOKUP($A198,A:AL,7,FALSE)-50),"-",(VLOOKUP($A198,'SegEnds_NonXtal_BW#'!$A:$Z,5,FALSE)+VLOOKUP($A198,A:AL,7,FALSE)-50))</f>
        <v>-</v>
      </c>
      <c r="G198" s="3" t="s">
        <v>23</v>
      </c>
      <c r="H198" s="3" t="str">
        <f>IF(ISERROR(VLOOKUP($A198,'SegEnds_NonXtal_BW#'!$A:$Z,6,FALSE)+VLOOKUP($A198,A:AL,7,FALSE)-50),"-",(VLOOKUP($A198,'SegEnds_NonXtal_BW#'!$A:$Z,6,FALSE)+VLOOKUP($A198,A:AL,7,FALSE)-50))</f>
        <v>-</v>
      </c>
      <c r="I198" s="3">
        <f>VLOOKUP($A198,'SegEnds_NonXtal_BW#'!$A:$Z,7,FALSE)+J198-50</f>
        <v>66</v>
      </c>
      <c r="J198" s="3">
        <v>79</v>
      </c>
      <c r="K198" s="3">
        <f>VLOOKUP($A198,'SegEnds_NonXtal_BW#'!$A:$Z,8,FALSE)+VLOOKUP($A198,A:AL,10,FALSE)-50</f>
        <v>97</v>
      </c>
      <c r="L198" s="3">
        <f>M198-1</f>
        <v>100</v>
      </c>
      <c r="M198" s="3">
        <v>101</v>
      </c>
      <c r="N198" s="3">
        <f>M198+2</f>
        <v>103</v>
      </c>
      <c r="O198" s="3">
        <f t="shared" si="118"/>
        <v>104</v>
      </c>
      <c r="P198" s="3">
        <v>133</v>
      </c>
      <c r="Q198" s="3">
        <f>VLOOKUP($A198,'SegEnds_NonXtal_BW#'!$A:$Z,12,FALSE)+VLOOKUP($A198,A:AL,16,FALSE)-50</f>
        <v>139</v>
      </c>
      <c r="R198" s="3">
        <f>IF(ISERROR(VLOOKUP($A198,'SegEnds_NonXtal_BW#'!$A:$Z,13,FALSE)+VLOOKUP($A198,A:AL,19,FALSE)-50),"-",VLOOKUP($A198,'SegEnds_NonXtal_BW#'!$A:$Z,13,FALSE)+VLOOKUP($A198,A:AL,19,FALSE)-50)</f>
        <v>140</v>
      </c>
      <c r="S198" s="3">
        <v>140</v>
      </c>
      <c r="T198" s="103">
        <f>IF(ISERROR(VLOOKUP($A198,'SegEnds_NonXtal_BW#'!$A:$Z,14,FALSE)+VLOOKUP($A198,A:AL,19,FALSE)-50),"-",(VLOOKUP($A198,'SegEnds_NonXtal_BW#'!$A:$Z,14,FALSE)+VLOOKUP($A198,A:AL,19,FALSE)-50))</f>
        <v>147</v>
      </c>
      <c r="U198" s="9">
        <f>IF(ISERROR(VLOOKUP($A198,'SegEnds_NonXtal_BW#'!$A:$Z,15,FALSE)+VLOOKUP($A198,A:AL,22,FALSE)-50),"-",VLOOKUP($A198,'SegEnds_NonXtal_BW#'!$A:$Z,15,FALSE)+VLOOKUP($A198,A:AL,22,FALSE)-50)</f>
        <v>148</v>
      </c>
      <c r="V198" s="3">
        <v>160</v>
      </c>
      <c r="W198" s="3">
        <f>IF(ISERROR(VLOOKUP($A198,'SegEnds_NonXtal_BW#'!$A:$Z,16,FALSE)+VLOOKUP($A198,A:AL,22,FALSE)-50),"-",(VLOOKUP($A198,'SegEnds_NonXtal_BW#'!$A:$Z,16,FALSE)+VLOOKUP($A198,A:AL,22,FALSE)-50))</f>
        <v>174</v>
      </c>
      <c r="X198" s="3">
        <f>IF(ISERROR(VLOOKUP($A198,'SegEnds_NonXtal_BW#'!$A:$Z,17,FALSE)+VLOOKUP($A198,A:AL,25,FALSE)-50),"-",(VLOOKUP($A198,'SegEnds_NonXtal_BW#'!$A:$Z,17,FALSE)+VLOOKUP($A198,A:AL,25,FALSE)-50))</f>
        <v>194</v>
      </c>
      <c r="Y198" s="3">
        <v>194</v>
      </c>
      <c r="Z198" s="3">
        <f t="shared" si="119"/>
        <v>196</v>
      </c>
      <c r="AA198" s="3">
        <f>IF(ISERROR(VLOOKUP($A198,'SegEnds_NonXtal_BW#'!$A:$Z,19,FALSE)+VLOOKUP($A198,A:AL,28,FALSE)-50),"-",(VLOOKUP($A198,'SegEnds_NonXtal_BW#'!$A:$Z,19,FALSE)+VLOOKUP($A198,A:AL,28,FALSE)-50))</f>
        <v>200</v>
      </c>
      <c r="AB198" s="3">
        <v>218</v>
      </c>
      <c r="AC198" s="3">
        <f>IF(ISERROR((VLOOKUP($A198,'SegEnds_NonXtal_BW#'!$A:$Z,20,FALSE)+VLOOKUP($A198,A:AL,28,FALSE)-50)),"-",(VLOOKUP($A198,'SegEnds_NonXtal_BW#'!$A:$Z,20,FALSE)+VLOOKUP($A198,A:AL,28,FALSE)-50))</f>
        <v>242</v>
      </c>
      <c r="AD198" s="3">
        <f>IF(ISERROR(VLOOKUP($A198,'SegEnds_NonXtal_BW#'!$A:$Z,21,FALSE)+VLOOKUP($A198,A:AL,31,FALSE)-50),"-",(VLOOKUP($A198,'SegEnds_NonXtal_BW#'!$A:$Z,21,FALSE)+VLOOKUP($A198,A:AL,31,FALSE)-50))</f>
        <v>286</v>
      </c>
      <c r="AE198" s="3">
        <v>312</v>
      </c>
      <c r="AF198" s="3">
        <f>IF(ISERROR((VLOOKUP($A198,'SegEnds_NonXtal_BW#'!$A:$Z,22,FALSE)+VLOOKUP($A198,A:AL,31,FALSE)-50)),"-",(VLOOKUP($A198,'SegEnds_NonXtal_BW#'!$A:$Z,22,FALSE)+VLOOKUP($A198,A:AL,31,FALSE)-50))</f>
        <v>323</v>
      </c>
      <c r="AG198" s="3">
        <f>IF(ISERROR(VLOOKUP($A198,'SegEnds_NonXtal_BW#'!$A:$Z,23,FALSE)+VLOOKUP($A198,A:AL,34,FALSE)-50),"-",(VLOOKUP($A198,'SegEnds_NonXtal_BW#'!$A:$Z,23,FALSE)+VLOOKUP($A198,A:AL,34,FALSE)-50))</f>
        <v>329</v>
      </c>
      <c r="AH198" s="3">
        <v>355</v>
      </c>
      <c r="AI198" s="3">
        <f>IF(ISERROR((VLOOKUP($A198,'SegEnds_NonXtal_BW#'!$A:$Z,24,FALSE)+VLOOKUP($A198,A:AL,34,FALSE)-50)),"-",(VLOOKUP($A198,'SegEnds_NonXtal_BW#'!$A:$Z,24,FALSE)+VLOOKUP($A198,A:AL,34,FALSE)-50))</f>
        <v>361</v>
      </c>
      <c r="AJ198" s="3">
        <f>IF(ISERROR(VLOOKUP($A198,'SegEnds_NonXtal_BW#'!$A:$Z,25,FALSE)+VLOOKUP($A198,A:AL,37,FALSE)-50),"-",(VLOOKUP($A198,'SegEnds_NonXtal_BW#'!$A:$Z,25,FALSE)+VLOOKUP($A198,A:AL,37,FALSE)-50))</f>
        <v>362</v>
      </c>
      <c r="AK198" s="3">
        <v>365</v>
      </c>
      <c r="AL198" s="3">
        <f>IF(ISERROR((VLOOKUP($A198,'SegEnds_NonXtal_BW#'!$A:$Z,26,FALSE)+VLOOKUP($A198,A:AL,37,FALSE)-50)),"-",(VLOOKUP($A198,'SegEnds_NonXtal_BW#'!$A:$Z,26,FALSE)+VLOOKUP($A198,A:AL,37,FALSE)-50))</f>
        <v>373</v>
      </c>
      <c r="AM198" s="28" t="str">
        <f>VLOOKUP(A198,Classification!A:B,2,FALSE)</f>
        <v>A</v>
      </c>
      <c r="AN198" s="28" t="b">
        <f t="shared" ref="AN198:AN261" si="135">AND(IF(Y198="-",IF(AA198-W198&gt;3,TRUE,FALSE),TRUE),IF(M198="-",IF(O198-K198&gt;3,TRUE,FALSE),TRUE),C198&lt;E198,OR(E198&lt;F198,F198="-"),OR(F198&lt;H198,F198="-"),OR(H198&lt;I198,H198="-"),I198&lt;K198,OR(K198&lt;L198,L198="-"),OR(L198&lt;N198,L198="-"),OR(N198&lt;O198,N198="-"),O198&lt;Q198,OR(Q198&lt;R198,R198="-"),OR(R198&lt;T198,R198="-"),OR(T198&lt;U198,T198="-"),U198&lt;W198,OR(W198&lt;X198,X198="-"),OR(X198&lt;Z198,X198="-"),OR(Z198&lt;AA198,Z198="-"),AA198&lt;AC198,AC198&lt;AD198,AD198&lt;AF198,AF198&lt;AG198,AG198&lt;AI198,OR(AI198&lt;AJ198,AJ198="-"),OR(AJ198&lt;AL198,AJ198="-"))</f>
        <v>1</v>
      </c>
      <c r="AO198" s="3" t="str">
        <f>IF(ISERROR(MATCH(A198,'SegEnds_Xtal_Prot#'!B:B, 0)), "NoXtal", "Xtal")</f>
        <v>NoXtal</v>
      </c>
      <c r="AP198" s="3" t="str">
        <f t="shared" si="120"/>
        <v>-</v>
      </c>
      <c r="AQ198" s="3" t="str">
        <f t="shared" si="121"/>
        <v>-</v>
      </c>
      <c r="AR198" s="3">
        <f t="shared" si="122"/>
        <v>3</v>
      </c>
      <c r="AS198" s="3">
        <f t="shared" si="123"/>
        <v>1</v>
      </c>
      <c r="AT198" s="3">
        <f t="shared" si="124"/>
        <v>1</v>
      </c>
      <c r="AU198" s="3">
        <f t="shared" si="125"/>
        <v>1</v>
      </c>
      <c r="AV198" s="3">
        <f t="shared" si="126"/>
        <v>20</v>
      </c>
      <c r="AW198" s="3">
        <f t="shared" si="127"/>
        <v>4</v>
      </c>
      <c r="AX198" s="3">
        <f t="shared" si="128"/>
        <v>44</v>
      </c>
      <c r="AY198" s="3">
        <f t="shared" si="129"/>
        <v>6</v>
      </c>
      <c r="AZ198" s="3">
        <f t="shared" si="130"/>
        <v>1</v>
      </c>
      <c r="BA198" s="3">
        <f>IF(ISERROR(LEN(VLOOKUP(A198,Seqs!A:E,2,FALSE))-AL198),"-",LEN(VLOOKUP(A198,Seqs!A:E,2,FALSE))-AL198)</f>
        <v>37</v>
      </c>
      <c r="BB198" s="16">
        <f t="shared" si="131"/>
        <v>29</v>
      </c>
      <c r="BC198" s="9">
        <f t="shared" si="132"/>
        <v>20</v>
      </c>
      <c r="BD198" s="3">
        <f t="shared" si="133"/>
        <v>29</v>
      </c>
      <c r="BE198" s="3">
        <f t="shared" si="134"/>
        <v>94</v>
      </c>
    </row>
    <row r="199" spans="1:57" s="3" customFormat="1" x14ac:dyDescent="0.2">
      <c r="A199" s="3" t="s">
        <v>331</v>
      </c>
      <c r="B199" s="3" t="str">
        <f>LOWER(VLOOKUP(A199,Xtal_Templ!A:B,2,FALSE))</f>
        <v>agtr1_human</v>
      </c>
      <c r="C199" s="3">
        <f>VLOOKUP($A199,'SegEnds_NonXtal_BW#'!$A:$Z,3,FALSE)+D199-50</f>
        <v>19</v>
      </c>
      <c r="D199" s="3">
        <v>39</v>
      </c>
      <c r="E199" s="3">
        <f>IF(ISERROR(VLOOKUP($A199,'SegEnds_NonXtal_BW#'!$A:$Z,4,FALSE)+VLOOKUP($A199,A:AL,4,FALSE)-50),"-",(VLOOKUP($A199,'SegEnds_NonXtal_BW#'!$A:$Z,4,FALSE)+VLOOKUP($A199,A:AL,4,FALSE)-50))</f>
        <v>49</v>
      </c>
      <c r="F199" s="3">
        <f>IF(ISERROR(VLOOKUP($A199,'SegEnds_NonXtal_BW#'!$A:$Z,5,FALSE)+VLOOKUP($A199,A:AL,7,FALSE)-50),"-",(VLOOKUP($A199,'SegEnds_NonXtal_BW#'!$A:$Z,5,FALSE)+VLOOKUP($A199,A:AL,7,FALSE)-50))</f>
        <v>50</v>
      </c>
      <c r="G199" s="3">
        <v>52</v>
      </c>
      <c r="H199" s="3">
        <f>IF(ISERROR(VLOOKUP($A199,'SegEnds_NonXtal_BW#'!$A:$Z,6,FALSE)+VLOOKUP($A199,A:AL,7,FALSE)-50),"-",(VLOOKUP($A199,'SegEnds_NonXtal_BW#'!$A:$Z,6,FALSE)+VLOOKUP($A199,A:AL,7,FALSE)-50))</f>
        <v>53</v>
      </c>
      <c r="I199" s="3">
        <f>VLOOKUP($A199,'SegEnds_NonXtal_BW#'!$A:$Z,7,FALSE)+J199-50</f>
        <v>54</v>
      </c>
      <c r="J199" s="3">
        <v>67</v>
      </c>
      <c r="K199" s="3">
        <f>VLOOKUP($A199,'SegEnds_NonXtal_BW#'!$A:$Z,8,FALSE)+VLOOKUP($A199,A:AL,10,FALSE)-50</f>
        <v>83</v>
      </c>
      <c r="L199" s="3">
        <f>M199-1</f>
        <v>86</v>
      </c>
      <c r="M199" s="3">
        <v>87</v>
      </c>
      <c r="N199" s="3">
        <f>M199+2</f>
        <v>89</v>
      </c>
      <c r="O199" s="3">
        <f t="shared" si="118"/>
        <v>90</v>
      </c>
      <c r="P199" s="3">
        <v>119</v>
      </c>
      <c r="Q199" s="3">
        <f>VLOOKUP($A199,'SegEnds_NonXtal_BW#'!$A:$Z,12,FALSE)+VLOOKUP($A199,A:AL,16,FALSE)-50</f>
        <v>125</v>
      </c>
      <c r="R199" s="3">
        <f>IF(ISERROR(VLOOKUP($A199,'SegEnds_NonXtal_BW#'!$A:$Z,13,FALSE)+VLOOKUP($A199,A:AL,19,FALSE)-50),"-",VLOOKUP($A199,'SegEnds_NonXtal_BW#'!$A:$Z,13,FALSE)+VLOOKUP($A199,A:AL,19,FALSE)-50)</f>
        <v>126</v>
      </c>
      <c r="S199" s="3">
        <v>126</v>
      </c>
      <c r="T199" s="103">
        <f>IF(ISERROR(VLOOKUP($A199,'SegEnds_NonXtal_BW#'!$A:$Z,14,FALSE)+VLOOKUP($A199,A:AL,19,FALSE)-50),"-",(VLOOKUP($A199,'SegEnds_NonXtal_BW#'!$A:$Z,14,FALSE)+VLOOKUP($A199,A:AL,19,FALSE)-50))</f>
        <v>133</v>
      </c>
      <c r="U199" s="9">
        <f>IF(ISERROR(VLOOKUP($A199,'SegEnds_NonXtal_BW#'!$A:$Z,15,FALSE)+VLOOKUP($A199,A:AL,22,FALSE)-50),"-",VLOOKUP($A199,'SegEnds_NonXtal_BW#'!$A:$Z,15,FALSE)+VLOOKUP($A199,A:AL,22,FALSE)-50)</f>
        <v>134</v>
      </c>
      <c r="V199" s="3">
        <v>146</v>
      </c>
      <c r="W199" s="3">
        <f>IF(ISERROR(VLOOKUP($A199,'SegEnds_NonXtal_BW#'!$A:$Z,16,FALSE)+VLOOKUP($A199,A:AL,22,FALSE)-50),"-",(VLOOKUP($A199,'SegEnds_NonXtal_BW#'!$A:$Z,16,FALSE)+VLOOKUP($A199,A:AL,22,FALSE)-50))</f>
        <v>160</v>
      </c>
      <c r="X199" s="3">
        <f>IF(ISERROR(VLOOKUP($A199,'SegEnds_NonXtal_BW#'!$A:$Z,17,FALSE)+VLOOKUP($A199,A:AL,25,FALSE)-50),"-",(VLOOKUP($A199,'SegEnds_NonXtal_BW#'!$A:$Z,17,FALSE)+VLOOKUP($A199,A:AL,25,FALSE)-50))</f>
        <v>172</v>
      </c>
      <c r="Y199" s="3">
        <v>172</v>
      </c>
      <c r="Z199" s="3">
        <f t="shared" si="119"/>
        <v>174</v>
      </c>
      <c r="AA199" s="3">
        <f>IF(ISERROR(VLOOKUP($A199,'SegEnds_NonXtal_BW#'!$A:$Z,19,FALSE)+VLOOKUP($A199,A:AL,28,FALSE)-50),"-",(VLOOKUP($A199,'SegEnds_NonXtal_BW#'!$A:$Z,19,FALSE)+VLOOKUP($A199,A:AL,28,FALSE)-50))</f>
        <v>181</v>
      </c>
      <c r="AB199" s="3">
        <v>197</v>
      </c>
      <c r="AC199" s="3">
        <f>IF(ISERROR((VLOOKUP($A199,'SegEnds_NonXtal_BW#'!$A:$Z,20,FALSE)+VLOOKUP($A199,A:AL,28,FALSE)-50)),"-",(VLOOKUP($A199,'SegEnds_NonXtal_BW#'!$A:$Z,20,FALSE)+VLOOKUP($A199,A:AL,28,FALSE)-50))</f>
        <v>214</v>
      </c>
      <c r="AD199" s="3">
        <f>IF(ISERROR(VLOOKUP($A199,'SegEnds_NonXtal_BW#'!$A:$Z,21,FALSE)+VLOOKUP($A199,A:AL,31,FALSE)-50),"-",(VLOOKUP($A199,'SegEnds_NonXtal_BW#'!$A:$Z,21,FALSE)+VLOOKUP($A199,A:AL,31,FALSE)-50))</f>
        <v>219</v>
      </c>
      <c r="AE199" s="3">
        <v>243</v>
      </c>
      <c r="AF199" s="3">
        <f>IF(ISERROR((VLOOKUP($A199,'SegEnds_NonXtal_BW#'!$A:$Z,22,FALSE)+VLOOKUP($A199,A:AL,31,FALSE)-50)),"-",(VLOOKUP($A199,'SegEnds_NonXtal_BW#'!$A:$Z,22,FALSE)+VLOOKUP($A199,A:AL,31,FALSE)-50))</f>
        <v>254</v>
      </c>
      <c r="AG199" s="3">
        <f>IF(ISERROR(VLOOKUP($A199,'SegEnds_NonXtal_BW#'!$A:$Z,23,FALSE)+VLOOKUP($A199,A:AL,34,FALSE)-50),"-",(VLOOKUP($A199,'SegEnds_NonXtal_BW#'!$A:$Z,23,FALSE)+VLOOKUP($A199,A:AL,34,FALSE)-50))</f>
        <v>261</v>
      </c>
      <c r="AH199" s="3">
        <v>283</v>
      </c>
      <c r="AI199" s="3">
        <f>IF(ISERROR((VLOOKUP($A199,'SegEnds_NonXtal_BW#'!$A:$Z,24,FALSE)+VLOOKUP($A199,A:AL,34,FALSE)-50)),"-",(VLOOKUP($A199,'SegEnds_NonXtal_BW#'!$A:$Z,24,FALSE)+VLOOKUP($A199,A:AL,34,FALSE)-50))</f>
        <v>289</v>
      </c>
      <c r="AJ199" s="3">
        <f>IF(ISERROR(VLOOKUP($A199,'SegEnds_NonXtal_BW#'!$A:$Z,25,FALSE)+VLOOKUP($A199,A:AL,37,FALSE)-50),"-",(VLOOKUP($A199,'SegEnds_NonXtal_BW#'!$A:$Z,25,FALSE)+VLOOKUP($A199,A:AL,37,FALSE)-50))</f>
        <v>290</v>
      </c>
      <c r="AK199" s="3">
        <v>293</v>
      </c>
      <c r="AL199" s="3">
        <f>IF(ISERROR((VLOOKUP($A199,'SegEnds_NonXtal_BW#'!$A:$Z,26,FALSE)+VLOOKUP($A199,A:AL,37,FALSE)-50)),"-",(VLOOKUP($A199,'SegEnds_NonXtal_BW#'!$A:$Z,26,FALSE)+VLOOKUP($A199,A:AL,37,FALSE)-50))</f>
        <v>304</v>
      </c>
      <c r="AM199" s="28" t="str">
        <f>VLOOKUP(A199,Classification!A:B,2,FALSE)</f>
        <v>A</v>
      </c>
      <c r="AN199" s="28" t="b">
        <f t="shared" si="135"/>
        <v>1</v>
      </c>
      <c r="AO199" s="3" t="str">
        <f>IF(ISERROR(MATCH(A199,'SegEnds_Xtal_Prot#'!B:B, 0)), "NoXtal", "Xtal")</f>
        <v>NoXtal</v>
      </c>
      <c r="AP199" s="3">
        <f t="shared" si="120"/>
        <v>1</v>
      </c>
      <c r="AQ199" s="3">
        <f t="shared" si="121"/>
        <v>1</v>
      </c>
      <c r="AR199" s="3">
        <f t="shared" si="122"/>
        <v>3</v>
      </c>
      <c r="AS199" s="3">
        <f t="shared" si="123"/>
        <v>1</v>
      </c>
      <c r="AT199" s="3">
        <f t="shared" si="124"/>
        <v>1</v>
      </c>
      <c r="AU199" s="3">
        <f t="shared" si="125"/>
        <v>1</v>
      </c>
      <c r="AV199" s="3">
        <f t="shared" si="126"/>
        <v>12</v>
      </c>
      <c r="AW199" s="3">
        <f t="shared" si="127"/>
        <v>7</v>
      </c>
      <c r="AX199" s="3">
        <f t="shared" si="128"/>
        <v>5</v>
      </c>
      <c r="AY199" s="3">
        <f t="shared" si="129"/>
        <v>7</v>
      </c>
      <c r="AZ199" s="3">
        <f t="shared" si="130"/>
        <v>1</v>
      </c>
      <c r="BA199" s="3">
        <f>IF(ISERROR(LEN(VLOOKUP(A199,Seqs!A:E,2,FALSE))-AL199),"-",LEN(VLOOKUP(A199,Seqs!A:E,2,FALSE))-AL199)</f>
        <v>61</v>
      </c>
      <c r="BB199" s="16">
        <f t="shared" si="131"/>
        <v>28</v>
      </c>
      <c r="BC199" s="9">
        <f t="shared" si="132"/>
        <v>20</v>
      </c>
      <c r="BD199" s="3">
        <f t="shared" si="133"/>
        <v>28</v>
      </c>
      <c r="BE199" s="3">
        <f t="shared" si="134"/>
        <v>46</v>
      </c>
    </row>
    <row r="200" spans="1:57" s="3" customFormat="1" x14ac:dyDescent="0.2">
      <c r="A200" s="3" t="s">
        <v>333</v>
      </c>
      <c r="B200" s="3" t="s">
        <v>920</v>
      </c>
      <c r="C200" s="3">
        <f>VLOOKUP($A200,'SegEnds_NonXtal_BW#'!$A:$Z,3,FALSE)+D200-50</f>
        <v>67</v>
      </c>
      <c r="D200" s="3">
        <v>88</v>
      </c>
      <c r="E200" s="3">
        <f>IF(ISERROR(VLOOKUP($A200,'SegEnds_NonXtal_BW#'!$A:$Z,4,FALSE)+VLOOKUP($A200,A:AL,4,FALSE)-50),"-",(VLOOKUP($A200,'SegEnds_NonXtal_BW#'!$A:$Z,4,FALSE)+VLOOKUP($A200,A:AL,4,FALSE)-50))</f>
        <v>98</v>
      </c>
      <c r="F200" s="3">
        <f t="shared" ref="F200:F208" si="136">G200-2</f>
        <v>99</v>
      </c>
      <c r="G200" s="3">
        <v>101</v>
      </c>
      <c r="H200" s="3">
        <f t="shared" ref="H200:I208" si="137">G200+1</f>
        <v>102</v>
      </c>
      <c r="I200" s="3">
        <f t="shared" si="137"/>
        <v>103</v>
      </c>
      <c r="J200" s="3">
        <v>116</v>
      </c>
      <c r="K200" s="3">
        <v>134</v>
      </c>
      <c r="L200" s="3">
        <f>M200-1</f>
        <v>135</v>
      </c>
      <c r="M200" s="3">
        <v>136</v>
      </c>
      <c r="N200" s="3">
        <f>M200+2</f>
        <v>138</v>
      </c>
      <c r="O200" s="3">
        <f t="shared" si="118"/>
        <v>139</v>
      </c>
      <c r="P200" s="3">
        <v>168</v>
      </c>
      <c r="Q200" s="3">
        <f>VLOOKUP($A200,'SegEnds_NonXtal_BW#'!$A:$Z,12,FALSE)+VLOOKUP($A200,A:AL,16,FALSE)-50</f>
        <v>174</v>
      </c>
      <c r="R200" s="3">
        <f>IF(ISERROR(VLOOKUP($A200,'SegEnds_NonXtal_BW#'!$A:$Z,13,FALSE)+VLOOKUP($A200,A:AL,19,FALSE)-50),"-",VLOOKUP($A200,'SegEnds_NonXtal_BW#'!$A:$Z,13,FALSE)+VLOOKUP($A200,A:AL,19,FALSE)-50)</f>
        <v>175</v>
      </c>
      <c r="S200" s="3">
        <v>175</v>
      </c>
      <c r="T200" s="103">
        <f>IF(ISERROR(VLOOKUP($A200,'SegEnds_NonXtal_BW#'!$A:$Z,14,FALSE)+VLOOKUP($A200,A:AL,19,FALSE)-50),"-",(VLOOKUP($A200,'SegEnds_NonXtal_BW#'!$A:$Z,14,FALSE)+VLOOKUP($A200,A:AL,19,FALSE)-50))</f>
        <v>182</v>
      </c>
      <c r="U200" s="9">
        <f>IF(ISERROR(VLOOKUP($A200,'SegEnds_NonXtal_BW#'!$A:$Z,15,FALSE)+VLOOKUP($A200,A:AL,22,FALSE)-50),"-",VLOOKUP($A200,'SegEnds_NonXtal_BW#'!$A:$Z,15,FALSE)+VLOOKUP($A200,A:AL,22,FALSE)-50)</f>
        <v>183</v>
      </c>
      <c r="V200" s="3">
        <v>195</v>
      </c>
      <c r="W200" s="3">
        <f>IF(ISERROR(VLOOKUP($A200,'SegEnds_NonXtal_BW#'!$A:$Z,16,FALSE)+VLOOKUP($A200,A:AL,22,FALSE)-50),"-",(VLOOKUP($A200,'SegEnds_NonXtal_BW#'!$A:$Z,16,FALSE)+VLOOKUP($A200,A:AL,22,FALSE)-50))</f>
        <v>207</v>
      </c>
      <c r="X200" s="3">
        <f>IF(ISERROR(VLOOKUP($A200,'SegEnds_NonXtal_BW#'!$A:$Z,17,FALSE)+VLOOKUP($A200,A:AL,25,FALSE)-50),"-",(VLOOKUP($A200,'SegEnds_NonXtal_BW#'!$A:$Z,17,FALSE)+VLOOKUP($A200,A:AL,25,FALSE)-50))</f>
        <v>221</v>
      </c>
      <c r="Y200" s="3">
        <v>221</v>
      </c>
      <c r="Z200" s="3">
        <f t="shared" si="119"/>
        <v>223</v>
      </c>
      <c r="AA200" s="3">
        <f>IF(ISERROR(VLOOKUP($A200,'SegEnds_NonXtal_BW#'!$A:$Z,19,FALSE)+VLOOKUP($A200,A:AL,28,FALSE)-50),"-",(VLOOKUP($A200,'SegEnds_NonXtal_BW#'!$A:$Z,19,FALSE)+VLOOKUP($A200,A:AL,28,FALSE)-50))</f>
        <v>231</v>
      </c>
      <c r="AB200" s="3">
        <v>247</v>
      </c>
      <c r="AC200" s="3">
        <f>IF(ISERROR((VLOOKUP($A200,'SegEnds_NonXtal_BW#'!$A:$Z,20,FALSE)+VLOOKUP($A200,A:AL,28,FALSE)-50)),"-",(VLOOKUP($A200,'SegEnds_NonXtal_BW#'!$A:$Z,20,FALSE)+VLOOKUP($A200,A:AL,28,FALSE)-50))</f>
        <v>271</v>
      </c>
      <c r="AD200" s="3">
        <f>IF(ISERROR(VLOOKUP($A200,'SegEnds_NonXtal_BW#'!$A:$Z,21,FALSE)+VLOOKUP($A200,A:AL,31,FALSE)-50),"-",(VLOOKUP($A200,'SegEnds_NonXtal_BW#'!$A:$Z,21,FALSE)+VLOOKUP($A200,A:AL,31,FALSE)-50))</f>
        <v>282</v>
      </c>
      <c r="AE200" s="3">
        <v>311</v>
      </c>
      <c r="AF200" s="3">
        <f>IF(ISERROR((VLOOKUP($A200,'SegEnds_NonXtal_BW#'!$A:$Z,22,FALSE)+VLOOKUP($A200,A:AL,31,FALSE)-50)),"-",(VLOOKUP($A200,'SegEnds_NonXtal_BW#'!$A:$Z,22,FALSE)+VLOOKUP($A200,A:AL,31,FALSE)-50))</f>
        <v>322</v>
      </c>
      <c r="AG200" s="3">
        <f>IF(ISERROR(VLOOKUP($A200,'SegEnds_NonXtal_BW#'!$A:$Z,23,FALSE)+VLOOKUP($A200,A:AL,34,FALSE)-50),"-",(VLOOKUP($A200,'SegEnds_NonXtal_BW#'!$A:$Z,23,FALSE)+VLOOKUP($A200,A:AL,34,FALSE)-50))</f>
        <v>328</v>
      </c>
      <c r="AH200" s="3">
        <v>347</v>
      </c>
      <c r="AI200" s="3">
        <f>IF(ISERROR((VLOOKUP($A200,'SegEnds_NonXtal_BW#'!$A:$Z,24,FALSE)+VLOOKUP($A200,A:AL,34,FALSE)-50)),"-",(VLOOKUP($A200,'SegEnds_NonXtal_BW#'!$A:$Z,24,FALSE)+VLOOKUP($A200,A:AL,34,FALSE)-50))</f>
        <v>353</v>
      </c>
      <c r="AJ200" s="3">
        <f>IF(ISERROR(VLOOKUP($A200,'SegEnds_NonXtal_BW#'!$A:$Z,25,FALSE)+VLOOKUP($A200,A:AL,37,FALSE)-50),"-",(VLOOKUP($A200,'SegEnds_NonXtal_BW#'!$A:$Z,25,FALSE)+VLOOKUP($A200,A:AL,37,FALSE)-50))</f>
        <v>354</v>
      </c>
      <c r="AK200" s="3">
        <v>357</v>
      </c>
      <c r="AL200" s="3">
        <f>IF(ISERROR((VLOOKUP($A200,'SegEnds_NonXtal_BW#'!$A:$Z,26,FALSE)+VLOOKUP($A200,A:AL,37,FALSE)-50)),"-",(VLOOKUP($A200,'SegEnds_NonXtal_BW#'!$A:$Z,26,FALSE)+VLOOKUP($A200,A:AL,37,FALSE)-50))</f>
        <v>366</v>
      </c>
      <c r="AM200" s="28" t="str">
        <f>VLOOKUP(A200,Classification!A:B,2,FALSE)</f>
        <v>A</v>
      </c>
      <c r="AN200" s="28" t="b">
        <f t="shared" si="135"/>
        <v>1</v>
      </c>
      <c r="AO200" s="3" t="str">
        <f>IF(ISERROR(MATCH(A200,'SegEnds_Xtal_Prot#'!B:B, 0)), "NoXtal", "Xtal")</f>
        <v>NoXtal</v>
      </c>
      <c r="AP200" s="3">
        <f t="shared" si="120"/>
        <v>1</v>
      </c>
      <c r="AQ200" s="3">
        <f t="shared" si="121"/>
        <v>1</v>
      </c>
      <c r="AR200" s="3">
        <f t="shared" si="122"/>
        <v>1</v>
      </c>
      <c r="AS200" s="3">
        <f t="shared" si="123"/>
        <v>1</v>
      </c>
      <c r="AT200" s="3">
        <f t="shared" si="124"/>
        <v>1</v>
      </c>
      <c r="AU200" s="3">
        <f t="shared" si="125"/>
        <v>1</v>
      </c>
      <c r="AV200" s="3">
        <f t="shared" si="126"/>
        <v>14</v>
      </c>
      <c r="AW200" s="3">
        <f t="shared" si="127"/>
        <v>8</v>
      </c>
      <c r="AX200" s="3">
        <f t="shared" si="128"/>
        <v>11</v>
      </c>
      <c r="AY200" s="3">
        <f t="shared" si="129"/>
        <v>6</v>
      </c>
      <c r="AZ200" s="3">
        <f t="shared" si="130"/>
        <v>1</v>
      </c>
      <c r="BA200" s="3">
        <f>IF(ISERROR(LEN(VLOOKUP(A200,Seqs!A:E,2,FALSE))-AL200),"-",LEN(VLOOKUP(A200,Seqs!A:E,2,FALSE))-AL200)</f>
        <v>112</v>
      </c>
      <c r="BB200" s="16">
        <f t="shared" si="131"/>
        <v>28</v>
      </c>
      <c r="BC200" s="9">
        <f t="shared" si="132"/>
        <v>20</v>
      </c>
      <c r="BD200" s="3">
        <f t="shared" si="133"/>
        <v>28</v>
      </c>
      <c r="BE200" s="3">
        <f t="shared" si="134"/>
        <v>64</v>
      </c>
    </row>
    <row r="201" spans="1:57" s="3" customFormat="1" x14ac:dyDescent="0.2">
      <c r="A201" s="3" t="s">
        <v>335</v>
      </c>
      <c r="B201" s="3" t="str">
        <f>LOWER(VLOOKUP(A201,Xtal_Templ!A:B,2,FALSE))</f>
        <v>oprd_human</v>
      </c>
      <c r="C201" s="3">
        <f>VLOOKUP($A201,'SegEnds_NonXtal_BW#'!$A:$Z,3,FALSE)+D201-50</f>
        <v>39</v>
      </c>
      <c r="D201" s="3">
        <v>67</v>
      </c>
      <c r="E201" s="3">
        <f>IF(ISERROR(VLOOKUP($A201,'SegEnds_NonXtal_BW#'!$A:$Z,4,FALSE)+VLOOKUP($A201,A:AL,4,FALSE)-50),"-",(VLOOKUP($A201,'SegEnds_NonXtal_BW#'!$A:$Z,4,FALSE)+VLOOKUP($A201,A:AL,4,FALSE)-50))</f>
        <v>77</v>
      </c>
      <c r="F201" s="3">
        <f t="shared" si="136"/>
        <v>78</v>
      </c>
      <c r="G201" s="3">
        <v>80</v>
      </c>
      <c r="H201" s="3">
        <f t="shared" si="137"/>
        <v>81</v>
      </c>
      <c r="I201" s="3">
        <f t="shared" si="137"/>
        <v>82</v>
      </c>
      <c r="J201" s="3">
        <v>95</v>
      </c>
      <c r="K201" s="3">
        <f>VLOOKUP($A201,'SegEnds_NonXtal_BW#'!$A:$Z,8,FALSE)+VLOOKUP($A201,A:AL,10,FALSE)-50</f>
        <v>111</v>
      </c>
      <c r="L201" s="3">
        <f>M201-1</f>
        <v>113</v>
      </c>
      <c r="M201" s="3">
        <v>114</v>
      </c>
      <c r="N201" s="3">
        <f>M201+2</f>
        <v>116</v>
      </c>
      <c r="O201" s="3">
        <f t="shared" si="118"/>
        <v>117</v>
      </c>
      <c r="P201" s="3">
        <v>146</v>
      </c>
      <c r="Q201" s="3">
        <f>VLOOKUP($A201,'SegEnds_NonXtal_BW#'!$A:$Z,12,FALSE)+VLOOKUP($A201,A:AL,16,FALSE)-50</f>
        <v>152</v>
      </c>
      <c r="R201" s="3">
        <f>IF(ISERROR(VLOOKUP($A201,'SegEnds_NonXtal_BW#'!$A:$Z,13,FALSE)+VLOOKUP($A201,A:AL,19,FALSE)-50),"-",VLOOKUP($A201,'SegEnds_NonXtal_BW#'!$A:$Z,13,FALSE)+VLOOKUP($A201,A:AL,19,FALSE)-50)</f>
        <v>153</v>
      </c>
      <c r="S201" s="3">
        <v>153</v>
      </c>
      <c r="T201" s="103">
        <f>IF(ISERROR(VLOOKUP($A201,'SegEnds_NonXtal_BW#'!$A:$Z,14,FALSE)+VLOOKUP($A201,A:AL,19,FALSE)-50),"-",(VLOOKUP($A201,'SegEnds_NonXtal_BW#'!$A:$Z,14,FALSE)+VLOOKUP($A201,A:AL,19,FALSE)-50))</f>
        <v>160</v>
      </c>
      <c r="U201" s="9">
        <f>IF(ISERROR(VLOOKUP($A201,'SegEnds_NonXtal_BW#'!$A:$Z,15,FALSE)+VLOOKUP($A201,A:AL,22,FALSE)-50),"-",VLOOKUP($A201,'SegEnds_NonXtal_BW#'!$A:$Z,15,FALSE)+VLOOKUP($A201,A:AL,22,FALSE)-50)</f>
        <v>161</v>
      </c>
      <c r="V201" s="3">
        <v>173</v>
      </c>
      <c r="W201" s="3">
        <f>IF(ISERROR(VLOOKUP($A201,'SegEnds_NonXtal_BW#'!$A:$Z,16,FALSE)+VLOOKUP($A201,A:AL,22,FALSE)-50),"-",(VLOOKUP($A201,'SegEnds_NonXtal_BW#'!$A:$Z,16,FALSE)+VLOOKUP($A201,A:AL,22,FALSE)-50))</f>
        <v>187</v>
      </c>
      <c r="X201" s="3">
        <f>IF(ISERROR(VLOOKUP($A201,'SegEnds_NonXtal_BW#'!$A:$Z,17,FALSE)+VLOOKUP($A201,A:AL,25,FALSE)-50),"-",(VLOOKUP($A201,'SegEnds_NonXtal_BW#'!$A:$Z,17,FALSE)+VLOOKUP($A201,A:AL,25,FALSE)-50))</f>
        <v>198</v>
      </c>
      <c r="Y201" s="3">
        <v>198</v>
      </c>
      <c r="Z201" s="3">
        <f t="shared" si="119"/>
        <v>200</v>
      </c>
      <c r="AA201" s="3">
        <f>IF(ISERROR(VLOOKUP($A201,'SegEnds_NonXtal_BW#'!$A:$Z,19,FALSE)+VLOOKUP($A201,A:AL,28,FALSE)-50),"-",(VLOOKUP($A201,'SegEnds_NonXtal_BW#'!$A:$Z,19,FALSE)+VLOOKUP($A201,A:AL,28,FALSE)-50))</f>
        <v>206</v>
      </c>
      <c r="AB201" s="3">
        <v>225</v>
      </c>
      <c r="AC201" s="3">
        <f>IF(ISERROR((VLOOKUP($A201,'SegEnds_NonXtal_BW#'!$A:$Z,20,FALSE)+VLOOKUP($A201,A:AL,28,FALSE)-50)),"-",(VLOOKUP($A201,'SegEnds_NonXtal_BW#'!$A:$Z,20,FALSE)+VLOOKUP($A201,A:AL,28,FALSE)-50))</f>
        <v>243</v>
      </c>
      <c r="AD201" s="3">
        <f>IF(ISERROR(VLOOKUP($A201,'SegEnds_NonXtal_BW#'!$A:$Z,21,FALSE)+VLOOKUP($A201,A:AL,31,FALSE)-50),"-",(VLOOKUP($A201,'SegEnds_NonXtal_BW#'!$A:$Z,21,FALSE)+VLOOKUP($A201,A:AL,31,FALSE)-50))</f>
        <v>249</v>
      </c>
      <c r="AE201" s="3">
        <v>276</v>
      </c>
      <c r="AF201" s="3">
        <f>IF(ISERROR((VLOOKUP($A201,'SegEnds_NonXtal_BW#'!$A:$Z,22,FALSE)+VLOOKUP($A201,A:AL,31,FALSE)-50)),"-",(VLOOKUP($A201,'SegEnds_NonXtal_BW#'!$A:$Z,22,FALSE)+VLOOKUP($A201,A:AL,31,FALSE)-50))</f>
        <v>287</v>
      </c>
      <c r="AG201" s="3">
        <f>IF(ISERROR(VLOOKUP($A201,'SegEnds_NonXtal_BW#'!$A:$Z,23,FALSE)+VLOOKUP($A201,A:AL,34,FALSE)-50),"-",(VLOOKUP($A201,'SegEnds_NonXtal_BW#'!$A:$Z,23,FALSE)+VLOOKUP($A201,A:AL,34,FALSE)-50))</f>
        <v>293</v>
      </c>
      <c r="AH201" s="3">
        <v>315</v>
      </c>
      <c r="AI201" s="3">
        <f>IF(ISERROR((VLOOKUP($A201,'SegEnds_NonXtal_BW#'!$A:$Z,24,FALSE)+VLOOKUP($A201,A:AL,34,FALSE)-50)),"-",(VLOOKUP($A201,'SegEnds_NonXtal_BW#'!$A:$Z,24,FALSE)+VLOOKUP($A201,A:AL,34,FALSE)-50))</f>
        <v>321</v>
      </c>
      <c r="AJ201" s="3">
        <f>IF(ISERROR(VLOOKUP($A201,'SegEnds_NonXtal_BW#'!$A:$Z,25,FALSE)+VLOOKUP($A201,A:AL,37,FALSE)-50),"-",(VLOOKUP($A201,'SegEnds_NonXtal_BW#'!$A:$Z,25,FALSE)+VLOOKUP($A201,A:AL,37,FALSE)-50))</f>
        <v>322</v>
      </c>
      <c r="AK201" s="3">
        <v>325</v>
      </c>
      <c r="AL201" s="3">
        <f>IF(ISERROR((VLOOKUP($A201,'SegEnds_NonXtal_BW#'!$A:$Z,26,FALSE)+VLOOKUP($A201,A:AL,37,FALSE)-50)),"-",(VLOOKUP($A201,'SegEnds_NonXtal_BW#'!$A:$Z,26,FALSE)+VLOOKUP($A201,A:AL,37,FALSE)-50))</f>
        <v>335</v>
      </c>
      <c r="AM201" s="28" t="str">
        <f>VLOOKUP(A201,Classification!A:B,2,FALSE)</f>
        <v>A</v>
      </c>
      <c r="AN201" s="28" t="b">
        <f t="shared" si="135"/>
        <v>1</v>
      </c>
      <c r="AO201" s="3" t="str">
        <f>IF(ISERROR(MATCH(A201,'SegEnds_Xtal_Prot#'!B:B, 0)), "NoXtal", "Xtal")</f>
        <v>Xtal</v>
      </c>
      <c r="AP201" s="3">
        <f t="shared" si="120"/>
        <v>1</v>
      </c>
      <c r="AQ201" s="3">
        <f t="shared" si="121"/>
        <v>1</v>
      </c>
      <c r="AR201" s="3">
        <f t="shared" si="122"/>
        <v>2</v>
      </c>
      <c r="AS201" s="3">
        <f t="shared" si="123"/>
        <v>1</v>
      </c>
      <c r="AT201" s="3">
        <f t="shared" si="124"/>
        <v>1</v>
      </c>
      <c r="AU201" s="3">
        <f t="shared" si="125"/>
        <v>1</v>
      </c>
      <c r="AV201" s="3">
        <f t="shared" si="126"/>
        <v>11</v>
      </c>
      <c r="AW201" s="3">
        <f t="shared" si="127"/>
        <v>6</v>
      </c>
      <c r="AX201" s="3">
        <f t="shared" si="128"/>
        <v>6</v>
      </c>
      <c r="AY201" s="3">
        <f t="shared" si="129"/>
        <v>6</v>
      </c>
      <c r="AZ201" s="3">
        <f t="shared" si="130"/>
        <v>1</v>
      </c>
      <c r="BA201" s="3">
        <f>IF(ISERROR(LEN(VLOOKUP(A201,Seqs!A:E,2,FALSE))-AL201),"-",LEN(VLOOKUP(A201,Seqs!A:E,2,FALSE))-AL201)</f>
        <v>37</v>
      </c>
      <c r="BB201" s="16">
        <f t="shared" si="131"/>
        <v>28</v>
      </c>
      <c r="BC201" s="9">
        <f t="shared" si="132"/>
        <v>20</v>
      </c>
      <c r="BD201" s="3">
        <f t="shared" si="133"/>
        <v>28</v>
      </c>
      <c r="BE201" s="3">
        <f t="shared" si="134"/>
        <v>51</v>
      </c>
    </row>
    <row r="202" spans="1:57" s="3" customFormat="1" x14ac:dyDescent="0.2">
      <c r="A202" s="3" t="s">
        <v>916</v>
      </c>
      <c r="B202" s="3" t="str">
        <f>LOWER(VLOOKUP(A202,Xtal_Templ!A:B,2,FALSE))</f>
        <v>oprd_human</v>
      </c>
      <c r="C202" s="3">
        <f>VLOOKUP($A202,'SegEnds_NonXtal_BW#'!$A:$Z,3,FALSE)+D202-50</f>
        <v>39</v>
      </c>
      <c r="D202" s="3">
        <v>67</v>
      </c>
      <c r="E202" s="3">
        <f>IF(ISERROR(VLOOKUP($A202,'SegEnds_NonXtal_BW#'!$A:$Z,4,FALSE)+VLOOKUP($A202,A:AL,4,FALSE)-50),"-",(VLOOKUP($A202,'SegEnds_NonXtal_BW#'!$A:$Z,4,FALSE)+VLOOKUP($A202,A:AL,4,FALSE)-50))</f>
        <v>77</v>
      </c>
      <c r="F202" s="3">
        <f t="shared" si="136"/>
        <v>78</v>
      </c>
      <c r="G202" s="3">
        <v>80</v>
      </c>
      <c r="H202" s="3">
        <f t="shared" si="137"/>
        <v>81</v>
      </c>
      <c r="I202" s="3">
        <f t="shared" si="137"/>
        <v>82</v>
      </c>
      <c r="J202" s="3">
        <v>95</v>
      </c>
      <c r="K202" s="3">
        <f>VLOOKUP($A202,'SegEnds_NonXtal_BW#'!$A:$Z,8,FALSE)+VLOOKUP($A202,A:AL,10,FALSE)-50</f>
        <v>111</v>
      </c>
      <c r="L202" s="3">
        <f>IF(ISERROR(VLOOKUP($A202,'SegEnds_NonXtal_BW#'!$A:$Z,9,FALSE)+VLOOKUP($A202,A:AL,13,FALSE)-50),"-",(VLOOKUP($A202,'SegEnds_NonXtal_BW#'!$A:$Z,9,FALSE)+VLOOKUP($A202,A:AL,13,FALSE)-50))</f>
        <v>113</v>
      </c>
      <c r="M202" s="3">
        <v>114</v>
      </c>
      <c r="N202" s="3">
        <f>IF(ISERROR(VLOOKUP($A202,'SegEnds_NonXtal_BW#'!$A:$Z,10,FALSE)+VLOOKUP($A202,A:AL,13,FALSE)-50),"-",(VLOOKUP($A202,'SegEnds_NonXtal_BW#'!$A:$Z,10,FALSE)+VLOOKUP($A202,A:AL,13,FALSE)-50))</f>
        <v>116</v>
      </c>
      <c r="O202" s="3">
        <f t="shared" si="118"/>
        <v>117</v>
      </c>
      <c r="P202" s="3">
        <v>146</v>
      </c>
      <c r="Q202" s="3">
        <f>VLOOKUP($A202,'SegEnds_NonXtal_BW#'!$A:$Z,12,FALSE)+VLOOKUP($A202,A:AL,16,FALSE)-50</f>
        <v>152</v>
      </c>
      <c r="R202" s="3">
        <f>IF(ISERROR(VLOOKUP($A202,'SegEnds_NonXtal_BW#'!$A:$Z,13,FALSE)+VLOOKUP($A202,A:AL,19,FALSE)-50),"-",VLOOKUP($A202,'SegEnds_NonXtal_BW#'!$A:$Z,13,FALSE)+VLOOKUP($A202,A:AL,19,FALSE)-50)</f>
        <v>153</v>
      </c>
      <c r="S202" s="3">
        <v>153</v>
      </c>
      <c r="T202" s="103">
        <f>IF(ISERROR(VLOOKUP($A202,'SegEnds_NonXtal_BW#'!$A:$Z,14,FALSE)+VLOOKUP($A202,A:AL,19,FALSE)-50),"-",(VLOOKUP($A202,'SegEnds_NonXtal_BW#'!$A:$Z,14,FALSE)+VLOOKUP($A202,A:AL,19,FALSE)-50))</f>
        <v>160</v>
      </c>
      <c r="U202" s="9">
        <f>IF(ISERROR(VLOOKUP($A202,'SegEnds_NonXtal_BW#'!$A:$Z,15,FALSE)+VLOOKUP($A202,A:AL,22,FALSE)-50),"-",VLOOKUP($A202,'SegEnds_NonXtal_BW#'!$A:$Z,15,FALSE)+VLOOKUP($A202,A:AL,22,FALSE)-50)</f>
        <v>161</v>
      </c>
      <c r="V202" s="3">
        <v>173</v>
      </c>
      <c r="W202" s="3">
        <f>IF(ISERROR(VLOOKUP($A202,'SegEnds_NonXtal_BW#'!$A:$Z,16,FALSE)+VLOOKUP($A202,A:AL,22,FALSE)-50),"-",(VLOOKUP($A202,'SegEnds_NonXtal_BW#'!$A:$Z,16,FALSE)+VLOOKUP($A202,A:AL,22,FALSE)-50))</f>
        <v>187</v>
      </c>
      <c r="X202" s="3">
        <f>IF(ISERROR(VLOOKUP($A202,'SegEnds_NonXtal_BW#'!$A:$Z,17,FALSE)+VLOOKUP($A202,A:AL,25,FALSE)-50),"-",(VLOOKUP($A202,'SegEnds_NonXtal_BW#'!$A:$Z,17,FALSE)+VLOOKUP($A202,A:AL,25,FALSE)-50))</f>
        <v>198</v>
      </c>
      <c r="Y202" s="3">
        <v>198</v>
      </c>
      <c r="Z202" s="3">
        <f t="shared" si="119"/>
        <v>200</v>
      </c>
      <c r="AA202" s="3">
        <f>IF(ISERROR(VLOOKUP($A202,'SegEnds_NonXtal_BW#'!$A:$Z,19,FALSE)+VLOOKUP($A202,A:AL,28,FALSE)-50),"-",(VLOOKUP($A202,'SegEnds_NonXtal_BW#'!$A:$Z,19,FALSE)+VLOOKUP($A202,A:AL,28,FALSE)-50))</f>
        <v>206</v>
      </c>
      <c r="AB202" s="3">
        <v>225</v>
      </c>
      <c r="AC202" s="3">
        <f>IF(ISERROR((VLOOKUP($A202,'SegEnds_NonXtal_BW#'!$A:$Z,20,FALSE)+VLOOKUP($A202,A:AL,28,FALSE)-50)),"-",(VLOOKUP($A202,'SegEnds_NonXtal_BW#'!$A:$Z,20,FALSE)+VLOOKUP($A202,A:AL,28,FALSE)-50))</f>
        <v>243</v>
      </c>
      <c r="AD202" s="3">
        <f>IF(ISERROR(VLOOKUP($A202,'SegEnds_NonXtal_BW#'!$A:$Z,21,FALSE)+VLOOKUP($A202,A:AL,31,FALSE)-50),"-",(VLOOKUP($A202,'SegEnds_NonXtal_BW#'!$A:$Z,21,FALSE)+VLOOKUP($A202,A:AL,31,FALSE)-50))</f>
        <v>249</v>
      </c>
      <c r="AE202" s="3">
        <v>276</v>
      </c>
      <c r="AF202" s="3">
        <f>IF(ISERROR((VLOOKUP($A202,'SegEnds_NonXtal_BW#'!$A:$Z,22,FALSE)+VLOOKUP($A202,A:AL,31,FALSE)-50)),"-",(VLOOKUP($A202,'SegEnds_NonXtal_BW#'!$A:$Z,22,FALSE)+VLOOKUP($A202,A:AL,31,FALSE)-50))</f>
        <v>287</v>
      </c>
      <c r="AG202" s="3">
        <f>IF(ISERROR(VLOOKUP($A202,'SegEnds_NonXtal_BW#'!$A:$Z,23,FALSE)+VLOOKUP($A202,A:AL,34,FALSE)-50),"-",(VLOOKUP($A202,'SegEnds_NonXtal_BW#'!$A:$Z,23,FALSE)+VLOOKUP($A202,A:AL,34,FALSE)-50))</f>
        <v>293</v>
      </c>
      <c r="AH202" s="3">
        <v>315</v>
      </c>
      <c r="AI202" s="3">
        <f>IF(ISERROR((VLOOKUP($A202,'SegEnds_NonXtal_BW#'!$A:$Z,24,FALSE)+VLOOKUP($A202,A:AL,34,FALSE)-50)),"-",(VLOOKUP($A202,'SegEnds_NonXtal_BW#'!$A:$Z,24,FALSE)+VLOOKUP($A202,A:AL,34,FALSE)-50))</f>
        <v>321</v>
      </c>
      <c r="AJ202" s="3">
        <f>IF(ISERROR(VLOOKUP($A202,'SegEnds_NonXtal_BW#'!$A:$Z,25,FALSE)+VLOOKUP($A202,A:AL,37,FALSE)-50),"-",(VLOOKUP($A202,'SegEnds_NonXtal_BW#'!$A:$Z,25,FALSE)+VLOOKUP($A202,A:AL,37,FALSE)-50))</f>
        <v>322</v>
      </c>
      <c r="AK202" s="3">
        <v>325</v>
      </c>
      <c r="AL202" s="3">
        <f>IF(ISERROR((VLOOKUP($A202,'SegEnds_NonXtal_BW#'!$A:$Z,26,FALSE)+VLOOKUP($A202,A:AL,37,FALSE)-50)),"-",(VLOOKUP($A202,'SegEnds_NonXtal_BW#'!$A:$Z,26,FALSE)+VLOOKUP($A202,A:AL,37,FALSE)-50))</f>
        <v>335</v>
      </c>
      <c r="AM202" s="28" t="str">
        <f>VLOOKUP(A202,Classification!A:B,2,FALSE)</f>
        <v>A</v>
      </c>
      <c r="AN202" s="28" t="b">
        <f t="shared" si="135"/>
        <v>1</v>
      </c>
      <c r="AO202" s="3" t="str">
        <f>IF(ISERROR(MATCH(A202,'SegEnds_Xtal_Prot#'!B:B, 0)), "NoXtal", "Xtal")</f>
        <v>Xtal</v>
      </c>
      <c r="AP202" s="3">
        <f t="shared" si="120"/>
        <v>1</v>
      </c>
      <c r="AQ202" s="3">
        <f t="shared" si="121"/>
        <v>1</v>
      </c>
      <c r="AR202" s="3">
        <f t="shared" si="122"/>
        <v>2</v>
      </c>
      <c r="AS202" s="3">
        <f t="shared" si="123"/>
        <v>1</v>
      </c>
      <c r="AT202" s="3">
        <f t="shared" si="124"/>
        <v>1</v>
      </c>
      <c r="AU202" s="3">
        <f t="shared" si="125"/>
        <v>1</v>
      </c>
      <c r="AV202" s="3">
        <f t="shared" si="126"/>
        <v>11</v>
      </c>
      <c r="AW202" s="3">
        <f t="shared" si="127"/>
        <v>6</v>
      </c>
      <c r="AX202" s="3">
        <f t="shared" si="128"/>
        <v>6</v>
      </c>
      <c r="AY202" s="3">
        <f t="shared" si="129"/>
        <v>6</v>
      </c>
      <c r="AZ202" s="3">
        <f t="shared" si="130"/>
        <v>1</v>
      </c>
      <c r="BA202" s="3">
        <f>IF(ISERROR(LEN(VLOOKUP(A202,Seqs!A:E,2,FALSE))-AL202),"-",LEN(VLOOKUP(A202,Seqs!A:E,2,FALSE))-AL202)</f>
        <v>37</v>
      </c>
      <c r="BB202" s="16">
        <f t="shared" si="131"/>
        <v>28</v>
      </c>
      <c r="BC202" s="9">
        <f t="shared" si="132"/>
        <v>20</v>
      </c>
      <c r="BD202" s="3">
        <f t="shared" si="133"/>
        <v>28</v>
      </c>
      <c r="BE202" s="3">
        <f t="shared" si="134"/>
        <v>51</v>
      </c>
    </row>
    <row r="203" spans="1:57" s="3" customFormat="1" x14ac:dyDescent="0.2">
      <c r="A203" s="3" t="s">
        <v>336</v>
      </c>
      <c r="B203" s="3" t="str">
        <f>LOWER(VLOOKUP(A203,Xtal_Templ!A:B,2,FALSE))</f>
        <v>oprk_human</v>
      </c>
      <c r="C203" s="3">
        <f>VLOOKUP($A203,'SegEnds_NonXtal_BW#'!$A:$Z,3,FALSE)+D203-50</f>
        <v>57</v>
      </c>
      <c r="D203" s="3">
        <v>77</v>
      </c>
      <c r="E203" s="3">
        <f>IF(ISERROR(VLOOKUP($A203,'SegEnds_NonXtal_BW#'!$A:$Z,4,FALSE)+VLOOKUP($A203,A:AL,4,FALSE)-50),"-",(VLOOKUP($A203,'SegEnds_NonXtal_BW#'!$A:$Z,4,FALSE)+VLOOKUP($A203,A:AL,4,FALSE)-50))</f>
        <v>87</v>
      </c>
      <c r="F203" s="3">
        <f t="shared" si="136"/>
        <v>88</v>
      </c>
      <c r="G203" s="3">
        <v>90</v>
      </c>
      <c r="H203" s="3">
        <f t="shared" si="137"/>
        <v>91</v>
      </c>
      <c r="I203" s="3">
        <f t="shared" si="137"/>
        <v>92</v>
      </c>
      <c r="J203" s="3">
        <v>105</v>
      </c>
      <c r="K203" s="3">
        <f>VLOOKUP($A203,'SegEnds_NonXtal_BW#'!$A:$Z,8,FALSE)+VLOOKUP($A203,A:AL,10,FALSE)-50</f>
        <v>121</v>
      </c>
      <c r="L203" s="3">
        <f>M203-1</f>
        <v>123</v>
      </c>
      <c r="M203" s="3">
        <v>124</v>
      </c>
      <c r="N203" s="3">
        <f>M203+2</f>
        <v>126</v>
      </c>
      <c r="O203" s="3">
        <f t="shared" si="118"/>
        <v>127</v>
      </c>
      <c r="P203" s="3">
        <v>156</v>
      </c>
      <c r="Q203" s="3">
        <f>VLOOKUP($A203,'SegEnds_NonXtal_BW#'!$A:$Z,12,FALSE)+VLOOKUP($A203,A:AL,16,FALSE)-50</f>
        <v>162</v>
      </c>
      <c r="R203" s="3">
        <f>IF(ISERROR(VLOOKUP($A203,'SegEnds_NonXtal_BW#'!$A:$Z,13,FALSE)+VLOOKUP($A203,A:AL,19,FALSE)-50),"-",VLOOKUP($A203,'SegEnds_NonXtal_BW#'!$A:$Z,13,FALSE)+VLOOKUP($A203,A:AL,19,FALSE)-50)</f>
        <v>163</v>
      </c>
      <c r="S203" s="3">
        <v>163</v>
      </c>
      <c r="T203" s="103">
        <f>IF(ISERROR(VLOOKUP($A203,'SegEnds_NonXtal_BW#'!$A:$Z,14,FALSE)+VLOOKUP($A203,A:AL,19,FALSE)-50),"-",(VLOOKUP($A203,'SegEnds_NonXtal_BW#'!$A:$Z,14,FALSE)+VLOOKUP($A203,A:AL,19,FALSE)-50))</f>
        <v>170</v>
      </c>
      <c r="U203" s="9">
        <f>IF(ISERROR(VLOOKUP($A203,'SegEnds_NonXtal_BW#'!$A:$Z,15,FALSE)+VLOOKUP($A203,A:AL,22,FALSE)-50),"-",VLOOKUP($A203,'SegEnds_NonXtal_BW#'!$A:$Z,15,FALSE)+VLOOKUP($A203,A:AL,22,FALSE)-50)</f>
        <v>171</v>
      </c>
      <c r="V203" s="3">
        <v>183</v>
      </c>
      <c r="W203" s="3">
        <f>IF(ISERROR(VLOOKUP($A203,'SegEnds_NonXtal_BW#'!$A:$Z,16,FALSE)+VLOOKUP($A203,A:AL,22,FALSE)-50),"-",(VLOOKUP($A203,'SegEnds_NonXtal_BW#'!$A:$Z,16,FALSE)+VLOOKUP($A203,A:AL,22,FALSE)-50))</f>
        <v>197</v>
      </c>
      <c r="X203" s="3">
        <f>IF(ISERROR(VLOOKUP($A203,'SegEnds_NonXtal_BW#'!$A:$Z,17,FALSE)+VLOOKUP($A203,A:AL,25,FALSE)-50),"-",(VLOOKUP($A203,'SegEnds_NonXtal_BW#'!$A:$Z,17,FALSE)+VLOOKUP($A203,A:AL,25,FALSE)-50))</f>
        <v>210</v>
      </c>
      <c r="Y203" s="3">
        <v>210</v>
      </c>
      <c r="Z203" s="3">
        <f t="shared" si="119"/>
        <v>212</v>
      </c>
      <c r="AA203" s="3">
        <f>IF(ISERROR(VLOOKUP($A203,'SegEnds_NonXtal_BW#'!$A:$Z,19,FALSE)+VLOOKUP($A203,A:AL,28,FALSE)-50),"-",(VLOOKUP($A203,'SegEnds_NonXtal_BW#'!$A:$Z,19,FALSE)+VLOOKUP($A203,A:AL,28,FALSE)-50))</f>
        <v>219</v>
      </c>
      <c r="AB203" s="3">
        <v>238</v>
      </c>
      <c r="AC203" s="3">
        <f>IF(ISERROR((VLOOKUP($A203,'SegEnds_NonXtal_BW#'!$A:$Z,20,FALSE)+VLOOKUP($A203,A:AL,28,FALSE)-50)),"-",(VLOOKUP($A203,'SegEnds_NonXtal_BW#'!$A:$Z,20,FALSE)+VLOOKUP($A203,A:AL,28,FALSE)-50))</f>
        <v>256</v>
      </c>
      <c r="AD203" s="3">
        <f>IF(ISERROR(VLOOKUP($A203,'SegEnds_NonXtal_BW#'!$A:$Z,21,FALSE)+VLOOKUP($A203,A:AL,31,FALSE)-50),"-",(VLOOKUP($A203,'SegEnds_NonXtal_BW#'!$A:$Z,21,FALSE)+VLOOKUP($A203,A:AL,31,FALSE)-50))</f>
        <v>262</v>
      </c>
      <c r="AE203" s="3">
        <v>289</v>
      </c>
      <c r="AF203" s="3">
        <f>IF(ISERROR((VLOOKUP($A203,'SegEnds_NonXtal_BW#'!$A:$Z,22,FALSE)+VLOOKUP($A203,A:AL,31,FALSE)-50)),"-",(VLOOKUP($A203,'SegEnds_NonXtal_BW#'!$A:$Z,22,FALSE)+VLOOKUP($A203,A:AL,31,FALSE)-50))</f>
        <v>300</v>
      </c>
      <c r="AG203" s="3">
        <f>IF(ISERROR(VLOOKUP($A203,'SegEnds_NonXtal_BW#'!$A:$Z,23,FALSE)+VLOOKUP($A203,A:AL,34,FALSE)-50),"-",(VLOOKUP($A203,'SegEnds_NonXtal_BW#'!$A:$Z,23,FALSE)+VLOOKUP($A203,A:AL,34,FALSE)-50))</f>
        <v>305</v>
      </c>
      <c r="AH203" s="3">
        <v>327</v>
      </c>
      <c r="AI203" s="3">
        <f>IF(ISERROR((VLOOKUP($A203,'SegEnds_NonXtal_BW#'!$A:$Z,24,FALSE)+VLOOKUP($A203,A:AL,34,FALSE)-50)),"-",(VLOOKUP($A203,'SegEnds_NonXtal_BW#'!$A:$Z,24,FALSE)+VLOOKUP($A203,A:AL,34,FALSE)-50))</f>
        <v>333</v>
      </c>
      <c r="AJ203" s="3">
        <f>IF(ISERROR(VLOOKUP($A203,'SegEnds_NonXtal_BW#'!$A:$Z,25,FALSE)+VLOOKUP($A203,A:AL,37,FALSE)-50),"-",(VLOOKUP($A203,'SegEnds_NonXtal_BW#'!$A:$Z,25,FALSE)+VLOOKUP($A203,A:AL,37,FALSE)-50))</f>
        <v>334</v>
      </c>
      <c r="AK203" s="3">
        <v>337</v>
      </c>
      <c r="AL203" s="3">
        <f>IF(ISERROR((VLOOKUP($A203,'SegEnds_NonXtal_BW#'!$A:$Z,26,FALSE)+VLOOKUP($A203,A:AL,37,FALSE)-50)),"-",(VLOOKUP($A203,'SegEnds_NonXtal_BW#'!$A:$Z,26,FALSE)+VLOOKUP($A203,A:AL,37,FALSE)-50))</f>
        <v>346</v>
      </c>
      <c r="AM203" s="28" t="str">
        <f>VLOOKUP(A203,Classification!A:B,2,FALSE)</f>
        <v>A</v>
      </c>
      <c r="AN203" s="28" t="b">
        <f t="shared" si="135"/>
        <v>1</v>
      </c>
      <c r="AO203" s="3" t="str">
        <f>IF(ISERROR(MATCH(A203,'SegEnds_Xtal_Prot#'!B:B, 0)), "NoXtal", "Xtal")</f>
        <v>Xtal</v>
      </c>
      <c r="AP203" s="3">
        <f t="shared" si="120"/>
        <v>1</v>
      </c>
      <c r="AQ203" s="3">
        <f t="shared" si="121"/>
        <v>1</v>
      </c>
      <c r="AR203" s="3">
        <f t="shared" si="122"/>
        <v>2</v>
      </c>
      <c r="AS203" s="3">
        <f t="shared" si="123"/>
        <v>1</v>
      </c>
      <c r="AT203" s="3">
        <f t="shared" si="124"/>
        <v>1</v>
      </c>
      <c r="AU203" s="3">
        <f t="shared" si="125"/>
        <v>1</v>
      </c>
      <c r="AV203" s="3">
        <f t="shared" si="126"/>
        <v>13</v>
      </c>
      <c r="AW203" s="3">
        <f t="shared" si="127"/>
        <v>7</v>
      </c>
      <c r="AX203" s="3">
        <f t="shared" si="128"/>
        <v>6</v>
      </c>
      <c r="AY203" s="3">
        <f t="shared" si="129"/>
        <v>5</v>
      </c>
      <c r="AZ203" s="3">
        <f t="shared" si="130"/>
        <v>1</v>
      </c>
      <c r="BA203" s="3">
        <f>IF(ISERROR(LEN(VLOOKUP(A203,Seqs!A:E,2,FALSE))-AL203),"-",LEN(VLOOKUP(A203,Seqs!A:E,2,FALSE))-AL203)</f>
        <v>34</v>
      </c>
      <c r="BB203" s="16">
        <f t="shared" si="131"/>
        <v>28</v>
      </c>
      <c r="BC203" s="9">
        <f t="shared" si="132"/>
        <v>20</v>
      </c>
      <c r="BD203" s="3">
        <f t="shared" si="133"/>
        <v>28</v>
      </c>
      <c r="BE203" s="3">
        <f t="shared" si="134"/>
        <v>51</v>
      </c>
    </row>
    <row r="204" spans="1:57" s="3" customFormat="1" x14ac:dyDescent="0.2">
      <c r="A204" s="3" t="s">
        <v>337</v>
      </c>
      <c r="B204" s="3" t="str">
        <f>LOWER(VLOOKUP(A204,Xtal_Templ!A:B,2,FALSE))</f>
        <v>oprm_mouse</v>
      </c>
      <c r="C204" s="3">
        <f>VLOOKUP($A204,'SegEnds_NonXtal_BW#'!$A:$Z,3,FALSE)+D204-50</f>
        <v>67</v>
      </c>
      <c r="D204" s="3">
        <v>88</v>
      </c>
      <c r="E204" s="3">
        <f>IF(ISERROR(VLOOKUP($A204,'SegEnds_NonXtal_BW#'!$A:$Z,4,FALSE)+VLOOKUP($A204,A:AL,4,FALSE)-50),"-",(VLOOKUP($A204,'SegEnds_NonXtal_BW#'!$A:$Z,4,FALSE)+VLOOKUP($A204,A:AL,4,FALSE)-50))</f>
        <v>98</v>
      </c>
      <c r="F204" s="3">
        <f t="shared" si="136"/>
        <v>99</v>
      </c>
      <c r="G204" s="3">
        <v>101</v>
      </c>
      <c r="H204" s="3">
        <f t="shared" si="137"/>
        <v>102</v>
      </c>
      <c r="I204" s="3">
        <f t="shared" si="137"/>
        <v>103</v>
      </c>
      <c r="J204" s="3">
        <v>116</v>
      </c>
      <c r="K204" s="3">
        <f>VLOOKUP($A204,'SegEnds_NonXtal_BW#'!$A:$Z,8,FALSE)+VLOOKUP($A204,A:AL,10,FALSE)-50</f>
        <v>132</v>
      </c>
      <c r="L204" s="3">
        <f>M204-1</f>
        <v>134</v>
      </c>
      <c r="M204" s="3">
        <v>135</v>
      </c>
      <c r="N204" s="3">
        <f>M204+2</f>
        <v>137</v>
      </c>
      <c r="O204" s="3">
        <f t="shared" si="118"/>
        <v>138</v>
      </c>
      <c r="P204" s="3">
        <v>167</v>
      </c>
      <c r="Q204" s="3">
        <f>VLOOKUP($A204,'SegEnds_NonXtal_BW#'!$A:$Z,12,FALSE)+VLOOKUP($A204,A:AL,16,FALSE)-50</f>
        <v>173</v>
      </c>
      <c r="R204" s="3">
        <f>IF(ISERROR(VLOOKUP($A204,'SegEnds_NonXtal_BW#'!$A:$Z,13,FALSE)+VLOOKUP($A204,A:AL,19,FALSE)-50),"-",VLOOKUP($A204,'SegEnds_NonXtal_BW#'!$A:$Z,13,FALSE)+VLOOKUP($A204,A:AL,19,FALSE)-50)</f>
        <v>174</v>
      </c>
      <c r="S204" s="3">
        <v>174</v>
      </c>
      <c r="T204" s="103">
        <f>IF(ISERROR(VLOOKUP($A204,'SegEnds_NonXtal_BW#'!$A:$Z,14,FALSE)+VLOOKUP($A204,A:AL,19,FALSE)-50),"-",(VLOOKUP($A204,'SegEnds_NonXtal_BW#'!$A:$Z,14,FALSE)+VLOOKUP($A204,A:AL,19,FALSE)-50))</f>
        <v>181</v>
      </c>
      <c r="U204" s="9">
        <f>IF(ISERROR(VLOOKUP($A204,'SegEnds_NonXtal_BW#'!$A:$Z,15,FALSE)+VLOOKUP($A204,A:AL,22,FALSE)-50),"-",VLOOKUP($A204,'SegEnds_NonXtal_BW#'!$A:$Z,15,FALSE)+VLOOKUP($A204,A:AL,22,FALSE)-50)</f>
        <v>182</v>
      </c>
      <c r="V204" s="3">
        <v>194</v>
      </c>
      <c r="W204" s="3">
        <f>IF(ISERROR(VLOOKUP($A204,'SegEnds_NonXtal_BW#'!$A:$Z,16,FALSE)+VLOOKUP($A204,A:AL,22,FALSE)-50),"-",(VLOOKUP($A204,'SegEnds_NonXtal_BW#'!$A:$Z,16,FALSE)+VLOOKUP($A204,A:AL,22,FALSE)-50))</f>
        <v>208</v>
      </c>
      <c r="X204" s="3">
        <f>IF(ISERROR(VLOOKUP($A204,'SegEnds_NonXtal_BW#'!$A:$Z,17,FALSE)+VLOOKUP($A204,A:AL,25,FALSE)-50),"-",(VLOOKUP($A204,'SegEnds_NonXtal_BW#'!$A:$Z,17,FALSE)+VLOOKUP($A204,A:AL,25,FALSE)-50))</f>
        <v>219</v>
      </c>
      <c r="Y204" s="3">
        <v>219</v>
      </c>
      <c r="Z204" s="3">
        <f t="shared" si="119"/>
        <v>221</v>
      </c>
      <c r="AA204" s="3">
        <f>IF(ISERROR(VLOOKUP($A204,'SegEnds_NonXtal_BW#'!$A:$Z,19,FALSE)+VLOOKUP($A204,A:AL,28,FALSE)-50),"-",(VLOOKUP($A204,'SegEnds_NonXtal_BW#'!$A:$Z,19,FALSE)+VLOOKUP($A204,A:AL,28,FALSE)-50))</f>
        <v>227</v>
      </c>
      <c r="AB204" s="3">
        <v>246</v>
      </c>
      <c r="AC204" s="3">
        <f>IF(ISERROR((VLOOKUP($A204,'SegEnds_NonXtal_BW#'!$A:$Z,20,FALSE)+VLOOKUP($A204,A:AL,28,FALSE)-50)),"-",(VLOOKUP($A204,'SegEnds_NonXtal_BW#'!$A:$Z,20,FALSE)+VLOOKUP($A204,A:AL,28,FALSE)-50))</f>
        <v>264</v>
      </c>
      <c r="AD204" s="3">
        <f>IF(ISERROR(VLOOKUP($A204,'SegEnds_NonXtal_BW#'!$A:$Z,21,FALSE)+VLOOKUP($A204,A:AL,31,FALSE)-50),"-",(VLOOKUP($A204,'SegEnds_NonXtal_BW#'!$A:$Z,21,FALSE)+VLOOKUP($A204,A:AL,31,FALSE)-50))</f>
        <v>270</v>
      </c>
      <c r="AE204" s="3">
        <v>297</v>
      </c>
      <c r="AF204" s="3">
        <f>IF(ISERROR((VLOOKUP($A204,'SegEnds_NonXtal_BW#'!$A:$Z,22,FALSE)+VLOOKUP($A204,A:AL,31,FALSE)-50)),"-",(VLOOKUP($A204,'SegEnds_NonXtal_BW#'!$A:$Z,22,FALSE)+VLOOKUP($A204,A:AL,31,FALSE)-50))</f>
        <v>308</v>
      </c>
      <c r="AG204" s="3">
        <f>IF(ISERROR(VLOOKUP($A204,'SegEnds_NonXtal_BW#'!$A:$Z,23,FALSE)+VLOOKUP($A204,A:AL,34,FALSE)-50),"-",(VLOOKUP($A204,'SegEnds_NonXtal_BW#'!$A:$Z,23,FALSE)+VLOOKUP($A204,A:AL,34,FALSE)-50))</f>
        <v>313</v>
      </c>
      <c r="AH204" s="3">
        <v>335</v>
      </c>
      <c r="AI204" s="3">
        <f>IF(ISERROR((VLOOKUP($A204,'SegEnds_NonXtal_BW#'!$A:$Z,24,FALSE)+VLOOKUP($A204,A:AL,34,FALSE)-50)),"-",(VLOOKUP($A204,'SegEnds_NonXtal_BW#'!$A:$Z,24,FALSE)+VLOOKUP($A204,A:AL,34,FALSE)-50))</f>
        <v>341</v>
      </c>
      <c r="AJ204" s="3">
        <f>IF(ISERROR(VLOOKUP($A204,'SegEnds_NonXtal_BW#'!$A:$Z,25,FALSE)+VLOOKUP($A204,A:AL,37,FALSE)-50),"-",(VLOOKUP($A204,'SegEnds_NonXtal_BW#'!$A:$Z,25,FALSE)+VLOOKUP($A204,A:AL,37,FALSE)-50))</f>
        <v>342</v>
      </c>
      <c r="AK204" s="3">
        <v>345</v>
      </c>
      <c r="AL204" s="3">
        <f>IF(ISERROR((VLOOKUP($A204,'SegEnds_NonXtal_BW#'!$A:$Z,26,FALSE)+VLOOKUP($A204,A:AL,37,FALSE)-50)),"-",(VLOOKUP($A204,'SegEnds_NonXtal_BW#'!$A:$Z,26,FALSE)+VLOOKUP($A204,A:AL,37,FALSE)-50))</f>
        <v>354</v>
      </c>
      <c r="AM204" s="28" t="str">
        <f>VLOOKUP(A204,Classification!A:B,2,FALSE)</f>
        <v>A</v>
      </c>
      <c r="AN204" s="28" t="b">
        <f t="shared" si="135"/>
        <v>1</v>
      </c>
      <c r="AO204" s="3" t="str">
        <f>IF(ISERROR(MATCH(A204,'SegEnds_Xtal_Prot#'!B:B, 0)), "NoXtal", "Xtal")</f>
        <v>NoXtal</v>
      </c>
      <c r="AP204" s="3">
        <f t="shared" si="120"/>
        <v>1</v>
      </c>
      <c r="AQ204" s="3">
        <f t="shared" si="121"/>
        <v>1</v>
      </c>
      <c r="AR204" s="3">
        <f t="shared" si="122"/>
        <v>2</v>
      </c>
      <c r="AS204" s="3">
        <f t="shared" si="123"/>
        <v>1</v>
      </c>
      <c r="AT204" s="3">
        <f t="shared" si="124"/>
        <v>1</v>
      </c>
      <c r="AU204" s="3">
        <f t="shared" si="125"/>
        <v>1</v>
      </c>
      <c r="AV204" s="3">
        <f t="shared" si="126"/>
        <v>11</v>
      </c>
      <c r="AW204" s="3">
        <f t="shared" si="127"/>
        <v>6</v>
      </c>
      <c r="AX204" s="3">
        <f t="shared" si="128"/>
        <v>6</v>
      </c>
      <c r="AY204" s="3">
        <f t="shared" si="129"/>
        <v>5</v>
      </c>
      <c r="AZ204" s="3">
        <f t="shared" si="130"/>
        <v>1</v>
      </c>
      <c r="BA204" s="3">
        <f>IF(ISERROR(LEN(VLOOKUP(A204,Seqs!A:E,2,FALSE))-AL204),"-",LEN(VLOOKUP(A204,Seqs!A:E,2,FALSE))-AL204)</f>
        <v>46</v>
      </c>
      <c r="BB204" s="16">
        <f t="shared" si="131"/>
        <v>28</v>
      </c>
      <c r="BC204" s="9">
        <f t="shared" si="132"/>
        <v>20</v>
      </c>
      <c r="BD204" s="3">
        <f t="shared" si="133"/>
        <v>28</v>
      </c>
      <c r="BE204" s="3">
        <f t="shared" si="134"/>
        <v>51</v>
      </c>
    </row>
    <row r="205" spans="1:57" s="3" customFormat="1" x14ac:dyDescent="0.2">
      <c r="A205" s="3" t="s">
        <v>918</v>
      </c>
      <c r="B205" s="3" t="str">
        <f>LOWER(VLOOKUP(A205,Xtal_Templ!A:B,2,FALSE))</f>
        <v>oprm_mouse</v>
      </c>
      <c r="C205" s="3">
        <f>VLOOKUP($A205,'SegEnds_NonXtal_BW#'!$A:$Z,3,FALSE)+D205-50</f>
        <v>65</v>
      </c>
      <c r="D205" s="3">
        <v>86</v>
      </c>
      <c r="E205" s="3">
        <f>IF(ISERROR(VLOOKUP($A205,'SegEnds_NonXtal_BW#'!$A:$Z,4,FALSE)+VLOOKUP($A205,A:AL,4,FALSE)-50),"-",(VLOOKUP($A205,'SegEnds_NonXtal_BW#'!$A:$Z,4,FALSE)+VLOOKUP($A205,A:AL,4,FALSE)-50))</f>
        <v>96</v>
      </c>
      <c r="F205" s="3">
        <f t="shared" si="136"/>
        <v>97</v>
      </c>
      <c r="G205" s="3">
        <v>99</v>
      </c>
      <c r="H205" s="3">
        <f t="shared" si="137"/>
        <v>100</v>
      </c>
      <c r="I205" s="3">
        <f t="shared" si="137"/>
        <v>101</v>
      </c>
      <c r="J205" s="3">
        <v>114</v>
      </c>
      <c r="K205" s="3">
        <f>VLOOKUP($A205,'SegEnds_NonXtal_BW#'!$A:$Z,8,FALSE)+VLOOKUP($A205,A:AL,10,FALSE)-50</f>
        <v>130</v>
      </c>
      <c r="L205" s="3">
        <f>IF(ISERROR(VLOOKUP($A205,'SegEnds_NonXtal_BW#'!$A:$Z,9,FALSE)+VLOOKUP($A205,A:AL,13,FALSE)-50),"-",(VLOOKUP($A205,'SegEnds_NonXtal_BW#'!$A:$Z,9,FALSE)+VLOOKUP($A205,A:AL,13,FALSE)-50))</f>
        <v>132</v>
      </c>
      <c r="M205" s="3">
        <v>133</v>
      </c>
      <c r="N205" s="3">
        <f>IF(ISERROR(VLOOKUP($A205,'SegEnds_NonXtal_BW#'!$A:$Z,10,FALSE)+VLOOKUP($A205,A:AL,13,FALSE)-50),"-",(VLOOKUP($A205,'SegEnds_NonXtal_BW#'!$A:$Z,10,FALSE)+VLOOKUP($A205,A:AL,13,FALSE)-50))</f>
        <v>135</v>
      </c>
      <c r="O205" s="3">
        <f t="shared" si="118"/>
        <v>136</v>
      </c>
      <c r="P205" s="3">
        <v>165</v>
      </c>
      <c r="Q205" s="3">
        <f>VLOOKUP($A205,'SegEnds_NonXtal_BW#'!$A:$Z,12,FALSE)+VLOOKUP($A205,A:AL,16,FALSE)-50</f>
        <v>171</v>
      </c>
      <c r="R205" s="3">
        <f>IF(ISERROR(VLOOKUP($A205,'SegEnds_NonXtal_BW#'!$A:$Z,13,FALSE)+VLOOKUP($A205,A:AL,19,FALSE)-50),"-",VLOOKUP($A205,'SegEnds_NonXtal_BW#'!$A:$Z,13,FALSE)+VLOOKUP($A205,A:AL,19,FALSE)-50)</f>
        <v>172</v>
      </c>
      <c r="S205" s="3">
        <v>172</v>
      </c>
      <c r="T205" s="103">
        <f>IF(ISERROR(VLOOKUP($A205,'SegEnds_NonXtal_BW#'!$A:$Z,14,FALSE)+VLOOKUP($A205,A:AL,19,FALSE)-50),"-",(VLOOKUP($A205,'SegEnds_NonXtal_BW#'!$A:$Z,14,FALSE)+VLOOKUP($A205,A:AL,19,FALSE)-50))</f>
        <v>179</v>
      </c>
      <c r="U205" s="9">
        <f>IF(ISERROR(VLOOKUP($A205,'SegEnds_NonXtal_BW#'!$A:$Z,15,FALSE)+VLOOKUP($A205,A:AL,22,FALSE)-50),"-",VLOOKUP($A205,'SegEnds_NonXtal_BW#'!$A:$Z,15,FALSE)+VLOOKUP($A205,A:AL,22,FALSE)-50)</f>
        <v>180</v>
      </c>
      <c r="V205" s="3">
        <v>192</v>
      </c>
      <c r="W205" s="3">
        <f>IF(ISERROR(VLOOKUP($A205,'SegEnds_NonXtal_BW#'!$A:$Z,16,FALSE)+VLOOKUP($A205,A:AL,22,FALSE)-50),"-",(VLOOKUP($A205,'SegEnds_NonXtal_BW#'!$A:$Z,16,FALSE)+VLOOKUP($A205,A:AL,22,FALSE)-50))</f>
        <v>206</v>
      </c>
      <c r="X205" s="3">
        <f>IF(ISERROR(VLOOKUP($A205,'SegEnds_NonXtal_BW#'!$A:$Z,17,FALSE)+VLOOKUP($A205,A:AL,25,FALSE)-50),"-",(VLOOKUP($A205,'SegEnds_NonXtal_BW#'!$A:$Z,17,FALSE)+VLOOKUP($A205,A:AL,25,FALSE)-50))</f>
        <v>217</v>
      </c>
      <c r="Y205" s="3">
        <v>217</v>
      </c>
      <c r="Z205" s="3">
        <f t="shared" si="119"/>
        <v>219</v>
      </c>
      <c r="AA205" s="3">
        <f>IF(ISERROR(VLOOKUP($A205,'SegEnds_NonXtal_BW#'!$A:$Z,19,FALSE)+VLOOKUP($A205,A:AL,28,FALSE)-50),"-",(VLOOKUP($A205,'SegEnds_NonXtal_BW#'!$A:$Z,19,FALSE)+VLOOKUP($A205,A:AL,28,FALSE)-50))</f>
        <v>225</v>
      </c>
      <c r="AB205" s="3">
        <v>244</v>
      </c>
      <c r="AC205" s="3">
        <f>IF(ISERROR((VLOOKUP($A205,'SegEnds_NonXtal_BW#'!$A:$Z,20,FALSE)+VLOOKUP($A205,A:AL,28,FALSE)-50)),"-",(VLOOKUP($A205,'SegEnds_NonXtal_BW#'!$A:$Z,20,FALSE)+VLOOKUP($A205,A:AL,28,FALSE)-50))</f>
        <v>262</v>
      </c>
      <c r="AD205" s="3">
        <f>IF(ISERROR(VLOOKUP($A205,'SegEnds_NonXtal_BW#'!$A:$Z,21,FALSE)+VLOOKUP($A205,A:AL,31,FALSE)-50),"-",(VLOOKUP($A205,'SegEnds_NonXtal_BW#'!$A:$Z,21,FALSE)+VLOOKUP($A205,A:AL,31,FALSE)-50))</f>
        <v>268</v>
      </c>
      <c r="AE205" s="3">
        <v>295</v>
      </c>
      <c r="AF205" s="3">
        <f>IF(ISERROR((VLOOKUP($A205,'SegEnds_NonXtal_BW#'!$A:$Z,22,FALSE)+VLOOKUP($A205,A:AL,31,FALSE)-50)),"-",(VLOOKUP($A205,'SegEnds_NonXtal_BW#'!$A:$Z,22,FALSE)+VLOOKUP($A205,A:AL,31,FALSE)-50))</f>
        <v>306</v>
      </c>
      <c r="AG205" s="3">
        <f>IF(ISERROR(VLOOKUP($A205,'SegEnds_NonXtal_BW#'!$A:$Z,23,FALSE)+VLOOKUP($A205,A:AL,34,FALSE)-50),"-",(VLOOKUP($A205,'SegEnds_NonXtal_BW#'!$A:$Z,23,FALSE)+VLOOKUP($A205,A:AL,34,FALSE)-50))</f>
        <v>311</v>
      </c>
      <c r="AH205" s="3">
        <v>333</v>
      </c>
      <c r="AI205" s="3">
        <f>IF(ISERROR((VLOOKUP($A205,'SegEnds_NonXtal_BW#'!$A:$Z,24,FALSE)+VLOOKUP($A205,A:AL,34,FALSE)-50)),"-",(VLOOKUP($A205,'SegEnds_NonXtal_BW#'!$A:$Z,24,FALSE)+VLOOKUP($A205,A:AL,34,FALSE)-50))</f>
        <v>339</v>
      </c>
      <c r="AJ205" s="3">
        <f>IF(ISERROR(VLOOKUP($A205,'SegEnds_NonXtal_BW#'!$A:$Z,25,FALSE)+VLOOKUP($A205,A:AL,37,FALSE)-50),"-",(VLOOKUP($A205,'SegEnds_NonXtal_BW#'!$A:$Z,25,FALSE)+VLOOKUP($A205,A:AL,37,FALSE)-50))</f>
        <v>340</v>
      </c>
      <c r="AK205" s="3">
        <v>343</v>
      </c>
      <c r="AL205" s="3">
        <f>IF(ISERROR((VLOOKUP($A205,'SegEnds_NonXtal_BW#'!$A:$Z,26,FALSE)+VLOOKUP($A205,A:AL,37,FALSE)-50)),"-",(VLOOKUP($A205,'SegEnds_NonXtal_BW#'!$A:$Z,26,FALSE)+VLOOKUP($A205,A:AL,37,FALSE)-50))</f>
        <v>352</v>
      </c>
      <c r="AM205" s="28" t="str">
        <f>VLOOKUP(A205,Classification!A:B,2,FALSE)</f>
        <v>A</v>
      </c>
      <c r="AN205" s="28" t="b">
        <f t="shared" si="135"/>
        <v>1</v>
      </c>
      <c r="AO205" s="3" t="str">
        <f>IF(ISERROR(MATCH(A205,'SegEnds_Xtal_Prot#'!B:B, 0)), "NoXtal", "Xtal")</f>
        <v>Xtal</v>
      </c>
      <c r="AP205" s="3">
        <f t="shared" si="120"/>
        <v>1</v>
      </c>
      <c r="AQ205" s="3">
        <f t="shared" si="121"/>
        <v>1</v>
      </c>
      <c r="AR205" s="3">
        <f t="shared" si="122"/>
        <v>2</v>
      </c>
      <c r="AS205" s="3">
        <f t="shared" si="123"/>
        <v>1</v>
      </c>
      <c r="AT205" s="3">
        <f t="shared" si="124"/>
        <v>1</v>
      </c>
      <c r="AU205" s="3">
        <f t="shared" si="125"/>
        <v>1</v>
      </c>
      <c r="AV205" s="3">
        <f t="shared" si="126"/>
        <v>11</v>
      </c>
      <c r="AW205" s="3">
        <f t="shared" si="127"/>
        <v>6</v>
      </c>
      <c r="AX205" s="3">
        <f t="shared" si="128"/>
        <v>6</v>
      </c>
      <c r="AY205" s="3">
        <f t="shared" si="129"/>
        <v>5</v>
      </c>
      <c r="AZ205" s="3">
        <f t="shared" si="130"/>
        <v>1</v>
      </c>
      <c r="BA205" s="3">
        <f>IF(ISERROR(LEN(VLOOKUP(A205,Seqs!A:E,2,FALSE))-AL205),"-",LEN(VLOOKUP(A205,Seqs!A:E,2,FALSE))-AL205)</f>
        <v>46</v>
      </c>
      <c r="BB205" s="16">
        <f t="shared" si="131"/>
        <v>28</v>
      </c>
      <c r="BC205" s="9">
        <f t="shared" si="132"/>
        <v>20</v>
      </c>
      <c r="BD205" s="3">
        <f t="shared" si="133"/>
        <v>28</v>
      </c>
      <c r="BE205" s="3">
        <f t="shared" si="134"/>
        <v>51</v>
      </c>
    </row>
    <row r="206" spans="1:57" s="3" customFormat="1" x14ac:dyDescent="0.2">
      <c r="A206" s="3" t="s">
        <v>1174</v>
      </c>
      <c r="B206" s="3" t="str">
        <f>LOWER(VLOOKUP(A206,Xtal_Templ!A:B,2,FALSE))</f>
        <v>oprx_human</v>
      </c>
      <c r="C206" s="3">
        <f>VLOOKUP($A206,'SegEnds_NonXtal_BW#'!$A:$Z,3,FALSE)+D206-50</f>
        <v>48</v>
      </c>
      <c r="D206" s="3">
        <v>69</v>
      </c>
      <c r="E206" s="3">
        <f>IF(ISERROR(VLOOKUP($A206,'SegEnds_NonXtal_BW#'!$A:$Z,4,FALSE)+VLOOKUP($A206,A:AL,4,FALSE)-50),"-",(VLOOKUP($A206,'SegEnds_NonXtal_BW#'!$A:$Z,4,FALSE)+VLOOKUP($A206,A:AL,4,FALSE)-50))</f>
        <v>79</v>
      </c>
      <c r="F206" s="3">
        <f t="shared" si="136"/>
        <v>80</v>
      </c>
      <c r="G206" s="3">
        <v>82</v>
      </c>
      <c r="H206" s="3">
        <f t="shared" si="137"/>
        <v>83</v>
      </c>
      <c r="I206" s="3">
        <f t="shared" si="137"/>
        <v>84</v>
      </c>
      <c r="J206" s="3">
        <v>97</v>
      </c>
      <c r="K206" s="3">
        <f>VLOOKUP($A206,'SegEnds_NonXtal_BW#'!$A:$Z,8,FALSE)+VLOOKUP($A206,A:AL,10,FALSE)-50</f>
        <v>113</v>
      </c>
      <c r="L206" s="3">
        <f>M206-1</f>
        <v>115</v>
      </c>
      <c r="M206" s="3">
        <v>116</v>
      </c>
      <c r="N206" s="3">
        <f>M206+2</f>
        <v>118</v>
      </c>
      <c r="O206" s="3">
        <f t="shared" si="118"/>
        <v>119</v>
      </c>
      <c r="P206" s="3">
        <v>148</v>
      </c>
      <c r="Q206" s="3">
        <f>VLOOKUP($A206,'SegEnds_NonXtal_BW#'!$A:$Z,12,FALSE)+VLOOKUP($A206,A:AL,16,FALSE)-50</f>
        <v>154</v>
      </c>
      <c r="R206" s="3">
        <f>IF(ISERROR(VLOOKUP($A206,'SegEnds_NonXtal_BW#'!$A:$Z,13,FALSE)+VLOOKUP($A206,A:AL,19,FALSE)-50),"-",VLOOKUP($A206,'SegEnds_NonXtal_BW#'!$A:$Z,13,FALSE)+VLOOKUP($A206,A:AL,19,FALSE)-50)</f>
        <v>155</v>
      </c>
      <c r="S206" s="3">
        <v>155</v>
      </c>
      <c r="T206" s="103">
        <f>IF(ISERROR(VLOOKUP($A206,'SegEnds_NonXtal_BW#'!$A:$Z,14,FALSE)+VLOOKUP($A206,A:AL,19,FALSE)-50),"-",(VLOOKUP($A206,'SegEnds_NonXtal_BW#'!$A:$Z,14,FALSE)+VLOOKUP($A206,A:AL,19,FALSE)-50))</f>
        <v>162</v>
      </c>
      <c r="U206" s="9">
        <f>IF(ISERROR(VLOOKUP($A206,'SegEnds_NonXtal_BW#'!$A:$Z,15,FALSE)+VLOOKUP($A206,A:AL,22,FALSE)-50),"-",VLOOKUP($A206,'SegEnds_NonXtal_BW#'!$A:$Z,15,FALSE)+VLOOKUP($A206,A:AL,22,FALSE)-50)</f>
        <v>163</v>
      </c>
      <c r="V206" s="3">
        <v>175</v>
      </c>
      <c r="W206" s="3">
        <f>IF(ISERROR(VLOOKUP($A206,'SegEnds_NonXtal_BW#'!$A:$Z,16,FALSE)+VLOOKUP($A206,A:AL,22,FALSE)-50),"-",(VLOOKUP($A206,'SegEnds_NonXtal_BW#'!$A:$Z,16,FALSE)+VLOOKUP($A206,A:AL,22,FALSE)-50))</f>
        <v>189</v>
      </c>
      <c r="X206" s="3">
        <f>IF(ISERROR(VLOOKUP($A206,'SegEnds_NonXtal_BW#'!$A:$Z,17,FALSE)+VLOOKUP($A206,A:AL,25,FALSE)-50),"-",(VLOOKUP($A206,'SegEnds_NonXtal_BW#'!$A:$Z,17,FALSE)+VLOOKUP($A206,A:AL,25,FALSE)-50))</f>
        <v>200</v>
      </c>
      <c r="Y206" s="3">
        <v>200</v>
      </c>
      <c r="Z206" s="3">
        <f t="shared" si="119"/>
        <v>202</v>
      </c>
      <c r="AA206" s="3">
        <f>IF(ISERROR(VLOOKUP($A206,'SegEnds_NonXtal_BW#'!$A:$Z,19,FALSE)+VLOOKUP($A206,A:AL,28,FALSE)-50),"-",(VLOOKUP($A206,'SegEnds_NonXtal_BW#'!$A:$Z,19,FALSE)+VLOOKUP($A206,A:AL,28,FALSE)-50))</f>
        <v>208</v>
      </c>
      <c r="AB206" s="3">
        <v>227</v>
      </c>
      <c r="AC206" s="3">
        <f>IF(ISERROR((VLOOKUP($A206,'SegEnds_NonXtal_BW#'!$A:$Z,20,FALSE)+VLOOKUP($A206,A:AL,28,FALSE)-50)),"-",(VLOOKUP($A206,'SegEnds_NonXtal_BW#'!$A:$Z,20,FALSE)+VLOOKUP($A206,A:AL,28,FALSE)-50))</f>
        <v>245</v>
      </c>
      <c r="AD206" s="3">
        <f>IF(ISERROR(VLOOKUP($A206,'SegEnds_NonXtal_BW#'!$A:$Z,21,FALSE)+VLOOKUP($A206,A:AL,31,FALSE)-50),"-",(VLOOKUP($A206,'SegEnds_NonXtal_BW#'!$A:$Z,21,FALSE)+VLOOKUP($A206,A:AL,31,FALSE)-50))</f>
        <v>251</v>
      </c>
      <c r="AE206" s="3">
        <v>278</v>
      </c>
      <c r="AF206" s="3">
        <f>IF(ISERROR((VLOOKUP($A206,'SegEnds_NonXtal_BW#'!$A:$Z,22,FALSE)+VLOOKUP($A206,A:AL,31,FALSE)-50)),"-",(VLOOKUP($A206,'SegEnds_NonXtal_BW#'!$A:$Z,22,FALSE)+VLOOKUP($A206,A:AL,31,FALSE)-50))</f>
        <v>289</v>
      </c>
      <c r="AG206" s="3">
        <f>IF(ISERROR(VLOOKUP($A206,'SegEnds_NonXtal_BW#'!$A:$Z,23,FALSE)+VLOOKUP($A206,A:AL,34,FALSE)-50),"-",(VLOOKUP($A206,'SegEnds_NonXtal_BW#'!$A:$Z,23,FALSE)+VLOOKUP($A206,A:AL,34,FALSE)-50))</f>
        <v>294</v>
      </c>
      <c r="AH206" s="3">
        <v>316</v>
      </c>
      <c r="AI206" s="3">
        <f>IF(ISERROR((VLOOKUP($A206,'SegEnds_NonXtal_BW#'!$A:$Z,24,FALSE)+VLOOKUP($A206,A:AL,34,FALSE)-50)),"-",(VLOOKUP($A206,'SegEnds_NonXtal_BW#'!$A:$Z,24,FALSE)+VLOOKUP($A206,A:AL,34,FALSE)-50))</f>
        <v>322</v>
      </c>
      <c r="AJ206" s="3">
        <f>IF(ISERROR(VLOOKUP($A206,'SegEnds_NonXtal_BW#'!$A:$Z,25,FALSE)+VLOOKUP($A206,A:AL,37,FALSE)-50),"-",(VLOOKUP($A206,'SegEnds_NonXtal_BW#'!$A:$Z,25,FALSE)+VLOOKUP($A206,A:AL,37,FALSE)-50))</f>
        <v>323</v>
      </c>
      <c r="AK206" s="3">
        <v>326</v>
      </c>
      <c r="AL206" s="3">
        <f>IF(ISERROR((VLOOKUP($A206,'SegEnds_NonXtal_BW#'!$A:$Z,26,FALSE)+VLOOKUP($A206,A:AL,37,FALSE)-50)),"-",(VLOOKUP($A206,'SegEnds_NonXtal_BW#'!$A:$Z,26,FALSE)+VLOOKUP($A206,A:AL,37,FALSE)-50))</f>
        <v>335</v>
      </c>
      <c r="AM206" s="28" t="str">
        <f>VLOOKUP(A206,Classification!A:B,2,FALSE)</f>
        <v>A</v>
      </c>
      <c r="AN206" s="28" t="b">
        <f t="shared" si="135"/>
        <v>1</v>
      </c>
      <c r="AO206" s="3" t="str">
        <f>IF(ISERROR(MATCH(A206,'SegEnds_Xtal_Prot#'!B:B, 0)), "NoXtal", "Xtal")</f>
        <v>Xtal</v>
      </c>
      <c r="AP206" s="3">
        <f t="shared" si="120"/>
        <v>1</v>
      </c>
      <c r="AQ206" s="3">
        <f t="shared" si="121"/>
        <v>1</v>
      </c>
      <c r="AR206" s="3">
        <f t="shared" si="122"/>
        <v>2</v>
      </c>
      <c r="AS206" s="3">
        <f t="shared" si="123"/>
        <v>1</v>
      </c>
      <c r="AT206" s="3">
        <f t="shared" si="124"/>
        <v>1</v>
      </c>
      <c r="AU206" s="3">
        <f t="shared" si="125"/>
        <v>1</v>
      </c>
      <c r="AV206" s="3">
        <f t="shared" si="126"/>
        <v>11</v>
      </c>
      <c r="AW206" s="3">
        <f t="shared" si="127"/>
        <v>6</v>
      </c>
      <c r="AX206" s="3">
        <f t="shared" si="128"/>
        <v>6</v>
      </c>
      <c r="AY206" s="3">
        <f t="shared" si="129"/>
        <v>5</v>
      </c>
      <c r="AZ206" s="3">
        <f t="shared" si="130"/>
        <v>1</v>
      </c>
      <c r="BA206" s="3">
        <f>IF(ISERROR(LEN(VLOOKUP(A206,Seqs!A:E,2,FALSE))-AL206),"-",LEN(VLOOKUP(A206,Seqs!A:E,2,FALSE))-AL206)</f>
        <v>35</v>
      </c>
      <c r="BB206" s="16">
        <f t="shared" si="131"/>
        <v>28</v>
      </c>
      <c r="BC206" s="9">
        <f t="shared" si="132"/>
        <v>20</v>
      </c>
      <c r="BD206" s="3">
        <f t="shared" si="133"/>
        <v>28</v>
      </c>
      <c r="BE206" s="3">
        <f t="shared" si="134"/>
        <v>51</v>
      </c>
    </row>
    <row r="207" spans="1:57" s="3" customFormat="1" x14ac:dyDescent="0.2">
      <c r="A207" s="3" t="s">
        <v>922</v>
      </c>
      <c r="B207" s="3" t="str">
        <f>LOWER(VLOOKUP(A207,Xtal_Templ!A:B,2,FALSE))</f>
        <v>opsd_todpa</v>
      </c>
      <c r="C207" s="3">
        <f>VLOOKUP($A207,'SegEnds_NonXtal_BW#'!$A:$Z,3,FALSE)+D207-50</f>
        <v>31</v>
      </c>
      <c r="D207" s="3">
        <v>52</v>
      </c>
      <c r="E207" s="3">
        <f>IF(ISERROR(VLOOKUP($A207,'SegEnds_NonXtal_BW#'!$A:$Z,4,FALSE)+VLOOKUP($A207,A:AL,4,FALSE)-50),"-",(VLOOKUP($A207,'SegEnds_NonXtal_BW#'!$A:$Z,4,FALSE)+VLOOKUP($A207,A:AL,4,FALSE)-50))</f>
        <v>62</v>
      </c>
      <c r="F207" s="3">
        <f t="shared" si="136"/>
        <v>63</v>
      </c>
      <c r="G207" s="3">
        <v>65</v>
      </c>
      <c r="H207" s="3">
        <f t="shared" si="137"/>
        <v>66</v>
      </c>
      <c r="I207" s="3">
        <f t="shared" si="137"/>
        <v>67</v>
      </c>
      <c r="J207" s="3">
        <v>80</v>
      </c>
      <c r="K207" s="3">
        <f>VLOOKUP($A207,'SegEnds_NonXtal_BW#'!$A:$Z,8,FALSE)+VLOOKUP($A207,A:AL,10,FALSE)-50</f>
        <v>99</v>
      </c>
      <c r="L207" s="3">
        <f>IF(ISERROR(VLOOKUP($A207,'SegEnds_NonXtal_BW#'!$A:$Z,9,FALSE)+VLOOKUP($A207,A:AL,13,FALSE)-50),"-",(VLOOKUP($A207,'SegEnds_NonXtal_BW#'!$A:$Z,9,FALSE)+VLOOKUP($A207,A:AL,13,FALSE)-50))</f>
        <v>100</v>
      </c>
      <c r="M207" s="3">
        <v>101</v>
      </c>
      <c r="N207" s="3">
        <f>IF(ISERROR(VLOOKUP($A207,'SegEnds_NonXtal_BW#'!$A:$Z,10,FALSE)+VLOOKUP($A207,A:AL,13,FALSE)-50),"-",(VLOOKUP($A207,'SegEnds_NonXtal_BW#'!$A:$Z,10,FALSE)+VLOOKUP($A207,A:AL,13,FALSE)-50))</f>
        <v>103</v>
      </c>
      <c r="O207" s="3">
        <f t="shared" si="118"/>
        <v>104</v>
      </c>
      <c r="P207" s="3">
        <v>133</v>
      </c>
      <c r="Q207" s="3">
        <f>VLOOKUP($A207,'SegEnds_NonXtal_BW#'!$A:$Z,12,FALSE)+VLOOKUP($A207,A:AL,16,FALSE)-50</f>
        <v>139</v>
      </c>
      <c r="R207" s="3">
        <f>IF(ISERROR(VLOOKUP($A207,'SegEnds_NonXtal_BW#'!$A:$Z,13,FALSE)+VLOOKUP($A207,A:AL,19,FALSE)-50),"-",VLOOKUP($A207,'SegEnds_NonXtal_BW#'!$A:$Z,13,FALSE)+VLOOKUP($A207,A:AL,19,FALSE)-50)</f>
        <v>140</v>
      </c>
      <c r="S207" s="3">
        <v>140</v>
      </c>
      <c r="T207" s="103">
        <f>IF(ISERROR(VLOOKUP($A207,'SegEnds_NonXtal_BW#'!$A:$Z,14,FALSE)+VLOOKUP($A207,A:AL,19,FALSE)-50),"-",(VLOOKUP($A207,'SegEnds_NonXtal_BW#'!$A:$Z,14,FALSE)+VLOOKUP($A207,A:AL,19,FALSE)-50))</f>
        <v>147</v>
      </c>
      <c r="U207" s="9">
        <f>IF(ISERROR(VLOOKUP($A207,'SegEnds_NonXtal_BW#'!$A:$Z,15,FALSE)+VLOOKUP($A207,A:AL,22,FALSE)-50),"-",VLOOKUP($A207,'SegEnds_NonXtal_BW#'!$A:$Z,15,FALSE)+VLOOKUP($A207,A:AL,22,FALSE)-50)</f>
        <v>148</v>
      </c>
      <c r="V207" s="3">
        <v>160</v>
      </c>
      <c r="W207" s="3">
        <f>IF(ISERROR(VLOOKUP($A207,'SegEnds_NonXtal_BW#'!$A:$Z,16,FALSE)+VLOOKUP($A207,A:AL,22,FALSE)-50),"-",(VLOOKUP($A207,'SegEnds_NonXtal_BW#'!$A:$Z,16,FALSE)+VLOOKUP($A207,A:AL,22,FALSE)-50))</f>
        <v>172</v>
      </c>
      <c r="X207" s="3">
        <f>IF(ISERROR(VLOOKUP($A207,'SegEnds_NonXtal_BW#'!$A:$Z,17,FALSE)+VLOOKUP($A207,A:AL,25,FALSE)-50),"-",(VLOOKUP($A207,'SegEnds_NonXtal_BW#'!$A:$Z,17,FALSE)+VLOOKUP($A207,A:AL,25,FALSE)-50))</f>
        <v>186</v>
      </c>
      <c r="Y207" s="3">
        <v>186</v>
      </c>
      <c r="Z207" s="3">
        <f t="shared" si="119"/>
        <v>188</v>
      </c>
      <c r="AA207" s="3">
        <f>IF(ISERROR(VLOOKUP($A207,'SegEnds_NonXtal_BW#'!$A:$Z,19,FALSE)+VLOOKUP($A207,A:AL,28,FALSE)-50),"-",(VLOOKUP($A207,'SegEnds_NonXtal_BW#'!$A:$Z,19,FALSE)+VLOOKUP($A207,A:AL,28,FALSE)-50))</f>
        <v>194</v>
      </c>
      <c r="AB207" s="3">
        <v>212</v>
      </c>
      <c r="AC207" s="3">
        <v>239</v>
      </c>
      <c r="AD207" s="3">
        <v>244</v>
      </c>
      <c r="AE207" s="3">
        <v>276</v>
      </c>
      <c r="AF207" s="3">
        <f>IF(ISERROR((VLOOKUP($A207,'SegEnds_NonXtal_BW#'!$A:$Z,22,FALSE)+VLOOKUP($A207,A:AL,31,FALSE)-50)),"-",(VLOOKUP($A207,'SegEnds_NonXtal_BW#'!$A:$Z,22,FALSE)+VLOOKUP($A207,A:AL,31,FALSE)-50))</f>
        <v>287</v>
      </c>
      <c r="AG207" s="3">
        <f>IF(ISERROR(VLOOKUP($A207,'SegEnds_NonXtal_BW#'!$A:$Z,23,FALSE)+VLOOKUP($A207,A:AL,34,FALSE)-50),"-",(VLOOKUP($A207,'SegEnds_NonXtal_BW#'!$A:$Z,23,FALSE)+VLOOKUP($A207,A:AL,34,FALSE)-50))</f>
        <v>293</v>
      </c>
      <c r="AH207" s="3">
        <v>312</v>
      </c>
      <c r="AI207" s="3">
        <f>IF(ISERROR((VLOOKUP($A207,'SegEnds_NonXtal_BW#'!$A:$Z,24,FALSE)+VLOOKUP($A207,A:AL,34,FALSE)-50)),"-",(VLOOKUP($A207,'SegEnds_NonXtal_BW#'!$A:$Z,24,FALSE)+VLOOKUP($A207,A:AL,34,FALSE)-50))</f>
        <v>318</v>
      </c>
      <c r="AJ207" s="3">
        <f>IF(ISERROR(VLOOKUP($A207,'SegEnds_NonXtal_BW#'!$A:$Z,25,FALSE)+VLOOKUP($A207,A:AL,37,FALSE)-50),"-",(VLOOKUP($A207,'SegEnds_NonXtal_BW#'!$A:$Z,25,FALSE)+VLOOKUP($A207,A:AL,37,FALSE)-50))</f>
        <v>319</v>
      </c>
      <c r="AK207" s="3">
        <v>322</v>
      </c>
      <c r="AL207" s="3">
        <f>IF(ISERROR((VLOOKUP($A207,'SegEnds_NonXtal_BW#'!$A:$Z,26,FALSE)+VLOOKUP($A207,A:AL,37,FALSE)-50)),"-",(VLOOKUP($A207,'SegEnds_NonXtal_BW#'!$A:$Z,26,FALSE)+VLOOKUP($A207,A:AL,37,FALSE)-50))</f>
        <v>330</v>
      </c>
      <c r="AM207" s="28" t="str">
        <f>VLOOKUP(A207,Classification!A:B,2,FALSE)</f>
        <v>A</v>
      </c>
      <c r="AN207" s="28" t="b">
        <f t="shared" si="135"/>
        <v>1</v>
      </c>
      <c r="AO207" s="3" t="str">
        <f>IF(ISERROR(MATCH(A207,'SegEnds_Xtal_Prot#'!B:B, 0)), "NoXtal", "Xtal")</f>
        <v>Xtal</v>
      </c>
      <c r="AP207" s="3">
        <f t="shared" si="120"/>
        <v>1</v>
      </c>
      <c r="AQ207" s="3">
        <f t="shared" si="121"/>
        <v>1</v>
      </c>
      <c r="AR207" s="3">
        <f t="shared" si="122"/>
        <v>1</v>
      </c>
      <c r="AS207" s="3">
        <f t="shared" si="123"/>
        <v>1</v>
      </c>
      <c r="AT207" s="3">
        <f t="shared" si="124"/>
        <v>1</v>
      </c>
      <c r="AU207" s="3">
        <f t="shared" si="125"/>
        <v>1</v>
      </c>
      <c r="AV207" s="3">
        <f t="shared" si="126"/>
        <v>14</v>
      </c>
      <c r="AW207" s="3">
        <f t="shared" si="127"/>
        <v>6</v>
      </c>
      <c r="AX207" s="3">
        <f t="shared" si="128"/>
        <v>5</v>
      </c>
      <c r="AY207" s="3">
        <f t="shared" si="129"/>
        <v>6</v>
      </c>
      <c r="AZ207" s="3">
        <f t="shared" si="130"/>
        <v>1</v>
      </c>
      <c r="BA207" s="3">
        <f>IF(ISERROR(LEN(VLOOKUP(A207,Seqs!A:E,2,FALSE))-AL207),"-",LEN(VLOOKUP(A207,Seqs!A:E,2,FALSE))-AL207)</f>
        <v>118</v>
      </c>
      <c r="BB207" s="16">
        <f t="shared" si="131"/>
        <v>28</v>
      </c>
      <c r="BC207" s="9">
        <f t="shared" si="132"/>
        <v>20</v>
      </c>
      <c r="BD207" s="3">
        <f t="shared" si="133"/>
        <v>28</v>
      </c>
      <c r="BE207" s="3">
        <f t="shared" si="134"/>
        <v>64</v>
      </c>
    </row>
    <row r="208" spans="1:57" s="3" customFormat="1" x14ac:dyDescent="0.2">
      <c r="A208" s="3" t="s">
        <v>342</v>
      </c>
      <c r="B208" s="3" t="str">
        <f>LOWER(VLOOKUP(A208,Xtal_Templ!A:B,2,FALSE))</f>
        <v>oprk_human</v>
      </c>
      <c r="C208" s="3">
        <f>VLOOKUP($A208,'SegEnds_NonXtal_BW#'!$A:$Z,3,FALSE)+D208-50</f>
        <v>90</v>
      </c>
      <c r="D208" s="3">
        <v>110</v>
      </c>
      <c r="E208" s="3">
        <f>IF(ISERROR(VLOOKUP($A208,'SegEnds_NonXtal_BW#'!$A:$Z,4,FALSE)+VLOOKUP($A208,A:AL,4,FALSE)-50),"-",(VLOOKUP($A208,'SegEnds_NonXtal_BW#'!$A:$Z,4,FALSE)+VLOOKUP($A208,A:AL,4,FALSE)-50))</f>
        <v>120</v>
      </c>
      <c r="F208" s="3">
        <f t="shared" si="136"/>
        <v>121</v>
      </c>
      <c r="G208" s="3">
        <v>123</v>
      </c>
      <c r="H208" s="3">
        <f t="shared" si="137"/>
        <v>124</v>
      </c>
      <c r="I208" s="3">
        <f t="shared" si="137"/>
        <v>125</v>
      </c>
      <c r="J208" s="3">
        <v>138</v>
      </c>
      <c r="K208" s="3">
        <f>VLOOKUP($A208,'SegEnds_NonXtal_BW#'!$A:$Z,8,FALSE)+VLOOKUP($A208,A:AL,10,FALSE)-50</f>
        <v>154</v>
      </c>
      <c r="L208" s="3">
        <f t="shared" ref="L208:L214" si="138">M208-1</f>
        <v>157</v>
      </c>
      <c r="M208" s="3">
        <v>158</v>
      </c>
      <c r="N208" s="3">
        <f t="shared" ref="N208:N214" si="139">M208+2</f>
        <v>160</v>
      </c>
      <c r="O208" s="3">
        <f t="shared" si="118"/>
        <v>161</v>
      </c>
      <c r="P208" s="3">
        <v>190</v>
      </c>
      <c r="Q208" s="3">
        <f>VLOOKUP($A208,'SegEnds_NonXtal_BW#'!$A:$Z,12,FALSE)+VLOOKUP($A208,A:AL,16,FALSE)-50</f>
        <v>196</v>
      </c>
      <c r="R208" s="3">
        <f>IF(ISERROR(VLOOKUP($A208,'SegEnds_NonXtal_BW#'!$A:$Z,13,FALSE)+VLOOKUP($A208,A:AL,19,FALSE)-50),"-",VLOOKUP($A208,'SegEnds_NonXtal_BW#'!$A:$Z,13,FALSE)+VLOOKUP($A208,A:AL,19,FALSE)-50)</f>
        <v>197</v>
      </c>
      <c r="S208" s="3">
        <v>197</v>
      </c>
      <c r="T208" s="103">
        <f>IF(ISERROR(VLOOKUP($A208,'SegEnds_NonXtal_BW#'!$A:$Z,14,FALSE)+VLOOKUP($A208,A:AL,19,FALSE)-50),"-",(VLOOKUP($A208,'SegEnds_NonXtal_BW#'!$A:$Z,14,FALSE)+VLOOKUP($A208,A:AL,19,FALSE)-50))</f>
        <v>204</v>
      </c>
      <c r="U208" s="9">
        <f>IF(ISERROR(VLOOKUP($A208,'SegEnds_NonXtal_BW#'!$A:$Z,15,FALSE)+VLOOKUP($A208,A:AL,22,FALSE)-50),"-",VLOOKUP($A208,'SegEnds_NonXtal_BW#'!$A:$Z,15,FALSE)+VLOOKUP($A208,A:AL,22,FALSE)-50)</f>
        <v>205</v>
      </c>
      <c r="V208" s="3">
        <v>217</v>
      </c>
      <c r="W208" s="3">
        <f>IF(ISERROR(VLOOKUP($A208,'SegEnds_NonXtal_BW#'!$A:$Z,16,FALSE)+VLOOKUP($A208,A:AL,22,FALSE)-50),"-",(VLOOKUP($A208,'SegEnds_NonXtal_BW#'!$A:$Z,16,FALSE)+VLOOKUP($A208,A:AL,22,FALSE)-50))</f>
        <v>231</v>
      </c>
      <c r="X208" s="3">
        <f>IF(ISERROR(VLOOKUP($A208,'SegEnds_NonXtal_BW#'!$A:$Z,17,FALSE)+VLOOKUP($A208,A:AL,25,FALSE)-50),"-",(VLOOKUP($A208,'SegEnds_NonXtal_BW#'!$A:$Z,17,FALSE)+VLOOKUP($A208,A:AL,25,FALSE)-50))</f>
        <v>237</v>
      </c>
      <c r="Y208" s="3">
        <v>237</v>
      </c>
      <c r="Z208" s="3">
        <f t="shared" si="119"/>
        <v>239</v>
      </c>
      <c r="AA208" s="3">
        <f>IF(ISERROR(VLOOKUP($A208,'SegEnds_NonXtal_BW#'!$A:$Z,19,FALSE)+VLOOKUP($A208,A:AL,28,FALSE)-50),"-",(VLOOKUP($A208,'SegEnds_NonXtal_BW#'!$A:$Z,19,FALSE)+VLOOKUP($A208,A:AL,28,FALSE)-50))</f>
        <v>245</v>
      </c>
      <c r="AB208" s="3">
        <v>264</v>
      </c>
      <c r="AC208" s="3">
        <f>IF(ISERROR((VLOOKUP($A208,'SegEnds_NonXtal_BW#'!$A:$Z,20,FALSE)+VLOOKUP($A208,A:AL,28,FALSE)-50)),"-",(VLOOKUP($A208,'SegEnds_NonXtal_BW#'!$A:$Z,20,FALSE)+VLOOKUP($A208,A:AL,28,FALSE)-50))</f>
        <v>281</v>
      </c>
      <c r="AD208" s="3">
        <f>IF(ISERROR(VLOOKUP($A208,'SegEnds_NonXtal_BW#'!$A:$Z,21,FALSE)+VLOOKUP($A208,A:AL,31,FALSE)-50),"-",(VLOOKUP($A208,'SegEnds_NonXtal_BW#'!$A:$Z,21,FALSE)+VLOOKUP($A208,A:AL,31,FALSE)-50))</f>
        <v>286</v>
      </c>
      <c r="AE208" s="3">
        <v>310</v>
      </c>
      <c r="AF208" s="3">
        <f>IF(ISERROR((VLOOKUP($A208,'SegEnds_NonXtal_BW#'!$A:$Z,22,FALSE)+VLOOKUP($A208,A:AL,31,FALSE)-50)),"-",(VLOOKUP($A208,'SegEnds_NonXtal_BW#'!$A:$Z,22,FALSE)+VLOOKUP($A208,A:AL,31,FALSE)-50))</f>
        <v>321</v>
      </c>
      <c r="AG208" s="3">
        <f>IF(ISERROR(VLOOKUP($A208,'SegEnds_NonXtal_BW#'!$A:$Z,23,FALSE)+VLOOKUP($A208,A:AL,34,FALSE)-50),"-",(VLOOKUP($A208,'SegEnds_NonXtal_BW#'!$A:$Z,23,FALSE)+VLOOKUP($A208,A:AL,34,FALSE)-50))</f>
        <v>330</v>
      </c>
      <c r="AH208" s="3">
        <v>352</v>
      </c>
      <c r="AI208" s="3">
        <f>IF(ISERROR((VLOOKUP($A208,'SegEnds_NonXtal_BW#'!$A:$Z,24,FALSE)+VLOOKUP($A208,A:AL,34,FALSE)-50)),"-",(VLOOKUP($A208,'SegEnds_NonXtal_BW#'!$A:$Z,24,FALSE)+VLOOKUP($A208,A:AL,34,FALSE)-50))</f>
        <v>358</v>
      </c>
      <c r="AJ208" s="3">
        <f>IF(ISERROR(VLOOKUP($A208,'SegEnds_NonXtal_BW#'!$A:$Z,25,FALSE)+VLOOKUP($A208,A:AL,37,FALSE)-50),"-",(VLOOKUP($A208,'SegEnds_NonXtal_BW#'!$A:$Z,25,FALSE)+VLOOKUP($A208,A:AL,37,FALSE)-50))</f>
        <v>359</v>
      </c>
      <c r="AK208" s="3">
        <v>362</v>
      </c>
      <c r="AL208" s="3">
        <f>IF(ISERROR((VLOOKUP($A208,'SegEnds_NonXtal_BW#'!$A:$Z,26,FALSE)+VLOOKUP($A208,A:AL,37,FALSE)-50)),"-",(VLOOKUP($A208,'SegEnds_NonXtal_BW#'!$A:$Z,26,FALSE)+VLOOKUP($A208,A:AL,37,FALSE)-50))</f>
        <v>371</v>
      </c>
      <c r="AM208" s="28" t="str">
        <f>VLOOKUP(A208,Classification!A:B,2,FALSE)</f>
        <v>A</v>
      </c>
      <c r="AN208" s="28" t="b">
        <f t="shared" si="135"/>
        <v>1</v>
      </c>
      <c r="AO208" s="3" t="str">
        <f>IF(ISERROR(MATCH(A208,'SegEnds_Xtal_Prot#'!B:B, 0)), "NoXtal", "Xtal")</f>
        <v>NoXtal</v>
      </c>
      <c r="AP208" s="3">
        <f t="shared" si="120"/>
        <v>1</v>
      </c>
      <c r="AQ208" s="3">
        <f t="shared" si="121"/>
        <v>1</v>
      </c>
      <c r="AR208" s="3">
        <f t="shared" si="122"/>
        <v>3</v>
      </c>
      <c r="AS208" s="3">
        <f t="shared" si="123"/>
        <v>1</v>
      </c>
      <c r="AT208" s="3">
        <f t="shared" si="124"/>
        <v>1</v>
      </c>
      <c r="AU208" s="3">
        <f t="shared" si="125"/>
        <v>1</v>
      </c>
      <c r="AV208" s="3">
        <f t="shared" si="126"/>
        <v>6</v>
      </c>
      <c r="AW208" s="3">
        <f t="shared" si="127"/>
        <v>6</v>
      </c>
      <c r="AX208" s="3">
        <f t="shared" si="128"/>
        <v>5</v>
      </c>
      <c r="AY208" s="3">
        <f t="shared" si="129"/>
        <v>9</v>
      </c>
      <c r="AZ208" s="3">
        <f t="shared" si="130"/>
        <v>1</v>
      </c>
      <c r="BA208" s="3">
        <f>IF(ISERROR(LEN(VLOOKUP(A208,Seqs!A:E,2,FALSE))-AL208),"-",LEN(VLOOKUP(A208,Seqs!A:E,2,FALSE))-AL208)</f>
        <v>52</v>
      </c>
      <c r="BB208" s="16">
        <f t="shared" si="131"/>
        <v>28</v>
      </c>
      <c r="BC208" s="9">
        <f t="shared" si="132"/>
        <v>20</v>
      </c>
      <c r="BD208" s="3">
        <f t="shared" si="133"/>
        <v>28</v>
      </c>
      <c r="BE208" s="3">
        <f t="shared" si="134"/>
        <v>46</v>
      </c>
    </row>
    <row r="209" spans="1:59" s="3" customFormat="1" x14ac:dyDescent="0.2">
      <c r="A209" s="3" t="s">
        <v>343</v>
      </c>
      <c r="B209" s="3" t="str">
        <f>LOWER(VLOOKUP(A209,Xtal_Templ!A:B,2,FALSE))</f>
        <v>p2ry1_human</v>
      </c>
      <c r="C209" s="3">
        <f>VLOOKUP($A209,'SegEnds_NonXtal_BW#'!$A:$Z,3,FALSE)+D209-50</f>
        <v>31</v>
      </c>
      <c r="D209" s="3">
        <v>51</v>
      </c>
      <c r="E209" s="3">
        <f>IF(ISERROR(VLOOKUP($A209,'SegEnds_NonXtal_BW#'!$A:$Z,4,FALSE)+VLOOKUP($A209,A:AL,4,FALSE)-50),"-",(VLOOKUP($A209,'SegEnds_NonXtal_BW#'!$A:$Z,4,FALSE)+VLOOKUP($A209,A:AL,4,FALSE)-50))</f>
        <v>61</v>
      </c>
      <c r="F209" s="3" t="str">
        <f>IF(ISERROR(VLOOKUP($A209,'SegEnds_NonXtal_BW#'!$A:$Z,5,FALSE)+VLOOKUP($A209,A:AL,7,FALSE)-50),"-",(VLOOKUP($A209,'SegEnds_NonXtal_BW#'!$A:$Z,5,FALSE)+VLOOKUP($A209,A:AL,7,FALSE)-50))</f>
        <v>-</v>
      </c>
      <c r="G209" s="3" t="s">
        <v>23</v>
      </c>
      <c r="H209" s="3" t="str">
        <f>IF(ISERROR(VLOOKUP($A209,'SegEnds_NonXtal_BW#'!$A:$Z,6,FALSE)+VLOOKUP($A209,A:AL,7,FALSE)-50),"-",(VLOOKUP($A209,'SegEnds_NonXtal_BW#'!$A:$Z,6,FALSE)+VLOOKUP($A209,A:AL,7,FALSE)-50))</f>
        <v>-</v>
      </c>
      <c r="I209" s="3">
        <f>VLOOKUP($A209,'SegEnds_NonXtal_BW#'!$A:$Z,7,FALSE)+J209-50</f>
        <v>66</v>
      </c>
      <c r="J209" s="3">
        <v>79</v>
      </c>
      <c r="K209" s="3">
        <f>VLOOKUP($A209,'SegEnds_NonXtal_BW#'!$A:$Z,8,FALSE)+VLOOKUP($A209,A:AL,10,FALSE)-50</f>
        <v>95</v>
      </c>
      <c r="L209" s="3">
        <f t="shared" si="138"/>
        <v>98</v>
      </c>
      <c r="M209" s="3">
        <v>99</v>
      </c>
      <c r="N209" s="3">
        <f t="shared" si="139"/>
        <v>101</v>
      </c>
      <c r="O209" s="3">
        <f t="shared" si="118"/>
        <v>102</v>
      </c>
      <c r="P209" s="3">
        <v>131</v>
      </c>
      <c r="Q209" s="3">
        <f>VLOOKUP($A209,'SegEnds_NonXtal_BW#'!$A:$Z,12,FALSE)+VLOOKUP($A209,A:AL,16,FALSE)-50</f>
        <v>137</v>
      </c>
      <c r="R209" s="3">
        <f>IF(ISERROR(VLOOKUP($A209,'SegEnds_NonXtal_BW#'!$A:$Z,13,FALSE)+VLOOKUP($A209,A:AL,19,FALSE)-50),"-",VLOOKUP($A209,'SegEnds_NonXtal_BW#'!$A:$Z,13,FALSE)+VLOOKUP($A209,A:AL,19,FALSE)-50)</f>
        <v>138</v>
      </c>
      <c r="S209" s="3">
        <v>138</v>
      </c>
      <c r="T209" s="103">
        <f>IF(ISERROR(VLOOKUP($A209,'SegEnds_NonXtal_BW#'!$A:$Z,14,FALSE)+VLOOKUP($A209,A:AL,19,FALSE)-50),"-",(VLOOKUP($A209,'SegEnds_NonXtal_BW#'!$A:$Z,14,FALSE)+VLOOKUP($A209,A:AL,19,FALSE)-50))</f>
        <v>145</v>
      </c>
      <c r="U209" s="9">
        <f>IF(ISERROR(VLOOKUP($A209,'SegEnds_NonXtal_BW#'!$A:$Z,15,FALSE)+VLOOKUP($A209,A:AL,22,FALSE)-50),"-",VLOOKUP($A209,'SegEnds_NonXtal_BW#'!$A:$Z,15,FALSE)+VLOOKUP($A209,A:AL,22,FALSE)-50)</f>
        <v>146</v>
      </c>
      <c r="V209" s="3">
        <v>158</v>
      </c>
      <c r="W209" s="3">
        <f>IF(ISERROR(VLOOKUP($A209,'SegEnds_NonXtal_BW#'!$A:$Z,16,FALSE)+VLOOKUP($A209,A:AL,22,FALSE)-50),"-",(VLOOKUP($A209,'SegEnds_NonXtal_BW#'!$A:$Z,16,FALSE)+VLOOKUP($A209,A:AL,22,FALSE)-50))</f>
        <v>172</v>
      </c>
      <c r="X209" s="3">
        <f>IF(ISERROR(VLOOKUP($A209,'SegEnds_NonXtal_BW#'!$A:$Z,17,FALSE)+VLOOKUP($A209,A:AL,25,FALSE)-50),"-",(VLOOKUP($A209,'SegEnds_NonXtal_BW#'!$A:$Z,17,FALSE)+VLOOKUP($A209,A:AL,25,FALSE)-50))</f>
        <v>183</v>
      </c>
      <c r="Y209" s="3">
        <v>183</v>
      </c>
      <c r="Z209" s="3">
        <f t="shared" si="119"/>
        <v>185</v>
      </c>
      <c r="AA209" s="3">
        <f>IF(ISERROR(VLOOKUP($A209,'SegEnds_NonXtal_BW#'!$A:$Z,19,FALSE)+VLOOKUP($A209,A:AL,28,FALSE)-50),"-",(VLOOKUP($A209,'SegEnds_NonXtal_BW#'!$A:$Z,19,FALSE)+VLOOKUP($A209,A:AL,28,FALSE)-50))</f>
        <v>192</v>
      </c>
      <c r="AB209" s="3">
        <v>210</v>
      </c>
      <c r="AC209" s="3">
        <f>IF(ISERROR((VLOOKUP($A209,'SegEnds_NonXtal_BW#'!$A:$Z,20,FALSE)+VLOOKUP($A209,A:AL,28,FALSE)-50)),"-",(VLOOKUP($A209,'SegEnds_NonXtal_BW#'!$A:$Z,20,FALSE)+VLOOKUP($A209,A:AL,28,FALSE)-50))</f>
        <v>227</v>
      </c>
      <c r="AD209" s="3">
        <f>IF(ISERROR(VLOOKUP($A209,'SegEnds_NonXtal_BW#'!$A:$Z,21,FALSE)+VLOOKUP($A209,A:AL,31,FALSE)-50),"-",(VLOOKUP($A209,'SegEnds_NonXtal_BW#'!$A:$Z,21,FALSE)+VLOOKUP($A209,A:AL,31,FALSE)-50))</f>
        <v>232</v>
      </c>
      <c r="AE209" s="3">
        <v>256</v>
      </c>
      <c r="AF209" s="3">
        <f>IF(ISERROR((VLOOKUP($A209,'SegEnds_NonXtal_BW#'!$A:$Z,22,FALSE)+VLOOKUP($A209,A:AL,31,FALSE)-50)),"-",(VLOOKUP($A209,'SegEnds_NonXtal_BW#'!$A:$Z,22,FALSE)+VLOOKUP($A209,A:AL,31,FALSE)-50))</f>
        <v>267</v>
      </c>
      <c r="AG209" s="3">
        <f>IF(ISERROR(VLOOKUP($A209,'SegEnds_NonXtal_BW#'!$A:$Z,23,FALSE)+VLOOKUP($A209,A:AL,34,FALSE)-50),"-",(VLOOKUP($A209,'SegEnds_NonXtal_BW#'!$A:$Z,23,FALSE)+VLOOKUP($A209,A:AL,34,FALSE)-50))</f>
        <v>273</v>
      </c>
      <c r="AH209" s="3">
        <v>299</v>
      </c>
      <c r="AI209" s="3">
        <f>IF(ISERROR((VLOOKUP($A209,'SegEnds_NonXtal_BW#'!$A:$Z,24,FALSE)+VLOOKUP($A209,A:AL,34,FALSE)-50)),"-",(VLOOKUP($A209,'SegEnds_NonXtal_BW#'!$A:$Z,24,FALSE)+VLOOKUP($A209,A:AL,34,FALSE)-50))</f>
        <v>305</v>
      </c>
      <c r="AJ209" s="3">
        <f>IF(ISERROR(VLOOKUP($A209,'SegEnds_NonXtal_BW#'!$A:$Z,25,FALSE)+VLOOKUP($A209,A:AL,37,FALSE)-50),"-",(VLOOKUP($A209,'SegEnds_NonXtal_BW#'!$A:$Z,25,FALSE)+VLOOKUP($A209,A:AL,37,FALSE)-50))</f>
        <v>306</v>
      </c>
      <c r="AK209" s="3">
        <v>309</v>
      </c>
      <c r="AL209" s="3">
        <f>IF(ISERROR((VLOOKUP($A209,'SegEnds_NonXtal_BW#'!$A:$Z,26,FALSE)+VLOOKUP($A209,A:AL,37,FALSE)-50)),"-",(VLOOKUP($A209,'SegEnds_NonXtal_BW#'!$A:$Z,26,FALSE)+VLOOKUP($A209,A:AL,37,FALSE)-50))</f>
        <v>318</v>
      </c>
      <c r="AM209" s="28" t="str">
        <f>VLOOKUP(A209,Classification!A:B,2,FALSE)</f>
        <v>A</v>
      </c>
      <c r="AN209" s="28" t="b">
        <f t="shared" si="135"/>
        <v>1</v>
      </c>
      <c r="AO209" s="3" t="str">
        <f>IF(ISERROR(MATCH(A209,'SegEnds_Xtal_Prot#'!B:B, 0)), "NoXtal", "Xtal")</f>
        <v>NoXtal</v>
      </c>
      <c r="AP209" s="3" t="str">
        <f t="shared" si="120"/>
        <v>-</v>
      </c>
      <c r="AQ209" s="3" t="str">
        <f t="shared" si="121"/>
        <v>-</v>
      </c>
      <c r="AR209" s="3">
        <f t="shared" si="122"/>
        <v>3</v>
      </c>
      <c r="AS209" s="3">
        <f t="shared" si="123"/>
        <v>1</v>
      </c>
      <c r="AT209" s="3">
        <f t="shared" si="124"/>
        <v>1</v>
      </c>
      <c r="AU209" s="3">
        <f t="shared" si="125"/>
        <v>1</v>
      </c>
      <c r="AV209" s="3">
        <f t="shared" si="126"/>
        <v>11</v>
      </c>
      <c r="AW209" s="3">
        <f t="shared" si="127"/>
        <v>7</v>
      </c>
      <c r="AX209" s="3">
        <f t="shared" si="128"/>
        <v>5</v>
      </c>
      <c r="AY209" s="3">
        <f t="shared" si="129"/>
        <v>6</v>
      </c>
      <c r="AZ209" s="3">
        <f t="shared" si="130"/>
        <v>1</v>
      </c>
      <c r="BA209" s="3">
        <f>IF(ISERROR(LEN(VLOOKUP(A209,Seqs!A:E,2,FALSE))-AL209),"-",LEN(VLOOKUP(A209,Seqs!A:E,2,FALSE))-AL209)</f>
        <v>19</v>
      </c>
      <c r="BB209" s="16">
        <f t="shared" si="131"/>
        <v>28</v>
      </c>
      <c r="BC209" s="9">
        <f t="shared" si="132"/>
        <v>20</v>
      </c>
      <c r="BD209" s="3">
        <f t="shared" si="133"/>
        <v>28</v>
      </c>
      <c r="BE209" s="3">
        <f t="shared" si="134"/>
        <v>46</v>
      </c>
      <c r="BF209" s="3">
        <f>AH209-AE209</f>
        <v>43</v>
      </c>
    </row>
    <row r="210" spans="1:59" s="3" customFormat="1" x14ac:dyDescent="0.2">
      <c r="A210" s="3" t="s">
        <v>345</v>
      </c>
      <c r="B210" s="3" t="str">
        <f>LOWER(VLOOKUP(A210,Xtal_Templ!A:B,2,FALSE))</f>
        <v>p2ry1_human</v>
      </c>
      <c r="C210" s="3">
        <f>VLOOKUP($A210,'SegEnds_NonXtal_BW#'!$A:$Z,3,FALSE)+D210-50</f>
        <v>49</v>
      </c>
      <c r="D210" s="3">
        <v>69</v>
      </c>
      <c r="E210" s="3">
        <f>IF(ISERROR(VLOOKUP($A210,'SegEnds_NonXtal_BW#'!$A:$Z,4,FALSE)+VLOOKUP($A210,A:AL,4,FALSE)-50),"-",(VLOOKUP($A210,'SegEnds_NonXtal_BW#'!$A:$Z,4,FALSE)+VLOOKUP($A210,A:AL,4,FALSE)-50))</f>
        <v>79</v>
      </c>
      <c r="F210" s="3" t="str">
        <f>IF(ISERROR(VLOOKUP($A210,'SegEnds_NonXtal_BW#'!$A:$Z,5,FALSE)+VLOOKUP($A210,A:AL,7,FALSE)-50),"-",(VLOOKUP($A210,'SegEnds_NonXtal_BW#'!$A:$Z,5,FALSE)+VLOOKUP($A210,A:AL,7,FALSE)-50))</f>
        <v>-</v>
      </c>
      <c r="G210" s="3" t="s">
        <v>23</v>
      </c>
      <c r="H210" s="3" t="str">
        <f>IF(ISERROR(VLOOKUP($A210,'SegEnds_NonXtal_BW#'!$A:$Z,6,FALSE)+VLOOKUP($A210,A:AL,7,FALSE)-50),"-",(VLOOKUP($A210,'SegEnds_NonXtal_BW#'!$A:$Z,6,FALSE)+VLOOKUP($A210,A:AL,7,FALSE)-50))</f>
        <v>-</v>
      </c>
      <c r="I210" s="3">
        <f>VLOOKUP($A210,'SegEnds_NonXtal_BW#'!$A:$Z,7,FALSE)+J210-50</f>
        <v>84</v>
      </c>
      <c r="J210" s="3">
        <v>97</v>
      </c>
      <c r="K210" s="3">
        <f>VLOOKUP($A210,'SegEnds_NonXtal_BW#'!$A:$Z,8,FALSE)+VLOOKUP($A210,A:AL,10,FALSE)-50</f>
        <v>113</v>
      </c>
      <c r="L210" s="3">
        <f t="shared" si="138"/>
        <v>116</v>
      </c>
      <c r="M210" s="3">
        <v>117</v>
      </c>
      <c r="N210" s="3">
        <f t="shared" si="139"/>
        <v>119</v>
      </c>
      <c r="O210" s="3">
        <f t="shared" si="118"/>
        <v>120</v>
      </c>
      <c r="P210" s="3">
        <v>149</v>
      </c>
      <c r="Q210" s="3">
        <f>VLOOKUP($A210,'SegEnds_NonXtal_BW#'!$A:$Z,12,FALSE)+VLOOKUP($A210,A:AL,16,FALSE)-50</f>
        <v>155</v>
      </c>
      <c r="R210" s="3">
        <f>IF(ISERROR(VLOOKUP($A210,'SegEnds_NonXtal_BW#'!$A:$Z,13,FALSE)+VLOOKUP($A210,A:AL,19,FALSE)-50),"-",VLOOKUP($A210,'SegEnds_NonXtal_BW#'!$A:$Z,13,FALSE)+VLOOKUP($A210,A:AL,19,FALSE)-50)</f>
        <v>156</v>
      </c>
      <c r="S210" s="3">
        <v>156</v>
      </c>
      <c r="T210" s="103">
        <f>IF(ISERROR(VLOOKUP($A210,'SegEnds_NonXtal_BW#'!$A:$Z,14,FALSE)+VLOOKUP($A210,A:AL,19,FALSE)-50),"-",(VLOOKUP($A210,'SegEnds_NonXtal_BW#'!$A:$Z,14,FALSE)+VLOOKUP($A210,A:AL,19,FALSE)-50))</f>
        <v>163</v>
      </c>
      <c r="U210" s="9">
        <f>IF(ISERROR(VLOOKUP($A210,'SegEnds_NonXtal_BW#'!$A:$Z,15,FALSE)+VLOOKUP($A210,A:AL,22,FALSE)-50),"-",VLOOKUP($A210,'SegEnds_NonXtal_BW#'!$A:$Z,15,FALSE)+VLOOKUP($A210,A:AL,22,FALSE)-50)</f>
        <v>164</v>
      </c>
      <c r="V210" s="3">
        <v>176</v>
      </c>
      <c r="W210" s="3">
        <f>IF(ISERROR(VLOOKUP($A210,'SegEnds_NonXtal_BW#'!$A:$Z,16,FALSE)+VLOOKUP($A210,A:AL,22,FALSE)-50),"-",(VLOOKUP($A210,'SegEnds_NonXtal_BW#'!$A:$Z,16,FALSE)+VLOOKUP($A210,A:AL,22,FALSE)-50))</f>
        <v>190</v>
      </c>
      <c r="X210" s="3">
        <f>IF(ISERROR(VLOOKUP($A210,'SegEnds_NonXtal_BW#'!$A:$Z,17,FALSE)+VLOOKUP($A210,A:AL,25,FALSE)-50),"-",(VLOOKUP($A210,'SegEnds_NonXtal_BW#'!$A:$Z,17,FALSE)+VLOOKUP($A210,A:AL,25,FALSE)-50))</f>
        <v>202</v>
      </c>
      <c r="Y210" s="3">
        <v>202</v>
      </c>
      <c r="Z210" s="3">
        <f t="shared" si="119"/>
        <v>204</v>
      </c>
      <c r="AA210" s="3">
        <f>IF(ISERROR(VLOOKUP($A210,'SegEnds_NonXtal_BW#'!$A:$Z,19,FALSE)+VLOOKUP($A210,A:AL,28,FALSE)-50),"-",(VLOOKUP($A210,'SegEnds_NonXtal_BW#'!$A:$Z,19,FALSE)+VLOOKUP($A210,A:AL,28,FALSE)-50))</f>
        <v>211</v>
      </c>
      <c r="AB210" s="3">
        <v>229</v>
      </c>
      <c r="AC210" s="3">
        <f>IF(ISERROR((VLOOKUP($A210,'SegEnds_NonXtal_BW#'!$A:$Z,20,FALSE)+VLOOKUP($A210,A:AL,28,FALSE)-50)),"-",(VLOOKUP($A210,'SegEnds_NonXtal_BW#'!$A:$Z,20,FALSE)+VLOOKUP($A210,A:AL,28,FALSE)-50))</f>
        <v>247</v>
      </c>
      <c r="AD210" s="3">
        <f>IF(ISERROR(VLOOKUP($A210,'SegEnds_NonXtal_BW#'!$A:$Z,21,FALSE)+VLOOKUP($A210,A:AL,31,FALSE)-50),"-",(VLOOKUP($A210,'SegEnds_NonXtal_BW#'!$A:$Z,21,FALSE)+VLOOKUP($A210,A:AL,31,FALSE)-50))</f>
        <v>253</v>
      </c>
      <c r="AE210" s="3">
        <v>275</v>
      </c>
      <c r="AF210" s="3">
        <f>IF(ISERROR((VLOOKUP($A210,'SegEnds_NonXtal_BW#'!$A:$Z,22,FALSE)+VLOOKUP($A210,A:AL,31,FALSE)-50)),"-",(VLOOKUP($A210,'SegEnds_NonXtal_BW#'!$A:$Z,22,FALSE)+VLOOKUP($A210,A:AL,31,FALSE)-50))</f>
        <v>289</v>
      </c>
      <c r="AG210" s="3">
        <f>IF(ISERROR(VLOOKUP($A210,'SegEnds_NonXtal_BW#'!$A:$Z,23,FALSE)+VLOOKUP($A210,A:AL,34,FALSE)-50),"-",(VLOOKUP($A210,'SegEnds_NonXtal_BW#'!$A:$Z,23,FALSE)+VLOOKUP($A210,A:AL,34,FALSE)-50))</f>
        <v>295</v>
      </c>
      <c r="AH210" s="3">
        <v>321</v>
      </c>
      <c r="AI210" s="3">
        <f>IF(ISERROR((VLOOKUP($A210,'SegEnds_NonXtal_BW#'!$A:$Z,24,FALSE)+VLOOKUP($A210,A:AL,34,FALSE)-50)),"-",(VLOOKUP($A210,'SegEnds_NonXtal_BW#'!$A:$Z,24,FALSE)+VLOOKUP($A210,A:AL,34,FALSE)-50))</f>
        <v>327</v>
      </c>
      <c r="AJ210" s="3">
        <f>IF(ISERROR(VLOOKUP($A210,'SegEnds_NonXtal_BW#'!$A:$Z,25,FALSE)+VLOOKUP($A210,A:AL,37,FALSE)-50),"-",(VLOOKUP($A210,'SegEnds_NonXtal_BW#'!$A:$Z,25,FALSE)+VLOOKUP($A210,A:AL,37,FALSE)-50))</f>
        <v>328</v>
      </c>
      <c r="AK210" s="3">
        <v>331</v>
      </c>
      <c r="AL210" s="3">
        <f>IF(ISERROR((VLOOKUP($A210,'SegEnds_NonXtal_BW#'!$A:$Z,26,FALSE)+VLOOKUP($A210,A:AL,37,FALSE)-50)),"-",(VLOOKUP($A210,'SegEnds_NonXtal_BW#'!$A:$Z,26,FALSE)+VLOOKUP($A210,A:AL,37,FALSE)-50))</f>
        <v>340</v>
      </c>
      <c r="AM210" s="28" t="str">
        <f>VLOOKUP(A210,Classification!A:B,2,FALSE)</f>
        <v>A</v>
      </c>
      <c r="AN210" s="28" t="b">
        <f t="shared" si="135"/>
        <v>1</v>
      </c>
      <c r="AO210" s="3" t="str">
        <f>IF(ISERROR(MATCH(A210,'SegEnds_Xtal_Prot#'!B:B, 0)), "NoXtal", "Xtal")</f>
        <v>Xtal</v>
      </c>
      <c r="AP210" s="3" t="str">
        <f t="shared" si="120"/>
        <v>-</v>
      </c>
      <c r="AQ210" s="3" t="str">
        <f t="shared" si="121"/>
        <v>-</v>
      </c>
      <c r="AR210" s="3">
        <f t="shared" si="122"/>
        <v>3</v>
      </c>
      <c r="AS210" s="3">
        <f t="shared" si="123"/>
        <v>1</v>
      </c>
      <c r="AT210" s="3">
        <f t="shared" si="124"/>
        <v>1</v>
      </c>
      <c r="AU210" s="3">
        <f t="shared" si="125"/>
        <v>1</v>
      </c>
      <c r="AV210" s="3">
        <f t="shared" si="126"/>
        <v>12</v>
      </c>
      <c r="AW210" s="3">
        <f t="shared" si="127"/>
        <v>7</v>
      </c>
      <c r="AX210" s="3">
        <f t="shared" si="128"/>
        <v>6</v>
      </c>
      <c r="AY210" s="3">
        <f t="shared" si="129"/>
        <v>6</v>
      </c>
      <c r="AZ210" s="3">
        <f t="shared" si="130"/>
        <v>1</v>
      </c>
      <c r="BA210" s="3">
        <f>IF(ISERROR(LEN(VLOOKUP(A210,Seqs!A:E,2,FALSE))-AL210),"-",LEN(VLOOKUP(A210,Seqs!A:E,2,FALSE))-AL210)</f>
        <v>33</v>
      </c>
      <c r="BB210" s="16">
        <f t="shared" si="131"/>
        <v>28</v>
      </c>
      <c r="BC210" s="9">
        <f t="shared" si="132"/>
        <v>20</v>
      </c>
      <c r="BD210" s="3">
        <f t="shared" si="133"/>
        <v>28</v>
      </c>
      <c r="BE210" s="3">
        <f t="shared" si="134"/>
        <v>46</v>
      </c>
    </row>
    <row r="211" spans="1:59" s="3" customFormat="1" x14ac:dyDescent="0.2">
      <c r="A211" s="3" t="s">
        <v>346</v>
      </c>
      <c r="B211" s="3" t="str">
        <f>LOWER(VLOOKUP(A211,Xtal_Templ!A:B,2,FALSE))</f>
        <v>p2ry1_human</v>
      </c>
      <c r="C211" s="3">
        <f>VLOOKUP($A211,'SegEnds_NonXtal_BW#'!$A:$Z,3,FALSE)+D211-50</f>
        <v>31</v>
      </c>
      <c r="D211" s="3">
        <v>51</v>
      </c>
      <c r="E211" s="3">
        <f>IF(ISERROR(VLOOKUP($A211,'SegEnds_NonXtal_BW#'!$A:$Z,4,FALSE)+VLOOKUP($A211,A:AL,4,FALSE)-50),"-",(VLOOKUP($A211,'SegEnds_NonXtal_BW#'!$A:$Z,4,FALSE)+VLOOKUP($A211,A:AL,4,FALSE)-50))</f>
        <v>61</v>
      </c>
      <c r="F211" s="3" t="str">
        <f>IF(ISERROR(VLOOKUP($A211,'SegEnds_NonXtal_BW#'!$A:$Z,5,FALSE)+VLOOKUP($A211,A:AL,7,FALSE)-50),"-",(VLOOKUP($A211,'SegEnds_NonXtal_BW#'!$A:$Z,5,FALSE)+VLOOKUP($A211,A:AL,7,FALSE)-50))</f>
        <v>-</v>
      </c>
      <c r="G211" s="3" t="s">
        <v>23</v>
      </c>
      <c r="H211" s="3" t="str">
        <f>IF(ISERROR(VLOOKUP($A211,'SegEnds_NonXtal_BW#'!$A:$Z,6,FALSE)+VLOOKUP($A211,A:AL,7,FALSE)-50),"-",(VLOOKUP($A211,'SegEnds_NonXtal_BW#'!$A:$Z,6,FALSE)+VLOOKUP($A211,A:AL,7,FALSE)-50))</f>
        <v>-</v>
      </c>
      <c r="I211" s="3">
        <f>VLOOKUP($A211,'SegEnds_NonXtal_BW#'!$A:$Z,7,FALSE)+J211-50</f>
        <v>66</v>
      </c>
      <c r="J211" s="3">
        <v>79</v>
      </c>
      <c r="K211" s="3">
        <f>VLOOKUP($A211,'SegEnds_NonXtal_BW#'!$A:$Z,8,FALSE)+VLOOKUP($A211,A:AL,10,FALSE)-50</f>
        <v>95</v>
      </c>
      <c r="L211" s="3">
        <f t="shared" si="138"/>
        <v>98</v>
      </c>
      <c r="M211" s="3">
        <v>99</v>
      </c>
      <c r="N211" s="3">
        <f t="shared" si="139"/>
        <v>101</v>
      </c>
      <c r="O211" s="3">
        <f t="shared" si="118"/>
        <v>102</v>
      </c>
      <c r="P211" s="3">
        <v>131</v>
      </c>
      <c r="Q211" s="3">
        <f>VLOOKUP($A211,'SegEnds_NonXtal_BW#'!$A:$Z,12,FALSE)+VLOOKUP($A211,A:AL,16,FALSE)-50</f>
        <v>137</v>
      </c>
      <c r="R211" s="3">
        <f>IF(ISERROR(VLOOKUP($A211,'SegEnds_NonXtal_BW#'!$A:$Z,13,FALSE)+VLOOKUP($A211,A:AL,19,FALSE)-50),"-",VLOOKUP($A211,'SegEnds_NonXtal_BW#'!$A:$Z,13,FALSE)+VLOOKUP($A211,A:AL,19,FALSE)-50)</f>
        <v>138</v>
      </c>
      <c r="S211" s="3">
        <v>138</v>
      </c>
      <c r="T211" s="103">
        <f>IF(ISERROR(VLOOKUP($A211,'SegEnds_NonXtal_BW#'!$A:$Z,14,FALSE)+VLOOKUP($A211,A:AL,19,FALSE)-50),"-",(VLOOKUP($A211,'SegEnds_NonXtal_BW#'!$A:$Z,14,FALSE)+VLOOKUP($A211,A:AL,19,FALSE)-50))</f>
        <v>145</v>
      </c>
      <c r="U211" s="9">
        <f>IF(ISERROR(VLOOKUP($A211,'SegEnds_NonXtal_BW#'!$A:$Z,15,FALSE)+VLOOKUP($A211,A:AL,22,FALSE)-50),"-",VLOOKUP($A211,'SegEnds_NonXtal_BW#'!$A:$Z,15,FALSE)+VLOOKUP($A211,A:AL,22,FALSE)-50)</f>
        <v>146</v>
      </c>
      <c r="V211" s="3">
        <v>158</v>
      </c>
      <c r="W211" s="3">
        <f>IF(ISERROR(VLOOKUP($A211,'SegEnds_NonXtal_BW#'!$A:$Z,16,FALSE)+VLOOKUP($A211,A:AL,22,FALSE)-50),"-",(VLOOKUP($A211,'SegEnds_NonXtal_BW#'!$A:$Z,16,FALSE)+VLOOKUP($A211,A:AL,22,FALSE)-50))</f>
        <v>172</v>
      </c>
      <c r="X211" s="3">
        <f>IF(ISERROR(VLOOKUP($A211,'SegEnds_NonXtal_BW#'!$A:$Z,17,FALSE)+VLOOKUP($A211,A:AL,25,FALSE)-50),"-",(VLOOKUP($A211,'SegEnds_NonXtal_BW#'!$A:$Z,17,FALSE)+VLOOKUP($A211,A:AL,25,FALSE)-50))</f>
        <v>183</v>
      </c>
      <c r="Y211" s="3">
        <v>183</v>
      </c>
      <c r="Z211" s="3">
        <f t="shared" si="119"/>
        <v>185</v>
      </c>
      <c r="AA211" s="3">
        <f>IF(ISERROR(VLOOKUP($A211,'SegEnds_NonXtal_BW#'!$A:$Z,19,FALSE)+VLOOKUP($A211,A:AL,28,FALSE)-50),"-",(VLOOKUP($A211,'SegEnds_NonXtal_BW#'!$A:$Z,19,FALSE)+VLOOKUP($A211,A:AL,28,FALSE)-50))</f>
        <v>192</v>
      </c>
      <c r="AB211" s="3">
        <v>210</v>
      </c>
      <c r="AC211" s="3">
        <f>IF(ISERROR((VLOOKUP($A211,'SegEnds_NonXtal_BW#'!$A:$Z,20,FALSE)+VLOOKUP($A211,A:AL,28,FALSE)-50)),"-",(VLOOKUP($A211,'SegEnds_NonXtal_BW#'!$A:$Z,20,FALSE)+VLOOKUP($A211,A:AL,28,FALSE)-50))</f>
        <v>232</v>
      </c>
      <c r="AD211" s="3">
        <f>IF(ISERROR(VLOOKUP($A211,'SegEnds_NonXtal_BW#'!$A:$Z,21,FALSE)+VLOOKUP($A211,A:AL,31,FALSE)-50),"-",(VLOOKUP($A211,'SegEnds_NonXtal_BW#'!$A:$Z,21,FALSE)+VLOOKUP($A211,A:AL,31,FALSE)-50))</f>
        <v>239</v>
      </c>
      <c r="AE211" s="3">
        <v>260</v>
      </c>
      <c r="AF211" s="3">
        <f>IF(ISERROR((VLOOKUP($A211,'SegEnds_NonXtal_BW#'!$A:$Z,22,FALSE)+VLOOKUP($A211,A:AL,31,FALSE)-50)),"-",(VLOOKUP($A211,'SegEnds_NonXtal_BW#'!$A:$Z,22,FALSE)+VLOOKUP($A211,A:AL,31,FALSE)-50))</f>
        <v>271</v>
      </c>
      <c r="AG211" s="3">
        <f>IF(ISERROR(VLOOKUP($A211,'SegEnds_NonXtal_BW#'!$A:$Z,23,FALSE)+VLOOKUP($A211,A:AL,34,FALSE)-50),"-",(VLOOKUP($A211,'SegEnds_NonXtal_BW#'!$A:$Z,23,FALSE)+VLOOKUP($A211,A:AL,34,FALSE)-50))</f>
        <v>277</v>
      </c>
      <c r="AH211" s="3">
        <v>303</v>
      </c>
      <c r="AI211" s="3">
        <f>IF(ISERROR((VLOOKUP($A211,'SegEnds_NonXtal_BW#'!$A:$Z,24,FALSE)+VLOOKUP($A211,A:AL,34,FALSE)-50)),"-",(VLOOKUP($A211,'SegEnds_NonXtal_BW#'!$A:$Z,24,FALSE)+VLOOKUP($A211,A:AL,34,FALSE)-50))</f>
        <v>309</v>
      </c>
      <c r="AJ211" s="3">
        <f>IF(ISERROR(VLOOKUP($A211,'SegEnds_NonXtal_BW#'!$A:$Z,25,FALSE)+VLOOKUP($A211,A:AL,37,FALSE)-50),"-",(VLOOKUP($A211,'SegEnds_NonXtal_BW#'!$A:$Z,25,FALSE)+VLOOKUP($A211,A:AL,37,FALSE)-50))</f>
        <v>310</v>
      </c>
      <c r="AK211" s="3">
        <v>313</v>
      </c>
      <c r="AL211" s="3">
        <f>IF(ISERROR((VLOOKUP($A211,'SegEnds_NonXtal_BW#'!$A:$Z,26,FALSE)+VLOOKUP($A211,A:AL,37,FALSE)-50)),"-",(VLOOKUP($A211,'SegEnds_NonXtal_BW#'!$A:$Z,26,FALSE)+VLOOKUP($A211,A:AL,37,FALSE)-50))</f>
        <v>322</v>
      </c>
      <c r="AM211" s="28" t="str">
        <f>VLOOKUP(A211,Classification!A:B,2,FALSE)</f>
        <v>A</v>
      </c>
      <c r="AN211" s="28" t="b">
        <f t="shared" si="135"/>
        <v>1</v>
      </c>
      <c r="AO211" s="3" t="str">
        <f>IF(ISERROR(MATCH(A211,'SegEnds_Xtal_Prot#'!B:B, 0)), "NoXtal", "Xtal")</f>
        <v>NoXtal</v>
      </c>
      <c r="AP211" s="3" t="str">
        <f t="shared" si="120"/>
        <v>-</v>
      </c>
      <c r="AQ211" s="3" t="str">
        <f t="shared" si="121"/>
        <v>-</v>
      </c>
      <c r="AR211" s="3">
        <f t="shared" si="122"/>
        <v>3</v>
      </c>
      <c r="AS211" s="3">
        <f t="shared" si="123"/>
        <v>1</v>
      </c>
      <c r="AT211" s="3">
        <f t="shared" si="124"/>
        <v>1</v>
      </c>
      <c r="AU211" s="3">
        <f t="shared" si="125"/>
        <v>1</v>
      </c>
      <c r="AV211" s="3">
        <f t="shared" si="126"/>
        <v>11</v>
      </c>
      <c r="AW211" s="3">
        <f t="shared" si="127"/>
        <v>7</v>
      </c>
      <c r="AX211" s="3">
        <f t="shared" si="128"/>
        <v>7</v>
      </c>
      <c r="AY211" s="3">
        <f t="shared" si="129"/>
        <v>6</v>
      </c>
      <c r="AZ211" s="3">
        <f t="shared" si="130"/>
        <v>1</v>
      </c>
      <c r="BA211" s="3">
        <f>IF(ISERROR(LEN(VLOOKUP(A211,Seqs!A:E,2,FALSE))-AL211),"-",LEN(VLOOKUP(A211,Seqs!A:E,2,FALSE))-AL211)</f>
        <v>55</v>
      </c>
      <c r="BB211" s="16">
        <f t="shared" si="131"/>
        <v>28</v>
      </c>
      <c r="BC211" s="9">
        <f t="shared" si="132"/>
        <v>20</v>
      </c>
      <c r="BD211" s="3">
        <f t="shared" si="133"/>
        <v>28</v>
      </c>
      <c r="BE211" s="3">
        <f t="shared" si="134"/>
        <v>50</v>
      </c>
    </row>
    <row r="212" spans="1:59" s="3" customFormat="1" x14ac:dyDescent="0.2">
      <c r="A212" s="3" t="s">
        <v>347</v>
      </c>
      <c r="B212" s="3" t="str">
        <f>LOWER(VLOOKUP(A212,Xtal_Templ!A:B,2,FALSE))</f>
        <v>p2ry1_human</v>
      </c>
      <c r="C212" s="3">
        <f>VLOOKUP($A212,'SegEnds_NonXtal_BW#'!$A:$Z,3,FALSE)+D212-50</f>
        <v>33</v>
      </c>
      <c r="D212" s="3">
        <v>53</v>
      </c>
      <c r="E212" s="3">
        <f>IF(ISERROR(VLOOKUP($A212,'SegEnds_NonXtal_BW#'!$A:$Z,4,FALSE)+VLOOKUP($A212,A:AL,4,FALSE)-50),"-",(VLOOKUP($A212,'SegEnds_NonXtal_BW#'!$A:$Z,4,FALSE)+VLOOKUP($A212,A:AL,4,FALSE)-50))</f>
        <v>63</v>
      </c>
      <c r="F212" s="3" t="str">
        <f>IF(ISERROR(VLOOKUP($A212,'SegEnds_NonXtal_BW#'!$A:$Z,5,FALSE)+VLOOKUP($A212,A:AL,7,FALSE)-50),"-",(VLOOKUP($A212,'SegEnds_NonXtal_BW#'!$A:$Z,5,FALSE)+VLOOKUP($A212,A:AL,7,FALSE)-50))</f>
        <v>-</v>
      </c>
      <c r="G212" s="3" t="s">
        <v>23</v>
      </c>
      <c r="H212" s="3" t="str">
        <f>IF(ISERROR(VLOOKUP($A212,'SegEnds_NonXtal_BW#'!$A:$Z,6,FALSE)+VLOOKUP($A212,A:AL,7,FALSE)-50),"-",(VLOOKUP($A212,'SegEnds_NonXtal_BW#'!$A:$Z,6,FALSE)+VLOOKUP($A212,A:AL,7,FALSE)-50))</f>
        <v>-</v>
      </c>
      <c r="I212" s="3">
        <f>VLOOKUP($A212,'SegEnds_NonXtal_BW#'!$A:$Z,7,FALSE)+J212-50</f>
        <v>68</v>
      </c>
      <c r="J212" s="3">
        <v>81</v>
      </c>
      <c r="K212" s="3">
        <f>VLOOKUP($A212,'SegEnds_NonXtal_BW#'!$A:$Z,8,FALSE)+VLOOKUP($A212,A:AL,10,FALSE)-50</f>
        <v>97</v>
      </c>
      <c r="L212" s="3">
        <f t="shared" si="138"/>
        <v>100</v>
      </c>
      <c r="M212" s="3">
        <v>101</v>
      </c>
      <c r="N212" s="3">
        <f t="shared" si="139"/>
        <v>103</v>
      </c>
      <c r="O212" s="3">
        <f t="shared" si="118"/>
        <v>104</v>
      </c>
      <c r="P212" s="3">
        <v>133</v>
      </c>
      <c r="Q212" s="3">
        <f>VLOOKUP($A212,'SegEnds_NonXtal_BW#'!$A:$Z,12,FALSE)+VLOOKUP($A212,A:AL,16,FALSE)-50</f>
        <v>139</v>
      </c>
      <c r="R212" s="3">
        <f>IF(ISERROR(VLOOKUP($A212,'SegEnds_NonXtal_BW#'!$A:$Z,13,FALSE)+VLOOKUP($A212,A:AL,19,FALSE)-50),"-",VLOOKUP($A212,'SegEnds_NonXtal_BW#'!$A:$Z,13,FALSE)+VLOOKUP($A212,A:AL,19,FALSE)-50)</f>
        <v>140</v>
      </c>
      <c r="S212" s="3">
        <v>140</v>
      </c>
      <c r="T212" s="103">
        <f>IF(ISERROR(VLOOKUP($A212,'SegEnds_NonXtal_BW#'!$A:$Z,14,FALSE)+VLOOKUP($A212,A:AL,19,FALSE)-50),"-",(VLOOKUP($A212,'SegEnds_NonXtal_BW#'!$A:$Z,14,FALSE)+VLOOKUP($A212,A:AL,19,FALSE)-50))</f>
        <v>147</v>
      </c>
      <c r="U212" s="9">
        <f>IF(ISERROR(VLOOKUP($A212,'SegEnds_NonXtal_BW#'!$A:$Z,15,FALSE)+VLOOKUP($A212,A:AL,22,FALSE)-50),"-",VLOOKUP($A212,'SegEnds_NonXtal_BW#'!$A:$Z,15,FALSE)+VLOOKUP($A212,A:AL,22,FALSE)-50)</f>
        <v>148</v>
      </c>
      <c r="V212" s="3">
        <v>160</v>
      </c>
      <c r="W212" s="3">
        <f>IF(ISERROR(VLOOKUP($A212,'SegEnds_NonXtal_BW#'!$A:$Z,16,FALSE)+VLOOKUP($A212,A:AL,22,FALSE)-50),"-",(VLOOKUP($A212,'SegEnds_NonXtal_BW#'!$A:$Z,16,FALSE)+VLOOKUP($A212,A:AL,22,FALSE)-50))</f>
        <v>174</v>
      </c>
      <c r="X212" s="3">
        <f>IF(ISERROR(VLOOKUP($A212,'SegEnds_NonXtal_BW#'!$A:$Z,17,FALSE)+VLOOKUP($A212,A:AL,25,FALSE)-50),"-",(VLOOKUP($A212,'SegEnds_NonXtal_BW#'!$A:$Z,17,FALSE)+VLOOKUP($A212,A:AL,25,FALSE)-50))</f>
        <v>185</v>
      </c>
      <c r="Y212" s="3">
        <v>185</v>
      </c>
      <c r="Z212" s="3">
        <f t="shared" si="119"/>
        <v>187</v>
      </c>
      <c r="AA212" s="3">
        <f>IF(ISERROR(VLOOKUP($A212,'SegEnds_NonXtal_BW#'!$A:$Z,19,FALSE)+VLOOKUP($A212,A:AL,28,FALSE)-50),"-",(VLOOKUP($A212,'SegEnds_NonXtal_BW#'!$A:$Z,19,FALSE)+VLOOKUP($A212,A:AL,28,FALSE)-50))</f>
        <v>194</v>
      </c>
      <c r="AB212" s="3">
        <v>212</v>
      </c>
      <c r="AC212" s="3">
        <f>IF(ISERROR((VLOOKUP($A212,'SegEnds_NonXtal_BW#'!$A:$Z,20,FALSE)+VLOOKUP($A212,A:AL,28,FALSE)-50)),"-",(VLOOKUP($A212,'SegEnds_NonXtal_BW#'!$A:$Z,20,FALSE)+VLOOKUP($A212,A:AL,28,FALSE)-50))</f>
        <v>230</v>
      </c>
      <c r="AD212" s="3">
        <f>IF(ISERROR(VLOOKUP($A212,'SegEnds_NonXtal_BW#'!$A:$Z,21,FALSE)+VLOOKUP($A212,A:AL,31,FALSE)-50),"-",(VLOOKUP($A212,'SegEnds_NonXtal_BW#'!$A:$Z,21,FALSE)+VLOOKUP($A212,A:AL,31,FALSE)-50))</f>
        <v>234</v>
      </c>
      <c r="AE212" s="3">
        <v>260</v>
      </c>
      <c r="AF212" s="3">
        <f>IF(ISERROR((VLOOKUP($A212,'SegEnds_NonXtal_BW#'!$A:$Z,22,FALSE)+VLOOKUP($A212,A:AL,31,FALSE)-50)),"-",(VLOOKUP($A212,'SegEnds_NonXtal_BW#'!$A:$Z,22,FALSE)+VLOOKUP($A212,A:AL,31,FALSE)-50))</f>
        <v>271</v>
      </c>
      <c r="AG212" s="3">
        <f>IF(ISERROR(VLOOKUP($A212,'SegEnds_NonXtal_BW#'!$A:$Z,23,FALSE)+VLOOKUP($A212,A:AL,34,FALSE)-50),"-",(VLOOKUP($A212,'SegEnds_NonXtal_BW#'!$A:$Z,23,FALSE)+VLOOKUP($A212,A:AL,34,FALSE)-50))</f>
        <v>277</v>
      </c>
      <c r="AH212" s="3">
        <v>303</v>
      </c>
      <c r="AI212" s="3">
        <f>IF(ISERROR((VLOOKUP($A212,'SegEnds_NonXtal_BW#'!$A:$Z,24,FALSE)+VLOOKUP($A212,A:AL,34,FALSE)-50)),"-",(VLOOKUP($A212,'SegEnds_NonXtal_BW#'!$A:$Z,24,FALSE)+VLOOKUP($A212,A:AL,34,FALSE)-50))</f>
        <v>309</v>
      </c>
      <c r="AJ212" s="3">
        <f>IF(ISERROR(VLOOKUP($A212,'SegEnds_NonXtal_BW#'!$A:$Z,25,FALSE)+VLOOKUP($A212,A:AL,37,FALSE)-50),"-",(VLOOKUP($A212,'SegEnds_NonXtal_BW#'!$A:$Z,25,FALSE)+VLOOKUP($A212,A:AL,37,FALSE)-50))</f>
        <v>310</v>
      </c>
      <c r="AK212" s="3">
        <v>313</v>
      </c>
      <c r="AL212" s="3">
        <f>IF(ISERROR((VLOOKUP($A212,'SegEnds_NonXtal_BW#'!$A:$Z,26,FALSE)+VLOOKUP($A212,A:AL,37,FALSE)-50)),"-",(VLOOKUP($A212,'SegEnds_NonXtal_BW#'!$A:$Z,26,FALSE)+VLOOKUP($A212,A:AL,37,FALSE)-50))</f>
        <v>322</v>
      </c>
      <c r="AM212" s="28" t="str">
        <f>VLOOKUP(A212,Classification!A:B,2,FALSE)</f>
        <v>A</v>
      </c>
      <c r="AN212" s="28" t="b">
        <f t="shared" si="135"/>
        <v>1</v>
      </c>
      <c r="AO212" s="3" t="str">
        <f>IF(ISERROR(MATCH(A212,'SegEnds_Xtal_Prot#'!B:B, 0)), "NoXtal", "Xtal")</f>
        <v>NoXtal</v>
      </c>
      <c r="AP212" s="3" t="str">
        <f t="shared" si="120"/>
        <v>-</v>
      </c>
      <c r="AQ212" s="3" t="str">
        <f t="shared" si="121"/>
        <v>-</v>
      </c>
      <c r="AR212" s="3">
        <f t="shared" si="122"/>
        <v>3</v>
      </c>
      <c r="AS212" s="3">
        <f t="shared" si="123"/>
        <v>1</v>
      </c>
      <c r="AT212" s="3">
        <f t="shared" si="124"/>
        <v>1</v>
      </c>
      <c r="AU212" s="3">
        <f t="shared" si="125"/>
        <v>1</v>
      </c>
      <c r="AV212" s="3">
        <f t="shared" si="126"/>
        <v>11</v>
      </c>
      <c r="AW212" s="3">
        <f t="shared" si="127"/>
        <v>7</v>
      </c>
      <c r="AX212" s="3">
        <f t="shared" si="128"/>
        <v>4</v>
      </c>
      <c r="AY212" s="3">
        <f t="shared" si="129"/>
        <v>6</v>
      </c>
      <c r="AZ212" s="3">
        <f t="shared" si="130"/>
        <v>1</v>
      </c>
      <c r="BA212" s="3">
        <f>IF(ISERROR(LEN(VLOOKUP(A212,Seqs!A:E,2,FALSE))-AL212),"-",LEN(VLOOKUP(A212,Seqs!A:E,2,FALSE))-AL212)</f>
        <v>43</v>
      </c>
      <c r="BB212" s="16">
        <f t="shared" si="131"/>
        <v>28</v>
      </c>
      <c r="BC212" s="9">
        <f t="shared" si="132"/>
        <v>20</v>
      </c>
      <c r="BD212" s="3">
        <f t="shared" si="133"/>
        <v>28</v>
      </c>
      <c r="BE212" s="3">
        <f t="shared" si="134"/>
        <v>48</v>
      </c>
    </row>
    <row r="213" spans="1:59" s="3" customFormat="1" x14ac:dyDescent="0.2">
      <c r="A213" s="3" t="s">
        <v>349</v>
      </c>
      <c r="B213" s="3" t="str">
        <f>LOWER(VLOOKUP(A213,Xtal_Templ!A:B,2,FALSE))</f>
        <v>par1_human</v>
      </c>
      <c r="C213" s="3">
        <f>VLOOKUP($A213,'SegEnds_NonXtal_BW#'!$A:$Z,3,FALSE)+D213-50</f>
        <v>20</v>
      </c>
      <c r="D213" s="3">
        <v>41</v>
      </c>
      <c r="E213" s="3">
        <f>IF(ISERROR(VLOOKUP($A213,'SegEnds_NonXtal_BW#'!$A:$Z,4,FALSE)+VLOOKUP($A213,A:AL,4,FALSE)-50),"-",(VLOOKUP($A213,'SegEnds_NonXtal_BW#'!$A:$Z,4,FALSE)+VLOOKUP($A213,A:AL,4,FALSE)-50))</f>
        <v>51</v>
      </c>
      <c r="F213" s="3" t="str">
        <f>IF(ISERROR(VLOOKUP($A213,'SegEnds_NonXtal_BW#'!$A:$Z,5,FALSE)+VLOOKUP($A213,A:AL,7,FALSE)-50),"-",(VLOOKUP($A213,'SegEnds_NonXtal_BW#'!$A:$Z,5,FALSE)+VLOOKUP($A213,A:AL,7,FALSE)-50))</f>
        <v>-</v>
      </c>
      <c r="G213" s="3" t="s">
        <v>23</v>
      </c>
      <c r="H213" s="3" t="str">
        <f>IF(ISERROR(VLOOKUP($A213,'SegEnds_NonXtal_BW#'!$A:$Z,6,FALSE)+VLOOKUP($A213,A:AL,7,FALSE)-50),"-",(VLOOKUP($A213,'SegEnds_NonXtal_BW#'!$A:$Z,6,FALSE)+VLOOKUP($A213,A:AL,7,FALSE)-50))</f>
        <v>-</v>
      </c>
      <c r="I213" s="3">
        <f>VLOOKUP($A213,'SegEnds_NonXtal_BW#'!$A:$Z,7,FALSE)+J213-50</f>
        <v>56</v>
      </c>
      <c r="J213" s="3">
        <v>69</v>
      </c>
      <c r="K213" s="3">
        <f>VLOOKUP($A213,'SegEnds_NonXtal_BW#'!$A:$Z,8,FALSE)+VLOOKUP($A213,A:AL,10,FALSE)-50</f>
        <v>85</v>
      </c>
      <c r="L213" s="3">
        <f t="shared" si="138"/>
        <v>88</v>
      </c>
      <c r="M213" s="3">
        <v>89</v>
      </c>
      <c r="N213" s="3">
        <f t="shared" si="139"/>
        <v>91</v>
      </c>
      <c r="O213" s="3">
        <f t="shared" si="118"/>
        <v>92</v>
      </c>
      <c r="P213" s="3">
        <v>121</v>
      </c>
      <c r="Q213" s="3">
        <f>VLOOKUP($A213,'SegEnds_NonXtal_BW#'!$A:$Z,12,FALSE)+VLOOKUP($A213,A:AL,16,FALSE)-50</f>
        <v>127</v>
      </c>
      <c r="R213" s="3">
        <f>IF(ISERROR(VLOOKUP($A213,'SegEnds_NonXtal_BW#'!$A:$Z,13,FALSE)+VLOOKUP($A213,A:AL,19,FALSE)-50),"-",VLOOKUP($A213,'SegEnds_NonXtal_BW#'!$A:$Z,13,FALSE)+VLOOKUP($A213,A:AL,19,FALSE)-50)</f>
        <v>128</v>
      </c>
      <c r="S213" s="3">
        <v>128</v>
      </c>
      <c r="T213" s="103">
        <f>IF(ISERROR(VLOOKUP($A213,'SegEnds_NonXtal_BW#'!$A:$Z,14,FALSE)+VLOOKUP($A213,A:AL,19,FALSE)-50),"-",(VLOOKUP($A213,'SegEnds_NonXtal_BW#'!$A:$Z,14,FALSE)+VLOOKUP($A213,A:AL,19,FALSE)-50))</f>
        <v>135</v>
      </c>
      <c r="U213" s="9">
        <f>IF(ISERROR(VLOOKUP($A213,'SegEnds_NonXtal_BW#'!$A:$Z,15,FALSE)+VLOOKUP($A213,A:AL,22,FALSE)-50),"-",VLOOKUP($A213,'SegEnds_NonXtal_BW#'!$A:$Z,15,FALSE)+VLOOKUP($A213,A:AL,22,FALSE)-50)</f>
        <v>136</v>
      </c>
      <c r="V213" s="3">
        <v>148</v>
      </c>
      <c r="W213" s="3">
        <f>IF(ISERROR(VLOOKUP($A213,'SegEnds_NonXtal_BW#'!$A:$Z,16,FALSE)+VLOOKUP($A213,A:AL,22,FALSE)-50),"-",(VLOOKUP($A213,'SegEnds_NonXtal_BW#'!$A:$Z,16,FALSE)+VLOOKUP($A213,A:AL,22,FALSE)-50))</f>
        <v>161</v>
      </c>
      <c r="X213" s="3">
        <f>IF(ISERROR(VLOOKUP($A213,'SegEnds_NonXtal_BW#'!$A:$Z,17,FALSE)+VLOOKUP($A213,A:AL,25,FALSE)-50),"-",(VLOOKUP($A213,'SegEnds_NonXtal_BW#'!$A:$Z,17,FALSE)+VLOOKUP($A213,A:AL,25,FALSE)-50))</f>
        <v>175</v>
      </c>
      <c r="Y213" s="3">
        <v>175</v>
      </c>
      <c r="Z213" s="3">
        <f t="shared" si="119"/>
        <v>177</v>
      </c>
      <c r="AA213" s="3">
        <f>IF(ISERROR(VLOOKUP($A213,'SegEnds_NonXtal_BW#'!$A:$Z,19,FALSE)+VLOOKUP($A213,A:AL,28,FALSE)-50),"-",(VLOOKUP($A213,'SegEnds_NonXtal_BW#'!$A:$Z,19,FALSE)+VLOOKUP($A213,A:AL,28,FALSE)-50))</f>
        <v>187</v>
      </c>
      <c r="AB213" s="3">
        <v>205</v>
      </c>
      <c r="AC213" s="3">
        <f>IF(ISERROR((VLOOKUP($A213,'SegEnds_NonXtal_BW#'!$A:$Z,20,FALSE)+VLOOKUP($A213,A:AL,28,FALSE)-50)),"-",(VLOOKUP($A213,'SegEnds_NonXtal_BW#'!$A:$Z,20,FALSE)+VLOOKUP($A213,A:AL,28,FALSE)-50))</f>
        <v>222</v>
      </c>
      <c r="AD213" s="3">
        <f>IF(ISERROR(VLOOKUP($A213,'SegEnds_NonXtal_BW#'!$A:$Z,21,FALSE)+VLOOKUP($A213,A:AL,31,FALSE)-50),"-",(VLOOKUP($A213,'SegEnds_NonXtal_BW#'!$A:$Z,21,FALSE)+VLOOKUP($A213,A:AL,31,FALSE)-50))</f>
        <v>228</v>
      </c>
      <c r="AE213" s="3">
        <v>252</v>
      </c>
      <c r="AF213" s="3">
        <f>IF(ISERROR((VLOOKUP($A213,'SegEnds_NonXtal_BW#'!$A:$Z,22,FALSE)+VLOOKUP($A213,A:AL,31,FALSE)-50)),"-",(VLOOKUP($A213,'SegEnds_NonXtal_BW#'!$A:$Z,22,FALSE)+VLOOKUP($A213,A:AL,31,FALSE)-50))</f>
        <v>263</v>
      </c>
      <c r="AG213" s="3">
        <f>IF(ISERROR(VLOOKUP($A213,'SegEnds_NonXtal_BW#'!$A:$Z,23,FALSE)+VLOOKUP($A213,A:AL,34,FALSE)-50),"-",(VLOOKUP($A213,'SegEnds_NonXtal_BW#'!$A:$Z,23,FALSE)+VLOOKUP($A213,A:AL,34,FALSE)-50))</f>
        <v>268</v>
      </c>
      <c r="AH213" s="3">
        <v>290</v>
      </c>
      <c r="AI213" s="3">
        <f>IF(ISERROR((VLOOKUP($A213,'SegEnds_NonXtal_BW#'!$A:$Z,24,FALSE)+VLOOKUP($A213,A:AL,34,FALSE)-50)),"-",(VLOOKUP($A213,'SegEnds_NonXtal_BW#'!$A:$Z,24,FALSE)+VLOOKUP($A213,A:AL,34,FALSE)-50))</f>
        <v>296</v>
      </c>
      <c r="AJ213" s="3">
        <f>IF(ISERROR(VLOOKUP($A213,'SegEnds_NonXtal_BW#'!$A:$Z,25,FALSE)+VLOOKUP($A213,A:AL,37,FALSE)-50),"-",(VLOOKUP($A213,'SegEnds_NonXtal_BW#'!$A:$Z,25,FALSE)+VLOOKUP($A213,A:AL,37,FALSE)-50))</f>
        <v>297</v>
      </c>
      <c r="AK213" s="3">
        <v>300</v>
      </c>
      <c r="AL213" s="3">
        <f>IF(ISERROR((VLOOKUP($A213,'SegEnds_NonXtal_BW#'!$A:$Z,26,FALSE)+VLOOKUP($A213,A:AL,37,FALSE)-50)),"-",(VLOOKUP($A213,'SegEnds_NonXtal_BW#'!$A:$Z,26,FALSE)+VLOOKUP($A213,A:AL,37,FALSE)-50))</f>
        <v>311</v>
      </c>
      <c r="AM213" s="28" t="str">
        <f>VLOOKUP(A213,Classification!A:B,2,FALSE)</f>
        <v>A</v>
      </c>
      <c r="AN213" s="28" t="b">
        <f t="shared" si="135"/>
        <v>1</v>
      </c>
      <c r="AO213" s="3" t="str">
        <f>IF(ISERROR(MATCH(A213,'SegEnds_Xtal_Prot#'!B:B, 0)), "NoXtal", "Xtal")</f>
        <v>NoXtal</v>
      </c>
      <c r="AP213" s="3" t="str">
        <f t="shared" si="120"/>
        <v>-</v>
      </c>
      <c r="AQ213" s="3" t="str">
        <f t="shared" si="121"/>
        <v>-</v>
      </c>
      <c r="AR213" s="3">
        <f t="shared" si="122"/>
        <v>3</v>
      </c>
      <c r="AS213" s="3">
        <f t="shared" si="123"/>
        <v>1</v>
      </c>
      <c r="AT213" s="3">
        <f t="shared" si="124"/>
        <v>1</v>
      </c>
      <c r="AU213" s="3">
        <f t="shared" si="125"/>
        <v>1</v>
      </c>
      <c r="AV213" s="3">
        <f t="shared" si="126"/>
        <v>14</v>
      </c>
      <c r="AW213" s="3">
        <f t="shared" si="127"/>
        <v>10</v>
      </c>
      <c r="AX213" s="3">
        <f t="shared" si="128"/>
        <v>6</v>
      </c>
      <c r="AY213" s="3">
        <f t="shared" si="129"/>
        <v>5</v>
      </c>
      <c r="AZ213" s="3">
        <f t="shared" si="130"/>
        <v>1</v>
      </c>
      <c r="BA213" s="3">
        <f>IF(ISERROR(LEN(VLOOKUP(A213,Seqs!A:E,2,FALSE))-AL213),"-",LEN(VLOOKUP(A213,Seqs!A:E,2,FALSE))-AL213)</f>
        <v>48</v>
      </c>
      <c r="BB213" s="16">
        <f t="shared" si="131"/>
        <v>28</v>
      </c>
      <c r="BC213" s="9">
        <f t="shared" si="132"/>
        <v>20</v>
      </c>
      <c r="BD213" s="3">
        <f t="shared" si="133"/>
        <v>28</v>
      </c>
      <c r="BE213" s="3">
        <f t="shared" si="134"/>
        <v>47</v>
      </c>
    </row>
    <row r="214" spans="1:59" s="3" customFormat="1" x14ac:dyDescent="0.2">
      <c r="A214" s="3" t="s">
        <v>351</v>
      </c>
      <c r="B214" s="3" t="str">
        <f>LOWER(VLOOKUP(A214,Xtal_Templ!A:B,2,FALSE))</f>
        <v>p2ry1_human</v>
      </c>
      <c r="C214" s="3">
        <f>VLOOKUP($A214,'SegEnds_NonXtal_BW#'!$A:$Z,3,FALSE)+D214-50</f>
        <v>26</v>
      </c>
      <c r="D214" s="3">
        <v>46</v>
      </c>
      <c r="E214" s="3">
        <f>IF(ISERROR(VLOOKUP($A214,'SegEnds_NonXtal_BW#'!$A:$Z,4,FALSE)+VLOOKUP($A214,A:AL,4,FALSE)-50),"-",(VLOOKUP($A214,'SegEnds_NonXtal_BW#'!$A:$Z,4,FALSE)+VLOOKUP($A214,A:AL,4,FALSE)-50))</f>
        <v>56</v>
      </c>
      <c r="F214" s="3" t="str">
        <f>IF(ISERROR(VLOOKUP($A214,'SegEnds_NonXtal_BW#'!$A:$Z,5,FALSE)+VLOOKUP($A214,A:AL,7,FALSE)-50),"-",(VLOOKUP($A214,'SegEnds_NonXtal_BW#'!$A:$Z,5,FALSE)+VLOOKUP($A214,A:AL,7,FALSE)-50))</f>
        <v>-</v>
      </c>
      <c r="G214" s="3" t="s">
        <v>23</v>
      </c>
      <c r="H214" s="3" t="str">
        <f>IF(ISERROR(VLOOKUP($A214,'SegEnds_NonXtal_BW#'!$A:$Z,6,FALSE)+VLOOKUP($A214,A:AL,7,FALSE)-50),"-",(VLOOKUP($A214,'SegEnds_NonXtal_BW#'!$A:$Z,6,FALSE)+VLOOKUP($A214,A:AL,7,FALSE)-50))</f>
        <v>-</v>
      </c>
      <c r="I214" s="3">
        <f>VLOOKUP($A214,'SegEnds_NonXtal_BW#'!$A:$Z,7,FALSE)+J214-50</f>
        <v>62</v>
      </c>
      <c r="J214" s="3">
        <v>75</v>
      </c>
      <c r="K214" s="3">
        <f>VLOOKUP($A214,'SegEnds_NonXtal_BW#'!$A:$Z,8,FALSE)+VLOOKUP($A214,A:AL,10,FALSE)-50</f>
        <v>91</v>
      </c>
      <c r="L214" s="3">
        <f t="shared" si="138"/>
        <v>94</v>
      </c>
      <c r="M214" s="3">
        <v>95</v>
      </c>
      <c r="N214" s="3">
        <f t="shared" si="139"/>
        <v>97</v>
      </c>
      <c r="O214" s="3">
        <f t="shared" si="118"/>
        <v>98</v>
      </c>
      <c r="P214" s="3">
        <v>127</v>
      </c>
      <c r="Q214" s="3">
        <f>VLOOKUP($A214,'SegEnds_NonXtal_BW#'!$A:$Z,12,FALSE)+VLOOKUP($A214,A:AL,16,FALSE)-50</f>
        <v>133</v>
      </c>
      <c r="R214" s="3">
        <f>IF(ISERROR(VLOOKUP($A214,'SegEnds_NonXtal_BW#'!$A:$Z,13,FALSE)+VLOOKUP($A214,A:AL,19,FALSE)-50),"-",VLOOKUP($A214,'SegEnds_NonXtal_BW#'!$A:$Z,13,FALSE)+VLOOKUP($A214,A:AL,19,FALSE)-50)</f>
        <v>134</v>
      </c>
      <c r="S214" s="3">
        <v>134</v>
      </c>
      <c r="T214" s="103">
        <f>IF(ISERROR(VLOOKUP($A214,'SegEnds_NonXtal_BW#'!$A:$Z,14,FALSE)+VLOOKUP($A214,A:AL,19,FALSE)-50),"-",(VLOOKUP($A214,'SegEnds_NonXtal_BW#'!$A:$Z,14,FALSE)+VLOOKUP($A214,A:AL,19,FALSE)-50))</f>
        <v>141</v>
      </c>
      <c r="U214" s="9">
        <f>IF(ISERROR(VLOOKUP($A214,'SegEnds_NonXtal_BW#'!$A:$Z,15,FALSE)+VLOOKUP($A214,A:AL,22,FALSE)-50),"-",VLOOKUP($A214,'SegEnds_NonXtal_BW#'!$A:$Z,15,FALSE)+VLOOKUP($A214,A:AL,22,FALSE)-50)</f>
        <v>142</v>
      </c>
      <c r="V214" s="3">
        <v>154</v>
      </c>
      <c r="W214" s="3">
        <f>IF(ISERROR(VLOOKUP($A214,'SegEnds_NonXtal_BW#'!$A:$Z,16,FALSE)+VLOOKUP($A214,A:AL,22,FALSE)-50),"-",(VLOOKUP($A214,'SegEnds_NonXtal_BW#'!$A:$Z,16,FALSE)+VLOOKUP($A214,A:AL,22,FALSE)-50))</f>
        <v>168</v>
      </c>
      <c r="X214" s="3">
        <f>IF(ISERROR(VLOOKUP($A214,'SegEnds_NonXtal_BW#'!$A:$Z,17,FALSE)+VLOOKUP($A214,A:AL,25,FALSE)-50),"-",(VLOOKUP($A214,'SegEnds_NonXtal_BW#'!$A:$Z,17,FALSE)+VLOOKUP($A214,A:AL,25,FALSE)-50))</f>
        <v>191</v>
      </c>
      <c r="Y214" s="3">
        <v>191</v>
      </c>
      <c r="Z214" s="3">
        <f t="shared" si="119"/>
        <v>193</v>
      </c>
      <c r="AA214" s="3">
        <f>IF(ISERROR(VLOOKUP($A214,'SegEnds_NonXtal_BW#'!$A:$Z,19,FALSE)+VLOOKUP($A214,A:AL,28,FALSE)-50),"-",(VLOOKUP($A214,'SegEnds_NonXtal_BW#'!$A:$Z,19,FALSE)+VLOOKUP($A214,A:AL,28,FALSE)-50))</f>
        <v>199</v>
      </c>
      <c r="AB214" s="3">
        <v>217</v>
      </c>
      <c r="AC214" s="3">
        <f>IF(ISERROR((VLOOKUP($A214,'SegEnds_NonXtal_BW#'!$A:$Z,20,FALSE)+VLOOKUP($A214,A:AL,28,FALSE)-50)),"-",(VLOOKUP($A214,'SegEnds_NonXtal_BW#'!$A:$Z,20,FALSE)+VLOOKUP($A214,A:AL,28,FALSE)-50))</f>
        <v>234</v>
      </c>
      <c r="AD214" s="3">
        <f>IF(ISERROR(VLOOKUP($A214,'SegEnds_NonXtal_BW#'!$A:$Z,21,FALSE)+VLOOKUP($A214,A:AL,31,FALSE)-50),"-",(VLOOKUP($A214,'SegEnds_NonXtal_BW#'!$A:$Z,21,FALSE)+VLOOKUP($A214,A:AL,31,FALSE)-50))</f>
        <v>239</v>
      </c>
      <c r="AE214" s="3">
        <v>263</v>
      </c>
      <c r="AF214" s="3">
        <f>IF(ISERROR((VLOOKUP($A214,'SegEnds_NonXtal_BW#'!$A:$Z,22,FALSE)+VLOOKUP($A214,A:AL,31,FALSE)-50)),"-",(VLOOKUP($A214,'SegEnds_NonXtal_BW#'!$A:$Z,22,FALSE)+VLOOKUP($A214,A:AL,31,FALSE)-50))</f>
        <v>277</v>
      </c>
      <c r="AG214" s="3">
        <f>IF(ISERROR(VLOOKUP($A214,'SegEnds_NonXtal_BW#'!$A:$Z,23,FALSE)+VLOOKUP($A214,A:AL,34,FALSE)-50),"-",(VLOOKUP($A214,'SegEnds_NonXtal_BW#'!$A:$Z,23,FALSE)+VLOOKUP($A214,A:AL,34,FALSE)-50))</f>
        <v>292</v>
      </c>
      <c r="AH214" s="3">
        <v>318</v>
      </c>
      <c r="AI214" s="3">
        <f>IF(ISERROR((VLOOKUP($A214,'SegEnds_NonXtal_BW#'!$A:$Z,24,FALSE)+VLOOKUP($A214,A:AL,34,FALSE)-50)),"-",(VLOOKUP($A214,'SegEnds_NonXtal_BW#'!$A:$Z,24,FALSE)+VLOOKUP($A214,A:AL,34,FALSE)-50))</f>
        <v>324</v>
      </c>
      <c r="AJ214" s="3">
        <f>IF(ISERROR(VLOOKUP($A214,'SegEnds_NonXtal_BW#'!$A:$Z,25,FALSE)+VLOOKUP($A214,A:AL,37,FALSE)-50),"-",(VLOOKUP($A214,'SegEnds_NonXtal_BW#'!$A:$Z,25,FALSE)+VLOOKUP($A214,A:AL,37,FALSE)-50))</f>
        <v>325</v>
      </c>
      <c r="AK214" s="3">
        <v>328</v>
      </c>
      <c r="AL214" s="3">
        <f>IF(ISERROR((VLOOKUP($A214,'SegEnds_NonXtal_BW#'!$A:$Z,26,FALSE)+VLOOKUP($A214,A:AL,37,FALSE)-50)),"-",(VLOOKUP($A214,'SegEnds_NonXtal_BW#'!$A:$Z,26,FALSE)+VLOOKUP($A214,A:AL,37,FALSE)-50))</f>
        <v>337</v>
      </c>
      <c r="AM214" s="28" t="str">
        <f>VLOOKUP(A214,Classification!A:B,2,FALSE)</f>
        <v>A</v>
      </c>
      <c r="AN214" s="28" t="b">
        <f t="shared" si="135"/>
        <v>1</v>
      </c>
      <c r="AO214" s="3" t="str">
        <f>IF(ISERROR(MATCH(A214,'SegEnds_Xtal_Prot#'!B:B, 0)), "NoXtal", "Xtal")</f>
        <v>NoXtal</v>
      </c>
      <c r="AP214" s="3" t="str">
        <f t="shared" si="120"/>
        <v>-</v>
      </c>
      <c r="AQ214" s="3" t="str">
        <f t="shared" si="121"/>
        <v>-</v>
      </c>
      <c r="AR214" s="3">
        <f t="shared" si="122"/>
        <v>3</v>
      </c>
      <c r="AS214" s="3">
        <f t="shared" si="123"/>
        <v>1</v>
      </c>
      <c r="AT214" s="3">
        <f t="shared" si="124"/>
        <v>1</v>
      </c>
      <c r="AU214" s="3">
        <f t="shared" si="125"/>
        <v>1</v>
      </c>
      <c r="AV214" s="3">
        <f t="shared" si="126"/>
        <v>23</v>
      </c>
      <c r="AW214" s="3">
        <f t="shared" si="127"/>
        <v>6</v>
      </c>
      <c r="AX214" s="3">
        <f t="shared" si="128"/>
        <v>5</v>
      </c>
      <c r="AY214" s="3">
        <f t="shared" si="129"/>
        <v>15</v>
      </c>
      <c r="AZ214" s="3">
        <f t="shared" si="130"/>
        <v>1</v>
      </c>
      <c r="BA214" s="3">
        <f>IF(ISERROR(LEN(VLOOKUP(A214,Seqs!A:E,2,FALSE))-AL214),"-",LEN(VLOOKUP(A214,Seqs!A:E,2,FALSE))-AL214)</f>
        <v>37</v>
      </c>
      <c r="BB214" s="16">
        <f t="shared" si="131"/>
        <v>29</v>
      </c>
      <c r="BC214" s="9">
        <f t="shared" si="132"/>
        <v>20</v>
      </c>
      <c r="BD214" s="3">
        <f t="shared" si="133"/>
        <v>29</v>
      </c>
      <c r="BE214" s="3">
        <f t="shared" si="134"/>
        <v>46</v>
      </c>
    </row>
    <row r="215" spans="1:59" s="3" customFormat="1" x14ac:dyDescent="0.2">
      <c r="A215" s="3" t="s">
        <v>352</v>
      </c>
      <c r="B215" s="3" t="str">
        <f>LOWER(VLOOKUP(A215,Xtal_Templ!A:B,2,FALSE))</f>
        <v>p2y12_human</v>
      </c>
      <c r="C215" s="3">
        <f>VLOOKUP($A215,'SegEnds_NonXtal_BW#'!$A:$Z,3,FALSE)+D215-50</f>
        <v>21</v>
      </c>
      <c r="D215" s="3">
        <v>43</v>
      </c>
      <c r="E215" s="3">
        <f>IF(ISERROR(VLOOKUP($A215,'SegEnds_NonXtal_BW#'!$A:$Z,4,FALSE)+VLOOKUP($A215,A:AL,4,FALSE)-50),"-",(VLOOKUP($A215,'SegEnds_NonXtal_BW#'!$A:$Z,4,FALSE)+VLOOKUP($A215,A:AL,4,FALSE)-50))</f>
        <v>53</v>
      </c>
      <c r="F215" s="3" t="str">
        <f>IF(ISERROR(VLOOKUP($A215,'SegEnds_NonXtal_BW#'!$A:$Z,5,FALSE)+VLOOKUP($A215,A:AL,7,FALSE)-50),"-",(VLOOKUP($A215,'SegEnds_NonXtal_BW#'!$A:$Z,5,FALSE)+VLOOKUP($A215,A:AL,7,FALSE)-50))</f>
        <v>-</v>
      </c>
      <c r="G215" s="3" t="s">
        <v>23</v>
      </c>
      <c r="H215" s="3" t="str">
        <f>IF(ISERROR(VLOOKUP($A215,'SegEnds_NonXtal_BW#'!$A:$Z,6,FALSE)+VLOOKUP($A215,A:AL,7,FALSE)-50),"-",(VLOOKUP($A215,'SegEnds_NonXtal_BW#'!$A:$Z,6,FALSE)+VLOOKUP($A215,A:AL,7,FALSE)-50))</f>
        <v>-</v>
      </c>
      <c r="I215" s="3">
        <f>VLOOKUP($A215,'SegEnds_NonXtal_BW#'!$A:$Z,7,FALSE)+J215-50</f>
        <v>57</v>
      </c>
      <c r="J215" s="3">
        <v>70</v>
      </c>
      <c r="K215" s="3">
        <f>VLOOKUP($A215,'SegEnds_NonXtal_BW#'!$A:$Z,8,FALSE)+VLOOKUP($A215,A:AL,10,FALSE)-50</f>
        <v>86</v>
      </c>
      <c r="L215" s="3" t="str">
        <f>IF(ISERROR(VLOOKUP($A215,'SegEnds_NonXtal_BW#'!$A:$Z,9,FALSE)+VLOOKUP($A215,A:AL,13,FALSE)-50),"-",(VLOOKUP($A215,'SegEnds_NonXtal_BW#'!$A:$Z,9,FALSE)+VLOOKUP($A215,A:AL,13,FALSE)-50))</f>
        <v>-</v>
      </c>
      <c r="M215" s="3" t="s">
        <v>23</v>
      </c>
      <c r="N215" s="3" t="str">
        <f>IF(ISERROR(VLOOKUP($A215,'SegEnds_NonXtal_BW#'!$A:$Z,10,FALSE)+VLOOKUP($A215,A:AL,13,FALSE)-50),"-",(VLOOKUP($A215,'SegEnds_NonXtal_BW#'!$A:$Z,10,FALSE)+VLOOKUP($A215,A:AL,13,FALSE)-50))</f>
        <v>-</v>
      </c>
      <c r="O215" s="3">
        <f>VLOOKUP($A215,'SegEnds_NonXtal_BW#'!$A:$Z,11,FALSE)+VLOOKUP($A215,A:AL,16,FALSE)-50</f>
        <v>90</v>
      </c>
      <c r="P215" s="3">
        <v>122</v>
      </c>
      <c r="Q215" s="3">
        <f>VLOOKUP($A215,'SegEnds_NonXtal_BW#'!$A:$Z,12,FALSE)+VLOOKUP($A215,A:AL,16,FALSE)-50</f>
        <v>128</v>
      </c>
      <c r="R215" s="3">
        <f>IF(ISERROR(VLOOKUP($A215,'SegEnds_NonXtal_BW#'!$A:$Z,13,FALSE)+VLOOKUP($A215,A:AL,19,FALSE)-50),"-",VLOOKUP($A215,'SegEnds_NonXtal_BW#'!$A:$Z,13,FALSE)+VLOOKUP($A215,A:AL,19,FALSE)-50)</f>
        <v>129</v>
      </c>
      <c r="S215" s="3">
        <v>129</v>
      </c>
      <c r="T215" s="103">
        <f>IF(ISERROR(VLOOKUP($A215,'SegEnds_NonXtal_BW#'!$A:$Z,14,FALSE)+VLOOKUP($A215,A:AL,19,FALSE)-50),"-",(VLOOKUP($A215,'SegEnds_NonXtal_BW#'!$A:$Z,14,FALSE)+VLOOKUP($A215,A:AL,19,FALSE)-50))</f>
        <v>136</v>
      </c>
      <c r="U215" s="9">
        <f>IF(ISERROR(VLOOKUP($A215,'SegEnds_NonXtal_BW#'!$A:$Z,15,FALSE)+VLOOKUP($A215,A:AL,22,FALSE)-50),"-",VLOOKUP($A215,'SegEnds_NonXtal_BW#'!$A:$Z,15,FALSE)+VLOOKUP($A215,A:AL,22,FALSE)-50)</f>
        <v>137</v>
      </c>
      <c r="V215" s="3">
        <v>149</v>
      </c>
      <c r="W215" s="3">
        <f>IF(ISERROR(VLOOKUP($A215,'SegEnds_NonXtal_BW#'!$A:$Z,16,FALSE)+VLOOKUP($A215,A:AL,22,FALSE)-50),"-",(VLOOKUP($A215,'SegEnds_NonXtal_BW#'!$A:$Z,16,FALSE)+VLOOKUP($A215,A:AL,22,FALSE)-50))</f>
        <v>163</v>
      </c>
      <c r="X215" s="3">
        <f>IF(ISERROR(VLOOKUP($A215,'SegEnds_NonXtal_BW#'!$A:$Z,17,FALSE)+VLOOKUP($A215,A:AL,25,FALSE)-50),"-",(VLOOKUP($A215,'SegEnds_NonXtal_BW#'!$A:$Z,17,FALSE)+VLOOKUP($A215,A:AL,25,FALSE)-50))</f>
        <v>175</v>
      </c>
      <c r="Y215" s="3">
        <v>175</v>
      </c>
      <c r="Z215" s="3">
        <f t="shared" si="119"/>
        <v>177</v>
      </c>
      <c r="AA215" s="3">
        <f>IF(ISERROR(VLOOKUP($A215,'SegEnds_NonXtal_BW#'!$A:$Z,19,FALSE)+VLOOKUP($A215,A:AL,28,FALSE)-50),"-",(VLOOKUP($A215,'SegEnds_NonXtal_BW#'!$A:$Z,19,FALSE)+VLOOKUP($A215,A:AL,28,FALSE)-50))</f>
        <v>181</v>
      </c>
      <c r="AB215" s="3">
        <v>201</v>
      </c>
      <c r="AC215" s="3">
        <f>IF(ISERROR((VLOOKUP($A215,'SegEnds_NonXtal_BW#'!$A:$Z,20,FALSE)+VLOOKUP($A215,A:AL,28,FALSE)-50)),"-",(VLOOKUP($A215,'SegEnds_NonXtal_BW#'!$A:$Z,20,FALSE)+VLOOKUP($A215,A:AL,28,FALSE)-50))</f>
        <v>223</v>
      </c>
      <c r="AD215" s="3">
        <f>IF(ISERROR(VLOOKUP($A215,'SegEnds_NonXtal_BW#'!$A:$Z,21,FALSE)+VLOOKUP($A215,A:AL,31,FALSE)-50),"-",(VLOOKUP($A215,'SegEnds_NonXtal_BW#'!$A:$Z,21,FALSE)+VLOOKUP($A215,A:AL,31,FALSE)-50))</f>
        <v>230</v>
      </c>
      <c r="AE215" s="3">
        <v>251</v>
      </c>
      <c r="AF215" s="3">
        <f>IF(ISERROR((VLOOKUP($A215,'SegEnds_NonXtal_BW#'!$A:$Z,22,FALSE)+VLOOKUP($A215,A:AL,31,FALSE)-50)),"-",(VLOOKUP($A215,'SegEnds_NonXtal_BW#'!$A:$Z,22,FALSE)+VLOOKUP($A215,A:AL,31,FALSE)-50))</f>
        <v>265</v>
      </c>
      <c r="AG215" s="3">
        <f>IF(ISERROR(VLOOKUP($A215,'SegEnds_NonXtal_BW#'!$A:$Z,23,FALSE)+VLOOKUP($A215,A:AL,34,FALSE)-50),"-",(VLOOKUP($A215,'SegEnds_NonXtal_BW#'!$A:$Z,23,FALSE)+VLOOKUP($A215,A:AL,34,FALSE)-50))</f>
        <v>269</v>
      </c>
      <c r="AH215" s="3">
        <v>295</v>
      </c>
      <c r="AI215" s="3">
        <f>IF(ISERROR((VLOOKUP($A215,'SegEnds_NonXtal_BW#'!$A:$Z,24,FALSE)+VLOOKUP($A215,A:AL,34,FALSE)-50)),"-",(VLOOKUP($A215,'SegEnds_NonXtal_BW#'!$A:$Z,24,FALSE)+VLOOKUP($A215,A:AL,34,FALSE)-50))</f>
        <v>301</v>
      </c>
      <c r="AJ215" s="3">
        <f>IF(ISERROR(VLOOKUP($A215,'SegEnds_NonXtal_BW#'!$A:$Z,25,FALSE)+VLOOKUP($A215,A:AL,37,FALSE)-50),"-",(VLOOKUP($A215,'SegEnds_NonXtal_BW#'!$A:$Z,25,FALSE)+VLOOKUP($A215,A:AL,37,FALSE)-50))</f>
        <v>302</v>
      </c>
      <c r="AK215" s="3">
        <v>305</v>
      </c>
      <c r="AL215" s="3">
        <f>IF(ISERROR((VLOOKUP($A215,'SegEnds_NonXtal_BW#'!$A:$Z,26,FALSE)+VLOOKUP($A215,A:AL,37,FALSE)-50)),"-",(VLOOKUP($A215,'SegEnds_NonXtal_BW#'!$A:$Z,26,FALSE)+VLOOKUP($A215,A:AL,37,FALSE)-50))</f>
        <v>312</v>
      </c>
      <c r="AM215" s="28" t="str">
        <f>VLOOKUP(A215,Classification!A:B,2,FALSE)</f>
        <v>A</v>
      </c>
      <c r="AN215" s="28" t="b">
        <f t="shared" si="135"/>
        <v>1</v>
      </c>
      <c r="AO215" s="3" t="str">
        <f>IF(ISERROR(MATCH(A215,'SegEnds_Xtal_Prot#'!B:B, 0)), "NoXtal", "Xtal")</f>
        <v>Xtal</v>
      </c>
      <c r="AP215" s="3" t="str">
        <f t="shared" si="120"/>
        <v>-</v>
      </c>
      <c r="AQ215" s="3" t="str">
        <f t="shared" si="121"/>
        <v>-</v>
      </c>
      <c r="AR215" s="3" t="str">
        <f t="shared" si="122"/>
        <v>-</v>
      </c>
      <c r="AS215" s="3" t="str">
        <f t="shared" si="123"/>
        <v>-</v>
      </c>
      <c r="AT215" s="3">
        <f t="shared" si="124"/>
        <v>1</v>
      </c>
      <c r="AU215" s="3">
        <f t="shared" si="125"/>
        <v>1</v>
      </c>
      <c r="AV215" s="3">
        <f t="shared" si="126"/>
        <v>12</v>
      </c>
      <c r="AW215" s="3">
        <f t="shared" si="127"/>
        <v>4</v>
      </c>
      <c r="AX215" s="3">
        <f t="shared" si="128"/>
        <v>7</v>
      </c>
      <c r="AY215" s="3">
        <f t="shared" si="129"/>
        <v>4</v>
      </c>
      <c r="AZ215" s="3">
        <f t="shared" si="130"/>
        <v>1</v>
      </c>
      <c r="BA215" s="3">
        <f>IF(ISERROR(LEN(VLOOKUP(A215,Seqs!A:E,2,FALSE))-AL215),"-",LEN(VLOOKUP(A215,Seqs!A:E,2,FALSE))-AL215)</f>
        <v>30</v>
      </c>
      <c r="BB215" s="16">
        <f t="shared" si="131"/>
        <v>27</v>
      </c>
      <c r="BC215" s="9">
        <f t="shared" si="132"/>
        <v>20</v>
      </c>
      <c r="BD215" s="3">
        <f t="shared" si="133"/>
        <v>27</v>
      </c>
      <c r="BE215" s="3">
        <f t="shared" si="134"/>
        <v>50</v>
      </c>
    </row>
    <row r="216" spans="1:59" s="3" customFormat="1" x14ac:dyDescent="0.2">
      <c r="A216" s="3" t="s">
        <v>353</v>
      </c>
      <c r="B216" s="3" t="str">
        <f>LOWER(VLOOKUP(A216,Xtal_Templ!A:B,2,FALSE))</f>
        <v>p2y12_human</v>
      </c>
      <c r="C216" s="3">
        <f>VLOOKUP($A216,'SegEnds_NonXtal_BW#'!$A:$Z,3,FALSE)+D216-50</f>
        <v>40</v>
      </c>
      <c r="D216" s="3">
        <v>62</v>
      </c>
      <c r="E216" s="3">
        <f>IF(ISERROR(VLOOKUP($A216,'SegEnds_NonXtal_BW#'!$A:$Z,4,FALSE)+VLOOKUP($A216,A:AL,4,FALSE)-50),"-",(VLOOKUP($A216,'SegEnds_NonXtal_BW#'!$A:$Z,4,FALSE)+VLOOKUP($A216,A:AL,4,FALSE)-50))</f>
        <v>72</v>
      </c>
      <c r="F216" s="3" t="str">
        <f>IF(ISERROR(VLOOKUP($A216,'SegEnds_NonXtal_BW#'!$A:$Z,5,FALSE)+VLOOKUP($A216,A:AL,7,FALSE)-50),"-",(VLOOKUP($A216,'SegEnds_NonXtal_BW#'!$A:$Z,5,FALSE)+VLOOKUP($A216,A:AL,7,FALSE)-50))</f>
        <v>-</v>
      </c>
      <c r="G216" s="3" t="s">
        <v>23</v>
      </c>
      <c r="H216" s="3" t="str">
        <f>IF(ISERROR(VLOOKUP($A216,'SegEnds_NonXtal_BW#'!$A:$Z,6,FALSE)+VLOOKUP($A216,A:AL,7,FALSE)-50),"-",(VLOOKUP($A216,'SegEnds_NonXtal_BW#'!$A:$Z,6,FALSE)+VLOOKUP($A216,A:AL,7,FALSE)-50))</f>
        <v>-</v>
      </c>
      <c r="I216" s="3">
        <f>VLOOKUP($A216,'SegEnds_NonXtal_BW#'!$A:$Z,7,FALSE)+J216-50</f>
        <v>76</v>
      </c>
      <c r="J216" s="3">
        <v>89</v>
      </c>
      <c r="K216" s="3">
        <f>VLOOKUP($A216,'SegEnds_NonXtal_BW#'!$A:$Z,8,FALSE)+VLOOKUP($A216,A:AL,10,FALSE)-50</f>
        <v>105</v>
      </c>
      <c r="L216" s="3" t="s">
        <v>23</v>
      </c>
      <c r="M216" s="3" t="s">
        <v>23</v>
      </c>
      <c r="N216" s="3" t="s">
        <v>23</v>
      </c>
      <c r="O216" s="3">
        <f>VLOOKUP($A216,'SegEnds_NonXtal_BW#'!$A:$Z,11,FALSE)+VLOOKUP($A216,A:AL,16,FALSE)-50</f>
        <v>109</v>
      </c>
      <c r="P216" s="3">
        <v>141</v>
      </c>
      <c r="Q216" s="3">
        <f>VLOOKUP($A216,'SegEnds_NonXtal_BW#'!$A:$Z,12,FALSE)+VLOOKUP($A216,A:AL,16,FALSE)-50</f>
        <v>147</v>
      </c>
      <c r="R216" s="3">
        <f>IF(ISERROR(VLOOKUP($A216,'SegEnds_NonXtal_BW#'!$A:$Z,13,FALSE)+VLOOKUP($A216,A:AL,19,FALSE)-50),"-",VLOOKUP($A216,'SegEnds_NonXtal_BW#'!$A:$Z,13,FALSE)+VLOOKUP($A216,A:AL,19,FALSE)-50)</f>
        <v>148</v>
      </c>
      <c r="S216" s="3">
        <v>148</v>
      </c>
      <c r="T216" s="103">
        <f>IF(ISERROR(VLOOKUP($A216,'SegEnds_NonXtal_BW#'!$A:$Z,14,FALSE)+VLOOKUP($A216,A:AL,19,FALSE)-50),"-",(VLOOKUP($A216,'SegEnds_NonXtal_BW#'!$A:$Z,14,FALSE)+VLOOKUP($A216,A:AL,19,FALSE)-50))</f>
        <v>155</v>
      </c>
      <c r="U216" s="9">
        <f>IF(ISERROR(VLOOKUP($A216,'SegEnds_NonXtal_BW#'!$A:$Z,15,FALSE)+VLOOKUP($A216,A:AL,22,FALSE)-50),"-",VLOOKUP($A216,'SegEnds_NonXtal_BW#'!$A:$Z,15,FALSE)+VLOOKUP($A216,A:AL,22,FALSE)-50)</f>
        <v>156</v>
      </c>
      <c r="V216" s="3">
        <v>168</v>
      </c>
      <c r="W216" s="3">
        <f>IF(ISERROR(VLOOKUP($A216,'SegEnds_NonXtal_BW#'!$A:$Z,16,FALSE)+VLOOKUP($A216,A:AL,22,FALSE)-50),"-",(VLOOKUP($A216,'SegEnds_NonXtal_BW#'!$A:$Z,16,FALSE)+VLOOKUP($A216,A:AL,22,FALSE)-50))</f>
        <v>182</v>
      </c>
      <c r="X216" s="3">
        <f>IF(ISERROR(VLOOKUP($A216,'SegEnds_NonXtal_BW#'!$A:$Z,17,FALSE)+VLOOKUP($A216,A:AL,25,FALSE)-50),"-",(VLOOKUP($A216,'SegEnds_NonXtal_BW#'!$A:$Z,17,FALSE)+VLOOKUP($A216,A:AL,25,FALSE)-50))</f>
        <v>194</v>
      </c>
      <c r="Y216" s="3">
        <v>194</v>
      </c>
      <c r="Z216" s="3">
        <f t="shared" si="119"/>
        <v>196</v>
      </c>
      <c r="AA216" s="3">
        <f>IF(ISERROR(VLOOKUP($A216,'SegEnds_NonXtal_BW#'!$A:$Z,19,FALSE)+VLOOKUP($A216,A:AL,28,FALSE)-50),"-",(VLOOKUP($A216,'SegEnds_NonXtal_BW#'!$A:$Z,19,FALSE)+VLOOKUP($A216,A:AL,28,FALSE)-50))</f>
        <v>200</v>
      </c>
      <c r="AB216" s="3">
        <v>220</v>
      </c>
      <c r="AC216" s="3">
        <f>IF(ISERROR((VLOOKUP($A216,'SegEnds_NonXtal_BW#'!$A:$Z,20,FALSE)+VLOOKUP($A216,A:AL,28,FALSE)-50)),"-",(VLOOKUP($A216,'SegEnds_NonXtal_BW#'!$A:$Z,20,FALSE)+VLOOKUP($A216,A:AL,28,FALSE)-50))</f>
        <v>242</v>
      </c>
      <c r="AD216" s="3">
        <f>IF(ISERROR(VLOOKUP($A216,'SegEnds_NonXtal_BW#'!$A:$Z,21,FALSE)+VLOOKUP($A216,A:AL,31,FALSE)-50),"-",(VLOOKUP($A216,'SegEnds_NonXtal_BW#'!$A:$Z,21,FALSE)+VLOOKUP($A216,A:AL,31,FALSE)-50))</f>
        <v>249</v>
      </c>
      <c r="AE216" s="3">
        <v>270</v>
      </c>
      <c r="AF216" s="3">
        <f>IF(ISERROR((VLOOKUP($A216,'SegEnds_NonXtal_BW#'!$A:$Z,22,FALSE)+VLOOKUP($A216,A:AL,31,FALSE)-50)),"-",(VLOOKUP($A216,'SegEnds_NonXtal_BW#'!$A:$Z,22,FALSE)+VLOOKUP($A216,A:AL,31,FALSE)-50))</f>
        <v>284</v>
      </c>
      <c r="AG216" s="3">
        <f>IF(ISERROR(VLOOKUP($A216,'SegEnds_NonXtal_BW#'!$A:$Z,23,FALSE)+VLOOKUP($A216,A:AL,34,FALSE)-50),"-",(VLOOKUP($A216,'SegEnds_NonXtal_BW#'!$A:$Z,23,FALSE)+VLOOKUP($A216,A:AL,34,FALSE)-50))</f>
        <v>288</v>
      </c>
      <c r="AH216" s="3">
        <v>314</v>
      </c>
      <c r="AI216" s="3">
        <f>IF(ISERROR((VLOOKUP($A216,'SegEnds_NonXtal_BW#'!$A:$Z,24,FALSE)+VLOOKUP($A216,A:AL,34,FALSE)-50)),"-",(VLOOKUP($A216,'SegEnds_NonXtal_BW#'!$A:$Z,24,FALSE)+VLOOKUP($A216,A:AL,34,FALSE)-50))</f>
        <v>320</v>
      </c>
      <c r="AJ216" s="3">
        <f>IF(ISERROR(VLOOKUP($A216,'SegEnds_NonXtal_BW#'!$A:$Z,25,FALSE)+VLOOKUP($A216,A:AL,37,FALSE)-50),"-",(VLOOKUP($A216,'SegEnds_NonXtal_BW#'!$A:$Z,25,FALSE)+VLOOKUP($A216,A:AL,37,FALSE)-50))</f>
        <v>321</v>
      </c>
      <c r="AK216" s="3">
        <v>324</v>
      </c>
      <c r="AL216" s="3">
        <f>IF(ISERROR((VLOOKUP($A216,'SegEnds_NonXtal_BW#'!$A:$Z,26,FALSE)+VLOOKUP($A216,A:AL,37,FALSE)-50)),"-",(VLOOKUP($A216,'SegEnds_NonXtal_BW#'!$A:$Z,26,FALSE)+VLOOKUP($A216,A:AL,37,FALSE)-50))</f>
        <v>331</v>
      </c>
      <c r="AM216" s="28" t="str">
        <f>VLOOKUP(A216,Classification!A:B,2,FALSE)</f>
        <v>A</v>
      </c>
      <c r="AN216" s="28" t="b">
        <f t="shared" si="135"/>
        <v>1</v>
      </c>
      <c r="AO216" s="3" t="str">
        <f>IF(ISERROR(MATCH(A216,'SegEnds_Xtal_Prot#'!B:B, 0)), "NoXtal", "Xtal")</f>
        <v>NoXtal</v>
      </c>
      <c r="AP216" s="3" t="str">
        <f t="shared" si="120"/>
        <v>-</v>
      </c>
      <c r="AQ216" s="3" t="str">
        <f t="shared" si="121"/>
        <v>-</v>
      </c>
      <c r="AR216" s="3" t="str">
        <f t="shared" si="122"/>
        <v>-</v>
      </c>
      <c r="AS216" s="3" t="str">
        <f t="shared" si="123"/>
        <v>-</v>
      </c>
      <c r="AT216" s="3">
        <f t="shared" si="124"/>
        <v>1</v>
      </c>
      <c r="AU216" s="3">
        <f t="shared" si="125"/>
        <v>1</v>
      </c>
      <c r="AV216" s="3">
        <f t="shared" si="126"/>
        <v>12</v>
      </c>
      <c r="AW216" s="3">
        <f t="shared" si="127"/>
        <v>4</v>
      </c>
      <c r="AX216" s="3">
        <f t="shared" si="128"/>
        <v>7</v>
      </c>
      <c r="AY216" s="3">
        <f t="shared" si="129"/>
        <v>4</v>
      </c>
      <c r="AZ216" s="3">
        <f t="shared" si="130"/>
        <v>1</v>
      </c>
      <c r="BA216" s="3">
        <f>IF(ISERROR(LEN(VLOOKUP(A216,Seqs!A:E,2,FALSE))-AL216),"-",LEN(VLOOKUP(A216,Seqs!A:E,2,FALSE))-AL216)</f>
        <v>23</v>
      </c>
      <c r="BB216" s="16">
        <f t="shared" si="131"/>
        <v>27</v>
      </c>
      <c r="BC216" s="9">
        <f t="shared" si="132"/>
        <v>20</v>
      </c>
      <c r="BD216" s="3">
        <f t="shared" si="133"/>
        <v>27</v>
      </c>
      <c r="BE216" s="3">
        <f t="shared" si="134"/>
        <v>50</v>
      </c>
      <c r="BF216" s="3">
        <f>AH216-AE216</f>
        <v>44</v>
      </c>
    </row>
    <row r="217" spans="1:59" s="3" customFormat="1" x14ac:dyDescent="0.2">
      <c r="A217" s="3" t="s">
        <v>354</v>
      </c>
      <c r="B217" s="3" t="str">
        <f>LOWER(VLOOKUP(A217,Xtal_Templ!A:B,2,FALSE))</f>
        <v>p2y12_human</v>
      </c>
      <c r="C217" s="3">
        <f>VLOOKUP($A217,'SegEnds_NonXtal_BW#'!$A:$Z,3,FALSE)+D217-50</f>
        <v>18</v>
      </c>
      <c r="D217" s="3">
        <v>40</v>
      </c>
      <c r="E217" s="3">
        <f>IF(ISERROR(VLOOKUP($A217,'SegEnds_NonXtal_BW#'!$A:$Z,4,FALSE)+VLOOKUP($A217,A:AL,4,FALSE)-50),"-",(VLOOKUP($A217,'SegEnds_NonXtal_BW#'!$A:$Z,4,FALSE)+VLOOKUP($A217,A:AL,4,FALSE)-50))</f>
        <v>50</v>
      </c>
      <c r="F217" s="3" t="str">
        <f>IF(ISERROR(VLOOKUP($A217,'SegEnds_NonXtal_BW#'!$A:$Z,5,FALSE)+VLOOKUP($A217,A:AL,7,FALSE)-50),"-",(VLOOKUP($A217,'SegEnds_NonXtal_BW#'!$A:$Z,5,FALSE)+VLOOKUP($A217,A:AL,7,FALSE)-50))</f>
        <v>-</v>
      </c>
      <c r="G217" s="3" t="s">
        <v>23</v>
      </c>
      <c r="H217" s="3" t="str">
        <f>IF(ISERROR(VLOOKUP($A217,'SegEnds_NonXtal_BW#'!$A:$Z,6,FALSE)+VLOOKUP($A217,A:AL,7,FALSE)-50),"-",(VLOOKUP($A217,'SegEnds_NonXtal_BW#'!$A:$Z,6,FALSE)+VLOOKUP($A217,A:AL,7,FALSE)-50))</f>
        <v>-</v>
      </c>
      <c r="I217" s="3">
        <f>VLOOKUP($A217,'SegEnds_NonXtal_BW#'!$A:$Z,7,FALSE)+J217-50</f>
        <v>54</v>
      </c>
      <c r="J217" s="3">
        <v>67</v>
      </c>
      <c r="K217" s="3">
        <f>VLOOKUP($A217,'SegEnds_NonXtal_BW#'!$A:$Z,8,FALSE)+VLOOKUP($A217,A:AL,10,FALSE)-50</f>
        <v>83</v>
      </c>
      <c r="L217" s="3" t="str">
        <f>IF(ISERROR(VLOOKUP($A217,'SegEnds_NonXtal_BW#'!$A:$Z,9,FALSE)+VLOOKUP($A217,A:AL,13,FALSE)-50),"-",(VLOOKUP($A217,'SegEnds_NonXtal_BW#'!$A:$Z,9,FALSE)+VLOOKUP($A217,A:AL,13,FALSE)-50))</f>
        <v>-</v>
      </c>
      <c r="M217" s="3" t="s">
        <v>23</v>
      </c>
      <c r="N217" s="3" t="str">
        <f>IF(ISERROR(VLOOKUP($A217,'SegEnds_NonXtal_BW#'!$A:$Z,10,FALSE)+VLOOKUP($A217,A:AL,13,FALSE)-50),"-",(VLOOKUP($A217,'SegEnds_NonXtal_BW#'!$A:$Z,10,FALSE)+VLOOKUP($A217,A:AL,13,FALSE)-50))</f>
        <v>-</v>
      </c>
      <c r="O217" s="3">
        <f>VLOOKUP($A217,'SegEnds_NonXtal_BW#'!$A:$Z,11,FALSE)+VLOOKUP($A217,A:AL,16,FALSE)-50</f>
        <v>87</v>
      </c>
      <c r="P217" s="3">
        <v>119</v>
      </c>
      <c r="Q217" s="3">
        <f>VLOOKUP($A217,'SegEnds_NonXtal_BW#'!$A:$Z,12,FALSE)+VLOOKUP($A217,A:AL,16,FALSE)-50</f>
        <v>125</v>
      </c>
      <c r="R217" s="3">
        <f>IF(ISERROR(VLOOKUP($A217,'SegEnds_NonXtal_BW#'!$A:$Z,13,FALSE)+VLOOKUP($A217,A:AL,19,FALSE)-50),"-",VLOOKUP($A217,'SegEnds_NonXtal_BW#'!$A:$Z,13,FALSE)+VLOOKUP($A217,A:AL,19,FALSE)-50)</f>
        <v>126</v>
      </c>
      <c r="S217" s="3">
        <v>126</v>
      </c>
      <c r="T217" s="103">
        <f>IF(ISERROR(VLOOKUP($A217,'SegEnds_NonXtal_BW#'!$A:$Z,14,FALSE)+VLOOKUP($A217,A:AL,19,FALSE)-50),"-",(VLOOKUP($A217,'SegEnds_NonXtal_BW#'!$A:$Z,14,FALSE)+VLOOKUP($A217,A:AL,19,FALSE)-50))</f>
        <v>133</v>
      </c>
      <c r="U217" s="9">
        <f>IF(ISERROR(VLOOKUP($A217,'SegEnds_NonXtal_BW#'!$A:$Z,15,FALSE)+VLOOKUP($A217,A:AL,22,FALSE)-50),"-",VLOOKUP($A217,'SegEnds_NonXtal_BW#'!$A:$Z,15,FALSE)+VLOOKUP($A217,A:AL,22,FALSE)-50)</f>
        <v>134</v>
      </c>
      <c r="V217" s="3">
        <v>146</v>
      </c>
      <c r="W217" s="3">
        <f>IF(ISERROR(VLOOKUP($A217,'SegEnds_NonXtal_BW#'!$A:$Z,16,FALSE)+VLOOKUP($A217,A:AL,22,FALSE)-50),"-",(VLOOKUP($A217,'SegEnds_NonXtal_BW#'!$A:$Z,16,FALSE)+VLOOKUP($A217,A:AL,22,FALSE)-50))</f>
        <v>160</v>
      </c>
      <c r="X217" s="3">
        <f>IF(ISERROR(VLOOKUP($A217,'SegEnds_NonXtal_BW#'!$A:$Z,17,FALSE)+VLOOKUP($A217,A:AL,25,FALSE)-50),"-",(VLOOKUP($A217,'SegEnds_NonXtal_BW#'!$A:$Z,17,FALSE)+VLOOKUP($A217,A:AL,25,FALSE)-50))</f>
        <v>172</v>
      </c>
      <c r="Y217" s="3">
        <v>172</v>
      </c>
      <c r="Z217" s="3">
        <f t="shared" si="119"/>
        <v>174</v>
      </c>
      <c r="AA217" s="3">
        <f>IF(ISERROR(VLOOKUP($A217,'SegEnds_NonXtal_BW#'!$A:$Z,19,FALSE)+VLOOKUP($A217,A:AL,28,FALSE)-50),"-",(VLOOKUP($A217,'SegEnds_NonXtal_BW#'!$A:$Z,19,FALSE)+VLOOKUP($A217,A:AL,28,FALSE)-50))</f>
        <v>178</v>
      </c>
      <c r="AB217" s="3">
        <v>198</v>
      </c>
      <c r="AC217" s="3">
        <f>IF(ISERROR((VLOOKUP($A217,'SegEnds_NonXtal_BW#'!$A:$Z,20,FALSE)+VLOOKUP($A217,A:AL,28,FALSE)-50)),"-",(VLOOKUP($A217,'SegEnds_NonXtal_BW#'!$A:$Z,20,FALSE)+VLOOKUP($A217,A:AL,28,FALSE)-50))</f>
        <v>220</v>
      </c>
      <c r="AD217" s="3">
        <f>IF(ISERROR(VLOOKUP($A217,'SegEnds_NonXtal_BW#'!$A:$Z,21,FALSE)+VLOOKUP($A217,A:AL,31,FALSE)-50),"-",(VLOOKUP($A217,'SegEnds_NonXtal_BW#'!$A:$Z,21,FALSE)+VLOOKUP($A217,A:AL,31,FALSE)-50))</f>
        <v>227</v>
      </c>
      <c r="AE217" s="3">
        <v>248</v>
      </c>
      <c r="AF217" s="3">
        <f>IF(ISERROR((VLOOKUP($A217,'SegEnds_NonXtal_BW#'!$A:$Z,22,FALSE)+VLOOKUP($A217,A:AL,31,FALSE)-50)),"-",(VLOOKUP($A217,'SegEnds_NonXtal_BW#'!$A:$Z,22,FALSE)+VLOOKUP($A217,A:AL,31,FALSE)-50))</f>
        <v>262</v>
      </c>
      <c r="AG217" s="3">
        <f>IF(ISERROR(VLOOKUP($A217,'SegEnds_NonXtal_BW#'!$A:$Z,23,FALSE)+VLOOKUP($A217,A:AL,34,FALSE)-50),"-",(VLOOKUP($A217,'SegEnds_NonXtal_BW#'!$A:$Z,23,FALSE)+VLOOKUP($A217,A:AL,34,FALSE)-50))</f>
        <v>266</v>
      </c>
      <c r="AH217" s="3">
        <v>292</v>
      </c>
      <c r="AI217" s="3">
        <f>IF(ISERROR((VLOOKUP($A217,'SegEnds_NonXtal_BW#'!$A:$Z,24,FALSE)+VLOOKUP($A217,A:AL,34,FALSE)-50)),"-",(VLOOKUP($A217,'SegEnds_NonXtal_BW#'!$A:$Z,24,FALSE)+VLOOKUP($A217,A:AL,34,FALSE)-50))</f>
        <v>298</v>
      </c>
      <c r="AJ217" s="3">
        <f>IF(ISERROR(VLOOKUP($A217,'SegEnds_NonXtal_BW#'!$A:$Z,25,FALSE)+VLOOKUP($A217,A:AL,37,FALSE)-50),"-",(VLOOKUP($A217,'SegEnds_NonXtal_BW#'!$A:$Z,25,FALSE)+VLOOKUP($A217,A:AL,37,FALSE)-50))</f>
        <v>299</v>
      </c>
      <c r="AK217" s="3">
        <v>302</v>
      </c>
      <c r="AL217" s="3">
        <f>IF(ISERROR((VLOOKUP($A217,'SegEnds_NonXtal_BW#'!$A:$Z,26,FALSE)+VLOOKUP($A217,A:AL,37,FALSE)-50)),"-",(VLOOKUP($A217,'SegEnds_NonXtal_BW#'!$A:$Z,26,FALSE)+VLOOKUP($A217,A:AL,37,FALSE)-50))</f>
        <v>309</v>
      </c>
      <c r="AM217" s="28" t="str">
        <f>VLOOKUP(A217,Classification!A:B,2,FALSE)</f>
        <v>A</v>
      </c>
      <c r="AN217" s="28" t="b">
        <f t="shared" si="135"/>
        <v>1</v>
      </c>
      <c r="AO217" s="3" t="str">
        <f>IF(ISERROR(MATCH(A217,'SegEnds_Xtal_Prot#'!B:B, 0)), "NoXtal", "Xtal")</f>
        <v>NoXtal</v>
      </c>
      <c r="AP217" s="3" t="str">
        <f t="shared" si="120"/>
        <v>-</v>
      </c>
      <c r="AQ217" s="3" t="str">
        <f t="shared" si="121"/>
        <v>-</v>
      </c>
      <c r="AR217" s="3" t="str">
        <f t="shared" si="122"/>
        <v>-</v>
      </c>
      <c r="AS217" s="3" t="str">
        <f t="shared" si="123"/>
        <v>-</v>
      </c>
      <c r="AT217" s="3">
        <f t="shared" si="124"/>
        <v>1</v>
      </c>
      <c r="AU217" s="3">
        <f t="shared" si="125"/>
        <v>1</v>
      </c>
      <c r="AV217" s="3">
        <f t="shared" si="126"/>
        <v>12</v>
      </c>
      <c r="AW217" s="3">
        <f t="shared" si="127"/>
        <v>4</v>
      </c>
      <c r="AX217" s="3">
        <f t="shared" si="128"/>
        <v>7</v>
      </c>
      <c r="AY217" s="3">
        <f t="shared" si="129"/>
        <v>4</v>
      </c>
      <c r="AZ217" s="3">
        <f t="shared" si="130"/>
        <v>1</v>
      </c>
      <c r="BA217" s="3">
        <f>IF(ISERROR(LEN(VLOOKUP(A217,Seqs!A:E,2,FALSE))-AL217),"-",LEN(VLOOKUP(A217,Seqs!A:E,2,FALSE))-AL217)</f>
        <v>29</v>
      </c>
      <c r="BB217" s="16">
        <f t="shared" si="131"/>
        <v>27</v>
      </c>
      <c r="BC217" s="9">
        <f t="shared" si="132"/>
        <v>20</v>
      </c>
      <c r="BD217" s="3">
        <f t="shared" si="133"/>
        <v>27</v>
      </c>
      <c r="BE217" s="3">
        <f t="shared" si="134"/>
        <v>50</v>
      </c>
      <c r="BF217" s="3">
        <f>AH217-AE217</f>
        <v>44</v>
      </c>
    </row>
    <row r="218" spans="1:59" s="3" customFormat="1" x14ac:dyDescent="0.2">
      <c r="A218" s="3" t="s">
        <v>355</v>
      </c>
      <c r="B218" s="3" t="str">
        <f>LOWER(VLOOKUP(A218,Xtal_Templ!A:B,2,FALSE))</f>
        <v>par1_human</v>
      </c>
      <c r="C218" s="3">
        <f>VLOOKUP($A218,'SegEnds_NonXtal_BW#'!$A:$Z,3,FALSE)+D218-50</f>
        <v>99</v>
      </c>
      <c r="D218" s="3">
        <v>120</v>
      </c>
      <c r="E218" s="3">
        <f>IF(ISERROR(VLOOKUP($A218,'SegEnds_NonXtal_BW#'!$A:$Z,4,FALSE)+VLOOKUP($A218,A:AL,4,FALSE)-50),"-",(VLOOKUP($A218,'SegEnds_NonXtal_BW#'!$A:$Z,4,FALSE)+VLOOKUP($A218,A:AL,4,FALSE)-50))</f>
        <v>130</v>
      </c>
      <c r="F218" s="3">
        <f>G218-2</f>
        <v>131</v>
      </c>
      <c r="G218" s="3">
        <v>133</v>
      </c>
      <c r="H218" s="3">
        <f>G218+1</f>
        <v>134</v>
      </c>
      <c r="I218" s="3">
        <f>H218+1</f>
        <v>135</v>
      </c>
      <c r="J218" s="3">
        <v>148</v>
      </c>
      <c r="K218" s="3">
        <f>VLOOKUP($A218,'SegEnds_NonXtal_BW#'!$A:$Z,8,FALSE)+VLOOKUP($A218,A:AL,10,FALSE)-50</f>
        <v>164</v>
      </c>
      <c r="L218" s="3">
        <f>M218-1</f>
        <v>167</v>
      </c>
      <c r="M218" s="3">
        <v>168</v>
      </c>
      <c r="N218" s="3">
        <f>M218+2</f>
        <v>170</v>
      </c>
      <c r="O218" s="3">
        <f>N218+1</f>
        <v>171</v>
      </c>
      <c r="P218" s="3">
        <v>200</v>
      </c>
      <c r="Q218" s="3">
        <f>VLOOKUP($A218,'SegEnds_NonXtal_BW#'!$A:$Z,12,FALSE)+VLOOKUP($A218,A:AL,16,FALSE)-50</f>
        <v>206</v>
      </c>
      <c r="R218" s="3">
        <f>IF(ISERROR(VLOOKUP($A218,'SegEnds_NonXtal_BW#'!$A:$Z,13,FALSE)+VLOOKUP($A218,A:AL,19,FALSE)-50),"-",VLOOKUP($A218,'SegEnds_NonXtal_BW#'!$A:$Z,13,FALSE)+VLOOKUP($A218,A:AL,19,FALSE)-50)</f>
        <v>207</v>
      </c>
      <c r="S218" s="3">
        <v>207</v>
      </c>
      <c r="T218" s="103">
        <f>IF(ISERROR(VLOOKUP($A218,'SegEnds_NonXtal_BW#'!$A:$Z,14,FALSE)+VLOOKUP($A218,A:AL,19,FALSE)-50),"-",(VLOOKUP($A218,'SegEnds_NonXtal_BW#'!$A:$Z,14,FALSE)+VLOOKUP($A218,A:AL,19,FALSE)-50))</f>
        <v>214</v>
      </c>
      <c r="U218" s="9">
        <f>IF(ISERROR(VLOOKUP($A218,'SegEnds_NonXtal_BW#'!$A:$Z,15,FALSE)+VLOOKUP($A218,A:AL,22,FALSE)-50),"-",VLOOKUP($A218,'SegEnds_NonXtal_BW#'!$A:$Z,15,FALSE)+VLOOKUP($A218,A:AL,22,FALSE)-50)</f>
        <v>215</v>
      </c>
      <c r="V218" s="3">
        <v>227</v>
      </c>
      <c r="W218" s="3">
        <f>IF(ISERROR(VLOOKUP($A218,'SegEnds_NonXtal_BW#'!$A:$Z,16,FALSE)+VLOOKUP($A218,A:AL,22,FALSE)-50),"-",(VLOOKUP($A218,'SegEnds_NonXtal_BW#'!$A:$Z,16,FALSE)+VLOOKUP($A218,A:AL,22,FALSE)-50))</f>
        <v>240</v>
      </c>
      <c r="X218" s="3">
        <f>IF(ISERROR(VLOOKUP($A218,'SegEnds_NonXtal_BW#'!$A:$Z,17,FALSE)+VLOOKUP($A218,A:AL,25,FALSE)-50),"-",(VLOOKUP($A218,'SegEnds_NonXtal_BW#'!$A:$Z,17,FALSE)+VLOOKUP($A218,A:AL,25,FALSE)-50))</f>
        <v>254</v>
      </c>
      <c r="Y218" s="3">
        <v>254</v>
      </c>
      <c r="Z218" s="3">
        <f t="shared" si="119"/>
        <v>256</v>
      </c>
      <c r="AA218" s="3">
        <f>IF(ISERROR(VLOOKUP($A218,'SegEnds_NonXtal_BW#'!$A:$Z,19,FALSE)+VLOOKUP($A218,A:AL,28,FALSE)-50),"-",(VLOOKUP($A218,'SegEnds_NonXtal_BW#'!$A:$Z,19,FALSE)+VLOOKUP($A218,A:AL,28,FALSE)-50))</f>
        <v>264</v>
      </c>
      <c r="AB218" s="3">
        <v>282</v>
      </c>
      <c r="AC218" s="3">
        <f>IF(ISERROR((VLOOKUP($A218,'SegEnds_NonXtal_BW#'!$A:$Z,20,FALSE)+VLOOKUP($A218,A:AL,28,FALSE)-50)),"-",(VLOOKUP($A218,'SegEnds_NonXtal_BW#'!$A:$Z,20,FALSE)+VLOOKUP($A218,A:AL,28,FALSE)-50))</f>
        <v>299</v>
      </c>
      <c r="AD218" s="3">
        <f>IF(ISERROR(VLOOKUP($A218,'SegEnds_NonXtal_BW#'!$A:$Z,21,FALSE)+VLOOKUP($A218,A:AL,31,FALSE)-50),"-",(VLOOKUP($A218,'SegEnds_NonXtal_BW#'!$A:$Z,21,FALSE)+VLOOKUP($A218,A:AL,31,FALSE)-50))</f>
        <v>304</v>
      </c>
      <c r="AE218" s="3">
        <v>328</v>
      </c>
      <c r="AF218" s="3">
        <f>IF(ISERROR((VLOOKUP($A218,'SegEnds_NonXtal_BW#'!$A:$Z,22,FALSE)+VLOOKUP($A218,A:AL,31,FALSE)-50)),"-",(VLOOKUP($A218,'SegEnds_NonXtal_BW#'!$A:$Z,22,FALSE)+VLOOKUP($A218,A:AL,31,FALSE)-50))</f>
        <v>340</v>
      </c>
      <c r="AG218" s="3">
        <f>IF(ISERROR(VLOOKUP($A218,'SegEnds_NonXtal_BW#'!$A:$Z,23,FALSE)+VLOOKUP($A218,A:AL,34,FALSE)-50),"-",(VLOOKUP($A218,'SegEnds_NonXtal_BW#'!$A:$Z,23,FALSE)+VLOOKUP($A218,A:AL,34,FALSE)-50))</f>
        <v>346</v>
      </c>
      <c r="AH218" s="3">
        <v>368</v>
      </c>
      <c r="AI218" s="3">
        <f>IF(ISERROR((VLOOKUP($A218,'SegEnds_NonXtal_BW#'!$A:$Z,24,FALSE)+VLOOKUP($A218,A:AL,34,FALSE)-50)),"-",(VLOOKUP($A218,'SegEnds_NonXtal_BW#'!$A:$Z,24,FALSE)+VLOOKUP($A218,A:AL,34,FALSE)-50))</f>
        <v>374</v>
      </c>
      <c r="AJ218" s="3">
        <f>IF(ISERROR(VLOOKUP($A218,'SegEnds_NonXtal_BW#'!$A:$Z,25,FALSE)+VLOOKUP($A218,A:AL,37,FALSE)-50),"-",(VLOOKUP($A218,'SegEnds_NonXtal_BW#'!$A:$Z,25,FALSE)+VLOOKUP($A218,A:AL,37,FALSE)-50))</f>
        <v>375</v>
      </c>
      <c r="AK218" s="3">
        <v>378</v>
      </c>
      <c r="AL218" s="3">
        <f>IF(ISERROR((VLOOKUP($A218,'SegEnds_NonXtal_BW#'!$A:$Z,26,FALSE)+VLOOKUP($A218,A:AL,37,FALSE)-50)),"-",(VLOOKUP($A218,'SegEnds_NonXtal_BW#'!$A:$Z,26,FALSE)+VLOOKUP($A218,A:AL,37,FALSE)-50))</f>
        <v>389</v>
      </c>
      <c r="AM218" s="28" t="str">
        <f>VLOOKUP(A218,Classification!A:B,2,FALSE)</f>
        <v>A</v>
      </c>
      <c r="AN218" s="28" t="b">
        <f t="shared" si="135"/>
        <v>1</v>
      </c>
      <c r="AO218" s="3" t="str">
        <f>IF(ISERROR(MATCH(A218,'SegEnds_Xtal_Prot#'!B:B, 0)), "NoXtal", "Xtal")</f>
        <v>Xtal</v>
      </c>
      <c r="AP218" s="3">
        <f t="shared" si="120"/>
        <v>1</v>
      </c>
      <c r="AQ218" s="3">
        <f t="shared" si="121"/>
        <v>1</v>
      </c>
      <c r="AR218" s="3">
        <f t="shared" si="122"/>
        <v>3</v>
      </c>
      <c r="AS218" s="3">
        <f t="shared" si="123"/>
        <v>1</v>
      </c>
      <c r="AT218" s="3">
        <f t="shared" si="124"/>
        <v>1</v>
      </c>
      <c r="AU218" s="3">
        <f t="shared" si="125"/>
        <v>1</v>
      </c>
      <c r="AV218" s="3">
        <f t="shared" si="126"/>
        <v>14</v>
      </c>
      <c r="AW218" s="3">
        <f t="shared" si="127"/>
        <v>8</v>
      </c>
      <c r="AX218" s="3">
        <f t="shared" si="128"/>
        <v>5</v>
      </c>
      <c r="AY218" s="3">
        <f t="shared" si="129"/>
        <v>6</v>
      </c>
      <c r="AZ218" s="3">
        <f t="shared" si="130"/>
        <v>1</v>
      </c>
      <c r="BA218" s="3">
        <f>IF(ISERROR(LEN(VLOOKUP(A218,Seqs!A:E,2,FALSE))-AL218),"-",LEN(VLOOKUP(A218,Seqs!A:E,2,FALSE))-AL218)</f>
        <v>36</v>
      </c>
      <c r="BB218" s="16">
        <f t="shared" si="131"/>
        <v>28</v>
      </c>
      <c r="BC218" s="9">
        <f t="shared" si="132"/>
        <v>20</v>
      </c>
      <c r="BD218" s="3">
        <f t="shared" si="133"/>
        <v>28</v>
      </c>
      <c r="BE218" s="3">
        <f t="shared" si="134"/>
        <v>46</v>
      </c>
    </row>
    <row r="219" spans="1:59" s="3" customFormat="1" x14ac:dyDescent="0.2">
      <c r="A219" s="3" t="s">
        <v>357</v>
      </c>
      <c r="B219" s="3" t="str">
        <f>LOWER(VLOOKUP(A219,Xtal_Templ!A:B,2,FALSE))</f>
        <v>par2_human</v>
      </c>
      <c r="C219" s="3">
        <f>VLOOKUP($A219,'SegEnds_NonXtal_BW#'!$A:$Z,3,FALSE)+D219-50</f>
        <v>90</v>
      </c>
      <c r="D219" s="3">
        <v>112</v>
      </c>
      <c r="E219" s="3">
        <f>IF(ISERROR(VLOOKUP($A219,'SegEnds_NonXtal_BW#'!$A:$Z,4,FALSE)+VLOOKUP($A219,A:AL,4,FALSE)-50),"-",(VLOOKUP($A219,'SegEnds_NonXtal_BW#'!$A:$Z,4,FALSE)+VLOOKUP($A219,A:AL,4,FALSE)-50))</f>
        <v>122</v>
      </c>
      <c r="F219" s="3" t="str">
        <f>IF(ISERROR(VLOOKUP($A219,'SegEnds_NonXtal_BW#'!$A:$Z,5,FALSE)+VLOOKUP($A219,A:AL,7,FALSE)-50),"-",(VLOOKUP($A219,'SegEnds_NonXtal_BW#'!$A:$Z,5,FALSE)+VLOOKUP($A219,A:AL,7,FALSE)-50))</f>
        <v>-</v>
      </c>
      <c r="G219" s="3" t="s">
        <v>23</v>
      </c>
      <c r="H219" s="3" t="str">
        <f>IF(ISERROR(VLOOKUP($A219,'SegEnds_NonXtal_BW#'!$A:$Z,6,FALSE)+VLOOKUP($A219,A:AL,7,FALSE)-50),"-",(VLOOKUP($A219,'SegEnds_NonXtal_BW#'!$A:$Z,6,FALSE)+VLOOKUP($A219,A:AL,7,FALSE)-50))</f>
        <v>-</v>
      </c>
      <c r="I219" s="3">
        <f>VLOOKUP($A219,'SegEnds_NonXtal_BW#'!$A:$Z,7,FALSE)+J219-50</f>
        <v>126</v>
      </c>
      <c r="J219" s="3">
        <v>139</v>
      </c>
      <c r="K219" s="3">
        <f>VLOOKUP($A219,'SegEnds_NonXtal_BW#'!$A:$Z,8,FALSE)+VLOOKUP($A219,A:AL,10,FALSE)-50</f>
        <v>155</v>
      </c>
      <c r="L219" s="3">
        <f>M219-1</f>
        <v>158</v>
      </c>
      <c r="M219" s="3">
        <v>159</v>
      </c>
      <c r="N219" s="3">
        <f>M219+2</f>
        <v>161</v>
      </c>
      <c r="O219" s="3">
        <f>N219+1</f>
        <v>162</v>
      </c>
      <c r="P219" s="3">
        <v>191</v>
      </c>
      <c r="Q219" s="3">
        <f>VLOOKUP($A219,'SegEnds_NonXtal_BW#'!$A:$Z,12,FALSE)+VLOOKUP($A219,A:AL,16,FALSE)-50</f>
        <v>197</v>
      </c>
      <c r="R219" s="3">
        <f>IF(ISERROR(VLOOKUP($A219,'SegEnds_NonXtal_BW#'!$A:$Z,13,FALSE)+VLOOKUP($A219,A:AL,19,FALSE)-50),"-",VLOOKUP($A219,'SegEnds_NonXtal_BW#'!$A:$Z,13,FALSE)+VLOOKUP($A219,A:AL,19,FALSE)-50)</f>
        <v>198</v>
      </c>
      <c r="S219" s="3">
        <v>198</v>
      </c>
      <c r="T219" s="103">
        <f>IF(ISERROR(VLOOKUP($A219,'SegEnds_NonXtal_BW#'!$A:$Z,14,FALSE)+VLOOKUP($A219,A:AL,19,FALSE)-50),"-",(VLOOKUP($A219,'SegEnds_NonXtal_BW#'!$A:$Z,14,FALSE)+VLOOKUP($A219,A:AL,19,FALSE)-50))</f>
        <v>205</v>
      </c>
      <c r="U219" s="9">
        <f>IF(ISERROR(VLOOKUP($A219,'SegEnds_NonXtal_BW#'!$A:$Z,15,FALSE)+VLOOKUP($A219,A:AL,22,FALSE)-50),"-",VLOOKUP($A219,'SegEnds_NonXtal_BW#'!$A:$Z,15,FALSE)+VLOOKUP($A219,A:AL,22,FALSE)-50)</f>
        <v>206</v>
      </c>
      <c r="V219" s="3">
        <v>218</v>
      </c>
      <c r="W219" s="3">
        <f>IF(ISERROR(VLOOKUP($A219,'SegEnds_NonXtal_BW#'!$A:$Z,16,FALSE)+VLOOKUP($A219,A:AL,22,FALSE)-50),"-",(VLOOKUP($A219,'SegEnds_NonXtal_BW#'!$A:$Z,16,FALSE)+VLOOKUP($A219,A:AL,22,FALSE)-50))</f>
        <v>230</v>
      </c>
      <c r="X219" s="3">
        <f>IF(ISERROR(VLOOKUP($A219,'SegEnds_NonXtal_BW#'!$A:$Z,17,FALSE)+VLOOKUP($A219,A:AL,25,FALSE)-50),"-",(VLOOKUP($A219,'SegEnds_NonXtal_BW#'!$A:$Z,17,FALSE)+VLOOKUP($A219,A:AL,25,FALSE)-50))</f>
        <v>252</v>
      </c>
      <c r="Y219" s="3">
        <v>252</v>
      </c>
      <c r="Z219" s="3">
        <f t="shared" si="119"/>
        <v>254</v>
      </c>
      <c r="AA219" s="3">
        <f>IF(ISERROR(VLOOKUP($A219,'SegEnds_NonXtal_BW#'!$A:$Z,19,FALSE)+VLOOKUP($A219,A:AL,28,FALSE)-50),"-",(VLOOKUP($A219,'SegEnds_NonXtal_BW#'!$A:$Z,19,FALSE)+VLOOKUP($A219,A:AL,28,FALSE)-50))</f>
        <v>259</v>
      </c>
      <c r="AB219" s="3">
        <v>274</v>
      </c>
      <c r="AC219" s="3">
        <f>IF(ISERROR((VLOOKUP($A219,'SegEnds_NonXtal_BW#'!$A:$Z,20,FALSE)+VLOOKUP($A219,A:AL,28,FALSE)-50)),"-",(VLOOKUP($A219,'SegEnds_NonXtal_BW#'!$A:$Z,20,FALSE)+VLOOKUP($A219,A:AL,28,FALSE)-50))</f>
        <v>292</v>
      </c>
      <c r="AD219" s="3">
        <f>IF(ISERROR(VLOOKUP($A219,'SegEnds_NonXtal_BW#'!$A:$Z,21,FALSE)+VLOOKUP($A219,A:AL,31,FALSE)-50),"-",(VLOOKUP($A219,'SegEnds_NonXtal_BW#'!$A:$Z,21,FALSE)+VLOOKUP($A219,A:AL,31,FALSE)-50))</f>
        <v>296</v>
      </c>
      <c r="AE219" s="3">
        <v>316</v>
      </c>
      <c r="AF219" s="3">
        <f>IF(ISERROR((VLOOKUP($A219,'SegEnds_NonXtal_BW#'!$A:$Z,22,FALSE)+VLOOKUP($A219,A:AL,31,FALSE)-50)),"-",(VLOOKUP($A219,'SegEnds_NonXtal_BW#'!$A:$Z,22,FALSE)+VLOOKUP($A219,A:AL,31,FALSE)-50))</f>
        <v>328</v>
      </c>
      <c r="AG219" s="3">
        <f>IF(ISERROR(VLOOKUP($A219,'SegEnds_NonXtal_BW#'!$A:$Z,23,FALSE)+VLOOKUP($A219,A:AL,34,FALSE)-50),"-",(VLOOKUP($A219,'SegEnds_NonXtal_BW#'!$A:$Z,23,FALSE)+VLOOKUP($A219,A:AL,34,FALSE)-50))</f>
        <v>333</v>
      </c>
      <c r="AH219" s="3">
        <v>355</v>
      </c>
      <c r="AI219" s="3">
        <f>IF(ISERROR((VLOOKUP($A219,'SegEnds_NonXtal_BW#'!$A:$Z,24,FALSE)+VLOOKUP($A219,A:AL,34,FALSE)-50)),"-",(VLOOKUP($A219,'SegEnds_NonXtal_BW#'!$A:$Z,24,FALSE)+VLOOKUP($A219,A:AL,34,FALSE)-50))</f>
        <v>361</v>
      </c>
      <c r="AJ219" s="3" t="s">
        <v>23</v>
      </c>
      <c r="AK219" s="3" t="s">
        <v>23</v>
      </c>
      <c r="AL219" s="3" t="s">
        <v>23</v>
      </c>
      <c r="AM219" s="28" t="str">
        <f>VLOOKUP(A219,Classification!A:B,2,FALSE)</f>
        <v>A</v>
      </c>
      <c r="AN219" s="28" t="b">
        <f t="shared" si="135"/>
        <v>1</v>
      </c>
      <c r="AO219" s="3" t="str">
        <f>IF(ISERROR(MATCH(A219,'SegEnds_Xtal_Prot#'!B:B, 0)), "NoXtal", "Xtal")</f>
        <v>NoXtal</v>
      </c>
      <c r="AP219" s="3" t="str">
        <f t="shared" si="120"/>
        <v>-</v>
      </c>
      <c r="AQ219" s="3" t="str">
        <f t="shared" si="121"/>
        <v>-</v>
      </c>
      <c r="AR219" s="3">
        <f t="shared" si="122"/>
        <v>3</v>
      </c>
      <c r="AS219" s="3">
        <f t="shared" si="123"/>
        <v>1</v>
      </c>
      <c r="AT219" s="3">
        <f t="shared" si="124"/>
        <v>1</v>
      </c>
      <c r="AU219" s="3">
        <f t="shared" si="125"/>
        <v>1</v>
      </c>
      <c r="AV219" s="3">
        <f t="shared" si="126"/>
        <v>22</v>
      </c>
      <c r="AW219" s="3">
        <f t="shared" si="127"/>
        <v>5</v>
      </c>
      <c r="AX219" s="3">
        <f t="shared" si="128"/>
        <v>4</v>
      </c>
      <c r="AY219" s="3">
        <f t="shared" si="129"/>
        <v>5</v>
      </c>
      <c r="AZ219" s="3" t="str">
        <f t="shared" si="130"/>
        <v>-</v>
      </c>
      <c r="BA219" s="3" t="str">
        <f>IF(ISERROR(LEN(VLOOKUP(A219,Seqs!A:E,2,FALSE))-AL219),"-",LEN(VLOOKUP(A219,Seqs!A:E,2,FALSE))-AL219)</f>
        <v>-</v>
      </c>
      <c r="BB219" s="16">
        <f t="shared" si="131"/>
        <v>27</v>
      </c>
      <c r="BC219" s="9">
        <f t="shared" si="132"/>
        <v>20</v>
      </c>
      <c r="BD219" s="3">
        <f t="shared" si="133"/>
        <v>27</v>
      </c>
      <c r="BE219" s="3">
        <f t="shared" si="134"/>
        <v>42</v>
      </c>
      <c r="BF219" s="3">
        <f>AH219-AE219</f>
        <v>39</v>
      </c>
      <c r="BG219" s="3" t="s">
        <v>1313</v>
      </c>
    </row>
    <row r="220" spans="1:59" s="3" customFormat="1" x14ac:dyDescent="0.2">
      <c r="A220" s="3" t="s">
        <v>358</v>
      </c>
      <c r="B220" s="3" t="str">
        <f>LOWER(VLOOKUP(A220,Xtal_Templ!A:B,2,FALSE))</f>
        <v>par2_human</v>
      </c>
      <c r="C220" s="3">
        <f>VLOOKUP($A220,'SegEnds_NonXtal_BW#'!$A:$Z,3,FALSE)+D220-50</f>
        <v>73</v>
      </c>
      <c r="D220" s="3">
        <v>95</v>
      </c>
      <c r="E220" s="3">
        <f>IF(ISERROR(VLOOKUP($A220,'SegEnds_NonXtal_BW#'!$A:$Z,4,FALSE)+VLOOKUP($A220,A:AL,4,FALSE)-50),"-",(VLOOKUP($A220,'SegEnds_NonXtal_BW#'!$A:$Z,4,FALSE)+VLOOKUP($A220,A:AL,4,FALSE)-50))</f>
        <v>105</v>
      </c>
      <c r="F220" s="3" t="str">
        <f>IF(ISERROR(VLOOKUP($A220,'SegEnds_NonXtal_BW#'!$A:$Z,5,FALSE)+VLOOKUP($A220,A:AL,7,FALSE)-50),"-",(VLOOKUP($A220,'SegEnds_NonXtal_BW#'!$A:$Z,5,FALSE)+VLOOKUP($A220,A:AL,7,FALSE)-50))</f>
        <v>-</v>
      </c>
      <c r="G220" s="3" t="s">
        <v>23</v>
      </c>
      <c r="H220" s="3" t="str">
        <f>IF(ISERROR(VLOOKUP($A220,'SegEnds_NonXtal_BW#'!$A:$Z,6,FALSE)+VLOOKUP($A220,A:AL,7,FALSE)-50),"-",(VLOOKUP($A220,'SegEnds_NonXtal_BW#'!$A:$Z,6,FALSE)+VLOOKUP($A220,A:AL,7,FALSE)-50))</f>
        <v>-</v>
      </c>
      <c r="I220" s="3">
        <f>VLOOKUP($A220,'SegEnds_NonXtal_BW#'!$A:$Z,7,FALSE)+J220-50</f>
        <v>109</v>
      </c>
      <c r="J220" s="3">
        <v>122</v>
      </c>
      <c r="K220" s="3">
        <f>VLOOKUP($A220,'SegEnds_NonXtal_BW#'!$A:$Z,8,FALSE)+VLOOKUP($A220,A:AL,10,FALSE)-50</f>
        <v>138</v>
      </c>
      <c r="L220" s="3">
        <f>M220-1</f>
        <v>141</v>
      </c>
      <c r="M220" s="3">
        <v>142</v>
      </c>
      <c r="N220" s="3">
        <f>M220+2</f>
        <v>144</v>
      </c>
      <c r="O220" s="3">
        <f>N220+1</f>
        <v>145</v>
      </c>
      <c r="P220" s="3">
        <v>174</v>
      </c>
      <c r="Q220" s="3">
        <f>VLOOKUP($A220,'SegEnds_NonXtal_BW#'!$A:$Z,12,FALSE)+VLOOKUP($A220,A:AL,16,FALSE)-50</f>
        <v>180</v>
      </c>
      <c r="R220" s="3">
        <f>IF(ISERROR(VLOOKUP($A220,'SegEnds_NonXtal_BW#'!$A:$Z,13,FALSE)+VLOOKUP($A220,A:AL,19,FALSE)-50),"-",VLOOKUP($A220,'SegEnds_NonXtal_BW#'!$A:$Z,13,FALSE)+VLOOKUP($A220,A:AL,19,FALSE)-50)</f>
        <v>181</v>
      </c>
      <c r="S220" s="3">
        <v>181</v>
      </c>
      <c r="T220" s="103">
        <f>IF(ISERROR(VLOOKUP($A220,'SegEnds_NonXtal_BW#'!$A:$Z,14,FALSE)+VLOOKUP($A220,A:AL,19,FALSE)-50),"-",(VLOOKUP($A220,'SegEnds_NonXtal_BW#'!$A:$Z,14,FALSE)+VLOOKUP($A220,A:AL,19,FALSE)-50))</f>
        <v>188</v>
      </c>
      <c r="U220" s="9">
        <f>IF(ISERROR(VLOOKUP($A220,'SegEnds_NonXtal_BW#'!$A:$Z,15,FALSE)+VLOOKUP($A220,A:AL,22,FALSE)-50),"-",VLOOKUP($A220,'SegEnds_NonXtal_BW#'!$A:$Z,15,FALSE)+VLOOKUP($A220,A:AL,22,FALSE)-50)</f>
        <v>189</v>
      </c>
      <c r="V220" s="3">
        <v>201</v>
      </c>
      <c r="W220" s="3">
        <f>IF(ISERROR(VLOOKUP($A220,'SegEnds_NonXtal_BW#'!$A:$Z,16,FALSE)+VLOOKUP($A220,A:AL,22,FALSE)-50),"-",(VLOOKUP($A220,'SegEnds_NonXtal_BW#'!$A:$Z,16,FALSE)+VLOOKUP($A220,A:AL,22,FALSE)-50))</f>
        <v>213</v>
      </c>
      <c r="X220" s="3">
        <f>IF(ISERROR(VLOOKUP($A220,'SegEnds_NonXtal_BW#'!$A:$Z,17,FALSE)+VLOOKUP($A220,A:AL,25,FALSE)-50),"-",(VLOOKUP($A220,'SegEnds_NonXtal_BW#'!$A:$Z,17,FALSE)+VLOOKUP($A220,A:AL,25,FALSE)-50))</f>
        <v>228</v>
      </c>
      <c r="Y220" s="3">
        <v>228</v>
      </c>
      <c r="Z220" s="3">
        <f t="shared" si="119"/>
        <v>230</v>
      </c>
      <c r="AA220" s="3">
        <f>IF(ISERROR(VLOOKUP($A220,'SegEnds_NonXtal_BW#'!$A:$Z,19,FALSE)+VLOOKUP($A220,A:AL,28,FALSE)-50),"-",(VLOOKUP($A220,'SegEnds_NonXtal_BW#'!$A:$Z,19,FALSE)+VLOOKUP($A220,A:AL,28,FALSE)-50))</f>
        <v>237</v>
      </c>
      <c r="AB220" s="3">
        <v>256</v>
      </c>
      <c r="AC220" s="3">
        <f>IF(ISERROR((VLOOKUP($A220,'SegEnds_NonXtal_BW#'!$A:$Z,20,FALSE)+VLOOKUP($A220,A:AL,28,FALSE)-50)),"-",(VLOOKUP($A220,'SegEnds_NonXtal_BW#'!$A:$Z,20,FALSE)+VLOOKUP($A220,A:AL,28,FALSE)-50))</f>
        <v>274</v>
      </c>
      <c r="AD220" s="3">
        <f>IF(ISERROR(VLOOKUP($A220,'SegEnds_NonXtal_BW#'!$A:$Z,21,FALSE)+VLOOKUP($A220,A:AL,31,FALSE)-50),"-",(VLOOKUP($A220,'SegEnds_NonXtal_BW#'!$A:$Z,21,FALSE)+VLOOKUP($A220,A:AL,31,FALSE)-50))</f>
        <v>278</v>
      </c>
      <c r="AE220" s="3">
        <v>298</v>
      </c>
      <c r="AF220" s="3">
        <f>IF(ISERROR((VLOOKUP($A220,'SegEnds_NonXtal_BW#'!$A:$Z,22,FALSE)+VLOOKUP($A220,A:AL,31,FALSE)-50)),"-",(VLOOKUP($A220,'SegEnds_NonXtal_BW#'!$A:$Z,22,FALSE)+VLOOKUP($A220,A:AL,31,FALSE)-50))</f>
        <v>310</v>
      </c>
      <c r="AG220" s="3">
        <f>IF(ISERROR(VLOOKUP($A220,'SegEnds_NonXtal_BW#'!$A:$Z,23,FALSE)+VLOOKUP($A220,A:AL,34,FALSE)-50),"-",(VLOOKUP($A220,'SegEnds_NonXtal_BW#'!$A:$Z,23,FALSE)+VLOOKUP($A220,A:AL,34,FALSE)-50))</f>
        <v>315</v>
      </c>
      <c r="AH220" s="3">
        <v>337</v>
      </c>
      <c r="AI220" s="3">
        <f>IF(ISERROR((VLOOKUP($A220,'SegEnds_NonXtal_BW#'!$A:$Z,24,FALSE)+VLOOKUP($A220,A:AL,34,FALSE)-50)),"-",(VLOOKUP($A220,'SegEnds_NonXtal_BW#'!$A:$Z,24,FALSE)+VLOOKUP($A220,A:AL,34,FALSE)-50))</f>
        <v>343</v>
      </c>
      <c r="AJ220" s="3">
        <f>IF(ISERROR(VLOOKUP($A220,'SegEnds_NonXtal_BW#'!$A:$Z,25,FALSE)+VLOOKUP($A220,A:AL,37,FALSE)-50),"-",(VLOOKUP($A220,'SegEnds_NonXtal_BW#'!$A:$Z,25,FALSE)+VLOOKUP($A220,A:AL,37,FALSE)-50))</f>
        <v>344</v>
      </c>
      <c r="AK220" s="3">
        <v>347</v>
      </c>
      <c r="AL220" s="3">
        <f>IF(ISERROR((VLOOKUP($A220,'SegEnds_NonXtal_BW#'!$A:$Z,26,FALSE)+VLOOKUP($A220,A:AL,37,FALSE)-50)),"-",(VLOOKUP($A220,'SegEnds_NonXtal_BW#'!$A:$Z,26,FALSE)+VLOOKUP($A220,A:AL,37,FALSE)-50))</f>
        <v>358</v>
      </c>
      <c r="AM220" s="28" t="str">
        <f>VLOOKUP(A220,Classification!A:B,2,FALSE)</f>
        <v>A</v>
      </c>
      <c r="AN220" s="28" t="b">
        <f t="shared" si="135"/>
        <v>1</v>
      </c>
      <c r="AO220" s="3" t="str">
        <f>IF(ISERROR(MATCH(A220,'SegEnds_Xtal_Prot#'!B:B, 0)), "NoXtal", "Xtal")</f>
        <v>NoXtal</v>
      </c>
      <c r="AP220" s="3" t="str">
        <f t="shared" si="120"/>
        <v>-</v>
      </c>
      <c r="AQ220" s="3" t="str">
        <f t="shared" si="121"/>
        <v>-</v>
      </c>
      <c r="AR220" s="3">
        <f t="shared" si="122"/>
        <v>3</v>
      </c>
      <c r="AS220" s="3">
        <f t="shared" si="123"/>
        <v>1</v>
      </c>
      <c r="AT220" s="3">
        <f t="shared" si="124"/>
        <v>1</v>
      </c>
      <c r="AU220" s="3">
        <f t="shared" si="125"/>
        <v>1</v>
      </c>
      <c r="AV220" s="3">
        <f t="shared" si="126"/>
        <v>15</v>
      </c>
      <c r="AW220" s="3">
        <f t="shared" si="127"/>
        <v>7</v>
      </c>
      <c r="AX220" s="3">
        <f t="shared" si="128"/>
        <v>4</v>
      </c>
      <c r="AY220" s="3">
        <f t="shared" si="129"/>
        <v>5</v>
      </c>
      <c r="AZ220" s="3">
        <f t="shared" si="130"/>
        <v>1</v>
      </c>
      <c r="BA220" s="3">
        <f>IF(ISERROR(LEN(VLOOKUP(A220,Seqs!A:E,2,FALSE))-AL220),"-",LEN(VLOOKUP(A220,Seqs!A:E,2,FALSE))-AL220)</f>
        <v>27</v>
      </c>
      <c r="BB220" s="16">
        <f t="shared" si="131"/>
        <v>27</v>
      </c>
      <c r="BC220" s="9">
        <f t="shared" si="132"/>
        <v>20</v>
      </c>
      <c r="BD220" s="3">
        <f t="shared" si="133"/>
        <v>27</v>
      </c>
      <c r="BE220" s="3">
        <f t="shared" si="134"/>
        <v>42</v>
      </c>
      <c r="BF220" s="3">
        <f>AH220-AE220</f>
        <v>39</v>
      </c>
    </row>
    <row r="221" spans="1:59" s="3" customFormat="1" x14ac:dyDescent="0.2">
      <c r="A221" s="3" t="s">
        <v>359</v>
      </c>
      <c r="B221" s="3" t="str">
        <f>LOWER(VLOOKUP(A221,Xtal_Templ!A:B,2,FALSE))</f>
        <v>ntr1_rat</v>
      </c>
      <c r="C221" s="3">
        <f>VLOOKUP($A221,'SegEnds_NonXtal_BW#'!$A:$Z,3,FALSE)+D221-50</f>
        <v>13</v>
      </c>
      <c r="D221" s="3">
        <v>34</v>
      </c>
      <c r="E221" s="3">
        <f>IF(ISERROR(VLOOKUP($A221,'SegEnds_NonXtal_BW#'!$A:$Z,4,FALSE)+VLOOKUP($A221,A:AL,4,FALSE)-50),"-",(VLOOKUP($A221,'SegEnds_NonXtal_BW#'!$A:$Z,4,FALSE)+VLOOKUP($A221,A:AL,4,FALSE)-50))</f>
        <v>44</v>
      </c>
      <c r="F221" s="3" t="str">
        <f>IF(ISERROR(VLOOKUP($A221,'SegEnds_NonXtal_BW#'!$A:$Z,5,FALSE)+VLOOKUP($A221,A:AL,7,FALSE)-50),"-",(VLOOKUP($A221,'SegEnds_NonXtal_BW#'!$A:$Z,5,FALSE)+VLOOKUP($A221,A:AL,7,FALSE)-50))</f>
        <v>-</v>
      </c>
      <c r="G221" s="3" t="s">
        <v>23</v>
      </c>
      <c r="H221" s="3" t="str">
        <f>IF(ISERROR(VLOOKUP($A221,'SegEnds_NonXtal_BW#'!$A:$Z,6,FALSE)+VLOOKUP($A221,A:AL,7,FALSE)-50),"-",(VLOOKUP($A221,'SegEnds_NonXtal_BW#'!$A:$Z,6,FALSE)+VLOOKUP($A221,A:AL,7,FALSE)-50))</f>
        <v>-</v>
      </c>
      <c r="I221" s="3">
        <f>VLOOKUP($A221,'SegEnds_NonXtal_BW#'!$A:$Z,7,FALSE)+J221-50</f>
        <v>59</v>
      </c>
      <c r="J221" s="3">
        <v>72</v>
      </c>
      <c r="K221" s="3">
        <f>VLOOKUP($A221,'SegEnds_NonXtal_BW#'!$A:$Z,8,FALSE)+VLOOKUP($A221,A:AL,10,FALSE)-50</f>
        <v>90</v>
      </c>
      <c r="L221" s="3" t="str">
        <f>IF(ISERROR(VLOOKUP($A221,'SegEnds_NonXtal_BW#'!$A:$Z,9,FALSE)+VLOOKUP($A221,A:AL,13,FALSE)-50),"-",(VLOOKUP($A221,'SegEnds_NonXtal_BW#'!$A:$Z,9,FALSE)+VLOOKUP($A221,A:AL,13,FALSE)-50))</f>
        <v>-</v>
      </c>
      <c r="M221" s="3" t="s">
        <v>23</v>
      </c>
      <c r="N221" s="3" t="str">
        <f>IF(ISERROR(VLOOKUP($A221,'SegEnds_NonXtal_BW#'!$A:$Z,10,FALSE)+VLOOKUP($A221,A:AL,13,FALSE)-50),"-",(VLOOKUP($A221,'SegEnds_NonXtal_BW#'!$A:$Z,10,FALSE)+VLOOKUP($A221,A:AL,13,FALSE)-50))</f>
        <v>-</v>
      </c>
      <c r="O221" s="3">
        <f>VLOOKUP($A221,'SegEnds_NonXtal_BW#'!$A:$Z,11,FALSE)+VLOOKUP($A221,A:AL,16,FALSE)-50</f>
        <v>98</v>
      </c>
      <c r="P221" s="3">
        <v>130</v>
      </c>
      <c r="Q221" s="3">
        <f>VLOOKUP($A221,'SegEnds_NonXtal_BW#'!$A:$Z,12,FALSE)+VLOOKUP($A221,A:AL,16,FALSE)-50</f>
        <v>136</v>
      </c>
      <c r="R221" s="3">
        <f>IF(ISERROR(VLOOKUP($A221,'SegEnds_NonXtal_BW#'!$A:$Z,13,FALSE)+VLOOKUP($A221,A:AL,19,FALSE)-50),"-",VLOOKUP($A221,'SegEnds_NonXtal_BW#'!$A:$Z,13,FALSE)+VLOOKUP($A221,A:AL,19,FALSE)-50)</f>
        <v>137</v>
      </c>
      <c r="S221" s="3">
        <v>137</v>
      </c>
      <c r="T221" s="103">
        <f>IF(ISERROR(VLOOKUP($A221,'SegEnds_NonXtal_BW#'!$A:$Z,14,FALSE)+VLOOKUP($A221,A:AL,19,FALSE)-50),"-",(VLOOKUP($A221,'SegEnds_NonXtal_BW#'!$A:$Z,14,FALSE)+VLOOKUP($A221,A:AL,19,FALSE)-50))</f>
        <v>144</v>
      </c>
      <c r="U221" s="9">
        <f>IF(ISERROR(VLOOKUP($A221,'SegEnds_NonXtal_BW#'!$A:$Z,15,FALSE)+VLOOKUP($A221,A:AL,22,FALSE)-50),"-",VLOOKUP($A221,'SegEnds_NonXtal_BW#'!$A:$Z,15,FALSE)+VLOOKUP($A221,A:AL,22,FALSE)-50)</f>
        <v>145</v>
      </c>
      <c r="V221" s="3">
        <v>157</v>
      </c>
      <c r="W221" s="3">
        <f>IF(ISERROR(VLOOKUP($A221,'SegEnds_NonXtal_BW#'!$A:$Z,16,FALSE)+VLOOKUP($A221,A:AL,22,FALSE)-50),"-",(VLOOKUP($A221,'SegEnds_NonXtal_BW#'!$A:$Z,16,FALSE)+VLOOKUP($A221,A:AL,22,FALSE)-50))</f>
        <v>171</v>
      </c>
      <c r="X221" s="3">
        <f>IF(ISERROR(VLOOKUP($A221,'SegEnds_NonXtal_BW#'!$A:$Z,17,FALSE)+VLOOKUP($A221,A:AL,25,FALSE)-50),"-",(VLOOKUP($A221,'SegEnds_NonXtal_BW#'!$A:$Z,17,FALSE)+VLOOKUP($A221,A:AL,25,FALSE)-50))</f>
        <v>183</v>
      </c>
      <c r="Y221" s="3">
        <v>183</v>
      </c>
      <c r="Z221" s="3">
        <f t="shared" si="119"/>
        <v>185</v>
      </c>
      <c r="AA221" s="3">
        <f>IF(ISERROR(VLOOKUP($A221,'SegEnds_NonXtal_BW#'!$A:$Z,19,FALSE)+VLOOKUP($A221,A:AL,28,FALSE)-50),"-",(VLOOKUP($A221,'SegEnds_NonXtal_BW#'!$A:$Z,19,FALSE)+VLOOKUP($A221,A:AL,28,FALSE)-50))</f>
        <v>194</v>
      </c>
      <c r="AB221" s="3">
        <v>212</v>
      </c>
      <c r="AC221" s="3">
        <f>IF(ISERROR((VLOOKUP($A221,'SegEnds_NonXtal_BW#'!$A:$Z,20,FALSE)+VLOOKUP($A221,A:AL,28,FALSE)-50)),"-",(VLOOKUP($A221,'SegEnds_NonXtal_BW#'!$A:$Z,20,FALSE)+VLOOKUP($A221,A:AL,28,FALSE)-50))</f>
        <v>238</v>
      </c>
      <c r="AD221" s="3">
        <f>IF(ISERROR(VLOOKUP($A221,'SegEnds_NonXtal_BW#'!$A:$Z,21,FALSE)+VLOOKUP($A221,A:AL,31,FALSE)-50),"-",(VLOOKUP($A221,'SegEnds_NonXtal_BW#'!$A:$Z,21,FALSE)+VLOOKUP($A221,A:AL,31,FALSE)-50))</f>
        <v>254</v>
      </c>
      <c r="AE221" s="3">
        <v>280</v>
      </c>
      <c r="AF221" s="3">
        <f>IF(ISERROR((VLOOKUP($A221,'SegEnds_NonXtal_BW#'!$A:$Z,22,FALSE)+VLOOKUP($A221,A:AL,31,FALSE)-50)),"-",(VLOOKUP($A221,'SegEnds_NonXtal_BW#'!$A:$Z,22,FALSE)+VLOOKUP($A221,A:AL,31,FALSE)-50))</f>
        <v>291</v>
      </c>
      <c r="AG221" s="3">
        <f>IF(ISERROR(VLOOKUP($A221,'SegEnds_NonXtal_BW#'!$A:$Z,23,FALSE)+VLOOKUP($A221,A:AL,34,FALSE)-50),"-",(VLOOKUP($A221,'SegEnds_NonXtal_BW#'!$A:$Z,23,FALSE)+VLOOKUP($A221,A:AL,34,FALSE)-50))</f>
        <v>298</v>
      </c>
      <c r="AH221" s="3">
        <v>320</v>
      </c>
      <c r="AI221" s="3">
        <f>IF(ISERROR((VLOOKUP($A221,'SegEnds_NonXtal_BW#'!$A:$Z,24,FALSE)+VLOOKUP($A221,A:AL,34,FALSE)-50)),"-",(VLOOKUP($A221,'SegEnds_NonXtal_BW#'!$A:$Z,24,FALSE)+VLOOKUP($A221,A:AL,34,FALSE)-50))</f>
        <v>326</v>
      </c>
      <c r="AJ221" s="3">
        <f>IF(ISERROR(VLOOKUP($A221,'SegEnds_NonXtal_BW#'!$A:$Z,25,FALSE)+VLOOKUP($A221,A:AL,37,FALSE)-50),"-",(VLOOKUP($A221,'SegEnds_NonXtal_BW#'!$A:$Z,25,FALSE)+VLOOKUP($A221,A:AL,37,FALSE)-50))</f>
        <v>327</v>
      </c>
      <c r="AK221" s="3">
        <v>330</v>
      </c>
      <c r="AL221" s="3">
        <f>IF(ISERROR((VLOOKUP($A221,'SegEnds_NonXtal_BW#'!$A:$Z,26,FALSE)+VLOOKUP($A221,A:AL,37,FALSE)-50)),"-",(VLOOKUP($A221,'SegEnds_NonXtal_BW#'!$A:$Z,26,FALSE)+VLOOKUP($A221,A:AL,37,FALSE)-50))</f>
        <v>338</v>
      </c>
      <c r="AM221" s="28" t="str">
        <f>VLOOKUP(A221,Classification!A:B,2,FALSE)</f>
        <v>A</v>
      </c>
      <c r="AN221" s="28" t="b">
        <f t="shared" si="135"/>
        <v>1</v>
      </c>
      <c r="AO221" s="3" t="str">
        <f>IF(ISERROR(MATCH(A221,'SegEnds_Xtal_Prot#'!B:B, 0)), "NoXtal", "Xtal")</f>
        <v>NoXtal</v>
      </c>
      <c r="AP221" s="3" t="str">
        <f t="shared" si="120"/>
        <v>-</v>
      </c>
      <c r="AQ221" s="3" t="str">
        <f t="shared" si="121"/>
        <v>-</v>
      </c>
      <c r="AR221" s="3" t="str">
        <f t="shared" si="122"/>
        <v>-</v>
      </c>
      <c r="AS221" s="3" t="str">
        <f t="shared" si="123"/>
        <v>-</v>
      </c>
      <c r="AT221" s="3">
        <f t="shared" si="124"/>
        <v>1</v>
      </c>
      <c r="AU221" s="3">
        <f t="shared" si="125"/>
        <v>1</v>
      </c>
      <c r="AV221" s="3">
        <f t="shared" si="126"/>
        <v>12</v>
      </c>
      <c r="AW221" s="3">
        <f t="shared" si="127"/>
        <v>9</v>
      </c>
      <c r="AX221" s="3">
        <f t="shared" si="128"/>
        <v>16</v>
      </c>
      <c r="AY221" s="3">
        <f t="shared" si="129"/>
        <v>7</v>
      </c>
      <c r="AZ221" s="3">
        <f t="shared" si="130"/>
        <v>1</v>
      </c>
      <c r="BA221" s="3">
        <f>IF(ISERROR(LEN(VLOOKUP(A221,Seqs!A:E,2,FALSE))-AL221),"-",LEN(VLOOKUP(A221,Seqs!A:E,2,FALSE))-AL221)</f>
        <v>21</v>
      </c>
      <c r="BB221" s="16">
        <f t="shared" si="131"/>
        <v>38</v>
      </c>
      <c r="BC221" s="9">
        <f t="shared" si="132"/>
        <v>20</v>
      </c>
      <c r="BD221" s="3">
        <f t="shared" si="133"/>
        <v>38</v>
      </c>
      <c r="BE221" s="3">
        <f t="shared" si="134"/>
        <v>68</v>
      </c>
      <c r="BF221" s="3">
        <f>AH221-AE221</f>
        <v>40</v>
      </c>
    </row>
    <row r="222" spans="1:59" s="3" customFormat="1" x14ac:dyDescent="0.2">
      <c r="A222" s="3" t="s">
        <v>360</v>
      </c>
      <c r="B222" s="3" t="str">
        <f>LOWER(VLOOKUP(A222,Xtal_Templ!A:B,2,FALSE))</f>
        <v>agtr2_human</v>
      </c>
      <c r="C222" s="3">
        <f>VLOOKUP($A222,'SegEnds_NonXtal_BW#'!$A:$Z,3,FALSE)+D222-50</f>
        <v>33</v>
      </c>
      <c r="D222" s="3">
        <v>50</v>
      </c>
      <c r="E222" s="3">
        <f>IF(ISERROR(VLOOKUP($A222,'SegEnds_NonXtal_BW#'!$A:$Z,4,FALSE)+VLOOKUP($A222,A:AL,4,FALSE)-50),"-",(VLOOKUP($A222,'SegEnds_NonXtal_BW#'!$A:$Z,4,FALSE)+VLOOKUP($A222,A:AL,4,FALSE)-50))</f>
        <v>60</v>
      </c>
      <c r="F222" s="3" t="str">
        <f>IF(ISERROR(VLOOKUP($A222,'SegEnds_NonXtal_BW#'!$A:$Z,5,FALSE)+VLOOKUP($A222,A:AL,7,FALSE)-50),"-",(VLOOKUP($A222,'SegEnds_NonXtal_BW#'!$A:$Z,5,FALSE)+VLOOKUP($A222,A:AL,7,FALSE)-50))</f>
        <v>-</v>
      </c>
      <c r="G222" s="3" t="s">
        <v>23</v>
      </c>
      <c r="H222" s="3" t="str">
        <f>IF(ISERROR(VLOOKUP($A222,'SegEnds_NonXtal_BW#'!$A:$Z,6,FALSE)+VLOOKUP($A222,A:AL,7,FALSE)-50),"-",(VLOOKUP($A222,'SegEnds_NonXtal_BW#'!$A:$Z,6,FALSE)+VLOOKUP($A222,A:AL,7,FALSE)-50))</f>
        <v>-</v>
      </c>
      <c r="I222" s="3">
        <f>VLOOKUP($A222,'SegEnds_NonXtal_BW#'!$A:$Z,7,FALSE)+J222-50</f>
        <v>64</v>
      </c>
      <c r="J222" s="3">
        <v>77</v>
      </c>
      <c r="K222" s="3">
        <f>VLOOKUP($A222,'SegEnds_NonXtal_BW#'!$A:$Z,8,FALSE)+VLOOKUP($A222,A:AL,10,FALSE)-50</f>
        <v>93</v>
      </c>
      <c r="L222" s="3">
        <f>M222-1</f>
        <v>96</v>
      </c>
      <c r="M222" s="3">
        <v>97</v>
      </c>
      <c r="N222" s="3">
        <f>M222+2</f>
        <v>99</v>
      </c>
      <c r="O222" s="3">
        <f>N222+1</f>
        <v>100</v>
      </c>
      <c r="P222" s="3">
        <v>129</v>
      </c>
      <c r="Q222" s="3">
        <f>VLOOKUP($A222,'SegEnds_NonXtal_BW#'!$A:$Z,12,FALSE)+VLOOKUP($A222,A:AL,16,FALSE)-50</f>
        <v>135</v>
      </c>
      <c r="R222" s="3">
        <f>IF(ISERROR(VLOOKUP($A222,'SegEnds_NonXtal_BW#'!$A:$Z,13,FALSE)+VLOOKUP($A222,A:AL,19,FALSE)-50),"-",VLOOKUP($A222,'SegEnds_NonXtal_BW#'!$A:$Z,13,FALSE)+VLOOKUP($A222,A:AL,19,FALSE)-50)</f>
        <v>136</v>
      </c>
      <c r="S222" s="3">
        <v>136</v>
      </c>
      <c r="T222" s="103">
        <f>IF(ISERROR(VLOOKUP($A222,'SegEnds_NonXtal_BW#'!$A:$Z,14,FALSE)+VLOOKUP($A222,A:AL,19,FALSE)-50),"-",(VLOOKUP($A222,'SegEnds_NonXtal_BW#'!$A:$Z,14,FALSE)+VLOOKUP($A222,A:AL,19,FALSE)-50))</f>
        <v>143</v>
      </c>
      <c r="U222" s="9">
        <f>IF(ISERROR(VLOOKUP($A222,'SegEnds_NonXtal_BW#'!$A:$Z,15,FALSE)+VLOOKUP($A222,A:AL,22,FALSE)-50),"-",VLOOKUP($A222,'SegEnds_NonXtal_BW#'!$A:$Z,15,FALSE)+VLOOKUP($A222,A:AL,22,FALSE)-50)</f>
        <v>144</v>
      </c>
      <c r="V222" s="3">
        <v>156</v>
      </c>
      <c r="W222" s="3">
        <f>IF(ISERROR(VLOOKUP($A222,'SegEnds_NonXtal_BW#'!$A:$Z,16,FALSE)+VLOOKUP($A222,A:AL,22,FALSE)-50),"-",(VLOOKUP($A222,'SegEnds_NonXtal_BW#'!$A:$Z,16,FALSE)+VLOOKUP($A222,A:AL,22,FALSE)-50))</f>
        <v>170</v>
      </c>
      <c r="X222" s="3">
        <f>IF(ISERROR(VLOOKUP($A222,'SegEnds_NonXtal_BW#'!$A:$Z,17,FALSE)+VLOOKUP($A222,A:AL,25,FALSE)-50),"-",(VLOOKUP($A222,'SegEnds_NonXtal_BW#'!$A:$Z,17,FALSE)+VLOOKUP($A222,A:AL,25,FALSE)-50))</f>
        <v>182</v>
      </c>
      <c r="Y222" s="3">
        <v>182</v>
      </c>
      <c r="Z222" s="3">
        <f t="shared" si="119"/>
        <v>184</v>
      </c>
      <c r="AA222" s="3">
        <f>IF(ISERROR(VLOOKUP($A222,'SegEnds_NonXtal_BW#'!$A:$Z,19,FALSE)+VLOOKUP($A222,A:AL,28,FALSE)-50),"-",(VLOOKUP($A222,'SegEnds_NonXtal_BW#'!$A:$Z,19,FALSE)+VLOOKUP($A222,A:AL,28,FALSE)-50))</f>
        <v>198</v>
      </c>
      <c r="AB222" s="3">
        <v>218</v>
      </c>
      <c r="AC222" s="3">
        <f>IF(ISERROR((VLOOKUP($A222,'SegEnds_NonXtal_BW#'!$A:$Z,20,FALSE)+VLOOKUP($A222,A:AL,28,FALSE)-50)),"-",(VLOOKUP($A222,'SegEnds_NonXtal_BW#'!$A:$Z,20,FALSE)+VLOOKUP($A222,A:AL,28,FALSE)-50))</f>
        <v>236</v>
      </c>
      <c r="AD222" s="3">
        <f>IF(ISERROR(VLOOKUP($A222,'SegEnds_NonXtal_BW#'!$A:$Z,21,FALSE)+VLOOKUP($A222,A:AL,31,FALSE)-50),"-",(VLOOKUP($A222,'SegEnds_NonXtal_BW#'!$A:$Z,21,FALSE)+VLOOKUP($A222,A:AL,31,FALSE)-50))</f>
        <v>241</v>
      </c>
      <c r="AE222" s="3">
        <v>261</v>
      </c>
      <c r="AF222" s="3">
        <f>IF(ISERROR((VLOOKUP($A222,'SegEnds_NonXtal_BW#'!$A:$Z,22,FALSE)+VLOOKUP($A222,A:AL,31,FALSE)-50)),"-",(VLOOKUP($A222,'SegEnds_NonXtal_BW#'!$A:$Z,22,FALSE)+VLOOKUP($A222,A:AL,31,FALSE)-50))</f>
        <v>272</v>
      </c>
      <c r="AG222" s="3">
        <f>IF(ISERROR(VLOOKUP($A222,'SegEnds_NonXtal_BW#'!$A:$Z,23,FALSE)+VLOOKUP($A222,A:AL,34,FALSE)-50),"-",(VLOOKUP($A222,'SegEnds_NonXtal_BW#'!$A:$Z,23,FALSE)+VLOOKUP($A222,A:AL,34,FALSE)-50))</f>
        <v>279</v>
      </c>
      <c r="AH222" s="3">
        <v>301</v>
      </c>
      <c r="AI222" s="3">
        <f>IF(ISERROR((VLOOKUP($A222,'SegEnds_NonXtal_BW#'!$A:$Z,24,FALSE)+VLOOKUP($A222,A:AL,34,FALSE)-50)),"-",(VLOOKUP($A222,'SegEnds_NonXtal_BW#'!$A:$Z,24,FALSE)+VLOOKUP($A222,A:AL,34,FALSE)-50))</f>
        <v>307</v>
      </c>
      <c r="AJ222" s="3">
        <f>IF(ISERROR(VLOOKUP($A222,'SegEnds_NonXtal_BW#'!$A:$Z,25,FALSE)+VLOOKUP($A222,A:AL,37,FALSE)-50),"-",(VLOOKUP($A222,'SegEnds_NonXtal_BW#'!$A:$Z,25,FALSE)+VLOOKUP($A222,A:AL,37,FALSE)-50))</f>
        <v>308</v>
      </c>
      <c r="AK222" s="3">
        <v>311</v>
      </c>
      <c r="AL222" s="3">
        <f>IF(ISERROR((VLOOKUP($A222,'SegEnds_NonXtal_BW#'!$A:$Z,26,FALSE)+VLOOKUP($A222,A:AL,37,FALSE)-50)),"-",(VLOOKUP($A222,'SegEnds_NonXtal_BW#'!$A:$Z,26,FALSE)+VLOOKUP($A222,A:AL,37,FALSE)-50))</f>
        <v>322</v>
      </c>
      <c r="AM222" s="28" t="str">
        <f>VLOOKUP(A222,Classification!A:B,2,FALSE)</f>
        <v>A</v>
      </c>
      <c r="AN222" s="28" t="b">
        <f t="shared" si="135"/>
        <v>1</v>
      </c>
      <c r="AO222" s="3" t="str">
        <f>IF(ISERROR(MATCH(A222,'SegEnds_Xtal_Prot#'!B:B, 0)), "NoXtal", "Xtal")</f>
        <v>NoXtal</v>
      </c>
      <c r="AP222" s="3" t="str">
        <f t="shared" si="120"/>
        <v>-</v>
      </c>
      <c r="AQ222" s="3" t="str">
        <f t="shared" si="121"/>
        <v>-</v>
      </c>
      <c r="AR222" s="3">
        <f t="shared" si="122"/>
        <v>3</v>
      </c>
      <c r="AS222" s="3">
        <f t="shared" si="123"/>
        <v>1</v>
      </c>
      <c r="AT222" s="3">
        <f t="shared" si="124"/>
        <v>1</v>
      </c>
      <c r="AU222" s="3">
        <f t="shared" si="125"/>
        <v>1</v>
      </c>
      <c r="AV222" s="3">
        <f t="shared" si="126"/>
        <v>12</v>
      </c>
      <c r="AW222" s="3">
        <f t="shared" si="127"/>
        <v>14</v>
      </c>
      <c r="AX222" s="3">
        <f t="shared" si="128"/>
        <v>5</v>
      </c>
      <c r="AY222" s="3">
        <f t="shared" si="129"/>
        <v>7</v>
      </c>
      <c r="AZ222" s="3">
        <f t="shared" si="130"/>
        <v>1</v>
      </c>
      <c r="BA222" s="3">
        <f>IF(ISERROR(LEN(VLOOKUP(A222,Seqs!A:E,2,FALSE))-AL222),"-",LEN(VLOOKUP(A222,Seqs!A:E,2,FALSE))-AL222)</f>
        <v>73</v>
      </c>
      <c r="BB222" s="16">
        <f t="shared" si="131"/>
        <v>27</v>
      </c>
      <c r="BC222" s="9">
        <f t="shared" si="132"/>
        <v>20</v>
      </c>
      <c r="BD222" s="3">
        <f t="shared" si="133"/>
        <v>27</v>
      </c>
      <c r="BE222" s="3">
        <f t="shared" si="134"/>
        <v>43</v>
      </c>
    </row>
    <row r="223" spans="1:59" s="3" customFormat="1" x14ac:dyDescent="0.2">
      <c r="A223" s="3" t="s">
        <v>361</v>
      </c>
      <c r="B223" s="3" t="str">
        <f>LOWER(VLOOKUP(A223,Xtal_Templ!A:B,2,FALSE))</f>
        <v>cnr1_human</v>
      </c>
      <c r="C223" s="3">
        <f>VLOOKUP($A223,'SegEnds_NonXtal_BW#'!$A:$Z,3,FALSE)+D223-50</f>
        <v>28</v>
      </c>
      <c r="D223" s="3">
        <v>50</v>
      </c>
      <c r="E223" s="3">
        <f>IF(ISERROR(VLOOKUP($A223,'SegEnds_NonXtal_BW#'!$A:$Z,4,FALSE)+VLOOKUP($A223,A:AL,4,FALSE)-50),"-",(VLOOKUP($A223,'SegEnds_NonXtal_BW#'!$A:$Z,4,FALSE)+VLOOKUP($A223,A:AL,4,FALSE)-50))</f>
        <v>60</v>
      </c>
      <c r="F223" s="3">
        <f>G223-2</f>
        <v>62</v>
      </c>
      <c r="G223" s="3">
        <v>64</v>
      </c>
      <c r="H223" s="3">
        <f>G223+1</f>
        <v>65</v>
      </c>
      <c r="I223" s="3">
        <f>H223+1</f>
        <v>66</v>
      </c>
      <c r="J223" s="3">
        <v>84</v>
      </c>
      <c r="K223" s="3">
        <f>VLOOKUP($A223,'SegEnds_NonXtal_BW#'!$A:$Z,8,FALSE)+VLOOKUP($A223,A:AL,10,FALSE)-50</f>
        <v>100</v>
      </c>
      <c r="L223" s="3">
        <f>M223-1</f>
        <v>103</v>
      </c>
      <c r="M223" s="3">
        <v>104</v>
      </c>
      <c r="N223" s="3">
        <f>M223+2</f>
        <v>106</v>
      </c>
      <c r="O223" s="3">
        <f>N223+1</f>
        <v>107</v>
      </c>
      <c r="P223" s="3">
        <v>135</v>
      </c>
      <c r="Q223" s="3">
        <f>VLOOKUP($A223,'SegEnds_NonXtal_BW#'!$A:$Z,12,FALSE)+VLOOKUP($A223,A:AL,16,FALSE)-50</f>
        <v>141</v>
      </c>
      <c r="R223" s="3">
        <f>IF(ISERROR(VLOOKUP($A223,'SegEnds_NonXtal_BW#'!$A:$Z,13,FALSE)+VLOOKUP($A223,A:AL,19,FALSE)-50),"-",VLOOKUP($A223,'SegEnds_NonXtal_BW#'!$A:$Z,13,FALSE)+VLOOKUP($A223,A:AL,19,FALSE)-50)</f>
        <v>142</v>
      </c>
      <c r="S223" s="3">
        <v>142</v>
      </c>
      <c r="T223" s="103">
        <f>IF(ISERROR(VLOOKUP($A223,'SegEnds_NonXtal_BW#'!$A:$Z,14,FALSE)+VLOOKUP($A223,A:AL,19,FALSE)-50),"-",(VLOOKUP($A223,'SegEnds_NonXtal_BW#'!$A:$Z,14,FALSE)+VLOOKUP($A223,A:AL,19,FALSE)-50))</f>
        <v>149</v>
      </c>
      <c r="U223" s="9">
        <f>IF(ISERROR(VLOOKUP($A223,'SegEnds_NonXtal_BW#'!$A:$Z,15,FALSE)+VLOOKUP($A223,A:AL,22,FALSE)-50),"-",VLOOKUP($A223,'SegEnds_NonXtal_BW#'!$A:$Z,15,FALSE)+VLOOKUP($A223,A:AL,22,FALSE)-50)</f>
        <v>150</v>
      </c>
      <c r="V223" s="3">
        <v>162</v>
      </c>
      <c r="W223" s="3">
        <f>IF(ISERROR(VLOOKUP($A223,'SegEnds_NonXtal_BW#'!$A:$Z,16,FALSE)+VLOOKUP($A223,A:AL,22,FALSE)-50),"-",(VLOOKUP($A223,'SegEnds_NonXtal_BW#'!$A:$Z,16,FALSE)+VLOOKUP($A223,A:AL,22,FALSE)-50))</f>
        <v>175</v>
      </c>
      <c r="X223" s="3">
        <f>IF(ISERROR(VLOOKUP($A223,'SegEnds_NonXtal_BW#'!$A:$Z,17,FALSE)+VLOOKUP($A223,A:AL,25,FALSE)-50),"-",(VLOOKUP($A223,'SegEnds_NonXtal_BW#'!$A:$Z,17,FALSE)+VLOOKUP($A223,A:AL,25,FALSE)-50))</f>
        <v>188</v>
      </c>
      <c r="Y223" s="3">
        <v>188</v>
      </c>
      <c r="Z223" s="3">
        <f t="shared" si="119"/>
        <v>190</v>
      </c>
      <c r="AA223" s="3">
        <f>IF(ISERROR(VLOOKUP($A223,'SegEnds_NonXtal_BW#'!$A:$Z,19,FALSE)+VLOOKUP($A223,A:AL,28,FALSE)-50),"-",(VLOOKUP($A223,'SegEnds_NonXtal_BW#'!$A:$Z,19,FALSE)+VLOOKUP($A223,A:AL,28,FALSE)-50))</f>
        <v>202</v>
      </c>
      <c r="AB223" s="3">
        <v>216</v>
      </c>
      <c r="AC223" s="3">
        <f>IF(ISERROR((VLOOKUP($A223,'SegEnds_NonXtal_BW#'!$A:$Z,20,FALSE)+VLOOKUP($A223,A:AL,28,FALSE)-50)),"-",(VLOOKUP($A223,'SegEnds_NonXtal_BW#'!$A:$Z,20,FALSE)+VLOOKUP($A223,A:AL,28,FALSE)-50))</f>
        <v>240</v>
      </c>
      <c r="AD223" s="3">
        <f>IF(ISERROR(VLOOKUP($A223,'SegEnds_NonXtal_BW#'!$A:$Z,21,FALSE)+VLOOKUP($A223,A:AL,31,FALSE)-50),"-",(VLOOKUP($A223,'SegEnds_NonXtal_BW#'!$A:$Z,21,FALSE)+VLOOKUP($A223,A:AL,31,FALSE)-50))</f>
        <v>286</v>
      </c>
      <c r="AE223" s="3">
        <v>312</v>
      </c>
      <c r="AF223" s="3">
        <f>IF(ISERROR((VLOOKUP($A223,'SegEnds_NonXtal_BW#'!$A:$Z,22,FALSE)+VLOOKUP($A223,A:AL,31,FALSE)-50)),"-",(VLOOKUP($A223,'SegEnds_NonXtal_BW#'!$A:$Z,22,FALSE)+VLOOKUP($A223,A:AL,31,FALSE)-50))</f>
        <v>323</v>
      </c>
      <c r="AG223" s="3">
        <f>IF(ISERROR(VLOOKUP($A223,'SegEnds_NonXtal_BW#'!$A:$Z,23,FALSE)+VLOOKUP($A223,A:AL,34,FALSE)-50),"-",(VLOOKUP($A223,'SegEnds_NonXtal_BW#'!$A:$Z,23,FALSE)+VLOOKUP($A223,A:AL,34,FALSE)-50))</f>
        <v>329</v>
      </c>
      <c r="AH223" s="3">
        <v>348</v>
      </c>
      <c r="AI223" s="3">
        <f>IF(ISERROR((VLOOKUP($A223,'SegEnds_NonXtal_BW#'!$A:$Z,24,FALSE)+VLOOKUP($A223,A:AL,34,FALSE)-50)),"-",(VLOOKUP($A223,'SegEnds_NonXtal_BW#'!$A:$Z,24,FALSE)+VLOOKUP($A223,A:AL,34,FALSE)-50))</f>
        <v>354</v>
      </c>
      <c r="AJ223" s="3">
        <f>IF(ISERROR(VLOOKUP($A223,'SegEnds_NonXtal_BW#'!$A:$Z,25,FALSE)+VLOOKUP($A223,A:AL,37,FALSE)-50),"-",(VLOOKUP($A223,'SegEnds_NonXtal_BW#'!$A:$Z,25,FALSE)+VLOOKUP($A223,A:AL,37,FALSE)-50))</f>
        <v>355</v>
      </c>
      <c r="AK223" s="3">
        <v>358</v>
      </c>
      <c r="AL223" s="3">
        <f>IF(ISERROR((VLOOKUP($A223,'SegEnds_NonXtal_BW#'!$A:$Z,26,FALSE)+VLOOKUP($A223,A:AL,37,FALSE)-50)),"-",(VLOOKUP($A223,'SegEnds_NonXtal_BW#'!$A:$Z,26,FALSE)+VLOOKUP($A223,A:AL,37,FALSE)-50))</f>
        <v>367</v>
      </c>
      <c r="AM223" s="28" t="str">
        <f>VLOOKUP(A223,Classification!A:B,2,FALSE)</f>
        <v>A</v>
      </c>
      <c r="AN223" s="28" t="b">
        <f t="shared" si="135"/>
        <v>1</v>
      </c>
      <c r="AO223" s="3" t="str">
        <f>IF(ISERROR(MATCH(A223,'SegEnds_Xtal_Prot#'!B:B, 0)), "NoXtal", "Xtal")</f>
        <v>NoXtal</v>
      </c>
      <c r="AP223" s="3">
        <f t="shared" si="120"/>
        <v>2</v>
      </c>
      <c r="AQ223" s="3">
        <f t="shared" si="121"/>
        <v>1</v>
      </c>
      <c r="AR223" s="3">
        <f t="shared" si="122"/>
        <v>3</v>
      </c>
      <c r="AS223" s="3">
        <f t="shared" si="123"/>
        <v>1</v>
      </c>
      <c r="AT223" s="3">
        <f t="shared" si="124"/>
        <v>1</v>
      </c>
      <c r="AU223" s="3">
        <f t="shared" si="125"/>
        <v>1</v>
      </c>
      <c r="AV223" s="3">
        <f t="shared" si="126"/>
        <v>13</v>
      </c>
      <c r="AW223" s="3">
        <f t="shared" si="127"/>
        <v>12</v>
      </c>
      <c r="AX223" s="3">
        <f t="shared" si="128"/>
        <v>46</v>
      </c>
      <c r="AY223" s="3">
        <f t="shared" si="129"/>
        <v>6</v>
      </c>
      <c r="AZ223" s="3">
        <f t="shared" si="130"/>
        <v>1</v>
      </c>
      <c r="BA223" s="3">
        <f>IF(ISERROR(LEN(VLOOKUP(A223,Seqs!A:E,2,FALSE))-AL223),"-",LEN(VLOOKUP(A223,Seqs!A:E,2,FALSE))-AL223)</f>
        <v>35</v>
      </c>
      <c r="BB223" s="16">
        <f t="shared" si="131"/>
        <v>34</v>
      </c>
      <c r="BC223" s="9">
        <f t="shared" si="132"/>
        <v>20</v>
      </c>
      <c r="BD223" s="3">
        <f t="shared" si="133"/>
        <v>34</v>
      </c>
      <c r="BE223" s="3">
        <f t="shared" si="134"/>
        <v>96</v>
      </c>
    </row>
    <row r="224" spans="1:59" s="3" customFormat="1" x14ac:dyDescent="0.2">
      <c r="A224" s="3" t="s">
        <v>362</v>
      </c>
      <c r="B224" s="3" t="str">
        <f>LOWER(VLOOKUP(A224,Xtal_Templ!A:B,2,FALSE))</f>
        <v>ntr1_rat</v>
      </c>
      <c r="C224" s="3">
        <f>VLOOKUP($A224,'SegEnds_NonXtal_BW#'!$A:$Z,3,FALSE)+D224-50</f>
        <v>18</v>
      </c>
      <c r="D224" s="3">
        <v>39</v>
      </c>
      <c r="E224" s="3">
        <f>IF(ISERROR(VLOOKUP($A224,'SegEnds_NonXtal_BW#'!$A:$Z,4,FALSE)+VLOOKUP($A224,A:AL,4,FALSE)-50),"-",(VLOOKUP($A224,'SegEnds_NonXtal_BW#'!$A:$Z,4,FALSE)+VLOOKUP($A224,A:AL,4,FALSE)-50))</f>
        <v>49</v>
      </c>
      <c r="F224" s="3">
        <f>G224-2</f>
        <v>56</v>
      </c>
      <c r="G224" s="3">
        <v>58</v>
      </c>
      <c r="H224" s="3">
        <f>G224+1</f>
        <v>59</v>
      </c>
      <c r="I224" s="3">
        <f>H224+1</f>
        <v>60</v>
      </c>
      <c r="J224" s="3">
        <v>78</v>
      </c>
      <c r="K224" s="3">
        <f>VLOOKUP($A224,'SegEnds_NonXtal_BW#'!$A:$Z,8,FALSE)+VLOOKUP($A224,A:AL,10,FALSE)-50</f>
        <v>96</v>
      </c>
      <c r="L224" s="3" t="str">
        <f>IF(ISERROR(VLOOKUP($A224,'SegEnds_NonXtal_BW#'!$A:$Z,9,FALSE)+VLOOKUP($A224,A:AL,13,FALSE)-50),"-",(VLOOKUP($A224,'SegEnds_NonXtal_BW#'!$A:$Z,9,FALSE)+VLOOKUP($A224,A:AL,13,FALSE)-50))</f>
        <v>-</v>
      </c>
      <c r="M224" s="3" t="s">
        <v>23</v>
      </c>
      <c r="N224" s="3" t="str">
        <f>IF(ISERROR(VLOOKUP($A224,'SegEnds_NonXtal_BW#'!$A:$Z,10,FALSE)+VLOOKUP($A224,A:AL,13,FALSE)-50),"-",(VLOOKUP($A224,'SegEnds_NonXtal_BW#'!$A:$Z,10,FALSE)+VLOOKUP($A224,A:AL,13,FALSE)-50))</f>
        <v>-</v>
      </c>
      <c r="O224" s="3">
        <f>VLOOKUP($A224,'SegEnds_NonXtal_BW#'!$A:$Z,11,FALSE)+VLOOKUP($A224,A:AL,16,FALSE)-50</f>
        <v>102</v>
      </c>
      <c r="P224" s="3">
        <v>134</v>
      </c>
      <c r="Q224" s="3">
        <f>VLOOKUP($A224,'SegEnds_NonXtal_BW#'!$A:$Z,12,FALSE)+VLOOKUP($A224,A:AL,16,FALSE)-50</f>
        <v>140</v>
      </c>
      <c r="R224" s="3">
        <f>IF(ISERROR(VLOOKUP($A224,'SegEnds_NonXtal_BW#'!$A:$Z,13,FALSE)+VLOOKUP($A224,A:AL,19,FALSE)-50),"-",VLOOKUP($A224,'SegEnds_NonXtal_BW#'!$A:$Z,13,FALSE)+VLOOKUP($A224,A:AL,19,FALSE)-50)</f>
        <v>141</v>
      </c>
      <c r="S224" s="3">
        <v>141</v>
      </c>
      <c r="T224" s="103">
        <f>IF(ISERROR(VLOOKUP($A224,'SegEnds_NonXtal_BW#'!$A:$Z,14,FALSE)+VLOOKUP($A224,A:AL,19,FALSE)-50),"-",(VLOOKUP($A224,'SegEnds_NonXtal_BW#'!$A:$Z,14,FALSE)+VLOOKUP($A224,A:AL,19,FALSE)-50))</f>
        <v>148</v>
      </c>
      <c r="U224" s="9">
        <f>IF(ISERROR(VLOOKUP($A224,'SegEnds_NonXtal_BW#'!$A:$Z,15,FALSE)+VLOOKUP($A224,A:AL,22,FALSE)-50),"-",VLOOKUP($A224,'SegEnds_NonXtal_BW#'!$A:$Z,15,FALSE)+VLOOKUP($A224,A:AL,22,FALSE)-50)</f>
        <v>149</v>
      </c>
      <c r="V224" s="3">
        <v>161</v>
      </c>
      <c r="W224" s="3">
        <f>IF(ISERROR(VLOOKUP($A224,'SegEnds_NonXtal_BW#'!$A:$Z,16,FALSE)+VLOOKUP($A224,A:AL,22,FALSE)-50),"-",(VLOOKUP($A224,'SegEnds_NonXtal_BW#'!$A:$Z,16,FALSE)+VLOOKUP($A224,A:AL,22,FALSE)-50))</f>
        <v>175</v>
      </c>
      <c r="X224" s="3">
        <f>IF(ISERROR(VLOOKUP($A224,'SegEnds_NonXtal_BW#'!$A:$Z,17,FALSE)+VLOOKUP($A224,A:AL,25,FALSE)-50),"-",(VLOOKUP($A224,'SegEnds_NonXtal_BW#'!$A:$Z,17,FALSE)+VLOOKUP($A224,A:AL,25,FALSE)-50))</f>
        <v>187</v>
      </c>
      <c r="Y224" s="3">
        <v>187</v>
      </c>
      <c r="Z224" s="3">
        <f t="shared" si="119"/>
        <v>189</v>
      </c>
      <c r="AA224" s="3">
        <f>IF(ISERROR(VLOOKUP($A224,'SegEnds_NonXtal_BW#'!$A:$Z,19,FALSE)+VLOOKUP($A224,A:AL,28,FALSE)-50),"-",(VLOOKUP($A224,'SegEnds_NonXtal_BW#'!$A:$Z,19,FALSE)+VLOOKUP($A224,A:AL,28,FALSE)-50))</f>
        <v>194</v>
      </c>
      <c r="AB224" s="3">
        <v>209</v>
      </c>
      <c r="AC224" s="3">
        <f>IF(ISERROR((VLOOKUP($A224,'SegEnds_NonXtal_BW#'!$A:$Z,20,FALSE)+VLOOKUP($A224,A:AL,28,FALSE)-50)),"-",(VLOOKUP($A224,'SegEnds_NonXtal_BW#'!$A:$Z,20,FALSE)+VLOOKUP($A224,A:AL,28,FALSE)-50))</f>
        <v>235</v>
      </c>
      <c r="AD224" s="3">
        <f>IF(ISERROR(VLOOKUP($A224,'SegEnds_NonXtal_BW#'!$A:$Z,21,FALSE)+VLOOKUP($A224,A:AL,31,FALSE)-50),"-",(VLOOKUP($A224,'SegEnds_NonXtal_BW#'!$A:$Z,21,FALSE)+VLOOKUP($A224,A:AL,31,FALSE)-50))</f>
        <v>253</v>
      </c>
      <c r="AE224" s="3">
        <v>279</v>
      </c>
      <c r="AF224" s="3">
        <f>IF(ISERROR((VLOOKUP($A224,'SegEnds_NonXtal_BW#'!$A:$Z,22,FALSE)+VLOOKUP($A224,A:AL,31,FALSE)-50)),"-",(VLOOKUP($A224,'SegEnds_NonXtal_BW#'!$A:$Z,22,FALSE)+VLOOKUP($A224,A:AL,31,FALSE)-50))</f>
        <v>290</v>
      </c>
      <c r="AG224" s="3">
        <f>IF(ISERROR(VLOOKUP($A224,'SegEnds_NonXtal_BW#'!$A:$Z,23,FALSE)+VLOOKUP($A224,A:AL,34,FALSE)-50),"-",(VLOOKUP($A224,'SegEnds_NonXtal_BW#'!$A:$Z,23,FALSE)+VLOOKUP($A224,A:AL,34,FALSE)-50))</f>
        <v>295</v>
      </c>
      <c r="AH224" s="3">
        <v>312</v>
      </c>
      <c r="AI224" s="3">
        <f>IF(ISERROR((VLOOKUP($A224,'SegEnds_NonXtal_BW#'!$A:$Z,24,FALSE)+VLOOKUP($A224,A:AL,34,FALSE)-50)),"-",(VLOOKUP($A224,'SegEnds_NonXtal_BW#'!$A:$Z,24,FALSE)+VLOOKUP($A224,A:AL,34,FALSE)-50))</f>
        <v>318</v>
      </c>
      <c r="AJ224" s="3">
        <f>IF(ISERROR(VLOOKUP($A224,'SegEnds_NonXtal_BW#'!$A:$Z,25,FALSE)+VLOOKUP($A224,A:AL,37,FALSE)-50),"-",(VLOOKUP($A224,'SegEnds_NonXtal_BW#'!$A:$Z,25,FALSE)+VLOOKUP($A224,A:AL,37,FALSE)-50))</f>
        <v>319</v>
      </c>
      <c r="AK224" s="3">
        <v>322</v>
      </c>
      <c r="AL224" s="3">
        <f>IF(ISERROR((VLOOKUP($A224,'SegEnds_NonXtal_BW#'!$A:$Z,26,FALSE)+VLOOKUP($A224,A:AL,37,FALSE)-50)),"-",(VLOOKUP($A224,'SegEnds_NonXtal_BW#'!$A:$Z,26,FALSE)+VLOOKUP($A224,A:AL,37,FALSE)-50))</f>
        <v>330</v>
      </c>
      <c r="AM224" s="28" t="str">
        <f>VLOOKUP(A224,Classification!A:B,2,FALSE)</f>
        <v>A</v>
      </c>
      <c r="AN224" s="28" t="b">
        <f t="shared" si="135"/>
        <v>1</v>
      </c>
      <c r="AO224" s="3" t="str">
        <f>IF(ISERROR(MATCH(A224,'SegEnds_Xtal_Prot#'!B:B, 0)), "NoXtal", "Xtal")</f>
        <v>NoXtal</v>
      </c>
      <c r="AP224" s="3">
        <f t="shared" si="120"/>
        <v>7</v>
      </c>
      <c r="AQ224" s="3">
        <f t="shared" si="121"/>
        <v>1</v>
      </c>
      <c r="AR224" s="3" t="str">
        <f t="shared" si="122"/>
        <v>-</v>
      </c>
      <c r="AS224" s="3" t="str">
        <f t="shared" si="123"/>
        <v>-</v>
      </c>
      <c r="AT224" s="3">
        <f t="shared" si="124"/>
        <v>1</v>
      </c>
      <c r="AU224" s="3">
        <f t="shared" si="125"/>
        <v>1</v>
      </c>
      <c r="AV224" s="3">
        <f t="shared" si="126"/>
        <v>12</v>
      </c>
      <c r="AW224" s="3">
        <f t="shared" si="127"/>
        <v>5</v>
      </c>
      <c r="AX224" s="3">
        <f t="shared" si="128"/>
        <v>18</v>
      </c>
      <c r="AY224" s="3">
        <f t="shared" si="129"/>
        <v>5</v>
      </c>
      <c r="AZ224" s="3">
        <f t="shared" si="130"/>
        <v>1</v>
      </c>
      <c r="BA224" s="3">
        <f>IF(ISERROR(LEN(VLOOKUP(A224,Seqs!A:E,2,FALSE))-AL224),"-",LEN(VLOOKUP(A224,Seqs!A:E,2,FALSE))-AL224)</f>
        <v>28</v>
      </c>
      <c r="BB224" s="16">
        <f t="shared" si="131"/>
        <v>39</v>
      </c>
      <c r="BC224" s="9">
        <f t="shared" si="132"/>
        <v>20</v>
      </c>
      <c r="BD224" s="3">
        <f t="shared" si="133"/>
        <v>39</v>
      </c>
      <c r="BE224" s="3">
        <f t="shared" si="134"/>
        <v>70</v>
      </c>
      <c r="BF224" s="3">
        <f>AH224-AE224</f>
        <v>33</v>
      </c>
    </row>
    <row r="225" spans="1:58" s="3" customFormat="1" x14ac:dyDescent="0.2">
      <c r="A225" s="3" t="s">
        <v>363</v>
      </c>
      <c r="B225" s="3" t="str">
        <f>LOWER(VLOOKUP(A225,Xtal_Templ!A:B,2,FALSE))</f>
        <v>s1pr1_human</v>
      </c>
      <c r="C225" s="3">
        <f>VLOOKUP($A225,'SegEnds_NonXtal_BW#'!$A:$Z,3,FALSE)+D225-50</f>
        <v>45</v>
      </c>
      <c r="D225" s="3">
        <v>66</v>
      </c>
      <c r="E225" s="3">
        <f>IF(ISERROR(VLOOKUP($A225,'SegEnds_NonXtal_BW#'!$A:$Z,4,FALSE)+VLOOKUP($A225,A:AL,4,FALSE)-50),"-",(VLOOKUP($A225,'SegEnds_NonXtal_BW#'!$A:$Z,4,FALSE)+VLOOKUP($A225,A:AL,4,FALSE)-50))</f>
        <v>76</v>
      </c>
      <c r="F225" s="3" t="str">
        <f>IF(ISERROR(VLOOKUP($A225,'SegEnds_NonXtal_BW#'!$A:$Z,5,FALSE)+VLOOKUP($A225,A:AL,7,FALSE)-50),"-",(VLOOKUP($A225,'SegEnds_NonXtal_BW#'!$A:$Z,5,FALSE)+VLOOKUP($A225,A:AL,7,FALSE)-50))</f>
        <v>-</v>
      </c>
      <c r="G225" s="3" t="s">
        <v>23</v>
      </c>
      <c r="H225" s="3" t="str">
        <f>IF(ISERROR(VLOOKUP($A225,'SegEnds_NonXtal_BW#'!$A:$Z,6,FALSE)+VLOOKUP($A225,A:AL,7,FALSE)-50),"-",(VLOOKUP($A225,'SegEnds_NonXtal_BW#'!$A:$Z,6,FALSE)+VLOOKUP($A225,A:AL,7,FALSE)-50))</f>
        <v>-</v>
      </c>
      <c r="I225" s="3">
        <f>VLOOKUP($A225,'SegEnds_NonXtal_BW#'!$A:$Z,7,FALSE)+J225-50</f>
        <v>86</v>
      </c>
      <c r="J225" s="3">
        <v>99</v>
      </c>
      <c r="K225" s="3">
        <f>VLOOKUP($A225,'SegEnds_NonXtal_BW#'!$A:$Z,8,FALSE)+VLOOKUP($A225,A:AL,10,FALSE)-50</f>
        <v>112</v>
      </c>
      <c r="L225" s="3">
        <f>M225-1</f>
        <v>119</v>
      </c>
      <c r="M225" s="3">
        <v>120</v>
      </c>
      <c r="N225" s="3">
        <f>M225+2</f>
        <v>122</v>
      </c>
      <c r="O225" s="3">
        <f>N225+1</f>
        <v>123</v>
      </c>
      <c r="P225" s="3">
        <v>155</v>
      </c>
      <c r="Q225" s="3">
        <f>VLOOKUP($A225,'SegEnds_NonXtal_BW#'!$A:$Z,12,FALSE)+VLOOKUP($A225,A:AL,16,FALSE)-50</f>
        <v>161</v>
      </c>
      <c r="R225" s="3">
        <f>IF(ISERROR(VLOOKUP($A225,'SegEnds_NonXtal_BW#'!$A:$Z,13,FALSE)+VLOOKUP($A225,A:AL,19,FALSE)-50),"-",VLOOKUP($A225,'SegEnds_NonXtal_BW#'!$A:$Z,13,FALSE)+VLOOKUP($A225,A:AL,19,FALSE)-50)</f>
        <v>162</v>
      </c>
      <c r="S225" s="3">
        <v>162</v>
      </c>
      <c r="T225" s="103">
        <f>IF(ISERROR(VLOOKUP($A225,'SegEnds_NonXtal_BW#'!$A:$Z,14,FALSE)+VLOOKUP($A225,A:AL,19,FALSE)-50),"-",(VLOOKUP($A225,'SegEnds_NonXtal_BW#'!$A:$Z,14,FALSE)+VLOOKUP($A225,A:AL,19,FALSE)-50))</f>
        <v>169</v>
      </c>
      <c r="U225" s="9">
        <f>IF(ISERROR(VLOOKUP($A225,'SegEnds_NonXtal_BW#'!$A:$Z,15,FALSE)+VLOOKUP($A225,A:AL,22,FALSE)-50),"-",VLOOKUP($A225,'SegEnds_NonXtal_BW#'!$A:$Z,15,FALSE)+VLOOKUP($A225,A:AL,22,FALSE)-50)</f>
        <v>170</v>
      </c>
      <c r="V225" s="3">
        <v>182</v>
      </c>
      <c r="W225" s="3">
        <f>IF(ISERROR(VLOOKUP($A225,'SegEnds_NonXtal_BW#'!$A:$Z,16,FALSE)+VLOOKUP($A225,A:AL,22,FALSE)-50),"-",(VLOOKUP($A225,'SegEnds_NonXtal_BW#'!$A:$Z,16,FALSE)+VLOOKUP($A225,A:AL,22,FALSE)-50))</f>
        <v>195</v>
      </c>
      <c r="X225" s="3">
        <f>Y225</f>
        <v>208</v>
      </c>
      <c r="Y225" s="3">
        <v>208</v>
      </c>
      <c r="Z225" s="3">
        <f t="shared" si="119"/>
        <v>210</v>
      </c>
      <c r="AA225" s="3">
        <f>IF(ISERROR(VLOOKUP($A225,'SegEnds_NonXtal_BW#'!$A:$Z,19,FALSE)+VLOOKUP($A225,A:AL,28,FALSE)-50),"-",(VLOOKUP($A225,'SegEnds_NonXtal_BW#'!$A:$Z,19,FALSE)+VLOOKUP($A225,A:AL,28,FALSE)-50))</f>
        <v>229</v>
      </c>
      <c r="AB225" s="3">
        <v>243</v>
      </c>
      <c r="AC225" s="3">
        <f>IF(ISERROR((VLOOKUP($A225,'SegEnds_NonXtal_BW#'!$A:$Z,20,FALSE)+VLOOKUP($A225,A:AL,28,FALSE)-50)),"-",(VLOOKUP($A225,'SegEnds_NonXtal_BW#'!$A:$Z,20,FALSE)+VLOOKUP($A225,A:AL,28,FALSE)-50))</f>
        <v>265</v>
      </c>
      <c r="AD225" s="3">
        <f>IF(ISERROR(VLOOKUP($A225,'SegEnds_NonXtal_BW#'!$A:$Z,21,FALSE)+VLOOKUP($A225,A:AL,31,FALSE)-50),"-",(VLOOKUP($A225,'SegEnds_NonXtal_BW#'!$A:$Z,21,FALSE)+VLOOKUP($A225,A:AL,31,FALSE)-50))</f>
        <v>271</v>
      </c>
      <c r="AE225" s="3">
        <v>297</v>
      </c>
      <c r="AF225" s="3">
        <f>IF(ISERROR((VLOOKUP($A225,'SegEnds_NonXtal_BW#'!$A:$Z,22,FALSE)+VLOOKUP($A225,A:AL,31,FALSE)-50)),"-",(VLOOKUP($A225,'SegEnds_NonXtal_BW#'!$A:$Z,22,FALSE)+VLOOKUP($A225,A:AL,31,FALSE)-50))</f>
        <v>311</v>
      </c>
      <c r="AG225" s="3">
        <f>IF(ISERROR(VLOOKUP($A225,'SegEnds_NonXtal_BW#'!$A:$Z,23,FALSE)+VLOOKUP($A225,A:AL,34,FALSE)-50),"-",(VLOOKUP($A225,'SegEnds_NonXtal_BW#'!$A:$Z,23,FALSE)+VLOOKUP($A225,A:AL,34,FALSE)-50))</f>
        <v>317</v>
      </c>
      <c r="AH225" s="3">
        <v>343</v>
      </c>
      <c r="AI225" s="3">
        <f>IF(ISERROR((VLOOKUP($A225,'SegEnds_NonXtal_BW#'!$A:$Z,24,FALSE)+VLOOKUP($A225,A:AL,34,FALSE)-50)),"-",(VLOOKUP($A225,'SegEnds_NonXtal_BW#'!$A:$Z,24,FALSE)+VLOOKUP($A225,A:AL,34,FALSE)-50))</f>
        <v>349</v>
      </c>
      <c r="AJ225" s="3">
        <f>IF(ISERROR(VLOOKUP($A225,'SegEnds_NonXtal_BW#'!$A:$Z,25,FALSE)+VLOOKUP($A225,A:AL,37,FALSE)-50),"-",(VLOOKUP($A225,'SegEnds_NonXtal_BW#'!$A:$Z,25,FALSE)+VLOOKUP($A225,A:AL,37,FALSE)-50))</f>
        <v>350</v>
      </c>
      <c r="AK225" s="3">
        <v>353</v>
      </c>
      <c r="AL225" s="3">
        <f>IF(ISERROR((VLOOKUP($A225,'SegEnds_NonXtal_BW#'!$A:$Z,26,FALSE)+VLOOKUP($A225,A:AL,37,FALSE)-50)),"-",(VLOOKUP($A225,'SegEnds_NonXtal_BW#'!$A:$Z,26,FALSE)+VLOOKUP($A225,A:AL,37,FALSE)-50))</f>
        <v>362</v>
      </c>
      <c r="AM225" s="28" t="str">
        <f>VLOOKUP(A225,Classification!A:B,2,FALSE)</f>
        <v>A</v>
      </c>
      <c r="AN225" s="28" t="b">
        <f t="shared" si="135"/>
        <v>1</v>
      </c>
      <c r="AO225" s="3" t="str">
        <f>IF(ISERROR(MATCH(A225,'SegEnds_Xtal_Prot#'!B:B, 0)), "NoXtal", "Xtal")</f>
        <v>NoXtal</v>
      </c>
      <c r="AP225" s="3" t="str">
        <f t="shared" si="120"/>
        <v>-</v>
      </c>
      <c r="AQ225" s="3" t="str">
        <f t="shared" si="121"/>
        <v>-</v>
      </c>
      <c r="AR225" s="3">
        <f t="shared" si="122"/>
        <v>7</v>
      </c>
      <c r="AS225" s="3">
        <f t="shared" si="123"/>
        <v>1</v>
      </c>
      <c r="AT225" s="3">
        <f t="shared" si="124"/>
        <v>1</v>
      </c>
      <c r="AU225" s="3">
        <f t="shared" si="125"/>
        <v>1</v>
      </c>
      <c r="AV225" s="3">
        <f t="shared" si="126"/>
        <v>13</v>
      </c>
      <c r="AW225" s="3">
        <f t="shared" si="127"/>
        <v>19</v>
      </c>
      <c r="AX225" s="3">
        <f t="shared" si="128"/>
        <v>6</v>
      </c>
      <c r="AY225" s="3">
        <f t="shared" si="129"/>
        <v>6</v>
      </c>
      <c r="AZ225" s="3">
        <f t="shared" si="130"/>
        <v>1</v>
      </c>
      <c r="BA225" s="3">
        <f>IF(ISERROR(LEN(VLOOKUP(A225,Seqs!A:E,2,FALSE))-AL225),"-",LEN(VLOOKUP(A225,Seqs!A:E,2,FALSE))-AL225)</f>
        <v>28</v>
      </c>
      <c r="BB225" s="16">
        <f t="shared" si="131"/>
        <v>33</v>
      </c>
      <c r="BC225" s="9">
        <f t="shared" si="132"/>
        <v>20</v>
      </c>
      <c r="BD225" s="3">
        <f t="shared" si="133"/>
        <v>33</v>
      </c>
      <c r="BE225" s="3">
        <f t="shared" si="134"/>
        <v>54</v>
      </c>
      <c r="BF225" s="3">
        <f>AH225-AE225</f>
        <v>46</v>
      </c>
    </row>
    <row r="226" spans="1:58" s="3" customFormat="1" x14ac:dyDescent="0.2">
      <c r="A226" s="3" t="s">
        <v>364</v>
      </c>
      <c r="B226" s="3" t="str">
        <f>LOWER(VLOOKUP(A226,Xtal_Templ!A:B,2,FALSE))</f>
        <v>par2_human</v>
      </c>
      <c r="C226" s="3">
        <f>VLOOKUP($A226,'SegEnds_NonXtal_BW#'!$A:$Z,3,FALSE)+D226-50</f>
        <v>13</v>
      </c>
      <c r="D226" s="3">
        <v>35</v>
      </c>
      <c r="E226" s="3">
        <f>IF(ISERROR(VLOOKUP($A226,'SegEnds_NonXtal_BW#'!$A:$Z,4,FALSE)+VLOOKUP($A226,A:AL,4,FALSE)-50),"-",(VLOOKUP($A226,'SegEnds_NonXtal_BW#'!$A:$Z,4,FALSE)+VLOOKUP($A226,A:AL,4,FALSE)-50))</f>
        <v>45</v>
      </c>
      <c r="F226" s="3" t="str">
        <f>IF(ISERROR(VLOOKUP($A226,'SegEnds_NonXtal_BW#'!$A:$Z,5,FALSE)+VLOOKUP($A226,A:AL,7,FALSE)-50),"-",(VLOOKUP($A226,'SegEnds_NonXtal_BW#'!$A:$Z,5,FALSE)+VLOOKUP($A226,A:AL,7,FALSE)-50))</f>
        <v>-</v>
      </c>
      <c r="G226" s="3" t="s">
        <v>23</v>
      </c>
      <c r="H226" s="3" t="str">
        <f>IF(ISERROR(VLOOKUP($A226,'SegEnds_NonXtal_BW#'!$A:$Z,6,FALSE)+VLOOKUP($A226,A:AL,7,FALSE)-50),"-",(VLOOKUP($A226,'SegEnds_NonXtal_BW#'!$A:$Z,6,FALSE)+VLOOKUP($A226,A:AL,7,FALSE)-50))</f>
        <v>-</v>
      </c>
      <c r="I226" s="3">
        <f>VLOOKUP($A226,'SegEnds_NonXtal_BW#'!$A:$Z,7,FALSE)+J226-50</f>
        <v>52</v>
      </c>
      <c r="J226" s="3">
        <v>65</v>
      </c>
      <c r="K226" s="3">
        <f>VLOOKUP($A226,'SegEnds_NonXtal_BW#'!$A:$Z,8,FALSE)+VLOOKUP($A226,A:AL,10,FALSE)-50</f>
        <v>81</v>
      </c>
      <c r="L226" s="3" t="str">
        <f>IF(ISERROR(VLOOKUP($A226,'SegEnds_NonXtal_BW#'!$A:$Z,9,FALSE)+VLOOKUP($A226,A:AL,13,FALSE)-50),"-",(VLOOKUP($A226,'SegEnds_NonXtal_BW#'!$A:$Z,9,FALSE)+VLOOKUP($A226,A:AL,13,FALSE)-50))</f>
        <v>-</v>
      </c>
      <c r="M226" s="3" t="s">
        <v>23</v>
      </c>
      <c r="N226" s="3" t="str">
        <f>IF(ISERROR(VLOOKUP($A226,'SegEnds_NonXtal_BW#'!$A:$Z,10,FALSE)+VLOOKUP($A226,A:AL,13,FALSE)-50),"-",(VLOOKUP($A226,'SegEnds_NonXtal_BW#'!$A:$Z,10,FALSE)+VLOOKUP($A226,A:AL,13,FALSE)-50))</f>
        <v>-</v>
      </c>
      <c r="O226" s="3">
        <f>VLOOKUP($A226,'SegEnds_NonXtal_BW#'!$A:$Z,11,FALSE)+VLOOKUP($A226,A:AL,16,FALSE)-50</f>
        <v>88</v>
      </c>
      <c r="P226" s="3">
        <v>117</v>
      </c>
      <c r="Q226" s="3">
        <f>VLOOKUP($A226,'SegEnds_NonXtal_BW#'!$A:$Z,12,FALSE)+VLOOKUP($A226,A:AL,16,FALSE)-50</f>
        <v>123</v>
      </c>
      <c r="R226" s="3">
        <f>IF(ISERROR(VLOOKUP($A226,'SegEnds_NonXtal_BW#'!$A:$Z,13,FALSE)+VLOOKUP($A226,A:AL,19,FALSE)-50),"-",VLOOKUP($A226,'SegEnds_NonXtal_BW#'!$A:$Z,13,FALSE)+VLOOKUP($A226,A:AL,19,FALSE)-50)</f>
        <v>124</v>
      </c>
      <c r="S226" s="3">
        <v>124</v>
      </c>
      <c r="T226" s="103">
        <f>IF(ISERROR(VLOOKUP($A226,'SegEnds_NonXtal_BW#'!$A:$Z,14,FALSE)+VLOOKUP($A226,A:AL,19,FALSE)-50),"-",(VLOOKUP($A226,'SegEnds_NonXtal_BW#'!$A:$Z,14,FALSE)+VLOOKUP($A226,A:AL,19,FALSE)-50))</f>
        <v>131</v>
      </c>
      <c r="U226" s="9">
        <f>IF(ISERROR(VLOOKUP($A226,'SegEnds_NonXtal_BW#'!$A:$Z,15,FALSE)+VLOOKUP($A226,A:AL,22,FALSE)-50),"-",VLOOKUP($A226,'SegEnds_NonXtal_BW#'!$A:$Z,15,FALSE)+VLOOKUP($A226,A:AL,22,FALSE)-50)</f>
        <v>132</v>
      </c>
      <c r="V226" s="3">
        <v>144</v>
      </c>
      <c r="W226" s="3">
        <f>IF(ISERROR(VLOOKUP($A226,'SegEnds_NonXtal_BW#'!$A:$Z,16,FALSE)+VLOOKUP($A226,A:AL,22,FALSE)-50),"-",(VLOOKUP($A226,'SegEnds_NonXtal_BW#'!$A:$Z,16,FALSE)+VLOOKUP($A226,A:AL,22,FALSE)-50))</f>
        <v>156</v>
      </c>
      <c r="X226" s="3">
        <f>IF(ISERROR(VLOOKUP($A226,'SegEnds_NonXtal_BW#'!$A:$Z,17,FALSE)+VLOOKUP($A226,A:AL,25,FALSE)-50),"-",(VLOOKUP($A226,'SegEnds_NonXtal_BW#'!$A:$Z,17,FALSE)+VLOOKUP($A226,A:AL,25,FALSE)-50))</f>
        <v>170</v>
      </c>
      <c r="Y226" s="3">
        <v>170</v>
      </c>
      <c r="Z226" s="3">
        <f>IF(ISERROR(VLOOKUP($A226,'SegEnds_NonXtal_BW#'!$A:$Z,18,FALSE)+VLOOKUP($A226,A:AL,25,FALSE)-50),"-",(VLOOKUP($A226,'SegEnds_NonXtal_BW#'!$A:$Z,18,FALSE)+VLOOKUP($A226,A:AL,25,FALSE)-50))</f>
        <v>172</v>
      </c>
      <c r="AA226" s="3">
        <f>IF(ISERROR(VLOOKUP($A226,'SegEnds_NonXtal_BW#'!$A:$Z,19,FALSE)+VLOOKUP($A226,A:AL,28,FALSE)-50),"-",(VLOOKUP($A226,'SegEnds_NonXtal_BW#'!$A:$Z,19,FALSE)+VLOOKUP($A226,A:AL,28,FALSE)-50))</f>
        <v>178</v>
      </c>
      <c r="AB226" s="3">
        <v>197</v>
      </c>
      <c r="AC226" s="3">
        <f>IF(ISERROR((VLOOKUP($A226,'SegEnds_NonXtal_BW#'!$A:$Z,20,FALSE)+VLOOKUP($A226,A:AL,28,FALSE)-50)),"-",(VLOOKUP($A226,'SegEnds_NonXtal_BW#'!$A:$Z,20,FALSE)+VLOOKUP($A226,A:AL,28,FALSE)-50))</f>
        <v>223</v>
      </c>
      <c r="AD226" s="3">
        <f>IF(ISERROR(VLOOKUP($A226,'SegEnds_NonXtal_BW#'!$A:$Z,21,FALSE)+VLOOKUP($A226,A:AL,31,FALSE)-50),"-",(VLOOKUP($A226,'SegEnds_NonXtal_BW#'!$A:$Z,21,FALSE)+VLOOKUP($A226,A:AL,31,FALSE)-50))</f>
        <v>261</v>
      </c>
      <c r="AE226" s="3">
        <v>287</v>
      </c>
      <c r="AF226" s="3">
        <f>IF(ISERROR((VLOOKUP($A226,'SegEnds_NonXtal_BW#'!$A:$Z,22,FALSE)+VLOOKUP($A226,A:AL,31,FALSE)-50)),"-",(VLOOKUP($A226,'SegEnds_NonXtal_BW#'!$A:$Z,22,FALSE)+VLOOKUP($A226,A:AL,31,FALSE)-50))</f>
        <v>298</v>
      </c>
      <c r="AG226" s="3">
        <f>IF(ISERROR(VLOOKUP($A226,'SegEnds_NonXtal_BW#'!$A:$Z,23,FALSE)+VLOOKUP($A226,A:AL,34,FALSE)-50),"-",(VLOOKUP($A226,'SegEnds_NonXtal_BW#'!$A:$Z,23,FALSE)+VLOOKUP($A226,A:AL,34,FALSE)-50))</f>
        <v>304</v>
      </c>
      <c r="AH226" s="3">
        <v>326</v>
      </c>
      <c r="AI226" s="3">
        <f>IF(ISERROR((VLOOKUP($A226,'SegEnds_NonXtal_BW#'!$A:$Z,24,FALSE)+VLOOKUP($A226,A:AL,34,FALSE)-50)),"-",(VLOOKUP($A226,'SegEnds_NonXtal_BW#'!$A:$Z,24,FALSE)+VLOOKUP($A226,A:AL,34,FALSE)-50))</f>
        <v>332</v>
      </c>
      <c r="AJ226" s="3">
        <f>IF(ISERROR(VLOOKUP($A226,'SegEnds_NonXtal_BW#'!$A:$Z,25,FALSE)+VLOOKUP($A226,A:AL,37,FALSE)-50),"-",(VLOOKUP($A226,'SegEnds_NonXtal_BW#'!$A:$Z,25,FALSE)+VLOOKUP($A226,A:AL,37,FALSE)-50))</f>
        <v>333</v>
      </c>
      <c r="AK226" s="3">
        <v>336</v>
      </c>
      <c r="AL226" s="3">
        <f>IF(ISERROR((VLOOKUP($A226,'SegEnds_NonXtal_BW#'!$A:$Z,26,FALSE)+VLOOKUP($A226,A:AL,37,FALSE)-50)),"-",(VLOOKUP($A226,'SegEnds_NonXtal_BW#'!$A:$Z,26,FALSE)+VLOOKUP($A226,A:AL,37,FALSE)-50))</f>
        <v>347</v>
      </c>
      <c r="AM226" s="28" t="str">
        <f>VLOOKUP(A226,Classification!A:B,2,FALSE)</f>
        <v>A</v>
      </c>
      <c r="AN226" s="28" t="b">
        <f t="shared" si="135"/>
        <v>1</v>
      </c>
      <c r="AO226" s="3" t="str">
        <f>IF(ISERROR(MATCH(A226,'SegEnds_Xtal_Prot#'!B:B, 0)), "NoXtal", "Xtal")</f>
        <v>NoXtal</v>
      </c>
      <c r="AP226" s="3" t="str">
        <f t="shared" si="120"/>
        <v>-</v>
      </c>
      <c r="AQ226" s="3" t="str">
        <f t="shared" si="121"/>
        <v>-</v>
      </c>
      <c r="AR226" s="3" t="str">
        <f t="shared" si="122"/>
        <v>-</v>
      </c>
      <c r="AS226" s="3" t="str">
        <f t="shared" si="123"/>
        <v>-</v>
      </c>
      <c r="AT226" s="3">
        <f t="shared" si="124"/>
        <v>1</v>
      </c>
      <c r="AU226" s="3">
        <f t="shared" si="125"/>
        <v>1</v>
      </c>
      <c r="AV226" s="3">
        <f t="shared" si="126"/>
        <v>14</v>
      </c>
      <c r="AW226" s="3">
        <f t="shared" si="127"/>
        <v>6</v>
      </c>
      <c r="AX226" s="3">
        <f t="shared" si="128"/>
        <v>38</v>
      </c>
      <c r="AY226" s="3">
        <f t="shared" si="129"/>
        <v>6</v>
      </c>
      <c r="AZ226" s="3">
        <f t="shared" si="130"/>
        <v>1</v>
      </c>
      <c r="BA226" s="3">
        <f>IF(ISERROR(LEN(VLOOKUP(A226,Seqs!A:E,2,FALSE))-AL226),"-",LEN(VLOOKUP(A226,Seqs!A:E,2,FALSE))-AL226)</f>
        <v>141</v>
      </c>
      <c r="BB226" s="16">
        <f t="shared" si="131"/>
        <v>30</v>
      </c>
      <c r="BC226" s="9">
        <f t="shared" si="132"/>
        <v>20</v>
      </c>
      <c r="BD226" s="3">
        <f t="shared" si="133"/>
        <v>30</v>
      </c>
      <c r="BE226" s="3">
        <f t="shared" si="134"/>
        <v>90</v>
      </c>
    </row>
    <row r="227" spans="1:58" s="3" customFormat="1" x14ac:dyDescent="0.2">
      <c r="A227" s="3" t="s">
        <v>365</v>
      </c>
      <c r="B227" s="3" t="str">
        <f>LOWER(VLOOKUP(A227,Xtal_Templ!A:B,2,FALSE))</f>
        <v>lpar1_human</v>
      </c>
      <c r="C227" s="3">
        <f>VLOOKUP($A227,'SegEnds_NonXtal_BW#'!$A:$Z,3,FALSE)+D227-50</f>
        <v>24</v>
      </c>
      <c r="D227" s="3">
        <v>44</v>
      </c>
      <c r="E227" s="3">
        <f>IF(ISERROR(VLOOKUP($A227,'SegEnds_NonXtal_BW#'!$A:$Z,4,FALSE)+VLOOKUP($A227,A:AL,4,FALSE)-50),"-",(VLOOKUP($A227,'SegEnds_NonXtal_BW#'!$A:$Z,4,FALSE)+VLOOKUP($A227,A:AL,4,FALSE)-50))</f>
        <v>54</v>
      </c>
      <c r="F227" s="3">
        <f>G227-2</f>
        <v>56</v>
      </c>
      <c r="G227" s="3">
        <v>58</v>
      </c>
      <c r="H227" s="3">
        <f>G227+1</f>
        <v>59</v>
      </c>
      <c r="I227" s="3">
        <f>H227+1</f>
        <v>60</v>
      </c>
      <c r="J227" s="3">
        <v>77</v>
      </c>
      <c r="K227" s="3">
        <f>VLOOKUP($A227,'SegEnds_NonXtal_BW#'!$A:$Z,8,FALSE)+VLOOKUP($A227,A:AL,10,FALSE)-50</f>
        <v>90</v>
      </c>
      <c r="L227" s="3">
        <f>M227-1</f>
        <v>97</v>
      </c>
      <c r="M227" s="3">
        <v>98</v>
      </c>
      <c r="N227" s="3">
        <f>M227+2</f>
        <v>100</v>
      </c>
      <c r="O227" s="3">
        <f>N227+1</f>
        <v>101</v>
      </c>
      <c r="P227" s="3">
        <v>133</v>
      </c>
      <c r="Q227" s="3">
        <f>VLOOKUP($A227,'SegEnds_NonXtal_BW#'!$A:$Z,12,FALSE)+VLOOKUP($A227,A:AL,16,FALSE)-50</f>
        <v>139</v>
      </c>
      <c r="R227" s="3">
        <f>IF(ISERROR(VLOOKUP($A227,'SegEnds_NonXtal_BW#'!$A:$Z,13,FALSE)+VLOOKUP($A227,A:AL,19,FALSE)-50),"-",VLOOKUP($A227,'SegEnds_NonXtal_BW#'!$A:$Z,13,FALSE)+VLOOKUP($A227,A:AL,19,FALSE)-50)</f>
        <v>140</v>
      </c>
      <c r="S227" s="3">
        <v>140</v>
      </c>
      <c r="T227" s="103">
        <f>IF(ISERROR(VLOOKUP($A227,'SegEnds_NonXtal_BW#'!$A:$Z,14,FALSE)+VLOOKUP($A227,A:AL,19,FALSE)-50),"-",(VLOOKUP($A227,'SegEnds_NonXtal_BW#'!$A:$Z,14,FALSE)+VLOOKUP($A227,A:AL,19,FALSE)-50))</f>
        <v>147</v>
      </c>
      <c r="U227" s="9">
        <f>IF(ISERROR(VLOOKUP($A227,'SegEnds_NonXtal_BW#'!$A:$Z,15,FALSE)+VLOOKUP($A227,A:AL,22,FALSE)-50),"-",VLOOKUP($A227,'SegEnds_NonXtal_BW#'!$A:$Z,15,FALSE)+VLOOKUP($A227,A:AL,22,FALSE)-50)</f>
        <v>148</v>
      </c>
      <c r="V227" s="3">
        <v>160</v>
      </c>
      <c r="W227" s="3">
        <f>IF(ISERROR(VLOOKUP($A227,'SegEnds_NonXtal_BW#'!$A:$Z,16,FALSE)+VLOOKUP($A227,A:AL,22,FALSE)-50),"-",(VLOOKUP($A227,'SegEnds_NonXtal_BW#'!$A:$Z,16,FALSE)+VLOOKUP($A227,A:AL,22,FALSE)-50))</f>
        <v>173</v>
      </c>
      <c r="X227" s="3">
        <f>IF(ISERROR(VLOOKUP($A227,'SegEnds_NonXtal_BW#'!$A:$Z,17,FALSE)+VLOOKUP($A227,A:AL,25,FALSE)-50),"-",(VLOOKUP($A227,'SegEnds_NonXtal_BW#'!$A:$Z,17,FALSE)+VLOOKUP($A227,A:AL,25,FALSE)-50))</f>
        <v>186</v>
      </c>
      <c r="Y227" s="3">
        <v>186</v>
      </c>
      <c r="Z227" s="3">
        <f t="shared" ref="Z227:Z232" si="140">Y227+2</f>
        <v>188</v>
      </c>
      <c r="AA227" s="3">
        <f>IF(ISERROR(VLOOKUP($A227,'SegEnds_NonXtal_BW#'!$A:$Z,19,FALSE)+VLOOKUP($A227,A:AL,28,FALSE)-50),"-",(VLOOKUP($A227,'SegEnds_NonXtal_BW#'!$A:$Z,19,FALSE)+VLOOKUP($A227,A:AL,28,FALSE)-50))</f>
        <v>199</v>
      </c>
      <c r="AB227" s="3">
        <v>214</v>
      </c>
      <c r="AC227" s="3">
        <f>IF(ISERROR((VLOOKUP($A227,'SegEnds_NonXtal_BW#'!$A:$Z,20,FALSE)+VLOOKUP($A227,A:AL,28,FALSE)-50)),"-",(VLOOKUP($A227,'SegEnds_NonXtal_BW#'!$A:$Z,20,FALSE)+VLOOKUP($A227,A:AL,28,FALSE)-50))</f>
        <v>236</v>
      </c>
      <c r="AD227" s="3">
        <f>IF(ISERROR(VLOOKUP($A227,'SegEnds_NonXtal_BW#'!$A:$Z,21,FALSE)+VLOOKUP($A227,A:AL,31,FALSE)-50),"-",(VLOOKUP($A227,'SegEnds_NonXtal_BW#'!$A:$Z,21,FALSE)+VLOOKUP($A227,A:AL,31,FALSE)-50))</f>
        <v>243</v>
      </c>
      <c r="AE227" s="3">
        <v>264</v>
      </c>
      <c r="AF227" s="3">
        <f>IF(ISERROR((VLOOKUP($A227,'SegEnds_NonXtal_BW#'!$A:$Z,22,FALSE)+VLOOKUP($A227,A:AL,31,FALSE)-50)),"-",(VLOOKUP($A227,'SegEnds_NonXtal_BW#'!$A:$Z,22,FALSE)+VLOOKUP($A227,A:AL,31,FALSE)-50))</f>
        <v>275</v>
      </c>
      <c r="AG227" s="3">
        <f>IF(ISERROR(VLOOKUP($A227,'SegEnds_NonXtal_BW#'!$A:$Z,23,FALSE)+VLOOKUP($A227,A:AL,34,FALSE)-50),"-",(VLOOKUP($A227,'SegEnds_NonXtal_BW#'!$A:$Z,23,FALSE)+VLOOKUP($A227,A:AL,34,FALSE)-50))</f>
        <v>282</v>
      </c>
      <c r="AH227" s="3">
        <v>301</v>
      </c>
      <c r="AI227" s="3">
        <f>IF(ISERROR((VLOOKUP($A227,'SegEnds_NonXtal_BW#'!$A:$Z,24,FALSE)+VLOOKUP($A227,A:AL,34,FALSE)-50)),"-",(VLOOKUP($A227,'SegEnds_NonXtal_BW#'!$A:$Z,24,FALSE)+VLOOKUP($A227,A:AL,34,FALSE)-50))</f>
        <v>307</v>
      </c>
      <c r="AJ227" s="3">
        <f>IF(ISERROR(VLOOKUP($A227,'SegEnds_NonXtal_BW#'!$A:$Z,25,FALSE)+VLOOKUP($A227,A:AL,37,FALSE)-50),"-",(VLOOKUP($A227,'SegEnds_NonXtal_BW#'!$A:$Z,25,FALSE)+VLOOKUP($A227,A:AL,37,FALSE)-50))</f>
        <v>308</v>
      </c>
      <c r="AK227" s="3">
        <v>311</v>
      </c>
      <c r="AL227" s="3">
        <f>IF(ISERROR((VLOOKUP($A227,'SegEnds_NonXtal_BW#'!$A:$Z,26,FALSE)+VLOOKUP($A227,A:AL,37,FALSE)-50)),"-",(VLOOKUP($A227,'SegEnds_NonXtal_BW#'!$A:$Z,26,FALSE)+VLOOKUP($A227,A:AL,37,FALSE)-50))</f>
        <v>320</v>
      </c>
      <c r="AM227" s="28" t="str">
        <f>VLOOKUP(A227,Classification!A:B,2,FALSE)</f>
        <v>A</v>
      </c>
      <c r="AN227" s="28" t="b">
        <f t="shared" si="135"/>
        <v>1</v>
      </c>
      <c r="AO227" s="3" t="str">
        <f>IF(ISERROR(MATCH(A227,'SegEnds_Xtal_Prot#'!B:B, 0)), "NoXtal", "Xtal")</f>
        <v>NoXtal</v>
      </c>
      <c r="AP227" s="3">
        <f t="shared" si="120"/>
        <v>2</v>
      </c>
      <c r="AQ227" s="3">
        <f t="shared" si="121"/>
        <v>1</v>
      </c>
      <c r="AR227" s="3">
        <f t="shared" si="122"/>
        <v>7</v>
      </c>
      <c r="AS227" s="3">
        <f t="shared" si="123"/>
        <v>1</v>
      </c>
      <c r="AT227" s="3">
        <f t="shared" si="124"/>
        <v>1</v>
      </c>
      <c r="AU227" s="3">
        <f t="shared" si="125"/>
        <v>1</v>
      </c>
      <c r="AV227" s="3">
        <f t="shared" si="126"/>
        <v>13</v>
      </c>
      <c r="AW227" s="3">
        <f t="shared" si="127"/>
        <v>11</v>
      </c>
      <c r="AX227" s="3">
        <f t="shared" si="128"/>
        <v>7</v>
      </c>
      <c r="AY227" s="3">
        <f t="shared" si="129"/>
        <v>7</v>
      </c>
      <c r="AZ227" s="3">
        <f t="shared" si="130"/>
        <v>1</v>
      </c>
      <c r="BA227" s="3">
        <f>IF(ISERROR(LEN(VLOOKUP(A227,Seqs!A:E,2,FALSE))-AL227),"-",LEN(VLOOKUP(A227,Seqs!A:E,2,FALSE))-AL227)</f>
        <v>39</v>
      </c>
      <c r="BB227" s="16">
        <f t="shared" si="131"/>
        <v>33</v>
      </c>
      <c r="BC227" s="9">
        <f t="shared" si="132"/>
        <v>20</v>
      </c>
      <c r="BD227" s="3">
        <f t="shared" si="133"/>
        <v>33</v>
      </c>
      <c r="BE227" s="3">
        <f t="shared" si="134"/>
        <v>50</v>
      </c>
    </row>
    <row r="228" spans="1:58" s="3" customFormat="1" x14ac:dyDescent="0.2">
      <c r="A228" s="3" t="s">
        <v>366</v>
      </c>
      <c r="B228" s="3" t="str">
        <f>LOWER(VLOOKUP(A228,Xtal_Templ!A:B,2,FALSE))</f>
        <v>agtr2_human</v>
      </c>
      <c r="C228" s="3">
        <f>VLOOKUP($A228,'SegEnds_NonXtal_BW#'!$A:$Z,3,FALSE)+D228-50</f>
        <v>14</v>
      </c>
      <c r="D228" s="3">
        <v>31</v>
      </c>
      <c r="E228" s="3">
        <f>IF(ISERROR(VLOOKUP($A228,'SegEnds_NonXtal_BW#'!$A:$Z,4,FALSE)+VLOOKUP($A228,A:AL,4,FALSE)-50),"-",(VLOOKUP($A228,'SegEnds_NonXtal_BW#'!$A:$Z,4,FALSE)+VLOOKUP($A228,A:AL,4,FALSE)-50))</f>
        <v>41</v>
      </c>
      <c r="F228" s="3" t="str">
        <f>IF(ISERROR(VLOOKUP($A228,'SegEnds_NonXtal_BW#'!$A:$Z,5,FALSE)+VLOOKUP($A228,A:AL,7,FALSE)-50),"-",(VLOOKUP($A228,'SegEnds_NonXtal_BW#'!$A:$Z,5,FALSE)+VLOOKUP($A228,A:AL,7,FALSE)-50))</f>
        <v>-</v>
      </c>
      <c r="G228" s="3" t="s">
        <v>23</v>
      </c>
      <c r="H228" s="3" t="str">
        <f>IF(ISERROR(VLOOKUP($A228,'SegEnds_NonXtal_BW#'!$A:$Z,6,FALSE)+VLOOKUP($A228,A:AL,7,FALSE)-50),"-",(VLOOKUP($A228,'SegEnds_NonXtal_BW#'!$A:$Z,6,FALSE)+VLOOKUP($A228,A:AL,7,FALSE)-50))</f>
        <v>-</v>
      </c>
      <c r="I228" s="3">
        <f>VLOOKUP($A228,'SegEnds_NonXtal_BW#'!$A:$Z,7,FALSE)+J228-50</f>
        <v>47</v>
      </c>
      <c r="J228" s="3">
        <v>60</v>
      </c>
      <c r="K228" s="3">
        <f>VLOOKUP($A228,'SegEnds_NonXtal_BW#'!$A:$Z,8,FALSE)+VLOOKUP($A228,A:AL,10,FALSE)-50</f>
        <v>77</v>
      </c>
      <c r="L228" s="3" t="str">
        <f>IF(ISERROR(VLOOKUP($A228,'SegEnds_NonXtal_BW#'!$A:$Z,9,FALSE)+VLOOKUP($A228,A:AL,13,FALSE)-50),"-",(VLOOKUP($A228,'SegEnds_NonXtal_BW#'!$A:$Z,9,FALSE)+VLOOKUP($A228,A:AL,13,FALSE)-50))</f>
        <v>-</v>
      </c>
      <c r="M228" s="3" t="s">
        <v>23</v>
      </c>
      <c r="N228" s="3" t="str">
        <f>IF(ISERROR(VLOOKUP($A228,'SegEnds_NonXtal_BW#'!$A:$Z,10,FALSE)+VLOOKUP($A228,A:AL,13,FALSE)-50),"-",(VLOOKUP($A228,'SegEnds_NonXtal_BW#'!$A:$Z,10,FALSE)+VLOOKUP($A228,A:AL,13,FALSE)-50))</f>
        <v>-</v>
      </c>
      <c r="O228" s="3">
        <f>VLOOKUP($A228,'SegEnds_NonXtal_BW#'!$A:$Z,11,FALSE)+VLOOKUP($A228,A:AL,16,FALSE)-50</f>
        <v>85</v>
      </c>
      <c r="P228" s="3">
        <v>117</v>
      </c>
      <c r="Q228" s="3">
        <f>VLOOKUP($A228,'SegEnds_NonXtal_BW#'!$A:$Z,12,FALSE)+VLOOKUP($A228,A:AL,16,FALSE)-50</f>
        <v>123</v>
      </c>
      <c r="R228" s="3">
        <f>IF(ISERROR(VLOOKUP($A228,'SegEnds_NonXtal_BW#'!$A:$Z,13,FALSE)+VLOOKUP($A228,A:AL,19,FALSE)-50),"-",VLOOKUP($A228,'SegEnds_NonXtal_BW#'!$A:$Z,13,FALSE)+VLOOKUP($A228,A:AL,19,FALSE)-50)</f>
        <v>124</v>
      </c>
      <c r="S228" s="3">
        <v>124</v>
      </c>
      <c r="T228" s="103">
        <f>IF(ISERROR(VLOOKUP($A228,'SegEnds_NonXtal_BW#'!$A:$Z,14,FALSE)+VLOOKUP($A228,A:AL,19,FALSE)-50),"-",(VLOOKUP($A228,'SegEnds_NonXtal_BW#'!$A:$Z,14,FALSE)+VLOOKUP($A228,A:AL,19,FALSE)-50))</f>
        <v>131</v>
      </c>
      <c r="U228" s="9">
        <f>IF(ISERROR(VLOOKUP($A228,'SegEnds_NonXtal_BW#'!$A:$Z,15,FALSE)+VLOOKUP($A228,A:AL,22,FALSE)-50),"-",VLOOKUP($A228,'SegEnds_NonXtal_BW#'!$A:$Z,15,FALSE)+VLOOKUP($A228,A:AL,22,FALSE)-50)</f>
        <v>132</v>
      </c>
      <c r="V228" s="3">
        <v>144</v>
      </c>
      <c r="W228" s="3">
        <f>IF(ISERROR(VLOOKUP($A228,'SegEnds_NonXtal_BW#'!$A:$Z,16,FALSE)+VLOOKUP($A228,A:AL,22,FALSE)-50),"-",(VLOOKUP($A228,'SegEnds_NonXtal_BW#'!$A:$Z,16,FALSE)+VLOOKUP($A228,A:AL,22,FALSE)-50))</f>
        <v>158</v>
      </c>
      <c r="X228" s="3">
        <f>IF(ISERROR(VLOOKUP($A228,'SegEnds_NonXtal_BW#'!$A:$Z,17,FALSE)+VLOOKUP($A228,A:AL,25,FALSE)-50),"-",(VLOOKUP($A228,'SegEnds_NonXtal_BW#'!$A:$Z,17,FALSE)+VLOOKUP($A228,A:AL,25,FALSE)-50))</f>
        <v>170</v>
      </c>
      <c r="Y228" s="3">
        <v>170</v>
      </c>
      <c r="Z228" s="3">
        <f t="shared" si="140"/>
        <v>172</v>
      </c>
      <c r="AA228" s="3">
        <f>IF(ISERROR(VLOOKUP($A228,'SegEnds_NonXtal_BW#'!$A:$Z,19,FALSE)+VLOOKUP($A228,A:AL,28,FALSE)-50),"-",(VLOOKUP($A228,'SegEnds_NonXtal_BW#'!$A:$Z,19,FALSE)+VLOOKUP($A228,A:AL,28,FALSE)-50))</f>
        <v>177</v>
      </c>
      <c r="AB228" s="3">
        <v>197</v>
      </c>
      <c r="AC228" s="3">
        <f>IF(ISERROR((VLOOKUP($A228,'SegEnds_NonXtal_BW#'!$A:$Z,20,FALSE)+VLOOKUP($A228,A:AL,28,FALSE)-50)),"-",(VLOOKUP($A228,'SegEnds_NonXtal_BW#'!$A:$Z,20,FALSE)+VLOOKUP($A228,A:AL,28,FALSE)-50))</f>
        <v>219</v>
      </c>
      <c r="AD228" s="3">
        <f>IF(ISERROR(VLOOKUP($A228,'SegEnds_NonXtal_BW#'!$A:$Z,21,FALSE)+VLOOKUP($A228,A:AL,31,FALSE)-50),"-",(VLOOKUP($A228,'SegEnds_NonXtal_BW#'!$A:$Z,21,FALSE)+VLOOKUP($A228,A:AL,31,FALSE)-50))</f>
        <v>228</v>
      </c>
      <c r="AE228" s="3">
        <v>254</v>
      </c>
      <c r="AF228" s="3">
        <f>IF(ISERROR((VLOOKUP($A228,'SegEnds_NonXtal_BW#'!$A:$Z,22,FALSE)+VLOOKUP($A228,A:AL,31,FALSE)-50)),"-",(VLOOKUP($A228,'SegEnds_NonXtal_BW#'!$A:$Z,22,FALSE)+VLOOKUP($A228,A:AL,31,FALSE)-50))</f>
        <v>265</v>
      </c>
      <c r="AG228" s="3">
        <f>IF(ISERROR(VLOOKUP($A228,'SegEnds_NonXtal_BW#'!$A:$Z,23,FALSE)+VLOOKUP($A228,A:AL,34,FALSE)-50),"-",(VLOOKUP($A228,'SegEnds_NonXtal_BW#'!$A:$Z,23,FALSE)+VLOOKUP($A228,A:AL,34,FALSE)-50))</f>
        <v>270</v>
      </c>
      <c r="AH228" s="3">
        <v>289</v>
      </c>
      <c r="AI228" s="3">
        <f>IF(ISERROR((VLOOKUP($A228,'SegEnds_NonXtal_BW#'!$A:$Z,24,FALSE)+VLOOKUP($A228,A:AL,34,FALSE)-50)),"-",(VLOOKUP($A228,'SegEnds_NonXtal_BW#'!$A:$Z,24,FALSE)+VLOOKUP($A228,A:AL,34,FALSE)-50))</f>
        <v>295</v>
      </c>
      <c r="AJ228" s="3">
        <f>IF(ISERROR(VLOOKUP($A228,'SegEnds_NonXtal_BW#'!$A:$Z,25,FALSE)+VLOOKUP($A228,A:AL,37,FALSE)-50),"-",(VLOOKUP($A228,'SegEnds_NonXtal_BW#'!$A:$Z,25,FALSE)+VLOOKUP($A228,A:AL,37,FALSE)-50))</f>
        <v>296</v>
      </c>
      <c r="AK228" s="3">
        <v>299</v>
      </c>
      <c r="AL228" s="3">
        <f>IF(ISERROR((VLOOKUP($A228,'SegEnds_NonXtal_BW#'!$A:$Z,26,FALSE)+VLOOKUP($A228,A:AL,37,FALSE)-50)),"-",(VLOOKUP($A228,'SegEnds_NonXtal_BW#'!$A:$Z,26,FALSE)+VLOOKUP($A228,A:AL,37,FALSE)-50))</f>
        <v>310</v>
      </c>
      <c r="AM228" s="28" t="str">
        <f>VLOOKUP(A228,Classification!A:B,2,FALSE)</f>
        <v>A</v>
      </c>
      <c r="AN228" s="28" t="b">
        <f t="shared" si="135"/>
        <v>1</v>
      </c>
      <c r="AO228" s="3" t="str">
        <f>IF(ISERROR(MATCH(A228,'SegEnds_Xtal_Prot#'!B:B, 0)), "NoXtal", "Xtal")</f>
        <v>NoXtal</v>
      </c>
      <c r="AP228" s="3" t="str">
        <f t="shared" si="120"/>
        <v>-</v>
      </c>
      <c r="AQ228" s="3" t="str">
        <f t="shared" si="121"/>
        <v>-</v>
      </c>
      <c r="AR228" s="3" t="str">
        <f t="shared" si="122"/>
        <v>-</v>
      </c>
      <c r="AS228" s="3" t="str">
        <f t="shared" si="123"/>
        <v>-</v>
      </c>
      <c r="AT228" s="3">
        <f t="shared" si="124"/>
        <v>1</v>
      </c>
      <c r="AU228" s="3">
        <f t="shared" si="125"/>
        <v>1</v>
      </c>
      <c r="AV228" s="3">
        <f t="shared" si="126"/>
        <v>12</v>
      </c>
      <c r="AW228" s="3">
        <f t="shared" si="127"/>
        <v>5</v>
      </c>
      <c r="AX228" s="3">
        <f t="shared" si="128"/>
        <v>9</v>
      </c>
      <c r="AY228" s="3">
        <f t="shared" si="129"/>
        <v>5</v>
      </c>
      <c r="AZ228" s="3">
        <f t="shared" si="130"/>
        <v>1</v>
      </c>
      <c r="BA228" s="3">
        <f>IF(ISERROR(LEN(VLOOKUP(A228,Seqs!A:E,2,FALSE))-AL228),"-",LEN(VLOOKUP(A228,Seqs!A:E,2,FALSE))-AL228)</f>
        <v>76</v>
      </c>
      <c r="BB228" s="16">
        <f t="shared" si="131"/>
        <v>29</v>
      </c>
      <c r="BC228" s="9">
        <f t="shared" si="132"/>
        <v>20</v>
      </c>
      <c r="BD228" s="3">
        <f t="shared" si="133"/>
        <v>29</v>
      </c>
      <c r="BE228" s="3">
        <f t="shared" si="134"/>
        <v>57</v>
      </c>
    </row>
    <row r="229" spans="1:58" s="3" customFormat="1" x14ac:dyDescent="0.2">
      <c r="A229" s="3" t="s">
        <v>370</v>
      </c>
      <c r="B229" s="3" t="str">
        <f>LOWER(VLOOKUP(A229,Xtal_Templ!A:B,2,FALSE))</f>
        <v>p2ry1_human</v>
      </c>
      <c r="C229" s="3">
        <f>VLOOKUP($A229,'SegEnds_NonXtal_BW#'!$A:$Z,3,FALSE)+D229-50</f>
        <v>12</v>
      </c>
      <c r="D229" s="3">
        <v>32</v>
      </c>
      <c r="E229" s="3">
        <f>IF(ISERROR(VLOOKUP($A229,'SegEnds_NonXtal_BW#'!$A:$Z,4,FALSE)+VLOOKUP($A229,A:AL,4,FALSE)-50),"-",(VLOOKUP($A229,'SegEnds_NonXtal_BW#'!$A:$Z,4,FALSE)+VLOOKUP($A229,A:AL,4,FALSE)-50))</f>
        <v>42</v>
      </c>
      <c r="F229" s="3" t="str">
        <f>IF(ISERROR(VLOOKUP($A229,'SegEnds_NonXtal_BW#'!$A:$Z,5,FALSE)+VLOOKUP($A229,A:AL,7,FALSE)-50),"-",(VLOOKUP($A229,'SegEnds_NonXtal_BW#'!$A:$Z,5,FALSE)+VLOOKUP($A229,A:AL,7,FALSE)-50))</f>
        <v>-</v>
      </c>
      <c r="G229" s="3" t="s">
        <v>23</v>
      </c>
      <c r="H229" s="3" t="str">
        <f>IF(ISERROR(VLOOKUP($A229,'SegEnds_NonXtal_BW#'!$A:$Z,6,FALSE)+VLOOKUP($A229,A:AL,7,FALSE)-50),"-",(VLOOKUP($A229,'SegEnds_NonXtal_BW#'!$A:$Z,6,FALSE)+VLOOKUP($A229,A:AL,7,FALSE)-50))</f>
        <v>-</v>
      </c>
      <c r="I229" s="3">
        <f>VLOOKUP($A229,'SegEnds_NonXtal_BW#'!$A:$Z,7,FALSE)+J229-50</f>
        <v>47</v>
      </c>
      <c r="J229" s="3">
        <v>60</v>
      </c>
      <c r="K229" s="3">
        <f>VLOOKUP($A229,'SegEnds_NonXtal_BW#'!$A:$Z,8,FALSE)+VLOOKUP($A229,A:AL,10,FALSE)-50</f>
        <v>76</v>
      </c>
      <c r="L229" s="3">
        <f>M229-1</f>
        <v>79</v>
      </c>
      <c r="M229" s="3">
        <v>80</v>
      </c>
      <c r="N229" s="3">
        <f>M229+2</f>
        <v>82</v>
      </c>
      <c r="O229" s="3">
        <f t="shared" ref="O229:O239" si="141">N229+1</f>
        <v>83</v>
      </c>
      <c r="P229" s="3">
        <v>112</v>
      </c>
      <c r="Q229" s="3">
        <f>VLOOKUP($A229,'SegEnds_NonXtal_BW#'!$A:$Z,12,FALSE)+VLOOKUP($A229,A:AL,16,FALSE)-50</f>
        <v>118</v>
      </c>
      <c r="R229" s="3">
        <f>IF(ISERROR(VLOOKUP($A229,'SegEnds_NonXtal_BW#'!$A:$Z,13,FALSE)+VLOOKUP($A229,A:AL,19,FALSE)-50),"-",VLOOKUP($A229,'SegEnds_NonXtal_BW#'!$A:$Z,13,FALSE)+VLOOKUP($A229,A:AL,19,FALSE)-50)</f>
        <v>119</v>
      </c>
      <c r="S229" s="3">
        <v>119</v>
      </c>
      <c r="T229" s="103">
        <f>IF(ISERROR(VLOOKUP($A229,'SegEnds_NonXtal_BW#'!$A:$Z,14,FALSE)+VLOOKUP($A229,A:AL,19,FALSE)-50),"-",(VLOOKUP($A229,'SegEnds_NonXtal_BW#'!$A:$Z,14,FALSE)+VLOOKUP($A229,A:AL,19,FALSE)-50))</f>
        <v>126</v>
      </c>
      <c r="U229" s="9">
        <f>IF(ISERROR(VLOOKUP($A229,'SegEnds_NonXtal_BW#'!$A:$Z,15,FALSE)+VLOOKUP($A229,A:AL,22,FALSE)-50),"-",VLOOKUP($A229,'SegEnds_NonXtal_BW#'!$A:$Z,15,FALSE)+VLOOKUP($A229,A:AL,22,FALSE)-50)</f>
        <v>127</v>
      </c>
      <c r="V229" s="3">
        <v>139</v>
      </c>
      <c r="W229" s="3">
        <f>IF(ISERROR(VLOOKUP($A229,'SegEnds_NonXtal_BW#'!$A:$Z,16,FALSE)+VLOOKUP($A229,A:AL,22,FALSE)-50),"-",(VLOOKUP($A229,'SegEnds_NonXtal_BW#'!$A:$Z,16,FALSE)+VLOOKUP($A229,A:AL,22,FALSE)-50))</f>
        <v>153</v>
      </c>
      <c r="X229" s="3">
        <f>IF(ISERROR(VLOOKUP($A229,'SegEnds_NonXtal_BW#'!$A:$Z,17,FALSE)+VLOOKUP($A229,A:AL,25,FALSE)-50),"-",(VLOOKUP($A229,'SegEnds_NonXtal_BW#'!$A:$Z,17,FALSE)+VLOOKUP($A229,A:AL,25,FALSE)-50))</f>
        <v>170</v>
      </c>
      <c r="Y229" s="3">
        <v>170</v>
      </c>
      <c r="Z229" s="3">
        <f t="shared" si="140"/>
        <v>172</v>
      </c>
      <c r="AA229" s="3">
        <f>IF(ISERROR(VLOOKUP($A229,'SegEnds_NonXtal_BW#'!$A:$Z,19,FALSE)+VLOOKUP($A229,A:AL,28,FALSE)-50),"-",(VLOOKUP($A229,'SegEnds_NonXtal_BW#'!$A:$Z,19,FALSE)+VLOOKUP($A229,A:AL,28,FALSE)-50))</f>
        <v>177</v>
      </c>
      <c r="AB229" s="3">
        <v>195</v>
      </c>
      <c r="AC229" s="3">
        <f>IF(ISERROR((VLOOKUP($A229,'SegEnds_NonXtal_BW#'!$A:$Z,20,FALSE)+VLOOKUP($A229,A:AL,28,FALSE)-50)),"-",(VLOOKUP($A229,'SegEnds_NonXtal_BW#'!$A:$Z,20,FALSE)+VLOOKUP($A229,A:AL,28,FALSE)-50))</f>
        <v>212</v>
      </c>
      <c r="AD229" s="3">
        <f>IF(ISERROR(VLOOKUP($A229,'SegEnds_NonXtal_BW#'!$A:$Z,21,FALSE)+VLOOKUP($A229,A:AL,31,FALSE)-50),"-",(VLOOKUP($A229,'SegEnds_NonXtal_BW#'!$A:$Z,21,FALSE)+VLOOKUP($A229,A:AL,31,FALSE)-50))</f>
        <v>217</v>
      </c>
      <c r="AE229" s="3">
        <v>241</v>
      </c>
      <c r="AF229" s="3">
        <f>IF(ISERROR((VLOOKUP($A229,'SegEnds_NonXtal_BW#'!$A:$Z,22,FALSE)+VLOOKUP($A229,A:AL,31,FALSE)-50)),"-",(VLOOKUP($A229,'SegEnds_NonXtal_BW#'!$A:$Z,22,FALSE)+VLOOKUP($A229,A:AL,31,FALSE)-50))</f>
        <v>255</v>
      </c>
      <c r="AG229" s="3">
        <f>IF(ISERROR(VLOOKUP($A229,'SegEnds_NonXtal_BW#'!$A:$Z,23,FALSE)+VLOOKUP($A229,A:AL,34,FALSE)-50),"-",(VLOOKUP($A229,'SegEnds_NonXtal_BW#'!$A:$Z,23,FALSE)+VLOOKUP($A229,A:AL,34,FALSE)-50))</f>
        <v>261</v>
      </c>
      <c r="AH229" s="3">
        <v>287</v>
      </c>
      <c r="AI229" s="3">
        <f>IF(ISERROR((VLOOKUP($A229,'SegEnds_NonXtal_BW#'!$A:$Z,24,FALSE)+VLOOKUP($A229,A:AL,34,FALSE)-50)),"-",(VLOOKUP($A229,'SegEnds_NonXtal_BW#'!$A:$Z,24,FALSE)+VLOOKUP($A229,A:AL,34,FALSE)-50))</f>
        <v>293</v>
      </c>
      <c r="AJ229" s="3">
        <f>IF(ISERROR(VLOOKUP($A229,'SegEnds_NonXtal_BW#'!$A:$Z,25,FALSE)+VLOOKUP($A229,A:AL,37,FALSE)-50),"-",(VLOOKUP($A229,'SegEnds_NonXtal_BW#'!$A:$Z,25,FALSE)+VLOOKUP($A229,A:AL,37,FALSE)-50))</f>
        <v>294</v>
      </c>
      <c r="AK229" s="3">
        <v>297</v>
      </c>
      <c r="AL229" s="3">
        <f>IF(ISERROR((VLOOKUP($A229,'SegEnds_NonXtal_BW#'!$A:$Z,26,FALSE)+VLOOKUP($A229,A:AL,37,FALSE)-50)),"-",(VLOOKUP($A229,'SegEnds_NonXtal_BW#'!$A:$Z,26,FALSE)+VLOOKUP($A229,A:AL,37,FALSE)-50))</f>
        <v>306</v>
      </c>
      <c r="AM229" s="28" t="str">
        <f>VLOOKUP(A229,Classification!A:B,2,FALSE)</f>
        <v>A</v>
      </c>
      <c r="AN229" s="28" t="b">
        <f t="shared" si="135"/>
        <v>1</v>
      </c>
      <c r="AO229" s="3" t="str">
        <f>IF(ISERROR(MATCH(A229,'SegEnds_Xtal_Prot#'!B:B, 0)), "NoXtal", "Xtal")</f>
        <v>NoXtal</v>
      </c>
      <c r="AP229" s="3" t="str">
        <f t="shared" si="120"/>
        <v>-</v>
      </c>
      <c r="AQ229" s="3" t="str">
        <f t="shared" si="121"/>
        <v>-</v>
      </c>
      <c r="AR229" s="3">
        <f t="shared" si="122"/>
        <v>3</v>
      </c>
      <c r="AS229" s="3">
        <f t="shared" si="123"/>
        <v>1</v>
      </c>
      <c r="AT229" s="3">
        <f t="shared" si="124"/>
        <v>1</v>
      </c>
      <c r="AU229" s="3">
        <f t="shared" si="125"/>
        <v>1</v>
      </c>
      <c r="AV229" s="3">
        <f t="shared" si="126"/>
        <v>17</v>
      </c>
      <c r="AW229" s="3">
        <f t="shared" si="127"/>
        <v>5</v>
      </c>
      <c r="AX229" s="3">
        <f t="shared" si="128"/>
        <v>5</v>
      </c>
      <c r="AY229" s="3">
        <f t="shared" si="129"/>
        <v>6</v>
      </c>
      <c r="AZ229" s="3">
        <f t="shared" si="130"/>
        <v>1</v>
      </c>
      <c r="BA229" s="3">
        <f>IF(ISERROR(LEN(VLOOKUP(A229,Seqs!A:E,2,FALSE))-AL229),"-",LEN(VLOOKUP(A229,Seqs!A:E,2,FALSE))-AL229)</f>
        <v>31</v>
      </c>
      <c r="BB229" s="16">
        <f t="shared" si="131"/>
        <v>28</v>
      </c>
      <c r="BC229" s="9">
        <f t="shared" si="132"/>
        <v>20</v>
      </c>
      <c r="BD229" s="3">
        <f t="shared" si="133"/>
        <v>28</v>
      </c>
      <c r="BE229" s="3">
        <f t="shared" si="134"/>
        <v>46</v>
      </c>
    </row>
    <row r="230" spans="1:58" s="3" customFormat="1" x14ac:dyDescent="0.2">
      <c r="A230" s="3" t="s">
        <v>371</v>
      </c>
      <c r="B230" s="3" t="str">
        <f>LOWER(VLOOKUP(A230,Xtal_Templ!A:B,2,FALSE))</f>
        <v>p2y12_human</v>
      </c>
      <c r="C230" s="3">
        <f>VLOOKUP($A230,'SegEnds_NonXtal_BW#'!$A:$Z,3,FALSE)+D230-50</f>
        <v>11</v>
      </c>
      <c r="D230" s="3">
        <v>33</v>
      </c>
      <c r="E230" s="3">
        <f>IF(ISERROR(VLOOKUP($A230,'SegEnds_NonXtal_BW#'!$A:$Z,4,FALSE)+VLOOKUP($A230,A:AL,4,FALSE)-50),"-",(VLOOKUP($A230,'SegEnds_NonXtal_BW#'!$A:$Z,4,FALSE)+VLOOKUP($A230,A:AL,4,FALSE)-50))</f>
        <v>43</v>
      </c>
      <c r="F230" s="3" t="str">
        <f>IF(ISERROR(VLOOKUP($A230,'SegEnds_NonXtal_BW#'!$A:$Z,5,FALSE)+VLOOKUP($A230,A:AL,7,FALSE)-50),"-",(VLOOKUP($A230,'SegEnds_NonXtal_BW#'!$A:$Z,5,FALSE)+VLOOKUP($A230,A:AL,7,FALSE)-50))</f>
        <v>-</v>
      </c>
      <c r="G230" s="3" t="s">
        <v>23</v>
      </c>
      <c r="H230" s="3" t="str">
        <f>IF(ISERROR(VLOOKUP($A230,'SegEnds_NonXtal_BW#'!$A:$Z,6,FALSE)+VLOOKUP($A230,A:AL,7,FALSE)-50),"-",(VLOOKUP($A230,'SegEnds_NonXtal_BW#'!$A:$Z,6,FALSE)+VLOOKUP($A230,A:AL,7,FALSE)-50))</f>
        <v>-</v>
      </c>
      <c r="I230" s="3">
        <f>VLOOKUP($A230,'SegEnds_NonXtal_BW#'!$A:$Z,7,FALSE)+J230-50</f>
        <v>50</v>
      </c>
      <c r="J230" s="3">
        <v>63</v>
      </c>
      <c r="K230" s="3">
        <f>VLOOKUP($A230,'SegEnds_NonXtal_BW#'!$A:$Z,8,FALSE)+VLOOKUP($A230,A:AL,10,FALSE)-50</f>
        <v>79</v>
      </c>
      <c r="L230" s="3">
        <f>M230-1</f>
        <v>82</v>
      </c>
      <c r="M230" s="3">
        <v>83</v>
      </c>
      <c r="N230" s="3">
        <f>M230+2</f>
        <v>85</v>
      </c>
      <c r="O230" s="3">
        <f t="shared" si="141"/>
        <v>86</v>
      </c>
      <c r="P230" s="3">
        <v>115</v>
      </c>
      <c r="Q230" s="3">
        <f>VLOOKUP($A230,'SegEnds_NonXtal_BW#'!$A:$Z,12,FALSE)+VLOOKUP($A230,A:AL,16,FALSE)-50</f>
        <v>121</v>
      </c>
      <c r="R230" s="3">
        <f>IF(ISERROR(VLOOKUP($A230,'SegEnds_NonXtal_BW#'!$A:$Z,13,FALSE)+VLOOKUP($A230,A:AL,19,FALSE)-50),"-",VLOOKUP($A230,'SegEnds_NonXtal_BW#'!$A:$Z,13,FALSE)+VLOOKUP($A230,A:AL,19,FALSE)-50)</f>
        <v>122</v>
      </c>
      <c r="S230" s="3">
        <v>122</v>
      </c>
      <c r="T230" s="103">
        <f>IF(ISERROR(VLOOKUP($A230,'SegEnds_NonXtal_BW#'!$A:$Z,14,FALSE)+VLOOKUP($A230,A:AL,19,FALSE)-50),"-",(VLOOKUP($A230,'SegEnds_NonXtal_BW#'!$A:$Z,14,FALSE)+VLOOKUP($A230,A:AL,19,FALSE)-50))</f>
        <v>129</v>
      </c>
      <c r="U230" s="9">
        <f>IF(ISERROR(VLOOKUP($A230,'SegEnds_NonXtal_BW#'!$A:$Z,15,FALSE)+VLOOKUP($A230,A:AL,22,FALSE)-50),"-",VLOOKUP($A230,'SegEnds_NonXtal_BW#'!$A:$Z,15,FALSE)+VLOOKUP($A230,A:AL,22,FALSE)-50)</f>
        <v>130</v>
      </c>
      <c r="V230" s="3">
        <v>142</v>
      </c>
      <c r="W230" s="3">
        <f>IF(ISERROR(VLOOKUP($A230,'SegEnds_NonXtal_BW#'!$A:$Z,16,FALSE)+VLOOKUP($A230,A:AL,22,FALSE)-50),"-",(VLOOKUP($A230,'SegEnds_NonXtal_BW#'!$A:$Z,16,FALSE)+VLOOKUP($A230,A:AL,22,FALSE)-50))</f>
        <v>156</v>
      </c>
      <c r="X230" s="3">
        <f>IF(ISERROR(VLOOKUP($A230,'SegEnds_NonXtal_BW#'!$A:$Z,17,FALSE)+VLOOKUP($A230,A:AL,25,FALSE)-50),"-",(VLOOKUP($A230,'SegEnds_NonXtal_BW#'!$A:$Z,17,FALSE)+VLOOKUP($A230,A:AL,25,FALSE)-50))</f>
        <v>173</v>
      </c>
      <c r="Y230" s="3">
        <v>173</v>
      </c>
      <c r="Z230" s="3">
        <f t="shared" si="140"/>
        <v>175</v>
      </c>
      <c r="AA230" s="3">
        <f>IF(ISERROR(VLOOKUP($A230,'SegEnds_NonXtal_BW#'!$A:$Z,19,FALSE)+VLOOKUP($A230,A:AL,28,FALSE)-50),"-",(VLOOKUP($A230,'SegEnds_NonXtal_BW#'!$A:$Z,19,FALSE)+VLOOKUP($A230,A:AL,28,FALSE)-50))</f>
        <v>178</v>
      </c>
      <c r="AB230" s="3">
        <v>198</v>
      </c>
      <c r="AC230" s="3">
        <f>IF(ISERROR((VLOOKUP($A230,'SegEnds_NonXtal_BW#'!$A:$Z,20,FALSE)+VLOOKUP($A230,A:AL,28,FALSE)-50)),"-",(VLOOKUP($A230,'SegEnds_NonXtal_BW#'!$A:$Z,20,FALSE)+VLOOKUP($A230,A:AL,28,FALSE)-50))</f>
        <v>216</v>
      </c>
      <c r="AD230" s="3">
        <f>IF(ISERROR(VLOOKUP($A230,'SegEnds_NonXtal_BW#'!$A:$Z,21,FALSE)+VLOOKUP($A230,A:AL,31,FALSE)-50),"-",(VLOOKUP($A230,'SegEnds_NonXtal_BW#'!$A:$Z,21,FALSE)+VLOOKUP($A230,A:AL,31,FALSE)-50))</f>
        <v>221</v>
      </c>
      <c r="AE230" s="3">
        <v>247</v>
      </c>
      <c r="AF230" s="3">
        <f>IF(ISERROR((VLOOKUP($A230,'SegEnds_NonXtal_BW#'!$A:$Z,22,FALSE)+VLOOKUP($A230,A:AL,31,FALSE)-50)),"-",(VLOOKUP($A230,'SegEnds_NonXtal_BW#'!$A:$Z,22,FALSE)+VLOOKUP($A230,A:AL,31,FALSE)-50))</f>
        <v>258</v>
      </c>
      <c r="AG230" s="3">
        <f>IF(ISERROR(VLOOKUP($A230,'SegEnds_NonXtal_BW#'!$A:$Z,23,FALSE)+VLOOKUP($A230,A:AL,34,FALSE)-50),"-",(VLOOKUP($A230,'SegEnds_NonXtal_BW#'!$A:$Z,23,FALSE)+VLOOKUP($A230,A:AL,34,FALSE)-50))</f>
        <v>264</v>
      </c>
      <c r="AH230" s="3">
        <v>290</v>
      </c>
      <c r="AI230" s="3">
        <f>IF(ISERROR((VLOOKUP($A230,'SegEnds_NonXtal_BW#'!$A:$Z,24,FALSE)+VLOOKUP($A230,A:AL,34,FALSE)-50)),"-",(VLOOKUP($A230,'SegEnds_NonXtal_BW#'!$A:$Z,24,FALSE)+VLOOKUP($A230,A:AL,34,FALSE)-50))</f>
        <v>296</v>
      </c>
      <c r="AJ230" s="3">
        <f>IF(ISERROR(VLOOKUP($A230,'SegEnds_NonXtal_BW#'!$A:$Z,25,FALSE)+VLOOKUP($A230,A:AL,37,FALSE)-50),"-",(VLOOKUP($A230,'SegEnds_NonXtal_BW#'!$A:$Z,25,FALSE)+VLOOKUP($A230,A:AL,37,FALSE)-50))</f>
        <v>297</v>
      </c>
      <c r="AK230" s="3">
        <v>300</v>
      </c>
      <c r="AL230" s="3">
        <f>IF(ISERROR((VLOOKUP($A230,'SegEnds_NonXtal_BW#'!$A:$Z,26,FALSE)+VLOOKUP($A230,A:AL,37,FALSE)-50)),"-",(VLOOKUP($A230,'SegEnds_NonXtal_BW#'!$A:$Z,26,FALSE)+VLOOKUP($A230,A:AL,37,FALSE)-50))</f>
        <v>307</v>
      </c>
      <c r="AM230" s="28" t="str">
        <f>VLOOKUP(A230,Classification!A:B,2,FALSE)</f>
        <v>A</v>
      </c>
      <c r="AN230" s="28" t="b">
        <f t="shared" si="135"/>
        <v>1</v>
      </c>
      <c r="AO230" s="3" t="str">
        <f>IF(ISERROR(MATCH(A230,'SegEnds_Xtal_Prot#'!B:B, 0)), "NoXtal", "Xtal")</f>
        <v>NoXtal</v>
      </c>
      <c r="AP230" s="3" t="str">
        <f t="shared" si="120"/>
        <v>-</v>
      </c>
      <c r="AQ230" s="3" t="str">
        <f t="shared" si="121"/>
        <v>-</v>
      </c>
      <c r="AR230" s="3">
        <f t="shared" si="122"/>
        <v>3</v>
      </c>
      <c r="AS230" s="3">
        <f t="shared" si="123"/>
        <v>1</v>
      </c>
      <c r="AT230" s="3">
        <f t="shared" si="124"/>
        <v>1</v>
      </c>
      <c r="AU230" s="3">
        <f t="shared" si="125"/>
        <v>1</v>
      </c>
      <c r="AV230" s="3">
        <f t="shared" si="126"/>
        <v>17</v>
      </c>
      <c r="AW230" s="3">
        <f t="shared" si="127"/>
        <v>3</v>
      </c>
      <c r="AX230" s="3">
        <f t="shared" si="128"/>
        <v>5</v>
      </c>
      <c r="AY230" s="3">
        <f t="shared" si="129"/>
        <v>6</v>
      </c>
      <c r="AZ230" s="3">
        <f t="shared" si="130"/>
        <v>1</v>
      </c>
      <c r="BA230" s="3">
        <f>IF(ISERROR(LEN(VLOOKUP(A230,Seqs!A:E,2,FALSE))-AL230),"-",LEN(VLOOKUP(A230,Seqs!A:E,2,FALSE))-AL230)</f>
        <v>35</v>
      </c>
      <c r="BB230" s="16">
        <f t="shared" si="131"/>
        <v>30</v>
      </c>
      <c r="BC230" s="9">
        <f t="shared" si="132"/>
        <v>20</v>
      </c>
      <c r="BD230" s="3">
        <f t="shared" si="133"/>
        <v>30</v>
      </c>
      <c r="BE230" s="3">
        <f t="shared" si="134"/>
        <v>49</v>
      </c>
    </row>
    <row r="231" spans="1:58" s="3" customFormat="1" x14ac:dyDescent="0.2">
      <c r="A231" s="3" t="s">
        <v>372</v>
      </c>
      <c r="B231" s="3" t="str">
        <f>LOWER(VLOOKUP(A231,Xtal_Templ!A:B,2,FALSE))</f>
        <v>ox2r_human</v>
      </c>
      <c r="C231" s="3">
        <f>VLOOKUP($A231,'SegEnds_NonXtal_BW#'!$A:$Z,3,FALSE)+D231-50</f>
        <v>44</v>
      </c>
      <c r="D231" s="3">
        <v>63</v>
      </c>
      <c r="E231" s="3">
        <f>IF(ISERROR(VLOOKUP($A231,'SegEnds_NonXtal_BW#'!$A:$Z,4,FALSE)+VLOOKUP($A231,A:AL,4,FALSE)-50),"-",(VLOOKUP($A231,'SegEnds_NonXtal_BW#'!$A:$Z,4,FALSE)+VLOOKUP($A231,A:AL,4,FALSE)-50))</f>
        <v>73</v>
      </c>
      <c r="F231" s="3">
        <f t="shared" ref="F231:F238" si="142">G231-2</f>
        <v>74</v>
      </c>
      <c r="G231" s="3">
        <v>76</v>
      </c>
      <c r="H231" s="3">
        <f t="shared" ref="H231:I238" si="143">G231+1</f>
        <v>77</v>
      </c>
      <c r="I231" s="3">
        <f t="shared" si="143"/>
        <v>78</v>
      </c>
      <c r="J231" s="3">
        <v>91</v>
      </c>
      <c r="K231" s="3">
        <f>VLOOKUP($A231,'SegEnds_NonXtal_BW#'!$A:$Z,8,FALSE)+VLOOKUP($A231,A:AL,10,FALSE)-50</f>
        <v>108</v>
      </c>
      <c r="L231" s="3">
        <f>M231-1</f>
        <v>110</v>
      </c>
      <c r="M231" s="3">
        <v>111</v>
      </c>
      <c r="N231" s="3">
        <f>M231+2</f>
        <v>113</v>
      </c>
      <c r="O231" s="3">
        <f t="shared" si="141"/>
        <v>114</v>
      </c>
      <c r="P231" s="3">
        <v>143</v>
      </c>
      <c r="Q231" s="3">
        <f>VLOOKUP($A231,'SegEnds_NonXtal_BW#'!$A:$Z,12,FALSE)+VLOOKUP($A231,A:AL,16,FALSE)-50</f>
        <v>149</v>
      </c>
      <c r="R231" s="3">
        <f>IF(ISERROR(VLOOKUP($A231,'SegEnds_NonXtal_BW#'!$A:$Z,13,FALSE)+VLOOKUP($A231,A:AL,19,FALSE)-50),"-",VLOOKUP($A231,'SegEnds_NonXtal_BW#'!$A:$Z,13,FALSE)+VLOOKUP($A231,A:AL,19,FALSE)-50)</f>
        <v>150</v>
      </c>
      <c r="S231" s="3">
        <v>150</v>
      </c>
      <c r="T231" s="103">
        <f>IF(ISERROR(VLOOKUP($A231,'SegEnds_NonXtal_BW#'!$A:$Z,14,FALSE)+VLOOKUP($A231,A:AL,19,FALSE)-50),"-",(VLOOKUP($A231,'SegEnds_NonXtal_BW#'!$A:$Z,14,FALSE)+VLOOKUP($A231,A:AL,19,FALSE)-50))</f>
        <v>157</v>
      </c>
      <c r="U231" s="9">
        <f>IF(ISERROR(VLOOKUP($A231,'SegEnds_NonXtal_BW#'!$A:$Z,15,FALSE)+VLOOKUP($A231,A:AL,22,FALSE)-50),"-",VLOOKUP($A231,'SegEnds_NonXtal_BW#'!$A:$Z,15,FALSE)+VLOOKUP($A231,A:AL,22,FALSE)-50)</f>
        <v>158</v>
      </c>
      <c r="V231" s="3">
        <v>170</v>
      </c>
      <c r="W231" s="3">
        <f>IF(ISERROR(VLOOKUP($A231,'SegEnds_NonXtal_BW#'!$A:$Z,16,FALSE)+VLOOKUP($A231,A:AL,22,FALSE)-50),"-",(VLOOKUP($A231,'SegEnds_NonXtal_BW#'!$A:$Z,16,FALSE)+VLOOKUP($A231,A:AL,22,FALSE)-50))</f>
        <v>184</v>
      </c>
      <c r="X231" s="3">
        <f>IF(ISERROR(VLOOKUP($A231,'SegEnds_NonXtal_BW#'!$A:$Z,17,FALSE)+VLOOKUP($A231,A:AL,25,FALSE)-50),"-",(VLOOKUP($A231,'SegEnds_NonXtal_BW#'!$A:$Z,17,FALSE)+VLOOKUP($A231,A:AL,25,FALSE)-50))</f>
        <v>201</v>
      </c>
      <c r="Y231" s="3">
        <v>201</v>
      </c>
      <c r="Z231" s="3">
        <f t="shared" si="140"/>
        <v>203</v>
      </c>
      <c r="AA231" s="3">
        <f>IF(ISERROR(VLOOKUP($A231,'SegEnds_NonXtal_BW#'!$A:$Z,19,FALSE)+VLOOKUP($A231,A:AL,28,FALSE)-50),"-",(VLOOKUP($A231,'SegEnds_NonXtal_BW#'!$A:$Z,19,FALSE)+VLOOKUP($A231,A:AL,28,FALSE)-50))</f>
        <v>208</v>
      </c>
      <c r="AB231" s="3">
        <v>226</v>
      </c>
      <c r="AC231" s="3">
        <f>IF(ISERROR((VLOOKUP($A231,'SegEnds_NonXtal_BW#'!$A:$Z,20,FALSE)+VLOOKUP($A231,A:AL,28,FALSE)-50)),"-",(VLOOKUP($A231,'SegEnds_NonXtal_BW#'!$A:$Z,20,FALSE)+VLOOKUP($A231,A:AL,28,FALSE)-50))</f>
        <v>250</v>
      </c>
      <c r="AD231" s="3">
        <f>IF(ISERROR(VLOOKUP($A231,'SegEnds_NonXtal_BW#'!$A:$Z,21,FALSE)+VLOOKUP($A231,A:AL,31,FALSE)-50),"-",(VLOOKUP($A231,'SegEnds_NonXtal_BW#'!$A:$Z,21,FALSE)+VLOOKUP($A231,A:AL,31,FALSE)-50))</f>
        <v>259</v>
      </c>
      <c r="AE231" s="3">
        <v>288</v>
      </c>
      <c r="AF231" s="3">
        <f>IF(ISERROR((VLOOKUP($A231,'SegEnds_NonXtal_BW#'!$A:$Z,22,FALSE)+VLOOKUP($A231,A:AL,31,FALSE)-50)),"-",(VLOOKUP($A231,'SegEnds_NonXtal_BW#'!$A:$Z,22,FALSE)+VLOOKUP($A231,A:AL,31,FALSE)-50))</f>
        <v>299</v>
      </c>
      <c r="AG231" s="3">
        <f>IF(ISERROR(VLOOKUP($A231,'SegEnds_NonXtal_BW#'!$A:$Z,23,FALSE)+VLOOKUP($A231,A:AL,34,FALSE)-50),"-",(VLOOKUP($A231,'SegEnds_NonXtal_BW#'!$A:$Z,23,FALSE)+VLOOKUP($A231,A:AL,34,FALSE)-50))</f>
        <v>307</v>
      </c>
      <c r="AH231" s="3">
        <v>329</v>
      </c>
      <c r="AI231" s="3">
        <f>IF(ISERROR((VLOOKUP($A231,'SegEnds_NonXtal_BW#'!$A:$Z,24,FALSE)+VLOOKUP($A231,A:AL,34,FALSE)-50)),"-",(VLOOKUP($A231,'SegEnds_NonXtal_BW#'!$A:$Z,24,FALSE)+VLOOKUP($A231,A:AL,34,FALSE)-50))</f>
        <v>335</v>
      </c>
      <c r="AJ231" s="3">
        <f>IF(ISERROR(VLOOKUP($A231,'SegEnds_NonXtal_BW#'!$A:$Z,25,FALSE)+VLOOKUP($A231,A:AL,37,FALSE)-50),"-",(VLOOKUP($A231,'SegEnds_NonXtal_BW#'!$A:$Z,25,FALSE)+VLOOKUP($A231,A:AL,37,FALSE)-50))</f>
        <v>336</v>
      </c>
      <c r="AK231" s="3">
        <v>339</v>
      </c>
      <c r="AL231" s="3">
        <f>IF(ISERROR((VLOOKUP($A231,'SegEnds_NonXtal_BW#'!$A:$Z,26,FALSE)+VLOOKUP($A231,A:AL,37,FALSE)-50)),"-",(VLOOKUP($A231,'SegEnds_NonXtal_BW#'!$A:$Z,26,FALSE)+VLOOKUP($A231,A:AL,37,FALSE)-50))</f>
        <v>347</v>
      </c>
      <c r="AM231" s="28" t="str">
        <f>VLOOKUP(A231,Classification!A:B,2,FALSE)</f>
        <v>A</v>
      </c>
      <c r="AN231" s="28" t="b">
        <f t="shared" si="135"/>
        <v>1</v>
      </c>
      <c r="AO231" s="3" t="str">
        <f>IF(ISERROR(MATCH(A231,'SegEnds_Xtal_Prot#'!B:B, 0)), "NoXtal", "Xtal")</f>
        <v>NoXtal</v>
      </c>
      <c r="AP231" s="3">
        <f t="shared" si="120"/>
        <v>1</v>
      </c>
      <c r="AQ231" s="3">
        <f t="shared" si="121"/>
        <v>1</v>
      </c>
      <c r="AR231" s="3">
        <f t="shared" si="122"/>
        <v>2</v>
      </c>
      <c r="AS231" s="3">
        <f t="shared" si="123"/>
        <v>1</v>
      </c>
      <c r="AT231" s="3">
        <f t="shared" si="124"/>
        <v>1</v>
      </c>
      <c r="AU231" s="3">
        <f t="shared" si="125"/>
        <v>1</v>
      </c>
      <c r="AV231" s="3">
        <f t="shared" si="126"/>
        <v>17</v>
      </c>
      <c r="AW231" s="3">
        <f t="shared" si="127"/>
        <v>5</v>
      </c>
      <c r="AX231" s="3">
        <f t="shared" si="128"/>
        <v>9</v>
      </c>
      <c r="AY231" s="3">
        <f t="shared" si="129"/>
        <v>8</v>
      </c>
      <c r="AZ231" s="3">
        <f t="shared" si="130"/>
        <v>1</v>
      </c>
      <c r="BA231" s="3">
        <f>IF(ISERROR(LEN(VLOOKUP(A231,Seqs!A:E,2,FALSE))-AL231),"-",LEN(VLOOKUP(A231,Seqs!A:E,2,FALSE))-AL231)</f>
        <v>84</v>
      </c>
      <c r="BB231" s="16">
        <f t="shared" si="131"/>
        <v>28</v>
      </c>
      <c r="BC231" s="9">
        <f t="shared" si="132"/>
        <v>20</v>
      </c>
      <c r="BD231" s="3">
        <f t="shared" si="133"/>
        <v>28</v>
      </c>
      <c r="BE231" s="3">
        <f t="shared" si="134"/>
        <v>62</v>
      </c>
    </row>
    <row r="232" spans="1:58" s="3" customFormat="1" x14ac:dyDescent="0.2">
      <c r="A232" s="3" t="s">
        <v>374</v>
      </c>
      <c r="B232" s="3" t="str">
        <f>LOWER(VLOOKUP(A232,Xtal_Templ!A:B,2,FALSE))</f>
        <v>agtr1_human</v>
      </c>
      <c r="C232" s="3">
        <f>VLOOKUP($A232,'SegEnds_NonXtal_BW#'!$A:$Z,3,FALSE)+D232-50</f>
        <v>37</v>
      </c>
      <c r="D232" s="3">
        <v>57</v>
      </c>
      <c r="E232" s="3">
        <f>IF(ISERROR(VLOOKUP($A232,'SegEnds_NonXtal_BW#'!$A:$Z,4,FALSE)+VLOOKUP($A232,A:AL,4,FALSE)-50),"-",(VLOOKUP($A232,'SegEnds_NonXtal_BW#'!$A:$Z,4,FALSE)+VLOOKUP($A232,A:AL,4,FALSE)-50))</f>
        <v>67</v>
      </c>
      <c r="F232" s="3">
        <f t="shared" si="142"/>
        <v>69</v>
      </c>
      <c r="G232" s="3">
        <v>71</v>
      </c>
      <c r="H232" s="3">
        <f t="shared" si="143"/>
        <v>72</v>
      </c>
      <c r="I232" s="3">
        <f t="shared" si="143"/>
        <v>73</v>
      </c>
      <c r="J232" s="3">
        <v>87</v>
      </c>
      <c r="K232" s="3">
        <f>VLOOKUP($A232,'SegEnds_NonXtal_BW#'!$A:$Z,8,FALSE)+VLOOKUP($A232,A:AL,10,FALSE)-50</f>
        <v>103</v>
      </c>
      <c r="L232" s="3">
        <f>M232-1</f>
        <v>106</v>
      </c>
      <c r="M232" s="3">
        <v>107</v>
      </c>
      <c r="N232" s="3">
        <f>M232+2</f>
        <v>109</v>
      </c>
      <c r="O232" s="3">
        <f t="shared" si="141"/>
        <v>110</v>
      </c>
      <c r="P232" s="3">
        <v>139</v>
      </c>
      <c r="Q232" s="3">
        <f>VLOOKUP($A232,'SegEnds_NonXtal_BW#'!$A:$Z,12,FALSE)+VLOOKUP($A232,A:AL,16,FALSE)-50</f>
        <v>145</v>
      </c>
      <c r="R232" s="3">
        <f>IF(ISERROR(VLOOKUP($A232,'SegEnds_NonXtal_BW#'!$A:$Z,13,FALSE)+VLOOKUP($A232,A:AL,19,FALSE)-50),"-",VLOOKUP($A232,'SegEnds_NonXtal_BW#'!$A:$Z,13,FALSE)+VLOOKUP($A232,A:AL,19,FALSE)-50)</f>
        <v>146</v>
      </c>
      <c r="S232" s="3">
        <v>146</v>
      </c>
      <c r="T232" s="103">
        <f>IF(ISERROR(VLOOKUP($A232,'SegEnds_NonXtal_BW#'!$A:$Z,14,FALSE)+VLOOKUP($A232,A:AL,19,FALSE)-50),"-",(VLOOKUP($A232,'SegEnds_NonXtal_BW#'!$A:$Z,14,FALSE)+VLOOKUP($A232,A:AL,19,FALSE)-50))</f>
        <v>153</v>
      </c>
      <c r="U232" s="9">
        <f>IF(ISERROR(VLOOKUP($A232,'SegEnds_NonXtal_BW#'!$A:$Z,15,FALSE)+VLOOKUP($A232,A:AL,22,FALSE)-50),"-",VLOOKUP($A232,'SegEnds_NonXtal_BW#'!$A:$Z,15,FALSE)+VLOOKUP($A232,A:AL,22,FALSE)-50)</f>
        <v>154</v>
      </c>
      <c r="V232" s="3">
        <v>166</v>
      </c>
      <c r="W232" s="3">
        <f>IF(ISERROR(VLOOKUP($A232,'SegEnds_NonXtal_BW#'!$A:$Z,16,FALSE)+VLOOKUP($A232,A:AL,22,FALSE)-50),"-",(VLOOKUP($A232,'SegEnds_NonXtal_BW#'!$A:$Z,16,FALSE)+VLOOKUP($A232,A:AL,22,FALSE)-50))</f>
        <v>180</v>
      </c>
      <c r="X232" s="3">
        <f>IF(ISERROR(VLOOKUP($A232,'SegEnds_NonXtal_BW#'!$A:$Z,17,FALSE)+VLOOKUP($A232,A:AL,25,FALSE)-50),"-",(VLOOKUP($A232,'SegEnds_NonXtal_BW#'!$A:$Z,17,FALSE)+VLOOKUP($A232,A:AL,25,FALSE)-50))</f>
        <v>191</v>
      </c>
      <c r="Y232" s="3">
        <v>191</v>
      </c>
      <c r="Z232" s="3">
        <f t="shared" si="140"/>
        <v>193</v>
      </c>
      <c r="AA232" s="3">
        <f>IF(ISERROR(VLOOKUP($A232,'SegEnds_NonXtal_BW#'!$A:$Z,19,FALSE)+VLOOKUP($A232,A:AL,28,FALSE)-50),"-",(VLOOKUP($A232,'SegEnds_NonXtal_BW#'!$A:$Z,19,FALSE)+VLOOKUP($A232,A:AL,28,FALSE)-50))</f>
        <v>200</v>
      </c>
      <c r="AB232" s="3">
        <v>216</v>
      </c>
      <c r="AC232" s="3">
        <f>IF(ISERROR((VLOOKUP($A232,'SegEnds_NonXtal_BW#'!$A:$Z,20,FALSE)+VLOOKUP($A232,A:AL,28,FALSE)-50)),"-",(VLOOKUP($A232,'SegEnds_NonXtal_BW#'!$A:$Z,20,FALSE)+VLOOKUP($A232,A:AL,28,FALSE)-50))</f>
        <v>233</v>
      </c>
      <c r="AD232" s="3">
        <f>IF(ISERROR(VLOOKUP($A232,'SegEnds_NonXtal_BW#'!$A:$Z,21,FALSE)+VLOOKUP($A232,A:AL,31,FALSE)-50),"-",(VLOOKUP($A232,'SegEnds_NonXtal_BW#'!$A:$Z,21,FALSE)+VLOOKUP($A232,A:AL,31,FALSE)-50))</f>
        <v>239</v>
      </c>
      <c r="AE232" s="3">
        <v>261</v>
      </c>
      <c r="AF232" s="3">
        <f>IF(ISERROR((VLOOKUP($A232,'SegEnds_NonXtal_BW#'!$A:$Z,22,FALSE)+VLOOKUP($A232,A:AL,31,FALSE)-50)),"-",(VLOOKUP($A232,'SegEnds_NonXtal_BW#'!$A:$Z,22,FALSE)+VLOOKUP($A232,A:AL,31,FALSE)-50))</f>
        <v>275</v>
      </c>
      <c r="AG232" s="3">
        <f>IF(ISERROR(VLOOKUP($A232,'SegEnds_NonXtal_BW#'!$A:$Z,23,FALSE)+VLOOKUP($A232,A:AL,34,FALSE)-50),"-",(VLOOKUP($A232,'SegEnds_NonXtal_BW#'!$A:$Z,23,FALSE)+VLOOKUP($A232,A:AL,34,FALSE)-50))</f>
        <v>280</v>
      </c>
      <c r="AH232" s="3">
        <v>306</v>
      </c>
      <c r="AI232" s="3">
        <f>IF(ISERROR((VLOOKUP($A232,'SegEnds_NonXtal_BW#'!$A:$Z,24,FALSE)+VLOOKUP($A232,A:AL,34,FALSE)-50)),"-",(VLOOKUP($A232,'SegEnds_NonXtal_BW#'!$A:$Z,24,FALSE)+VLOOKUP($A232,A:AL,34,FALSE)-50))</f>
        <v>312</v>
      </c>
      <c r="AJ232" s="3">
        <f>IF(ISERROR(VLOOKUP($A232,'SegEnds_NonXtal_BW#'!$A:$Z,25,FALSE)+VLOOKUP($A232,A:AL,37,FALSE)-50),"-",(VLOOKUP($A232,'SegEnds_NonXtal_BW#'!$A:$Z,25,FALSE)+VLOOKUP($A232,A:AL,37,FALSE)-50))</f>
        <v>313</v>
      </c>
      <c r="AK232" s="3">
        <v>316</v>
      </c>
      <c r="AL232" s="3">
        <f>IF(ISERROR((VLOOKUP($A232,'SegEnds_NonXtal_BW#'!$A:$Z,26,FALSE)+VLOOKUP($A232,A:AL,37,FALSE)-50)),"-",(VLOOKUP($A232,'SegEnds_NonXtal_BW#'!$A:$Z,26,FALSE)+VLOOKUP($A232,A:AL,37,FALSE)-50))</f>
        <v>327</v>
      </c>
      <c r="AM232" s="28" t="str">
        <f>VLOOKUP(A232,Classification!A:B,2,FALSE)</f>
        <v>A</v>
      </c>
      <c r="AN232" s="28" t="b">
        <f t="shared" si="135"/>
        <v>1</v>
      </c>
      <c r="AO232" s="3" t="str">
        <f>IF(ISERROR(MATCH(A232,'SegEnds_Xtal_Prot#'!B:B, 0)), "NoXtal", "Xtal")</f>
        <v>NoXtal</v>
      </c>
      <c r="AP232" s="3">
        <f t="shared" si="120"/>
        <v>2</v>
      </c>
      <c r="AQ232" s="3">
        <f t="shared" si="121"/>
        <v>1</v>
      </c>
      <c r="AR232" s="3">
        <f t="shared" si="122"/>
        <v>3</v>
      </c>
      <c r="AS232" s="3">
        <f t="shared" si="123"/>
        <v>1</v>
      </c>
      <c r="AT232" s="3">
        <f t="shared" si="124"/>
        <v>1</v>
      </c>
      <c r="AU232" s="3">
        <f t="shared" si="125"/>
        <v>1</v>
      </c>
      <c r="AV232" s="3">
        <f t="shared" si="126"/>
        <v>11</v>
      </c>
      <c r="AW232" s="3">
        <f t="shared" si="127"/>
        <v>7</v>
      </c>
      <c r="AX232" s="3">
        <f t="shared" si="128"/>
        <v>6</v>
      </c>
      <c r="AY232" s="3">
        <f t="shared" si="129"/>
        <v>5</v>
      </c>
      <c r="AZ232" s="3">
        <f t="shared" si="130"/>
        <v>1</v>
      </c>
      <c r="BA232" s="3">
        <f>IF(ISERROR(LEN(VLOOKUP(A232,Seqs!A:E,2,FALSE))-AL232),"-",LEN(VLOOKUP(A232,Seqs!A:E,2,FALSE))-AL232)</f>
        <v>47</v>
      </c>
      <c r="BB232" s="16">
        <f t="shared" si="131"/>
        <v>30</v>
      </c>
      <c r="BC232" s="9">
        <f t="shared" si="132"/>
        <v>20</v>
      </c>
      <c r="BD232" s="3">
        <f t="shared" si="133"/>
        <v>30</v>
      </c>
      <c r="BE232" s="3">
        <f t="shared" si="134"/>
        <v>45</v>
      </c>
    </row>
    <row r="233" spans="1:58" s="3" customFormat="1" x14ac:dyDescent="0.2">
      <c r="A233" s="3" t="s">
        <v>379</v>
      </c>
      <c r="B233" s="3" t="str">
        <f>LOWER(VLOOKUP(A233,Xtal_Templ!A:B,2,FALSE))</f>
        <v>s1pr1_human</v>
      </c>
      <c r="C233" s="3">
        <f>VLOOKUP($A233,'SegEnds_NonXtal_BW#'!$A:$Z,3,FALSE)+D233-50</f>
        <v>43</v>
      </c>
      <c r="D233" s="3">
        <v>64</v>
      </c>
      <c r="E233" s="3">
        <f>IF(ISERROR(VLOOKUP($A233,'SegEnds_NonXtal_BW#'!$A:$Z,4,FALSE)+VLOOKUP($A233,A:AL,4,FALSE)-50),"-",(VLOOKUP($A233,'SegEnds_NonXtal_BW#'!$A:$Z,4,FALSE)+VLOOKUP($A233,A:AL,4,FALSE)-50))</f>
        <v>74</v>
      </c>
      <c r="F233" s="3">
        <f t="shared" si="142"/>
        <v>75</v>
      </c>
      <c r="G233" s="3">
        <v>77</v>
      </c>
      <c r="H233" s="3">
        <f t="shared" si="143"/>
        <v>78</v>
      </c>
      <c r="I233" s="3">
        <f t="shared" si="143"/>
        <v>79</v>
      </c>
      <c r="J233" s="3">
        <v>92</v>
      </c>
      <c r="K233" s="3">
        <f>VLOOKUP($A233,'SegEnds_NonXtal_BW#'!$A:$Z,8,FALSE)+VLOOKUP($A233,A:AL,10,FALSE)-50</f>
        <v>105</v>
      </c>
      <c r="L233" s="3">
        <f>M233-3</f>
        <v>107</v>
      </c>
      <c r="M233" s="3">
        <v>110</v>
      </c>
      <c r="N233" s="3">
        <f>M233+3</f>
        <v>113</v>
      </c>
      <c r="O233" s="3">
        <f t="shared" si="141"/>
        <v>114</v>
      </c>
      <c r="P233" s="3">
        <v>143</v>
      </c>
      <c r="Q233" s="3">
        <f>VLOOKUP($A233,'SegEnds_NonXtal_BW#'!$A:$Z,12,FALSE)+VLOOKUP($A233,A:AL,16,FALSE)-50</f>
        <v>149</v>
      </c>
      <c r="R233" s="3">
        <f>IF(ISERROR(VLOOKUP($A233,'SegEnds_NonXtal_BW#'!$A:$Z,13,FALSE)+VLOOKUP($A233,A:AL,19,FALSE)-50),"-",VLOOKUP($A233,'SegEnds_NonXtal_BW#'!$A:$Z,13,FALSE)+VLOOKUP($A233,A:AL,19,FALSE)-50)</f>
        <v>150</v>
      </c>
      <c r="S233" s="3">
        <v>150</v>
      </c>
      <c r="T233" s="103">
        <f>IF(ISERROR(VLOOKUP($A233,'SegEnds_NonXtal_BW#'!$A:$Z,14,FALSE)+VLOOKUP($A233,A:AL,19,FALSE)-50),"-",(VLOOKUP($A233,'SegEnds_NonXtal_BW#'!$A:$Z,14,FALSE)+VLOOKUP($A233,A:AL,19,FALSE)-50))</f>
        <v>157</v>
      </c>
      <c r="U233" s="9">
        <f>IF(ISERROR(VLOOKUP($A233,'SegEnds_NonXtal_BW#'!$A:$Z,15,FALSE)+VLOOKUP($A233,A:AL,22,FALSE)-50),"-",VLOOKUP($A233,'SegEnds_NonXtal_BW#'!$A:$Z,15,FALSE)+VLOOKUP($A233,A:AL,22,FALSE)-50)</f>
        <v>158</v>
      </c>
      <c r="V233" s="3">
        <v>170</v>
      </c>
      <c r="W233" s="3">
        <f>IF(ISERROR(VLOOKUP($A233,'SegEnds_NonXtal_BW#'!$A:$Z,16,FALSE)+VLOOKUP($A233,A:AL,22,FALSE)-50),"-",(VLOOKUP($A233,'SegEnds_NonXtal_BW#'!$A:$Z,16,FALSE)+VLOOKUP($A233,A:AL,22,FALSE)-50))</f>
        <v>183</v>
      </c>
      <c r="X233" s="3" t="str">
        <f>IF(ISERROR(VLOOKUP($A233,'SegEnds_NonXtal_BW#'!$A:$Z,17,FALSE)+VLOOKUP($A233,A:AL,25,FALSE)-50),"-",(VLOOKUP($A233,'SegEnds_NonXtal_BW#'!$A:$Z,17,FALSE)+VLOOKUP($A233,A:AL,25,FALSE)-50))</f>
        <v>-</v>
      </c>
      <c r="Y233" s="3" t="s">
        <v>23</v>
      </c>
      <c r="Z233" s="3" t="str">
        <f>IF(ISERROR(VLOOKUP($A233,'SegEnds_NonXtal_BW#'!$A:$Z,18,FALSE)+VLOOKUP($A233,A:AL,25,FALSE)-50),"-",(VLOOKUP($A233,'SegEnds_NonXtal_BW#'!$A:$Z,18,FALSE)+VLOOKUP($A233,A:AL,25,FALSE)-50))</f>
        <v>-</v>
      </c>
      <c r="AA233" s="3">
        <f>IF(ISERROR(VLOOKUP($A233,'SegEnds_NonXtal_BW#'!$A:$Z,19,FALSE)+VLOOKUP($A233,A:AL,28,FALSE)-50),"-",(VLOOKUP($A233,'SegEnds_NonXtal_BW#'!$A:$Z,19,FALSE)+VLOOKUP($A233,A:AL,28,FALSE)-50))</f>
        <v>201</v>
      </c>
      <c r="AB233" s="3">
        <v>215</v>
      </c>
      <c r="AC233" s="3">
        <f>IF(ISERROR((VLOOKUP($A233,'SegEnds_NonXtal_BW#'!$A:$Z,20,FALSE)+VLOOKUP($A233,A:AL,28,FALSE)-50)),"-",(VLOOKUP($A233,'SegEnds_NonXtal_BW#'!$A:$Z,20,FALSE)+VLOOKUP($A233,A:AL,28,FALSE)-50))</f>
        <v>233</v>
      </c>
      <c r="AD233" s="3">
        <f>IF(ISERROR(VLOOKUP($A233,'SegEnds_NonXtal_BW#'!$A:$Z,21,FALSE)+VLOOKUP($A233,A:AL,31,FALSE)-50),"-",(VLOOKUP($A233,'SegEnds_NonXtal_BW#'!$A:$Z,21,FALSE)+VLOOKUP($A233,A:AL,31,FALSE)-50))</f>
        <v>239</v>
      </c>
      <c r="AE233" s="3">
        <v>266</v>
      </c>
      <c r="AF233" s="3">
        <f>IF(ISERROR((VLOOKUP($A233,'SegEnds_NonXtal_BW#'!$A:$Z,22,FALSE)+VLOOKUP($A233,A:AL,31,FALSE)-50)),"-",(VLOOKUP($A233,'SegEnds_NonXtal_BW#'!$A:$Z,22,FALSE)+VLOOKUP($A233,A:AL,31,FALSE)-50))</f>
        <v>277</v>
      </c>
      <c r="AG233" s="3">
        <f>IF(ISERROR(VLOOKUP($A233,'SegEnds_NonXtal_BW#'!$A:$Z,23,FALSE)+VLOOKUP($A233,A:AL,34,FALSE)-50),"-",(VLOOKUP($A233,'SegEnds_NonXtal_BW#'!$A:$Z,23,FALSE)+VLOOKUP($A233,A:AL,34,FALSE)-50))</f>
        <v>284</v>
      </c>
      <c r="AH233" s="3">
        <v>304</v>
      </c>
      <c r="AI233" s="3">
        <f>IF(ISERROR((VLOOKUP($A233,'SegEnds_NonXtal_BW#'!$A:$Z,24,FALSE)+VLOOKUP($A233,A:AL,34,FALSE)-50)),"-",(VLOOKUP($A233,'SegEnds_NonXtal_BW#'!$A:$Z,24,FALSE)+VLOOKUP($A233,A:AL,34,FALSE)-50))</f>
        <v>310</v>
      </c>
      <c r="AJ233" s="3">
        <f>IF(ISERROR(VLOOKUP($A233,'SegEnds_NonXtal_BW#'!$A:$Z,25,FALSE)+VLOOKUP($A233,A:AL,37,FALSE)-50),"-",(VLOOKUP($A233,'SegEnds_NonXtal_BW#'!$A:$Z,25,FALSE)+VLOOKUP($A233,A:AL,37,FALSE)-50))</f>
        <v>311</v>
      </c>
      <c r="AK233" s="3">
        <v>314</v>
      </c>
      <c r="AL233" s="3">
        <f>IF(ISERROR((VLOOKUP($A233,'SegEnds_NonXtal_BW#'!$A:$Z,26,FALSE)+VLOOKUP($A233,A:AL,37,FALSE)-50)),"-",(VLOOKUP($A233,'SegEnds_NonXtal_BW#'!$A:$Z,26,FALSE)+VLOOKUP($A233,A:AL,37,FALSE)-50))</f>
        <v>323</v>
      </c>
      <c r="AM233" s="28" t="str">
        <f>VLOOKUP(A233,Classification!A:B,2,FALSE)</f>
        <v>A</v>
      </c>
      <c r="AN233" s="28" t="b">
        <f t="shared" si="135"/>
        <v>1</v>
      </c>
      <c r="AO233" s="3" t="str">
        <f>IF(ISERROR(MATCH(A233,'SegEnds_Xtal_Prot#'!B:B, 0)), "NoXtal", "Xtal")</f>
        <v>NoXtal</v>
      </c>
      <c r="AP233" s="3">
        <f t="shared" si="120"/>
        <v>1</v>
      </c>
      <c r="AQ233" s="3">
        <f t="shared" si="121"/>
        <v>1</v>
      </c>
      <c r="AR233" s="3">
        <f t="shared" si="122"/>
        <v>2</v>
      </c>
      <c r="AS233" s="3">
        <f t="shared" si="123"/>
        <v>1</v>
      </c>
      <c r="AT233" s="3">
        <f t="shared" si="124"/>
        <v>1</v>
      </c>
      <c r="AU233" s="3">
        <f t="shared" si="125"/>
        <v>1</v>
      </c>
      <c r="AV233" s="3" t="str">
        <f t="shared" si="126"/>
        <v>-</v>
      </c>
      <c r="AW233" s="3" t="str">
        <f t="shared" si="127"/>
        <v>-</v>
      </c>
      <c r="AX233" s="3">
        <f t="shared" si="128"/>
        <v>6</v>
      </c>
      <c r="AY233" s="3">
        <f t="shared" si="129"/>
        <v>7</v>
      </c>
      <c r="AZ233" s="3">
        <f t="shared" si="130"/>
        <v>1</v>
      </c>
      <c r="BA233" s="3">
        <f>IF(ISERROR(LEN(VLOOKUP(A233,Seqs!A:E,2,FALSE))-AL233),"-",LEN(VLOOKUP(A233,Seqs!A:E,2,FALSE))-AL233)</f>
        <v>61</v>
      </c>
      <c r="BB233" s="16">
        <f t="shared" si="131"/>
        <v>28</v>
      </c>
      <c r="BC233" s="9">
        <f t="shared" si="132"/>
        <v>20</v>
      </c>
      <c r="BD233" s="3">
        <f t="shared" si="133"/>
        <v>28</v>
      </c>
      <c r="BE233" s="3">
        <f t="shared" si="134"/>
        <v>51</v>
      </c>
    </row>
    <row r="234" spans="1:58" s="3" customFormat="1" x14ac:dyDescent="0.2">
      <c r="A234" s="3" t="s">
        <v>381</v>
      </c>
      <c r="B234" s="3" t="str">
        <f>LOWER(VLOOKUP(A234,Xtal_Templ!A:B,2,FALSE))</f>
        <v>oprk_human</v>
      </c>
      <c r="C234" s="3">
        <f>VLOOKUP($A234,'SegEnds_NonXtal_BW#'!$A:$Z,3,FALSE)+D234-50</f>
        <v>56</v>
      </c>
      <c r="D234" s="3">
        <v>76</v>
      </c>
      <c r="E234" s="3">
        <f>IF(ISERROR(VLOOKUP($A234,'SegEnds_NonXtal_BW#'!$A:$Z,4,FALSE)+VLOOKUP($A234,A:AL,4,FALSE)-50),"-",(VLOOKUP($A234,'SegEnds_NonXtal_BW#'!$A:$Z,4,FALSE)+VLOOKUP($A234,A:AL,4,FALSE)-50))</f>
        <v>86</v>
      </c>
      <c r="F234" s="3">
        <f t="shared" si="142"/>
        <v>87</v>
      </c>
      <c r="G234" s="3">
        <v>89</v>
      </c>
      <c r="H234" s="3">
        <f t="shared" si="143"/>
        <v>90</v>
      </c>
      <c r="I234" s="3">
        <f t="shared" si="143"/>
        <v>91</v>
      </c>
      <c r="J234" s="3">
        <v>104</v>
      </c>
      <c r="K234" s="3">
        <f>VLOOKUP($A234,'SegEnds_NonXtal_BW#'!$A:$Z,8,FALSE)+VLOOKUP($A234,A:AL,10,FALSE)-50</f>
        <v>120</v>
      </c>
      <c r="L234" s="3">
        <f t="shared" ref="L234:L239" si="144">M234-1</f>
        <v>122</v>
      </c>
      <c r="M234" s="3">
        <v>123</v>
      </c>
      <c r="N234" s="3">
        <f t="shared" ref="N234:N239" si="145">M234+2</f>
        <v>125</v>
      </c>
      <c r="O234" s="3">
        <f t="shared" si="141"/>
        <v>126</v>
      </c>
      <c r="P234" s="3">
        <v>155</v>
      </c>
      <c r="Q234" s="3">
        <f>VLOOKUP($A234,'SegEnds_NonXtal_BW#'!$A:$Z,12,FALSE)+VLOOKUP($A234,A:AL,16,FALSE)-50</f>
        <v>161</v>
      </c>
      <c r="R234" s="3">
        <f>IF(ISERROR(VLOOKUP($A234,'SegEnds_NonXtal_BW#'!$A:$Z,13,FALSE)+VLOOKUP($A234,A:AL,19,FALSE)-50),"-",VLOOKUP($A234,'SegEnds_NonXtal_BW#'!$A:$Z,13,FALSE)+VLOOKUP($A234,A:AL,19,FALSE)-50)</f>
        <v>162</v>
      </c>
      <c r="S234" s="3">
        <v>162</v>
      </c>
      <c r="T234" s="103">
        <f>IF(ISERROR(VLOOKUP($A234,'SegEnds_NonXtal_BW#'!$A:$Z,14,FALSE)+VLOOKUP($A234,A:AL,19,FALSE)-50),"-",(VLOOKUP($A234,'SegEnds_NonXtal_BW#'!$A:$Z,14,FALSE)+VLOOKUP($A234,A:AL,19,FALSE)-50))</f>
        <v>169</v>
      </c>
      <c r="U234" s="9">
        <f>IF(ISERROR(VLOOKUP($A234,'SegEnds_NonXtal_BW#'!$A:$Z,15,FALSE)+VLOOKUP($A234,A:AL,22,FALSE)-50),"-",VLOOKUP($A234,'SegEnds_NonXtal_BW#'!$A:$Z,15,FALSE)+VLOOKUP($A234,A:AL,22,FALSE)-50)</f>
        <v>170</v>
      </c>
      <c r="V234" s="3">
        <v>182</v>
      </c>
      <c r="W234" s="3">
        <f>IF(ISERROR(VLOOKUP($A234,'SegEnds_NonXtal_BW#'!$A:$Z,16,FALSE)+VLOOKUP($A234,A:AL,22,FALSE)-50),"-",(VLOOKUP($A234,'SegEnds_NonXtal_BW#'!$A:$Z,16,FALSE)+VLOOKUP($A234,A:AL,22,FALSE)-50))</f>
        <v>196</v>
      </c>
      <c r="X234" s="3">
        <f>IF(ISERROR(VLOOKUP($A234,'SegEnds_NonXtal_BW#'!$A:$Z,17,FALSE)+VLOOKUP($A234,A:AL,25,FALSE)-50),"-",(VLOOKUP($A234,'SegEnds_NonXtal_BW#'!$A:$Z,17,FALSE)+VLOOKUP($A234,A:AL,25,FALSE)-50))</f>
        <v>208</v>
      </c>
      <c r="Y234" s="3">
        <v>208</v>
      </c>
      <c r="Z234" s="3">
        <f t="shared" ref="Z234:Z239" si="146">Y234+2</f>
        <v>210</v>
      </c>
      <c r="AA234" s="3">
        <f>IF(ISERROR(VLOOKUP($A234,'SegEnds_NonXtal_BW#'!$A:$Z,19,FALSE)+VLOOKUP($A234,A:AL,28,FALSE)-50),"-",(VLOOKUP($A234,'SegEnds_NonXtal_BW#'!$A:$Z,19,FALSE)+VLOOKUP($A234,A:AL,28,FALSE)-50))</f>
        <v>216</v>
      </c>
      <c r="AB234" s="3">
        <v>235</v>
      </c>
      <c r="AC234" s="3">
        <f>IF(ISERROR((VLOOKUP($A234,'SegEnds_NonXtal_BW#'!$A:$Z,20,FALSE)+VLOOKUP($A234,A:AL,28,FALSE)-50)),"-",(VLOOKUP($A234,'SegEnds_NonXtal_BW#'!$A:$Z,20,FALSE)+VLOOKUP($A234,A:AL,28,FALSE)-50))</f>
        <v>253</v>
      </c>
      <c r="AD234" s="3">
        <f>IF(ISERROR(VLOOKUP($A234,'SegEnds_NonXtal_BW#'!$A:$Z,21,FALSE)+VLOOKUP($A234,A:AL,31,FALSE)-50),"-",(VLOOKUP($A234,'SegEnds_NonXtal_BW#'!$A:$Z,21,FALSE)+VLOOKUP($A234,A:AL,31,FALSE)-50))</f>
        <v>259</v>
      </c>
      <c r="AE234" s="3">
        <v>286</v>
      </c>
      <c r="AF234" s="3">
        <f>IF(ISERROR((VLOOKUP($A234,'SegEnds_NonXtal_BW#'!$A:$Z,22,FALSE)+VLOOKUP($A234,A:AL,31,FALSE)-50)),"-",(VLOOKUP($A234,'SegEnds_NonXtal_BW#'!$A:$Z,22,FALSE)+VLOOKUP($A234,A:AL,31,FALSE)-50))</f>
        <v>297</v>
      </c>
      <c r="AG234" s="3">
        <f>IF(ISERROR(VLOOKUP($A234,'SegEnds_NonXtal_BW#'!$A:$Z,23,FALSE)+VLOOKUP($A234,A:AL,34,FALSE)-50),"-",(VLOOKUP($A234,'SegEnds_NonXtal_BW#'!$A:$Z,23,FALSE)+VLOOKUP($A234,A:AL,34,FALSE)-50))</f>
        <v>302</v>
      </c>
      <c r="AH234" s="3">
        <v>320</v>
      </c>
      <c r="AI234" s="3">
        <f>IF(ISERROR((VLOOKUP($A234,'SegEnds_NonXtal_BW#'!$A:$Z,24,FALSE)+VLOOKUP($A234,A:AL,34,FALSE)-50)),"-",(VLOOKUP($A234,'SegEnds_NonXtal_BW#'!$A:$Z,24,FALSE)+VLOOKUP($A234,A:AL,34,FALSE)-50))</f>
        <v>326</v>
      </c>
      <c r="AJ234" s="3">
        <f>IF(ISERROR(VLOOKUP($A234,'SegEnds_NonXtal_BW#'!$A:$Z,25,FALSE)+VLOOKUP($A234,A:AL,37,FALSE)-50),"-",(VLOOKUP($A234,'SegEnds_NonXtal_BW#'!$A:$Z,25,FALSE)+VLOOKUP($A234,A:AL,37,FALSE)-50))</f>
        <v>327</v>
      </c>
      <c r="AK234" s="3">
        <v>330</v>
      </c>
      <c r="AL234" s="3">
        <f>IF(ISERROR((VLOOKUP($A234,'SegEnds_NonXtal_BW#'!$A:$Z,26,FALSE)+VLOOKUP($A234,A:AL,37,FALSE)-50)),"-",(VLOOKUP($A234,'SegEnds_NonXtal_BW#'!$A:$Z,26,FALSE)+VLOOKUP($A234,A:AL,37,FALSE)-50))</f>
        <v>339</v>
      </c>
      <c r="AM234" s="28" t="str">
        <f>VLOOKUP(A234,Classification!A:B,2,FALSE)</f>
        <v>A</v>
      </c>
      <c r="AN234" s="28" t="b">
        <f t="shared" si="135"/>
        <v>1</v>
      </c>
      <c r="AO234" s="3" t="str">
        <f>IF(ISERROR(MATCH(A234,'SegEnds_Xtal_Prot#'!B:B, 0)), "NoXtal", "Xtal")</f>
        <v>NoXtal</v>
      </c>
      <c r="AP234" s="3">
        <f t="shared" si="120"/>
        <v>1</v>
      </c>
      <c r="AQ234" s="3">
        <f t="shared" si="121"/>
        <v>1</v>
      </c>
      <c r="AR234" s="3">
        <f t="shared" si="122"/>
        <v>2</v>
      </c>
      <c r="AS234" s="3">
        <f t="shared" si="123"/>
        <v>1</v>
      </c>
      <c r="AT234" s="3">
        <f t="shared" si="124"/>
        <v>1</v>
      </c>
      <c r="AU234" s="3">
        <f t="shared" si="125"/>
        <v>1</v>
      </c>
      <c r="AV234" s="3">
        <f t="shared" si="126"/>
        <v>12</v>
      </c>
      <c r="AW234" s="3">
        <f t="shared" si="127"/>
        <v>6</v>
      </c>
      <c r="AX234" s="3">
        <f t="shared" si="128"/>
        <v>6</v>
      </c>
      <c r="AY234" s="3">
        <f t="shared" si="129"/>
        <v>5</v>
      </c>
      <c r="AZ234" s="3">
        <f t="shared" si="130"/>
        <v>1</v>
      </c>
      <c r="BA234" s="3">
        <f>IF(ISERROR(LEN(VLOOKUP(A234,Seqs!A:E,2,FALSE))-AL234),"-",LEN(VLOOKUP(A234,Seqs!A:E,2,FALSE))-AL234)</f>
        <v>52</v>
      </c>
      <c r="BB234" s="16">
        <f t="shared" si="131"/>
        <v>28</v>
      </c>
      <c r="BC234" s="9">
        <f t="shared" si="132"/>
        <v>20</v>
      </c>
      <c r="BD234" s="3">
        <f t="shared" si="133"/>
        <v>28</v>
      </c>
      <c r="BE234" s="3">
        <f t="shared" si="134"/>
        <v>51</v>
      </c>
    </row>
    <row r="235" spans="1:58" s="3" customFormat="1" x14ac:dyDescent="0.2">
      <c r="A235" s="3" t="s">
        <v>382</v>
      </c>
      <c r="B235" s="3" t="str">
        <f>LOWER(VLOOKUP(A235,Xtal_Templ!A:B,2,FALSE))</f>
        <v>oprk_human</v>
      </c>
      <c r="C235" s="3">
        <f>VLOOKUP($A235,'SegEnds_NonXtal_BW#'!$A:$Z,3,FALSE)+D235-50</f>
        <v>41</v>
      </c>
      <c r="D235" s="3">
        <v>61</v>
      </c>
      <c r="E235" s="3">
        <f>IF(ISERROR(VLOOKUP($A235,'SegEnds_NonXtal_BW#'!$A:$Z,4,FALSE)+VLOOKUP($A235,A:AL,4,FALSE)-50),"-",(VLOOKUP($A235,'SegEnds_NonXtal_BW#'!$A:$Z,4,FALSE)+VLOOKUP($A235,A:AL,4,FALSE)-50))</f>
        <v>71</v>
      </c>
      <c r="F235" s="3">
        <f t="shared" si="142"/>
        <v>72</v>
      </c>
      <c r="G235" s="3">
        <v>74</v>
      </c>
      <c r="H235" s="3">
        <f t="shared" si="143"/>
        <v>75</v>
      </c>
      <c r="I235" s="3">
        <f t="shared" si="143"/>
        <v>76</v>
      </c>
      <c r="J235" s="3">
        <v>89</v>
      </c>
      <c r="K235" s="3">
        <f>VLOOKUP($A235,'SegEnds_NonXtal_BW#'!$A:$Z,8,FALSE)+VLOOKUP($A235,A:AL,10,FALSE)-50</f>
        <v>105</v>
      </c>
      <c r="L235" s="3">
        <f t="shared" si="144"/>
        <v>107</v>
      </c>
      <c r="M235" s="3">
        <v>108</v>
      </c>
      <c r="N235" s="3">
        <f t="shared" si="145"/>
        <v>110</v>
      </c>
      <c r="O235" s="3">
        <f t="shared" si="141"/>
        <v>111</v>
      </c>
      <c r="P235" s="3">
        <v>140</v>
      </c>
      <c r="Q235" s="3">
        <f>VLOOKUP($A235,'SegEnds_NonXtal_BW#'!$A:$Z,12,FALSE)+VLOOKUP($A235,A:AL,16,FALSE)-50</f>
        <v>146</v>
      </c>
      <c r="R235" s="3">
        <f>IF(ISERROR(VLOOKUP($A235,'SegEnds_NonXtal_BW#'!$A:$Z,13,FALSE)+VLOOKUP($A235,A:AL,19,FALSE)-50),"-",VLOOKUP($A235,'SegEnds_NonXtal_BW#'!$A:$Z,13,FALSE)+VLOOKUP($A235,A:AL,19,FALSE)-50)</f>
        <v>147</v>
      </c>
      <c r="S235" s="3">
        <v>147</v>
      </c>
      <c r="T235" s="103">
        <f>IF(ISERROR(VLOOKUP($A235,'SegEnds_NonXtal_BW#'!$A:$Z,14,FALSE)+VLOOKUP($A235,A:AL,19,FALSE)-50),"-",(VLOOKUP($A235,'SegEnds_NonXtal_BW#'!$A:$Z,14,FALSE)+VLOOKUP($A235,A:AL,19,FALSE)-50))</f>
        <v>154</v>
      </c>
      <c r="U235" s="9">
        <f>IF(ISERROR(VLOOKUP($A235,'SegEnds_NonXtal_BW#'!$A:$Z,15,FALSE)+VLOOKUP($A235,A:AL,22,FALSE)-50),"-",VLOOKUP($A235,'SegEnds_NonXtal_BW#'!$A:$Z,15,FALSE)+VLOOKUP($A235,A:AL,22,FALSE)-50)</f>
        <v>155</v>
      </c>
      <c r="V235" s="3">
        <v>167</v>
      </c>
      <c r="W235" s="3">
        <f>IF(ISERROR(VLOOKUP($A235,'SegEnds_NonXtal_BW#'!$A:$Z,16,FALSE)+VLOOKUP($A235,A:AL,22,FALSE)-50),"-",(VLOOKUP($A235,'SegEnds_NonXtal_BW#'!$A:$Z,16,FALSE)+VLOOKUP($A235,A:AL,22,FALSE)-50))</f>
        <v>181</v>
      </c>
      <c r="X235" s="3">
        <f>IF(ISERROR(VLOOKUP($A235,'SegEnds_NonXtal_BW#'!$A:$Z,17,FALSE)+VLOOKUP($A235,A:AL,25,FALSE)-50),"-",(VLOOKUP($A235,'SegEnds_NonXtal_BW#'!$A:$Z,17,FALSE)+VLOOKUP($A235,A:AL,25,FALSE)-50))</f>
        <v>193</v>
      </c>
      <c r="Y235" s="3">
        <v>193</v>
      </c>
      <c r="Z235" s="3">
        <f t="shared" si="146"/>
        <v>195</v>
      </c>
      <c r="AA235" s="3">
        <f>IF(ISERROR(VLOOKUP($A235,'SegEnds_NonXtal_BW#'!$A:$Z,19,FALSE)+VLOOKUP($A235,A:AL,28,FALSE)-50),"-",(VLOOKUP($A235,'SegEnds_NonXtal_BW#'!$A:$Z,19,FALSE)+VLOOKUP($A235,A:AL,28,FALSE)-50))</f>
        <v>201</v>
      </c>
      <c r="AB235" s="3">
        <v>220</v>
      </c>
      <c r="AC235" s="3">
        <f>IF(ISERROR((VLOOKUP($A235,'SegEnds_NonXtal_BW#'!$A:$Z,20,FALSE)+VLOOKUP($A235,A:AL,28,FALSE)-50)),"-",(VLOOKUP($A235,'SegEnds_NonXtal_BW#'!$A:$Z,20,FALSE)+VLOOKUP($A235,A:AL,28,FALSE)-50))</f>
        <v>238</v>
      </c>
      <c r="AD235" s="3">
        <f>IF(ISERROR(VLOOKUP($A235,'SegEnds_NonXtal_BW#'!$A:$Z,21,FALSE)+VLOOKUP($A235,A:AL,31,FALSE)-50),"-",(VLOOKUP($A235,'SegEnds_NonXtal_BW#'!$A:$Z,21,FALSE)+VLOOKUP($A235,A:AL,31,FALSE)-50))</f>
        <v>244</v>
      </c>
      <c r="AE235" s="3">
        <v>271</v>
      </c>
      <c r="AF235" s="3">
        <f>IF(ISERROR((VLOOKUP($A235,'SegEnds_NonXtal_BW#'!$A:$Z,22,FALSE)+VLOOKUP($A235,A:AL,31,FALSE)-50)),"-",(VLOOKUP($A235,'SegEnds_NonXtal_BW#'!$A:$Z,22,FALSE)+VLOOKUP($A235,A:AL,31,FALSE)-50))</f>
        <v>282</v>
      </c>
      <c r="AG235" s="3">
        <f>IF(ISERROR(VLOOKUP($A235,'SegEnds_NonXtal_BW#'!$A:$Z,23,FALSE)+VLOOKUP($A235,A:AL,34,FALSE)-50),"-",(VLOOKUP($A235,'SegEnds_NonXtal_BW#'!$A:$Z,23,FALSE)+VLOOKUP($A235,A:AL,34,FALSE)-50))</f>
        <v>287</v>
      </c>
      <c r="AH235" s="3">
        <v>309</v>
      </c>
      <c r="AI235" s="3">
        <f>IF(ISERROR((VLOOKUP($A235,'SegEnds_NonXtal_BW#'!$A:$Z,24,FALSE)+VLOOKUP($A235,A:AL,34,FALSE)-50)),"-",(VLOOKUP($A235,'SegEnds_NonXtal_BW#'!$A:$Z,24,FALSE)+VLOOKUP($A235,A:AL,34,FALSE)-50))</f>
        <v>315</v>
      </c>
      <c r="AJ235" s="3">
        <f>IF(ISERROR(VLOOKUP($A235,'SegEnds_NonXtal_BW#'!$A:$Z,25,FALSE)+VLOOKUP($A235,A:AL,37,FALSE)-50),"-",(VLOOKUP($A235,'SegEnds_NonXtal_BW#'!$A:$Z,25,FALSE)+VLOOKUP($A235,A:AL,37,FALSE)-50))</f>
        <v>316</v>
      </c>
      <c r="AK235" s="3">
        <v>319</v>
      </c>
      <c r="AL235" s="3">
        <f>IF(ISERROR((VLOOKUP($A235,'SegEnds_NonXtal_BW#'!$A:$Z,26,FALSE)+VLOOKUP($A235,A:AL,37,FALSE)-50)),"-",(VLOOKUP($A235,'SegEnds_NonXtal_BW#'!$A:$Z,26,FALSE)+VLOOKUP($A235,A:AL,37,FALSE)-50))</f>
        <v>328</v>
      </c>
      <c r="AM235" s="28" t="str">
        <f>VLOOKUP(A235,Classification!A:B,2,FALSE)</f>
        <v>A</v>
      </c>
      <c r="AN235" s="28" t="b">
        <f t="shared" si="135"/>
        <v>1</v>
      </c>
      <c r="AO235" s="3" t="str">
        <f>IF(ISERROR(MATCH(A235,'SegEnds_Xtal_Prot#'!B:B, 0)), "NoXtal", "Xtal")</f>
        <v>NoXtal</v>
      </c>
      <c r="AP235" s="3">
        <f t="shared" si="120"/>
        <v>1</v>
      </c>
      <c r="AQ235" s="3">
        <f t="shared" si="121"/>
        <v>1</v>
      </c>
      <c r="AR235" s="3">
        <f t="shared" si="122"/>
        <v>2</v>
      </c>
      <c r="AS235" s="3">
        <f t="shared" si="123"/>
        <v>1</v>
      </c>
      <c r="AT235" s="3">
        <f t="shared" si="124"/>
        <v>1</v>
      </c>
      <c r="AU235" s="3">
        <f t="shared" si="125"/>
        <v>1</v>
      </c>
      <c r="AV235" s="3">
        <f t="shared" si="126"/>
        <v>12</v>
      </c>
      <c r="AW235" s="3">
        <f t="shared" si="127"/>
        <v>6</v>
      </c>
      <c r="AX235" s="3">
        <f t="shared" si="128"/>
        <v>6</v>
      </c>
      <c r="AY235" s="3">
        <f t="shared" si="129"/>
        <v>5</v>
      </c>
      <c r="AZ235" s="3">
        <f t="shared" si="130"/>
        <v>1</v>
      </c>
      <c r="BA235" s="3">
        <f>IF(ISERROR(LEN(VLOOKUP(A235,Seqs!A:E,2,FALSE))-AL235),"-",LEN(VLOOKUP(A235,Seqs!A:E,2,FALSE))-AL235)</f>
        <v>41</v>
      </c>
      <c r="BB235" s="16">
        <f t="shared" si="131"/>
        <v>28</v>
      </c>
      <c r="BC235" s="9">
        <f t="shared" si="132"/>
        <v>20</v>
      </c>
      <c r="BD235" s="3">
        <f t="shared" si="133"/>
        <v>28</v>
      </c>
      <c r="BE235" s="3">
        <f t="shared" si="134"/>
        <v>51</v>
      </c>
    </row>
    <row r="236" spans="1:58" s="3" customFormat="1" x14ac:dyDescent="0.2">
      <c r="A236" s="3" t="s">
        <v>383</v>
      </c>
      <c r="B236" s="3" t="str">
        <f>LOWER(VLOOKUP(A236,Xtal_Templ!A:B,2,FALSE))</f>
        <v>oprk_human</v>
      </c>
      <c r="C236" s="3">
        <f>VLOOKUP($A236,'SegEnds_NonXtal_BW#'!$A:$Z,3,FALSE)+D236-50</f>
        <v>42</v>
      </c>
      <c r="D236" s="3">
        <v>62</v>
      </c>
      <c r="E236" s="3">
        <f>IF(ISERROR(VLOOKUP($A236,'SegEnds_NonXtal_BW#'!$A:$Z,4,FALSE)+VLOOKUP($A236,A:AL,4,FALSE)-50),"-",(VLOOKUP($A236,'SegEnds_NonXtal_BW#'!$A:$Z,4,FALSE)+VLOOKUP($A236,A:AL,4,FALSE)-50))</f>
        <v>72</v>
      </c>
      <c r="F236" s="3">
        <f t="shared" si="142"/>
        <v>73</v>
      </c>
      <c r="G236" s="3">
        <v>75</v>
      </c>
      <c r="H236" s="3">
        <f t="shared" si="143"/>
        <v>76</v>
      </c>
      <c r="I236" s="3">
        <f t="shared" si="143"/>
        <v>77</v>
      </c>
      <c r="J236" s="3">
        <v>90</v>
      </c>
      <c r="K236" s="3">
        <f>VLOOKUP($A236,'SegEnds_NonXtal_BW#'!$A:$Z,8,FALSE)+VLOOKUP($A236,A:AL,10,FALSE)-50</f>
        <v>106</v>
      </c>
      <c r="L236" s="3">
        <f t="shared" si="144"/>
        <v>108</v>
      </c>
      <c r="M236" s="3">
        <v>109</v>
      </c>
      <c r="N236" s="3">
        <f t="shared" si="145"/>
        <v>111</v>
      </c>
      <c r="O236" s="3">
        <f t="shared" si="141"/>
        <v>112</v>
      </c>
      <c r="P236" s="3">
        <v>141</v>
      </c>
      <c r="Q236" s="3">
        <f>VLOOKUP($A236,'SegEnds_NonXtal_BW#'!$A:$Z,12,FALSE)+VLOOKUP($A236,A:AL,16,FALSE)-50</f>
        <v>147</v>
      </c>
      <c r="R236" s="3">
        <f>IF(ISERROR(VLOOKUP($A236,'SegEnds_NonXtal_BW#'!$A:$Z,13,FALSE)+VLOOKUP($A236,A:AL,19,FALSE)-50),"-",VLOOKUP($A236,'SegEnds_NonXtal_BW#'!$A:$Z,13,FALSE)+VLOOKUP($A236,A:AL,19,FALSE)-50)</f>
        <v>148</v>
      </c>
      <c r="S236" s="3">
        <v>148</v>
      </c>
      <c r="T236" s="103">
        <f>IF(ISERROR(VLOOKUP($A236,'SegEnds_NonXtal_BW#'!$A:$Z,14,FALSE)+VLOOKUP($A236,A:AL,19,FALSE)-50),"-",(VLOOKUP($A236,'SegEnds_NonXtal_BW#'!$A:$Z,14,FALSE)+VLOOKUP($A236,A:AL,19,FALSE)-50))</f>
        <v>155</v>
      </c>
      <c r="U236" s="9">
        <f>IF(ISERROR(VLOOKUP($A236,'SegEnds_NonXtal_BW#'!$A:$Z,15,FALSE)+VLOOKUP($A236,A:AL,22,FALSE)-50),"-",VLOOKUP($A236,'SegEnds_NonXtal_BW#'!$A:$Z,15,FALSE)+VLOOKUP($A236,A:AL,22,FALSE)-50)</f>
        <v>156</v>
      </c>
      <c r="V236" s="3">
        <v>168</v>
      </c>
      <c r="W236" s="3">
        <f>IF(ISERROR(VLOOKUP($A236,'SegEnds_NonXtal_BW#'!$A:$Z,16,FALSE)+VLOOKUP($A236,A:AL,22,FALSE)-50),"-",(VLOOKUP($A236,'SegEnds_NonXtal_BW#'!$A:$Z,16,FALSE)+VLOOKUP($A236,A:AL,22,FALSE)-50))</f>
        <v>182</v>
      </c>
      <c r="X236" s="3">
        <f>IF(ISERROR(VLOOKUP($A236,'SegEnds_NonXtal_BW#'!$A:$Z,17,FALSE)+VLOOKUP($A236,A:AL,25,FALSE)-50),"-",(VLOOKUP($A236,'SegEnds_NonXtal_BW#'!$A:$Z,17,FALSE)+VLOOKUP($A236,A:AL,25,FALSE)-50))</f>
        <v>191</v>
      </c>
      <c r="Y236" s="3">
        <v>191</v>
      </c>
      <c r="Z236" s="3">
        <f t="shared" si="146"/>
        <v>193</v>
      </c>
      <c r="AA236" s="3">
        <f>IF(ISERROR(VLOOKUP($A236,'SegEnds_NonXtal_BW#'!$A:$Z,19,FALSE)+VLOOKUP($A236,A:AL,28,FALSE)-50),"-",(VLOOKUP($A236,'SegEnds_NonXtal_BW#'!$A:$Z,19,FALSE)+VLOOKUP($A236,A:AL,28,FALSE)-50))</f>
        <v>199</v>
      </c>
      <c r="AB236" s="3">
        <v>218</v>
      </c>
      <c r="AC236" s="3">
        <f>IF(ISERROR((VLOOKUP($A236,'SegEnds_NonXtal_BW#'!$A:$Z,20,FALSE)+VLOOKUP($A236,A:AL,28,FALSE)-50)),"-",(VLOOKUP($A236,'SegEnds_NonXtal_BW#'!$A:$Z,20,FALSE)+VLOOKUP($A236,A:AL,28,FALSE)-50))</f>
        <v>240</v>
      </c>
      <c r="AD236" s="3">
        <f>IF(ISERROR(VLOOKUP($A236,'SegEnds_NonXtal_BW#'!$A:$Z,21,FALSE)+VLOOKUP($A236,A:AL,31,FALSE)-50),"-",(VLOOKUP($A236,'SegEnds_NonXtal_BW#'!$A:$Z,21,FALSE)+VLOOKUP($A236,A:AL,31,FALSE)-50))</f>
        <v>246</v>
      </c>
      <c r="AE236" s="3">
        <v>272</v>
      </c>
      <c r="AF236" s="3">
        <f>IF(ISERROR((VLOOKUP($A236,'SegEnds_NonXtal_BW#'!$A:$Z,22,FALSE)+VLOOKUP($A236,A:AL,31,FALSE)-50)),"-",(VLOOKUP($A236,'SegEnds_NonXtal_BW#'!$A:$Z,22,FALSE)+VLOOKUP($A236,A:AL,31,FALSE)-50))</f>
        <v>283</v>
      </c>
      <c r="AG236" s="3">
        <f>IF(ISERROR(VLOOKUP($A236,'SegEnds_NonXtal_BW#'!$A:$Z,23,FALSE)+VLOOKUP($A236,A:AL,34,FALSE)-50),"-",(VLOOKUP($A236,'SegEnds_NonXtal_BW#'!$A:$Z,23,FALSE)+VLOOKUP($A236,A:AL,34,FALSE)-50))</f>
        <v>288</v>
      </c>
      <c r="AH236" s="3">
        <v>310</v>
      </c>
      <c r="AI236" s="3">
        <f>IF(ISERROR((VLOOKUP($A236,'SegEnds_NonXtal_BW#'!$A:$Z,24,FALSE)+VLOOKUP($A236,A:AL,34,FALSE)-50)),"-",(VLOOKUP($A236,'SegEnds_NonXtal_BW#'!$A:$Z,24,FALSE)+VLOOKUP($A236,A:AL,34,FALSE)-50))</f>
        <v>316</v>
      </c>
      <c r="AJ236" s="3">
        <f>IF(ISERROR(VLOOKUP($A236,'SegEnds_NonXtal_BW#'!$A:$Z,25,FALSE)+VLOOKUP($A236,A:AL,37,FALSE)-50),"-",(VLOOKUP($A236,'SegEnds_NonXtal_BW#'!$A:$Z,25,FALSE)+VLOOKUP($A236,A:AL,37,FALSE)-50))</f>
        <v>317</v>
      </c>
      <c r="AK236" s="3">
        <v>320</v>
      </c>
      <c r="AL236" s="3">
        <f>IF(ISERROR((VLOOKUP($A236,'SegEnds_NonXtal_BW#'!$A:$Z,26,FALSE)+VLOOKUP($A236,A:AL,37,FALSE)-50)),"-",(VLOOKUP($A236,'SegEnds_NonXtal_BW#'!$A:$Z,26,FALSE)+VLOOKUP($A236,A:AL,37,FALSE)-50))</f>
        <v>329</v>
      </c>
      <c r="AM236" s="28" t="str">
        <f>VLOOKUP(A236,Classification!A:B,2,FALSE)</f>
        <v>A</v>
      </c>
      <c r="AN236" s="28" t="b">
        <f t="shared" si="135"/>
        <v>1</v>
      </c>
      <c r="AO236" s="3" t="str">
        <f>IF(ISERROR(MATCH(A236,'SegEnds_Xtal_Prot#'!B:B, 0)), "NoXtal", "Xtal")</f>
        <v>NoXtal</v>
      </c>
      <c r="AP236" s="3">
        <f t="shared" si="120"/>
        <v>1</v>
      </c>
      <c r="AQ236" s="3">
        <f t="shared" si="121"/>
        <v>1</v>
      </c>
      <c r="AR236" s="3">
        <f t="shared" si="122"/>
        <v>2</v>
      </c>
      <c r="AS236" s="3">
        <f t="shared" si="123"/>
        <v>1</v>
      </c>
      <c r="AT236" s="3">
        <f t="shared" si="124"/>
        <v>1</v>
      </c>
      <c r="AU236" s="3">
        <f t="shared" si="125"/>
        <v>1</v>
      </c>
      <c r="AV236" s="3">
        <f t="shared" si="126"/>
        <v>9</v>
      </c>
      <c r="AW236" s="3">
        <f t="shared" si="127"/>
        <v>6</v>
      </c>
      <c r="AX236" s="3">
        <f t="shared" si="128"/>
        <v>6</v>
      </c>
      <c r="AY236" s="3">
        <f t="shared" si="129"/>
        <v>5</v>
      </c>
      <c r="AZ236" s="3">
        <f t="shared" si="130"/>
        <v>1</v>
      </c>
      <c r="BA236" s="3">
        <f>IF(ISERROR(LEN(VLOOKUP(A236,Seqs!A:E,2,FALSE))-AL236),"-",LEN(VLOOKUP(A236,Seqs!A:E,2,FALSE))-AL236)</f>
        <v>89</v>
      </c>
      <c r="BB236" s="16">
        <f t="shared" si="131"/>
        <v>28</v>
      </c>
      <c r="BC236" s="9">
        <f t="shared" si="132"/>
        <v>20</v>
      </c>
      <c r="BD236" s="3">
        <f t="shared" si="133"/>
        <v>28</v>
      </c>
      <c r="BE236" s="3">
        <f t="shared" si="134"/>
        <v>54</v>
      </c>
    </row>
    <row r="237" spans="1:58" s="3" customFormat="1" x14ac:dyDescent="0.2">
      <c r="A237" s="3" t="s">
        <v>384</v>
      </c>
      <c r="B237" s="3" t="str">
        <f>LOWER(VLOOKUP(A237,Xtal_Templ!A:B,2,FALSE))</f>
        <v>oprd_human</v>
      </c>
      <c r="C237" s="3">
        <f>VLOOKUP($A237,'SegEnds_NonXtal_BW#'!$A:$Z,3,FALSE)+D237-50</f>
        <v>37</v>
      </c>
      <c r="D237" s="3">
        <v>65</v>
      </c>
      <c r="E237" s="3">
        <f>IF(ISERROR(VLOOKUP($A237,'SegEnds_NonXtal_BW#'!$A:$Z,4,FALSE)+VLOOKUP($A237,A:AL,4,FALSE)-50),"-",(VLOOKUP($A237,'SegEnds_NonXtal_BW#'!$A:$Z,4,FALSE)+VLOOKUP($A237,A:AL,4,FALSE)-50))</f>
        <v>75</v>
      </c>
      <c r="F237" s="3">
        <f t="shared" si="142"/>
        <v>76</v>
      </c>
      <c r="G237" s="3">
        <v>78</v>
      </c>
      <c r="H237" s="3">
        <f t="shared" si="143"/>
        <v>79</v>
      </c>
      <c r="I237" s="3">
        <f t="shared" si="143"/>
        <v>80</v>
      </c>
      <c r="J237" s="3">
        <v>93</v>
      </c>
      <c r="K237" s="3">
        <f>VLOOKUP($A237,'SegEnds_NonXtal_BW#'!$A:$Z,8,FALSE)+VLOOKUP($A237,A:AL,10,FALSE)-50</f>
        <v>109</v>
      </c>
      <c r="L237" s="3">
        <f t="shared" si="144"/>
        <v>111</v>
      </c>
      <c r="M237" s="3">
        <v>112</v>
      </c>
      <c r="N237" s="3">
        <f t="shared" si="145"/>
        <v>114</v>
      </c>
      <c r="O237" s="3">
        <f t="shared" si="141"/>
        <v>115</v>
      </c>
      <c r="P237" s="3">
        <v>144</v>
      </c>
      <c r="Q237" s="3">
        <f>VLOOKUP($A237,'SegEnds_NonXtal_BW#'!$A:$Z,12,FALSE)+VLOOKUP($A237,A:AL,16,FALSE)-50</f>
        <v>150</v>
      </c>
      <c r="R237" s="3">
        <f>IF(ISERROR(VLOOKUP($A237,'SegEnds_NonXtal_BW#'!$A:$Z,13,FALSE)+VLOOKUP($A237,A:AL,19,FALSE)-50),"-",VLOOKUP($A237,'SegEnds_NonXtal_BW#'!$A:$Z,13,FALSE)+VLOOKUP($A237,A:AL,19,FALSE)-50)</f>
        <v>151</v>
      </c>
      <c r="S237" s="3">
        <v>151</v>
      </c>
      <c r="T237" s="103">
        <f>IF(ISERROR(VLOOKUP($A237,'SegEnds_NonXtal_BW#'!$A:$Z,14,FALSE)+VLOOKUP($A237,A:AL,19,FALSE)-50),"-",(VLOOKUP($A237,'SegEnds_NonXtal_BW#'!$A:$Z,14,FALSE)+VLOOKUP($A237,A:AL,19,FALSE)-50))</f>
        <v>158</v>
      </c>
      <c r="U237" s="9">
        <f>IF(ISERROR(VLOOKUP($A237,'SegEnds_NonXtal_BW#'!$A:$Z,15,FALSE)+VLOOKUP($A237,A:AL,22,FALSE)-50),"-",VLOOKUP($A237,'SegEnds_NonXtal_BW#'!$A:$Z,15,FALSE)+VLOOKUP($A237,A:AL,22,FALSE)-50)</f>
        <v>159</v>
      </c>
      <c r="V237" s="3">
        <v>171</v>
      </c>
      <c r="W237" s="3">
        <f>IF(ISERROR(VLOOKUP($A237,'SegEnds_NonXtal_BW#'!$A:$Z,16,FALSE)+VLOOKUP($A237,A:AL,22,FALSE)-50),"-",(VLOOKUP($A237,'SegEnds_NonXtal_BW#'!$A:$Z,16,FALSE)+VLOOKUP($A237,A:AL,22,FALSE)-50))</f>
        <v>185</v>
      </c>
      <c r="X237" s="3">
        <f>IF(ISERROR(VLOOKUP($A237,'SegEnds_NonXtal_BW#'!$A:$Z,17,FALSE)+VLOOKUP($A237,A:AL,25,FALSE)-50),"-",(VLOOKUP($A237,'SegEnds_NonXtal_BW#'!$A:$Z,17,FALSE)+VLOOKUP($A237,A:AL,25,FALSE)-50))</f>
        <v>198</v>
      </c>
      <c r="Y237" s="3">
        <v>198</v>
      </c>
      <c r="Z237" s="3">
        <f t="shared" si="146"/>
        <v>200</v>
      </c>
      <c r="AA237" s="3">
        <f>IF(ISERROR(VLOOKUP($A237,'SegEnds_NonXtal_BW#'!$A:$Z,19,FALSE)+VLOOKUP($A237,A:AL,28,FALSE)-50),"-",(VLOOKUP($A237,'SegEnds_NonXtal_BW#'!$A:$Z,19,FALSE)+VLOOKUP($A237,A:AL,28,FALSE)-50))</f>
        <v>204</v>
      </c>
      <c r="AB237" s="3">
        <v>223</v>
      </c>
      <c r="AC237" s="3">
        <f>IF(ISERROR((VLOOKUP($A237,'SegEnds_NonXtal_BW#'!$A:$Z,20,FALSE)+VLOOKUP($A237,A:AL,28,FALSE)-50)),"-",(VLOOKUP($A237,'SegEnds_NonXtal_BW#'!$A:$Z,20,FALSE)+VLOOKUP($A237,A:AL,28,FALSE)-50))</f>
        <v>241</v>
      </c>
      <c r="AD237" s="3">
        <f>IF(ISERROR(VLOOKUP($A237,'SegEnds_NonXtal_BW#'!$A:$Z,21,FALSE)+VLOOKUP($A237,A:AL,31,FALSE)-50),"-",(VLOOKUP($A237,'SegEnds_NonXtal_BW#'!$A:$Z,21,FALSE)+VLOOKUP($A237,A:AL,31,FALSE)-50))</f>
        <v>247</v>
      </c>
      <c r="AE237" s="3">
        <v>274</v>
      </c>
      <c r="AF237" s="3">
        <f>IF(ISERROR((VLOOKUP($A237,'SegEnds_NonXtal_BW#'!$A:$Z,22,FALSE)+VLOOKUP($A237,A:AL,31,FALSE)-50)),"-",(VLOOKUP($A237,'SegEnds_NonXtal_BW#'!$A:$Z,22,FALSE)+VLOOKUP($A237,A:AL,31,FALSE)-50))</f>
        <v>285</v>
      </c>
      <c r="AG237" s="3">
        <f>IF(ISERROR(VLOOKUP($A237,'SegEnds_NonXtal_BW#'!$A:$Z,23,FALSE)+VLOOKUP($A237,A:AL,34,FALSE)-50),"-",(VLOOKUP($A237,'SegEnds_NonXtal_BW#'!$A:$Z,23,FALSE)+VLOOKUP($A237,A:AL,34,FALSE)-50))</f>
        <v>290</v>
      </c>
      <c r="AH237" s="3">
        <v>308</v>
      </c>
      <c r="AI237" s="3">
        <f>IF(ISERROR((VLOOKUP($A237,'SegEnds_NonXtal_BW#'!$A:$Z,24,FALSE)+VLOOKUP($A237,A:AL,34,FALSE)-50)),"-",(VLOOKUP($A237,'SegEnds_NonXtal_BW#'!$A:$Z,24,FALSE)+VLOOKUP($A237,A:AL,34,FALSE)-50))</f>
        <v>314</v>
      </c>
      <c r="AJ237" s="3">
        <f>IF(ISERROR(VLOOKUP($A237,'SegEnds_NonXtal_BW#'!$A:$Z,25,FALSE)+VLOOKUP($A237,A:AL,37,FALSE)-50),"-",(VLOOKUP($A237,'SegEnds_NonXtal_BW#'!$A:$Z,25,FALSE)+VLOOKUP($A237,A:AL,37,FALSE)-50))</f>
        <v>315</v>
      </c>
      <c r="AK237" s="3">
        <v>318</v>
      </c>
      <c r="AL237" s="3">
        <f>IF(ISERROR((VLOOKUP($A237,'SegEnds_NonXtal_BW#'!$A:$Z,26,FALSE)+VLOOKUP($A237,A:AL,37,FALSE)-50)),"-",(VLOOKUP($A237,'SegEnds_NonXtal_BW#'!$A:$Z,26,FALSE)+VLOOKUP($A237,A:AL,37,FALSE)-50))</f>
        <v>328</v>
      </c>
      <c r="AM237" s="28" t="str">
        <f>VLOOKUP(A237,Classification!A:B,2,FALSE)</f>
        <v>A</v>
      </c>
      <c r="AN237" s="28" t="b">
        <f t="shared" si="135"/>
        <v>1</v>
      </c>
      <c r="AO237" s="3" t="str">
        <f>IF(ISERROR(MATCH(A237,'SegEnds_Xtal_Prot#'!B:B, 0)), "NoXtal", "Xtal")</f>
        <v>NoXtal</v>
      </c>
      <c r="AP237" s="3">
        <f t="shared" si="120"/>
        <v>1</v>
      </c>
      <c r="AQ237" s="3">
        <f t="shared" si="121"/>
        <v>1</v>
      </c>
      <c r="AR237" s="3">
        <f t="shared" si="122"/>
        <v>2</v>
      </c>
      <c r="AS237" s="3">
        <f t="shared" si="123"/>
        <v>1</v>
      </c>
      <c r="AT237" s="3">
        <f t="shared" si="124"/>
        <v>1</v>
      </c>
      <c r="AU237" s="3">
        <f t="shared" si="125"/>
        <v>1</v>
      </c>
      <c r="AV237" s="3">
        <f t="shared" si="126"/>
        <v>13</v>
      </c>
      <c r="AW237" s="3">
        <f t="shared" si="127"/>
        <v>4</v>
      </c>
      <c r="AX237" s="3">
        <f t="shared" si="128"/>
        <v>6</v>
      </c>
      <c r="AY237" s="3">
        <f t="shared" si="129"/>
        <v>5</v>
      </c>
      <c r="AZ237" s="3">
        <f t="shared" si="130"/>
        <v>1</v>
      </c>
      <c r="BA237" s="3">
        <f>IF(ISERROR(LEN(VLOOKUP(A237,Seqs!A:E,2,FALSE))-AL237),"-",LEN(VLOOKUP(A237,Seqs!A:E,2,FALSE))-AL237)</f>
        <v>60</v>
      </c>
      <c r="BB237" s="16">
        <f t="shared" si="131"/>
        <v>28</v>
      </c>
      <c r="BC237" s="9">
        <f t="shared" si="132"/>
        <v>20</v>
      </c>
      <c r="BD237" s="3">
        <f t="shared" si="133"/>
        <v>28</v>
      </c>
      <c r="BE237" s="3">
        <f t="shared" si="134"/>
        <v>51</v>
      </c>
    </row>
    <row r="238" spans="1:58" s="3" customFormat="1" x14ac:dyDescent="0.2">
      <c r="A238" s="3" t="s">
        <v>385</v>
      </c>
      <c r="B238" s="3" t="str">
        <f>LOWER(VLOOKUP(A238,Xtal_Templ!A:B,2,FALSE))</f>
        <v>oprk_human</v>
      </c>
      <c r="C238" s="3">
        <f>VLOOKUP($A238,'SegEnds_NonXtal_BW#'!$A:$Z,3,FALSE)+D238-50</f>
        <v>38</v>
      </c>
      <c r="D238" s="3">
        <v>58</v>
      </c>
      <c r="E238" s="3">
        <f>IF(ISERROR(VLOOKUP($A238,'SegEnds_NonXtal_BW#'!$A:$Z,4,FALSE)+VLOOKUP($A238,A:AL,4,FALSE)-50),"-",(VLOOKUP($A238,'SegEnds_NonXtal_BW#'!$A:$Z,4,FALSE)+VLOOKUP($A238,A:AL,4,FALSE)-50))</f>
        <v>68</v>
      </c>
      <c r="F238" s="3">
        <f t="shared" si="142"/>
        <v>69</v>
      </c>
      <c r="G238" s="3">
        <v>71</v>
      </c>
      <c r="H238" s="3">
        <f t="shared" si="143"/>
        <v>72</v>
      </c>
      <c r="I238" s="3">
        <f t="shared" si="143"/>
        <v>73</v>
      </c>
      <c r="J238" s="3">
        <v>86</v>
      </c>
      <c r="K238" s="3">
        <f>VLOOKUP($A238,'SegEnds_NonXtal_BW#'!$A:$Z,8,FALSE)+VLOOKUP($A238,A:AL,10,FALSE)-50</f>
        <v>102</v>
      </c>
      <c r="L238" s="3">
        <f t="shared" si="144"/>
        <v>104</v>
      </c>
      <c r="M238" s="3">
        <v>105</v>
      </c>
      <c r="N238" s="3">
        <f t="shared" si="145"/>
        <v>107</v>
      </c>
      <c r="O238" s="3">
        <f t="shared" si="141"/>
        <v>108</v>
      </c>
      <c r="P238" s="3">
        <v>137</v>
      </c>
      <c r="Q238" s="3">
        <f>VLOOKUP($A238,'SegEnds_NonXtal_BW#'!$A:$Z,12,FALSE)+VLOOKUP($A238,A:AL,16,FALSE)-50</f>
        <v>143</v>
      </c>
      <c r="R238" s="3">
        <f>IF(ISERROR(VLOOKUP($A238,'SegEnds_NonXtal_BW#'!$A:$Z,13,FALSE)+VLOOKUP($A238,A:AL,19,FALSE)-50),"-",VLOOKUP($A238,'SegEnds_NonXtal_BW#'!$A:$Z,13,FALSE)+VLOOKUP($A238,A:AL,19,FALSE)-50)</f>
        <v>144</v>
      </c>
      <c r="S238" s="3">
        <v>144</v>
      </c>
      <c r="T238" s="103">
        <f>IF(ISERROR(VLOOKUP($A238,'SegEnds_NonXtal_BW#'!$A:$Z,14,FALSE)+VLOOKUP($A238,A:AL,19,FALSE)-50),"-",(VLOOKUP($A238,'SegEnds_NonXtal_BW#'!$A:$Z,14,FALSE)+VLOOKUP($A238,A:AL,19,FALSE)-50))</f>
        <v>151</v>
      </c>
      <c r="U238" s="9">
        <f>IF(ISERROR(VLOOKUP($A238,'SegEnds_NonXtal_BW#'!$A:$Z,15,FALSE)+VLOOKUP($A238,A:AL,22,FALSE)-50),"-",VLOOKUP($A238,'SegEnds_NonXtal_BW#'!$A:$Z,15,FALSE)+VLOOKUP($A238,A:AL,22,FALSE)-50)</f>
        <v>152</v>
      </c>
      <c r="V238" s="3">
        <v>164</v>
      </c>
      <c r="W238" s="3">
        <f>IF(ISERROR(VLOOKUP($A238,'SegEnds_NonXtal_BW#'!$A:$Z,16,FALSE)+VLOOKUP($A238,A:AL,22,FALSE)-50),"-",(VLOOKUP($A238,'SegEnds_NonXtal_BW#'!$A:$Z,16,FALSE)+VLOOKUP($A238,A:AL,22,FALSE)-50))</f>
        <v>178</v>
      </c>
      <c r="X238" s="3">
        <f>IF(ISERROR(VLOOKUP($A238,'SegEnds_NonXtal_BW#'!$A:$Z,17,FALSE)+VLOOKUP($A238,A:AL,25,FALSE)-50),"-",(VLOOKUP($A238,'SegEnds_NonXtal_BW#'!$A:$Z,17,FALSE)+VLOOKUP($A238,A:AL,25,FALSE)-50))</f>
        <v>186</v>
      </c>
      <c r="Y238" s="3">
        <v>186</v>
      </c>
      <c r="Z238" s="3">
        <f t="shared" si="146"/>
        <v>188</v>
      </c>
      <c r="AA238" s="3">
        <f>IF(ISERROR(VLOOKUP($A238,'SegEnds_NonXtal_BW#'!$A:$Z,19,FALSE)+VLOOKUP($A238,A:AL,28,FALSE)-50),"-",(VLOOKUP($A238,'SegEnds_NonXtal_BW#'!$A:$Z,19,FALSE)+VLOOKUP($A238,A:AL,28,FALSE)-50))</f>
        <v>194</v>
      </c>
      <c r="AB238" s="3">
        <v>213</v>
      </c>
      <c r="AC238" s="3">
        <f>IF(ISERROR((VLOOKUP($A238,'SegEnds_NonXtal_BW#'!$A:$Z,20,FALSE)+VLOOKUP($A238,A:AL,28,FALSE)-50)),"-",(VLOOKUP($A238,'SegEnds_NonXtal_BW#'!$A:$Z,20,FALSE)+VLOOKUP($A238,A:AL,28,FALSE)-50))</f>
        <v>235</v>
      </c>
      <c r="AD238" s="3">
        <f>IF(ISERROR(VLOOKUP($A238,'SegEnds_NonXtal_BW#'!$A:$Z,21,FALSE)+VLOOKUP($A238,A:AL,31,FALSE)-50),"-",(VLOOKUP($A238,'SegEnds_NonXtal_BW#'!$A:$Z,21,FALSE)+VLOOKUP($A238,A:AL,31,FALSE)-50))</f>
        <v>242</v>
      </c>
      <c r="AE238" s="3">
        <v>263</v>
      </c>
      <c r="AF238" s="3">
        <f>IF(ISERROR((VLOOKUP($A238,'SegEnds_NonXtal_BW#'!$A:$Z,22,FALSE)+VLOOKUP($A238,A:AL,31,FALSE)-50)),"-",(VLOOKUP($A238,'SegEnds_NonXtal_BW#'!$A:$Z,22,FALSE)+VLOOKUP($A238,A:AL,31,FALSE)-50))</f>
        <v>274</v>
      </c>
      <c r="AG238" s="3">
        <f>IF(ISERROR(VLOOKUP($A238,'SegEnds_NonXtal_BW#'!$A:$Z,23,FALSE)+VLOOKUP($A238,A:AL,34,FALSE)-50),"-",(VLOOKUP($A238,'SegEnds_NonXtal_BW#'!$A:$Z,23,FALSE)+VLOOKUP($A238,A:AL,34,FALSE)-50))</f>
        <v>279</v>
      </c>
      <c r="AH238" s="3">
        <v>301</v>
      </c>
      <c r="AI238" s="3">
        <f>IF(ISERROR((VLOOKUP($A238,'SegEnds_NonXtal_BW#'!$A:$Z,24,FALSE)+VLOOKUP($A238,A:AL,34,FALSE)-50)),"-",(VLOOKUP($A238,'SegEnds_NonXtal_BW#'!$A:$Z,24,FALSE)+VLOOKUP($A238,A:AL,34,FALSE)-50))</f>
        <v>307</v>
      </c>
      <c r="AJ238" s="3">
        <f>IF(ISERROR(VLOOKUP($A238,'SegEnds_NonXtal_BW#'!$A:$Z,25,FALSE)+VLOOKUP($A238,A:AL,37,FALSE)-50),"-",(VLOOKUP($A238,'SegEnds_NonXtal_BW#'!$A:$Z,25,FALSE)+VLOOKUP($A238,A:AL,37,FALSE)-50))</f>
        <v>308</v>
      </c>
      <c r="AK238" s="3">
        <v>311</v>
      </c>
      <c r="AL238" s="3">
        <f>IF(ISERROR((VLOOKUP($A238,'SegEnds_NonXtal_BW#'!$A:$Z,26,FALSE)+VLOOKUP($A238,A:AL,37,FALSE)-50)),"-",(VLOOKUP($A238,'SegEnds_NonXtal_BW#'!$A:$Z,26,FALSE)+VLOOKUP($A238,A:AL,37,FALSE)-50))</f>
        <v>320</v>
      </c>
      <c r="AM238" s="28" t="str">
        <f>VLOOKUP(A238,Classification!A:B,2,FALSE)</f>
        <v>A</v>
      </c>
      <c r="AN238" s="28" t="b">
        <f t="shared" si="135"/>
        <v>1</v>
      </c>
      <c r="AO238" s="3" t="str">
        <f>IF(ISERROR(MATCH(A238,'SegEnds_Xtal_Prot#'!B:B, 0)), "NoXtal", "Xtal")</f>
        <v>NoXtal</v>
      </c>
      <c r="AP238" s="3">
        <f t="shared" si="120"/>
        <v>1</v>
      </c>
      <c r="AQ238" s="3">
        <f t="shared" si="121"/>
        <v>1</v>
      </c>
      <c r="AR238" s="3">
        <f t="shared" si="122"/>
        <v>2</v>
      </c>
      <c r="AS238" s="3">
        <f t="shared" si="123"/>
        <v>1</v>
      </c>
      <c r="AT238" s="3">
        <f t="shared" si="124"/>
        <v>1</v>
      </c>
      <c r="AU238" s="3">
        <f t="shared" si="125"/>
        <v>1</v>
      </c>
      <c r="AV238" s="3">
        <f t="shared" si="126"/>
        <v>8</v>
      </c>
      <c r="AW238" s="3">
        <f t="shared" si="127"/>
        <v>6</v>
      </c>
      <c r="AX238" s="3">
        <f t="shared" si="128"/>
        <v>7</v>
      </c>
      <c r="AY238" s="3">
        <f t="shared" si="129"/>
        <v>5</v>
      </c>
      <c r="AZ238" s="3">
        <f t="shared" si="130"/>
        <v>1</v>
      </c>
      <c r="BA238" s="3">
        <f>IF(ISERROR(LEN(VLOOKUP(A238,Seqs!A:E,2,FALSE))-AL238),"-",LEN(VLOOKUP(A238,Seqs!A:E,2,FALSE))-AL238)</f>
        <v>44</v>
      </c>
      <c r="BB238" s="16">
        <f t="shared" si="131"/>
        <v>28</v>
      </c>
      <c r="BC238" s="9">
        <f t="shared" si="132"/>
        <v>20</v>
      </c>
      <c r="BD238" s="3">
        <f t="shared" si="133"/>
        <v>28</v>
      </c>
      <c r="BE238" s="3">
        <f t="shared" si="134"/>
        <v>50</v>
      </c>
    </row>
    <row r="239" spans="1:58" s="3" customFormat="1" x14ac:dyDescent="0.2">
      <c r="A239" s="3" t="s">
        <v>386</v>
      </c>
      <c r="B239" s="3" t="str">
        <f>LOWER(VLOOKUP(A239,Xtal_Templ!A:B,2,FALSE))</f>
        <v>p2ry1_human</v>
      </c>
      <c r="C239" s="3">
        <f>VLOOKUP($A239,'SegEnds_NonXtal_BW#'!$A:$Z,3,FALSE)+D239-50</f>
        <v>21</v>
      </c>
      <c r="D239" s="3">
        <v>41</v>
      </c>
      <c r="E239" s="3">
        <f>IF(ISERROR(VLOOKUP($A239,'SegEnds_NonXtal_BW#'!$A:$Z,4,FALSE)+VLOOKUP($A239,A:AL,4,FALSE)-50),"-",(VLOOKUP($A239,'SegEnds_NonXtal_BW#'!$A:$Z,4,FALSE)+VLOOKUP($A239,A:AL,4,FALSE)-50))</f>
        <v>51</v>
      </c>
      <c r="F239" s="3" t="str">
        <f>IF(ISERROR(VLOOKUP($A239,'SegEnds_NonXtal_BW#'!$A:$Z,5,FALSE)+VLOOKUP($A239,A:AL,7,FALSE)-50),"-",(VLOOKUP($A239,'SegEnds_NonXtal_BW#'!$A:$Z,5,FALSE)+VLOOKUP($A239,A:AL,7,FALSE)-50))</f>
        <v>-</v>
      </c>
      <c r="G239" s="3" t="s">
        <v>23</v>
      </c>
      <c r="H239" s="3" t="str">
        <f>IF(ISERROR(VLOOKUP($A239,'SegEnds_NonXtal_BW#'!$A:$Z,6,FALSE)+VLOOKUP($A239,A:AL,7,FALSE)-50),"-",(VLOOKUP($A239,'SegEnds_NonXtal_BW#'!$A:$Z,6,FALSE)+VLOOKUP($A239,A:AL,7,FALSE)-50))</f>
        <v>-</v>
      </c>
      <c r="I239" s="3">
        <f>VLOOKUP($A239,'SegEnds_NonXtal_BW#'!$A:$Z,7,FALSE)+J239-50</f>
        <v>56</v>
      </c>
      <c r="J239" s="3">
        <v>69</v>
      </c>
      <c r="K239" s="3">
        <f>VLOOKUP($A239,'SegEnds_NonXtal_BW#'!$A:$Z,8,FALSE)+VLOOKUP($A239,A:AL,10,FALSE)-50</f>
        <v>85</v>
      </c>
      <c r="L239" s="3">
        <f t="shared" si="144"/>
        <v>87</v>
      </c>
      <c r="M239" s="3">
        <v>88</v>
      </c>
      <c r="N239" s="3">
        <f t="shared" si="145"/>
        <v>90</v>
      </c>
      <c r="O239" s="3">
        <f t="shared" si="141"/>
        <v>91</v>
      </c>
      <c r="P239" s="3">
        <v>120</v>
      </c>
      <c r="Q239" s="3">
        <f>VLOOKUP($A239,'SegEnds_NonXtal_BW#'!$A:$Z,12,FALSE)+VLOOKUP($A239,A:AL,16,FALSE)-50</f>
        <v>126</v>
      </c>
      <c r="R239" s="3">
        <f>IF(ISERROR(VLOOKUP($A239,'SegEnds_NonXtal_BW#'!$A:$Z,13,FALSE)+VLOOKUP($A239,A:AL,19,FALSE)-50),"-",VLOOKUP($A239,'SegEnds_NonXtal_BW#'!$A:$Z,13,FALSE)+VLOOKUP($A239,A:AL,19,FALSE)-50)</f>
        <v>127</v>
      </c>
      <c r="S239" s="3">
        <v>127</v>
      </c>
      <c r="T239" s="103">
        <f>IF(ISERROR(VLOOKUP($A239,'SegEnds_NonXtal_BW#'!$A:$Z,14,FALSE)+VLOOKUP($A239,A:AL,19,FALSE)-50),"-",(VLOOKUP($A239,'SegEnds_NonXtal_BW#'!$A:$Z,14,FALSE)+VLOOKUP($A239,A:AL,19,FALSE)-50))</f>
        <v>134</v>
      </c>
      <c r="U239" s="9">
        <f>IF(ISERROR(VLOOKUP($A239,'SegEnds_NonXtal_BW#'!$A:$Z,15,FALSE)+VLOOKUP($A239,A:AL,22,FALSE)-50),"-",VLOOKUP($A239,'SegEnds_NonXtal_BW#'!$A:$Z,15,FALSE)+VLOOKUP($A239,A:AL,22,FALSE)-50)</f>
        <v>135</v>
      </c>
      <c r="V239" s="3">
        <v>147</v>
      </c>
      <c r="W239" s="3">
        <f>IF(ISERROR(VLOOKUP($A239,'SegEnds_NonXtal_BW#'!$A:$Z,16,FALSE)+VLOOKUP($A239,A:AL,22,FALSE)-50),"-",(VLOOKUP($A239,'SegEnds_NonXtal_BW#'!$A:$Z,16,FALSE)+VLOOKUP($A239,A:AL,22,FALSE)-50))</f>
        <v>161</v>
      </c>
      <c r="X239" s="3">
        <f>IF(ISERROR(VLOOKUP($A239,'SegEnds_NonXtal_BW#'!$A:$Z,17,FALSE)+VLOOKUP($A239,A:AL,25,FALSE)-50),"-",(VLOOKUP($A239,'SegEnds_NonXtal_BW#'!$A:$Z,17,FALSE)+VLOOKUP($A239,A:AL,25,FALSE)-50))</f>
        <v>172</v>
      </c>
      <c r="Y239" s="3">
        <v>172</v>
      </c>
      <c r="Z239" s="3">
        <f t="shared" si="146"/>
        <v>174</v>
      </c>
      <c r="AA239" s="3">
        <f>IF(ISERROR(VLOOKUP($A239,'SegEnds_NonXtal_BW#'!$A:$Z,19,FALSE)+VLOOKUP($A239,A:AL,28,FALSE)-50),"-",(VLOOKUP($A239,'SegEnds_NonXtal_BW#'!$A:$Z,19,FALSE)+VLOOKUP($A239,A:AL,28,FALSE)-50))</f>
        <v>181</v>
      </c>
      <c r="AB239" s="3">
        <v>199</v>
      </c>
      <c r="AC239" s="3">
        <f>IF(ISERROR((VLOOKUP($A239,'SegEnds_NonXtal_BW#'!$A:$Z,20,FALSE)+VLOOKUP($A239,A:AL,28,FALSE)-50)),"-",(VLOOKUP($A239,'SegEnds_NonXtal_BW#'!$A:$Z,20,FALSE)+VLOOKUP($A239,A:AL,28,FALSE)-50))</f>
        <v>217</v>
      </c>
      <c r="AD239" s="3">
        <f>IF(ISERROR(VLOOKUP($A239,'SegEnds_NonXtal_BW#'!$A:$Z,21,FALSE)+VLOOKUP($A239,A:AL,31,FALSE)-50),"-",(VLOOKUP($A239,'SegEnds_NonXtal_BW#'!$A:$Z,21,FALSE)+VLOOKUP($A239,A:AL,31,FALSE)-50))</f>
        <v>221</v>
      </c>
      <c r="AE239" s="3">
        <v>247</v>
      </c>
      <c r="AF239" s="3">
        <f>IF(ISERROR((VLOOKUP($A239,'SegEnds_NonXtal_BW#'!$A:$Z,22,FALSE)+VLOOKUP($A239,A:AL,31,FALSE)-50)),"-",(VLOOKUP($A239,'SegEnds_NonXtal_BW#'!$A:$Z,22,FALSE)+VLOOKUP($A239,A:AL,31,FALSE)-50))</f>
        <v>261</v>
      </c>
      <c r="AG239" s="3">
        <f>IF(ISERROR(VLOOKUP($A239,'SegEnds_NonXtal_BW#'!$A:$Z,23,FALSE)+VLOOKUP($A239,A:AL,34,FALSE)-50),"-",(VLOOKUP($A239,'SegEnds_NonXtal_BW#'!$A:$Z,23,FALSE)+VLOOKUP($A239,A:AL,34,FALSE)-50))</f>
        <v>266</v>
      </c>
      <c r="AH239" s="3">
        <v>292</v>
      </c>
      <c r="AI239" s="3">
        <f>IF(ISERROR((VLOOKUP($A239,'SegEnds_NonXtal_BW#'!$A:$Z,24,FALSE)+VLOOKUP($A239,A:AL,34,FALSE)-50)),"-",(VLOOKUP($A239,'SegEnds_NonXtal_BW#'!$A:$Z,24,FALSE)+VLOOKUP($A239,A:AL,34,FALSE)-50))</f>
        <v>298</v>
      </c>
      <c r="AJ239" s="3">
        <f>IF(ISERROR(VLOOKUP($A239,'SegEnds_NonXtal_BW#'!$A:$Z,25,FALSE)+VLOOKUP($A239,A:AL,37,FALSE)-50),"-",(VLOOKUP($A239,'SegEnds_NonXtal_BW#'!$A:$Z,25,FALSE)+VLOOKUP($A239,A:AL,37,FALSE)-50))</f>
        <v>299</v>
      </c>
      <c r="AK239" s="3">
        <v>302</v>
      </c>
      <c r="AL239" s="3">
        <f>IF(ISERROR((VLOOKUP($A239,'SegEnds_NonXtal_BW#'!$A:$Z,26,FALSE)+VLOOKUP($A239,A:AL,37,FALSE)-50)),"-",(VLOOKUP($A239,'SegEnds_NonXtal_BW#'!$A:$Z,26,FALSE)+VLOOKUP($A239,A:AL,37,FALSE)-50))</f>
        <v>311</v>
      </c>
      <c r="AM239" s="28" t="str">
        <f>VLOOKUP(A239,Classification!A:B,2,FALSE)</f>
        <v>A</v>
      </c>
      <c r="AN239" s="28" t="b">
        <f t="shared" si="135"/>
        <v>1</v>
      </c>
      <c r="AO239" s="3" t="str">
        <f>IF(ISERROR(MATCH(A239,'SegEnds_Xtal_Prot#'!B:B, 0)), "NoXtal", "Xtal")</f>
        <v>NoXtal</v>
      </c>
      <c r="AP239" s="3" t="str">
        <f t="shared" si="120"/>
        <v>-</v>
      </c>
      <c r="AQ239" s="3" t="str">
        <f t="shared" si="121"/>
        <v>-</v>
      </c>
      <c r="AR239" s="3">
        <f t="shared" si="122"/>
        <v>2</v>
      </c>
      <c r="AS239" s="3">
        <f t="shared" si="123"/>
        <v>1</v>
      </c>
      <c r="AT239" s="3">
        <f t="shared" si="124"/>
        <v>1</v>
      </c>
      <c r="AU239" s="3">
        <f t="shared" si="125"/>
        <v>1</v>
      </c>
      <c r="AV239" s="3">
        <f t="shared" si="126"/>
        <v>11</v>
      </c>
      <c r="AW239" s="3">
        <f t="shared" si="127"/>
        <v>7</v>
      </c>
      <c r="AX239" s="3">
        <f t="shared" si="128"/>
        <v>4</v>
      </c>
      <c r="AY239" s="3">
        <f t="shared" si="129"/>
        <v>5</v>
      </c>
      <c r="AZ239" s="3">
        <f t="shared" si="130"/>
        <v>1</v>
      </c>
      <c r="BA239" s="3">
        <f>IF(ISERROR(LEN(VLOOKUP(A239,Seqs!A:E,2,FALSE))-AL239),"-",LEN(VLOOKUP(A239,Seqs!A:E,2,FALSE))-AL239)</f>
        <v>23</v>
      </c>
      <c r="BB239" s="16">
        <f t="shared" si="131"/>
        <v>28</v>
      </c>
      <c r="BC239" s="9">
        <f t="shared" si="132"/>
        <v>20</v>
      </c>
      <c r="BD239" s="3">
        <f t="shared" si="133"/>
        <v>28</v>
      </c>
      <c r="BE239" s="3">
        <f t="shared" si="134"/>
        <v>48</v>
      </c>
      <c r="BF239" s="3">
        <f t="shared" ref="BF239:BF272" si="147">AH239-AE239</f>
        <v>45</v>
      </c>
    </row>
    <row r="240" spans="1:58" s="3" customFormat="1" x14ac:dyDescent="0.2">
      <c r="A240" s="3" t="s">
        <v>456</v>
      </c>
      <c r="B240" s="3" t="str">
        <f>LOWER(VLOOKUP(A240,Xtal_Templ!A:B,2,FALSE))</f>
        <v>aa2ar_human</v>
      </c>
      <c r="C240" s="3">
        <f>VLOOKUP($A240,'SegEnds_NonXtal_BW#'!$A:$Z,3,FALSE)+D240-50</f>
        <v>6</v>
      </c>
      <c r="D240" s="3">
        <v>24</v>
      </c>
      <c r="E240" s="3">
        <f t="shared" ref="E240:E257" si="148">F240-1</f>
        <v>36</v>
      </c>
      <c r="F240" s="3">
        <f t="shared" ref="F240:F257" si="149">G240-2</f>
        <v>37</v>
      </c>
      <c r="G240" s="3">
        <v>39</v>
      </c>
      <c r="H240" s="3">
        <f t="shared" ref="H240:I257" si="150">G240+1</f>
        <v>40</v>
      </c>
      <c r="I240" s="3">
        <f t="shared" si="150"/>
        <v>41</v>
      </c>
      <c r="J240" s="3">
        <v>54</v>
      </c>
      <c r="K240" s="3">
        <f>VLOOKUP($A240,'SegEnds_NonXtal_BW#'!$A:$Z,8,FALSE)+VLOOKUP($A240,A:AL,10,FALSE)-50</f>
        <v>71</v>
      </c>
      <c r="L240" s="3" t="str">
        <f>IF(ISERROR(VLOOKUP($A240,'SegEnds_NonXtal_BW#'!$A:$Z,9,FALSE)+VLOOKUP($A240,A:AL,13,FALSE)-50),"-",(VLOOKUP($A240,'SegEnds_NonXtal_BW#'!$A:$Z,9,FALSE)+VLOOKUP($A240,A:AL,13,FALSE)-50))</f>
        <v>-</v>
      </c>
      <c r="M240" s="3" t="s">
        <v>23</v>
      </c>
      <c r="N240" s="3" t="str">
        <f>IF(ISERROR(VLOOKUP($A240,'SegEnds_NonXtal_BW#'!$A:$Z,10,FALSE)+VLOOKUP($A240,A:AL,13,FALSE)-50),"-",(VLOOKUP($A240,'SegEnds_NonXtal_BW#'!$A:$Z,10,FALSE)+VLOOKUP($A240,A:AL,13,FALSE)-50))</f>
        <v>-</v>
      </c>
      <c r="O240" s="3">
        <f>VLOOKUP($A240,'SegEnds_NonXtal_BW#'!$A:$Z,11,FALSE)+VLOOKUP($A240,A:AL,16,FALSE)-50</f>
        <v>77</v>
      </c>
      <c r="P240" s="3">
        <v>106</v>
      </c>
      <c r="Q240" s="3">
        <f>VLOOKUP($A240,'SegEnds_NonXtal_BW#'!$A:$Z,12,FALSE)+VLOOKUP($A240,A:AL,16,FALSE)-50</f>
        <v>112</v>
      </c>
      <c r="R240" s="3">
        <f t="shared" ref="R240:R257" si="151">S240</f>
        <v>115</v>
      </c>
      <c r="S240" s="3">
        <v>115</v>
      </c>
      <c r="T240" s="103">
        <f t="shared" ref="T240:T257" si="152">S240+7</f>
        <v>122</v>
      </c>
      <c r="U240" s="9">
        <f>IF(ISERROR(VLOOKUP($A240,'SegEnds_NonXtal_BW#'!$A:$Z,15,FALSE)+VLOOKUP($A240,A:AL,22,FALSE)-50),"-",VLOOKUP($A240,'SegEnds_NonXtal_BW#'!$A:$Z,15,FALSE)+VLOOKUP($A240,A:AL,22,FALSE)-50)</f>
        <v>123</v>
      </c>
      <c r="V240" s="3">
        <v>135</v>
      </c>
      <c r="W240" s="3">
        <f>IF(ISERROR(VLOOKUP($A240,'SegEnds_NonXtal_BW#'!$A:$Z,16,FALSE)+VLOOKUP($A240,A:AL,22,FALSE)-50),"-",(VLOOKUP($A240,'SegEnds_NonXtal_BW#'!$A:$Z,16,FALSE)+VLOOKUP($A240,A:AL,22,FALSE)-50))</f>
        <v>148</v>
      </c>
      <c r="X240" s="3" t="str">
        <f>IF(ISERROR(VLOOKUP($A240,'SegEnds_NonXtal_BW#'!$A:$Z,17,FALSE)+VLOOKUP($A240,A:AL,25,FALSE)-50),"-",(VLOOKUP($A240,'SegEnds_NonXtal_BW#'!$A:$Z,17,FALSE)+VLOOKUP($A240,A:AL,25,FALSE)-50))</f>
        <v>-</v>
      </c>
      <c r="Y240" s="3" t="s">
        <v>23</v>
      </c>
      <c r="Z240" s="3" t="str">
        <f>IF(ISERROR(VLOOKUP($A240,'SegEnds_NonXtal_BW#'!$A:$Z,18,FALSE)+VLOOKUP($A240,A:AL,25,FALSE)-50),"-",(VLOOKUP($A240,'SegEnds_NonXtal_BW#'!$A:$Z,18,FALSE)+VLOOKUP($A240,A:AL,25,FALSE)-50))</f>
        <v>-</v>
      </c>
      <c r="AA240" s="3">
        <f>IF(ISERROR(VLOOKUP($A240,'SegEnds_NonXtal_BW#'!$A:$Z,19,FALSE)+VLOOKUP($A240,A:AL,28,FALSE)-50),"-",(VLOOKUP($A240,'SegEnds_NonXtal_BW#'!$A:$Z,19,FALSE)+VLOOKUP($A240,A:AL,28,FALSE)-50))</f>
        <v>167</v>
      </c>
      <c r="AB240" s="3">
        <v>185</v>
      </c>
      <c r="AC240" s="3">
        <f>IF(ISERROR((VLOOKUP($A240,'SegEnds_NonXtal_BW#'!$A:$Z,20,FALSE)+VLOOKUP($A240,A:AL,28,FALSE)-50)),"-",(VLOOKUP($A240,'SegEnds_NonXtal_BW#'!$A:$Z,20,FALSE)+VLOOKUP($A240,A:AL,28,FALSE)-50))</f>
        <v>207</v>
      </c>
      <c r="AD240" s="3">
        <f>IF(ISERROR(VLOOKUP($A240,'SegEnds_NonXtal_BW#'!$A:$Z,21,FALSE)+VLOOKUP($A240,A:AL,31,FALSE)-50),"-",(VLOOKUP($A240,'SegEnds_NonXtal_BW#'!$A:$Z,21,FALSE)+VLOOKUP($A240,A:AL,31,FALSE)-50))</f>
        <v>217</v>
      </c>
      <c r="AE240" s="3">
        <v>238</v>
      </c>
      <c r="AF240" s="3">
        <f>IF(ISERROR((VLOOKUP($A240,'SegEnds_NonXtal_BW#'!$A:$Z,22,FALSE)+VLOOKUP($A240,A:AL,31,FALSE)-50)),"-",(VLOOKUP($A240,'SegEnds_NonXtal_BW#'!$A:$Z,22,FALSE)+VLOOKUP($A240,A:AL,31,FALSE)-50))</f>
        <v>249</v>
      </c>
      <c r="AG240" s="3">
        <f>IF(ISERROR(VLOOKUP($A240,'SegEnds_NonXtal_BW#'!$A:$Z,23,FALSE)+VLOOKUP($A240,A:AL,34,FALSE)-50),"-",(VLOOKUP($A240,'SegEnds_NonXtal_BW#'!$A:$Z,23,FALSE)+VLOOKUP($A240,A:AL,34,FALSE)-50))</f>
        <v>255</v>
      </c>
      <c r="AH240" s="3">
        <v>274</v>
      </c>
      <c r="AI240" s="3">
        <f>IF(ISERROR((VLOOKUP($A240,'SegEnds_NonXtal_BW#'!$A:$Z,24,FALSE)+VLOOKUP($A240,A:AL,34,FALSE)-50)),"-",(VLOOKUP($A240,'SegEnds_NonXtal_BW#'!$A:$Z,24,FALSE)+VLOOKUP($A240,A:AL,34,FALSE)-50))</f>
        <v>280</v>
      </c>
      <c r="AJ240" s="3">
        <f>IF(ISERROR(VLOOKUP($A240,'SegEnds_NonXtal_BW#'!$A:$Z,25,FALSE)+VLOOKUP($A240,A:AL,37,FALSE)-50),"-",(VLOOKUP($A240,'SegEnds_NonXtal_BW#'!$A:$Z,25,FALSE)+VLOOKUP($A240,A:AL,37,FALSE)-50))</f>
        <v>281</v>
      </c>
      <c r="AK240" s="3">
        <v>284</v>
      </c>
      <c r="AL240" s="3">
        <f>IF(ISERROR((VLOOKUP($A240,'SegEnds_NonXtal_BW#'!$A:$Z,26,FALSE)+VLOOKUP($A240,A:AL,37,FALSE)-50)),"-",(VLOOKUP($A240,'SegEnds_NonXtal_BW#'!$A:$Z,26,FALSE)+VLOOKUP($A240,A:AL,37,FALSE)-50))</f>
        <v>294</v>
      </c>
      <c r="AM240" s="28" t="str">
        <f>VLOOKUP(A240,Classification!A:B,2,FALSE)</f>
        <v>T</v>
      </c>
      <c r="AN240" s="28" t="b">
        <f t="shared" si="135"/>
        <v>1</v>
      </c>
      <c r="AO240" s="3" t="str">
        <f>IF(ISERROR(MATCH(A240,'SegEnds_Xtal_Prot#'!B:B, 0)), "NoXtal", "Xtal")</f>
        <v>NoXtal</v>
      </c>
      <c r="AP240" s="3">
        <f t="shared" si="120"/>
        <v>1</v>
      </c>
      <c r="AQ240" s="3">
        <f t="shared" si="121"/>
        <v>1</v>
      </c>
      <c r="AR240" s="3" t="str">
        <f t="shared" si="122"/>
        <v>-</v>
      </c>
      <c r="AS240" s="3" t="str">
        <f t="shared" si="123"/>
        <v>-</v>
      </c>
      <c r="AT240" s="3">
        <f t="shared" si="124"/>
        <v>3</v>
      </c>
      <c r="AU240" s="3">
        <f t="shared" si="125"/>
        <v>1</v>
      </c>
      <c r="AV240" s="3" t="str">
        <f t="shared" si="126"/>
        <v>-</v>
      </c>
      <c r="AW240" s="3" t="str">
        <f t="shared" si="127"/>
        <v>-</v>
      </c>
      <c r="AX240" s="3">
        <f t="shared" si="128"/>
        <v>10</v>
      </c>
      <c r="AY240" s="3">
        <f t="shared" si="129"/>
        <v>6</v>
      </c>
      <c r="AZ240" s="3">
        <f t="shared" si="130"/>
        <v>1</v>
      </c>
      <c r="BA240" s="3">
        <f>IF(ISERROR(LEN(VLOOKUP(A240,Seqs!A:E,2,FALSE))-AL240),"-",LEN(VLOOKUP(A240,Seqs!A:E,2,FALSE))-AL240)</f>
        <v>13</v>
      </c>
      <c r="BB240" s="16">
        <f t="shared" si="131"/>
        <v>30</v>
      </c>
      <c r="BC240" s="9">
        <f t="shared" si="132"/>
        <v>20</v>
      </c>
      <c r="BD240" s="3">
        <f t="shared" si="133"/>
        <v>30</v>
      </c>
      <c r="BE240" s="3">
        <f t="shared" si="134"/>
        <v>53</v>
      </c>
      <c r="BF240" s="3">
        <f t="shared" si="147"/>
        <v>36</v>
      </c>
    </row>
    <row r="241" spans="1:58" s="3" customFormat="1" x14ac:dyDescent="0.2">
      <c r="A241" s="3" t="s">
        <v>457</v>
      </c>
      <c r="B241" s="3" t="str">
        <f>LOWER(VLOOKUP(A241,Xtal_Templ!A:B,2,FALSE))</f>
        <v>apj_human</v>
      </c>
      <c r="C241" s="3">
        <f>VLOOKUP($A241,'SegEnds_NonXtal_BW#'!$A:$Z,3,FALSE)+D241-50</f>
        <v>6</v>
      </c>
      <c r="D241" s="3">
        <v>24</v>
      </c>
      <c r="E241" s="3">
        <f t="shared" si="148"/>
        <v>36</v>
      </c>
      <c r="F241" s="3">
        <f t="shared" si="149"/>
        <v>37</v>
      </c>
      <c r="G241" s="3">
        <v>39</v>
      </c>
      <c r="H241" s="3">
        <f t="shared" si="150"/>
        <v>40</v>
      </c>
      <c r="I241" s="3">
        <f t="shared" si="150"/>
        <v>41</v>
      </c>
      <c r="J241" s="3">
        <v>55</v>
      </c>
      <c r="K241" s="3">
        <f>VLOOKUP($A241,'SegEnds_NonXtal_BW#'!$A:$Z,8,FALSE)+VLOOKUP($A241,A:AL,10,FALSE)-50</f>
        <v>72</v>
      </c>
      <c r="L241" s="3" t="str">
        <f>IF(ISERROR(VLOOKUP($A241,'SegEnds_NonXtal_BW#'!$A:$Z,9,FALSE)+VLOOKUP($A241,A:AL,13,FALSE)-50),"-",(VLOOKUP($A241,'SegEnds_NonXtal_BW#'!$A:$Z,9,FALSE)+VLOOKUP($A241,A:AL,13,FALSE)-50))</f>
        <v>-</v>
      </c>
      <c r="M241" s="3" t="s">
        <v>23</v>
      </c>
      <c r="N241" s="3" t="str">
        <f>IF(ISERROR(VLOOKUP($A241,'SegEnds_NonXtal_BW#'!$A:$Z,10,FALSE)+VLOOKUP($A241,A:AL,13,FALSE)-50),"-",(VLOOKUP($A241,'SegEnds_NonXtal_BW#'!$A:$Z,10,FALSE)+VLOOKUP($A241,A:AL,13,FALSE)-50))</f>
        <v>-</v>
      </c>
      <c r="O241" s="3">
        <f>VLOOKUP($A241,'SegEnds_NonXtal_BW#'!$A:$Z,11,FALSE)+VLOOKUP($A241,A:AL,16,FALSE)-50</f>
        <v>78</v>
      </c>
      <c r="P241" s="3">
        <v>107</v>
      </c>
      <c r="Q241" s="3">
        <f>VLOOKUP($A241,'SegEnds_NonXtal_BW#'!$A:$Z,12,FALSE)+VLOOKUP($A241,A:AL,16,FALSE)-50</f>
        <v>113</v>
      </c>
      <c r="R241" s="3">
        <f t="shared" si="151"/>
        <v>116</v>
      </c>
      <c r="S241" s="3">
        <v>116</v>
      </c>
      <c r="T241" s="103">
        <f t="shared" si="152"/>
        <v>123</v>
      </c>
      <c r="U241" s="9">
        <f>IF(ISERROR(VLOOKUP($A241,'SegEnds_NonXtal_BW#'!$A:$Z,15,FALSE)+VLOOKUP($A241,A:AL,22,FALSE)-50),"-",VLOOKUP($A241,'SegEnds_NonXtal_BW#'!$A:$Z,15,FALSE)+VLOOKUP($A241,A:AL,22,FALSE)-50)</f>
        <v>124</v>
      </c>
      <c r="V241" s="3">
        <v>136</v>
      </c>
      <c r="W241" s="3">
        <f>IF(ISERROR(VLOOKUP($A241,'SegEnds_NonXtal_BW#'!$A:$Z,16,FALSE)+VLOOKUP($A241,A:AL,22,FALSE)-50),"-",(VLOOKUP($A241,'SegEnds_NonXtal_BW#'!$A:$Z,16,FALSE)+VLOOKUP($A241,A:AL,22,FALSE)-50))</f>
        <v>150</v>
      </c>
      <c r="X241" s="3" t="str">
        <f>IF(ISERROR(VLOOKUP($A241,'SegEnds_NonXtal_BW#'!$A:$Z,17,FALSE)+VLOOKUP($A241,A:AL,25,FALSE)-50),"-",(VLOOKUP($A241,'SegEnds_NonXtal_BW#'!$A:$Z,17,FALSE)+VLOOKUP($A241,A:AL,25,FALSE)-50))</f>
        <v>-</v>
      </c>
      <c r="Y241" s="3" t="s">
        <v>23</v>
      </c>
      <c r="Z241" s="3" t="str">
        <f>IF(ISERROR(VLOOKUP($A241,'SegEnds_NonXtal_BW#'!$A:$Z,18,FALSE)+VLOOKUP($A241,A:AL,25,FALSE)-50),"-",(VLOOKUP($A241,'SegEnds_NonXtal_BW#'!$A:$Z,18,FALSE)+VLOOKUP($A241,A:AL,25,FALSE)-50))</f>
        <v>-</v>
      </c>
      <c r="AA241" s="3">
        <f>IF(ISERROR(VLOOKUP($A241,'SegEnds_NonXtal_BW#'!$A:$Z,19,FALSE)+VLOOKUP($A241,A:AL,28,FALSE)-50),"-",(VLOOKUP($A241,'SegEnds_NonXtal_BW#'!$A:$Z,19,FALSE)+VLOOKUP($A241,A:AL,28,FALSE)-50))</f>
        <v>172</v>
      </c>
      <c r="AB241" s="3">
        <v>190</v>
      </c>
      <c r="AC241" s="3">
        <f>IF(ISERROR((VLOOKUP($A241,'SegEnds_NonXtal_BW#'!$A:$Z,20,FALSE)+VLOOKUP($A241,A:AL,28,FALSE)-50)),"-",(VLOOKUP($A241,'SegEnds_NonXtal_BW#'!$A:$Z,20,FALSE)+VLOOKUP($A241,A:AL,28,FALSE)-50))</f>
        <v>212</v>
      </c>
      <c r="AD241" s="3">
        <f>IF(ISERROR(VLOOKUP($A241,'SegEnds_NonXtal_BW#'!$A:$Z,21,FALSE)+VLOOKUP($A241,A:AL,31,FALSE)-50),"-",(VLOOKUP($A241,'SegEnds_NonXtal_BW#'!$A:$Z,21,FALSE)+VLOOKUP($A241,A:AL,31,FALSE)-50))</f>
        <v>222</v>
      </c>
      <c r="AE241" s="3">
        <v>243</v>
      </c>
      <c r="AF241" s="3">
        <f>IF(ISERROR((VLOOKUP($A241,'SegEnds_NonXtal_BW#'!$A:$Z,22,FALSE)+VLOOKUP($A241,A:AL,31,FALSE)-50)),"-",(VLOOKUP($A241,'SegEnds_NonXtal_BW#'!$A:$Z,22,FALSE)+VLOOKUP($A241,A:AL,31,FALSE)-50))</f>
        <v>254</v>
      </c>
      <c r="AG241" s="3">
        <f>IF(ISERROR(VLOOKUP($A241,'SegEnds_NonXtal_BW#'!$A:$Z,23,FALSE)+VLOOKUP($A241,A:AL,34,FALSE)-50),"-",(VLOOKUP($A241,'SegEnds_NonXtal_BW#'!$A:$Z,23,FALSE)+VLOOKUP($A241,A:AL,34,FALSE)-50))</f>
        <v>259</v>
      </c>
      <c r="AH241" s="3">
        <v>278</v>
      </c>
      <c r="AI241" s="3">
        <f>IF(ISERROR((VLOOKUP($A241,'SegEnds_NonXtal_BW#'!$A:$Z,24,FALSE)+VLOOKUP($A241,A:AL,34,FALSE)-50)),"-",(VLOOKUP($A241,'SegEnds_NonXtal_BW#'!$A:$Z,24,FALSE)+VLOOKUP($A241,A:AL,34,FALSE)-50))</f>
        <v>284</v>
      </c>
      <c r="AJ241" s="3">
        <f>IF(ISERROR(VLOOKUP($A241,'SegEnds_NonXtal_BW#'!$A:$Z,25,FALSE)+VLOOKUP($A241,A:AL,37,FALSE)-50),"-",(VLOOKUP($A241,'SegEnds_NonXtal_BW#'!$A:$Z,25,FALSE)+VLOOKUP($A241,A:AL,37,FALSE)-50))</f>
        <v>285</v>
      </c>
      <c r="AK241" s="3">
        <v>288</v>
      </c>
      <c r="AL241" s="3">
        <f>IF(ISERROR((VLOOKUP($A241,'SegEnds_NonXtal_BW#'!$A:$Z,26,FALSE)+VLOOKUP($A241,A:AL,37,FALSE)-50)),"-",(VLOOKUP($A241,'SegEnds_NonXtal_BW#'!$A:$Z,26,FALSE)+VLOOKUP($A241,A:AL,37,FALSE)-50))</f>
        <v>298</v>
      </c>
      <c r="AM241" s="28" t="str">
        <f>VLOOKUP(A241,Classification!A:B,2,FALSE)</f>
        <v>T</v>
      </c>
      <c r="AN241" s="28" t="b">
        <f t="shared" si="135"/>
        <v>1</v>
      </c>
      <c r="AO241" s="3" t="str">
        <f>IF(ISERROR(MATCH(A241,'SegEnds_Xtal_Prot#'!B:B, 0)), "NoXtal", "Xtal")</f>
        <v>NoXtal</v>
      </c>
      <c r="AP241" s="3">
        <f t="shared" si="120"/>
        <v>1</v>
      </c>
      <c r="AQ241" s="3">
        <f t="shared" si="121"/>
        <v>1</v>
      </c>
      <c r="AR241" s="3" t="str">
        <f t="shared" si="122"/>
        <v>-</v>
      </c>
      <c r="AS241" s="3" t="str">
        <f t="shared" si="123"/>
        <v>-</v>
      </c>
      <c r="AT241" s="3">
        <f t="shared" si="124"/>
        <v>3</v>
      </c>
      <c r="AU241" s="3">
        <f t="shared" si="125"/>
        <v>1</v>
      </c>
      <c r="AV241" s="3" t="str">
        <f t="shared" si="126"/>
        <v>-</v>
      </c>
      <c r="AW241" s="3" t="str">
        <f t="shared" si="127"/>
        <v>-</v>
      </c>
      <c r="AX241" s="3">
        <f t="shared" si="128"/>
        <v>10</v>
      </c>
      <c r="AY241" s="3">
        <f t="shared" si="129"/>
        <v>5</v>
      </c>
      <c r="AZ241" s="3">
        <f t="shared" si="130"/>
        <v>1</v>
      </c>
      <c r="BA241" s="3">
        <f>IF(ISERROR(LEN(VLOOKUP(A241,Seqs!A:E,2,FALSE))-AL241),"-",LEN(VLOOKUP(A241,Seqs!A:E,2,FALSE))-AL241)</f>
        <v>5</v>
      </c>
      <c r="BB241" s="16">
        <f t="shared" si="131"/>
        <v>31</v>
      </c>
      <c r="BC241" s="9">
        <f t="shared" si="132"/>
        <v>20</v>
      </c>
      <c r="BD241" s="3">
        <f t="shared" si="133"/>
        <v>31</v>
      </c>
      <c r="BE241" s="3">
        <f t="shared" si="134"/>
        <v>53</v>
      </c>
      <c r="BF241" s="3">
        <f t="shared" si="147"/>
        <v>35</v>
      </c>
    </row>
    <row r="242" spans="1:58" s="3" customFormat="1" x14ac:dyDescent="0.2">
      <c r="A242" s="3" t="s">
        <v>458</v>
      </c>
      <c r="B242" s="3" t="str">
        <f>LOWER(VLOOKUP(A242,Xtal_Templ!A:B,2,FALSE))</f>
        <v>apj_human</v>
      </c>
      <c r="C242" s="3">
        <f>VLOOKUP($A242,'SegEnds_NonXtal_BW#'!$A:$Z,3,FALSE)+D242-50</f>
        <v>6</v>
      </c>
      <c r="D242" s="3">
        <v>24</v>
      </c>
      <c r="E242" s="3">
        <f t="shared" si="148"/>
        <v>36</v>
      </c>
      <c r="F242" s="3">
        <f t="shared" si="149"/>
        <v>37</v>
      </c>
      <c r="G242" s="3">
        <v>39</v>
      </c>
      <c r="H242" s="3">
        <f t="shared" si="150"/>
        <v>40</v>
      </c>
      <c r="I242" s="3">
        <f t="shared" si="150"/>
        <v>41</v>
      </c>
      <c r="J242" s="3">
        <v>55</v>
      </c>
      <c r="K242" s="3">
        <f>VLOOKUP($A242,'SegEnds_NonXtal_BW#'!$A:$Z,8,FALSE)+VLOOKUP($A242,A:AL,10,FALSE)-50</f>
        <v>72</v>
      </c>
      <c r="L242" s="3" t="str">
        <f>IF(ISERROR(VLOOKUP($A242,'SegEnds_NonXtal_BW#'!$A:$Z,9,FALSE)+VLOOKUP($A242,A:AL,13,FALSE)-50),"-",(VLOOKUP($A242,'SegEnds_NonXtal_BW#'!$A:$Z,9,FALSE)+VLOOKUP($A242,A:AL,13,FALSE)-50))</f>
        <v>-</v>
      </c>
      <c r="M242" s="3" t="s">
        <v>23</v>
      </c>
      <c r="N242" s="3" t="str">
        <f>IF(ISERROR(VLOOKUP($A242,'SegEnds_NonXtal_BW#'!$A:$Z,10,FALSE)+VLOOKUP($A242,A:AL,13,FALSE)-50),"-",(VLOOKUP($A242,'SegEnds_NonXtal_BW#'!$A:$Z,10,FALSE)+VLOOKUP($A242,A:AL,13,FALSE)-50))</f>
        <v>-</v>
      </c>
      <c r="O242" s="3">
        <f>VLOOKUP($A242,'SegEnds_NonXtal_BW#'!$A:$Z,11,FALSE)+VLOOKUP($A242,A:AL,16,FALSE)-50</f>
        <v>78</v>
      </c>
      <c r="P242" s="3">
        <v>107</v>
      </c>
      <c r="Q242" s="3">
        <f>VLOOKUP($A242,'SegEnds_NonXtal_BW#'!$A:$Z,12,FALSE)+VLOOKUP($A242,A:AL,16,FALSE)-50</f>
        <v>113</v>
      </c>
      <c r="R242" s="3">
        <f t="shared" si="151"/>
        <v>116</v>
      </c>
      <c r="S242" s="3">
        <v>116</v>
      </c>
      <c r="T242" s="103">
        <f t="shared" si="152"/>
        <v>123</v>
      </c>
      <c r="U242" s="9">
        <f>IF(ISERROR(VLOOKUP($A242,'SegEnds_NonXtal_BW#'!$A:$Z,15,FALSE)+VLOOKUP($A242,A:AL,22,FALSE)-50),"-",VLOOKUP($A242,'SegEnds_NonXtal_BW#'!$A:$Z,15,FALSE)+VLOOKUP($A242,A:AL,22,FALSE)-50)</f>
        <v>124</v>
      </c>
      <c r="V242" s="3">
        <v>136</v>
      </c>
      <c r="W242" s="3">
        <f>IF(ISERROR(VLOOKUP($A242,'SegEnds_NonXtal_BW#'!$A:$Z,16,FALSE)+VLOOKUP($A242,A:AL,22,FALSE)-50),"-",(VLOOKUP($A242,'SegEnds_NonXtal_BW#'!$A:$Z,16,FALSE)+VLOOKUP($A242,A:AL,22,FALSE)-50))</f>
        <v>150</v>
      </c>
      <c r="X242" s="3" t="str">
        <f>IF(ISERROR(VLOOKUP($A242,'SegEnds_NonXtal_BW#'!$A:$Z,17,FALSE)+VLOOKUP($A242,A:AL,25,FALSE)-50),"-",(VLOOKUP($A242,'SegEnds_NonXtal_BW#'!$A:$Z,17,FALSE)+VLOOKUP($A242,A:AL,25,FALSE)-50))</f>
        <v>-</v>
      </c>
      <c r="Y242" s="3" t="s">
        <v>23</v>
      </c>
      <c r="Z242" s="3" t="str">
        <f>IF(ISERROR(VLOOKUP($A242,'SegEnds_NonXtal_BW#'!$A:$Z,18,FALSE)+VLOOKUP($A242,A:AL,25,FALSE)-50),"-",(VLOOKUP($A242,'SegEnds_NonXtal_BW#'!$A:$Z,18,FALSE)+VLOOKUP($A242,A:AL,25,FALSE)-50))</f>
        <v>-</v>
      </c>
      <c r="AA242" s="3">
        <f>IF(ISERROR(VLOOKUP($A242,'SegEnds_NonXtal_BW#'!$A:$Z,19,FALSE)+VLOOKUP($A242,A:AL,28,FALSE)-50),"-",(VLOOKUP($A242,'SegEnds_NonXtal_BW#'!$A:$Z,19,FALSE)+VLOOKUP($A242,A:AL,28,FALSE)-50))</f>
        <v>172</v>
      </c>
      <c r="AB242" s="3">
        <v>190</v>
      </c>
      <c r="AC242" s="3">
        <f>IF(ISERROR((VLOOKUP($A242,'SegEnds_NonXtal_BW#'!$A:$Z,20,FALSE)+VLOOKUP($A242,A:AL,28,FALSE)-50)),"-",(VLOOKUP($A242,'SegEnds_NonXtal_BW#'!$A:$Z,20,FALSE)+VLOOKUP($A242,A:AL,28,FALSE)-50))</f>
        <v>212</v>
      </c>
      <c r="AD242" s="3">
        <f>IF(ISERROR(VLOOKUP($A242,'SegEnds_NonXtal_BW#'!$A:$Z,21,FALSE)+VLOOKUP($A242,A:AL,31,FALSE)-50),"-",(VLOOKUP($A242,'SegEnds_NonXtal_BW#'!$A:$Z,21,FALSE)+VLOOKUP($A242,A:AL,31,FALSE)-50))</f>
        <v>221</v>
      </c>
      <c r="AE242" s="3">
        <v>242</v>
      </c>
      <c r="AF242" s="3">
        <f>IF(ISERROR((VLOOKUP($A242,'SegEnds_NonXtal_BW#'!$A:$Z,22,FALSE)+VLOOKUP($A242,A:AL,31,FALSE)-50)),"-",(VLOOKUP($A242,'SegEnds_NonXtal_BW#'!$A:$Z,22,FALSE)+VLOOKUP($A242,A:AL,31,FALSE)-50))</f>
        <v>253</v>
      </c>
      <c r="AG242" s="3">
        <f>IF(ISERROR(VLOOKUP($A242,'SegEnds_NonXtal_BW#'!$A:$Z,23,FALSE)+VLOOKUP($A242,A:AL,34,FALSE)-50),"-",(VLOOKUP($A242,'SegEnds_NonXtal_BW#'!$A:$Z,23,FALSE)+VLOOKUP($A242,A:AL,34,FALSE)-50))</f>
        <v>258</v>
      </c>
      <c r="AH242" s="3">
        <v>277</v>
      </c>
      <c r="AI242" s="3">
        <f>IF(ISERROR((VLOOKUP($A242,'SegEnds_NonXtal_BW#'!$A:$Z,24,FALSE)+VLOOKUP($A242,A:AL,34,FALSE)-50)),"-",(VLOOKUP($A242,'SegEnds_NonXtal_BW#'!$A:$Z,24,FALSE)+VLOOKUP($A242,A:AL,34,FALSE)-50))</f>
        <v>283</v>
      </c>
      <c r="AJ242" s="3">
        <f>IF(ISERROR(VLOOKUP($A242,'SegEnds_NonXtal_BW#'!$A:$Z,25,FALSE)+VLOOKUP($A242,A:AL,37,FALSE)-50),"-",(VLOOKUP($A242,'SegEnds_NonXtal_BW#'!$A:$Z,25,FALSE)+VLOOKUP($A242,A:AL,37,FALSE)-50))</f>
        <v>284</v>
      </c>
      <c r="AK242" s="3">
        <v>287</v>
      </c>
      <c r="AL242" s="3">
        <f>IF(ISERROR((VLOOKUP($A242,'SegEnds_NonXtal_BW#'!$A:$Z,26,FALSE)+VLOOKUP($A242,A:AL,37,FALSE)-50)),"-",(VLOOKUP($A242,'SegEnds_NonXtal_BW#'!$A:$Z,26,FALSE)+VLOOKUP($A242,A:AL,37,FALSE)-50))</f>
        <v>297</v>
      </c>
      <c r="AM242" s="28" t="str">
        <f>VLOOKUP(A242,Classification!A:B,2,FALSE)</f>
        <v>T</v>
      </c>
      <c r="AN242" s="28" t="b">
        <f t="shared" si="135"/>
        <v>1</v>
      </c>
      <c r="AO242" s="3" t="str">
        <f>IF(ISERROR(MATCH(A242,'SegEnds_Xtal_Prot#'!B:B, 0)), "NoXtal", "Xtal")</f>
        <v>NoXtal</v>
      </c>
      <c r="AP242" s="3">
        <f t="shared" si="120"/>
        <v>1</v>
      </c>
      <c r="AQ242" s="3">
        <f t="shared" si="121"/>
        <v>1</v>
      </c>
      <c r="AR242" s="3" t="str">
        <f t="shared" si="122"/>
        <v>-</v>
      </c>
      <c r="AS242" s="3" t="str">
        <f t="shared" si="123"/>
        <v>-</v>
      </c>
      <c r="AT242" s="3">
        <f t="shared" si="124"/>
        <v>3</v>
      </c>
      <c r="AU242" s="3">
        <f t="shared" si="125"/>
        <v>1</v>
      </c>
      <c r="AV242" s="3" t="str">
        <f t="shared" si="126"/>
        <v>-</v>
      </c>
      <c r="AW242" s="3" t="str">
        <f t="shared" si="127"/>
        <v>-</v>
      </c>
      <c r="AX242" s="3">
        <f t="shared" si="128"/>
        <v>9</v>
      </c>
      <c r="AY242" s="3">
        <f t="shared" si="129"/>
        <v>5</v>
      </c>
      <c r="AZ242" s="3">
        <f t="shared" si="130"/>
        <v>1</v>
      </c>
      <c r="BA242" s="3">
        <f>IF(ISERROR(LEN(VLOOKUP(A242,Seqs!A:E,2,FALSE))-AL242),"-",LEN(VLOOKUP(A242,Seqs!A:E,2,FALSE))-AL242)</f>
        <v>20</v>
      </c>
      <c r="BB242" s="16">
        <f t="shared" si="131"/>
        <v>31</v>
      </c>
      <c r="BC242" s="9">
        <f t="shared" si="132"/>
        <v>20</v>
      </c>
      <c r="BD242" s="3">
        <f t="shared" si="133"/>
        <v>31</v>
      </c>
      <c r="BE242" s="3">
        <f t="shared" si="134"/>
        <v>52</v>
      </c>
      <c r="BF242" s="3">
        <f t="shared" si="147"/>
        <v>35</v>
      </c>
    </row>
    <row r="243" spans="1:58" s="3" customFormat="1" x14ac:dyDescent="0.2">
      <c r="A243" s="3" t="s">
        <v>459</v>
      </c>
      <c r="B243" s="3" t="str">
        <f>LOWER(VLOOKUP(A243,Xtal_Templ!A:B,2,FALSE))</f>
        <v>cxcr4_human</v>
      </c>
      <c r="C243" s="3">
        <f>VLOOKUP($A243,'SegEnds_NonXtal_BW#'!$A:$Z,3,FALSE)+D243-50</f>
        <v>7</v>
      </c>
      <c r="D243" s="3">
        <v>25</v>
      </c>
      <c r="E243" s="3">
        <f t="shared" si="148"/>
        <v>37</v>
      </c>
      <c r="F243" s="3">
        <f t="shared" si="149"/>
        <v>38</v>
      </c>
      <c r="G243" s="3">
        <v>40</v>
      </c>
      <c r="H243" s="3">
        <f t="shared" si="150"/>
        <v>41</v>
      </c>
      <c r="I243" s="3">
        <f t="shared" si="150"/>
        <v>42</v>
      </c>
      <c r="J243" s="3">
        <v>56</v>
      </c>
      <c r="K243" s="3">
        <f>VLOOKUP($A243,'SegEnds_NonXtal_BW#'!$A:$Z,8,FALSE)+VLOOKUP($A243,A:AL,10,FALSE)-50</f>
        <v>72</v>
      </c>
      <c r="L243" s="3" t="str">
        <f>IF(ISERROR(VLOOKUP($A243,'SegEnds_NonXtal_BW#'!$A:$Z,9,FALSE)+VLOOKUP($A243,A:AL,13,FALSE)-50),"-",(VLOOKUP($A243,'SegEnds_NonXtal_BW#'!$A:$Z,9,FALSE)+VLOOKUP($A243,A:AL,13,FALSE)-50))</f>
        <v>-</v>
      </c>
      <c r="M243" s="3" t="s">
        <v>23</v>
      </c>
      <c r="N243" s="3" t="str">
        <f>IF(ISERROR(VLOOKUP($A243,'SegEnds_NonXtal_BW#'!$A:$Z,10,FALSE)+VLOOKUP($A243,A:AL,13,FALSE)-50),"-",(VLOOKUP($A243,'SegEnds_NonXtal_BW#'!$A:$Z,10,FALSE)+VLOOKUP($A243,A:AL,13,FALSE)-50))</f>
        <v>-</v>
      </c>
      <c r="O243" s="3">
        <f>VLOOKUP($A243,'SegEnds_NonXtal_BW#'!$A:$Z,11,FALSE)+VLOOKUP($A243,A:AL,16,FALSE)-50</f>
        <v>77</v>
      </c>
      <c r="P243" s="3">
        <v>103</v>
      </c>
      <c r="Q243" s="3">
        <f>VLOOKUP($A243,'SegEnds_NonXtal_BW#'!$A:$Z,12,FALSE)+VLOOKUP($A243,A:AL,16,FALSE)-50</f>
        <v>109</v>
      </c>
      <c r="R243" s="3">
        <f t="shared" si="151"/>
        <v>112</v>
      </c>
      <c r="S243" s="3">
        <v>112</v>
      </c>
      <c r="T243" s="103">
        <f t="shared" si="152"/>
        <v>119</v>
      </c>
      <c r="U243" s="9">
        <f>IF(ISERROR(VLOOKUP($A243,'SegEnds_NonXtal_BW#'!$A:$Z,15,FALSE)+VLOOKUP($A243,A:AL,22,FALSE)-50),"-",VLOOKUP($A243,'SegEnds_NonXtal_BW#'!$A:$Z,15,FALSE)+VLOOKUP($A243,A:AL,22,FALSE)-50)</f>
        <v>120</v>
      </c>
      <c r="V243" s="3">
        <v>132</v>
      </c>
      <c r="W243" s="3">
        <f>IF(ISERROR(VLOOKUP($A243,'SegEnds_NonXtal_BW#'!$A:$Z,16,FALSE)+VLOOKUP($A243,A:AL,22,FALSE)-50),"-",(VLOOKUP($A243,'SegEnds_NonXtal_BW#'!$A:$Z,16,FALSE)+VLOOKUP($A243,A:AL,22,FALSE)-50))</f>
        <v>146</v>
      </c>
      <c r="X243" s="3" t="str">
        <f>IF(ISERROR(VLOOKUP($A243,'SegEnds_NonXtal_BW#'!$A:$Z,17,FALSE)+VLOOKUP($A243,A:AL,25,FALSE)-50),"-",(VLOOKUP($A243,'SegEnds_NonXtal_BW#'!$A:$Z,17,FALSE)+VLOOKUP($A243,A:AL,25,FALSE)-50))</f>
        <v>-</v>
      </c>
      <c r="Y243" s="3" t="s">
        <v>23</v>
      </c>
      <c r="Z243" s="3" t="str">
        <f>IF(ISERROR(VLOOKUP($A243,'SegEnds_NonXtal_BW#'!$A:$Z,18,FALSE)+VLOOKUP($A243,A:AL,25,FALSE)-50),"-",(VLOOKUP($A243,'SegEnds_NonXtal_BW#'!$A:$Z,18,FALSE)+VLOOKUP($A243,A:AL,25,FALSE)-50))</f>
        <v>-</v>
      </c>
      <c r="AA243" s="3">
        <f>IF(ISERROR(VLOOKUP($A243,'SegEnds_NonXtal_BW#'!$A:$Z,19,FALSE)+VLOOKUP($A243,A:AL,28,FALSE)-50),"-",(VLOOKUP($A243,'SegEnds_NonXtal_BW#'!$A:$Z,19,FALSE)+VLOOKUP($A243,A:AL,28,FALSE)-50))</f>
        <v>170</v>
      </c>
      <c r="AB243" s="3">
        <v>188</v>
      </c>
      <c r="AC243" s="3">
        <f>IF(ISERROR((VLOOKUP($A243,'SegEnds_NonXtal_BW#'!$A:$Z,20,FALSE)+VLOOKUP($A243,A:AL,28,FALSE)-50)),"-",(VLOOKUP($A243,'SegEnds_NonXtal_BW#'!$A:$Z,20,FALSE)+VLOOKUP($A243,A:AL,28,FALSE)-50))</f>
        <v>210</v>
      </c>
      <c r="AD243" s="3">
        <f>IF(ISERROR(VLOOKUP($A243,'SegEnds_NonXtal_BW#'!$A:$Z,21,FALSE)+VLOOKUP($A243,A:AL,31,FALSE)-50),"-",(VLOOKUP($A243,'SegEnds_NonXtal_BW#'!$A:$Z,21,FALSE)+VLOOKUP($A243,A:AL,31,FALSE)-50))</f>
        <v>217</v>
      </c>
      <c r="AE243" s="3">
        <v>238</v>
      </c>
      <c r="AF243" s="3">
        <f>IF(ISERROR((VLOOKUP($A243,'SegEnds_NonXtal_BW#'!$A:$Z,22,FALSE)+VLOOKUP($A243,A:AL,31,FALSE)-50)),"-",(VLOOKUP($A243,'SegEnds_NonXtal_BW#'!$A:$Z,22,FALSE)+VLOOKUP($A243,A:AL,31,FALSE)-50))</f>
        <v>249</v>
      </c>
      <c r="AG243" s="3">
        <f>IF(ISERROR(VLOOKUP($A243,'SegEnds_NonXtal_BW#'!$A:$Z,23,FALSE)+VLOOKUP($A243,A:AL,34,FALSE)-50),"-",(VLOOKUP($A243,'SegEnds_NonXtal_BW#'!$A:$Z,23,FALSE)+VLOOKUP($A243,A:AL,34,FALSE)-50))</f>
        <v>254</v>
      </c>
      <c r="AH243" s="3">
        <v>273</v>
      </c>
      <c r="AI243" s="3">
        <f>IF(ISERROR((VLOOKUP($A243,'SegEnds_NonXtal_BW#'!$A:$Z,24,FALSE)+VLOOKUP($A243,A:AL,34,FALSE)-50)),"-",(VLOOKUP($A243,'SegEnds_NonXtal_BW#'!$A:$Z,24,FALSE)+VLOOKUP($A243,A:AL,34,FALSE)-50))</f>
        <v>279</v>
      </c>
      <c r="AJ243" s="3">
        <f>IF(ISERROR(VLOOKUP($A243,'SegEnds_NonXtal_BW#'!$A:$Z,25,FALSE)+VLOOKUP($A243,A:AL,37,FALSE)-50),"-",(VLOOKUP($A243,'SegEnds_NonXtal_BW#'!$A:$Z,25,FALSE)+VLOOKUP($A243,A:AL,37,FALSE)-50))</f>
        <v>280</v>
      </c>
      <c r="AK243" s="3">
        <v>283</v>
      </c>
      <c r="AL243" s="3">
        <v>291</v>
      </c>
      <c r="AM243" s="28" t="str">
        <f>VLOOKUP(A243,Classification!A:B,2,FALSE)</f>
        <v>T</v>
      </c>
      <c r="AN243" s="28" t="b">
        <f t="shared" si="135"/>
        <v>1</v>
      </c>
      <c r="AO243" s="3" t="str">
        <f>IF(ISERROR(MATCH(A243,'SegEnds_Xtal_Prot#'!B:B, 0)), "NoXtal", "Xtal")</f>
        <v>NoXtal</v>
      </c>
      <c r="AP243" s="3">
        <f t="shared" si="120"/>
        <v>1</v>
      </c>
      <c r="AQ243" s="3">
        <f t="shared" si="121"/>
        <v>1</v>
      </c>
      <c r="AR243" s="3" t="str">
        <f t="shared" si="122"/>
        <v>-</v>
      </c>
      <c r="AS243" s="3" t="str">
        <f t="shared" si="123"/>
        <v>-</v>
      </c>
      <c r="AT243" s="3">
        <f t="shared" si="124"/>
        <v>3</v>
      </c>
      <c r="AU243" s="3">
        <f t="shared" si="125"/>
        <v>1</v>
      </c>
      <c r="AV243" s="3" t="str">
        <f t="shared" si="126"/>
        <v>-</v>
      </c>
      <c r="AW243" s="3" t="str">
        <f t="shared" si="127"/>
        <v>-</v>
      </c>
      <c r="AX243" s="3">
        <f t="shared" si="128"/>
        <v>7</v>
      </c>
      <c r="AY243" s="3">
        <f t="shared" si="129"/>
        <v>5</v>
      </c>
      <c r="AZ243" s="3">
        <f t="shared" si="130"/>
        <v>1</v>
      </c>
      <c r="BA243" s="3">
        <f>IF(ISERROR(LEN(VLOOKUP(A243,Seqs!A:E,2,FALSE))-AL243),"-",LEN(VLOOKUP(A243,Seqs!A:E,2,FALSE))-AL243)</f>
        <v>0</v>
      </c>
      <c r="BB243" s="16">
        <f t="shared" si="131"/>
        <v>31</v>
      </c>
      <c r="BC243" s="9">
        <f t="shared" si="132"/>
        <v>20</v>
      </c>
      <c r="BD243" s="3">
        <f t="shared" si="133"/>
        <v>31</v>
      </c>
      <c r="BE243" s="3">
        <f t="shared" si="134"/>
        <v>50</v>
      </c>
      <c r="BF243" s="3">
        <f t="shared" si="147"/>
        <v>35</v>
      </c>
    </row>
    <row r="244" spans="1:58" s="3" customFormat="1" x14ac:dyDescent="0.2">
      <c r="A244" s="3" t="s">
        <v>460</v>
      </c>
      <c r="B244" s="3" t="str">
        <f>LOWER(VLOOKUP(A244,Xtal_Templ!A:B,2,FALSE))</f>
        <v>acm2_human</v>
      </c>
      <c r="C244" s="3">
        <f>VLOOKUP($A244,'SegEnds_NonXtal_BW#'!$A:$Z,3,FALSE)+D244-50</f>
        <v>6</v>
      </c>
      <c r="D244" s="3">
        <v>24</v>
      </c>
      <c r="E244" s="3">
        <f t="shared" si="148"/>
        <v>36</v>
      </c>
      <c r="F244" s="3">
        <f t="shared" si="149"/>
        <v>37</v>
      </c>
      <c r="G244" s="3">
        <v>39</v>
      </c>
      <c r="H244" s="3">
        <f t="shared" si="150"/>
        <v>40</v>
      </c>
      <c r="I244" s="3">
        <f t="shared" si="150"/>
        <v>41</v>
      </c>
      <c r="J244" s="3">
        <v>55</v>
      </c>
      <c r="K244" s="3">
        <f>VLOOKUP($A244,'SegEnds_NonXtal_BW#'!$A:$Z,8,FALSE)+VLOOKUP($A244,A:AL,10,FALSE)-50</f>
        <v>71</v>
      </c>
      <c r="L244" s="3" t="str">
        <f>IF(ISERROR(VLOOKUP($A244,'SegEnds_NonXtal_BW#'!$A:$Z,9,FALSE)+VLOOKUP($A244,A:AL,13,FALSE)-50),"-",(VLOOKUP($A244,'SegEnds_NonXtal_BW#'!$A:$Z,9,FALSE)+VLOOKUP($A244,A:AL,13,FALSE)-50))</f>
        <v>-</v>
      </c>
      <c r="M244" s="3" t="s">
        <v>23</v>
      </c>
      <c r="N244" s="3" t="str">
        <f>IF(ISERROR(VLOOKUP($A244,'SegEnds_NonXtal_BW#'!$A:$Z,10,FALSE)+VLOOKUP($A244,A:AL,13,FALSE)-50),"-",(VLOOKUP($A244,'SegEnds_NonXtal_BW#'!$A:$Z,10,FALSE)+VLOOKUP($A244,A:AL,13,FALSE)-50))</f>
        <v>-</v>
      </c>
      <c r="O244" s="3">
        <f>VLOOKUP($A244,'SegEnds_NonXtal_BW#'!$A:$Z,11,FALSE)+VLOOKUP($A244,A:AL,16,FALSE)-50</f>
        <v>77</v>
      </c>
      <c r="P244" s="3">
        <v>106</v>
      </c>
      <c r="Q244" s="3">
        <f>VLOOKUP($A244,'SegEnds_NonXtal_BW#'!$A:$Z,12,FALSE)+VLOOKUP($A244,A:AL,16,FALSE)-50</f>
        <v>112</v>
      </c>
      <c r="R244" s="3">
        <f t="shared" si="151"/>
        <v>115</v>
      </c>
      <c r="S244" s="3">
        <v>115</v>
      </c>
      <c r="T244" s="103">
        <f t="shared" si="152"/>
        <v>122</v>
      </c>
      <c r="U244" s="9">
        <f>IF(ISERROR(VLOOKUP($A244,'SegEnds_NonXtal_BW#'!$A:$Z,15,FALSE)+VLOOKUP($A244,A:AL,22,FALSE)-50),"-",VLOOKUP($A244,'SegEnds_NonXtal_BW#'!$A:$Z,15,FALSE)+VLOOKUP($A244,A:AL,22,FALSE)-50)</f>
        <v>123</v>
      </c>
      <c r="V244" s="3">
        <v>135</v>
      </c>
      <c r="W244" s="3">
        <f>IF(ISERROR(VLOOKUP($A244,'SegEnds_NonXtal_BW#'!$A:$Z,16,FALSE)+VLOOKUP($A244,A:AL,22,FALSE)-50),"-",(VLOOKUP($A244,'SegEnds_NonXtal_BW#'!$A:$Z,16,FALSE)+VLOOKUP($A244,A:AL,22,FALSE)-50))</f>
        <v>154</v>
      </c>
      <c r="X244" s="3" t="str">
        <f>IF(ISERROR(VLOOKUP($A244,'SegEnds_NonXtal_BW#'!$A:$Z,17,FALSE)+VLOOKUP($A244,A:AL,25,FALSE)-50),"-",(VLOOKUP($A244,'SegEnds_NonXtal_BW#'!$A:$Z,17,FALSE)+VLOOKUP($A244,A:AL,25,FALSE)-50))</f>
        <v>-</v>
      </c>
      <c r="Y244" s="3" t="s">
        <v>23</v>
      </c>
      <c r="Z244" s="3" t="str">
        <f>IF(ISERROR(VLOOKUP($A244,'SegEnds_NonXtal_BW#'!$A:$Z,18,FALSE)+VLOOKUP($A244,A:AL,25,FALSE)-50),"-",(VLOOKUP($A244,'SegEnds_NonXtal_BW#'!$A:$Z,18,FALSE)+VLOOKUP($A244,A:AL,25,FALSE)-50))</f>
        <v>-</v>
      </c>
      <c r="AA244" s="3">
        <f>IF(ISERROR(VLOOKUP($A244,'SegEnds_NonXtal_BW#'!$A:$Z,19,FALSE)+VLOOKUP($A244,A:AL,28,FALSE)-50),"-",(VLOOKUP($A244,'SegEnds_NonXtal_BW#'!$A:$Z,19,FALSE)+VLOOKUP($A244,A:AL,28,FALSE)-50))</f>
        <v>169</v>
      </c>
      <c r="AB244" s="3">
        <v>187</v>
      </c>
      <c r="AC244" s="3">
        <f>IF(ISERROR((VLOOKUP($A244,'SegEnds_NonXtal_BW#'!$A:$Z,20,FALSE)+VLOOKUP($A244,A:AL,28,FALSE)-50)),"-",(VLOOKUP($A244,'SegEnds_NonXtal_BW#'!$A:$Z,20,FALSE)+VLOOKUP($A244,A:AL,28,FALSE)-50))</f>
        <v>209</v>
      </c>
      <c r="AD244" s="3">
        <f>IF(ISERROR(VLOOKUP($A244,'SegEnds_NonXtal_BW#'!$A:$Z,21,FALSE)+VLOOKUP($A244,A:AL,31,FALSE)-50),"-",(VLOOKUP($A244,'SegEnds_NonXtal_BW#'!$A:$Z,21,FALSE)+VLOOKUP($A244,A:AL,31,FALSE)-50))</f>
        <v>219</v>
      </c>
      <c r="AE244" s="3">
        <v>240</v>
      </c>
      <c r="AF244" s="3">
        <f>IF(ISERROR((VLOOKUP($A244,'SegEnds_NonXtal_BW#'!$A:$Z,22,FALSE)+VLOOKUP($A244,A:AL,31,FALSE)-50)),"-",(VLOOKUP($A244,'SegEnds_NonXtal_BW#'!$A:$Z,22,FALSE)+VLOOKUP($A244,A:AL,31,FALSE)-50))</f>
        <v>251</v>
      </c>
      <c r="AG244" s="3">
        <f>IF(ISERROR(VLOOKUP($A244,'SegEnds_NonXtal_BW#'!$A:$Z,23,FALSE)+VLOOKUP($A244,A:AL,34,FALSE)-50),"-",(VLOOKUP($A244,'SegEnds_NonXtal_BW#'!$A:$Z,23,FALSE)+VLOOKUP($A244,A:AL,34,FALSE)-50))</f>
        <v>257</v>
      </c>
      <c r="AH244" s="3">
        <v>276</v>
      </c>
      <c r="AI244" s="3">
        <f>IF(ISERROR((VLOOKUP($A244,'SegEnds_NonXtal_BW#'!$A:$Z,24,FALSE)+VLOOKUP($A244,A:AL,34,FALSE)-50)),"-",(VLOOKUP($A244,'SegEnds_NonXtal_BW#'!$A:$Z,24,FALSE)+VLOOKUP($A244,A:AL,34,FALSE)-50))</f>
        <v>282</v>
      </c>
      <c r="AJ244" s="3">
        <f>IF(ISERROR(VLOOKUP($A244,'SegEnds_NonXtal_BW#'!$A:$Z,25,FALSE)+VLOOKUP($A244,A:AL,37,FALSE)-50),"-",(VLOOKUP($A244,'SegEnds_NonXtal_BW#'!$A:$Z,25,FALSE)+VLOOKUP($A244,A:AL,37,FALSE)-50))</f>
        <v>283</v>
      </c>
      <c r="AK244" s="3">
        <v>286</v>
      </c>
      <c r="AL244" s="3">
        <f>IF(ISERROR((VLOOKUP($A244,'SegEnds_NonXtal_BW#'!$A:$Z,26,FALSE)+VLOOKUP($A244,A:AL,37,FALSE)-50)),"-",(VLOOKUP($A244,'SegEnds_NonXtal_BW#'!$A:$Z,26,FALSE)+VLOOKUP($A244,A:AL,37,FALSE)-50))</f>
        <v>296</v>
      </c>
      <c r="AM244" s="28" t="str">
        <f>VLOOKUP(A244,Classification!A:B,2,FALSE)</f>
        <v>T</v>
      </c>
      <c r="AN244" s="28" t="b">
        <f t="shared" si="135"/>
        <v>1</v>
      </c>
      <c r="AO244" s="3" t="str">
        <f>IF(ISERROR(MATCH(A244,'SegEnds_Xtal_Prot#'!B:B, 0)), "NoXtal", "Xtal")</f>
        <v>NoXtal</v>
      </c>
      <c r="AP244" s="3">
        <f t="shared" si="120"/>
        <v>1</v>
      </c>
      <c r="AQ244" s="3">
        <f t="shared" si="121"/>
        <v>1</v>
      </c>
      <c r="AR244" s="3" t="str">
        <f t="shared" si="122"/>
        <v>-</v>
      </c>
      <c r="AS244" s="3" t="str">
        <f t="shared" si="123"/>
        <v>-</v>
      </c>
      <c r="AT244" s="3">
        <f t="shared" si="124"/>
        <v>3</v>
      </c>
      <c r="AU244" s="3">
        <f t="shared" si="125"/>
        <v>1</v>
      </c>
      <c r="AV244" s="3" t="str">
        <f t="shared" si="126"/>
        <v>-</v>
      </c>
      <c r="AW244" s="3" t="str">
        <f t="shared" si="127"/>
        <v>-</v>
      </c>
      <c r="AX244" s="3">
        <f t="shared" si="128"/>
        <v>10</v>
      </c>
      <c r="AY244" s="3">
        <f t="shared" si="129"/>
        <v>6</v>
      </c>
      <c r="AZ244" s="3">
        <f t="shared" si="130"/>
        <v>1</v>
      </c>
      <c r="BA244" s="3">
        <f>IF(ISERROR(LEN(VLOOKUP(A244,Seqs!A:E,2,FALSE))-AL244),"-",LEN(VLOOKUP(A244,Seqs!A:E,2,FALSE))-AL244)</f>
        <v>3</v>
      </c>
      <c r="BB244" s="16">
        <f t="shared" si="131"/>
        <v>31</v>
      </c>
      <c r="BC244" s="9">
        <f t="shared" si="132"/>
        <v>20</v>
      </c>
      <c r="BD244" s="3">
        <f t="shared" si="133"/>
        <v>31</v>
      </c>
      <c r="BE244" s="3">
        <f t="shared" si="134"/>
        <v>53</v>
      </c>
      <c r="BF244" s="3">
        <f t="shared" si="147"/>
        <v>36</v>
      </c>
    </row>
    <row r="245" spans="1:58" s="3" customFormat="1" x14ac:dyDescent="0.2">
      <c r="A245" s="3" t="s">
        <v>461</v>
      </c>
      <c r="B245" s="3" t="str">
        <f>LOWER(VLOOKUP(A245,Xtal_Templ!A:B,2,FALSE))</f>
        <v>5ht2b_human</v>
      </c>
      <c r="C245" s="3">
        <f>VLOOKUP($A245,'SegEnds_NonXtal_BW#'!$A:$Z,3,FALSE)+D245-50</f>
        <v>6</v>
      </c>
      <c r="D245" s="3">
        <v>24</v>
      </c>
      <c r="E245" s="3">
        <f t="shared" si="148"/>
        <v>36</v>
      </c>
      <c r="F245" s="3">
        <f t="shared" si="149"/>
        <v>37</v>
      </c>
      <c r="G245" s="3">
        <v>39</v>
      </c>
      <c r="H245" s="3">
        <f t="shared" si="150"/>
        <v>40</v>
      </c>
      <c r="I245" s="3">
        <f t="shared" si="150"/>
        <v>41</v>
      </c>
      <c r="J245" s="3">
        <v>55</v>
      </c>
      <c r="K245" s="3">
        <f>VLOOKUP($A245,'SegEnds_NonXtal_BW#'!$A:$Z,8,FALSE)+VLOOKUP($A245,A:AL,10,FALSE)-50</f>
        <v>71</v>
      </c>
      <c r="L245" s="3" t="str">
        <f>IF(ISERROR(VLOOKUP($A245,'SegEnds_NonXtal_BW#'!$A:$Z,9,FALSE)+VLOOKUP($A245,A:AL,13,FALSE)-50),"-",(VLOOKUP($A245,'SegEnds_NonXtal_BW#'!$A:$Z,9,FALSE)+VLOOKUP($A245,A:AL,13,FALSE)-50))</f>
        <v>-</v>
      </c>
      <c r="M245" s="3" t="s">
        <v>23</v>
      </c>
      <c r="N245" s="3" t="str">
        <f>IF(ISERROR(VLOOKUP($A245,'SegEnds_NonXtal_BW#'!$A:$Z,10,FALSE)+VLOOKUP($A245,A:AL,13,FALSE)-50),"-",(VLOOKUP($A245,'SegEnds_NonXtal_BW#'!$A:$Z,10,FALSE)+VLOOKUP($A245,A:AL,13,FALSE)-50))</f>
        <v>-</v>
      </c>
      <c r="O245" s="3">
        <f>VLOOKUP($A245,'SegEnds_NonXtal_BW#'!$A:$Z,11,FALSE)+VLOOKUP($A245,A:AL,16,FALSE)-50</f>
        <v>77</v>
      </c>
      <c r="P245" s="3">
        <v>106</v>
      </c>
      <c r="Q245" s="3">
        <f>VLOOKUP($A245,'SegEnds_NonXtal_BW#'!$A:$Z,12,FALSE)+VLOOKUP($A245,A:AL,16,FALSE)-50</f>
        <v>112</v>
      </c>
      <c r="R245" s="3">
        <f t="shared" si="151"/>
        <v>115</v>
      </c>
      <c r="S245" s="3">
        <v>115</v>
      </c>
      <c r="T245" s="103">
        <f t="shared" si="152"/>
        <v>122</v>
      </c>
      <c r="U245" s="9">
        <f>IF(ISERROR(VLOOKUP($A245,'SegEnds_NonXtal_BW#'!$A:$Z,15,FALSE)+VLOOKUP($A245,A:AL,22,FALSE)-50),"-",VLOOKUP($A245,'SegEnds_NonXtal_BW#'!$A:$Z,15,FALSE)+VLOOKUP($A245,A:AL,22,FALSE)-50)</f>
        <v>123</v>
      </c>
      <c r="V245" s="3">
        <v>135</v>
      </c>
      <c r="W245" s="3">
        <f>IF(ISERROR(VLOOKUP($A245,'SegEnds_NonXtal_BW#'!$A:$Z,16,FALSE)+VLOOKUP($A245,A:AL,22,FALSE)-50),"-",(VLOOKUP($A245,'SegEnds_NonXtal_BW#'!$A:$Z,16,FALSE)+VLOOKUP($A245,A:AL,22,FALSE)-50))</f>
        <v>149</v>
      </c>
      <c r="X245" s="3" t="str">
        <f>IF(ISERROR(VLOOKUP($A245,'SegEnds_NonXtal_BW#'!$A:$Z,17,FALSE)+VLOOKUP($A245,A:AL,25,FALSE)-50),"-",(VLOOKUP($A245,'SegEnds_NonXtal_BW#'!$A:$Z,17,FALSE)+VLOOKUP($A245,A:AL,25,FALSE)-50))</f>
        <v>-</v>
      </c>
      <c r="Y245" s="3" t="s">
        <v>23</v>
      </c>
      <c r="Z245" s="3" t="str">
        <f>IF(ISERROR(VLOOKUP($A245,'SegEnds_NonXtal_BW#'!$A:$Z,18,FALSE)+VLOOKUP($A245,A:AL,25,FALSE)-50),"-",(VLOOKUP($A245,'SegEnds_NonXtal_BW#'!$A:$Z,18,FALSE)+VLOOKUP($A245,A:AL,25,FALSE)-50))</f>
        <v>-</v>
      </c>
      <c r="AA245" s="3">
        <f>IF(ISERROR(VLOOKUP($A245,'SegEnds_NonXtal_BW#'!$A:$Z,19,FALSE)+VLOOKUP($A245,A:AL,28,FALSE)-50),"-",(VLOOKUP($A245,'SegEnds_NonXtal_BW#'!$A:$Z,19,FALSE)+VLOOKUP($A245,A:AL,28,FALSE)-50))</f>
        <v>169</v>
      </c>
      <c r="AB245" s="3">
        <v>187</v>
      </c>
      <c r="AC245" s="3">
        <f>IF(ISERROR((VLOOKUP($A245,'SegEnds_NonXtal_BW#'!$A:$Z,20,FALSE)+VLOOKUP($A245,A:AL,28,FALSE)-50)),"-",(VLOOKUP($A245,'SegEnds_NonXtal_BW#'!$A:$Z,20,FALSE)+VLOOKUP($A245,A:AL,28,FALSE)-50))</f>
        <v>209</v>
      </c>
      <c r="AD245" s="3">
        <f>IF(ISERROR(VLOOKUP($A245,'SegEnds_NonXtal_BW#'!$A:$Z,21,FALSE)+VLOOKUP($A245,A:AL,31,FALSE)-50),"-",(VLOOKUP($A245,'SegEnds_NonXtal_BW#'!$A:$Z,21,FALSE)+VLOOKUP($A245,A:AL,31,FALSE)-50))</f>
        <v>219</v>
      </c>
      <c r="AE245" s="3">
        <v>240</v>
      </c>
      <c r="AF245" s="3">
        <f>IF(ISERROR((VLOOKUP($A245,'SegEnds_NonXtal_BW#'!$A:$Z,22,FALSE)+VLOOKUP($A245,A:AL,31,FALSE)-50)),"-",(VLOOKUP($A245,'SegEnds_NonXtal_BW#'!$A:$Z,22,FALSE)+VLOOKUP($A245,A:AL,31,FALSE)-50))</f>
        <v>251</v>
      </c>
      <c r="AG245" s="3">
        <f>IF(ISERROR(VLOOKUP($A245,'SegEnds_NonXtal_BW#'!$A:$Z,23,FALSE)+VLOOKUP($A245,A:AL,34,FALSE)-50),"-",(VLOOKUP($A245,'SegEnds_NonXtal_BW#'!$A:$Z,23,FALSE)+VLOOKUP($A245,A:AL,34,FALSE)-50))</f>
        <v>257</v>
      </c>
      <c r="AH245" s="3">
        <v>276</v>
      </c>
      <c r="AI245" s="3">
        <f>IF(ISERROR((VLOOKUP($A245,'SegEnds_NonXtal_BW#'!$A:$Z,24,FALSE)+VLOOKUP($A245,A:AL,34,FALSE)-50)),"-",(VLOOKUP($A245,'SegEnds_NonXtal_BW#'!$A:$Z,24,FALSE)+VLOOKUP($A245,A:AL,34,FALSE)-50))</f>
        <v>282</v>
      </c>
      <c r="AJ245" s="3">
        <f>IF(ISERROR(VLOOKUP($A245,'SegEnds_NonXtal_BW#'!$A:$Z,25,FALSE)+VLOOKUP($A245,A:AL,37,FALSE)-50),"-",(VLOOKUP($A245,'SegEnds_NonXtal_BW#'!$A:$Z,25,FALSE)+VLOOKUP($A245,A:AL,37,FALSE)-50))</f>
        <v>283</v>
      </c>
      <c r="AK245" s="3">
        <v>286</v>
      </c>
      <c r="AL245" s="3">
        <f>IF(ISERROR((VLOOKUP($A245,'SegEnds_NonXtal_BW#'!$A:$Z,26,FALSE)+VLOOKUP($A245,A:AL,37,FALSE)-50)),"-",(VLOOKUP($A245,'SegEnds_NonXtal_BW#'!$A:$Z,26,FALSE)+VLOOKUP($A245,A:AL,37,FALSE)-50))</f>
        <v>296</v>
      </c>
      <c r="AM245" s="28" t="str">
        <f>VLOOKUP(A245,Classification!A:B,2,FALSE)</f>
        <v>T</v>
      </c>
      <c r="AN245" s="28" t="b">
        <f t="shared" si="135"/>
        <v>1</v>
      </c>
      <c r="AO245" s="3" t="str">
        <f>IF(ISERROR(MATCH(A245,'SegEnds_Xtal_Prot#'!B:B, 0)), "NoXtal", "Xtal")</f>
        <v>NoXtal</v>
      </c>
      <c r="AP245" s="3">
        <f t="shared" si="120"/>
        <v>1</v>
      </c>
      <c r="AQ245" s="3">
        <f t="shared" si="121"/>
        <v>1</v>
      </c>
      <c r="AR245" s="3" t="str">
        <f t="shared" si="122"/>
        <v>-</v>
      </c>
      <c r="AS245" s="3" t="str">
        <f t="shared" si="123"/>
        <v>-</v>
      </c>
      <c r="AT245" s="3">
        <f t="shared" si="124"/>
        <v>3</v>
      </c>
      <c r="AU245" s="3">
        <f t="shared" si="125"/>
        <v>1</v>
      </c>
      <c r="AV245" s="3" t="str">
        <f t="shared" si="126"/>
        <v>-</v>
      </c>
      <c r="AW245" s="3" t="str">
        <f t="shared" si="127"/>
        <v>-</v>
      </c>
      <c r="AX245" s="3">
        <f t="shared" si="128"/>
        <v>10</v>
      </c>
      <c r="AY245" s="3">
        <f t="shared" si="129"/>
        <v>6</v>
      </c>
      <c r="AZ245" s="3">
        <f t="shared" si="130"/>
        <v>1</v>
      </c>
      <c r="BA245" s="3">
        <f>IF(ISERROR(LEN(VLOOKUP(A245,Seqs!A:E,2,FALSE))-AL245),"-",LEN(VLOOKUP(A245,Seqs!A:E,2,FALSE))-AL245)</f>
        <v>13</v>
      </c>
      <c r="BB245" s="16">
        <f t="shared" si="131"/>
        <v>31</v>
      </c>
      <c r="BC245" s="9">
        <f t="shared" si="132"/>
        <v>20</v>
      </c>
      <c r="BD245" s="3">
        <f t="shared" si="133"/>
        <v>31</v>
      </c>
      <c r="BE245" s="3">
        <f t="shared" si="134"/>
        <v>53</v>
      </c>
      <c r="BF245" s="3">
        <f t="shared" si="147"/>
        <v>36</v>
      </c>
    </row>
    <row r="246" spans="1:58" s="3" customFormat="1" x14ac:dyDescent="0.2">
      <c r="A246" s="3" t="s">
        <v>462</v>
      </c>
      <c r="B246" s="3" t="str">
        <f>LOWER(VLOOKUP(A246,Xtal_Templ!A:B,2,FALSE))</f>
        <v>5ht2b_human</v>
      </c>
      <c r="C246" s="3">
        <f>VLOOKUP($A246,'SegEnds_NonXtal_BW#'!$A:$Z,3,FALSE)+D246-50</f>
        <v>6</v>
      </c>
      <c r="D246" s="3">
        <v>24</v>
      </c>
      <c r="E246" s="3">
        <f t="shared" si="148"/>
        <v>36</v>
      </c>
      <c r="F246" s="3">
        <f t="shared" si="149"/>
        <v>37</v>
      </c>
      <c r="G246" s="3">
        <v>39</v>
      </c>
      <c r="H246" s="3">
        <f t="shared" si="150"/>
        <v>40</v>
      </c>
      <c r="I246" s="3">
        <f t="shared" si="150"/>
        <v>41</v>
      </c>
      <c r="J246" s="3">
        <v>55</v>
      </c>
      <c r="K246" s="3">
        <f>VLOOKUP($A246,'SegEnds_NonXtal_BW#'!$A:$Z,8,FALSE)+VLOOKUP($A246,A:AL,10,FALSE)-50</f>
        <v>71</v>
      </c>
      <c r="L246" s="3" t="str">
        <f>IF(ISERROR(VLOOKUP($A246,'SegEnds_NonXtal_BW#'!$A:$Z,9,FALSE)+VLOOKUP($A246,A:AL,13,FALSE)-50),"-",(VLOOKUP($A246,'SegEnds_NonXtal_BW#'!$A:$Z,9,FALSE)+VLOOKUP($A246,A:AL,13,FALSE)-50))</f>
        <v>-</v>
      </c>
      <c r="M246" s="3" t="s">
        <v>23</v>
      </c>
      <c r="N246" s="3" t="str">
        <f>IF(ISERROR(VLOOKUP($A246,'SegEnds_NonXtal_BW#'!$A:$Z,10,FALSE)+VLOOKUP($A246,A:AL,13,FALSE)-50),"-",(VLOOKUP($A246,'SegEnds_NonXtal_BW#'!$A:$Z,10,FALSE)+VLOOKUP($A246,A:AL,13,FALSE)-50))</f>
        <v>-</v>
      </c>
      <c r="O246" s="3">
        <f>VLOOKUP($A246,'SegEnds_NonXtal_BW#'!$A:$Z,11,FALSE)+VLOOKUP($A246,A:AL,16,FALSE)-50</f>
        <v>77</v>
      </c>
      <c r="P246" s="3">
        <v>106</v>
      </c>
      <c r="Q246" s="3">
        <f>VLOOKUP($A246,'SegEnds_NonXtal_BW#'!$A:$Z,12,FALSE)+VLOOKUP($A246,A:AL,16,FALSE)-50</f>
        <v>112</v>
      </c>
      <c r="R246" s="3">
        <f t="shared" si="151"/>
        <v>115</v>
      </c>
      <c r="S246" s="3">
        <v>115</v>
      </c>
      <c r="T246" s="103">
        <f t="shared" si="152"/>
        <v>122</v>
      </c>
      <c r="U246" s="9">
        <f>IF(ISERROR(VLOOKUP($A246,'SegEnds_NonXtal_BW#'!$A:$Z,15,FALSE)+VLOOKUP($A246,A:AL,22,FALSE)-50),"-",VLOOKUP($A246,'SegEnds_NonXtal_BW#'!$A:$Z,15,FALSE)+VLOOKUP($A246,A:AL,22,FALSE)-50)</f>
        <v>123</v>
      </c>
      <c r="V246" s="3">
        <v>135</v>
      </c>
      <c r="W246" s="3">
        <f>IF(ISERROR(VLOOKUP($A246,'SegEnds_NonXtal_BW#'!$A:$Z,16,FALSE)+VLOOKUP($A246,A:AL,22,FALSE)-50),"-",(VLOOKUP($A246,'SegEnds_NonXtal_BW#'!$A:$Z,16,FALSE)+VLOOKUP($A246,A:AL,22,FALSE)-50))</f>
        <v>149</v>
      </c>
      <c r="X246" s="3" t="str">
        <f>IF(ISERROR(VLOOKUP($A246,'SegEnds_NonXtal_BW#'!$A:$Z,17,FALSE)+VLOOKUP($A246,A:AL,25,FALSE)-50),"-",(VLOOKUP($A246,'SegEnds_NonXtal_BW#'!$A:$Z,17,FALSE)+VLOOKUP($A246,A:AL,25,FALSE)-50))</f>
        <v>-</v>
      </c>
      <c r="Y246" s="3" t="s">
        <v>23</v>
      </c>
      <c r="Z246" s="3" t="str">
        <f>IF(ISERROR(VLOOKUP($A246,'SegEnds_NonXtal_BW#'!$A:$Z,18,FALSE)+VLOOKUP($A246,A:AL,25,FALSE)-50),"-",(VLOOKUP($A246,'SegEnds_NonXtal_BW#'!$A:$Z,18,FALSE)+VLOOKUP($A246,A:AL,25,FALSE)-50))</f>
        <v>-</v>
      </c>
      <c r="AA246" s="3">
        <f>IF(ISERROR(VLOOKUP($A246,'SegEnds_NonXtal_BW#'!$A:$Z,19,FALSE)+VLOOKUP($A246,A:AL,28,FALSE)-50),"-",(VLOOKUP($A246,'SegEnds_NonXtal_BW#'!$A:$Z,19,FALSE)+VLOOKUP($A246,A:AL,28,FALSE)-50))</f>
        <v>169</v>
      </c>
      <c r="AB246" s="3">
        <v>187</v>
      </c>
      <c r="AC246" s="3">
        <f>IF(ISERROR((VLOOKUP($A246,'SegEnds_NonXtal_BW#'!$A:$Z,20,FALSE)+VLOOKUP($A246,A:AL,28,FALSE)-50)),"-",(VLOOKUP($A246,'SegEnds_NonXtal_BW#'!$A:$Z,20,FALSE)+VLOOKUP($A246,A:AL,28,FALSE)-50))</f>
        <v>209</v>
      </c>
      <c r="AD246" s="3">
        <f>IF(ISERROR(VLOOKUP($A246,'SegEnds_NonXtal_BW#'!$A:$Z,21,FALSE)+VLOOKUP($A246,A:AL,31,FALSE)-50),"-",(VLOOKUP($A246,'SegEnds_NonXtal_BW#'!$A:$Z,21,FALSE)+VLOOKUP($A246,A:AL,31,FALSE)-50))</f>
        <v>219</v>
      </c>
      <c r="AE246" s="3">
        <v>240</v>
      </c>
      <c r="AF246" s="3">
        <f>IF(ISERROR((VLOOKUP($A246,'SegEnds_NonXtal_BW#'!$A:$Z,22,FALSE)+VLOOKUP($A246,A:AL,31,FALSE)-50)),"-",(VLOOKUP($A246,'SegEnds_NonXtal_BW#'!$A:$Z,22,FALSE)+VLOOKUP($A246,A:AL,31,FALSE)-50))</f>
        <v>251</v>
      </c>
      <c r="AG246" s="3">
        <f>IF(ISERROR(VLOOKUP($A246,'SegEnds_NonXtal_BW#'!$A:$Z,23,FALSE)+VLOOKUP($A246,A:AL,34,FALSE)-50),"-",(VLOOKUP($A246,'SegEnds_NonXtal_BW#'!$A:$Z,23,FALSE)+VLOOKUP($A246,A:AL,34,FALSE)-50))</f>
        <v>257</v>
      </c>
      <c r="AH246" s="3">
        <v>276</v>
      </c>
      <c r="AI246" s="3">
        <f>IF(ISERROR((VLOOKUP($A246,'SegEnds_NonXtal_BW#'!$A:$Z,24,FALSE)+VLOOKUP($A246,A:AL,34,FALSE)-50)),"-",(VLOOKUP($A246,'SegEnds_NonXtal_BW#'!$A:$Z,24,FALSE)+VLOOKUP($A246,A:AL,34,FALSE)-50))</f>
        <v>282</v>
      </c>
      <c r="AJ246" s="3">
        <f>IF(ISERROR(VLOOKUP($A246,'SegEnds_NonXtal_BW#'!$A:$Z,25,FALSE)+VLOOKUP($A246,A:AL,37,FALSE)-50),"-",(VLOOKUP($A246,'SegEnds_NonXtal_BW#'!$A:$Z,25,FALSE)+VLOOKUP($A246,A:AL,37,FALSE)-50))</f>
        <v>283</v>
      </c>
      <c r="AK246" s="3">
        <v>286</v>
      </c>
      <c r="AL246" s="3">
        <f>IF(ISERROR((VLOOKUP($A246,'SegEnds_NonXtal_BW#'!$A:$Z,26,FALSE)+VLOOKUP($A246,A:AL,37,FALSE)-50)),"-",(VLOOKUP($A246,'SegEnds_NonXtal_BW#'!$A:$Z,26,FALSE)+VLOOKUP($A246,A:AL,37,FALSE)-50))</f>
        <v>296</v>
      </c>
      <c r="AM246" s="28" t="str">
        <f>VLOOKUP(A246,Classification!A:B,2,FALSE)</f>
        <v>T</v>
      </c>
      <c r="AN246" s="28" t="b">
        <f t="shared" si="135"/>
        <v>1</v>
      </c>
      <c r="AO246" s="3" t="str">
        <f>IF(ISERROR(MATCH(A246,'SegEnds_Xtal_Prot#'!B:B, 0)), "NoXtal", "Xtal")</f>
        <v>NoXtal</v>
      </c>
      <c r="AP246" s="3">
        <f t="shared" si="120"/>
        <v>1</v>
      </c>
      <c r="AQ246" s="3">
        <f t="shared" si="121"/>
        <v>1</v>
      </c>
      <c r="AR246" s="3" t="str">
        <f t="shared" si="122"/>
        <v>-</v>
      </c>
      <c r="AS246" s="3" t="str">
        <f t="shared" si="123"/>
        <v>-</v>
      </c>
      <c r="AT246" s="3">
        <f t="shared" si="124"/>
        <v>3</v>
      </c>
      <c r="AU246" s="3">
        <f t="shared" si="125"/>
        <v>1</v>
      </c>
      <c r="AV246" s="3" t="str">
        <f t="shared" si="126"/>
        <v>-</v>
      </c>
      <c r="AW246" s="3" t="str">
        <f t="shared" si="127"/>
        <v>-</v>
      </c>
      <c r="AX246" s="3">
        <f t="shared" si="128"/>
        <v>10</v>
      </c>
      <c r="AY246" s="3">
        <f t="shared" si="129"/>
        <v>6</v>
      </c>
      <c r="AZ246" s="3">
        <f t="shared" si="130"/>
        <v>1</v>
      </c>
      <c r="BA246" s="3">
        <f>IF(ISERROR(LEN(VLOOKUP(A246,Seqs!A:E,2,FALSE))-AL246),"-",LEN(VLOOKUP(A246,Seqs!A:E,2,FALSE))-AL246)</f>
        <v>23</v>
      </c>
      <c r="BB246" s="16">
        <f t="shared" si="131"/>
        <v>31</v>
      </c>
      <c r="BC246" s="9">
        <f t="shared" si="132"/>
        <v>20</v>
      </c>
      <c r="BD246" s="3">
        <f t="shared" si="133"/>
        <v>31</v>
      </c>
      <c r="BE246" s="3">
        <f t="shared" si="134"/>
        <v>53</v>
      </c>
      <c r="BF246" s="3">
        <f t="shared" si="147"/>
        <v>36</v>
      </c>
    </row>
    <row r="247" spans="1:58" s="3" customFormat="1" x14ac:dyDescent="0.2">
      <c r="A247" s="3" t="s">
        <v>463</v>
      </c>
      <c r="B247" s="3" t="str">
        <f>LOWER(VLOOKUP(A247,Xtal_Templ!A:B,2,FALSE))</f>
        <v>agtr1_human</v>
      </c>
      <c r="C247" s="3">
        <f>VLOOKUP($A247,'SegEnds_NonXtal_BW#'!$A:$Z,3,FALSE)+D247-50</f>
        <v>6</v>
      </c>
      <c r="D247" s="3">
        <v>24</v>
      </c>
      <c r="E247" s="3">
        <f t="shared" si="148"/>
        <v>36</v>
      </c>
      <c r="F247" s="3">
        <f t="shared" si="149"/>
        <v>37</v>
      </c>
      <c r="G247" s="3">
        <v>39</v>
      </c>
      <c r="H247" s="3">
        <f t="shared" si="150"/>
        <v>40</v>
      </c>
      <c r="I247" s="3">
        <f t="shared" si="150"/>
        <v>41</v>
      </c>
      <c r="J247" s="3">
        <v>55</v>
      </c>
      <c r="K247" s="3">
        <f>VLOOKUP($A247,'SegEnds_NonXtal_BW#'!$A:$Z,8,FALSE)+VLOOKUP($A247,A:AL,10,FALSE)-50</f>
        <v>71</v>
      </c>
      <c r="L247" s="3" t="str">
        <f>IF(ISERROR(VLOOKUP($A247,'SegEnds_NonXtal_BW#'!$A:$Z,9,FALSE)+VLOOKUP($A247,A:AL,13,FALSE)-50),"-",(VLOOKUP($A247,'SegEnds_NonXtal_BW#'!$A:$Z,9,FALSE)+VLOOKUP($A247,A:AL,13,FALSE)-50))</f>
        <v>-</v>
      </c>
      <c r="M247" s="3" t="s">
        <v>23</v>
      </c>
      <c r="N247" s="3" t="str">
        <f>IF(ISERROR(VLOOKUP($A247,'SegEnds_NonXtal_BW#'!$A:$Z,10,FALSE)+VLOOKUP($A247,A:AL,13,FALSE)-50),"-",(VLOOKUP($A247,'SegEnds_NonXtal_BW#'!$A:$Z,10,FALSE)+VLOOKUP($A247,A:AL,13,FALSE)-50))</f>
        <v>-</v>
      </c>
      <c r="O247" s="3">
        <f>VLOOKUP($A247,'SegEnds_NonXtal_BW#'!$A:$Z,11,FALSE)+VLOOKUP($A247,A:AL,16,FALSE)-50</f>
        <v>77</v>
      </c>
      <c r="P247" s="3">
        <v>106</v>
      </c>
      <c r="Q247" s="3">
        <f>VLOOKUP($A247,'SegEnds_NonXtal_BW#'!$A:$Z,12,FALSE)+VLOOKUP($A247,A:AL,16,FALSE)-50</f>
        <v>112</v>
      </c>
      <c r="R247" s="3">
        <f t="shared" si="151"/>
        <v>115</v>
      </c>
      <c r="S247" s="3">
        <v>115</v>
      </c>
      <c r="T247" s="103">
        <f t="shared" si="152"/>
        <v>122</v>
      </c>
      <c r="U247" s="9">
        <f>IF(ISERROR(VLOOKUP($A247,'SegEnds_NonXtal_BW#'!$A:$Z,15,FALSE)+VLOOKUP($A247,A:AL,22,FALSE)-50),"-",VLOOKUP($A247,'SegEnds_NonXtal_BW#'!$A:$Z,15,FALSE)+VLOOKUP($A247,A:AL,22,FALSE)-50)</f>
        <v>123</v>
      </c>
      <c r="V247" s="3">
        <v>135</v>
      </c>
      <c r="W247" s="3">
        <f>IF(ISERROR(VLOOKUP($A247,'SegEnds_NonXtal_BW#'!$A:$Z,16,FALSE)+VLOOKUP($A247,A:AL,22,FALSE)-50),"-",(VLOOKUP($A247,'SegEnds_NonXtal_BW#'!$A:$Z,16,FALSE)+VLOOKUP($A247,A:AL,22,FALSE)-50))</f>
        <v>149</v>
      </c>
      <c r="X247" s="3" t="str">
        <f>IF(ISERROR(VLOOKUP($A247,'SegEnds_NonXtal_BW#'!$A:$Z,17,FALSE)+VLOOKUP($A247,A:AL,25,FALSE)-50),"-",(VLOOKUP($A247,'SegEnds_NonXtal_BW#'!$A:$Z,17,FALSE)+VLOOKUP($A247,A:AL,25,FALSE)-50))</f>
        <v>-</v>
      </c>
      <c r="Y247" s="3" t="s">
        <v>23</v>
      </c>
      <c r="Z247" s="3" t="str">
        <f>IF(ISERROR(VLOOKUP($A247,'SegEnds_NonXtal_BW#'!$A:$Z,18,FALSE)+VLOOKUP($A247,A:AL,25,FALSE)-50),"-",(VLOOKUP($A247,'SegEnds_NonXtal_BW#'!$A:$Z,18,FALSE)+VLOOKUP($A247,A:AL,25,FALSE)-50))</f>
        <v>-</v>
      </c>
      <c r="AA247" s="3">
        <f>IF(ISERROR(VLOOKUP($A247,'SegEnds_NonXtal_BW#'!$A:$Z,19,FALSE)+VLOOKUP($A247,A:AL,28,FALSE)-50),"-",(VLOOKUP($A247,'SegEnds_NonXtal_BW#'!$A:$Z,19,FALSE)+VLOOKUP($A247,A:AL,28,FALSE)-50))</f>
        <v>169</v>
      </c>
      <c r="AB247" s="3">
        <v>187</v>
      </c>
      <c r="AC247" s="3">
        <f>IF(ISERROR((VLOOKUP($A247,'SegEnds_NonXtal_BW#'!$A:$Z,20,FALSE)+VLOOKUP($A247,A:AL,28,FALSE)-50)),"-",(VLOOKUP($A247,'SegEnds_NonXtal_BW#'!$A:$Z,20,FALSE)+VLOOKUP($A247,A:AL,28,FALSE)-50))</f>
        <v>209</v>
      </c>
      <c r="AD247" s="3">
        <f>IF(ISERROR(VLOOKUP($A247,'SegEnds_NonXtal_BW#'!$A:$Z,21,FALSE)+VLOOKUP($A247,A:AL,31,FALSE)-50),"-",(VLOOKUP($A247,'SegEnds_NonXtal_BW#'!$A:$Z,21,FALSE)+VLOOKUP($A247,A:AL,31,FALSE)-50))</f>
        <v>219</v>
      </c>
      <c r="AE247" s="3">
        <v>240</v>
      </c>
      <c r="AF247" s="3">
        <f>IF(ISERROR((VLOOKUP($A247,'SegEnds_NonXtal_BW#'!$A:$Z,22,FALSE)+VLOOKUP($A247,A:AL,31,FALSE)-50)),"-",(VLOOKUP($A247,'SegEnds_NonXtal_BW#'!$A:$Z,22,FALSE)+VLOOKUP($A247,A:AL,31,FALSE)-50))</f>
        <v>251</v>
      </c>
      <c r="AG247" s="3">
        <f>IF(ISERROR(VLOOKUP($A247,'SegEnds_NonXtal_BW#'!$A:$Z,23,FALSE)+VLOOKUP($A247,A:AL,34,FALSE)-50),"-",(VLOOKUP($A247,'SegEnds_NonXtal_BW#'!$A:$Z,23,FALSE)+VLOOKUP($A247,A:AL,34,FALSE)-50))</f>
        <v>257</v>
      </c>
      <c r="AH247" s="3">
        <v>276</v>
      </c>
      <c r="AI247" s="3">
        <f>IF(ISERROR((VLOOKUP($A247,'SegEnds_NonXtal_BW#'!$A:$Z,24,FALSE)+VLOOKUP($A247,A:AL,34,FALSE)-50)),"-",(VLOOKUP($A247,'SegEnds_NonXtal_BW#'!$A:$Z,24,FALSE)+VLOOKUP($A247,A:AL,34,FALSE)-50))</f>
        <v>282</v>
      </c>
      <c r="AJ247" s="3">
        <f>IF(ISERROR(VLOOKUP($A247,'SegEnds_NonXtal_BW#'!$A:$Z,25,FALSE)+VLOOKUP($A247,A:AL,37,FALSE)-50),"-",(VLOOKUP($A247,'SegEnds_NonXtal_BW#'!$A:$Z,25,FALSE)+VLOOKUP($A247,A:AL,37,FALSE)-50))</f>
        <v>283</v>
      </c>
      <c r="AK247" s="3">
        <v>286</v>
      </c>
      <c r="AL247" s="3">
        <f>IF(ISERROR((VLOOKUP($A247,'SegEnds_NonXtal_BW#'!$A:$Z,26,FALSE)+VLOOKUP($A247,A:AL,37,FALSE)-50)),"-",(VLOOKUP($A247,'SegEnds_NonXtal_BW#'!$A:$Z,26,FALSE)+VLOOKUP($A247,A:AL,37,FALSE)-50))</f>
        <v>296</v>
      </c>
      <c r="AM247" s="28" t="str">
        <f>VLOOKUP(A247,Classification!A:B,2,FALSE)</f>
        <v>T</v>
      </c>
      <c r="AN247" s="28" t="b">
        <f t="shared" si="135"/>
        <v>1</v>
      </c>
      <c r="AO247" s="3" t="str">
        <f>IF(ISERROR(MATCH(A247,'SegEnds_Xtal_Prot#'!B:B, 0)), "NoXtal", "Xtal")</f>
        <v>NoXtal</v>
      </c>
      <c r="AP247" s="3">
        <f t="shared" si="120"/>
        <v>1</v>
      </c>
      <c r="AQ247" s="3">
        <f t="shared" si="121"/>
        <v>1</v>
      </c>
      <c r="AR247" s="3" t="str">
        <f t="shared" si="122"/>
        <v>-</v>
      </c>
      <c r="AS247" s="3" t="str">
        <f t="shared" si="123"/>
        <v>-</v>
      </c>
      <c r="AT247" s="3">
        <f t="shared" si="124"/>
        <v>3</v>
      </c>
      <c r="AU247" s="3">
        <f t="shared" si="125"/>
        <v>1</v>
      </c>
      <c r="AV247" s="3" t="str">
        <f t="shared" si="126"/>
        <v>-</v>
      </c>
      <c r="AW247" s="3" t="str">
        <f t="shared" si="127"/>
        <v>-</v>
      </c>
      <c r="AX247" s="3">
        <f t="shared" si="128"/>
        <v>10</v>
      </c>
      <c r="AY247" s="3">
        <f t="shared" si="129"/>
        <v>6</v>
      </c>
      <c r="AZ247" s="3">
        <f t="shared" si="130"/>
        <v>1</v>
      </c>
      <c r="BA247" s="3">
        <f>IF(ISERROR(LEN(VLOOKUP(A247,Seqs!A:E,2,FALSE))-AL247),"-",LEN(VLOOKUP(A247,Seqs!A:E,2,FALSE))-AL247)</f>
        <v>13</v>
      </c>
      <c r="BB247" s="16">
        <f t="shared" si="131"/>
        <v>31</v>
      </c>
      <c r="BC247" s="9">
        <f t="shared" si="132"/>
        <v>20</v>
      </c>
      <c r="BD247" s="3">
        <f t="shared" si="133"/>
        <v>31</v>
      </c>
      <c r="BE247" s="3">
        <f t="shared" si="134"/>
        <v>53</v>
      </c>
      <c r="BF247" s="3">
        <f t="shared" si="147"/>
        <v>36</v>
      </c>
    </row>
    <row r="248" spans="1:58" s="3" customFormat="1" x14ac:dyDescent="0.2">
      <c r="A248" s="3" t="s">
        <v>464</v>
      </c>
      <c r="B248" s="3" t="str">
        <f>LOWER(VLOOKUP(A248,Xtal_Templ!A:B,2,FALSE))</f>
        <v>agtr1_human</v>
      </c>
      <c r="C248" s="3">
        <f>VLOOKUP($A248,'SegEnds_NonXtal_BW#'!$A:$Z,3,FALSE)+D248-50</f>
        <v>15</v>
      </c>
      <c r="D248" s="3">
        <v>33</v>
      </c>
      <c r="E248" s="3">
        <f t="shared" si="148"/>
        <v>45</v>
      </c>
      <c r="F248" s="3">
        <f t="shared" si="149"/>
        <v>46</v>
      </c>
      <c r="G248" s="3">
        <v>48</v>
      </c>
      <c r="H248" s="3">
        <f t="shared" si="150"/>
        <v>49</v>
      </c>
      <c r="I248" s="3">
        <f t="shared" si="150"/>
        <v>50</v>
      </c>
      <c r="J248" s="3">
        <v>64</v>
      </c>
      <c r="K248" s="3">
        <f>VLOOKUP($A248,'SegEnds_NonXtal_BW#'!$A:$Z,8,FALSE)+VLOOKUP($A248,A:AL,10,FALSE)-50</f>
        <v>81</v>
      </c>
      <c r="L248" s="3" t="str">
        <f>IF(ISERROR(VLOOKUP($A248,'SegEnds_NonXtal_BW#'!$A:$Z,9,FALSE)+VLOOKUP($A248,A:AL,13,FALSE)-50),"-",(VLOOKUP($A248,'SegEnds_NonXtal_BW#'!$A:$Z,9,FALSE)+VLOOKUP($A248,A:AL,13,FALSE)-50))</f>
        <v>-</v>
      </c>
      <c r="M248" s="3" t="s">
        <v>23</v>
      </c>
      <c r="N248" s="3" t="str">
        <f>IF(ISERROR(VLOOKUP($A248,'SegEnds_NonXtal_BW#'!$A:$Z,10,FALSE)+VLOOKUP($A248,A:AL,13,FALSE)-50),"-",(VLOOKUP($A248,'SegEnds_NonXtal_BW#'!$A:$Z,10,FALSE)+VLOOKUP($A248,A:AL,13,FALSE)-50))</f>
        <v>-</v>
      </c>
      <c r="O248" s="3">
        <f>VLOOKUP($A248,'SegEnds_NonXtal_BW#'!$A:$Z,11,FALSE)+VLOOKUP($A248,A:AL,16,FALSE)-50</f>
        <v>85</v>
      </c>
      <c r="P248" s="3">
        <v>117</v>
      </c>
      <c r="Q248" s="3">
        <f>VLOOKUP($A248,'SegEnds_NonXtal_BW#'!$A:$Z,12,FALSE)+VLOOKUP($A248,A:AL,16,FALSE)-50</f>
        <v>123</v>
      </c>
      <c r="R248" s="3">
        <f t="shared" si="151"/>
        <v>126</v>
      </c>
      <c r="S248" s="3">
        <v>126</v>
      </c>
      <c r="T248" s="103">
        <f t="shared" si="152"/>
        <v>133</v>
      </c>
      <c r="U248" s="9">
        <f>IF(ISERROR(VLOOKUP($A248,'SegEnds_NonXtal_BW#'!$A:$Z,15,FALSE)+VLOOKUP($A248,A:AL,22,FALSE)-50),"-",VLOOKUP($A248,'SegEnds_NonXtal_BW#'!$A:$Z,15,FALSE)+VLOOKUP($A248,A:AL,22,FALSE)-50)</f>
        <v>134</v>
      </c>
      <c r="V248" s="3">
        <v>146</v>
      </c>
      <c r="W248" s="3">
        <f>IF(ISERROR(VLOOKUP($A248,'SegEnds_NonXtal_BW#'!$A:$Z,16,FALSE)+VLOOKUP($A248,A:AL,22,FALSE)-50),"-",(VLOOKUP($A248,'SegEnds_NonXtal_BW#'!$A:$Z,16,FALSE)+VLOOKUP($A248,A:AL,22,FALSE)-50))</f>
        <v>160</v>
      </c>
      <c r="X248" s="3" t="str">
        <f>IF(ISERROR(VLOOKUP($A248,'SegEnds_NonXtal_BW#'!$A:$Z,17,FALSE)+VLOOKUP($A248,A:AL,25,FALSE)-50),"-",(VLOOKUP($A248,'SegEnds_NonXtal_BW#'!$A:$Z,17,FALSE)+VLOOKUP($A248,A:AL,25,FALSE)-50))</f>
        <v>-</v>
      </c>
      <c r="Y248" s="3" t="s">
        <v>23</v>
      </c>
      <c r="Z248" s="3" t="str">
        <f>IF(ISERROR(VLOOKUP($A248,'SegEnds_NonXtal_BW#'!$A:$Z,18,FALSE)+VLOOKUP($A248,A:AL,25,FALSE)-50),"-",(VLOOKUP($A248,'SegEnds_NonXtal_BW#'!$A:$Z,18,FALSE)+VLOOKUP($A248,A:AL,25,FALSE)-50))</f>
        <v>-</v>
      </c>
      <c r="AA248" s="3">
        <f>IF(ISERROR(VLOOKUP($A248,'SegEnds_NonXtal_BW#'!$A:$Z,19,FALSE)+VLOOKUP($A248,A:AL,28,FALSE)-50),"-",(VLOOKUP($A248,'SegEnds_NonXtal_BW#'!$A:$Z,19,FALSE)+VLOOKUP($A248,A:AL,28,FALSE)-50))</f>
        <v>187</v>
      </c>
      <c r="AB248" s="3">
        <v>205</v>
      </c>
      <c r="AC248" s="3">
        <f>IF(ISERROR((VLOOKUP($A248,'SegEnds_NonXtal_BW#'!$A:$Z,20,FALSE)+VLOOKUP($A248,A:AL,28,FALSE)-50)),"-",(VLOOKUP($A248,'SegEnds_NonXtal_BW#'!$A:$Z,20,FALSE)+VLOOKUP($A248,A:AL,28,FALSE)-50))</f>
        <v>227</v>
      </c>
      <c r="AD248" s="3">
        <f>IF(ISERROR(VLOOKUP($A248,'SegEnds_NonXtal_BW#'!$A:$Z,21,FALSE)+VLOOKUP($A248,A:AL,31,FALSE)-50),"-",(VLOOKUP($A248,'SegEnds_NonXtal_BW#'!$A:$Z,21,FALSE)+VLOOKUP($A248,A:AL,31,FALSE)-50))</f>
        <v>237</v>
      </c>
      <c r="AE248" s="3">
        <v>258</v>
      </c>
      <c r="AF248" s="3">
        <f>IF(ISERROR((VLOOKUP($A248,'SegEnds_NonXtal_BW#'!$A:$Z,22,FALSE)+VLOOKUP($A248,A:AL,31,FALSE)-50)),"-",(VLOOKUP($A248,'SegEnds_NonXtal_BW#'!$A:$Z,22,FALSE)+VLOOKUP($A248,A:AL,31,FALSE)-50))</f>
        <v>269</v>
      </c>
      <c r="AG248" s="3">
        <f>IF(ISERROR(VLOOKUP($A248,'SegEnds_NonXtal_BW#'!$A:$Z,23,FALSE)+VLOOKUP($A248,A:AL,34,FALSE)-50),"-",(VLOOKUP($A248,'SegEnds_NonXtal_BW#'!$A:$Z,23,FALSE)+VLOOKUP($A248,A:AL,34,FALSE)-50))</f>
        <v>275</v>
      </c>
      <c r="AH248" s="3">
        <v>294</v>
      </c>
      <c r="AI248" s="3">
        <f>IF(ISERROR((VLOOKUP($A248,'SegEnds_NonXtal_BW#'!$A:$Z,24,FALSE)+VLOOKUP($A248,A:AL,34,FALSE)-50)),"-",(VLOOKUP($A248,'SegEnds_NonXtal_BW#'!$A:$Z,24,FALSE)+VLOOKUP($A248,A:AL,34,FALSE)-50))</f>
        <v>300</v>
      </c>
      <c r="AJ248" s="3">
        <f>IF(ISERROR(VLOOKUP($A248,'SegEnds_NonXtal_BW#'!$A:$Z,25,FALSE)+VLOOKUP($A248,A:AL,37,FALSE)-50),"-",(VLOOKUP($A248,'SegEnds_NonXtal_BW#'!$A:$Z,25,FALSE)+VLOOKUP($A248,A:AL,37,FALSE)-50))</f>
        <v>301</v>
      </c>
      <c r="AK248" s="3">
        <v>304</v>
      </c>
      <c r="AL248" s="3">
        <f>IF(ISERROR((VLOOKUP($A248,'SegEnds_NonXtal_BW#'!$A:$Z,26,FALSE)+VLOOKUP($A248,A:AL,37,FALSE)-50)),"-",(VLOOKUP($A248,'SegEnds_NonXtal_BW#'!$A:$Z,26,FALSE)+VLOOKUP($A248,A:AL,37,FALSE)-50))</f>
        <v>314</v>
      </c>
      <c r="AM248" s="28" t="str">
        <f>VLOOKUP(A248,Classification!A:B,2,FALSE)</f>
        <v>T</v>
      </c>
      <c r="AN248" s="28" t="b">
        <f t="shared" si="135"/>
        <v>1</v>
      </c>
      <c r="AO248" s="3" t="str">
        <f>IF(ISERROR(MATCH(A248,'SegEnds_Xtal_Prot#'!B:B, 0)), "NoXtal", "Xtal")</f>
        <v>NoXtal</v>
      </c>
      <c r="AP248" s="3">
        <f t="shared" si="120"/>
        <v>1</v>
      </c>
      <c r="AQ248" s="3">
        <f t="shared" si="121"/>
        <v>1</v>
      </c>
      <c r="AR248" s="3" t="str">
        <f t="shared" si="122"/>
        <v>-</v>
      </c>
      <c r="AS248" s="3" t="str">
        <f t="shared" si="123"/>
        <v>-</v>
      </c>
      <c r="AT248" s="3">
        <f t="shared" si="124"/>
        <v>3</v>
      </c>
      <c r="AU248" s="3">
        <f t="shared" si="125"/>
        <v>1</v>
      </c>
      <c r="AV248" s="3" t="str">
        <f t="shared" si="126"/>
        <v>-</v>
      </c>
      <c r="AW248" s="3" t="str">
        <f t="shared" si="127"/>
        <v>-</v>
      </c>
      <c r="AX248" s="3">
        <f t="shared" si="128"/>
        <v>10</v>
      </c>
      <c r="AY248" s="3">
        <f t="shared" si="129"/>
        <v>6</v>
      </c>
      <c r="AZ248" s="3">
        <f t="shared" si="130"/>
        <v>1</v>
      </c>
      <c r="BA248" s="3">
        <f>IF(ISERROR(LEN(VLOOKUP(A248,Seqs!A:E,2,FALSE))-AL248),"-",LEN(VLOOKUP(A248,Seqs!A:E,2,FALSE))-AL248)</f>
        <v>19</v>
      </c>
      <c r="BB248" s="16">
        <f t="shared" si="131"/>
        <v>31</v>
      </c>
      <c r="BC248" s="9">
        <f t="shared" si="132"/>
        <v>20</v>
      </c>
      <c r="BD248" s="3">
        <f t="shared" si="133"/>
        <v>31</v>
      </c>
      <c r="BE248" s="3">
        <f t="shared" si="134"/>
        <v>53</v>
      </c>
      <c r="BF248" s="3">
        <f t="shared" si="147"/>
        <v>36</v>
      </c>
    </row>
    <row r="249" spans="1:58" s="3" customFormat="1" x14ac:dyDescent="0.2">
      <c r="A249" s="3" t="s">
        <v>465</v>
      </c>
      <c r="B249" s="3" t="str">
        <f>LOWER(VLOOKUP(A249,Xtal_Templ!A:B,2,FALSE))</f>
        <v>agtr1_human</v>
      </c>
      <c r="C249" s="3">
        <f>VLOOKUP($A249,'SegEnds_NonXtal_BW#'!$A:$Z,3,FALSE)+D249-50</f>
        <v>34</v>
      </c>
      <c r="D249" s="3">
        <v>52</v>
      </c>
      <c r="E249" s="3">
        <f t="shared" si="148"/>
        <v>64</v>
      </c>
      <c r="F249" s="3">
        <f t="shared" si="149"/>
        <v>65</v>
      </c>
      <c r="G249" s="3">
        <v>67</v>
      </c>
      <c r="H249" s="3">
        <f t="shared" si="150"/>
        <v>68</v>
      </c>
      <c r="I249" s="3">
        <f t="shared" si="150"/>
        <v>69</v>
      </c>
      <c r="J249" s="3">
        <v>83</v>
      </c>
      <c r="K249" s="3">
        <f>VLOOKUP($A249,'SegEnds_NonXtal_BW#'!$A:$Z,8,FALSE)+VLOOKUP($A249,A:AL,10,FALSE)-50</f>
        <v>99</v>
      </c>
      <c r="L249" s="3" t="str">
        <f>IF(ISERROR(VLOOKUP($A249,'SegEnds_NonXtal_BW#'!$A:$Z,9,FALSE)+VLOOKUP($A249,A:AL,13,FALSE)-50),"-",(VLOOKUP($A249,'SegEnds_NonXtal_BW#'!$A:$Z,9,FALSE)+VLOOKUP($A249,A:AL,13,FALSE)-50))</f>
        <v>-</v>
      </c>
      <c r="M249" s="3" t="s">
        <v>23</v>
      </c>
      <c r="N249" s="3" t="str">
        <f>IF(ISERROR(VLOOKUP($A249,'SegEnds_NonXtal_BW#'!$A:$Z,10,FALSE)+VLOOKUP($A249,A:AL,13,FALSE)-50),"-",(VLOOKUP($A249,'SegEnds_NonXtal_BW#'!$A:$Z,10,FALSE)+VLOOKUP($A249,A:AL,13,FALSE)-50))</f>
        <v>-</v>
      </c>
      <c r="O249" s="3">
        <f>VLOOKUP($A249,'SegEnds_NonXtal_BW#'!$A:$Z,11,FALSE)+VLOOKUP($A249,A:AL,16,FALSE)-50</f>
        <v>103</v>
      </c>
      <c r="P249" s="3">
        <v>135</v>
      </c>
      <c r="Q249" s="3">
        <f>VLOOKUP($A249,'SegEnds_NonXtal_BW#'!$A:$Z,12,FALSE)+VLOOKUP($A249,A:AL,16,FALSE)-50</f>
        <v>141</v>
      </c>
      <c r="R249" s="3">
        <f t="shared" si="151"/>
        <v>144</v>
      </c>
      <c r="S249" s="3">
        <v>144</v>
      </c>
      <c r="T249" s="103">
        <f t="shared" si="152"/>
        <v>151</v>
      </c>
      <c r="U249" s="9">
        <f>IF(ISERROR(VLOOKUP($A249,'SegEnds_NonXtal_BW#'!$A:$Z,15,FALSE)+VLOOKUP($A249,A:AL,22,FALSE)-50),"-",VLOOKUP($A249,'SegEnds_NonXtal_BW#'!$A:$Z,15,FALSE)+VLOOKUP($A249,A:AL,22,FALSE)-50)</f>
        <v>152</v>
      </c>
      <c r="V249" s="3">
        <v>164</v>
      </c>
      <c r="W249" s="3">
        <f>IF(ISERROR(VLOOKUP($A249,'SegEnds_NonXtal_BW#'!$A:$Z,16,FALSE)+VLOOKUP($A249,A:AL,22,FALSE)-50),"-",(VLOOKUP($A249,'SegEnds_NonXtal_BW#'!$A:$Z,16,FALSE)+VLOOKUP($A249,A:AL,22,FALSE)-50))</f>
        <v>178</v>
      </c>
      <c r="X249" s="3" t="str">
        <f>IF(ISERROR(VLOOKUP($A249,'SegEnds_NonXtal_BW#'!$A:$Z,17,FALSE)+VLOOKUP($A249,A:AL,25,FALSE)-50),"-",(VLOOKUP($A249,'SegEnds_NonXtal_BW#'!$A:$Z,17,FALSE)+VLOOKUP($A249,A:AL,25,FALSE)-50))</f>
        <v>-</v>
      </c>
      <c r="Y249" s="3" t="s">
        <v>23</v>
      </c>
      <c r="Z249" s="3" t="str">
        <f>IF(ISERROR(VLOOKUP($A249,'SegEnds_NonXtal_BW#'!$A:$Z,18,FALSE)+VLOOKUP($A249,A:AL,25,FALSE)-50),"-",(VLOOKUP($A249,'SegEnds_NonXtal_BW#'!$A:$Z,18,FALSE)+VLOOKUP($A249,A:AL,25,FALSE)-50))</f>
        <v>-</v>
      </c>
      <c r="AA249" s="3">
        <f>IF(ISERROR(VLOOKUP($A249,'SegEnds_NonXtal_BW#'!$A:$Z,19,FALSE)+VLOOKUP($A249,A:AL,28,FALSE)-50),"-",(VLOOKUP($A249,'SegEnds_NonXtal_BW#'!$A:$Z,19,FALSE)+VLOOKUP($A249,A:AL,28,FALSE)-50))</f>
        <v>202</v>
      </c>
      <c r="AB249" s="3">
        <v>220</v>
      </c>
      <c r="AC249" s="3">
        <f>IF(ISERROR((VLOOKUP($A249,'SegEnds_NonXtal_BW#'!$A:$Z,20,FALSE)+VLOOKUP($A249,A:AL,28,FALSE)-50)),"-",(VLOOKUP($A249,'SegEnds_NonXtal_BW#'!$A:$Z,20,FALSE)+VLOOKUP($A249,A:AL,28,FALSE)-50))</f>
        <v>242</v>
      </c>
      <c r="AD249" s="3">
        <f>IF(ISERROR(VLOOKUP($A249,'SegEnds_NonXtal_BW#'!$A:$Z,21,FALSE)+VLOOKUP($A249,A:AL,31,FALSE)-50),"-",(VLOOKUP($A249,'SegEnds_NonXtal_BW#'!$A:$Z,21,FALSE)+VLOOKUP($A249,A:AL,31,FALSE)-50))</f>
        <v>252</v>
      </c>
      <c r="AE249" s="3">
        <v>273</v>
      </c>
      <c r="AF249" s="3">
        <f>IF(ISERROR((VLOOKUP($A249,'SegEnds_NonXtal_BW#'!$A:$Z,22,FALSE)+VLOOKUP($A249,A:AL,31,FALSE)-50)),"-",(VLOOKUP($A249,'SegEnds_NonXtal_BW#'!$A:$Z,22,FALSE)+VLOOKUP($A249,A:AL,31,FALSE)-50))</f>
        <v>284</v>
      </c>
      <c r="AG249" s="3">
        <f>IF(ISERROR(VLOOKUP($A249,'SegEnds_NonXtal_BW#'!$A:$Z,23,FALSE)+VLOOKUP($A249,A:AL,34,FALSE)-50),"-",(VLOOKUP($A249,'SegEnds_NonXtal_BW#'!$A:$Z,23,FALSE)+VLOOKUP($A249,A:AL,34,FALSE)-50))</f>
        <v>289</v>
      </c>
      <c r="AH249" s="3">
        <v>308</v>
      </c>
      <c r="AI249" s="3">
        <f>IF(ISERROR((VLOOKUP($A249,'SegEnds_NonXtal_BW#'!$A:$Z,24,FALSE)+VLOOKUP($A249,A:AL,34,FALSE)-50)),"-",(VLOOKUP($A249,'SegEnds_NonXtal_BW#'!$A:$Z,24,FALSE)+VLOOKUP($A249,A:AL,34,FALSE)-50))</f>
        <v>314</v>
      </c>
      <c r="AJ249" s="3">
        <f>IF(ISERROR(VLOOKUP($A249,'SegEnds_NonXtal_BW#'!$A:$Z,25,FALSE)+VLOOKUP($A249,A:AL,37,FALSE)-50),"-",(VLOOKUP($A249,'SegEnds_NonXtal_BW#'!$A:$Z,25,FALSE)+VLOOKUP($A249,A:AL,37,FALSE)-50))</f>
        <v>315</v>
      </c>
      <c r="AK249" s="3">
        <v>318</v>
      </c>
      <c r="AL249" s="3">
        <f>IF(ISERROR((VLOOKUP($A249,'SegEnds_NonXtal_BW#'!$A:$Z,26,FALSE)+VLOOKUP($A249,A:AL,37,FALSE)-50)),"-",(VLOOKUP($A249,'SegEnds_NonXtal_BW#'!$A:$Z,26,FALSE)+VLOOKUP($A249,A:AL,37,FALSE)-50))</f>
        <v>328</v>
      </c>
      <c r="AM249" s="28" t="str">
        <f>VLOOKUP(A249,Classification!A:B,2,FALSE)</f>
        <v>T</v>
      </c>
      <c r="AN249" s="28" t="b">
        <f t="shared" si="135"/>
        <v>1</v>
      </c>
      <c r="AO249" s="3" t="str">
        <f>IF(ISERROR(MATCH(A249,'SegEnds_Xtal_Prot#'!B:B, 0)), "NoXtal", "Xtal")</f>
        <v>NoXtal</v>
      </c>
      <c r="AP249" s="3">
        <f t="shared" si="120"/>
        <v>1</v>
      </c>
      <c r="AQ249" s="3">
        <f t="shared" si="121"/>
        <v>1</v>
      </c>
      <c r="AR249" s="3" t="str">
        <f t="shared" si="122"/>
        <v>-</v>
      </c>
      <c r="AS249" s="3" t="str">
        <f t="shared" si="123"/>
        <v>-</v>
      </c>
      <c r="AT249" s="3">
        <f t="shared" si="124"/>
        <v>3</v>
      </c>
      <c r="AU249" s="3">
        <f t="shared" si="125"/>
        <v>1</v>
      </c>
      <c r="AV249" s="3" t="str">
        <f t="shared" si="126"/>
        <v>-</v>
      </c>
      <c r="AW249" s="3" t="str">
        <f t="shared" si="127"/>
        <v>-</v>
      </c>
      <c r="AX249" s="3">
        <f t="shared" si="128"/>
        <v>10</v>
      </c>
      <c r="AY249" s="3">
        <f t="shared" si="129"/>
        <v>5</v>
      </c>
      <c r="AZ249" s="3">
        <f t="shared" si="130"/>
        <v>1</v>
      </c>
      <c r="BA249" s="3">
        <f>IF(ISERROR(LEN(VLOOKUP(A249,Seqs!A:E,2,FALSE))-AL249),"-",LEN(VLOOKUP(A249,Seqs!A:E,2,FALSE))-AL249)</f>
        <v>10</v>
      </c>
      <c r="BB249" s="16">
        <f t="shared" si="131"/>
        <v>31</v>
      </c>
      <c r="BC249" s="9">
        <f t="shared" si="132"/>
        <v>20</v>
      </c>
      <c r="BD249" s="3">
        <f t="shared" si="133"/>
        <v>31</v>
      </c>
      <c r="BE249" s="3">
        <f t="shared" si="134"/>
        <v>53</v>
      </c>
      <c r="BF249" s="3">
        <f t="shared" si="147"/>
        <v>35</v>
      </c>
    </row>
    <row r="250" spans="1:58" s="3" customFormat="1" x14ac:dyDescent="0.2">
      <c r="A250" s="3" t="s">
        <v>466</v>
      </c>
      <c r="B250" s="3" t="str">
        <f>LOWER(VLOOKUP(A250,Xtal_Templ!A:B,2,FALSE))</f>
        <v>cxcr4_human</v>
      </c>
      <c r="C250" s="3">
        <f>VLOOKUP($A250,'SegEnds_NonXtal_BW#'!$A:$Z,3,FALSE)+D250-50</f>
        <v>18</v>
      </c>
      <c r="D250" s="3">
        <v>36</v>
      </c>
      <c r="E250" s="3">
        <f t="shared" si="148"/>
        <v>48</v>
      </c>
      <c r="F250" s="3">
        <f t="shared" si="149"/>
        <v>49</v>
      </c>
      <c r="G250" s="3">
        <v>51</v>
      </c>
      <c r="H250" s="3">
        <f t="shared" si="150"/>
        <v>52</v>
      </c>
      <c r="I250" s="3">
        <f t="shared" si="150"/>
        <v>53</v>
      </c>
      <c r="J250" s="3">
        <v>67</v>
      </c>
      <c r="K250" s="3">
        <f>VLOOKUP($A250,'SegEnds_NonXtal_BW#'!$A:$Z,8,FALSE)+VLOOKUP($A250,A:AL,10,FALSE)-50</f>
        <v>83</v>
      </c>
      <c r="L250" s="3" t="str">
        <f>IF(ISERROR(VLOOKUP($A250,'SegEnds_NonXtal_BW#'!$A:$Z,9,FALSE)+VLOOKUP($A250,A:AL,13,FALSE)-50),"-",(VLOOKUP($A250,'SegEnds_NonXtal_BW#'!$A:$Z,9,FALSE)+VLOOKUP($A250,A:AL,13,FALSE)-50))</f>
        <v>-</v>
      </c>
      <c r="M250" s="3" t="s">
        <v>23</v>
      </c>
      <c r="N250" s="3" t="str">
        <f>IF(ISERROR(VLOOKUP($A250,'SegEnds_NonXtal_BW#'!$A:$Z,10,FALSE)+VLOOKUP($A250,A:AL,13,FALSE)-50),"-",(VLOOKUP($A250,'SegEnds_NonXtal_BW#'!$A:$Z,10,FALSE)+VLOOKUP($A250,A:AL,13,FALSE)-50))</f>
        <v>-</v>
      </c>
      <c r="O250" s="3">
        <f>VLOOKUP($A250,'SegEnds_NonXtal_BW#'!$A:$Z,11,FALSE)+VLOOKUP($A250,A:AL,16,FALSE)-50</f>
        <v>87</v>
      </c>
      <c r="P250" s="3">
        <v>119</v>
      </c>
      <c r="Q250" s="3">
        <f>VLOOKUP($A250,'SegEnds_NonXtal_BW#'!$A:$Z,12,FALSE)+VLOOKUP($A250,A:AL,16,FALSE)-50</f>
        <v>125</v>
      </c>
      <c r="R250" s="3">
        <f t="shared" si="151"/>
        <v>128</v>
      </c>
      <c r="S250" s="3">
        <v>128</v>
      </c>
      <c r="T250" s="103">
        <f t="shared" si="152"/>
        <v>135</v>
      </c>
      <c r="U250" s="9">
        <f>IF(ISERROR(VLOOKUP($A250,'SegEnds_NonXtal_BW#'!$A:$Z,15,FALSE)+VLOOKUP($A250,A:AL,22,FALSE)-50),"-",VLOOKUP($A250,'SegEnds_NonXtal_BW#'!$A:$Z,15,FALSE)+VLOOKUP($A250,A:AL,22,FALSE)-50)</f>
        <v>136</v>
      </c>
      <c r="V250" s="3">
        <v>148</v>
      </c>
      <c r="W250" s="3">
        <f>IF(ISERROR(VLOOKUP($A250,'SegEnds_NonXtal_BW#'!$A:$Z,16,FALSE)+VLOOKUP($A250,A:AL,22,FALSE)-50),"-",(VLOOKUP($A250,'SegEnds_NonXtal_BW#'!$A:$Z,16,FALSE)+VLOOKUP($A250,A:AL,22,FALSE)-50))</f>
        <v>162</v>
      </c>
      <c r="X250" s="3" t="str">
        <f>IF(ISERROR(VLOOKUP($A250,'SegEnds_NonXtal_BW#'!$A:$Z,17,FALSE)+VLOOKUP($A250,A:AL,25,FALSE)-50),"-",(VLOOKUP($A250,'SegEnds_NonXtal_BW#'!$A:$Z,17,FALSE)+VLOOKUP($A250,A:AL,25,FALSE)-50))</f>
        <v>-</v>
      </c>
      <c r="Y250" s="3" t="s">
        <v>23</v>
      </c>
      <c r="Z250" s="3" t="str">
        <f>IF(ISERROR(VLOOKUP($A250,'SegEnds_NonXtal_BW#'!$A:$Z,18,FALSE)+VLOOKUP($A250,A:AL,25,FALSE)-50),"-",(VLOOKUP($A250,'SegEnds_NonXtal_BW#'!$A:$Z,18,FALSE)+VLOOKUP($A250,A:AL,25,FALSE)-50))</f>
        <v>-</v>
      </c>
      <c r="AA250" s="3">
        <f>IF(ISERROR(VLOOKUP($A250,'SegEnds_NonXtal_BW#'!$A:$Z,19,FALSE)+VLOOKUP($A250,A:AL,28,FALSE)-50),"-",(VLOOKUP($A250,'SegEnds_NonXtal_BW#'!$A:$Z,19,FALSE)+VLOOKUP($A250,A:AL,28,FALSE)-50))</f>
        <v>187</v>
      </c>
      <c r="AB250" s="3">
        <v>205</v>
      </c>
      <c r="AC250" s="3">
        <f>IF(ISERROR((VLOOKUP($A250,'SegEnds_NonXtal_BW#'!$A:$Z,20,FALSE)+VLOOKUP($A250,A:AL,28,FALSE)-50)),"-",(VLOOKUP($A250,'SegEnds_NonXtal_BW#'!$A:$Z,20,FALSE)+VLOOKUP($A250,A:AL,28,FALSE)-50))</f>
        <v>227</v>
      </c>
      <c r="AD250" s="3">
        <f>IF(ISERROR(VLOOKUP($A250,'SegEnds_NonXtal_BW#'!$A:$Z,21,FALSE)+VLOOKUP($A250,A:AL,31,FALSE)-50),"-",(VLOOKUP($A250,'SegEnds_NonXtal_BW#'!$A:$Z,21,FALSE)+VLOOKUP($A250,A:AL,31,FALSE)-50))</f>
        <v>237</v>
      </c>
      <c r="AE250" s="3">
        <v>258</v>
      </c>
      <c r="AF250" s="3">
        <f>IF(ISERROR((VLOOKUP($A250,'SegEnds_NonXtal_BW#'!$A:$Z,22,FALSE)+VLOOKUP($A250,A:AL,31,FALSE)-50)),"-",(VLOOKUP($A250,'SegEnds_NonXtal_BW#'!$A:$Z,22,FALSE)+VLOOKUP($A250,A:AL,31,FALSE)-50))</f>
        <v>269</v>
      </c>
      <c r="AG250" s="3">
        <f>IF(ISERROR(VLOOKUP($A250,'SegEnds_NonXtal_BW#'!$A:$Z,23,FALSE)+VLOOKUP($A250,A:AL,34,FALSE)-50),"-",(VLOOKUP($A250,'SegEnds_NonXtal_BW#'!$A:$Z,23,FALSE)+VLOOKUP($A250,A:AL,34,FALSE)-50))</f>
        <v>274</v>
      </c>
      <c r="AH250" s="3">
        <v>293</v>
      </c>
      <c r="AI250" s="3">
        <f>IF(ISERROR((VLOOKUP($A250,'SegEnds_NonXtal_BW#'!$A:$Z,24,FALSE)+VLOOKUP($A250,A:AL,34,FALSE)-50)),"-",(VLOOKUP($A250,'SegEnds_NonXtal_BW#'!$A:$Z,24,FALSE)+VLOOKUP($A250,A:AL,34,FALSE)-50))</f>
        <v>299</v>
      </c>
      <c r="AJ250" s="3">
        <f>IF(ISERROR(VLOOKUP($A250,'SegEnds_NonXtal_BW#'!$A:$Z,25,FALSE)+VLOOKUP($A250,A:AL,37,FALSE)-50),"-",(VLOOKUP($A250,'SegEnds_NonXtal_BW#'!$A:$Z,25,FALSE)+VLOOKUP($A250,A:AL,37,FALSE)-50))</f>
        <v>300</v>
      </c>
      <c r="AK250" s="3">
        <v>303</v>
      </c>
      <c r="AL250" s="3">
        <f>IF(ISERROR((VLOOKUP($A250,'SegEnds_NonXtal_BW#'!$A:$Z,26,FALSE)+VLOOKUP($A250,A:AL,37,FALSE)-50)),"-",(VLOOKUP($A250,'SegEnds_NonXtal_BW#'!$A:$Z,26,FALSE)+VLOOKUP($A250,A:AL,37,FALSE)-50))</f>
        <v>313</v>
      </c>
      <c r="AM250" s="28" t="str">
        <f>VLOOKUP(A250,Classification!A:B,2,FALSE)</f>
        <v>T</v>
      </c>
      <c r="AN250" s="28" t="b">
        <f t="shared" si="135"/>
        <v>1</v>
      </c>
      <c r="AO250" s="3" t="str">
        <f>IF(ISERROR(MATCH(A250,'SegEnds_Xtal_Prot#'!B:B, 0)), "NoXtal", "Xtal")</f>
        <v>NoXtal</v>
      </c>
      <c r="AP250" s="3">
        <f t="shared" si="120"/>
        <v>1</v>
      </c>
      <c r="AQ250" s="3">
        <f t="shared" si="121"/>
        <v>1</v>
      </c>
      <c r="AR250" s="3" t="str">
        <f t="shared" si="122"/>
        <v>-</v>
      </c>
      <c r="AS250" s="3" t="str">
        <f t="shared" si="123"/>
        <v>-</v>
      </c>
      <c r="AT250" s="3">
        <f t="shared" si="124"/>
        <v>3</v>
      </c>
      <c r="AU250" s="3">
        <f t="shared" si="125"/>
        <v>1</v>
      </c>
      <c r="AV250" s="3" t="str">
        <f t="shared" si="126"/>
        <v>-</v>
      </c>
      <c r="AW250" s="3" t="str">
        <f t="shared" si="127"/>
        <v>-</v>
      </c>
      <c r="AX250" s="3">
        <f t="shared" si="128"/>
        <v>10</v>
      </c>
      <c r="AY250" s="3">
        <f t="shared" si="129"/>
        <v>5</v>
      </c>
      <c r="AZ250" s="3">
        <f t="shared" si="130"/>
        <v>1</v>
      </c>
      <c r="BA250" s="3">
        <f>IF(ISERROR(LEN(VLOOKUP(A250,Seqs!A:E,2,FALSE))-AL250),"-",LEN(VLOOKUP(A250,Seqs!A:E,2,FALSE))-AL250)</f>
        <v>10</v>
      </c>
      <c r="BB250" s="16">
        <f t="shared" si="131"/>
        <v>31</v>
      </c>
      <c r="BC250" s="9">
        <f t="shared" si="132"/>
        <v>20</v>
      </c>
      <c r="BD250" s="3">
        <f t="shared" si="133"/>
        <v>31</v>
      </c>
      <c r="BE250" s="3">
        <f t="shared" si="134"/>
        <v>53</v>
      </c>
      <c r="BF250" s="3">
        <f t="shared" si="147"/>
        <v>35</v>
      </c>
    </row>
    <row r="251" spans="1:58" s="3" customFormat="1" x14ac:dyDescent="0.2">
      <c r="A251" s="3" t="s">
        <v>467</v>
      </c>
      <c r="B251" s="3" t="str">
        <f>LOWER(VLOOKUP(A251,Xtal_Templ!A:B,2,FALSE))</f>
        <v>hrh1_human</v>
      </c>
      <c r="C251" s="3">
        <f>VLOOKUP($A251,'SegEnds_NonXtal_BW#'!$A:$Z,3,FALSE)+D251-50</f>
        <v>6</v>
      </c>
      <c r="D251" s="3">
        <v>24</v>
      </c>
      <c r="E251" s="3">
        <f t="shared" si="148"/>
        <v>36</v>
      </c>
      <c r="F251" s="3">
        <f t="shared" si="149"/>
        <v>37</v>
      </c>
      <c r="G251" s="3">
        <v>39</v>
      </c>
      <c r="H251" s="3">
        <f t="shared" si="150"/>
        <v>40</v>
      </c>
      <c r="I251" s="3">
        <f t="shared" si="150"/>
        <v>41</v>
      </c>
      <c r="J251" s="3">
        <v>55</v>
      </c>
      <c r="K251" s="3">
        <f>VLOOKUP($A251,'SegEnds_NonXtal_BW#'!$A:$Z,8,FALSE)+VLOOKUP($A251,A:AL,10,FALSE)-50</f>
        <v>72</v>
      </c>
      <c r="L251" s="3" t="str">
        <f>IF(ISERROR(VLOOKUP($A251,'SegEnds_NonXtal_BW#'!$A:$Z,9,FALSE)+VLOOKUP($A251,A:AL,13,FALSE)-50),"-",(VLOOKUP($A251,'SegEnds_NonXtal_BW#'!$A:$Z,9,FALSE)+VLOOKUP($A251,A:AL,13,FALSE)-50))</f>
        <v>-</v>
      </c>
      <c r="M251" s="3" t="s">
        <v>23</v>
      </c>
      <c r="N251" s="3" t="str">
        <f>IF(ISERROR(VLOOKUP($A251,'SegEnds_NonXtal_BW#'!$A:$Z,10,FALSE)+VLOOKUP($A251,A:AL,13,FALSE)-50),"-",(VLOOKUP($A251,'SegEnds_NonXtal_BW#'!$A:$Z,10,FALSE)+VLOOKUP($A251,A:AL,13,FALSE)-50))</f>
        <v>-</v>
      </c>
      <c r="O251" s="3">
        <f>VLOOKUP($A251,'SegEnds_NonXtal_BW#'!$A:$Z,11,FALSE)+VLOOKUP($A251,A:AL,16,FALSE)-50</f>
        <v>78</v>
      </c>
      <c r="P251" s="3">
        <v>107</v>
      </c>
      <c r="Q251" s="3">
        <f>VLOOKUP($A251,'SegEnds_NonXtal_BW#'!$A:$Z,12,FALSE)+VLOOKUP($A251,A:AL,16,FALSE)-50</f>
        <v>113</v>
      </c>
      <c r="R251" s="3">
        <f t="shared" si="151"/>
        <v>116</v>
      </c>
      <c r="S251" s="3">
        <v>116</v>
      </c>
      <c r="T251" s="103">
        <f t="shared" si="152"/>
        <v>123</v>
      </c>
      <c r="U251" s="9">
        <f>IF(ISERROR(VLOOKUP($A251,'SegEnds_NonXtal_BW#'!$A:$Z,15,FALSE)+VLOOKUP($A251,A:AL,22,FALSE)-50),"-",VLOOKUP($A251,'SegEnds_NonXtal_BW#'!$A:$Z,15,FALSE)+VLOOKUP($A251,A:AL,22,FALSE)-50)</f>
        <v>124</v>
      </c>
      <c r="V251" s="3">
        <v>136</v>
      </c>
      <c r="W251" s="3">
        <f>IF(ISERROR(VLOOKUP($A251,'SegEnds_NonXtal_BW#'!$A:$Z,16,FALSE)+VLOOKUP($A251,A:AL,22,FALSE)-50),"-",(VLOOKUP($A251,'SegEnds_NonXtal_BW#'!$A:$Z,16,FALSE)+VLOOKUP($A251,A:AL,22,FALSE)-50))</f>
        <v>148</v>
      </c>
      <c r="X251" s="3" t="str">
        <f>IF(ISERROR(VLOOKUP($A251,'SegEnds_NonXtal_BW#'!$A:$Z,17,FALSE)+VLOOKUP($A251,A:AL,25,FALSE)-50),"-",(VLOOKUP($A251,'SegEnds_NonXtal_BW#'!$A:$Z,17,FALSE)+VLOOKUP($A251,A:AL,25,FALSE)-50))</f>
        <v>-</v>
      </c>
      <c r="Y251" s="3" t="s">
        <v>23</v>
      </c>
      <c r="Z251" s="3" t="str">
        <f>IF(ISERROR(VLOOKUP($A251,'SegEnds_NonXtal_BW#'!$A:$Z,18,FALSE)+VLOOKUP($A251,A:AL,25,FALSE)-50),"-",(VLOOKUP($A251,'SegEnds_NonXtal_BW#'!$A:$Z,18,FALSE)+VLOOKUP($A251,A:AL,25,FALSE)-50))</f>
        <v>-</v>
      </c>
      <c r="AA251" s="3">
        <f>IF(ISERROR(VLOOKUP($A251,'SegEnds_NonXtal_BW#'!$A:$Z,19,FALSE)+VLOOKUP($A251,A:AL,28,FALSE)-50),"-",(VLOOKUP($A251,'SegEnds_NonXtal_BW#'!$A:$Z,19,FALSE)+VLOOKUP($A251,A:AL,28,FALSE)-50))</f>
        <v>174</v>
      </c>
      <c r="AB251" s="3">
        <v>192</v>
      </c>
      <c r="AC251" s="3">
        <f>IF(ISERROR((VLOOKUP($A251,'SegEnds_NonXtal_BW#'!$A:$Z,20,FALSE)+VLOOKUP($A251,A:AL,28,FALSE)-50)),"-",(VLOOKUP($A251,'SegEnds_NonXtal_BW#'!$A:$Z,20,FALSE)+VLOOKUP($A251,A:AL,28,FALSE)-50))</f>
        <v>214</v>
      </c>
      <c r="AD251" s="3">
        <f>IF(ISERROR(VLOOKUP($A251,'SegEnds_NonXtal_BW#'!$A:$Z,21,FALSE)+VLOOKUP($A251,A:AL,31,FALSE)-50),"-",(VLOOKUP($A251,'SegEnds_NonXtal_BW#'!$A:$Z,21,FALSE)+VLOOKUP($A251,A:AL,31,FALSE)-50))</f>
        <v>224</v>
      </c>
      <c r="AE251" s="3">
        <v>245</v>
      </c>
      <c r="AF251" s="3">
        <f>IF(ISERROR((VLOOKUP($A251,'SegEnds_NonXtal_BW#'!$A:$Z,22,FALSE)+VLOOKUP($A251,A:AL,31,FALSE)-50)),"-",(VLOOKUP($A251,'SegEnds_NonXtal_BW#'!$A:$Z,22,FALSE)+VLOOKUP($A251,A:AL,31,FALSE)-50))</f>
        <v>256</v>
      </c>
      <c r="AG251" s="3">
        <f>IF(ISERROR(VLOOKUP($A251,'SegEnds_NonXtal_BW#'!$A:$Z,23,FALSE)+VLOOKUP($A251,A:AL,34,FALSE)-50),"-",(VLOOKUP($A251,'SegEnds_NonXtal_BW#'!$A:$Z,23,FALSE)+VLOOKUP($A251,A:AL,34,FALSE)-50))</f>
        <v>261</v>
      </c>
      <c r="AH251" s="3">
        <v>280</v>
      </c>
      <c r="AI251" s="3">
        <f>IF(ISERROR((VLOOKUP($A251,'SegEnds_NonXtal_BW#'!$A:$Z,24,FALSE)+VLOOKUP($A251,A:AL,34,FALSE)-50)),"-",(VLOOKUP($A251,'SegEnds_NonXtal_BW#'!$A:$Z,24,FALSE)+VLOOKUP($A251,A:AL,34,FALSE)-50))</f>
        <v>286</v>
      </c>
      <c r="AJ251" s="3">
        <f>IF(ISERROR(VLOOKUP($A251,'SegEnds_NonXtal_BW#'!$A:$Z,25,FALSE)+VLOOKUP($A251,A:AL,37,FALSE)-50),"-",(VLOOKUP($A251,'SegEnds_NonXtal_BW#'!$A:$Z,25,FALSE)+VLOOKUP($A251,A:AL,37,FALSE)-50))</f>
        <v>287</v>
      </c>
      <c r="AK251" s="3">
        <v>290</v>
      </c>
      <c r="AL251" s="3">
        <f>IF(ISERROR((VLOOKUP($A251,'SegEnds_NonXtal_BW#'!$A:$Z,26,FALSE)+VLOOKUP($A251,A:AL,37,FALSE)-50)),"-",(VLOOKUP($A251,'SegEnds_NonXtal_BW#'!$A:$Z,26,FALSE)+VLOOKUP($A251,A:AL,37,FALSE)-50))</f>
        <v>300</v>
      </c>
      <c r="AM251" s="28" t="str">
        <f>VLOOKUP(A251,Classification!A:B,2,FALSE)</f>
        <v>T</v>
      </c>
      <c r="AN251" s="28" t="b">
        <f t="shared" si="135"/>
        <v>1</v>
      </c>
      <c r="AO251" s="3" t="str">
        <f>IF(ISERROR(MATCH(A251,'SegEnds_Xtal_Prot#'!B:B, 0)), "NoXtal", "Xtal")</f>
        <v>NoXtal</v>
      </c>
      <c r="AP251" s="3">
        <f t="shared" si="120"/>
        <v>1</v>
      </c>
      <c r="AQ251" s="3">
        <f t="shared" si="121"/>
        <v>1</v>
      </c>
      <c r="AR251" s="3" t="str">
        <f t="shared" si="122"/>
        <v>-</v>
      </c>
      <c r="AS251" s="3" t="str">
        <f t="shared" si="123"/>
        <v>-</v>
      </c>
      <c r="AT251" s="3">
        <f t="shared" si="124"/>
        <v>3</v>
      </c>
      <c r="AU251" s="3">
        <f t="shared" si="125"/>
        <v>1</v>
      </c>
      <c r="AV251" s="3" t="str">
        <f t="shared" si="126"/>
        <v>-</v>
      </c>
      <c r="AW251" s="3" t="str">
        <f t="shared" si="127"/>
        <v>-</v>
      </c>
      <c r="AX251" s="3">
        <f t="shared" si="128"/>
        <v>10</v>
      </c>
      <c r="AY251" s="3">
        <f t="shared" si="129"/>
        <v>5</v>
      </c>
      <c r="AZ251" s="3">
        <f t="shared" si="130"/>
        <v>1</v>
      </c>
      <c r="BA251" s="3">
        <f>IF(ISERROR(LEN(VLOOKUP(A251,Seqs!A:E,2,FALSE))-AL251),"-",LEN(VLOOKUP(A251,Seqs!A:E,2,FALSE))-AL251)</f>
        <v>7</v>
      </c>
      <c r="BB251" s="16">
        <f t="shared" si="131"/>
        <v>31</v>
      </c>
      <c r="BC251" s="9">
        <f t="shared" si="132"/>
        <v>20</v>
      </c>
      <c r="BD251" s="3">
        <f t="shared" si="133"/>
        <v>31</v>
      </c>
      <c r="BE251" s="3">
        <f t="shared" si="134"/>
        <v>53</v>
      </c>
      <c r="BF251" s="3">
        <f t="shared" si="147"/>
        <v>35</v>
      </c>
    </row>
    <row r="252" spans="1:58" s="3" customFormat="1" x14ac:dyDescent="0.2">
      <c r="A252" s="3" t="s">
        <v>468</v>
      </c>
      <c r="B252" s="3" t="str">
        <f>LOWER(VLOOKUP(A252,Xtal_Templ!A:B,2,FALSE))</f>
        <v>hrh1_human</v>
      </c>
      <c r="C252" s="3">
        <f>VLOOKUP($A252,'SegEnds_NonXtal_BW#'!$A:$Z,3,FALSE)+D252-50</f>
        <v>6</v>
      </c>
      <c r="D252" s="3">
        <v>24</v>
      </c>
      <c r="E252" s="3">
        <f t="shared" si="148"/>
        <v>36</v>
      </c>
      <c r="F252" s="3">
        <f t="shared" si="149"/>
        <v>37</v>
      </c>
      <c r="G252" s="3">
        <v>39</v>
      </c>
      <c r="H252" s="3">
        <f t="shared" si="150"/>
        <v>40</v>
      </c>
      <c r="I252" s="3">
        <f t="shared" si="150"/>
        <v>41</v>
      </c>
      <c r="J252" s="3">
        <v>55</v>
      </c>
      <c r="K252" s="3">
        <f>VLOOKUP($A252,'SegEnds_NonXtal_BW#'!$A:$Z,8,FALSE)+VLOOKUP($A252,A:AL,10,FALSE)-50</f>
        <v>72</v>
      </c>
      <c r="L252" s="3" t="str">
        <f>IF(ISERROR(VLOOKUP($A252,'SegEnds_NonXtal_BW#'!$A:$Z,9,FALSE)+VLOOKUP($A252,A:AL,13,FALSE)-50),"-",(VLOOKUP($A252,'SegEnds_NonXtal_BW#'!$A:$Z,9,FALSE)+VLOOKUP($A252,A:AL,13,FALSE)-50))</f>
        <v>-</v>
      </c>
      <c r="M252" s="3" t="s">
        <v>23</v>
      </c>
      <c r="N252" s="3" t="str">
        <f>IF(ISERROR(VLOOKUP($A252,'SegEnds_NonXtal_BW#'!$A:$Z,10,FALSE)+VLOOKUP($A252,A:AL,13,FALSE)-50),"-",(VLOOKUP($A252,'SegEnds_NonXtal_BW#'!$A:$Z,10,FALSE)+VLOOKUP($A252,A:AL,13,FALSE)-50))</f>
        <v>-</v>
      </c>
      <c r="O252" s="3">
        <f>VLOOKUP($A252,'SegEnds_NonXtal_BW#'!$A:$Z,11,FALSE)+VLOOKUP($A252,A:AL,16,FALSE)-50</f>
        <v>78</v>
      </c>
      <c r="P252" s="3">
        <v>107</v>
      </c>
      <c r="Q252" s="3">
        <f>VLOOKUP($A252,'SegEnds_NonXtal_BW#'!$A:$Z,12,FALSE)+VLOOKUP($A252,A:AL,16,FALSE)-50</f>
        <v>113</v>
      </c>
      <c r="R252" s="3">
        <f t="shared" si="151"/>
        <v>116</v>
      </c>
      <c r="S252" s="3">
        <v>116</v>
      </c>
      <c r="T252" s="103">
        <f t="shared" si="152"/>
        <v>123</v>
      </c>
      <c r="U252" s="9">
        <f>IF(ISERROR(VLOOKUP($A252,'SegEnds_NonXtal_BW#'!$A:$Z,15,FALSE)+VLOOKUP($A252,A:AL,22,FALSE)-50),"-",VLOOKUP($A252,'SegEnds_NonXtal_BW#'!$A:$Z,15,FALSE)+VLOOKUP($A252,A:AL,22,FALSE)-50)</f>
        <v>124</v>
      </c>
      <c r="V252" s="3">
        <v>136</v>
      </c>
      <c r="W252" s="3">
        <f>IF(ISERROR(VLOOKUP($A252,'SegEnds_NonXtal_BW#'!$A:$Z,16,FALSE)+VLOOKUP($A252,A:AL,22,FALSE)-50),"-",(VLOOKUP($A252,'SegEnds_NonXtal_BW#'!$A:$Z,16,FALSE)+VLOOKUP($A252,A:AL,22,FALSE)-50))</f>
        <v>148</v>
      </c>
      <c r="X252" s="3" t="str">
        <f>IF(ISERROR(VLOOKUP($A252,'SegEnds_NonXtal_BW#'!$A:$Z,17,FALSE)+VLOOKUP($A252,A:AL,25,FALSE)-50),"-",(VLOOKUP($A252,'SegEnds_NonXtal_BW#'!$A:$Z,17,FALSE)+VLOOKUP($A252,A:AL,25,FALSE)-50))</f>
        <v>-</v>
      </c>
      <c r="Y252" s="3" t="s">
        <v>23</v>
      </c>
      <c r="Z252" s="3" t="str">
        <f>IF(ISERROR(VLOOKUP($A252,'SegEnds_NonXtal_BW#'!$A:$Z,18,FALSE)+VLOOKUP($A252,A:AL,25,FALSE)-50),"-",(VLOOKUP($A252,'SegEnds_NonXtal_BW#'!$A:$Z,18,FALSE)+VLOOKUP($A252,A:AL,25,FALSE)-50))</f>
        <v>-</v>
      </c>
      <c r="AA252" s="3">
        <f>IF(ISERROR(VLOOKUP($A252,'SegEnds_NonXtal_BW#'!$A:$Z,19,FALSE)+VLOOKUP($A252,A:AL,28,FALSE)-50),"-",(VLOOKUP($A252,'SegEnds_NonXtal_BW#'!$A:$Z,19,FALSE)+VLOOKUP($A252,A:AL,28,FALSE)-50))</f>
        <v>174</v>
      </c>
      <c r="AB252" s="3">
        <v>192</v>
      </c>
      <c r="AC252" s="3">
        <f>IF(ISERROR((VLOOKUP($A252,'SegEnds_NonXtal_BW#'!$A:$Z,20,FALSE)+VLOOKUP($A252,A:AL,28,FALSE)-50)),"-",(VLOOKUP($A252,'SegEnds_NonXtal_BW#'!$A:$Z,20,FALSE)+VLOOKUP($A252,A:AL,28,FALSE)-50))</f>
        <v>214</v>
      </c>
      <c r="AD252" s="3">
        <f>IF(ISERROR(VLOOKUP($A252,'SegEnds_NonXtal_BW#'!$A:$Z,21,FALSE)+VLOOKUP($A252,A:AL,31,FALSE)-50),"-",(VLOOKUP($A252,'SegEnds_NonXtal_BW#'!$A:$Z,21,FALSE)+VLOOKUP($A252,A:AL,31,FALSE)-50))</f>
        <v>224</v>
      </c>
      <c r="AE252" s="3">
        <v>245</v>
      </c>
      <c r="AF252" s="3">
        <f>IF(ISERROR((VLOOKUP($A252,'SegEnds_NonXtal_BW#'!$A:$Z,22,FALSE)+VLOOKUP($A252,A:AL,31,FALSE)-50)),"-",(VLOOKUP($A252,'SegEnds_NonXtal_BW#'!$A:$Z,22,FALSE)+VLOOKUP($A252,A:AL,31,FALSE)-50))</f>
        <v>256</v>
      </c>
      <c r="AG252" s="3">
        <f>IF(ISERROR(VLOOKUP($A252,'SegEnds_NonXtal_BW#'!$A:$Z,23,FALSE)+VLOOKUP($A252,A:AL,34,FALSE)-50),"-",(VLOOKUP($A252,'SegEnds_NonXtal_BW#'!$A:$Z,23,FALSE)+VLOOKUP($A252,A:AL,34,FALSE)-50))</f>
        <v>262</v>
      </c>
      <c r="AH252" s="3">
        <v>281</v>
      </c>
      <c r="AI252" s="3">
        <f>IF(ISERROR((VLOOKUP($A252,'SegEnds_NonXtal_BW#'!$A:$Z,24,FALSE)+VLOOKUP($A252,A:AL,34,FALSE)-50)),"-",(VLOOKUP($A252,'SegEnds_NonXtal_BW#'!$A:$Z,24,FALSE)+VLOOKUP($A252,A:AL,34,FALSE)-50))</f>
        <v>287</v>
      </c>
      <c r="AJ252" s="3">
        <f>IF(ISERROR(VLOOKUP($A252,'SegEnds_NonXtal_BW#'!$A:$Z,25,FALSE)+VLOOKUP($A252,A:AL,37,FALSE)-50),"-",(VLOOKUP($A252,'SegEnds_NonXtal_BW#'!$A:$Z,25,FALSE)+VLOOKUP($A252,A:AL,37,FALSE)-50))</f>
        <v>288</v>
      </c>
      <c r="AK252" s="3">
        <v>291</v>
      </c>
      <c r="AL252" s="3">
        <f>IF(ISERROR((VLOOKUP($A252,'SegEnds_NonXtal_BW#'!$A:$Z,26,FALSE)+VLOOKUP($A252,A:AL,37,FALSE)-50)),"-",(VLOOKUP($A252,'SegEnds_NonXtal_BW#'!$A:$Z,26,FALSE)+VLOOKUP($A252,A:AL,37,FALSE)-50))</f>
        <v>301</v>
      </c>
      <c r="AM252" s="28" t="str">
        <f>VLOOKUP(A252,Classification!A:B,2,FALSE)</f>
        <v>T</v>
      </c>
      <c r="AN252" s="28" t="b">
        <f t="shared" si="135"/>
        <v>1</v>
      </c>
      <c r="AO252" s="3" t="str">
        <f>IF(ISERROR(MATCH(A252,'SegEnds_Xtal_Prot#'!B:B, 0)), "NoXtal", "Xtal")</f>
        <v>NoXtal</v>
      </c>
      <c r="AP252" s="3">
        <f t="shared" si="120"/>
        <v>1</v>
      </c>
      <c r="AQ252" s="3">
        <f t="shared" si="121"/>
        <v>1</v>
      </c>
      <c r="AR252" s="3" t="str">
        <f t="shared" si="122"/>
        <v>-</v>
      </c>
      <c r="AS252" s="3" t="str">
        <f t="shared" si="123"/>
        <v>-</v>
      </c>
      <c r="AT252" s="3">
        <f t="shared" si="124"/>
        <v>3</v>
      </c>
      <c r="AU252" s="3">
        <f t="shared" si="125"/>
        <v>1</v>
      </c>
      <c r="AV252" s="3" t="str">
        <f t="shared" si="126"/>
        <v>-</v>
      </c>
      <c r="AW252" s="3" t="str">
        <f t="shared" si="127"/>
        <v>-</v>
      </c>
      <c r="AX252" s="3">
        <f t="shared" si="128"/>
        <v>10</v>
      </c>
      <c r="AY252" s="3">
        <f t="shared" si="129"/>
        <v>6</v>
      </c>
      <c r="AZ252" s="3">
        <f t="shared" si="130"/>
        <v>1</v>
      </c>
      <c r="BA252" s="3">
        <f>IF(ISERROR(LEN(VLOOKUP(A252,Seqs!A:E,2,FALSE))-AL252),"-",LEN(VLOOKUP(A252,Seqs!A:E,2,FALSE))-AL252)</f>
        <v>13</v>
      </c>
      <c r="BB252" s="16">
        <f t="shared" si="131"/>
        <v>31</v>
      </c>
      <c r="BC252" s="9">
        <f t="shared" si="132"/>
        <v>20</v>
      </c>
      <c r="BD252" s="3">
        <f t="shared" si="133"/>
        <v>31</v>
      </c>
      <c r="BE252" s="3">
        <f t="shared" si="134"/>
        <v>53</v>
      </c>
      <c r="BF252" s="3">
        <f t="shared" si="147"/>
        <v>36</v>
      </c>
    </row>
    <row r="253" spans="1:58" s="3" customFormat="1" x14ac:dyDescent="0.2">
      <c r="A253" s="3" t="s">
        <v>469</v>
      </c>
      <c r="B253" s="3" t="str">
        <f>LOWER(VLOOKUP(A253,Xtal_Templ!A:B,2,FALSE))</f>
        <v>agtr1_human</v>
      </c>
      <c r="C253" s="3">
        <f>VLOOKUP($A253,'SegEnds_NonXtal_BW#'!$A:$Z,3,FALSE)+D253-50</f>
        <v>6</v>
      </c>
      <c r="D253" s="3">
        <v>24</v>
      </c>
      <c r="E253" s="3">
        <f t="shared" si="148"/>
        <v>36</v>
      </c>
      <c r="F253" s="3">
        <f t="shared" si="149"/>
        <v>37</v>
      </c>
      <c r="G253" s="3">
        <v>39</v>
      </c>
      <c r="H253" s="3">
        <f t="shared" si="150"/>
        <v>40</v>
      </c>
      <c r="I253" s="3">
        <f t="shared" si="150"/>
        <v>41</v>
      </c>
      <c r="J253" s="3">
        <v>55</v>
      </c>
      <c r="K253" s="3">
        <f>VLOOKUP($A253,'SegEnds_NonXtal_BW#'!$A:$Z,8,FALSE)+VLOOKUP($A253,A:AL,10,FALSE)-50</f>
        <v>71</v>
      </c>
      <c r="L253" s="3" t="str">
        <f>IF(ISERROR(VLOOKUP($A253,'SegEnds_NonXtal_BW#'!$A:$Z,9,FALSE)+VLOOKUP($A253,A:AL,13,FALSE)-50),"-",(VLOOKUP($A253,'SegEnds_NonXtal_BW#'!$A:$Z,9,FALSE)+VLOOKUP($A253,A:AL,13,FALSE)-50))</f>
        <v>-</v>
      </c>
      <c r="M253" s="3" t="s">
        <v>23</v>
      </c>
      <c r="N253" s="3" t="str">
        <f>IF(ISERROR(VLOOKUP($A253,'SegEnds_NonXtal_BW#'!$A:$Z,10,FALSE)+VLOOKUP($A253,A:AL,13,FALSE)-50),"-",(VLOOKUP($A253,'SegEnds_NonXtal_BW#'!$A:$Z,10,FALSE)+VLOOKUP($A253,A:AL,13,FALSE)-50))</f>
        <v>-</v>
      </c>
      <c r="O253" s="3">
        <f>VLOOKUP($A253,'SegEnds_NonXtal_BW#'!$A:$Z,11,FALSE)+VLOOKUP($A253,A:AL,16,FALSE)-50</f>
        <v>77</v>
      </c>
      <c r="P253" s="3">
        <v>106</v>
      </c>
      <c r="Q253" s="3">
        <f>VLOOKUP($A253,'SegEnds_NonXtal_BW#'!$A:$Z,12,FALSE)+VLOOKUP($A253,A:AL,16,FALSE)-50</f>
        <v>112</v>
      </c>
      <c r="R253" s="3">
        <f t="shared" si="151"/>
        <v>115</v>
      </c>
      <c r="S253" s="3">
        <v>115</v>
      </c>
      <c r="T253" s="103">
        <f t="shared" si="152"/>
        <v>122</v>
      </c>
      <c r="U253" s="9">
        <f>IF(ISERROR(VLOOKUP($A253,'SegEnds_NonXtal_BW#'!$A:$Z,15,FALSE)+VLOOKUP($A253,A:AL,22,FALSE)-50),"-",VLOOKUP($A253,'SegEnds_NonXtal_BW#'!$A:$Z,15,FALSE)+VLOOKUP($A253,A:AL,22,FALSE)-50)</f>
        <v>123</v>
      </c>
      <c r="V253" s="3">
        <v>135</v>
      </c>
      <c r="W253" s="3">
        <f>IF(ISERROR(VLOOKUP($A253,'SegEnds_NonXtal_BW#'!$A:$Z,16,FALSE)+VLOOKUP($A253,A:AL,22,FALSE)-50),"-",(VLOOKUP($A253,'SegEnds_NonXtal_BW#'!$A:$Z,16,FALSE)+VLOOKUP($A253,A:AL,22,FALSE)-50))</f>
        <v>149</v>
      </c>
      <c r="X253" s="3" t="str">
        <f>IF(ISERROR(VLOOKUP($A253,'SegEnds_NonXtal_BW#'!$A:$Z,17,FALSE)+VLOOKUP($A253,A:AL,25,FALSE)-50),"-",(VLOOKUP($A253,'SegEnds_NonXtal_BW#'!$A:$Z,17,FALSE)+VLOOKUP($A253,A:AL,25,FALSE)-50))</f>
        <v>-</v>
      </c>
      <c r="Y253" s="3" t="s">
        <v>23</v>
      </c>
      <c r="Z253" s="3" t="str">
        <f>IF(ISERROR(VLOOKUP($A253,'SegEnds_NonXtal_BW#'!$A:$Z,18,FALSE)+VLOOKUP($A253,A:AL,25,FALSE)-50),"-",(VLOOKUP($A253,'SegEnds_NonXtal_BW#'!$A:$Z,18,FALSE)+VLOOKUP($A253,A:AL,25,FALSE)-50))</f>
        <v>-</v>
      </c>
      <c r="AA253" s="3">
        <f>IF(ISERROR(VLOOKUP($A253,'SegEnds_NonXtal_BW#'!$A:$Z,19,FALSE)+VLOOKUP($A253,A:AL,28,FALSE)-50),"-",(VLOOKUP($A253,'SegEnds_NonXtal_BW#'!$A:$Z,19,FALSE)+VLOOKUP($A253,A:AL,28,FALSE)-50))</f>
        <v>169</v>
      </c>
      <c r="AB253" s="3">
        <v>187</v>
      </c>
      <c r="AC253" s="3">
        <f>IF(ISERROR((VLOOKUP($A253,'SegEnds_NonXtal_BW#'!$A:$Z,20,FALSE)+VLOOKUP($A253,A:AL,28,FALSE)-50)),"-",(VLOOKUP($A253,'SegEnds_NonXtal_BW#'!$A:$Z,20,FALSE)+VLOOKUP($A253,A:AL,28,FALSE)-50))</f>
        <v>209</v>
      </c>
      <c r="AD253" s="3">
        <f>IF(ISERROR(VLOOKUP($A253,'SegEnds_NonXtal_BW#'!$A:$Z,21,FALSE)+VLOOKUP($A253,A:AL,31,FALSE)-50),"-",(VLOOKUP($A253,'SegEnds_NonXtal_BW#'!$A:$Z,21,FALSE)+VLOOKUP($A253,A:AL,31,FALSE)-50))</f>
        <v>219</v>
      </c>
      <c r="AE253" s="3">
        <v>240</v>
      </c>
      <c r="AF253" s="3">
        <f>IF(ISERROR((VLOOKUP($A253,'SegEnds_NonXtal_BW#'!$A:$Z,22,FALSE)+VLOOKUP($A253,A:AL,31,FALSE)-50)),"-",(VLOOKUP($A253,'SegEnds_NonXtal_BW#'!$A:$Z,22,FALSE)+VLOOKUP($A253,A:AL,31,FALSE)-50))</f>
        <v>251</v>
      </c>
      <c r="AG253" s="3">
        <f>IF(ISERROR(VLOOKUP($A253,'SegEnds_NonXtal_BW#'!$A:$Z,23,FALSE)+VLOOKUP($A253,A:AL,34,FALSE)-50),"-",(VLOOKUP($A253,'SegEnds_NonXtal_BW#'!$A:$Z,23,FALSE)+VLOOKUP($A253,A:AL,34,FALSE)-50))</f>
        <v>257</v>
      </c>
      <c r="AH253" s="3">
        <v>276</v>
      </c>
      <c r="AI253" s="3">
        <f>IF(ISERROR((VLOOKUP($A253,'SegEnds_NonXtal_BW#'!$A:$Z,24,FALSE)+VLOOKUP($A253,A:AL,34,FALSE)-50)),"-",(VLOOKUP($A253,'SegEnds_NonXtal_BW#'!$A:$Z,24,FALSE)+VLOOKUP($A253,A:AL,34,FALSE)-50))</f>
        <v>282</v>
      </c>
      <c r="AJ253" s="3">
        <f>IF(ISERROR(VLOOKUP($A253,'SegEnds_NonXtal_BW#'!$A:$Z,25,FALSE)+VLOOKUP($A253,A:AL,37,FALSE)-50),"-",(VLOOKUP($A253,'SegEnds_NonXtal_BW#'!$A:$Z,25,FALSE)+VLOOKUP($A253,A:AL,37,FALSE)-50))</f>
        <v>283</v>
      </c>
      <c r="AK253" s="3">
        <v>286</v>
      </c>
      <c r="AL253" s="3">
        <f>IF(ISERROR((VLOOKUP($A253,'SegEnds_NonXtal_BW#'!$A:$Z,26,FALSE)+VLOOKUP($A253,A:AL,37,FALSE)-50)),"-",(VLOOKUP($A253,'SegEnds_NonXtal_BW#'!$A:$Z,26,FALSE)+VLOOKUP($A253,A:AL,37,FALSE)-50))</f>
        <v>296</v>
      </c>
      <c r="AM253" s="28" t="str">
        <f>VLOOKUP(A253,Classification!A:B,2,FALSE)</f>
        <v>T</v>
      </c>
      <c r="AN253" s="28" t="b">
        <f t="shared" si="135"/>
        <v>1</v>
      </c>
      <c r="AO253" s="3" t="str">
        <f>IF(ISERROR(MATCH(A253,'SegEnds_Xtal_Prot#'!B:B, 0)), "NoXtal", "Xtal")</f>
        <v>NoXtal</v>
      </c>
      <c r="AP253" s="3">
        <f t="shared" si="120"/>
        <v>1</v>
      </c>
      <c r="AQ253" s="3">
        <f t="shared" si="121"/>
        <v>1</v>
      </c>
      <c r="AR253" s="3" t="str">
        <f t="shared" si="122"/>
        <v>-</v>
      </c>
      <c r="AS253" s="3" t="str">
        <f t="shared" si="123"/>
        <v>-</v>
      </c>
      <c r="AT253" s="3">
        <f t="shared" si="124"/>
        <v>3</v>
      </c>
      <c r="AU253" s="3">
        <f t="shared" si="125"/>
        <v>1</v>
      </c>
      <c r="AV253" s="3" t="str">
        <f t="shared" si="126"/>
        <v>-</v>
      </c>
      <c r="AW253" s="3" t="str">
        <f t="shared" si="127"/>
        <v>-</v>
      </c>
      <c r="AX253" s="3">
        <f t="shared" si="128"/>
        <v>10</v>
      </c>
      <c r="AY253" s="3">
        <f t="shared" si="129"/>
        <v>6</v>
      </c>
      <c r="AZ253" s="3">
        <f t="shared" si="130"/>
        <v>1</v>
      </c>
      <c r="BA253" s="3">
        <f>IF(ISERROR(LEN(VLOOKUP(A253,Seqs!A:E,2,FALSE))-AL253),"-",LEN(VLOOKUP(A253,Seqs!A:E,2,FALSE))-AL253)</f>
        <v>13</v>
      </c>
      <c r="BB253" s="16">
        <f t="shared" si="131"/>
        <v>31</v>
      </c>
      <c r="BC253" s="9">
        <f t="shared" si="132"/>
        <v>20</v>
      </c>
      <c r="BD253" s="3">
        <f t="shared" si="133"/>
        <v>31</v>
      </c>
      <c r="BE253" s="3">
        <f t="shared" si="134"/>
        <v>53</v>
      </c>
      <c r="BF253" s="3">
        <f t="shared" si="147"/>
        <v>36</v>
      </c>
    </row>
    <row r="254" spans="1:58" s="3" customFormat="1" x14ac:dyDescent="0.2">
      <c r="A254" s="3" t="s">
        <v>930</v>
      </c>
      <c r="B254" s="3" t="str">
        <f>LOWER(VLOOKUP(A254,Xtal_Templ!A:B,2,FALSE))</f>
        <v>agtr1_human</v>
      </c>
      <c r="C254" s="3">
        <f>VLOOKUP($A254,'SegEnds_NonXtal_BW#'!$A:$Z,3,FALSE)+D254-50</f>
        <v>6</v>
      </c>
      <c r="D254" s="3">
        <v>24</v>
      </c>
      <c r="E254" s="3">
        <f t="shared" si="148"/>
        <v>36</v>
      </c>
      <c r="F254" s="3">
        <f t="shared" si="149"/>
        <v>37</v>
      </c>
      <c r="G254" s="3">
        <v>39</v>
      </c>
      <c r="H254" s="3">
        <f t="shared" si="150"/>
        <v>40</v>
      </c>
      <c r="I254" s="3">
        <f t="shared" si="150"/>
        <v>41</v>
      </c>
      <c r="J254" s="3">
        <v>55</v>
      </c>
      <c r="K254" s="3">
        <f>VLOOKUP($A254,'SegEnds_NonXtal_BW#'!$A:$Z,8,FALSE)+VLOOKUP($A254,A:AL,10,FALSE)-50</f>
        <v>71</v>
      </c>
      <c r="L254" s="3" t="str">
        <f>IF(ISERROR(VLOOKUP($A254,'SegEnds_NonXtal_BW#'!$A:$Z,9,FALSE)+VLOOKUP($A254,A:AL,13,FALSE)-50),"-",(VLOOKUP($A254,'SegEnds_NonXtal_BW#'!$A:$Z,9,FALSE)+VLOOKUP($A254,A:AL,13,FALSE)-50))</f>
        <v>-</v>
      </c>
      <c r="M254" s="3" t="s">
        <v>23</v>
      </c>
      <c r="N254" s="3" t="str">
        <f>IF(ISERROR(VLOOKUP($A254,'SegEnds_NonXtal_BW#'!$A:$Z,10,FALSE)+VLOOKUP($A254,A:AL,13,FALSE)-50),"-",(VLOOKUP($A254,'SegEnds_NonXtal_BW#'!$A:$Z,10,FALSE)+VLOOKUP($A254,A:AL,13,FALSE)-50))</f>
        <v>-</v>
      </c>
      <c r="O254" s="3">
        <f>VLOOKUP($A254,'SegEnds_NonXtal_BW#'!$A:$Z,11,FALSE)+VLOOKUP($A254,A:AL,16,FALSE)-50</f>
        <v>77</v>
      </c>
      <c r="P254" s="3">
        <v>106</v>
      </c>
      <c r="Q254" s="3">
        <f>VLOOKUP($A254,'SegEnds_NonXtal_BW#'!$A:$Z,12,FALSE)+VLOOKUP($A254,A:AL,16,FALSE)-50</f>
        <v>112</v>
      </c>
      <c r="R254" s="3">
        <f t="shared" si="151"/>
        <v>115</v>
      </c>
      <c r="S254" s="3">
        <v>115</v>
      </c>
      <c r="T254" s="103">
        <f t="shared" si="152"/>
        <v>122</v>
      </c>
      <c r="U254" s="9">
        <f>IF(ISERROR(VLOOKUP($A254,'SegEnds_NonXtal_BW#'!$A:$Z,15,FALSE)+VLOOKUP($A254,A:AL,22,FALSE)-50),"-",VLOOKUP($A254,'SegEnds_NonXtal_BW#'!$A:$Z,15,FALSE)+VLOOKUP($A254,A:AL,22,FALSE)-50)</f>
        <v>123</v>
      </c>
      <c r="V254" s="3">
        <v>135</v>
      </c>
      <c r="W254" s="3">
        <f>IF(ISERROR(VLOOKUP($A254,'SegEnds_NonXtal_BW#'!$A:$Z,16,FALSE)+VLOOKUP($A254,A:AL,22,FALSE)-50),"-",(VLOOKUP($A254,'SegEnds_NonXtal_BW#'!$A:$Z,16,FALSE)+VLOOKUP($A254,A:AL,22,FALSE)-50))</f>
        <v>149</v>
      </c>
      <c r="X254" s="3" t="str">
        <f>IF(ISERROR(VLOOKUP($A254,'SegEnds_NonXtal_BW#'!$A:$Z,17,FALSE)+VLOOKUP($A254,A:AL,25,FALSE)-50),"-",(VLOOKUP($A254,'SegEnds_NonXtal_BW#'!$A:$Z,17,FALSE)+VLOOKUP($A254,A:AL,25,FALSE)-50))</f>
        <v>-</v>
      </c>
      <c r="Y254" s="3" t="s">
        <v>23</v>
      </c>
      <c r="Z254" s="3" t="str">
        <f>IF(ISERROR(VLOOKUP($A254,'SegEnds_NonXtal_BW#'!$A:$Z,18,FALSE)+VLOOKUP($A254,A:AL,25,FALSE)-50),"-",(VLOOKUP($A254,'SegEnds_NonXtal_BW#'!$A:$Z,18,FALSE)+VLOOKUP($A254,A:AL,25,FALSE)-50))</f>
        <v>-</v>
      </c>
      <c r="AA254" s="3">
        <f>IF(ISERROR(VLOOKUP($A254,'SegEnds_NonXtal_BW#'!$A:$Z,19,FALSE)+VLOOKUP($A254,A:AL,28,FALSE)-50),"-",(VLOOKUP($A254,'SegEnds_NonXtal_BW#'!$A:$Z,19,FALSE)+VLOOKUP($A254,A:AL,28,FALSE)-50))</f>
        <v>169</v>
      </c>
      <c r="AB254" s="3">
        <v>187</v>
      </c>
      <c r="AC254" s="3">
        <f>IF(ISERROR((VLOOKUP($A254,'SegEnds_NonXtal_BW#'!$A:$Z,20,FALSE)+VLOOKUP($A254,A:AL,28,FALSE)-50)),"-",(VLOOKUP($A254,'SegEnds_NonXtal_BW#'!$A:$Z,20,FALSE)+VLOOKUP($A254,A:AL,28,FALSE)-50))</f>
        <v>209</v>
      </c>
      <c r="AD254" s="3">
        <f>IF(ISERROR(VLOOKUP($A254,'SegEnds_NonXtal_BW#'!$A:$Z,21,FALSE)+VLOOKUP($A254,A:AL,31,FALSE)-50),"-",(VLOOKUP($A254,'SegEnds_NonXtal_BW#'!$A:$Z,21,FALSE)+VLOOKUP($A254,A:AL,31,FALSE)-50))</f>
        <v>222</v>
      </c>
      <c r="AE254" s="3">
        <v>243</v>
      </c>
      <c r="AF254" s="3">
        <f>IF(ISERROR((VLOOKUP($A254,'SegEnds_NonXtal_BW#'!$A:$Z,22,FALSE)+VLOOKUP($A254,A:AL,31,FALSE)-50)),"-",(VLOOKUP($A254,'SegEnds_NonXtal_BW#'!$A:$Z,22,FALSE)+VLOOKUP($A254,A:AL,31,FALSE)-50))</f>
        <v>254</v>
      </c>
      <c r="AG254" s="3">
        <f>IF(ISERROR(VLOOKUP($A254,'SegEnds_NonXtal_BW#'!$A:$Z,23,FALSE)+VLOOKUP($A254,A:AL,34,FALSE)-50),"-",(VLOOKUP($A254,'SegEnds_NonXtal_BW#'!$A:$Z,23,FALSE)+VLOOKUP($A254,A:AL,34,FALSE)-50))</f>
        <v>259</v>
      </c>
      <c r="AH254" s="3">
        <v>276</v>
      </c>
      <c r="AI254" s="3">
        <f>IF(ISERROR((VLOOKUP($A254,'SegEnds_NonXtal_BW#'!$A:$Z,24,FALSE)+VLOOKUP($A254,A:AL,34,FALSE)-50)),"-",(VLOOKUP($A254,'SegEnds_NonXtal_BW#'!$A:$Z,24,FALSE)+VLOOKUP($A254,A:AL,34,FALSE)-50))</f>
        <v>282</v>
      </c>
      <c r="AJ254" s="3">
        <f>IF(ISERROR(VLOOKUP($A254,'SegEnds_NonXtal_BW#'!$A:$Z,25,FALSE)+VLOOKUP($A254,A:AL,37,FALSE)-50),"-",(VLOOKUP($A254,'SegEnds_NonXtal_BW#'!$A:$Z,25,FALSE)+VLOOKUP($A254,A:AL,37,FALSE)-50))</f>
        <v>283</v>
      </c>
      <c r="AK254" s="3">
        <v>286</v>
      </c>
      <c r="AL254" s="3">
        <f>IF(ISERROR((VLOOKUP($A254,'SegEnds_NonXtal_BW#'!$A:$Z,26,FALSE)+VLOOKUP($A254,A:AL,37,FALSE)-50)),"-",(VLOOKUP($A254,'SegEnds_NonXtal_BW#'!$A:$Z,26,FALSE)+VLOOKUP($A254,A:AL,37,FALSE)-50))</f>
        <v>296</v>
      </c>
      <c r="AM254" s="28" t="str">
        <f>VLOOKUP(A254,Classification!A:B,2,FALSE)</f>
        <v>T</v>
      </c>
      <c r="AN254" s="28" t="b">
        <f t="shared" si="135"/>
        <v>1</v>
      </c>
      <c r="AO254" s="3" t="str">
        <f>IF(ISERROR(MATCH(A254,'SegEnds_Xtal_Prot#'!B:B, 0)), "NoXtal", "Xtal")</f>
        <v>NoXtal</v>
      </c>
      <c r="AP254" s="3">
        <f t="shared" si="120"/>
        <v>1</v>
      </c>
      <c r="AQ254" s="3">
        <f t="shared" si="121"/>
        <v>1</v>
      </c>
      <c r="AR254" s="3" t="str">
        <f t="shared" si="122"/>
        <v>-</v>
      </c>
      <c r="AS254" s="3" t="str">
        <f t="shared" si="123"/>
        <v>-</v>
      </c>
      <c r="AT254" s="3">
        <f t="shared" si="124"/>
        <v>3</v>
      </c>
      <c r="AU254" s="3">
        <f t="shared" si="125"/>
        <v>1</v>
      </c>
      <c r="AV254" s="3" t="str">
        <f t="shared" si="126"/>
        <v>-</v>
      </c>
      <c r="AW254" s="3" t="str">
        <f t="shared" si="127"/>
        <v>-</v>
      </c>
      <c r="AX254" s="3">
        <f t="shared" si="128"/>
        <v>13</v>
      </c>
      <c r="AY254" s="3">
        <f t="shared" si="129"/>
        <v>5</v>
      </c>
      <c r="AZ254" s="3">
        <f t="shared" si="130"/>
        <v>1</v>
      </c>
      <c r="BA254" s="3">
        <f>IF(ISERROR(LEN(VLOOKUP(A254,Seqs!A:E,2,FALSE))-AL254),"-",LEN(VLOOKUP(A254,Seqs!A:E,2,FALSE))-AL254)</f>
        <v>3</v>
      </c>
      <c r="BB254" s="16">
        <f t="shared" si="131"/>
        <v>31</v>
      </c>
      <c r="BC254" s="9">
        <f t="shared" si="132"/>
        <v>20</v>
      </c>
      <c r="BD254" s="3">
        <f t="shared" si="133"/>
        <v>31</v>
      </c>
      <c r="BE254" s="3">
        <f t="shared" si="134"/>
        <v>56</v>
      </c>
      <c r="BF254" s="3">
        <f t="shared" si="147"/>
        <v>33</v>
      </c>
    </row>
    <row r="255" spans="1:58" s="3" customFormat="1" x14ac:dyDescent="0.2">
      <c r="A255" s="3" t="s">
        <v>470</v>
      </c>
      <c r="B255" s="3" t="str">
        <f>LOWER(VLOOKUP(A255,Xtal_Templ!A:B,2,FALSE))</f>
        <v>agtr1_human</v>
      </c>
      <c r="C255" s="3">
        <f>VLOOKUP($A255,'SegEnds_NonXtal_BW#'!$A:$Z,3,FALSE)+D255-50</f>
        <v>6</v>
      </c>
      <c r="D255" s="3">
        <v>24</v>
      </c>
      <c r="E255" s="3">
        <f t="shared" si="148"/>
        <v>36</v>
      </c>
      <c r="F255" s="3">
        <f t="shared" si="149"/>
        <v>37</v>
      </c>
      <c r="G255" s="3">
        <v>39</v>
      </c>
      <c r="H255" s="3">
        <f t="shared" si="150"/>
        <v>40</v>
      </c>
      <c r="I255" s="3">
        <f t="shared" si="150"/>
        <v>41</v>
      </c>
      <c r="J255" s="3">
        <v>55</v>
      </c>
      <c r="K255" s="3">
        <f>VLOOKUP($A255,'SegEnds_NonXtal_BW#'!$A:$Z,8,FALSE)+VLOOKUP($A255,A:AL,10,FALSE)-50</f>
        <v>71</v>
      </c>
      <c r="L255" s="3" t="str">
        <f>IF(ISERROR(VLOOKUP($A255,'SegEnds_NonXtal_BW#'!$A:$Z,9,FALSE)+VLOOKUP($A255,A:AL,13,FALSE)-50),"-",(VLOOKUP($A255,'SegEnds_NonXtal_BW#'!$A:$Z,9,FALSE)+VLOOKUP($A255,A:AL,13,FALSE)-50))</f>
        <v>-</v>
      </c>
      <c r="M255" s="3" t="s">
        <v>23</v>
      </c>
      <c r="N255" s="3" t="str">
        <f>IF(ISERROR(VLOOKUP($A255,'SegEnds_NonXtal_BW#'!$A:$Z,10,FALSE)+VLOOKUP($A255,A:AL,13,FALSE)-50),"-",(VLOOKUP($A255,'SegEnds_NonXtal_BW#'!$A:$Z,10,FALSE)+VLOOKUP($A255,A:AL,13,FALSE)-50))</f>
        <v>-</v>
      </c>
      <c r="O255" s="3">
        <f>VLOOKUP($A255,'SegEnds_NonXtal_BW#'!$A:$Z,11,FALSE)+VLOOKUP($A255,A:AL,16,FALSE)-50</f>
        <v>77</v>
      </c>
      <c r="P255" s="3">
        <v>106</v>
      </c>
      <c r="Q255" s="3">
        <f>VLOOKUP($A255,'SegEnds_NonXtal_BW#'!$A:$Z,12,FALSE)+VLOOKUP($A255,A:AL,16,FALSE)-50</f>
        <v>112</v>
      </c>
      <c r="R255" s="3">
        <f t="shared" si="151"/>
        <v>115</v>
      </c>
      <c r="S255" s="3">
        <v>115</v>
      </c>
      <c r="T255" s="103">
        <f t="shared" si="152"/>
        <v>122</v>
      </c>
      <c r="U255" s="9">
        <f>IF(ISERROR(VLOOKUP($A255,'SegEnds_NonXtal_BW#'!$A:$Z,15,FALSE)+VLOOKUP($A255,A:AL,22,FALSE)-50),"-",VLOOKUP($A255,'SegEnds_NonXtal_BW#'!$A:$Z,15,FALSE)+VLOOKUP($A255,A:AL,22,FALSE)-50)</f>
        <v>123</v>
      </c>
      <c r="V255" s="3">
        <v>135</v>
      </c>
      <c r="W255" s="3">
        <f>IF(ISERROR(VLOOKUP($A255,'SegEnds_NonXtal_BW#'!$A:$Z,16,FALSE)+VLOOKUP($A255,A:AL,22,FALSE)-50),"-",(VLOOKUP($A255,'SegEnds_NonXtal_BW#'!$A:$Z,16,FALSE)+VLOOKUP($A255,A:AL,22,FALSE)-50))</f>
        <v>149</v>
      </c>
      <c r="X255" s="3" t="str">
        <f>IF(ISERROR(VLOOKUP($A255,'SegEnds_NonXtal_BW#'!$A:$Z,17,FALSE)+VLOOKUP($A255,A:AL,25,FALSE)-50),"-",(VLOOKUP($A255,'SegEnds_NonXtal_BW#'!$A:$Z,17,FALSE)+VLOOKUP($A255,A:AL,25,FALSE)-50))</f>
        <v>-</v>
      </c>
      <c r="Y255" s="3" t="s">
        <v>23</v>
      </c>
      <c r="Z255" s="3" t="str">
        <f>IF(ISERROR(VLOOKUP($A255,'SegEnds_NonXtal_BW#'!$A:$Z,18,FALSE)+VLOOKUP($A255,A:AL,25,FALSE)-50),"-",(VLOOKUP($A255,'SegEnds_NonXtal_BW#'!$A:$Z,18,FALSE)+VLOOKUP($A255,A:AL,25,FALSE)-50))</f>
        <v>-</v>
      </c>
      <c r="AA255" s="3">
        <f>IF(ISERROR(VLOOKUP($A255,'SegEnds_NonXtal_BW#'!$A:$Z,19,FALSE)+VLOOKUP($A255,A:AL,28,FALSE)-50),"-",(VLOOKUP($A255,'SegEnds_NonXtal_BW#'!$A:$Z,19,FALSE)+VLOOKUP($A255,A:AL,28,FALSE)-50))</f>
        <v>169</v>
      </c>
      <c r="AB255" s="3">
        <v>187</v>
      </c>
      <c r="AC255" s="3">
        <f>IF(ISERROR((VLOOKUP($A255,'SegEnds_NonXtal_BW#'!$A:$Z,20,FALSE)+VLOOKUP($A255,A:AL,28,FALSE)-50)),"-",(VLOOKUP($A255,'SegEnds_NonXtal_BW#'!$A:$Z,20,FALSE)+VLOOKUP($A255,A:AL,28,FALSE)-50))</f>
        <v>209</v>
      </c>
      <c r="AD255" s="3">
        <f>IF(ISERROR(VLOOKUP($A255,'SegEnds_NonXtal_BW#'!$A:$Z,21,FALSE)+VLOOKUP($A255,A:AL,31,FALSE)-50),"-",(VLOOKUP($A255,'SegEnds_NonXtal_BW#'!$A:$Z,21,FALSE)+VLOOKUP($A255,A:AL,31,FALSE)-50))</f>
        <v>219</v>
      </c>
      <c r="AE255" s="3">
        <v>240</v>
      </c>
      <c r="AF255" s="3">
        <f>IF(ISERROR((VLOOKUP($A255,'SegEnds_NonXtal_BW#'!$A:$Z,22,FALSE)+VLOOKUP($A255,A:AL,31,FALSE)-50)),"-",(VLOOKUP($A255,'SegEnds_NonXtal_BW#'!$A:$Z,22,FALSE)+VLOOKUP($A255,A:AL,31,FALSE)-50))</f>
        <v>251</v>
      </c>
      <c r="AG255" s="3">
        <f>IF(ISERROR(VLOOKUP($A255,'SegEnds_NonXtal_BW#'!$A:$Z,23,FALSE)+VLOOKUP($A255,A:AL,34,FALSE)-50),"-",(VLOOKUP($A255,'SegEnds_NonXtal_BW#'!$A:$Z,23,FALSE)+VLOOKUP($A255,A:AL,34,FALSE)-50))</f>
        <v>257</v>
      </c>
      <c r="AH255" s="3">
        <v>276</v>
      </c>
      <c r="AI255" s="3">
        <f>IF(ISERROR((VLOOKUP($A255,'SegEnds_NonXtal_BW#'!$A:$Z,24,FALSE)+VLOOKUP($A255,A:AL,34,FALSE)-50)),"-",(VLOOKUP($A255,'SegEnds_NonXtal_BW#'!$A:$Z,24,FALSE)+VLOOKUP($A255,A:AL,34,FALSE)-50))</f>
        <v>282</v>
      </c>
      <c r="AJ255" s="3">
        <f>IF(ISERROR(VLOOKUP($A255,'SegEnds_NonXtal_BW#'!$A:$Z,25,FALSE)+VLOOKUP($A255,A:AL,37,FALSE)-50),"-",(VLOOKUP($A255,'SegEnds_NonXtal_BW#'!$A:$Z,25,FALSE)+VLOOKUP($A255,A:AL,37,FALSE)-50))</f>
        <v>283</v>
      </c>
      <c r="AK255" s="3">
        <v>286</v>
      </c>
      <c r="AL255" s="3">
        <f>IF(ISERROR((VLOOKUP($A255,'SegEnds_NonXtal_BW#'!$A:$Z,26,FALSE)+VLOOKUP($A255,A:AL,37,FALSE)-50)),"-",(VLOOKUP($A255,'SegEnds_NonXtal_BW#'!$A:$Z,26,FALSE)+VLOOKUP($A255,A:AL,37,FALSE)-50))</f>
        <v>296</v>
      </c>
      <c r="AM255" s="28" t="str">
        <f>VLOOKUP(A255,Classification!A:B,2,FALSE)</f>
        <v>T</v>
      </c>
      <c r="AN255" s="28" t="b">
        <f t="shared" si="135"/>
        <v>1</v>
      </c>
      <c r="AO255" s="3" t="str">
        <f>IF(ISERROR(MATCH(A255,'SegEnds_Xtal_Prot#'!B:B, 0)), "NoXtal", "Xtal")</f>
        <v>NoXtal</v>
      </c>
      <c r="AP255" s="3">
        <f t="shared" si="120"/>
        <v>1</v>
      </c>
      <c r="AQ255" s="3">
        <f t="shared" si="121"/>
        <v>1</v>
      </c>
      <c r="AR255" s="3" t="str">
        <f t="shared" si="122"/>
        <v>-</v>
      </c>
      <c r="AS255" s="3" t="str">
        <f t="shared" si="123"/>
        <v>-</v>
      </c>
      <c r="AT255" s="3">
        <f t="shared" si="124"/>
        <v>3</v>
      </c>
      <c r="AU255" s="3">
        <f t="shared" si="125"/>
        <v>1</v>
      </c>
      <c r="AV255" s="3" t="str">
        <f t="shared" si="126"/>
        <v>-</v>
      </c>
      <c r="AW255" s="3" t="str">
        <f t="shared" si="127"/>
        <v>-</v>
      </c>
      <c r="AX255" s="3">
        <f t="shared" si="128"/>
        <v>10</v>
      </c>
      <c r="AY255" s="3">
        <f t="shared" si="129"/>
        <v>6</v>
      </c>
      <c r="AZ255" s="3">
        <f t="shared" si="130"/>
        <v>1</v>
      </c>
      <c r="BA255" s="3">
        <f>IF(ISERROR(LEN(VLOOKUP(A255,Seqs!A:E,2,FALSE))-AL255),"-",LEN(VLOOKUP(A255,Seqs!A:E,2,FALSE))-AL255)</f>
        <v>13</v>
      </c>
      <c r="BB255" s="16">
        <f t="shared" si="131"/>
        <v>31</v>
      </c>
      <c r="BC255" s="9">
        <f t="shared" si="132"/>
        <v>20</v>
      </c>
      <c r="BD255" s="3">
        <f t="shared" si="133"/>
        <v>31</v>
      </c>
      <c r="BE255" s="3">
        <f t="shared" si="134"/>
        <v>53</v>
      </c>
      <c r="BF255" s="3">
        <f t="shared" si="147"/>
        <v>36</v>
      </c>
    </row>
    <row r="256" spans="1:58" s="3" customFormat="1" x14ac:dyDescent="0.2">
      <c r="A256" s="3" t="s">
        <v>471</v>
      </c>
      <c r="B256" s="3" t="str">
        <f>LOWER(VLOOKUP(A256,Xtal_Templ!A:B,2,FALSE))</f>
        <v>drd3_human</v>
      </c>
      <c r="C256" s="3">
        <f>VLOOKUP($A256,'SegEnds_NonXtal_BW#'!$A:$Z,3,FALSE)+D256-50</f>
        <v>6</v>
      </c>
      <c r="D256" s="3">
        <v>24</v>
      </c>
      <c r="E256" s="3">
        <f t="shared" si="148"/>
        <v>36</v>
      </c>
      <c r="F256" s="3">
        <f t="shared" si="149"/>
        <v>37</v>
      </c>
      <c r="G256" s="3">
        <v>39</v>
      </c>
      <c r="H256" s="3">
        <f t="shared" si="150"/>
        <v>40</v>
      </c>
      <c r="I256" s="3">
        <f t="shared" si="150"/>
        <v>41</v>
      </c>
      <c r="J256" s="3">
        <v>55</v>
      </c>
      <c r="K256" s="3">
        <f>VLOOKUP($A256,'SegEnds_NonXtal_BW#'!$A:$Z,8,FALSE)+VLOOKUP($A256,A:AL,10,FALSE)-50</f>
        <v>71</v>
      </c>
      <c r="L256" s="3" t="str">
        <f>IF(ISERROR(VLOOKUP($A256,'SegEnds_NonXtal_BW#'!$A:$Z,9,FALSE)+VLOOKUP($A256,A:AL,13,FALSE)-50),"-",(VLOOKUP($A256,'SegEnds_NonXtal_BW#'!$A:$Z,9,FALSE)+VLOOKUP($A256,A:AL,13,FALSE)-50))</f>
        <v>-</v>
      </c>
      <c r="M256" s="3" t="s">
        <v>23</v>
      </c>
      <c r="N256" s="3" t="str">
        <f>IF(ISERROR(VLOOKUP($A256,'SegEnds_NonXtal_BW#'!$A:$Z,10,FALSE)+VLOOKUP($A256,A:AL,13,FALSE)-50),"-",(VLOOKUP($A256,'SegEnds_NonXtal_BW#'!$A:$Z,10,FALSE)+VLOOKUP($A256,A:AL,13,FALSE)-50))</f>
        <v>-</v>
      </c>
      <c r="O256" s="3">
        <f>VLOOKUP($A256,'SegEnds_NonXtal_BW#'!$A:$Z,11,FALSE)+VLOOKUP($A256,A:AL,16,FALSE)-50</f>
        <v>77</v>
      </c>
      <c r="P256" s="3">
        <v>106</v>
      </c>
      <c r="Q256" s="3">
        <f>VLOOKUP($A256,'SegEnds_NonXtal_BW#'!$A:$Z,12,FALSE)+VLOOKUP($A256,A:AL,16,FALSE)-50</f>
        <v>112</v>
      </c>
      <c r="R256" s="3">
        <f t="shared" si="151"/>
        <v>115</v>
      </c>
      <c r="S256" s="3">
        <v>115</v>
      </c>
      <c r="T256" s="103">
        <f t="shared" si="152"/>
        <v>122</v>
      </c>
      <c r="U256" s="9">
        <f>IF(ISERROR(VLOOKUP($A256,'SegEnds_NonXtal_BW#'!$A:$Z,15,FALSE)+VLOOKUP($A256,A:AL,22,FALSE)-50),"-",VLOOKUP($A256,'SegEnds_NonXtal_BW#'!$A:$Z,15,FALSE)+VLOOKUP($A256,A:AL,22,FALSE)-50)</f>
        <v>123</v>
      </c>
      <c r="V256" s="3">
        <v>135</v>
      </c>
      <c r="W256" s="3">
        <f>IF(ISERROR(VLOOKUP($A256,'SegEnds_NonXtal_BW#'!$A:$Z,16,FALSE)+VLOOKUP($A256,A:AL,22,FALSE)-50),"-",(VLOOKUP($A256,'SegEnds_NonXtal_BW#'!$A:$Z,16,FALSE)+VLOOKUP($A256,A:AL,22,FALSE)-50))</f>
        <v>148</v>
      </c>
      <c r="X256" s="3" t="str">
        <f>IF(ISERROR(VLOOKUP($A256,'SegEnds_NonXtal_BW#'!$A:$Z,17,FALSE)+VLOOKUP($A256,A:AL,25,FALSE)-50),"-",(VLOOKUP($A256,'SegEnds_NonXtal_BW#'!$A:$Z,17,FALSE)+VLOOKUP($A256,A:AL,25,FALSE)-50))</f>
        <v>-</v>
      </c>
      <c r="Y256" s="3" t="s">
        <v>23</v>
      </c>
      <c r="Z256" s="3" t="str">
        <f>IF(ISERROR(VLOOKUP($A256,'SegEnds_NonXtal_BW#'!$A:$Z,18,FALSE)+VLOOKUP($A256,A:AL,25,FALSE)-50),"-",(VLOOKUP($A256,'SegEnds_NonXtal_BW#'!$A:$Z,18,FALSE)+VLOOKUP($A256,A:AL,25,FALSE)-50))</f>
        <v>-</v>
      </c>
      <c r="AA256" s="3">
        <f>IF(ISERROR(VLOOKUP($A256,'SegEnds_NonXtal_BW#'!$A:$Z,19,FALSE)+VLOOKUP($A256,A:AL,28,FALSE)-50),"-",(VLOOKUP($A256,'SegEnds_NonXtal_BW#'!$A:$Z,19,FALSE)+VLOOKUP($A256,A:AL,28,FALSE)-50))</f>
        <v>169</v>
      </c>
      <c r="AB256" s="3">
        <v>187</v>
      </c>
      <c r="AC256" s="3">
        <f>IF(ISERROR((VLOOKUP($A256,'SegEnds_NonXtal_BW#'!$A:$Z,20,FALSE)+VLOOKUP($A256,A:AL,28,FALSE)-50)),"-",(VLOOKUP($A256,'SegEnds_NonXtal_BW#'!$A:$Z,20,FALSE)+VLOOKUP($A256,A:AL,28,FALSE)-50))</f>
        <v>209</v>
      </c>
      <c r="AD256" s="3">
        <f>IF(ISERROR(VLOOKUP($A256,'SegEnds_NonXtal_BW#'!$A:$Z,21,FALSE)+VLOOKUP($A256,A:AL,31,FALSE)-50),"-",(VLOOKUP($A256,'SegEnds_NonXtal_BW#'!$A:$Z,21,FALSE)+VLOOKUP($A256,A:AL,31,FALSE)-50))</f>
        <v>219</v>
      </c>
      <c r="AE256" s="3">
        <v>240</v>
      </c>
      <c r="AF256" s="3">
        <f>IF(ISERROR((VLOOKUP($A256,'SegEnds_NonXtal_BW#'!$A:$Z,22,FALSE)+VLOOKUP($A256,A:AL,31,FALSE)-50)),"-",(VLOOKUP($A256,'SegEnds_NonXtal_BW#'!$A:$Z,22,FALSE)+VLOOKUP($A256,A:AL,31,FALSE)-50))</f>
        <v>251</v>
      </c>
      <c r="AG256" s="3">
        <f>IF(ISERROR(VLOOKUP($A256,'SegEnds_NonXtal_BW#'!$A:$Z,23,FALSE)+VLOOKUP($A256,A:AL,34,FALSE)-50),"-",(VLOOKUP($A256,'SegEnds_NonXtal_BW#'!$A:$Z,23,FALSE)+VLOOKUP($A256,A:AL,34,FALSE)-50))</f>
        <v>257</v>
      </c>
      <c r="AH256" s="3">
        <v>276</v>
      </c>
      <c r="AI256" s="3">
        <f>IF(ISERROR((VLOOKUP($A256,'SegEnds_NonXtal_BW#'!$A:$Z,24,FALSE)+VLOOKUP($A256,A:AL,34,FALSE)-50)),"-",(VLOOKUP($A256,'SegEnds_NonXtal_BW#'!$A:$Z,24,FALSE)+VLOOKUP($A256,A:AL,34,FALSE)-50))</f>
        <v>282</v>
      </c>
      <c r="AJ256" s="3">
        <f>IF(ISERROR(VLOOKUP($A256,'SegEnds_NonXtal_BW#'!$A:$Z,25,FALSE)+VLOOKUP($A256,A:AL,37,FALSE)-50),"-",(VLOOKUP($A256,'SegEnds_NonXtal_BW#'!$A:$Z,25,FALSE)+VLOOKUP($A256,A:AL,37,FALSE)-50))</f>
        <v>283</v>
      </c>
      <c r="AK256" s="3">
        <v>286</v>
      </c>
      <c r="AL256" s="3">
        <f>IF(ISERROR((VLOOKUP($A256,'SegEnds_NonXtal_BW#'!$A:$Z,26,FALSE)+VLOOKUP($A256,A:AL,37,FALSE)-50)),"-",(VLOOKUP($A256,'SegEnds_NonXtal_BW#'!$A:$Z,26,FALSE)+VLOOKUP($A256,A:AL,37,FALSE)-50))</f>
        <v>296</v>
      </c>
      <c r="AM256" s="28" t="str">
        <f>VLOOKUP(A256,Classification!A:B,2,FALSE)</f>
        <v>T</v>
      </c>
      <c r="AN256" s="28" t="b">
        <f t="shared" si="135"/>
        <v>1</v>
      </c>
      <c r="AO256" s="3" t="str">
        <f>IF(ISERROR(MATCH(A256,'SegEnds_Xtal_Prot#'!B:B, 0)), "NoXtal", "Xtal")</f>
        <v>NoXtal</v>
      </c>
      <c r="AP256" s="3">
        <f t="shared" si="120"/>
        <v>1</v>
      </c>
      <c r="AQ256" s="3">
        <f t="shared" si="121"/>
        <v>1</v>
      </c>
      <c r="AR256" s="3" t="str">
        <f t="shared" si="122"/>
        <v>-</v>
      </c>
      <c r="AS256" s="3" t="str">
        <f t="shared" si="123"/>
        <v>-</v>
      </c>
      <c r="AT256" s="3">
        <f t="shared" si="124"/>
        <v>3</v>
      </c>
      <c r="AU256" s="3">
        <f t="shared" si="125"/>
        <v>1</v>
      </c>
      <c r="AV256" s="3" t="str">
        <f t="shared" si="126"/>
        <v>-</v>
      </c>
      <c r="AW256" s="3" t="str">
        <f t="shared" si="127"/>
        <v>-</v>
      </c>
      <c r="AX256" s="3">
        <f t="shared" si="128"/>
        <v>10</v>
      </c>
      <c r="AY256" s="3">
        <f t="shared" si="129"/>
        <v>6</v>
      </c>
      <c r="AZ256" s="3">
        <f t="shared" si="130"/>
        <v>1</v>
      </c>
      <c r="BA256" s="3">
        <f>IF(ISERROR(LEN(VLOOKUP(A256,Seqs!A:E,2,FALSE))-AL256),"-",LEN(VLOOKUP(A256,Seqs!A:E,2,FALSE))-AL256)</f>
        <v>3</v>
      </c>
      <c r="BB256" s="16">
        <f t="shared" si="131"/>
        <v>31</v>
      </c>
      <c r="BC256" s="9">
        <f t="shared" si="132"/>
        <v>20</v>
      </c>
      <c r="BD256" s="3">
        <f t="shared" si="133"/>
        <v>31</v>
      </c>
      <c r="BE256" s="3">
        <f t="shared" si="134"/>
        <v>53</v>
      </c>
      <c r="BF256" s="3">
        <f t="shared" si="147"/>
        <v>36</v>
      </c>
    </row>
    <row r="257" spans="1:58" s="3" customFormat="1" x14ac:dyDescent="0.2">
      <c r="A257" s="3" t="s">
        <v>472</v>
      </c>
      <c r="B257" s="3" t="str">
        <f>LOWER(VLOOKUP(A257,Xtal_Templ!A:B,2,FALSE))</f>
        <v>oprk_human</v>
      </c>
      <c r="C257" s="3">
        <f>VLOOKUP($A257,'SegEnds_NonXtal_BW#'!$A:$Z,3,FALSE)+D257-50</f>
        <v>17</v>
      </c>
      <c r="D257" s="3">
        <v>35</v>
      </c>
      <c r="E257" s="3">
        <f t="shared" si="148"/>
        <v>47</v>
      </c>
      <c r="F257" s="3">
        <f t="shared" si="149"/>
        <v>48</v>
      </c>
      <c r="G257" s="3">
        <v>50</v>
      </c>
      <c r="H257" s="3">
        <f t="shared" si="150"/>
        <v>51</v>
      </c>
      <c r="I257" s="3">
        <f t="shared" si="150"/>
        <v>52</v>
      </c>
      <c r="J257" s="3">
        <v>66</v>
      </c>
      <c r="K257" s="3">
        <f>VLOOKUP($A257,'SegEnds_NonXtal_BW#'!$A:$Z,8,FALSE)+VLOOKUP($A257,A:AL,10,FALSE)-50</f>
        <v>82</v>
      </c>
      <c r="L257" s="3" t="str">
        <f>IF(ISERROR(VLOOKUP($A257,'SegEnds_NonXtal_BW#'!$A:$Z,9,FALSE)+VLOOKUP($A257,A:AL,13,FALSE)-50),"-",(VLOOKUP($A257,'SegEnds_NonXtal_BW#'!$A:$Z,9,FALSE)+VLOOKUP($A257,A:AL,13,FALSE)-50))</f>
        <v>-</v>
      </c>
      <c r="M257" s="3" t="s">
        <v>23</v>
      </c>
      <c r="N257" s="3" t="str">
        <f>IF(ISERROR(VLOOKUP($A257,'SegEnds_NonXtal_BW#'!$A:$Z,10,FALSE)+VLOOKUP($A257,A:AL,13,FALSE)-50),"-",(VLOOKUP($A257,'SegEnds_NonXtal_BW#'!$A:$Z,10,FALSE)+VLOOKUP($A257,A:AL,13,FALSE)-50))</f>
        <v>-</v>
      </c>
      <c r="O257" s="3">
        <f>VLOOKUP($A257,'SegEnds_NonXtal_BW#'!$A:$Z,11,FALSE)+VLOOKUP($A257,A:AL,16,FALSE)-50</f>
        <v>86</v>
      </c>
      <c r="P257" s="3">
        <v>118</v>
      </c>
      <c r="Q257" s="3">
        <f>VLOOKUP($A257,'SegEnds_NonXtal_BW#'!$A:$Z,12,FALSE)+VLOOKUP($A257,A:AL,16,FALSE)-50</f>
        <v>124</v>
      </c>
      <c r="R257" s="3">
        <f t="shared" si="151"/>
        <v>127</v>
      </c>
      <c r="S257" s="3">
        <v>127</v>
      </c>
      <c r="T257" s="103">
        <f t="shared" si="152"/>
        <v>134</v>
      </c>
      <c r="U257" s="9">
        <f>IF(ISERROR(VLOOKUP($A257,'SegEnds_NonXtal_BW#'!$A:$Z,15,FALSE)+VLOOKUP($A257,A:AL,22,FALSE)-50),"-",VLOOKUP($A257,'SegEnds_NonXtal_BW#'!$A:$Z,15,FALSE)+VLOOKUP($A257,A:AL,22,FALSE)-50)</f>
        <v>135</v>
      </c>
      <c r="V257" s="3">
        <v>147</v>
      </c>
      <c r="W257" s="3">
        <f>IF(ISERROR(VLOOKUP($A257,'SegEnds_NonXtal_BW#'!$A:$Z,16,FALSE)+VLOOKUP($A257,A:AL,22,FALSE)-50),"-",(VLOOKUP($A257,'SegEnds_NonXtal_BW#'!$A:$Z,16,FALSE)+VLOOKUP($A257,A:AL,22,FALSE)-50))</f>
        <v>161</v>
      </c>
      <c r="X257" s="3" t="str">
        <f>IF(ISERROR(VLOOKUP($A257,'SegEnds_NonXtal_BW#'!$A:$Z,17,FALSE)+VLOOKUP($A257,A:AL,25,FALSE)-50),"-",(VLOOKUP($A257,'SegEnds_NonXtal_BW#'!$A:$Z,17,FALSE)+VLOOKUP($A257,A:AL,25,FALSE)-50))</f>
        <v>-</v>
      </c>
      <c r="Y257" s="3" t="s">
        <v>23</v>
      </c>
      <c r="Z257" s="3" t="str">
        <f>IF(ISERROR(VLOOKUP($A257,'SegEnds_NonXtal_BW#'!$A:$Z,18,FALSE)+VLOOKUP($A257,A:AL,25,FALSE)-50),"-",(VLOOKUP($A257,'SegEnds_NonXtal_BW#'!$A:$Z,18,FALSE)+VLOOKUP($A257,A:AL,25,FALSE)-50))</f>
        <v>-</v>
      </c>
      <c r="AA257" s="3">
        <f>IF(ISERROR(VLOOKUP($A257,'SegEnds_NonXtal_BW#'!$A:$Z,19,FALSE)+VLOOKUP($A257,A:AL,28,FALSE)-50),"-",(VLOOKUP($A257,'SegEnds_NonXtal_BW#'!$A:$Z,19,FALSE)+VLOOKUP($A257,A:AL,28,FALSE)-50))</f>
        <v>187</v>
      </c>
      <c r="AB257" s="3">
        <v>205</v>
      </c>
      <c r="AC257" s="3">
        <f>IF(ISERROR((VLOOKUP($A257,'SegEnds_NonXtal_BW#'!$A:$Z,20,FALSE)+VLOOKUP($A257,A:AL,28,FALSE)-50)),"-",(VLOOKUP($A257,'SegEnds_NonXtal_BW#'!$A:$Z,20,FALSE)+VLOOKUP($A257,A:AL,28,FALSE)-50))</f>
        <v>227</v>
      </c>
      <c r="AD257" s="3">
        <f>IF(ISERROR(VLOOKUP($A257,'SegEnds_NonXtal_BW#'!$A:$Z,21,FALSE)+VLOOKUP($A257,A:AL,31,FALSE)-50),"-",(VLOOKUP($A257,'SegEnds_NonXtal_BW#'!$A:$Z,21,FALSE)+VLOOKUP($A257,A:AL,31,FALSE)-50))</f>
        <v>237</v>
      </c>
      <c r="AE257" s="3">
        <v>258</v>
      </c>
      <c r="AF257" s="3">
        <f>IF(ISERROR((VLOOKUP($A257,'SegEnds_NonXtal_BW#'!$A:$Z,22,FALSE)+VLOOKUP($A257,A:AL,31,FALSE)-50)),"-",(VLOOKUP($A257,'SegEnds_NonXtal_BW#'!$A:$Z,22,FALSE)+VLOOKUP($A257,A:AL,31,FALSE)-50))</f>
        <v>269</v>
      </c>
      <c r="AG257" s="3">
        <f>IF(ISERROR(VLOOKUP($A257,'SegEnds_NonXtal_BW#'!$A:$Z,23,FALSE)+VLOOKUP($A257,A:AL,34,FALSE)-50),"-",(VLOOKUP($A257,'SegEnds_NonXtal_BW#'!$A:$Z,23,FALSE)+VLOOKUP($A257,A:AL,34,FALSE)-50))</f>
        <v>274</v>
      </c>
      <c r="AH257" s="3">
        <v>293</v>
      </c>
      <c r="AI257" s="3">
        <f>IF(ISERROR((VLOOKUP($A257,'SegEnds_NonXtal_BW#'!$A:$Z,24,FALSE)+VLOOKUP($A257,A:AL,34,FALSE)-50)),"-",(VLOOKUP($A257,'SegEnds_NonXtal_BW#'!$A:$Z,24,FALSE)+VLOOKUP($A257,A:AL,34,FALSE)-50))</f>
        <v>299</v>
      </c>
      <c r="AJ257" s="3">
        <f>IF(ISERROR(VLOOKUP($A257,'SegEnds_NonXtal_BW#'!$A:$Z,25,FALSE)+VLOOKUP($A257,A:AL,37,FALSE)-50),"-",(VLOOKUP($A257,'SegEnds_NonXtal_BW#'!$A:$Z,25,FALSE)+VLOOKUP($A257,A:AL,37,FALSE)-50))</f>
        <v>300</v>
      </c>
      <c r="AK257" s="3">
        <v>303</v>
      </c>
      <c r="AL257" s="3">
        <f>IF(ISERROR((VLOOKUP($A257,'SegEnds_NonXtal_BW#'!$A:$Z,26,FALSE)+VLOOKUP($A257,A:AL,37,FALSE)-50)),"-",(VLOOKUP($A257,'SegEnds_NonXtal_BW#'!$A:$Z,26,FALSE)+VLOOKUP($A257,A:AL,37,FALSE)-50))</f>
        <v>313</v>
      </c>
      <c r="AM257" s="28" t="str">
        <f>VLOOKUP(A257,Classification!A:B,2,FALSE)</f>
        <v>T</v>
      </c>
      <c r="AN257" s="28" t="b">
        <f t="shared" si="135"/>
        <v>1</v>
      </c>
      <c r="AO257" s="3" t="str">
        <f>IF(ISERROR(MATCH(A257,'SegEnds_Xtal_Prot#'!B:B, 0)), "NoXtal", "Xtal")</f>
        <v>NoXtal</v>
      </c>
      <c r="AP257" s="3">
        <f t="shared" si="120"/>
        <v>1</v>
      </c>
      <c r="AQ257" s="3">
        <f t="shared" si="121"/>
        <v>1</v>
      </c>
      <c r="AR257" s="3" t="str">
        <f t="shared" si="122"/>
        <v>-</v>
      </c>
      <c r="AS257" s="3" t="str">
        <f t="shared" si="123"/>
        <v>-</v>
      </c>
      <c r="AT257" s="3">
        <f t="shared" si="124"/>
        <v>3</v>
      </c>
      <c r="AU257" s="3">
        <f t="shared" si="125"/>
        <v>1</v>
      </c>
      <c r="AV257" s="3" t="str">
        <f t="shared" si="126"/>
        <v>-</v>
      </c>
      <c r="AW257" s="3" t="str">
        <f t="shared" si="127"/>
        <v>-</v>
      </c>
      <c r="AX257" s="3">
        <f t="shared" si="128"/>
        <v>10</v>
      </c>
      <c r="AY257" s="3">
        <f t="shared" si="129"/>
        <v>5</v>
      </c>
      <c r="AZ257" s="3">
        <f t="shared" si="130"/>
        <v>1</v>
      </c>
      <c r="BA257" s="3">
        <f>IF(ISERROR(LEN(VLOOKUP(A257,Seqs!A:E,2,FALSE))-AL257),"-",LEN(VLOOKUP(A257,Seqs!A:E,2,FALSE))-AL257)</f>
        <v>5</v>
      </c>
      <c r="BB257" s="16">
        <f t="shared" si="131"/>
        <v>31</v>
      </c>
      <c r="BC257" s="9">
        <f t="shared" si="132"/>
        <v>20</v>
      </c>
      <c r="BD257" s="3">
        <f t="shared" si="133"/>
        <v>31</v>
      </c>
      <c r="BE257" s="3">
        <f t="shared" si="134"/>
        <v>53</v>
      </c>
      <c r="BF257" s="3">
        <f t="shared" si="147"/>
        <v>35</v>
      </c>
    </row>
    <row r="258" spans="1:58" s="3" customFormat="1" x14ac:dyDescent="0.2">
      <c r="A258" s="3" t="s">
        <v>473</v>
      </c>
      <c r="B258" s="3" t="str">
        <f>LOWER(VLOOKUP(A258,Xtal_Templ!A:B,2,FALSE))</f>
        <v>cnr1_human</v>
      </c>
      <c r="C258" s="3">
        <f>VLOOKUP($A258,'SegEnds_NonXtal_BW#'!$A:$Z,3,FALSE)+D258-50</f>
        <v>20</v>
      </c>
      <c r="D258" s="3">
        <v>42</v>
      </c>
      <c r="E258" s="3">
        <f>IF(ISERROR(VLOOKUP($A258,'SegEnds_NonXtal_BW#'!$A:$Z,4,FALSE)+VLOOKUP($A258,A:AL,4,FALSE)-50),"-",(VLOOKUP($A258,'SegEnds_NonXtal_BW#'!$A:$Z,4,FALSE)+VLOOKUP($A258,A:AL,4,FALSE)-50))</f>
        <v>52</v>
      </c>
      <c r="F258" s="3" t="str">
        <f>IF(ISERROR(VLOOKUP($A258,'SegEnds_NonXtal_BW#'!$A:$Z,5,FALSE)+VLOOKUP($A258,A:AL,7,FALSE)-50),"-",(VLOOKUP($A258,'SegEnds_NonXtal_BW#'!$A:$Z,5,FALSE)+VLOOKUP($A258,A:AL,7,FALSE)-50))</f>
        <v>-</v>
      </c>
      <c r="G258" s="3" t="s">
        <v>23</v>
      </c>
      <c r="H258" s="3" t="str">
        <f>IF(ISERROR(VLOOKUP($A258,'SegEnds_NonXtal_BW#'!$A:$Z,6,FALSE)+VLOOKUP($A258,A:AL,7,FALSE)-50),"-",(VLOOKUP($A258,'SegEnds_NonXtal_BW#'!$A:$Z,6,FALSE)+VLOOKUP($A258,A:AL,7,FALSE)-50))</f>
        <v>-</v>
      </c>
      <c r="I258" s="3">
        <f>VLOOKUP($A258,'SegEnds_NonXtal_BW#'!$A:$Z,7,FALSE)+J258-50</f>
        <v>61</v>
      </c>
      <c r="J258" s="3">
        <v>74</v>
      </c>
      <c r="K258" s="3">
        <f>VLOOKUP($A258,'SegEnds_NonXtal_BW#'!$A:$Z,8,FALSE)+VLOOKUP($A258,A:AL,10,FALSE)-50</f>
        <v>91</v>
      </c>
      <c r="L258" s="3">
        <f>M258-1</f>
        <v>94</v>
      </c>
      <c r="M258" s="3">
        <v>95</v>
      </c>
      <c r="N258" s="3">
        <f>M258+2</f>
        <v>97</v>
      </c>
      <c r="O258" s="3">
        <f>N258+1</f>
        <v>98</v>
      </c>
      <c r="P258" s="3">
        <v>130</v>
      </c>
      <c r="Q258" s="3">
        <f>VLOOKUP($A258,'SegEnds_NonXtal_BW#'!$A:$Z,12,FALSE)+VLOOKUP($A258,A:AL,16,FALSE)-50</f>
        <v>136</v>
      </c>
      <c r="R258" s="3">
        <f>IF(ISERROR(VLOOKUP($A258,'SegEnds_NonXtal_BW#'!$A:$Z,13,FALSE)+VLOOKUP($A258,A:AL,19,FALSE)-50),"-",VLOOKUP($A258,'SegEnds_NonXtal_BW#'!$A:$Z,13,FALSE)+VLOOKUP($A258,A:AL,19,FALSE)-50)</f>
        <v>137</v>
      </c>
      <c r="S258" s="3">
        <v>137</v>
      </c>
      <c r="T258" s="103">
        <f>IF(ISERROR(VLOOKUP($A258,'SegEnds_NonXtal_BW#'!$A:$Z,14,FALSE)+VLOOKUP($A258,A:AL,19,FALSE)-50),"-",(VLOOKUP($A258,'SegEnds_NonXtal_BW#'!$A:$Z,14,FALSE)+VLOOKUP($A258,A:AL,19,FALSE)-50))</f>
        <v>144</v>
      </c>
      <c r="U258" s="9">
        <f>IF(ISERROR(VLOOKUP($A258,'SegEnds_NonXtal_BW#'!$A:$Z,15,FALSE)+VLOOKUP($A258,A:AL,22,FALSE)-50),"-",VLOOKUP($A258,'SegEnds_NonXtal_BW#'!$A:$Z,15,FALSE)+VLOOKUP($A258,A:AL,22,FALSE)-50)</f>
        <v>145</v>
      </c>
      <c r="V258" s="3">
        <v>157</v>
      </c>
      <c r="W258" s="3">
        <f>IF(ISERROR(VLOOKUP($A258,'SegEnds_NonXtal_BW#'!$A:$Z,16,FALSE)+VLOOKUP($A258,A:AL,22,FALSE)-50),"-",(VLOOKUP($A258,'SegEnds_NonXtal_BW#'!$A:$Z,16,FALSE)+VLOOKUP($A258,A:AL,22,FALSE)-50))</f>
        <v>170</v>
      </c>
      <c r="X258" s="3">
        <f>Y258</f>
        <v>183</v>
      </c>
      <c r="Y258" s="3">
        <v>183</v>
      </c>
      <c r="Z258" s="3">
        <f>Y258+2</f>
        <v>185</v>
      </c>
      <c r="AA258" s="3">
        <f>IF(ISERROR(VLOOKUP($A258,'SegEnds_NonXtal_BW#'!$A:$Z,19,FALSE)+VLOOKUP($A258,A:AL,28,FALSE)-50),"-",(VLOOKUP($A258,'SegEnds_NonXtal_BW#'!$A:$Z,19,FALSE)+VLOOKUP($A258,A:AL,28,FALSE)-50))</f>
        <v>204</v>
      </c>
      <c r="AB258" s="3">
        <v>218</v>
      </c>
      <c r="AC258" s="3">
        <f>IF(ISERROR((VLOOKUP($A258,'SegEnds_NonXtal_BW#'!$A:$Z,20,FALSE)+VLOOKUP($A258,A:AL,28,FALSE)-50)),"-",(VLOOKUP($A258,'SegEnds_NonXtal_BW#'!$A:$Z,20,FALSE)+VLOOKUP($A258,A:AL,28,FALSE)-50))</f>
        <v>236</v>
      </c>
      <c r="AD258" s="3">
        <f>IF(ISERROR(VLOOKUP($A258,'SegEnds_NonXtal_BW#'!$A:$Z,21,FALSE)+VLOOKUP($A258,A:AL,31,FALSE)-50),"-",(VLOOKUP($A258,'SegEnds_NonXtal_BW#'!$A:$Z,21,FALSE)+VLOOKUP($A258,A:AL,31,FALSE)-50))</f>
        <v>240</v>
      </c>
      <c r="AE258" s="3">
        <v>260</v>
      </c>
      <c r="AF258" s="3">
        <f>IF(ISERROR((VLOOKUP($A258,'SegEnds_NonXtal_BW#'!$A:$Z,22,FALSE)+VLOOKUP($A258,A:AL,31,FALSE)-50)),"-",(VLOOKUP($A258,'SegEnds_NonXtal_BW#'!$A:$Z,22,FALSE)+VLOOKUP($A258,A:AL,31,FALSE)-50))</f>
        <v>274</v>
      </c>
      <c r="AG258" s="3">
        <f>IF(ISERROR(VLOOKUP($A258,'SegEnds_NonXtal_BW#'!$A:$Z,23,FALSE)+VLOOKUP($A258,A:AL,34,FALSE)-50),"-",(VLOOKUP($A258,'SegEnds_NonXtal_BW#'!$A:$Z,23,FALSE)+VLOOKUP($A258,A:AL,34,FALSE)-50))</f>
        <v>279</v>
      </c>
      <c r="AH258" s="3">
        <v>305</v>
      </c>
      <c r="AI258" s="3">
        <f>IF(ISERROR((VLOOKUP($A258,'SegEnds_NonXtal_BW#'!$A:$Z,24,FALSE)+VLOOKUP($A258,A:AL,34,FALSE)-50)),"-",(VLOOKUP($A258,'SegEnds_NonXtal_BW#'!$A:$Z,24,FALSE)+VLOOKUP($A258,A:AL,34,FALSE)-50))</f>
        <v>311</v>
      </c>
      <c r="AJ258" s="3">
        <f>IF(ISERROR(VLOOKUP($A258,'SegEnds_NonXtal_BW#'!$A:$Z,25,FALSE)+VLOOKUP($A258,A:AL,37,FALSE)-50),"-",(VLOOKUP($A258,'SegEnds_NonXtal_BW#'!$A:$Z,25,FALSE)+VLOOKUP($A258,A:AL,37,FALSE)-50))</f>
        <v>312</v>
      </c>
      <c r="AK258" s="3">
        <v>315</v>
      </c>
      <c r="AL258" s="3">
        <f>IF(ISERROR((VLOOKUP($A258,'SegEnds_NonXtal_BW#'!$A:$Z,26,FALSE)+VLOOKUP($A258,A:AL,37,FALSE)-50)),"-",(VLOOKUP($A258,'SegEnds_NonXtal_BW#'!$A:$Z,26,FALSE)+VLOOKUP($A258,A:AL,37,FALSE)-50))</f>
        <v>324</v>
      </c>
      <c r="AM258" s="28" t="str">
        <f>VLOOKUP(A258,Classification!A:B,2,FALSE)</f>
        <v>A</v>
      </c>
      <c r="AN258" s="28" t="b">
        <f t="shared" si="135"/>
        <v>1</v>
      </c>
      <c r="AO258" s="3" t="str">
        <f>IF(ISERROR(MATCH(A258,'SegEnds_Xtal_Prot#'!B:B, 0)), "NoXtal", "Xtal")</f>
        <v>NoXtal</v>
      </c>
      <c r="AP258" s="3" t="str">
        <f t="shared" ref="AP258:AP321" si="153">IF(ISERROR(F258-E258),"-",F258-E258)</f>
        <v>-</v>
      </c>
      <c r="AQ258" s="3" t="str">
        <f t="shared" ref="AQ258:AQ321" si="154">IF(ISERROR(I258-H258),"-",I258-H258)</f>
        <v>-</v>
      </c>
      <c r="AR258" s="3">
        <f t="shared" ref="AR258:AR321" si="155">IF(ISERROR(L258-K258),"-",L258-K258)</f>
        <v>3</v>
      </c>
      <c r="AS258" s="3">
        <f t="shared" ref="AS258:AS321" si="156">IF(ISERROR(O258-N258),"-",O258-N258)</f>
        <v>1</v>
      </c>
      <c r="AT258" s="3">
        <f t="shared" ref="AT258:AT321" si="157">IF(ISERROR(R258-Q258),"-",R258-Q258)</f>
        <v>1</v>
      </c>
      <c r="AU258" s="3">
        <f t="shared" ref="AU258:AU321" si="158">IF(ISERROR(U258-T258),"-",U258-T258)</f>
        <v>1</v>
      </c>
      <c r="AV258" s="3">
        <f t="shared" ref="AV258:AV321" si="159">IF(ISERROR(X258-W258),"-",X258-W258)</f>
        <v>13</v>
      </c>
      <c r="AW258" s="3">
        <f t="shared" ref="AW258:AW321" si="160">IF(ISERROR(AA258-Z258),"-",AA258-Z258)</f>
        <v>19</v>
      </c>
      <c r="AX258" s="3">
        <f t="shared" ref="AX258:AX321" si="161">IF(ISERROR(AD258-AC258),"-",AD258-AC258)</f>
        <v>4</v>
      </c>
      <c r="AY258" s="3">
        <f t="shared" ref="AY258:AY321" si="162">IF(ISERROR(AG258-AF258),"-",AG258-AF258)</f>
        <v>5</v>
      </c>
      <c r="AZ258" s="3">
        <f t="shared" ref="AZ258:AZ321" si="163">IF(ISERROR(AJ258-AI258),"-",AJ258-AI258)</f>
        <v>1</v>
      </c>
      <c r="BA258" s="3">
        <f>IF(ISERROR(LEN(VLOOKUP(A258,Seqs!A:E,2,FALSE))-AL258),"-",LEN(VLOOKUP(A258,Seqs!A:E,2,FALSE))-AL258)</f>
        <v>19</v>
      </c>
      <c r="BB258" s="16">
        <f t="shared" ref="BB258:BB321" si="164">J258-D258</f>
        <v>32</v>
      </c>
      <c r="BC258" s="9">
        <f t="shared" ref="BC258:BC321" si="165">IF(ISERROR(V258-S258),"-",V258-S258)</f>
        <v>20</v>
      </c>
      <c r="BD258" s="3">
        <f t="shared" ref="BD258:BD321" si="166">J258-D258</f>
        <v>32</v>
      </c>
      <c r="BE258" s="3">
        <f t="shared" ref="BE258:BE321" si="167">AE258-AB258</f>
        <v>42</v>
      </c>
      <c r="BF258" s="3">
        <f t="shared" si="147"/>
        <v>45</v>
      </c>
    </row>
    <row r="259" spans="1:58" s="3" customFormat="1" x14ac:dyDescent="0.2">
      <c r="A259" s="3" t="s">
        <v>474</v>
      </c>
      <c r="B259" s="3" t="str">
        <f>LOWER(VLOOKUP(A259,Xtal_Templ!A:B,2,FALSE))</f>
        <v>cxcr4_human</v>
      </c>
      <c r="C259" s="3">
        <f>VLOOKUP($A259,'SegEnds_NonXtal_BW#'!$A:$Z,3,FALSE)+D259-50</f>
        <v>6</v>
      </c>
      <c r="D259" s="3">
        <v>24</v>
      </c>
      <c r="E259" s="3">
        <f t="shared" ref="E259:E265" si="168">F259-1</f>
        <v>36</v>
      </c>
      <c r="F259" s="3">
        <f t="shared" ref="F259:F286" si="169">G259-2</f>
        <v>37</v>
      </c>
      <c r="G259" s="3">
        <v>39</v>
      </c>
      <c r="H259" s="3">
        <f t="shared" ref="H259:I286" si="170">G259+1</f>
        <v>40</v>
      </c>
      <c r="I259" s="3">
        <f t="shared" si="170"/>
        <v>41</v>
      </c>
      <c r="J259" s="3">
        <v>55</v>
      </c>
      <c r="K259" s="3">
        <f>VLOOKUP($A259,'SegEnds_NonXtal_BW#'!$A:$Z,8,FALSE)+VLOOKUP($A259,A:AL,10,FALSE)-50</f>
        <v>71</v>
      </c>
      <c r="L259" s="3" t="str">
        <f>IF(ISERROR(VLOOKUP($A259,'SegEnds_NonXtal_BW#'!$A:$Z,9,FALSE)+VLOOKUP($A259,A:AL,13,FALSE)-50),"-",(VLOOKUP($A259,'SegEnds_NonXtal_BW#'!$A:$Z,9,FALSE)+VLOOKUP($A259,A:AL,13,FALSE)-50))</f>
        <v>-</v>
      </c>
      <c r="M259" s="3" t="s">
        <v>23</v>
      </c>
      <c r="N259" s="3" t="str">
        <f>IF(ISERROR(VLOOKUP($A259,'SegEnds_NonXtal_BW#'!$A:$Z,10,FALSE)+VLOOKUP($A259,A:AL,13,FALSE)-50),"-",(VLOOKUP($A259,'SegEnds_NonXtal_BW#'!$A:$Z,10,FALSE)+VLOOKUP($A259,A:AL,13,FALSE)-50))</f>
        <v>-</v>
      </c>
      <c r="O259" s="3">
        <f>VLOOKUP($A259,'SegEnds_NonXtal_BW#'!$A:$Z,11,FALSE)+VLOOKUP($A259,A:AL,16,FALSE)-50</f>
        <v>77</v>
      </c>
      <c r="P259" s="3">
        <v>103</v>
      </c>
      <c r="Q259" s="3">
        <f>VLOOKUP($A259,'SegEnds_NonXtal_BW#'!$A:$Z,12,FALSE)+VLOOKUP($A259,A:AL,16,FALSE)-50</f>
        <v>109</v>
      </c>
      <c r="R259" s="3">
        <f t="shared" ref="R259:R265" si="171">S259</f>
        <v>112</v>
      </c>
      <c r="S259" s="3">
        <v>112</v>
      </c>
      <c r="T259" s="103">
        <f t="shared" ref="T259:T265" si="172">S259+7</f>
        <v>119</v>
      </c>
      <c r="U259" s="9">
        <f>IF(ISERROR(VLOOKUP($A259,'SegEnds_NonXtal_BW#'!$A:$Z,15,FALSE)+VLOOKUP($A259,A:AL,22,FALSE)-50),"-",VLOOKUP($A259,'SegEnds_NonXtal_BW#'!$A:$Z,15,FALSE)+VLOOKUP($A259,A:AL,22,FALSE)-50)</f>
        <v>120</v>
      </c>
      <c r="V259" s="3">
        <v>132</v>
      </c>
      <c r="W259" s="3">
        <f>IF(ISERROR(VLOOKUP($A259,'SegEnds_NonXtal_BW#'!$A:$Z,16,FALSE)+VLOOKUP($A259,A:AL,22,FALSE)-50),"-",(VLOOKUP($A259,'SegEnds_NonXtal_BW#'!$A:$Z,16,FALSE)+VLOOKUP($A259,A:AL,22,FALSE)-50))</f>
        <v>146</v>
      </c>
      <c r="X259" s="3" t="str">
        <f>IF(ISERROR(VLOOKUP($A259,'SegEnds_NonXtal_BW#'!$A:$Z,17,FALSE)+VLOOKUP($A259,A:AL,25,FALSE)-50),"-",(VLOOKUP($A259,'SegEnds_NonXtal_BW#'!$A:$Z,17,FALSE)+VLOOKUP($A259,A:AL,25,FALSE)-50))</f>
        <v>-</v>
      </c>
      <c r="Y259" s="3" t="s">
        <v>23</v>
      </c>
      <c r="Z259" s="3" t="str">
        <f>IF(ISERROR(VLOOKUP($A259,'SegEnds_NonXtal_BW#'!$A:$Z,18,FALSE)+VLOOKUP($A259,A:AL,25,FALSE)-50),"-",(VLOOKUP($A259,'SegEnds_NonXtal_BW#'!$A:$Z,18,FALSE)+VLOOKUP($A259,A:AL,25,FALSE)-50))</f>
        <v>-</v>
      </c>
      <c r="AA259" s="3">
        <f>IF(ISERROR(VLOOKUP($A259,'SegEnds_NonXtal_BW#'!$A:$Z,19,FALSE)+VLOOKUP($A259,A:AL,28,FALSE)-50),"-",(VLOOKUP($A259,'SegEnds_NonXtal_BW#'!$A:$Z,19,FALSE)+VLOOKUP($A259,A:AL,28,FALSE)-50))</f>
        <v>168</v>
      </c>
      <c r="AB259" s="3">
        <v>186</v>
      </c>
      <c r="AC259" s="3">
        <f>IF(ISERROR((VLOOKUP($A259,'SegEnds_NonXtal_BW#'!$A:$Z,20,FALSE)+VLOOKUP($A259,A:AL,28,FALSE)-50)),"-",(VLOOKUP($A259,'SegEnds_NonXtal_BW#'!$A:$Z,20,FALSE)+VLOOKUP($A259,A:AL,28,FALSE)-50))</f>
        <v>208</v>
      </c>
      <c r="AD259" s="3">
        <f>IF(ISERROR(VLOOKUP($A259,'SegEnds_NonXtal_BW#'!$A:$Z,21,FALSE)+VLOOKUP($A259,A:AL,31,FALSE)-50),"-",(VLOOKUP($A259,'SegEnds_NonXtal_BW#'!$A:$Z,21,FALSE)+VLOOKUP($A259,A:AL,31,FALSE)-50))</f>
        <v>218</v>
      </c>
      <c r="AE259" s="3">
        <v>239</v>
      </c>
      <c r="AF259" s="3">
        <f>IF(ISERROR((VLOOKUP($A259,'SegEnds_NonXtal_BW#'!$A:$Z,22,FALSE)+VLOOKUP($A259,A:AL,31,FALSE)-50)),"-",(VLOOKUP($A259,'SegEnds_NonXtal_BW#'!$A:$Z,22,FALSE)+VLOOKUP($A259,A:AL,31,FALSE)-50))</f>
        <v>250</v>
      </c>
      <c r="AG259" s="3">
        <f>IF(ISERROR(VLOOKUP($A259,'SegEnds_NonXtal_BW#'!$A:$Z,23,FALSE)+VLOOKUP($A259,A:AL,34,FALSE)-50),"-",(VLOOKUP($A259,'SegEnds_NonXtal_BW#'!$A:$Z,23,FALSE)+VLOOKUP($A259,A:AL,34,FALSE)-50))</f>
        <v>255</v>
      </c>
      <c r="AH259" s="3">
        <v>274</v>
      </c>
      <c r="AI259" s="3">
        <f>IF(ISERROR((VLOOKUP($A259,'SegEnds_NonXtal_BW#'!$A:$Z,24,FALSE)+VLOOKUP($A259,A:AL,34,FALSE)-50)),"-",(VLOOKUP($A259,'SegEnds_NonXtal_BW#'!$A:$Z,24,FALSE)+VLOOKUP($A259,A:AL,34,FALSE)-50))</f>
        <v>280</v>
      </c>
      <c r="AJ259" s="3">
        <f>IF(ISERROR(VLOOKUP($A259,'SegEnds_NonXtal_BW#'!$A:$Z,25,FALSE)+VLOOKUP($A259,A:AL,37,FALSE)-50),"-",(VLOOKUP($A259,'SegEnds_NonXtal_BW#'!$A:$Z,25,FALSE)+VLOOKUP($A259,A:AL,37,FALSE)-50))</f>
        <v>281</v>
      </c>
      <c r="AK259" s="3">
        <v>284</v>
      </c>
      <c r="AL259" s="3">
        <f>IF(ISERROR((VLOOKUP($A259,'SegEnds_NonXtal_BW#'!$A:$Z,26,FALSE)+VLOOKUP($A259,A:AL,37,FALSE)-50)),"-",(VLOOKUP($A259,'SegEnds_NonXtal_BW#'!$A:$Z,26,FALSE)+VLOOKUP($A259,A:AL,37,FALSE)-50))</f>
        <v>294</v>
      </c>
      <c r="AM259" s="28" t="str">
        <f>VLOOKUP(A259,Classification!A:B,2,FALSE)</f>
        <v>T</v>
      </c>
      <c r="AN259" s="28" t="b">
        <f t="shared" si="135"/>
        <v>1</v>
      </c>
      <c r="AO259" s="3" t="str">
        <f>IF(ISERROR(MATCH(A259,'SegEnds_Xtal_Prot#'!B:B, 0)), "NoXtal", "Xtal")</f>
        <v>NoXtal</v>
      </c>
      <c r="AP259" s="3">
        <f t="shared" si="153"/>
        <v>1</v>
      </c>
      <c r="AQ259" s="3">
        <f t="shared" si="154"/>
        <v>1</v>
      </c>
      <c r="AR259" s="3" t="str">
        <f t="shared" si="155"/>
        <v>-</v>
      </c>
      <c r="AS259" s="3" t="str">
        <f t="shared" si="156"/>
        <v>-</v>
      </c>
      <c r="AT259" s="3">
        <f t="shared" si="157"/>
        <v>3</v>
      </c>
      <c r="AU259" s="3">
        <f t="shared" si="158"/>
        <v>1</v>
      </c>
      <c r="AV259" s="3" t="str">
        <f t="shared" si="159"/>
        <v>-</v>
      </c>
      <c r="AW259" s="3" t="str">
        <f t="shared" si="160"/>
        <v>-</v>
      </c>
      <c r="AX259" s="3">
        <f t="shared" si="161"/>
        <v>10</v>
      </c>
      <c r="AY259" s="3">
        <f t="shared" si="162"/>
        <v>5</v>
      </c>
      <c r="AZ259" s="3">
        <f t="shared" si="163"/>
        <v>1</v>
      </c>
      <c r="BA259" s="3">
        <f>IF(ISERROR(LEN(VLOOKUP(A259,Seqs!A:E,2,FALSE))-AL259),"-",LEN(VLOOKUP(A259,Seqs!A:E,2,FALSE))-AL259)</f>
        <v>5</v>
      </c>
      <c r="BB259" s="16">
        <f t="shared" si="164"/>
        <v>31</v>
      </c>
      <c r="BC259" s="9">
        <f t="shared" si="165"/>
        <v>20</v>
      </c>
      <c r="BD259" s="3">
        <f t="shared" si="166"/>
        <v>31</v>
      </c>
      <c r="BE259" s="3">
        <f t="shared" si="167"/>
        <v>53</v>
      </c>
      <c r="BF259" s="3">
        <f t="shared" si="147"/>
        <v>35</v>
      </c>
    </row>
    <row r="260" spans="1:58" s="3" customFormat="1" x14ac:dyDescent="0.2">
      <c r="A260" s="3" t="s">
        <v>475</v>
      </c>
      <c r="B260" s="3" t="str">
        <f>LOWER(VLOOKUP(A260,Xtal_Templ!A:B,2,FALSE))</f>
        <v>agtr1_human</v>
      </c>
      <c r="C260" s="3">
        <f>VLOOKUP($A260,'SegEnds_NonXtal_BW#'!$A:$Z,3,FALSE)+D260-50</f>
        <v>6</v>
      </c>
      <c r="D260" s="3">
        <v>24</v>
      </c>
      <c r="E260" s="3">
        <f t="shared" si="168"/>
        <v>36</v>
      </c>
      <c r="F260" s="3">
        <f t="shared" si="169"/>
        <v>37</v>
      </c>
      <c r="G260" s="3">
        <v>39</v>
      </c>
      <c r="H260" s="3">
        <f t="shared" si="170"/>
        <v>40</v>
      </c>
      <c r="I260" s="3">
        <f t="shared" si="170"/>
        <v>41</v>
      </c>
      <c r="J260" s="3">
        <v>55</v>
      </c>
      <c r="K260" s="3">
        <f>VLOOKUP($A260,'SegEnds_NonXtal_BW#'!$A:$Z,8,FALSE)+VLOOKUP($A260,A:AL,10,FALSE)-50</f>
        <v>72</v>
      </c>
      <c r="L260" s="3" t="str">
        <f>IF(ISERROR(VLOOKUP($A260,'SegEnds_NonXtal_BW#'!$A:$Z,9,FALSE)+VLOOKUP($A260,A:AL,13,FALSE)-50),"-",(VLOOKUP($A260,'SegEnds_NonXtal_BW#'!$A:$Z,9,FALSE)+VLOOKUP($A260,A:AL,13,FALSE)-50))</f>
        <v>-</v>
      </c>
      <c r="M260" s="3" t="s">
        <v>23</v>
      </c>
      <c r="N260" s="3" t="str">
        <f>IF(ISERROR(VLOOKUP($A260,'SegEnds_NonXtal_BW#'!$A:$Z,10,FALSE)+VLOOKUP($A260,A:AL,13,FALSE)-50),"-",(VLOOKUP($A260,'SegEnds_NonXtal_BW#'!$A:$Z,10,FALSE)+VLOOKUP($A260,A:AL,13,FALSE)-50))</f>
        <v>-</v>
      </c>
      <c r="O260" s="3">
        <f>VLOOKUP($A260,'SegEnds_NonXtal_BW#'!$A:$Z,11,FALSE)+VLOOKUP($A260,A:AL,16,FALSE)-50</f>
        <v>78</v>
      </c>
      <c r="P260" s="3">
        <v>107</v>
      </c>
      <c r="Q260" s="3">
        <f>VLOOKUP($A260,'SegEnds_NonXtal_BW#'!$A:$Z,12,FALSE)+VLOOKUP($A260,A:AL,16,FALSE)-50</f>
        <v>113</v>
      </c>
      <c r="R260" s="3">
        <f t="shared" si="171"/>
        <v>116</v>
      </c>
      <c r="S260" s="3">
        <v>116</v>
      </c>
      <c r="T260" s="103">
        <f t="shared" si="172"/>
        <v>123</v>
      </c>
      <c r="U260" s="9">
        <f>IF(ISERROR(VLOOKUP($A260,'SegEnds_NonXtal_BW#'!$A:$Z,15,FALSE)+VLOOKUP($A260,A:AL,22,FALSE)-50),"-",VLOOKUP($A260,'SegEnds_NonXtal_BW#'!$A:$Z,15,FALSE)+VLOOKUP($A260,A:AL,22,FALSE)-50)</f>
        <v>124</v>
      </c>
      <c r="V260" s="3">
        <v>136</v>
      </c>
      <c r="W260" s="3">
        <f>IF(ISERROR(VLOOKUP($A260,'SegEnds_NonXtal_BW#'!$A:$Z,16,FALSE)+VLOOKUP($A260,A:AL,22,FALSE)-50),"-",(VLOOKUP($A260,'SegEnds_NonXtal_BW#'!$A:$Z,16,FALSE)+VLOOKUP($A260,A:AL,22,FALSE)-50))</f>
        <v>150</v>
      </c>
      <c r="X260" s="3" t="str">
        <f>IF(ISERROR(VLOOKUP($A260,'SegEnds_NonXtal_BW#'!$A:$Z,17,FALSE)+VLOOKUP($A260,A:AL,25,FALSE)-50),"-",(VLOOKUP($A260,'SegEnds_NonXtal_BW#'!$A:$Z,17,FALSE)+VLOOKUP($A260,A:AL,25,FALSE)-50))</f>
        <v>-</v>
      </c>
      <c r="Y260" s="3" t="s">
        <v>23</v>
      </c>
      <c r="Z260" s="3" t="str">
        <f>IF(ISERROR(VLOOKUP($A260,'SegEnds_NonXtal_BW#'!$A:$Z,18,FALSE)+VLOOKUP($A260,A:AL,25,FALSE)-50),"-",(VLOOKUP($A260,'SegEnds_NonXtal_BW#'!$A:$Z,18,FALSE)+VLOOKUP($A260,A:AL,25,FALSE)-50))</f>
        <v>-</v>
      </c>
      <c r="AA260" s="3">
        <f>IF(ISERROR(VLOOKUP($A260,'SegEnds_NonXtal_BW#'!$A:$Z,19,FALSE)+VLOOKUP($A260,A:AL,28,FALSE)-50),"-",(VLOOKUP($A260,'SegEnds_NonXtal_BW#'!$A:$Z,19,FALSE)+VLOOKUP($A260,A:AL,28,FALSE)-50))</f>
        <v>174</v>
      </c>
      <c r="AB260" s="3">
        <v>192</v>
      </c>
      <c r="AC260" s="3">
        <f>IF(ISERROR((VLOOKUP($A260,'SegEnds_NonXtal_BW#'!$A:$Z,20,FALSE)+VLOOKUP($A260,A:AL,28,FALSE)-50)),"-",(VLOOKUP($A260,'SegEnds_NonXtal_BW#'!$A:$Z,20,FALSE)+VLOOKUP($A260,A:AL,28,FALSE)-50))</f>
        <v>214</v>
      </c>
      <c r="AD260" s="3">
        <f>IF(ISERROR(VLOOKUP($A260,'SegEnds_NonXtal_BW#'!$A:$Z,21,FALSE)+VLOOKUP($A260,A:AL,31,FALSE)-50),"-",(VLOOKUP($A260,'SegEnds_NonXtal_BW#'!$A:$Z,21,FALSE)+VLOOKUP($A260,A:AL,31,FALSE)-50))</f>
        <v>224</v>
      </c>
      <c r="AE260" s="3">
        <v>245</v>
      </c>
      <c r="AF260" s="3">
        <f>IF(ISERROR((VLOOKUP($A260,'SegEnds_NonXtal_BW#'!$A:$Z,22,FALSE)+VLOOKUP($A260,A:AL,31,FALSE)-50)),"-",(VLOOKUP($A260,'SegEnds_NonXtal_BW#'!$A:$Z,22,FALSE)+VLOOKUP($A260,A:AL,31,FALSE)-50))</f>
        <v>256</v>
      </c>
      <c r="AG260" s="3">
        <f>IF(ISERROR(VLOOKUP($A260,'SegEnds_NonXtal_BW#'!$A:$Z,23,FALSE)+VLOOKUP($A260,A:AL,34,FALSE)-50),"-",(VLOOKUP($A260,'SegEnds_NonXtal_BW#'!$A:$Z,23,FALSE)+VLOOKUP($A260,A:AL,34,FALSE)-50))</f>
        <v>262</v>
      </c>
      <c r="AH260" s="3">
        <v>281</v>
      </c>
      <c r="AI260" s="3">
        <f>IF(ISERROR((VLOOKUP($A260,'SegEnds_NonXtal_BW#'!$A:$Z,24,FALSE)+VLOOKUP($A260,A:AL,34,FALSE)-50)),"-",(VLOOKUP($A260,'SegEnds_NonXtal_BW#'!$A:$Z,24,FALSE)+VLOOKUP($A260,A:AL,34,FALSE)-50))</f>
        <v>287</v>
      </c>
      <c r="AJ260" s="3">
        <f>IF(ISERROR(VLOOKUP($A260,'SegEnds_NonXtal_BW#'!$A:$Z,25,FALSE)+VLOOKUP($A260,A:AL,37,FALSE)-50),"-",(VLOOKUP($A260,'SegEnds_NonXtal_BW#'!$A:$Z,25,FALSE)+VLOOKUP($A260,A:AL,37,FALSE)-50))</f>
        <v>288</v>
      </c>
      <c r="AK260" s="3">
        <v>291</v>
      </c>
      <c r="AL260" s="3">
        <f>IF(ISERROR((VLOOKUP($A260,'SegEnds_NonXtal_BW#'!$A:$Z,26,FALSE)+VLOOKUP($A260,A:AL,37,FALSE)-50)),"-",(VLOOKUP($A260,'SegEnds_NonXtal_BW#'!$A:$Z,26,FALSE)+VLOOKUP($A260,A:AL,37,FALSE)-50))</f>
        <v>301</v>
      </c>
      <c r="AM260" s="28" t="str">
        <f>VLOOKUP(A260,Classification!A:B,2,FALSE)</f>
        <v>T</v>
      </c>
      <c r="AN260" s="28" t="b">
        <f t="shared" si="135"/>
        <v>1</v>
      </c>
      <c r="AO260" s="3" t="str">
        <f>IF(ISERROR(MATCH(A260,'SegEnds_Xtal_Prot#'!B:B, 0)), "NoXtal", "Xtal")</f>
        <v>NoXtal</v>
      </c>
      <c r="AP260" s="3">
        <f t="shared" si="153"/>
        <v>1</v>
      </c>
      <c r="AQ260" s="3">
        <f t="shared" si="154"/>
        <v>1</v>
      </c>
      <c r="AR260" s="3" t="str">
        <f t="shared" si="155"/>
        <v>-</v>
      </c>
      <c r="AS260" s="3" t="str">
        <f t="shared" si="156"/>
        <v>-</v>
      </c>
      <c r="AT260" s="3">
        <f t="shared" si="157"/>
        <v>3</v>
      </c>
      <c r="AU260" s="3">
        <f t="shared" si="158"/>
        <v>1</v>
      </c>
      <c r="AV260" s="3" t="str">
        <f t="shared" si="159"/>
        <v>-</v>
      </c>
      <c r="AW260" s="3" t="str">
        <f t="shared" si="160"/>
        <v>-</v>
      </c>
      <c r="AX260" s="3">
        <f t="shared" si="161"/>
        <v>10</v>
      </c>
      <c r="AY260" s="3">
        <f t="shared" si="162"/>
        <v>6</v>
      </c>
      <c r="AZ260" s="3">
        <f t="shared" si="163"/>
        <v>1</v>
      </c>
      <c r="BA260" s="3">
        <f>IF(ISERROR(LEN(VLOOKUP(A260,Seqs!A:E,2,FALSE))-AL260),"-",LEN(VLOOKUP(A260,Seqs!A:E,2,FALSE))-AL260)</f>
        <v>15</v>
      </c>
      <c r="BB260" s="16">
        <f t="shared" si="164"/>
        <v>31</v>
      </c>
      <c r="BC260" s="9">
        <f t="shared" si="165"/>
        <v>20</v>
      </c>
      <c r="BD260" s="3">
        <f t="shared" si="166"/>
        <v>31</v>
      </c>
      <c r="BE260" s="3">
        <f t="shared" si="167"/>
        <v>53</v>
      </c>
      <c r="BF260" s="3">
        <f t="shared" si="147"/>
        <v>36</v>
      </c>
    </row>
    <row r="261" spans="1:58" s="3" customFormat="1" x14ac:dyDescent="0.2">
      <c r="A261" s="3" t="s">
        <v>476</v>
      </c>
      <c r="B261" s="3" t="str">
        <f>LOWER(VLOOKUP(A261,Xtal_Templ!A:B,2,FALSE))</f>
        <v>5ht1b_human</v>
      </c>
      <c r="C261" s="3">
        <f>VLOOKUP($A261,'SegEnds_NonXtal_BW#'!$A:$Z,3,FALSE)+D261-50</f>
        <v>6</v>
      </c>
      <c r="D261" s="3">
        <v>24</v>
      </c>
      <c r="E261" s="3">
        <f t="shared" si="168"/>
        <v>36</v>
      </c>
      <c r="F261" s="3">
        <f t="shared" si="169"/>
        <v>37</v>
      </c>
      <c r="G261" s="3">
        <v>39</v>
      </c>
      <c r="H261" s="3">
        <f t="shared" si="170"/>
        <v>40</v>
      </c>
      <c r="I261" s="3">
        <f t="shared" si="170"/>
        <v>41</v>
      </c>
      <c r="J261" s="3">
        <v>55</v>
      </c>
      <c r="K261" s="3">
        <f>VLOOKUP($A261,'SegEnds_NonXtal_BW#'!$A:$Z,8,FALSE)+VLOOKUP($A261,A:AL,10,FALSE)-50</f>
        <v>71</v>
      </c>
      <c r="L261" s="3" t="str">
        <f>IF(ISERROR(VLOOKUP($A261,'SegEnds_NonXtal_BW#'!$A:$Z,9,FALSE)+VLOOKUP($A261,A:AL,13,FALSE)-50),"-",(VLOOKUP($A261,'SegEnds_NonXtal_BW#'!$A:$Z,9,FALSE)+VLOOKUP($A261,A:AL,13,FALSE)-50))</f>
        <v>-</v>
      </c>
      <c r="M261" s="3" t="s">
        <v>23</v>
      </c>
      <c r="N261" s="3" t="str">
        <f>IF(ISERROR(VLOOKUP($A261,'SegEnds_NonXtal_BW#'!$A:$Z,10,FALSE)+VLOOKUP($A261,A:AL,13,FALSE)-50),"-",(VLOOKUP($A261,'SegEnds_NonXtal_BW#'!$A:$Z,10,FALSE)+VLOOKUP($A261,A:AL,13,FALSE)-50))</f>
        <v>-</v>
      </c>
      <c r="O261" s="3">
        <f>VLOOKUP($A261,'SegEnds_NonXtal_BW#'!$A:$Z,11,FALSE)+VLOOKUP($A261,A:AL,16,FALSE)-50</f>
        <v>77</v>
      </c>
      <c r="P261" s="3">
        <v>106</v>
      </c>
      <c r="Q261" s="3">
        <f>VLOOKUP($A261,'SegEnds_NonXtal_BW#'!$A:$Z,12,FALSE)+VLOOKUP($A261,A:AL,16,FALSE)-50</f>
        <v>112</v>
      </c>
      <c r="R261" s="3">
        <f t="shared" si="171"/>
        <v>115</v>
      </c>
      <c r="S261" s="3">
        <v>115</v>
      </c>
      <c r="T261" s="103">
        <f t="shared" si="172"/>
        <v>122</v>
      </c>
      <c r="U261" s="9">
        <f>IF(ISERROR(VLOOKUP($A261,'SegEnds_NonXtal_BW#'!$A:$Z,15,FALSE)+VLOOKUP($A261,A:AL,22,FALSE)-50),"-",VLOOKUP($A261,'SegEnds_NonXtal_BW#'!$A:$Z,15,FALSE)+VLOOKUP($A261,A:AL,22,FALSE)-50)</f>
        <v>123</v>
      </c>
      <c r="V261" s="3">
        <v>135</v>
      </c>
      <c r="W261" s="3">
        <f>IF(ISERROR(VLOOKUP($A261,'SegEnds_NonXtal_BW#'!$A:$Z,16,FALSE)+VLOOKUP($A261,A:AL,22,FALSE)-50),"-",(VLOOKUP($A261,'SegEnds_NonXtal_BW#'!$A:$Z,16,FALSE)+VLOOKUP($A261,A:AL,22,FALSE)-50))</f>
        <v>148</v>
      </c>
      <c r="X261" s="3" t="str">
        <f>IF(ISERROR(VLOOKUP($A261,'SegEnds_NonXtal_BW#'!$A:$Z,17,FALSE)+VLOOKUP($A261,A:AL,25,FALSE)-50),"-",(VLOOKUP($A261,'SegEnds_NonXtal_BW#'!$A:$Z,17,FALSE)+VLOOKUP($A261,A:AL,25,FALSE)-50))</f>
        <v>-</v>
      </c>
      <c r="Y261" s="3" t="s">
        <v>23</v>
      </c>
      <c r="Z261" s="3" t="str">
        <f>IF(ISERROR(VLOOKUP($A261,'SegEnds_NonXtal_BW#'!$A:$Z,18,FALSE)+VLOOKUP($A261,A:AL,25,FALSE)-50),"-",(VLOOKUP($A261,'SegEnds_NonXtal_BW#'!$A:$Z,18,FALSE)+VLOOKUP($A261,A:AL,25,FALSE)-50))</f>
        <v>-</v>
      </c>
      <c r="AA261" s="3">
        <f>IF(ISERROR(VLOOKUP($A261,'SegEnds_NonXtal_BW#'!$A:$Z,19,FALSE)+VLOOKUP($A261,A:AL,28,FALSE)-50),"-",(VLOOKUP($A261,'SegEnds_NonXtal_BW#'!$A:$Z,19,FALSE)+VLOOKUP($A261,A:AL,28,FALSE)-50))</f>
        <v>170</v>
      </c>
      <c r="AB261" s="3">
        <v>188</v>
      </c>
      <c r="AC261" s="3">
        <f>IF(ISERROR((VLOOKUP($A261,'SegEnds_NonXtal_BW#'!$A:$Z,20,FALSE)+VLOOKUP($A261,A:AL,28,FALSE)-50)),"-",(VLOOKUP($A261,'SegEnds_NonXtal_BW#'!$A:$Z,20,FALSE)+VLOOKUP($A261,A:AL,28,FALSE)-50))</f>
        <v>210</v>
      </c>
      <c r="AD261" s="3">
        <f>IF(ISERROR(VLOOKUP($A261,'SegEnds_NonXtal_BW#'!$A:$Z,21,FALSE)+VLOOKUP($A261,A:AL,31,FALSE)-50),"-",(VLOOKUP($A261,'SegEnds_NonXtal_BW#'!$A:$Z,21,FALSE)+VLOOKUP($A261,A:AL,31,FALSE)-50))</f>
        <v>220</v>
      </c>
      <c r="AE261" s="3">
        <v>241</v>
      </c>
      <c r="AF261" s="3">
        <f>IF(ISERROR((VLOOKUP($A261,'SegEnds_NonXtal_BW#'!$A:$Z,22,FALSE)+VLOOKUP($A261,A:AL,31,FALSE)-50)),"-",(VLOOKUP($A261,'SegEnds_NonXtal_BW#'!$A:$Z,22,FALSE)+VLOOKUP($A261,A:AL,31,FALSE)-50))</f>
        <v>252</v>
      </c>
      <c r="AG261" s="3">
        <f>IF(ISERROR(VLOOKUP($A261,'SegEnds_NonXtal_BW#'!$A:$Z,23,FALSE)+VLOOKUP($A261,A:AL,34,FALSE)-50),"-",(VLOOKUP($A261,'SegEnds_NonXtal_BW#'!$A:$Z,23,FALSE)+VLOOKUP($A261,A:AL,34,FALSE)-50))</f>
        <v>258</v>
      </c>
      <c r="AH261" s="3">
        <v>277</v>
      </c>
      <c r="AI261" s="3">
        <f>IF(ISERROR((VLOOKUP($A261,'SegEnds_NonXtal_BW#'!$A:$Z,24,FALSE)+VLOOKUP($A261,A:AL,34,FALSE)-50)),"-",(VLOOKUP($A261,'SegEnds_NonXtal_BW#'!$A:$Z,24,FALSE)+VLOOKUP($A261,A:AL,34,FALSE)-50))</f>
        <v>283</v>
      </c>
      <c r="AJ261" s="3">
        <f>IF(ISERROR(VLOOKUP($A261,'SegEnds_NonXtal_BW#'!$A:$Z,25,FALSE)+VLOOKUP($A261,A:AL,37,FALSE)-50),"-",(VLOOKUP($A261,'SegEnds_NonXtal_BW#'!$A:$Z,25,FALSE)+VLOOKUP($A261,A:AL,37,FALSE)-50))</f>
        <v>284</v>
      </c>
      <c r="AK261" s="3">
        <v>287</v>
      </c>
      <c r="AL261" s="3">
        <f>IF(ISERROR((VLOOKUP($A261,'SegEnds_NonXtal_BW#'!$A:$Z,26,FALSE)+VLOOKUP($A261,A:AL,37,FALSE)-50)),"-",(VLOOKUP($A261,'SegEnds_NonXtal_BW#'!$A:$Z,26,FALSE)+VLOOKUP($A261,A:AL,37,FALSE)-50))</f>
        <v>297</v>
      </c>
      <c r="AM261" s="28" t="str">
        <f>VLOOKUP(A261,Classification!A:B,2,FALSE)</f>
        <v>T</v>
      </c>
      <c r="AN261" s="28" t="b">
        <f t="shared" si="135"/>
        <v>1</v>
      </c>
      <c r="AO261" s="3" t="str">
        <f>IF(ISERROR(MATCH(A261,'SegEnds_Xtal_Prot#'!B:B, 0)), "NoXtal", "Xtal")</f>
        <v>NoXtal</v>
      </c>
      <c r="AP261" s="3">
        <f t="shared" si="153"/>
        <v>1</v>
      </c>
      <c r="AQ261" s="3">
        <f t="shared" si="154"/>
        <v>1</v>
      </c>
      <c r="AR261" s="3" t="str">
        <f t="shared" si="155"/>
        <v>-</v>
      </c>
      <c r="AS261" s="3" t="str">
        <f t="shared" si="156"/>
        <v>-</v>
      </c>
      <c r="AT261" s="3">
        <f t="shared" si="157"/>
        <v>3</v>
      </c>
      <c r="AU261" s="3">
        <f t="shared" si="158"/>
        <v>1</v>
      </c>
      <c r="AV261" s="3" t="str">
        <f t="shared" si="159"/>
        <v>-</v>
      </c>
      <c r="AW261" s="3" t="str">
        <f t="shared" si="160"/>
        <v>-</v>
      </c>
      <c r="AX261" s="3">
        <f t="shared" si="161"/>
        <v>10</v>
      </c>
      <c r="AY261" s="3">
        <f t="shared" si="162"/>
        <v>6</v>
      </c>
      <c r="AZ261" s="3">
        <f t="shared" si="163"/>
        <v>1</v>
      </c>
      <c r="BA261" s="3">
        <f>IF(ISERROR(LEN(VLOOKUP(A261,Seqs!A:E,2,FALSE))-AL261),"-",LEN(VLOOKUP(A261,Seqs!A:E,2,FALSE))-AL261)</f>
        <v>2</v>
      </c>
      <c r="BB261" s="16">
        <f t="shared" si="164"/>
        <v>31</v>
      </c>
      <c r="BC261" s="9">
        <f t="shared" si="165"/>
        <v>20</v>
      </c>
      <c r="BD261" s="3">
        <f t="shared" si="166"/>
        <v>31</v>
      </c>
      <c r="BE261" s="3">
        <f t="shared" si="167"/>
        <v>53</v>
      </c>
      <c r="BF261" s="3">
        <f t="shared" si="147"/>
        <v>36</v>
      </c>
    </row>
    <row r="262" spans="1:58" s="3" customFormat="1" x14ac:dyDescent="0.2">
      <c r="A262" s="3" t="s">
        <v>477</v>
      </c>
      <c r="B262" s="3" t="str">
        <f>LOWER(VLOOKUP(A262,Xtal_Templ!A:B,2,FALSE))</f>
        <v>hrh1_human</v>
      </c>
      <c r="C262" s="3">
        <f>VLOOKUP($A262,'SegEnds_NonXtal_BW#'!$A:$Z,3,FALSE)+D262-50</f>
        <v>6</v>
      </c>
      <c r="D262" s="3">
        <v>24</v>
      </c>
      <c r="E262" s="3">
        <f t="shared" si="168"/>
        <v>36</v>
      </c>
      <c r="F262" s="3">
        <f t="shared" si="169"/>
        <v>37</v>
      </c>
      <c r="G262" s="3">
        <v>39</v>
      </c>
      <c r="H262" s="3">
        <f t="shared" si="170"/>
        <v>40</v>
      </c>
      <c r="I262" s="3">
        <f t="shared" si="170"/>
        <v>41</v>
      </c>
      <c r="J262" s="3">
        <v>55</v>
      </c>
      <c r="K262" s="3">
        <f>VLOOKUP($A262,'SegEnds_NonXtal_BW#'!$A:$Z,8,FALSE)+VLOOKUP($A262,A:AL,10,FALSE)-50</f>
        <v>71</v>
      </c>
      <c r="L262" s="3" t="str">
        <f>IF(ISERROR(VLOOKUP($A262,'SegEnds_NonXtal_BW#'!$A:$Z,9,FALSE)+VLOOKUP($A262,A:AL,13,FALSE)-50),"-",(VLOOKUP($A262,'SegEnds_NonXtal_BW#'!$A:$Z,9,FALSE)+VLOOKUP($A262,A:AL,13,FALSE)-50))</f>
        <v>-</v>
      </c>
      <c r="M262" s="3" t="s">
        <v>23</v>
      </c>
      <c r="N262" s="3" t="str">
        <f>IF(ISERROR(VLOOKUP($A262,'SegEnds_NonXtal_BW#'!$A:$Z,10,FALSE)+VLOOKUP($A262,A:AL,13,FALSE)-50),"-",(VLOOKUP($A262,'SegEnds_NonXtal_BW#'!$A:$Z,10,FALSE)+VLOOKUP($A262,A:AL,13,FALSE)-50))</f>
        <v>-</v>
      </c>
      <c r="O262" s="3">
        <f>VLOOKUP($A262,'SegEnds_NonXtal_BW#'!$A:$Z,11,FALSE)+VLOOKUP($A262,A:AL,16,FALSE)-50</f>
        <v>77</v>
      </c>
      <c r="P262" s="3">
        <v>103</v>
      </c>
      <c r="Q262" s="3">
        <f>VLOOKUP($A262,'SegEnds_NonXtal_BW#'!$A:$Z,12,FALSE)+VLOOKUP($A262,A:AL,16,FALSE)-50</f>
        <v>109</v>
      </c>
      <c r="R262" s="3">
        <f t="shared" si="171"/>
        <v>112</v>
      </c>
      <c r="S262" s="3">
        <v>112</v>
      </c>
      <c r="T262" s="103">
        <f t="shared" si="172"/>
        <v>119</v>
      </c>
      <c r="U262" s="9">
        <f>IF(ISERROR(VLOOKUP($A262,'SegEnds_NonXtal_BW#'!$A:$Z,15,FALSE)+VLOOKUP($A262,A:AL,22,FALSE)-50),"-",VLOOKUP($A262,'SegEnds_NonXtal_BW#'!$A:$Z,15,FALSE)+VLOOKUP($A262,A:AL,22,FALSE)-50)</f>
        <v>120</v>
      </c>
      <c r="V262" s="3">
        <v>132</v>
      </c>
      <c r="W262" s="3">
        <f>IF(ISERROR(VLOOKUP($A262,'SegEnds_NonXtal_BW#'!$A:$Z,16,FALSE)+VLOOKUP($A262,A:AL,22,FALSE)-50),"-",(VLOOKUP($A262,'SegEnds_NonXtal_BW#'!$A:$Z,16,FALSE)+VLOOKUP($A262,A:AL,22,FALSE)-50))</f>
        <v>144</v>
      </c>
      <c r="X262" s="3" t="str">
        <f>IF(ISERROR(VLOOKUP($A262,'SegEnds_NonXtal_BW#'!$A:$Z,17,FALSE)+VLOOKUP($A262,A:AL,25,FALSE)-50),"-",(VLOOKUP($A262,'SegEnds_NonXtal_BW#'!$A:$Z,17,FALSE)+VLOOKUP($A262,A:AL,25,FALSE)-50))</f>
        <v>-</v>
      </c>
      <c r="Y262" s="3" t="s">
        <v>23</v>
      </c>
      <c r="Z262" s="3" t="str">
        <f>IF(ISERROR(VLOOKUP($A262,'SegEnds_NonXtal_BW#'!$A:$Z,18,FALSE)+VLOOKUP($A262,A:AL,25,FALSE)-50),"-",(VLOOKUP($A262,'SegEnds_NonXtal_BW#'!$A:$Z,18,FALSE)+VLOOKUP($A262,A:AL,25,FALSE)-50))</f>
        <v>-</v>
      </c>
      <c r="AA262" s="3">
        <f>IF(ISERROR(VLOOKUP($A262,'SegEnds_NonXtal_BW#'!$A:$Z,19,FALSE)+VLOOKUP($A262,A:AL,28,FALSE)-50),"-",(VLOOKUP($A262,'SegEnds_NonXtal_BW#'!$A:$Z,19,FALSE)+VLOOKUP($A262,A:AL,28,FALSE)-50))</f>
        <v>162</v>
      </c>
      <c r="AB262" s="3">
        <v>180</v>
      </c>
      <c r="AC262" s="3">
        <f>IF(ISERROR((VLOOKUP($A262,'SegEnds_NonXtal_BW#'!$A:$Z,20,FALSE)+VLOOKUP($A262,A:AL,28,FALSE)-50)),"-",(VLOOKUP($A262,'SegEnds_NonXtal_BW#'!$A:$Z,20,FALSE)+VLOOKUP($A262,A:AL,28,FALSE)-50))</f>
        <v>202</v>
      </c>
      <c r="AD262" s="3">
        <f>IF(ISERROR(VLOOKUP($A262,'SegEnds_NonXtal_BW#'!$A:$Z,21,FALSE)+VLOOKUP($A262,A:AL,31,FALSE)-50),"-",(VLOOKUP($A262,'SegEnds_NonXtal_BW#'!$A:$Z,21,FALSE)+VLOOKUP($A262,A:AL,31,FALSE)-50))</f>
        <v>212</v>
      </c>
      <c r="AE262" s="3">
        <v>233</v>
      </c>
      <c r="AF262" s="3">
        <f>IF(ISERROR((VLOOKUP($A262,'SegEnds_NonXtal_BW#'!$A:$Z,22,FALSE)+VLOOKUP($A262,A:AL,31,FALSE)-50)),"-",(VLOOKUP($A262,'SegEnds_NonXtal_BW#'!$A:$Z,22,FALSE)+VLOOKUP($A262,A:AL,31,FALSE)-50))</f>
        <v>244</v>
      </c>
      <c r="AG262" s="3">
        <f>IF(ISERROR(VLOOKUP($A262,'SegEnds_NonXtal_BW#'!$A:$Z,23,FALSE)+VLOOKUP($A262,A:AL,34,FALSE)-50),"-",(VLOOKUP($A262,'SegEnds_NonXtal_BW#'!$A:$Z,23,FALSE)+VLOOKUP($A262,A:AL,34,FALSE)-50))</f>
        <v>250</v>
      </c>
      <c r="AH262" s="3">
        <v>269</v>
      </c>
      <c r="AI262" s="3">
        <f>IF(ISERROR((VLOOKUP($A262,'SegEnds_NonXtal_BW#'!$A:$Z,24,FALSE)+VLOOKUP($A262,A:AL,34,FALSE)-50)),"-",(VLOOKUP($A262,'SegEnds_NonXtal_BW#'!$A:$Z,24,FALSE)+VLOOKUP($A262,A:AL,34,FALSE)-50))</f>
        <v>275</v>
      </c>
      <c r="AJ262" s="3">
        <f>IF(ISERROR(VLOOKUP($A262,'SegEnds_NonXtal_BW#'!$A:$Z,25,FALSE)+VLOOKUP($A262,A:AL,37,FALSE)-50),"-",(VLOOKUP($A262,'SegEnds_NonXtal_BW#'!$A:$Z,25,FALSE)+VLOOKUP($A262,A:AL,37,FALSE)-50))</f>
        <v>276</v>
      </c>
      <c r="AK262" s="3">
        <v>279</v>
      </c>
      <c r="AL262" s="3">
        <f>IF(ISERROR((VLOOKUP($A262,'SegEnds_NonXtal_BW#'!$A:$Z,26,FALSE)+VLOOKUP($A262,A:AL,37,FALSE)-50)),"-",(VLOOKUP($A262,'SegEnds_NonXtal_BW#'!$A:$Z,26,FALSE)+VLOOKUP($A262,A:AL,37,FALSE)-50))</f>
        <v>289</v>
      </c>
      <c r="AM262" s="28" t="str">
        <f>VLOOKUP(A262,Classification!A:B,2,FALSE)</f>
        <v>T</v>
      </c>
      <c r="AN262" s="28" t="b">
        <f t="shared" ref="AN262:AN325" si="173">AND(IF(Y262="-",IF(AA262-W262&gt;3,TRUE,FALSE),TRUE),IF(M262="-",IF(O262-K262&gt;3,TRUE,FALSE),TRUE),C262&lt;E262,OR(E262&lt;F262,F262="-"),OR(F262&lt;H262,F262="-"),OR(H262&lt;I262,H262="-"),I262&lt;K262,OR(K262&lt;L262,L262="-"),OR(L262&lt;N262,L262="-"),OR(N262&lt;O262,N262="-"),O262&lt;Q262,OR(Q262&lt;R262,R262="-"),OR(R262&lt;T262,R262="-"),OR(T262&lt;U262,T262="-"),U262&lt;W262,OR(W262&lt;X262,X262="-"),OR(X262&lt;Z262,X262="-"),OR(Z262&lt;AA262,Z262="-"),AA262&lt;AC262,AC262&lt;AD262,AD262&lt;AF262,AF262&lt;AG262,AG262&lt;AI262,OR(AI262&lt;AJ262,AJ262="-"),OR(AJ262&lt;AL262,AJ262="-"))</f>
        <v>1</v>
      </c>
      <c r="AO262" s="3" t="str">
        <f>IF(ISERROR(MATCH(A262,'SegEnds_Xtal_Prot#'!B:B, 0)), "NoXtal", "Xtal")</f>
        <v>NoXtal</v>
      </c>
      <c r="AP262" s="3">
        <f t="shared" si="153"/>
        <v>1</v>
      </c>
      <c r="AQ262" s="3">
        <f t="shared" si="154"/>
        <v>1</v>
      </c>
      <c r="AR262" s="3" t="str">
        <f t="shared" si="155"/>
        <v>-</v>
      </c>
      <c r="AS262" s="3" t="str">
        <f t="shared" si="156"/>
        <v>-</v>
      </c>
      <c r="AT262" s="3">
        <f t="shared" si="157"/>
        <v>3</v>
      </c>
      <c r="AU262" s="3">
        <f t="shared" si="158"/>
        <v>1</v>
      </c>
      <c r="AV262" s="3" t="str">
        <f t="shared" si="159"/>
        <v>-</v>
      </c>
      <c r="AW262" s="3" t="str">
        <f t="shared" si="160"/>
        <v>-</v>
      </c>
      <c r="AX262" s="3">
        <f t="shared" si="161"/>
        <v>10</v>
      </c>
      <c r="AY262" s="3">
        <f t="shared" si="162"/>
        <v>6</v>
      </c>
      <c r="AZ262" s="3">
        <f t="shared" si="163"/>
        <v>1</v>
      </c>
      <c r="BA262" s="3">
        <f>IF(ISERROR(LEN(VLOOKUP(A262,Seqs!A:E,2,FALSE))-AL262),"-",LEN(VLOOKUP(A262,Seqs!A:E,2,FALSE))-AL262)</f>
        <v>10</v>
      </c>
      <c r="BB262" s="16">
        <f t="shared" si="164"/>
        <v>31</v>
      </c>
      <c r="BC262" s="9">
        <f t="shared" si="165"/>
        <v>20</v>
      </c>
      <c r="BD262" s="3">
        <f t="shared" si="166"/>
        <v>31</v>
      </c>
      <c r="BE262" s="3">
        <f t="shared" si="167"/>
        <v>53</v>
      </c>
      <c r="BF262" s="3">
        <f t="shared" si="147"/>
        <v>36</v>
      </c>
    </row>
    <row r="263" spans="1:58" s="3" customFormat="1" x14ac:dyDescent="0.2">
      <c r="A263" s="3" t="s">
        <v>478</v>
      </c>
      <c r="B263" s="3" t="str">
        <f>LOWER(VLOOKUP(A263,Xtal_Templ!A:B,2,FALSE))</f>
        <v>ednrb_human</v>
      </c>
      <c r="C263" s="3">
        <f>VLOOKUP($A263,'SegEnds_NonXtal_BW#'!$A:$Z,3,FALSE)+D263-50</f>
        <v>6</v>
      </c>
      <c r="D263" s="3">
        <v>24</v>
      </c>
      <c r="E263" s="3">
        <f t="shared" si="168"/>
        <v>36</v>
      </c>
      <c r="F263" s="3">
        <f t="shared" si="169"/>
        <v>37</v>
      </c>
      <c r="G263" s="3">
        <v>39</v>
      </c>
      <c r="H263" s="3">
        <f t="shared" si="170"/>
        <v>40</v>
      </c>
      <c r="I263" s="3">
        <f t="shared" si="170"/>
        <v>41</v>
      </c>
      <c r="J263" s="3">
        <v>55</v>
      </c>
      <c r="K263" s="3">
        <f>VLOOKUP($A263,'SegEnds_NonXtal_BW#'!$A:$Z,8,FALSE)+VLOOKUP($A263,A:AL,10,FALSE)-50</f>
        <v>72</v>
      </c>
      <c r="L263" s="3" t="str">
        <f>IF(ISERROR(VLOOKUP($A263,'SegEnds_NonXtal_BW#'!$A:$Z,9,FALSE)+VLOOKUP($A263,A:AL,13,FALSE)-50),"-",(VLOOKUP($A263,'SegEnds_NonXtal_BW#'!$A:$Z,9,FALSE)+VLOOKUP($A263,A:AL,13,FALSE)-50))</f>
        <v>-</v>
      </c>
      <c r="M263" s="3" t="s">
        <v>23</v>
      </c>
      <c r="N263" s="3" t="str">
        <f>IF(ISERROR(VLOOKUP($A263,'SegEnds_NonXtal_BW#'!$A:$Z,10,FALSE)+VLOOKUP($A263,A:AL,13,FALSE)-50),"-",(VLOOKUP($A263,'SegEnds_NonXtal_BW#'!$A:$Z,10,FALSE)+VLOOKUP($A263,A:AL,13,FALSE)-50))</f>
        <v>-</v>
      </c>
      <c r="O263" s="3">
        <f>VLOOKUP($A263,'SegEnds_NonXtal_BW#'!$A:$Z,11,FALSE)+VLOOKUP($A263,A:AL,16,FALSE)-50</f>
        <v>78</v>
      </c>
      <c r="P263" s="3">
        <v>107</v>
      </c>
      <c r="Q263" s="3">
        <f>VLOOKUP($A263,'SegEnds_NonXtal_BW#'!$A:$Z,12,FALSE)+VLOOKUP($A263,A:AL,16,FALSE)-50</f>
        <v>113</v>
      </c>
      <c r="R263" s="3">
        <f t="shared" si="171"/>
        <v>116</v>
      </c>
      <c r="S263" s="3">
        <v>116</v>
      </c>
      <c r="T263" s="103">
        <f t="shared" si="172"/>
        <v>123</v>
      </c>
      <c r="U263" s="9">
        <f>IF(ISERROR(VLOOKUP($A263,'SegEnds_NonXtal_BW#'!$A:$Z,15,FALSE)+VLOOKUP($A263,A:AL,22,FALSE)-50),"-",VLOOKUP($A263,'SegEnds_NonXtal_BW#'!$A:$Z,15,FALSE)+VLOOKUP($A263,A:AL,22,FALSE)-50)</f>
        <v>124</v>
      </c>
      <c r="V263" s="3">
        <v>136</v>
      </c>
      <c r="W263" s="3">
        <f>IF(ISERROR(VLOOKUP($A263,'SegEnds_NonXtal_BW#'!$A:$Z,16,FALSE)+VLOOKUP($A263,A:AL,22,FALSE)-50),"-",(VLOOKUP($A263,'SegEnds_NonXtal_BW#'!$A:$Z,16,FALSE)+VLOOKUP($A263,A:AL,22,FALSE)-50))</f>
        <v>150</v>
      </c>
      <c r="X263" s="3" t="str">
        <f>IF(ISERROR(VLOOKUP($A263,'SegEnds_NonXtal_BW#'!$A:$Z,17,FALSE)+VLOOKUP($A263,A:AL,25,FALSE)-50),"-",(VLOOKUP($A263,'SegEnds_NonXtal_BW#'!$A:$Z,17,FALSE)+VLOOKUP($A263,A:AL,25,FALSE)-50))</f>
        <v>-</v>
      </c>
      <c r="Y263" s="3" t="s">
        <v>23</v>
      </c>
      <c r="Z263" s="3" t="str">
        <f>IF(ISERROR(VLOOKUP($A263,'SegEnds_NonXtal_BW#'!$A:$Z,18,FALSE)+VLOOKUP($A263,A:AL,25,FALSE)-50),"-",(VLOOKUP($A263,'SegEnds_NonXtal_BW#'!$A:$Z,18,FALSE)+VLOOKUP($A263,A:AL,25,FALSE)-50))</f>
        <v>-</v>
      </c>
      <c r="AA263" s="3">
        <f>IF(ISERROR(VLOOKUP($A263,'SegEnds_NonXtal_BW#'!$A:$Z,19,FALSE)+VLOOKUP($A263,A:AL,28,FALSE)-50),"-",(VLOOKUP($A263,'SegEnds_NonXtal_BW#'!$A:$Z,19,FALSE)+VLOOKUP($A263,A:AL,28,FALSE)-50))</f>
        <v>175</v>
      </c>
      <c r="AB263" s="3">
        <v>193</v>
      </c>
      <c r="AC263" s="3">
        <f>IF(ISERROR((VLOOKUP($A263,'SegEnds_NonXtal_BW#'!$A:$Z,20,FALSE)+VLOOKUP($A263,A:AL,28,FALSE)-50)),"-",(VLOOKUP($A263,'SegEnds_NonXtal_BW#'!$A:$Z,20,FALSE)+VLOOKUP($A263,A:AL,28,FALSE)-50))</f>
        <v>215</v>
      </c>
      <c r="AD263" s="3">
        <f>IF(ISERROR(VLOOKUP($A263,'SegEnds_NonXtal_BW#'!$A:$Z,21,FALSE)+VLOOKUP($A263,A:AL,31,FALSE)-50),"-",(VLOOKUP($A263,'SegEnds_NonXtal_BW#'!$A:$Z,21,FALSE)+VLOOKUP($A263,A:AL,31,FALSE)-50))</f>
        <v>225</v>
      </c>
      <c r="AE263" s="3">
        <v>246</v>
      </c>
      <c r="AF263" s="3">
        <f>IF(ISERROR((VLOOKUP($A263,'SegEnds_NonXtal_BW#'!$A:$Z,22,FALSE)+VLOOKUP($A263,A:AL,31,FALSE)-50)),"-",(VLOOKUP($A263,'SegEnds_NonXtal_BW#'!$A:$Z,22,FALSE)+VLOOKUP($A263,A:AL,31,FALSE)-50))</f>
        <v>257</v>
      </c>
      <c r="AG263" s="3">
        <f>IF(ISERROR(VLOOKUP($A263,'SegEnds_NonXtal_BW#'!$A:$Z,23,FALSE)+VLOOKUP($A263,A:AL,34,FALSE)-50),"-",(VLOOKUP($A263,'SegEnds_NonXtal_BW#'!$A:$Z,23,FALSE)+VLOOKUP($A263,A:AL,34,FALSE)-50))</f>
        <v>263</v>
      </c>
      <c r="AH263" s="3">
        <v>282</v>
      </c>
      <c r="AI263" s="3">
        <f>IF(ISERROR((VLOOKUP($A263,'SegEnds_NonXtal_BW#'!$A:$Z,24,FALSE)+VLOOKUP($A263,A:AL,34,FALSE)-50)),"-",(VLOOKUP($A263,'SegEnds_NonXtal_BW#'!$A:$Z,24,FALSE)+VLOOKUP($A263,A:AL,34,FALSE)-50))</f>
        <v>288</v>
      </c>
      <c r="AJ263" s="3">
        <f>IF(ISERROR(VLOOKUP($A263,'SegEnds_NonXtal_BW#'!$A:$Z,25,FALSE)+VLOOKUP($A263,A:AL,37,FALSE)-50),"-",(VLOOKUP($A263,'SegEnds_NonXtal_BW#'!$A:$Z,25,FALSE)+VLOOKUP($A263,A:AL,37,FALSE)-50))</f>
        <v>289</v>
      </c>
      <c r="AK263" s="3">
        <v>292</v>
      </c>
      <c r="AL263" s="3">
        <f>IF(ISERROR((VLOOKUP($A263,'SegEnds_NonXtal_BW#'!$A:$Z,26,FALSE)+VLOOKUP($A263,A:AL,37,FALSE)-50)),"-",(VLOOKUP($A263,'SegEnds_NonXtal_BW#'!$A:$Z,26,FALSE)+VLOOKUP($A263,A:AL,37,FALSE)-50))</f>
        <v>302</v>
      </c>
      <c r="AM263" s="28" t="str">
        <f>VLOOKUP(A263,Classification!A:B,2,FALSE)</f>
        <v>T</v>
      </c>
      <c r="AN263" s="28" t="b">
        <f t="shared" si="173"/>
        <v>1</v>
      </c>
      <c r="AO263" s="3" t="str">
        <f>IF(ISERROR(MATCH(A263,'SegEnds_Xtal_Prot#'!B:B, 0)), "NoXtal", "Xtal")</f>
        <v>NoXtal</v>
      </c>
      <c r="AP263" s="3">
        <f t="shared" si="153"/>
        <v>1</v>
      </c>
      <c r="AQ263" s="3">
        <f t="shared" si="154"/>
        <v>1</v>
      </c>
      <c r="AR263" s="3" t="str">
        <f t="shared" si="155"/>
        <v>-</v>
      </c>
      <c r="AS263" s="3" t="str">
        <f t="shared" si="156"/>
        <v>-</v>
      </c>
      <c r="AT263" s="3">
        <f t="shared" si="157"/>
        <v>3</v>
      </c>
      <c r="AU263" s="3">
        <f t="shared" si="158"/>
        <v>1</v>
      </c>
      <c r="AV263" s="3" t="str">
        <f t="shared" si="159"/>
        <v>-</v>
      </c>
      <c r="AW263" s="3" t="str">
        <f t="shared" si="160"/>
        <v>-</v>
      </c>
      <c r="AX263" s="3">
        <f t="shared" si="161"/>
        <v>10</v>
      </c>
      <c r="AY263" s="3">
        <f t="shared" si="162"/>
        <v>6</v>
      </c>
      <c r="AZ263" s="3">
        <f t="shared" si="163"/>
        <v>1</v>
      </c>
      <c r="BA263" s="3">
        <f>IF(ISERROR(LEN(VLOOKUP(A263,Seqs!A:E,2,FALSE))-AL263),"-",LEN(VLOOKUP(A263,Seqs!A:E,2,FALSE))-AL263)</f>
        <v>16</v>
      </c>
      <c r="BB263" s="16">
        <f t="shared" si="164"/>
        <v>31</v>
      </c>
      <c r="BC263" s="9">
        <f t="shared" si="165"/>
        <v>20</v>
      </c>
      <c r="BD263" s="3">
        <f t="shared" si="166"/>
        <v>31</v>
      </c>
      <c r="BE263" s="3">
        <f t="shared" si="167"/>
        <v>53</v>
      </c>
      <c r="BF263" s="3">
        <f t="shared" si="147"/>
        <v>36</v>
      </c>
    </row>
    <row r="264" spans="1:58" s="3" customFormat="1" x14ac:dyDescent="0.2">
      <c r="A264" s="3" t="s">
        <v>479</v>
      </c>
      <c r="B264" s="3" t="str">
        <f>LOWER(VLOOKUP(A264,Xtal_Templ!A:B,2,FALSE))</f>
        <v>agtr1_human</v>
      </c>
      <c r="C264" s="3">
        <f>VLOOKUP($A264,'SegEnds_NonXtal_BW#'!$A:$Z,3,FALSE)+D264-50</f>
        <v>6</v>
      </c>
      <c r="D264" s="3">
        <v>24</v>
      </c>
      <c r="E264" s="3">
        <f t="shared" si="168"/>
        <v>36</v>
      </c>
      <c r="F264" s="3">
        <f t="shared" si="169"/>
        <v>37</v>
      </c>
      <c r="G264" s="3">
        <v>39</v>
      </c>
      <c r="H264" s="3">
        <f t="shared" si="170"/>
        <v>40</v>
      </c>
      <c r="I264" s="3">
        <f t="shared" si="170"/>
        <v>41</v>
      </c>
      <c r="J264" s="3">
        <v>55</v>
      </c>
      <c r="K264" s="3">
        <f>VLOOKUP($A264,'SegEnds_NonXtal_BW#'!$A:$Z,8,FALSE)+VLOOKUP($A264,A:AL,10,FALSE)-50</f>
        <v>71</v>
      </c>
      <c r="L264" s="3" t="str">
        <f>IF(ISERROR(VLOOKUP($A264,'SegEnds_NonXtal_BW#'!$A:$Z,9,FALSE)+VLOOKUP($A264,A:AL,13,FALSE)-50),"-",(VLOOKUP($A264,'SegEnds_NonXtal_BW#'!$A:$Z,9,FALSE)+VLOOKUP($A264,A:AL,13,FALSE)-50))</f>
        <v>-</v>
      </c>
      <c r="M264" s="3" t="s">
        <v>23</v>
      </c>
      <c r="N264" s="3" t="str">
        <f>IF(ISERROR(VLOOKUP($A264,'SegEnds_NonXtal_BW#'!$A:$Z,10,FALSE)+VLOOKUP($A264,A:AL,13,FALSE)-50),"-",(VLOOKUP($A264,'SegEnds_NonXtal_BW#'!$A:$Z,10,FALSE)+VLOOKUP($A264,A:AL,13,FALSE)-50))</f>
        <v>-</v>
      </c>
      <c r="O264" s="3">
        <f>VLOOKUP($A264,'SegEnds_NonXtal_BW#'!$A:$Z,11,FALSE)+VLOOKUP($A264,A:AL,16,FALSE)-50</f>
        <v>75</v>
      </c>
      <c r="P264" s="3">
        <v>107</v>
      </c>
      <c r="Q264" s="3">
        <f>VLOOKUP($A264,'SegEnds_NonXtal_BW#'!$A:$Z,12,FALSE)+VLOOKUP($A264,A:AL,16,FALSE)-50</f>
        <v>113</v>
      </c>
      <c r="R264" s="3">
        <f t="shared" si="171"/>
        <v>116</v>
      </c>
      <c r="S264" s="3">
        <v>116</v>
      </c>
      <c r="T264" s="103">
        <f t="shared" si="172"/>
        <v>123</v>
      </c>
      <c r="U264" s="9">
        <f>IF(ISERROR(VLOOKUP($A264,'SegEnds_NonXtal_BW#'!$A:$Z,15,FALSE)+VLOOKUP($A264,A:AL,22,FALSE)-50),"-",VLOOKUP($A264,'SegEnds_NonXtal_BW#'!$A:$Z,15,FALSE)+VLOOKUP($A264,A:AL,22,FALSE)-50)</f>
        <v>124</v>
      </c>
      <c r="V264" s="3">
        <v>136</v>
      </c>
      <c r="W264" s="3">
        <f>IF(ISERROR(VLOOKUP($A264,'SegEnds_NonXtal_BW#'!$A:$Z,16,FALSE)+VLOOKUP($A264,A:AL,22,FALSE)-50),"-",(VLOOKUP($A264,'SegEnds_NonXtal_BW#'!$A:$Z,16,FALSE)+VLOOKUP($A264,A:AL,22,FALSE)-50))</f>
        <v>150</v>
      </c>
      <c r="X264" s="3" t="str">
        <f>IF(ISERROR(VLOOKUP($A264,'SegEnds_NonXtal_BW#'!$A:$Z,17,FALSE)+VLOOKUP($A264,A:AL,25,FALSE)-50),"-",(VLOOKUP($A264,'SegEnds_NonXtal_BW#'!$A:$Z,17,FALSE)+VLOOKUP($A264,A:AL,25,FALSE)-50))</f>
        <v>-</v>
      </c>
      <c r="Y264" s="3" t="s">
        <v>23</v>
      </c>
      <c r="Z264" s="3" t="str">
        <f>IF(ISERROR(VLOOKUP($A264,'SegEnds_NonXtal_BW#'!$A:$Z,18,FALSE)+VLOOKUP($A264,A:AL,25,FALSE)-50),"-",(VLOOKUP($A264,'SegEnds_NonXtal_BW#'!$A:$Z,18,FALSE)+VLOOKUP($A264,A:AL,25,FALSE)-50))</f>
        <v>-</v>
      </c>
      <c r="AA264" s="3">
        <f>IF(ISERROR(VLOOKUP($A264,'SegEnds_NonXtal_BW#'!$A:$Z,19,FALSE)+VLOOKUP($A264,A:AL,28,FALSE)-50),"-",(VLOOKUP($A264,'SegEnds_NonXtal_BW#'!$A:$Z,19,FALSE)+VLOOKUP($A264,A:AL,28,FALSE)-50))</f>
        <v>175</v>
      </c>
      <c r="AB264" s="3">
        <v>193</v>
      </c>
      <c r="AC264" s="3">
        <f>IF(ISERROR((VLOOKUP($A264,'SegEnds_NonXtal_BW#'!$A:$Z,20,FALSE)+VLOOKUP($A264,A:AL,28,FALSE)-50)),"-",(VLOOKUP($A264,'SegEnds_NonXtal_BW#'!$A:$Z,20,FALSE)+VLOOKUP($A264,A:AL,28,FALSE)-50))</f>
        <v>215</v>
      </c>
      <c r="AD264" s="3">
        <f>IF(ISERROR(VLOOKUP($A264,'SegEnds_NonXtal_BW#'!$A:$Z,21,FALSE)+VLOOKUP($A264,A:AL,31,FALSE)-50),"-",(VLOOKUP($A264,'SegEnds_NonXtal_BW#'!$A:$Z,21,FALSE)+VLOOKUP($A264,A:AL,31,FALSE)-50))</f>
        <v>225</v>
      </c>
      <c r="AE264" s="3">
        <v>246</v>
      </c>
      <c r="AF264" s="3">
        <f>IF(ISERROR((VLOOKUP($A264,'SegEnds_NonXtal_BW#'!$A:$Z,22,FALSE)+VLOOKUP($A264,A:AL,31,FALSE)-50)),"-",(VLOOKUP($A264,'SegEnds_NonXtal_BW#'!$A:$Z,22,FALSE)+VLOOKUP($A264,A:AL,31,FALSE)-50))</f>
        <v>257</v>
      </c>
      <c r="AG264" s="3">
        <f>IF(ISERROR(VLOOKUP($A264,'SegEnds_NonXtal_BW#'!$A:$Z,23,FALSE)+VLOOKUP($A264,A:AL,34,FALSE)-50),"-",(VLOOKUP($A264,'SegEnds_NonXtal_BW#'!$A:$Z,23,FALSE)+VLOOKUP($A264,A:AL,34,FALSE)-50))</f>
        <v>263</v>
      </c>
      <c r="AH264" s="3">
        <v>282</v>
      </c>
      <c r="AI264" s="3">
        <f>IF(ISERROR((VLOOKUP($A264,'SegEnds_NonXtal_BW#'!$A:$Z,24,FALSE)+VLOOKUP($A264,A:AL,34,FALSE)-50)),"-",(VLOOKUP($A264,'SegEnds_NonXtal_BW#'!$A:$Z,24,FALSE)+VLOOKUP($A264,A:AL,34,FALSE)-50))</f>
        <v>288</v>
      </c>
      <c r="AJ264" s="3">
        <f>IF(ISERROR(VLOOKUP($A264,'SegEnds_NonXtal_BW#'!$A:$Z,25,FALSE)+VLOOKUP($A264,A:AL,37,FALSE)-50),"-",(VLOOKUP($A264,'SegEnds_NonXtal_BW#'!$A:$Z,25,FALSE)+VLOOKUP($A264,A:AL,37,FALSE)-50))</f>
        <v>289</v>
      </c>
      <c r="AK264" s="3">
        <v>292</v>
      </c>
      <c r="AL264" s="3">
        <f>IF(ISERROR((VLOOKUP($A264,'SegEnds_NonXtal_BW#'!$A:$Z,26,FALSE)+VLOOKUP($A264,A:AL,37,FALSE)-50)),"-",(VLOOKUP($A264,'SegEnds_NonXtal_BW#'!$A:$Z,26,FALSE)+VLOOKUP($A264,A:AL,37,FALSE)-50))</f>
        <v>302</v>
      </c>
      <c r="AM264" s="28" t="str">
        <f>VLOOKUP(A264,Classification!A:B,2,FALSE)</f>
        <v>T</v>
      </c>
      <c r="AN264" s="28" t="b">
        <f t="shared" si="173"/>
        <v>1</v>
      </c>
      <c r="AO264" s="3" t="str">
        <f>IF(ISERROR(MATCH(A264,'SegEnds_Xtal_Prot#'!B:B, 0)), "NoXtal", "Xtal")</f>
        <v>NoXtal</v>
      </c>
      <c r="AP264" s="3">
        <f t="shared" si="153"/>
        <v>1</v>
      </c>
      <c r="AQ264" s="3">
        <f t="shared" si="154"/>
        <v>1</v>
      </c>
      <c r="AR264" s="3" t="str">
        <f t="shared" si="155"/>
        <v>-</v>
      </c>
      <c r="AS264" s="3" t="str">
        <f t="shared" si="156"/>
        <v>-</v>
      </c>
      <c r="AT264" s="3">
        <f t="shared" si="157"/>
        <v>3</v>
      </c>
      <c r="AU264" s="3">
        <f t="shared" si="158"/>
        <v>1</v>
      </c>
      <c r="AV264" s="3" t="str">
        <f t="shared" si="159"/>
        <v>-</v>
      </c>
      <c r="AW264" s="3" t="str">
        <f t="shared" si="160"/>
        <v>-</v>
      </c>
      <c r="AX264" s="3">
        <f t="shared" si="161"/>
        <v>10</v>
      </c>
      <c r="AY264" s="3">
        <f t="shared" si="162"/>
        <v>6</v>
      </c>
      <c r="AZ264" s="3">
        <f t="shared" si="163"/>
        <v>1</v>
      </c>
      <c r="BA264" s="3">
        <f>IF(ISERROR(LEN(VLOOKUP(A264,Seqs!A:E,2,FALSE))-AL264),"-",LEN(VLOOKUP(A264,Seqs!A:E,2,FALSE))-AL264)</f>
        <v>7</v>
      </c>
      <c r="BB264" s="16">
        <f t="shared" si="164"/>
        <v>31</v>
      </c>
      <c r="BC264" s="9">
        <f t="shared" si="165"/>
        <v>20</v>
      </c>
      <c r="BD264" s="3">
        <f t="shared" si="166"/>
        <v>31</v>
      </c>
      <c r="BE264" s="3">
        <f t="shared" si="167"/>
        <v>53</v>
      </c>
      <c r="BF264" s="3">
        <f t="shared" si="147"/>
        <v>36</v>
      </c>
    </row>
    <row r="265" spans="1:58" s="3" customFormat="1" x14ac:dyDescent="0.2">
      <c r="A265" s="3" t="s">
        <v>480</v>
      </c>
      <c r="B265" s="3" t="str">
        <f>LOWER(VLOOKUP(A265,Xtal_Templ!A:B,2,FALSE))</f>
        <v>agtr1_human</v>
      </c>
      <c r="C265" s="3">
        <f>VLOOKUP($A265,'SegEnds_NonXtal_BW#'!$A:$Z,3,FALSE)+D265-50</f>
        <v>6</v>
      </c>
      <c r="D265" s="3">
        <v>24</v>
      </c>
      <c r="E265" s="3">
        <f t="shared" si="168"/>
        <v>36</v>
      </c>
      <c r="F265" s="3">
        <f t="shared" si="169"/>
        <v>37</v>
      </c>
      <c r="G265" s="3">
        <v>39</v>
      </c>
      <c r="H265" s="3">
        <f t="shared" si="170"/>
        <v>40</v>
      </c>
      <c r="I265" s="3">
        <f t="shared" si="170"/>
        <v>41</v>
      </c>
      <c r="J265" s="3">
        <v>55</v>
      </c>
      <c r="K265" s="3">
        <f>VLOOKUP($A265,'SegEnds_NonXtal_BW#'!$A:$Z,8,FALSE)+VLOOKUP($A265,A:AL,10,FALSE)-50</f>
        <v>71</v>
      </c>
      <c r="L265" s="3" t="str">
        <f>IF(ISERROR(VLOOKUP($A265,'SegEnds_NonXtal_BW#'!$A:$Z,9,FALSE)+VLOOKUP($A265,A:AL,13,FALSE)-50),"-",(VLOOKUP($A265,'SegEnds_NonXtal_BW#'!$A:$Z,9,FALSE)+VLOOKUP($A265,A:AL,13,FALSE)-50))</f>
        <v>-</v>
      </c>
      <c r="M265" s="3" t="s">
        <v>23</v>
      </c>
      <c r="N265" s="3" t="str">
        <f>IF(ISERROR(VLOOKUP($A265,'SegEnds_NonXtal_BW#'!$A:$Z,10,FALSE)+VLOOKUP($A265,A:AL,13,FALSE)-50),"-",(VLOOKUP($A265,'SegEnds_NonXtal_BW#'!$A:$Z,10,FALSE)+VLOOKUP($A265,A:AL,13,FALSE)-50))</f>
        <v>-</v>
      </c>
      <c r="O265" s="3">
        <f>VLOOKUP($A265,'SegEnds_NonXtal_BW#'!$A:$Z,11,FALSE)+VLOOKUP($A265,A:AL,16,FALSE)-50</f>
        <v>75</v>
      </c>
      <c r="P265" s="3">
        <v>107</v>
      </c>
      <c r="Q265" s="3">
        <f>VLOOKUP($A265,'SegEnds_NonXtal_BW#'!$A:$Z,12,FALSE)+VLOOKUP($A265,A:AL,16,FALSE)-50</f>
        <v>113</v>
      </c>
      <c r="R265" s="3">
        <f t="shared" si="171"/>
        <v>116</v>
      </c>
      <c r="S265" s="3">
        <v>116</v>
      </c>
      <c r="T265" s="103">
        <f t="shared" si="172"/>
        <v>123</v>
      </c>
      <c r="U265" s="9">
        <f>IF(ISERROR(VLOOKUP($A265,'SegEnds_NonXtal_BW#'!$A:$Z,15,FALSE)+VLOOKUP($A265,A:AL,22,FALSE)-50),"-",VLOOKUP($A265,'SegEnds_NonXtal_BW#'!$A:$Z,15,FALSE)+VLOOKUP($A265,A:AL,22,FALSE)-50)</f>
        <v>124</v>
      </c>
      <c r="V265" s="3">
        <v>136</v>
      </c>
      <c r="W265" s="3">
        <f>IF(ISERROR(VLOOKUP($A265,'SegEnds_NonXtal_BW#'!$A:$Z,16,FALSE)+VLOOKUP($A265,A:AL,22,FALSE)-50),"-",(VLOOKUP($A265,'SegEnds_NonXtal_BW#'!$A:$Z,16,FALSE)+VLOOKUP($A265,A:AL,22,FALSE)-50))</f>
        <v>150</v>
      </c>
      <c r="X265" s="3" t="str">
        <f>IF(ISERROR(VLOOKUP($A265,'SegEnds_NonXtal_BW#'!$A:$Z,17,FALSE)+VLOOKUP($A265,A:AL,25,FALSE)-50),"-",(VLOOKUP($A265,'SegEnds_NonXtal_BW#'!$A:$Z,17,FALSE)+VLOOKUP($A265,A:AL,25,FALSE)-50))</f>
        <v>-</v>
      </c>
      <c r="Y265" s="3" t="s">
        <v>23</v>
      </c>
      <c r="Z265" s="3" t="str">
        <f>IF(ISERROR(VLOOKUP($A265,'SegEnds_NonXtal_BW#'!$A:$Z,18,FALSE)+VLOOKUP($A265,A:AL,25,FALSE)-50),"-",(VLOOKUP($A265,'SegEnds_NonXtal_BW#'!$A:$Z,18,FALSE)+VLOOKUP($A265,A:AL,25,FALSE)-50))</f>
        <v>-</v>
      </c>
      <c r="AA265" s="3">
        <f>IF(ISERROR(VLOOKUP($A265,'SegEnds_NonXtal_BW#'!$A:$Z,19,FALSE)+VLOOKUP($A265,A:AL,28,FALSE)-50),"-",(VLOOKUP($A265,'SegEnds_NonXtal_BW#'!$A:$Z,19,FALSE)+VLOOKUP($A265,A:AL,28,FALSE)-50))</f>
        <v>172</v>
      </c>
      <c r="AB265" s="3">
        <v>190</v>
      </c>
      <c r="AC265" s="3">
        <f>IF(ISERROR((VLOOKUP($A265,'SegEnds_NonXtal_BW#'!$A:$Z,20,FALSE)+VLOOKUP($A265,A:AL,28,FALSE)-50)),"-",(VLOOKUP($A265,'SegEnds_NonXtal_BW#'!$A:$Z,20,FALSE)+VLOOKUP($A265,A:AL,28,FALSE)-50))</f>
        <v>212</v>
      </c>
      <c r="AD265" s="3">
        <f>IF(ISERROR(VLOOKUP($A265,'SegEnds_NonXtal_BW#'!$A:$Z,21,FALSE)+VLOOKUP($A265,A:AL,31,FALSE)-50),"-",(VLOOKUP($A265,'SegEnds_NonXtal_BW#'!$A:$Z,21,FALSE)+VLOOKUP($A265,A:AL,31,FALSE)-50))</f>
        <v>222</v>
      </c>
      <c r="AE265" s="3">
        <v>243</v>
      </c>
      <c r="AF265" s="3">
        <f>IF(ISERROR((VLOOKUP($A265,'SegEnds_NonXtal_BW#'!$A:$Z,22,FALSE)+VLOOKUP($A265,A:AL,31,FALSE)-50)),"-",(VLOOKUP($A265,'SegEnds_NonXtal_BW#'!$A:$Z,22,FALSE)+VLOOKUP($A265,A:AL,31,FALSE)-50))</f>
        <v>254</v>
      </c>
      <c r="AG265" s="3">
        <f>IF(ISERROR(VLOOKUP($A265,'SegEnds_NonXtal_BW#'!$A:$Z,23,FALSE)+VLOOKUP($A265,A:AL,34,FALSE)-50),"-",(VLOOKUP($A265,'SegEnds_NonXtal_BW#'!$A:$Z,23,FALSE)+VLOOKUP($A265,A:AL,34,FALSE)-50))</f>
        <v>260</v>
      </c>
      <c r="AH265" s="3">
        <v>279</v>
      </c>
      <c r="AI265" s="3">
        <f>IF(ISERROR((VLOOKUP($A265,'SegEnds_NonXtal_BW#'!$A:$Z,24,FALSE)+VLOOKUP($A265,A:AL,34,FALSE)-50)),"-",(VLOOKUP($A265,'SegEnds_NonXtal_BW#'!$A:$Z,24,FALSE)+VLOOKUP($A265,A:AL,34,FALSE)-50))</f>
        <v>285</v>
      </c>
      <c r="AJ265" s="3">
        <f>IF(ISERROR(VLOOKUP($A265,'SegEnds_NonXtal_BW#'!$A:$Z,25,FALSE)+VLOOKUP($A265,A:AL,37,FALSE)-50),"-",(VLOOKUP($A265,'SegEnds_NonXtal_BW#'!$A:$Z,25,FALSE)+VLOOKUP($A265,A:AL,37,FALSE)-50))</f>
        <v>286</v>
      </c>
      <c r="AK265" s="3">
        <v>289</v>
      </c>
      <c r="AL265" s="3">
        <f>IF(ISERROR((VLOOKUP($A265,'SegEnds_NonXtal_BW#'!$A:$Z,26,FALSE)+VLOOKUP($A265,A:AL,37,FALSE)-50)),"-",(VLOOKUP($A265,'SegEnds_NonXtal_BW#'!$A:$Z,26,FALSE)+VLOOKUP($A265,A:AL,37,FALSE)-50))</f>
        <v>299</v>
      </c>
      <c r="AM265" s="28" t="str">
        <f>VLOOKUP(A265,Classification!A:B,2,FALSE)</f>
        <v>T</v>
      </c>
      <c r="AN265" s="28" t="b">
        <f t="shared" si="173"/>
        <v>1</v>
      </c>
      <c r="AO265" s="3" t="str">
        <f>IF(ISERROR(MATCH(A265,'SegEnds_Xtal_Prot#'!B:B, 0)), "NoXtal", "Xtal")</f>
        <v>NoXtal</v>
      </c>
      <c r="AP265" s="3">
        <f t="shared" si="153"/>
        <v>1</v>
      </c>
      <c r="AQ265" s="3">
        <f t="shared" si="154"/>
        <v>1</v>
      </c>
      <c r="AR265" s="3" t="str">
        <f t="shared" si="155"/>
        <v>-</v>
      </c>
      <c r="AS265" s="3" t="str">
        <f t="shared" si="156"/>
        <v>-</v>
      </c>
      <c r="AT265" s="3">
        <f t="shared" si="157"/>
        <v>3</v>
      </c>
      <c r="AU265" s="3">
        <f t="shared" si="158"/>
        <v>1</v>
      </c>
      <c r="AV265" s="3" t="str">
        <f t="shared" si="159"/>
        <v>-</v>
      </c>
      <c r="AW265" s="3" t="str">
        <f t="shared" si="160"/>
        <v>-</v>
      </c>
      <c r="AX265" s="3">
        <f t="shared" si="161"/>
        <v>10</v>
      </c>
      <c r="AY265" s="3">
        <f t="shared" si="162"/>
        <v>6</v>
      </c>
      <c r="AZ265" s="3">
        <f t="shared" si="163"/>
        <v>1</v>
      </c>
      <c r="BA265" s="3">
        <f>IF(ISERROR(LEN(VLOOKUP(A265,Seqs!A:E,2,FALSE))-AL265),"-",LEN(VLOOKUP(A265,Seqs!A:E,2,FALSE))-AL265)</f>
        <v>13</v>
      </c>
      <c r="BB265" s="16">
        <f t="shared" si="164"/>
        <v>31</v>
      </c>
      <c r="BC265" s="9">
        <f t="shared" si="165"/>
        <v>20</v>
      </c>
      <c r="BD265" s="3">
        <f t="shared" si="166"/>
        <v>31</v>
      </c>
      <c r="BE265" s="3">
        <f t="shared" si="167"/>
        <v>53</v>
      </c>
      <c r="BF265" s="3">
        <f t="shared" si="147"/>
        <v>36</v>
      </c>
    </row>
    <row r="266" spans="1:58" s="3" customFormat="1" x14ac:dyDescent="0.2">
      <c r="A266" s="3" t="s">
        <v>387</v>
      </c>
      <c r="B266" s="3" t="str">
        <f>LOWER(VLOOKUP(A266,Xtal_Templ!A:B,2,FALSE))</f>
        <v>5ht1b_human</v>
      </c>
      <c r="C266" s="3">
        <f>VLOOKUP($A266,'SegEnds_NonXtal_BW#'!$A:$Z,3,FALSE)+D266-50</f>
        <v>20</v>
      </c>
      <c r="D266" s="3">
        <v>41</v>
      </c>
      <c r="E266" s="3">
        <f>IF(ISERROR(VLOOKUP($A266,'SegEnds_NonXtal_BW#'!$A:$Z,4,FALSE)+VLOOKUP($A266,A:AL,4,FALSE)-50),"-",(VLOOKUP($A266,'SegEnds_NonXtal_BW#'!$A:$Z,4,FALSE)+VLOOKUP($A266,A:AL,4,FALSE)-50))</f>
        <v>51</v>
      </c>
      <c r="F266" s="3">
        <f t="shared" si="169"/>
        <v>52</v>
      </c>
      <c r="G266" s="3">
        <v>54</v>
      </c>
      <c r="H266" s="3">
        <f t="shared" si="170"/>
        <v>55</v>
      </c>
      <c r="I266" s="3">
        <f t="shared" si="170"/>
        <v>56</v>
      </c>
      <c r="J266" s="3">
        <v>69</v>
      </c>
      <c r="K266" s="3">
        <f>VLOOKUP($A266,'SegEnds_NonXtal_BW#'!$A:$Z,8,FALSE)+VLOOKUP($A266,A:AL,10,FALSE)-50</f>
        <v>86</v>
      </c>
      <c r="L266" s="3">
        <f t="shared" ref="L266:L276" si="174">M266-1</f>
        <v>88</v>
      </c>
      <c r="M266" s="3">
        <v>89</v>
      </c>
      <c r="N266" s="3">
        <f t="shared" ref="N266:N276" si="175">M266+2</f>
        <v>91</v>
      </c>
      <c r="O266" s="3">
        <f t="shared" ref="O266:O276" si="176">N266+1</f>
        <v>92</v>
      </c>
      <c r="P266" s="3">
        <v>121</v>
      </c>
      <c r="Q266" s="3">
        <f>VLOOKUP($A266,'SegEnds_NonXtal_BW#'!$A:$Z,12,FALSE)+VLOOKUP($A266,A:AL,16,FALSE)-50</f>
        <v>127</v>
      </c>
      <c r="R266" s="3">
        <f>IF(ISERROR(VLOOKUP($A266,'SegEnds_NonXtal_BW#'!$A:$Z,13,FALSE)+VLOOKUP($A266,A:AL,19,FALSE)-50),"-",VLOOKUP($A266,'SegEnds_NonXtal_BW#'!$A:$Z,13,FALSE)+VLOOKUP($A266,A:AL,19,FALSE)-50)</f>
        <v>128</v>
      </c>
      <c r="S266" s="3">
        <v>128</v>
      </c>
      <c r="T266" s="103">
        <f>IF(ISERROR(VLOOKUP($A266,'SegEnds_NonXtal_BW#'!$A:$Z,14,FALSE)+VLOOKUP($A266,A:AL,19,FALSE)-50),"-",(VLOOKUP($A266,'SegEnds_NonXtal_BW#'!$A:$Z,14,FALSE)+VLOOKUP($A266,A:AL,19,FALSE)-50))</f>
        <v>135</v>
      </c>
      <c r="U266" s="9">
        <f>IF(ISERROR(VLOOKUP($A266,'SegEnds_NonXtal_BW#'!$A:$Z,15,FALSE)+VLOOKUP($A266,A:AL,22,FALSE)-50),"-",VLOOKUP($A266,'SegEnds_NonXtal_BW#'!$A:$Z,15,FALSE)+VLOOKUP($A266,A:AL,22,FALSE)-50)</f>
        <v>136</v>
      </c>
      <c r="V266" s="3">
        <v>148</v>
      </c>
      <c r="W266" s="3">
        <f>IF(ISERROR(VLOOKUP($A266,'SegEnds_NonXtal_BW#'!$A:$Z,16,FALSE)+VLOOKUP($A266,A:AL,22,FALSE)-50),"-",(VLOOKUP($A266,'SegEnds_NonXtal_BW#'!$A:$Z,16,FALSE)+VLOOKUP($A266,A:AL,22,FALSE)-50))</f>
        <v>161</v>
      </c>
      <c r="X266" s="3">
        <f>IF(ISERROR(VLOOKUP($A266,'SegEnds_NonXtal_BW#'!$A:$Z,17,FALSE)+VLOOKUP($A266,A:AL,25,FALSE)-50),"-",(VLOOKUP($A266,'SegEnds_NonXtal_BW#'!$A:$Z,17,FALSE)+VLOOKUP($A266,A:AL,25,FALSE)-50))</f>
        <v>182</v>
      </c>
      <c r="Y266" s="3">
        <v>182</v>
      </c>
      <c r="Z266" s="3">
        <f t="shared" ref="Z266:Z297" si="177">Y266+2</f>
        <v>184</v>
      </c>
      <c r="AA266" s="3">
        <f>IF(ISERROR(VLOOKUP($A266,'SegEnds_NonXtal_BW#'!$A:$Z,19,FALSE)+VLOOKUP($A266,A:AL,28,FALSE)-50),"-",(VLOOKUP($A266,'SegEnds_NonXtal_BW#'!$A:$Z,19,FALSE)+VLOOKUP($A266,A:AL,28,FALSE)-50))</f>
        <v>187</v>
      </c>
      <c r="AB266" s="3">
        <v>202</v>
      </c>
      <c r="AC266" s="3">
        <f>IF(ISERROR((VLOOKUP($A266,'SegEnds_NonXtal_BW#'!$A:$Z,20,FALSE)+VLOOKUP($A266,A:AL,28,FALSE)-50)),"-",(VLOOKUP($A266,'SegEnds_NonXtal_BW#'!$A:$Z,20,FALSE)+VLOOKUP($A266,A:AL,28,FALSE)-50))</f>
        <v>226</v>
      </c>
      <c r="AD266" s="3">
        <f>IF(ISERROR(VLOOKUP($A266,'SegEnds_NonXtal_BW#'!$A:$Z,21,FALSE)+VLOOKUP($A266,A:AL,31,FALSE)-50),"-",(VLOOKUP($A266,'SegEnds_NonXtal_BW#'!$A:$Z,21,FALSE)+VLOOKUP($A266,A:AL,31,FALSE)-50))</f>
        <v>237</v>
      </c>
      <c r="AE266" s="3">
        <v>266</v>
      </c>
      <c r="AF266" s="3">
        <f>IF(ISERROR((VLOOKUP($A266,'SegEnds_NonXtal_BW#'!$A:$Z,22,FALSE)+VLOOKUP($A266,A:AL,31,FALSE)-50)),"-",(VLOOKUP($A266,'SegEnds_NonXtal_BW#'!$A:$Z,22,FALSE)+VLOOKUP($A266,A:AL,31,FALSE)-50))</f>
        <v>277</v>
      </c>
      <c r="AG266" s="3">
        <f>IF(ISERROR(VLOOKUP($A266,'SegEnds_NonXtal_BW#'!$A:$Z,23,FALSE)+VLOOKUP($A266,A:AL,34,FALSE)-50),"-",(VLOOKUP($A266,'SegEnds_NonXtal_BW#'!$A:$Z,23,FALSE)+VLOOKUP($A266,A:AL,34,FALSE)-50))</f>
        <v>282</v>
      </c>
      <c r="AH266" s="3">
        <v>301</v>
      </c>
      <c r="AI266" s="3">
        <v>307</v>
      </c>
      <c r="AJ266" s="3">
        <f>IF(ISERROR(VLOOKUP($A266,'SegEnds_NonXtal_BW#'!$A:$Z,25,FALSE)+VLOOKUP($A266,A:AL,37,FALSE)-50),"-",(VLOOKUP($A266,'SegEnds_NonXtal_BW#'!$A:$Z,25,FALSE)+VLOOKUP($A266,A:AL,37,FALSE)-50))</f>
        <v>308</v>
      </c>
      <c r="AK266" s="3">
        <v>311</v>
      </c>
      <c r="AL266" s="3">
        <f>IF(ISERROR((VLOOKUP($A266,'SegEnds_NonXtal_BW#'!$A:$Z,26,FALSE)+VLOOKUP($A266,A:AL,37,FALSE)-50)),"-",(VLOOKUP($A266,'SegEnds_NonXtal_BW#'!$A:$Z,26,FALSE)+VLOOKUP($A266,A:AL,37,FALSE)-50))</f>
        <v>319</v>
      </c>
      <c r="AM266" s="28" t="str">
        <f>VLOOKUP(A266,Classification!A:B,2,FALSE)</f>
        <v>A</v>
      </c>
      <c r="AN266" s="28" t="b">
        <f t="shared" si="173"/>
        <v>1</v>
      </c>
      <c r="AO266" s="3" t="str">
        <f>IF(ISERROR(MATCH(A266,'SegEnds_Xtal_Prot#'!B:B, 0)), "NoXtal", "Xtal")</f>
        <v>NoXtal</v>
      </c>
      <c r="AP266" s="3">
        <f t="shared" si="153"/>
        <v>1</v>
      </c>
      <c r="AQ266" s="3">
        <f t="shared" si="154"/>
        <v>1</v>
      </c>
      <c r="AR266" s="3">
        <f t="shared" si="155"/>
        <v>2</v>
      </c>
      <c r="AS266" s="3">
        <f t="shared" si="156"/>
        <v>1</v>
      </c>
      <c r="AT266" s="3">
        <f t="shared" si="157"/>
        <v>1</v>
      </c>
      <c r="AU266" s="3">
        <f t="shared" si="158"/>
        <v>1</v>
      </c>
      <c r="AV266" s="3">
        <f t="shared" si="159"/>
        <v>21</v>
      </c>
      <c r="AW266" s="3">
        <f t="shared" si="160"/>
        <v>3</v>
      </c>
      <c r="AX266" s="3">
        <f t="shared" si="161"/>
        <v>11</v>
      </c>
      <c r="AY266" s="3">
        <f t="shared" si="162"/>
        <v>5</v>
      </c>
      <c r="AZ266" s="3">
        <f t="shared" si="163"/>
        <v>1</v>
      </c>
      <c r="BA266" s="3">
        <f>IF(ISERROR(LEN(VLOOKUP(A266,Seqs!A:E,2,FALSE))-AL266),"-",LEN(VLOOKUP(A266,Seqs!A:E,2,FALSE))-AL266)</f>
        <v>20</v>
      </c>
      <c r="BB266" s="16">
        <f t="shared" si="164"/>
        <v>28</v>
      </c>
      <c r="BC266" s="9">
        <f t="shared" si="165"/>
        <v>20</v>
      </c>
      <c r="BD266" s="3">
        <f t="shared" si="166"/>
        <v>28</v>
      </c>
      <c r="BE266" s="3">
        <f t="shared" si="167"/>
        <v>64</v>
      </c>
      <c r="BF266" s="3">
        <f t="shared" si="147"/>
        <v>35</v>
      </c>
    </row>
    <row r="267" spans="1:58" s="3" customFormat="1" x14ac:dyDescent="0.2">
      <c r="A267" s="3" t="s">
        <v>388</v>
      </c>
      <c r="B267" s="3" t="str">
        <f>LOWER(VLOOKUP(A267,Xtal_Templ!A:B,2,FALSE))</f>
        <v>adrb2_human</v>
      </c>
      <c r="C267" s="3">
        <f>VLOOKUP($A267,'SegEnds_NonXtal_BW#'!$A:$Z,3,FALSE)+D267-50</f>
        <v>36</v>
      </c>
      <c r="D267" s="3">
        <v>61</v>
      </c>
      <c r="E267" s="3">
        <f>IF(ISERROR(VLOOKUP($A267,'SegEnds_NonXtal_BW#'!$A:$Z,4,FALSE)+VLOOKUP($A267,A:AL,4,FALSE)-50),"-",(VLOOKUP($A267,'SegEnds_NonXtal_BW#'!$A:$Z,4,FALSE)+VLOOKUP($A267,A:AL,4,FALSE)-50))</f>
        <v>71</v>
      </c>
      <c r="F267" s="3">
        <f t="shared" si="169"/>
        <v>72</v>
      </c>
      <c r="G267" s="3">
        <v>74</v>
      </c>
      <c r="H267" s="3">
        <f t="shared" si="170"/>
        <v>75</v>
      </c>
      <c r="I267" s="3">
        <f t="shared" si="170"/>
        <v>76</v>
      </c>
      <c r="J267" s="3">
        <v>89</v>
      </c>
      <c r="K267" s="3">
        <f>VLOOKUP($A267,'SegEnds_NonXtal_BW#'!$A:$Z,8,FALSE)+VLOOKUP($A267,A:AL,10,FALSE)-50</f>
        <v>106</v>
      </c>
      <c r="L267" s="3">
        <f t="shared" si="174"/>
        <v>108</v>
      </c>
      <c r="M267" s="3">
        <v>109</v>
      </c>
      <c r="N267" s="3">
        <f t="shared" si="175"/>
        <v>111</v>
      </c>
      <c r="O267" s="3">
        <f t="shared" si="176"/>
        <v>112</v>
      </c>
      <c r="P267" s="3">
        <v>141</v>
      </c>
      <c r="Q267" s="3">
        <f>VLOOKUP($A267,'SegEnds_NonXtal_BW#'!$A:$Z,12,FALSE)+VLOOKUP($A267,A:AL,16,FALSE)-50</f>
        <v>147</v>
      </c>
      <c r="R267" s="3">
        <f>IF(ISERROR(VLOOKUP($A267,'SegEnds_NonXtal_BW#'!$A:$Z,13,FALSE)+VLOOKUP($A267,A:AL,19,FALSE)-50),"-",VLOOKUP($A267,'SegEnds_NonXtal_BW#'!$A:$Z,13,FALSE)+VLOOKUP($A267,A:AL,19,FALSE)-50)</f>
        <v>148</v>
      </c>
      <c r="S267" s="3">
        <v>148</v>
      </c>
      <c r="T267" s="103">
        <f>IF(ISERROR(VLOOKUP($A267,'SegEnds_NonXtal_BW#'!$A:$Z,14,FALSE)+VLOOKUP($A267,A:AL,19,FALSE)-50),"-",(VLOOKUP($A267,'SegEnds_NonXtal_BW#'!$A:$Z,14,FALSE)+VLOOKUP($A267,A:AL,19,FALSE)-50))</f>
        <v>155</v>
      </c>
      <c r="U267" s="9">
        <f>IF(ISERROR(VLOOKUP($A267,'SegEnds_NonXtal_BW#'!$A:$Z,15,FALSE)+VLOOKUP($A267,A:AL,22,FALSE)-50),"-",VLOOKUP($A267,'SegEnds_NonXtal_BW#'!$A:$Z,15,FALSE)+VLOOKUP($A267,A:AL,22,FALSE)-50)</f>
        <v>156</v>
      </c>
      <c r="V267" s="3">
        <v>168</v>
      </c>
      <c r="W267" s="3">
        <f>IF(ISERROR(VLOOKUP($A267,'SegEnds_NonXtal_BW#'!$A:$Z,16,FALSE)+VLOOKUP($A267,A:AL,22,FALSE)-50),"-",(VLOOKUP($A267,'SegEnds_NonXtal_BW#'!$A:$Z,16,FALSE)+VLOOKUP($A267,A:AL,22,FALSE)-50))</f>
        <v>182</v>
      </c>
      <c r="X267" s="3">
        <f>IF(ISERROR(VLOOKUP($A267,'SegEnds_NonXtal_BW#'!$A:$Z,17,FALSE)+VLOOKUP($A267,A:AL,25,FALSE)-50),"-",(VLOOKUP($A267,'SegEnds_NonXtal_BW#'!$A:$Z,17,FALSE)+VLOOKUP($A267,A:AL,25,FALSE)-50))</f>
        <v>201</v>
      </c>
      <c r="Y267" s="3">
        <v>201</v>
      </c>
      <c r="Z267" s="3">
        <f t="shared" si="177"/>
        <v>203</v>
      </c>
      <c r="AA267" s="3">
        <f>IF(ISERROR(VLOOKUP($A267,'SegEnds_NonXtal_BW#'!$A:$Z,19,FALSE)+VLOOKUP($A267,A:AL,28,FALSE)-50),"-",(VLOOKUP($A267,'SegEnds_NonXtal_BW#'!$A:$Z,19,FALSE)+VLOOKUP($A267,A:AL,28,FALSE)-50))</f>
        <v>206</v>
      </c>
      <c r="AB267" s="3">
        <v>221</v>
      </c>
      <c r="AC267" s="3">
        <f>IF(ISERROR((VLOOKUP($A267,'SegEnds_NonXtal_BW#'!$A:$Z,20,FALSE)+VLOOKUP($A267,A:AL,28,FALSE)-50)),"-",(VLOOKUP($A267,'SegEnds_NonXtal_BW#'!$A:$Z,20,FALSE)+VLOOKUP($A267,A:AL,28,FALSE)-50))</f>
        <v>244</v>
      </c>
      <c r="AD267" s="3">
        <f>IF(ISERROR(VLOOKUP($A267,'SegEnds_NonXtal_BW#'!$A:$Z,21,FALSE)+VLOOKUP($A267,A:AL,31,FALSE)-50),"-",(VLOOKUP($A267,'SegEnds_NonXtal_BW#'!$A:$Z,21,FALSE)+VLOOKUP($A267,A:AL,31,FALSE)-50))</f>
        <v>249</v>
      </c>
      <c r="AE267" s="3">
        <v>277</v>
      </c>
      <c r="AF267" s="3">
        <f>IF(ISERROR((VLOOKUP($A267,'SegEnds_NonXtal_BW#'!$A:$Z,22,FALSE)+VLOOKUP($A267,A:AL,31,FALSE)-50)),"-",(VLOOKUP($A267,'SegEnds_NonXtal_BW#'!$A:$Z,22,FALSE)+VLOOKUP($A267,A:AL,31,FALSE)-50))</f>
        <v>288</v>
      </c>
      <c r="AG267" s="3">
        <f>IF(ISERROR(VLOOKUP($A267,'SegEnds_NonXtal_BW#'!$A:$Z,23,FALSE)+VLOOKUP($A267,A:AL,34,FALSE)-50),"-",(VLOOKUP($A267,'SegEnds_NonXtal_BW#'!$A:$Z,23,FALSE)+VLOOKUP($A267,A:AL,34,FALSE)-50))</f>
        <v>293</v>
      </c>
      <c r="AH267" s="3">
        <v>312</v>
      </c>
      <c r="AI267" s="3">
        <f>IF(ISERROR((VLOOKUP($A267,'SegEnds_NonXtal_BW#'!$A:$Z,24,FALSE)+VLOOKUP($A267,A:AL,34,FALSE)-50)),"-",(VLOOKUP($A267,'SegEnds_NonXtal_BW#'!$A:$Z,24,FALSE)+VLOOKUP($A267,A:AL,34,FALSE)-50))</f>
        <v>317</v>
      </c>
      <c r="AJ267" s="3">
        <f>IF(ISERROR(VLOOKUP($A267,'SegEnds_NonXtal_BW#'!$A:$Z,25,FALSE)+VLOOKUP($A267,A:AL,37,FALSE)-50),"-",(VLOOKUP($A267,'SegEnds_NonXtal_BW#'!$A:$Z,25,FALSE)+VLOOKUP($A267,A:AL,37,FALSE)-50))</f>
        <v>319</v>
      </c>
      <c r="AK267" s="3">
        <v>322</v>
      </c>
      <c r="AL267" s="3">
        <f>IF(ISERROR((VLOOKUP($A267,'SegEnds_NonXtal_BW#'!$A:$Z,26,FALSE)+VLOOKUP($A267,A:AL,37,FALSE)-50)),"-",(VLOOKUP($A267,'SegEnds_NonXtal_BW#'!$A:$Z,26,FALSE)+VLOOKUP($A267,A:AL,37,FALSE)-50))</f>
        <v>331</v>
      </c>
      <c r="AM267" s="28" t="str">
        <f>VLOOKUP(A267,Classification!A:B,2,FALSE)</f>
        <v>A</v>
      </c>
      <c r="AN267" s="28" t="b">
        <f t="shared" si="173"/>
        <v>1</v>
      </c>
      <c r="AO267" s="3" t="str">
        <f>IF(ISERROR(MATCH(A267,'SegEnds_Xtal_Prot#'!B:B, 0)), "NoXtal", "Xtal")</f>
        <v>NoXtal</v>
      </c>
      <c r="AP267" s="3">
        <f t="shared" si="153"/>
        <v>1</v>
      </c>
      <c r="AQ267" s="3">
        <f t="shared" si="154"/>
        <v>1</v>
      </c>
      <c r="AR267" s="3">
        <f t="shared" si="155"/>
        <v>2</v>
      </c>
      <c r="AS267" s="3">
        <f t="shared" si="156"/>
        <v>1</v>
      </c>
      <c r="AT267" s="3">
        <f t="shared" si="157"/>
        <v>1</v>
      </c>
      <c r="AU267" s="3">
        <f t="shared" si="158"/>
        <v>1</v>
      </c>
      <c r="AV267" s="3">
        <f t="shared" si="159"/>
        <v>19</v>
      </c>
      <c r="AW267" s="3">
        <f t="shared" si="160"/>
        <v>3</v>
      </c>
      <c r="AX267" s="3">
        <f t="shared" si="161"/>
        <v>5</v>
      </c>
      <c r="AY267" s="3">
        <f t="shared" si="162"/>
        <v>5</v>
      </c>
      <c r="AZ267" s="3">
        <f t="shared" si="163"/>
        <v>2</v>
      </c>
      <c r="BA267" s="3">
        <f>IF(ISERROR(LEN(VLOOKUP(A267,Seqs!A:E,2,FALSE))-AL267),"-",LEN(VLOOKUP(A267,Seqs!A:E,2,FALSE))-AL267)</f>
        <v>20</v>
      </c>
      <c r="BB267" s="16">
        <f t="shared" si="164"/>
        <v>28</v>
      </c>
      <c r="BC267" s="9">
        <f t="shared" si="165"/>
        <v>20</v>
      </c>
      <c r="BD267" s="3">
        <f t="shared" si="166"/>
        <v>28</v>
      </c>
      <c r="BE267" s="3">
        <f t="shared" si="167"/>
        <v>56</v>
      </c>
      <c r="BF267" s="3">
        <f t="shared" si="147"/>
        <v>35</v>
      </c>
    </row>
    <row r="268" spans="1:58" s="3" customFormat="1" x14ac:dyDescent="0.2">
      <c r="A268" s="3" t="s">
        <v>389</v>
      </c>
      <c r="B268" s="3" t="str">
        <f>LOWER(VLOOKUP(A268,Xtal_Templ!A:B,2,FALSE))</f>
        <v>adrb2_human</v>
      </c>
      <c r="C268" s="3">
        <f>VLOOKUP($A268,'SegEnds_NonXtal_BW#'!$A:$Z,3,FALSE)+D268-50</f>
        <v>24</v>
      </c>
      <c r="D268" s="3">
        <v>49</v>
      </c>
      <c r="E268" s="3">
        <f>IF(ISERROR(VLOOKUP($A268,'SegEnds_NonXtal_BW#'!$A:$Z,4,FALSE)+VLOOKUP($A268,A:AL,4,FALSE)-50),"-",(VLOOKUP($A268,'SegEnds_NonXtal_BW#'!$A:$Z,4,FALSE)+VLOOKUP($A268,A:AL,4,FALSE)-50))</f>
        <v>59</v>
      </c>
      <c r="F268" s="3">
        <f t="shared" si="169"/>
        <v>60</v>
      </c>
      <c r="G268" s="3">
        <v>62</v>
      </c>
      <c r="H268" s="3">
        <f t="shared" si="170"/>
        <v>63</v>
      </c>
      <c r="I268" s="3">
        <f t="shared" si="170"/>
        <v>64</v>
      </c>
      <c r="J268" s="3">
        <v>77</v>
      </c>
      <c r="K268" s="3">
        <f>VLOOKUP($A268,'SegEnds_NonXtal_BW#'!$A:$Z,8,FALSE)+VLOOKUP($A268,A:AL,10,FALSE)-50</f>
        <v>94</v>
      </c>
      <c r="L268" s="3">
        <f t="shared" si="174"/>
        <v>96</v>
      </c>
      <c r="M268" s="3">
        <v>97</v>
      </c>
      <c r="N268" s="3">
        <f t="shared" si="175"/>
        <v>99</v>
      </c>
      <c r="O268" s="3">
        <f t="shared" si="176"/>
        <v>100</v>
      </c>
      <c r="P268" s="3">
        <v>129</v>
      </c>
      <c r="Q268" s="3">
        <f>VLOOKUP($A268,'SegEnds_NonXtal_BW#'!$A:$Z,12,FALSE)+VLOOKUP($A268,A:AL,16,FALSE)-50</f>
        <v>135</v>
      </c>
      <c r="R268" s="3">
        <f>IF(ISERROR(VLOOKUP($A268,'SegEnds_NonXtal_BW#'!$A:$Z,13,FALSE)+VLOOKUP($A268,A:AL,19,FALSE)-50),"-",VLOOKUP($A268,'SegEnds_NonXtal_BW#'!$A:$Z,13,FALSE)+VLOOKUP($A268,A:AL,19,FALSE)-50)</f>
        <v>136</v>
      </c>
      <c r="S268" s="3">
        <v>136</v>
      </c>
      <c r="T268" s="103">
        <f>IF(ISERROR(VLOOKUP($A268,'SegEnds_NonXtal_BW#'!$A:$Z,14,FALSE)+VLOOKUP($A268,A:AL,19,FALSE)-50),"-",(VLOOKUP($A268,'SegEnds_NonXtal_BW#'!$A:$Z,14,FALSE)+VLOOKUP($A268,A:AL,19,FALSE)-50))</f>
        <v>143</v>
      </c>
      <c r="U268" s="9">
        <f>IF(ISERROR(VLOOKUP($A268,'SegEnds_NonXtal_BW#'!$A:$Z,15,FALSE)+VLOOKUP($A268,A:AL,22,FALSE)-50),"-",VLOOKUP($A268,'SegEnds_NonXtal_BW#'!$A:$Z,15,FALSE)+VLOOKUP($A268,A:AL,22,FALSE)-50)</f>
        <v>144</v>
      </c>
      <c r="V268" s="3">
        <v>156</v>
      </c>
      <c r="W268" s="3">
        <f>IF(ISERROR(VLOOKUP($A268,'SegEnds_NonXtal_BW#'!$A:$Z,16,FALSE)+VLOOKUP($A268,A:AL,22,FALSE)-50),"-",(VLOOKUP($A268,'SegEnds_NonXtal_BW#'!$A:$Z,16,FALSE)+VLOOKUP($A268,A:AL,22,FALSE)-50))</f>
        <v>170</v>
      </c>
      <c r="X268" s="3">
        <f>IF(ISERROR(VLOOKUP($A268,'SegEnds_NonXtal_BW#'!$A:$Z,17,FALSE)+VLOOKUP($A268,A:AL,25,FALSE)-50),"-",(VLOOKUP($A268,'SegEnds_NonXtal_BW#'!$A:$Z,17,FALSE)+VLOOKUP($A268,A:AL,25,FALSE)-50))</f>
        <v>189</v>
      </c>
      <c r="Y268" s="3">
        <v>189</v>
      </c>
      <c r="Z268" s="3">
        <f t="shared" si="177"/>
        <v>191</v>
      </c>
      <c r="AA268" s="3">
        <f>IF(ISERROR(VLOOKUP($A268,'SegEnds_NonXtal_BW#'!$A:$Z,19,FALSE)+VLOOKUP($A268,A:AL,28,FALSE)-50),"-",(VLOOKUP($A268,'SegEnds_NonXtal_BW#'!$A:$Z,19,FALSE)+VLOOKUP($A268,A:AL,28,FALSE)-50))</f>
        <v>194</v>
      </c>
      <c r="AB268" s="3">
        <v>209</v>
      </c>
      <c r="AC268" s="3">
        <f>IF(ISERROR((VLOOKUP($A268,'SegEnds_NonXtal_BW#'!$A:$Z,20,FALSE)+VLOOKUP($A268,A:AL,28,FALSE)-50)),"-",(VLOOKUP($A268,'SegEnds_NonXtal_BW#'!$A:$Z,20,FALSE)+VLOOKUP($A268,A:AL,28,FALSE)-50))</f>
        <v>233</v>
      </c>
      <c r="AD268" s="3">
        <f>IF(ISERROR(VLOOKUP($A268,'SegEnds_NonXtal_BW#'!$A:$Z,21,FALSE)+VLOOKUP($A268,A:AL,31,FALSE)-50),"-",(VLOOKUP($A268,'SegEnds_NonXtal_BW#'!$A:$Z,21,FALSE)+VLOOKUP($A268,A:AL,31,FALSE)-50))</f>
        <v>242</v>
      </c>
      <c r="AE268" s="3">
        <v>271</v>
      </c>
      <c r="AF268" s="3">
        <f>IF(ISERROR((VLOOKUP($A268,'SegEnds_NonXtal_BW#'!$A:$Z,22,FALSE)+VLOOKUP($A268,A:AL,31,FALSE)-50)),"-",(VLOOKUP($A268,'SegEnds_NonXtal_BW#'!$A:$Z,22,FALSE)+VLOOKUP($A268,A:AL,31,FALSE)-50))</f>
        <v>282</v>
      </c>
      <c r="AG268" s="3">
        <f>IF(ISERROR(VLOOKUP($A268,'SegEnds_NonXtal_BW#'!$A:$Z,23,FALSE)+VLOOKUP($A268,A:AL,34,FALSE)-50),"-",(VLOOKUP($A268,'SegEnds_NonXtal_BW#'!$A:$Z,23,FALSE)+VLOOKUP($A268,A:AL,34,FALSE)-50))</f>
        <v>287</v>
      </c>
      <c r="AH268" s="3">
        <v>306</v>
      </c>
      <c r="AI268" s="3">
        <f>IF(ISERROR((VLOOKUP($A268,'SegEnds_NonXtal_BW#'!$A:$Z,24,FALSE)+VLOOKUP($A268,A:AL,34,FALSE)-50)),"-",(VLOOKUP($A268,'SegEnds_NonXtal_BW#'!$A:$Z,24,FALSE)+VLOOKUP($A268,A:AL,34,FALSE)-50))</f>
        <v>311</v>
      </c>
      <c r="AJ268" s="3">
        <f>IF(ISERROR(VLOOKUP($A268,'SegEnds_NonXtal_BW#'!$A:$Z,25,FALSE)+VLOOKUP($A268,A:AL,37,FALSE)-50),"-",(VLOOKUP($A268,'SegEnds_NonXtal_BW#'!$A:$Z,25,FALSE)+VLOOKUP($A268,A:AL,37,FALSE)-50))</f>
        <v>313</v>
      </c>
      <c r="AK268" s="3">
        <v>316</v>
      </c>
      <c r="AL268" s="3">
        <f>IF(ISERROR((VLOOKUP($A268,'SegEnds_NonXtal_BW#'!$A:$Z,26,FALSE)+VLOOKUP($A268,A:AL,37,FALSE)-50)),"-",(VLOOKUP($A268,'SegEnds_NonXtal_BW#'!$A:$Z,26,FALSE)+VLOOKUP($A268,A:AL,37,FALSE)-50))</f>
        <v>325</v>
      </c>
      <c r="AM268" s="28" t="str">
        <f>VLOOKUP(A268,Classification!A:B,2,FALSE)</f>
        <v>A</v>
      </c>
      <c r="AN268" s="28" t="b">
        <f t="shared" si="173"/>
        <v>1</v>
      </c>
      <c r="AO268" s="3" t="str">
        <f>IF(ISERROR(MATCH(A268,'SegEnds_Xtal_Prot#'!B:B, 0)), "NoXtal", "Xtal")</f>
        <v>NoXtal</v>
      </c>
      <c r="AP268" s="3">
        <f t="shared" si="153"/>
        <v>1</v>
      </c>
      <c r="AQ268" s="3">
        <f t="shared" si="154"/>
        <v>1</v>
      </c>
      <c r="AR268" s="3">
        <f t="shared" si="155"/>
        <v>2</v>
      </c>
      <c r="AS268" s="3">
        <f t="shared" si="156"/>
        <v>1</v>
      </c>
      <c r="AT268" s="3">
        <f t="shared" si="157"/>
        <v>1</v>
      </c>
      <c r="AU268" s="3">
        <f t="shared" si="158"/>
        <v>1</v>
      </c>
      <c r="AV268" s="3">
        <f t="shared" si="159"/>
        <v>19</v>
      </c>
      <c r="AW268" s="3">
        <f t="shared" si="160"/>
        <v>3</v>
      </c>
      <c r="AX268" s="3">
        <f t="shared" si="161"/>
        <v>9</v>
      </c>
      <c r="AY268" s="3">
        <f t="shared" si="162"/>
        <v>5</v>
      </c>
      <c r="AZ268" s="3">
        <f t="shared" si="163"/>
        <v>2</v>
      </c>
      <c r="BA268" s="3">
        <f>IF(ISERROR(LEN(VLOOKUP(A268,Seqs!A:E,2,FALSE))-AL268),"-",LEN(VLOOKUP(A268,Seqs!A:E,2,FALSE))-AL268)</f>
        <v>18</v>
      </c>
      <c r="BB268" s="16">
        <f t="shared" si="164"/>
        <v>28</v>
      </c>
      <c r="BC268" s="9">
        <f t="shared" si="165"/>
        <v>20</v>
      </c>
      <c r="BD268" s="3">
        <f t="shared" si="166"/>
        <v>28</v>
      </c>
      <c r="BE268" s="3">
        <f t="shared" si="167"/>
        <v>62</v>
      </c>
      <c r="BF268" s="3">
        <f t="shared" si="147"/>
        <v>35</v>
      </c>
    </row>
    <row r="269" spans="1:58" s="3" customFormat="1" x14ac:dyDescent="0.2">
      <c r="A269" s="3" t="s">
        <v>390</v>
      </c>
      <c r="B269" s="3" t="str">
        <f>LOWER(VLOOKUP(A269,Xtal_Templ!A:B,2,FALSE))</f>
        <v>5ht1b_human</v>
      </c>
      <c r="C269" s="3">
        <f>VLOOKUP($A269,'SegEnds_NonXtal_BW#'!$A:$Z,3,FALSE)+D269-50</f>
        <v>31</v>
      </c>
      <c r="D269" s="3">
        <v>52</v>
      </c>
      <c r="E269" s="3">
        <f>IF(ISERROR(VLOOKUP($A269,'SegEnds_NonXtal_BW#'!$A:$Z,4,FALSE)+VLOOKUP($A269,A:AL,4,FALSE)-50),"-",(VLOOKUP($A269,'SegEnds_NonXtal_BW#'!$A:$Z,4,FALSE)+VLOOKUP($A269,A:AL,4,FALSE)-50))</f>
        <v>62</v>
      </c>
      <c r="F269" s="3">
        <f t="shared" si="169"/>
        <v>63</v>
      </c>
      <c r="G269" s="3">
        <v>65</v>
      </c>
      <c r="H269" s="3">
        <f t="shared" si="170"/>
        <v>66</v>
      </c>
      <c r="I269" s="3">
        <f t="shared" si="170"/>
        <v>67</v>
      </c>
      <c r="J269" s="3">
        <v>80</v>
      </c>
      <c r="K269" s="3">
        <f>VLOOKUP($A269,'SegEnds_NonXtal_BW#'!$A:$Z,8,FALSE)+VLOOKUP($A269,A:AL,10,FALSE)-50</f>
        <v>97</v>
      </c>
      <c r="L269" s="3">
        <f t="shared" si="174"/>
        <v>99</v>
      </c>
      <c r="M269" s="3">
        <v>100</v>
      </c>
      <c r="N269" s="3">
        <f t="shared" si="175"/>
        <v>102</v>
      </c>
      <c r="O269" s="3">
        <f t="shared" si="176"/>
        <v>103</v>
      </c>
      <c r="P269" s="3">
        <v>132</v>
      </c>
      <c r="Q269" s="3">
        <f>VLOOKUP($A269,'SegEnds_NonXtal_BW#'!$A:$Z,12,FALSE)+VLOOKUP($A269,A:AL,16,FALSE)-50</f>
        <v>138</v>
      </c>
      <c r="R269" s="3">
        <f>IF(ISERROR(VLOOKUP($A269,'SegEnds_NonXtal_BW#'!$A:$Z,13,FALSE)+VLOOKUP($A269,A:AL,19,FALSE)-50),"-",VLOOKUP($A269,'SegEnds_NonXtal_BW#'!$A:$Z,13,FALSE)+VLOOKUP($A269,A:AL,19,FALSE)-50)</f>
        <v>139</v>
      </c>
      <c r="S269" s="3">
        <v>139</v>
      </c>
      <c r="T269" s="103">
        <f>IF(ISERROR(VLOOKUP($A269,'SegEnds_NonXtal_BW#'!$A:$Z,14,FALSE)+VLOOKUP($A269,A:AL,19,FALSE)-50),"-",(VLOOKUP($A269,'SegEnds_NonXtal_BW#'!$A:$Z,14,FALSE)+VLOOKUP($A269,A:AL,19,FALSE)-50))</f>
        <v>146</v>
      </c>
      <c r="U269" s="9">
        <f>IF(ISERROR(VLOOKUP($A269,'SegEnds_NonXtal_BW#'!$A:$Z,15,FALSE)+VLOOKUP($A269,A:AL,22,FALSE)-50),"-",VLOOKUP($A269,'SegEnds_NonXtal_BW#'!$A:$Z,15,FALSE)+VLOOKUP($A269,A:AL,22,FALSE)-50)</f>
        <v>147</v>
      </c>
      <c r="V269" s="3">
        <v>159</v>
      </c>
      <c r="W269" s="3">
        <f>IF(ISERROR(VLOOKUP($A269,'SegEnds_NonXtal_BW#'!$A:$Z,16,FALSE)+VLOOKUP($A269,A:AL,22,FALSE)-50),"-",(VLOOKUP($A269,'SegEnds_NonXtal_BW#'!$A:$Z,16,FALSE)+VLOOKUP($A269,A:AL,22,FALSE)-50))</f>
        <v>172</v>
      </c>
      <c r="X269" s="3">
        <f>IF(ISERROR(VLOOKUP($A269,'SegEnds_NonXtal_BW#'!$A:$Z,17,FALSE)+VLOOKUP($A269,A:AL,25,FALSE)-50),"-",(VLOOKUP($A269,'SegEnds_NonXtal_BW#'!$A:$Z,17,FALSE)+VLOOKUP($A269,A:AL,25,FALSE)-50))</f>
        <v>192</v>
      </c>
      <c r="Y269" s="3">
        <v>192</v>
      </c>
      <c r="Z269" s="3">
        <f t="shared" si="177"/>
        <v>194</v>
      </c>
      <c r="AA269" s="3">
        <f>IF(ISERROR(VLOOKUP($A269,'SegEnds_NonXtal_BW#'!$A:$Z,19,FALSE)+VLOOKUP($A269,A:AL,28,FALSE)-50),"-",(VLOOKUP($A269,'SegEnds_NonXtal_BW#'!$A:$Z,19,FALSE)+VLOOKUP($A269,A:AL,28,FALSE)-50))</f>
        <v>196</v>
      </c>
      <c r="AB269" s="3">
        <v>211</v>
      </c>
      <c r="AC269" s="3">
        <f>IF(ISERROR((VLOOKUP($A269,'SegEnds_NonXtal_BW#'!$A:$Z,20,FALSE)+VLOOKUP($A269,A:AL,28,FALSE)-50)),"-",(VLOOKUP($A269,'SegEnds_NonXtal_BW#'!$A:$Z,20,FALSE)+VLOOKUP($A269,A:AL,28,FALSE)-50))</f>
        <v>234</v>
      </c>
      <c r="AD269" s="3">
        <f>IF(ISERROR(VLOOKUP($A269,'SegEnds_NonXtal_BW#'!$A:$Z,21,FALSE)+VLOOKUP($A269,A:AL,31,FALSE)-50),"-",(VLOOKUP($A269,'SegEnds_NonXtal_BW#'!$A:$Z,21,FALSE)+VLOOKUP($A269,A:AL,31,FALSE)-50))</f>
        <v>239</v>
      </c>
      <c r="AE269" s="3">
        <v>267</v>
      </c>
      <c r="AF269" s="3">
        <f>IF(ISERROR((VLOOKUP($A269,'SegEnds_NonXtal_BW#'!$A:$Z,22,FALSE)+VLOOKUP($A269,A:AL,31,FALSE)-50)),"-",(VLOOKUP($A269,'SegEnds_NonXtal_BW#'!$A:$Z,22,FALSE)+VLOOKUP($A269,A:AL,31,FALSE)-50))</f>
        <v>278</v>
      </c>
      <c r="AG269" s="3">
        <f>IF(ISERROR(VLOOKUP($A269,'SegEnds_NonXtal_BW#'!$A:$Z,23,FALSE)+VLOOKUP($A269,A:AL,34,FALSE)-50),"-",(VLOOKUP($A269,'SegEnds_NonXtal_BW#'!$A:$Z,23,FALSE)+VLOOKUP($A269,A:AL,34,FALSE)-50))</f>
        <v>283</v>
      </c>
      <c r="AH269" s="3">
        <v>302</v>
      </c>
      <c r="AI269" s="3">
        <f>IF(ISERROR((VLOOKUP($A269,'SegEnds_NonXtal_BW#'!$A:$Z,24,FALSE)+VLOOKUP($A269,A:AL,34,FALSE)-50)),"-",(VLOOKUP($A269,'SegEnds_NonXtal_BW#'!$A:$Z,24,FALSE)+VLOOKUP($A269,A:AL,34,FALSE)-50))</f>
        <v>308</v>
      </c>
      <c r="AJ269" s="3">
        <f>IF(ISERROR(VLOOKUP($A269,'SegEnds_NonXtal_BW#'!$A:$Z,25,FALSE)+VLOOKUP($A269,A:AL,37,FALSE)-50),"-",(VLOOKUP($A269,'SegEnds_NonXtal_BW#'!$A:$Z,25,FALSE)+VLOOKUP($A269,A:AL,37,FALSE)-50))</f>
        <v>309</v>
      </c>
      <c r="AK269" s="3">
        <v>312</v>
      </c>
      <c r="AL269" s="3">
        <f>IF(ISERROR((VLOOKUP($A269,'SegEnds_NonXtal_BW#'!$A:$Z,26,FALSE)+VLOOKUP($A269,A:AL,37,FALSE)-50)),"-",(VLOOKUP($A269,'SegEnds_NonXtal_BW#'!$A:$Z,26,FALSE)+VLOOKUP($A269,A:AL,37,FALSE)-50))</f>
        <v>320</v>
      </c>
      <c r="AM269" s="28" t="str">
        <f>VLOOKUP(A269,Classification!A:B,2,FALSE)</f>
        <v>A</v>
      </c>
      <c r="AN269" s="28" t="b">
        <f t="shared" si="173"/>
        <v>1</v>
      </c>
      <c r="AO269" s="3" t="str">
        <f>IF(ISERROR(MATCH(A269,'SegEnds_Xtal_Prot#'!B:B, 0)), "NoXtal", "Xtal")</f>
        <v>NoXtal</v>
      </c>
      <c r="AP269" s="3">
        <f t="shared" si="153"/>
        <v>1</v>
      </c>
      <c r="AQ269" s="3">
        <f t="shared" si="154"/>
        <v>1</v>
      </c>
      <c r="AR269" s="3">
        <f t="shared" si="155"/>
        <v>2</v>
      </c>
      <c r="AS269" s="3">
        <f t="shared" si="156"/>
        <v>1</v>
      </c>
      <c r="AT269" s="3">
        <f t="shared" si="157"/>
        <v>1</v>
      </c>
      <c r="AU269" s="3">
        <f t="shared" si="158"/>
        <v>1</v>
      </c>
      <c r="AV269" s="3">
        <f t="shared" si="159"/>
        <v>20</v>
      </c>
      <c r="AW269" s="3">
        <f t="shared" si="160"/>
        <v>2</v>
      </c>
      <c r="AX269" s="3">
        <f t="shared" si="161"/>
        <v>5</v>
      </c>
      <c r="AY269" s="3">
        <f t="shared" si="162"/>
        <v>5</v>
      </c>
      <c r="AZ269" s="3">
        <f t="shared" si="163"/>
        <v>1</v>
      </c>
      <c r="BA269" s="3">
        <f>IF(ISERROR(LEN(VLOOKUP(A269,Seqs!A:E,2,FALSE))-AL269),"-",LEN(VLOOKUP(A269,Seqs!A:E,2,FALSE))-AL269)</f>
        <v>17</v>
      </c>
      <c r="BB269" s="16">
        <f t="shared" si="164"/>
        <v>28</v>
      </c>
      <c r="BC269" s="9">
        <f t="shared" si="165"/>
        <v>20</v>
      </c>
      <c r="BD269" s="3">
        <f t="shared" si="166"/>
        <v>28</v>
      </c>
      <c r="BE269" s="3">
        <f t="shared" si="167"/>
        <v>56</v>
      </c>
      <c r="BF269" s="3">
        <f t="shared" si="147"/>
        <v>35</v>
      </c>
    </row>
    <row r="270" spans="1:58" s="3" customFormat="1" x14ac:dyDescent="0.2">
      <c r="A270" s="3" t="s">
        <v>391</v>
      </c>
      <c r="B270" s="3" t="str">
        <f>LOWER(VLOOKUP(A270,Xtal_Templ!A:B,2,FALSE))</f>
        <v>5ht1b_human</v>
      </c>
      <c r="C270" s="3">
        <f>VLOOKUP($A270,'SegEnds_NonXtal_BW#'!$A:$Z,3,FALSE)+D270-50</f>
        <v>29</v>
      </c>
      <c r="D270" s="3">
        <v>50</v>
      </c>
      <c r="E270" s="3">
        <f>IF(ISERROR(VLOOKUP($A270,'SegEnds_NonXtal_BW#'!$A:$Z,4,FALSE)+VLOOKUP($A270,A:AL,4,FALSE)-50),"-",(VLOOKUP($A270,'SegEnds_NonXtal_BW#'!$A:$Z,4,FALSE)+VLOOKUP($A270,A:AL,4,FALSE)-50))</f>
        <v>60</v>
      </c>
      <c r="F270" s="3">
        <f t="shared" si="169"/>
        <v>61</v>
      </c>
      <c r="G270" s="3">
        <v>63</v>
      </c>
      <c r="H270" s="3">
        <f t="shared" si="170"/>
        <v>64</v>
      </c>
      <c r="I270" s="3">
        <f t="shared" si="170"/>
        <v>65</v>
      </c>
      <c r="J270" s="3">
        <v>78</v>
      </c>
      <c r="K270" s="3">
        <f>VLOOKUP($A270,'SegEnds_NonXtal_BW#'!$A:$Z,8,FALSE)+VLOOKUP($A270,A:AL,10,FALSE)-50</f>
        <v>95</v>
      </c>
      <c r="L270" s="3">
        <f t="shared" si="174"/>
        <v>97</v>
      </c>
      <c r="M270" s="3">
        <v>98</v>
      </c>
      <c r="N270" s="3">
        <f t="shared" si="175"/>
        <v>100</v>
      </c>
      <c r="O270" s="3">
        <f t="shared" si="176"/>
        <v>101</v>
      </c>
      <c r="P270" s="3">
        <v>130</v>
      </c>
      <c r="Q270" s="3">
        <f>VLOOKUP($A270,'SegEnds_NonXtal_BW#'!$A:$Z,12,FALSE)+VLOOKUP($A270,A:AL,16,FALSE)-50</f>
        <v>136</v>
      </c>
      <c r="R270" s="3">
        <f>IF(ISERROR(VLOOKUP($A270,'SegEnds_NonXtal_BW#'!$A:$Z,13,FALSE)+VLOOKUP($A270,A:AL,19,FALSE)-50),"-",VLOOKUP($A270,'SegEnds_NonXtal_BW#'!$A:$Z,13,FALSE)+VLOOKUP($A270,A:AL,19,FALSE)-50)</f>
        <v>137</v>
      </c>
      <c r="S270" s="3">
        <v>137</v>
      </c>
      <c r="T270" s="103">
        <f>IF(ISERROR(VLOOKUP($A270,'SegEnds_NonXtal_BW#'!$A:$Z,14,FALSE)+VLOOKUP($A270,A:AL,19,FALSE)-50),"-",(VLOOKUP($A270,'SegEnds_NonXtal_BW#'!$A:$Z,14,FALSE)+VLOOKUP($A270,A:AL,19,FALSE)-50))</f>
        <v>144</v>
      </c>
      <c r="U270" s="9">
        <f>IF(ISERROR(VLOOKUP($A270,'SegEnds_NonXtal_BW#'!$A:$Z,15,FALSE)+VLOOKUP($A270,A:AL,22,FALSE)-50),"-",VLOOKUP($A270,'SegEnds_NonXtal_BW#'!$A:$Z,15,FALSE)+VLOOKUP($A270,A:AL,22,FALSE)-50)</f>
        <v>145</v>
      </c>
      <c r="V270" s="3">
        <v>157</v>
      </c>
      <c r="W270" s="3">
        <f>IF(ISERROR(VLOOKUP($A270,'SegEnds_NonXtal_BW#'!$A:$Z,16,FALSE)+VLOOKUP($A270,A:AL,22,FALSE)-50),"-",(VLOOKUP($A270,'SegEnds_NonXtal_BW#'!$A:$Z,16,FALSE)+VLOOKUP($A270,A:AL,22,FALSE)-50))</f>
        <v>170</v>
      </c>
      <c r="X270" s="3">
        <f>IF(ISERROR(VLOOKUP($A270,'SegEnds_NonXtal_BW#'!$A:$Z,17,FALSE)+VLOOKUP($A270,A:AL,25,FALSE)-50),"-",(VLOOKUP($A270,'SegEnds_NonXtal_BW#'!$A:$Z,17,FALSE)+VLOOKUP($A270,A:AL,25,FALSE)-50))</f>
        <v>190</v>
      </c>
      <c r="Y270" s="3">
        <v>190</v>
      </c>
      <c r="Z270" s="3">
        <f t="shared" si="177"/>
        <v>192</v>
      </c>
      <c r="AA270" s="3">
        <f>IF(ISERROR(VLOOKUP($A270,'SegEnds_NonXtal_BW#'!$A:$Z,19,FALSE)+VLOOKUP($A270,A:AL,28,FALSE)-50),"-",(VLOOKUP($A270,'SegEnds_NonXtal_BW#'!$A:$Z,19,FALSE)+VLOOKUP($A270,A:AL,28,FALSE)-50))</f>
        <v>194</v>
      </c>
      <c r="AB270" s="3">
        <v>209</v>
      </c>
      <c r="AC270" s="3">
        <f>IF(ISERROR((VLOOKUP($A270,'SegEnds_NonXtal_BW#'!$A:$Z,20,FALSE)+VLOOKUP($A270,A:AL,28,FALSE)-50)),"-",(VLOOKUP($A270,'SegEnds_NonXtal_BW#'!$A:$Z,20,FALSE)+VLOOKUP($A270,A:AL,28,FALSE)-50))</f>
        <v>233</v>
      </c>
      <c r="AD270" s="3">
        <f>IF(ISERROR(VLOOKUP($A270,'SegEnds_NonXtal_BW#'!$A:$Z,21,FALSE)+VLOOKUP($A270,A:AL,31,FALSE)-50),"-",(VLOOKUP($A270,'SegEnds_NonXtal_BW#'!$A:$Z,21,FALSE)+VLOOKUP($A270,A:AL,31,FALSE)-50))</f>
        <v>244</v>
      </c>
      <c r="AE270" s="3">
        <v>273</v>
      </c>
      <c r="AF270" s="3">
        <f>IF(ISERROR((VLOOKUP($A270,'SegEnds_NonXtal_BW#'!$A:$Z,22,FALSE)+VLOOKUP($A270,A:AL,31,FALSE)-50)),"-",(VLOOKUP($A270,'SegEnds_NonXtal_BW#'!$A:$Z,22,FALSE)+VLOOKUP($A270,A:AL,31,FALSE)-50))</f>
        <v>284</v>
      </c>
      <c r="AG270" s="3">
        <f>IF(ISERROR(VLOOKUP($A270,'SegEnds_NonXtal_BW#'!$A:$Z,23,FALSE)+VLOOKUP($A270,A:AL,34,FALSE)-50),"-",(VLOOKUP($A270,'SegEnds_NonXtal_BW#'!$A:$Z,23,FALSE)+VLOOKUP($A270,A:AL,34,FALSE)-50))</f>
        <v>289</v>
      </c>
      <c r="AH270" s="3">
        <v>308</v>
      </c>
      <c r="AI270" s="3">
        <f>IF(ISERROR((VLOOKUP($A270,'SegEnds_NonXtal_BW#'!$A:$Z,24,FALSE)+VLOOKUP($A270,A:AL,34,FALSE)-50)),"-",(VLOOKUP($A270,'SegEnds_NonXtal_BW#'!$A:$Z,24,FALSE)+VLOOKUP($A270,A:AL,34,FALSE)-50))</f>
        <v>314</v>
      </c>
      <c r="AJ270" s="3">
        <f>IF(ISERROR(VLOOKUP($A270,'SegEnds_NonXtal_BW#'!$A:$Z,25,FALSE)+VLOOKUP($A270,A:AL,37,FALSE)-50),"-",(VLOOKUP($A270,'SegEnds_NonXtal_BW#'!$A:$Z,25,FALSE)+VLOOKUP($A270,A:AL,37,FALSE)-50))</f>
        <v>315</v>
      </c>
      <c r="AK270" s="3">
        <v>318</v>
      </c>
      <c r="AL270" s="3">
        <f>IF(ISERROR((VLOOKUP($A270,'SegEnds_NonXtal_BW#'!$A:$Z,26,FALSE)+VLOOKUP($A270,A:AL,37,FALSE)-50)),"-",(VLOOKUP($A270,'SegEnds_NonXtal_BW#'!$A:$Z,26,FALSE)+VLOOKUP($A270,A:AL,37,FALSE)-50))</f>
        <v>326</v>
      </c>
      <c r="AM270" s="28" t="str">
        <f>VLOOKUP(A270,Classification!A:B,2,FALSE)</f>
        <v>A</v>
      </c>
      <c r="AN270" s="28" t="b">
        <f t="shared" si="173"/>
        <v>1</v>
      </c>
      <c r="AO270" s="3" t="str">
        <f>IF(ISERROR(MATCH(A270,'SegEnds_Xtal_Prot#'!B:B, 0)), "NoXtal", "Xtal")</f>
        <v>NoXtal</v>
      </c>
      <c r="AP270" s="3">
        <f t="shared" si="153"/>
        <v>1</v>
      </c>
      <c r="AQ270" s="3">
        <f t="shared" si="154"/>
        <v>1</v>
      </c>
      <c r="AR270" s="3">
        <f t="shared" si="155"/>
        <v>2</v>
      </c>
      <c r="AS270" s="3">
        <f t="shared" si="156"/>
        <v>1</v>
      </c>
      <c r="AT270" s="3">
        <f t="shared" si="157"/>
        <v>1</v>
      </c>
      <c r="AU270" s="3">
        <f t="shared" si="158"/>
        <v>1</v>
      </c>
      <c r="AV270" s="3">
        <f t="shared" si="159"/>
        <v>20</v>
      </c>
      <c r="AW270" s="3">
        <f t="shared" si="160"/>
        <v>2</v>
      </c>
      <c r="AX270" s="3">
        <f t="shared" si="161"/>
        <v>11</v>
      </c>
      <c r="AY270" s="3">
        <f t="shared" si="162"/>
        <v>5</v>
      </c>
      <c r="AZ270" s="3">
        <f t="shared" si="163"/>
        <v>1</v>
      </c>
      <c r="BA270" s="3">
        <f>IF(ISERROR(LEN(VLOOKUP(A270,Seqs!A:E,2,FALSE))-AL270),"-",LEN(VLOOKUP(A270,Seqs!A:E,2,FALSE))-AL270)</f>
        <v>19</v>
      </c>
      <c r="BB270" s="16">
        <f t="shared" si="164"/>
        <v>28</v>
      </c>
      <c r="BC270" s="9">
        <f t="shared" si="165"/>
        <v>20</v>
      </c>
      <c r="BD270" s="3">
        <f t="shared" si="166"/>
        <v>28</v>
      </c>
      <c r="BE270" s="3">
        <f t="shared" si="167"/>
        <v>64</v>
      </c>
      <c r="BF270" s="3">
        <f t="shared" si="147"/>
        <v>35</v>
      </c>
    </row>
    <row r="271" spans="1:58" s="3" customFormat="1" x14ac:dyDescent="0.2">
      <c r="A271" s="3" t="s">
        <v>392</v>
      </c>
      <c r="B271" s="3" t="str">
        <f>LOWER(VLOOKUP(A271,Xtal_Templ!A:B,2,FALSE))</f>
        <v>5ht1b_human</v>
      </c>
      <c r="C271" s="3">
        <f>VLOOKUP($A271,'SegEnds_NonXtal_BW#'!$A:$Z,3,FALSE)+D271-50</f>
        <v>28</v>
      </c>
      <c r="D271" s="3">
        <v>49</v>
      </c>
      <c r="E271" s="3">
        <f>IF(ISERROR(VLOOKUP($A271,'SegEnds_NonXtal_BW#'!$A:$Z,4,FALSE)+VLOOKUP($A271,A:AL,4,FALSE)-50),"-",(VLOOKUP($A271,'SegEnds_NonXtal_BW#'!$A:$Z,4,FALSE)+VLOOKUP($A271,A:AL,4,FALSE)-50))</f>
        <v>59</v>
      </c>
      <c r="F271" s="3">
        <f t="shared" si="169"/>
        <v>60</v>
      </c>
      <c r="G271" s="3">
        <v>62</v>
      </c>
      <c r="H271" s="3">
        <f t="shared" si="170"/>
        <v>63</v>
      </c>
      <c r="I271" s="3">
        <f t="shared" si="170"/>
        <v>64</v>
      </c>
      <c r="J271" s="3">
        <v>77</v>
      </c>
      <c r="K271" s="3">
        <f>VLOOKUP($A271,'SegEnds_NonXtal_BW#'!$A:$Z,8,FALSE)+VLOOKUP($A271,A:AL,10,FALSE)-50</f>
        <v>94</v>
      </c>
      <c r="L271" s="3">
        <f t="shared" si="174"/>
        <v>96</v>
      </c>
      <c r="M271" s="3">
        <v>97</v>
      </c>
      <c r="N271" s="3">
        <f t="shared" si="175"/>
        <v>99</v>
      </c>
      <c r="O271" s="3">
        <f t="shared" si="176"/>
        <v>100</v>
      </c>
      <c r="P271" s="3">
        <v>129</v>
      </c>
      <c r="Q271" s="3">
        <f>VLOOKUP($A271,'SegEnds_NonXtal_BW#'!$A:$Z,12,FALSE)+VLOOKUP($A271,A:AL,16,FALSE)-50</f>
        <v>135</v>
      </c>
      <c r="R271" s="3">
        <f>IF(ISERROR(VLOOKUP($A271,'SegEnds_NonXtal_BW#'!$A:$Z,13,FALSE)+VLOOKUP($A271,A:AL,19,FALSE)-50),"-",VLOOKUP($A271,'SegEnds_NonXtal_BW#'!$A:$Z,13,FALSE)+VLOOKUP($A271,A:AL,19,FALSE)-50)</f>
        <v>136</v>
      </c>
      <c r="S271" s="3">
        <v>136</v>
      </c>
      <c r="T271" s="103">
        <f>IF(ISERROR(VLOOKUP($A271,'SegEnds_NonXtal_BW#'!$A:$Z,14,FALSE)+VLOOKUP($A271,A:AL,19,FALSE)-50),"-",(VLOOKUP($A271,'SegEnds_NonXtal_BW#'!$A:$Z,14,FALSE)+VLOOKUP($A271,A:AL,19,FALSE)-50))</f>
        <v>143</v>
      </c>
      <c r="U271" s="9">
        <f>IF(ISERROR(VLOOKUP($A271,'SegEnds_NonXtal_BW#'!$A:$Z,15,FALSE)+VLOOKUP($A271,A:AL,22,FALSE)-50),"-",VLOOKUP($A271,'SegEnds_NonXtal_BW#'!$A:$Z,15,FALSE)+VLOOKUP($A271,A:AL,22,FALSE)-50)</f>
        <v>144</v>
      </c>
      <c r="V271" s="3">
        <v>156</v>
      </c>
      <c r="W271" s="3">
        <f>IF(ISERROR(VLOOKUP($A271,'SegEnds_NonXtal_BW#'!$A:$Z,16,FALSE)+VLOOKUP($A271,A:AL,22,FALSE)-50),"-",(VLOOKUP($A271,'SegEnds_NonXtal_BW#'!$A:$Z,16,FALSE)+VLOOKUP($A271,A:AL,22,FALSE)-50))</f>
        <v>169</v>
      </c>
      <c r="X271" s="3">
        <f>IF(ISERROR(VLOOKUP($A271,'SegEnds_NonXtal_BW#'!$A:$Z,17,FALSE)+VLOOKUP($A271,A:AL,25,FALSE)-50),"-",(VLOOKUP($A271,'SegEnds_NonXtal_BW#'!$A:$Z,17,FALSE)+VLOOKUP($A271,A:AL,25,FALSE)-50))</f>
        <v>189</v>
      </c>
      <c r="Y271" s="3">
        <v>189</v>
      </c>
      <c r="Z271" s="3">
        <f t="shared" si="177"/>
        <v>191</v>
      </c>
      <c r="AA271" s="3">
        <f>IF(ISERROR(VLOOKUP($A271,'SegEnds_NonXtal_BW#'!$A:$Z,19,FALSE)+VLOOKUP($A271,A:AL,28,FALSE)-50),"-",(VLOOKUP($A271,'SegEnds_NonXtal_BW#'!$A:$Z,19,FALSE)+VLOOKUP($A271,A:AL,28,FALSE)-50))</f>
        <v>193</v>
      </c>
      <c r="AB271" s="3">
        <v>208</v>
      </c>
      <c r="AC271" s="3">
        <f>IF(ISERROR((VLOOKUP($A271,'SegEnds_NonXtal_BW#'!$A:$Z,20,FALSE)+VLOOKUP($A271,A:AL,28,FALSE)-50)),"-",(VLOOKUP($A271,'SegEnds_NonXtal_BW#'!$A:$Z,20,FALSE)+VLOOKUP($A271,A:AL,28,FALSE)-50))</f>
        <v>232</v>
      </c>
      <c r="AD271" s="3">
        <f>IF(ISERROR(VLOOKUP($A271,'SegEnds_NonXtal_BW#'!$A:$Z,21,FALSE)+VLOOKUP($A271,A:AL,31,FALSE)-50),"-",(VLOOKUP($A271,'SegEnds_NonXtal_BW#'!$A:$Z,21,FALSE)+VLOOKUP($A271,A:AL,31,FALSE)-50))</f>
        <v>243</v>
      </c>
      <c r="AE271" s="3">
        <v>272</v>
      </c>
      <c r="AF271" s="3">
        <f>IF(ISERROR((VLOOKUP($A271,'SegEnds_NonXtal_BW#'!$A:$Z,22,FALSE)+VLOOKUP($A271,A:AL,31,FALSE)-50)),"-",(VLOOKUP($A271,'SegEnds_NonXtal_BW#'!$A:$Z,22,FALSE)+VLOOKUP($A271,A:AL,31,FALSE)-50))</f>
        <v>283</v>
      </c>
      <c r="AG271" s="3">
        <f>IF(ISERROR(VLOOKUP($A271,'SegEnds_NonXtal_BW#'!$A:$Z,23,FALSE)+VLOOKUP($A271,A:AL,34,FALSE)-50),"-",(VLOOKUP($A271,'SegEnds_NonXtal_BW#'!$A:$Z,23,FALSE)+VLOOKUP($A271,A:AL,34,FALSE)-50))</f>
        <v>288</v>
      </c>
      <c r="AH271" s="3">
        <v>307</v>
      </c>
      <c r="AI271" s="3">
        <f>IF(ISERROR((VLOOKUP($A271,'SegEnds_NonXtal_BW#'!$A:$Z,24,FALSE)+VLOOKUP($A271,A:AL,34,FALSE)-50)),"-",(VLOOKUP($A271,'SegEnds_NonXtal_BW#'!$A:$Z,24,FALSE)+VLOOKUP($A271,A:AL,34,FALSE)-50))</f>
        <v>313</v>
      </c>
      <c r="AJ271" s="3">
        <f>IF(ISERROR(VLOOKUP($A271,'SegEnds_NonXtal_BW#'!$A:$Z,25,FALSE)+VLOOKUP($A271,A:AL,37,FALSE)-50),"-",(VLOOKUP($A271,'SegEnds_NonXtal_BW#'!$A:$Z,25,FALSE)+VLOOKUP($A271,A:AL,37,FALSE)-50))</f>
        <v>314</v>
      </c>
      <c r="AK271" s="3">
        <v>317</v>
      </c>
      <c r="AL271" s="3">
        <f>IF(ISERROR((VLOOKUP($A271,'SegEnds_NonXtal_BW#'!$A:$Z,26,FALSE)+VLOOKUP($A271,A:AL,37,FALSE)-50)),"-",(VLOOKUP($A271,'SegEnds_NonXtal_BW#'!$A:$Z,26,FALSE)+VLOOKUP($A271,A:AL,37,FALSE)-50))</f>
        <v>325</v>
      </c>
      <c r="AM271" s="28" t="str">
        <f>VLOOKUP(A271,Classification!A:B,2,FALSE)</f>
        <v>A</v>
      </c>
      <c r="AN271" s="28" t="b">
        <f t="shared" si="173"/>
        <v>1</v>
      </c>
      <c r="AO271" s="3" t="str">
        <f>IF(ISERROR(MATCH(A271,'SegEnds_Xtal_Prot#'!B:B, 0)), "NoXtal", "Xtal")</f>
        <v>NoXtal</v>
      </c>
      <c r="AP271" s="3">
        <f t="shared" si="153"/>
        <v>1</v>
      </c>
      <c r="AQ271" s="3">
        <f t="shared" si="154"/>
        <v>1</v>
      </c>
      <c r="AR271" s="3">
        <f t="shared" si="155"/>
        <v>2</v>
      </c>
      <c r="AS271" s="3">
        <f t="shared" si="156"/>
        <v>1</v>
      </c>
      <c r="AT271" s="3">
        <f t="shared" si="157"/>
        <v>1</v>
      </c>
      <c r="AU271" s="3">
        <f t="shared" si="158"/>
        <v>1</v>
      </c>
      <c r="AV271" s="3">
        <f t="shared" si="159"/>
        <v>20</v>
      </c>
      <c r="AW271" s="3">
        <f t="shared" si="160"/>
        <v>2</v>
      </c>
      <c r="AX271" s="3">
        <f t="shared" si="161"/>
        <v>11</v>
      </c>
      <c r="AY271" s="3">
        <f t="shared" si="162"/>
        <v>5</v>
      </c>
      <c r="AZ271" s="3">
        <f t="shared" si="163"/>
        <v>1</v>
      </c>
      <c r="BA271" s="3">
        <f>IF(ISERROR(LEN(VLOOKUP(A271,Seqs!A:E,2,FALSE))-AL271),"-",LEN(VLOOKUP(A271,Seqs!A:E,2,FALSE))-AL271)</f>
        <v>17</v>
      </c>
      <c r="BB271" s="16">
        <f t="shared" si="164"/>
        <v>28</v>
      </c>
      <c r="BC271" s="9">
        <f t="shared" si="165"/>
        <v>20</v>
      </c>
      <c r="BD271" s="3">
        <f t="shared" si="166"/>
        <v>28</v>
      </c>
      <c r="BE271" s="3">
        <f t="shared" si="167"/>
        <v>64</v>
      </c>
      <c r="BF271" s="3">
        <f t="shared" si="147"/>
        <v>35</v>
      </c>
    </row>
    <row r="272" spans="1:58" s="3" customFormat="1" x14ac:dyDescent="0.2">
      <c r="A272" s="3" t="s">
        <v>393</v>
      </c>
      <c r="B272" s="3" t="str">
        <f>LOWER(VLOOKUP(A272,Xtal_Templ!A:B,2,FALSE))</f>
        <v>5ht1b_human</v>
      </c>
      <c r="C272" s="3">
        <f>VLOOKUP($A272,'SegEnds_NonXtal_BW#'!$A:$Z,3,FALSE)+D272-50</f>
        <v>29</v>
      </c>
      <c r="D272" s="3">
        <v>50</v>
      </c>
      <c r="E272" s="3">
        <f>IF(ISERROR(VLOOKUP($A272,'SegEnds_NonXtal_BW#'!$A:$Z,4,FALSE)+VLOOKUP($A272,A:AL,4,FALSE)-50),"-",(VLOOKUP($A272,'SegEnds_NonXtal_BW#'!$A:$Z,4,FALSE)+VLOOKUP($A272,A:AL,4,FALSE)-50))</f>
        <v>60</v>
      </c>
      <c r="F272" s="3">
        <f t="shared" si="169"/>
        <v>61</v>
      </c>
      <c r="G272" s="3">
        <v>63</v>
      </c>
      <c r="H272" s="3">
        <f t="shared" si="170"/>
        <v>64</v>
      </c>
      <c r="I272" s="3">
        <f t="shared" si="170"/>
        <v>65</v>
      </c>
      <c r="J272" s="3">
        <v>78</v>
      </c>
      <c r="K272" s="3">
        <f>VLOOKUP($A272,'SegEnds_NonXtal_BW#'!$A:$Z,8,FALSE)+VLOOKUP($A272,A:AL,10,FALSE)-50</f>
        <v>95</v>
      </c>
      <c r="L272" s="3">
        <f t="shared" si="174"/>
        <v>97</v>
      </c>
      <c r="M272" s="3">
        <v>98</v>
      </c>
      <c r="N272" s="3">
        <f t="shared" si="175"/>
        <v>100</v>
      </c>
      <c r="O272" s="3">
        <f t="shared" si="176"/>
        <v>101</v>
      </c>
      <c r="P272" s="3">
        <v>130</v>
      </c>
      <c r="Q272" s="3">
        <f>VLOOKUP($A272,'SegEnds_NonXtal_BW#'!$A:$Z,12,FALSE)+VLOOKUP($A272,A:AL,16,FALSE)-50</f>
        <v>136</v>
      </c>
      <c r="R272" s="3">
        <f>IF(ISERROR(VLOOKUP($A272,'SegEnds_NonXtal_BW#'!$A:$Z,13,FALSE)+VLOOKUP($A272,A:AL,19,FALSE)-50),"-",VLOOKUP($A272,'SegEnds_NonXtal_BW#'!$A:$Z,13,FALSE)+VLOOKUP($A272,A:AL,19,FALSE)-50)</f>
        <v>137</v>
      </c>
      <c r="S272" s="3">
        <v>137</v>
      </c>
      <c r="T272" s="103">
        <f>IF(ISERROR(VLOOKUP($A272,'SegEnds_NonXtal_BW#'!$A:$Z,14,FALSE)+VLOOKUP($A272,A:AL,19,FALSE)-50),"-",(VLOOKUP($A272,'SegEnds_NonXtal_BW#'!$A:$Z,14,FALSE)+VLOOKUP($A272,A:AL,19,FALSE)-50))</f>
        <v>144</v>
      </c>
      <c r="U272" s="9">
        <f>IF(ISERROR(VLOOKUP($A272,'SegEnds_NonXtal_BW#'!$A:$Z,15,FALSE)+VLOOKUP($A272,A:AL,22,FALSE)-50),"-",VLOOKUP($A272,'SegEnds_NonXtal_BW#'!$A:$Z,15,FALSE)+VLOOKUP($A272,A:AL,22,FALSE)-50)</f>
        <v>145</v>
      </c>
      <c r="V272" s="3">
        <v>157</v>
      </c>
      <c r="W272" s="3">
        <f>IF(ISERROR(VLOOKUP($A272,'SegEnds_NonXtal_BW#'!$A:$Z,16,FALSE)+VLOOKUP($A272,A:AL,22,FALSE)-50),"-",(VLOOKUP($A272,'SegEnds_NonXtal_BW#'!$A:$Z,16,FALSE)+VLOOKUP($A272,A:AL,22,FALSE)-50))</f>
        <v>170</v>
      </c>
      <c r="X272" s="3">
        <f>IF(ISERROR(VLOOKUP($A272,'SegEnds_NonXtal_BW#'!$A:$Z,17,FALSE)+VLOOKUP($A272,A:AL,25,FALSE)-50),"-",(VLOOKUP($A272,'SegEnds_NonXtal_BW#'!$A:$Z,17,FALSE)+VLOOKUP($A272,A:AL,25,FALSE)-50))</f>
        <v>190</v>
      </c>
      <c r="Y272" s="3">
        <v>190</v>
      </c>
      <c r="Z272" s="3">
        <f t="shared" si="177"/>
        <v>192</v>
      </c>
      <c r="AA272" s="3">
        <f>IF(ISERROR(VLOOKUP($A272,'SegEnds_NonXtal_BW#'!$A:$Z,19,FALSE)+VLOOKUP($A272,A:AL,28,FALSE)-50),"-",(VLOOKUP($A272,'SegEnds_NonXtal_BW#'!$A:$Z,19,FALSE)+VLOOKUP($A272,A:AL,28,FALSE)-50))</f>
        <v>194</v>
      </c>
      <c r="AB272" s="3">
        <v>209</v>
      </c>
      <c r="AC272" s="3">
        <f>IF(ISERROR((VLOOKUP($A272,'SegEnds_NonXtal_BW#'!$A:$Z,20,FALSE)+VLOOKUP($A272,A:AL,28,FALSE)-50)),"-",(VLOOKUP($A272,'SegEnds_NonXtal_BW#'!$A:$Z,20,FALSE)+VLOOKUP($A272,A:AL,28,FALSE)-50))</f>
        <v>233</v>
      </c>
      <c r="AD272" s="3">
        <f>IF(ISERROR(VLOOKUP($A272,'SegEnds_NonXtal_BW#'!$A:$Z,21,FALSE)+VLOOKUP($A272,A:AL,31,FALSE)-50),"-",(VLOOKUP($A272,'SegEnds_NonXtal_BW#'!$A:$Z,21,FALSE)+VLOOKUP($A272,A:AL,31,FALSE)-50))</f>
        <v>244</v>
      </c>
      <c r="AE272" s="3">
        <v>273</v>
      </c>
      <c r="AF272" s="3">
        <f>IF(ISERROR((VLOOKUP($A272,'SegEnds_NonXtal_BW#'!$A:$Z,22,FALSE)+VLOOKUP($A272,A:AL,31,FALSE)-50)),"-",(VLOOKUP($A272,'SegEnds_NonXtal_BW#'!$A:$Z,22,FALSE)+VLOOKUP($A272,A:AL,31,FALSE)-50))</f>
        <v>284</v>
      </c>
      <c r="AG272" s="3">
        <f>IF(ISERROR(VLOOKUP($A272,'SegEnds_NonXtal_BW#'!$A:$Z,23,FALSE)+VLOOKUP($A272,A:AL,34,FALSE)-50),"-",(VLOOKUP($A272,'SegEnds_NonXtal_BW#'!$A:$Z,23,FALSE)+VLOOKUP($A272,A:AL,34,FALSE)-50))</f>
        <v>289</v>
      </c>
      <c r="AH272" s="3">
        <v>308</v>
      </c>
      <c r="AI272" s="3">
        <f>IF(ISERROR((VLOOKUP($A272,'SegEnds_NonXtal_BW#'!$A:$Z,24,FALSE)+VLOOKUP($A272,A:AL,34,FALSE)-50)),"-",(VLOOKUP($A272,'SegEnds_NonXtal_BW#'!$A:$Z,24,FALSE)+VLOOKUP($A272,A:AL,34,FALSE)-50))</f>
        <v>314</v>
      </c>
      <c r="AJ272" s="3">
        <f>IF(ISERROR(VLOOKUP($A272,'SegEnds_NonXtal_BW#'!$A:$Z,25,FALSE)+VLOOKUP($A272,A:AL,37,FALSE)-50),"-",(VLOOKUP($A272,'SegEnds_NonXtal_BW#'!$A:$Z,25,FALSE)+VLOOKUP($A272,A:AL,37,FALSE)-50))</f>
        <v>315</v>
      </c>
      <c r="AK272" s="3">
        <v>318</v>
      </c>
      <c r="AL272" s="3">
        <f>IF(ISERROR((VLOOKUP($A272,'SegEnds_NonXtal_BW#'!$A:$Z,26,FALSE)+VLOOKUP($A272,A:AL,37,FALSE)-50)),"-",(VLOOKUP($A272,'SegEnds_NonXtal_BW#'!$A:$Z,26,FALSE)+VLOOKUP($A272,A:AL,37,FALSE)-50))</f>
        <v>326</v>
      </c>
      <c r="AM272" s="28" t="str">
        <f>VLOOKUP(A272,Classification!A:B,2,FALSE)</f>
        <v>A</v>
      </c>
      <c r="AN272" s="28" t="b">
        <f t="shared" si="173"/>
        <v>1</v>
      </c>
      <c r="AO272" s="3" t="str">
        <f>IF(ISERROR(MATCH(A272,'SegEnds_Xtal_Prot#'!B:B, 0)), "NoXtal", "Xtal")</f>
        <v>NoXtal</v>
      </c>
      <c r="AP272" s="3">
        <f t="shared" si="153"/>
        <v>1</v>
      </c>
      <c r="AQ272" s="3">
        <f t="shared" si="154"/>
        <v>1</v>
      </c>
      <c r="AR272" s="3">
        <f t="shared" si="155"/>
        <v>2</v>
      </c>
      <c r="AS272" s="3">
        <f t="shared" si="156"/>
        <v>1</v>
      </c>
      <c r="AT272" s="3">
        <f t="shared" si="157"/>
        <v>1</v>
      </c>
      <c r="AU272" s="3">
        <f t="shared" si="158"/>
        <v>1</v>
      </c>
      <c r="AV272" s="3">
        <f t="shared" si="159"/>
        <v>20</v>
      </c>
      <c r="AW272" s="3">
        <f t="shared" si="160"/>
        <v>2</v>
      </c>
      <c r="AX272" s="3">
        <f t="shared" si="161"/>
        <v>11</v>
      </c>
      <c r="AY272" s="3">
        <f t="shared" si="162"/>
        <v>5</v>
      </c>
      <c r="AZ272" s="3">
        <f t="shared" si="163"/>
        <v>1</v>
      </c>
      <c r="BA272" s="3">
        <f>IF(ISERROR(LEN(VLOOKUP(A272,Seqs!A:E,2,FALSE))-AL272),"-",LEN(VLOOKUP(A272,Seqs!A:E,2,FALSE))-AL272)</f>
        <v>22</v>
      </c>
      <c r="BB272" s="16">
        <f t="shared" si="164"/>
        <v>28</v>
      </c>
      <c r="BC272" s="9">
        <f t="shared" si="165"/>
        <v>20</v>
      </c>
      <c r="BD272" s="3">
        <f t="shared" si="166"/>
        <v>28</v>
      </c>
      <c r="BE272" s="3">
        <f t="shared" si="167"/>
        <v>64</v>
      </c>
      <c r="BF272" s="3">
        <f t="shared" si="147"/>
        <v>35</v>
      </c>
    </row>
    <row r="273" spans="1:58" s="3" customFormat="1" x14ac:dyDescent="0.2">
      <c r="A273" s="3" t="s">
        <v>394</v>
      </c>
      <c r="B273" s="3" t="str">
        <f>LOWER(VLOOKUP(A273,Xtal_Templ!A:B,2,FALSE))</f>
        <v>oprx_human</v>
      </c>
      <c r="C273" s="3">
        <f>VLOOKUP($A273,'SegEnds_NonXtal_BW#'!$A:$Z,3,FALSE)+D273-50</f>
        <v>22</v>
      </c>
      <c r="D273" s="3">
        <v>43</v>
      </c>
      <c r="E273" s="3">
        <f>IF(ISERROR(VLOOKUP($A273,'SegEnds_NonXtal_BW#'!$A:$Z,4,FALSE)+VLOOKUP($A273,A:AL,4,FALSE)-50),"-",(VLOOKUP($A273,'SegEnds_NonXtal_BW#'!$A:$Z,4,FALSE)+VLOOKUP($A273,A:AL,4,FALSE)-50))</f>
        <v>53</v>
      </c>
      <c r="F273" s="3">
        <f t="shared" si="169"/>
        <v>54</v>
      </c>
      <c r="G273" s="3">
        <v>56</v>
      </c>
      <c r="H273" s="3">
        <f t="shared" si="170"/>
        <v>57</v>
      </c>
      <c r="I273" s="3">
        <f t="shared" si="170"/>
        <v>58</v>
      </c>
      <c r="J273" s="3">
        <v>71</v>
      </c>
      <c r="K273" s="3">
        <f>VLOOKUP($A273,'SegEnds_NonXtal_BW#'!$A:$Z,8,FALSE)+VLOOKUP($A273,A:AL,10,FALSE)-50</f>
        <v>87</v>
      </c>
      <c r="L273" s="3">
        <f t="shared" si="174"/>
        <v>90</v>
      </c>
      <c r="M273" s="3">
        <v>91</v>
      </c>
      <c r="N273" s="3">
        <f t="shared" si="175"/>
        <v>93</v>
      </c>
      <c r="O273" s="3">
        <f t="shared" si="176"/>
        <v>94</v>
      </c>
      <c r="P273" s="3">
        <v>123</v>
      </c>
      <c r="Q273" s="3">
        <f>VLOOKUP($A273,'SegEnds_NonXtal_BW#'!$A:$Z,12,FALSE)+VLOOKUP($A273,A:AL,16,FALSE)-50</f>
        <v>129</v>
      </c>
      <c r="R273" s="3">
        <f>IF(ISERROR(VLOOKUP($A273,'SegEnds_NonXtal_BW#'!$A:$Z,13,FALSE)+VLOOKUP($A273,A:AL,19,FALSE)-50),"-",VLOOKUP($A273,'SegEnds_NonXtal_BW#'!$A:$Z,13,FALSE)+VLOOKUP($A273,A:AL,19,FALSE)-50)</f>
        <v>130</v>
      </c>
      <c r="S273" s="3">
        <v>130</v>
      </c>
      <c r="T273" s="103">
        <f>IF(ISERROR(VLOOKUP($A273,'SegEnds_NonXtal_BW#'!$A:$Z,14,FALSE)+VLOOKUP($A273,A:AL,19,FALSE)-50),"-",(VLOOKUP($A273,'SegEnds_NonXtal_BW#'!$A:$Z,14,FALSE)+VLOOKUP($A273,A:AL,19,FALSE)-50))</f>
        <v>137</v>
      </c>
      <c r="U273" s="9">
        <f>IF(ISERROR(VLOOKUP($A273,'SegEnds_NonXtal_BW#'!$A:$Z,15,FALSE)+VLOOKUP($A273,A:AL,22,FALSE)-50),"-",VLOOKUP($A273,'SegEnds_NonXtal_BW#'!$A:$Z,15,FALSE)+VLOOKUP($A273,A:AL,22,FALSE)-50)</f>
        <v>138</v>
      </c>
      <c r="V273" s="3">
        <v>150</v>
      </c>
      <c r="W273" s="3">
        <f>IF(ISERROR(VLOOKUP($A273,'SegEnds_NonXtal_BW#'!$A:$Z,16,FALSE)+VLOOKUP($A273,A:AL,22,FALSE)-50),"-",(VLOOKUP($A273,'SegEnds_NonXtal_BW#'!$A:$Z,16,FALSE)+VLOOKUP($A273,A:AL,22,FALSE)-50))</f>
        <v>164</v>
      </c>
      <c r="X273" s="3">
        <f>IF(ISERROR(VLOOKUP($A273,'SegEnds_NonXtal_BW#'!$A:$Z,17,FALSE)+VLOOKUP($A273,A:AL,25,FALSE)-50),"-",(VLOOKUP($A273,'SegEnds_NonXtal_BW#'!$A:$Z,17,FALSE)+VLOOKUP($A273,A:AL,25,FALSE)-50))</f>
        <v>179</v>
      </c>
      <c r="Y273" s="3">
        <v>179</v>
      </c>
      <c r="Z273" s="3">
        <f t="shared" si="177"/>
        <v>181</v>
      </c>
      <c r="AA273" s="3">
        <f>IF(ISERROR(VLOOKUP($A273,'SegEnds_NonXtal_BW#'!$A:$Z,19,FALSE)+VLOOKUP($A273,A:AL,28,FALSE)-50),"-",(VLOOKUP($A273,'SegEnds_NonXtal_BW#'!$A:$Z,19,FALSE)+VLOOKUP($A273,A:AL,28,FALSE)-50))</f>
        <v>184</v>
      </c>
      <c r="AB273" s="3">
        <v>203</v>
      </c>
      <c r="AC273" s="3">
        <f>IF(ISERROR((VLOOKUP($A273,'SegEnds_NonXtal_BW#'!$A:$Z,20,FALSE)+VLOOKUP($A273,A:AL,28,FALSE)-50)),"-",(VLOOKUP($A273,'SegEnds_NonXtal_BW#'!$A:$Z,20,FALSE)+VLOOKUP($A273,A:AL,28,FALSE)-50))</f>
        <v>229</v>
      </c>
      <c r="AD273" s="3">
        <f>IF(ISERROR(VLOOKUP($A273,'SegEnds_NonXtal_BW#'!$A:$Z,21,FALSE)+VLOOKUP($A273,A:AL,31,FALSE)-50),"-",(VLOOKUP($A273,'SegEnds_NonXtal_BW#'!$A:$Z,21,FALSE)+VLOOKUP($A273,A:AL,31,FALSE)-50))</f>
        <v>255</v>
      </c>
      <c r="AE273" s="3">
        <v>281</v>
      </c>
      <c r="AF273" s="3">
        <f>IF(ISERROR((VLOOKUP($A273,'SegEnds_NonXtal_BW#'!$A:$Z,22,FALSE)+VLOOKUP($A273,A:AL,31,FALSE)-50)),"-",(VLOOKUP($A273,'SegEnds_NonXtal_BW#'!$A:$Z,22,FALSE)+VLOOKUP($A273,A:AL,31,FALSE)-50))</f>
        <v>292</v>
      </c>
      <c r="AG273" s="3">
        <f>IF(ISERROR(VLOOKUP($A273,'SegEnds_NonXtal_BW#'!$A:$Z,23,FALSE)+VLOOKUP($A273,A:AL,34,FALSE)-50),"-",(VLOOKUP($A273,'SegEnds_NonXtal_BW#'!$A:$Z,23,FALSE)+VLOOKUP($A273,A:AL,34,FALSE)-50))</f>
        <v>298</v>
      </c>
      <c r="AH273" s="3">
        <v>317</v>
      </c>
      <c r="AI273" s="3">
        <f>IF(ISERROR((VLOOKUP($A273,'SegEnds_NonXtal_BW#'!$A:$Z,24,FALSE)+VLOOKUP($A273,A:AL,34,FALSE)-50)),"-",(VLOOKUP($A273,'SegEnds_NonXtal_BW#'!$A:$Z,24,FALSE)+VLOOKUP($A273,A:AL,34,FALSE)-50))</f>
        <v>323</v>
      </c>
      <c r="AJ273" s="3">
        <f>IF(ISERROR(VLOOKUP($A273,'SegEnds_NonXtal_BW#'!$A:$Z,25,FALSE)+VLOOKUP($A273,A:AL,37,FALSE)-50),"-",(VLOOKUP($A273,'SegEnds_NonXtal_BW#'!$A:$Z,25,FALSE)+VLOOKUP($A273,A:AL,37,FALSE)-50))</f>
        <v>324</v>
      </c>
      <c r="AK273" s="3">
        <v>327</v>
      </c>
      <c r="AL273" s="3">
        <f>IF(ISERROR((VLOOKUP($A273,'SegEnds_NonXtal_BW#'!$A:$Z,26,FALSE)+VLOOKUP($A273,A:AL,37,FALSE)-50)),"-",(VLOOKUP($A273,'SegEnds_NonXtal_BW#'!$A:$Z,26,FALSE)+VLOOKUP($A273,A:AL,37,FALSE)-50))</f>
        <v>336</v>
      </c>
      <c r="AM273" s="28" t="str">
        <f>VLOOKUP(A273,Classification!A:B,2,FALSE)</f>
        <v>A</v>
      </c>
      <c r="AN273" s="28" t="b">
        <f t="shared" si="173"/>
        <v>1</v>
      </c>
      <c r="AO273" s="3" t="str">
        <f>IF(ISERROR(MATCH(A273,'SegEnds_Xtal_Prot#'!B:B, 0)), "NoXtal", "Xtal")</f>
        <v>NoXtal</v>
      </c>
      <c r="AP273" s="3">
        <f t="shared" si="153"/>
        <v>1</v>
      </c>
      <c r="AQ273" s="3">
        <f t="shared" si="154"/>
        <v>1</v>
      </c>
      <c r="AR273" s="3">
        <f t="shared" si="155"/>
        <v>3</v>
      </c>
      <c r="AS273" s="3">
        <f t="shared" si="156"/>
        <v>1</v>
      </c>
      <c r="AT273" s="3">
        <f t="shared" si="157"/>
        <v>1</v>
      </c>
      <c r="AU273" s="3">
        <f t="shared" si="158"/>
        <v>1</v>
      </c>
      <c r="AV273" s="3">
        <f t="shared" si="159"/>
        <v>15</v>
      </c>
      <c r="AW273" s="3">
        <f t="shared" si="160"/>
        <v>3</v>
      </c>
      <c r="AX273" s="3">
        <f t="shared" si="161"/>
        <v>26</v>
      </c>
      <c r="AY273" s="3">
        <f t="shared" si="162"/>
        <v>6</v>
      </c>
      <c r="AZ273" s="3">
        <f t="shared" si="163"/>
        <v>1</v>
      </c>
      <c r="BA273" s="3">
        <f>IF(ISERROR(LEN(VLOOKUP(A273,Seqs!A:E,2,FALSE))-AL273),"-",LEN(VLOOKUP(A273,Seqs!A:E,2,FALSE))-AL273)</f>
        <v>62</v>
      </c>
      <c r="BB273" s="16">
        <f t="shared" si="164"/>
        <v>28</v>
      </c>
      <c r="BC273" s="9">
        <f t="shared" si="165"/>
        <v>20</v>
      </c>
      <c r="BD273" s="3">
        <f t="shared" si="166"/>
        <v>28</v>
      </c>
      <c r="BE273" s="3">
        <f t="shared" si="167"/>
        <v>78</v>
      </c>
    </row>
    <row r="274" spans="1:58" s="3" customFormat="1" x14ac:dyDescent="0.2">
      <c r="A274" s="3" t="s">
        <v>395</v>
      </c>
      <c r="B274" s="3" t="str">
        <f>LOWER(VLOOKUP(A274,Xtal_Templ!A:B,2,FALSE))</f>
        <v>aa2ar_human</v>
      </c>
      <c r="C274" s="3">
        <f>VLOOKUP($A274,'SegEnds_NonXtal_BW#'!$A:$Z,3,FALSE)+D274-50</f>
        <v>409</v>
      </c>
      <c r="D274" s="3">
        <v>432</v>
      </c>
      <c r="E274" s="3">
        <f>IF(ISERROR(VLOOKUP($A274,'SegEnds_NonXtal_BW#'!$A:$Z,4,FALSE)+VLOOKUP($A274,A:AL,4,FALSE)-50),"-",(VLOOKUP($A274,'SegEnds_NonXtal_BW#'!$A:$Z,4,FALSE)+VLOOKUP($A274,A:AL,4,FALSE)-50))</f>
        <v>442</v>
      </c>
      <c r="F274" s="3">
        <f t="shared" si="169"/>
        <v>444</v>
      </c>
      <c r="G274" s="3">
        <v>446</v>
      </c>
      <c r="H274" s="3">
        <f t="shared" si="170"/>
        <v>447</v>
      </c>
      <c r="I274" s="3">
        <f t="shared" si="170"/>
        <v>448</v>
      </c>
      <c r="J274" s="3">
        <v>460</v>
      </c>
      <c r="K274" s="3">
        <f>VLOOKUP($A274,'SegEnds_NonXtal_BW#'!$A:$Z,8,FALSE)+VLOOKUP($A274,A:AL,10,FALSE)-50</f>
        <v>477</v>
      </c>
      <c r="L274" s="3">
        <f t="shared" si="174"/>
        <v>487</v>
      </c>
      <c r="M274" s="3">
        <v>488</v>
      </c>
      <c r="N274" s="3">
        <f t="shared" si="175"/>
        <v>490</v>
      </c>
      <c r="O274" s="3">
        <f t="shared" si="176"/>
        <v>491</v>
      </c>
      <c r="P274" s="3">
        <v>519</v>
      </c>
      <c r="Q274" s="3">
        <f>VLOOKUP($A274,'SegEnds_NonXtal_BW#'!$A:$Z,12,FALSE)+VLOOKUP($A274,A:AL,16,FALSE)-50</f>
        <v>525</v>
      </c>
      <c r="R274" s="3">
        <f>IF(ISERROR(VLOOKUP($A274,'SegEnds_NonXtal_BW#'!$A:$Z,13,FALSE)+VLOOKUP($A274,A:AL,19,FALSE)-50),"-",VLOOKUP($A274,'SegEnds_NonXtal_BW#'!$A:$Z,13,FALSE)+VLOOKUP($A274,A:AL,19,FALSE)-50)</f>
        <v>526</v>
      </c>
      <c r="S274" s="3">
        <v>526</v>
      </c>
      <c r="T274" s="103">
        <f>IF(ISERROR(VLOOKUP($A274,'SegEnds_NonXtal_BW#'!$A:$Z,14,FALSE)+VLOOKUP($A274,A:AL,19,FALSE)-50),"-",(VLOOKUP($A274,'SegEnds_NonXtal_BW#'!$A:$Z,14,FALSE)+VLOOKUP($A274,A:AL,19,FALSE)-50))</f>
        <v>533</v>
      </c>
      <c r="U274" s="9">
        <f>IF(ISERROR(VLOOKUP($A274,'SegEnds_NonXtal_BW#'!$A:$Z,15,FALSE)+VLOOKUP($A274,A:AL,22,FALSE)-50),"-",VLOOKUP($A274,'SegEnds_NonXtal_BW#'!$A:$Z,15,FALSE)+VLOOKUP($A274,A:AL,22,FALSE)-50)</f>
        <v>534</v>
      </c>
      <c r="V274" s="3">
        <v>546</v>
      </c>
      <c r="W274" s="3">
        <f>IF(ISERROR(VLOOKUP($A274,'SegEnds_NonXtal_BW#'!$A:$Z,16,FALSE)+VLOOKUP($A274,A:AL,22,FALSE)-50),"-",(VLOOKUP($A274,'SegEnds_NonXtal_BW#'!$A:$Z,16,FALSE)+VLOOKUP($A274,A:AL,22,FALSE)-50))</f>
        <v>559</v>
      </c>
      <c r="X274" s="3">
        <f>IF(ISERROR(VLOOKUP($A274,'SegEnds_NonXtal_BW#'!$A:$Z,17,FALSE)+VLOOKUP($A274,A:AL,25,FALSE)-50),"-",(VLOOKUP($A274,'SegEnds_NonXtal_BW#'!$A:$Z,17,FALSE)+VLOOKUP($A274,A:AL,25,FALSE)-50))</f>
        <v>569</v>
      </c>
      <c r="Y274" s="3">
        <v>569</v>
      </c>
      <c r="Z274" s="3">
        <f t="shared" si="177"/>
        <v>571</v>
      </c>
      <c r="AA274" s="3">
        <f>IF(ISERROR(VLOOKUP($A274,'SegEnds_NonXtal_BW#'!$A:$Z,19,FALSE)+VLOOKUP($A274,A:AL,28,FALSE)-50),"-",(VLOOKUP($A274,'SegEnds_NonXtal_BW#'!$A:$Z,19,FALSE)+VLOOKUP($A274,A:AL,28,FALSE)-50))</f>
        <v>577</v>
      </c>
      <c r="AB274" s="3">
        <v>593</v>
      </c>
      <c r="AC274" s="3">
        <f>IF(ISERROR((VLOOKUP($A274,'SegEnds_NonXtal_BW#'!$A:$Z,20,FALSE)+VLOOKUP($A274,A:AL,28,FALSE)-50)),"-",(VLOOKUP($A274,'SegEnds_NonXtal_BW#'!$A:$Z,20,FALSE)+VLOOKUP($A274,A:AL,28,FALSE)-50))</f>
        <v>610</v>
      </c>
      <c r="AD274" s="3">
        <f>IF(ISERROR(VLOOKUP($A274,'SegEnds_NonXtal_BW#'!$A:$Z,21,FALSE)+VLOOKUP($A274,A:AL,31,FALSE)-50),"-",(VLOOKUP($A274,'SegEnds_NonXtal_BW#'!$A:$Z,21,FALSE)+VLOOKUP($A274,A:AL,31,FALSE)-50))</f>
        <v>615</v>
      </c>
      <c r="AE274" s="3">
        <v>639</v>
      </c>
      <c r="AF274" s="3">
        <f>IF(ISERROR((VLOOKUP($A274,'SegEnds_NonXtal_BW#'!$A:$Z,22,FALSE)+VLOOKUP($A274,A:AL,31,FALSE)-50)),"-",(VLOOKUP($A274,'SegEnds_NonXtal_BW#'!$A:$Z,22,FALSE)+VLOOKUP($A274,A:AL,31,FALSE)-50))</f>
        <v>650</v>
      </c>
      <c r="AG274" s="3">
        <f>IF(ISERROR(VLOOKUP($A274,'SegEnds_NonXtal_BW#'!$A:$Z,23,FALSE)+VLOOKUP($A274,A:AL,34,FALSE)-50),"-",(VLOOKUP($A274,'SegEnds_NonXtal_BW#'!$A:$Z,23,FALSE)+VLOOKUP($A274,A:AL,34,FALSE)-50))</f>
        <v>656</v>
      </c>
      <c r="AH274" s="3">
        <v>675</v>
      </c>
      <c r="AI274" s="3">
        <f>IF(ISERROR((VLOOKUP($A274,'SegEnds_NonXtal_BW#'!$A:$Z,24,FALSE)+VLOOKUP($A274,A:AL,34,FALSE)-50)),"-",(VLOOKUP($A274,'SegEnds_NonXtal_BW#'!$A:$Z,24,FALSE)+VLOOKUP($A274,A:AL,34,FALSE)-50))</f>
        <v>681</v>
      </c>
      <c r="AJ274" s="3">
        <f>IF(ISERROR(VLOOKUP($A274,'SegEnds_NonXtal_BW#'!$A:$Z,25,FALSE)+VLOOKUP($A274,A:AL,37,FALSE)-50),"-",(VLOOKUP($A274,'SegEnds_NonXtal_BW#'!$A:$Z,25,FALSE)+VLOOKUP($A274,A:AL,37,FALSE)-50))</f>
        <v>682</v>
      </c>
      <c r="AK274" s="3">
        <v>685</v>
      </c>
      <c r="AL274" s="3">
        <f>IF(ISERROR((VLOOKUP($A274,'SegEnds_NonXtal_BW#'!$A:$Z,26,FALSE)+VLOOKUP($A274,A:AL,37,FALSE)-50)),"-",(VLOOKUP($A274,'SegEnds_NonXtal_BW#'!$A:$Z,26,FALSE)+VLOOKUP($A274,A:AL,37,FALSE)-50))</f>
        <v>704</v>
      </c>
      <c r="AM274" s="28" t="str">
        <f>VLOOKUP(A274,Classification!A:B,2,FALSE)</f>
        <v>A</v>
      </c>
      <c r="AN274" s="28" t="b">
        <f t="shared" si="173"/>
        <v>1</v>
      </c>
      <c r="AO274" s="3" t="str">
        <f>IF(ISERROR(MATCH(A274,'SegEnds_Xtal_Prot#'!B:B, 0)), "NoXtal", "Xtal")</f>
        <v>NoXtal</v>
      </c>
      <c r="AP274" s="3">
        <f t="shared" si="153"/>
        <v>2</v>
      </c>
      <c r="AQ274" s="3">
        <f t="shared" si="154"/>
        <v>1</v>
      </c>
      <c r="AR274" s="3">
        <f t="shared" si="155"/>
        <v>10</v>
      </c>
      <c r="AS274" s="3">
        <f t="shared" si="156"/>
        <v>1</v>
      </c>
      <c r="AT274" s="3">
        <f t="shared" si="157"/>
        <v>1</v>
      </c>
      <c r="AU274" s="3">
        <f t="shared" si="158"/>
        <v>1</v>
      </c>
      <c r="AV274" s="3">
        <f t="shared" si="159"/>
        <v>10</v>
      </c>
      <c r="AW274" s="3">
        <f t="shared" si="160"/>
        <v>6</v>
      </c>
      <c r="AX274" s="3">
        <f t="shared" si="161"/>
        <v>5</v>
      </c>
      <c r="AY274" s="3">
        <f t="shared" si="162"/>
        <v>6</v>
      </c>
      <c r="AZ274" s="3">
        <f t="shared" si="163"/>
        <v>1</v>
      </c>
      <c r="BA274" s="3">
        <f>IF(ISERROR(LEN(VLOOKUP(A274,Seqs!A:E,2,FALSE))-AL274),"-",LEN(VLOOKUP(A274,Seqs!A:E,2,FALSE))-AL274)</f>
        <v>60</v>
      </c>
      <c r="BB274" s="16">
        <f t="shared" si="164"/>
        <v>28</v>
      </c>
      <c r="BC274" s="9">
        <f t="shared" si="165"/>
        <v>20</v>
      </c>
      <c r="BD274" s="3">
        <f t="shared" si="166"/>
        <v>28</v>
      </c>
      <c r="BE274" s="3">
        <f t="shared" si="167"/>
        <v>46</v>
      </c>
    </row>
    <row r="275" spans="1:58" s="3" customFormat="1" x14ac:dyDescent="0.2">
      <c r="A275" s="3" t="s">
        <v>399</v>
      </c>
      <c r="B275" s="3" t="str">
        <f>LOWER(VLOOKUP(A275,Xtal_Templ!A:B,2,FALSE))</f>
        <v>ntr1_rat</v>
      </c>
      <c r="C275" s="3">
        <f>VLOOKUP($A275,'SegEnds_NonXtal_BW#'!$A:$Z,3,FALSE)+D275-50</f>
        <v>34</v>
      </c>
      <c r="D275" s="3">
        <v>55</v>
      </c>
      <c r="E275" s="3">
        <f>IF(ISERROR(VLOOKUP($A275,'SegEnds_NonXtal_BW#'!$A:$Z,4,FALSE)+VLOOKUP($A275,A:AL,4,FALSE)-50),"-",(VLOOKUP($A275,'SegEnds_NonXtal_BW#'!$A:$Z,4,FALSE)+VLOOKUP($A275,A:AL,4,FALSE)-50))</f>
        <v>65</v>
      </c>
      <c r="F275" s="3">
        <f t="shared" si="169"/>
        <v>67</v>
      </c>
      <c r="G275" s="3">
        <v>69</v>
      </c>
      <c r="H275" s="3">
        <f t="shared" si="170"/>
        <v>70</v>
      </c>
      <c r="I275" s="3">
        <f t="shared" si="170"/>
        <v>71</v>
      </c>
      <c r="J275" s="3">
        <v>85</v>
      </c>
      <c r="K275" s="3">
        <f>VLOOKUP($A275,'SegEnds_NonXtal_BW#'!$A:$Z,8,FALSE)+VLOOKUP($A275,A:AL,10,FALSE)-50</f>
        <v>101</v>
      </c>
      <c r="L275" s="3">
        <f t="shared" si="174"/>
        <v>102</v>
      </c>
      <c r="M275" s="3">
        <v>103</v>
      </c>
      <c r="N275" s="3">
        <f t="shared" si="175"/>
        <v>105</v>
      </c>
      <c r="O275" s="3">
        <f t="shared" si="176"/>
        <v>106</v>
      </c>
      <c r="P275" s="3">
        <v>137</v>
      </c>
      <c r="Q275" s="3">
        <f>VLOOKUP($A275,'SegEnds_NonXtal_BW#'!$A:$Z,12,FALSE)+VLOOKUP($A275,A:AL,16,FALSE)-50</f>
        <v>143</v>
      </c>
      <c r="R275" s="3">
        <f>IF(ISERROR(VLOOKUP($A275,'SegEnds_NonXtal_BW#'!$A:$Z,13,FALSE)+VLOOKUP($A275,A:AL,19,FALSE)-50),"-",VLOOKUP($A275,'SegEnds_NonXtal_BW#'!$A:$Z,13,FALSE)+VLOOKUP($A275,A:AL,19,FALSE)-50)</f>
        <v>144</v>
      </c>
      <c r="S275" s="3">
        <v>144</v>
      </c>
      <c r="T275" s="103">
        <f>IF(ISERROR(VLOOKUP($A275,'SegEnds_NonXtal_BW#'!$A:$Z,14,FALSE)+VLOOKUP($A275,A:AL,19,FALSE)-50),"-",(VLOOKUP($A275,'SegEnds_NonXtal_BW#'!$A:$Z,14,FALSE)+VLOOKUP($A275,A:AL,19,FALSE)-50))</f>
        <v>151</v>
      </c>
      <c r="U275" s="9">
        <f>IF(ISERROR(VLOOKUP($A275,'SegEnds_NonXtal_BW#'!$A:$Z,15,FALSE)+VLOOKUP($A275,A:AL,22,FALSE)-50),"-",VLOOKUP($A275,'SegEnds_NonXtal_BW#'!$A:$Z,15,FALSE)+VLOOKUP($A275,A:AL,22,FALSE)-50)</f>
        <v>152</v>
      </c>
      <c r="V275" s="3">
        <v>164</v>
      </c>
      <c r="W275" s="3">
        <f>IF(ISERROR(VLOOKUP($A275,'SegEnds_NonXtal_BW#'!$A:$Z,16,FALSE)+VLOOKUP($A275,A:AL,22,FALSE)-50),"-",(VLOOKUP($A275,'SegEnds_NonXtal_BW#'!$A:$Z,16,FALSE)+VLOOKUP($A275,A:AL,22,FALSE)-50))</f>
        <v>178</v>
      </c>
      <c r="X275" s="3">
        <f>IF(ISERROR(VLOOKUP($A275,'SegEnds_NonXtal_BW#'!$A:$Z,17,FALSE)+VLOOKUP($A275,A:AL,25,FALSE)-50),"-",(VLOOKUP($A275,'SegEnds_NonXtal_BW#'!$A:$Z,17,FALSE)+VLOOKUP($A275,A:AL,25,FALSE)-50))</f>
        <v>192</v>
      </c>
      <c r="Y275" s="3">
        <v>192</v>
      </c>
      <c r="Z275" s="3">
        <f t="shared" si="177"/>
        <v>194</v>
      </c>
      <c r="AA275" s="3">
        <f>IF(ISERROR(VLOOKUP($A275,'SegEnds_NonXtal_BW#'!$A:$Z,19,FALSE)+VLOOKUP($A275,A:AL,28,FALSE)-50),"-",(VLOOKUP($A275,'SegEnds_NonXtal_BW#'!$A:$Z,19,FALSE)+VLOOKUP($A275,A:AL,28,FALSE)-50))</f>
        <v>199</v>
      </c>
      <c r="AB275" s="3">
        <v>217</v>
      </c>
      <c r="AC275" s="3">
        <f>IF(ISERROR((VLOOKUP($A275,'SegEnds_NonXtal_BW#'!$A:$Z,20,FALSE)+VLOOKUP($A275,A:AL,28,FALSE)-50)),"-",(VLOOKUP($A275,'SegEnds_NonXtal_BW#'!$A:$Z,20,FALSE)+VLOOKUP($A275,A:AL,28,FALSE)-50))</f>
        <v>243</v>
      </c>
      <c r="AD275" s="3">
        <f>IF(ISERROR(VLOOKUP($A275,'SegEnds_NonXtal_BW#'!$A:$Z,21,FALSE)+VLOOKUP($A275,A:AL,31,FALSE)-50),"-",(VLOOKUP($A275,'SegEnds_NonXtal_BW#'!$A:$Z,21,FALSE)+VLOOKUP($A275,A:AL,31,FALSE)-50))</f>
        <v>260</v>
      </c>
      <c r="AE275" s="3">
        <v>286</v>
      </c>
      <c r="AF275" s="3">
        <f>IF(ISERROR((VLOOKUP($A275,'SegEnds_NonXtal_BW#'!$A:$Z,22,FALSE)+VLOOKUP($A275,A:AL,31,FALSE)-50)),"-",(VLOOKUP($A275,'SegEnds_NonXtal_BW#'!$A:$Z,22,FALSE)+VLOOKUP($A275,A:AL,31,FALSE)-50))</f>
        <v>297</v>
      </c>
      <c r="AG275" s="3">
        <f>IF(ISERROR(VLOOKUP($A275,'SegEnds_NonXtal_BW#'!$A:$Z,23,FALSE)+VLOOKUP($A275,A:AL,34,FALSE)-50),"-",(VLOOKUP($A275,'SegEnds_NonXtal_BW#'!$A:$Z,23,FALSE)+VLOOKUP($A275,A:AL,34,FALSE)-50))</f>
        <v>303</v>
      </c>
      <c r="AH275" s="3">
        <v>322</v>
      </c>
      <c r="AI275" s="3">
        <f>IF(ISERROR((VLOOKUP($A275,'SegEnds_NonXtal_BW#'!$A:$Z,24,FALSE)+VLOOKUP($A275,A:AL,34,FALSE)-50)),"-",(VLOOKUP($A275,'SegEnds_NonXtal_BW#'!$A:$Z,24,FALSE)+VLOOKUP($A275,A:AL,34,FALSE)-50))</f>
        <v>328</v>
      </c>
      <c r="AJ275" s="3">
        <f>IF(ISERROR(VLOOKUP($A275,'SegEnds_NonXtal_BW#'!$A:$Z,25,FALSE)+VLOOKUP($A275,A:AL,37,FALSE)-50),"-",(VLOOKUP($A275,'SegEnds_NonXtal_BW#'!$A:$Z,25,FALSE)+VLOOKUP($A275,A:AL,37,FALSE)-50))</f>
        <v>329</v>
      </c>
      <c r="AK275" s="3">
        <v>332</v>
      </c>
      <c r="AL275" s="3">
        <f>IF(ISERROR((VLOOKUP($A275,'SegEnds_NonXtal_BW#'!$A:$Z,26,FALSE)+VLOOKUP($A275,A:AL,37,FALSE)-50)),"-",(VLOOKUP($A275,'SegEnds_NonXtal_BW#'!$A:$Z,26,FALSE)+VLOOKUP($A275,A:AL,37,FALSE)-50))</f>
        <v>340</v>
      </c>
      <c r="AM275" s="28" t="str">
        <f>VLOOKUP(A275,Classification!A:B,2,FALSE)</f>
        <v>A</v>
      </c>
      <c r="AN275" s="28" t="b">
        <f t="shared" si="173"/>
        <v>1</v>
      </c>
      <c r="AO275" s="3" t="str">
        <f>IF(ISERROR(MATCH(A275,'SegEnds_Xtal_Prot#'!B:B, 0)), "NoXtal", "Xtal")</f>
        <v>NoXtal</v>
      </c>
      <c r="AP275" s="3">
        <f t="shared" si="153"/>
        <v>2</v>
      </c>
      <c r="AQ275" s="3">
        <f t="shared" si="154"/>
        <v>1</v>
      </c>
      <c r="AR275" s="3">
        <f t="shared" si="155"/>
        <v>1</v>
      </c>
      <c r="AS275" s="3">
        <f t="shared" si="156"/>
        <v>1</v>
      </c>
      <c r="AT275" s="3">
        <f t="shared" si="157"/>
        <v>1</v>
      </c>
      <c r="AU275" s="3">
        <f t="shared" si="158"/>
        <v>1</v>
      </c>
      <c r="AV275" s="3">
        <f t="shared" si="159"/>
        <v>14</v>
      </c>
      <c r="AW275" s="3">
        <f t="shared" si="160"/>
        <v>5</v>
      </c>
      <c r="AX275" s="3">
        <f t="shared" si="161"/>
        <v>17</v>
      </c>
      <c r="AY275" s="3">
        <f t="shared" si="162"/>
        <v>6</v>
      </c>
      <c r="AZ275" s="3">
        <f t="shared" si="163"/>
        <v>1</v>
      </c>
      <c r="BA275" s="3">
        <f>IF(ISERROR(LEN(VLOOKUP(A275,Seqs!A:E,2,FALSE))-AL275),"-",LEN(VLOOKUP(A275,Seqs!A:E,2,FALSE))-AL275)</f>
        <v>31</v>
      </c>
      <c r="BB275" s="16">
        <f t="shared" si="164"/>
        <v>30</v>
      </c>
      <c r="BC275" s="9">
        <f t="shared" si="165"/>
        <v>20</v>
      </c>
      <c r="BD275" s="3">
        <f t="shared" si="166"/>
        <v>30</v>
      </c>
      <c r="BE275" s="3">
        <f t="shared" si="167"/>
        <v>69</v>
      </c>
    </row>
    <row r="276" spans="1:58" s="3" customFormat="1" x14ac:dyDescent="0.2">
      <c r="A276" s="3" t="s">
        <v>400</v>
      </c>
      <c r="B276" s="3" t="str">
        <f>LOWER(VLOOKUP(A276,Xtal_Templ!A:B,2,FALSE))</f>
        <v>ccr5_human</v>
      </c>
      <c r="C276" s="3">
        <f>VLOOKUP($A276,'SegEnds_NonXtal_BW#'!$A:$Z,3,FALSE)+D276-50</f>
        <v>23</v>
      </c>
      <c r="D276" s="3">
        <v>49</v>
      </c>
      <c r="E276" s="3">
        <f>IF(ISERROR(VLOOKUP($A276,'SegEnds_NonXtal_BW#'!$A:$Z,4,FALSE)+VLOOKUP($A276,A:AL,4,FALSE)-50),"-",(VLOOKUP($A276,'SegEnds_NonXtal_BW#'!$A:$Z,4,FALSE)+VLOOKUP($A276,A:AL,4,FALSE)-50))</f>
        <v>59</v>
      </c>
      <c r="F276" s="3">
        <f t="shared" si="169"/>
        <v>60</v>
      </c>
      <c r="G276" s="3">
        <v>62</v>
      </c>
      <c r="H276" s="3">
        <f t="shared" si="170"/>
        <v>63</v>
      </c>
      <c r="I276" s="3">
        <f t="shared" si="170"/>
        <v>64</v>
      </c>
      <c r="J276" s="3">
        <v>77</v>
      </c>
      <c r="K276" s="3">
        <f>VLOOKUP($A276,'SegEnds_NonXtal_BW#'!$A:$Z,8,FALSE)+VLOOKUP($A276,A:AL,10,FALSE)-50</f>
        <v>93</v>
      </c>
      <c r="L276" s="3">
        <f t="shared" si="174"/>
        <v>94</v>
      </c>
      <c r="M276" s="3">
        <v>95</v>
      </c>
      <c r="N276" s="3">
        <f t="shared" si="175"/>
        <v>97</v>
      </c>
      <c r="O276" s="3">
        <f t="shared" si="176"/>
        <v>98</v>
      </c>
      <c r="P276" s="3">
        <v>127</v>
      </c>
      <c r="Q276" s="3">
        <f>VLOOKUP($A276,'SegEnds_NonXtal_BW#'!$A:$Z,12,FALSE)+VLOOKUP($A276,A:AL,16,FALSE)-50</f>
        <v>133</v>
      </c>
      <c r="R276" s="3">
        <f>IF(ISERROR(VLOOKUP($A276,'SegEnds_NonXtal_BW#'!$A:$Z,13,FALSE)+VLOOKUP($A276,A:AL,19,FALSE)-50),"-",VLOOKUP($A276,'SegEnds_NonXtal_BW#'!$A:$Z,13,FALSE)+VLOOKUP($A276,A:AL,19,FALSE)-50)</f>
        <v>134</v>
      </c>
      <c r="S276" s="3">
        <v>134</v>
      </c>
      <c r="T276" s="103">
        <f>IF(ISERROR(VLOOKUP($A276,'SegEnds_NonXtal_BW#'!$A:$Z,14,FALSE)+VLOOKUP($A276,A:AL,19,FALSE)-50),"-",(VLOOKUP($A276,'SegEnds_NonXtal_BW#'!$A:$Z,14,FALSE)+VLOOKUP($A276,A:AL,19,FALSE)-50))</f>
        <v>141</v>
      </c>
      <c r="U276" s="9">
        <f>IF(ISERROR(VLOOKUP($A276,'SegEnds_NonXtal_BW#'!$A:$Z,15,FALSE)+VLOOKUP($A276,A:AL,22,FALSE)-50),"-",VLOOKUP($A276,'SegEnds_NonXtal_BW#'!$A:$Z,15,FALSE)+VLOOKUP($A276,A:AL,22,FALSE)-50)</f>
        <v>142</v>
      </c>
      <c r="V276" s="3">
        <v>154</v>
      </c>
      <c r="W276" s="3">
        <f>IF(ISERROR(VLOOKUP($A276,'SegEnds_NonXtal_BW#'!$A:$Z,16,FALSE)+VLOOKUP($A276,A:AL,22,FALSE)-50),"-",(VLOOKUP($A276,'SegEnds_NonXtal_BW#'!$A:$Z,16,FALSE)+VLOOKUP($A276,A:AL,22,FALSE)-50))</f>
        <v>168</v>
      </c>
      <c r="X276" s="3">
        <f>IF(ISERROR(VLOOKUP($A276,'SegEnds_NonXtal_BW#'!$A:$Z,17,FALSE)+VLOOKUP($A276,A:AL,25,FALSE)-50),"-",(VLOOKUP($A276,'SegEnds_NonXtal_BW#'!$A:$Z,17,FALSE)+VLOOKUP($A276,A:AL,25,FALSE)-50))</f>
        <v>175</v>
      </c>
      <c r="Y276" s="3">
        <v>175</v>
      </c>
      <c r="Z276" s="3">
        <f t="shared" si="177"/>
        <v>177</v>
      </c>
      <c r="AA276" s="3">
        <f>IF(ISERROR(VLOOKUP($A276,'SegEnds_NonXtal_BW#'!$A:$Z,19,FALSE)+VLOOKUP($A276,A:AL,28,FALSE)-50),"-",(VLOOKUP($A276,'SegEnds_NonXtal_BW#'!$A:$Z,19,FALSE)+VLOOKUP($A276,A:AL,28,FALSE)-50))</f>
        <v>182</v>
      </c>
      <c r="AB276" s="3">
        <v>197</v>
      </c>
      <c r="AC276" s="3">
        <f>IF(ISERROR((VLOOKUP($A276,'SegEnds_NonXtal_BW#'!$A:$Z,20,FALSE)+VLOOKUP($A276,A:AL,28,FALSE)-50)),"-",(VLOOKUP($A276,'SegEnds_NonXtal_BW#'!$A:$Z,20,FALSE)+VLOOKUP($A276,A:AL,28,FALSE)-50))</f>
        <v>215</v>
      </c>
      <c r="AD276" s="3">
        <f>IF(ISERROR(VLOOKUP($A276,'SegEnds_NonXtal_BW#'!$A:$Z,21,FALSE)+VLOOKUP($A276,A:AL,31,FALSE)-50),"-",(VLOOKUP($A276,'SegEnds_NonXtal_BW#'!$A:$Z,21,FALSE)+VLOOKUP($A276,A:AL,31,FALSE)-50))</f>
        <v>220</v>
      </c>
      <c r="AE276" s="3">
        <v>240</v>
      </c>
      <c r="AF276" s="3">
        <f>IF(ISERROR((VLOOKUP($A276,'SegEnds_NonXtal_BW#'!$A:$Z,22,FALSE)+VLOOKUP($A276,A:AL,31,FALSE)-50)),"-",(VLOOKUP($A276,'SegEnds_NonXtal_BW#'!$A:$Z,22,FALSE)+VLOOKUP($A276,A:AL,31,FALSE)-50))</f>
        <v>254</v>
      </c>
      <c r="AG276" s="3">
        <f>IF(ISERROR(VLOOKUP($A276,'SegEnds_NonXtal_BW#'!$A:$Z,23,FALSE)+VLOOKUP($A276,A:AL,34,FALSE)-50),"-",(VLOOKUP($A276,'SegEnds_NonXtal_BW#'!$A:$Z,23,FALSE)+VLOOKUP($A276,A:AL,34,FALSE)-50))</f>
        <v>258</v>
      </c>
      <c r="AH276" s="3">
        <v>284</v>
      </c>
      <c r="AI276" s="3">
        <f>IF(ISERROR((VLOOKUP($A276,'SegEnds_NonXtal_BW#'!$A:$Z,24,FALSE)+VLOOKUP($A276,A:AL,34,FALSE)-50)),"-",(VLOOKUP($A276,'SegEnds_NonXtal_BW#'!$A:$Z,24,FALSE)+VLOOKUP($A276,A:AL,34,FALSE)-50))</f>
        <v>290</v>
      </c>
      <c r="AJ276" s="3">
        <f>IF(ISERROR(VLOOKUP($A276,'SegEnds_NonXtal_BW#'!$A:$Z,25,FALSE)+VLOOKUP($A276,A:AL,37,FALSE)-50),"-",(VLOOKUP($A276,'SegEnds_NonXtal_BW#'!$A:$Z,25,FALSE)+VLOOKUP($A276,A:AL,37,FALSE)-50))</f>
        <v>291</v>
      </c>
      <c r="AK276" s="3">
        <v>294</v>
      </c>
      <c r="AL276" s="3">
        <f>IF(ISERROR((VLOOKUP($A276,'SegEnds_NonXtal_BW#'!$A:$Z,26,FALSE)+VLOOKUP($A276,A:AL,37,FALSE)-50)),"-",(VLOOKUP($A276,'SegEnds_NonXtal_BW#'!$A:$Z,26,FALSE)+VLOOKUP($A276,A:AL,37,FALSE)-50))</f>
        <v>303</v>
      </c>
      <c r="AM276" s="28" t="str">
        <f>VLOOKUP(A276,Classification!A:B,2,FALSE)</f>
        <v>A</v>
      </c>
      <c r="AN276" s="28" t="b">
        <f t="shared" si="173"/>
        <v>1</v>
      </c>
      <c r="AO276" s="3" t="str">
        <f>IF(ISERROR(MATCH(A276,'SegEnds_Xtal_Prot#'!B:B, 0)), "NoXtal", "Xtal")</f>
        <v>NoXtal</v>
      </c>
      <c r="AP276" s="3">
        <f t="shared" si="153"/>
        <v>1</v>
      </c>
      <c r="AQ276" s="3">
        <f t="shared" si="154"/>
        <v>1</v>
      </c>
      <c r="AR276" s="3">
        <f t="shared" si="155"/>
        <v>1</v>
      </c>
      <c r="AS276" s="3">
        <f t="shared" si="156"/>
        <v>1</v>
      </c>
      <c r="AT276" s="3">
        <f t="shared" si="157"/>
        <v>1</v>
      </c>
      <c r="AU276" s="3">
        <f t="shared" si="158"/>
        <v>1</v>
      </c>
      <c r="AV276" s="3">
        <f t="shared" si="159"/>
        <v>7</v>
      </c>
      <c r="AW276" s="3">
        <f t="shared" si="160"/>
        <v>5</v>
      </c>
      <c r="AX276" s="3">
        <f t="shared" si="161"/>
        <v>5</v>
      </c>
      <c r="AY276" s="3">
        <f t="shared" si="162"/>
        <v>4</v>
      </c>
      <c r="AZ276" s="3">
        <f t="shared" si="163"/>
        <v>1</v>
      </c>
      <c r="BA276" s="3">
        <f>IF(ISERROR(LEN(VLOOKUP(A276,Seqs!A:E,2,FALSE))-AL276),"-",LEN(VLOOKUP(A276,Seqs!A:E,2,FALSE))-AL276)</f>
        <v>30</v>
      </c>
      <c r="BB276" s="16">
        <f t="shared" si="164"/>
        <v>28</v>
      </c>
      <c r="BC276" s="9">
        <f t="shared" si="165"/>
        <v>20</v>
      </c>
      <c r="BD276" s="3">
        <f t="shared" si="166"/>
        <v>28</v>
      </c>
      <c r="BE276" s="3">
        <f t="shared" si="167"/>
        <v>43</v>
      </c>
    </row>
    <row r="277" spans="1:58" s="3" customFormat="1" x14ac:dyDescent="0.2">
      <c r="A277" s="3" t="s">
        <v>178</v>
      </c>
      <c r="B277" s="3" t="str">
        <f>LOWER(VLOOKUP(A277,Xtal_Templ!A:B,2,FALSE))</f>
        <v>ccr5_human</v>
      </c>
      <c r="C277" s="3">
        <f>VLOOKUP($A277,'SegEnds_NonXtal_BW#'!$A:$Z,3,FALSE)+D277-50</f>
        <v>30</v>
      </c>
      <c r="D277" s="3">
        <v>56</v>
      </c>
      <c r="E277" s="3">
        <f>IF(ISERROR(VLOOKUP($A277,'SegEnds_NonXtal_BW#'!$A:$Z,4,FALSE)+VLOOKUP($A277,A:AL,4,FALSE)-50),"-",(VLOOKUP($A277,'SegEnds_NonXtal_BW#'!$A:$Z,4,FALSE)+VLOOKUP($A277,A:AL,4,FALSE)-50))</f>
        <v>66</v>
      </c>
      <c r="F277" s="3">
        <f t="shared" si="169"/>
        <v>67</v>
      </c>
      <c r="G277" s="3">
        <v>69</v>
      </c>
      <c r="H277" s="3">
        <f t="shared" si="170"/>
        <v>70</v>
      </c>
      <c r="I277" s="3">
        <f t="shared" si="170"/>
        <v>71</v>
      </c>
      <c r="J277" s="3">
        <v>84</v>
      </c>
      <c r="K277" s="3">
        <f>VLOOKUP($A277,'SegEnds_NonXtal_BW#'!$A:$Z,8,FALSE)+VLOOKUP($A277,A:AL,10,FALSE)-50</f>
        <v>97</v>
      </c>
      <c r="L277" s="3" t="str">
        <f>IF(ISERROR(VLOOKUP($A277,'SegEnds_NonXtal_BW#'!$A:$Z,9,FALSE)+VLOOKUP($A277,A:AL,13,FALSE)-50),"-",(VLOOKUP($A277,'SegEnds_NonXtal_BW#'!$A:$Z,9,FALSE)+VLOOKUP($A277,A:AL,13,FALSE)-50))</f>
        <v>-</v>
      </c>
      <c r="M277" s="3" t="s">
        <v>23</v>
      </c>
      <c r="N277" s="3" t="str">
        <f>IF(ISERROR(VLOOKUP($A277,'SegEnds_NonXtal_BW#'!$A:$Z,10,FALSE)+VLOOKUP($A277,A:AL,13,FALSE)-50),"-",(VLOOKUP($A277,'SegEnds_NonXtal_BW#'!$A:$Z,10,FALSE)+VLOOKUP($A277,A:AL,13,FALSE)-50))</f>
        <v>-</v>
      </c>
      <c r="O277" s="3">
        <f>VLOOKUP($A277,'SegEnds_NonXtal_BW#'!$A:$Z,11,FALSE)+VLOOKUP($A277,A:AL,16,FALSE)-50</f>
        <v>104</v>
      </c>
      <c r="P277" s="3">
        <v>128</v>
      </c>
      <c r="Q277" s="3">
        <f>VLOOKUP($A277,'SegEnds_NonXtal_BW#'!$A:$Z,12,FALSE)+VLOOKUP($A277,A:AL,16,FALSE)-50</f>
        <v>134</v>
      </c>
      <c r="R277" s="3">
        <f>IF(ISERROR(VLOOKUP($A277,'SegEnds_NonXtal_BW#'!$A:$Z,13,FALSE)+VLOOKUP($A277,A:AL,19,FALSE)-50),"-",VLOOKUP($A277,'SegEnds_NonXtal_BW#'!$A:$Z,13,FALSE)+VLOOKUP($A277,A:AL,19,FALSE)-50)</f>
        <v>135</v>
      </c>
      <c r="S277" s="3">
        <v>135</v>
      </c>
      <c r="T277" s="103">
        <f>IF(ISERROR(VLOOKUP($A277,'SegEnds_NonXtal_BW#'!$A:$Z,14,FALSE)+VLOOKUP($A277,A:AL,19,FALSE)-50),"-",(VLOOKUP($A277,'SegEnds_NonXtal_BW#'!$A:$Z,14,FALSE)+VLOOKUP($A277,A:AL,19,FALSE)-50))</f>
        <v>143</v>
      </c>
      <c r="U277" s="9">
        <f>IF(ISERROR(VLOOKUP($A277,'SegEnds_NonXtal_BW#'!$A:$Z,15,FALSE)+VLOOKUP($A277,A:AL,22,FALSE)-50),"-",VLOOKUP($A277,'SegEnds_NonXtal_BW#'!$A:$Z,15,FALSE)+VLOOKUP($A277,A:AL,22,FALSE)-50)</f>
        <v>144</v>
      </c>
      <c r="V277" s="3">
        <v>156</v>
      </c>
      <c r="W277" s="3">
        <f>IF(ISERROR(VLOOKUP($A277,'SegEnds_NonXtal_BW#'!$A:$Z,16,FALSE)+VLOOKUP($A277,A:AL,22,FALSE)-50),"-",(VLOOKUP($A277,'SegEnds_NonXtal_BW#'!$A:$Z,16,FALSE)+VLOOKUP($A277,A:AL,22,FALSE)-50))</f>
        <v>170</v>
      </c>
      <c r="X277" s="3">
        <f>IF(ISERROR(VLOOKUP($A277,'SegEnds_NonXtal_BW#'!$A:$Z,17,FALSE)+VLOOKUP($A277,A:AL,25,FALSE)-50),"-",(VLOOKUP($A277,'SegEnds_NonXtal_BW#'!$A:$Z,17,FALSE)+VLOOKUP($A277,A:AL,25,FALSE)-50))</f>
        <v>181</v>
      </c>
      <c r="Y277" s="3">
        <v>181</v>
      </c>
      <c r="Z277" s="3">
        <f t="shared" si="177"/>
        <v>183</v>
      </c>
      <c r="AA277" s="3">
        <f>IF(ISERROR(VLOOKUP($A277,'SegEnds_NonXtal_BW#'!$A:$Z,19,FALSE)+VLOOKUP($A277,A:AL,28,FALSE)-50),"-",(VLOOKUP($A277,'SegEnds_NonXtal_BW#'!$A:$Z,19,FALSE)+VLOOKUP($A277,A:AL,28,FALSE)-50))</f>
        <v>192</v>
      </c>
      <c r="AB277" s="3">
        <v>212</v>
      </c>
      <c r="AC277" s="3">
        <f>IF(ISERROR((VLOOKUP($A277,'SegEnds_NonXtal_BW#'!$A:$Z,20,FALSE)+VLOOKUP($A277,A:AL,28,FALSE)-50)),"-",(VLOOKUP($A277,'SegEnds_NonXtal_BW#'!$A:$Z,20,FALSE)+VLOOKUP($A277,A:AL,28,FALSE)-50))</f>
        <v>229</v>
      </c>
      <c r="AD277" s="3">
        <f>IF(ISERROR(VLOOKUP($A277,'SegEnds_NonXtal_BW#'!$A:$Z,21,FALSE)+VLOOKUP($A277,A:AL,31,FALSE)-50),"-",(VLOOKUP($A277,'SegEnds_NonXtal_BW#'!$A:$Z,21,FALSE)+VLOOKUP($A277,A:AL,31,FALSE)-50))</f>
        <v>233</v>
      </c>
      <c r="AE277" s="3">
        <v>253</v>
      </c>
      <c r="AF277" s="3">
        <f>IF(ISERROR((VLOOKUP($A277,'SegEnds_NonXtal_BW#'!$A:$Z,22,FALSE)+VLOOKUP($A277,A:AL,31,FALSE)-50)),"-",(VLOOKUP($A277,'SegEnds_NonXtal_BW#'!$A:$Z,22,FALSE)+VLOOKUP($A277,A:AL,31,FALSE)-50))</f>
        <v>267</v>
      </c>
      <c r="AG277" s="3">
        <f>IF(ISERROR(VLOOKUP($A277,'SegEnds_NonXtal_BW#'!$A:$Z,23,FALSE)+VLOOKUP($A277,A:AL,34,FALSE)-50),"-",(VLOOKUP($A277,'SegEnds_NonXtal_BW#'!$A:$Z,23,FALSE)+VLOOKUP($A277,A:AL,34,FALSE)-50))</f>
        <v>271</v>
      </c>
      <c r="AH277" s="3">
        <v>297</v>
      </c>
      <c r="AI277" s="3">
        <f>IF(ISERROR((VLOOKUP($A277,'SegEnds_NonXtal_BW#'!$A:$Z,24,FALSE)+VLOOKUP($A277,A:AL,34,FALSE)-50)),"-",(VLOOKUP($A277,'SegEnds_NonXtal_BW#'!$A:$Z,24,FALSE)+VLOOKUP($A277,A:AL,34,FALSE)-50))</f>
        <v>303</v>
      </c>
      <c r="AJ277" s="3">
        <f>IF(ISERROR(VLOOKUP($A277,'SegEnds_NonXtal_BW#'!$A:$Z,25,FALSE)+VLOOKUP($A277,A:AL,37,FALSE)-50),"-",(VLOOKUP($A277,'SegEnds_NonXtal_BW#'!$A:$Z,25,FALSE)+VLOOKUP($A277,A:AL,37,FALSE)-50))</f>
        <v>304</v>
      </c>
      <c r="AK277" s="3">
        <v>307</v>
      </c>
      <c r="AL277" s="3">
        <f>IF(ISERROR((VLOOKUP($A277,'SegEnds_NonXtal_BW#'!$A:$Z,26,FALSE)+VLOOKUP($A277,A:AL,37,FALSE)-50)),"-",(VLOOKUP($A277,'SegEnds_NonXtal_BW#'!$A:$Z,26,FALSE)+VLOOKUP($A277,A:AL,37,FALSE)-50))</f>
        <v>316</v>
      </c>
      <c r="AM277" s="28" t="str">
        <f>VLOOKUP(A277,Classification!A:B,2,FALSE)</f>
        <v>A</v>
      </c>
      <c r="AN277" s="28" t="b">
        <f t="shared" si="173"/>
        <v>1</v>
      </c>
      <c r="AO277" s="3" t="str">
        <f>IF(ISERROR(MATCH(A277,'SegEnds_Xtal_Prot#'!B:B, 0)), "NoXtal", "Xtal")</f>
        <v>NoXtal</v>
      </c>
      <c r="AP277" s="3">
        <f t="shared" si="153"/>
        <v>1</v>
      </c>
      <c r="AQ277" s="3">
        <f t="shared" si="154"/>
        <v>1</v>
      </c>
      <c r="AR277" s="3" t="str">
        <f t="shared" si="155"/>
        <v>-</v>
      </c>
      <c r="AS277" s="3" t="str">
        <f t="shared" si="156"/>
        <v>-</v>
      </c>
      <c r="AT277" s="3">
        <f t="shared" si="157"/>
        <v>1</v>
      </c>
      <c r="AU277" s="3">
        <f t="shared" si="158"/>
        <v>1</v>
      </c>
      <c r="AV277" s="3">
        <f t="shared" si="159"/>
        <v>11</v>
      </c>
      <c r="AW277" s="3">
        <f t="shared" si="160"/>
        <v>9</v>
      </c>
      <c r="AX277" s="3">
        <f t="shared" si="161"/>
        <v>4</v>
      </c>
      <c r="AY277" s="3">
        <f t="shared" si="162"/>
        <v>4</v>
      </c>
      <c r="AZ277" s="3">
        <f t="shared" si="163"/>
        <v>1</v>
      </c>
      <c r="BA277" s="3">
        <f>IF(ISERROR(LEN(VLOOKUP(A277,Seqs!A:E,2,FALSE))-AL277),"-",LEN(VLOOKUP(A277,Seqs!A:E,2,FALSE))-AL277)</f>
        <v>28</v>
      </c>
      <c r="BB277" s="16">
        <f t="shared" si="164"/>
        <v>28</v>
      </c>
      <c r="BC277" s="9">
        <f t="shared" si="165"/>
        <v>21</v>
      </c>
      <c r="BD277" s="3">
        <f t="shared" si="166"/>
        <v>28</v>
      </c>
      <c r="BE277" s="3">
        <f t="shared" si="167"/>
        <v>41</v>
      </c>
      <c r="BF277" s="3">
        <f t="shared" ref="BF277:BF282" si="178">AH277-AE277</f>
        <v>44</v>
      </c>
    </row>
    <row r="278" spans="1:58" s="3" customFormat="1" x14ac:dyDescent="0.2">
      <c r="A278" s="3" t="s">
        <v>191</v>
      </c>
      <c r="B278" s="3" t="str">
        <f>LOWER(VLOOKUP(A278,Xtal_Templ!A:B,2,FALSE))</f>
        <v>drd3_human</v>
      </c>
      <c r="C278" s="3">
        <f>VLOOKUP($A278,'SegEnds_NonXtal_BW#'!$A:$Z,3,FALSE)+D278-50</f>
        <v>31</v>
      </c>
      <c r="D278" s="3">
        <v>52</v>
      </c>
      <c r="E278" s="3">
        <f>IF(ISERROR(VLOOKUP($A278,'SegEnds_NonXtal_BW#'!$A:$Z,4,FALSE)+VLOOKUP($A278,A:AL,4,FALSE)-50),"-",(VLOOKUP($A278,'SegEnds_NonXtal_BW#'!$A:$Z,4,FALSE)+VLOOKUP($A278,A:AL,4,FALSE)-50))</f>
        <v>62</v>
      </c>
      <c r="F278" s="3">
        <f t="shared" si="169"/>
        <v>63</v>
      </c>
      <c r="G278" s="3">
        <v>65</v>
      </c>
      <c r="H278" s="3">
        <f t="shared" si="170"/>
        <v>66</v>
      </c>
      <c r="I278" s="3">
        <f t="shared" si="170"/>
        <v>67</v>
      </c>
      <c r="J278" s="3">
        <v>80</v>
      </c>
      <c r="K278" s="3">
        <f>VLOOKUP($A278,'SegEnds_NonXtal_BW#'!$A:$Z,8,FALSE)+VLOOKUP($A278,A:AL,10,FALSE)-50</f>
        <v>97</v>
      </c>
      <c r="L278" s="3">
        <f>M278-1</f>
        <v>99</v>
      </c>
      <c r="M278" s="3">
        <v>100</v>
      </c>
      <c r="N278" s="3">
        <f>M278+2</f>
        <v>102</v>
      </c>
      <c r="O278" s="3">
        <f>N278+1</f>
        <v>103</v>
      </c>
      <c r="P278" s="3">
        <v>132</v>
      </c>
      <c r="Q278" s="3">
        <f>VLOOKUP($A278,'SegEnds_NonXtal_BW#'!$A:$Z,12,FALSE)+VLOOKUP($A278,A:AL,16,FALSE)-50</f>
        <v>138</v>
      </c>
      <c r="R278" s="3">
        <f>IF(ISERROR(VLOOKUP($A278,'SegEnds_NonXtal_BW#'!$A:$Z,13,FALSE)+VLOOKUP($A278,A:AL,19,FALSE)-50),"-",VLOOKUP($A278,'SegEnds_NonXtal_BW#'!$A:$Z,13,FALSE)+VLOOKUP($A278,A:AL,19,FALSE)-50)</f>
        <v>139</v>
      </c>
      <c r="S278" s="3">
        <v>139</v>
      </c>
      <c r="T278" s="103">
        <f>IF(ISERROR(VLOOKUP($A278,'SegEnds_NonXtal_BW#'!$A:$Z,14,FALSE)+VLOOKUP($A278,A:AL,19,FALSE)-50),"-",(VLOOKUP($A278,'SegEnds_NonXtal_BW#'!$A:$Z,14,FALSE)+VLOOKUP($A278,A:AL,19,FALSE)-50))</f>
        <v>147</v>
      </c>
      <c r="U278" s="9">
        <f>IF(ISERROR(VLOOKUP($A278,'SegEnds_NonXtal_BW#'!$A:$Z,15,FALSE)+VLOOKUP($A278,A:AL,22,FALSE)-50),"-",VLOOKUP($A278,'SegEnds_NonXtal_BW#'!$A:$Z,15,FALSE)+VLOOKUP($A278,A:AL,22,FALSE)-50)</f>
        <v>148</v>
      </c>
      <c r="V278" s="3">
        <v>160</v>
      </c>
      <c r="W278" s="3">
        <f>IF(ISERROR(VLOOKUP($A278,'SegEnds_NonXtal_BW#'!$A:$Z,16,FALSE)+VLOOKUP($A278,A:AL,22,FALSE)-50),"-",(VLOOKUP($A278,'SegEnds_NonXtal_BW#'!$A:$Z,16,FALSE)+VLOOKUP($A278,A:AL,22,FALSE)-50))</f>
        <v>173</v>
      </c>
      <c r="X278" s="3">
        <f>IF(ISERROR(VLOOKUP($A278,'SegEnds_NonXtal_BW#'!$A:$Z,17,FALSE)+VLOOKUP($A278,A:AL,25,FALSE)-50),"-",(VLOOKUP($A278,'SegEnds_NonXtal_BW#'!$A:$Z,17,FALSE)+VLOOKUP($A278,A:AL,25,FALSE)-50))</f>
        <v>182</v>
      </c>
      <c r="Y278" s="3">
        <v>182</v>
      </c>
      <c r="Z278" s="3">
        <f t="shared" si="177"/>
        <v>184</v>
      </c>
      <c r="AA278" s="3">
        <f>IF(ISERROR(VLOOKUP($A278,'SegEnds_NonXtal_BW#'!$A:$Z,19,FALSE)+VLOOKUP($A278,A:AL,28,FALSE)-50),"-",(VLOOKUP($A278,'SegEnds_NonXtal_BW#'!$A:$Z,19,FALSE)+VLOOKUP($A278,A:AL,28,FALSE)-50))</f>
        <v>186</v>
      </c>
      <c r="AB278" s="3">
        <v>201</v>
      </c>
      <c r="AC278" s="3">
        <f>IF(ISERROR((VLOOKUP($A278,'SegEnds_NonXtal_BW#'!$A:$Z,20,FALSE)+VLOOKUP($A278,A:AL,28,FALSE)-50)),"-",(VLOOKUP($A278,'SegEnds_NonXtal_BW#'!$A:$Z,20,FALSE)+VLOOKUP($A278,A:AL,28,FALSE)-50))</f>
        <v>226</v>
      </c>
      <c r="AD278" s="3">
        <f>IF(ISERROR(VLOOKUP($A278,'SegEnds_NonXtal_BW#'!$A:$Z,21,FALSE)+VLOOKUP($A278,A:AL,31,FALSE)-50),"-",(VLOOKUP($A278,'SegEnds_NonXtal_BW#'!$A:$Z,21,FALSE)+VLOOKUP($A278,A:AL,31,FALSE)-50))</f>
        <v>362</v>
      </c>
      <c r="AE278" s="3">
        <v>388</v>
      </c>
      <c r="AF278" s="3">
        <f>IF(ISERROR((VLOOKUP($A278,'SegEnds_NonXtal_BW#'!$A:$Z,22,FALSE)+VLOOKUP($A278,A:AL,31,FALSE)-50)),"-",(VLOOKUP($A278,'SegEnds_NonXtal_BW#'!$A:$Z,22,FALSE)+VLOOKUP($A278,A:AL,31,FALSE)-50))</f>
        <v>399</v>
      </c>
      <c r="AG278" s="3">
        <f>IF(ISERROR(VLOOKUP($A278,'SegEnds_NonXtal_BW#'!$A:$Z,23,FALSE)+VLOOKUP($A278,A:AL,34,FALSE)-50),"-",(VLOOKUP($A278,'SegEnds_NonXtal_BW#'!$A:$Z,23,FALSE)+VLOOKUP($A278,A:AL,34,FALSE)-50))</f>
        <v>404</v>
      </c>
      <c r="AH278" s="3">
        <v>423</v>
      </c>
      <c r="AI278" s="3">
        <f>IF(ISERROR((VLOOKUP($A278,'SegEnds_NonXtal_BW#'!$A:$Z,24,FALSE)+VLOOKUP($A278,A:AL,34,FALSE)-50)),"-",(VLOOKUP($A278,'SegEnds_NonXtal_BW#'!$A:$Z,24,FALSE)+VLOOKUP($A278,A:AL,34,FALSE)-50))</f>
        <v>429</v>
      </c>
      <c r="AJ278" s="3">
        <f>IF(ISERROR(VLOOKUP($A278,'SegEnds_NonXtal_BW#'!$A:$Z,25,FALSE)+VLOOKUP($A278,A:AL,37,FALSE)-50),"-",(VLOOKUP($A278,'SegEnds_NonXtal_BW#'!$A:$Z,25,FALSE)+VLOOKUP($A278,A:AL,37,FALSE)-50))</f>
        <v>430</v>
      </c>
      <c r="AK278" s="3">
        <v>433</v>
      </c>
      <c r="AL278" s="3">
        <f>IF(ISERROR((VLOOKUP($A278,'SegEnds_NonXtal_BW#'!$A:$Z,26,FALSE)+VLOOKUP($A278,A:AL,37,FALSE)-50)),"-",(VLOOKUP($A278,'SegEnds_NonXtal_BW#'!$A:$Z,26,FALSE)+VLOOKUP($A278,A:AL,37,FALSE)-50))</f>
        <v>442</v>
      </c>
      <c r="AM278" s="28" t="str">
        <f>VLOOKUP(A278,Classification!A:B,2,FALSE)</f>
        <v>A</v>
      </c>
      <c r="AN278" s="28" t="b">
        <f t="shared" si="173"/>
        <v>1</v>
      </c>
      <c r="AO278" s="3" t="str">
        <f>IF(ISERROR(MATCH(A278,'SegEnds_Xtal_Prot#'!B:B, 0)), "NoXtal", "Xtal")</f>
        <v>NoXtal</v>
      </c>
      <c r="AP278" s="3">
        <f t="shared" si="153"/>
        <v>1</v>
      </c>
      <c r="AQ278" s="3">
        <f t="shared" si="154"/>
        <v>1</v>
      </c>
      <c r="AR278" s="3">
        <f t="shared" si="155"/>
        <v>2</v>
      </c>
      <c r="AS278" s="3">
        <f t="shared" si="156"/>
        <v>1</v>
      </c>
      <c r="AT278" s="3">
        <f t="shared" si="157"/>
        <v>1</v>
      </c>
      <c r="AU278" s="3">
        <f t="shared" si="158"/>
        <v>1</v>
      </c>
      <c r="AV278" s="3">
        <f t="shared" si="159"/>
        <v>9</v>
      </c>
      <c r="AW278" s="3">
        <f t="shared" si="160"/>
        <v>2</v>
      </c>
      <c r="AX278" s="3">
        <f t="shared" si="161"/>
        <v>136</v>
      </c>
      <c r="AY278" s="3">
        <f t="shared" si="162"/>
        <v>5</v>
      </c>
      <c r="AZ278" s="3">
        <f t="shared" si="163"/>
        <v>1</v>
      </c>
      <c r="BA278" s="3">
        <f>IF(ISERROR(LEN(VLOOKUP(A278,Seqs!A:E,2,FALSE))-AL278),"-",LEN(VLOOKUP(A278,Seqs!A:E,2,FALSE))-AL278)</f>
        <v>1</v>
      </c>
      <c r="BB278" s="16">
        <f t="shared" si="164"/>
        <v>28</v>
      </c>
      <c r="BC278" s="9">
        <f t="shared" si="165"/>
        <v>21</v>
      </c>
      <c r="BD278" s="3">
        <f t="shared" si="166"/>
        <v>28</v>
      </c>
      <c r="BE278" s="3">
        <f t="shared" si="167"/>
        <v>187</v>
      </c>
      <c r="BF278" s="3">
        <f t="shared" si="178"/>
        <v>35</v>
      </c>
    </row>
    <row r="279" spans="1:58" s="3" customFormat="1" x14ac:dyDescent="0.2">
      <c r="A279" s="3" t="s">
        <v>248</v>
      </c>
      <c r="B279" s="3" t="str">
        <f>LOWER(VLOOKUP(A279,Xtal_Templ!A:B,2,FALSE))</f>
        <v>ox1r_human</v>
      </c>
      <c r="C279" s="3">
        <f>VLOOKUP($A279,'SegEnds_NonXtal_BW#'!$A:$Z,3,FALSE)+D279-50</f>
        <v>18</v>
      </c>
      <c r="D279" s="3">
        <v>36</v>
      </c>
      <c r="E279" s="3">
        <f>IF(ISERROR(VLOOKUP($A279,'SegEnds_NonXtal_BW#'!$A:$Z,4,FALSE)+VLOOKUP($A279,A:AL,4,FALSE)-50),"-",(VLOOKUP($A279,'SegEnds_NonXtal_BW#'!$A:$Z,4,FALSE)+VLOOKUP($A279,A:AL,4,FALSE)-50))</f>
        <v>46</v>
      </c>
      <c r="F279" s="3">
        <f t="shared" si="169"/>
        <v>47</v>
      </c>
      <c r="G279" s="3">
        <v>49</v>
      </c>
      <c r="H279" s="3">
        <f t="shared" si="170"/>
        <v>50</v>
      </c>
      <c r="I279" s="3">
        <f t="shared" si="170"/>
        <v>51</v>
      </c>
      <c r="J279" s="3">
        <v>64</v>
      </c>
      <c r="K279" s="3">
        <f>VLOOKUP($A279,'SegEnds_NonXtal_BW#'!$A:$Z,8,FALSE)+VLOOKUP($A279,A:AL,10,FALSE)-50</f>
        <v>81</v>
      </c>
      <c r="L279" s="3" t="str">
        <f>IF(ISERROR(VLOOKUP($A279,'SegEnds_NonXtal_BW#'!$A:$Z,9,FALSE)+VLOOKUP($A279,A:AL,13,FALSE)-50),"-",(VLOOKUP($A279,'SegEnds_NonXtal_BW#'!$A:$Z,9,FALSE)+VLOOKUP($A279,A:AL,13,FALSE)-50))</f>
        <v>-</v>
      </c>
      <c r="M279" s="3" t="s">
        <v>23</v>
      </c>
      <c r="N279" s="3" t="str">
        <f>IF(ISERROR(VLOOKUP($A279,'SegEnds_NonXtal_BW#'!$A:$Z,10,FALSE)+VLOOKUP($A279,A:AL,13,FALSE)-50),"-",(VLOOKUP($A279,'SegEnds_NonXtal_BW#'!$A:$Z,10,FALSE)+VLOOKUP($A279,A:AL,13,FALSE)-50))</f>
        <v>-</v>
      </c>
      <c r="O279" s="3">
        <f>VLOOKUP($A279,'SegEnds_NonXtal_BW#'!$A:$Z,11,FALSE)+VLOOKUP($A279,A:AL,16,FALSE)-50</f>
        <v>88</v>
      </c>
      <c r="P279" s="3">
        <v>120</v>
      </c>
      <c r="Q279" s="3">
        <f>VLOOKUP($A279,'SegEnds_NonXtal_BW#'!$A:$Z,12,FALSE)+VLOOKUP($A279,A:AL,16,FALSE)-50</f>
        <v>126</v>
      </c>
      <c r="R279" s="3">
        <f>IF(ISERROR(VLOOKUP($A279,'SegEnds_NonXtal_BW#'!$A:$Z,13,FALSE)+VLOOKUP($A279,A:AL,19,FALSE)-50),"-",VLOOKUP($A279,'SegEnds_NonXtal_BW#'!$A:$Z,13,FALSE)+VLOOKUP($A279,A:AL,19,FALSE)-50)</f>
        <v>127</v>
      </c>
      <c r="S279" s="3">
        <v>127</v>
      </c>
      <c r="T279" s="103">
        <f>IF(ISERROR(VLOOKUP($A279,'SegEnds_NonXtal_BW#'!$A:$Z,14,FALSE)+VLOOKUP($A279,A:AL,19,FALSE)-50),"-",(VLOOKUP($A279,'SegEnds_NonXtal_BW#'!$A:$Z,14,FALSE)+VLOOKUP($A279,A:AL,19,FALSE)-50))</f>
        <v>135</v>
      </c>
      <c r="U279" s="9">
        <f>IF(ISERROR(VLOOKUP($A279,'SegEnds_NonXtal_BW#'!$A:$Z,15,FALSE)+VLOOKUP($A279,A:AL,22,FALSE)-50),"-",VLOOKUP($A279,'SegEnds_NonXtal_BW#'!$A:$Z,15,FALSE)+VLOOKUP($A279,A:AL,22,FALSE)-50)</f>
        <v>136</v>
      </c>
      <c r="V279" s="3">
        <v>148</v>
      </c>
      <c r="W279" s="3">
        <f>IF(ISERROR(VLOOKUP($A279,'SegEnds_NonXtal_BW#'!$A:$Z,16,FALSE)+VLOOKUP($A279,A:AL,22,FALSE)-50),"-",(VLOOKUP($A279,'SegEnds_NonXtal_BW#'!$A:$Z,16,FALSE)+VLOOKUP($A279,A:AL,22,FALSE)-50))</f>
        <v>162</v>
      </c>
      <c r="X279" s="3">
        <f>IF(ISERROR(VLOOKUP($A279,'SegEnds_NonXtal_BW#'!$A:$Z,17,FALSE)+VLOOKUP($A279,A:AL,25,FALSE)-50),"-",(VLOOKUP($A279,'SegEnds_NonXtal_BW#'!$A:$Z,17,FALSE)+VLOOKUP($A279,A:AL,25,FALSE)-50))</f>
        <v>171</v>
      </c>
      <c r="Y279" s="3">
        <v>171</v>
      </c>
      <c r="Z279" s="3">
        <f t="shared" si="177"/>
        <v>173</v>
      </c>
      <c r="AA279" s="3">
        <f>IF(ISERROR(VLOOKUP($A279,'SegEnds_NonXtal_BW#'!$A:$Z,19,FALSE)+VLOOKUP($A279,A:AL,28,FALSE)-50),"-",(VLOOKUP($A279,'SegEnds_NonXtal_BW#'!$A:$Z,19,FALSE)+VLOOKUP($A279,A:AL,28,FALSE)-50))</f>
        <v>174</v>
      </c>
      <c r="AB279" s="3">
        <v>189</v>
      </c>
      <c r="AC279" s="3">
        <f>IF(ISERROR((VLOOKUP($A279,'SegEnds_NonXtal_BW#'!$A:$Z,20,FALSE)+VLOOKUP($A279,A:AL,28,FALSE)-50)),"-",(VLOOKUP($A279,'SegEnds_NonXtal_BW#'!$A:$Z,20,FALSE)+VLOOKUP($A279,A:AL,28,FALSE)-50))</f>
        <v>215</v>
      </c>
      <c r="AD279" s="3">
        <f>IF(ISERROR(VLOOKUP($A279,'SegEnds_NonXtal_BW#'!$A:$Z,21,FALSE)+VLOOKUP($A279,A:AL,31,FALSE)-50),"-",(VLOOKUP($A279,'SegEnds_NonXtal_BW#'!$A:$Z,21,FALSE)+VLOOKUP($A279,A:AL,31,FALSE)-50))</f>
        <v>273</v>
      </c>
      <c r="AE279" s="3">
        <v>299</v>
      </c>
      <c r="AF279" s="3">
        <f>IF(ISERROR((VLOOKUP($A279,'SegEnds_NonXtal_BW#'!$A:$Z,22,FALSE)+VLOOKUP($A279,A:AL,31,FALSE)-50)),"-",(VLOOKUP($A279,'SegEnds_NonXtal_BW#'!$A:$Z,22,FALSE)+VLOOKUP($A279,A:AL,31,FALSE)-50))</f>
        <v>310</v>
      </c>
      <c r="AG279" s="3">
        <f>IF(ISERROR(VLOOKUP($A279,'SegEnds_NonXtal_BW#'!$A:$Z,23,FALSE)+VLOOKUP($A279,A:AL,34,FALSE)-50),"-",(VLOOKUP($A279,'SegEnds_NonXtal_BW#'!$A:$Z,23,FALSE)+VLOOKUP($A279,A:AL,34,FALSE)-50))</f>
        <v>316</v>
      </c>
      <c r="AH279" s="3">
        <v>335</v>
      </c>
      <c r="AI279" s="3">
        <f>IF(ISERROR((VLOOKUP($A279,'SegEnds_NonXtal_BW#'!$A:$Z,24,FALSE)+VLOOKUP($A279,A:AL,34,FALSE)-50)),"-",(VLOOKUP($A279,'SegEnds_NonXtal_BW#'!$A:$Z,24,FALSE)+VLOOKUP($A279,A:AL,34,FALSE)-50))</f>
        <v>341</v>
      </c>
      <c r="AJ279" s="3">
        <f>IF(ISERROR(VLOOKUP($A279,'SegEnds_NonXtal_BW#'!$A:$Z,25,FALSE)+VLOOKUP($A279,A:AL,37,FALSE)-50),"-",(VLOOKUP($A279,'SegEnds_NonXtal_BW#'!$A:$Z,25,FALSE)+VLOOKUP($A279,A:AL,37,FALSE)-50))</f>
        <v>342</v>
      </c>
      <c r="AK279" s="3">
        <v>345</v>
      </c>
      <c r="AL279" s="3">
        <f>IF(ISERROR((VLOOKUP($A279,'SegEnds_NonXtal_BW#'!$A:$Z,26,FALSE)+VLOOKUP($A279,A:AL,37,FALSE)-50)),"-",(VLOOKUP($A279,'SegEnds_NonXtal_BW#'!$A:$Z,26,FALSE)+VLOOKUP($A279,A:AL,37,FALSE)-50))</f>
        <v>353</v>
      </c>
      <c r="AM279" s="28" t="str">
        <f>VLOOKUP(A279,Classification!A:B,2,FALSE)</f>
        <v>A</v>
      </c>
      <c r="AN279" s="28" t="b">
        <f t="shared" si="173"/>
        <v>1</v>
      </c>
      <c r="AO279" s="3" t="str">
        <f>IF(ISERROR(MATCH(A279,'SegEnds_Xtal_Prot#'!B:B, 0)), "NoXtal", "Xtal")</f>
        <v>NoXtal</v>
      </c>
      <c r="AP279" s="3">
        <f t="shared" si="153"/>
        <v>1</v>
      </c>
      <c r="AQ279" s="3">
        <f t="shared" si="154"/>
        <v>1</v>
      </c>
      <c r="AR279" s="3" t="str">
        <f t="shared" si="155"/>
        <v>-</v>
      </c>
      <c r="AS279" s="3" t="str">
        <f t="shared" si="156"/>
        <v>-</v>
      </c>
      <c r="AT279" s="3">
        <f t="shared" si="157"/>
        <v>1</v>
      </c>
      <c r="AU279" s="3">
        <f t="shared" si="158"/>
        <v>1</v>
      </c>
      <c r="AV279" s="3">
        <f t="shared" si="159"/>
        <v>9</v>
      </c>
      <c r="AW279" s="3">
        <f t="shared" si="160"/>
        <v>1</v>
      </c>
      <c r="AX279" s="3">
        <f t="shared" si="161"/>
        <v>58</v>
      </c>
      <c r="AY279" s="3">
        <f t="shared" si="162"/>
        <v>6</v>
      </c>
      <c r="AZ279" s="3">
        <f t="shared" si="163"/>
        <v>1</v>
      </c>
      <c r="BA279" s="3">
        <f>IF(ISERROR(LEN(VLOOKUP(A279,Seqs!A:E,2,FALSE))-AL279),"-",LEN(VLOOKUP(A279,Seqs!A:E,2,FALSE))-AL279)</f>
        <v>22</v>
      </c>
      <c r="BB279" s="16">
        <f t="shared" si="164"/>
        <v>28</v>
      </c>
      <c r="BC279" s="9">
        <f t="shared" si="165"/>
        <v>21</v>
      </c>
      <c r="BD279" s="3">
        <f t="shared" si="166"/>
        <v>28</v>
      </c>
      <c r="BE279" s="3">
        <f t="shared" si="167"/>
        <v>110</v>
      </c>
      <c r="BF279" s="3">
        <f t="shared" si="178"/>
        <v>36</v>
      </c>
    </row>
    <row r="280" spans="1:58" s="3" customFormat="1" x14ac:dyDescent="0.2">
      <c r="A280" s="3" t="s">
        <v>280</v>
      </c>
      <c r="B280" s="3" t="str">
        <f>LOWER(VLOOKUP(A280,Xtal_Templ!A:B,2,FALSE))</f>
        <v>hrh1_human</v>
      </c>
      <c r="C280" s="3">
        <f>VLOOKUP($A280,'SegEnds_NonXtal_BW#'!$A:$Z,3,FALSE)+D280-50</f>
        <v>36</v>
      </c>
      <c r="D280" s="3">
        <v>52</v>
      </c>
      <c r="E280" s="3">
        <f>IF(ISERROR(VLOOKUP($A280,'SegEnds_NonXtal_BW#'!$A:$Z,4,FALSE)+VLOOKUP($A280,A:AL,4,FALSE)-50),"-",(VLOOKUP($A280,'SegEnds_NonXtal_BW#'!$A:$Z,4,FALSE)+VLOOKUP($A280,A:AL,4,FALSE)-50))</f>
        <v>62</v>
      </c>
      <c r="F280" s="3">
        <f t="shared" si="169"/>
        <v>63</v>
      </c>
      <c r="G280" s="3">
        <v>65</v>
      </c>
      <c r="H280" s="3">
        <f t="shared" si="170"/>
        <v>66</v>
      </c>
      <c r="I280" s="3">
        <f t="shared" si="170"/>
        <v>67</v>
      </c>
      <c r="J280" s="3">
        <v>80</v>
      </c>
      <c r="K280" s="3">
        <f>VLOOKUP($A280,'SegEnds_NonXtal_BW#'!$A:$Z,8,FALSE)+VLOOKUP($A280,A:AL,10,FALSE)-50</f>
        <v>97</v>
      </c>
      <c r="L280" s="3">
        <f t="shared" ref="L280:L286" si="179">M280-1</f>
        <v>99</v>
      </c>
      <c r="M280" s="3">
        <v>100</v>
      </c>
      <c r="N280" s="3">
        <f t="shared" ref="N280:N286" si="180">M280+2</f>
        <v>102</v>
      </c>
      <c r="O280" s="3">
        <f t="shared" ref="O280:O286" si="181">N280+1</f>
        <v>103</v>
      </c>
      <c r="P280" s="3">
        <v>132</v>
      </c>
      <c r="Q280" s="3">
        <f>VLOOKUP($A280,'SegEnds_NonXtal_BW#'!$A:$Z,12,FALSE)+VLOOKUP($A280,A:AL,16,FALSE)-50</f>
        <v>138</v>
      </c>
      <c r="R280" s="3">
        <f>IF(ISERROR(VLOOKUP($A280,'SegEnds_NonXtal_BW#'!$A:$Z,13,FALSE)+VLOOKUP($A280,A:AL,19,FALSE)-50),"-",VLOOKUP($A280,'SegEnds_NonXtal_BW#'!$A:$Z,13,FALSE)+VLOOKUP($A280,A:AL,19,FALSE)-50)</f>
        <v>139</v>
      </c>
      <c r="S280" s="3">
        <v>139</v>
      </c>
      <c r="T280" s="103">
        <f>IF(ISERROR(VLOOKUP($A280,'SegEnds_NonXtal_BW#'!$A:$Z,14,FALSE)+VLOOKUP($A280,A:AL,19,FALSE)-50),"-",(VLOOKUP($A280,'SegEnds_NonXtal_BW#'!$A:$Z,14,FALSE)+VLOOKUP($A280,A:AL,19,FALSE)-50))</f>
        <v>147</v>
      </c>
      <c r="U280" s="9">
        <f>IF(ISERROR(VLOOKUP($A280,'SegEnds_NonXtal_BW#'!$A:$Z,15,FALSE)+VLOOKUP($A280,A:AL,22,FALSE)-50),"-",VLOOKUP($A280,'SegEnds_NonXtal_BW#'!$A:$Z,15,FALSE)+VLOOKUP($A280,A:AL,22,FALSE)-50)</f>
        <v>148</v>
      </c>
      <c r="V280" s="3">
        <v>160</v>
      </c>
      <c r="W280" s="3">
        <f>IF(ISERROR(VLOOKUP($A280,'SegEnds_NonXtal_BW#'!$A:$Z,16,FALSE)+VLOOKUP($A280,A:AL,22,FALSE)-50),"-",(VLOOKUP($A280,'SegEnds_NonXtal_BW#'!$A:$Z,16,FALSE)+VLOOKUP($A280,A:AL,22,FALSE)-50))</f>
        <v>173</v>
      </c>
      <c r="X280" s="3">
        <f>IF(ISERROR(VLOOKUP($A280,'SegEnds_NonXtal_BW#'!$A:$Z,17,FALSE)+VLOOKUP($A280,A:AL,25,FALSE)-50),"-",(VLOOKUP($A280,'SegEnds_NonXtal_BW#'!$A:$Z,17,FALSE)+VLOOKUP($A280,A:AL,25,FALSE)-50))</f>
        <v>188</v>
      </c>
      <c r="Y280" s="3">
        <v>188</v>
      </c>
      <c r="Z280" s="3">
        <f t="shared" si="177"/>
        <v>190</v>
      </c>
      <c r="AA280" s="3">
        <f>IF(ISERROR(VLOOKUP($A280,'SegEnds_NonXtal_BW#'!$A:$Z,19,FALSE)+VLOOKUP($A280,A:AL,28,FALSE)-50),"-",(VLOOKUP($A280,'SegEnds_NonXtal_BW#'!$A:$Z,19,FALSE)+VLOOKUP($A280,A:AL,28,FALSE)-50))</f>
        <v>195</v>
      </c>
      <c r="AB280" s="3">
        <v>210</v>
      </c>
      <c r="AC280" s="3">
        <f>IF(ISERROR((VLOOKUP($A280,'SegEnds_NonXtal_BW#'!$A:$Z,20,FALSE)+VLOOKUP($A280,A:AL,28,FALSE)-50)),"-",(VLOOKUP($A280,'SegEnds_NonXtal_BW#'!$A:$Z,20,FALSE)+VLOOKUP($A280,A:AL,28,FALSE)-50))</f>
        <v>235</v>
      </c>
      <c r="AD280" s="3">
        <f>IF(ISERROR(VLOOKUP($A280,'SegEnds_NonXtal_BW#'!$A:$Z,21,FALSE)+VLOOKUP($A280,A:AL,31,FALSE)-50),"-",(VLOOKUP($A280,'SegEnds_NonXtal_BW#'!$A:$Z,21,FALSE)+VLOOKUP($A280,A:AL,31,FALSE)-50))</f>
        <v>347</v>
      </c>
      <c r="AE280" s="3">
        <v>373</v>
      </c>
      <c r="AF280" s="3">
        <f>IF(ISERROR((VLOOKUP($A280,'SegEnds_NonXtal_BW#'!$A:$Z,22,FALSE)+VLOOKUP($A280,A:AL,31,FALSE)-50)),"-",(VLOOKUP($A280,'SegEnds_NonXtal_BW#'!$A:$Z,22,FALSE)+VLOOKUP($A280,A:AL,31,FALSE)-50))</f>
        <v>384</v>
      </c>
      <c r="AG280" s="3">
        <f>IF(ISERROR(VLOOKUP($A280,'SegEnds_NonXtal_BW#'!$A:$Z,23,FALSE)+VLOOKUP($A280,A:AL,34,FALSE)-50),"-",(VLOOKUP($A280,'SegEnds_NonXtal_BW#'!$A:$Z,23,FALSE)+VLOOKUP($A280,A:AL,34,FALSE)-50))</f>
        <v>390</v>
      </c>
      <c r="AH280" s="3">
        <v>409</v>
      </c>
      <c r="AI280" s="3">
        <f>IF(ISERROR((VLOOKUP($A280,'SegEnds_NonXtal_BW#'!$A:$Z,24,FALSE)+VLOOKUP($A280,A:AL,34,FALSE)-50)),"-",(VLOOKUP($A280,'SegEnds_NonXtal_BW#'!$A:$Z,24,FALSE)+VLOOKUP($A280,A:AL,34,FALSE)-50))</f>
        <v>415</v>
      </c>
      <c r="AJ280" s="3">
        <f>IF(ISERROR(VLOOKUP($A280,'SegEnds_NonXtal_BW#'!$A:$Z,25,FALSE)+VLOOKUP($A280,A:AL,37,FALSE)-50),"-",(VLOOKUP($A280,'SegEnds_NonXtal_BW#'!$A:$Z,25,FALSE)+VLOOKUP($A280,A:AL,37,FALSE)-50))</f>
        <v>416</v>
      </c>
      <c r="AK280" s="3">
        <v>419</v>
      </c>
      <c r="AL280" s="3">
        <f>IF(ISERROR((VLOOKUP($A280,'SegEnds_NonXtal_BW#'!$A:$Z,26,FALSE)+VLOOKUP($A280,A:AL,37,FALSE)-50)),"-",(VLOOKUP($A280,'SegEnds_NonXtal_BW#'!$A:$Z,26,FALSE)+VLOOKUP($A280,A:AL,37,FALSE)-50))</f>
        <v>428</v>
      </c>
      <c r="AM280" s="28" t="str">
        <f>VLOOKUP(A280,Classification!A:B,2,FALSE)</f>
        <v>A</v>
      </c>
      <c r="AN280" s="28" t="b">
        <f t="shared" si="173"/>
        <v>1</v>
      </c>
      <c r="AO280" s="3" t="str">
        <f>IF(ISERROR(MATCH(A280,'SegEnds_Xtal_Prot#'!B:B, 0)), "NoXtal", "Xtal")</f>
        <v>NoXtal</v>
      </c>
      <c r="AP280" s="3">
        <f t="shared" si="153"/>
        <v>1</v>
      </c>
      <c r="AQ280" s="3">
        <f t="shared" si="154"/>
        <v>1</v>
      </c>
      <c r="AR280" s="3">
        <f t="shared" si="155"/>
        <v>2</v>
      </c>
      <c r="AS280" s="3">
        <f t="shared" si="156"/>
        <v>1</v>
      </c>
      <c r="AT280" s="3">
        <f t="shared" si="157"/>
        <v>1</v>
      </c>
      <c r="AU280" s="3">
        <f t="shared" si="158"/>
        <v>1</v>
      </c>
      <c r="AV280" s="3">
        <f t="shared" si="159"/>
        <v>15</v>
      </c>
      <c r="AW280" s="3">
        <f t="shared" si="160"/>
        <v>5</v>
      </c>
      <c r="AX280" s="3">
        <f t="shared" si="161"/>
        <v>112</v>
      </c>
      <c r="AY280" s="3">
        <f t="shared" si="162"/>
        <v>6</v>
      </c>
      <c r="AZ280" s="3">
        <f t="shared" si="163"/>
        <v>1</v>
      </c>
      <c r="BA280" s="3">
        <f>IF(ISERROR(LEN(VLOOKUP(A280,Seqs!A:E,2,FALSE))-AL280),"-",LEN(VLOOKUP(A280,Seqs!A:E,2,FALSE))-AL280)</f>
        <v>17</v>
      </c>
      <c r="BB280" s="16">
        <f t="shared" si="164"/>
        <v>28</v>
      </c>
      <c r="BC280" s="9">
        <f t="shared" si="165"/>
        <v>21</v>
      </c>
      <c r="BD280" s="3">
        <f t="shared" si="166"/>
        <v>28</v>
      </c>
      <c r="BE280" s="3">
        <f t="shared" si="167"/>
        <v>163</v>
      </c>
      <c r="BF280" s="3">
        <f t="shared" si="178"/>
        <v>36</v>
      </c>
    </row>
    <row r="281" spans="1:58" s="3" customFormat="1" x14ac:dyDescent="0.2">
      <c r="A281" s="3" t="s">
        <v>281</v>
      </c>
      <c r="B281" s="3" t="str">
        <f>LOWER(VLOOKUP(A281,Xtal_Templ!A:B,2,FALSE))</f>
        <v>acm3_rat</v>
      </c>
      <c r="C281" s="3">
        <f>VLOOKUP($A281,'SegEnds_NonXtal_BW#'!$A:$Z,3,FALSE)+D281-50</f>
        <v>12</v>
      </c>
      <c r="D281" s="3">
        <v>33</v>
      </c>
      <c r="E281" s="3">
        <f>IF(ISERROR(VLOOKUP($A281,'SegEnds_NonXtal_BW#'!$A:$Z,4,FALSE)+VLOOKUP($A281,A:AL,4,FALSE)-50),"-",(VLOOKUP($A281,'SegEnds_NonXtal_BW#'!$A:$Z,4,FALSE)+VLOOKUP($A281,A:AL,4,FALSE)-50))</f>
        <v>43</v>
      </c>
      <c r="F281" s="3">
        <f t="shared" si="169"/>
        <v>44</v>
      </c>
      <c r="G281" s="3">
        <v>46</v>
      </c>
      <c r="H281" s="3">
        <f t="shared" si="170"/>
        <v>47</v>
      </c>
      <c r="I281" s="3">
        <f t="shared" si="170"/>
        <v>48</v>
      </c>
      <c r="J281" s="3">
        <v>61</v>
      </c>
      <c r="K281" s="3">
        <f>VLOOKUP($A281,'SegEnds_NonXtal_BW#'!$A:$Z,8,FALSE)+VLOOKUP($A281,A:AL,10,FALSE)-50</f>
        <v>77</v>
      </c>
      <c r="L281" s="3">
        <f t="shared" si="179"/>
        <v>79</v>
      </c>
      <c r="M281" s="3">
        <v>80</v>
      </c>
      <c r="N281" s="3">
        <f t="shared" si="180"/>
        <v>82</v>
      </c>
      <c r="O281" s="3">
        <f t="shared" si="181"/>
        <v>83</v>
      </c>
      <c r="P281" s="3">
        <v>112</v>
      </c>
      <c r="Q281" s="3">
        <f>VLOOKUP($A281,'SegEnds_NonXtal_BW#'!$A:$Z,12,FALSE)+VLOOKUP($A281,A:AL,16,FALSE)-50</f>
        <v>118</v>
      </c>
      <c r="R281" s="3">
        <f>IF(ISERROR(VLOOKUP($A281,'SegEnds_NonXtal_BW#'!$A:$Z,13,FALSE)+VLOOKUP($A281,A:AL,19,FALSE)-50),"-",VLOOKUP($A281,'SegEnds_NonXtal_BW#'!$A:$Z,13,FALSE)+VLOOKUP($A281,A:AL,19,FALSE)-50)</f>
        <v>119</v>
      </c>
      <c r="S281" s="3">
        <v>119</v>
      </c>
      <c r="T281" s="103">
        <f>IF(ISERROR(VLOOKUP($A281,'SegEnds_NonXtal_BW#'!$A:$Z,14,FALSE)+VLOOKUP($A281,A:AL,19,FALSE)-50),"-",(VLOOKUP($A281,'SegEnds_NonXtal_BW#'!$A:$Z,14,FALSE)+VLOOKUP($A281,A:AL,19,FALSE)-50))</f>
        <v>127</v>
      </c>
      <c r="U281" s="9">
        <f>IF(ISERROR(VLOOKUP($A281,'SegEnds_NonXtal_BW#'!$A:$Z,15,FALSE)+VLOOKUP($A281,A:AL,22,FALSE)-50),"-",VLOOKUP($A281,'SegEnds_NonXtal_BW#'!$A:$Z,15,FALSE)+VLOOKUP($A281,A:AL,22,FALSE)-50)</f>
        <v>128</v>
      </c>
      <c r="V281" s="3">
        <v>140</v>
      </c>
      <c r="W281" s="3">
        <f>IF(ISERROR(VLOOKUP($A281,'SegEnds_NonXtal_BW#'!$A:$Z,16,FALSE)+VLOOKUP($A281,A:AL,22,FALSE)-50),"-",(VLOOKUP($A281,'SegEnds_NonXtal_BW#'!$A:$Z,16,FALSE)+VLOOKUP($A281,A:AL,22,FALSE)-50))</f>
        <v>153</v>
      </c>
      <c r="X281" s="3">
        <f>IF(ISERROR(VLOOKUP($A281,'SegEnds_NonXtal_BW#'!$A:$Z,17,FALSE)+VLOOKUP($A281,A:AL,25,FALSE)-50),"-",(VLOOKUP($A281,'SegEnds_NonXtal_BW#'!$A:$Z,17,FALSE)+VLOOKUP($A281,A:AL,25,FALSE)-50))</f>
        <v>164</v>
      </c>
      <c r="Y281" s="3">
        <v>164</v>
      </c>
      <c r="Z281" s="3">
        <f t="shared" si="177"/>
        <v>166</v>
      </c>
      <c r="AA281" s="3">
        <f>IF(ISERROR(VLOOKUP($A281,'SegEnds_NonXtal_BW#'!$A:$Z,19,FALSE)+VLOOKUP($A281,A:AL,28,FALSE)-50),"-",(VLOOKUP($A281,'SegEnds_NonXtal_BW#'!$A:$Z,19,FALSE)+VLOOKUP($A281,A:AL,28,FALSE)-50))</f>
        <v>171</v>
      </c>
      <c r="AB281" s="3">
        <v>186</v>
      </c>
      <c r="AC281" s="3">
        <f>IF(ISERROR((VLOOKUP($A281,'SegEnds_NonXtal_BW#'!$A:$Z,20,FALSE)+VLOOKUP($A281,A:AL,28,FALSE)-50)),"-",(VLOOKUP($A281,'SegEnds_NonXtal_BW#'!$A:$Z,20,FALSE)+VLOOKUP($A281,A:AL,28,FALSE)-50))</f>
        <v>212</v>
      </c>
      <c r="AD281" s="3">
        <f>IF(ISERROR(VLOOKUP($A281,'SegEnds_NonXtal_BW#'!$A:$Z,21,FALSE)+VLOOKUP($A281,A:AL,31,FALSE)-50),"-",(VLOOKUP($A281,'SegEnds_NonXtal_BW#'!$A:$Z,21,FALSE)+VLOOKUP($A281,A:AL,31,FALSE)-50))</f>
        <v>292</v>
      </c>
      <c r="AE281" s="3">
        <v>318</v>
      </c>
      <c r="AF281" s="3">
        <f>IF(ISERROR((VLOOKUP($A281,'SegEnds_NonXtal_BW#'!$A:$Z,22,FALSE)+VLOOKUP($A281,A:AL,31,FALSE)-50)),"-",(VLOOKUP($A281,'SegEnds_NonXtal_BW#'!$A:$Z,22,FALSE)+VLOOKUP($A281,A:AL,31,FALSE)-50))</f>
        <v>329</v>
      </c>
      <c r="AG281" s="3">
        <f>IF(ISERROR(VLOOKUP($A281,'SegEnds_NonXtal_BW#'!$A:$Z,23,FALSE)+VLOOKUP($A281,A:AL,34,FALSE)-50),"-",(VLOOKUP($A281,'SegEnds_NonXtal_BW#'!$A:$Z,23,FALSE)+VLOOKUP($A281,A:AL,34,FALSE)-50))</f>
        <v>336</v>
      </c>
      <c r="AH281" s="3">
        <v>355</v>
      </c>
      <c r="AI281" s="3">
        <f>IF(ISERROR((VLOOKUP($A281,'SegEnds_NonXtal_BW#'!$A:$Z,24,FALSE)+VLOOKUP($A281,A:AL,34,FALSE)-50)),"-",(VLOOKUP($A281,'SegEnds_NonXtal_BW#'!$A:$Z,24,FALSE)+VLOOKUP($A281,A:AL,34,FALSE)-50))</f>
        <v>361</v>
      </c>
      <c r="AJ281" s="3">
        <f>IF(ISERROR(VLOOKUP($A281,'SegEnds_NonXtal_BW#'!$A:$Z,25,FALSE)+VLOOKUP($A281,A:AL,37,FALSE)-50),"-",(VLOOKUP($A281,'SegEnds_NonXtal_BW#'!$A:$Z,25,FALSE)+VLOOKUP($A281,A:AL,37,FALSE)-50))</f>
        <v>362</v>
      </c>
      <c r="AK281" s="3">
        <v>365</v>
      </c>
      <c r="AL281" s="3">
        <f>IF(ISERROR((VLOOKUP($A281,'SegEnds_NonXtal_BW#'!$A:$Z,26,FALSE)+VLOOKUP($A281,A:AL,37,FALSE)-50)),"-",(VLOOKUP($A281,'SegEnds_NonXtal_BW#'!$A:$Z,26,FALSE)+VLOOKUP($A281,A:AL,37,FALSE)-50))</f>
        <v>373</v>
      </c>
      <c r="AM281" s="28" t="str">
        <f>VLOOKUP(A281,Classification!A:B,2,FALSE)</f>
        <v>A</v>
      </c>
      <c r="AN281" s="28" t="b">
        <f t="shared" si="173"/>
        <v>1</v>
      </c>
      <c r="AO281" s="3" t="str">
        <f>IF(ISERROR(MATCH(A281,'SegEnds_Xtal_Prot#'!B:B, 0)), "NoXtal", "Xtal")</f>
        <v>NoXtal</v>
      </c>
      <c r="AP281" s="3">
        <f t="shared" si="153"/>
        <v>1</v>
      </c>
      <c r="AQ281" s="3">
        <f t="shared" si="154"/>
        <v>1</v>
      </c>
      <c r="AR281" s="3">
        <f t="shared" si="155"/>
        <v>2</v>
      </c>
      <c r="AS281" s="3">
        <f t="shared" si="156"/>
        <v>1</v>
      </c>
      <c r="AT281" s="3">
        <f t="shared" si="157"/>
        <v>1</v>
      </c>
      <c r="AU281" s="3">
        <f t="shared" si="158"/>
        <v>1</v>
      </c>
      <c r="AV281" s="3">
        <f t="shared" si="159"/>
        <v>11</v>
      </c>
      <c r="AW281" s="3">
        <f t="shared" si="160"/>
        <v>5</v>
      </c>
      <c r="AX281" s="3">
        <f t="shared" si="161"/>
        <v>80</v>
      </c>
      <c r="AY281" s="3">
        <f t="shared" si="162"/>
        <v>7</v>
      </c>
      <c r="AZ281" s="3">
        <f t="shared" si="163"/>
        <v>1</v>
      </c>
      <c r="BA281" s="3">
        <f>IF(ISERROR(LEN(VLOOKUP(A281,Seqs!A:E,2,FALSE))-AL281),"-",LEN(VLOOKUP(A281,Seqs!A:E,2,FALSE))-AL281)</f>
        <v>17</v>
      </c>
      <c r="BB281" s="16">
        <f t="shared" si="164"/>
        <v>28</v>
      </c>
      <c r="BC281" s="9">
        <f t="shared" si="165"/>
        <v>21</v>
      </c>
      <c r="BD281" s="3">
        <f t="shared" si="166"/>
        <v>28</v>
      </c>
      <c r="BE281" s="3">
        <f t="shared" si="167"/>
        <v>132</v>
      </c>
      <c r="BF281" s="3">
        <f t="shared" si="178"/>
        <v>37</v>
      </c>
    </row>
    <row r="282" spans="1:58" s="3" customFormat="1" x14ac:dyDescent="0.2">
      <c r="A282" s="3" t="s">
        <v>348</v>
      </c>
      <c r="B282" s="3" t="str">
        <f>LOWER(VLOOKUP(A282,Xtal_Templ!A:B,2,FALSE))</f>
        <v>p2ry1_human</v>
      </c>
      <c r="C282" s="3">
        <f>VLOOKUP($A282,'SegEnds_NonXtal_BW#'!$A:$Z,3,FALSE)+D282-50</f>
        <v>24</v>
      </c>
      <c r="D282" s="3">
        <v>44</v>
      </c>
      <c r="E282" s="3">
        <f>IF(ISERROR(VLOOKUP($A282,'SegEnds_NonXtal_BW#'!$A:$Z,4,FALSE)+VLOOKUP($A282,A:AL,4,FALSE)-50),"-",(VLOOKUP($A282,'SegEnds_NonXtal_BW#'!$A:$Z,4,FALSE)+VLOOKUP($A282,A:AL,4,FALSE)-50))</f>
        <v>54</v>
      </c>
      <c r="F282" s="3">
        <f t="shared" si="169"/>
        <v>55</v>
      </c>
      <c r="G282" s="3">
        <v>57</v>
      </c>
      <c r="H282" s="3">
        <f t="shared" si="170"/>
        <v>58</v>
      </c>
      <c r="I282" s="3">
        <f t="shared" si="170"/>
        <v>59</v>
      </c>
      <c r="J282" s="3">
        <v>72</v>
      </c>
      <c r="K282" s="3">
        <f>VLOOKUP($A282,'SegEnds_NonXtal_BW#'!$A:$Z,8,FALSE)+VLOOKUP($A282,A:AL,10,FALSE)-50</f>
        <v>88</v>
      </c>
      <c r="L282" s="3">
        <f t="shared" si="179"/>
        <v>91</v>
      </c>
      <c r="M282" s="3">
        <v>92</v>
      </c>
      <c r="N282" s="3">
        <f t="shared" si="180"/>
        <v>94</v>
      </c>
      <c r="O282" s="3">
        <f t="shared" si="181"/>
        <v>95</v>
      </c>
      <c r="P282" s="3">
        <v>124</v>
      </c>
      <c r="Q282" s="3">
        <f>VLOOKUP($A282,'SegEnds_NonXtal_BW#'!$A:$Z,12,FALSE)+VLOOKUP($A282,A:AL,16,FALSE)-50</f>
        <v>130</v>
      </c>
      <c r="R282" s="3">
        <f>IF(ISERROR(VLOOKUP($A282,'SegEnds_NonXtal_BW#'!$A:$Z,13,FALSE)+VLOOKUP($A282,A:AL,19,FALSE)-50),"-",VLOOKUP($A282,'SegEnds_NonXtal_BW#'!$A:$Z,13,FALSE)+VLOOKUP($A282,A:AL,19,FALSE)-50)</f>
        <v>131</v>
      </c>
      <c r="S282" s="3">
        <v>131</v>
      </c>
      <c r="T282" s="103">
        <f>IF(ISERROR(VLOOKUP($A282,'SegEnds_NonXtal_BW#'!$A:$Z,14,FALSE)+VLOOKUP($A282,A:AL,19,FALSE)-50),"-",(VLOOKUP($A282,'SegEnds_NonXtal_BW#'!$A:$Z,14,FALSE)+VLOOKUP($A282,A:AL,19,FALSE)-50))</f>
        <v>139</v>
      </c>
      <c r="U282" s="9">
        <f>IF(ISERROR(VLOOKUP($A282,'SegEnds_NonXtal_BW#'!$A:$Z,15,FALSE)+VLOOKUP($A282,A:AL,22,FALSE)-50),"-",VLOOKUP($A282,'SegEnds_NonXtal_BW#'!$A:$Z,15,FALSE)+VLOOKUP($A282,A:AL,22,FALSE)-50)</f>
        <v>140</v>
      </c>
      <c r="V282" s="3">
        <v>152</v>
      </c>
      <c r="W282" s="3">
        <f>IF(ISERROR(VLOOKUP($A282,'SegEnds_NonXtal_BW#'!$A:$Z,16,FALSE)+VLOOKUP($A282,A:AL,22,FALSE)-50),"-",(VLOOKUP($A282,'SegEnds_NonXtal_BW#'!$A:$Z,16,FALSE)+VLOOKUP($A282,A:AL,22,FALSE)-50))</f>
        <v>166</v>
      </c>
      <c r="X282" s="3">
        <f>IF(ISERROR(VLOOKUP($A282,'SegEnds_NonXtal_BW#'!$A:$Z,17,FALSE)+VLOOKUP($A282,A:AL,25,FALSE)-50),"-",(VLOOKUP($A282,'SegEnds_NonXtal_BW#'!$A:$Z,17,FALSE)+VLOOKUP($A282,A:AL,25,FALSE)-50))</f>
        <v>177</v>
      </c>
      <c r="Y282" s="3">
        <v>177</v>
      </c>
      <c r="Z282" s="3">
        <f t="shared" si="177"/>
        <v>179</v>
      </c>
      <c r="AA282" s="3">
        <f>IF(ISERROR(VLOOKUP($A282,'SegEnds_NonXtal_BW#'!$A:$Z,19,FALSE)+VLOOKUP($A282,A:AL,28,FALSE)-50),"-",(VLOOKUP($A282,'SegEnds_NonXtal_BW#'!$A:$Z,19,FALSE)+VLOOKUP($A282,A:AL,28,FALSE)-50))</f>
        <v>186</v>
      </c>
      <c r="AB282" s="3">
        <v>204</v>
      </c>
      <c r="AC282" s="3">
        <f>IF(ISERROR((VLOOKUP($A282,'SegEnds_NonXtal_BW#'!$A:$Z,20,FALSE)+VLOOKUP($A282,A:AL,28,FALSE)-50)),"-",(VLOOKUP($A282,'SegEnds_NonXtal_BW#'!$A:$Z,20,FALSE)+VLOOKUP($A282,A:AL,28,FALSE)-50))</f>
        <v>226</v>
      </c>
      <c r="AD282" s="3">
        <f>IF(ISERROR(VLOOKUP($A282,'SegEnds_NonXtal_BW#'!$A:$Z,21,FALSE)+VLOOKUP($A282,A:AL,31,FALSE)-50),"-",(VLOOKUP($A282,'SegEnds_NonXtal_BW#'!$A:$Z,21,FALSE)+VLOOKUP($A282,A:AL,31,FALSE)-50))</f>
        <v>233</v>
      </c>
      <c r="AE282" s="3">
        <v>254</v>
      </c>
      <c r="AF282" s="3">
        <f>IF(ISERROR((VLOOKUP($A282,'SegEnds_NonXtal_BW#'!$A:$Z,22,FALSE)+VLOOKUP($A282,A:AL,31,FALSE)-50)),"-",(VLOOKUP($A282,'SegEnds_NonXtal_BW#'!$A:$Z,22,FALSE)+VLOOKUP($A282,A:AL,31,FALSE)-50))</f>
        <v>268</v>
      </c>
      <c r="AG282" s="3">
        <f>IF(ISERROR(VLOOKUP($A282,'SegEnds_NonXtal_BW#'!$A:$Z,23,FALSE)+VLOOKUP($A282,A:AL,34,FALSE)-50),"-",(VLOOKUP($A282,'SegEnds_NonXtal_BW#'!$A:$Z,23,FALSE)+VLOOKUP($A282,A:AL,34,FALSE)-50))</f>
        <v>272</v>
      </c>
      <c r="AH282" s="3">
        <v>298</v>
      </c>
      <c r="AI282" s="3">
        <f>IF(ISERROR((VLOOKUP($A282,'SegEnds_NonXtal_BW#'!$A:$Z,24,FALSE)+VLOOKUP($A282,A:AL,34,FALSE)-50)),"-",(VLOOKUP($A282,'SegEnds_NonXtal_BW#'!$A:$Z,24,FALSE)+VLOOKUP($A282,A:AL,34,FALSE)-50))</f>
        <v>304</v>
      </c>
      <c r="AJ282" s="3">
        <f>IF(ISERROR(VLOOKUP($A282,'SegEnds_NonXtal_BW#'!$A:$Z,25,FALSE)+VLOOKUP($A282,A:AL,37,FALSE)-50),"-",(VLOOKUP($A282,'SegEnds_NonXtal_BW#'!$A:$Z,25,FALSE)+VLOOKUP($A282,A:AL,37,FALSE)-50))</f>
        <v>305</v>
      </c>
      <c r="AK282" s="3">
        <v>308</v>
      </c>
      <c r="AL282" s="3">
        <f>IF(ISERROR((VLOOKUP($A282,'SegEnds_NonXtal_BW#'!$A:$Z,26,FALSE)+VLOOKUP($A282,A:AL,37,FALSE)-50)),"-",(VLOOKUP($A282,'SegEnds_NonXtal_BW#'!$A:$Z,26,FALSE)+VLOOKUP($A282,A:AL,37,FALSE)-50))</f>
        <v>317</v>
      </c>
      <c r="AM282" s="28" t="str">
        <f>VLOOKUP(A282,Classification!A:B,2,FALSE)</f>
        <v>A</v>
      </c>
      <c r="AN282" s="28" t="b">
        <f t="shared" si="173"/>
        <v>1</v>
      </c>
      <c r="AO282" s="3" t="str">
        <f>IF(ISERROR(MATCH(A282,'SegEnds_Xtal_Prot#'!B:B, 0)), "NoXtal", "Xtal")</f>
        <v>NoXtal</v>
      </c>
      <c r="AP282" s="3">
        <f t="shared" si="153"/>
        <v>1</v>
      </c>
      <c r="AQ282" s="3">
        <f t="shared" si="154"/>
        <v>1</v>
      </c>
      <c r="AR282" s="3">
        <f t="shared" si="155"/>
        <v>3</v>
      </c>
      <c r="AS282" s="3">
        <f t="shared" si="156"/>
        <v>1</v>
      </c>
      <c r="AT282" s="3">
        <f t="shared" si="157"/>
        <v>1</v>
      </c>
      <c r="AU282" s="3">
        <f t="shared" si="158"/>
        <v>1</v>
      </c>
      <c r="AV282" s="3">
        <f t="shared" si="159"/>
        <v>11</v>
      </c>
      <c r="AW282" s="3">
        <f t="shared" si="160"/>
        <v>7</v>
      </c>
      <c r="AX282" s="3">
        <f t="shared" si="161"/>
        <v>7</v>
      </c>
      <c r="AY282" s="3">
        <f t="shared" si="162"/>
        <v>4</v>
      </c>
      <c r="AZ282" s="3">
        <f t="shared" si="163"/>
        <v>1</v>
      </c>
      <c r="BA282" s="3">
        <f>IF(ISERROR(LEN(VLOOKUP(A282,Seqs!A:E,2,FALSE))-AL282),"-",LEN(VLOOKUP(A282,Seqs!A:E,2,FALSE))-AL282)</f>
        <v>11</v>
      </c>
      <c r="BB282" s="16">
        <f t="shared" si="164"/>
        <v>28</v>
      </c>
      <c r="BC282" s="9">
        <f t="shared" si="165"/>
        <v>21</v>
      </c>
      <c r="BD282" s="3">
        <f t="shared" si="166"/>
        <v>28</v>
      </c>
      <c r="BE282" s="3">
        <f t="shared" si="167"/>
        <v>50</v>
      </c>
      <c r="BF282" s="3">
        <f t="shared" si="178"/>
        <v>44</v>
      </c>
    </row>
    <row r="283" spans="1:58" s="3" customFormat="1" x14ac:dyDescent="0.2">
      <c r="A283" s="3" t="s">
        <v>174</v>
      </c>
      <c r="B283" s="3" t="str">
        <f>LOWER(VLOOKUP(A283,Xtal_Templ!A:B,2,FALSE))</f>
        <v>ccr9_human</v>
      </c>
      <c r="C283" s="3">
        <f>VLOOKUP($A283,'SegEnds_NonXtal_BW#'!$A:$Z,3,FALSE)+D283-50</f>
        <v>41</v>
      </c>
      <c r="D283" s="3">
        <v>64</v>
      </c>
      <c r="E283" s="3">
        <f>IF(ISERROR(VLOOKUP($A283,'SegEnds_NonXtal_BW#'!$A:$Z,4,FALSE)+VLOOKUP($A283,A:AL,4,FALSE)-50),"-",(VLOOKUP($A283,'SegEnds_NonXtal_BW#'!$A:$Z,4,FALSE)+VLOOKUP($A283,A:AL,4,FALSE)-50))</f>
        <v>74</v>
      </c>
      <c r="F283" s="3">
        <f t="shared" si="169"/>
        <v>75</v>
      </c>
      <c r="G283" s="3">
        <v>77</v>
      </c>
      <c r="H283" s="3">
        <f t="shared" si="170"/>
        <v>78</v>
      </c>
      <c r="I283" s="3">
        <f t="shared" si="170"/>
        <v>79</v>
      </c>
      <c r="J283" s="3">
        <v>92</v>
      </c>
      <c r="K283" s="3">
        <f>VLOOKUP($A283,'SegEnds_NonXtal_BW#'!$A:$Z,8,FALSE)+VLOOKUP($A283,A:AL,10,FALSE)-50</f>
        <v>108</v>
      </c>
      <c r="L283" s="3">
        <f t="shared" si="179"/>
        <v>110</v>
      </c>
      <c r="M283" s="3">
        <v>111</v>
      </c>
      <c r="N283" s="3">
        <f t="shared" si="180"/>
        <v>113</v>
      </c>
      <c r="O283" s="3">
        <f t="shared" si="181"/>
        <v>114</v>
      </c>
      <c r="P283" s="3">
        <v>143</v>
      </c>
      <c r="Q283" s="3">
        <f>VLOOKUP($A283,'SegEnds_NonXtal_BW#'!$A:$Z,12,FALSE)+VLOOKUP($A283,A:AL,16,FALSE)-50</f>
        <v>149</v>
      </c>
      <c r="R283" s="3">
        <f>IF(ISERROR(VLOOKUP($A283,'SegEnds_NonXtal_BW#'!$A:$Z,13,FALSE)+VLOOKUP($A283,A:AL,19,FALSE)-50),"-",VLOOKUP($A283,'SegEnds_NonXtal_BW#'!$A:$Z,13,FALSE)+VLOOKUP($A283,A:AL,19,FALSE)-50)</f>
        <v>150</v>
      </c>
      <c r="S283" s="3">
        <v>150</v>
      </c>
      <c r="T283" s="103">
        <f>IF(ISERROR(VLOOKUP($A283,'SegEnds_NonXtal_BW#'!$A:$Z,14,FALSE)+VLOOKUP($A283,A:AL,19,FALSE)-50),"-",(VLOOKUP($A283,'SegEnds_NonXtal_BW#'!$A:$Z,14,FALSE)+VLOOKUP($A283,A:AL,19,FALSE)-50))</f>
        <v>158</v>
      </c>
      <c r="U283" s="9">
        <f>IF(ISERROR(VLOOKUP($A283,'SegEnds_NonXtal_BW#'!$A:$Z,15,FALSE)+VLOOKUP($A283,A:AL,22,FALSE)-50),"-",VLOOKUP($A283,'SegEnds_NonXtal_BW#'!$A:$Z,15,FALSE)+VLOOKUP($A283,A:AL,22,FALSE)-50)</f>
        <v>160</v>
      </c>
      <c r="V283" s="3">
        <v>172</v>
      </c>
      <c r="W283" s="3">
        <f>IF(ISERROR(VLOOKUP($A283,'SegEnds_NonXtal_BW#'!$A:$Z,16,FALSE)+VLOOKUP($A283,A:AL,22,FALSE)-50),"-",(VLOOKUP($A283,'SegEnds_NonXtal_BW#'!$A:$Z,16,FALSE)+VLOOKUP($A283,A:AL,22,FALSE)-50))</f>
        <v>186</v>
      </c>
      <c r="X283" s="3">
        <f>IF(ISERROR(VLOOKUP($A283,'SegEnds_NonXtal_BW#'!$A:$Z,17,FALSE)+VLOOKUP($A283,A:AL,25,FALSE)-50),"-",(VLOOKUP($A283,'SegEnds_NonXtal_BW#'!$A:$Z,17,FALSE)+VLOOKUP($A283,A:AL,25,FALSE)-50))</f>
        <v>197</v>
      </c>
      <c r="Y283" s="3">
        <v>197</v>
      </c>
      <c r="Z283" s="3">
        <f t="shared" si="177"/>
        <v>199</v>
      </c>
      <c r="AA283" s="3">
        <f>IF(ISERROR(VLOOKUP($A283,'SegEnds_NonXtal_BW#'!$A:$Z,19,FALSE)+VLOOKUP($A283,A:AL,28,FALSE)-50),"-",(VLOOKUP($A283,'SegEnds_NonXtal_BW#'!$A:$Z,19,FALSE)+VLOOKUP($A283,A:AL,28,FALSE)-50))</f>
        <v>209</v>
      </c>
      <c r="AB283" s="3">
        <v>226</v>
      </c>
      <c r="AC283" s="3">
        <f>IF(ISERROR((VLOOKUP($A283,'SegEnds_NonXtal_BW#'!$A:$Z,20,FALSE)+VLOOKUP($A283,A:AL,28,FALSE)-50)),"-",(VLOOKUP($A283,'SegEnds_NonXtal_BW#'!$A:$Z,20,FALSE)+VLOOKUP($A283,A:AL,28,FALSE)-50))</f>
        <v>244</v>
      </c>
      <c r="AD283" s="3">
        <f>IF(ISERROR(VLOOKUP($A283,'SegEnds_NonXtal_BW#'!$A:$Z,21,FALSE)+VLOOKUP($A283,A:AL,31,FALSE)-50),"-",(VLOOKUP($A283,'SegEnds_NonXtal_BW#'!$A:$Z,21,FALSE)+VLOOKUP($A283,A:AL,31,FALSE)-50))</f>
        <v>249</v>
      </c>
      <c r="AE283" s="3">
        <v>269</v>
      </c>
      <c r="AF283" s="3">
        <f>IF(ISERROR((VLOOKUP($A283,'SegEnds_NonXtal_BW#'!$A:$Z,22,FALSE)+VLOOKUP($A283,A:AL,31,FALSE)-50)),"-",(VLOOKUP($A283,'SegEnds_NonXtal_BW#'!$A:$Z,22,FALSE)+VLOOKUP($A283,A:AL,31,FALSE)-50))</f>
        <v>284</v>
      </c>
      <c r="AG283" s="3">
        <f>IF(ISERROR(VLOOKUP($A283,'SegEnds_NonXtal_BW#'!$A:$Z,23,FALSE)+VLOOKUP($A283,A:AL,34,FALSE)-50),"-",(VLOOKUP($A283,'SegEnds_NonXtal_BW#'!$A:$Z,23,FALSE)+VLOOKUP($A283,A:AL,34,FALSE)-50))</f>
        <v>287</v>
      </c>
      <c r="AH283" s="3">
        <v>313</v>
      </c>
      <c r="AI283" s="3">
        <f>IF(ISERROR((VLOOKUP($A283,'SegEnds_NonXtal_BW#'!$A:$Z,24,FALSE)+VLOOKUP($A283,A:AL,34,FALSE)-50)),"-",(VLOOKUP($A283,'SegEnds_NonXtal_BW#'!$A:$Z,24,FALSE)+VLOOKUP($A283,A:AL,34,FALSE)-50))</f>
        <v>319</v>
      </c>
      <c r="AJ283" s="3">
        <f>IF(ISERROR(VLOOKUP($A283,'SegEnds_NonXtal_BW#'!$A:$Z,25,FALSE)+VLOOKUP($A283,A:AL,37,FALSE)-50),"-",(VLOOKUP($A283,'SegEnds_NonXtal_BW#'!$A:$Z,25,FALSE)+VLOOKUP($A283,A:AL,37,FALSE)-50))</f>
        <v>320</v>
      </c>
      <c r="AK283" s="3">
        <v>323</v>
      </c>
      <c r="AL283" s="3">
        <f>IF(ISERROR((VLOOKUP($A283,'SegEnds_NonXtal_BW#'!$A:$Z,26,FALSE)+VLOOKUP($A283,A:AL,37,FALSE)-50)),"-",(VLOOKUP($A283,'SegEnds_NonXtal_BW#'!$A:$Z,26,FALSE)+VLOOKUP($A283,A:AL,37,FALSE)-50))</f>
        <v>340</v>
      </c>
      <c r="AM283" s="28" t="str">
        <f>VLOOKUP(A283,Classification!A:B,2,FALSE)</f>
        <v>A</v>
      </c>
      <c r="AN283" s="28" t="b">
        <f t="shared" si="173"/>
        <v>1</v>
      </c>
      <c r="AO283" s="3" t="str">
        <f>IF(ISERROR(MATCH(A283,'SegEnds_Xtal_Prot#'!B:B, 0)), "NoXtal", "Xtal")</f>
        <v>NoXtal</v>
      </c>
      <c r="AP283" s="3">
        <f t="shared" si="153"/>
        <v>1</v>
      </c>
      <c r="AQ283" s="3">
        <f t="shared" si="154"/>
        <v>1</v>
      </c>
      <c r="AR283" s="3">
        <f t="shared" si="155"/>
        <v>2</v>
      </c>
      <c r="AS283" s="3">
        <f t="shared" si="156"/>
        <v>1</v>
      </c>
      <c r="AT283" s="3">
        <f t="shared" si="157"/>
        <v>1</v>
      </c>
      <c r="AU283" s="3">
        <f t="shared" si="158"/>
        <v>2</v>
      </c>
      <c r="AV283" s="3">
        <f t="shared" si="159"/>
        <v>11</v>
      </c>
      <c r="AW283" s="3">
        <f t="shared" si="160"/>
        <v>10</v>
      </c>
      <c r="AX283" s="3">
        <f t="shared" si="161"/>
        <v>5</v>
      </c>
      <c r="AY283" s="3">
        <f t="shared" si="162"/>
        <v>3</v>
      </c>
      <c r="AZ283" s="3">
        <f t="shared" si="163"/>
        <v>1</v>
      </c>
      <c r="BA283" s="3">
        <f>IF(ISERROR(LEN(VLOOKUP(A283,Seqs!A:E,2,FALSE))-AL283),"-",LEN(VLOOKUP(A283,Seqs!A:E,2,FALSE))-AL283)</f>
        <v>34</v>
      </c>
      <c r="BB283" s="16">
        <f t="shared" si="164"/>
        <v>28</v>
      </c>
      <c r="BC283" s="9">
        <f t="shared" si="165"/>
        <v>22</v>
      </c>
      <c r="BD283" s="3">
        <f t="shared" si="166"/>
        <v>28</v>
      </c>
      <c r="BE283" s="3">
        <f t="shared" si="167"/>
        <v>43</v>
      </c>
    </row>
    <row r="284" spans="1:58" s="3" customFormat="1" x14ac:dyDescent="0.2">
      <c r="A284" s="3" t="s">
        <v>175</v>
      </c>
      <c r="B284" s="3" t="str">
        <f>LOWER(VLOOKUP(A284,Xtal_Templ!A:B,2,FALSE))</f>
        <v>ccr9_human</v>
      </c>
      <c r="C284" s="3">
        <f>VLOOKUP($A284,'SegEnds_NonXtal_BW#'!$A:$Z,3,FALSE)+D284-50</f>
        <v>53</v>
      </c>
      <c r="D284" s="3">
        <v>76</v>
      </c>
      <c r="E284" s="3">
        <f>IF(ISERROR(VLOOKUP($A284,'SegEnds_NonXtal_BW#'!$A:$Z,4,FALSE)+VLOOKUP($A284,A:AL,4,FALSE)-50),"-",(VLOOKUP($A284,'SegEnds_NonXtal_BW#'!$A:$Z,4,FALSE)+VLOOKUP($A284,A:AL,4,FALSE)-50))</f>
        <v>86</v>
      </c>
      <c r="F284" s="3">
        <f t="shared" si="169"/>
        <v>87</v>
      </c>
      <c r="G284" s="3">
        <v>89</v>
      </c>
      <c r="H284" s="3">
        <f t="shared" si="170"/>
        <v>90</v>
      </c>
      <c r="I284" s="3">
        <f t="shared" si="170"/>
        <v>91</v>
      </c>
      <c r="J284" s="3">
        <v>104</v>
      </c>
      <c r="K284" s="3">
        <f>VLOOKUP($A284,'SegEnds_NonXtal_BW#'!$A:$Z,8,FALSE)+VLOOKUP($A284,A:AL,10,FALSE)-50</f>
        <v>120</v>
      </c>
      <c r="L284" s="3">
        <f t="shared" si="179"/>
        <v>121</v>
      </c>
      <c r="M284" s="3">
        <v>122</v>
      </c>
      <c r="N284" s="3">
        <f t="shared" si="180"/>
        <v>124</v>
      </c>
      <c r="O284" s="3">
        <f t="shared" si="181"/>
        <v>125</v>
      </c>
      <c r="P284" s="3">
        <v>154</v>
      </c>
      <c r="Q284" s="3">
        <f>VLOOKUP($A284,'SegEnds_NonXtal_BW#'!$A:$Z,12,FALSE)+VLOOKUP($A284,A:AL,16,FALSE)-50</f>
        <v>160</v>
      </c>
      <c r="R284" s="3">
        <f>IF(ISERROR(VLOOKUP($A284,'SegEnds_NonXtal_BW#'!$A:$Z,13,FALSE)+VLOOKUP($A284,A:AL,19,FALSE)-50),"-",VLOOKUP($A284,'SegEnds_NonXtal_BW#'!$A:$Z,13,FALSE)+VLOOKUP($A284,A:AL,19,FALSE)-50)</f>
        <v>161</v>
      </c>
      <c r="S284" s="3">
        <v>161</v>
      </c>
      <c r="T284" s="103">
        <f>IF(ISERROR(VLOOKUP($A284,'SegEnds_NonXtal_BW#'!$A:$Z,14,FALSE)+VLOOKUP($A284,A:AL,19,FALSE)-50),"-",(VLOOKUP($A284,'SegEnds_NonXtal_BW#'!$A:$Z,14,FALSE)+VLOOKUP($A284,A:AL,19,FALSE)-50))</f>
        <v>169</v>
      </c>
      <c r="U284" s="9">
        <f>IF(ISERROR(VLOOKUP($A284,'SegEnds_NonXtal_BW#'!$A:$Z,15,FALSE)+VLOOKUP($A284,A:AL,22,FALSE)-50),"-",VLOOKUP($A284,'SegEnds_NonXtal_BW#'!$A:$Z,15,FALSE)+VLOOKUP($A284,A:AL,22,FALSE)-50)</f>
        <v>171</v>
      </c>
      <c r="V284" s="3">
        <v>183</v>
      </c>
      <c r="W284" s="3">
        <f>IF(ISERROR(VLOOKUP($A284,'SegEnds_NonXtal_BW#'!$A:$Z,16,FALSE)+VLOOKUP($A284,A:AL,22,FALSE)-50),"-",(VLOOKUP($A284,'SegEnds_NonXtal_BW#'!$A:$Z,16,FALSE)+VLOOKUP($A284,A:AL,22,FALSE)-50))</f>
        <v>197</v>
      </c>
      <c r="X284" s="3">
        <f>IF(ISERROR(VLOOKUP($A284,'SegEnds_NonXtal_BW#'!$A:$Z,17,FALSE)+VLOOKUP($A284,A:AL,25,FALSE)-50),"-",(VLOOKUP($A284,'SegEnds_NonXtal_BW#'!$A:$Z,17,FALSE)+VLOOKUP($A284,A:AL,25,FALSE)-50))</f>
        <v>210</v>
      </c>
      <c r="Y284" s="3">
        <v>210</v>
      </c>
      <c r="Z284" s="3">
        <f t="shared" si="177"/>
        <v>212</v>
      </c>
      <c r="AA284" s="3">
        <f>IF(ISERROR(VLOOKUP($A284,'SegEnds_NonXtal_BW#'!$A:$Z,19,FALSE)+VLOOKUP($A284,A:AL,28,FALSE)-50),"-",(VLOOKUP($A284,'SegEnds_NonXtal_BW#'!$A:$Z,19,FALSE)+VLOOKUP($A284,A:AL,28,FALSE)-50))</f>
        <v>218</v>
      </c>
      <c r="AB284" s="3">
        <v>235</v>
      </c>
      <c r="AC284" s="3">
        <f>IF(ISERROR((VLOOKUP($A284,'SegEnds_NonXtal_BW#'!$A:$Z,20,FALSE)+VLOOKUP($A284,A:AL,28,FALSE)-50)),"-",(VLOOKUP($A284,'SegEnds_NonXtal_BW#'!$A:$Z,20,FALSE)+VLOOKUP($A284,A:AL,28,FALSE)-50))</f>
        <v>253</v>
      </c>
      <c r="AD284" s="3">
        <f>IF(ISERROR(VLOOKUP($A284,'SegEnds_NonXtal_BW#'!$A:$Z,21,FALSE)+VLOOKUP($A284,A:AL,31,FALSE)-50),"-",(VLOOKUP($A284,'SegEnds_NonXtal_BW#'!$A:$Z,21,FALSE)+VLOOKUP($A284,A:AL,31,FALSE)-50))</f>
        <v>258</v>
      </c>
      <c r="AE284" s="3">
        <v>278</v>
      </c>
      <c r="AF284" s="3">
        <f>IF(ISERROR((VLOOKUP($A284,'SegEnds_NonXtal_BW#'!$A:$Z,22,FALSE)+VLOOKUP($A284,A:AL,31,FALSE)-50)),"-",(VLOOKUP($A284,'SegEnds_NonXtal_BW#'!$A:$Z,22,FALSE)+VLOOKUP($A284,A:AL,31,FALSE)-50))</f>
        <v>293</v>
      </c>
      <c r="AG284" s="3">
        <f>IF(ISERROR(VLOOKUP($A284,'SegEnds_NonXtal_BW#'!$A:$Z,23,FALSE)+VLOOKUP($A284,A:AL,34,FALSE)-50),"-",(VLOOKUP($A284,'SegEnds_NonXtal_BW#'!$A:$Z,23,FALSE)+VLOOKUP($A284,A:AL,34,FALSE)-50))</f>
        <v>297</v>
      </c>
      <c r="AH284" s="3">
        <v>323</v>
      </c>
      <c r="AI284" s="3">
        <f>IF(ISERROR((VLOOKUP($A284,'SegEnds_NonXtal_BW#'!$A:$Z,24,FALSE)+VLOOKUP($A284,A:AL,34,FALSE)-50)),"-",(VLOOKUP($A284,'SegEnds_NonXtal_BW#'!$A:$Z,24,FALSE)+VLOOKUP($A284,A:AL,34,FALSE)-50))</f>
        <v>329</v>
      </c>
      <c r="AJ284" s="3">
        <f>IF(ISERROR(VLOOKUP($A284,'SegEnds_NonXtal_BW#'!$A:$Z,25,FALSE)+VLOOKUP($A284,A:AL,37,FALSE)-50),"-",(VLOOKUP($A284,'SegEnds_NonXtal_BW#'!$A:$Z,25,FALSE)+VLOOKUP($A284,A:AL,37,FALSE)-50))</f>
        <v>330</v>
      </c>
      <c r="AK284" s="3">
        <v>333</v>
      </c>
      <c r="AL284" s="3">
        <f>IF(ISERROR((VLOOKUP($A284,'SegEnds_NonXtal_BW#'!$A:$Z,26,FALSE)+VLOOKUP($A284,A:AL,37,FALSE)-50)),"-",(VLOOKUP($A284,'SegEnds_NonXtal_BW#'!$A:$Z,26,FALSE)+VLOOKUP($A284,A:AL,37,FALSE)-50))</f>
        <v>350</v>
      </c>
      <c r="AM284" s="28" t="str">
        <f>VLOOKUP(A284,Classification!A:B,2,FALSE)</f>
        <v>A</v>
      </c>
      <c r="AN284" s="28" t="b">
        <f t="shared" si="173"/>
        <v>1</v>
      </c>
      <c r="AO284" s="3" t="str">
        <f>IF(ISERROR(MATCH(A284,'SegEnds_Xtal_Prot#'!B:B, 0)), "NoXtal", "Xtal")</f>
        <v>NoXtal</v>
      </c>
      <c r="AP284" s="3">
        <f t="shared" si="153"/>
        <v>1</v>
      </c>
      <c r="AQ284" s="3">
        <f t="shared" si="154"/>
        <v>1</v>
      </c>
      <c r="AR284" s="3">
        <f t="shared" si="155"/>
        <v>1</v>
      </c>
      <c r="AS284" s="3">
        <f t="shared" si="156"/>
        <v>1</v>
      </c>
      <c r="AT284" s="3">
        <f t="shared" si="157"/>
        <v>1</v>
      </c>
      <c r="AU284" s="3">
        <f t="shared" si="158"/>
        <v>2</v>
      </c>
      <c r="AV284" s="3">
        <f t="shared" si="159"/>
        <v>13</v>
      </c>
      <c r="AW284" s="3">
        <f t="shared" si="160"/>
        <v>6</v>
      </c>
      <c r="AX284" s="3">
        <f t="shared" si="161"/>
        <v>5</v>
      </c>
      <c r="AY284" s="3">
        <f t="shared" si="162"/>
        <v>4</v>
      </c>
      <c r="AZ284" s="3">
        <f t="shared" si="163"/>
        <v>1</v>
      </c>
      <c r="BA284" s="3">
        <f>IF(ISERROR(LEN(VLOOKUP(A284,Seqs!A:E,2,FALSE))-AL284),"-",LEN(VLOOKUP(A284,Seqs!A:E,2,FALSE))-AL284)</f>
        <v>28</v>
      </c>
      <c r="BB284" s="16">
        <f t="shared" si="164"/>
        <v>28</v>
      </c>
      <c r="BC284" s="9">
        <f t="shared" si="165"/>
        <v>22</v>
      </c>
      <c r="BD284" s="3">
        <f t="shared" si="166"/>
        <v>28</v>
      </c>
      <c r="BE284" s="3">
        <f t="shared" si="167"/>
        <v>43</v>
      </c>
    </row>
    <row r="285" spans="1:58" s="3" customFormat="1" x14ac:dyDescent="0.2">
      <c r="A285" s="3" t="s">
        <v>189</v>
      </c>
      <c r="B285" s="3" t="str">
        <f>LOWER(VLOOKUP(A285,Xtal_Templ!A:B,2,FALSE))</f>
        <v>ccr9_human</v>
      </c>
      <c r="C285" s="3">
        <f>VLOOKUP($A285,'SegEnds_NonXtal_BW#'!$A:$Z,3,FALSE)+D285-50</f>
        <v>26</v>
      </c>
      <c r="D285" s="3">
        <v>49</v>
      </c>
      <c r="E285" s="3">
        <f>IF(ISERROR(VLOOKUP($A285,'SegEnds_NonXtal_BW#'!$A:$Z,4,FALSE)+VLOOKUP($A285,A:AL,4,FALSE)-50),"-",(VLOOKUP($A285,'SegEnds_NonXtal_BW#'!$A:$Z,4,FALSE)+VLOOKUP($A285,A:AL,4,FALSE)-50))</f>
        <v>59</v>
      </c>
      <c r="F285" s="3">
        <f t="shared" si="169"/>
        <v>60</v>
      </c>
      <c r="G285" s="3">
        <v>62</v>
      </c>
      <c r="H285" s="3">
        <f t="shared" si="170"/>
        <v>63</v>
      </c>
      <c r="I285" s="3">
        <f t="shared" si="170"/>
        <v>64</v>
      </c>
      <c r="J285" s="3">
        <v>77</v>
      </c>
      <c r="K285" s="3">
        <f>VLOOKUP($A285,'SegEnds_NonXtal_BW#'!$A:$Z,8,FALSE)+VLOOKUP($A285,A:AL,10,FALSE)-50</f>
        <v>93</v>
      </c>
      <c r="L285" s="3">
        <f t="shared" si="179"/>
        <v>94</v>
      </c>
      <c r="M285" s="3">
        <v>95</v>
      </c>
      <c r="N285" s="3">
        <f t="shared" si="180"/>
        <v>97</v>
      </c>
      <c r="O285" s="3">
        <f t="shared" si="181"/>
        <v>98</v>
      </c>
      <c r="P285" s="3">
        <v>127</v>
      </c>
      <c r="Q285" s="3">
        <f>VLOOKUP($A285,'SegEnds_NonXtal_BW#'!$A:$Z,12,FALSE)+VLOOKUP($A285,A:AL,16,FALSE)-50</f>
        <v>133</v>
      </c>
      <c r="R285" s="3">
        <f>IF(ISERROR(VLOOKUP($A285,'SegEnds_NonXtal_BW#'!$A:$Z,13,FALSE)+VLOOKUP($A285,A:AL,19,FALSE)-50),"-",VLOOKUP($A285,'SegEnds_NonXtal_BW#'!$A:$Z,13,FALSE)+VLOOKUP($A285,A:AL,19,FALSE)-50)</f>
        <v>134</v>
      </c>
      <c r="S285" s="3">
        <v>134</v>
      </c>
      <c r="T285" s="103">
        <f>IF(ISERROR(VLOOKUP($A285,'SegEnds_NonXtal_BW#'!$A:$Z,14,FALSE)+VLOOKUP($A285,A:AL,19,FALSE)-50),"-",(VLOOKUP($A285,'SegEnds_NonXtal_BW#'!$A:$Z,14,FALSE)+VLOOKUP($A285,A:AL,19,FALSE)-50))</f>
        <v>142</v>
      </c>
      <c r="U285" s="9">
        <f>IF(ISERROR(VLOOKUP($A285,'SegEnds_NonXtal_BW#'!$A:$Z,15,FALSE)+VLOOKUP($A285,A:AL,22,FALSE)-50),"-",VLOOKUP($A285,'SegEnds_NonXtal_BW#'!$A:$Z,15,FALSE)+VLOOKUP($A285,A:AL,22,FALSE)-50)</f>
        <v>144</v>
      </c>
      <c r="V285" s="3">
        <v>156</v>
      </c>
      <c r="W285" s="3">
        <f>IF(ISERROR(VLOOKUP($A285,'SegEnds_NonXtal_BW#'!$A:$Z,16,FALSE)+VLOOKUP($A285,A:AL,22,FALSE)-50),"-",(VLOOKUP($A285,'SegEnds_NonXtal_BW#'!$A:$Z,16,FALSE)+VLOOKUP($A285,A:AL,22,FALSE)-50))</f>
        <v>170</v>
      </c>
      <c r="X285" s="3">
        <f>IF(ISERROR(VLOOKUP($A285,'SegEnds_NonXtal_BW#'!$A:$Z,17,FALSE)+VLOOKUP($A285,A:AL,25,FALSE)-50),"-",(VLOOKUP($A285,'SegEnds_NonXtal_BW#'!$A:$Z,17,FALSE)+VLOOKUP($A285,A:AL,25,FALSE)-50))</f>
        <v>180</v>
      </c>
      <c r="Y285" s="3">
        <v>180</v>
      </c>
      <c r="Z285" s="3">
        <f t="shared" si="177"/>
        <v>182</v>
      </c>
      <c r="AA285" s="3">
        <f>IF(ISERROR(VLOOKUP($A285,'SegEnds_NonXtal_BW#'!$A:$Z,19,FALSE)+VLOOKUP($A285,A:AL,28,FALSE)-50),"-",(VLOOKUP($A285,'SegEnds_NonXtal_BW#'!$A:$Z,19,FALSE)+VLOOKUP($A285,A:AL,28,FALSE)-50))</f>
        <v>186</v>
      </c>
      <c r="AB285" s="3">
        <v>203</v>
      </c>
      <c r="AC285" s="3">
        <f>IF(ISERROR((VLOOKUP($A285,'SegEnds_NonXtal_BW#'!$A:$Z,20,FALSE)+VLOOKUP($A285,A:AL,28,FALSE)-50)),"-",(VLOOKUP($A285,'SegEnds_NonXtal_BW#'!$A:$Z,20,FALSE)+VLOOKUP($A285,A:AL,28,FALSE)-50))</f>
        <v>221</v>
      </c>
      <c r="AD285" s="3">
        <f>IF(ISERROR(VLOOKUP($A285,'SegEnds_NonXtal_BW#'!$A:$Z,21,FALSE)+VLOOKUP($A285,A:AL,31,FALSE)-50),"-",(VLOOKUP($A285,'SegEnds_NonXtal_BW#'!$A:$Z,21,FALSE)+VLOOKUP($A285,A:AL,31,FALSE)-50))</f>
        <v>226</v>
      </c>
      <c r="AE285" s="3">
        <v>246</v>
      </c>
      <c r="AF285" s="3">
        <f>IF(ISERROR((VLOOKUP($A285,'SegEnds_NonXtal_BW#'!$A:$Z,22,FALSE)+VLOOKUP($A285,A:AL,31,FALSE)-50)),"-",(VLOOKUP($A285,'SegEnds_NonXtal_BW#'!$A:$Z,22,FALSE)+VLOOKUP($A285,A:AL,31,FALSE)-50))</f>
        <v>257</v>
      </c>
      <c r="AG285" s="3">
        <f>IF(ISERROR(VLOOKUP($A285,'SegEnds_NonXtal_BW#'!$A:$Z,23,FALSE)+VLOOKUP($A285,A:AL,34,FALSE)-50),"-",(VLOOKUP($A285,'SegEnds_NonXtal_BW#'!$A:$Z,23,FALSE)+VLOOKUP($A285,A:AL,34,FALSE)-50))</f>
        <v>263</v>
      </c>
      <c r="AH285" s="3">
        <v>285</v>
      </c>
      <c r="AI285" s="3">
        <f>IF(ISERROR((VLOOKUP($A285,'SegEnds_NonXtal_BW#'!$A:$Z,24,FALSE)+VLOOKUP($A285,A:AL,34,FALSE)-50)),"-",(VLOOKUP($A285,'SegEnds_NonXtal_BW#'!$A:$Z,24,FALSE)+VLOOKUP($A285,A:AL,34,FALSE)-50))</f>
        <v>291</v>
      </c>
      <c r="AJ285" s="3">
        <f>IF(ISERROR(VLOOKUP($A285,'SegEnds_NonXtal_BW#'!$A:$Z,25,FALSE)+VLOOKUP($A285,A:AL,37,FALSE)-50),"-",(VLOOKUP($A285,'SegEnds_NonXtal_BW#'!$A:$Z,25,FALSE)+VLOOKUP($A285,A:AL,37,FALSE)-50))</f>
        <v>292</v>
      </c>
      <c r="AK285" s="3">
        <v>295</v>
      </c>
      <c r="AL285" s="3">
        <f>IF(ISERROR((VLOOKUP($A285,'SegEnds_NonXtal_BW#'!$A:$Z,26,FALSE)+VLOOKUP($A285,A:AL,37,FALSE)-50)),"-",(VLOOKUP($A285,'SegEnds_NonXtal_BW#'!$A:$Z,26,FALSE)+VLOOKUP($A285,A:AL,37,FALSE)-50))</f>
        <v>312</v>
      </c>
      <c r="AM285" s="28" t="str">
        <f>VLOOKUP(A285,Classification!A:B,2,FALSE)</f>
        <v>A</v>
      </c>
      <c r="AN285" s="28" t="b">
        <f t="shared" si="173"/>
        <v>1</v>
      </c>
      <c r="AO285" s="3" t="str">
        <f>IF(ISERROR(MATCH(A285,'SegEnds_Xtal_Prot#'!B:B, 0)), "NoXtal", "Xtal")</f>
        <v>NoXtal</v>
      </c>
      <c r="AP285" s="3">
        <f t="shared" si="153"/>
        <v>1</v>
      </c>
      <c r="AQ285" s="3">
        <f t="shared" si="154"/>
        <v>1</v>
      </c>
      <c r="AR285" s="3">
        <f t="shared" si="155"/>
        <v>1</v>
      </c>
      <c r="AS285" s="3">
        <f t="shared" si="156"/>
        <v>1</v>
      </c>
      <c r="AT285" s="3">
        <f t="shared" si="157"/>
        <v>1</v>
      </c>
      <c r="AU285" s="3">
        <f t="shared" si="158"/>
        <v>2</v>
      </c>
      <c r="AV285" s="3">
        <f t="shared" si="159"/>
        <v>10</v>
      </c>
      <c r="AW285" s="3">
        <f t="shared" si="160"/>
        <v>4</v>
      </c>
      <c r="AX285" s="3">
        <f t="shared" si="161"/>
        <v>5</v>
      </c>
      <c r="AY285" s="3">
        <f t="shared" si="162"/>
        <v>6</v>
      </c>
      <c r="AZ285" s="3">
        <f t="shared" si="163"/>
        <v>1</v>
      </c>
      <c r="BA285" s="3">
        <f>IF(ISERROR(LEN(VLOOKUP(A285,Seqs!A:E,2,FALSE))-AL285),"-",LEN(VLOOKUP(A285,Seqs!A:E,2,FALSE))-AL285)</f>
        <v>30</v>
      </c>
      <c r="BB285" s="16">
        <f t="shared" si="164"/>
        <v>28</v>
      </c>
      <c r="BC285" s="9">
        <f t="shared" si="165"/>
        <v>22</v>
      </c>
      <c r="BD285" s="3">
        <f t="shared" si="166"/>
        <v>28</v>
      </c>
      <c r="BE285" s="3">
        <f t="shared" si="167"/>
        <v>43</v>
      </c>
    </row>
    <row r="286" spans="1:58" s="3" customFormat="1" x14ac:dyDescent="0.2">
      <c r="A286" s="3" t="s">
        <v>192</v>
      </c>
      <c r="B286" s="3" t="str">
        <f>LOWER(VLOOKUP(A286,Xtal_Templ!A:B,2,FALSE))</f>
        <v>drd3_human</v>
      </c>
      <c r="C286" s="3">
        <f>VLOOKUP($A286,'SegEnds_NonXtal_BW#'!$A:$Z,3,FALSE)+D286-50</f>
        <v>26</v>
      </c>
      <c r="D286" s="3">
        <v>47</v>
      </c>
      <c r="E286" s="3">
        <f>IF(ISERROR(VLOOKUP($A286,'SegEnds_NonXtal_BW#'!$A:$Z,4,FALSE)+VLOOKUP($A286,A:AL,4,FALSE)-50),"-",(VLOOKUP($A286,'SegEnds_NonXtal_BW#'!$A:$Z,4,FALSE)+VLOOKUP($A286,A:AL,4,FALSE)-50))</f>
        <v>57</v>
      </c>
      <c r="F286" s="3">
        <f t="shared" si="169"/>
        <v>58</v>
      </c>
      <c r="G286" s="3">
        <v>60</v>
      </c>
      <c r="H286" s="3">
        <f t="shared" si="170"/>
        <v>61</v>
      </c>
      <c r="I286" s="3">
        <f t="shared" si="170"/>
        <v>62</v>
      </c>
      <c r="J286" s="3">
        <v>75</v>
      </c>
      <c r="K286" s="3">
        <f>VLOOKUP($A286,'SegEnds_NonXtal_BW#'!$A:$Z,8,FALSE)+VLOOKUP($A286,A:AL,10,FALSE)-50</f>
        <v>92</v>
      </c>
      <c r="L286" s="3">
        <f t="shared" si="179"/>
        <v>95</v>
      </c>
      <c r="M286" s="3">
        <v>96</v>
      </c>
      <c r="N286" s="3">
        <f t="shared" si="180"/>
        <v>98</v>
      </c>
      <c r="O286" s="3">
        <f t="shared" si="181"/>
        <v>99</v>
      </c>
      <c r="P286" s="3">
        <v>128</v>
      </c>
      <c r="Q286" s="3">
        <f>VLOOKUP($A286,'SegEnds_NonXtal_BW#'!$A:$Z,12,FALSE)+VLOOKUP($A286,A:AL,16,FALSE)-50</f>
        <v>134</v>
      </c>
      <c r="R286" s="3">
        <f>IF(ISERROR(VLOOKUP($A286,'SegEnds_NonXtal_BW#'!$A:$Z,13,FALSE)+VLOOKUP($A286,A:AL,19,FALSE)-50),"-",VLOOKUP($A286,'SegEnds_NonXtal_BW#'!$A:$Z,13,FALSE)+VLOOKUP($A286,A:AL,19,FALSE)-50)</f>
        <v>135</v>
      </c>
      <c r="S286" s="3">
        <v>135</v>
      </c>
      <c r="T286" s="103">
        <f>IF(ISERROR(VLOOKUP($A286,'SegEnds_NonXtal_BW#'!$A:$Z,14,FALSE)+VLOOKUP($A286,A:AL,19,FALSE)-50),"-",(VLOOKUP($A286,'SegEnds_NonXtal_BW#'!$A:$Z,14,FALSE)+VLOOKUP($A286,A:AL,19,FALSE)-50))</f>
        <v>143</v>
      </c>
      <c r="U286" s="9">
        <f>IF(ISERROR(VLOOKUP($A286,'SegEnds_NonXtal_BW#'!$A:$Z,15,FALSE)+VLOOKUP($A286,A:AL,22,FALSE)-50),"-",VLOOKUP($A286,'SegEnds_NonXtal_BW#'!$A:$Z,15,FALSE)+VLOOKUP($A286,A:AL,22,FALSE)-50)</f>
        <v>146</v>
      </c>
      <c r="V286" s="3">
        <v>158</v>
      </c>
      <c r="W286" s="3">
        <f>IF(ISERROR(VLOOKUP($A286,'SegEnds_NonXtal_BW#'!$A:$Z,16,FALSE)+VLOOKUP($A286,A:AL,22,FALSE)-50),"-",(VLOOKUP($A286,'SegEnds_NonXtal_BW#'!$A:$Z,16,FALSE)+VLOOKUP($A286,A:AL,22,FALSE)-50))</f>
        <v>171</v>
      </c>
      <c r="X286" s="3">
        <f>IF(ISERROR(VLOOKUP($A286,'SegEnds_NonXtal_BW#'!$A:$Z,17,FALSE)+VLOOKUP($A286,A:AL,25,FALSE)-50),"-",(VLOOKUP($A286,'SegEnds_NonXtal_BW#'!$A:$Z,17,FALSE)+VLOOKUP($A286,A:AL,25,FALSE)-50))</f>
        <v>181</v>
      </c>
      <c r="Y286" s="3">
        <v>181</v>
      </c>
      <c r="Z286" s="3">
        <f t="shared" si="177"/>
        <v>183</v>
      </c>
      <c r="AA286" s="3">
        <f>IF(ISERROR(VLOOKUP($A286,'SegEnds_NonXtal_BW#'!$A:$Z,19,FALSE)+VLOOKUP($A286,A:AL,28,FALSE)-50),"-",(VLOOKUP($A286,'SegEnds_NonXtal_BW#'!$A:$Z,19,FALSE)+VLOOKUP($A286,A:AL,28,FALSE)-50))</f>
        <v>185</v>
      </c>
      <c r="AB286" s="3">
        <v>200</v>
      </c>
      <c r="AC286" s="3">
        <f>IF(ISERROR((VLOOKUP($A286,'SegEnds_NonXtal_BW#'!$A:$Z,20,FALSE)+VLOOKUP($A286,A:AL,28,FALSE)-50)),"-",(VLOOKUP($A286,'SegEnds_NonXtal_BW#'!$A:$Z,20,FALSE)+VLOOKUP($A286,A:AL,28,FALSE)-50))</f>
        <v>226</v>
      </c>
      <c r="AD286" s="3">
        <f>IF(ISERROR(VLOOKUP($A286,'SegEnds_NonXtal_BW#'!$A:$Z,21,FALSE)+VLOOKUP($A286,A:AL,31,FALSE)-50),"-",(VLOOKUP($A286,'SegEnds_NonXtal_BW#'!$A:$Z,21,FALSE)+VLOOKUP($A286,A:AL,31,FALSE)-50))</f>
        <v>318</v>
      </c>
      <c r="AE286" s="3">
        <v>344</v>
      </c>
      <c r="AF286" s="3">
        <f>IF(ISERROR((VLOOKUP($A286,'SegEnds_NonXtal_BW#'!$A:$Z,22,FALSE)+VLOOKUP($A286,A:AL,31,FALSE)-50)),"-",(VLOOKUP($A286,'SegEnds_NonXtal_BW#'!$A:$Z,22,FALSE)+VLOOKUP($A286,A:AL,31,FALSE)-50))</f>
        <v>354</v>
      </c>
      <c r="AG286" s="3">
        <f>IF(ISERROR(VLOOKUP($A286,'SegEnds_NonXtal_BW#'!$A:$Z,23,FALSE)+VLOOKUP($A286,A:AL,34,FALSE)-50),"-",(VLOOKUP($A286,'SegEnds_NonXtal_BW#'!$A:$Z,23,FALSE)+VLOOKUP($A286,A:AL,34,FALSE)-50))</f>
        <v>361</v>
      </c>
      <c r="AH286" s="3">
        <v>380</v>
      </c>
      <c r="AI286" s="3">
        <f>IF(ISERROR((VLOOKUP($A286,'SegEnds_NonXtal_BW#'!$A:$Z,24,FALSE)+VLOOKUP($A286,A:AL,34,FALSE)-50)),"-",(VLOOKUP($A286,'SegEnds_NonXtal_BW#'!$A:$Z,24,FALSE)+VLOOKUP($A286,A:AL,34,FALSE)-50))</f>
        <v>386</v>
      </c>
      <c r="AJ286" s="3">
        <f>IF(ISERROR(VLOOKUP($A286,'SegEnds_NonXtal_BW#'!$A:$Z,25,FALSE)+VLOOKUP($A286,A:AL,37,FALSE)-50),"-",(VLOOKUP($A286,'SegEnds_NonXtal_BW#'!$A:$Z,25,FALSE)+VLOOKUP($A286,A:AL,37,FALSE)-50))</f>
        <v>387</v>
      </c>
      <c r="AK286" s="3">
        <v>390</v>
      </c>
      <c r="AL286" s="3">
        <f>IF(ISERROR((VLOOKUP($A286,'SegEnds_NonXtal_BW#'!$A:$Z,26,FALSE)+VLOOKUP($A286,A:AL,37,FALSE)-50)),"-",(VLOOKUP($A286,'SegEnds_NonXtal_BW#'!$A:$Z,26,FALSE)+VLOOKUP($A286,A:AL,37,FALSE)-50))</f>
        <v>399</v>
      </c>
      <c r="AM286" s="28" t="str">
        <f>VLOOKUP(A286,Classification!A:B,2,FALSE)</f>
        <v>A</v>
      </c>
      <c r="AN286" s="28" t="b">
        <f t="shared" si="173"/>
        <v>1</v>
      </c>
      <c r="AO286" s="3" t="str">
        <f>IF(ISERROR(MATCH(A286,'SegEnds_Xtal_Prot#'!B:B, 0)), "NoXtal", "Xtal")</f>
        <v>Xtal</v>
      </c>
      <c r="AP286" s="3">
        <f t="shared" si="153"/>
        <v>1</v>
      </c>
      <c r="AQ286" s="3">
        <f t="shared" si="154"/>
        <v>1</v>
      </c>
      <c r="AR286" s="3">
        <f t="shared" si="155"/>
        <v>3</v>
      </c>
      <c r="AS286" s="3">
        <f t="shared" si="156"/>
        <v>1</v>
      </c>
      <c r="AT286" s="3">
        <f t="shared" si="157"/>
        <v>1</v>
      </c>
      <c r="AU286" s="3">
        <f t="shared" si="158"/>
        <v>3</v>
      </c>
      <c r="AV286" s="3">
        <f t="shared" si="159"/>
        <v>10</v>
      </c>
      <c r="AW286" s="3">
        <f t="shared" si="160"/>
        <v>2</v>
      </c>
      <c r="AX286" s="3">
        <f t="shared" si="161"/>
        <v>92</v>
      </c>
      <c r="AY286" s="3">
        <f t="shared" si="162"/>
        <v>7</v>
      </c>
      <c r="AZ286" s="3">
        <f t="shared" si="163"/>
        <v>1</v>
      </c>
      <c r="BA286" s="3">
        <f>IF(ISERROR(LEN(VLOOKUP(A286,Seqs!A:E,2,FALSE))-AL286),"-",LEN(VLOOKUP(A286,Seqs!A:E,2,FALSE))-AL286)</f>
        <v>1</v>
      </c>
      <c r="BB286" s="16">
        <f t="shared" si="164"/>
        <v>28</v>
      </c>
      <c r="BC286" s="9">
        <f t="shared" si="165"/>
        <v>23</v>
      </c>
      <c r="BD286" s="3">
        <f t="shared" si="166"/>
        <v>28</v>
      </c>
      <c r="BE286" s="3">
        <f t="shared" si="167"/>
        <v>144</v>
      </c>
      <c r="BF286" s="3">
        <f>AH286-AE286</f>
        <v>36</v>
      </c>
    </row>
    <row r="287" spans="1:58" s="3" customFormat="1" x14ac:dyDescent="0.2">
      <c r="A287" s="3" t="s">
        <v>142</v>
      </c>
      <c r="B287" s="3" t="str">
        <f>LOWER(VLOOKUP(A287,Xtal_Templ!A:B,2,FALSE))</f>
        <v>ccr9_human</v>
      </c>
      <c r="C287" s="3">
        <f>VLOOKUP($A287,'SegEnds_NonXtal_BW#'!$A:$Z,3,FALSE)+D287-50</f>
        <v>53</v>
      </c>
      <c r="D287" s="3">
        <v>76</v>
      </c>
      <c r="E287" s="3">
        <f>IF(ISERROR(VLOOKUP($A287,'SegEnds_NonXtal_BW#'!$A:$Z,4,FALSE)+VLOOKUP($A287,A:AL,4,FALSE)-50),"-",(VLOOKUP($A287,'SegEnds_NonXtal_BW#'!$A:$Z,4,FALSE)+VLOOKUP($A287,A:AL,4,FALSE)-50))</f>
        <v>86</v>
      </c>
      <c r="F287" s="3" t="str">
        <f>IF(ISERROR(VLOOKUP($A287,'SegEnds_NonXtal_BW#'!$A:$Z,5,FALSE)+VLOOKUP($A287,A:AL,7,FALSE)-50),"-",(VLOOKUP($A287,'SegEnds_NonXtal_BW#'!$A:$Z,5,FALSE)+VLOOKUP($A287,A:AL,7,FALSE)-50))</f>
        <v>-</v>
      </c>
      <c r="G287" s="3" t="s">
        <v>23</v>
      </c>
      <c r="H287" s="3" t="str">
        <f>IF(ISERROR(VLOOKUP($A287,'SegEnds_NonXtal_BW#'!$A:$Z,6,FALSE)+VLOOKUP($A287,A:AL,7,FALSE)-50),"-",(VLOOKUP($A287,'SegEnds_NonXtal_BW#'!$A:$Z,6,FALSE)+VLOOKUP($A287,A:AL,7,FALSE)-50))</f>
        <v>-</v>
      </c>
      <c r="I287" s="3">
        <f>VLOOKUP($A287,'SegEnds_NonXtal_BW#'!$A:$Z,7,FALSE)+J287-50</f>
        <v>93</v>
      </c>
      <c r="J287" s="3">
        <v>106</v>
      </c>
      <c r="K287" s="3">
        <f>VLOOKUP($A287,'SegEnds_NonXtal_BW#'!$A:$Z,8,FALSE)+VLOOKUP($A287,A:AL,10,FALSE)-50</f>
        <v>122</v>
      </c>
      <c r="L287" s="3" t="str">
        <f>IF(ISERROR(VLOOKUP($A287,'SegEnds_NonXtal_BW#'!$A:$Z,9,FALSE)+VLOOKUP($A287,A:AL,13,FALSE)-50),"-",(VLOOKUP($A287,'SegEnds_NonXtal_BW#'!$A:$Z,9,FALSE)+VLOOKUP($A287,A:AL,13,FALSE)-50))</f>
        <v>-</v>
      </c>
      <c r="M287" s="3" t="s">
        <v>23</v>
      </c>
      <c r="N287" s="3" t="str">
        <f>IF(ISERROR(VLOOKUP($A287,'SegEnds_NonXtal_BW#'!$A:$Z,10,FALSE)+VLOOKUP($A287,A:AL,13,FALSE)-50),"-",(VLOOKUP($A287,'SegEnds_NonXtal_BW#'!$A:$Z,10,FALSE)+VLOOKUP($A287,A:AL,13,FALSE)-50))</f>
        <v>-</v>
      </c>
      <c r="O287" s="3">
        <f>VLOOKUP($A287,'SegEnds_NonXtal_BW#'!$A:$Z,11,FALSE)+VLOOKUP($A287,A:AL,16,FALSE)-50</f>
        <v>128</v>
      </c>
      <c r="P287" s="3">
        <v>154</v>
      </c>
      <c r="Q287" s="3">
        <f>VLOOKUP($A287,'SegEnds_NonXtal_BW#'!$A:$Z,12,FALSE)+VLOOKUP($A287,A:AL,16,FALSE)-50</f>
        <v>160</v>
      </c>
      <c r="R287" s="3" t="str">
        <f>IF(ISERROR(VLOOKUP($A287,'SegEnds_NonXtal_BW#'!$A:$Z,13,FALSE)+VLOOKUP($A287,A:AL,19,FALSE)-50),"-",VLOOKUP($A287,'SegEnds_NonXtal_BW#'!$A:$Z,13,FALSE)+VLOOKUP($A287,A:AL,19,FALSE)-50)</f>
        <v>-</v>
      </c>
      <c r="S287" s="3" t="s">
        <v>23</v>
      </c>
      <c r="T287" s="103" t="str">
        <f>IF(ISERROR(VLOOKUP($A287,'SegEnds_NonXtal_BW#'!$A:$Z,14,FALSE)+VLOOKUP($A287,A:AL,19,FALSE)-50),"-",(VLOOKUP($A287,'SegEnds_NonXtal_BW#'!$A:$Z,14,FALSE)+VLOOKUP($A287,A:AL,19,FALSE)-50))</f>
        <v>-</v>
      </c>
      <c r="U287" s="9">
        <f>IF(ISERROR(VLOOKUP($A287,'SegEnds_NonXtal_BW#'!$A:$Z,15,FALSE)+VLOOKUP($A287,A:AL,22,FALSE)-50),"-",VLOOKUP($A287,'SegEnds_NonXtal_BW#'!$A:$Z,15,FALSE)+VLOOKUP($A287,A:AL,22,FALSE)-50)</f>
        <v>162</v>
      </c>
      <c r="V287" s="3">
        <v>174</v>
      </c>
      <c r="W287" s="3">
        <f>IF(ISERROR(VLOOKUP($A287,'SegEnds_NonXtal_BW#'!$A:$Z,16,FALSE)+VLOOKUP($A287,A:AL,22,FALSE)-50),"-",(VLOOKUP($A287,'SegEnds_NonXtal_BW#'!$A:$Z,16,FALSE)+VLOOKUP($A287,A:AL,22,FALSE)-50))</f>
        <v>188</v>
      </c>
      <c r="X287" s="3">
        <f>IF(ISERROR(VLOOKUP($A287,'SegEnds_NonXtal_BW#'!$A:$Z,17,FALSE)+VLOOKUP($A287,A:AL,25,FALSE)-50),"-",(VLOOKUP($A287,'SegEnds_NonXtal_BW#'!$A:$Z,17,FALSE)+VLOOKUP($A287,A:AL,25,FALSE)-50))</f>
        <v>195</v>
      </c>
      <c r="Y287" s="3">
        <v>195</v>
      </c>
      <c r="Z287" s="3">
        <f t="shared" si="177"/>
        <v>197</v>
      </c>
      <c r="AA287" s="3">
        <f>IF(ISERROR(VLOOKUP($A287,'SegEnds_NonXtal_BW#'!$A:$Z,19,FALSE)+VLOOKUP($A287,A:AL,28,FALSE)-50),"-",(VLOOKUP($A287,'SegEnds_NonXtal_BW#'!$A:$Z,19,FALSE)+VLOOKUP($A287,A:AL,28,FALSE)-50))</f>
        <v>201</v>
      </c>
      <c r="AB287" s="3">
        <v>218</v>
      </c>
      <c r="AC287" s="3">
        <f>IF(ISERROR((VLOOKUP($A287,'SegEnds_NonXtal_BW#'!$A:$Z,20,FALSE)+VLOOKUP($A287,A:AL,28,FALSE)-50)),"-",(VLOOKUP($A287,'SegEnds_NonXtal_BW#'!$A:$Z,20,FALSE)+VLOOKUP($A287,A:AL,28,FALSE)-50))</f>
        <v>232</v>
      </c>
      <c r="AD287" s="3">
        <f>IF(ISERROR(VLOOKUP($A287,'SegEnds_NonXtal_BW#'!$A:$Z,21,FALSE)+VLOOKUP($A287,A:AL,31,FALSE)-50),"-",(VLOOKUP($A287,'SegEnds_NonXtal_BW#'!$A:$Z,21,FALSE)+VLOOKUP($A287,A:AL,31,FALSE)-50))</f>
        <v>239</v>
      </c>
      <c r="AE287" s="3">
        <v>255</v>
      </c>
      <c r="AF287" s="3">
        <f>IF(ISERROR((VLOOKUP($A287,'SegEnds_NonXtal_BW#'!$A:$Z,22,FALSE)+VLOOKUP($A287,A:AL,31,FALSE)-50)),"-",(VLOOKUP($A287,'SegEnds_NonXtal_BW#'!$A:$Z,22,FALSE)+VLOOKUP($A287,A:AL,31,FALSE)-50))</f>
        <v>269</v>
      </c>
      <c r="AG287" s="3">
        <f>IF(ISERROR(VLOOKUP($A287,'SegEnds_NonXtal_BW#'!$A:$Z,23,FALSE)+VLOOKUP($A287,A:AL,34,FALSE)-50),"-",(VLOOKUP($A287,'SegEnds_NonXtal_BW#'!$A:$Z,23,FALSE)+VLOOKUP($A287,A:AL,34,FALSE)-50))</f>
        <v>275</v>
      </c>
      <c r="AH287" s="3">
        <v>301</v>
      </c>
      <c r="AI287" s="3">
        <f>IF(ISERROR((VLOOKUP($A287,'SegEnds_NonXtal_BW#'!$A:$Z,24,FALSE)+VLOOKUP($A287,A:AL,34,FALSE)-50)),"-",(VLOOKUP($A287,'SegEnds_NonXtal_BW#'!$A:$Z,24,FALSE)+VLOOKUP($A287,A:AL,34,FALSE)-50))</f>
        <v>307</v>
      </c>
      <c r="AJ287" s="3">
        <f>IF(ISERROR(VLOOKUP($A287,'SegEnds_NonXtal_BW#'!$A:$Z,25,FALSE)+VLOOKUP($A287,A:AL,37,FALSE)-50),"-",(VLOOKUP($A287,'SegEnds_NonXtal_BW#'!$A:$Z,25,FALSE)+VLOOKUP($A287,A:AL,37,FALSE)-50))</f>
        <v>308</v>
      </c>
      <c r="AK287" s="3">
        <v>311</v>
      </c>
      <c r="AL287" s="3">
        <f>IF(ISERROR((VLOOKUP($A287,'SegEnds_NonXtal_BW#'!$A:$Z,26,FALSE)+VLOOKUP($A287,A:AL,37,FALSE)-50)),"-",(VLOOKUP($A287,'SegEnds_NonXtal_BW#'!$A:$Z,26,FALSE)+VLOOKUP($A287,A:AL,37,FALSE)-50))</f>
        <v>328</v>
      </c>
      <c r="AM287" s="28" t="str">
        <f>VLOOKUP(A287,Classification!A:B,2,FALSE)</f>
        <v>A</v>
      </c>
      <c r="AN287" s="28" t="b">
        <f t="shared" si="173"/>
        <v>1</v>
      </c>
      <c r="AO287" s="3" t="str">
        <f>IF(ISERROR(MATCH(A287,'SegEnds_Xtal_Prot#'!B:B, 0)), "NoXtal", "Xtal")</f>
        <v>NoXtal</v>
      </c>
      <c r="AP287" s="3" t="str">
        <f t="shared" si="153"/>
        <v>-</v>
      </c>
      <c r="AQ287" s="3" t="str">
        <f t="shared" si="154"/>
        <v>-</v>
      </c>
      <c r="AR287" s="3" t="str">
        <f t="shared" si="155"/>
        <v>-</v>
      </c>
      <c r="AS287" s="3" t="str">
        <f t="shared" si="156"/>
        <v>-</v>
      </c>
      <c r="AT287" s="3" t="str">
        <f t="shared" si="157"/>
        <v>-</v>
      </c>
      <c r="AU287" s="3" t="str">
        <f t="shared" si="158"/>
        <v>-</v>
      </c>
      <c r="AV287" s="3">
        <f t="shared" si="159"/>
        <v>7</v>
      </c>
      <c r="AW287" s="3">
        <f t="shared" si="160"/>
        <v>4</v>
      </c>
      <c r="AX287" s="3">
        <f t="shared" si="161"/>
        <v>7</v>
      </c>
      <c r="AY287" s="3">
        <f t="shared" si="162"/>
        <v>6</v>
      </c>
      <c r="AZ287" s="3">
        <f t="shared" si="163"/>
        <v>1</v>
      </c>
      <c r="BA287" s="3">
        <f>IF(ISERROR(LEN(VLOOKUP(A287,Seqs!A:E,2,FALSE))-AL287),"-",LEN(VLOOKUP(A287,Seqs!A:E,2,FALSE))-AL287)</f>
        <v>8</v>
      </c>
      <c r="BB287" s="16">
        <f t="shared" si="164"/>
        <v>30</v>
      </c>
      <c r="BC287" s="9" t="str">
        <f t="shared" si="165"/>
        <v>-</v>
      </c>
      <c r="BD287" s="3">
        <f t="shared" si="166"/>
        <v>30</v>
      </c>
      <c r="BE287" s="3">
        <f t="shared" si="167"/>
        <v>37</v>
      </c>
      <c r="BF287" s="3">
        <f>AH287-AE287</f>
        <v>46</v>
      </c>
    </row>
    <row r="288" spans="1:58" s="3" customFormat="1" x14ac:dyDescent="0.2">
      <c r="A288" s="3" t="s">
        <v>144</v>
      </c>
      <c r="B288" s="3" t="str">
        <f>LOWER(VLOOKUP(A288,Xtal_Templ!A:B,2,FALSE))</f>
        <v>agtr1_human</v>
      </c>
      <c r="C288" s="3">
        <f>VLOOKUP($A288,'SegEnds_NonXtal_BW#'!$A:$Z,3,FALSE)+D288-50</f>
        <v>42</v>
      </c>
      <c r="D288" s="3">
        <v>62</v>
      </c>
      <c r="E288" s="3">
        <f>IF(ISERROR(VLOOKUP($A288,'SegEnds_NonXtal_BW#'!$A:$Z,4,FALSE)+VLOOKUP($A288,A:AL,4,FALSE)-50),"-",(VLOOKUP($A288,'SegEnds_NonXtal_BW#'!$A:$Z,4,FALSE)+VLOOKUP($A288,A:AL,4,FALSE)-50))</f>
        <v>72</v>
      </c>
      <c r="F288" s="3">
        <f>G288-2</f>
        <v>73</v>
      </c>
      <c r="G288" s="3">
        <v>75</v>
      </c>
      <c r="H288" s="3">
        <f>G288+1</f>
        <v>76</v>
      </c>
      <c r="I288" s="3">
        <f>H288+1</f>
        <v>77</v>
      </c>
      <c r="J288" s="3">
        <v>90</v>
      </c>
      <c r="K288" s="3">
        <f>VLOOKUP($A288,'SegEnds_NonXtal_BW#'!$A:$Z,8,FALSE)+VLOOKUP($A288,A:AL,10,FALSE)-50</f>
        <v>106</v>
      </c>
      <c r="L288" s="3">
        <f>IF(ISERROR(VLOOKUP($A288,'SegEnds_NonXtal_BW#'!$A:$Z,9,FALSE)+VLOOKUP($A288,A:AL,13,FALSE)-50),"-",(VLOOKUP($A288,'SegEnds_NonXtal_BW#'!$A:$Z,9,FALSE)+VLOOKUP($A288,A:AL,13,FALSE)-50))</f>
        <v>109</v>
      </c>
      <c r="M288" s="3">
        <v>110</v>
      </c>
      <c r="N288" s="3">
        <f>IF(ISERROR(VLOOKUP($A288,'SegEnds_NonXtal_BW#'!$A:$Z,10,FALSE)+VLOOKUP($A288,A:AL,13,FALSE)-50),"-",(VLOOKUP($A288,'SegEnds_NonXtal_BW#'!$A:$Z,10,FALSE)+VLOOKUP($A288,A:AL,13,FALSE)-50))</f>
        <v>112</v>
      </c>
      <c r="O288" s="3">
        <f>VLOOKUP($A288,'SegEnds_NonXtal_BW#'!$A:$Z,11,FALSE)+VLOOKUP($A288,A:AL,16,FALSE)-50</f>
        <v>113</v>
      </c>
      <c r="P288" s="3">
        <v>142</v>
      </c>
      <c r="Q288" s="3">
        <f>VLOOKUP($A288,'SegEnds_NonXtal_BW#'!$A:$Z,12,FALSE)+VLOOKUP($A288,A:AL,16,FALSE)-50</f>
        <v>148</v>
      </c>
      <c r="R288" s="3" t="str">
        <f>IF(ISERROR(VLOOKUP($A288,'SegEnds_NonXtal_BW#'!$A:$Z,13,FALSE)+VLOOKUP($A288,A:AL,19,FALSE)-50),"-",VLOOKUP($A288,'SegEnds_NonXtal_BW#'!$A:$Z,13,FALSE)+VLOOKUP($A288,A:AL,19,FALSE)-50)</f>
        <v>-</v>
      </c>
      <c r="S288" s="3" t="s">
        <v>23</v>
      </c>
      <c r="T288" s="103" t="str">
        <f>IF(ISERROR(VLOOKUP($A288,'SegEnds_NonXtal_BW#'!$A:$Z,14,FALSE)+VLOOKUP($A288,A:AL,19,FALSE)-50),"-",(VLOOKUP($A288,'SegEnds_NonXtal_BW#'!$A:$Z,14,FALSE)+VLOOKUP($A288,A:AL,19,FALSE)-50))</f>
        <v>-</v>
      </c>
      <c r="U288" s="9">
        <f>IF(ISERROR(VLOOKUP($A288,'SegEnds_NonXtal_BW#'!$A:$Z,15,FALSE)+VLOOKUP($A288,A:AL,22,FALSE)-50),"-",VLOOKUP($A288,'SegEnds_NonXtal_BW#'!$A:$Z,15,FALSE)+VLOOKUP($A288,A:AL,22,FALSE)-50)</f>
        <v>157</v>
      </c>
      <c r="V288" s="3">
        <v>169</v>
      </c>
      <c r="W288" s="3">
        <f>IF(ISERROR(VLOOKUP($A288,'SegEnds_NonXtal_BW#'!$A:$Z,16,FALSE)+VLOOKUP($A288,A:AL,22,FALSE)-50),"-",(VLOOKUP($A288,'SegEnds_NonXtal_BW#'!$A:$Z,16,FALSE)+VLOOKUP($A288,A:AL,22,FALSE)-50))</f>
        <v>183</v>
      </c>
      <c r="X288" s="3">
        <f>IF(ISERROR(VLOOKUP($A288,'SegEnds_NonXtal_BW#'!$A:$Z,17,FALSE)+VLOOKUP($A288,A:AL,25,FALSE)-50),"-",(VLOOKUP($A288,'SegEnds_NonXtal_BW#'!$A:$Z,17,FALSE)+VLOOKUP($A288,A:AL,25,FALSE)-50))</f>
        <v>196</v>
      </c>
      <c r="Y288" s="3">
        <v>196</v>
      </c>
      <c r="Z288" s="3">
        <f t="shared" si="177"/>
        <v>198</v>
      </c>
      <c r="AA288" s="3">
        <f>IF(ISERROR(VLOOKUP($A288,'SegEnds_NonXtal_BW#'!$A:$Z,19,FALSE)+VLOOKUP($A288,A:AL,28,FALSE)-50),"-",(VLOOKUP($A288,'SegEnds_NonXtal_BW#'!$A:$Z,19,FALSE)+VLOOKUP($A288,A:AL,28,FALSE)-50))</f>
        <v>208</v>
      </c>
      <c r="AB288" s="3">
        <v>224</v>
      </c>
      <c r="AC288" s="3">
        <f>IF(ISERROR((VLOOKUP($A288,'SegEnds_NonXtal_BW#'!$A:$Z,20,FALSE)+VLOOKUP($A288,A:AL,28,FALSE)-50)),"-",(VLOOKUP($A288,'SegEnds_NonXtal_BW#'!$A:$Z,20,FALSE)+VLOOKUP($A288,A:AL,28,FALSE)-50))</f>
        <v>242</v>
      </c>
      <c r="AD288" s="3">
        <f>IF(ISERROR(VLOOKUP($A288,'SegEnds_NonXtal_BW#'!$A:$Z,21,FALSE)+VLOOKUP($A288,A:AL,31,FALSE)-50),"-",(VLOOKUP($A288,'SegEnds_NonXtal_BW#'!$A:$Z,21,FALSE)+VLOOKUP($A288,A:AL,31,FALSE)-50))</f>
        <v>247</v>
      </c>
      <c r="AE288" s="3">
        <v>267</v>
      </c>
      <c r="AF288" s="3">
        <f>IF(ISERROR((VLOOKUP($A288,'SegEnds_NonXtal_BW#'!$A:$Z,22,FALSE)+VLOOKUP($A288,A:AL,31,FALSE)-50)),"-",(VLOOKUP($A288,'SegEnds_NonXtal_BW#'!$A:$Z,22,FALSE)+VLOOKUP($A288,A:AL,31,FALSE)-50))</f>
        <v>281</v>
      </c>
      <c r="AG288" s="3">
        <f>IF(ISERROR(VLOOKUP($A288,'SegEnds_NonXtal_BW#'!$A:$Z,23,FALSE)+VLOOKUP($A288,A:AL,34,FALSE)-50),"-",(VLOOKUP($A288,'SegEnds_NonXtal_BW#'!$A:$Z,23,FALSE)+VLOOKUP($A288,A:AL,34,FALSE)-50))</f>
        <v>286</v>
      </c>
      <c r="AH288" s="3">
        <v>312</v>
      </c>
      <c r="AI288" s="3">
        <f>IF(ISERROR((VLOOKUP($A288,'SegEnds_NonXtal_BW#'!$A:$Z,24,FALSE)+VLOOKUP($A288,A:AL,34,FALSE)-50)),"-",(VLOOKUP($A288,'SegEnds_NonXtal_BW#'!$A:$Z,24,FALSE)+VLOOKUP($A288,A:AL,34,FALSE)-50))</f>
        <v>318</v>
      </c>
      <c r="AJ288" s="3">
        <f>IF(ISERROR(VLOOKUP($A288,'SegEnds_NonXtal_BW#'!$A:$Z,25,FALSE)+VLOOKUP($A288,A:AL,37,FALSE)-50),"-",(VLOOKUP($A288,'SegEnds_NonXtal_BW#'!$A:$Z,25,FALSE)+VLOOKUP($A288,A:AL,37,FALSE)-50))</f>
        <v>319</v>
      </c>
      <c r="AK288" s="3">
        <v>322</v>
      </c>
      <c r="AL288" s="3">
        <f>IF(ISERROR((VLOOKUP($A288,'SegEnds_NonXtal_BW#'!$A:$Z,26,FALSE)+VLOOKUP($A288,A:AL,37,FALSE)-50)),"-",(VLOOKUP($A288,'SegEnds_NonXtal_BW#'!$A:$Z,26,FALSE)+VLOOKUP($A288,A:AL,37,FALSE)-50))</f>
        <v>333</v>
      </c>
      <c r="AM288" s="28" t="str">
        <f>VLOOKUP(A288,Classification!A:B,2,FALSE)</f>
        <v>A</v>
      </c>
      <c r="AN288" s="28" t="b">
        <f t="shared" si="173"/>
        <v>1</v>
      </c>
      <c r="AO288" s="3" t="str">
        <f>IF(ISERROR(MATCH(A288,'SegEnds_Xtal_Prot#'!B:B, 0)), "NoXtal", "Xtal")</f>
        <v>NoXtal</v>
      </c>
      <c r="AP288" s="3">
        <f t="shared" si="153"/>
        <v>1</v>
      </c>
      <c r="AQ288" s="3">
        <f t="shared" si="154"/>
        <v>1</v>
      </c>
      <c r="AR288" s="3">
        <f t="shared" si="155"/>
        <v>3</v>
      </c>
      <c r="AS288" s="3">
        <f t="shared" si="156"/>
        <v>1</v>
      </c>
      <c r="AT288" s="3" t="str">
        <f t="shared" si="157"/>
        <v>-</v>
      </c>
      <c r="AU288" s="3" t="str">
        <f t="shared" si="158"/>
        <v>-</v>
      </c>
      <c r="AV288" s="3">
        <f t="shared" si="159"/>
        <v>13</v>
      </c>
      <c r="AW288" s="3">
        <f t="shared" si="160"/>
        <v>10</v>
      </c>
      <c r="AX288" s="3">
        <f t="shared" si="161"/>
        <v>5</v>
      </c>
      <c r="AY288" s="3">
        <f t="shared" si="162"/>
        <v>5</v>
      </c>
      <c r="AZ288" s="3">
        <f t="shared" si="163"/>
        <v>1</v>
      </c>
      <c r="BA288" s="3">
        <f>IF(ISERROR(LEN(VLOOKUP(A288,Seqs!A:E,2,FALSE))-AL288),"-",LEN(VLOOKUP(A288,Seqs!A:E,2,FALSE))-AL288)</f>
        <v>29</v>
      </c>
      <c r="BB288" s="16">
        <f t="shared" si="164"/>
        <v>28</v>
      </c>
      <c r="BC288" s="9" t="str">
        <f t="shared" si="165"/>
        <v>-</v>
      </c>
      <c r="BD288" s="3">
        <f t="shared" si="166"/>
        <v>28</v>
      </c>
      <c r="BE288" s="3">
        <f t="shared" si="167"/>
        <v>43</v>
      </c>
      <c r="BF288" s="3">
        <f>AH288-AE288</f>
        <v>45</v>
      </c>
    </row>
    <row r="289" spans="1:59" s="3" customFormat="1" x14ac:dyDescent="0.2">
      <c r="A289" s="3" t="s">
        <v>145</v>
      </c>
      <c r="B289" s="3" t="str">
        <f>LOWER(VLOOKUP(A289,Xtal_Templ!A:B,2,FALSE))</f>
        <v>ccr9_human</v>
      </c>
      <c r="C289" s="3">
        <f>VLOOKUP($A289,'SegEnds_NonXtal_BW#'!$A:$Z,3,FALSE)+D289-50</f>
        <v>36</v>
      </c>
      <c r="D289" s="3">
        <v>59</v>
      </c>
      <c r="E289" s="3">
        <f>IF(ISERROR(VLOOKUP($A289,'SegEnds_NonXtal_BW#'!$A:$Z,4,FALSE)+VLOOKUP($A289,A:AL,4,FALSE)-50),"-",(VLOOKUP($A289,'SegEnds_NonXtal_BW#'!$A:$Z,4,FALSE)+VLOOKUP($A289,A:AL,4,FALSE)-50))</f>
        <v>69</v>
      </c>
      <c r="F289" s="3">
        <f>G289-2</f>
        <v>70</v>
      </c>
      <c r="G289" s="3">
        <v>72</v>
      </c>
      <c r="H289" s="3">
        <f>G289+1</f>
        <v>73</v>
      </c>
      <c r="I289" s="3">
        <f>H289+1</f>
        <v>74</v>
      </c>
      <c r="J289" s="3">
        <v>87</v>
      </c>
      <c r="K289" s="3">
        <f>VLOOKUP($A289,'SegEnds_NonXtal_BW#'!$A:$Z,8,FALSE)+VLOOKUP($A289,A:AL,10,FALSE)-50</f>
        <v>103</v>
      </c>
      <c r="L289" s="3">
        <f>IF(ISERROR(VLOOKUP($A289,'SegEnds_NonXtal_BW#'!$A:$Z,9,FALSE)+VLOOKUP($A289,A:AL,13,FALSE)-50),"-",(VLOOKUP($A289,'SegEnds_NonXtal_BW#'!$A:$Z,9,FALSE)+VLOOKUP($A289,A:AL,13,FALSE)-50))</f>
        <v>104</v>
      </c>
      <c r="M289" s="3">
        <v>105</v>
      </c>
      <c r="N289" s="3">
        <f>IF(ISERROR(VLOOKUP($A289,'SegEnds_NonXtal_BW#'!$A:$Z,10,FALSE)+VLOOKUP($A289,A:AL,13,FALSE)-50),"-",(VLOOKUP($A289,'SegEnds_NonXtal_BW#'!$A:$Z,10,FALSE)+VLOOKUP($A289,A:AL,13,FALSE)-50))</f>
        <v>107</v>
      </c>
      <c r="O289" s="3">
        <f>VLOOKUP($A289,'SegEnds_NonXtal_BW#'!$A:$Z,11,FALSE)+VLOOKUP($A289,A:AL,16,FALSE)-50</f>
        <v>108</v>
      </c>
      <c r="P289" s="3">
        <v>137</v>
      </c>
      <c r="Q289" s="3">
        <f>VLOOKUP($A289,'SegEnds_NonXtal_BW#'!$A:$Z,12,FALSE)+VLOOKUP($A289,A:AL,16,FALSE)-50</f>
        <v>143</v>
      </c>
      <c r="R289" s="3" t="str">
        <f>IF(ISERROR(VLOOKUP($A289,'SegEnds_NonXtal_BW#'!$A:$Z,13,FALSE)+VLOOKUP($A289,A:AL,19,FALSE)-50),"-",VLOOKUP($A289,'SegEnds_NonXtal_BW#'!$A:$Z,13,FALSE)+VLOOKUP($A289,A:AL,19,FALSE)-50)</f>
        <v>-</v>
      </c>
      <c r="S289" s="3" t="s">
        <v>23</v>
      </c>
      <c r="T289" s="103" t="str">
        <f>IF(ISERROR(VLOOKUP($A289,'SegEnds_NonXtal_BW#'!$A:$Z,14,FALSE)+VLOOKUP($A289,A:AL,19,FALSE)-50),"-",(VLOOKUP($A289,'SegEnds_NonXtal_BW#'!$A:$Z,14,FALSE)+VLOOKUP($A289,A:AL,19,FALSE)-50))</f>
        <v>-</v>
      </c>
      <c r="U289" s="9">
        <f>IF(ISERROR(VLOOKUP($A289,'SegEnds_NonXtal_BW#'!$A:$Z,15,FALSE)+VLOOKUP($A289,A:AL,22,FALSE)-50),"-",VLOOKUP($A289,'SegEnds_NonXtal_BW#'!$A:$Z,15,FALSE)+VLOOKUP($A289,A:AL,22,FALSE)-50)</f>
        <v>150</v>
      </c>
      <c r="V289" s="3">
        <v>162</v>
      </c>
      <c r="W289" s="3">
        <f>IF(ISERROR(VLOOKUP($A289,'SegEnds_NonXtal_BW#'!$A:$Z,16,FALSE)+VLOOKUP($A289,A:AL,22,FALSE)-50),"-",(VLOOKUP($A289,'SegEnds_NonXtal_BW#'!$A:$Z,16,FALSE)+VLOOKUP($A289,A:AL,22,FALSE)-50))</f>
        <v>176</v>
      </c>
      <c r="X289" s="3">
        <f>IF(ISERROR(VLOOKUP($A289,'SegEnds_NonXtal_BW#'!$A:$Z,17,FALSE)+VLOOKUP($A289,A:AL,25,FALSE)-50),"-",(VLOOKUP($A289,'SegEnds_NonXtal_BW#'!$A:$Z,17,FALSE)+VLOOKUP($A289,A:AL,25,FALSE)-50))</f>
        <v>184</v>
      </c>
      <c r="Y289" s="3">
        <v>184</v>
      </c>
      <c r="Z289" s="3">
        <f t="shared" si="177"/>
        <v>186</v>
      </c>
      <c r="AA289" s="3">
        <f>IF(ISERROR(VLOOKUP($A289,'SegEnds_NonXtal_BW#'!$A:$Z,19,FALSE)+VLOOKUP($A289,A:AL,28,FALSE)-50),"-",(VLOOKUP($A289,'SegEnds_NonXtal_BW#'!$A:$Z,19,FALSE)+VLOOKUP($A289,A:AL,28,FALSE)-50))</f>
        <v>195</v>
      </c>
      <c r="AB289" s="3">
        <v>212</v>
      </c>
      <c r="AC289" s="3">
        <f>IF(ISERROR((VLOOKUP($A289,'SegEnds_NonXtal_BW#'!$A:$Z,20,FALSE)+VLOOKUP($A289,A:AL,28,FALSE)-50)),"-",(VLOOKUP($A289,'SegEnds_NonXtal_BW#'!$A:$Z,20,FALSE)+VLOOKUP($A289,A:AL,28,FALSE)-50))</f>
        <v>230</v>
      </c>
      <c r="AD289" s="3">
        <f>IF(ISERROR(VLOOKUP($A289,'SegEnds_NonXtal_BW#'!$A:$Z,21,FALSE)+VLOOKUP($A289,A:AL,31,FALSE)-50),"-",(VLOOKUP($A289,'SegEnds_NonXtal_BW#'!$A:$Z,21,FALSE)+VLOOKUP($A289,A:AL,31,FALSE)-50))</f>
        <v>235</v>
      </c>
      <c r="AE289" s="3">
        <v>255</v>
      </c>
      <c r="AF289" s="3">
        <f>IF(ISERROR((VLOOKUP($A289,'SegEnds_NonXtal_BW#'!$A:$Z,22,FALSE)+VLOOKUP($A289,A:AL,31,FALSE)-50)),"-",(VLOOKUP($A289,'SegEnds_NonXtal_BW#'!$A:$Z,22,FALSE)+VLOOKUP($A289,A:AL,31,FALSE)-50))</f>
        <v>269</v>
      </c>
      <c r="AG289" s="3">
        <f>IF(ISERROR(VLOOKUP($A289,'SegEnds_NonXtal_BW#'!$A:$Z,23,FALSE)+VLOOKUP($A289,A:AL,34,FALSE)-50),"-",(VLOOKUP($A289,'SegEnds_NonXtal_BW#'!$A:$Z,23,FALSE)+VLOOKUP($A289,A:AL,34,FALSE)-50))</f>
        <v>274</v>
      </c>
      <c r="AH289" s="3">
        <v>300</v>
      </c>
      <c r="AI289" s="3">
        <f>IF(ISERROR((VLOOKUP($A289,'SegEnds_NonXtal_BW#'!$A:$Z,24,FALSE)+VLOOKUP($A289,A:AL,34,FALSE)-50)),"-",(VLOOKUP($A289,'SegEnds_NonXtal_BW#'!$A:$Z,24,FALSE)+VLOOKUP($A289,A:AL,34,FALSE)-50))</f>
        <v>306</v>
      </c>
      <c r="AJ289" s="3">
        <f>IF(ISERROR(VLOOKUP($A289,'SegEnds_NonXtal_BW#'!$A:$Z,25,FALSE)+VLOOKUP($A289,A:AL,37,FALSE)-50),"-",(VLOOKUP($A289,'SegEnds_NonXtal_BW#'!$A:$Z,25,FALSE)+VLOOKUP($A289,A:AL,37,FALSE)-50))</f>
        <v>307</v>
      </c>
      <c r="AK289" s="3">
        <v>310</v>
      </c>
      <c r="AL289" s="3">
        <f>IF(ISERROR((VLOOKUP($A289,'SegEnds_NonXtal_BW#'!$A:$Z,26,FALSE)+VLOOKUP($A289,A:AL,37,FALSE)-50)),"-",(VLOOKUP($A289,'SegEnds_NonXtal_BW#'!$A:$Z,26,FALSE)+VLOOKUP($A289,A:AL,37,FALSE)-50))</f>
        <v>327</v>
      </c>
      <c r="AM289" s="28" t="str">
        <f>VLOOKUP(A289,Classification!A:B,2,FALSE)</f>
        <v>A</v>
      </c>
      <c r="AN289" s="28" t="b">
        <f t="shared" si="173"/>
        <v>1</v>
      </c>
      <c r="AO289" s="3" t="str">
        <f>IF(ISERROR(MATCH(A289,'SegEnds_Xtal_Prot#'!B:B, 0)), "NoXtal", "Xtal")</f>
        <v>NoXtal</v>
      </c>
      <c r="AP289" s="3">
        <f t="shared" si="153"/>
        <v>1</v>
      </c>
      <c r="AQ289" s="3">
        <f t="shared" si="154"/>
        <v>1</v>
      </c>
      <c r="AR289" s="3">
        <f t="shared" si="155"/>
        <v>1</v>
      </c>
      <c r="AS289" s="3">
        <f t="shared" si="156"/>
        <v>1</v>
      </c>
      <c r="AT289" s="3" t="str">
        <f t="shared" si="157"/>
        <v>-</v>
      </c>
      <c r="AU289" s="3" t="str">
        <f t="shared" si="158"/>
        <v>-</v>
      </c>
      <c r="AV289" s="3">
        <f t="shared" si="159"/>
        <v>8</v>
      </c>
      <c r="AW289" s="3">
        <f t="shared" si="160"/>
        <v>9</v>
      </c>
      <c r="AX289" s="3">
        <f t="shared" si="161"/>
        <v>5</v>
      </c>
      <c r="AY289" s="3">
        <f t="shared" si="162"/>
        <v>5</v>
      </c>
      <c r="AZ289" s="3">
        <f t="shared" si="163"/>
        <v>1</v>
      </c>
      <c r="BA289" s="3">
        <f>IF(ISERROR(LEN(VLOOKUP(A289,Seqs!A:E,2,FALSE))-AL289),"-",LEN(VLOOKUP(A289,Seqs!A:E,2,FALSE))-AL289)</f>
        <v>23</v>
      </c>
      <c r="BB289" s="16">
        <f t="shared" si="164"/>
        <v>28</v>
      </c>
      <c r="BC289" s="9" t="str">
        <f t="shared" si="165"/>
        <v>-</v>
      </c>
      <c r="BD289" s="3">
        <f t="shared" si="166"/>
        <v>28</v>
      </c>
      <c r="BE289" s="3">
        <f t="shared" si="167"/>
        <v>43</v>
      </c>
    </row>
    <row r="290" spans="1:59" s="3" customFormat="1" x14ac:dyDescent="0.2">
      <c r="A290" s="3" t="s">
        <v>1177</v>
      </c>
      <c r="B290" s="3" t="str">
        <f>LOWER(VLOOKUP(A290,Xtal_Templ!A:B,2,FALSE))</f>
        <v>crfr1_human</v>
      </c>
      <c r="C290" s="3">
        <f>VLOOKUP($A290,'SegEnds_NonXtal_BW#'!$A:$Z,3,FALSE)+D290-50</f>
        <v>8</v>
      </c>
      <c r="D290" s="3">
        <v>35</v>
      </c>
      <c r="E290" s="3">
        <f>IF(ISERROR(VLOOKUP($A290,'SegEnds_NonXtal_BW#'!$A:$Z,4,FALSE)+VLOOKUP($A290,A:AL,4,FALSE)-50),"-",(VLOOKUP($A290,'SegEnds_NonXtal_BW#'!$A:$Z,4,FALSE)+VLOOKUP($A290,A:AL,4,FALSE)-50))</f>
        <v>45</v>
      </c>
      <c r="F290" s="3" t="s">
        <v>23</v>
      </c>
      <c r="G290" s="3" t="s">
        <v>23</v>
      </c>
      <c r="H290" s="3" t="s">
        <v>23</v>
      </c>
      <c r="I290" s="3">
        <f>VLOOKUP($A290,'SegEnds_NonXtal_BW#'!$A:$Z,7,FALSE)+J290-50</f>
        <v>48</v>
      </c>
      <c r="J290" s="3">
        <v>61</v>
      </c>
      <c r="K290" s="3">
        <f>VLOOKUP($A290,'SegEnds_NonXtal_BW#'!$A:$Z,8,FALSE)+VLOOKUP($A290,A:AL,10,FALSE)-50</f>
        <v>74</v>
      </c>
      <c r="L290" s="3" t="str">
        <f>IF(ISERROR(VLOOKUP($A290,'SegEnds_NonXtal_BW#'!$A:$Z,9,FALSE)+VLOOKUP($A290,A:AL,13,FALSE)-50),"-",(VLOOKUP($A290,'SegEnds_NonXtal_BW#'!$A:$Z,9,FALSE)+VLOOKUP($A290,A:AL,13,FALSE)-50))</f>
        <v>-</v>
      </c>
      <c r="M290" s="3" t="s">
        <v>23</v>
      </c>
      <c r="N290" s="3" t="str">
        <f>IF(ISERROR(VLOOKUP($A290,'SegEnds_NonXtal_BW#'!$A:$Z,10,FALSE)+VLOOKUP($A290,A:AL,13,FALSE)-50),"-",(VLOOKUP($A290,'SegEnds_NonXtal_BW#'!$A:$Z,10,FALSE)+VLOOKUP($A290,A:AL,13,FALSE)-50))</f>
        <v>-</v>
      </c>
      <c r="O290" s="3">
        <f>VLOOKUP($A290,'SegEnds_NonXtal_BW#'!$A:$Z,11,FALSE)+VLOOKUP($A290,A:AL,16,FALSE)-50</f>
        <v>81</v>
      </c>
      <c r="P290" s="3">
        <v>108</v>
      </c>
      <c r="Q290" s="3">
        <f>VLOOKUP($A290,'SegEnds_NonXtal_BW#'!$A:$Z,12,FALSE)+VLOOKUP($A290,A:AL,16,FALSE)-50</f>
        <v>114</v>
      </c>
      <c r="R290" s="3" t="str">
        <f>IF(ISERROR(VLOOKUP($A290,'SegEnds_NonXtal_BW#'!$A:$Z,13,FALSE)+VLOOKUP($A290,A:AL,19,FALSE)-50),"-",VLOOKUP($A290,'SegEnds_NonXtal_BW#'!$A:$Z,13,FALSE)+VLOOKUP($A290,A:AL,19,FALSE)-50)</f>
        <v>-</v>
      </c>
      <c r="S290" s="3" t="s">
        <v>23</v>
      </c>
      <c r="T290" s="103" t="str">
        <f>IF(ISERROR(VLOOKUP($A290,'SegEnds_NonXtal_BW#'!$A:$Z,14,FALSE)+VLOOKUP($A290,A:AL,19,FALSE)-50),"-",(VLOOKUP($A290,'SegEnds_NonXtal_BW#'!$A:$Z,14,FALSE)+VLOOKUP($A290,A:AL,19,FALSE)-50))</f>
        <v>-</v>
      </c>
      <c r="U290" s="9">
        <f>IF(ISERROR(VLOOKUP($A290,'SegEnds_NonXtal_BW#'!$A:$Z,15,FALSE)+VLOOKUP($A290,A:AL,22,FALSE)-50),"-",VLOOKUP($A290,'SegEnds_NonXtal_BW#'!$A:$Z,15,FALSE)+VLOOKUP($A290,A:AL,22,FALSE)-50)</f>
        <v>130</v>
      </c>
      <c r="V290" s="3">
        <v>140</v>
      </c>
      <c r="W290" s="3">
        <f>IF(ISERROR(VLOOKUP($A290,'SegEnds_NonXtal_BW#'!$A:$Z,16,FALSE)+VLOOKUP($A290,A:AL,22,FALSE)-50),"-",(VLOOKUP($A290,'SegEnds_NonXtal_BW#'!$A:$Z,16,FALSE)+VLOOKUP($A290,A:AL,22,FALSE)-50))</f>
        <v>158</v>
      </c>
      <c r="X290" s="3">
        <f>IF(ISERROR(VLOOKUP($A290,'SegEnds_NonXtal_BW#'!$A:$Z,17,FALSE)+VLOOKUP($A290,A:AL,25,FALSE)-50),"-",(VLOOKUP($A290,'SegEnds_NonXtal_BW#'!$A:$Z,17,FALSE)+VLOOKUP($A290,A:AL,25,FALSE)-50))</f>
        <v>168</v>
      </c>
      <c r="Y290" s="3">
        <v>168</v>
      </c>
      <c r="Z290" s="3">
        <f t="shared" si="177"/>
        <v>170</v>
      </c>
      <c r="AA290" s="3">
        <f>IF(ISERROR(VLOOKUP($A290,'SegEnds_NonXtal_BW#'!$A:$Z,19,FALSE)+VLOOKUP($A290,A:AL,28,FALSE)-50),"-",(VLOOKUP($A290,'SegEnds_NonXtal_BW#'!$A:$Z,19,FALSE)+VLOOKUP($A290,A:AL,28,FALSE)-50))</f>
        <v>172</v>
      </c>
      <c r="AB290" s="3">
        <v>186</v>
      </c>
      <c r="AC290" s="3">
        <f>IF(ISERROR((VLOOKUP($A290,'SegEnds_NonXtal_BW#'!$A:$Z,20,FALSE)+VLOOKUP($A290,A:AL,28,FALSE)-50)),"-",(VLOOKUP($A290,'SegEnds_NonXtal_BW#'!$A:$Z,20,FALSE)+VLOOKUP($A290,A:AL,28,FALSE)-50))</f>
        <v>205</v>
      </c>
      <c r="AD290" s="3">
        <f>IF(ISERROR(VLOOKUP($A290,'SegEnds_NonXtal_BW#'!$A:$Z,21,FALSE)+VLOOKUP($A290,A:AL,31,FALSE)-50),"-",(VLOOKUP($A290,'SegEnds_NonXtal_BW#'!$A:$Z,21,FALSE)+VLOOKUP($A290,A:AL,31,FALSE)-50))</f>
        <v>251</v>
      </c>
      <c r="AE290" s="3">
        <v>272</v>
      </c>
      <c r="AF290" s="3">
        <f>IF(ISERROR((VLOOKUP($A290,'SegEnds_NonXtal_BW#'!$A:$Z,22,FALSE)+VLOOKUP($A290,A:AL,31,FALSE)-50)),"-",(VLOOKUP($A290,'SegEnds_NonXtal_BW#'!$A:$Z,22,FALSE)+VLOOKUP($A290,A:AL,31,FALSE)-50))</f>
        <v>275</v>
      </c>
      <c r="AG290" s="3">
        <f>IF(ISERROR(VLOOKUP($A290,'SegEnds_NonXtal_BW#'!$A:$Z,23,FALSE)+VLOOKUP($A290,A:AL,34,FALSE)-50),"-",(VLOOKUP($A290,'SegEnds_NonXtal_BW#'!$A:$Z,23,FALSE)+VLOOKUP($A290,A:AL,34,FALSE)-50))</f>
        <v>282</v>
      </c>
      <c r="AH290" s="3">
        <v>303</v>
      </c>
      <c r="AI290" s="3">
        <f>IF(ISERROR((VLOOKUP($A290,'SegEnds_NonXtal_BW#'!$A:$Z,24,FALSE)+VLOOKUP($A290,A:AL,34,FALSE)-50)),"-",(VLOOKUP($A290,'SegEnds_NonXtal_BW#'!$A:$Z,24,FALSE)+VLOOKUP($A290,A:AL,34,FALSE)-50))</f>
        <v>309</v>
      </c>
      <c r="AJ290" s="3">
        <f>IF(ISERROR(VLOOKUP($A290,'SegEnds_NonXtal_BW#'!$A:$Z,25,FALSE)+VLOOKUP($A290,A:AL,37,FALSE)-50),"-",(VLOOKUP($A290,'SegEnds_NonXtal_BW#'!$A:$Z,25,FALSE)+VLOOKUP($A290,A:AL,37,FALSE)-50))</f>
        <v>310</v>
      </c>
      <c r="AK290" s="3">
        <v>313</v>
      </c>
      <c r="AL290" s="3">
        <f>IF(ISERROR((VLOOKUP($A290,'SegEnds_NonXtal_BW#'!$A:$Z,26,FALSE)+VLOOKUP($A290,A:AL,37,FALSE)-50)),"-",(VLOOKUP($A290,'SegEnds_NonXtal_BW#'!$A:$Z,26,FALSE)+VLOOKUP($A290,A:AL,37,FALSE)-50))</f>
        <v>326</v>
      </c>
      <c r="AM290" s="28" t="str">
        <f>VLOOKUP(A290,Classification!A:B,2,FALSE)</f>
        <v>B2</v>
      </c>
      <c r="AN290" s="28" t="b">
        <f t="shared" si="173"/>
        <v>1</v>
      </c>
      <c r="AO290" s="3" t="str">
        <f>IF(ISERROR(MATCH(A290,'SegEnds_Xtal_Prot#'!B:B, 0)), "NoXtal", "Xtal")</f>
        <v>NoXtal</v>
      </c>
      <c r="AP290" s="3" t="str">
        <f t="shared" si="153"/>
        <v>-</v>
      </c>
      <c r="AQ290" s="3" t="str">
        <f t="shared" si="154"/>
        <v>-</v>
      </c>
      <c r="AR290" s="3" t="str">
        <f t="shared" si="155"/>
        <v>-</v>
      </c>
      <c r="AS290" s="3" t="str">
        <f t="shared" si="156"/>
        <v>-</v>
      </c>
      <c r="AT290" s="3" t="str">
        <f t="shared" si="157"/>
        <v>-</v>
      </c>
      <c r="AU290" s="3" t="str">
        <f t="shared" si="158"/>
        <v>-</v>
      </c>
      <c r="AV290" s="3">
        <f t="shared" si="159"/>
        <v>10</v>
      </c>
      <c r="AW290" s="3">
        <f t="shared" si="160"/>
        <v>2</v>
      </c>
      <c r="AX290" s="3">
        <f t="shared" si="161"/>
        <v>46</v>
      </c>
      <c r="AY290" s="3">
        <f t="shared" si="162"/>
        <v>7</v>
      </c>
      <c r="AZ290" s="3">
        <f t="shared" si="163"/>
        <v>1</v>
      </c>
      <c r="BA290" s="3">
        <f>IF(ISERROR(LEN(VLOOKUP(A290,Seqs!A:E,2,FALSE))-AL290),"-",LEN(VLOOKUP(A290,Seqs!A:E,2,FALSE))-AL290)</f>
        <v>234</v>
      </c>
      <c r="BB290" s="16">
        <f t="shared" si="164"/>
        <v>26</v>
      </c>
      <c r="BC290" s="9" t="str">
        <f t="shared" si="165"/>
        <v>-</v>
      </c>
      <c r="BD290" s="3">
        <f t="shared" si="166"/>
        <v>26</v>
      </c>
      <c r="BE290" s="3">
        <f t="shared" si="167"/>
        <v>86</v>
      </c>
    </row>
    <row r="291" spans="1:59" s="3" customFormat="1" x14ac:dyDescent="0.2">
      <c r="A291" s="3" t="s">
        <v>1178</v>
      </c>
      <c r="B291" s="3" t="str">
        <f>LOWER(VLOOKUP(A291,Xtal_Templ!A:B,2,FALSE))</f>
        <v>crfr1_human</v>
      </c>
      <c r="C291" s="3">
        <f>VLOOKUP($A291,'SegEnds_NonXtal_BW#'!$A:$Z,3,FALSE)+D291-50</f>
        <v>760</v>
      </c>
      <c r="D291" s="3">
        <v>787</v>
      </c>
      <c r="E291" s="3">
        <f>IF(ISERROR(VLOOKUP($A291,'SegEnds_NonXtal_BW#'!$A:$Z,4,FALSE)+VLOOKUP($A291,A:AL,4,FALSE)-50),"-",(VLOOKUP($A291,'SegEnds_NonXtal_BW#'!$A:$Z,4,FALSE)+VLOOKUP($A291,A:AL,4,FALSE)-50))</f>
        <v>797</v>
      </c>
      <c r="F291" s="3" t="s">
        <v>23</v>
      </c>
      <c r="G291" s="3" t="s">
        <v>23</v>
      </c>
      <c r="H291" s="3" t="s">
        <v>23</v>
      </c>
      <c r="I291" s="3">
        <f>VLOOKUP($A291,'SegEnds_NonXtal_BW#'!$A:$Z,7,FALSE)+J291-50</f>
        <v>800</v>
      </c>
      <c r="J291" s="3">
        <v>813</v>
      </c>
      <c r="K291" s="3">
        <f>VLOOKUP($A291,'SegEnds_NonXtal_BW#'!$A:$Z,8,FALSE)+VLOOKUP($A291,A:AL,10,FALSE)-50</f>
        <v>826</v>
      </c>
      <c r="L291" s="3" t="str">
        <f>IF(ISERROR(VLOOKUP($A291,'SegEnds_NonXtal_BW#'!$A:$Z,9,FALSE)+VLOOKUP($A291,A:AL,13,FALSE)-50),"-",(VLOOKUP($A291,'SegEnds_NonXtal_BW#'!$A:$Z,9,FALSE)+VLOOKUP($A291,A:AL,13,FALSE)-50))</f>
        <v>-</v>
      </c>
      <c r="M291" s="3" t="s">
        <v>23</v>
      </c>
      <c r="N291" s="3" t="str">
        <f>IF(ISERROR(VLOOKUP($A291,'SegEnds_NonXtal_BW#'!$A:$Z,10,FALSE)+VLOOKUP($A291,A:AL,13,FALSE)-50),"-",(VLOOKUP($A291,'SegEnds_NonXtal_BW#'!$A:$Z,10,FALSE)+VLOOKUP($A291,A:AL,13,FALSE)-50))</f>
        <v>-</v>
      </c>
      <c r="O291" s="3">
        <f>VLOOKUP($A291,'SegEnds_NonXtal_BW#'!$A:$Z,11,FALSE)+VLOOKUP($A291,A:AL,16,FALSE)-50</f>
        <v>833</v>
      </c>
      <c r="P291" s="3">
        <v>860</v>
      </c>
      <c r="Q291" s="3">
        <f>VLOOKUP($A291,'SegEnds_NonXtal_BW#'!$A:$Z,12,FALSE)+VLOOKUP($A291,A:AL,16,FALSE)-50</f>
        <v>866</v>
      </c>
      <c r="R291" s="3" t="str">
        <f>IF(ISERROR(VLOOKUP($A291,'SegEnds_NonXtal_BW#'!$A:$Z,13,FALSE)+VLOOKUP($A291,A:AL,19,FALSE)-50),"-",VLOOKUP($A291,'SegEnds_NonXtal_BW#'!$A:$Z,13,FALSE)+VLOOKUP($A291,A:AL,19,FALSE)-50)</f>
        <v>-</v>
      </c>
      <c r="S291" s="3" t="s">
        <v>23</v>
      </c>
      <c r="T291" s="103" t="str">
        <f>IF(ISERROR(VLOOKUP($A291,'SegEnds_NonXtal_BW#'!$A:$Z,14,FALSE)+VLOOKUP($A291,A:AL,19,FALSE)-50),"-",(VLOOKUP($A291,'SegEnds_NonXtal_BW#'!$A:$Z,14,FALSE)+VLOOKUP($A291,A:AL,19,FALSE)-50))</f>
        <v>-</v>
      </c>
      <c r="U291" s="9">
        <f>IF(ISERROR(VLOOKUP($A291,'SegEnds_NonXtal_BW#'!$A:$Z,15,FALSE)+VLOOKUP($A291,A:AL,22,FALSE)-50),"-",VLOOKUP($A291,'SegEnds_NonXtal_BW#'!$A:$Z,15,FALSE)+VLOOKUP($A291,A:AL,22,FALSE)-50)</f>
        <v>882</v>
      </c>
      <c r="V291" s="3">
        <v>892</v>
      </c>
      <c r="W291" s="3">
        <f>IF(ISERROR(VLOOKUP($A291,'SegEnds_NonXtal_BW#'!$A:$Z,16,FALSE)+VLOOKUP($A291,A:AL,22,FALSE)-50),"-",(VLOOKUP($A291,'SegEnds_NonXtal_BW#'!$A:$Z,16,FALSE)+VLOOKUP($A291,A:AL,22,FALSE)-50))</f>
        <v>910</v>
      </c>
      <c r="X291" s="3">
        <f>IF(ISERROR(VLOOKUP($A291,'SegEnds_NonXtal_BW#'!$A:$Z,17,FALSE)+VLOOKUP($A291,A:AL,25,FALSE)-50),"-",(VLOOKUP($A291,'SegEnds_NonXtal_BW#'!$A:$Z,17,FALSE)+VLOOKUP($A291,A:AL,25,FALSE)-50))</f>
        <v>917</v>
      </c>
      <c r="Y291" s="3">
        <v>917</v>
      </c>
      <c r="Z291" s="3">
        <f t="shared" si="177"/>
        <v>919</v>
      </c>
      <c r="AA291" s="3">
        <f>IF(ISERROR(VLOOKUP($A291,'SegEnds_NonXtal_BW#'!$A:$Z,19,FALSE)+VLOOKUP($A291,A:AL,28,FALSE)-50),"-",(VLOOKUP($A291,'SegEnds_NonXtal_BW#'!$A:$Z,19,FALSE)+VLOOKUP($A291,A:AL,28,FALSE)-50))</f>
        <v>921</v>
      </c>
      <c r="AB291" s="3">
        <v>935</v>
      </c>
      <c r="AC291" s="3">
        <f>IF(ISERROR((VLOOKUP($A291,'SegEnds_NonXtal_BW#'!$A:$Z,20,FALSE)+VLOOKUP($A291,A:AL,28,FALSE)-50)),"-",(VLOOKUP($A291,'SegEnds_NonXtal_BW#'!$A:$Z,20,FALSE)+VLOOKUP($A291,A:AL,28,FALSE)-50))</f>
        <v>954</v>
      </c>
      <c r="AD291" s="3">
        <f>IF(ISERROR(VLOOKUP($A291,'SegEnds_NonXtal_BW#'!$A:$Z,21,FALSE)+VLOOKUP($A291,A:AL,31,FALSE)-50),"-",(VLOOKUP($A291,'SegEnds_NonXtal_BW#'!$A:$Z,21,FALSE)+VLOOKUP($A291,A:AL,31,FALSE)-50))</f>
        <v>1014</v>
      </c>
      <c r="AE291" s="3">
        <v>1035</v>
      </c>
      <c r="AF291" s="3">
        <f>IF(ISERROR((VLOOKUP($A291,'SegEnds_NonXtal_BW#'!$A:$Z,22,FALSE)+VLOOKUP($A291,A:AL,31,FALSE)-50)),"-",(VLOOKUP($A291,'SegEnds_NonXtal_BW#'!$A:$Z,22,FALSE)+VLOOKUP($A291,A:AL,31,FALSE)-50))</f>
        <v>1038</v>
      </c>
      <c r="AG291" s="3">
        <f>IF(ISERROR(VLOOKUP($A291,'SegEnds_NonXtal_BW#'!$A:$Z,23,FALSE)+VLOOKUP($A291,A:AL,34,FALSE)-50),"-",(VLOOKUP($A291,'SegEnds_NonXtal_BW#'!$A:$Z,23,FALSE)+VLOOKUP($A291,A:AL,34,FALSE)-50))</f>
        <v>1045</v>
      </c>
      <c r="AH291" s="3">
        <v>1066</v>
      </c>
      <c r="AI291" s="3">
        <f>IF(ISERROR((VLOOKUP($A291,'SegEnds_NonXtal_BW#'!$A:$Z,24,FALSE)+VLOOKUP($A291,A:AL,34,FALSE)-50)),"-",(VLOOKUP($A291,'SegEnds_NonXtal_BW#'!$A:$Z,24,FALSE)+VLOOKUP($A291,A:AL,34,FALSE)-50))</f>
        <v>1072</v>
      </c>
      <c r="AJ291" s="3">
        <f>IF(ISERROR(VLOOKUP($A291,'SegEnds_NonXtal_BW#'!$A:$Z,25,FALSE)+VLOOKUP($A291,A:AL,37,FALSE)-50),"-",(VLOOKUP($A291,'SegEnds_NonXtal_BW#'!$A:$Z,25,FALSE)+VLOOKUP($A291,A:AL,37,FALSE)-50))</f>
        <v>1073</v>
      </c>
      <c r="AK291" s="3">
        <v>1076</v>
      </c>
      <c r="AL291" s="3">
        <f>IF(ISERROR((VLOOKUP($A291,'SegEnds_NonXtal_BW#'!$A:$Z,26,FALSE)+VLOOKUP($A291,A:AL,37,FALSE)-50)),"-",(VLOOKUP($A291,'SegEnds_NonXtal_BW#'!$A:$Z,26,FALSE)+VLOOKUP($A291,A:AL,37,FALSE)-50))</f>
        <v>1089</v>
      </c>
      <c r="AM291" s="28" t="str">
        <f>VLOOKUP(A291,Classification!A:B,2,FALSE)</f>
        <v>B2</v>
      </c>
      <c r="AN291" s="28" t="b">
        <f t="shared" si="173"/>
        <v>1</v>
      </c>
      <c r="AO291" s="3" t="str">
        <f>IF(ISERROR(MATCH(A291,'SegEnds_Xtal_Prot#'!B:B, 0)), "NoXtal", "Xtal")</f>
        <v>NoXtal</v>
      </c>
      <c r="AP291" s="3" t="str">
        <f t="shared" si="153"/>
        <v>-</v>
      </c>
      <c r="AQ291" s="3" t="str">
        <f t="shared" si="154"/>
        <v>-</v>
      </c>
      <c r="AR291" s="3" t="str">
        <f t="shared" si="155"/>
        <v>-</v>
      </c>
      <c r="AS291" s="3" t="str">
        <f t="shared" si="156"/>
        <v>-</v>
      </c>
      <c r="AT291" s="3" t="str">
        <f t="shared" si="157"/>
        <v>-</v>
      </c>
      <c r="AU291" s="3" t="str">
        <f t="shared" si="158"/>
        <v>-</v>
      </c>
      <c r="AV291" s="3">
        <f t="shared" si="159"/>
        <v>7</v>
      </c>
      <c r="AW291" s="3">
        <f t="shared" si="160"/>
        <v>2</v>
      </c>
      <c r="AX291" s="3">
        <f t="shared" si="161"/>
        <v>60</v>
      </c>
      <c r="AY291" s="3">
        <f t="shared" si="162"/>
        <v>7</v>
      </c>
      <c r="AZ291" s="3">
        <f t="shared" si="163"/>
        <v>1</v>
      </c>
      <c r="BA291" s="3">
        <f>IF(ISERROR(LEN(VLOOKUP(A291,Seqs!A:E,2,FALSE))-AL291),"-",LEN(VLOOKUP(A291,Seqs!A:E,2,FALSE))-AL291)</f>
        <v>249</v>
      </c>
      <c r="BB291" s="16">
        <f t="shared" si="164"/>
        <v>26</v>
      </c>
      <c r="BC291" s="9" t="str">
        <f t="shared" si="165"/>
        <v>-</v>
      </c>
      <c r="BD291" s="3">
        <f t="shared" si="166"/>
        <v>26</v>
      </c>
      <c r="BE291" s="3">
        <f t="shared" si="167"/>
        <v>100</v>
      </c>
    </row>
    <row r="292" spans="1:59" s="3" customFormat="1" x14ac:dyDescent="0.2">
      <c r="A292" s="3" t="s">
        <v>1179</v>
      </c>
      <c r="B292" s="3" t="str">
        <f>LOWER(VLOOKUP(A292,Xtal_Templ!A:B,2,FALSE))</f>
        <v>crfr1_human</v>
      </c>
      <c r="C292" s="3">
        <f>VLOOKUP($A292,'SegEnds_NonXtal_BW#'!$A:$Z,3,FALSE)+D292-50</f>
        <v>750</v>
      </c>
      <c r="D292" s="3">
        <v>777</v>
      </c>
      <c r="E292" s="3">
        <f>IF(ISERROR(VLOOKUP($A292,'SegEnds_NonXtal_BW#'!$A:$Z,4,FALSE)+VLOOKUP($A292,A:AL,4,FALSE)-50),"-",(VLOOKUP($A292,'SegEnds_NonXtal_BW#'!$A:$Z,4,FALSE)+VLOOKUP($A292,A:AL,4,FALSE)-50))</f>
        <v>787</v>
      </c>
      <c r="F292" s="3" t="s">
        <v>23</v>
      </c>
      <c r="G292" s="3" t="s">
        <v>23</v>
      </c>
      <c r="H292" s="3" t="s">
        <v>23</v>
      </c>
      <c r="I292" s="3">
        <f>VLOOKUP($A292,'SegEnds_NonXtal_BW#'!$A:$Z,7,FALSE)+J292-50</f>
        <v>790</v>
      </c>
      <c r="J292" s="3">
        <v>803</v>
      </c>
      <c r="K292" s="3">
        <f>VLOOKUP($A292,'SegEnds_NonXtal_BW#'!$A:$Z,8,FALSE)+VLOOKUP($A292,A:AL,10,FALSE)-50</f>
        <v>816</v>
      </c>
      <c r="L292" s="3" t="str">
        <f>IF(ISERROR(VLOOKUP($A292,'SegEnds_NonXtal_BW#'!$A:$Z,9,FALSE)+VLOOKUP($A292,A:AL,13,FALSE)-50),"-",(VLOOKUP($A292,'SegEnds_NonXtal_BW#'!$A:$Z,9,FALSE)+VLOOKUP($A292,A:AL,13,FALSE)-50))</f>
        <v>-</v>
      </c>
      <c r="M292" s="3" t="s">
        <v>23</v>
      </c>
      <c r="N292" s="3" t="str">
        <f>IF(ISERROR(VLOOKUP($A292,'SegEnds_NonXtal_BW#'!$A:$Z,10,FALSE)+VLOOKUP($A292,A:AL,13,FALSE)-50),"-",(VLOOKUP($A292,'SegEnds_NonXtal_BW#'!$A:$Z,10,FALSE)+VLOOKUP($A292,A:AL,13,FALSE)-50))</f>
        <v>-</v>
      </c>
      <c r="O292" s="3">
        <f>VLOOKUP($A292,'SegEnds_NonXtal_BW#'!$A:$Z,11,FALSE)+VLOOKUP($A292,A:AL,16,FALSE)-50</f>
        <v>823</v>
      </c>
      <c r="P292" s="3">
        <v>850</v>
      </c>
      <c r="Q292" s="3">
        <f>VLOOKUP($A292,'SegEnds_NonXtal_BW#'!$A:$Z,12,FALSE)+VLOOKUP($A292,A:AL,16,FALSE)-50</f>
        <v>856</v>
      </c>
      <c r="R292" s="3" t="str">
        <f>IF(ISERROR(VLOOKUP($A292,'SegEnds_NonXtal_BW#'!$A:$Z,13,FALSE)+VLOOKUP($A292,A:AL,19,FALSE)-50),"-",VLOOKUP($A292,'SegEnds_NonXtal_BW#'!$A:$Z,13,FALSE)+VLOOKUP($A292,A:AL,19,FALSE)-50)</f>
        <v>-</v>
      </c>
      <c r="S292" s="3" t="s">
        <v>23</v>
      </c>
      <c r="T292" s="103" t="str">
        <f>IF(ISERROR(VLOOKUP($A292,'SegEnds_NonXtal_BW#'!$A:$Z,14,FALSE)+VLOOKUP($A292,A:AL,19,FALSE)-50),"-",(VLOOKUP($A292,'SegEnds_NonXtal_BW#'!$A:$Z,14,FALSE)+VLOOKUP($A292,A:AL,19,FALSE)-50))</f>
        <v>-</v>
      </c>
      <c r="U292" s="9">
        <f>IF(ISERROR(VLOOKUP($A292,'SegEnds_NonXtal_BW#'!$A:$Z,15,FALSE)+VLOOKUP($A292,A:AL,22,FALSE)-50),"-",VLOOKUP($A292,'SegEnds_NonXtal_BW#'!$A:$Z,15,FALSE)+VLOOKUP($A292,A:AL,22,FALSE)-50)</f>
        <v>872</v>
      </c>
      <c r="V292" s="3">
        <v>882</v>
      </c>
      <c r="W292" s="3">
        <f>IF(ISERROR(VLOOKUP($A292,'SegEnds_NonXtal_BW#'!$A:$Z,16,FALSE)+VLOOKUP($A292,A:AL,22,FALSE)-50),"-",(VLOOKUP($A292,'SegEnds_NonXtal_BW#'!$A:$Z,16,FALSE)+VLOOKUP($A292,A:AL,22,FALSE)-50))</f>
        <v>900</v>
      </c>
      <c r="X292" s="3">
        <f>IF(ISERROR(VLOOKUP($A292,'SegEnds_NonXtal_BW#'!$A:$Z,17,FALSE)+VLOOKUP($A292,A:AL,25,FALSE)-50),"-",(VLOOKUP($A292,'SegEnds_NonXtal_BW#'!$A:$Z,17,FALSE)+VLOOKUP($A292,A:AL,25,FALSE)-50))</f>
        <v>909</v>
      </c>
      <c r="Y292" s="3">
        <v>909</v>
      </c>
      <c r="Z292" s="3">
        <f t="shared" si="177"/>
        <v>911</v>
      </c>
      <c r="AA292" s="3">
        <f>IF(ISERROR(VLOOKUP($A292,'SegEnds_NonXtal_BW#'!$A:$Z,19,FALSE)+VLOOKUP($A292,A:AL,28,FALSE)-50),"-",(VLOOKUP($A292,'SegEnds_NonXtal_BW#'!$A:$Z,19,FALSE)+VLOOKUP($A292,A:AL,28,FALSE)-50))</f>
        <v>913</v>
      </c>
      <c r="AB292" s="3">
        <v>927</v>
      </c>
      <c r="AC292" s="3">
        <f>IF(ISERROR((VLOOKUP($A292,'SegEnds_NonXtal_BW#'!$A:$Z,20,FALSE)+VLOOKUP($A292,A:AL,28,FALSE)-50)),"-",(VLOOKUP($A292,'SegEnds_NonXtal_BW#'!$A:$Z,20,FALSE)+VLOOKUP($A292,A:AL,28,FALSE)-50))</f>
        <v>946</v>
      </c>
      <c r="AD292" s="3">
        <f>IF(ISERROR(VLOOKUP($A292,'SegEnds_NonXtal_BW#'!$A:$Z,21,FALSE)+VLOOKUP($A292,A:AL,31,FALSE)-50),"-",(VLOOKUP($A292,'SegEnds_NonXtal_BW#'!$A:$Z,21,FALSE)+VLOOKUP($A292,A:AL,31,FALSE)-50))</f>
        <v>991</v>
      </c>
      <c r="AE292" s="3">
        <v>1012</v>
      </c>
      <c r="AF292" s="3">
        <f>IF(ISERROR((VLOOKUP($A292,'SegEnds_NonXtal_BW#'!$A:$Z,22,FALSE)+VLOOKUP($A292,A:AL,31,FALSE)-50)),"-",(VLOOKUP($A292,'SegEnds_NonXtal_BW#'!$A:$Z,22,FALSE)+VLOOKUP($A292,A:AL,31,FALSE)-50))</f>
        <v>1015</v>
      </c>
      <c r="AG292" s="3">
        <f>IF(ISERROR(VLOOKUP($A292,'SegEnds_NonXtal_BW#'!$A:$Z,23,FALSE)+VLOOKUP($A292,A:AL,34,FALSE)-50),"-",(VLOOKUP($A292,'SegEnds_NonXtal_BW#'!$A:$Z,23,FALSE)+VLOOKUP($A292,A:AL,34,FALSE)-50))</f>
        <v>1022</v>
      </c>
      <c r="AH292" s="3">
        <v>1043</v>
      </c>
      <c r="AI292" s="3">
        <f>IF(ISERROR((VLOOKUP($A292,'SegEnds_NonXtal_BW#'!$A:$Z,24,FALSE)+VLOOKUP($A292,A:AL,34,FALSE)-50)),"-",(VLOOKUP($A292,'SegEnds_NonXtal_BW#'!$A:$Z,24,FALSE)+VLOOKUP($A292,A:AL,34,FALSE)-50))</f>
        <v>1049</v>
      </c>
      <c r="AJ292" s="3">
        <f>IF(ISERROR(VLOOKUP($A292,'SegEnds_NonXtal_BW#'!$A:$Z,25,FALSE)+VLOOKUP($A292,A:AL,37,FALSE)-50),"-",(VLOOKUP($A292,'SegEnds_NonXtal_BW#'!$A:$Z,25,FALSE)+VLOOKUP($A292,A:AL,37,FALSE)-50))</f>
        <v>1050</v>
      </c>
      <c r="AK292" s="3">
        <v>1053</v>
      </c>
      <c r="AL292" s="3">
        <f>IF(ISERROR((VLOOKUP($A292,'SegEnds_NonXtal_BW#'!$A:$Z,26,FALSE)+VLOOKUP($A292,A:AL,37,FALSE)-50)),"-",(VLOOKUP($A292,'SegEnds_NonXtal_BW#'!$A:$Z,26,FALSE)+VLOOKUP($A292,A:AL,37,FALSE)-50))</f>
        <v>1066</v>
      </c>
      <c r="AM292" s="28" t="str">
        <f>VLOOKUP(A292,Classification!A:B,2,FALSE)</f>
        <v>B2</v>
      </c>
      <c r="AN292" s="28" t="b">
        <f t="shared" si="173"/>
        <v>1</v>
      </c>
      <c r="AO292" s="3" t="str">
        <f>IF(ISERROR(MATCH(A292,'SegEnds_Xtal_Prot#'!B:B, 0)), "NoXtal", "Xtal")</f>
        <v>NoXtal</v>
      </c>
      <c r="AP292" s="3" t="str">
        <f t="shared" si="153"/>
        <v>-</v>
      </c>
      <c r="AQ292" s="3" t="str">
        <f t="shared" si="154"/>
        <v>-</v>
      </c>
      <c r="AR292" s="3" t="str">
        <f t="shared" si="155"/>
        <v>-</v>
      </c>
      <c r="AS292" s="3" t="str">
        <f t="shared" si="156"/>
        <v>-</v>
      </c>
      <c r="AT292" s="3" t="str">
        <f t="shared" si="157"/>
        <v>-</v>
      </c>
      <c r="AU292" s="3" t="str">
        <f t="shared" si="158"/>
        <v>-</v>
      </c>
      <c r="AV292" s="3">
        <f t="shared" si="159"/>
        <v>9</v>
      </c>
      <c r="AW292" s="3">
        <f t="shared" si="160"/>
        <v>2</v>
      </c>
      <c r="AX292" s="3">
        <f t="shared" si="161"/>
        <v>45</v>
      </c>
      <c r="AY292" s="3">
        <f t="shared" si="162"/>
        <v>7</v>
      </c>
      <c r="AZ292" s="3">
        <f t="shared" si="163"/>
        <v>1</v>
      </c>
      <c r="BA292" s="3">
        <f>IF(ISERROR(LEN(VLOOKUP(A292,Seqs!A:E,2,FALSE))-AL292),"-",LEN(VLOOKUP(A292,Seqs!A:E,2,FALSE))-AL292)</f>
        <v>255</v>
      </c>
      <c r="BB292" s="16">
        <f t="shared" si="164"/>
        <v>26</v>
      </c>
      <c r="BC292" s="9" t="str">
        <f t="shared" si="165"/>
        <v>-</v>
      </c>
      <c r="BD292" s="3">
        <f t="shared" si="166"/>
        <v>26</v>
      </c>
      <c r="BE292" s="3">
        <f t="shared" si="167"/>
        <v>85</v>
      </c>
    </row>
    <row r="293" spans="1:59" s="3" customFormat="1" x14ac:dyDescent="0.2">
      <c r="A293" s="3" t="s">
        <v>1180</v>
      </c>
      <c r="B293" s="3" t="str">
        <f>LOWER(VLOOKUP(A293,Xtal_Templ!A:B,2,FALSE))</f>
        <v>crfr1_human</v>
      </c>
      <c r="C293" s="3">
        <f>VLOOKUP($A293,'SegEnds_NonXtal_BW#'!$A:$Z,3,FALSE)+D293-50</f>
        <v>920</v>
      </c>
      <c r="D293" s="3">
        <v>947</v>
      </c>
      <c r="E293" s="3">
        <f>IF(ISERROR(VLOOKUP($A293,'SegEnds_NonXtal_BW#'!$A:$Z,4,FALSE)+VLOOKUP($A293,A:AL,4,FALSE)-50),"-",(VLOOKUP($A293,'SegEnds_NonXtal_BW#'!$A:$Z,4,FALSE)+VLOOKUP($A293,A:AL,4,FALSE)-50))</f>
        <v>957</v>
      </c>
      <c r="F293" s="3" t="s">
        <v>23</v>
      </c>
      <c r="G293" s="3" t="s">
        <v>23</v>
      </c>
      <c r="H293" s="3" t="s">
        <v>23</v>
      </c>
      <c r="I293" s="3">
        <f>VLOOKUP($A293,'SegEnds_NonXtal_BW#'!$A:$Z,7,FALSE)+J293-50</f>
        <v>963</v>
      </c>
      <c r="J293" s="3">
        <v>976</v>
      </c>
      <c r="K293" s="3">
        <f>VLOOKUP($A293,'SegEnds_NonXtal_BW#'!$A:$Z,8,FALSE)+VLOOKUP($A293,A:AL,10,FALSE)-50</f>
        <v>989</v>
      </c>
      <c r="L293" s="3" t="str">
        <f>IF(ISERROR(VLOOKUP($A293,'SegEnds_NonXtal_BW#'!$A:$Z,9,FALSE)+VLOOKUP($A293,A:AL,13,FALSE)-50),"-",(VLOOKUP($A293,'SegEnds_NonXtal_BW#'!$A:$Z,9,FALSE)+VLOOKUP($A293,A:AL,13,FALSE)-50))</f>
        <v>-</v>
      </c>
      <c r="M293" s="3" t="s">
        <v>23</v>
      </c>
      <c r="N293" s="3" t="str">
        <f>IF(ISERROR(VLOOKUP($A293,'SegEnds_NonXtal_BW#'!$A:$Z,10,FALSE)+VLOOKUP($A293,A:AL,13,FALSE)-50),"-",(VLOOKUP($A293,'SegEnds_NonXtal_BW#'!$A:$Z,10,FALSE)+VLOOKUP($A293,A:AL,13,FALSE)-50))</f>
        <v>-</v>
      </c>
      <c r="O293" s="3">
        <f>VLOOKUP($A293,'SegEnds_NonXtal_BW#'!$A:$Z,11,FALSE)+VLOOKUP($A293,A:AL,16,FALSE)-50</f>
        <v>994</v>
      </c>
      <c r="P293" s="3">
        <v>1021</v>
      </c>
      <c r="Q293" s="3">
        <f>VLOOKUP($A293,'SegEnds_NonXtal_BW#'!$A:$Z,12,FALSE)+VLOOKUP($A293,A:AL,16,FALSE)-50</f>
        <v>1027</v>
      </c>
      <c r="R293" s="3" t="str">
        <f>IF(ISERROR(VLOOKUP($A293,'SegEnds_NonXtal_BW#'!$A:$Z,13,FALSE)+VLOOKUP($A293,A:AL,19,FALSE)-50),"-",VLOOKUP($A293,'SegEnds_NonXtal_BW#'!$A:$Z,13,FALSE)+VLOOKUP($A293,A:AL,19,FALSE)-50)</f>
        <v>-</v>
      </c>
      <c r="S293" s="3" t="s">
        <v>23</v>
      </c>
      <c r="T293" s="103" t="str">
        <f>IF(ISERROR(VLOOKUP($A293,'SegEnds_NonXtal_BW#'!$A:$Z,14,FALSE)+VLOOKUP($A293,A:AL,19,FALSE)-50),"-",(VLOOKUP($A293,'SegEnds_NonXtal_BW#'!$A:$Z,14,FALSE)+VLOOKUP($A293,A:AL,19,FALSE)-50))</f>
        <v>-</v>
      </c>
      <c r="U293" s="9">
        <f>IF(ISERROR(VLOOKUP($A293,'SegEnds_NonXtal_BW#'!$A:$Z,15,FALSE)+VLOOKUP($A293,A:AL,22,FALSE)-50),"-",VLOOKUP($A293,'SegEnds_NonXtal_BW#'!$A:$Z,15,FALSE)+VLOOKUP($A293,A:AL,22,FALSE)-50)</f>
        <v>1033</v>
      </c>
      <c r="V293" s="3">
        <v>1043</v>
      </c>
      <c r="W293" s="3">
        <f>IF(ISERROR(VLOOKUP($A293,'SegEnds_NonXtal_BW#'!$A:$Z,16,FALSE)+VLOOKUP($A293,A:AL,22,FALSE)-50),"-",(VLOOKUP($A293,'SegEnds_NonXtal_BW#'!$A:$Z,16,FALSE)+VLOOKUP($A293,A:AL,22,FALSE)-50))</f>
        <v>1061</v>
      </c>
      <c r="X293" s="3">
        <f>IF(ISERROR(VLOOKUP($A293,'SegEnds_NonXtal_BW#'!$A:$Z,17,FALSE)+VLOOKUP($A293,A:AL,25,FALSE)-50),"-",(VLOOKUP($A293,'SegEnds_NonXtal_BW#'!$A:$Z,17,FALSE)+VLOOKUP($A293,A:AL,25,FALSE)-50))</f>
        <v>1068</v>
      </c>
      <c r="Y293" s="3">
        <v>1068</v>
      </c>
      <c r="Z293" s="3">
        <f t="shared" si="177"/>
        <v>1070</v>
      </c>
      <c r="AA293" s="3">
        <f>IF(ISERROR(VLOOKUP($A293,'SegEnds_NonXtal_BW#'!$A:$Z,19,FALSE)+VLOOKUP($A293,A:AL,28,FALSE)-50),"-",(VLOOKUP($A293,'SegEnds_NonXtal_BW#'!$A:$Z,19,FALSE)+VLOOKUP($A293,A:AL,28,FALSE)-50))</f>
        <v>1073</v>
      </c>
      <c r="AB293" s="3">
        <v>1087</v>
      </c>
      <c r="AC293" s="3">
        <f>IF(ISERROR((VLOOKUP($A293,'SegEnds_NonXtal_BW#'!$A:$Z,20,FALSE)+VLOOKUP($A293,A:AL,28,FALSE)-50)),"-",(VLOOKUP($A293,'SegEnds_NonXtal_BW#'!$A:$Z,20,FALSE)+VLOOKUP($A293,A:AL,28,FALSE)-50))</f>
        <v>1106</v>
      </c>
      <c r="AD293" s="3">
        <f>IF(ISERROR(VLOOKUP($A293,'SegEnds_NonXtal_BW#'!$A:$Z,21,FALSE)+VLOOKUP($A293,A:AL,31,FALSE)-50),"-",(VLOOKUP($A293,'SegEnds_NonXtal_BW#'!$A:$Z,21,FALSE)+VLOOKUP($A293,A:AL,31,FALSE)-50))</f>
        <v>1149</v>
      </c>
      <c r="AE293" s="3">
        <v>1170</v>
      </c>
      <c r="AF293" s="3">
        <f>IF(ISERROR((VLOOKUP($A293,'SegEnds_NonXtal_BW#'!$A:$Z,22,FALSE)+VLOOKUP($A293,A:AL,31,FALSE)-50)),"-",(VLOOKUP($A293,'SegEnds_NonXtal_BW#'!$A:$Z,22,FALSE)+VLOOKUP($A293,A:AL,31,FALSE)-50))</f>
        <v>1173</v>
      </c>
      <c r="AG293" s="3">
        <f>IF(ISERROR(VLOOKUP($A293,'SegEnds_NonXtal_BW#'!$A:$Z,23,FALSE)+VLOOKUP($A293,A:AL,34,FALSE)-50),"-",(VLOOKUP($A293,'SegEnds_NonXtal_BW#'!$A:$Z,23,FALSE)+VLOOKUP($A293,A:AL,34,FALSE)-50))</f>
        <v>1180</v>
      </c>
      <c r="AH293" s="3">
        <v>1199</v>
      </c>
      <c r="AI293" s="3">
        <f>IF(ISERROR((VLOOKUP($A293,'SegEnds_NonXtal_BW#'!$A:$Z,24,FALSE)+VLOOKUP($A293,A:AL,34,FALSE)-50)),"-",(VLOOKUP($A293,'SegEnds_NonXtal_BW#'!$A:$Z,24,FALSE)+VLOOKUP($A293,A:AL,34,FALSE)-50))</f>
        <v>1205</v>
      </c>
      <c r="AJ293" s="3">
        <f>IF(ISERROR(VLOOKUP($A293,'SegEnds_NonXtal_BW#'!$A:$Z,25,FALSE)+VLOOKUP($A293,A:AL,37,FALSE)-50),"-",(VLOOKUP($A293,'SegEnds_NonXtal_BW#'!$A:$Z,25,FALSE)+VLOOKUP($A293,A:AL,37,FALSE)-50))</f>
        <v>1206</v>
      </c>
      <c r="AK293" s="3">
        <v>1209</v>
      </c>
      <c r="AL293" s="3">
        <f>IF(ISERROR((VLOOKUP($A293,'SegEnds_NonXtal_BW#'!$A:$Z,26,FALSE)+VLOOKUP($A293,A:AL,37,FALSE)-50)),"-",(VLOOKUP($A293,'SegEnds_NonXtal_BW#'!$A:$Z,26,FALSE)+VLOOKUP($A293,A:AL,37,FALSE)-50))</f>
        <v>1222</v>
      </c>
      <c r="AM293" s="28" t="str">
        <f>VLOOKUP(A293,Classification!A:B,2,FALSE)</f>
        <v>B2</v>
      </c>
      <c r="AN293" s="28" t="b">
        <f t="shared" si="173"/>
        <v>1</v>
      </c>
      <c r="AO293" s="3" t="str">
        <f>IF(ISERROR(MATCH(A293,'SegEnds_Xtal_Prot#'!B:B, 0)), "NoXtal", "Xtal")</f>
        <v>NoXtal</v>
      </c>
      <c r="AP293" s="3" t="str">
        <f t="shared" si="153"/>
        <v>-</v>
      </c>
      <c r="AQ293" s="3" t="str">
        <f t="shared" si="154"/>
        <v>-</v>
      </c>
      <c r="AR293" s="3" t="str">
        <f t="shared" si="155"/>
        <v>-</v>
      </c>
      <c r="AS293" s="3" t="str">
        <f t="shared" si="156"/>
        <v>-</v>
      </c>
      <c r="AT293" s="3" t="str">
        <f t="shared" si="157"/>
        <v>-</v>
      </c>
      <c r="AU293" s="3" t="str">
        <f t="shared" si="158"/>
        <v>-</v>
      </c>
      <c r="AV293" s="3">
        <f t="shared" si="159"/>
        <v>7</v>
      </c>
      <c r="AW293" s="3">
        <f t="shared" si="160"/>
        <v>3</v>
      </c>
      <c r="AX293" s="3">
        <f t="shared" si="161"/>
        <v>43</v>
      </c>
      <c r="AY293" s="3">
        <f t="shared" si="162"/>
        <v>7</v>
      </c>
      <c r="AZ293" s="3">
        <f t="shared" si="163"/>
        <v>1</v>
      </c>
      <c r="BA293" s="3">
        <f>IF(ISERROR(LEN(VLOOKUP(A293,Seqs!A:E,2,FALSE))-AL293),"-",LEN(VLOOKUP(A293,Seqs!A:E,2,FALSE))-AL293)</f>
        <v>363</v>
      </c>
      <c r="BB293" s="16">
        <f t="shared" si="164"/>
        <v>29</v>
      </c>
      <c r="BC293" s="9" t="str">
        <f t="shared" si="165"/>
        <v>-</v>
      </c>
      <c r="BD293" s="3">
        <f t="shared" si="166"/>
        <v>29</v>
      </c>
      <c r="BE293" s="3">
        <f t="shared" si="167"/>
        <v>83</v>
      </c>
    </row>
    <row r="294" spans="1:59" s="3" customFormat="1" x14ac:dyDescent="0.2">
      <c r="A294" s="3" t="s">
        <v>1181</v>
      </c>
      <c r="B294" s="3" t="str">
        <f>LOWER(VLOOKUP(A294,Xtal_Templ!A:B,2,FALSE))</f>
        <v>crfr1_human</v>
      </c>
      <c r="C294" s="3">
        <f>VLOOKUP($A294,'SegEnds_NonXtal_BW#'!$A:$Z,3,FALSE)+D294-50</f>
        <v>865</v>
      </c>
      <c r="D294" s="3">
        <v>892</v>
      </c>
      <c r="E294" s="3">
        <f>IF(ISERROR(VLOOKUP($A294,'SegEnds_NonXtal_BW#'!$A:$Z,4,FALSE)+VLOOKUP($A294,A:AL,4,FALSE)-50),"-",(VLOOKUP($A294,'SegEnds_NonXtal_BW#'!$A:$Z,4,FALSE)+VLOOKUP($A294,A:AL,4,FALSE)-50))</f>
        <v>902</v>
      </c>
      <c r="F294" s="3" t="s">
        <v>23</v>
      </c>
      <c r="G294" s="3" t="s">
        <v>23</v>
      </c>
      <c r="H294" s="3" t="s">
        <v>23</v>
      </c>
      <c r="I294" s="3">
        <f>VLOOKUP($A294,'SegEnds_NonXtal_BW#'!$A:$Z,7,FALSE)+J294-50</f>
        <v>908</v>
      </c>
      <c r="J294" s="3">
        <v>921</v>
      </c>
      <c r="K294" s="3">
        <f>VLOOKUP($A294,'SegEnds_NonXtal_BW#'!$A:$Z,8,FALSE)+VLOOKUP($A294,A:AL,10,FALSE)-50</f>
        <v>934</v>
      </c>
      <c r="L294" s="3" t="str">
        <f>IF(ISERROR(VLOOKUP($A294,'SegEnds_NonXtal_BW#'!$A:$Z,9,FALSE)+VLOOKUP($A294,A:AL,13,FALSE)-50),"-",(VLOOKUP($A294,'SegEnds_NonXtal_BW#'!$A:$Z,9,FALSE)+VLOOKUP($A294,A:AL,13,FALSE)-50))</f>
        <v>-</v>
      </c>
      <c r="M294" s="3" t="s">
        <v>23</v>
      </c>
      <c r="N294" s="3" t="str">
        <f>IF(ISERROR(VLOOKUP($A294,'SegEnds_NonXtal_BW#'!$A:$Z,10,FALSE)+VLOOKUP($A294,A:AL,13,FALSE)-50),"-",(VLOOKUP($A294,'SegEnds_NonXtal_BW#'!$A:$Z,10,FALSE)+VLOOKUP($A294,A:AL,13,FALSE)-50))</f>
        <v>-</v>
      </c>
      <c r="O294" s="3">
        <f>VLOOKUP($A294,'SegEnds_NonXtal_BW#'!$A:$Z,11,FALSE)+VLOOKUP($A294,A:AL,16,FALSE)-50</f>
        <v>939</v>
      </c>
      <c r="P294" s="3">
        <v>966</v>
      </c>
      <c r="Q294" s="3">
        <f>VLOOKUP($A294,'SegEnds_NonXtal_BW#'!$A:$Z,12,FALSE)+VLOOKUP($A294,A:AL,16,FALSE)-50</f>
        <v>972</v>
      </c>
      <c r="R294" s="3" t="str">
        <f>IF(ISERROR(VLOOKUP($A294,'SegEnds_NonXtal_BW#'!$A:$Z,13,FALSE)+VLOOKUP($A294,A:AL,19,FALSE)-50),"-",VLOOKUP($A294,'SegEnds_NonXtal_BW#'!$A:$Z,13,FALSE)+VLOOKUP($A294,A:AL,19,FALSE)-50)</f>
        <v>-</v>
      </c>
      <c r="S294" s="3" t="s">
        <v>23</v>
      </c>
      <c r="T294" s="103" t="str">
        <f>IF(ISERROR(VLOOKUP($A294,'SegEnds_NonXtal_BW#'!$A:$Z,14,FALSE)+VLOOKUP($A294,A:AL,19,FALSE)-50),"-",(VLOOKUP($A294,'SegEnds_NonXtal_BW#'!$A:$Z,14,FALSE)+VLOOKUP($A294,A:AL,19,FALSE)-50))</f>
        <v>-</v>
      </c>
      <c r="U294" s="9">
        <f>IF(ISERROR(VLOOKUP($A294,'SegEnds_NonXtal_BW#'!$A:$Z,15,FALSE)+VLOOKUP($A294,A:AL,22,FALSE)-50),"-",VLOOKUP($A294,'SegEnds_NonXtal_BW#'!$A:$Z,15,FALSE)+VLOOKUP($A294,A:AL,22,FALSE)-50)</f>
        <v>978</v>
      </c>
      <c r="V294" s="3">
        <v>988</v>
      </c>
      <c r="W294" s="3">
        <f>IF(ISERROR(VLOOKUP($A294,'SegEnds_NonXtal_BW#'!$A:$Z,16,FALSE)+VLOOKUP($A294,A:AL,22,FALSE)-50),"-",(VLOOKUP($A294,'SegEnds_NonXtal_BW#'!$A:$Z,16,FALSE)+VLOOKUP($A294,A:AL,22,FALSE)-50))</f>
        <v>1006</v>
      </c>
      <c r="X294" s="3">
        <f>IF(ISERROR(VLOOKUP($A294,'SegEnds_NonXtal_BW#'!$A:$Z,17,FALSE)+VLOOKUP($A294,A:AL,25,FALSE)-50),"-",(VLOOKUP($A294,'SegEnds_NonXtal_BW#'!$A:$Z,17,FALSE)+VLOOKUP($A294,A:AL,25,FALSE)-50))</f>
        <v>1013</v>
      </c>
      <c r="Y294" s="3">
        <v>1013</v>
      </c>
      <c r="Z294" s="3">
        <f t="shared" si="177"/>
        <v>1015</v>
      </c>
      <c r="AA294" s="3">
        <f>IF(ISERROR(VLOOKUP($A294,'SegEnds_NonXtal_BW#'!$A:$Z,19,FALSE)+VLOOKUP($A294,A:AL,28,FALSE)-50),"-",(VLOOKUP($A294,'SegEnds_NonXtal_BW#'!$A:$Z,19,FALSE)+VLOOKUP($A294,A:AL,28,FALSE)-50))</f>
        <v>1018</v>
      </c>
      <c r="AB294" s="3">
        <v>1032</v>
      </c>
      <c r="AC294" s="3">
        <f>IF(ISERROR((VLOOKUP($A294,'SegEnds_NonXtal_BW#'!$A:$Z,20,FALSE)+VLOOKUP($A294,A:AL,28,FALSE)-50)),"-",(VLOOKUP($A294,'SegEnds_NonXtal_BW#'!$A:$Z,20,FALSE)+VLOOKUP($A294,A:AL,28,FALSE)-50))</f>
        <v>1051</v>
      </c>
      <c r="AD294" s="3">
        <f>IF(ISERROR(VLOOKUP($A294,'SegEnds_NonXtal_BW#'!$A:$Z,21,FALSE)+VLOOKUP($A294,A:AL,31,FALSE)-50),"-",(VLOOKUP($A294,'SegEnds_NonXtal_BW#'!$A:$Z,21,FALSE)+VLOOKUP($A294,A:AL,31,FALSE)-50))</f>
        <v>1094</v>
      </c>
      <c r="AE294" s="3">
        <v>1115</v>
      </c>
      <c r="AF294" s="3">
        <f>IF(ISERROR((VLOOKUP($A294,'SegEnds_NonXtal_BW#'!$A:$Z,22,FALSE)+VLOOKUP($A294,A:AL,31,FALSE)-50)),"-",(VLOOKUP($A294,'SegEnds_NonXtal_BW#'!$A:$Z,22,FALSE)+VLOOKUP($A294,A:AL,31,FALSE)-50))</f>
        <v>1118</v>
      </c>
      <c r="AG294" s="3">
        <f>IF(ISERROR(VLOOKUP($A294,'SegEnds_NonXtal_BW#'!$A:$Z,23,FALSE)+VLOOKUP($A294,A:AL,34,FALSE)-50),"-",(VLOOKUP($A294,'SegEnds_NonXtal_BW#'!$A:$Z,23,FALSE)+VLOOKUP($A294,A:AL,34,FALSE)-50))</f>
        <v>1125</v>
      </c>
      <c r="AH294" s="3">
        <v>1144</v>
      </c>
      <c r="AI294" s="3">
        <f>IF(ISERROR((VLOOKUP($A294,'SegEnds_NonXtal_BW#'!$A:$Z,24,FALSE)+VLOOKUP($A294,A:AL,34,FALSE)-50)),"-",(VLOOKUP($A294,'SegEnds_NonXtal_BW#'!$A:$Z,24,FALSE)+VLOOKUP($A294,A:AL,34,FALSE)-50))</f>
        <v>1150</v>
      </c>
      <c r="AJ294" s="3">
        <f>IF(ISERROR(VLOOKUP($A294,'SegEnds_NonXtal_BW#'!$A:$Z,25,FALSE)+VLOOKUP($A294,A:AL,37,FALSE)-50),"-",(VLOOKUP($A294,'SegEnds_NonXtal_BW#'!$A:$Z,25,FALSE)+VLOOKUP($A294,A:AL,37,FALSE)-50))</f>
        <v>1151</v>
      </c>
      <c r="AK294" s="3">
        <v>1154</v>
      </c>
      <c r="AL294" s="3">
        <f>IF(ISERROR((VLOOKUP($A294,'SegEnds_NonXtal_BW#'!$A:$Z,26,FALSE)+VLOOKUP($A294,A:AL,37,FALSE)-50)),"-",(VLOOKUP($A294,'SegEnds_NonXtal_BW#'!$A:$Z,26,FALSE)+VLOOKUP($A294,A:AL,37,FALSE)-50))</f>
        <v>1167</v>
      </c>
      <c r="AM294" s="28" t="str">
        <f>VLOOKUP(A294,Classification!A:B,2,FALSE)</f>
        <v>B2</v>
      </c>
      <c r="AN294" s="28" t="b">
        <f t="shared" si="173"/>
        <v>1</v>
      </c>
      <c r="AO294" s="3" t="str">
        <f>IF(ISERROR(MATCH(A294,'SegEnds_Xtal_Prot#'!B:B, 0)), "NoXtal", "Xtal")</f>
        <v>NoXtal</v>
      </c>
      <c r="AP294" s="3" t="str">
        <f t="shared" si="153"/>
        <v>-</v>
      </c>
      <c r="AQ294" s="3" t="str">
        <f t="shared" si="154"/>
        <v>-</v>
      </c>
      <c r="AR294" s="3" t="str">
        <f t="shared" si="155"/>
        <v>-</v>
      </c>
      <c r="AS294" s="3" t="str">
        <f t="shared" si="156"/>
        <v>-</v>
      </c>
      <c r="AT294" s="3" t="str">
        <f t="shared" si="157"/>
        <v>-</v>
      </c>
      <c r="AU294" s="3" t="str">
        <f t="shared" si="158"/>
        <v>-</v>
      </c>
      <c r="AV294" s="3">
        <f t="shared" si="159"/>
        <v>7</v>
      </c>
      <c r="AW294" s="3">
        <f t="shared" si="160"/>
        <v>3</v>
      </c>
      <c r="AX294" s="3">
        <f t="shared" si="161"/>
        <v>43</v>
      </c>
      <c r="AY294" s="3">
        <f t="shared" si="162"/>
        <v>7</v>
      </c>
      <c r="AZ294" s="3">
        <f t="shared" si="163"/>
        <v>1</v>
      </c>
      <c r="BA294" s="3">
        <f>IF(ISERROR(LEN(VLOOKUP(A294,Seqs!A:E,2,FALSE))-AL294),"-",LEN(VLOOKUP(A294,Seqs!A:E,2,FALSE))-AL294)</f>
        <v>355</v>
      </c>
      <c r="BB294" s="16">
        <f t="shared" si="164"/>
        <v>29</v>
      </c>
      <c r="BC294" s="9" t="str">
        <f t="shared" si="165"/>
        <v>-</v>
      </c>
      <c r="BD294" s="3">
        <f t="shared" si="166"/>
        <v>29</v>
      </c>
      <c r="BE294" s="3">
        <f t="shared" si="167"/>
        <v>83</v>
      </c>
    </row>
    <row r="295" spans="1:59" s="3" customFormat="1" x14ac:dyDescent="0.2">
      <c r="A295" s="3" t="s">
        <v>1182</v>
      </c>
      <c r="B295" s="3" t="str">
        <f>LOWER(VLOOKUP(A295,Xtal_Templ!A:B,2,FALSE))</f>
        <v>crfr1_human</v>
      </c>
      <c r="C295" s="3">
        <f>VLOOKUP($A295,'SegEnds_NonXtal_BW#'!$A:$Z,3,FALSE)+D295-50</f>
        <v>554</v>
      </c>
      <c r="D295" s="3">
        <v>581</v>
      </c>
      <c r="E295" s="3">
        <f>IF(ISERROR(VLOOKUP($A295,'SegEnds_NonXtal_BW#'!$A:$Z,4,FALSE)+VLOOKUP($A295,A:AL,4,FALSE)-50),"-",(VLOOKUP($A295,'SegEnds_NonXtal_BW#'!$A:$Z,4,FALSE)+VLOOKUP($A295,A:AL,4,FALSE)-50))</f>
        <v>591</v>
      </c>
      <c r="F295" s="3">
        <f>G295-2</f>
        <v>592</v>
      </c>
      <c r="G295" s="3">
        <v>594</v>
      </c>
      <c r="H295" s="3">
        <f>G295+1</f>
        <v>595</v>
      </c>
      <c r="I295" s="3">
        <f>H295+1</f>
        <v>596</v>
      </c>
      <c r="J295" s="3">
        <v>612</v>
      </c>
      <c r="K295" s="3">
        <f>VLOOKUP($A295,'SegEnds_NonXtal_BW#'!$A:$Z,8,FALSE)+VLOOKUP($A295,A:AL,10,FALSE)-50</f>
        <v>625</v>
      </c>
      <c r="L295" s="3" t="str">
        <f>IF(ISERROR(VLOOKUP($A295,'SegEnds_NonXtal_BW#'!$A:$Z,9,FALSE)+VLOOKUP($A295,A:AL,13,FALSE)-50),"-",(VLOOKUP($A295,'SegEnds_NonXtal_BW#'!$A:$Z,9,FALSE)+VLOOKUP($A295,A:AL,13,FALSE)-50))</f>
        <v>-</v>
      </c>
      <c r="M295" s="3" t="s">
        <v>23</v>
      </c>
      <c r="N295" s="3" t="str">
        <f>IF(ISERROR(VLOOKUP($A295,'SegEnds_NonXtal_BW#'!$A:$Z,10,FALSE)+VLOOKUP($A295,A:AL,13,FALSE)-50),"-",(VLOOKUP($A295,'SegEnds_NonXtal_BW#'!$A:$Z,10,FALSE)+VLOOKUP($A295,A:AL,13,FALSE)-50))</f>
        <v>-</v>
      </c>
      <c r="O295" s="3">
        <f>VLOOKUP($A295,'SegEnds_NonXtal_BW#'!$A:$Z,11,FALSE)+VLOOKUP($A295,A:AL,16,FALSE)-50</f>
        <v>630</v>
      </c>
      <c r="P295" s="3">
        <v>657</v>
      </c>
      <c r="Q295" s="3">
        <f>VLOOKUP($A295,'SegEnds_NonXtal_BW#'!$A:$Z,12,FALSE)+VLOOKUP($A295,A:AL,16,FALSE)-50</f>
        <v>663</v>
      </c>
      <c r="R295" s="3" t="str">
        <f>IF(ISERROR(VLOOKUP($A295,'SegEnds_NonXtal_BW#'!$A:$Z,13,FALSE)+VLOOKUP($A295,A:AL,19,FALSE)-50),"-",VLOOKUP($A295,'SegEnds_NonXtal_BW#'!$A:$Z,13,FALSE)+VLOOKUP($A295,A:AL,19,FALSE)-50)</f>
        <v>-</v>
      </c>
      <c r="S295" s="3" t="s">
        <v>23</v>
      </c>
      <c r="T295" s="103" t="str">
        <f>IF(ISERROR(VLOOKUP($A295,'SegEnds_NonXtal_BW#'!$A:$Z,14,FALSE)+VLOOKUP($A295,A:AL,19,FALSE)-50),"-",(VLOOKUP($A295,'SegEnds_NonXtal_BW#'!$A:$Z,14,FALSE)+VLOOKUP($A295,A:AL,19,FALSE)-50))</f>
        <v>-</v>
      </c>
      <c r="U295" s="9">
        <f>IF(ISERROR(VLOOKUP($A295,'SegEnds_NonXtal_BW#'!$A:$Z,15,FALSE)+VLOOKUP($A295,A:AL,22,FALSE)-50),"-",VLOOKUP($A295,'SegEnds_NonXtal_BW#'!$A:$Z,15,FALSE)+VLOOKUP($A295,A:AL,22,FALSE)-50)</f>
        <v>670</v>
      </c>
      <c r="V295" s="3">
        <v>680</v>
      </c>
      <c r="W295" s="3">
        <f>IF(ISERROR(VLOOKUP($A295,'SegEnds_NonXtal_BW#'!$A:$Z,16,FALSE)+VLOOKUP($A295,A:AL,22,FALSE)-50),"-",(VLOOKUP($A295,'SegEnds_NonXtal_BW#'!$A:$Z,16,FALSE)+VLOOKUP($A295,A:AL,22,FALSE)-50))</f>
        <v>698</v>
      </c>
      <c r="X295" s="3">
        <f>IF(ISERROR(VLOOKUP($A295,'SegEnds_NonXtal_BW#'!$A:$Z,17,FALSE)+VLOOKUP($A295,A:AL,25,FALSE)-50),"-",(VLOOKUP($A295,'SegEnds_NonXtal_BW#'!$A:$Z,17,FALSE)+VLOOKUP($A295,A:AL,25,FALSE)-50))</f>
        <v>704</v>
      </c>
      <c r="Y295" s="3">
        <v>704</v>
      </c>
      <c r="Z295" s="3">
        <f t="shared" si="177"/>
        <v>706</v>
      </c>
      <c r="AA295" s="3">
        <f>IF(ISERROR(VLOOKUP($A295,'SegEnds_NonXtal_BW#'!$A:$Z,19,FALSE)+VLOOKUP($A295,A:AL,28,FALSE)-50),"-",(VLOOKUP($A295,'SegEnds_NonXtal_BW#'!$A:$Z,19,FALSE)+VLOOKUP($A295,A:AL,28,FALSE)-50))</f>
        <v>709</v>
      </c>
      <c r="AB295" s="3">
        <v>723</v>
      </c>
      <c r="AC295" s="3">
        <f>IF(ISERROR((VLOOKUP($A295,'SegEnds_NonXtal_BW#'!$A:$Z,20,FALSE)+VLOOKUP($A295,A:AL,28,FALSE)-50)),"-",(VLOOKUP($A295,'SegEnds_NonXtal_BW#'!$A:$Z,20,FALSE)+VLOOKUP($A295,A:AL,28,FALSE)-50))</f>
        <v>742</v>
      </c>
      <c r="AD295" s="3">
        <f>IF(ISERROR(VLOOKUP($A295,'SegEnds_NonXtal_BW#'!$A:$Z,21,FALSE)+VLOOKUP($A295,A:AL,31,FALSE)-50),"-",(VLOOKUP($A295,'SegEnds_NonXtal_BW#'!$A:$Z,21,FALSE)+VLOOKUP($A295,A:AL,31,FALSE)-50))</f>
        <v>754</v>
      </c>
      <c r="AE295" s="3">
        <v>775</v>
      </c>
      <c r="AF295" s="3">
        <f>IF(ISERROR((VLOOKUP($A295,'SegEnds_NonXtal_BW#'!$A:$Z,22,FALSE)+VLOOKUP($A295,A:AL,31,FALSE)-50)),"-",(VLOOKUP($A295,'SegEnds_NonXtal_BW#'!$A:$Z,22,FALSE)+VLOOKUP($A295,A:AL,31,FALSE)-50))</f>
        <v>778</v>
      </c>
      <c r="AG295" s="3">
        <f>IF(ISERROR(VLOOKUP($A295,'SegEnds_NonXtal_BW#'!$A:$Z,23,FALSE)+VLOOKUP($A295,A:AL,34,FALSE)-50),"-",(VLOOKUP($A295,'SegEnds_NonXtal_BW#'!$A:$Z,23,FALSE)+VLOOKUP($A295,A:AL,34,FALSE)-50))</f>
        <v>784</v>
      </c>
      <c r="AH295" s="3">
        <v>803</v>
      </c>
      <c r="AI295" s="3">
        <f>IF(ISERROR((VLOOKUP($A295,'SegEnds_NonXtal_BW#'!$A:$Z,24,FALSE)+VLOOKUP($A295,A:AL,34,FALSE)-50)),"-",(VLOOKUP($A295,'SegEnds_NonXtal_BW#'!$A:$Z,24,FALSE)+VLOOKUP($A295,A:AL,34,FALSE)-50))</f>
        <v>809</v>
      </c>
      <c r="AJ295" s="3">
        <f>IF(ISERROR(VLOOKUP($A295,'SegEnds_NonXtal_BW#'!$A:$Z,25,FALSE)+VLOOKUP($A295,A:AL,37,FALSE)-50),"-",(VLOOKUP($A295,'SegEnds_NonXtal_BW#'!$A:$Z,25,FALSE)+VLOOKUP($A295,A:AL,37,FALSE)-50))</f>
        <v>810</v>
      </c>
      <c r="AK295" s="3">
        <v>813</v>
      </c>
      <c r="AL295" s="3">
        <f>IF(ISERROR((VLOOKUP($A295,'SegEnds_NonXtal_BW#'!$A:$Z,26,FALSE)+VLOOKUP($A295,A:AL,37,FALSE)-50)),"-",(VLOOKUP($A295,'SegEnds_NonXtal_BW#'!$A:$Z,26,FALSE)+VLOOKUP($A295,A:AL,37,FALSE)-50))</f>
        <v>826</v>
      </c>
      <c r="AM295" s="28" t="str">
        <f>VLOOKUP(A295,Classification!A:B,2,FALSE)</f>
        <v>B2</v>
      </c>
      <c r="AN295" s="28" t="b">
        <f t="shared" si="173"/>
        <v>1</v>
      </c>
      <c r="AO295" s="3" t="str">
        <f>IF(ISERROR(MATCH(A295,'SegEnds_Xtal_Prot#'!B:B, 0)), "NoXtal", "Xtal")</f>
        <v>NoXtal</v>
      </c>
      <c r="AP295" s="3">
        <f t="shared" si="153"/>
        <v>1</v>
      </c>
      <c r="AQ295" s="3">
        <f t="shared" si="154"/>
        <v>1</v>
      </c>
      <c r="AR295" s="3" t="str">
        <f t="shared" si="155"/>
        <v>-</v>
      </c>
      <c r="AS295" s="3" t="str">
        <f t="shared" si="156"/>
        <v>-</v>
      </c>
      <c r="AT295" s="3" t="str">
        <f t="shared" si="157"/>
        <v>-</v>
      </c>
      <c r="AU295" s="3" t="str">
        <f t="shared" si="158"/>
        <v>-</v>
      </c>
      <c r="AV295" s="3">
        <f t="shared" si="159"/>
        <v>6</v>
      </c>
      <c r="AW295" s="3">
        <f t="shared" si="160"/>
        <v>3</v>
      </c>
      <c r="AX295" s="3">
        <f t="shared" si="161"/>
        <v>12</v>
      </c>
      <c r="AY295" s="3">
        <f t="shared" si="162"/>
        <v>6</v>
      </c>
      <c r="AZ295" s="3">
        <f t="shared" si="163"/>
        <v>1</v>
      </c>
      <c r="BA295" s="3">
        <f>IF(ISERROR(LEN(VLOOKUP(A295,Seqs!A:E,2,FALSE))-AL295),"-",LEN(VLOOKUP(A295,Seqs!A:E,2,FALSE))-AL295)</f>
        <v>48</v>
      </c>
      <c r="BB295" s="16">
        <f t="shared" si="164"/>
        <v>31</v>
      </c>
      <c r="BC295" s="9" t="str">
        <f t="shared" si="165"/>
        <v>-</v>
      </c>
      <c r="BD295" s="3">
        <f t="shared" si="166"/>
        <v>31</v>
      </c>
      <c r="BE295" s="3">
        <f t="shared" si="167"/>
        <v>52</v>
      </c>
    </row>
    <row r="296" spans="1:59" s="3" customFormat="1" x14ac:dyDescent="0.2">
      <c r="A296" s="3" t="s">
        <v>1183</v>
      </c>
      <c r="B296" s="3" t="str">
        <f>LOWER(VLOOKUP(A296,Xtal_Templ!A:B,2,FALSE))</f>
        <v>crfr1_human</v>
      </c>
      <c r="C296" s="3">
        <f>VLOOKUP($A296,'SegEnds_NonXtal_BW#'!$A:$Z,3,FALSE)+D296-50</f>
        <v>646</v>
      </c>
      <c r="D296" s="3">
        <v>673</v>
      </c>
      <c r="E296" s="3">
        <f>IF(ISERROR(VLOOKUP($A296,'SegEnds_NonXtal_BW#'!$A:$Z,4,FALSE)+VLOOKUP($A296,A:AL,4,FALSE)-50),"-",(VLOOKUP($A296,'SegEnds_NonXtal_BW#'!$A:$Z,4,FALSE)+VLOOKUP($A296,A:AL,4,FALSE)-50))</f>
        <v>683</v>
      </c>
      <c r="F296" s="3" t="s">
        <v>23</v>
      </c>
      <c r="G296" s="3" t="s">
        <v>23</v>
      </c>
      <c r="H296" s="3" t="s">
        <v>23</v>
      </c>
      <c r="I296" s="3">
        <f>VLOOKUP($A296,'SegEnds_NonXtal_BW#'!$A:$Z,7,FALSE)+J296-50</f>
        <v>688</v>
      </c>
      <c r="J296" s="3">
        <v>701</v>
      </c>
      <c r="K296" s="3">
        <f>VLOOKUP($A296,'SegEnds_NonXtal_BW#'!$A:$Z,8,FALSE)+VLOOKUP($A296,A:AL,10,FALSE)-50</f>
        <v>714</v>
      </c>
      <c r="L296" s="3" t="str">
        <f>IF(ISERROR(VLOOKUP($A296,'SegEnds_NonXtal_BW#'!$A:$Z,9,FALSE)+VLOOKUP($A296,A:AL,13,FALSE)-50),"-",(VLOOKUP($A296,'SegEnds_NonXtal_BW#'!$A:$Z,9,FALSE)+VLOOKUP($A296,A:AL,13,FALSE)-50))</f>
        <v>-</v>
      </c>
      <c r="M296" s="3" t="s">
        <v>23</v>
      </c>
      <c r="N296" s="3" t="str">
        <f>IF(ISERROR(VLOOKUP($A296,'SegEnds_NonXtal_BW#'!$A:$Z,10,FALSE)+VLOOKUP($A296,A:AL,13,FALSE)-50),"-",(VLOOKUP($A296,'SegEnds_NonXtal_BW#'!$A:$Z,10,FALSE)+VLOOKUP($A296,A:AL,13,FALSE)-50))</f>
        <v>-</v>
      </c>
      <c r="O296" s="3">
        <f>VLOOKUP($A296,'SegEnds_NonXtal_BW#'!$A:$Z,11,FALSE)+VLOOKUP($A296,A:AL,16,FALSE)-50</f>
        <v>719</v>
      </c>
      <c r="P296" s="3">
        <v>746</v>
      </c>
      <c r="Q296" s="3">
        <f>VLOOKUP($A296,'SegEnds_NonXtal_BW#'!$A:$Z,12,FALSE)+VLOOKUP($A296,A:AL,16,FALSE)-50</f>
        <v>752</v>
      </c>
      <c r="R296" s="3" t="str">
        <f>IF(ISERROR(VLOOKUP($A296,'SegEnds_NonXtal_BW#'!$A:$Z,13,FALSE)+VLOOKUP($A296,A:AL,19,FALSE)-50),"-",VLOOKUP($A296,'SegEnds_NonXtal_BW#'!$A:$Z,13,FALSE)+VLOOKUP($A296,A:AL,19,FALSE)-50)</f>
        <v>-</v>
      </c>
      <c r="S296" s="3" t="s">
        <v>23</v>
      </c>
      <c r="T296" s="103" t="str">
        <f>IF(ISERROR(VLOOKUP($A296,'SegEnds_NonXtal_BW#'!$A:$Z,14,FALSE)+VLOOKUP($A296,A:AL,19,FALSE)-50),"-",(VLOOKUP($A296,'SegEnds_NonXtal_BW#'!$A:$Z,14,FALSE)+VLOOKUP($A296,A:AL,19,FALSE)-50))</f>
        <v>-</v>
      </c>
      <c r="U296" s="9">
        <f>IF(ISERROR(VLOOKUP($A296,'SegEnds_NonXtal_BW#'!$A:$Z,15,FALSE)+VLOOKUP($A296,A:AL,22,FALSE)-50),"-",VLOOKUP($A296,'SegEnds_NonXtal_BW#'!$A:$Z,15,FALSE)+VLOOKUP($A296,A:AL,22,FALSE)-50)</f>
        <v>759</v>
      </c>
      <c r="V296" s="3">
        <v>769</v>
      </c>
      <c r="W296" s="3">
        <f>IF(ISERROR(VLOOKUP($A296,'SegEnds_NonXtal_BW#'!$A:$Z,16,FALSE)+VLOOKUP($A296,A:AL,22,FALSE)-50),"-",(VLOOKUP($A296,'SegEnds_NonXtal_BW#'!$A:$Z,16,FALSE)+VLOOKUP($A296,A:AL,22,FALSE)-50))</f>
        <v>787</v>
      </c>
      <c r="X296" s="3">
        <f>IF(ISERROR(VLOOKUP($A296,'SegEnds_NonXtal_BW#'!$A:$Z,17,FALSE)+VLOOKUP($A296,A:AL,25,FALSE)-50),"-",(VLOOKUP($A296,'SegEnds_NonXtal_BW#'!$A:$Z,17,FALSE)+VLOOKUP($A296,A:AL,25,FALSE)-50))</f>
        <v>793</v>
      </c>
      <c r="Y296" s="3">
        <v>793</v>
      </c>
      <c r="Z296" s="3">
        <f t="shared" si="177"/>
        <v>795</v>
      </c>
      <c r="AA296" s="3">
        <f>IF(ISERROR(VLOOKUP($A296,'SegEnds_NonXtal_BW#'!$A:$Z,19,FALSE)+VLOOKUP($A296,A:AL,28,FALSE)-50),"-",(VLOOKUP($A296,'SegEnds_NonXtal_BW#'!$A:$Z,19,FALSE)+VLOOKUP($A296,A:AL,28,FALSE)-50))</f>
        <v>798</v>
      </c>
      <c r="AB296" s="3">
        <v>812</v>
      </c>
      <c r="AC296" s="3">
        <f>IF(ISERROR((VLOOKUP($A296,'SegEnds_NonXtal_BW#'!$A:$Z,20,FALSE)+VLOOKUP($A296,A:AL,28,FALSE)-50)),"-",(VLOOKUP($A296,'SegEnds_NonXtal_BW#'!$A:$Z,20,FALSE)+VLOOKUP($A296,A:AL,28,FALSE)-50))</f>
        <v>831</v>
      </c>
      <c r="AD296" s="3">
        <f>IF(ISERROR(VLOOKUP($A296,'SegEnds_NonXtal_BW#'!$A:$Z,21,FALSE)+VLOOKUP($A296,A:AL,31,FALSE)-50),"-",(VLOOKUP($A296,'SegEnds_NonXtal_BW#'!$A:$Z,21,FALSE)+VLOOKUP($A296,A:AL,31,FALSE)-50))</f>
        <v>857</v>
      </c>
      <c r="AE296" s="3">
        <v>878</v>
      </c>
      <c r="AF296" s="3">
        <f>IF(ISERROR((VLOOKUP($A296,'SegEnds_NonXtal_BW#'!$A:$Z,22,FALSE)+VLOOKUP($A296,A:AL,31,FALSE)-50)),"-",(VLOOKUP($A296,'SegEnds_NonXtal_BW#'!$A:$Z,22,FALSE)+VLOOKUP($A296,A:AL,31,FALSE)-50))</f>
        <v>878</v>
      </c>
      <c r="AG296" s="3">
        <f>IF(ISERROR(VLOOKUP($A296,'SegEnds_NonXtal_BW#'!$A:$Z,23,FALSE)+VLOOKUP($A296,A:AL,34,FALSE)-50),"-",(VLOOKUP($A296,'SegEnds_NonXtal_BW#'!$A:$Z,23,FALSE)+VLOOKUP($A296,A:AL,34,FALSE)-50))</f>
        <v>881</v>
      </c>
      <c r="AH296" s="3">
        <v>898</v>
      </c>
      <c r="AI296" s="3">
        <f>IF(ISERROR((VLOOKUP($A296,'SegEnds_NonXtal_BW#'!$A:$Z,24,FALSE)+VLOOKUP($A296,A:AL,34,FALSE)-50)),"-",(VLOOKUP($A296,'SegEnds_NonXtal_BW#'!$A:$Z,24,FALSE)+VLOOKUP($A296,A:AL,34,FALSE)-50))</f>
        <v>904</v>
      </c>
      <c r="AJ296" s="3">
        <f>IF(ISERROR(VLOOKUP($A296,'SegEnds_NonXtal_BW#'!$A:$Z,25,FALSE)+VLOOKUP($A296,A:AL,37,FALSE)-50),"-",(VLOOKUP($A296,'SegEnds_NonXtal_BW#'!$A:$Z,25,FALSE)+VLOOKUP($A296,A:AL,37,FALSE)-50))</f>
        <v>905</v>
      </c>
      <c r="AK296" s="3">
        <v>908</v>
      </c>
      <c r="AL296" s="3">
        <f>IF(ISERROR((VLOOKUP($A296,'SegEnds_NonXtal_BW#'!$A:$Z,26,FALSE)+VLOOKUP($A296,A:AL,37,FALSE)-50)),"-",(VLOOKUP($A296,'SegEnds_NonXtal_BW#'!$A:$Z,26,FALSE)+VLOOKUP($A296,A:AL,37,FALSE)-50))</f>
        <v>921</v>
      </c>
      <c r="AM296" s="28" t="str">
        <f>VLOOKUP(A296,Classification!A:B,2,FALSE)</f>
        <v>B2</v>
      </c>
      <c r="AN296" s="28" t="b">
        <f t="shared" si="173"/>
        <v>1</v>
      </c>
      <c r="AO296" s="3" t="str">
        <f>IF(ISERROR(MATCH(A296,'SegEnds_Xtal_Prot#'!B:B, 0)), "NoXtal", "Xtal")</f>
        <v>NoXtal</v>
      </c>
      <c r="AP296" s="3" t="str">
        <f t="shared" si="153"/>
        <v>-</v>
      </c>
      <c r="AQ296" s="3" t="str">
        <f t="shared" si="154"/>
        <v>-</v>
      </c>
      <c r="AR296" s="3" t="str">
        <f t="shared" si="155"/>
        <v>-</v>
      </c>
      <c r="AS296" s="3" t="str">
        <f t="shared" si="156"/>
        <v>-</v>
      </c>
      <c r="AT296" s="3" t="str">
        <f t="shared" si="157"/>
        <v>-</v>
      </c>
      <c r="AU296" s="3" t="str">
        <f t="shared" si="158"/>
        <v>-</v>
      </c>
      <c r="AV296" s="3">
        <f t="shared" si="159"/>
        <v>6</v>
      </c>
      <c r="AW296" s="3">
        <f t="shared" si="160"/>
        <v>3</v>
      </c>
      <c r="AX296" s="3">
        <f t="shared" si="161"/>
        <v>26</v>
      </c>
      <c r="AY296" s="3">
        <f t="shared" si="162"/>
        <v>3</v>
      </c>
      <c r="AZ296" s="3">
        <f t="shared" si="163"/>
        <v>1</v>
      </c>
      <c r="BA296" s="3">
        <f>IF(ISERROR(LEN(VLOOKUP(A296,Seqs!A:E,2,FALSE))-AL296),"-",LEN(VLOOKUP(A296,Seqs!A:E,2,FALSE))-AL296)</f>
        <v>42</v>
      </c>
      <c r="BB296" s="16">
        <f t="shared" si="164"/>
        <v>28</v>
      </c>
      <c r="BC296" s="9" t="str">
        <f t="shared" si="165"/>
        <v>-</v>
      </c>
      <c r="BD296" s="3">
        <f t="shared" si="166"/>
        <v>28</v>
      </c>
      <c r="BE296" s="3">
        <f t="shared" si="167"/>
        <v>66</v>
      </c>
    </row>
    <row r="297" spans="1:59" s="3" customFormat="1" ht="17" customHeight="1" x14ac:dyDescent="0.2">
      <c r="A297" s="3" t="s">
        <v>1184</v>
      </c>
      <c r="B297" s="3" t="str">
        <f>LOWER(VLOOKUP(A297,Xtal_Templ!A:B,2,FALSE))</f>
        <v>calcr_human</v>
      </c>
      <c r="C297" s="3">
        <f>VLOOKUP($A297,'SegEnds_NonXtal_BW#'!$A:$Z,3,FALSE)+D297-50</f>
        <v>590</v>
      </c>
      <c r="D297" s="3">
        <v>617</v>
      </c>
      <c r="E297" s="3">
        <f>IF(ISERROR(VLOOKUP($A297,'SegEnds_NonXtal_BW#'!$A:$Z,4,FALSE)+VLOOKUP($A297,A:AL,4,FALSE)-50),"-",(VLOOKUP($A297,'SegEnds_NonXtal_BW#'!$A:$Z,4,FALSE)+VLOOKUP($A297,A:AL,4,FALSE)-50))</f>
        <v>627</v>
      </c>
      <c r="F297" s="3" t="s">
        <v>23</v>
      </c>
      <c r="G297" s="3" t="s">
        <v>23</v>
      </c>
      <c r="H297" s="3" t="s">
        <v>23</v>
      </c>
      <c r="I297" s="3">
        <f>VLOOKUP($A297,'SegEnds_NonXtal_BW#'!$A:$Z,7,FALSE)+J297-50</f>
        <v>632</v>
      </c>
      <c r="J297" s="3">
        <v>645</v>
      </c>
      <c r="K297" s="3">
        <f>VLOOKUP($A297,'SegEnds_NonXtal_BW#'!$A:$Z,8,FALSE)+VLOOKUP($A297,A:AL,10,FALSE)-50</f>
        <v>658</v>
      </c>
      <c r="L297" s="3" t="str">
        <f>IF(ISERROR(VLOOKUP($A297,'SegEnds_NonXtal_BW#'!$A:$Z,9,FALSE)+VLOOKUP($A297,A:AL,13,FALSE)-50),"-",(VLOOKUP($A297,'SegEnds_NonXtal_BW#'!$A:$Z,9,FALSE)+VLOOKUP($A297,A:AL,13,FALSE)-50))</f>
        <v>-</v>
      </c>
      <c r="M297" s="3" t="s">
        <v>23</v>
      </c>
      <c r="N297" s="3" t="str">
        <f>IF(ISERROR(VLOOKUP($A297,'SegEnds_NonXtal_BW#'!$A:$Z,10,FALSE)+VLOOKUP($A297,A:AL,13,FALSE)-50),"-",(VLOOKUP($A297,'SegEnds_NonXtal_BW#'!$A:$Z,10,FALSE)+VLOOKUP($A297,A:AL,13,FALSE)-50))</f>
        <v>-</v>
      </c>
      <c r="O297" s="3">
        <f>VLOOKUP($A297,'SegEnds_NonXtal_BW#'!$A:$Z,11,FALSE)+VLOOKUP($A297,A:AL,16,FALSE)-50</f>
        <v>663</v>
      </c>
      <c r="P297" s="3">
        <v>690</v>
      </c>
      <c r="Q297" s="3">
        <f>VLOOKUP($A297,'SegEnds_NonXtal_BW#'!$A:$Z,12,FALSE)+VLOOKUP($A297,A:AL,16,FALSE)-50</f>
        <v>696</v>
      </c>
      <c r="R297" s="3" t="str">
        <f>IF(ISERROR(VLOOKUP($A297,'SegEnds_NonXtal_BW#'!$A:$Z,13,FALSE)+VLOOKUP($A297,A:AL,19,FALSE)-50),"-",VLOOKUP($A297,'SegEnds_NonXtal_BW#'!$A:$Z,13,FALSE)+VLOOKUP($A297,A:AL,19,FALSE)-50)</f>
        <v>-</v>
      </c>
      <c r="S297" s="3" t="s">
        <v>23</v>
      </c>
      <c r="T297" s="103" t="str">
        <f>IF(ISERROR(VLOOKUP($A297,'SegEnds_NonXtal_BW#'!$A:$Z,14,FALSE)+VLOOKUP($A297,A:AL,19,FALSE)-50),"-",(VLOOKUP($A297,'SegEnds_NonXtal_BW#'!$A:$Z,14,FALSE)+VLOOKUP($A297,A:AL,19,FALSE)-50))</f>
        <v>-</v>
      </c>
      <c r="U297" s="9">
        <f>IF(ISERROR(VLOOKUP($A297,'SegEnds_NonXtal_BW#'!$A:$Z,15,FALSE)+VLOOKUP($A297,A:AL,22,FALSE)-50),"-",VLOOKUP($A297,'SegEnds_NonXtal_BW#'!$A:$Z,15,FALSE)+VLOOKUP($A297,A:AL,22,FALSE)-50)</f>
        <v>709</v>
      </c>
      <c r="V297" s="3">
        <v>718</v>
      </c>
      <c r="W297" s="3">
        <f>IF(ISERROR(VLOOKUP($A297,'SegEnds_NonXtal_BW#'!$A:$Z,16,FALSE)+VLOOKUP($A297,A:AL,22,FALSE)-50),"-",(VLOOKUP($A297,'SegEnds_NonXtal_BW#'!$A:$Z,16,FALSE)+VLOOKUP($A297,A:AL,22,FALSE)-50))</f>
        <v>736</v>
      </c>
      <c r="X297" s="3">
        <f>IF(ISERROR(VLOOKUP($A297,'SegEnds_NonXtal_BW#'!$A:$Z,17,FALSE)+VLOOKUP($A297,A:AL,25,FALSE)-50),"-",(VLOOKUP($A297,'SegEnds_NonXtal_BW#'!$A:$Z,17,FALSE)+VLOOKUP($A297,A:AL,25,FALSE)-50))</f>
        <v>742</v>
      </c>
      <c r="Y297" s="3">
        <v>742</v>
      </c>
      <c r="Z297" s="3">
        <f t="shared" si="177"/>
        <v>744</v>
      </c>
      <c r="AA297" s="3">
        <f>IF(ISERROR(VLOOKUP($A297,'SegEnds_NonXtal_BW#'!$A:$Z,19,FALSE)+VLOOKUP($A297,A:AL,28,FALSE)-50),"-",(VLOOKUP($A297,'SegEnds_NonXtal_BW#'!$A:$Z,19,FALSE)+VLOOKUP($A297,A:AL,28,FALSE)-50))</f>
        <v>747</v>
      </c>
      <c r="AB297" s="3">
        <v>761</v>
      </c>
      <c r="AC297" s="3">
        <f>IF(ISERROR((VLOOKUP($A297,'SegEnds_NonXtal_BW#'!$A:$Z,20,FALSE)+VLOOKUP($A297,A:AL,28,FALSE)-50)),"-",(VLOOKUP($A297,'SegEnds_NonXtal_BW#'!$A:$Z,20,FALSE)+VLOOKUP($A297,A:AL,28,FALSE)-50))</f>
        <v>780</v>
      </c>
      <c r="AD297" s="3">
        <f>IF(ISERROR(VLOOKUP($A297,'SegEnds_NonXtal_BW#'!$A:$Z,21,FALSE)+VLOOKUP($A297,A:AL,31,FALSE)-50),"-",(VLOOKUP($A297,'SegEnds_NonXtal_BW#'!$A:$Z,21,FALSE)+VLOOKUP($A297,A:AL,31,FALSE)-50))</f>
        <v>792</v>
      </c>
      <c r="AE297" s="3">
        <v>813</v>
      </c>
      <c r="AF297" s="3">
        <f>IF(ISERROR((VLOOKUP($A297,'SegEnds_NonXtal_BW#'!$A:$Z,22,FALSE)+VLOOKUP($A297,A:AL,31,FALSE)-50)),"-",(VLOOKUP($A297,'SegEnds_NonXtal_BW#'!$A:$Z,22,FALSE)+VLOOKUP($A297,A:AL,31,FALSE)-50))</f>
        <v>816</v>
      </c>
      <c r="AG297" s="3">
        <f>IF(ISERROR(VLOOKUP($A297,'SegEnds_NonXtal_BW#'!$A:$Z,23,FALSE)+VLOOKUP($A297,A:AL,34,FALSE)-50),"-",(VLOOKUP($A297,'SegEnds_NonXtal_BW#'!$A:$Z,23,FALSE)+VLOOKUP($A297,A:AL,34,FALSE)-50))</f>
        <v>822</v>
      </c>
      <c r="AH297" s="3">
        <v>841</v>
      </c>
      <c r="AI297" s="3">
        <f>IF(ISERROR((VLOOKUP($A297,'SegEnds_NonXtal_BW#'!$A:$Z,24,FALSE)+VLOOKUP($A297,A:AL,34,FALSE)-50)),"-",(VLOOKUP($A297,'SegEnds_NonXtal_BW#'!$A:$Z,24,FALSE)+VLOOKUP($A297,A:AL,34,FALSE)-50))</f>
        <v>847</v>
      </c>
      <c r="AJ297" s="3">
        <f>IF(ISERROR(VLOOKUP($A297,'SegEnds_NonXtal_BW#'!$A:$Z,25,FALSE)+VLOOKUP($A297,A:AL,37,FALSE)-50),"-",(VLOOKUP($A297,'SegEnds_NonXtal_BW#'!$A:$Z,25,FALSE)+VLOOKUP($A297,A:AL,37,FALSE)-50))</f>
        <v>848</v>
      </c>
      <c r="AK297" s="3">
        <v>851</v>
      </c>
      <c r="AL297" s="3">
        <f>IF(ISERROR((VLOOKUP($A297,'SegEnds_NonXtal_BW#'!$A:$Z,26,FALSE)+VLOOKUP($A297,A:AL,37,FALSE)-50)),"-",(VLOOKUP($A297,'SegEnds_NonXtal_BW#'!$A:$Z,26,FALSE)+VLOOKUP($A297,A:AL,37,FALSE)-50))</f>
        <v>864</v>
      </c>
      <c r="AM297" s="28" t="str">
        <f>VLOOKUP(A297,Classification!A:B,2,FALSE)</f>
        <v>B2</v>
      </c>
      <c r="AN297" s="28" t="b">
        <f t="shared" si="173"/>
        <v>1</v>
      </c>
      <c r="AO297" s="3" t="str">
        <f>IF(ISERROR(MATCH(A297,'SegEnds_Xtal_Prot#'!B:B, 0)), "NoXtal", "Xtal")</f>
        <v>NoXtal</v>
      </c>
      <c r="AP297" s="3" t="str">
        <f t="shared" si="153"/>
        <v>-</v>
      </c>
      <c r="AQ297" s="3" t="str">
        <f t="shared" si="154"/>
        <v>-</v>
      </c>
      <c r="AR297" s="3" t="str">
        <f t="shared" si="155"/>
        <v>-</v>
      </c>
      <c r="AS297" s="3" t="str">
        <f t="shared" si="156"/>
        <v>-</v>
      </c>
      <c r="AT297" s="3" t="str">
        <f t="shared" si="157"/>
        <v>-</v>
      </c>
      <c r="AU297" s="3" t="str">
        <f t="shared" si="158"/>
        <v>-</v>
      </c>
      <c r="AV297" s="3">
        <f t="shared" si="159"/>
        <v>6</v>
      </c>
      <c r="AW297" s="3">
        <f t="shared" si="160"/>
        <v>3</v>
      </c>
      <c r="AX297" s="3">
        <f t="shared" si="161"/>
        <v>12</v>
      </c>
      <c r="AY297" s="3">
        <f t="shared" si="162"/>
        <v>6</v>
      </c>
      <c r="AZ297" s="3">
        <f t="shared" si="163"/>
        <v>1</v>
      </c>
      <c r="BA297" s="3">
        <f>IF(ISERROR(LEN(VLOOKUP(A297,Seqs!A:E,2,FALSE))-AL297),"-",LEN(VLOOKUP(A297,Seqs!A:E,2,FALSE))-AL297)</f>
        <v>22</v>
      </c>
      <c r="BB297" s="16">
        <f t="shared" si="164"/>
        <v>28</v>
      </c>
      <c r="BC297" s="9" t="str">
        <f t="shared" si="165"/>
        <v>-</v>
      </c>
      <c r="BD297" s="3">
        <f t="shared" si="166"/>
        <v>28</v>
      </c>
      <c r="BE297" s="3">
        <f t="shared" si="167"/>
        <v>52</v>
      </c>
      <c r="BF297" s="3">
        <f>AH297-AE297</f>
        <v>28</v>
      </c>
    </row>
    <row r="298" spans="1:59" s="3" customFormat="1" x14ac:dyDescent="0.2">
      <c r="A298" s="3" t="s">
        <v>1185</v>
      </c>
      <c r="B298" s="3" t="str">
        <f>LOWER(VLOOKUP(A298,Xtal_Templ!A:B,2,FALSE))</f>
        <v>glp1r_human</v>
      </c>
      <c r="C298" s="3">
        <f>VLOOKUP($A298,'SegEnds_NonXtal_BW#'!$A:$Z,3,FALSE)+D298-50</f>
        <v>524</v>
      </c>
      <c r="D298" s="3">
        <v>551</v>
      </c>
      <c r="E298" s="3">
        <f>IF(ISERROR(VLOOKUP($A298,'SegEnds_NonXtal_BW#'!$A:$Z,4,FALSE)+VLOOKUP($A298,A:AL,4,FALSE)-50),"-",(VLOOKUP($A298,'SegEnds_NonXtal_BW#'!$A:$Z,4,FALSE)+VLOOKUP($A298,A:AL,4,FALSE)-50))</f>
        <v>561</v>
      </c>
      <c r="F298" s="3">
        <f>G298-2</f>
        <v>562</v>
      </c>
      <c r="G298" s="3">
        <v>564</v>
      </c>
      <c r="H298" s="3">
        <f t="shared" ref="H298:I300" si="182">G298+1</f>
        <v>565</v>
      </c>
      <c r="I298" s="3">
        <f t="shared" si="182"/>
        <v>566</v>
      </c>
      <c r="J298" s="3">
        <v>579</v>
      </c>
      <c r="K298" s="3">
        <f>VLOOKUP($A298,'SegEnds_NonXtal_BW#'!$A:$Z,8,FALSE)+VLOOKUP($A298,A:AL,10,FALSE)-50</f>
        <v>592</v>
      </c>
      <c r="L298" s="3" t="str">
        <f>IF(ISERROR(VLOOKUP($A298,'SegEnds_NonXtal_BW#'!$A:$Z,9,FALSE)+VLOOKUP($A298,A:AL,13,FALSE)-50),"-",(VLOOKUP($A298,'SegEnds_NonXtal_BW#'!$A:$Z,9,FALSE)+VLOOKUP($A298,A:AL,13,FALSE)-50))</f>
        <v>-</v>
      </c>
      <c r="M298" s="3" t="s">
        <v>23</v>
      </c>
      <c r="N298" s="3" t="str">
        <f>IF(ISERROR(VLOOKUP($A298,'SegEnds_NonXtal_BW#'!$A:$Z,10,FALSE)+VLOOKUP($A298,A:AL,13,FALSE)-50),"-",(VLOOKUP($A298,'SegEnds_NonXtal_BW#'!$A:$Z,10,FALSE)+VLOOKUP($A298,A:AL,13,FALSE)-50))</f>
        <v>-</v>
      </c>
      <c r="O298" s="3">
        <f>VLOOKUP($A298,'SegEnds_NonXtal_BW#'!$A:$Z,11,FALSE)+VLOOKUP($A298,A:AL,16,FALSE)-50</f>
        <v>597</v>
      </c>
      <c r="P298" s="3">
        <v>624</v>
      </c>
      <c r="Q298" s="3">
        <f>VLOOKUP($A298,'SegEnds_NonXtal_BW#'!$A:$Z,12,FALSE)+VLOOKUP($A298,A:AL,16,FALSE)-50</f>
        <v>630</v>
      </c>
      <c r="R298" s="3" t="str">
        <f>IF(ISERROR(VLOOKUP($A298,'SegEnds_NonXtal_BW#'!$A:$Z,13,FALSE)+VLOOKUP($A298,A:AL,19,FALSE)-50),"-",VLOOKUP($A298,'SegEnds_NonXtal_BW#'!$A:$Z,13,FALSE)+VLOOKUP($A298,A:AL,19,FALSE)-50)</f>
        <v>-</v>
      </c>
      <c r="S298" s="3" t="s">
        <v>23</v>
      </c>
      <c r="T298" s="103" t="str">
        <f>IF(ISERROR(VLOOKUP($A298,'SegEnds_NonXtal_BW#'!$A:$Z,14,FALSE)+VLOOKUP($A298,A:AL,19,FALSE)-50),"-",(VLOOKUP($A298,'SegEnds_NonXtal_BW#'!$A:$Z,14,FALSE)+VLOOKUP($A298,A:AL,19,FALSE)-50))</f>
        <v>-</v>
      </c>
      <c r="U298" s="9">
        <f>IF(ISERROR(VLOOKUP($A298,'SegEnds_NonXtal_BW#'!$A:$Z,15,FALSE)+VLOOKUP($A298,A:AL,22,FALSE)-50),"-",VLOOKUP($A298,'SegEnds_NonXtal_BW#'!$A:$Z,15,FALSE)+VLOOKUP($A298,A:AL,22,FALSE)-50)</f>
        <v>640</v>
      </c>
      <c r="V298" s="3">
        <v>652</v>
      </c>
      <c r="W298" s="3">
        <f>IF(ISERROR(VLOOKUP($A298,'SegEnds_NonXtal_BW#'!$A:$Z,16,FALSE)+VLOOKUP($A298,A:AL,22,FALSE)-50),"-",(VLOOKUP($A298,'SegEnds_NonXtal_BW#'!$A:$Z,16,FALSE)+VLOOKUP($A298,A:AL,22,FALSE)-50))</f>
        <v>670</v>
      </c>
      <c r="X298" s="3">
        <f>IF(ISERROR(VLOOKUP($A298,'SegEnds_NonXtal_BW#'!$A:$Z,17,FALSE)+VLOOKUP($A298,A:AL,25,FALSE)-50),"-",(VLOOKUP($A298,'SegEnds_NonXtal_BW#'!$A:$Z,17,FALSE)+VLOOKUP($A298,A:AL,25,FALSE)-50))</f>
        <v>676</v>
      </c>
      <c r="Y298" s="3">
        <v>676</v>
      </c>
      <c r="Z298" s="3">
        <f t="shared" ref="Z298:Z329" si="183">Y298+2</f>
        <v>678</v>
      </c>
      <c r="AA298" s="3">
        <f>IF(ISERROR(VLOOKUP($A298,'SegEnds_NonXtal_BW#'!$A:$Z,19,FALSE)+VLOOKUP($A298,A:AL,28,FALSE)-50),"-",(VLOOKUP($A298,'SegEnds_NonXtal_BW#'!$A:$Z,19,FALSE)+VLOOKUP($A298,A:AL,28,FALSE)-50))</f>
        <v>681</v>
      </c>
      <c r="AB298" s="3">
        <v>695</v>
      </c>
      <c r="AC298" s="3">
        <f>IF(ISERROR((VLOOKUP($A298,'SegEnds_NonXtal_BW#'!$A:$Z,20,FALSE)+VLOOKUP($A298,A:AL,28,FALSE)-50)),"-",(VLOOKUP($A298,'SegEnds_NonXtal_BW#'!$A:$Z,20,FALSE)+VLOOKUP($A298,A:AL,28,FALSE)-50))</f>
        <v>714</v>
      </c>
      <c r="AD298" s="3">
        <f>IF(ISERROR(VLOOKUP($A298,'SegEnds_NonXtal_BW#'!$A:$Z,21,FALSE)+VLOOKUP($A298,A:AL,31,FALSE)-50),"-",(VLOOKUP($A298,'SegEnds_NonXtal_BW#'!$A:$Z,21,FALSE)+VLOOKUP($A298,A:AL,31,FALSE)-50))</f>
        <v>726</v>
      </c>
      <c r="AE298" s="3">
        <v>747</v>
      </c>
      <c r="AF298" s="3">
        <f>IF(ISERROR((VLOOKUP($A298,'SegEnds_NonXtal_BW#'!$A:$Z,22,FALSE)+VLOOKUP($A298,A:AL,31,FALSE)-50)),"-",(VLOOKUP($A298,'SegEnds_NonXtal_BW#'!$A:$Z,22,FALSE)+VLOOKUP($A298,A:AL,31,FALSE)-50))</f>
        <v>755</v>
      </c>
      <c r="AG298" s="3">
        <f>IF(ISERROR(VLOOKUP($A298,'SegEnds_NonXtal_BW#'!$A:$Z,23,FALSE)+VLOOKUP($A298,A:AL,34,FALSE)-50),"-",(VLOOKUP($A298,'SegEnds_NonXtal_BW#'!$A:$Z,23,FALSE)+VLOOKUP($A298,A:AL,34,FALSE)-50))</f>
        <v>756</v>
      </c>
      <c r="AH298" s="3">
        <v>775</v>
      </c>
      <c r="AI298" s="3">
        <f>IF(ISERROR((VLOOKUP($A298,'SegEnds_NonXtal_BW#'!$A:$Z,24,FALSE)+VLOOKUP($A298,A:AL,34,FALSE)-50)),"-",(VLOOKUP($A298,'SegEnds_NonXtal_BW#'!$A:$Z,24,FALSE)+VLOOKUP($A298,A:AL,34,FALSE)-50))</f>
        <v>781</v>
      </c>
      <c r="AJ298" s="3">
        <f>IF(ISERROR(VLOOKUP($A298,'SegEnds_NonXtal_BW#'!$A:$Z,25,FALSE)+VLOOKUP($A298,A:AL,37,FALSE)-50),"-",(VLOOKUP($A298,'SegEnds_NonXtal_BW#'!$A:$Z,25,FALSE)+VLOOKUP($A298,A:AL,37,FALSE)-50))</f>
        <v>782</v>
      </c>
      <c r="AK298" s="3">
        <v>785</v>
      </c>
      <c r="AL298" s="3">
        <f>IF(ISERROR((VLOOKUP($A298,'SegEnds_NonXtal_BW#'!$A:$Z,26,FALSE)+VLOOKUP($A298,A:AL,37,FALSE)-50)),"-",(VLOOKUP($A298,'SegEnds_NonXtal_BW#'!$A:$Z,26,FALSE)+VLOOKUP($A298,A:AL,37,FALSE)-50))</f>
        <v>798</v>
      </c>
      <c r="AM298" s="28" t="str">
        <f>VLOOKUP(A298,Classification!A:B,2,FALSE)</f>
        <v>B2</v>
      </c>
      <c r="AN298" s="28" t="b">
        <f t="shared" si="173"/>
        <v>1</v>
      </c>
      <c r="AO298" s="3" t="str">
        <f>IF(ISERROR(MATCH(A298,'SegEnds_Xtal_Prot#'!B:B, 0)), "NoXtal", "Xtal")</f>
        <v>NoXtal</v>
      </c>
      <c r="AP298" s="3">
        <f t="shared" si="153"/>
        <v>1</v>
      </c>
      <c r="AQ298" s="3">
        <f t="shared" si="154"/>
        <v>1</v>
      </c>
      <c r="AR298" s="3" t="str">
        <f t="shared" si="155"/>
        <v>-</v>
      </c>
      <c r="AS298" s="3" t="str">
        <f t="shared" si="156"/>
        <v>-</v>
      </c>
      <c r="AT298" s="3" t="str">
        <f t="shared" si="157"/>
        <v>-</v>
      </c>
      <c r="AU298" s="3" t="str">
        <f t="shared" si="158"/>
        <v>-</v>
      </c>
      <c r="AV298" s="3">
        <f t="shared" si="159"/>
        <v>6</v>
      </c>
      <c r="AW298" s="3">
        <f t="shared" si="160"/>
        <v>3</v>
      </c>
      <c r="AX298" s="3">
        <f t="shared" si="161"/>
        <v>12</v>
      </c>
      <c r="AY298" s="3">
        <f t="shared" si="162"/>
        <v>1</v>
      </c>
      <c r="AZ298" s="3">
        <f t="shared" si="163"/>
        <v>1</v>
      </c>
      <c r="BA298" s="3">
        <f>IF(ISERROR(LEN(VLOOKUP(A298,Seqs!A:E,2,FALSE))-AL298),"-",LEN(VLOOKUP(A298,Seqs!A:E,2,FALSE))-AL298)</f>
        <v>25</v>
      </c>
      <c r="BB298" s="16">
        <f t="shared" si="164"/>
        <v>28</v>
      </c>
      <c r="BC298" s="9" t="str">
        <f t="shared" si="165"/>
        <v>-</v>
      </c>
      <c r="BD298" s="3">
        <f t="shared" si="166"/>
        <v>28</v>
      </c>
      <c r="BE298" s="3">
        <f t="shared" si="167"/>
        <v>52</v>
      </c>
      <c r="BF298" s="3">
        <f>AH298-AE298</f>
        <v>28</v>
      </c>
    </row>
    <row r="299" spans="1:59" s="3" customFormat="1" x14ac:dyDescent="0.2">
      <c r="A299" s="3" t="s">
        <v>1186</v>
      </c>
      <c r="B299" s="3" t="str">
        <f>LOWER(VLOOKUP(A299,Xtal_Templ!A:B,2,FALSE))</f>
        <v>crfr1_human</v>
      </c>
      <c r="C299" s="3">
        <f>VLOOKUP($A299,'SegEnds_NonXtal_BW#'!$A:$Z,3,FALSE)+D299-50</f>
        <v>344</v>
      </c>
      <c r="D299" s="3">
        <v>371</v>
      </c>
      <c r="E299" s="3">
        <f>IF(ISERROR(VLOOKUP($A299,'SegEnds_NonXtal_BW#'!$A:$Z,4,FALSE)+VLOOKUP($A299,A:AL,4,FALSE)-50),"-",(VLOOKUP($A299,'SegEnds_NonXtal_BW#'!$A:$Z,4,FALSE)+VLOOKUP($A299,A:AL,4,FALSE)-50))</f>
        <v>381</v>
      </c>
      <c r="F299" s="3">
        <f>G299-2</f>
        <v>382</v>
      </c>
      <c r="G299" s="3">
        <v>384</v>
      </c>
      <c r="H299" s="3">
        <f t="shared" si="182"/>
        <v>385</v>
      </c>
      <c r="I299" s="3">
        <f t="shared" si="182"/>
        <v>386</v>
      </c>
      <c r="J299" s="3">
        <v>399</v>
      </c>
      <c r="K299" s="3">
        <f>VLOOKUP($A299,'SegEnds_NonXtal_BW#'!$A:$Z,8,FALSE)+VLOOKUP($A299,A:AL,10,FALSE)-50</f>
        <v>412</v>
      </c>
      <c r="L299" s="3" t="str">
        <f>IF(ISERROR(VLOOKUP($A299,'SegEnds_NonXtal_BW#'!$A:$Z,9,FALSE)+VLOOKUP($A299,A:AL,13,FALSE)-50),"-",(VLOOKUP($A299,'SegEnds_NonXtal_BW#'!$A:$Z,9,FALSE)+VLOOKUP($A299,A:AL,13,FALSE)-50))</f>
        <v>-</v>
      </c>
      <c r="M299" s="3" t="s">
        <v>23</v>
      </c>
      <c r="N299" s="3" t="str">
        <f>IF(ISERROR(VLOOKUP($A299,'SegEnds_NonXtal_BW#'!$A:$Z,10,FALSE)+VLOOKUP($A299,A:AL,13,FALSE)-50),"-",(VLOOKUP($A299,'SegEnds_NonXtal_BW#'!$A:$Z,10,FALSE)+VLOOKUP($A299,A:AL,13,FALSE)-50))</f>
        <v>-</v>
      </c>
      <c r="O299" s="3">
        <f>VLOOKUP($A299,'SegEnds_NonXtal_BW#'!$A:$Z,11,FALSE)+VLOOKUP($A299,A:AL,16,FALSE)-50</f>
        <v>417</v>
      </c>
      <c r="P299" s="3">
        <v>444</v>
      </c>
      <c r="Q299" s="3">
        <f>VLOOKUP($A299,'SegEnds_NonXtal_BW#'!$A:$Z,12,FALSE)+VLOOKUP($A299,A:AL,16,FALSE)-50</f>
        <v>450</v>
      </c>
      <c r="R299" s="3" t="str">
        <f>IF(ISERROR(VLOOKUP($A299,'SegEnds_NonXtal_BW#'!$A:$Z,13,FALSE)+VLOOKUP($A299,A:AL,19,FALSE)-50),"-",VLOOKUP($A299,'SegEnds_NonXtal_BW#'!$A:$Z,13,FALSE)+VLOOKUP($A299,A:AL,19,FALSE)-50)</f>
        <v>-</v>
      </c>
      <c r="S299" s="3" t="s">
        <v>23</v>
      </c>
      <c r="T299" s="103" t="str">
        <f>IF(ISERROR(VLOOKUP($A299,'SegEnds_NonXtal_BW#'!$A:$Z,14,FALSE)+VLOOKUP($A299,A:AL,19,FALSE)-50),"-",(VLOOKUP($A299,'SegEnds_NonXtal_BW#'!$A:$Z,14,FALSE)+VLOOKUP($A299,A:AL,19,FALSE)-50))</f>
        <v>-</v>
      </c>
      <c r="U299" s="9">
        <f>IF(ISERROR(VLOOKUP($A299,'SegEnds_NonXtal_BW#'!$A:$Z,15,FALSE)+VLOOKUP($A299,A:AL,22,FALSE)-50),"-",VLOOKUP($A299,'SegEnds_NonXtal_BW#'!$A:$Z,15,FALSE)+VLOOKUP($A299,A:AL,22,FALSE)-50)</f>
        <v>462</v>
      </c>
      <c r="V299" s="3">
        <v>472</v>
      </c>
      <c r="W299" s="3">
        <f>IF(ISERROR(VLOOKUP($A299,'SegEnds_NonXtal_BW#'!$A:$Z,16,FALSE)+VLOOKUP($A299,A:AL,22,FALSE)-50),"-",(VLOOKUP($A299,'SegEnds_NonXtal_BW#'!$A:$Z,16,FALSE)+VLOOKUP($A299,A:AL,22,FALSE)-50))</f>
        <v>490</v>
      </c>
      <c r="X299" s="3">
        <f>IF(ISERROR(VLOOKUP($A299,'SegEnds_NonXtal_BW#'!$A:$Z,17,FALSE)+VLOOKUP($A299,A:AL,25,FALSE)-50),"-",(VLOOKUP($A299,'SegEnds_NonXtal_BW#'!$A:$Z,17,FALSE)+VLOOKUP($A299,A:AL,25,FALSE)-50))</f>
        <v>496</v>
      </c>
      <c r="Y299" s="3">
        <v>496</v>
      </c>
      <c r="Z299" s="3">
        <f t="shared" si="183"/>
        <v>498</v>
      </c>
      <c r="AA299" s="3">
        <f>IF(ISERROR(VLOOKUP($A299,'SegEnds_NonXtal_BW#'!$A:$Z,19,FALSE)+VLOOKUP($A299,A:AL,28,FALSE)-50),"-",(VLOOKUP($A299,'SegEnds_NonXtal_BW#'!$A:$Z,19,FALSE)+VLOOKUP($A299,A:AL,28,FALSE)-50))</f>
        <v>501</v>
      </c>
      <c r="AB299" s="3">
        <v>515</v>
      </c>
      <c r="AC299" s="3">
        <f>IF(ISERROR((VLOOKUP($A299,'SegEnds_NonXtal_BW#'!$A:$Z,20,FALSE)+VLOOKUP($A299,A:AL,28,FALSE)-50)),"-",(VLOOKUP($A299,'SegEnds_NonXtal_BW#'!$A:$Z,20,FALSE)+VLOOKUP($A299,A:AL,28,FALSE)-50))</f>
        <v>534</v>
      </c>
      <c r="AD299" s="3">
        <f>IF(ISERROR(VLOOKUP($A299,'SegEnds_NonXtal_BW#'!$A:$Z,21,FALSE)+VLOOKUP($A299,A:AL,31,FALSE)-50),"-",(VLOOKUP($A299,'SegEnds_NonXtal_BW#'!$A:$Z,21,FALSE)+VLOOKUP($A299,A:AL,31,FALSE)-50))</f>
        <v>546</v>
      </c>
      <c r="AE299" s="3">
        <v>567</v>
      </c>
      <c r="AF299" s="3">
        <f>IF(ISERROR((VLOOKUP($A299,'SegEnds_NonXtal_BW#'!$A:$Z,22,FALSE)+VLOOKUP($A299,A:AL,31,FALSE)-50)),"-",(VLOOKUP($A299,'SegEnds_NonXtal_BW#'!$A:$Z,22,FALSE)+VLOOKUP($A299,A:AL,31,FALSE)-50))</f>
        <v>570</v>
      </c>
      <c r="AG299" s="3">
        <f>IF(ISERROR(VLOOKUP($A299,'SegEnds_NonXtal_BW#'!$A:$Z,23,FALSE)+VLOOKUP($A299,A:AL,34,FALSE)-50),"-",(VLOOKUP($A299,'SegEnds_NonXtal_BW#'!$A:$Z,23,FALSE)+VLOOKUP($A299,A:AL,34,FALSE)-50))</f>
        <v>576</v>
      </c>
      <c r="AH299" s="3">
        <v>595</v>
      </c>
      <c r="AI299" s="3">
        <f>IF(ISERROR((VLOOKUP($A299,'SegEnds_NonXtal_BW#'!$A:$Z,24,FALSE)+VLOOKUP($A299,A:AL,34,FALSE)-50)),"-",(VLOOKUP($A299,'SegEnds_NonXtal_BW#'!$A:$Z,24,FALSE)+VLOOKUP($A299,A:AL,34,FALSE)-50))</f>
        <v>601</v>
      </c>
      <c r="AJ299" s="3">
        <f>IF(ISERROR(VLOOKUP($A299,'SegEnds_NonXtal_BW#'!$A:$Z,25,FALSE)+VLOOKUP($A299,A:AL,37,FALSE)-50),"-",(VLOOKUP($A299,'SegEnds_NonXtal_BW#'!$A:$Z,25,FALSE)+VLOOKUP($A299,A:AL,37,FALSE)-50))</f>
        <v>602</v>
      </c>
      <c r="AK299" s="3">
        <v>605</v>
      </c>
      <c r="AL299" s="3">
        <f>IF(ISERROR((VLOOKUP($A299,'SegEnds_NonXtal_BW#'!$A:$Z,26,FALSE)+VLOOKUP($A299,A:AL,37,FALSE)-50)),"-",(VLOOKUP($A299,'SegEnds_NonXtal_BW#'!$A:$Z,26,FALSE)+VLOOKUP($A299,A:AL,37,FALSE)-50))</f>
        <v>618</v>
      </c>
      <c r="AM299" s="28" t="str">
        <f>VLOOKUP(A299,Classification!A:B,2,FALSE)</f>
        <v>B2</v>
      </c>
      <c r="AN299" s="28" t="b">
        <f t="shared" si="173"/>
        <v>1</v>
      </c>
      <c r="AO299" s="3" t="str">
        <f>IF(ISERROR(MATCH(A299,'SegEnds_Xtal_Prot#'!B:B, 0)), "NoXtal", "Xtal")</f>
        <v>NoXtal</v>
      </c>
      <c r="AP299" s="3">
        <f t="shared" si="153"/>
        <v>1</v>
      </c>
      <c r="AQ299" s="3">
        <f t="shared" si="154"/>
        <v>1</v>
      </c>
      <c r="AR299" s="3" t="str">
        <f t="shared" si="155"/>
        <v>-</v>
      </c>
      <c r="AS299" s="3" t="str">
        <f t="shared" si="156"/>
        <v>-</v>
      </c>
      <c r="AT299" s="3" t="str">
        <f t="shared" si="157"/>
        <v>-</v>
      </c>
      <c r="AU299" s="3" t="str">
        <f t="shared" si="158"/>
        <v>-</v>
      </c>
      <c r="AV299" s="3">
        <f t="shared" si="159"/>
        <v>6</v>
      </c>
      <c r="AW299" s="3">
        <f t="shared" si="160"/>
        <v>3</v>
      </c>
      <c r="AX299" s="3">
        <f t="shared" si="161"/>
        <v>12</v>
      </c>
      <c r="AY299" s="3">
        <f t="shared" si="162"/>
        <v>6</v>
      </c>
      <c r="AZ299" s="3">
        <f t="shared" si="163"/>
        <v>1</v>
      </c>
      <c r="BA299" s="3">
        <f>IF(ISERROR(LEN(VLOOKUP(A299,Seqs!A:E,2,FALSE))-AL299),"-",LEN(VLOOKUP(A299,Seqs!A:E,2,FALSE))-AL299)</f>
        <v>34</v>
      </c>
      <c r="BB299" s="16">
        <f t="shared" si="164"/>
        <v>28</v>
      </c>
      <c r="BC299" s="9" t="str">
        <f t="shared" si="165"/>
        <v>-</v>
      </c>
      <c r="BD299" s="3">
        <f t="shared" si="166"/>
        <v>28</v>
      </c>
      <c r="BE299" s="3">
        <f t="shared" si="167"/>
        <v>52</v>
      </c>
      <c r="BF299" s="3">
        <f>AH299-AE299</f>
        <v>28</v>
      </c>
    </row>
    <row r="300" spans="1:59" s="3" customFormat="1" x14ac:dyDescent="0.2">
      <c r="A300" s="3" t="s">
        <v>1187</v>
      </c>
      <c r="B300" s="3" t="str">
        <f>LOWER(VLOOKUP(A300,Xtal_Templ!A:B,2,FALSE))</f>
        <v>glp1r_human</v>
      </c>
      <c r="C300" s="3">
        <f>VLOOKUP($A300,'SegEnds_NonXtal_BW#'!$A:$Z,3,FALSE)+D300-50</f>
        <v>178</v>
      </c>
      <c r="D300" s="3">
        <v>205</v>
      </c>
      <c r="E300" s="3">
        <f>IF(ISERROR(VLOOKUP($A300,'SegEnds_NonXtal_BW#'!$A:$Z,4,FALSE)+VLOOKUP($A300,A:AL,4,FALSE)-50),"-",(VLOOKUP($A300,'SegEnds_NonXtal_BW#'!$A:$Z,4,FALSE)+VLOOKUP($A300,A:AL,4,FALSE)-50))</f>
        <v>215</v>
      </c>
      <c r="F300" s="3">
        <f>G300-2</f>
        <v>216</v>
      </c>
      <c r="G300" s="3">
        <v>218</v>
      </c>
      <c r="H300" s="3">
        <f t="shared" si="182"/>
        <v>219</v>
      </c>
      <c r="I300" s="3">
        <f t="shared" si="182"/>
        <v>220</v>
      </c>
      <c r="J300" s="3">
        <v>233</v>
      </c>
      <c r="K300" s="3">
        <f>VLOOKUP($A300,'SegEnds_NonXtal_BW#'!$A:$Z,8,FALSE)+VLOOKUP($A300,A:AL,10,FALSE)-50</f>
        <v>246</v>
      </c>
      <c r="L300" s="3" t="str">
        <f>IF(ISERROR(VLOOKUP($A300,'SegEnds_NonXtal_BW#'!$A:$Z,9,FALSE)+VLOOKUP($A300,A:AL,13,FALSE)-50),"-",(VLOOKUP($A300,'SegEnds_NonXtal_BW#'!$A:$Z,9,FALSE)+VLOOKUP($A300,A:AL,13,FALSE)-50))</f>
        <v>-</v>
      </c>
      <c r="M300" s="3" t="s">
        <v>23</v>
      </c>
      <c r="N300" s="3" t="str">
        <f>IF(ISERROR(VLOOKUP($A300,'SegEnds_NonXtal_BW#'!$A:$Z,10,FALSE)+VLOOKUP($A300,A:AL,13,FALSE)-50),"-",(VLOOKUP($A300,'SegEnds_NonXtal_BW#'!$A:$Z,10,FALSE)+VLOOKUP($A300,A:AL,13,FALSE)-50))</f>
        <v>-</v>
      </c>
      <c r="O300" s="3">
        <f>VLOOKUP($A300,'SegEnds_NonXtal_BW#'!$A:$Z,11,FALSE)+VLOOKUP($A300,A:AL,16,FALSE)-50</f>
        <v>251</v>
      </c>
      <c r="P300" s="3">
        <v>278</v>
      </c>
      <c r="Q300" s="3">
        <f>VLOOKUP($A300,'SegEnds_NonXtal_BW#'!$A:$Z,12,FALSE)+VLOOKUP($A300,A:AL,16,FALSE)-50</f>
        <v>284</v>
      </c>
      <c r="R300" s="3" t="str">
        <f>IF(ISERROR(VLOOKUP($A300,'SegEnds_NonXtal_BW#'!$A:$Z,13,FALSE)+VLOOKUP($A300,A:AL,19,FALSE)-50),"-",VLOOKUP($A300,'SegEnds_NonXtal_BW#'!$A:$Z,13,FALSE)+VLOOKUP($A300,A:AL,19,FALSE)-50)</f>
        <v>-</v>
      </c>
      <c r="S300" s="3" t="s">
        <v>23</v>
      </c>
      <c r="T300" s="103" t="str">
        <f>IF(ISERROR(VLOOKUP($A300,'SegEnds_NonXtal_BW#'!$A:$Z,14,FALSE)+VLOOKUP($A300,A:AL,19,FALSE)-50),"-",(VLOOKUP($A300,'SegEnds_NonXtal_BW#'!$A:$Z,14,FALSE)+VLOOKUP($A300,A:AL,19,FALSE)-50))</f>
        <v>-</v>
      </c>
      <c r="U300" s="9">
        <f>IF(ISERROR(VLOOKUP($A300,'SegEnds_NonXtal_BW#'!$A:$Z,15,FALSE)+VLOOKUP($A300,A:AL,22,FALSE)-50),"-",VLOOKUP($A300,'SegEnds_NonXtal_BW#'!$A:$Z,15,FALSE)+VLOOKUP($A300,A:AL,22,FALSE)-50)</f>
        <v>294</v>
      </c>
      <c r="V300" s="3">
        <v>306</v>
      </c>
      <c r="W300" s="3">
        <f>IF(ISERROR(VLOOKUP($A300,'SegEnds_NonXtal_BW#'!$A:$Z,16,FALSE)+VLOOKUP($A300,A:AL,22,FALSE)-50),"-",(VLOOKUP($A300,'SegEnds_NonXtal_BW#'!$A:$Z,16,FALSE)+VLOOKUP($A300,A:AL,22,FALSE)-50))</f>
        <v>324</v>
      </c>
      <c r="X300" s="3">
        <f>IF(ISERROR(VLOOKUP($A300,'SegEnds_NonXtal_BW#'!$A:$Z,17,FALSE)+VLOOKUP($A300,A:AL,25,FALSE)-50),"-",(VLOOKUP($A300,'SegEnds_NonXtal_BW#'!$A:$Z,17,FALSE)+VLOOKUP($A300,A:AL,25,FALSE)-50))</f>
        <v>329</v>
      </c>
      <c r="Y300" s="3">
        <v>329</v>
      </c>
      <c r="Z300" s="3">
        <f t="shared" si="183"/>
        <v>331</v>
      </c>
      <c r="AA300" s="3">
        <f>IF(ISERROR(VLOOKUP($A300,'SegEnds_NonXtal_BW#'!$A:$Z,19,FALSE)+VLOOKUP($A300,A:AL,28,FALSE)-50),"-",(VLOOKUP($A300,'SegEnds_NonXtal_BW#'!$A:$Z,19,FALSE)+VLOOKUP($A300,A:AL,28,FALSE)-50))</f>
        <v>334</v>
      </c>
      <c r="AB300" s="3">
        <v>348</v>
      </c>
      <c r="AC300" s="3">
        <f>IF(ISERROR((VLOOKUP($A300,'SegEnds_NonXtal_BW#'!$A:$Z,20,FALSE)+VLOOKUP($A300,A:AL,28,FALSE)-50)),"-",(VLOOKUP($A300,'SegEnds_NonXtal_BW#'!$A:$Z,20,FALSE)+VLOOKUP($A300,A:AL,28,FALSE)-50))</f>
        <v>367</v>
      </c>
      <c r="AD300" s="3">
        <f>IF(ISERROR(VLOOKUP($A300,'SegEnds_NonXtal_BW#'!$A:$Z,21,FALSE)+VLOOKUP($A300,A:AL,31,FALSE)-50),"-",(VLOOKUP($A300,'SegEnds_NonXtal_BW#'!$A:$Z,21,FALSE)+VLOOKUP($A300,A:AL,31,FALSE)-50))</f>
        <v>379</v>
      </c>
      <c r="AE300" s="3">
        <v>400</v>
      </c>
      <c r="AF300" s="3">
        <f>IF(ISERROR((VLOOKUP($A300,'SegEnds_NonXtal_BW#'!$A:$Z,22,FALSE)+VLOOKUP($A300,A:AL,31,FALSE)-50)),"-",(VLOOKUP($A300,'SegEnds_NonXtal_BW#'!$A:$Z,22,FALSE)+VLOOKUP($A300,A:AL,31,FALSE)-50))</f>
        <v>408</v>
      </c>
      <c r="AG300" s="3">
        <f>IF(ISERROR(VLOOKUP($A300,'SegEnds_NonXtal_BW#'!$A:$Z,23,FALSE)+VLOOKUP($A300,A:AL,34,FALSE)-50),"-",(VLOOKUP($A300,'SegEnds_NonXtal_BW#'!$A:$Z,23,FALSE)+VLOOKUP($A300,A:AL,34,FALSE)-50))</f>
        <v>409</v>
      </c>
      <c r="AH300" s="3">
        <v>432</v>
      </c>
      <c r="AI300" s="3">
        <f>IF(ISERROR((VLOOKUP($A300,'SegEnds_NonXtal_BW#'!$A:$Z,24,FALSE)+VLOOKUP($A300,A:AL,34,FALSE)-50)),"-",(VLOOKUP($A300,'SegEnds_NonXtal_BW#'!$A:$Z,24,FALSE)+VLOOKUP($A300,A:AL,34,FALSE)-50))</f>
        <v>438</v>
      </c>
      <c r="AJ300" s="3">
        <f>IF(ISERROR(VLOOKUP($A300,'SegEnds_NonXtal_BW#'!$A:$Z,25,FALSE)+VLOOKUP($A300,A:AL,37,FALSE)-50),"-",(VLOOKUP($A300,'SegEnds_NonXtal_BW#'!$A:$Z,25,FALSE)+VLOOKUP($A300,A:AL,37,FALSE)-50))</f>
        <v>439</v>
      </c>
      <c r="AK300" s="3">
        <v>442</v>
      </c>
      <c r="AL300" s="3">
        <f>IF(ISERROR((VLOOKUP($A300,'SegEnds_NonXtal_BW#'!$A:$Z,26,FALSE)+VLOOKUP($A300,A:AL,37,FALSE)-50)),"-",(VLOOKUP($A300,'SegEnds_NonXtal_BW#'!$A:$Z,26,FALSE)+VLOOKUP($A300,A:AL,37,FALSE)-50))</f>
        <v>455</v>
      </c>
      <c r="AM300" s="28" t="str">
        <f>VLOOKUP(A300,Classification!A:B,2,FALSE)</f>
        <v>B2</v>
      </c>
      <c r="AN300" s="28" t="b">
        <f t="shared" si="173"/>
        <v>1</v>
      </c>
      <c r="AO300" s="3" t="str">
        <f>IF(ISERROR(MATCH(A300,'SegEnds_Xtal_Prot#'!B:B, 0)), "NoXtal", "Xtal")</f>
        <v>NoXtal</v>
      </c>
      <c r="AP300" s="3">
        <f t="shared" si="153"/>
        <v>1</v>
      </c>
      <c r="AQ300" s="3">
        <f t="shared" si="154"/>
        <v>1</v>
      </c>
      <c r="AR300" s="3" t="str">
        <f t="shared" si="155"/>
        <v>-</v>
      </c>
      <c r="AS300" s="3" t="str">
        <f t="shared" si="156"/>
        <v>-</v>
      </c>
      <c r="AT300" s="3" t="str">
        <f t="shared" si="157"/>
        <v>-</v>
      </c>
      <c r="AU300" s="3" t="str">
        <f t="shared" si="158"/>
        <v>-</v>
      </c>
      <c r="AV300" s="3">
        <f t="shared" si="159"/>
        <v>5</v>
      </c>
      <c r="AW300" s="3">
        <f t="shared" si="160"/>
        <v>3</v>
      </c>
      <c r="AX300" s="3">
        <f t="shared" si="161"/>
        <v>12</v>
      </c>
      <c r="AY300" s="3">
        <f t="shared" si="162"/>
        <v>1</v>
      </c>
      <c r="AZ300" s="3">
        <f t="shared" si="163"/>
        <v>1</v>
      </c>
      <c r="BA300" s="3">
        <f>IF(ISERROR(LEN(VLOOKUP(A300,Seqs!A:E,2,FALSE))-AL300),"-",LEN(VLOOKUP(A300,Seqs!A:E,2,FALSE))-AL300)</f>
        <v>2</v>
      </c>
      <c r="BB300" s="16">
        <f t="shared" si="164"/>
        <v>28</v>
      </c>
      <c r="BC300" s="9" t="str">
        <f t="shared" si="165"/>
        <v>-</v>
      </c>
      <c r="BD300" s="3">
        <f t="shared" si="166"/>
        <v>28</v>
      </c>
      <c r="BE300" s="3">
        <f t="shared" si="167"/>
        <v>52</v>
      </c>
      <c r="BF300" s="3">
        <f>AH300-AE300</f>
        <v>32</v>
      </c>
    </row>
    <row r="301" spans="1:59" s="3" customFormat="1" x14ac:dyDescent="0.2">
      <c r="A301" s="3" t="s">
        <v>1188</v>
      </c>
      <c r="B301" s="3" t="str">
        <f>LOWER(VLOOKUP(A301,Xtal_Templ!A:B,2,FALSE))</f>
        <v>crfr1_human</v>
      </c>
      <c r="C301" s="3">
        <f>VLOOKUP($A301,'SegEnds_NonXtal_BW#'!$A:$Z,3,FALSE)+D301-50</f>
        <v>573</v>
      </c>
      <c r="D301" s="3">
        <v>600</v>
      </c>
      <c r="E301" s="3">
        <f>IF(ISERROR(VLOOKUP($A301,'SegEnds_NonXtal_BW#'!$A:$Z,4,FALSE)+VLOOKUP($A301,A:AL,4,FALSE)-50),"-",(VLOOKUP($A301,'SegEnds_NonXtal_BW#'!$A:$Z,4,FALSE)+VLOOKUP($A301,A:AL,4,FALSE)-50))</f>
        <v>610</v>
      </c>
      <c r="F301" s="3" t="s">
        <v>23</v>
      </c>
      <c r="G301" s="3" t="s">
        <v>23</v>
      </c>
      <c r="H301" s="3" t="s">
        <v>23</v>
      </c>
      <c r="I301" s="3">
        <f>VLOOKUP($A301,'SegEnds_NonXtal_BW#'!$A:$Z,7,FALSE)+J301-50</f>
        <v>618</v>
      </c>
      <c r="J301" s="3">
        <v>631</v>
      </c>
      <c r="K301" s="3">
        <f>VLOOKUP($A301,'SegEnds_NonXtal_BW#'!$A:$Z,8,FALSE)+VLOOKUP($A301,A:AL,10,FALSE)-50</f>
        <v>644</v>
      </c>
      <c r="L301" s="3" t="str">
        <f>IF(ISERROR(VLOOKUP($A301,'SegEnds_NonXtal_BW#'!$A:$Z,9,FALSE)+VLOOKUP($A301,A:AL,13,FALSE)-50),"-",(VLOOKUP($A301,'SegEnds_NonXtal_BW#'!$A:$Z,9,FALSE)+VLOOKUP($A301,A:AL,13,FALSE)-50))</f>
        <v>-</v>
      </c>
      <c r="M301" s="3" t="s">
        <v>23</v>
      </c>
      <c r="N301" s="3" t="str">
        <f>IF(ISERROR(VLOOKUP($A301,'SegEnds_NonXtal_BW#'!$A:$Z,10,FALSE)+VLOOKUP($A301,A:AL,13,FALSE)-50),"-",(VLOOKUP($A301,'SegEnds_NonXtal_BW#'!$A:$Z,10,FALSE)+VLOOKUP($A301,A:AL,13,FALSE)-50))</f>
        <v>-</v>
      </c>
      <c r="O301" s="3">
        <f>VLOOKUP($A301,'SegEnds_NonXtal_BW#'!$A:$Z,11,FALSE)+VLOOKUP($A301,A:AL,16,FALSE)-50</f>
        <v>655</v>
      </c>
      <c r="P301" s="3">
        <v>682</v>
      </c>
      <c r="Q301" s="3">
        <f>VLOOKUP($A301,'SegEnds_NonXtal_BW#'!$A:$Z,12,FALSE)+VLOOKUP($A301,A:AL,16,FALSE)-50</f>
        <v>688</v>
      </c>
      <c r="R301" s="3" t="str">
        <f>IF(ISERROR(VLOOKUP($A301,'SegEnds_NonXtal_BW#'!$A:$Z,13,FALSE)+VLOOKUP($A301,A:AL,19,FALSE)-50),"-",VLOOKUP($A301,'SegEnds_NonXtal_BW#'!$A:$Z,13,FALSE)+VLOOKUP($A301,A:AL,19,FALSE)-50)</f>
        <v>-</v>
      </c>
      <c r="S301" s="3" t="s">
        <v>23</v>
      </c>
      <c r="T301" s="103" t="str">
        <f>IF(ISERROR(VLOOKUP($A301,'SegEnds_NonXtal_BW#'!$A:$Z,14,FALSE)+VLOOKUP($A301,A:AL,19,FALSE)-50),"-",(VLOOKUP($A301,'SegEnds_NonXtal_BW#'!$A:$Z,14,FALSE)+VLOOKUP($A301,A:AL,19,FALSE)-50))</f>
        <v>-</v>
      </c>
      <c r="U301" s="9">
        <f>IF(ISERROR(VLOOKUP($A301,'SegEnds_NonXtal_BW#'!$A:$Z,15,FALSE)+VLOOKUP($A301,A:AL,22,FALSE)-50),"-",VLOOKUP($A301,'SegEnds_NonXtal_BW#'!$A:$Z,15,FALSE)+VLOOKUP($A301,A:AL,22,FALSE)-50)</f>
        <v>697</v>
      </c>
      <c r="V301" s="3">
        <v>707</v>
      </c>
      <c r="W301" s="3">
        <f>IF(ISERROR(VLOOKUP($A301,'SegEnds_NonXtal_BW#'!$A:$Z,16,FALSE)+VLOOKUP($A301,A:AL,22,FALSE)-50),"-",(VLOOKUP($A301,'SegEnds_NonXtal_BW#'!$A:$Z,16,FALSE)+VLOOKUP($A301,A:AL,22,FALSE)-50))</f>
        <v>725</v>
      </c>
      <c r="X301" s="3">
        <f>IF(ISERROR(VLOOKUP($A301,'SegEnds_NonXtal_BW#'!$A:$Z,17,FALSE)+VLOOKUP($A301,A:AL,25,FALSE)-50),"-",(VLOOKUP($A301,'SegEnds_NonXtal_BW#'!$A:$Z,17,FALSE)+VLOOKUP($A301,A:AL,25,FALSE)-50))</f>
        <v>733</v>
      </c>
      <c r="Y301" s="3">
        <v>733</v>
      </c>
      <c r="Z301" s="3">
        <f t="shared" si="183"/>
        <v>735</v>
      </c>
      <c r="AA301" s="3">
        <f>IF(ISERROR(VLOOKUP($A301,'SegEnds_NonXtal_BW#'!$A:$Z,19,FALSE)+VLOOKUP($A301,A:AL,28,FALSE)-50),"-",(VLOOKUP($A301,'SegEnds_NonXtal_BW#'!$A:$Z,19,FALSE)+VLOOKUP($A301,A:AL,28,FALSE)-50))</f>
        <v>740</v>
      </c>
      <c r="AB301" s="3">
        <v>754</v>
      </c>
      <c r="AC301" s="3">
        <f>IF(ISERROR((VLOOKUP($A301,'SegEnds_NonXtal_BW#'!$A:$Z,20,FALSE)+VLOOKUP($A301,A:AL,28,FALSE)-50)),"-",(VLOOKUP($A301,'SegEnds_NonXtal_BW#'!$A:$Z,20,FALSE)+VLOOKUP($A301,A:AL,28,FALSE)-50))</f>
        <v>773</v>
      </c>
      <c r="AD301" s="3">
        <f>IF(ISERROR(VLOOKUP($A301,'SegEnds_NonXtal_BW#'!$A:$Z,21,FALSE)+VLOOKUP($A301,A:AL,31,FALSE)-50),"-",(VLOOKUP($A301,'SegEnds_NonXtal_BW#'!$A:$Z,21,FALSE)+VLOOKUP($A301,A:AL,31,FALSE)-50))</f>
        <v>785</v>
      </c>
      <c r="AE301" s="3">
        <v>806</v>
      </c>
      <c r="AF301" s="3">
        <f>IF(ISERROR((VLOOKUP($A301,'SegEnds_NonXtal_BW#'!$A:$Z,22,FALSE)+VLOOKUP($A301,A:AL,31,FALSE)-50)),"-",(VLOOKUP($A301,'SegEnds_NonXtal_BW#'!$A:$Z,22,FALSE)+VLOOKUP($A301,A:AL,31,FALSE)-50))</f>
        <v>809</v>
      </c>
      <c r="AG301" s="3">
        <f>IF(ISERROR(VLOOKUP($A301,'SegEnds_NonXtal_BW#'!$A:$Z,23,FALSE)+VLOOKUP($A301,A:AL,34,FALSE)-50),"-",(VLOOKUP($A301,'SegEnds_NonXtal_BW#'!$A:$Z,23,FALSE)+VLOOKUP($A301,A:AL,34,FALSE)-50))</f>
        <v>816</v>
      </c>
      <c r="AH301" s="3">
        <v>835</v>
      </c>
      <c r="AI301" s="3">
        <f>IF(ISERROR((VLOOKUP($A301,'SegEnds_NonXtal_BW#'!$A:$Z,24,FALSE)+VLOOKUP($A301,A:AL,34,FALSE)-50)),"-",(VLOOKUP($A301,'SegEnds_NonXtal_BW#'!$A:$Z,24,FALSE)+VLOOKUP($A301,A:AL,34,FALSE)-50))</f>
        <v>841</v>
      </c>
      <c r="AJ301" s="3">
        <f>IF(ISERROR(VLOOKUP($A301,'SegEnds_NonXtal_BW#'!$A:$Z,25,FALSE)+VLOOKUP($A301,A:AL,37,FALSE)-50),"-",(VLOOKUP($A301,'SegEnds_NonXtal_BW#'!$A:$Z,25,FALSE)+VLOOKUP($A301,A:AL,37,FALSE)-50))</f>
        <v>842</v>
      </c>
      <c r="AK301" s="3">
        <v>845</v>
      </c>
      <c r="AL301" s="3">
        <f>IF(ISERROR((VLOOKUP($A301,'SegEnds_NonXtal_BW#'!$A:$Z,26,FALSE)+VLOOKUP($A301,A:AL,37,FALSE)-50)),"-",(VLOOKUP($A301,'SegEnds_NonXtal_BW#'!$A:$Z,26,FALSE)+VLOOKUP($A301,A:AL,37,FALSE)-50))</f>
        <v>858</v>
      </c>
      <c r="AM301" s="28" t="str">
        <f>VLOOKUP(A301,Classification!A:B,2,FALSE)</f>
        <v>B2</v>
      </c>
      <c r="AN301" s="28" t="b">
        <f t="shared" si="173"/>
        <v>1</v>
      </c>
      <c r="AO301" s="3" t="str">
        <f>IF(ISERROR(MATCH(A301,'SegEnds_Xtal_Prot#'!B:B, 0)), "NoXtal", "Xtal")</f>
        <v>NoXtal</v>
      </c>
      <c r="AP301" s="3" t="str">
        <f t="shared" si="153"/>
        <v>-</v>
      </c>
      <c r="AQ301" s="3" t="str">
        <f t="shared" si="154"/>
        <v>-</v>
      </c>
      <c r="AR301" s="3" t="str">
        <f t="shared" si="155"/>
        <v>-</v>
      </c>
      <c r="AS301" s="3" t="str">
        <f t="shared" si="156"/>
        <v>-</v>
      </c>
      <c r="AT301" s="3" t="str">
        <f t="shared" si="157"/>
        <v>-</v>
      </c>
      <c r="AU301" s="3" t="str">
        <f t="shared" si="158"/>
        <v>-</v>
      </c>
      <c r="AV301" s="3">
        <f t="shared" si="159"/>
        <v>8</v>
      </c>
      <c r="AW301" s="3">
        <f t="shared" si="160"/>
        <v>5</v>
      </c>
      <c r="AX301" s="3">
        <f t="shared" si="161"/>
        <v>12</v>
      </c>
      <c r="AY301" s="3">
        <f t="shared" si="162"/>
        <v>7</v>
      </c>
      <c r="AZ301" s="3">
        <f t="shared" si="163"/>
        <v>1</v>
      </c>
      <c r="BA301" s="3">
        <f>IF(ISERROR(LEN(VLOOKUP(A301,Seqs!A:E,2,FALSE))-AL301),"-",LEN(VLOOKUP(A301,Seqs!A:E,2,FALSE))-AL301)</f>
        <v>52</v>
      </c>
      <c r="BB301" s="16">
        <f t="shared" si="164"/>
        <v>31</v>
      </c>
      <c r="BC301" s="9" t="str">
        <f t="shared" si="165"/>
        <v>-</v>
      </c>
      <c r="BD301" s="3">
        <f t="shared" si="166"/>
        <v>31</v>
      </c>
      <c r="BE301" s="3">
        <f t="shared" si="167"/>
        <v>52</v>
      </c>
    </row>
    <row r="302" spans="1:59" s="3" customFormat="1" x14ac:dyDescent="0.2">
      <c r="A302" s="3" t="s">
        <v>1189</v>
      </c>
      <c r="B302" s="3" t="str">
        <f>LOWER(VLOOKUP(A302,Xtal_Templ!A:B,2,FALSE))</f>
        <v>calcr_human</v>
      </c>
      <c r="C302" s="3">
        <f>VLOOKUP($A302,'SegEnds_NonXtal_BW#'!$A:$Z,3,FALSE)+D302-50</f>
        <v>434</v>
      </c>
      <c r="D302" s="3">
        <v>461</v>
      </c>
      <c r="E302" s="3">
        <f>IF(ISERROR(VLOOKUP($A302,'SegEnds_NonXtal_BW#'!$A:$Z,4,FALSE)+VLOOKUP($A302,A:AL,4,FALSE)-50),"-",(VLOOKUP($A302,'SegEnds_NonXtal_BW#'!$A:$Z,4,FALSE)+VLOOKUP($A302,A:AL,4,FALSE)-50))</f>
        <v>471</v>
      </c>
      <c r="F302" s="3" t="s">
        <v>23</v>
      </c>
      <c r="G302" s="3" t="s">
        <v>23</v>
      </c>
      <c r="H302" s="3" t="s">
        <v>23</v>
      </c>
      <c r="I302" s="3">
        <f>VLOOKUP($A302,'SegEnds_NonXtal_BW#'!$A:$Z,7,FALSE)+J302-50</f>
        <v>479</v>
      </c>
      <c r="J302" s="3">
        <v>492</v>
      </c>
      <c r="K302" s="3">
        <f>VLOOKUP($A302,'SegEnds_NonXtal_BW#'!$A:$Z,8,FALSE)+VLOOKUP($A302,A:AL,10,FALSE)-50</f>
        <v>505</v>
      </c>
      <c r="L302" s="3" t="str">
        <f>IF(ISERROR(VLOOKUP($A302,'SegEnds_NonXtal_BW#'!$A:$Z,9,FALSE)+VLOOKUP($A302,A:AL,13,FALSE)-50),"-",(VLOOKUP($A302,'SegEnds_NonXtal_BW#'!$A:$Z,9,FALSE)+VLOOKUP($A302,A:AL,13,FALSE)-50))</f>
        <v>-</v>
      </c>
      <c r="M302" s="3" t="s">
        <v>23</v>
      </c>
      <c r="N302" s="3" t="str">
        <f>IF(ISERROR(VLOOKUP($A302,'SegEnds_NonXtal_BW#'!$A:$Z,10,FALSE)+VLOOKUP($A302,A:AL,13,FALSE)-50),"-",(VLOOKUP($A302,'SegEnds_NonXtal_BW#'!$A:$Z,10,FALSE)+VLOOKUP($A302,A:AL,13,FALSE)-50))</f>
        <v>-</v>
      </c>
      <c r="O302" s="3">
        <f>VLOOKUP($A302,'SegEnds_NonXtal_BW#'!$A:$Z,11,FALSE)+VLOOKUP($A302,A:AL,16,FALSE)-50</f>
        <v>516</v>
      </c>
      <c r="P302" s="3">
        <v>543</v>
      </c>
      <c r="Q302" s="3">
        <f>VLOOKUP($A302,'SegEnds_NonXtal_BW#'!$A:$Z,12,FALSE)+VLOOKUP($A302,A:AL,16,FALSE)-50</f>
        <v>549</v>
      </c>
      <c r="R302" s="3" t="str">
        <f>IF(ISERROR(VLOOKUP($A302,'SegEnds_NonXtal_BW#'!$A:$Z,13,FALSE)+VLOOKUP($A302,A:AL,19,FALSE)-50),"-",VLOOKUP($A302,'SegEnds_NonXtal_BW#'!$A:$Z,13,FALSE)+VLOOKUP($A302,A:AL,19,FALSE)-50)</f>
        <v>-</v>
      </c>
      <c r="S302" s="3" t="s">
        <v>23</v>
      </c>
      <c r="T302" s="103" t="str">
        <f>IF(ISERROR(VLOOKUP($A302,'SegEnds_NonXtal_BW#'!$A:$Z,14,FALSE)+VLOOKUP($A302,A:AL,19,FALSE)-50),"-",(VLOOKUP($A302,'SegEnds_NonXtal_BW#'!$A:$Z,14,FALSE)+VLOOKUP($A302,A:AL,19,FALSE)-50))</f>
        <v>-</v>
      </c>
      <c r="U302" s="9">
        <f>IF(ISERROR(VLOOKUP($A302,'SegEnds_NonXtal_BW#'!$A:$Z,15,FALSE)+VLOOKUP($A302,A:AL,22,FALSE)-50),"-",VLOOKUP($A302,'SegEnds_NonXtal_BW#'!$A:$Z,15,FALSE)+VLOOKUP($A302,A:AL,22,FALSE)-50)</f>
        <v>559</v>
      </c>
      <c r="V302" s="3">
        <v>568</v>
      </c>
      <c r="W302" s="3">
        <f>IF(ISERROR(VLOOKUP($A302,'SegEnds_NonXtal_BW#'!$A:$Z,16,FALSE)+VLOOKUP($A302,A:AL,22,FALSE)-50),"-",(VLOOKUP($A302,'SegEnds_NonXtal_BW#'!$A:$Z,16,FALSE)+VLOOKUP($A302,A:AL,22,FALSE)-50))</f>
        <v>586</v>
      </c>
      <c r="X302" s="3">
        <f>IF(ISERROR(VLOOKUP($A302,'SegEnds_NonXtal_BW#'!$A:$Z,17,FALSE)+VLOOKUP($A302,A:AL,25,FALSE)-50),"-",(VLOOKUP($A302,'SegEnds_NonXtal_BW#'!$A:$Z,17,FALSE)+VLOOKUP($A302,A:AL,25,FALSE)-50))</f>
        <v>594</v>
      </c>
      <c r="Y302" s="3">
        <v>594</v>
      </c>
      <c r="Z302" s="3">
        <f t="shared" si="183"/>
        <v>596</v>
      </c>
      <c r="AA302" s="3">
        <f>IF(ISERROR(VLOOKUP($A302,'SegEnds_NonXtal_BW#'!$A:$Z,19,FALSE)+VLOOKUP($A302,A:AL,28,FALSE)-50),"-",(VLOOKUP($A302,'SegEnds_NonXtal_BW#'!$A:$Z,19,FALSE)+VLOOKUP($A302,A:AL,28,FALSE)-50))</f>
        <v>600</v>
      </c>
      <c r="AB302" s="3">
        <v>614</v>
      </c>
      <c r="AC302" s="3">
        <f>IF(ISERROR((VLOOKUP($A302,'SegEnds_NonXtal_BW#'!$A:$Z,20,FALSE)+VLOOKUP($A302,A:AL,28,FALSE)-50)),"-",(VLOOKUP($A302,'SegEnds_NonXtal_BW#'!$A:$Z,20,FALSE)+VLOOKUP($A302,A:AL,28,FALSE)-50))</f>
        <v>633</v>
      </c>
      <c r="AD302" s="3">
        <f>IF(ISERROR(VLOOKUP($A302,'SegEnds_NonXtal_BW#'!$A:$Z,21,FALSE)+VLOOKUP($A302,A:AL,31,FALSE)-50),"-",(VLOOKUP($A302,'SegEnds_NonXtal_BW#'!$A:$Z,21,FALSE)+VLOOKUP($A302,A:AL,31,FALSE)-50))</f>
        <v>650</v>
      </c>
      <c r="AE302" s="3">
        <v>671</v>
      </c>
      <c r="AF302" s="3">
        <f>IF(ISERROR((VLOOKUP($A302,'SegEnds_NonXtal_BW#'!$A:$Z,22,FALSE)+VLOOKUP($A302,A:AL,31,FALSE)-50)),"-",(VLOOKUP($A302,'SegEnds_NonXtal_BW#'!$A:$Z,22,FALSE)+VLOOKUP($A302,A:AL,31,FALSE)-50))</f>
        <v>674</v>
      </c>
      <c r="AG302" s="3">
        <f>IF(ISERROR(VLOOKUP($A302,'SegEnds_NonXtal_BW#'!$A:$Z,23,FALSE)+VLOOKUP($A302,A:AL,34,FALSE)-50),"-",(VLOOKUP($A302,'SegEnds_NonXtal_BW#'!$A:$Z,23,FALSE)+VLOOKUP($A302,A:AL,34,FALSE)-50))</f>
        <v>675</v>
      </c>
      <c r="AH302" s="3">
        <v>694</v>
      </c>
      <c r="AI302" s="3">
        <f>IF(ISERROR((VLOOKUP($A302,'SegEnds_NonXtal_BW#'!$A:$Z,24,FALSE)+VLOOKUP($A302,A:AL,34,FALSE)-50)),"-",(VLOOKUP($A302,'SegEnds_NonXtal_BW#'!$A:$Z,24,FALSE)+VLOOKUP($A302,A:AL,34,FALSE)-50))</f>
        <v>700</v>
      </c>
      <c r="AJ302" s="3" t="s">
        <v>23</v>
      </c>
      <c r="AK302" s="3" t="s">
        <v>23</v>
      </c>
      <c r="AL302" s="3" t="s">
        <v>23</v>
      </c>
      <c r="AM302" s="28" t="str">
        <f>VLOOKUP(A302,Classification!A:B,2,FALSE)</f>
        <v>B2</v>
      </c>
      <c r="AN302" s="28" t="b">
        <f t="shared" si="173"/>
        <v>1</v>
      </c>
      <c r="AO302" s="3" t="str">
        <f>IF(ISERROR(MATCH(A302,'SegEnds_Xtal_Prot#'!B:B, 0)), "NoXtal", "Xtal")</f>
        <v>NoXtal</v>
      </c>
      <c r="AP302" s="3" t="str">
        <f t="shared" si="153"/>
        <v>-</v>
      </c>
      <c r="AQ302" s="3" t="str">
        <f t="shared" si="154"/>
        <v>-</v>
      </c>
      <c r="AR302" s="3" t="str">
        <f t="shared" si="155"/>
        <v>-</v>
      </c>
      <c r="AS302" s="3" t="str">
        <f t="shared" si="156"/>
        <v>-</v>
      </c>
      <c r="AT302" s="3" t="str">
        <f t="shared" si="157"/>
        <v>-</v>
      </c>
      <c r="AU302" s="3" t="str">
        <f t="shared" si="158"/>
        <v>-</v>
      </c>
      <c r="AV302" s="3">
        <f t="shared" si="159"/>
        <v>8</v>
      </c>
      <c r="AW302" s="3">
        <f t="shared" si="160"/>
        <v>4</v>
      </c>
      <c r="AX302" s="3">
        <f t="shared" si="161"/>
        <v>17</v>
      </c>
      <c r="AY302" s="3">
        <f t="shared" si="162"/>
        <v>1</v>
      </c>
      <c r="AZ302" s="3" t="str">
        <f t="shared" si="163"/>
        <v>-</v>
      </c>
      <c r="BA302" s="3" t="str">
        <f>IF(ISERROR(LEN(VLOOKUP(A302,Seqs!A:E,2,FALSE))-AL302),"-",LEN(VLOOKUP(A302,Seqs!A:E,2,FALSE))-AL302)</f>
        <v>-</v>
      </c>
      <c r="BB302" s="16">
        <f t="shared" si="164"/>
        <v>31</v>
      </c>
      <c r="BC302" s="9" t="str">
        <f t="shared" si="165"/>
        <v>-</v>
      </c>
      <c r="BD302" s="3">
        <f t="shared" si="166"/>
        <v>31</v>
      </c>
      <c r="BE302" s="3">
        <f t="shared" si="167"/>
        <v>57</v>
      </c>
      <c r="BF302" s="3">
        <f>AH302-AE302</f>
        <v>23</v>
      </c>
      <c r="BG302" s="3" t="s">
        <v>1312</v>
      </c>
    </row>
    <row r="303" spans="1:59" s="3" customFormat="1" x14ac:dyDescent="0.2">
      <c r="A303" s="3" t="s">
        <v>1190</v>
      </c>
      <c r="B303" s="3" t="str">
        <f>LOWER(VLOOKUP(A303,Xtal_Templ!A:B,2,FALSE))</f>
        <v>crfr1_human</v>
      </c>
      <c r="C303" s="3">
        <f>VLOOKUP($A303,'SegEnds_NonXtal_BW#'!$A:$Z,3,FALSE)+D303-50</f>
        <v>758</v>
      </c>
      <c r="D303" s="3">
        <v>785</v>
      </c>
      <c r="E303" s="3">
        <f>IF(ISERROR(VLOOKUP($A303,'SegEnds_NonXtal_BW#'!$A:$Z,4,FALSE)+VLOOKUP($A303,A:AL,4,FALSE)-50),"-",(VLOOKUP($A303,'SegEnds_NonXtal_BW#'!$A:$Z,4,FALSE)+VLOOKUP($A303,A:AL,4,FALSE)-50))</f>
        <v>795</v>
      </c>
      <c r="F303" s="3" t="s">
        <v>23</v>
      </c>
      <c r="G303" s="3" t="s">
        <v>23</v>
      </c>
      <c r="H303" s="3" t="s">
        <v>23</v>
      </c>
      <c r="I303" s="3">
        <f>VLOOKUP($A303,'SegEnds_NonXtal_BW#'!$A:$Z,7,FALSE)+J303-50</f>
        <v>803</v>
      </c>
      <c r="J303" s="3">
        <v>816</v>
      </c>
      <c r="K303" s="3">
        <f>VLOOKUP($A303,'SegEnds_NonXtal_BW#'!$A:$Z,8,FALSE)+VLOOKUP($A303,A:AL,10,FALSE)-50</f>
        <v>829</v>
      </c>
      <c r="L303" s="3" t="str">
        <f>IF(ISERROR(VLOOKUP($A303,'SegEnds_NonXtal_BW#'!$A:$Z,9,FALSE)+VLOOKUP($A303,A:AL,13,FALSE)-50),"-",(VLOOKUP($A303,'SegEnds_NonXtal_BW#'!$A:$Z,9,FALSE)+VLOOKUP($A303,A:AL,13,FALSE)-50))</f>
        <v>-</v>
      </c>
      <c r="M303" s="3" t="s">
        <v>23</v>
      </c>
      <c r="N303" s="3" t="str">
        <f>IF(ISERROR(VLOOKUP($A303,'SegEnds_NonXtal_BW#'!$A:$Z,10,FALSE)+VLOOKUP($A303,A:AL,13,FALSE)-50),"-",(VLOOKUP($A303,'SegEnds_NonXtal_BW#'!$A:$Z,10,FALSE)+VLOOKUP($A303,A:AL,13,FALSE)-50))</f>
        <v>-</v>
      </c>
      <c r="O303" s="3">
        <f>VLOOKUP($A303,'SegEnds_NonXtal_BW#'!$A:$Z,11,FALSE)+VLOOKUP($A303,A:AL,16,FALSE)-50</f>
        <v>839</v>
      </c>
      <c r="P303" s="3">
        <v>866</v>
      </c>
      <c r="Q303" s="3">
        <f>VLOOKUP($A303,'SegEnds_NonXtal_BW#'!$A:$Z,12,FALSE)+VLOOKUP($A303,A:AL,16,FALSE)-50</f>
        <v>872</v>
      </c>
      <c r="R303" s="3" t="str">
        <f>IF(ISERROR(VLOOKUP($A303,'SegEnds_NonXtal_BW#'!$A:$Z,13,FALSE)+VLOOKUP($A303,A:AL,19,FALSE)-50),"-",VLOOKUP($A303,'SegEnds_NonXtal_BW#'!$A:$Z,13,FALSE)+VLOOKUP($A303,A:AL,19,FALSE)-50)</f>
        <v>-</v>
      </c>
      <c r="S303" s="3" t="s">
        <v>23</v>
      </c>
      <c r="T303" s="103" t="str">
        <f>IF(ISERROR(VLOOKUP($A303,'SegEnds_NonXtal_BW#'!$A:$Z,14,FALSE)+VLOOKUP($A303,A:AL,19,FALSE)-50),"-",(VLOOKUP($A303,'SegEnds_NonXtal_BW#'!$A:$Z,14,FALSE)+VLOOKUP($A303,A:AL,19,FALSE)-50))</f>
        <v>-</v>
      </c>
      <c r="U303" s="9">
        <f>IF(ISERROR(VLOOKUP($A303,'SegEnds_NonXtal_BW#'!$A:$Z,15,FALSE)+VLOOKUP($A303,A:AL,22,FALSE)-50),"-",VLOOKUP($A303,'SegEnds_NonXtal_BW#'!$A:$Z,15,FALSE)+VLOOKUP($A303,A:AL,22,FALSE)-50)</f>
        <v>881</v>
      </c>
      <c r="V303" s="3">
        <v>891</v>
      </c>
      <c r="W303" s="3">
        <f>IF(ISERROR(VLOOKUP($A303,'SegEnds_NonXtal_BW#'!$A:$Z,16,FALSE)+VLOOKUP($A303,A:AL,22,FALSE)-50),"-",(VLOOKUP($A303,'SegEnds_NonXtal_BW#'!$A:$Z,16,FALSE)+VLOOKUP($A303,A:AL,22,FALSE)-50))</f>
        <v>909</v>
      </c>
      <c r="X303" s="3">
        <f>IF(ISERROR(VLOOKUP($A303,'SegEnds_NonXtal_BW#'!$A:$Z,17,FALSE)+VLOOKUP($A303,A:AL,25,FALSE)-50),"-",(VLOOKUP($A303,'SegEnds_NonXtal_BW#'!$A:$Z,17,FALSE)+VLOOKUP($A303,A:AL,25,FALSE)-50))</f>
        <v>917</v>
      </c>
      <c r="Y303" s="3">
        <v>917</v>
      </c>
      <c r="Z303" s="3">
        <f t="shared" si="183"/>
        <v>919</v>
      </c>
      <c r="AA303" s="3">
        <f>IF(ISERROR(VLOOKUP($A303,'SegEnds_NonXtal_BW#'!$A:$Z,19,FALSE)+VLOOKUP($A303,A:AL,28,FALSE)-50),"-",(VLOOKUP($A303,'SegEnds_NonXtal_BW#'!$A:$Z,19,FALSE)+VLOOKUP($A303,A:AL,28,FALSE)-50))</f>
        <v>922</v>
      </c>
      <c r="AB303" s="3">
        <v>936</v>
      </c>
      <c r="AC303" s="3">
        <f>IF(ISERROR((VLOOKUP($A303,'SegEnds_NonXtal_BW#'!$A:$Z,20,FALSE)+VLOOKUP($A303,A:AL,28,FALSE)-50)),"-",(VLOOKUP($A303,'SegEnds_NonXtal_BW#'!$A:$Z,20,FALSE)+VLOOKUP($A303,A:AL,28,FALSE)-50))</f>
        <v>955</v>
      </c>
      <c r="AD303" s="3">
        <f>IF(ISERROR(VLOOKUP($A303,'SegEnds_NonXtal_BW#'!$A:$Z,21,FALSE)+VLOOKUP($A303,A:AL,31,FALSE)-50),"-",(VLOOKUP($A303,'SegEnds_NonXtal_BW#'!$A:$Z,21,FALSE)+VLOOKUP($A303,A:AL,31,FALSE)-50))</f>
        <v>967</v>
      </c>
      <c r="AE303" s="3">
        <v>988</v>
      </c>
      <c r="AF303" s="3">
        <f>IF(ISERROR((VLOOKUP($A303,'SegEnds_NonXtal_BW#'!$A:$Z,22,FALSE)+VLOOKUP($A303,A:AL,31,FALSE)-50)),"-",(VLOOKUP($A303,'SegEnds_NonXtal_BW#'!$A:$Z,22,FALSE)+VLOOKUP($A303,A:AL,31,FALSE)-50))</f>
        <v>991</v>
      </c>
      <c r="AG303" s="3">
        <f>IF(ISERROR(VLOOKUP($A303,'SegEnds_NonXtal_BW#'!$A:$Z,23,FALSE)+VLOOKUP($A303,A:AL,34,FALSE)-50),"-",(VLOOKUP($A303,'SegEnds_NonXtal_BW#'!$A:$Z,23,FALSE)+VLOOKUP($A303,A:AL,34,FALSE)-50))</f>
        <v>998</v>
      </c>
      <c r="AH303" s="3">
        <v>1017</v>
      </c>
      <c r="AI303" s="3">
        <f>IF(ISERROR((VLOOKUP($A303,'SegEnds_NonXtal_BW#'!$A:$Z,24,FALSE)+VLOOKUP($A303,A:AL,34,FALSE)-50)),"-",(VLOOKUP($A303,'SegEnds_NonXtal_BW#'!$A:$Z,24,FALSE)+VLOOKUP($A303,A:AL,34,FALSE)-50))</f>
        <v>1023</v>
      </c>
      <c r="AJ303" s="3">
        <f>IF(ISERROR(VLOOKUP($A303,'SegEnds_NonXtal_BW#'!$A:$Z,25,FALSE)+VLOOKUP($A303,A:AL,37,FALSE)-50),"-",(VLOOKUP($A303,'SegEnds_NonXtal_BW#'!$A:$Z,25,FALSE)+VLOOKUP($A303,A:AL,37,FALSE)-50))</f>
        <v>1024</v>
      </c>
      <c r="AK303" s="3">
        <v>1027</v>
      </c>
      <c r="AL303" s="3">
        <f>IF(ISERROR((VLOOKUP($A303,'SegEnds_NonXtal_BW#'!$A:$Z,26,FALSE)+VLOOKUP($A303,A:AL,37,FALSE)-50)),"-",(VLOOKUP($A303,'SegEnds_NonXtal_BW#'!$A:$Z,26,FALSE)+VLOOKUP($A303,A:AL,37,FALSE)-50))</f>
        <v>1040</v>
      </c>
      <c r="AM303" s="28" t="str">
        <f>VLOOKUP(A303,Classification!A:B,2,FALSE)</f>
        <v>B2</v>
      </c>
      <c r="AN303" s="28" t="b">
        <f t="shared" si="173"/>
        <v>1</v>
      </c>
      <c r="AO303" s="3" t="str">
        <f>IF(ISERROR(MATCH(A303,'SegEnds_Xtal_Prot#'!B:B, 0)), "NoXtal", "Xtal")</f>
        <v>NoXtal</v>
      </c>
      <c r="AP303" s="3" t="str">
        <f t="shared" si="153"/>
        <v>-</v>
      </c>
      <c r="AQ303" s="3" t="str">
        <f t="shared" si="154"/>
        <v>-</v>
      </c>
      <c r="AR303" s="3" t="str">
        <f t="shared" si="155"/>
        <v>-</v>
      </c>
      <c r="AS303" s="3" t="str">
        <f t="shared" si="156"/>
        <v>-</v>
      </c>
      <c r="AT303" s="3" t="str">
        <f t="shared" si="157"/>
        <v>-</v>
      </c>
      <c r="AU303" s="3" t="str">
        <f t="shared" si="158"/>
        <v>-</v>
      </c>
      <c r="AV303" s="3">
        <f t="shared" si="159"/>
        <v>8</v>
      </c>
      <c r="AW303" s="3">
        <f t="shared" si="160"/>
        <v>3</v>
      </c>
      <c r="AX303" s="3">
        <f t="shared" si="161"/>
        <v>12</v>
      </c>
      <c r="AY303" s="3">
        <f t="shared" si="162"/>
        <v>7</v>
      </c>
      <c r="AZ303" s="3">
        <f t="shared" si="163"/>
        <v>1</v>
      </c>
      <c r="BA303" s="3">
        <f>IF(ISERROR(LEN(VLOOKUP(A303,Seqs!A:E,2,FALSE))-AL303),"-",LEN(VLOOKUP(A303,Seqs!A:E,2,FALSE))-AL303)</f>
        <v>39</v>
      </c>
      <c r="BB303" s="16">
        <f t="shared" si="164"/>
        <v>31</v>
      </c>
      <c r="BC303" s="9" t="str">
        <f t="shared" si="165"/>
        <v>-</v>
      </c>
      <c r="BD303" s="3">
        <f t="shared" si="166"/>
        <v>31</v>
      </c>
      <c r="BE303" s="3">
        <f t="shared" si="167"/>
        <v>52</v>
      </c>
    </row>
    <row r="304" spans="1:59" s="3" customFormat="1" x14ac:dyDescent="0.2">
      <c r="A304" s="3" t="s">
        <v>1191</v>
      </c>
      <c r="B304" s="3" t="str">
        <f>LOWER(VLOOKUP(A304,Xtal_Templ!A:B,2,FALSE))</f>
        <v>crfr1_human</v>
      </c>
      <c r="C304" s="3">
        <f>VLOOKUP($A304,'SegEnds_NonXtal_BW#'!$A:$Z,3,FALSE)+D304-50</f>
        <v>389</v>
      </c>
      <c r="D304" s="3">
        <v>416</v>
      </c>
      <c r="E304" s="3">
        <f>IF(ISERROR(VLOOKUP($A304,'SegEnds_NonXtal_BW#'!$A:$Z,4,FALSE)+VLOOKUP($A304,A:AL,4,FALSE)-50),"-",(VLOOKUP($A304,'SegEnds_NonXtal_BW#'!$A:$Z,4,FALSE)+VLOOKUP($A304,A:AL,4,FALSE)-50))</f>
        <v>426</v>
      </c>
      <c r="F304" s="3" t="s">
        <v>23</v>
      </c>
      <c r="G304" s="3" t="s">
        <v>23</v>
      </c>
      <c r="H304" s="3" t="s">
        <v>23</v>
      </c>
      <c r="I304" s="3">
        <f>VLOOKUP($A304,'SegEnds_NonXtal_BW#'!$A:$Z,7,FALSE)+J304-50</f>
        <v>434</v>
      </c>
      <c r="J304" s="3">
        <v>447</v>
      </c>
      <c r="K304" s="3">
        <f>VLOOKUP($A304,'SegEnds_NonXtal_BW#'!$A:$Z,8,FALSE)+VLOOKUP($A304,A:AL,10,FALSE)-50</f>
        <v>460</v>
      </c>
      <c r="L304" s="3" t="str">
        <f>IF(ISERROR(VLOOKUP($A304,'SegEnds_NonXtal_BW#'!$A:$Z,9,FALSE)+VLOOKUP($A304,A:AL,13,FALSE)-50),"-",(VLOOKUP($A304,'SegEnds_NonXtal_BW#'!$A:$Z,9,FALSE)+VLOOKUP($A304,A:AL,13,FALSE)-50))</f>
        <v>-</v>
      </c>
      <c r="M304" s="3" t="s">
        <v>23</v>
      </c>
      <c r="N304" s="3" t="str">
        <f>IF(ISERROR(VLOOKUP($A304,'SegEnds_NonXtal_BW#'!$A:$Z,10,FALSE)+VLOOKUP($A304,A:AL,13,FALSE)-50),"-",(VLOOKUP($A304,'SegEnds_NonXtal_BW#'!$A:$Z,10,FALSE)+VLOOKUP($A304,A:AL,13,FALSE)-50))</f>
        <v>-</v>
      </c>
      <c r="O304" s="3">
        <f>VLOOKUP($A304,'SegEnds_NonXtal_BW#'!$A:$Z,11,FALSE)+VLOOKUP($A304,A:AL,16,FALSE)-50</f>
        <v>471</v>
      </c>
      <c r="P304" s="3">
        <v>498</v>
      </c>
      <c r="Q304" s="3">
        <f>VLOOKUP($A304,'SegEnds_NonXtal_BW#'!$A:$Z,12,FALSE)+VLOOKUP($A304,A:AL,16,FALSE)-50</f>
        <v>504</v>
      </c>
      <c r="R304" s="3" t="str">
        <f>IF(ISERROR(VLOOKUP($A304,'SegEnds_NonXtal_BW#'!$A:$Z,13,FALSE)+VLOOKUP($A304,A:AL,19,FALSE)-50),"-",VLOOKUP($A304,'SegEnds_NonXtal_BW#'!$A:$Z,13,FALSE)+VLOOKUP($A304,A:AL,19,FALSE)-50)</f>
        <v>-</v>
      </c>
      <c r="S304" s="3" t="s">
        <v>23</v>
      </c>
      <c r="T304" s="103" t="str">
        <f>IF(ISERROR(VLOOKUP($A304,'SegEnds_NonXtal_BW#'!$A:$Z,14,FALSE)+VLOOKUP($A304,A:AL,19,FALSE)-50),"-",(VLOOKUP($A304,'SegEnds_NonXtal_BW#'!$A:$Z,14,FALSE)+VLOOKUP($A304,A:AL,19,FALSE)-50))</f>
        <v>-</v>
      </c>
      <c r="U304" s="9">
        <f>IF(ISERROR(VLOOKUP($A304,'SegEnds_NonXtal_BW#'!$A:$Z,15,FALSE)+VLOOKUP($A304,A:AL,22,FALSE)-50),"-",VLOOKUP($A304,'SegEnds_NonXtal_BW#'!$A:$Z,15,FALSE)+VLOOKUP($A304,A:AL,22,FALSE)-50)</f>
        <v>513</v>
      </c>
      <c r="V304" s="3">
        <v>523</v>
      </c>
      <c r="W304" s="3">
        <f>IF(ISERROR(VLOOKUP($A304,'SegEnds_NonXtal_BW#'!$A:$Z,16,FALSE)+VLOOKUP($A304,A:AL,22,FALSE)-50),"-",(VLOOKUP($A304,'SegEnds_NonXtal_BW#'!$A:$Z,16,FALSE)+VLOOKUP($A304,A:AL,22,FALSE)-50))</f>
        <v>541</v>
      </c>
      <c r="X304" s="3">
        <f>IF(ISERROR(VLOOKUP($A304,'SegEnds_NonXtal_BW#'!$A:$Z,17,FALSE)+VLOOKUP($A304,A:AL,25,FALSE)-50),"-",(VLOOKUP($A304,'SegEnds_NonXtal_BW#'!$A:$Z,17,FALSE)+VLOOKUP($A304,A:AL,25,FALSE)-50))</f>
        <v>549</v>
      </c>
      <c r="Y304" s="3">
        <v>549</v>
      </c>
      <c r="Z304" s="3">
        <f t="shared" si="183"/>
        <v>551</v>
      </c>
      <c r="AA304" s="3">
        <f>IF(ISERROR(VLOOKUP($A304,'SegEnds_NonXtal_BW#'!$A:$Z,19,FALSE)+VLOOKUP($A304,A:AL,28,FALSE)-50),"-",(VLOOKUP($A304,'SegEnds_NonXtal_BW#'!$A:$Z,19,FALSE)+VLOOKUP($A304,A:AL,28,FALSE)-50))</f>
        <v>555</v>
      </c>
      <c r="AB304" s="3">
        <v>569</v>
      </c>
      <c r="AC304" s="3">
        <f>IF(ISERROR((VLOOKUP($A304,'SegEnds_NonXtal_BW#'!$A:$Z,20,FALSE)+VLOOKUP($A304,A:AL,28,FALSE)-50)),"-",(VLOOKUP($A304,'SegEnds_NonXtal_BW#'!$A:$Z,20,FALSE)+VLOOKUP($A304,A:AL,28,FALSE)-50))</f>
        <v>588</v>
      </c>
      <c r="AD304" s="3">
        <f>IF(ISERROR(VLOOKUP($A304,'SegEnds_NonXtal_BW#'!$A:$Z,21,FALSE)+VLOOKUP($A304,A:AL,31,FALSE)-50),"-",(VLOOKUP($A304,'SegEnds_NonXtal_BW#'!$A:$Z,21,FALSE)+VLOOKUP($A304,A:AL,31,FALSE)-50))</f>
        <v>599</v>
      </c>
      <c r="AE304" s="3">
        <v>620</v>
      </c>
      <c r="AF304" s="3">
        <f>IF(ISERROR((VLOOKUP($A304,'SegEnds_NonXtal_BW#'!$A:$Z,22,FALSE)+VLOOKUP($A304,A:AL,31,FALSE)-50)),"-",(VLOOKUP($A304,'SegEnds_NonXtal_BW#'!$A:$Z,22,FALSE)+VLOOKUP($A304,A:AL,31,FALSE)-50))</f>
        <v>623</v>
      </c>
      <c r="AG304" s="3">
        <f>IF(ISERROR(VLOOKUP($A304,'SegEnds_NonXtal_BW#'!$A:$Z,23,FALSE)+VLOOKUP($A304,A:AL,34,FALSE)-50),"-",(VLOOKUP($A304,'SegEnds_NonXtal_BW#'!$A:$Z,23,FALSE)+VLOOKUP($A304,A:AL,34,FALSE)-50))</f>
        <v>630</v>
      </c>
      <c r="AH304" s="3">
        <v>649</v>
      </c>
      <c r="AI304" s="3">
        <f>IF(ISERROR((VLOOKUP($A304,'SegEnds_NonXtal_BW#'!$A:$Z,24,FALSE)+VLOOKUP($A304,A:AL,34,FALSE)-50)),"-",(VLOOKUP($A304,'SegEnds_NonXtal_BW#'!$A:$Z,24,FALSE)+VLOOKUP($A304,A:AL,34,FALSE)-50))</f>
        <v>655</v>
      </c>
      <c r="AJ304" s="3">
        <f>IF(ISERROR(VLOOKUP($A304,'SegEnds_NonXtal_BW#'!$A:$Z,25,FALSE)+VLOOKUP($A304,A:AL,37,FALSE)-50),"-",(VLOOKUP($A304,'SegEnds_NonXtal_BW#'!$A:$Z,25,FALSE)+VLOOKUP($A304,A:AL,37,FALSE)-50))</f>
        <v>656</v>
      </c>
      <c r="AK304" s="3">
        <v>659</v>
      </c>
      <c r="AL304" s="3">
        <f>IF(ISERROR((VLOOKUP($A304,'SegEnds_NonXtal_BW#'!$A:$Z,26,FALSE)+VLOOKUP($A304,A:AL,37,FALSE)-50)),"-",(VLOOKUP($A304,'SegEnds_NonXtal_BW#'!$A:$Z,26,FALSE)+VLOOKUP($A304,A:AL,37,FALSE)-50))</f>
        <v>672</v>
      </c>
      <c r="AM304" s="28" t="str">
        <f>VLOOKUP(A304,Classification!A:B,2,FALSE)</f>
        <v>B2</v>
      </c>
      <c r="AN304" s="28" t="b">
        <f t="shared" si="173"/>
        <v>1</v>
      </c>
      <c r="AO304" s="3" t="str">
        <f>IF(ISERROR(MATCH(A304,'SegEnds_Xtal_Prot#'!B:B, 0)), "NoXtal", "Xtal")</f>
        <v>NoXtal</v>
      </c>
      <c r="AP304" s="3" t="str">
        <f t="shared" si="153"/>
        <v>-</v>
      </c>
      <c r="AQ304" s="3" t="str">
        <f t="shared" si="154"/>
        <v>-</v>
      </c>
      <c r="AR304" s="3" t="str">
        <f t="shared" si="155"/>
        <v>-</v>
      </c>
      <c r="AS304" s="3" t="str">
        <f t="shared" si="156"/>
        <v>-</v>
      </c>
      <c r="AT304" s="3" t="str">
        <f t="shared" si="157"/>
        <v>-</v>
      </c>
      <c r="AU304" s="3" t="str">
        <f t="shared" si="158"/>
        <v>-</v>
      </c>
      <c r="AV304" s="3">
        <f t="shared" si="159"/>
        <v>8</v>
      </c>
      <c r="AW304" s="3">
        <f t="shared" si="160"/>
        <v>4</v>
      </c>
      <c r="AX304" s="3">
        <f t="shared" si="161"/>
        <v>11</v>
      </c>
      <c r="AY304" s="3">
        <f t="shared" si="162"/>
        <v>7</v>
      </c>
      <c r="AZ304" s="3">
        <f t="shared" si="163"/>
        <v>1</v>
      </c>
      <c r="BA304" s="3">
        <f>IF(ISERROR(LEN(VLOOKUP(A304,Seqs!A:E,2,FALSE))-AL304),"-",LEN(VLOOKUP(A304,Seqs!A:E,2,FALSE))-AL304)</f>
        <v>23</v>
      </c>
      <c r="BB304" s="16">
        <f t="shared" si="164"/>
        <v>31</v>
      </c>
      <c r="BC304" s="9" t="str">
        <f t="shared" si="165"/>
        <v>-</v>
      </c>
      <c r="BD304" s="3">
        <f t="shared" si="166"/>
        <v>31</v>
      </c>
      <c r="BE304" s="3">
        <f t="shared" si="167"/>
        <v>51</v>
      </c>
      <c r="BF304" s="3">
        <f>AH304-AE304</f>
        <v>29</v>
      </c>
    </row>
    <row r="305" spans="1:58" s="3" customFormat="1" x14ac:dyDescent="0.2">
      <c r="A305" s="3" t="s">
        <v>1192</v>
      </c>
      <c r="B305" s="3" t="str">
        <f>LOWER(VLOOKUP(A305,Xtal_Templ!A:B,2,FALSE))</f>
        <v>crfr1_human</v>
      </c>
      <c r="C305" s="3">
        <f>VLOOKUP($A305,'SegEnds_NonXtal_BW#'!$A:$Z,3,FALSE)+D305-50</f>
        <v>1000</v>
      </c>
      <c r="D305" s="3">
        <v>1027</v>
      </c>
      <c r="E305" s="3">
        <f>IF(ISERROR(VLOOKUP($A305,'SegEnds_NonXtal_BW#'!$A:$Z,4,FALSE)+VLOOKUP($A305,A:AL,4,FALSE)-50),"-",(VLOOKUP($A305,'SegEnds_NonXtal_BW#'!$A:$Z,4,FALSE)+VLOOKUP($A305,A:AL,4,FALSE)-50))</f>
        <v>1037</v>
      </c>
      <c r="F305" s="3">
        <f>G305-2</f>
        <v>1039</v>
      </c>
      <c r="G305" s="3">
        <v>1041</v>
      </c>
      <c r="H305" s="3">
        <f>G305+1</f>
        <v>1042</v>
      </c>
      <c r="I305" s="3">
        <f>H305+1</f>
        <v>1043</v>
      </c>
      <c r="J305" s="3">
        <v>1058</v>
      </c>
      <c r="K305" s="3">
        <f>VLOOKUP($A305,'SegEnds_NonXtal_BW#'!$A:$Z,8,FALSE)+VLOOKUP($A305,A:AL,10,FALSE)-50</f>
        <v>1071</v>
      </c>
      <c r="L305" s="3" t="str">
        <f>IF(ISERROR(VLOOKUP($A305,'SegEnds_NonXtal_BW#'!$A:$Z,9,FALSE)+VLOOKUP($A305,A:AL,13,FALSE)-50),"-",(VLOOKUP($A305,'SegEnds_NonXtal_BW#'!$A:$Z,9,FALSE)+VLOOKUP($A305,A:AL,13,FALSE)-50))</f>
        <v>-</v>
      </c>
      <c r="M305" s="3" t="s">
        <v>23</v>
      </c>
      <c r="N305" s="3" t="str">
        <f>IF(ISERROR(VLOOKUP($A305,'SegEnds_NonXtal_BW#'!$A:$Z,10,FALSE)+VLOOKUP($A305,A:AL,13,FALSE)-50),"-",(VLOOKUP($A305,'SegEnds_NonXtal_BW#'!$A:$Z,10,FALSE)+VLOOKUP($A305,A:AL,13,FALSE)-50))</f>
        <v>-</v>
      </c>
      <c r="O305" s="3">
        <f>VLOOKUP($A305,'SegEnds_NonXtal_BW#'!$A:$Z,11,FALSE)+VLOOKUP($A305,A:AL,16,FALSE)-50</f>
        <v>1084</v>
      </c>
      <c r="P305" s="3">
        <v>1111</v>
      </c>
      <c r="Q305" s="3">
        <f>VLOOKUP($A305,'SegEnds_NonXtal_BW#'!$A:$Z,12,FALSE)+VLOOKUP($A305,A:AL,16,FALSE)-50</f>
        <v>1117</v>
      </c>
      <c r="R305" s="3" t="str">
        <f>IF(ISERROR(VLOOKUP($A305,'SegEnds_NonXtal_BW#'!$A:$Z,13,FALSE)+VLOOKUP($A305,A:AL,19,FALSE)-50),"-",VLOOKUP($A305,'SegEnds_NonXtal_BW#'!$A:$Z,13,FALSE)+VLOOKUP($A305,A:AL,19,FALSE)-50)</f>
        <v>-</v>
      </c>
      <c r="S305" s="3" t="s">
        <v>23</v>
      </c>
      <c r="T305" s="103" t="str">
        <f>IF(ISERROR(VLOOKUP($A305,'SegEnds_NonXtal_BW#'!$A:$Z,14,FALSE)+VLOOKUP($A305,A:AL,19,FALSE)-50),"-",(VLOOKUP($A305,'SegEnds_NonXtal_BW#'!$A:$Z,14,FALSE)+VLOOKUP($A305,A:AL,19,FALSE)-50))</f>
        <v>-</v>
      </c>
      <c r="U305" s="9">
        <f>IF(ISERROR(VLOOKUP($A305,'SegEnds_NonXtal_BW#'!$A:$Z,15,FALSE)+VLOOKUP($A305,A:AL,22,FALSE)-50),"-",VLOOKUP($A305,'SegEnds_NonXtal_BW#'!$A:$Z,15,FALSE)+VLOOKUP($A305,A:AL,22,FALSE)-50)</f>
        <v>1126</v>
      </c>
      <c r="V305" s="3">
        <v>1136</v>
      </c>
      <c r="W305" s="3">
        <f>IF(ISERROR(VLOOKUP($A305,'SegEnds_NonXtal_BW#'!$A:$Z,16,FALSE)+VLOOKUP($A305,A:AL,22,FALSE)-50),"-",(VLOOKUP($A305,'SegEnds_NonXtal_BW#'!$A:$Z,16,FALSE)+VLOOKUP($A305,A:AL,22,FALSE)-50))</f>
        <v>1154</v>
      </c>
      <c r="X305" s="3">
        <f>IF(ISERROR(VLOOKUP($A305,'SegEnds_NonXtal_BW#'!$A:$Z,17,FALSE)+VLOOKUP($A305,A:AL,25,FALSE)-50),"-",(VLOOKUP($A305,'SegEnds_NonXtal_BW#'!$A:$Z,17,FALSE)+VLOOKUP($A305,A:AL,25,FALSE)-50))</f>
        <v>1162</v>
      </c>
      <c r="Y305" s="3">
        <v>1162</v>
      </c>
      <c r="Z305" s="3">
        <f t="shared" si="183"/>
        <v>1164</v>
      </c>
      <c r="AA305" s="3">
        <f>IF(ISERROR(VLOOKUP($A305,'SegEnds_NonXtal_BW#'!$A:$Z,19,FALSE)+VLOOKUP($A305,A:AL,28,FALSE)-50),"-",(VLOOKUP($A305,'SegEnds_NonXtal_BW#'!$A:$Z,19,FALSE)+VLOOKUP($A305,A:AL,28,FALSE)-50))</f>
        <v>1168</v>
      </c>
      <c r="AB305" s="3">
        <v>1182</v>
      </c>
      <c r="AC305" s="3">
        <f>IF(ISERROR((VLOOKUP($A305,'SegEnds_NonXtal_BW#'!$A:$Z,20,FALSE)+VLOOKUP($A305,A:AL,28,FALSE)-50)),"-",(VLOOKUP($A305,'SegEnds_NonXtal_BW#'!$A:$Z,20,FALSE)+VLOOKUP($A305,A:AL,28,FALSE)-50))</f>
        <v>1201</v>
      </c>
      <c r="AD305" s="3">
        <f>IF(ISERROR(VLOOKUP($A305,'SegEnds_NonXtal_BW#'!$A:$Z,21,FALSE)+VLOOKUP($A305,A:AL,31,FALSE)-50),"-",(VLOOKUP($A305,'SegEnds_NonXtal_BW#'!$A:$Z,21,FALSE)+VLOOKUP($A305,A:AL,31,FALSE)-50))</f>
        <v>1213</v>
      </c>
      <c r="AE305" s="3">
        <v>1234</v>
      </c>
      <c r="AF305" s="3">
        <f>IF(ISERROR((VLOOKUP($A305,'SegEnds_NonXtal_BW#'!$A:$Z,22,FALSE)+VLOOKUP($A305,A:AL,31,FALSE)-50)),"-",(VLOOKUP($A305,'SegEnds_NonXtal_BW#'!$A:$Z,22,FALSE)+VLOOKUP($A305,A:AL,31,FALSE)-50))</f>
        <v>1237</v>
      </c>
      <c r="AG305" s="3">
        <f>IF(ISERROR(VLOOKUP($A305,'SegEnds_NonXtal_BW#'!$A:$Z,23,FALSE)+VLOOKUP($A305,A:AL,34,FALSE)-50),"-",(VLOOKUP($A305,'SegEnds_NonXtal_BW#'!$A:$Z,23,FALSE)+VLOOKUP($A305,A:AL,34,FALSE)-50))</f>
        <v>1244</v>
      </c>
      <c r="AH305" s="3">
        <v>1263</v>
      </c>
      <c r="AI305" s="3">
        <f>IF(ISERROR((VLOOKUP($A305,'SegEnds_NonXtal_BW#'!$A:$Z,24,FALSE)+VLOOKUP($A305,A:AL,34,FALSE)-50)),"-",(VLOOKUP($A305,'SegEnds_NonXtal_BW#'!$A:$Z,24,FALSE)+VLOOKUP($A305,A:AL,34,FALSE)-50))</f>
        <v>1269</v>
      </c>
      <c r="AJ305" s="3">
        <f>IF(ISERROR(VLOOKUP($A305,'SegEnds_NonXtal_BW#'!$A:$Z,25,FALSE)+VLOOKUP($A305,A:AL,37,FALSE)-50),"-",(VLOOKUP($A305,'SegEnds_NonXtal_BW#'!$A:$Z,25,FALSE)+VLOOKUP($A305,A:AL,37,FALSE)-50))</f>
        <v>1270</v>
      </c>
      <c r="AK305" s="3">
        <v>1273</v>
      </c>
      <c r="AL305" s="3">
        <f>IF(ISERROR((VLOOKUP($A305,'SegEnds_NonXtal_BW#'!$A:$Z,26,FALSE)+VLOOKUP($A305,A:AL,37,FALSE)-50)),"-",(VLOOKUP($A305,'SegEnds_NonXtal_BW#'!$A:$Z,26,FALSE)+VLOOKUP($A305,A:AL,37,FALSE)-50))</f>
        <v>1286</v>
      </c>
      <c r="AM305" s="28" t="str">
        <f>VLOOKUP(A305,Classification!A:B,2,FALSE)</f>
        <v>B2</v>
      </c>
      <c r="AN305" s="28" t="b">
        <f t="shared" si="173"/>
        <v>1</v>
      </c>
      <c r="AO305" s="3" t="str">
        <f>IF(ISERROR(MATCH(A305,'SegEnds_Xtal_Prot#'!B:B, 0)), "NoXtal", "Xtal")</f>
        <v>NoXtal</v>
      </c>
      <c r="AP305" s="3">
        <f t="shared" si="153"/>
        <v>2</v>
      </c>
      <c r="AQ305" s="3">
        <f t="shared" si="154"/>
        <v>1</v>
      </c>
      <c r="AR305" s="3" t="str">
        <f t="shared" si="155"/>
        <v>-</v>
      </c>
      <c r="AS305" s="3" t="str">
        <f t="shared" si="156"/>
        <v>-</v>
      </c>
      <c r="AT305" s="3" t="str">
        <f t="shared" si="157"/>
        <v>-</v>
      </c>
      <c r="AU305" s="3" t="str">
        <f t="shared" si="158"/>
        <v>-</v>
      </c>
      <c r="AV305" s="3">
        <f t="shared" si="159"/>
        <v>8</v>
      </c>
      <c r="AW305" s="3">
        <f t="shared" si="160"/>
        <v>4</v>
      </c>
      <c r="AX305" s="3">
        <f t="shared" si="161"/>
        <v>12</v>
      </c>
      <c r="AY305" s="3">
        <f t="shared" si="162"/>
        <v>7</v>
      </c>
      <c r="AZ305" s="3">
        <f t="shared" si="163"/>
        <v>1</v>
      </c>
      <c r="BA305" s="3">
        <f>IF(ISERROR(LEN(VLOOKUP(A305,Seqs!A:E,2,FALSE))-AL305),"-",LEN(VLOOKUP(A305,Seqs!A:E,2,FALSE))-AL305)</f>
        <v>60</v>
      </c>
      <c r="BB305" s="16">
        <f t="shared" si="164"/>
        <v>31</v>
      </c>
      <c r="BC305" s="9" t="str">
        <f t="shared" si="165"/>
        <v>-</v>
      </c>
      <c r="BD305" s="3">
        <f t="shared" si="166"/>
        <v>31</v>
      </c>
      <c r="BE305" s="3">
        <f t="shared" si="167"/>
        <v>52</v>
      </c>
    </row>
    <row r="306" spans="1:58" s="3" customFormat="1" x14ac:dyDescent="0.2">
      <c r="A306" s="3" t="s">
        <v>1193</v>
      </c>
      <c r="B306" s="3" t="str">
        <f>LOWER(VLOOKUP(A306,Xtal_Templ!A:B,2,FALSE))</f>
        <v>crfr1_human</v>
      </c>
      <c r="C306" s="3">
        <f>VLOOKUP($A306,'SegEnds_NonXtal_BW#'!$A:$Z,3,FALSE)+D306-50</f>
        <v>391</v>
      </c>
      <c r="D306" s="3">
        <v>418</v>
      </c>
      <c r="E306" s="3">
        <f>IF(ISERROR(VLOOKUP($A306,'SegEnds_NonXtal_BW#'!$A:$Z,4,FALSE)+VLOOKUP($A306,A:AL,4,FALSE)-50),"-",(VLOOKUP($A306,'SegEnds_NonXtal_BW#'!$A:$Z,4,FALSE)+VLOOKUP($A306,A:AL,4,FALSE)-50))</f>
        <v>428</v>
      </c>
      <c r="F306" s="3">
        <f>G306-2</f>
        <v>430</v>
      </c>
      <c r="G306" s="3">
        <v>432</v>
      </c>
      <c r="H306" s="3">
        <f>G306+1</f>
        <v>433</v>
      </c>
      <c r="I306" s="3">
        <f>H306+1</f>
        <v>434</v>
      </c>
      <c r="J306" s="3">
        <v>453</v>
      </c>
      <c r="K306" s="3">
        <f>VLOOKUP($A306,'SegEnds_NonXtal_BW#'!$A:$Z,8,FALSE)+VLOOKUP($A306,A:AL,10,FALSE)-50</f>
        <v>466</v>
      </c>
      <c r="L306" s="3" t="str">
        <f>IF(ISERROR(VLOOKUP($A306,'SegEnds_NonXtal_BW#'!$A:$Z,9,FALSE)+VLOOKUP($A306,A:AL,13,FALSE)-50),"-",(VLOOKUP($A306,'SegEnds_NonXtal_BW#'!$A:$Z,9,FALSE)+VLOOKUP($A306,A:AL,13,FALSE)-50))</f>
        <v>-</v>
      </c>
      <c r="M306" s="3" t="s">
        <v>23</v>
      </c>
      <c r="N306" s="3" t="str">
        <f>IF(ISERROR(VLOOKUP($A306,'SegEnds_NonXtal_BW#'!$A:$Z,10,FALSE)+VLOOKUP($A306,A:AL,13,FALSE)-50),"-",(VLOOKUP($A306,'SegEnds_NonXtal_BW#'!$A:$Z,10,FALSE)+VLOOKUP($A306,A:AL,13,FALSE)-50))</f>
        <v>-</v>
      </c>
      <c r="O306" s="3">
        <f>VLOOKUP($A306,'SegEnds_NonXtal_BW#'!$A:$Z,11,FALSE)+VLOOKUP($A306,A:AL,16,FALSE)-50</f>
        <v>473</v>
      </c>
      <c r="P306" s="3">
        <v>500</v>
      </c>
      <c r="Q306" s="3">
        <f>VLOOKUP($A306,'SegEnds_NonXtal_BW#'!$A:$Z,12,FALSE)+VLOOKUP($A306,A:AL,16,FALSE)-50</f>
        <v>506</v>
      </c>
      <c r="R306" s="3" t="str">
        <f>IF(ISERROR(VLOOKUP($A306,'SegEnds_NonXtal_BW#'!$A:$Z,13,FALSE)+VLOOKUP($A306,A:AL,19,FALSE)-50),"-",VLOOKUP($A306,'SegEnds_NonXtal_BW#'!$A:$Z,13,FALSE)+VLOOKUP($A306,A:AL,19,FALSE)-50)</f>
        <v>-</v>
      </c>
      <c r="S306" s="3" t="s">
        <v>23</v>
      </c>
      <c r="T306" s="103" t="str">
        <f>IF(ISERROR(VLOOKUP($A306,'SegEnds_NonXtal_BW#'!$A:$Z,14,FALSE)+VLOOKUP($A306,A:AL,19,FALSE)-50),"-",(VLOOKUP($A306,'SegEnds_NonXtal_BW#'!$A:$Z,14,FALSE)+VLOOKUP($A306,A:AL,19,FALSE)-50))</f>
        <v>-</v>
      </c>
      <c r="U306" s="9">
        <f>IF(ISERROR(VLOOKUP($A306,'SegEnds_NonXtal_BW#'!$A:$Z,15,FALSE)+VLOOKUP($A306,A:AL,22,FALSE)-50),"-",VLOOKUP($A306,'SegEnds_NonXtal_BW#'!$A:$Z,15,FALSE)+VLOOKUP($A306,A:AL,22,FALSE)-50)</f>
        <v>514</v>
      </c>
      <c r="V306" s="3">
        <v>524</v>
      </c>
      <c r="W306" s="3">
        <f>IF(ISERROR(VLOOKUP($A306,'SegEnds_NonXtal_BW#'!$A:$Z,16,FALSE)+VLOOKUP($A306,A:AL,22,FALSE)-50),"-",(VLOOKUP($A306,'SegEnds_NonXtal_BW#'!$A:$Z,16,FALSE)+VLOOKUP($A306,A:AL,22,FALSE)-50))</f>
        <v>542</v>
      </c>
      <c r="X306" s="3">
        <f>IF(ISERROR(VLOOKUP($A306,'SegEnds_NonXtal_BW#'!$A:$Z,17,FALSE)+VLOOKUP($A306,A:AL,25,FALSE)-50),"-",(VLOOKUP($A306,'SegEnds_NonXtal_BW#'!$A:$Z,17,FALSE)+VLOOKUP($A306,A:AL,25,FALSE)-50))</f>
        <v>562</v>
      </c>
      <c r="Y306" s="3">
        <v>562</v>
      </c>
      <c r="Z306" s="3">
        <f t="shared" si="183"/>
        <v>564</v>
      </c>
      <c r="AA306" s="3">
        <f>IF(ISERROR(VLOOKUP($A306,'SegEnds_NonXtal_BW#'!$A:$Z,19,FALSE)+VLOOKUP($A306,A:AL,28,FALSE)-50),"-",(VLOOKUP($A306,'SegEnds_NonXtal_BW#'!$A:$Z,19,FALSE)+VLOOKUP($A306,A:AL,28,FALSE)-50))</f>
        <v>567</v>
      </c>
      <c r="AB306" s="3">
        <v>581</v>
      </c>
      <c r="AC306" s="3">
        <f>IF(ISERROR((VLOOKUP($A306,'SegEnds_NonXtal_BW#'!$A:$Z,20,FALSE)+VLOOKUP($A306,A:AL,28,FALSE)-50)),"-",(VLOOKUP($A306,'SegEnds_NonXtal_BW#'!$A:$Z,20,FALSE)+VLOOKUP($A306,A:AL,28,FALSE)-50))</f>
        <v>600</v>
      </c>
      <c r="AD306" s="3">
        <f>IF(ISERROR(VLOOKUP($A306,'SegEnds_NonXtal_BW#'!$A:$Z,21,FALSE)+VLOOKUP($A306,A:AL,31,FALSE)-50),"-",(VLOOKUP($A306,'SegEnds_NonXtal_BW#'!$A:$Z,21,FALSE)+VLOOKUP($A306,A:AL,31,FALSE)-50))</f>
        <v>604</v>
      </c>
      <c r="AE306" s="3">
        <v>625</v>
      </c>
      <c r="AF306" s="3">
        <f>IF(ISERROR((VLOOKUP($A306,'SegEnds_NonXtal_BW#'!$A:$Z,22,FALSE)+VLOOKUP($A306,A:AL,31,FALSE)-50)),"-",(VLOOKUP($A306,'SegEnds_NonXtal_BW#'!$A:$Z,22,FALSE)+VLOOKUP($A306,A:AL,31,FALSE)-50))</f>
        <v>628</v>
      </c>
      <c r="AG306" s="3">
        <f>IF(ISERROR(VLOOKUP($A306,'SegEnds_NonXtal_BW#'!$A:$Z,23,FALSE)+VLOOKUP($A306,A:AL,34,FALSE)-50),"-",(VLOOKUP($A306,'SegEnds_NonXtal_BW#'!$A:$Z,23,FALSE)+VLOOKUP($A306,A:AL,34,FALSE)-50))</f>
        <v>635</v>
      </c>
      <c r="AH306" s="3">
        <v>655</v>
      </c>
      <c r="AI306" s="3">
        <f>IF(ISERROR((VLOOKUP($A306,'SegEnds_NonXtal_BW#'!$A:$Z,24,FALSE)+VLOOKUP($A306,A:AL,34,FALSE)-50)),"-",(VLOOKUP($A306,'SegEnds_NonXtal_BW#'!$A:$Z,24,FALSE)+VLOOKUP($A306,A:AL,34,FALSE)-50))</f>
        <v>661</v>
      </c>
      <c r="AJ306" s="3">
        <f>IF(ISERROR(VLOOKUP($A306,'SegEnds_NonXtal_BW#'!$A:$Z,25,FALSE)+VLOOKUP($A306,A:AL,37,FALSE)-50),"-",(VLOOKUP($A306,'SegEnds_NonXtal_BW#'!$A:$Z,25,FALSE)+VLOOKUP($A306,A:AL,37,FALSE)-50))</f>
        <v>662</v>
      </c>
      <c r="AK306" s="3">
        <v>665</v>
      </c>
      <c r="AL306" s="3">
        <f>IF(ISERROR((VLOOKUP($A306,'SegEnds_NonXtal_BW#'!$A:$Z,26,FALSE)+VLOOKUP($A306,A:AL,37,FALSE)-50)),"-",(VLOOKUP($A306,'SegEnds_NonXtal_BW#'!$A:$Z,26,FALSE)+VLOOKUP($A306,A:AL,37,FALSE)-50))</f>
        <v>678</v>
      </c>
      <c r="AM306" s="28" t="str">
        <f>VLOOKUP(A306,Classification!A:B,2,FALSE)</f>
        <v>B2</v>
      </c>
      <c r="AN306" s="28" t="b">
        <f t="shared" si="173"/>
        <v>1</v>
      </c>
      <c r="AO306" s="3" t="str">
        <f>IF(ISERROR(MATCH(A306,'SegEnds_Xtal_Prot#'!B:B, 0)), "NoXtal", "Xtal")</f>
        <v>NoXtal</v>
      </c>
      <c r="AP306" s="3">
        <f t="shared" si="153"/>
        <v>2</v>
      </c>
      <c r="AQ306" s="3">
        <f t="shared" si="154"/>
        <v>1</v>
      </c>
      <c r="AR306" s="3" t="str">
        <f t="shared" si="155"/>
        <v>-</v>
      </c>
      <c r="AS306" s="3" t="str">
        <f t="shared" si="156"/>
        <v>-</v>
      </c>
      <c r="AT306" s="3" t="str">
        <f t="shared" si="157"/>
        <v>-</v>
      </c>
      <c r="AU306" s="3" t="str">
        <f t="shared" si="158"/>
        <v>-</v>
      </c>
      <c r="AV306" s="3">
        <f t="shared" si="159"/>
        <v>20</v>
      </c>
      <c r="AW306" s="3">
        <f t="shared" si="160"/>
        <v>3</v>
      </c>
      <c r="AX306" s="3">
        <f t="shared" si="161"/>
        <v>4</v>
      </c>
      <c r="AY306" s="3">
        <f t="shared" si="162"/>
        <v>7</v>
      </c>
      <c r="AZ306" s="3">
        <f t="shared" si="163"/>
        <v>1</v>
      </c>
      <c r="BA306" s="3">
        <f>IF(ISERROR(LEN(VLOOKUP(A306,Seqs!A:E,2,FALSE))-AL306),"-",LEN(VLOOKUP(A306,Seqs!A:E,2,FALSE))-AL306)</f>
        <v>15</v>
      </c>
      <c r="BB306" s="16">
        <f t="shared" si="164"/>
        <v>35</v>
      </c>
      <c r="BC306" s="9" t="str">
        <f t="shared" si="165"/>
        <v>-</v>
      </c>
      <c r="BD306" s="3">
        <f t="shared" si="166"/>
        <v>35</v>
      </c>
      <c r="BE306" s="3">
        <f t="shared" si="167"/>
        <v>44</v>
      </c>
      <c r="BF306" s="3">
        <f>AH306-AE306</f>
        <v>30</v>
      </c>
    </row>
    <row r="307" spans="1:58" s="3" customFormat="1" x14ac:dyDescent="0.2">
      <c r="A307" s="3" t="s">
        <v>1194</v>
      </c>
      <c r="B307" s="3" t="str">
        <f>LOWER(VLOOKUP(A307,Xtal_Templ!A:B,2,FALSE))</f>
        <v>crfr1_human</v>
      </c>
      <c r="C307" s="3">
        <f>VLOOKUP($A307,'SegEnds_NonXtal_BW#'!$A:$Z,3,FALSE)+D307-50</f>
        <v>616</v>
      </c>
      <c r="D307" s="3">
        <v>643</v>
      </c>
      <c r="E307" s="3">
        <f>IF(ISERROR(VLOOKUP($A307,'SegEnds_NonXtal_BW#'!$A:$Z,4,FALSE)+VLOOKUP($A307,A:AL,4,FALSE)-50),"-",(VLOOKUP($A307,'SegEnds_NonXtal_BW#'!$A:$Z,4,FALSE)+VLOOKUP($A307,A:AL,4,FALSE)-50))</f>
        <v>653</v>
      </c>
      <c r="F307" s="3" t="s">
        <v>23</v>
      </c>
      <c r="G307" s="3" t="s">
        <v>23</v>
      </c>
      <c r="H307" s="3" t="s">
        <v>23</v>
      </c>
      <c r="I307" s="3">
        <f>VLOOKUP($A307,'SegEnds_NonXtal_BW#'!$A:$Z,7,FALSE)+J307-50</f>
        <v>659</v>
      </c>
      <c r="J307" s="3">
        <v>672</v>
      </c>
      <c r="K307" s="3">
        <f>VLOOKUP($A307,'SegEnds_NonXtal_BW#'!$A:$Z,8,FALSE)+VLOOKUP($A307,A:AL,10,FALSE)-50</f>
        <v>685</v>
      </c>
      <c r="L307" s="3" t="str">
        <f>IF(ISERROR(VLOOKUP($A307,'SegEnds_NonXtal_BW#'!$A:$Z,9,FALSE)+VLOOKUP($A307,A:AL,13,FALSE)-50),"-",(VLOOKUP($A307,'SegEnds_NonXtal_BW#'!$A:$Z,9,FALSE)+VLOOKUP($A307,A:AL,13,FALSE)-50))</f>
        <v>-</v>
      </c>
      <c r="M307" s="3" t="s">
        <v>23</v>
      </c>
      <c r="N307" s="3" t="str">
        <f>IF(ISERROR(VLOOKUP($A307,'SegEnds_NonXtal_BW#'!$A:$Z,10,FALSE)+VLOOKUP($A307,A:AL,13,FALSE)-50),"-",(VLOOKUP($A307,'SegEnds_NonXtal_BW#'!$A:$Z,10,FALSE)+VLOOKUP($A307,A:AL,13,FALSE)-50))</f>
        <v>-</v>
      </c>
      <c r="O307" s="3">
        <f>VLOOKUP($A307,'SegEnds_NonXtal_BW#'!$A:$Z,11,FALSE)+VLOOKUP($A307,A:AL,16,FALSE)-50</f>
        <v>692</v>
      </c>
      <c r="P307" s="3">
        <v>719</v>
      </c>
      <c r="Q307" s="3">
        <f>VLOOKUP($A307,'SegEnds_NonXtal_BW#'!$A:$Z,12,FALSE)+VLOOKUP($A307,A:AL,16,FALSE)-50</f>
        <v>725</v>
      </c>
      <c r="R307" s="3" t="str">
        <f>IF(ISERROR(VLOOKUP($A307,'SegEnds_NonXtal_BW#'!$A:$Z,13,FALSE)+VLOOKUP($A307,A:AL,19,FALSE)-50),"-",VLOOKUP($A307,'SegEnds_NonXtal_BW#'!$A:$Z,13,FALSE)+VLOOKUP($A307,A:AL,19,FALSE)-50)</f>
        <v>-</v>
      </c>
      <c r="S307" s="3" t="s">
        <v>23</v>
      </c>
      <c r="T307" s="103" t="str">
        <f>IF(ISERROR(VLOOKUP($A307,'SegEnds_NonXtal_BW#'!$A:$Z,14,FALSE)+VLOOKUP($A307,A:AL,19,FALSE)-50),"-",(VLOOKUP($A307,'SegEnds_NonXtal_BW#'!$A:$Z,14,FALSE)+VLOOKUP($A307,A:AL,19,FALSE)-50))</f>
        <v>-</v>
      </c>
      <c r="U307" s="9">
        <f>IF(ISERROR(VLOOKUP($A307,'SegEnds_NonXtal_BW#'!$A:$Z,15,FALSE)+VLOOKUP($A307,A:AL,22,FALSE)-50),"-",VLOOKUP($A307,'SegEnds_NonXtal_BW#'!$A:$Z,15,FALSE)+VLOOKUP($A307,A:AL,22,FALSE)-50)</f>
        <v>733</v>
      </c>
      <c r="V307" s="3">
        <v>743</v>
      </c>
      <c r="W307" s="3">
        <f>IF(ISERROR(VLOOKUP($A307,'SegEnds_NonXtal_BW#'!$A:$Z,16,FALSE)+VLOOKUP($A307,A:AL,22,FALSE)-50),"-",(VLOOKUP($A307,'SegEnds_NonXtal_BW#'!$A:$Z,16,FALSE)+VLOOKUP($A307,A:AL,22,FALSE)-50))</f>
        <v>761</v>
      </c>
      <c r="X307" s="3">
        <f>IF(ISERROR(VLOOKUP($A307,'SegEnds_NonXtal_BW#'!$A:$Z,17,FALSE)+VLOOKUP($A307,A:AL,25,FALSE)-50),"-",(VLOOKUP($A307,'SegEnds_NonXtal_BW#'!$A:$Z,17,FALSE)+VLOOKUP($A307,A:AL,25,FALSE)-50))</f>
        <v>778</v>
      </c>
      <c r="Y307" s="3">
        <v>778</v>
      </c>
      <c r="Z307" s="3">
        <f t="shared" si="183"/>
        <v>780</v>
      </c>
      <c r="AA307" s="3">
        <f>IF(ISERROR(VLOOKUP($A307,'SegEnds_NonXtal_BW#'!$A:$Z,19,FALSE)+VLOOKUP($A307,A:AL,28,FALSE)-50),"-",(VLOOKUP($A307,'SegEnds_NonXtal_BW#'!$A:$Z,19,FALSE)+VLOOKUP($A307,A:AL,28,FALSE)-50))</f>
        <v>783</v>
      </c>
      <c r="AB307" s="3">
        <v>797</v>
      </c>
      <c r="AC307" s="3">
        <f>IF(ISERROR((VLOOKUP($A307,'SegEnds_NonXtal_BW#'!$A:$Z,20,FALSE)+VLOOKUP($A307,A:AL,28,FALSE)-50)),"-",(VLOOKUP($A307,'SegEnds_NonXtal_BW#'!$A:$Z,20,FALSE)+VLOOKUP($A307,A:AL,28,FALSE)-50))</f>
        <v>816</v>
      </c>
      <c r="AD307" s="3">
        <f>IF(ISERROR(VLOOKUP($A307,'SegEnds_NonXtal_BW#'!$A:$Z,21,FALSE)+VLOOKUP($A307,A:AL,31,FALSE)-50),"-",(VLOOKUP($A307,'SegEnds_NonXtal_BW#'!$A:$Z,21,FALSE)+VLOOKUP($A307,A:AL,31,FALSE)-50))</f>
        <v>827</v>
      </c>
      <c r="AE307" s="3">
        <v>848</v>
      </c>
      <c r="AF307" s="3">
        <f>IF(ISERROR((VLOOKUP($A307,'SegEnds_NonXtal_BW#'!$A:$Z,22,FALSE)+VLOOKUP($A307,A:AL,31,FALSE)-50)),"-",(VLOOKUP($A307,'SegEnds_NonXtal_BW#'!$A:$Z,22,FALSE)+VLOOKUP($A307,A:AL,31,FALSE)-50))</f>
        <v>851</v>
      </c>
      <c r="AG307" s="3">
        <f>IF(ISERROR(VLOOKUP($A307,'SegEnds_NonXtal_BW#'!$A:$Z,23,FALSE)+VLOOKUP($A307,A:AL,34,FALSE)-50),"-",(VLOOKUP($A307,'SegEnds_NonXtal_BW#'!$A:$Z,23,FALSE)+VLOOKUP($A307,A:AL,34,FALSE)-50))</f>
        <v>857</v>
      </c>
      <c r="AH307" s="3">
        <v>876</v>
      </c>
      <c r="AI307" s="3">
        <f>IF(ISERROR((VLOOKUP($A307,'SegEnds_NonXtal_BW#'!$A:$Z,24,FALSE)+VLOOKUP($A307,A:AL,34,FALSE)-50)),"-",(VLOOKUP($A307,'SegEnds_NonXtal_BW#'!$A:$Z,24,FALSE)+VLOOKUP($A307,A:AL,34,FALSE)-50))</f>
        <v>882</v>
      </c>
      <c r="AJ307" s="3">
        <f>IF(ISERROR(VLOOKUP($A307,'SegEnds_NonXtal_BW#'!$A:$Z,25,FALSE)+VLOOKUP($A307,A:AL,37,FALSE)-50),"-",(VLOOKUP($A307,'SegEnds_NonXtal_BW#'!$A:$Z,25,FALSE)+VLOOKUP($A307,A:AL,37,FALSE)-50))</f>
        <v>883</v>
      </c>
      <c r="AK307" s="3">
        <v>886</v>
      </c>
      <c r="AL307" s="3">
        <f>IF(ISERROR((VLOOKUP($A307,'SegEnds_NonXtal_BW#'!$A:$Z,26,FALSE)+VLOOKUP($A307,A:AL,37,FALSE)-50)),"-",(VLOOKUP($A307,'SegEnds_NonXtal_BW#'!$A:$Z,26,FALSE)+VLOOKUP($A307,A:AL,37,FALSE)-50))</f>
        <v>899</v>
      </c>
      <c r="AM307" s="28" t="str">
        <f>VLOOKUP(A307,Classification!A:B,2,FALSE)</f>
        <v>B2</v>
      </c>
      <c r="AN307" s="28" t="b">
        <f t="shared" si="173"/>
        <v>1</v>
      </c>
      <c r="AO307" s="3" t="str">
        <f>IF(ISERROR(MATCH(A307,'SegEnds_Xtal_Prot#'!B:B, 0)), "NoXtal", "Xtal")</f>
        <v>NoXtal</v>
      </c>
      <c r="AP307" s="3" t="str">
        <f t="shared" si="153"/>
        <v>-</v>
      </c>
      <c r="AQ307" s="3" t="str">
        <f t="shared" si="154"/>
        <v>-</v>
      </c>
      <c r="AR307" s="3" t="str">
        <f t="shared" si="155"/>
        <v>-</v>
      </c>
      <c r="AS307" s="3" t="str">
        <f t="shared" si="156"/>
        <v>-</v>
      </c>
      <c r="AT307" s="3" t="str">
        <f t="shared" si="157"/>
        <v>-</v>
      </c>
      <c r="AU307" s="3" t="str">
        <f t="shared" si="158"/>
        <v>-</v>
      </c>
      <c r="AV307" s="3">
        <f t="shared" si="159"/>
        <v>17</v>
      </c>
      <c r="AW307" s="3">
        <f t="shared" si="160"/>
        <v>3</v>
      </c>
      <c r="AX307" s="3">
        <f t="shared" si="161"/>
        <v>11</v>
      </c>
      <c r="AY307" s="3">
        <f t="shared" si="162"/>
        <v>6</v>
      </c>
      <c r="AZ307" s="3">
        <f t="shared" si="163"/>
        <v>1</v>
      </c>
      <c r="BA307" s="3">
        <f>IF(ISERROR(LEN(VLOOKUP(A307,Seqs!A:E,2,FALSE))-AL307),"-",LEN(VLOOKUP(A307,Seqs!A:E,2,FALSE))-AL307)</f>
        <v>118</v>
      </c>
      <c r="BB307" s="16">
        <f t="shared" si="164"/>
        <v>29</v>
      </c>
      <c r="BC307" s="9" t="str">
        <f t="shared" si="165"/>
        <v>-</v>
      </c>
      <c r="BD307" s="3">
        <f t="shared" si="166"/>
        <v>29</v>
      </c>
      <c r="BE307" s="3">
        <f t="shared" si="167"/>
        <v>51</v>
      </c>
    </row>
    <row r="308" spans="1:58" s="3" customFormat="1" x14ac:dyDescent="0.2">
      <c r="A308" s="3" t="s">
        <v>1195</v>
      </c>
      <c r="B308" s="3" t="str">
        <f>LOWER(VLOOKUP(A308,Xtal_Templ!A:B,2,FALSE))</f>
        <v>crfr1_human</v>
      </c>
      <c r="C308" s="3">
        <f>VLOOKUP($A308,'SegEnds_NonXtal_BW#'!$A:$Z,3,FALSE)+D308-50</f>
        <v>256</v>
      </c>
      <c r="D308" s="3">
        <v>283</v>
      </c>
      <c r="E308" s="3">
        <f>IF(ISERROR(VLOOKUP($A308,'SegEnds_NonXtal_BW#'!$A:$Z,4,FALSE)+VLOOKUP($A308,A:AL,4,FALSE)-50),"-",(VLOOKUP($A308,'SegEnds_NonXtal_BW#'!$A:$Z,4,FALSE)+VLOOKUP($A308,A:AL,4,FALSE)-50))</f>
        <v>293</v>
      </c>
      <c r="F308" s="3" t="s">
        <v>23</v>
      </c>
      <c r="G308" s="3" t="s">
        <v>23</v>
      </c>
      <c r="H308" s="3" t="s">
        <v>23</v>
      </c>
      <c r="I308" s="3">
        <f>VLOOKUP($A308,'SegEnds_NonXtal_BW#'!$A:$Z,7,FALSE)+J308-50</f>
        <v>303</v>
      </c>
      <c r="J308" s="3">
        <v>316</v>
      </c>
      <c r="K308" s="3">
        <f>VLOOKUP($A308,'SegEnds_NonXtal_BW#'!$A:$Z,8,FALSE)+VLOOKUP($A308,A:AL,10,FALSE)-50</f>
        <v>329</v>
      </c>
      <c r="L308" s="3" t="str">
        <f>IF(ISERROR(VLOOKUP($A308,'SegEnds_NonXtal_BW#'!$A:$Z,9,FALSE)+VLOOKUP($A308,A:AL,13,FALSE)-50),"-",(VLOOKUP($A308,'SegEnds_NonXtal_BW#'!$A:$Z,9,FALSE)+VLOOKUP($A308,A:AL,13,FALSE)-50))</f>
        <v>-</v>
      </c>
      <c r="M308" s="3" t="s">
        <v>23</v>
      </c>
      <c r="N308" s="3" t="str">
        <f>IF(ISERROR(VLOOKUP($A308,'SegEnds_NonXtal_BW#'!$A:$Z,10,FALSE)+VLOOKUP($A308,A:AL,13,FALSE)-50),"-",(VLOOKUP($A308,'SegEnds_NonXtal_BW#'!$A:$Z,10,FALSE)+VLOOKUP($A308,A:AL,13,FALSE)-50))</f>
        <v>-</v>
      </c>
      <c r="O308" s="3">
        <f>VLOOKUP($A308,'SegEnds_NonXtal_BW#'!$A:$Z,11,FALSE)+VLOOKUP($A308,A:AL,16,FALSE)-50</f>
        <v>336</v>
      </c>
      <c r="P308" s="3">
        <v>363</v>
      </c>
      <c r="Q308" s="3">
        <f>VLOOKUP($A308,'SegEnds_NonXtal_BW#'!$A:$Z,12,FALSE)+VLOOKUP($A308,A:AL,16,FALSE)-50</f>
        <v>369</v>
      </c>
      <c r="R308" s="3" t="str">
        <f>IF(ISERROR(VLOOKUP($A308,'SegEnds_NonXtal_BW#'!$A:$Z,13,FALSE)+VLOOKUP($A308,A:AL,19,FALSE)-50),"-",VLOOKUP($A308,'SegEnds_NonXtal_BW#'!$A:$Z,13,FALSE)+VLOOKUP($A308,A:AL,19,FALSE)-50)</f>
        <v>-</v>
      </c>
      <c r="S308" s="3" t="s">
        <v>23</v>
      </c>
      <c r="T308" s="103" t="str">
        <f>IF(ISERROR(VLOOKUP($A308,'SegEnds_NonXtal_BW#'!$A:$Z,14,FALSE)+VLOOKUP($A308,A:AL,19,FALSE)-50),"-",(VLOOKUP($A308,'SegEnds_NonXtal_BW#'!$A:$Z,14,FALSE)+VLOOKUP($A308,A:AL,19,FALSE)-50))</f>
        <v>-</v>
      </c>
      <c r="U308" s="9">
        <f>IF(ISERROR(VLOOKUP($A308,'SegEnds_NonXtal_BW#'!$A:$Z,15,FALSE)+VLOOKUP($A308,A:AL,22,FALSE)-50),"-",VLOOKUP($A308,'SegEnds_NonXtal_BW#'!$A:$Z,15,FALSE)+VLOOKUP($A308,A:AL,22,FALSE)-50)</f>
        <v>377</v>
      </c>
      <c r="V308" s="3">
        <v>387</v>
      </c>
      <c r="W308" s="3">
        <f>IF(ISERROR(VLOOKUP($A308,'SegEnds_NonXtal_BW#'!$A:$Z,16,FALSE)+VLOOKUP($A308,A:AL,22,FALSE)-50),"-",(VLOOKUP($A308,'SegEnds_NonXtal_BW#'!$A:$Z,16,FALSE)+VLOOKUP($A308,A:AL,22,FALSE)-50))</f>
        <v>405</v>
      </c>
      <c r="X308" s="3">
        <f>IF(ISERROR(VLOOKUP($A308,'SegEnds_NonXtal_BW#'!$A:$Z,17,FALSE)+VLOOKUP($A308,A:AL,25,FALSE)-50),"-",(VLOOKUP($A308,'SegEnds_NonXtal_BW#'!$A:$Z,17,FALSE)+VLOOKUP($A308,A:AL,25,FALSE)-50))</f>
        <v>420</v>
      </c>
      <c r="Y308" s="3">
        <v>420</v>
      </c>
      <c r="Z308" s="3">
        <f t="shared" si="183"/>
        <v>422</v>
      </c>
      <c r="AA308" s="3">
        <f>IF(ISERROR(VLOOKUP($A308,'SegEnds_NonXtal_BW#'!$A:$Z,19,FALSE)+VLOOKUP($A308,A:AL,28,FALSE)-50),"-",(VLOOKUP($A308,'SegEnds_NonXtal_BW#'!$A:$Z,19,FALSE)+VLOOKUP($A308,A:AL,28,FALSE)-50))</f>
        <v>424</v>
      </c>
      <c r="AB308" s="3">
        <v>438</v>
      </c>
      <c r="AC308" s="3">
        <f>IF(ISERROR((VLOOKUP($A308,'SegEnds_NonXtal_BW#'!$A:$Z,20,FALSE)+VLOOKUP($A308,A:AL,28,FALSE)-50)),"-",(VLOOKUP($A308,'SegEnds_NonXtal_BW#'!$A:$Z,20,FALSE)+VLOOKUP($A308,A:AL,28,FALSE)-50))</f>
        <v>457</v>
      </c>
      <c r="AD308" s="3">
        <f>IF(ISERROR(VLOOKUP($A308,'SegEnds_NonXtal_BW#'!$A:$Z,21,FALSE)+VLOOKUP($A308,A:AL,31,FALSE)-50),"-",(VLOOKUP($A308,'SegEnds_NonXtal_BW#'!$A:$Z,21,FALSE)+VLOOKUP($A308,A:AL,31,FALSE)-50))</f>
        <v>471</v>
      </c>
      <c r="AE308" s="3">
        <v>492</v>
      </c>
      <c r="AF308" s="3">
        <f>IF(ISERROR((VLOOKUP($A308,'SegEnds_NonXtal_BW#'!$A:$Z,22,FALSE)+VLOOKUP($A308,A:AL,31,FALSE)-50)),"-",(VLOOKUP($A308,'SegEnds_NonXtal_BW#'!$A:$Z,22,FALSE)+VLOOKUP($A308,A:AL,31,FALSE)-50))</f>
        <v>492</v>
      </c>
      <c r="AG308" s="3">
        <f>IF(ISERROR(VLOOKUP($A308,'SegEnds_NonXtal_BW#'!$A:$Z,23,FALSE)+VLOOKUP($A308,A:AL,34,FALSE)-50),"-",(VLOOKUP($A308,'SegEnds_NonXtal_BW#'!$A:$Z,23,FALSE)+VLOOKUP($A308,A:AL,34,FALSE)-50))</f>
        <v>499</v>
      </c>
      <c r="AH308" s="3">
        <v>518</v>
      </c>
      <c r="AI308" s="3">
        <f>IF(ISERROR((VLOOKUP($A308,'SegEnds_NonXtal_BW#'!$A:$Z,24,FALSE)+VLOOKUP($A308,A:AL,34,FALSE)-50)),"-",(VLOOKUP($A308,'SegEnds_NonXtal_BW#'!$A:$Z,24,FALSE)+VLOOKUP($A308,A:AL,34,FALSE)-50))</f>
        <v>524</v>
      </c>
      <c r="AJ308" s="3">
        <f>IF(ISERROR(VLOOKUP($A308,'SegEnds_NonXtal_BW#'!$A:$Z,25,FALSE)+VLOOKUP($A308,A:AL,37,FALSE)-50),"-",(VLOOKUP($A308,'SegEnds_NonXtal_BW#'!$A:$Z,25,FALSE)+VLOOKUP($A308,A:AL,37,FALSE)-50))</f>
        <v>525</v>
      </c>
      <c r="AK308" s="3">
        <v>528</v>
      </c>
      <c r="AL308" s="3">
        <f>IF(ISERROR((VLOOKUP($A308,'SegEnds_NonXtal_BW#'!$A:$Z,26,FALSE)+VLOOKUP($A308,A:AL,37,FALSE)-50)),"-",(VLOOKUP($A308,'SegEnds_NonXtal_BW#'!$A:$Z,26,FALSE)+VLOOKUP($A308,A:AL,37,FALSE)-50))</f>
        <v>541</v>
      </c>
      <c r="AM308" s="28" t="str">
        <f>VLOOKUP(A308,Classification!A:B,2,FALSE)</f>
        <v>B2</v>
      </c>
      <c r="AN308" s="28" t="b">
        <f t="shared" si="173"/>
        <v>1</v>
      </c>
      <c r="AO308" s="3" t="str">
        <f>IF(ISERROR(MATCH(A308,'SegEnds_Xtal_Prot#'!B:B, 0)), "NoXtal", "Xtal")</f>
        <v>NoXtal</v>
      </c>
      <c r="AP308" s="3" t="str">
        <f t="shared" si="153"/>
        <v>-</v>
      </c>
      <c r="AQ308" s="3" t="str">
        <f t="shared" si="154"/>
        <v>-</v>
      </c>
      <c r="AR308" s="3" t="str">
        <f t="shared" si="155"/>
        <v>-</v>
      </c>
      <c r="AS308" s="3" t="str">
        <f t="shared" si="156"/>
        <v>-</v>
      </c>
      <c r="AT308" s="3" t="str">
        <f t="shared" si="157"/>
        <v>-</v>
      </c>
      <c r="AU308" s="3" t="str">
        <f t="shared" si="158"/>
        <v>-</v>
      </c>
      <c r="AV308" s="3">
        <f t="shared" si="159"/>
        <v>15</v>
      </c>
      <c r="AW308" s="3">
        <f t="shared" si="160"/>
        <v>2</v>
      </c>
      <c r="AX308" s="3">
        <f t="shared" si="161"/>
        <v>14</v>
      </c>
      <c r="AY308" s="3">
        <f t="shared" si="162"/>
        <v>7</v>
      </c>
      <c r="AZ308" s="3">
        <f t="shared" si="163"/>
        <v>1</v>
      </c>
      <c r="BA308" s="3">
        <f>IF(ISERROR(LEN(VLOOKUP(A308,Seqs!A:E,2,FALSE))-AL308),"-",LEN(VLOOKUP(A308,Seqs!A:E,2,FALSE))-AL308)</f>
        <v>8</v>
      </c>
      <c r="BB308" s="16">
        <f t="shared" si="164"/>
        <v>33</v>
      </c>
      <c r="BC308" s="9" t="str">
        <f t="shared" si="165"/>
        <v>-</v>
      </c>
      <c r="BD308" s="3">
        <f t="shared" si="166"/>
        <v>33</v>
      </c>
      <c r="BE308" s="3">
        <f t="shared" si="167"/>
        <v>54</v>
      </c>
      <c r="BF308" s="3">
        <f>AH308-AE308</f>
        <v>26</v>
      </c>
    </row>
    <row r="309" spans="1:58" s="3" customFormat="1" x14ac:dyDescent="0.2">
      <c r="A309" s="3" t="s">
        <v>1196</v>
      </c>
      <c r="B309" s="3" t="str">
        <f>LOWER(VLOOKUP(A309,Xtal_Templ!A:B,2,FALSE))</f>
        <v>crfr1_human</v>
      </c>
      <c r="C309" s="3">
        <f>VLOOKUP($A309,'SegEnds_NonXtal_BW#'!$A:$Z,3,FALSE)+D309-50</f>
        <v>2731</v>
      </c>
      <c r="D309" s="3">
        <v>2758</v>
      </c>
      <c r="E309" s="3">
        <f>IF(ISERROR(VLOOKUP($A309,'SegEnds_NonXtal_BW#'!$A:$Z,4,FALSE)+VLOOKUP($A309,A:AL,4,FALSE)-50),"-",(VLOOKUP($A309,'SegEnds_NonXtal_BW#'!$A:$Z,4,FALSE)+VLOOKUP($A309,A:AL,4,FALSE)-50))</f>
        <v>2768</v>
      </c>
      <c r="F309" s="3" t="s">
        <v>23</v>
      </c>
      <c r="G309" s="3" t="s">
        <v>23</v>
      </c>
      <c r="H309" s="3" t="s">
        <v>23</v>
      </c>
      <c r="I309" s="3">
        <f>VLOOKUP($A309,'SegEnds_NonXtal_BW#'!$A:$Z,7,FALSE)+J309-50</f>
        <v>2774</v>
      </c>
      <c r="J309" s="3">
        <v>2787</v>
      </c>
      <c r="K309" s="3">
        <f>VLOOKUP($A309,'SegEnds_NonXtal_BW#'!$A:$Z,8,FALSE)+VLOOKUP($A309,A:AL,10,FALSE)-50</f>
        <v>2800</v>
      </c>
      <c r="L309" s="3" t="str">
        <f>IF(ISERROR(VLOOKUP($A309,'SegEnds_NonXtal_BW#'!$A:$Z,9,FALSE)+VLOOKUP($A309,A:AL,13,FALSE)-50),"-",(VLOOKUP($A309,'SegEnds_NonXtal_BW#'!$A:$Z,9,FALSE)+VLOOKUP($A309,A:AL,13,FALSE)-50))</f>
        <v>-</v>
      </c>
      <c r="M309" s="3" t="s">
        <v>23</v>
      </c>
      <c r="N309" s="3" t="str">
        <f>IF(ISERROR(VLOOKUP($A309,'SegEnds_NonXtal_BW#'!$A:$Z,10,FALSE)+VLOOKUP($A309,A:AL,13,FALSE)-50),"-",(VLOOKUP($A309,'SegEnds_NonXtal_BW#'!$A:$Z,10,FALSE)+VLOOKUP($A309,A:AL,13,FALSE)-50))</f>
        <v>-</v>
      </c>
      <c r="O309" s="3">
        <f>VLOOKUP($A309,'SegEnds_NonXtal_BW#'!$A:$Z,11,FALSE)+VLOOKUP($A309,A:AL,16,FALSE)-50</f>
        <v>2807</v>
      </c>
      <c r="P309" s="3">
        <v>2834</v>
      </c>
      <c r="Q309" s="3">
        <f>VLOOKUP($A309,'SegEnds_NonXtal_BW#'!$A:$Z,12,FALSE)+VLOOKUP($A309,A:AL,16,FALSE)-50</f>
        <v>2840</v>
      </c>
      <c r="R309" s="3" t="str">
        <f>IF(ISERROR(VLOOKUP($A309,'SegEnds_NonXtal_BW#'!$A:$Z,13,FALSE)+VLOOKUP($A309,A:AL,19,FALSE)-50),"-",VLOOKUP($A309,'SegEnds_NonXtal_BW#'!$A:$Z,13,FALSE)+VLOOKUP($A309,A:AL,19,FALSE)-50)</f>
        <v>-</v>
      </c>
      <c r="S309" s="3" t="s">
        <v>23</v>
      </c>
      <c r="T309" s="103" t="str">
        <f>IF(ISERROR(VLOOKUP($A309,'SegEnds_NonXtal_BW#'!$A:$Z,14,FALSE)+VLOOKUP($A309,A:AL,19,FALSE)-50),"-",(VLOOKUP($A309,'SegEnds_NonXtal_BW#'!$A:$Z,14,FALSE)+VLOOKUP($A309,A:AL,19,FALSE)-50))</f>
        <v>-</v>
      </c>
      <c r="U309" s="9">
        <f>IF(ISERROR(VLOOKUP($A309,'SegEnds_NonXtal_BW#'!$A:$Z,15,FALSE)+VLOOKUP($A309,A:AL,22,FALSE)-50),"-",VLOOKUP($A309,'SegEnds_NonXtal_BW#'!$A:$Z,15,FALSE)+VLOOKUP($A309,A:AL,22,FALSE)-50)</f>
        <v>2848</v>
      </c>
      <c r="V309" s="3">
        <v>2858</v>
      </c>
      <c r="W309" s="3">
        <f>IF(ISERROR(VLOOKUP($A309,'SegEnds_NonXtal_BW#'!$A:$Z,16,FALSE)+VLOOKUP($A309,A:AL,22,FALSE)-50),"-",(VLOOKUP($A309,'SegEnds_NonXtal_BW#'!$A:$Z,16,FALSE)+VLOOKUP($A309,A:AL,22,FALSE)-50))</f>
        <v>2876</v>
      </c>
      <c r="X309" s="3">
        <f>IF(ISERROR(VLOOKUP($A309,'SegEnds_NonXtal_BW#'!$A:$Z,17,FALSE)+VLOOKUP($A309,A:AL,25,FALSE)-50),"-",(VLOOKUP($A309,'SegEnds_NonXtal_BW#'!$A:$Z,17,FALSE)+VLOOKUP($A309,A:AL,25,FALSE)-50))</f>
        <v>2886</v>
      </c>
      <c r="Y309" s="3">
        <v>2886</v>
      </c>
      <c r="Z309" s="3">
        <f t="shared" si="183"/>
        <v>2888</v>
      </c>
      <c r="AA309" s="3">
        <f>IF(ISERROR(VLOOKUP($A309,'SegEnds_NonXtal_BW#'!$A:$Z,19,FALSE)+VLOOKUP($A309,A:AL,28,FALSE)-50),"-",(VLOOKUP($A309,'SegEnds_NonXtal_BW#'!$A:$Z,19,FALSE)+VLOOKUP($A309,A:AL,28,FALSE)-50))</f>
        <v>2891</v>
      </c>
      <c r="AB309" s="3">
        <v>2905</v>
      </c>
      <c r="AC309" s="3">
        <f>IF(ISERROR((VLOOKUP($A309,'SegEnds_NonXtal_BW#'!$A:$Z,20,FALSE)+VLOOKUP($A309,A:AL,28,FALSE)-50)),"-",(VLOOKUP($A309,'SegEnds_NonXtal_BW#'!$A:$Z,20,FALSE)+VLOOKUP($A309,A:AL,28,FALSE)-50))</f>
        <v>2924</v>
      </c>
      <c r="AD309" s="3">
        <f>IF(ISERROR(VLOOKUP($A309,'SegEnds_NonXtal_BW#'!$A:$Z,21,FALSE)+VLOOKUP($A309,A:AL,31,FALSE)-50),"-",(VLOOKUP($A309,'SegEnds_NonXtal_BW#'!$A:$Z,21,FALSE)+VLOOKUP($A309,A:AL,31,FALSE)-50))</f>
        <v>2934</v>
      </c>
      <c r="AE309" s="3">
        <v>2955</v>
      </c>
      <c r="AF309" s="3">
        <f>IF(ISERROR((VLOOKUP($A309,'SegEnds_NonXtal_BW#'!$A:$Z,22,FALSE)+VLOOKUP($A309,A:AL,31,FALSE)-50)),"-",(VLOOKUP($A309,'SegEnds_NonXtal_BW#'!$A:$Z,22,FALSE)+VLOOKUP($A309,A:AL,31,FALSE)-50))</f>
        <v>2958</v>
      </c>
      <c r="AG309" s="3">
        <f>IF(ISERROR(VLOOKUP($A309,'SegEnds_NonXtal_BW#'!$A:$Z,23,FALSE)+VLOOKUP($A309,A:AL,34,FALSE)-50),"-",(VLOOKUP($A309,'SegEnds_NonXtal_BW#'!$A:$Z,23,FALSE)+VLOOKUP($A309,A:AL,34,FALSE)-50))</f>
        <v>2964</v>
      </c>
      <c r="AH309" s="3">
        <v>2983</v>
      </c>
      <c r="AI309" s="3">
        <f>IF(ISERROR((VLOOKUP($A309,'SegEnds_NonXtal_BW#'!$A:$Z,24,FALSE)+VLOOKUP($A309,A:AL,34,FALSE)-50)),"-",(VLOOKUP($A309,'SegEnds_NonXtal_BW#'!$A:$Z,24,FALSE)+VLOOKUP($A309,A:AL,34,FALSE)-50))</f>
        <v>2989</v>
      </c>
      <c r="AJ309" s="3">
        <f>IF(ISERROR(VLOOKUP($A309,'SegEnds_NonXtal_BW#'!$A:$Z,25,FALSE)+VLOOKUP($A309,A:AL,37,FALSE)-50),"-",(VLOOKUP($A309,'SegEnds_NonXtal_BW#'!$A:$Z,25,FALSE)+VLOOKUP($A309,A:AL,37,FALSE)-50))</f>
        <v>2990</v>
      </c>
      <c r="AK309" s="3">
        <v>2993</v>
      </c>
      <c r="AL309" s="3">
        <f>IF(ISERROR((VLOOKUP($A309,'SegEnds_NonXtal_BW#'!$A:$Z,26,FALSE)+VLOOKUP($A309,A:AL,37,FALSE)-50)),"-",(VLOOKUP($A309,'SegEnds_NonXtal_BW#'!$A:$Z,26,FALSE)+VLOOKUP($A309,A:AL,37,FALSE)-50))</f>
        <v>3006</v>
      </c>
      <c r="AM309" s="28" t="str">
        <f>VLOOKUP(A309,Classification!A:B,2,FALSE)</f>
        <v>B2</v>
      </c>
      <c r="AN309" s="28" t="b">
        <f t="shared" si="173"/>
        <v>1</v>
      </c>
      <c r="AO309" s="3" t="str">
        <f>IF(ISERROR(MATCH(A309,'SegEnds_Xtal_Prot#'!B:B, 0)), "NoXtal", "Xtal")</f>
        <v>NoXtal</v>
      </c>
      <c r="AP309" s="3" t="str">
        <f t="shared" si="153"/>
        <v>-</v>
      </c>
      <c r="AQ309" s="3" t="str">
        <f t="shared" si="154"/>
        <v>-</v>
      </c>
      <c r="AR309" s="3" t="str">
        <f t="shared" si="155"/>
        <v>-</v>
      </c>
      <c r="AS309" s="3" t="str">
        <f t="shared" si="156"/>
        <v>-</v>
      </c>
      <c r="AT309" s="3" t="str">
        <f t="shared" si="157"/>
        <v>-</v>
      </c>
      <c r="AU309" s="3" t="str">
        <f t="shared" si="158"/>
        <v>-</v>
      </c>
      <c r="AV309" s="3">
        <f t="shared" si="159"/>
        <v>10</v>
      </c>
      <c r="AW309" s="3">
        <f t="shared" si="160"/>
        <v>3</v>
      </c>
      <c r="AX309" s="3">
        <f t="shared" si="161"/>
        <v>10</v>
      </c>
      <c r="AY309" s="3">
        <f t="shared" si="162"/>
        <v>6</v>
      </c>
      <c r="AZ309" s="3">
        <f t="shared" si="163"/>
        <v>1</v>
      </c>
      <c r="BA309" s="3">
        <f>IF(ISERROR(LEN(VLOOKUP(A309,Seqs!A:E,2,FALSE))-AL309),"-",LEN(VLOOKUP(A309,Seqs!A:E,2,FALSE))-AL309)</f>
        <v>74</v>
      </c>
      <c r="BB309" s="16">
        <f t="shared" si="164"/>
        <v>29</v>
      </c>
      <c r="BC309" s="9" t="str">
        <f t="shared" si="165"/>
        <v>-</v>
      </c>
      <c r="BD309" s="3">
        <f t="shared" si="166"/>
        <v>29</v>
      </c>
      <c r="BE309" s="3">
        <f t="shared" si="167"/>
        <v>50</v>
      </c>
    </row>
    <row r="310" spans="1:58" s="3" customFormat="1" x14ac:dyDescent="0.2">
      <c r="A310" s="3" t="s">
        <v>1197</v>
      </c>
      <c r="B310" s="3" t="str">
        <f>LOWER(VLOOKUP(A310,Xtal_Templ!A:B,2,FALSE))</f>
        <v>glr_human</v>
      </c>
      <c r="C310" s="3">
        <f>VLOOKUP($A310,'SegEnds_NonXtal_BW#'!$A:$Z,3,FALSE)+D310-50</f>
        <v>236</v>
      </c>
      <c r="D310" s="3">
        <v>263</v>
      </c>
      <c r="E310" s="3">
        <f>IF(ISERROR(VLOOKUP($A310,'SegEnds_NonXtal_BW#'!$A:$Z,4,FALSE)+VLOOKUP($A310,A:AL,4,FALSE)-50),"-",(VLOOKUP($A310,'SegEnds_NonXtal_BW#'!$A:$Z,4,FALSE)+VLOOKUP($A310,A:AL,4,FALSE)-50))</f>
        <v>273</v>
      </c>
      <c r="F310" s="3" t="s">
        <v>23</v>
      </c>
      <c r="G310" s="3" t="s">
        <v>23</v>
      </c>
      <c r="H310" s="3" t="s">
        <v>23</v>
      </c>
      <c r="I310" s="3">
        <f>VLOOKUP($A310,'SegEnds_NonXtal_BW#'!$A:$Z,7,FALSE)+J310-50</f>
        <v>278</v>
      </c>
      <c r="J310" s="3">
        <v>291</v>
      </c>
      <c r="K310" s="3">
        <f>VLOOKUP($A310,'SegEnds_NonXtal_BW#'!$A:$Z,8,FALSE)+VLOOKUP($A310,A:AL,10,FALSE)-50</f>
        <v>304</v>
      </c>
      <c r="L310" s="3" t="str">
        <f>IF(ISERROR(VLOOKUP($A310,'SegEnds_NonXtal_BW#'!$A:$Z,9,FALSE)+VLOOKUP($A310,A:AL,13,FALSE)-50),"-",(VLOOKUP($A310,'SegEnds_NonXtal_BW#'!$A:$Z,9,FALSE)+VLOOKUP($A310,A:AL,13,FALSE)-50))</f>
        <v>-</v>
      </c>
      <c r="M310" s="3" t="s">
        <v>23</v>
      </c>
      <c r="N310" s="3" t="str">
        <f>IF(ISERROR(VLOOKUP($A310,'SegEnds_NonXtal_BW#'!$A:$Z,10,FALSE)+VLOOKUP($A310,A:AL,13,FALSE)-50),"-",(VLOOKUP($A310,'SegEnds_NonXtal_BW#'!$A:$Z,10,FALSE)+VLOOKUP($A310,A:AL,13,FALSE)-50))</f>
        <v>-</v>
      </c>
      <c r="O310" s="3">
        <f>VLOOKUP($A310,'SegEnds_NonXtal_BW#'!$A:$Z,11,FALSE)+VLOOKUP($A310,A:AL,16,FALSE)-50</f>
        <v>312</v>
      </c>
      <c r="P310" s="3">
        <v>339</v>
      </c>
      <c r="Q310" s="3">
        <f>VLOOKUP($A310,'SegEnds_NonXtal_BW#'!$A:$Z,12,FALSE)+VLOOKUP($A310,A:AL,16,FALSE)-50</f>
        <v>345</v>
      </c>
      <c r="R310" s="3" t="str">
        <f>IF(ISERROR(VLOOKUP($A310,'SegEnds_NonXtal_BW#'!$A:$Z,13,FALSE)+VLOOKUP($A310,A:AL,19,FALSE)-50),"-",VLOOKUP($A310,'SegEnds_NonXtal_BW#'!$A:$Z,13,FALSE)+VLOOKUP($A310,A:AL,19,FALSE)-50)</f>
        <v>-</v>
      </c>
      <c r="S310" s="3" t="s">
        <v>23</v>
      </c>
      <c r="T310" s="103" t="str">
        <f>IF(ISERROR(VLOOKUP($A310,'SegEnds_NonXtal_BW#'!$A:$Z,14,FALSE)+VLOOKUP($A310,A:AL,19,FALSE)-50),"-",(VLOOKUP($A310,'SegEnds_NonXtal_BW#'!$A:$Z,14,FALSE)+VLOOKUP($A310,A:AL,19,FALSE)-50))</f>
        <v>-</v>
      </c>
      <c r="U310" s="9">
        <f>IF(ISERROR(VLOOKUP($A310,'SegEnds_NonXtal_BW#'!$A:$Z,15,FALSE)+VLOOKUP($A310,A:AL,22,FALSE)-50),"-",VLOOKUP($A310,'SegEnds_NonXtal_BW#'!$A:$Z,15,FALSE)+VLOOKUP($A310,A:AL,22,FALSE)-50)</f>
        <v>353</v>
      </c>
      <c r="V310" s="3">
        <v>363</v>
      </c>
      <c r="W310" s="3">
        <f>IF(ISERROR(VLOOKUP($A310,'SegEnds_NonXtal_BW#'!$A:$Z,16,FALSE)+VLOOKUP($A310,A:AL,22,FALSE)-50),"-",(VLOOKUP($A310,'SegEnds_NonXtal_BW#'!$A:$Z,16,FALSE)+VLOOKUP($A310,A:AL,22,FALSE)-50))</f>
        <v>381</v>
      </c>
      <c r="X310" s="3">
        <f>IF(ISERROR(VLOOKUP($A310,'SegEnds_NonXtal_BW#'!$A:$Z,17,FALSE)+VLOOKUP($A310,A:AL,25,FALSE)-50),"-",(VLOOKUP($A310,'SegEnds_NonXtal_BW#'!$A:$Z,17,FALSE)+VLOOKUP($A310,A:AL,25,FALSE)-50))</f>
        <v>404</v>
      </c>
      <c r="Y310" s="3">
        <v>404</v>
      </c>
      <c r="Z310" s="3">
        <f t="shared" si="183"/>
        <v>406</v>
      </c>
      <c r="AA310" s="3">
        <f>IF(ISERROR(VLOOKUP($A310,'SegEnds_NonXtal_BW#'!$A:$Z,19,FALSE)+VLOOKUP($A310,A:AL,28,FALSE)-50),"-",(VLOOKUP($A310,'SegEnds_NonXtal_BW#'!$A:$Z,19,FALSE)+VLOOKUP($A310,A:AL,28,FALSE)-50))</f>
        <v>409</v>
      </c>
      <c r="AB310" s="3">
        <v>423</v>
      </c>
      <c r="AC310" s="3">
        <f>IF(ISERROR((VLOOKUP($A310,'SegEnds_NonXtal_BW#'!$A:$Z,20,FALSE)+VLOOKUP($A310,A:AL,28,FALSE)-50)),"-",(VLOOKUP($A310,'SegEnds_NonXtal_BW#'!$A:$Z,20,FALSE)+VLOOKUP($A310,A:AL,28,FALSE)-50))</f>
        <v>442</v>
      </c>
      <c r="AD310" s="3">
        <f>IF(ISERROR(VLOOKUP($A310,'SegEnds_NonXtal_BW#'!$A:$Z,21,FALSE)+VLOOKUP($A310,A:AL,31,FALSE)-50),"-",(VLOOKUP($A310,'SegEnds_NonXtal_BW#'!$A:$Z,21,FALSE)+VLOOKUP($A310,A:AL,31,FALSE)-50))</f>
        <v>451</v>
      </c>
      <c r="AE310" s="3">
        <v>472</v>
      </c>
      <c r="AF310" s="3">
        <f>IF(ISERROR((VLOOKUP($A310,'SegEnds_NonXtal_BW#'!$A:$Z,22,FALSE)+VLOOKUP($A310,A:AL,31,FALSE)-50)),"-",(VLOOKUP($A310,'SegEnds_NonXtal_BW#'!$A:$Z,22,FALSE)+VLOOKUP($A310,A:AL,31,FALSE)-50))</f>
        <v>475</v>
      </c>
      <c r="AG310" s="3">
        <f>IF(ISERROR(VLOOKUP($A310,'SegEnds_NonXtal_BW#'!$A:$Z,23,FALSE)+VLOOKUP($A310,A:AL,34,FALSE)-50),"-",(VLOOKUP($A310,'SegEnds_NonXtal_BW#'!$A:$Z,23,FALSE)+VLOOKUP($A310,A:AL,34,FALSE)-50))</f>
        <v>481</v>
      </c>
      <c r="AH310" s="3">
        <v>500</v>
      </c>
      <c r="AI310" s="3">
        <f>IF(ISERROR((VLOOKUP($A310,'SegEnds_NonXtal_BW#'!$A:$Z,24,FALSE)+VLOOKUP($A310,A:AL,34,FALSE)-50)),"-",(VLOOKUP($A310,'SegEnds_NonXtal_BW#'!$A:$Z,24,FALSE)+VLOOKUP($A310,A:AL,34,FALSE)-50))</f>
        <v>506</v>
      </c>
      <c r="AJ310" s="3">
        <f>IF(ISERROR(VLOOKUP($A310,'SegEnds_NonXtal_BW#'!$A:$Z,25,FALSE)+VLOOKUP($A310,A:AL,37,FALSE)-50),"-",(VLOOKUP($A310,'SegEnds_NonXtal_BW#'!$A:$Z,25,FALSE)+VLOOKUP($A310,A:AL,37,FALSE)-50))</f>
        <v>507</v>
      </c>
      <c r="AK310" s="3">
        <v>510</v>
      </c>
      <c r="AL310" s="3">
        <f>IF(ISERROR((VLOOKUP($A310,'SegEnds_NonXtal_BW#'!$A:$Z,26,FALSE)+VLOOKUP($A310,A:AL,37,FALSE)-50)),"-",(VLOOKUP($A310,'SegEnds_NonXtal_BW#'!$A:$Z,26,FALSE)+VLOOKUP($A310,A:AL,37,FALSE)-50))</f>
        <v>523</v>
      </c>
      <c r="AM310" s="28" t="str">
        <f>VLOOKUP(A310,Classification!A:B,2,FALSE)</f>
        <v>B2</v>
      </c>
      <c r="AN310" s="28" t="b">
        <f t="shared" si="173"/>
        <v>1</v>
      </c>
      <c r="AO310" s="3" t="str">
        <f>IF(ISERROR(MATCH(A310,'SegEnds_Xtal_Prot#'!B:B, 0)), "NoXtal", "Xtal")</f>
        <v>NoXtal</v>
      </c>
      <c r="AP310" s="3" t="str">
        <f t="shared" si="153"/>
        <v>-</v>
      </c>
      <c r="AQ310" s="3" t="str">
        <f t="shared" si="154"/>
        <v>-</v>
      </c>
      <c r="AR310" s="3" t="str">
        <f t="shared" si="155"/>
        <v>-</v>
      </c>
      <c r="AS310" s="3" t="str">
        <f t="shared" si="156"/>
        <v>-</v>
      </c>
      <c r="AT310" s="3" t="str">
        <f t="shared" si="157"/>
        <v>-</v>
      </c>
      <c r="AU310" s="3" t="str">
        <f t="shared" si="158"/>
        <v>-</v>
      </c>
      <c r="AV310" s="3">
        <f t="shared" si="159"/>
        <v>23</v>
      </c>
      <c r="AW310" s="3">
        <f t="shared" si="160"/>
        <v>3</v>
      </c>
      <c r="AX310" s="3">
        <f t="shared" si="161"/>
        <v>9</v>
      </c>
      <c r="AY310" s="3">
        <f t="shared" si="162"/>
        <v>6</v>
      </c>
      <c r="AZ310" s="3">
        <f t="shared" si="163"/>
        <v>1</v>
      </c>
      <c r="BA310" s="3">
        <f>IF(ISERROR(LEN(VLOOKUP(A310,Seqs!A:E,2,FALSE))-AL310),"-",LEN(VLOOKUP(A310,Seqs!A:E,2,FALSE))-AL310)</f>
        <v>5</v>
      </c>
      <c r="BB310" s="16">
        <f t="shared" si="164"/>
        <v>28</v>
      </c>
      <c r="BC310" s="9" t="str">
        <f t="shared" si="165"/>
        <v>-</v>
      </c>
      <c r="BD310" s="3">
        <f t="shared" si="166"/>
        <v>28</v>
      </c>
      <c r="BE310" s="3">
        <f t="shared" si="167"/>
        <v>49</v>
      </c>
      <c r="BF310" s="3">
        <f>AH310-AE310</f>
        <v>28</v>
      </c>
    </row>
    <row r="311" spans="1:58" s="3" customFormat="1" x14ac:dyDescent="0.2">
      <c r="A311" s="3" t="s">
        <v>1198</v>
      </c>
      <c r="B311" s="3" t="str">
        <f>LOWER(VLOOKUP(A311,Xtal_Templ!A:B,2,FALSE))</f>
        <v>glp1r_human</v>
      </c>
      <c r="C311" s="3">
        <f>VLOOKUP($A311,'SegEnds_NonXtal_BW#'!$A:$Z,3,FALSE)+D311-50</f>
        <v>422</v>
      </c>
      <c r="D311" s="3">
        <v>449</v>
      </c>
      <c r="E311" s="3">
        <f>IF(ISERROR(VLOOKUP($A311,'SegEnds_NonXtal_BW#'!$A:$Z,4,FALSE)+VLOOKUP($A311,A:AL,4,FALSE)-50),"-",(VLOOKUP($A311,'SegEnds_NonXtal_BW#'!$A:$Z,4,FALSE)+VLOOKUP($A311,A:AL,4,FALSE)-50))</f>
        <v>459</v>
      </c>
      <c r="F311" s="3" t="s">
        <v>23</v>
      </c>
      <c r="G311" s="3" t="s">
        <v>23</v>
      </c>
      <c r="H311" s="3" t="s">
        <v>23</v>
      </c>
      <c r="I311" s="3">
        <f>VLOOKUP($A311,'SegEnds_NonXtal_BW#'!$A:$Z,7,FALSE)+J311-50</f>
        <v>465</v>
      </c>
      <c r="J311" s="3">
        <v>478</v>
      </c>
      <c r="K311" s="3">
        <f>VLOOKUP($A311,'SegEnds_NonXtal_BW#'!$A:$Z,8,FALSE)+VLOOKUP($A311,A:AL,10,FALSE)-50</f>
        <v>493</v>
      </c>
      <c r="L311" s="3" t="str">
        <f>IF(ISERROR(VLOOKUP($A311,'SegEnds_NonXtal_BW#'!$A:$Z,9,FALSE)+VLOOKUP($A311,A:AL,13,FALSE)-50),"-",(VLOOKUP($A311,'SegEnds_NonXtal_BW#'!$A:$Z,9,FALSE)+VLOOKUP($A311,A:AL,13,FALSE)-50))</f>
        <v>-</v>
      </c>
      <c r="M311" s="3" t="s">
        <v>23</v>
      </c>
      <c r="N311" s="3" t="str">
        <f>IF(ISERROR(VLOOKUP($A311,'SegEnds_NonXtal_BW#'!$A:$Z,10,FALSE)+VLOOKUP($A311,A:AL,13,FALSE)-50),"-",(VLOOKUP($A311,'SegEnds_NonXtal_BW#'!$A:$Z,10,FALSE)+VLOOKUP($A311,A:AL,13,FALSE)-50))</f>
        <v>-</v>
      </c>
      <c r="O311" s="3">
        <f>VLOOKUP($A311,'SegEnds_NonXtal_BW#'!$A:$Z,11,FALSE)+VLOOKUP($A311,A:AL,16,FALSE)-50</f>
        <v>519</v>
      </c>
      <c r="P311" s="3">
        <v>551</v>
      </c>
      <c r="Q311" s="3">
        <f>VLOOKUP($A311,'SegEnds_NonXtal_BW#'!$A:$Z,12,FALSE)+VLOOKUP($A311,A:AL,16,FALSE)-50</f>
        <v>557</v>
      </c>
      <c r="R311" s="3" t="str">
        <f>IF(ISERROR(VLOOKUP($A311,'SegEnds_NonXtal_BW#'!$A:$Z,13,FALSE)+VLOOKUP($A311,A:AL,19,FALSE)-50),"-",VLOOKUP($A311,'SegEnds_NonXtal_BW#'!$A:$Z,13,FALSE)+VLOOKUP($A311,A:AL,19,FALSE)-50)</f>
        <v>-</v>
      </c>
      <c r="S311" s="3" t="s">
        <v>23</v>
      </c>
      <c r="T311" s="103" t="str">
        <f>IF(ISERROR(VLOOKUP($A311,'SegEnds_NonXtal_BW#'!$A:$Z,14,FALSE)+VLOOKUP($A311,A:AL,19,FALSE)-50),"-",(VLOOKUP($A311,'SegEnds_NonXtal_BW#'!$A:$Z,14,FALSE)+VLOOKUP($A311,A:AL,19,FALSE)-50))</f>
        <v>-</v>
      </c>
      <c r="U311" s="9">
        <f>IF(ISERROR(VLOOKUP($A311,'SegEnds_NonXtal_BW#'!$A:$Z,15,FALSE)+VLOOKUP($A311,A:AL,22,FALSE)-50),"-",VLOOKUP($A311,'SegEnds_NonXtal_BW#'!$A:$Z,15,FALSE)+VLOOKUP($A311,A:AL,22,FALSE)-50)</f>
        <v>563</v>
      </c>
      <c r="V311" s="3">
        <v>575</v>
      </c>
      <c r="W311" s="3">
        <f>IF(ISERROR(VLOOKUP($A311,'SegEnds_NonXtal_BW#'!$A:$Z,16,FALSE)+VLOOKUP($A311,A:AL,22,FALSE)-50),"-",(VLOOKUP($A311,'SegEnds_NonXtal_BW#'!$A:$Z,16,FALSE)+VLOOKUP($A311,A:AL,22,FALSE)-50))</f>
        <v>593</v>
      </c>
      <c r="X311" s="3">
        <f>IF(ISERROR(VLOOKUP($A311,'SegEnds_NonXtal_BW#'!$A:$Z,17,FALSE)+VLOOKUP($A311,A:AL,25,FALSE)-50),"-",(VLOOKUP($A311,'SegEnds_NonXtal_BW#'!$A:$Z,17,FALSE)+VLOOKUP($A311,A:AL,25,FALSE)-50))</f>
        <v>609</v>
      </c>
      <c r="Y311" s="3">
        <v>609</v>
      </c>
      <c r="Z311" s="3">
        <f t="shared" si="183"/>
        <v>611</v>
      </c>
      <c r="AA311" s="3">
        <f>IF(ISERROR(VLOOKUP($A311,'SegEnds_NonXtal_BW#'!$A:$Z,19,FALSE)+VLOOKUP($A311,A:AL,28,FALSE)-50),"-",(VLOOKUP($A311,'SegEnds_NonXtal_BW#'!$A:$Z,19,FALSE)+VLOOKUP($A311,A:AL,28,FALSE)-50))</f>
        <v>621</v>
      </c>
      <c r="AB311" s="3">
        <v>635</v>
      </c>
      <c r="AC311" s="3">
        <f>IF(ISERROR((VLOOKUP($A311,'SegEnds_NonXtal_BW#'!$A:$Z,20,FALSE)+VLOOKUP($A311,A:AL,28,FALSE)-50)),"-",(VLOOKUP($A311,'SegEnds_NonXtal_BW#'!$A:$Z,20,FALSE)+VLOOKUP($A311,A:AL,28,FALSE)-50))</f>
        <v>654</v>
      </c>
      <c r="AD311" s="3">
        <f>IF(ISERROR(VLOOKUP($A311,'SegEnds_NonXtal_BW#'!$A:$Z,21,FALSE)+VLOOKUP($A311,A:AL,31,FALSE)-50),"-",(VLOOKUP($A311,'SegEnds_NonXtal_BW#'!$A:$Z,21,FALSE)+VLOOKUP($A311,A:AL,31,FALSE)-50))</f>
        <v>665</v>
      </c>
      <c r="AE311" s="3">
        <v>686</v>
      </c>
      <c r="AF311" s="3">
        <f>IF(ISERROR((VLOOKUP($A311,'SegEnds_NonXtal_BW#'!$A:$Z,22,FALSE)+VLOOKUP($A311,A:AL,31,FALSE)-50)),"-",(VLOOKUP($A311,'SegEnds_NonXtal_BW#'!$A:$Z,22,FALSE)+VLOOKUP($A311,A:AL,31,FALSE)-50))</f>
        <v>694</v>
      </c>
      <c r="AG311" s="3">
        <f>IF(ISERROR(VLOOKUP($A311,'SegEnds_NonXtal_BW#'!$A:$Z,23,FALSE)+VLOOKUP($A311,A:AL,34,FALSE)-50),"-",(VLOOKUP($A311,'SegEnds_NonXtal_BW#'!$A:$Z,23,FALSE)+VLOOKUP($A311,A:AL,34,FALSE)-50))</f>
        <v>696</v>
      </c>
      <c r="AH311" s="3">
        <v>717</v>
      </c>
      <c r="AI311" s="3">
        <f>IF(ISERROR((VLOOKUP($A311,'SegEnds_NonXtal_BW#'!$A:$Z,24,FALSE)+VLOOKUP($A311,A:AL,34,FALSE)-50)),"-",(VLOOKUP($A311,'SegEnds_NonXtal_BW#'!$A:$Z,24,FALSE)+VLOOKUP($A311,A:AL,34,FALSE)-50))</f>
        <v>723</v>
      </c>
      <c r="AJ311" s="3">
        <f>IF(ISERROR(VLOOKUP($A311,'SegEnds_NonXtal_BW#'!$A:$Z,25,FALSE)+VLOOKUP($A311,A:AL,37,FALSE)-50),"-",(VLOOKUP($A311,'SegEnds_NonXtal_BW#'!$A:$Z,25,FALSE)+VLOOKUP($A311,A:AL,37,FALSE)-50))</f>
        <v>724</v>
      </c>
      <c r="AK311" s="3">
        <v>727</v>
      </c>
      <c r="AL311" s="3">
        <f>IF(ISERROR((VLOOKUP($A311,'SegEnds_NonXtal_BW#'!$A:$Z,26,FALSE)+VLOOKUP($A311,A:AL,37,FALSE)-50)),"-",(VLOOKUP($A311,'SegEnds_NonXtal_BW#'!$A:$Z,26,FALSE)+VLOOKUP($A311,A:AL,37,FALSE)-50))</f>
        <v>740</v>
      </c>
      <c r="AM311" s="28" t="str">
        <f>VLOOKUP(A311,Classification!A:B,2,FALSE)</f>
        <v>B2</v>
      </c>
      <c r="AN311" s="28" t="b">
        <f t="shared" si="173"/>
        <v>1</v>
      </c>
      <c r="AO311" s="3" t="str">
        <f>IF(ISERROR(MATCH(A311,'SegEnds_Xtal_Prot#'!B:B, 0)), "NoXtal", "Xtal")</f>
        <v>NoXtal</v>
      </c>
      <c r="AP311" s="3" t="str">
        <f t="shared" si="153"/>
        <v>-</v>
      </c>
      <c r="AQ311" s="3" t="str">
        <f t="shared" si="154"/>
        <v>-</v>
      </c>
      <c r="AR311" s="3" t="str">
        <f t="shared" si="155"/>
        <v>-</v>
      </c>
      <c r="AS311" s="3" t="str">
        <f t="shared" si="156"/>
        <v>-</v>
      </c>
      <c r="AT311" s="3" t="str">
        <f t="shared" si="157"/>
        <v>-</v>
      </c>
      <c r="AU311" s="3" t="str">
        <f t="shared" si="158"/>
        <v>-</v>
      </c>
      <c r="AV311" s="3">
        <f t="shared" si="159"/>
        <v>16</v>
      </c>
      <c r="AW311" s="3">
        <f t="shared" si="160"/>
        <v>10</v>
      </c>
      <c r="AX311" s="3">
        <f t="shared" si="161"/>
        <v>11</v>
      </c>
      <c r="AY311" s="3">
        <f t="shared" si="162"/>
        <v>2</v>
      </c>
      <c r="AZ311" s="3">
        <f t="shared" si="163"/>
        <v>1</v>
      </c>
      <c r="BA311" s="3">
        <f>IF(ISERROR(LEN(VLOOKUP(A311,Seqs!A:E,2,FALSE))-AL311),"-",LEN(VLOOKUP(A311,Seqs!A:E,2,FALSE))-AL311)</f>
        <v>57</v>
      </c>
      <c r="BB311" s="16">
        <f t="shared" si="164"/>
        <v>29</v>
      </c>
      <c r="BC311" s="9" t="str">
        <f t="shared" si="165"/>
        <v>-</v>
      </c>
      <c r="BD311" s="3">
        <f t="shared" si="166"/>
        <v>29</v>
      </c>
      <c r="BE311" s="3">
        <f t="shared" si="167"/>
        <v>51</v>
      </c>
    </row>
    <row r="312" spans="1:58" s="3" customFormat="1" x14ac:dyDescent="0.2">
      <c r="A312" s="3" t="s">
        <v>1199</v>
      </c>
      <c r="B312" s="3" t="str">
        <f>LOWER(VLOOKUP(A312,Xtal_Templ!A:B,2,FALSE))</f>
        <v>calcr_human</v>
      </c>
      <c r="C312" s="3">
        <f>VLOOKUP($A312,'SegEnds_NonXtal_BW#'!$A:$Z,3,FALSE)+D312-50</f>
        <v>848</v>
      </c>
      <c r="D312" s="3">
        <v>875</v>
      </c>
      <c r="E312" s="3">
        <f>IF(ISERROR(VLOOKUP($A312,'SegEnds_NonXtal_BW#'!$A:$Z,4,FALSE)+VLOOKUP($A312,A:AL,4,FALSE)-50),"-",(VLOOKUP($A312,'SegEnds_NonXtal_BW#'!$A:$Z,4,FALSE)+VLOOKUP($A312,A:AL,4,FALSE)-50))</f>
        <v>885</v>
      </c>
      <c r="F312" s="3">
        <f>G312-2</f>
        <v>886</v>
      </c>
      <c r="G312" s="3">
        <v>888</v>
      </c>
      <c r="H312" s="3">
        <f>G312+1</f>
        <v>889</v>
      </c>
      <c r="I312" s="3">
        <f>H312+1</f>
        <v>890</v>
      </c>
      <c r="J312" s="3">
        <v>903</v>
      </c>
      <c r="K312" s="3">
        <f>VLOOKUP($A312,'SegEnds_NonXtal_BW#'!$A:$Z,8,FALSE)+VLOOKUP($A312,A:AL,10,FALSE)-50</f>
        <v>916</v>
      </c>
      <c r="L312" s="3" t="str">
        <f>IF(ISERROR(VLOOKUP($A312,'SegEnds_NonXtal_BW#'!$A:$Z,9,FALSE)+VLOOKUP($A312,A:AL,13,FALSE)-50),"-",(VLOOKUP($A312,'SegEnds_NonXtal_BW#'!$A:$Z,9,FALSE)+VLOOKUP($A312,A:AL,13,FALSE)-50))</f>
        <v>-</v>
      </c>
      <c r="M312" s="3" t="s">
        <v>23</v>
      </c>
      <c r="N312" s="3" t="str">
        <f>IF(ISERROR(VLOOKUP($A312,'SegEnds_NonXtal_BW#'!$A:$Z,10,FALSE)+VLOOKUP($A312,A:AL,13,FALSE)-50),"-",(VLOOKUP($A312,'SegEnds_NonXtal_BW#'!$A:$Z,10,FALSE)+VLOOKUP($A312,A:AL,13,FALSE)-50))</f>
        <v>-</v>
      </c>
      <c r="O312" s="3">
        <f>VLOOKUP($A312,'SegEnds_NonXtal_BW#'!$A:$Z,11,FALSE)+VLOOKUP($A312,A:AL,16,FALSE)-50</f>
        <v>921</v>
      </c>
      <c r="P312" s="3">
        <v>948</v>
      </c>
      <c r="Q312" s="3">
        <f>VLOOKUP($A312,'SegEnds_NonXtal_BW#'!$A:$Z,12,FALSE)+VLOOKUP($A312,A:AL,16,FALSE)-50</f>
        <v>954</v>
      </c>
      <c r="R312" s="3" t="str">
        <f>IF(ISERROR(VLOOKUP($A312,'SegEnds_NonXtal_BW#'!$A:$Z,13,FALSE)+VLOOKUP($A312,A:AL,19,FALSE)-50),"-",VLOOKUP($A312,'SegEnds_NonXtal_BW#'!$A:$Z,13,FALSE)+VLOOKUP($A312,A:AL,19,FALSE)-50)</f>
        <v>-</v>
      </c>
      <c r="S312" s="3" t="s">
        <v>23</v>
      </c>
      <c r="T312" s="103" t="str">
        <f>IF(ISERROR(VLOOKUP($A312,'SegEnds_NonXtal_BW#'!$A:$Z,14,FALSE)+VLOOKUP($A312,A:AL,19,FALSE)-50),"-",(VLOOKUP($A312,'SegEnds_NonXtal_BW#'!$A:$Z,14,FALSE)+VLOOKUP($A312,A:AL,19,FALSE)-50))</f>
        <v>-</v>
      </c>
      <c r="U312" s="9">
        <f>IF(ISERROR(VLOOKUP($A312,'SegEnds_NonXtal_BW#'!$A:$Z,15,FALSE)+VLOOKUP($A312,A:AL,22,FALSE)-50),"-",VLOOKUP($A312,'SegEnds_NonXtal_BW#'!$A:$Z,15,FALSE)+VLOOKUP($A312,A:AL,22,FALSE)-50)</f>
        <v>962</v>
      </c>
      <c r="V312" s="3">
        <v>971</v>
      </c>
      <c r="W312" s="3">
        <f>IF(ISERROR(VLOOKUP($A312,'SegEnds_NonXtal_BW#'!$A:$Z,16,FALSE)+VLOOKUP($A312,A:AL,22,FALSE)-50),"-",(VLOOKUP($A312,'SegEnds_NonXtal_BW#'!$A:$Z,16,FALSE)+VLOOKUP($A312,A:AL,22,FALSE)-50))</f>
        <v>989</v>
      </c>
      <c r="X312" s="3">
        <f>IF(ISERROR(VLOOKUP($A312,'SegEnds_NonXtal_BW#'!$A:$Z,17,FALSE)+VLOOKUP($A312,A:AL,25,FALSE)-50),"-",(VLOOKUP($A312,'SegEnds_NonXtal_BW#'!$A:$Z,17,FALSE)+VLOOKUP($A312,A:AL,25,FALSE)-50))</f>
        <v>995</v>
      </c>
      <c r="Y312" s="3">
        <v>995</v>
      </c>
      <c r="Z312" s="3">
        <f t="shared" si="183"/>
        <v>997</v>
      </c>
      <c r="AA312" s="3">
        <f>IF(ISERROR(VLOOKUP($A312,'SegEnds_NonXtal_BW#'!$A:$Z,19,FALSE)+VLOOKUP($A312,A:AL,28,FALSE)-50),"-",(VLOOKUP($A312,'SegEnds_NonXtal_BW#'!$A:$Z,19,FALSE)+VLOOKUP($A312,A:AL,28,FALSE)-50))</f>
        <v>1000</v>
      </c>
      <c r="AB312" s="3">
        <v>1014</v>
      </c>
      <c r="AC312" s="3">
        <f>IF(ISERROR((VLOOKUP($A312,'SegEnds_NonXtal_BW#'!$A:$Z,20,FALSE)+VLOOKUP($A312,A:AL,28,FALSE)-50)),"-",(VLOOKUP($A312,'SegEnds_NonXtal_BW#'!$A:$Z,20,FALSE)+VLOOKUP($A312,A:AL,28,FALSE)-50))</f>
        <v>1033</v>
      </c>
      <c r="AD312" s="3">
        <f>IF(ISERROR(VLOOKUP($A312,'SegEnds_NonXtal_BW#'!$A:$Z,21,FALSE)+VLOOKUP($A312,A:AL,31,FALSE)-50),"-",(VLOOKUP($A312,'SegEnds_NonXtal_BW#'!$A:$Z,21,FALSE)+VLOOKUP($A312,A:AL,31,FALSE)-50))</f>
        <v>1045</v>
      </c>
      <c r="AE312" s="3">
        <v>1066</v>
      </c>
      <c r="AF312" s="3">
        <f>IF(ISERROR((VLOOKUP($A312,'SegEnds_NonXtal_BW#'!$A:$Z,22,FALSE)+VLOOKUP($A312,A:AL,31,FALSE)-50)),"-",(VLOOKUP($A312,'SegEnds_NonXtal_BW#'!$A:$Z,22,FALSE)+VLOOKUP($A312,A:AL,31,FALSE)-50))</f>
        <v>1069</v>
      </c>
      <c r="AG312" s="3">
        <f>IF(ISERROR(VLOOKUP($A312,'SegEnds_NonXtal_BW#'!$A:$Z,23,FALSE)+VLOOKUP($A312,A:AL,34,FALSE)-50),"-",(VLOOKUP($A312,'SegEnds_NonXtal_BW#'!$A:$Z,23,FALSE)+VLOOKUP($A312,A:AL,34,FALSE)-50))</f>
        <v>1075</v>
      </c>
      <c r="AH312" s="3">
        <v>1094</v>
      </c>
      <c r="AI312" s="3">
        <f>IF(ISERROR((VLOOKUP($A312,'SegEnds_NonXtal_BW#'!$A:$Z,24,FALSE)+VLOOKUP($A312,A:AL,34,FALSE)-50)),"-",(VLOOKUP($A312,'SegEnds_NonXtal_BW#'!$A:$Z,24,FALSE)+VLOOKUP($A312,A:AL,34,FALSE)-50))</f>
        <v>1100</v>
      </c>
      <c r="AJ312" s="3">
        <f>IF(ISERROR(VLOOKUP($A312,'SegEnds_NonXtal_BW#'!$A:$Z,25,FALSE)+VLOOKUP($A312,A:AL,37,FALSE)-50),"-",(VLOOKUP($A312,'SegEnds_NonXtal_BW#'!$A:$Z,25,FALSE)+VLOOKUP($A312,A:AL,37,FALSE)-50))</f>
        <v>1101</v>
      </c>
      <c r="AK312" s="3">
        <v>1104</v>
      </c>
      <c r="AL312" s="3">
        <f>IF(ISERROR((VLOOKUP($A312,'SegEnds_NonXtal_BW#'!$A:$Z,26,FALSE)+VLOOKUP($A312,A:AL,37,FALSE)-50)),"-",(VLOOKUP($A312,'SegEnds_NonXtal_BW#'!$A:$Z,26,FALSE)+VLOOKUP($A312,A:AL,37,FALSE)-50))</f>
        <v>1117</v>
      </c>
      <c r="AM312" s="28" t="str">
        <f>VLOOKUP(A312,Classification!A:B,2,FALSE)</f>
        <v>B2</v>
      </c>
      <c r="AN312" s="28" t="b">
        <f t="shared" si="173"/>
        <v>1</v>
      </c>
      <c r="AO312" s="3" t="str">
        <f>IF(ISERROR(MATCH(A312,'SegEnds_Xtal_Prot#'!B:B, 0)), "NoXtal", "Xtal")</f>
        <v>NoXtal</v>
      </c>
      <c r="AP312" s="3">
        <f t="shared" si="153"/>
        <v>1</v>
      </c>
      <c r="AQ312" s="3">
        <f t="shared" si="154"/>
        <v>1</v>
      </c>
      <c r="AR312" s="3" t="str">
        <f t="shared" si="155"/>
        <v>-</v>
      </c>
      <c r="AS312" s="3" t="str">
        <f t="shared" si="156"/>
        <v>-</v>
      </c>
      <c r="AT312" s="3" t="str">
        <f t="shared" si="157"/>
        <v>-</v>
      </c>
      <c r="AU312" s="3" t="str">
        <f t="shared" si="158"/>
        <v>-</v>
      </c>
      <c r="AV312" s="3">
        <f t="shared" si="159"/>
        <v>6</v>
      </c>
      <c r="AW312" s="3">
        <f t="shared" si="160"/>
        <v>3</v>
      </c>
      <c r="AX312" s="3">
        <f t="shared" si="161"/>
        <v>12</v>
      </c>
      <c r="AY312" s="3">
        <f t="shared" si="162"/>
        <v>6</v>
      </c>
      <c r="AZ312" s="3">
        <f t="shared" si="163"/>
        <v>1</v>
      </c>
      <c r="BA312" s="3">
        <f>IF(ISERROR(LEN(VLOOKUP(A312,Seqs!A:E,2,FALSE))-AL312),"-",LEN(VLOOKUP(A312,Seqs!A:E,2,FALSE))-AL312)</f>
        <v>357</v>
      </c>
      <c r="BB312" s="16">
        <f t="shared" si="164"/>
        <v>28</v>
      </c>
      <c r="BC312" s="9" t="str">
        <f t="shared" si="165"/>
        <v>-</v>
      </c>
      <c r="BD312" s="3">
        <f t="shared" si="166"/>
        <v>28</v>
      </c>
      <c r="BE312" s="3">
        <f t="shared" si="167"/>
        <v>52</v>
      </c>
    </row>
    <row r="313" spans="1:58" s="3" customFormat="1" x14ac:dyDescent="0.2">
      <c r="A313" s="3" t="s">
        <v>1200</v>
      </c>
      <c r="B313" s="3" t="str">
        <f>LOWER(VLOOKUP(A313,Xtal_Templ!A:B,2,FALSE))</f>
        <v>calcr_human</v>
      </c>
      <c r="C313" s="3">
        <f>VLOOKUP($A313,'SegEnds_NonXtal_BW#'!$A:$Z,3,FALSE)+D313-50</f>
        <v>835</v>
      </c>
      <c r="D313" s="3">
        <v>862</v>
      </c>
      <c r="E313" s="3">
        <f>IF(ISERROR(VLOOKUP($A313,'SegEnds_NonXtal_BW#'!$A:$Z,4,FALSE)+VLOOKUP($A313,A:AL,4,FALSE)-50),"-",(VLOOKUP($A313,'SegEnds_NonXtal_BW#'!$A:$Z,4,FALSE)+VLOOKUP($A313,A:AL,4,FALSE)-50))</f>
        <v>872</v>
      </c>
      <c r="F313" s="3" t="s">
        <v>23</v>
      </c>
      <c r="G313" s="3" t="s">
        <v>23</v>
      </c>
      <c r="H313" s="3" t="s">
        <v>23</v>
      </c>
      <c r="I313" s="3">
        <f>VLOOKUP($A313,'SegEnds_NonXtal_BW#'!$A:$Z,7,FALSE)+J313-50</f>
        <v>877</v>
      </c>
      <c r="J313" s="3">
        <v>890</v>
      </c>
      <c r="K313" s="3">
        <f>VLOOKUP($A313,'SegEnds_NonXtal_BW#'!$A:$Z,8,FALSE)+VLOOKUP($A313,A:AL,10,FALSE)-50</f>
        <v>903</v>
      </c>
      <c r="L313" s="3" t="str">
        <f>IF(ISERROR(VLOOKUP($A313,'SegEnds_NonXtal_BW#'!$A:$Z,9,FALSE)+VLOOKUP($A313,A:AL,13,FALSE)-50),"-",(VLOOKUP($A313,'SegEnds_NonXtal_BW#'!$A:$Z,9,FALSE)+VLOOKUP($A313,A:AL,13,FALSE)-50))</f>
        <v>-</v>
      </c>
      <c r="M313" s="3" t="s">
        <v>23</v>
      </c>
      <c r="N313" s="3" t="str">
        <f>IF(ISERROR(VLOOKUP($A313,'SegEnds_NonXtal_BW#'!$A:$Z,10,FALSE)+VLOOKUP($A313,A:AL,13,FALSE)-50),"-",(VLOOKUP($A313,'SegEnds_NonXtal_BW#'!$A:$Z,10,FALSE)+VLOOKUP($A313,A:AL,13,FALSE)-50))</f>
        <v>-</v>
      </c>
      <c r="O313" s="3">
        <f>VLOOKUP($A313,'SegEnds_NonXtal_BW#'!$A:$Z,11,FALSE)+VLOOKUP($A313,A:AL,16,FALSE)-50</f>
        <v>908</v>
      </c>
      <c r="P313" s="3">
        <v>935</v>
      </c>
      <c r="Q313" s="3">
        <f>VLOOKUP($A313,'SegEnds_NonXtal_BW#'!$A:$Z,12,FALSE)+VLOOKUP($A313,A:AL,16,FALSE)-50</f>
        <v>941</v>
      </c>
      <c r="R313" s="3" t="str">
        <f>IF(ISERROR(VLOOKUP($A313,'SegEnds_NonXtal_BW#'!$A:$Z,13,FALSE)+VLOOKUP($A313,A:AL,19,FALSE)-50),"-",VLOOKUP($A313,'SegEnds_NonXtal_BW#'!$A:$Z,13,FALSE)+VLOOKUP($A313,A:AL,19,FALSE)-50)</f>
        <v>-</v>
      </c>
      <c r="S313" s="3" t="s">
        <v>23</v>
      </c>
      <c r="T313" s="103" t="str">
        <f>IF(ISERROR(VLOOKUP($A313,'SegEnds_NonXtal_BW#'!$A:$Z,14,FALSE)+VLOOKUP($A313,A:AL,19,FALSE)-50),"-",(VLOOKUP($A313,'SegEnds_NonXtal_BW#'!$A:$Z,14,FALSE)+VLOOKUP($A313,A:AL,19,FALSE)-50))</f>
        <v>-</v>
      </c>
      <c r="U313" s="9">
        <f>IF(ISERROR(VLOOKUP($A313,'SegEnds_NonXtal_BW#'!$A:$Z,15,FALSE)+VLOOKUP($A313,A:AL,22,FALSE)-50),"-",VLOOKUP($A313,'SegEnds_NonXtal_BW#'!$A:$Z,15,FALSE)+VLOOKUP($A313,A:AL,22,FALSE)-50)</f>
        <v>949</v>
      </c>
      <c r="V313" s="3">
        <v>958</v>
      </c>
      <c r="W313" s="3">
        <f>IF(ISERROR(VLOOKUP($A313,'SegEnds_NonXtal_BW#'!$A:$Z,16,FALSE)+VLOOKUP($A313,A:AL,22,FALSE)-50),"-",(VLOOKUP($A313,'SegEnds_NonXtal_BW#'!$A:$Z,16,FALSE)+VLOOKUP($A313,A:AL,22,FALSE)-50))</f>
        <v>976</v>
      </c>
      <c r="X313" s="3">
        <f>IF(ISERROR(VLOOKUP($A313,'SegEnds_NonXtal_BW#'!$A:$Z,17,FALSE)+VLOOKUP($A313,A:AL,25,FALSE)-50),"-",(VLOOKUP($A313,'SegEnds_NonXtal_BW#'!$A:$Z,17,FALSE)+VLOOKUP($A313,A:AL,25,FALSE)-50))</f>
        <v>982</v>
      </c>
      <c r="Y313" s="3">
        <v>982</v>
      </c>
      <c r="Z313" s="3">
        <f t="shared" si="183"/>
        <v>984</v>
      </c>
      <c r="AA313" s="3">
        <f>IF(ISERROR(VLOOKUP($A313,'SegEnds_NonXtal_BW#'!$A:$Z,19,FALSE)+VLOOKUP($A313,A:AL,28,FALSE)-50),"-",(VLOOKUP($A313,'SegEnds_NonXtal_BW#'!$A:$Z,19,FALSE)+VLOOKUP($A313,A:AL,28,FALSE)-50))</f>
        <v>987</v>
      </c>
      <c r="AB313" s="3">
        <v>1001</v>
      </c>
      <c r="AC313" s="3">
        <f>IF(ISERROR((VLOOKUP($A313,'SegEnds_NonXtal_BW#'!$A:$Z,20,FALSE)+VLOOKUP($A313,A:AL,28,FALSE)-50)),"-",(VLOOKUP($A313,'SegEnds_NonXtal_BW#'!$A:$Z,20,FALSE)+VLOOKUP($A313,A:AL,28,FALSE)-50))</f>
        <v>1020</v>
      </c>
      <c r="AD313" s="3">
        <f>IF(ISERROR(VLOOKUP($A313,'SegEnds_NonXtal_BW#'!$A:$Z,21,FALSE)+VLOOKUP($A313,A:AL,31,FALSE)-50),"-",(VLOOKUP($A313,'SegEnds_NonXtal_BW#'!$A:$Z,21,FALSE)+VLOOKUP($A313,A:AL,31,FALSE)-50))</f>
        <v>1032</v>
      </c>
      <c r="AE313" s="3">
        <v>1053</v>
      </c>
      <c r="AF313" s="3">
        <f>IF(ISERROR((VLOOKUP($A313,'SegEnds_NonXtal_BW#'!$A:$Z,22,FALSE)+VLOOKUP($A313,A:AL,31,FALSE)-50)),"-",(VLOOKUP($A313,'SegEnds_NonXtal_BW#'!$A:$Z,22,FALSE)+VLOOKUP($A313,A:AL,31,FALSE)-50))</f>
        <v>1056</v>
      </c>
      <c r="AG313" s="3">
        <f>IF(ISERROR(VLOOKUP($A313,'SegEnds_NonXtal_BW#'!$A:$Z,23,FALSE)+VLOOKUP($A313,A:AL,34,FALSE)-50),"-",(VLOOKUP($A313,'SegEnds_NonXtal_BW#'!$A:$Z,23,FALSE)+VLOOKUP($A313,A:AL,34,FALSE)-50))</f>
        <v>1062</v>
      </c>
      <c r="AH313" s="3">
        <v>1081</v>
      </c>
      <c r="AI313" s="3">
        <f>IF(ISERROR((VLOOKUP($A313,'SegEnds_NonXtal_BW#'!$A:$Z,24,FALSE)+VLOOKUP($A313,A:AL,34,FALSE)-50)),"-",(VLOOKUP($A313,'SegEnds_NonXtal_BW#'!$A:$Z,24,FALSE)+VLOOKUP($A313,A:AL,34,FALSE)-50))</f>
        <v>1087</v>
      </c>
      <c r="AJ313" s="3">
        <f>IF(ISERROR(VLOOKUP($A313,'SegEnds_NonXtal_BW#'!$A:$Z,25,FALSE)+VLOOKUP($A313,A:AL,37,FALSE)-50),"-",(VLOOKUP($A313,'SegEnds_NonXtal_BW#'!$A:$Z,25,FALSE)+VLOOKUP($A313,A:AL,37,FALSE)-50))</f>
        <v>1088</v>
      </c>
      <c r="AK313" s="3">
        <v>1091</v>
      </c>
      <c r="AL313" s="3">
        <f>IF(ISERROR((VLOOKUP($A313,'SegEnds_NonXtal_BW#'!$A:$Z,26,FALSE)+VLOOKUP($A313,A:AL,37,FALSE)-50)),"-",(VLOOKUP($A313,'SegEnds_NonXtal_BW#'!$A:$Z,26,FALSE)+VLOOKUP($A313,A:AL,37,FALSE)-50))</f>
        <v>1104</v>
      </c>
      <c r="AM313" s="28" t="str">
        <f>VLOOKUP(A313,Classification!A:B,2,FALSE)</f>
        <v>B2</v>
      </c>
      <c r="AN313" s="28" t="b">
        <f t="shared" si="173"/>
        <v>1</v>
      </c>
      <c r="AO313" s="3" t="str">
        <f>IF(ISERROR(MATCH(A313,'SegEnds_Xtal_Prot#'!B:B, 0)), "NoXtal", "Xtal")</f>
        <v>NoXtal</v>
      </c>
      <c r="AP313" s="3" t="str">
        <f t="shared" si="153"/>
        <v>-</v>
      </c>
      <c r="AQ313" s="3" t="str">
        <f t="shared" si="154"/>
        <v>-</v>
      </c>
      <c r="AR313" s="3" t="str">
        <f t="shared" si="155"/>
        <v>-</v>
      </c>
      <c r="AS313" s="3" t="str">
        <f t="shared" si="156"/>
        <v>-</v>
      </c>
      <c r="AT313" s="3" t="str">
        <f t="shared" si="157"/>
        <v>-</v>
      </c>
      <c r="AU313" s="3" t="str">
        <f t="shared" si="158"/>
        <v>-</v>
      </c>
      <c r="AV313" s="3">
        <f t="shared" si="159"/>
        <v>6</v>
      </c>
      <c r="AW313" s="3">
        <f t="shared" si="160"/>
        <v>3</v>
      </c>
      <c r="AX313" s="3">
        <f t="shared" si="161"/>
        <v>12</v>
      </c>
      <c r="AY313" s="3">
        <f t="shared" si="162"/>
        <v>6</v>
      </c>
      <c r="AZ313" s="3">
        <f t="shared" si="163"/>
        <v>1</v>
      </c>
      <c r="BA313" s="3">
        <f>IF(ISERROR(LEN(VLOOKUP(A313,Seqs!A:E,2,FALSE))-AL313),"-",LEN(VLOOKUP(A313,Seqs!A:E,2,FALSE))-AL313)</f>
        <v>355</v>
      </c>
      <c r="BB313" s="16">
        <f t="shared" si="164"/>
        <v>28</v>
      </c>
      <c r="BC313" s="9" t="str">
        <f t="shared" si="165"/>
        <v>-</v>
      </c>
      <c r="BD313" s="3">
        <f t="shared" si="166"/>
        <v>28</v>
      </c>
      <c r="BE313" s="3">
        <f t="shared" si="167"/>
        <v>52</v>
      </c>
    </row>
    <row r="314" spans="1:58" s="3" customFormat="1" x14ac:dyDescent="0.2">
      <c r="A314" s="3" t="s">
        <v>1201</v>
      </c>
      <c r="B314" s="3" t="str">
        <f>LOWER(VLOOKUP(A314,Xtal_Templ!A:B,2,FALSE))</f>
        <v>crfr1_human</v>
      </c>
      <c r="C314" s="3">
        <f>VLOOKUP($A314,'SegEnds_NonXtal_BW#'!$A:$Z,3,FALSE)+D314-50</f>
        <v>852</v>
      </c>
      <c r="D314" s="3">
        <v>879</v>
      </c>
      <c r="E314" s="3">
        <f>IF(ISERROR(VLOOKUP($A314,'SegEnds_NonXtal_BW#'!$A:$Z,4,FALSE)+VLOOKUP($A314,A:AL,4,FALSE)-50),"-",(VLOOKUP($A314,'SegEnds_NonXtal_BW#'!$A:$Z,4,FALSE)+VLOOKUP($A314,A:AL,4,FALSE)-50))</f>
        <v>889</v>
      </c>
      <c r="F314" s="3">
        <f>G314-2</f>
        <v>890</v>
      </c>
      <c r="G314" s="3">
        <v>892</v>
      </c>
      <c r="H314" s="3">
        <f>G314+1</f>
        <v>893</v>
      </c>
      <c r="I314" s="3">
        <f>H314+1</f>
        <v>894</v>
      </c>
      <c r="J314" s="3">
        <v>907</v>
      </c>
      <c r="K314" s="3">
        <f>VLOOKUP($A314,'SegEnds_NonXtal_BW#'!$A:$Z,8,FALSE)+VLOOKUP($A314,A:AL,10,FALSE)-50</f>
        <v>920</v>
      </c>
      <c r="L314" s="3" t="str">
        <f>IF(ISERROR(VLOOKUP($A314,'SegEnds_NonXtal_BW#'!$A:$Z,9,FALSE)+VLOOKUP($A314,A:AL,13,FALSE)-50),"-",(VLOOKUP($A314,'SegEnds_NonXtal_BW#'!$A:$Z,9,FALSE)+VLOOKUP($A314,A:AL,13,FALSE)-50))</f>
        <v>-</v>
      </c>
      <c r="M314" s="3" t="s">
        <v>23</v>
      </c>
      <c r="N314" s="3" t="str">
        <f>IF(ISERROR(VLOOKUP($A314,'SegEnds_NonXtal_BW#'!$A:$Z,10,FALSE)+VLOOKUP($A314,A:AL,13,FALSE)-50),"-",(VLOOKUP($A314,'SegEnds_NonXtal_BW#'!$A:$Z,10,FALSE)+VLOOKUP($A314,A:AL,13,FALSE)-50))</f>
        <v>-</v>
      </c>
      <c r="O314" s="3">
        <f>VLOOKUP($A314,'SegEnds_NonXtal_BW#'!$A:$Z,11,FALSE)+VLOOKUP($A314,A:AL,16,FALSE)-50</f>
        <v>925</v>
      </c>
      <c r="P314" s="3">
        <v>952</v>
      </c>
      <c r="Q314" s="3">
        <f>VLOOKUP($A314,'SegEnds_NonXtal_BW#'!$A:$Z,12,FALSE)+VLOOKUP($A314,A:AL,16,FALSE)-50</f>
        <v>958</v>
      </c>
      <c r="R314" s="3" t="str">
        <f>IF(ISERROR(VLOOKUP($A314,'SegEnds_NonXtal_BW#'!$A:$Z,13,FALSE)+VLOOKUP($A314,A:AL,19,FALSE)-50),"-",VLOOKUP($A314,'SegEnds_NonXtal_BW#'!$A:$Z,13,FALSE)+VLOOKUP($A314,A:AL,19,FALSE)-50)</f>
        <v>-</v>
      </c>
      <c r="S314" s="3" t="s">
        <v>23</v>
      </c>
      <c r="T314" s="103" t="str">
        <f>IF(ISERROR(VLOOKUP($A314,'SegEnds_NonXtal_BW#'!$A:$Z,14,FALSE)+VLOOKUP($A314,A:AL,19,FALSE)-50),"-",(VLOOKUP($A314,'SegEnds_NonXtal_BW#'!$A:$Z,14,FALSE)+VLOOKUP($A314,A:AL,19,FALSE)-50))</f>
        <v>-</v>
      </c>
      <c r="U314" s="9">
        <f>IF(ISERROR(VLOOKUP($A314,'SegEnds_NonXtal_BW#'!$A:$Z,15,FALSE)+VLOOKUP($A314,A:AL,22,FALSE)-50),"-",VLOOKUP($A314,'SegEnds_NonXtal_BW#'!$A:$Z,15,FALSE)+VLOOKUP($A314,A:AL,22,FALSE)-50)</f>
        <v>965</v>
      </c>
      <c r="V314" s="3">
        <v>975</v>
      </c>
      <c r="W314" s="3">
        <f>IF(ISERROR(VLOOKUP($A314,'SegEnds_NonXtal_BW#'!$A:$Z,16,FALSE)+VLOOKUP($A314,A:AL,22,FALSE)-50),"-",(VLOOKUP($A314,'SegEnds_NonXtal_BW#'!$A:$Z,16,FALSE)+VLOOKUP($A314,A:AL,22,FALSE)-50))</f>
        <v>993</v>
      </c>
      <c r="X314" s="3">
        <f>IF(ISERROR(VLOOKUP($A314,'SegEnds_NonXtal_BW#'!$A:$Z,17,FALSE)+VLOOKUP($A314,A:AL,25,FALSE)-50),"-",(VLOOKUP($A314,'SegEnds_NonXtal_BW#'!$A:$Z,17,FALSE)+VLOOKUP($A314,A:AL,25,FALSE)-50))</f>
        <v>999</v>
      </c>
      <c r="Y314" s="3">
        <v>999</v>
      </c>
      <c r="Z314" s="3">
        <f t="shared" si="183"/>
        <v>1001</v>
      </c>
      <c r="AA314" s="3">
        <f>IF(ISERROR(VLOOKUP($A314,'SegEnds_NonXtal_BW#'!$A:$Z,19,FALSE)+VLOOKUP($A314,A:AL,28,FALSE)-50),"-",(VLOOKUP($A314,'SegEnds_NonXtal_BW#'!$A:$Z,19,FALSE)+VLOOKUP($A314,A:AL,28,FALSE)-50))</f>
        <v>1004</v>
      </c>
      <c r="AB314" s="3">
        <v>1018</v>
      </c>
      <c r="AC314" s="3">
        <f>IF(ISERROR((VLOOKUP($A314,'SegEnds_NonXtal_BW#'!$A:$Z,20,FALSE)+VLOOKUP($A314,A:AL,28,FALSE)-50)),"-",(VLOOKUP($A314,'SegEnds_NonXtal_BW#'!$A:$Z,20,FALSE)+VLOOKUP($A314,A:AL,28,FALSE)-50))</f>
        <v>1037</v>
      </c>
      <c r="AD314" s="3">
        <f>IF(ISERROR(VLOOKUP($A314,'SegEnds_NonXtal_BW#'!$A:$Z,21,FALSE)+VLOOKUP($A314,A:AL,31,FALSE)-50),"-",(VLOOKUP($A314,'SegEnds_NonXtal_BW#'!$A:$Z,21,FALSE)+VLOOKUP($A314,A:AL,31,FALSE)-50))</f>
        <v>1049</v>
      </c>
      <c r="AE314" s="3">
        <v>1070</v>
      </c>
      <c r="AF314" s="3">
        <f>IF(ISERROR((VLOOKUP($A314,'SegEnds_NonXtal_BW#'!$A:$Z,22,FALSE)+VLOOKUP($A314,A:AL,31,FALSE)-50)),"-",(VLOOKUP($A314,'SegEnds_NonXtal_BW#'!$A:$Z,22,FALSE)+VLOOKUP($A314,A:AL,31,FALSE)-50))</f>
        <v>1073</v>
      </c>
      <c r="AG314" s="3">
        <f>IF(ISERROR(VLOOKUP($A314,'SegEnds_NonXtal_BW#'!$A:$Z,23,FALSE)+VLOOKUP($A314,A:AL,34,FALSE)-50),"-",(VLOOKUP($A314,'SegEnds_NonXtal_BW#'!$A:$Z,23,FALSE)+VLOOKUP($A314,A:AL,34,FALSE)-50))</f>
        <v>1079</v>
      </c>
      <c r="AH314" s="3">
        <v>1098</v>
      </c>
      <c r="AI314" s="3">
        <f>IF(ISERROR((VLOOKUP($A314,'SegEnds_NonXtal_BW#'!$A:$Z,24,FALSE)+VLOOKUP($A314,A:AL,34,FALSE)-50)),"-",(VLOOKUP($A314,'SegEnds_NonXtal_BW#'!$A:$Z,24,FALSE)+VLOOKUP($A314,A:AL,34,FALSE)-50))</f>
        <v>1104</v>
      </c>
      <c r="AJ314" s="3">
        <f>IF(ISERROR(VLOOKUP($A314,'SegEnds_NonXtal_BW#'!$A:$Z,25,FALSE)+VLOOKUP($A314,A:AL,37,FALSE)-50),"-",(VLOOKUP($A314,'SegEnds_NonXtal_BW#'!$A:$Z,25,FALSE)+VLOOKUP($A314,A:AL,37,FALSE)-50))</f>
        <v>1105</v>
      </c>
      <c r="AK314" s="3">
        <v>1108</v>
      </c>
      <c r="AL314" s="3">
        <f>IF(ISERROR((VLOOKUP($A314,'SegEnds_NonXtal_BW#'!$A:$Z,26,FALSE)+VLOOKUP($A314,A:AL,37,FALSE)-50)),"-",(VLOOKUP($A314,'SegEnds_NonXtal_BW#'!$A:$Z,26,FALSE)+VLOOKUP($A314,A:AL,37,FALSE)-50))</f>
        <v>1121</v>
      </c>
      <c r="AM314" s="28" t="str">
        <f>VLOOKUP(A314,Classification!A:B,2,FALSE)</f>
        <v>B2</v>
      </c>
      <c r="AN314" s="28" t="b">
        <f t="shared" si="173"/>
        <v>1</v>
      </c>
      <c r="AO314" s="3" t="str">
        <f>IF(ISERROR(MATCH(A314,'SegEnds_Xtal_Prot#'!B:B, 0)), "NoXtal", "Xtal")</f>
        <v>NoXtal</v>
      </c>
      <c r="AP314" s="3">
        <f t="shared" si="153"/>
        <v>1</v>
      </c>
      <c r="AQ314" s="3">
        <f t="shared" si="154"/>
        <v>1</v>
      </c>
      <c r="AR314" s="3" t="str">
        <f t="shared" si="155"/>
        <v>-</v>
      </c>
      <c r="AS314" s="3" t="str">
        <f t="shared" si="156"/>
        <v>-</v>
      </c>
      <c r="AT314" s="3" t="str">
        <f t="shared" si="157"/>
        <v>-</v>
      </c>
      <c r="AU314" s="3" t="str">
        <f t="shared" si="158"/>
        <v>-</v>
      </c>
      <c r="AV314" s="3">
        <f t="shared" si="159"/>
        <v>6</v>
      </c>
      <c r="AW314" s="3">
        <f t="shared" si="160"/>
        <v>3</v>
      </c>
      <c r="AX314" s="3">
        <f t="shared" si="161"/>
        <v>12</v>
      </c>
      <c r="AY314" s="3">
        <f t="shared" si="162"/>
        <v>6</v>
      </c>
      <c r="AZ314" s="3">
        <f t="shared" si="163"/>
        <v>1</v>
      </c>
      <c r="BA314" s="3">
        <f>IF(ISERROR(LEN(VLOOKUP(A314,Seqs!A:E,2,FALSE))-AL314),"-",LEN(VLOOKUP(A314,Seqs!A:E,2,FALSE))-AL314)</f>
        <v>326</v>
      </c>
      <c r="BB314" s="16">
        <f t="shared" si="164"/>
        <v>28</v>
      </c>
      <c r="BC314" s="9" t="str">
        <f t="shared" si="165"/>
        <v>-</v>
      </c>
      <c r="BD314" s="3">
        <f t="shared" si="166"/>
        <v>28</v>
      </c>
      <c r="BE314" s="3">
        <f t="shared" si="167"/>
        <v>52</v>
      </c>
    </row>
    <row r="315" spans="1:58" s="3" customFormat="1" x14ac:dyDescent="0.2">
      <c r="A315" s="3" t="s">
        <v>1202</v>
      </c>
      <c r="B315" s="3" t="str">
        <f>LOWER(VLOOKUP(A315,Xtal_Templ!A:B,2,FALSE))</f>
        <v>crfr1_human</v>
      </c>
      <c r="C315" s="3">
        <f>VLOOKUP($A315,'SegEnds_NonXtal_BW#'!$A:$Z,3,FALSE)+D315-50</f>
        <v>415</v>
      </c>
      <c r="D315" s="3">
        <v>442</v>
      </c>
      <c r="E315" s="3">
        <f>IF(ISERROR(VLOOKUP($A315,'SegEnds_NonXtal_BW#'!$A:$Z,4,FALSE)+VLOOKUP($A315,A:AL,4,FALSE)-50),"-",(VLOOKUP($A315,'SegEnds_NonXtal_BW#'!$A:$Z,4,FALSE)+VLOOKUP($A315,A:AL,4,FALSE)-50))</f>
        <v>452</v>
      </c>
      <c r="F315" s="3" t="s">
        <v>23</v>
      </c>
      <c r="G315" s="3" t="s">
        <v>23</v>
      </c>
      <c r="H315" s="3" t="s">
        <v>23</v>
      </c>
      <c r="I315" s="3">
        <f>VLOOKUP($A315,'SegEnds_NonXtal_BW#'!$A:$Z,7,FALSE)+J315-50</f>
        <v>457</v>
      </c>
      <c r="J315" s="3">
        <v>470</v>
      </c>
      <c r="K315" s="3">
        <f>VLOOKUP($A315,'SegEnds_NonXtal_BW#'!$A:$Z,8,FALSE)+VLOOKUP($A315,A:AL,10,FALSE)-50</f>
        <v>483</v>
      </c>
      <c r="L315" s="3" t="str">
        <f>IF(ISERROR(VLOOKUP($A315,'SegEnds_NonXtal_BW#'!$A:$Z,9,FALSE)+VLOOKUP($A315,A:AL,13,FALSE)-50),"-",(VLOOKUP($A315,'SegEnds_NonXtal_BW#'!$A:$Z,9,FALSE)+VLOOKUP($A315,A:AL,13,FALSE)-50))</f>
        <v>-</v>
      </c>
      <c r="M315" s="3" t="s">
        <v>23</v>
      </c>
      <c r="N315" s="3" t="str">
        <f>IF(ISERROR(VLOOKUP($A315,'SegEnds_NonXtal_BW#'!$A:$Z,10,FALSE)+VLOOKUP($A315,A:AL,13,FALSE)-50),"-",(VLOOKUP($A315,'SegEnds_NonXtal_BW#'!$A:$Z,10,FALSE)+VLOOKUP($A315,A:AL,13,FALSE)-50))</f>
        <v>-</v>
      </c>
      <c r="O315" s="3">
        <f>VLOOKUP($A315,'SegEnds_NonXtal_BW#'!$A:$Z,11,FALSE)+VLOOKUP($A315,A:AL,16,FALSE)-50</f>
        <v>488</v>
      </c>
      <c r="P315" s="3">
        <v>515</v>
      </c>
      <c r="Q315" s="3">
        <f>VLOOKUP($A315,'SegEnds_NonXtal_BW#'!$A:$Z,12,FALSE)+VLOOKUP($A315,A:AL,16,FALSE)-50</f>
        <v>521</v>
      </c>
      <c r="R315" s="3" t="str">
        <f>IF(ISERROR(VLOOKUP($A315,'SegEnds_NonXtal_BW#'!$A:$Z,13,FALSE)+VLOOKUP($A315,A:AL,19,FALSE)-50),"-",VLOOKUP($A315,'SegEnds_NonXtal_BW#'!$A:$Z,13,FALSE)+VLOOKUP($A315,A:AL,19,FALSE)-50)</f>
        <v>-</v>
      </c>
      <c r="S315" s="3" t="s">
        <v>23</v>
      </c>
      <c r="T315" s="103" t="str">
        <f>IF(ISERROR(VLOOKUP($A315,'SegEnds_NonXtal_BW#'!$A:$Z,14,FALSE)+VLOOKUP($A315,A:AL,19,FALSE)-50),"-",(VLOOKUP($A315,'SegEnds_NonXtal_BW#'!$A:$Z,14,FALSE)+VLOOKUP($A315,A:AL,19,FALSE)-50))</f>
        <v>-</v>
      </c>
      <c r="U315" s="9">
        <f>IF(ISERROR(VLOOKUP($A315,'SegEnds_NonXtal_BW#'!$A:$Z,15,FALSE)+VLOOKUP($A315,A:AL,22,FALSE)-50),"-",VLOOKUP($A315,'SegEnds_NonXtal_BW#'!$A:$Z,15,FALSE)+VLOOKUP($A315,A:AL,22,FALSE)-50)</f>
        <v>528</v>
      </c>
      <c r="V315" s="3">
        <v>538</v>
      </c>
      <c r="W315" s="3">
        <f>IF(ISERROR(VLOOKUP($A315,'SegEnds_NonXtal_BW#'!$A:$Z,16,FALSE)+VLOOKUP($A315,A:AL,22,FALSE)-50),"-",(VLOOKUP($A315,'SegEnds_NonXtal_BW#'!$A:$Z,16,FALSE)+VLOOKUP($A315,A:AL,22,FALSE)-50))</f>
        <v>556</v>
      </c>
      <c r="X315" s="3">
        <f>IF(ISERROR(VLOOKUP($A315,'SegEnds_NonXtal_BW#'!$A:$Z,17,FALSE)+VLOOKUP($A315,A:AL,25,FALSE)-50),"-",(VLOOKUP($A315,'SegEnds_NonXtal_BW#'!$A:$Z,17,FALSE)+VLOOKUP($A315,A:AL,25,FALSE)-50))</f>
        <v>562</v>
      </c>
      <c r="Y315" s="3">
        <v>562</v>
      </c>
      <c r="Z315" s="3">
        <f t="shared" si="183"/>
        <v>564</v>
      </c>
      <c r="AA315" s="3">
        <f>IF(ISERROR(VLOOKUP($A315,'SegEnds_NonXtal_BW#'!$A:$Z,19,FALSE)+VLOOKUP($A315,A:AL,28,FALSE)-50),"-",(VLOOKUP($A315,'SegEnds_NonXtal_BW#'!$A:$Z,19,FALSE)+VLOOKUP($A315,A:AL,28,FALSE)-50))</f>
        <v>567</v>
      </c>
      <c r="AB315" s="3">
        <v>581</v>
      </c>
      <c r="AC315" s="3">
        <f>IF(ISERROR((VLOOKUP($A315,'SegEnds_NonXtal_BW#'!$A:$Z,20,FALSE)+VLOOKUP($A315,A:AL,28,FALSE)-50)),"-",(VLOOKUP($A315,'SegEnds_NonXtal_BW#'!$A:$Z,20,FALSE)+VLOOKUP($A315,A:AL,28,FALSE)-50))</f>
        <v>600</v>
      </c>
      <c r="AD315" s="3">
        <f>IF(ISERROR(VLOOKUP($A315,'SegEnds_NonXtal_BW#'!$A:$Z,21,FALSE)+VLOOKUP($A315,A:AL,31,FALSE)-50),"-",(VLOOKUP($A315,'SegEnds_NonXtal_BW#'!$A:$Z,21,FALSE)+VLOOKUP($A315,A:AL,31,FALSE)-50))</f>
        <v>612</v>
      </c>
      <c r="AE315" s="3">
        <v>633</v>
      </c>
      <c r="AF315" s="3">
        <f>IF(ISERROR((VLOOKUP($A315,'SegEnds_NonXtal_BW#'!$A:$Z,22,FALSE)+VLOOKUP($A315,A:AL,31,FALSE)-50)),"-",(VLOOKUP($A315,'SegEnds_NonXtal_BW#'!$A:$Z,22,FALSE)+VLOOKUP($A315,A:AL,31,FALSE)-50))</f>
        <v>636</v>
      </c>
      <c r="AG315" s="3">
        <f>IF(ISERROR(VLOOKUP($A315,'SegEnds_NonXtal_BW#'!$A:$Z,23,FALSE)+VLOOKUP($A315,A:AL,34,FALSE)-50),"-",(VLOOKUP($A315,'SegEnds_NonXtal_BW#'!$A:$Z,23,FALSE)+VLOOKUP($A315,A:AL,34,FALSE)-50))</f>
        <v>642</v>
      </c>
      <c r="AH315" s="3">
        <v>661</v>
      </c>
      <c r="AI315" s="3">
        <f>IF(ISERROR((VLOOKUP($A315,'SegEnds_NonXtal_BW#'!$A:$Z,24,FALSE)+VLOOKUP($A315,A:AL,34,FALSE)-50)),"-",(VLOOKUP($A315,'SegEnds_NonXtal_BW#'!$A:$Z,24,FALSE)+VLOOKUP($A315,A:AL,34,FALSE)-50))</f>
        <v>667</v>
      </c>
      <c r="AJ315" s="3">
        <f>IF(ISERROR(VLOOKUP($A315,'SegEnds_NonXtal_BW#'!$A:$Z,25,FALSE)+VLOOKUP($A315,A:AL,37,FALSE)-50),"-",(VLOOKUP($A315,'SegEnds_NonXtal_BW#'!$A:$Z,25,FALSE)+VLOOKUP($A315,A:AL,37,FALSE)-50))</f>
        <v>668</v>
      </c>
      <c r="AK315" s="3">
        <v>671</v>
      </c>
      <c r="AL315" s="3">
        <f>IF(ISERROR((VLOOKUP($A315,'SegEnds_NonXtal_BW#'!$A:$Z,26,FALSE)+VLOOKUP($A315,A:AL,37,FALSE)-50)),"-",(VLOOKUP($A315,'SegEnds_NonXtal_BW#'!$A:$Z,26,FALSE)+VLOOKUP($A315,A:AL,37,FALSE)-50))</f>
        <v>684</v>
      </c>
      <c r="AM315" s="28" t="str">
        <f>VLOOKUP(A315,Classification!A:B,2,FALSE)</f>
        <v>B2</v>
      </c>
      <c r="AN315" s="28" t="b">
        <f t="shared" si="173"/>
        <v>1</v>
      </c>
      <c r="AO315" s="3" t="str">
        <f>IF(ISERROR(MATCH(A315,'SegEnds_Xtal_Prot#'!B:B, 0)), "NoXtal", "Xtal")</f>
        <v>NoXtal</v>
      </c>
      <c r="AP315" s="3" t="str">
        <f t="shared" si="153"/>
        <v>-</v>
      </c>
      <c r="AQ315" s="3" t="str">
        <f t="shared" si="154"/>
        <v>-</v>
      </c>
      <c r="AR315" s="3" t="str">
        <f t="shared" si="155"/>
        <v>-</v>
      </c>
      <c r="AS315" s="3" t="str">
        <f t="shared" si="156"/>
        <v>-</v>
      </c>
      <c r="AT315" s="3" t="str">
        <f t="shared" si="157"/>
        <v>-</v>
      </c>
      <c r="AU315" s="3" t="str">
        <f t="shared" si="158"/>
        <v>-</v>
      </c>
      <c r="AV315" s="3">
        <f t="shared" si="159"/>
        <v>6</v>
      </c>
      <c r="AW315" s="3">
        <f t="shared" si="160"/>
        <v>3</v>
      </c>
      <c r="AX315" s="3">
        <f t="shared" si="161"/>
        <v>12</v>
      </c>
      <c r="AY315" s="3">
        <f t="shared" si="162"/>
        <v>6</v>
      </c>
      <c r="AZ315" s="3">
        <f t="shared" si="163"/>
        <v>1</v>
      </c>
      <c r="BA315" s="3">
        <f>IF(ISERROR(LEN(VLOOKUP(A315,Seqs!A:E,2,FALSE))-AL315),"-",LEN(VLOOKUP(A315,Seqs!A:E,2,FALSE))-AL315)</f>
        <v>6</v>
      </c>
      <c r="BB315" s="16">
        <f t="shared" si="164"/>
        <v>28</v>
      </c>
      <c r="BC315" s="9" t="str">
        <f t="shared" si="165"/>
        <v>-</v>
      </c>
      <c r="BD315" s="3">
        <f t="shared" si="166"/>
        <v>28</v>
      </c>
      <c r="BE315" s="3">
        <f t="shared" si="167"/>
        <v>52</v>
      </c>
      <c r="BF315" s="3">
        <f>AH315-AE315</f>
        <v>28</v>
      </c>
    </row>
    <row r="316" spans="1:58" s="3" customFormat="1" x14ac:dyDescent="0.2">
      <c r="A316" s="3" t="s">
        <v>414</v>
      </c>
      <c r="B316" s="3" t="str">
        <f>LOWER(VLOOKUP(A316,Xtal_Templ!A:B,2,FALSE))</f>
        <v>crfr1_human</v>
      </c>
      <c r="C316" s="3">
        <f>VLOOKUP($A316,'SegEnds_NonXtal_BW#'!$A:$Z,3,FALSE)+D316-50</f>
        <v>935</v>
      </c>
      <c r="D316" s="3">
        <v>962</v>
      </c>
      <c r="E316" s="3">
        <f>IF(ISERROR(VLOOKUP($A316,'SegEnds_NonXtal_BW#'!$A:$Z,4,FALSE)+VLOOKUP($A316,A:AL,4,FALSE)-50),"-",(VLOOKUP($A316,'SegEnds_NonXtal_BW#'!$A:$Z,4,FALSE)+VLOOKUP($A316,A:AL,4,FALSE)-50))</f>
        <v>972</v>
      </c>
      <c r="F316" s="3" t="s">
        <v>23</v>
      </c>
      <c r="G316" s="3" t="s">
        <v>23</v>
      </c>
      <c r="H316" s="3" t="s">
        <v>23</v>
      </c>
      <c r="I316" s="3">
        <f>VLOOKUP($A316,'SegEnds_NonXtal_BW#'!$A:$Z,7,FALSE)+J316-50</f>
        <v>978</v>
      </c>
      <c r="J316" s="3">
        <v>991</v>
      </c>
      <c r="K316" s="3">
        <f>VLOOKUP($A316,'SegEnds_NonXtal_BW#'!$A:$Z,8,FALSE)+VLOOKUP($A316,A:AL,10,FALSE)-50</f>
        <v>1004</v>
      </c>
      <c r="L316" s="3" t="str">
        <f>IF(ISERROR(VLOOKUP($A316,'SegEnds_NonXtal_BW#'!$A:$Z,9,FALSE)+VLOOKUP($A316,A:AL,13,FALSE)-50),"-",(VLOOKUP($A316,'SegEnds_NonXtal_BW#'!$A:$Z,9,FALSE)+VLOOKUP($A316,A:AL,13,FALSE)-50))</f>
        <v>-</v>
      </c>
      <c r="M316" s="3" t="s">
        <v>23</v>
      </c>
      <c r="N316" s="3" t="str">
        <f>IF(ISERROR(VLOOKUP($A316,'SegEnds_NonXtal_BW#'!$A:$Z,10,FALSE)+VLOOKUP($A316,A:AL,13,FALSE)-50),"-",(VLOOKUP($A316,'SegEnds_NonXtal_BW#'!$A:$Z,10,FALSE)+VLOOKUP($A316,A:AL,13,FALSE)-50))</f>
        <v>-</v>
      </c>
      <c r="O316" s="3">
        <f>VLOOKUP($A316,'SegEnds_NonXtal_BW#'!$A:$Z,11,FALSE)+VLOOKUP($A316,A:AL,16,FALSE)-50</f>
        <v>1009</v>
      </c>
      <c r="P316" s="3">
        <v>1036</v>
      </c>
      <c r="Q316" s="3">
        <f>VLOOKUP($A316,'SegEnds_NonXtal_BW#'!$A:$Z,12,FALSE)+VLOOKUP($A316,A:AL,16,FALSE)-50</f>
        <v>1042</v>
      </c>
      <c r="R316" s="3" t="str">
        <f>IF(ISERROR(VLOOKUP($A316,'SegEnds_NonXtal_BW#'!$A:$Z,13,FALSE)+VLOOKUP($A316,A:AL,19,FALSE)-50),"-",VLOOKUP($A316,'SegEnds_NonXtal_BW#'!$A:$Z,13,FALSE)+VLOOKUP($A316,A:AL,19,FALSE)-50)</f>
        <v>-</v>
      </c>
      <c r="S316" s="3" t="s">
        <v>23</v>
      </c>
      <c r="T316" s="103" t="str">
        <f>IF(ISERROR(VLOOKUP($A316,'SegEnds_NonXtal_BW#'!$A:$Z,14,FALSE)+VLOOKUP($A316,A:AL,19,FALSE)-50),"-",(VLOOKUP($A316,'SegEnds_NonXtal_BW#'!$A:$Z,14,FALSE)+VLOOKUP($A316,A:AL,19,FALSE)-50))</f>
        <v>-</v>
      </c>
      <c r="U316" s="9">
        <f>IF(ISERROR(VLOOKUP($A316,'SegEnds_NonXtal_BW#'!$A:$Z,15,FALSE)+VLOOKUP($A316,A:AL,22,FALSE)-50),"-",VLOOKUP($A316,'SegEnds_NonXtal_BW#'!$A:$Z,15,FALSE)+VLOOKUP($A316,A:AL,22,FALSE)-50)</f>
        <v>1048</v>
      </c>
      <c r="V316" s="3">
        <v>1058</v>
      </c>
      <c r="W316" s="3">
        <f>IF(ISERROR(VLOOKUP($A316,'SegEnds_NonXtal_BW#'!$A:$Z,16,FALSE)+VLOOKUP($A316,A:AL,22,FALSE)-50),"-",(VLOOKUP($A316,'SegEnds_NonXtal_BW#'!$A:$Z,16,FALSE)+VLOOKUP($A316,A:AL,22,FALSE)-50))</f>
        <v>1076</v>
      </c>
      <c r="X316" s="3">
        <f>IF(ISERROR(VLOOKUP($A316,'SegEnds_NonXtal_BW#'!$A:$Z,17,FALSE)+VLOOKUP($A316,A:AL,25,FALSE)-50),"-",(VLOOKUP($A316,'SegEnds_NonXtal_BW#'!$A:$Z,17,FALSE)+VLOOKUP($A316,A:AL,25,FALSE)-50))</f>
        <v>1083</v>
      </c>
      <c r="Y316" s="3">
        <v>1083</v>
      </c>
      <c r="Z316" s="3">
        <f t="shared" si="183"/>
        <v>1085</v>
      </c>
      <c r="AA316" s="3">
        <f>IF(ISERROR(VLOOKUP($A316,'SegEnds_NonXtal_BW#'!$A:$Z,19,FALSE)+VLOOKUP($A316,A:AL,28,FALSE)-50),"-",(VLOOKUP($A316,'SegEnds_NonXtal_BW#'!$A:$Z,19,FALSE)+VLOOKUP($A316,A:AL,28,FALSE)-50))</f>
        <v>1088</v>
      </c>
      <c r="AB316" s="3">
        <v>1102</v>
      </c>
      <c r="AC316" s="3">
        <f>IF(ISERROR((VLOOKUP($A316,'SegEnds_NonXtal_BW#'!$A:$Z,20,FALSE)+VLOOKUP($A316,A:AL,28,FALSE)-50)),"-",(VLOOKUP($A316,'SegEnds_NonXtal_BW#'!$A:$Z,20,FALSE)+VLOOKUP($A316,A:AL,28,FALSE)-50))</f>
        <v>1121</v>
      </c>
      <c r="AD316" s="3">
        <f>IF(ISERROR(VLOOKUP($A316,'SegEnds_NonXtal_BW#'!$A:$Z,21,FALSE)+VLOOKUP($A316,A:AL,31,FALSE)-50),"-",(VLOOKUP($A316,'SegEnds_NonXtal_BW#'!$A:$Z,21,FALSE)+VLOOKUP($A316,A:AL,31,FALSE)-50))</f>
        <v>1131</v>
      </c>
      <c r="AE316" s="3">
        <v>1152</v>
      </c>
      <c r="AF316" s="3">
        <f>IF(ISERROR((VLOOKUP($A316,'SegEnds_NonXtal_BW#'!$A:$Z,22,FALSE)+VLOOKUP($A316,A:AL,31,FALSE)-50)),"-",(VLOOKUP($A316,'SegEnds_NonXtal_BW#'!$A:$Z,22,FALSE)+VLOOKUP($A316,A:AL,31,FALSE)-50))</f>
        <v>1155</v>
      </c>
      <c r="AG316" s="3">
        <f>IF(ISERROR(VLOOKUP($A316,'SegEnds_NonXtal_BW#'!$A:$Z,23,FALSE)+VLOOKUP($A316,A:AL,34,FALSE)-50),"-",(VLOOKUP($A316,'SegEnds_NonXtal_BW#'!$A:$Z,23,FALSE)+VLOOKUP($A316,A:AL,34,FALSE)-50))</f>
        <v>1162</v>
      </c>
      <c r="AH316" s="3">
        <v>1181</v>
      </c>
      <c r="AI316" s="3">
        <f>IF(ISERROR((VLOOKUP($A316,'SegEnds_NonXtal_BW#'!$A:$Z,24,FALSE)+VLOOKUP($A316,A:AL,34,FALSE)-50)),"-",(VLOOKUP($A316,'SegEnds_NonXtal_BW#'!$A:$Z,24,FALSE)+VLOOKUP($A316,A:AL,34,FALSE)-50))</f>
        <v>1187</v>
      </c>
      <c r="AJ316" s="3">
        <f>IF(ISERROR(VLOOKUP($A316,'SegEnds_NonXtal_BW#'!$A:$Z,25,FALSE)+VLOOKUP($A316,A:AL,37,FALSE)-50),"-",(VLOOKUP($A316,'SegEnds_NonXtal_BW#'!$A:$Z,25,FALSE)+VLOOKUP($A316,A:AL,37,FALSE)-50))</f>
        <v>1188</v>
      </c>
      <c r="AK316" s="3">
        <v>1191</v>
      </c>
      <c r="AL316" s="3">
        <f>IF(ISERROR((VLOOKUP($A316,'SegEnds_NonXtal_BW#'!$A:$Z,26,FALSE)+VLOOKUP($A316,A:AL,37,FALSE)-50)),"-",(VLOOKUP($A316,'SegEnds_NonXtal_BW#'!$A:$Z,26,FALSE)+VLOOKUP($A316,A:AL,37,FALSE)-50))</f>
        <v>1204</v>
      </c>
      <c r="AM316" s="28" t="str">
        <f>VLOOKUP(A316,Classification!A:B,2,FALSE)</f>
        <v>B2</v>
      </c>
      <c r="AN316" s="28" t="b">
        <f t="shared" si="173"/>
        <v>1</v>
      </c>
      <c r="AO316" s="3" t="str">
        <f>IF(ISERROR(MATCH(A316,'SegEnds_Xtal_Prot#'!B:B, 0)), "NoXtal", "Xtal")</f>
        <v>NoXtal</v>
      </c>
      <c r="AP316" s="3" t="str">
        <f t="shared" si="153"/>
        <v>-</v>
      </c>
      <c r="AQ316" s="3" t="str">
        <f t="shared" si="154"/>
        <v>-</v>
      </c>
      <c r="AR316" s="3" t="str">
        <f t="shared" si="155"/>
        <v>-</v>
      </c>
      <c r="AS316" s="3" t="str">
        <f t="shared" si="156"/>
        <v>-</v>
      </c>
      <c r="AT316" s="3" t="str">
        <f t="shared" si="157"/>
        <v>-</v>
      </c>
      <c r="AU316" s="3" t="str">
        <f t="shared" si="158"/>
        <v>-</v>
      </c>
      <c r="AV316" s="3">
        <f t="shared" si="159"/>
        <v>7</v>
      </c>
      <c r="AW316" s="3">
        <f t="shared" si="160"/>
        <v>3</v>
      </c>
      <c r="AX316" s="3">
        <f t="shared" si="161"/>
        <v>10</v>
      </c>
      <c r="AY316" s="3">
        <f t="shared" si="162"/>
        <v>7</v>
      </c>
      <c r="AZ316" s="3">
        <f t="shared" si="163"/>
        <v>1</v>
      </c>
      <c r="BA316" s="3">
        <f>IF(ISERROR(LEN(VLOOKUP(A316,Seqs!A:E,2,FALSE))-AL316),"-",LEN(VLOOKUP(A316,Seqs!A:E,2,FALSE))-AL316)</f>
        <v>380</v>
      </c>
      <c r="BB316" s="16">
        <f t="shared" si="164"/>
        <v>29</v>
      </c>
      <c r="BC316" s="9" t="str">
        <f t="shared" si="165"/>
        <v>-</v>
      </c>
      <c r="BD316" s="3">
        <f t="shared" si="166"/>
        <v>29</v>
      </c>
      <c r="BE316" s="3">
        <f t="shared" si="167"/>
        <v>50</v>
      </c>
    </row>
    <row r="317" spans="1:58" s="3" customFormat="1" x14ac:dyDescent="0.2">
      <c r="A317" s="3" t="s">
        <v>401</v>
      </c>
      <c r="B317" s="3" t="str">
        <f>LOWER(VLOOKUP(A317,Xtal_Templ!A:B,2,FALSE))</f>
        <v>calcr_human</v>
      </c>
      <c r="C317" s="3">
        <f>VLOOKUP($A317,'SegEnds_NonXtal_BW#'!$A:$Z,3,FALSE)+D317-50</f>
        <v>132</v>
      </c>
      <c r="D317" s="3">
        <v>163</v>
      </c>
      <c r="E317" s="3">
        <f>IF(ISERROR(VLOOKUP($A317,'SegEnds_NonXtal_BW#'!$A:$Z,4,FALSE)+VLOOKUP($A317,A:AL,4,FALSE)-50),"-",(VLOOKUP($A317,'SegEnds_NonXtal_BW#'!$A:$Z,4,FALSE)+VLOOKUP($A317,A:AL,4,FALSE)-50))</f>
        <v>173</v>
      </c>
      <c r="F317" s="3">
        <f>G317-2</f>
        <v>174</v>
      </c>
      <c r="G317" s="3">
        <v>176</v>
      </c>
      <c r="H317" s="3">
        <f>G317+1</f>
        <v>177</v>
      </c>
      <c r="I317" s="3">
        <f>H317+1</f>
        <v>178</v>
      </c>
      <c r="J317" s="3">
        <v>191</v>
      </c>
      <c r="K317" s="3">
        <f>VLOOKUP($A317,'SegEnds_NonXtal_BW#'!$A:$Z,8,FALSE)+VLOOKUP($A317,A:AL,10,FALSE)-50</f>
        <v>205</v>
      </c>
      <c r="L317" s="3" t="str">
        <f>IF(ISERROR(VLOOKUP($A317,'SegEnds_NonXtal_BW#'!$A:$Z,9,FALSE)+VLOOKUP($A317,A:AL,13,FALSE)-50),"-",(VLOOKUP($A317,'SegEnds_NonXtal_BW#'!$A:$Z,9,FALSE)+VLOOKUP($A317,A:AL,13,FALSE)-50))</f>
        <v>-</v>
      </c>
      <c r="M317" s="3" t="s">
        <v>23</v>
      </c>
      <c r="N317" s="3" t="str">
        <f>IF(ISERROR(VLOOKUP($A317,'SegEnds_NonXtal_BW#'!$A:$Z,10,FALSE)+VLOOKUP($A317,A:AL,13,FALSE)-50),"-",(VLOOKUP($A317,'SegEnds_NonXtal_BW#'!$A:$Z,10,FALSE)+VLOOKUP($A317,A:AL,13,FALSE)-50))</f>
        <v>-</v>
      </c>
      <c r="O317" s="3">
        <f>VLOOKUP($A317,'SegEnds_NonXtal_BW#'!$A:$Z,11,FALSE)+VLOOKUP($A317,A:AL,16,FALSE)-50</f>
        <v>215</v>
      </c>
      <c r="P317" s="3">
        <v>244</v>
      </c>
      <c r="Q317" s="3">
        <f>VLOOKUP($A317,'SegEnds_NonXtal_BW#'!$A:$Z,12,FALSE)+VLOOKUP($A317,A:AL,16,FALSE)-50</f>
        <v>250</v>
      </c>
      <c r="R317" s="3" t="str">
        <f>IF(ISERROR(VLOOKUP($A317,'SegEnds_NonXtal_BW#'!$A:$Z,13,FALSE)+VLOOKUP($A317,A:AL,19,FALSE)-50),"-",VLOOKUP($A317,'SegEnds_NonXtal_BW#'!$A:$Z,13,FALSE)+VLOOKUP($A317,A:AL,19,FALSE)-50)</f>
        <v>-</v>
      </c>
      <c r="S317" s="3" t="s">
        <v>23</v>
      </c>
      <c r="T317" s="103" t="str">
        <f>IF(ISERROR(VLOOKUP($A317,'SegEnds_NonXtal_BW#'!$A:$Z,14,FALSE)+VLOOKUP($A317,A:AL,19,FALSE)-50),"-",(VLOOKUP($A317,'SegEnds_NonXtal_BW#'!$A:$Z,14,FALSE)+VLOOKUP($A317,A:AL,19,FALSE)-50))</f>
        <v>-</v>
      </c>
      <c r="U317" s="9">
        <f>IF(ISERROR(VLOOKUP($A317,'SegEnds_NonXtal_BW#'!$A:$Z,15,FALSE)+VLOOKUP($A317,A:AL,22,FALSE)-50),"-",VLOOKUP($A317,'SegEnds_NonXtal_BW#'!$A:$Z,15,FALSE)+VLOOKUP($A317,A:AL,22,FALSE)-50)</f>
        <v>258</v>
      </c>
      <c r="V317" s="3">
        <v>267</v>
      </c>
      <c r="W317" s="3">
        <f>IF(ISERROR(VLOOKUP($A317,'SegEnds_NonXtal_BW#'!$A:$Z,16,FALSE)+VLOOKUP($A317,A:AL,22,FALSE)-50),"-",(VLOOKUP($A317,'SegEnds_NonXtal_BW#'!$A:$Z,16,FALSE)+VLOOKUP($A317,A:AL,22,FALSE)-50))</f>
        <v>285</v>
      </c>
      <c r="X317" s="3">
        <f>IF(ISERROR(VLOOKUP($A317,'SegEnds_NonXtal_BW#'!$A:$Z,17,FALSE)+VLOOKUP($A317,A:AL,25,FALSE)-50),"-",(VLOOKUP($A317,'SegEnds_NonXtal_BW#'!$A:$Z,17,FALSE)+VLOOKUP($A317,A:AL,25,FALSE)-50))</f>
        <v>289</v>
      </c>
      <c r="Y317" s="3">
        <v>289</v>
      </c>
      <c r="Z317" s="3">
        <f t="shared" si="183"/>
        <v>291</v>
      </c>
      <c r="AA317" s="3">
        <f>IF(ISERROR(VLOOKUP($A317,'SegEnds_NonXtal_BW#'!$A:$Z,19,FALSE)+VLOOKUP($A317,A:AL,28,FALSE)-50),"-",(VLOOKUP($A317,'SegEnds_NonXtal_BW#'!$A:$Z,19,FALSE)+VLOOKUP($A317,A:AL,28,FALSE)-50))</f>
        <v>298</v>
      </c>
      <c r="AB317" s="3">
        <v>308</v>
      </c>
      <c r="AC317" s="3">
        <f>IF(ISERROR((VLOOKUP($A317,'SegEnds_NonXtal_BW#'!$A:$Z,20,FALSE)+VLOOKUP($A317,A:AL,28,FALSE)-50)),"-",(VLOOKUP($A317,'SegEnds_NonXtal_BW#'!$A:$Z,20,FALSE)+VLOOKUP($A317,A:AL,28,FALSE)-50))</f>
        <v>328</v>
      </c>
      <c r="AD317" s="3">
        <f>IF(ISERROR(VLOOKUP($A317,'SegEnds_NonXtal_BW#'!$A:$Z,21,FALSE)+VLOOKUP($A317,A:AL,31,FALSE)-50),"-",(VLOOKUP($A317,'SegEnds_NonXtal_BW#'!$A:$Z,21,FALSE)+VLOOKUP($A317,A:AL,31,FALSE)-50))</f>
        <v>338</v>
      </c>
      <c r="AE317" s="3">
        <v>358</v>
      </c>
      <c r="AF317" s="3">
        <f>IF(ISERROR((VLOOKUP($A317,'SegEnds_NonXtal_BW#'!$A:$Z,22,FALSE)+VLOOKUP($A317,A:AL,31,FALSE)-50)),"-",(VLOOKUP($A317,'SegEnds_NonXtal_BW#'!$A:$Z,22,FALSE)+VLOOKUP($A317,A:AL,31,FALSE)-50))</f>
        <v>361</v>
      </c>
      <c r="AG317" s="3">
        <f>IF(ISERROR(VLOOKUP($A317,'SegEnds_NonXtal_BW#'!$A:$Z,23,FALSE)+VLOOKUP($A317,A:AL,34,FALSE)-50),"-",(VLOOKUP($A317,'SegEnds_NonXtal_BW#'!$A:$Z,23,FALSE)+VLOOKUP($A317,A:AL,34,FALSE)-50))</f>
        <v>366</v>
      </c>
      <c r="AH317" s="3">
        <v>388</v>
      </c>
      <c r="AI317" s="3">
        <f>IF(ISERROR((VLOOKUP($A317,'SegEnds_NonXtal_BW#'!$A:$Z,24,FALSE)+VLOOKUP($A317,A:AL,34,FALSE)-50)),"-",(VLOOKUP($A317,'SegEnds_NonXtal_BW#'!$A:$Z,24,FALSE)+VLOOKUP($A317,A:AL,34,FALSE)-50))</f>
        <v>394</v>
      </c>
      <c r="AJ317" s="3">
        <f>IF(ISERROR(VLOOKUP($A317,'SegEnds_NonXtal_BW#'!$A:$Z,25,FALSE)+VLOOKUP($A317,A:AL,37,FALSE)-50),"-",(VLOOKUP($A317,'SegEnds_NonXtal_BW#'!$A:$Z,25,FALSE)+VLOOKUP($A317,A:AL,37,FALSE)-50))</f>
        <v>395</v>
      </c>
      <c r="AK317" s="3">
        <v>398</v>
      </c>
      <c r="AL317" s="3">
        <f>IF(ISERROR((VLOOKUP($A317,'SegEnds_NonXtal_BW#'!$A:$Z,26,FALSE)+VLOOKUP($A317,A:AL,37,FALSE)-50)),"-",(VLOOKUP($A317,'SegEnds_NonXtal_BW#'!$A:$Z,26,FALSE)+VLOOKUP($A317,A:AL,37,FALSE)-50))</f>
        <v>420</v>
      </c>
      <c r="AM317" s="28" t="str">
        <f>VLOOKUP(A317,Classification!A:B,2,FALSE)</f>
        <v>B1</v>
      </c>
      <c r="AN317" s="28" t="b">
        <f t="shared" si="173"/>
        <v>1</v>
      </c>
      <c r="AO317" s="3" t="str">
        <f>IF(ISERROR(MATCH(A317,'SegEnds_Xtal_Prot#'!B:B, 0)), "NoXtal", "Xtal")</f>
        <v>Xtal</v>
      </c>
      <c r="AP317" s="3">
        <f t="shared" si="153"/>
        <v>1</v>
      </c>
      <c r="AQ317" s="3">
        <f t="shared" si="154"/>
        <v>1</v>
      </c>
      <c r="AR317" s="3" t="str">
        <f t="shared" si="155"/>
        <v>-</v>
      </c>
      <c r="AS317" s="3" t="str">
        <f t="shared" si="156"/>
        <v>-</v>
      </c>
      <c r="AT317" s="3" t="str">
        <f t="shared" si="157"/>
        <v>-</v>
      </c>
      <c r="AU317" s="3" t="str">
        <f t="shared" si="158"/>
        <v>-</v>
      </c>
      <c r="AV317" s="3">
        <f t="shared" si="159"/>
        <v>4</v>
      </c>
      <c r="AW317" s="3">
        <f t="shared" si="160"/>
        <v>7</v>
      </c>
      <c r="AX317" s="3">
        <f t="shared" si="161"/>
        <v>10</v>
      </c>
      <c r="AY317" s="3">
        <f t="shared" si="162"/>
        <v>5</v>
      </c>
      <c r="AZ317" s="3">
        <f t="shared" si="163"/>
        <v>1</v>
      </c>
      <c r="BA317" s="3">
        <f>IF(ISERROR(LEN(VLOOKUP(A317,Seqs!A:E,2,FALSE))-AL317),"-",LEN(VLOOKUP(A317,Seqs!A:E,2,FALSE))-AL317)</f>
        <v>54</v>
      </c>
      <c r="BB317" s="16">
        <f t="shared" si="164"/>
        <v>28</v>
      </c>
      <c r="BC317" s="9" t="str">
        <f t="shared" si="165"/>
        <v>-</v>
      </c>
      <c r="BD317" s="3">
        <f t="shared" si="166"/>
        <v>28</v>
      </c>
      <c r="BE317" s="3">
        <f t="shared" si="167"/>
        <v>50</v>
      </c>
    </row>
    <row r="318" spans="1:58" s="3" customFormat="1" x14ac:dyDescent="0.2">
      <c r="A318" s="3" t="s">
        <v>402</v>
      </c>
      <c r="B318" s="3" t="str">
        <f>LOWER(VLOOKUP(A318,Xtal_Templ!A:B,2,FALSE))</f>
        <v>calcr_human</v>
      </c>
      <c r="C318" s="3">
        <f>VLOOKUP($A318,'SegEnds_NonXtal_BW#'!$A:$Z,3,FALSE)+D318-50</f>
        <v>125</v>
      </c>
      <c r="D318" s="3">
        <v>156</v>
      </c>
      <c r="E318" s="3">
        <f>IF(ISERROR(VLOOKUP($A318,'SegEnds_NonXtal_BW#'!$A:$Z,4,FALSE)+VLOOKUP($A318,A:AL,4,FALSE)-50),"-",(VLOOKUP($A318,'SegEnds_NonXtal_BW#'!$A:$Z,4,FALSE)+VLOOKUP($A318,A:AL,4,FALSE)-50))</f>
        <v>166</v>
      </c>
      <c r="F318" s="3">
        <f>G318-2</f>
        <v>167</v>
      </c>
      <c r="G318" s="3">
        <v>169</v>
      </c>
      <c r="H318" s="3">
        <f>G318+1</f>
        <v>170</v>
      </c>
      <c r="I318" s="3">
        <f>H318+1</f>
        <v>171</v>
      </c>
      <c r="J318" s="3">
        <v>184</v>
      </c>
      <c r="K318" s="3">
        <f>VLOOKUP($A318,'SegEnds_NonXtal_BW#'!$A:$Z,8,FALSE)+VLOOKUP($A318,A:AL,10,FALSE)-50</f>
        <v>198</v>
      </c>
      <c r="L318" s="3" t="str">
        <f>IF(ISERROR(VLOOKUP($A318,'SegEnds_NonXtal_BW#'!$A:$Z,9,FALSE)+VLOOKUP($A318,A:AL,13,FALSE)-50),"-",(VLOOKUP($A318,'SegEnds_NonXtal_BW#'!$A:$Z,9,FALSE)+VLOOKUP($A318,A:AL,13,FALSE)-50))</f>
        <v>-</v>
      </c>
      <c r="M318" s="3" t="s">
        <v>23</v>
      </c>
      <c r="N318" s="3" t="str">
        <f>IF(ISERROR(VLOOKUP($A318,'SegEnds_NonXtal_BW#'!$A:$Z,10,FALSE)+VLOOKUP($A318,A:AL,13,FALSE)-50),"-",(VLOOKUP($A318,'SegEnds_NonXtal_BW#'!$A:$Z,10,FALSE)+VLOOKUP($A318,A:AL,13,FALSE)-50))</f>
        <v>-</v>
      </c>
      <c r="O318" s="3">
        <f>VLOOKUP($A318,'SegEnds_NonXtal_BW#'!$A:$Z,11,FALSE)+VLOOKUP($A318,A:AL,16,FALSE)-50</f>
        <v>208</v>
      </c>
      <c r="P318" s="3">
        <v>237</v>
      </c>
      <c r="Q318" s="3">
        <f>VLOOKUP($A318,'SegEnds_NonXtal_BW#'!$A:$Z,12,FALSE)+VLOOKUP($A318,A:AL,16,FALSE)-50</f>
        <v>243</v>
      </c>
      <c r="R318" s="3" t="str">
        <f>IF(ISERROR(VLOOKUP($A318,'SegEnds_NonXtal_BW#'!$A:$Z,13,FALSE)+VLOOKUP($A318,A:AL,19,FALSE)-50),"-",VLOOKUP($A318,'SegEnds_NonXtal_BW#'!$A:$Z,13,FALSE)+VLOOKUP($A318,A:AL,19,FALSE)-50)</f>
        <v>-</v>
      </c>
      <c r="S318" s="3" t="s">
        <v>23</v>
      </c>
      <c r="T318" s="103" t="str">
        <f>IF(ISERROR(VLOOKUP($A318,'SegEnds_NonXtal_BW#'!$A:$Z,14,FALSE)+VLOOKUP($A318,A:AL,19,FALSE)-50),"-",(VLOOKUP($A318,'SegEnds_NonXtal_BW#'!$A:$Z,14,FALSE)+VLOOKUP($A318,A:AL,19,FALSE)-50))</f>
        <v>-</v>
      </c>
      <c r="U318" s="9">
        <f>IF(ISERROR(VLOOKUP($A318,'SegEnds_NonXtal_BW#'!$A:$Z,15,FALSE)+VLOOKUP($A318,A:AL,22,FALSE)-50),"-",VLOOKUP($A318,'SegEnds_NonXtal_BW#'!$A:$Z,15,FALSE)+VLOOKUP($A318,A:AL,22,FALSE)-50)</f>
        <v>251</v>
      </c>
      <c r="V318" s="3">
        <v>260</v>
      </c>
      <c r="W318" s="3">
        <f>IF(ISERROR(VLOOKUP($A318,'SegEnds_NonXtal_BW#'!$A:$Z,16,FALSE)+VLOOKUP($A318,A:AL,22,FALSE)-50),"-",(VLOOKUP($A318,'SegEnds_NonXtal_BW#'!$A:$Z,16,FALSE)+VLOOKUP($A318,A:AL,22,FALSE)-50))</f>
        <v>278</v>
      </c>
      <c r="X318" s="3">
        <f>IF(ISERROR(VLOOKUP($A318,'SegEnds_NonXtal_BW#'!$A:$Z,17,FALSE)+VLOOKUP($A318,A:AL,25,FALSE)-50),"-",(VLOOKUP($A318,'SegEnds_NonXtal_BW#'!$A:$Z,17,FALSE)+VLOOKUP($A318,A:AL,25,FALSE)-50))</f>
        <v>282</v>
      </c>
      <c r="Y318" s="3">
        <v>282</v>
      </c>
      <c r="Z318" s="3">
        <f t="shared" si="183"/>
        <v>284</v>
      </c>
      <c r="AA318" s="3">
        <f>IF(ISERROR(VLOOKUP($A318,'SegEnds_NonXtal_BW#'!$A:$Z,19,FALSE)+VLOOKUP($A318,A:AL,28,FALSE)-50),"-",(VLOOKUP($A318,'SegEnds_NonXtal_BW#'!$A:$Z,19,FALSE)+VLOOKUP($A318,A:AL,28,FALSE)-50))</f>
        <v>290</v>
      </c>
      <c r="AB318" s="3">
        <v>301</v>
      </c>
      <c r="AC318" s="3">
        <f>IF(ISERROR((VLOOKUP($A318,'SegEnds_NonXtal_BW#'!$A:$Z,20,FALSE)+VLOOKUP($A318,A:AL,28,FALSE)-50)),"-",(VLOOKUP($A318,'SegEnds_NonXtal_BW#'!$A:$Z,20,FALSE)+VLOOKUP($A318,A:AL,28,FALSE)-50))</f>
        <v>321</v>
      </c>
      <c r="AD318" s="3">
        <f>IF(ISERROR(VLOOKUP($A318,'SegEnds_NonXtal_BW#'!$A:$Z,21,FALSE)+VLOOKUP($A318,A:AL,31,FALSE)-50),"-",(VLOOKUP($A318,'SegEnds_NonXtal_BW#'!$A:$Z,21,FALSE)+VLOOKUP($A318,A:AL,31,FALSE)-50))</f>
        <v>331</v>
      </c>
      <c r="AE318" s="3">
        <v>351</v>
      </c>
      <c r="AF318" s="3">
        <f>IF(ISERROR((VLOOKUP($A318,'SegEnds_NonXtal_BW#'!$A:$Z,22,FALSE)+VLOOKUP($A318,A:AL,31,FALSE)-50)),"-",(VLOOKUP($A318,'SegEnds_NonXtal_BW#'!$A:$Z,22,FALSE)+VLOOKUP($A318,A:AL,31,FALSE)-50))</f>
        <v>354</v>
      </c>
      <c r="AG318" s="3">
        <f>IF(ISERROR(VLOOKUP($A318,'SegEnds_NonXtal_BW#'!$A:$Z,23,FALSE)+VLOOKUP($A318,A:AL,34,FALSE)-50),"-",(VLOOKUP($A318,'SegEnds_NonXtal_BW#'!$A:$Z,23,FALSE)+VLOOKUP($A318,A:AL,34,FALSE)-50))</f>
        <v>359</v>
      </c>
      <c r="AH318" s="3">
        <v>381</v>
      </c>
      <c r="AI318" s="3">
        <f>IF(ISERROR((VLOOKUP($A318,'SegEnds_NonXtal_BW#'!$A:$Z,24,FALSE)+VLOOKUP($A318,A:AL,34,FALSE)-50)),"-",(VLOOKUP($A318,'SegEnds_NonXtal_BW#'!$A:$Z,24,FALSE)+VLOOKUP($A318,A:AL,34,FALSE)-50))</f>
        <v>387</v>
      </c>
      <c r="AJ318" s="3">
        <f>IF(ISERROR(VLOOKUP($A318,'SegEnds_NonXtal_BW#'!$A:$Z,25,FALSE)+VLOOKUP($A318,A:AL,37,FALSE)-50),"-",(VLOOKUP($A318,'SegEnds_NonXtal_BW#'!$A:$Z,25,FALSE)+VLOOKUP($A318,A:AL,37,FALSE)-50))</f>
        <v>388</v>
      </c>
      <c r="AK318" s="3">
        <v>391</v>
      </c>
      <c r="AL318" s="3">
        <f>IF(ISERROR((VLOOKUP($A318,'SegEnds_NonXtal_BW#'!$A:$Z,26,FALSE)+VLOOKUP($A318,A:AL,37,FALSE)-50)),"-",(VLOOKUP($A318,'SegEnds_NonXtal_BW#'!$A:$Z,26,FALSE)+VLOOKUP($A318,A:AL,37,FALSE)-50))</f>
        <v>413</v>
      </c>
      <c r="AM318" s="28" t="str">
        <f>VLOOKUP(A318,Classification!A:B,2,FALSE)</f>
        <v>B1</v>
      </c>
      <c r="AN318" s="28" t="b">
        <f t="shared" si="173"/>
        <v>1</v>
      </c>
      <c r="AO318" s="3" t="str">
        <f>IF(ISERROR(MATCH(A318,'SegEnds_Xtal_Prot#'!B:B, 0)), "NoXtal", "Xtal")</f>
        <v>NoXtal</v>
      </c>
      <c r="AP318" s="3">
        <f t="shared" si="153"/>
        <v>1</v>
      </c>
      <c r="AQ318" s="3">
        <f t="shared" si="154"/>
        <v>1</v>
      </c>
      <c r="AR318" s="3" t="str">
        <f t="shared" si="155"/>
        <v>-</v>
      </c>
      <c r="AS318" s="3" t="str">
        <f t="shared" si="156"/>
        <v>-</v>
      </c>
      <c r="AT318" s="3" t="str">
        <f t="shared" si="157"/>
        <v>-</v>
      </c>
      <c r="AU318" s="3" t="str">
        <f t="shared" si="158"/>
        <v>-</v>
      </c>
      <c r="AV318" s="3">
        <f t="shared" si="159"/>
        <v>4</v>
      </c>
      <c r="AW318" s="3">
        <f t="shared" si="160"/>
        <v>6</v>
      </c>
      <c r="AX318" s="3">
        <f t="shared" si="161"/>
        <v>10</v>
      </c>
      <c r="AY318" s="3">
        <f t="shared" si="162"/>
        <v>5</v>
      </c>
      <c r="AZ318" s="3">
        <f t="shared" si="163"/>
        <v>1</v>
      </c>
      <c r="BA318" s="3">
        <f>IF(ISERROR(LEN(VLOOKUP(A318,Seqs!A:E,2,FALSE))-AL318),"-",LEN(VLOOKUP(A318,Seqs!A:E,2,FALSE))-AL318)</f>
        <v>48</v>
      </c>
      <c r="BB318" s="16">
        <f t="shared" si="164"/>
        <v>28</v>
      </c>
      <c r="BC318" s="9" t="str">
        <f t="shared" si="165"/>
        <v>-</v>
      </c>
      <c r="BD318" s="3">
        <f t="shared" si="166"/>
        <v>28</v>
      </c>
      <c r="BE318" s="3">
        <f t="shared" si="167"/>
        <v>50</v>
      </c>
    </row>
    <row r="319" spans="1:58" s="3" customFormat="1" x14ac:dyDescent="0.2">
      <c r="A319" s="3" t="s">
        <v>105</v>
      </c>
      <c r="B319" s="3" t="str">
        <f>LOWER(VLOOKUP(A319,Xtal_Templ!A:B,2,FALSE))</f>
        <v>grm5_human</v>
      </c>
      <c r="C319" s="3">
        <f>VLOOKUP($A319,'SegEnds_NonXtal_BW#'!$A:$Z,3,FALSE)+D319-50</f>
        <v>611</v>
      </c>
      <c r="D319" s="3">
        <v>627</v>
      </c>
      <c r="E319" s="3">
        <f>IF(ISERROR(VLOOKUP($A319,'SegEnds_NonXtal_BW#'!$A:$Z,4,FALSE)+VLOOKUP($A319,A:AL,4,FALSE)-50),"-",(VLOOKUP($A319,'SegEnds_NonXtal_BW#'!$A:$Z,4,FALSE)+VLOOKUP($A319,A:AL,4,FALSE)-50))</f>
        <v>637</v>
      </c>
      <c r="F319" s="3">
        <f>G319-3</f>
        <v>640</v>
      </c>
      <c r="G319" s="3">
        <v>643</v>
      </c>
      <c r="H319" s="3">
        <f>G319+3</f>
        <v>646</v>
      </c>
      <c r="I319" s="3">
        <f>H319+1</f>
        <v>647</v>
      </c>
      <c r="J319" s="3">
        <v>658</v>
      </c>
      <c r="K319" s="3">
        <f>VLOOKUP($A319,'SegEnds_NonXtal_BW#'!$A:$Z,8,FALSE)+VLOOKUP($A319,A:AL,10,FALSE)-50</f>
        <v>669</v>
      </c>
      <c r="L319" s="3" t="str">
        <f>IF(ISERROR(VLOOKUP($A319,'SegEnds_NonXtal_BW#'!$A:$Z,9,FALSE)+VLOOKUP($A319,A:AL,13,FALSE)-50),"-",(VLOOKUP($A319,'SegEnds_NonXtal_BW#'!$A:$Z,9,FALSE)+VLOOKUP($A319,A:AL,13,FALSE)-50))</f>
        <v>-</v>
      </c>
      <c r="M319" s="3" t="s">
        <v>23</v>
      </c>
      <c r="N319" s="3" t="str">
        <f>IF(ISERROR(VLOOKUP($A319,'SegEnds_NonXtal_BW#'!$A:$Z,10,FALSE)+VLOOKUP($A319,A:AL,13,FALSE)-50),"-",(VLOOKUP($A319,'SegEnds_NonXtal_BW#'!$A:$Z,10,FALSE)+VLOOKUP($A319,A:AL,13,FALSE)-50))</f>
        <v>-</v>
      </c>
      <c r="O319" s="3">
        <f>VLOOKUP($A319,'SegEnds_NonXtal_BW#'!$A:$Z,11,FALSE)+VLOOKUP($A319,A:AL,16,FALSE)-50</f>
        <v>674</v>
      </c>
      <c r="P319" s="3">
        <v>702</v>
      </c>
      <c r="Q319" s="3">
        <f>VLOOKUP($A319,'SegEnds_NonXtal_BW#'!$A:$Z,12,FALSE)+VLOOKUP($A319,A:AL,16,FALSE)-50</f>
        <v>706</v>
      </c>
      <c r="R319" s="3" t="str">
        <f>IF(ISERROR(VLOOKUP($A319,'SegEnds_NonXtal_BW#'!$A:$Z,13,FALSE)+VLOOKUP($A319,A:AL,19,FALSE)-50),"-",VLOOKUP($A319,'SegEnds_NonXtal_BW#'!$A:$Z,13,FALSE)+VLOOKUP($A319,A:AL,19,FALSE)-50)</f>
        <v>-</v>
      </c>
      <c r="S319" s="3" t="s">
        <v>23</v>
      </c>
      <c r="T319" s="103" t="str">
        <f>IF(ISERROR(VLOOKUP($A319,'SegEnds_NonXtal_BW#'!$A:$Z,14,FALSE)+VLOOKUP($A319,A:AL,19,FALSE)-50),"-",(VLOOKUP($A319,'SegEnds_NonXtal_BW#'!$A:$Z,14,FALSE)+VLOOKUP($A319,A:AL,19,FALSE)-50))</f>
        <v>-</v>
      </c>
      <c r="U319" s="9">
        <f>IF(ISERROR(VLOOKUP($A319,'SegEnds_NonXtal_BW#'!$A:$Z,15,FALSE)+VLOOKUP($A319,A:AL,22,FALSE)-50),"-",VLOOKUP($A319,'SegEnds_NonXtal_BW#'!$A:$Z,15,FALSE)+VLOOKUP($A319,A:AL,22,FALSE)-50)</f>
        <v>720</v>
      </c>
      <c r="V319" s="3">
        <v>732</v>
      </c>
      <c r="W319" s="3">
        <f>IF(ISERROR(VLOOKUP($A319,'SegEnds_NonXtal_BW#'!$A:$Z,16,FALSE)+VLOOKUP($A319,A:AL,22,FALSE)-50),"-",(VLOOKUP($A319,'SegEnds_NonXtal_BW#'!$A:$Z,16,FALSE)+VLOOKUP($A319,A:AL,22,FALSE)-50))</f>
        <v>746</v>
      </c>
      <c r="X319" s="3">
        <f>IF(ISERROR(VLOOKUP($A319,'SegEnds_NonXtal_BW#'!$A:$Z,17,FALSE)+VLOOKUP($A319,A:AL,25,FALSE)-50),"-",(VLOOKUP($A319,'SegEnds_NonXtal_BW#'!$A:$Z,17,FALSE)+VLOOKUP($A319,A:AL,25,FALSE)-50))</f>
        <v>765</v>
      </c>
      <c r="Y319" s="3">
        <v>765</v>
      </c>
      <c r="Z319" s="3">
        <f t="shared" si="183"/>
        <v>767</v>
      </c>
      <c r="AA319" s="3">
        <f>IF(ISERROR(VLOOKUP($A319,'SegEnds_NonXtal_BW#'!$A:$Z,19,FALSE)+VLOOKUP($A319,A:AL,28,FALSE)-50),"-",(VLOOKUP($A319,'SegEnds_NonXtal_BW#'!$A:$Z,19,FALSE)+VLOOKUP($A319,A:AL,28,FALSE)-50))</f>
        <v>770</v>
      </c>
      <c r="AB319" s="3">
        <v>783</v>
      </c>
      <c r="AC319" s="3">
        <f>IF(ISERROR((VLOOKUP($A319,'SegEnds_NonXtal_BW#'!$A:$Z,20,FALSE)+VLOOKUP($A319,A:AL,28,FALSE)-50)),"-",(VLOOKUP($A319,'SegEnds_NonXtal_BW#'!$A:$Z,20,FALSE)+VLOOKUP($A319,A:AL,28,FALSE)-50))</f>
        <v>794</v>
      </c>
      <c r="AD319" s="3">
        <f>IF(ISERROR(VLOOKUP($A319,'SegEnds_NonXtal_BW#'!$A:$Z,21,FALSE)+VLOOKUP($A319,A:AL,31,FALSE)-50),"-",(VLOOKUP($A319,'SegEnds_NonXtal_BW#'!$A:$Z,21,FALSE)+VLOOKUP($A319,A:AL,31,FALSE)-50))</f>
        <v>803</v>
      </c>
      <c r="AE319" s="3">
        <v>820</v>
      </c>
      <c r="AF319" s="3">
        <f>IF(ISERROR((VLOOKUP($A319,'SegEnds_NonXtal_BW#'!$A:$Z,22,FALSE)+VLOOKUP($A319,A:AL,31,FALSE)-50)),"-",(VLOOKUP($A319,'SegEnds_NonXtal_BW#'!$A:$Z,22,FALSE)+VLOOKUP($A319,A:AL,31,FALSE)-50))</f>
        <v>827</v>
      </c>
      <c r="AG319" s="3">
        <f>IF(ISERROR(VLOOKUP($A319,'SegEnds_NonXtal_BW#'!$A:$Z,23,FALSE)+VLOOKUP($A319,A:AL,34,FALSE)-50),"-",(VLOOKUP($A319,'SegEnds_NonXtal_BW#'!$A:$Z,23,FALSE)+VLOOKUP($A319,A:AL,34,FALSE)-50))</f>
        <v>833</v>
      </c>
      <c r="AH319" s="3">
        <v>849</v>
      </c>
      <c r="AI319" s="3">
        <f>IF(ISERROR((VLOOKUP($A319,'SegEnds_NonXtal_BW#'!$A:$Z,24,FALSE)+VLOOKUP($A319,A:AL,34,FALSE)-50)),"-",(VLOOKUP($A319,'SegEnds_NonXtal_BW#'!$A:$Z,24,FALSE)+VLOOKUP($A319,A:AL,34,FALSE)-50))</f>
        <v>862</v>
      </c>
      <c r="AJ319" s="3">
        <f>IF(ISERROR(VLOOKUP($A319,'SegEnds_NonXtal_BW#'!$A:$Z,25,FALSE)+VLOOKUP($A319,A:AL,37,FALSE)-50),"-",(VLOOKUP($A319,'SegEnds_NonXtal_BW#'!$A:$Z,25,FALSE)+VLOOKUP($A319,A:AL,37,FALSE)-50))</f>
        <v>863</v>
      </c>
      <c r="AK319" s="3">
        <v>866</v>
      </c>
      <c r="AL319" s="3">
        <f>IF(ISERROR((VLOOKUP($A319,'SegEnds_NonXtal_BW#'!$A:$Z,26,FALSE)+VLOOKUP($A319,A:AL,37,FALSE)-50)),"-",(VLOOKUP($A319,'SegEnds_NonXtal_BW#'!$A:$Z,26,FALSE)+VLOOKUP($A319,A:AL,37,FALSE)-50))</f>
        <v>875</v>
      </c>
      <c r="AM319" s="28" t="str">
        <f>VLOOKUP(A319,Classification!A:B,2,FALSE)</f>
        <v>C</v>
      </c>
      <c r="AN319" s="28" t="b">
        <f t="shared" si="173"/>
        <v>1</v>
      </c>
      <c r="AO319" s="3" t="str">
        <f>IF(ISERROR(MATCH(A319,'SegEnds_Xtal_Prot#'!B:B, 0)), "NoXtal", "Xtal")</f>
        <v>NoXtal</v>
      </c>
      <c r="AP319" s="3">
        <f t="shared" si="153"/>
        <v>3</v>
      </c>
      <c r="AQ319" s="3">
        <f t="shared" si="154"/>
        <v>1</v>
      </c>
      <c r="AR319" s="3" t="str">
        <f t="shared" si="155"/>
        <v>-</v>
      </c>
      <c r="AS319" s="3" t="str">
        <f t="shared" si="156"/>
        <v>-</v>
      </c>
      <c r="AT319" s="3" t="str">
        <f t="shared" si="157"/>
        <v>-</v>
      </c>
      <c r="AU319" s="3" t="str">
        <f t="shared" si="158"/>
        <v>-</v>
      </c>
      <c r="AV319" s="3">
        <f t="shared" si="159"/>
        <v>19</v>
      </c>
      <c r="AW319" s="3">
        <f t="shared" si="160"/>
        <v>3</v>
      </c>
      <c r="AX319" s="3">
        <f t="shared" si="161"/>
        <v>9</v>
      </c>
      <c r="AY319" s="3">
        <f t="shared" si="162"/>
        <v>6</v>
      </c>
      <c r="AZ319" s="3">
        <f t="shared" si="163"/>
        <v>1</v>
      </c>
      <c r="BA319" s="3">
        <f>IF(ISERROR(LEN(VLOOKUP(A319,Seqs!A:E,2,FALSE))-AL319),"-",LEN(VLOOKUP(A319,Seqs!A:E,2,FALSE))-AL319)</f>
        <v>203</v>
      </c>
      <c r="BB319" s="16">
        <f t="shared" si="164"/>
        <v>31</v>
      </c>
      <c r="BC319" s="9" t="str">
        <f t="shared" si="165"/>
        <v>-</v>
      </c>
      <c r="BD319" s="3">
        <f t="shared" si="166"/>
        <v>31</v>
      </c>
      <c r="BE319" s="3">
        <f t="shared" si="167"/>
        <v>37</v>
      </c>
    </row>
    <row r="320" spans="1:58" s="3" customFormat="1" x14ac:dyDescent="0.2">
      <c r="A320" s="3" t="s">
        <v>169</v>
      </c>
      <c r="B320" s="3" t="str">
        <f>LOWER(VLOOKUP(A320,Xtal_Templ!A:B,2,FALSE))</f>
        <v>ccr9_human</v>
      </c>
      <c r="C320" s="3">
        <f>VLOOKUP($A320,'SegEnds_NonXtal_BW#'!$A:$Z,3,FALSE)+D320-50</f>
        <v>36</v>
      </c>
      <c r="D320" s="3">
        <v>59</v>
      </c>
      <c r="E320" s="3">
        <f>IF(ISERROR(VLOOKUP($A320,'SegEnds_NonXtal_BW#'!$A:$Z,4,FALSE)+VLOOKUP($A320,A:AL,4,FALSE)-50),"-",(VLOOKUP($A320,'SegEnds_NonXtal_BW#'!$A:$Z,4,FALSE)+VLOOKUP($A320,A:AL,4,FALSE)-50))</f>
        <v>69</v>
      </c>
      <c r="F320" s="3">
        <f>G320-2</f>
        <v>70</v>
      </c>
      <c r="G320" s="3">
        <v>72</v>
      </c>
      <c r="H320" s="3">
        <f>G320+1</f>
        <v>73</v>
      </c>
      <c r="I320" s="3">
        <f>H320+1</f>
        <v>74</v>
      </c>
      <c r="J320" s="3">
        <v>88</v>
      </c>
      <c r="K320" s="3">
        <f>VLOOKUP($A320,'SegEnds_NonXtal_BW#'!$A:$Z,8,FALSE)+VLOOKUP($A320,A:AL,10,FALSE)-50</f>
        <v>104</v>
      </c>
      <c r="L320" s="3">
        <f>M320-1</f>
        <v>105</v>
      </c>
      <c r="M320" s="3">
        <v>106</v>
      </c>
      <c r="N320" s="3">
        <f>M320+2</f>
        <v>108</v>
      </c>
      <c r="O320" s="3">
        <f>N320+1</f>
        <v>109</v>
      </c>
      <c r="P320" s="3">
        <v>138</v>
      </c>
      <c r="Q320" s="3">
        <f>VLOOKUP($A320,'SegEnds_NonXtal_BW#'!$A:$Z,12,FALSE)+VLOOKUP($A320,A:AL,16,FALSE)-50</f>
        <v>144</v>
      </c>
      <c r="R320" s="3" t="str">
        <f>IF(ISERROR(VLOOKUP($A320,'SegEnds_NonXtal_BW#'!$A:$Z,13,FALSE)+VLOOKUP($A320,A:AL,19,FALSE)-50),"-",VLOOKUP($A320,'SegEnds_NonXtal_BW#'!$A:$Z,13,FALSE)+VLOOKUP($A320,A:AL,19,FALSE)-50)</f>
        <v>-</v>
      </c>
      <c r="S320" s="3" t="s">
        <v>23</v>
      </c>
      <c r="T320" s="103" t="str">
        <f>IF(ISERROR(VLOOKUP($A320,'SegEnds_NonXtal_BW#'!$A:$Z,14,FALSE)+VLOOKUP($A320,A:AL,19,FALSE)-50),"-",(VLOOKUP($A320,'SegEnds_NonXtal_BW#'!$A:$Z,14,FALSE)+VLOOKUP($A320,A:AL,19,FALSE)-50))</f>
        <v>-</v>
      </c>
      <c r="U320" s="9">
        <f>IF(ISERROR(VLOOKUP($A320,'SegEnds_NonXtal_BW#'!$A:$Z,15,FALSE)+VLOOKUP($A320,A:AL,22,FALSE)-50),"-",VLOOKUP($A320,'SegEnds_NonXtal_BW#'!$A:$Z,15,FALSE)+VLOOKUP($A320,A:AL,22,FALSE)-50)</f>
        <v>154</v>
      </c>
      <c r="V320" s="3">
        <v>166</v>
      </c>
      <c r="W320" s="3">
        <f>IF(ISERROR(VLOOKUP($A320,'SegEnds_NonXtal_BW#'!$A:$Z,16,FALSE)+VLOOKUP($A320,A:AL,22,FALSE)-50),"-",(VLOOKUP($A320,'SegEnds_NonXtal_BW#'!$A:$Z,16,FALSE)+VLOOKUP($A320,A:AL,22,FALSE)-50))</f>
        <v>180</v>
      </c>
      <c r="X320" s="3">
        <f>IF(ISERROR(VLOOKUP($A320,'SegEnds_NonXtal_BW#'!$A:$Z,17,FALSE)+VLOOKUP($A320,A:AL,25,FALSE)-50),"-",(VLOOKUP($A320,'SegEnds_NonXtal_BW#'!$A:$Z,17,FALSE)+VLOOKUP($A320,A:AL,25,FALSE)-50))</f>
        <v>191</v>
      </c>
      <c r="Y320" s="3">
        <v>191</v>
      </c>
      <c r="Z320" s="3">
        <f t="shared" si="183"/>
        <v>193</v>
      </c>
      <c r="AA320" s="3">
        <f>IF(ISERROR(VLOOKUP($A320,'SegEnds_NonXtal_BW#'!$A:$Z,19,FALSE)+VLOOKUP($A320,A:AL,28,FALSE)-50),"-",(VLOOKUP($A320,'SegEnds_NonXtal_BW#'!$A:$Z,19,FALSE)+VLOOKUP($A320,A:AL,28,FALSE)-50))</f>
        <v>202</v>
      </c>
      <c r="AB320" s="3">
        <v>219</v>
      </c>
      <c r="AC320" s="3">
        <f>IF(ISERROR((VLOOKUP($A320,'SegEnds_NonXtal_BW#'!$A:$Z,20,FALSE)+VLOOKUP($A320,A:AL,28,FALSE)-50)),"-",(VLOOKUP($A320,'SegEnds_NonXtal_BW#'!$A:$Z,20,FALSE)+VLOOKUP($A320,A:AL,28,FALSE)-50))</f>
        <v>237</v>
      </c>
      <c r="AD320" s="3">
        <f>IF(ISERROR(VLOOKUP($A320,'SegEnds_NonXtal_BW#'!$A:$Z,21,FALSE)+VLOOKUP($A320,A:AL,31,FALSE)-50),"-",(VLOOKUP($A320,'SegEnds_NonXtal_BW#'!$A:$Z,21,FALSE)+VLOOKUP($A320,A:AL,31,FALSE)-50))</f>
        <v>242</v>
      </c>
      <c r="AE320" s="3">
        <v>262</v>
      </c>
      <c r="AF320" s="3">
        <f>IF(ISERROR((VLOOKUP($A320,'SegEnds_NonXtal_BW#'!$A:$Z,22,FALSE)+VLOOKUP($A320,A:AL,31,FALSE)-50)),"-",(VLOOKUP($A320,'SegEnds_NonXtal_BW#'!$A:$Z,22,FALSE)+VLOOKUP($A320,A:AL,31,FALSE)-50))</f>
        <v>277</v>
      </c>
      <c r="AG320" s="3">
        <f>IF(ISERROR(VLOOKUP($A320,'SegEnds_NonXtal_BW#'!$A:$Z,23,FALSE)+VLOOKUP($A320,A:AL,34,FALSE)-50),"-",(VLOOKUP($A320,'SegEnds_NonXtal_BW#'!$A:$Z,23,FALSE)+VLOOKUP($A320,A:AL,34,FALSE)-50))</f>
        <v>281</v>
      </c>
      <c r="AH320" s="3">
        <v>307</v>
      </c>
      <c r="AI320" s="3">
        <f>IF(ISERROR((VLOOKUP($A320,'SegEnds_NonXtal_BW#'!$A:$Z,24,FALSE)+VLOOKUP($A320,A:AL,34,FALSE)-50)),"-",(VLOOKUP($A320,'SegEnds_NonXtal_BW#'!$A:$Z,24,FALSE)+VLOOKUP($A320,A:AL,34,FALSE)-50))</f>
        <v>313</v>
      </c>
      <c r="AJ320" s="3">
        <f>IF(ISERROR(VLOOKUP($A320,'SegEnds_NonXtal_BW#'!$A:$Z,25,FALSE)+VLOOKUP($A320,A:AL,37,FALSE)-50),"-",(VLOOKUP($A320,'SegEnds_NonXtal_BW#'!$A:$Z,25,FALSE)+VLOOKUP($A320,A:AL,37,FALSE)-50))</f>
        <v>314</v>
      </c>
      <c r="AK320" s="3">
        <v>317</v>
      </c>
      <c r="AL320" s="3">
        <f>IF(ISERROR((VLOOKUP($A320,'SegEnds_NonXtal_BW#'!$A:$Z,26,FALSE)+VLOOKUP($A320,A:AL,37,FALSE)-50)),"-",(VLOOKUP($A320,'SegEnds_NonXtal_BW#'!$A:$Z,26,FALSE)+VLOOKUP($A320,A:AL,37,FALSE)-50))</f>
        <v>334</v>
      </c>
      <c r="AM320" s="28" t="str">
        <f>VLOOKUP(A320,Classification!A:B,2,FALSE)</f>
        <v>A</v>
      </c>
      <c r="AN320" s="28" t="b">
        <f t="shared" si="173"/>
        <v>1</v>
      </c>
      <c r="AO320" s="3" t="str">
        <f>IF(ISERROR(MATCH(A320,'SegEnds_Xtal_Prot#'!B:B, 0)), "NoXtal", "Xtal")</f>
        <v>NoXtal</v>
      </c>
      <c r="AP320" s="3">
        <f t="shared" si="153"/>
        <v>1</v>
      </c>
      <c r="AQ320" s="3">
        <f t="shared" si="154"/>
        <v>1</v>
      </c>
      <c r="AR320" s="3">
        <f t="shared" si="155"/>
        <v>1</v>
      </c>
      <c r="AS320" s="3">
        <f t="shared" si="156"/>
        <v>1</v>
      </c>
      <c r="AT320" s="3" t="str">
        <f t="shared" si="157"/>
        <v>-</v>
      </c>
      <c r="AU320" s="3" t="str">
        <f t="shared" si="158"/>
        <v>-</v>
      </c>
      <c r="AV320" s="3">
        <f t="shared" si="159"/>
        <v>11</v>
      </c>
      <c r="AW320" s="3">
        <f t="shared" si="160"/>
        <v>9</v>
      </c>
      <c r="AX320" s="3">
        <f t="shared" si="161"/>
        <v>5</v>
      </c>
      <c r="AY320" s="3">
        <f t="shared" si="162"/>
        <v>4</v>
      </c>
      <c r="AZ320" s="3">
        <f t="shared" si="163"/>
        <v>1</v>
      </c>
      <c r="BA320" s="3">
        <f>IF(ISERROR(LEN(VLOOKUP(A320,Seqs!A:E,2,FALSE))-AL320),"-",LEN(VLOOKUP(A320,Seqs!A:E,2,FALSE))-AL320)</f>
        <v>28</v>
      </c>
      <c r="BB320" s="16">
        <f t="shared" si="164"/>
        <v>29</v>
      </c>
      <c r="BC320" s="9" t="str">
        <f t="shared" si="165"/>
        <v>-</v>
      </c>
      <c r="BD320" s="3">
        <f t="shared" si="166"/>
        <v>29</v>
      </c>
      <c r="BE320" s="3">
        <f t="shared" si="167"/>
        <v>43</v>
      </c>
    </row>
    <row r="321" spans="1:58" s="3" customFormat="1" x14ac:dyDescent="0.2">
      <c r="A321" s="3" t="s">
        <v>417</v>
      </c>
      <c r="B321" s="3" t="str">
        <f>LOWER(VLOOKUP(A321,Xtal_Templ!A:B,2,FALSE))</f>
        <v>glp1r_human</v>
      </c>
      <c r="C321" s="3">
        <f>VLOOKUP($A321,'SegEnds_NonXtal_BW#'!$A:$Z,3,FALSE)+D321-50</f>
        <v>535</v>
      </c>
      <c r="D321" s="3">
        <v>562</v>
      </c>
      <c r="E321" s="3">
        <f>IF(ISERROR(VLOOKUP($A321,'SegEnds_NonXtal_BW#'!$A:$Z,4,FALSE)+VLOOKUP($A321,A:AL,4,FALSE)-50),"-",(VLOOKUP($A321,'SegEnds_NonXtal_BW#'!$A:$Z,4,FALSE)+VLOOKUP($A321,A:AL,4,FALSE)-50))</f>
        <v>572</v>
      </c>
      <c r="F321" s="3" t="s">
        <v>23</v>
      </c>
      <c r="G321" s="3" t="s">
        <v>23</v>
      </c>
      <c r="H321" s="3" t="s">
        <v>23</v>
      </c>
      <c r="I321" s="3">
        <f>VLOOKUP($A321,'SegEnds_NonXtal_BW#'!$A:$Z,7,FALSE)+J321-50</f>
        <v>577</v>
      </c>
      <c r="J321" s="3">
        <v>590</v>
      </c>
      <c r="K321" s="3">
        <f>VLOOKUP($A321,'SegEnds_NonXtal_BW#'!$A:$Z,8,FALSE)+VLOOKUP($A321,A:AL,10,FALSE)-50</f>
        <v>603</v>
      </c>
      <c r="L321" s="3" t="str">
        <f>IF(ISERROR(VLOOKUP($A321,'SegEnds_NonXtal_BW#'!$A:$Z,9,FALSE)+VLOOKUP($A321,A:AL,13,FALSE)-50),"-",(VLOOKUP($A321,'SegEnds_NonXtal_BW#'!$A:$Z,9,FALSE)+VLOOKUP($A321,A:AL,13,FALSE)-50))</f>
        <v>-</v>
      </c>
      <c r="M321" s="3" t="s">
        <v>23</v>
      </c>
      <c r="N321" s="3" t="str">
        <f>IF(ISERROR(VLOOKUP($A321,'SegEnds_NonXtal_BW#'!$A:$Z,10,FALSE)+VLOOKUP($A321,A:AL,13,FALSE)-50),"-",(VLOOKUP($A321,'SegEnds_NonXtal_BW#'!$A:$Z,10,FALSE)+VLOOKUP($A321,A:AL,13,FALSE)-50))</f>
        <v>-</v>
      </c>
      <c r="O321" s="3">
        <f>VLOOKUP($A321,'SegEnds_NonXtal_BW#'!$A:$Z,11,FALSE)+VLOOKUP($A321,A:AL,16,FALSE)-50</f>
        <v>610</v>
      </c>
      <c r="P321" s="3">
        <v>637</v>
      </c>
      <c r="Q321" s="3">
        <f>VLOOKUP($A321,'SegEnds_NonXtal_BW#'!$A:$Z,12,FALSE)+VLOOKUP($A321,A:AL,16,FALSE)-50</f>
        <v>643</v>
      </c>
      <c r="R321" s="3" t="str">
        <f>IF(ISERROR(VLOOKUP($A321,'SegEnds_NonXtal_BW#'!$A:$Z,13,FALSE)+VLOOKUP($A321,A:AL,19,FALSE)-50),"-",VLOOKUP($A321,'SegEnds_NonXtal_BW#'!$A:$Z,13,FALSE)+VLOOKUP($A321,A:AL,19,FALSE)-50)</f>
        <v>-</v>
      </c>
      <c r="S321" s="3" t="s">
        <v>23</v>
      </c>
      <c r="T321" s="103" t="str">
        <f>IF(ISERROR(VLOOKUP($A321,'SegEnds_NonXtal_BW#'!$A:$Z,14,FALSE)+VLOOKUP($A321,A:AL,19,FALSE)-50),"-",(VLOOKUP($A321,'SegEnds_NonXtal_BW#'!$A:$Z,14,FALSE)+VLOOKUP($A321,A:AL,19,FALSE)-50))</f>
        <v>-</v>
      </c>
      <c r="U321" s="9">
        <f>IF(ISERROR(VLOOKUP($A321,'SegEnds_NonXtal_BW#'!$A:$Z,15,FALSE)+VLOOKUP($A321,A:AL,22,FALSE)-50),"-",VLOOKUP($A321,'SegEnds_NonXtal_BW#'!$A:$Z,15,FALSE)+VLOOKUP($A321,A:AL,22,FALSE)-50)</f>
        <v>648</v>
      </c>
      <c r="V321" s="3">
        <v>660</v>
      </c>
      <c r="W321" s="3">
        <f>IF(ISERROR(VLOOKUP($A321,'SegEnds_NonXtal_BW#'!$A:$Z,16,FALSE)+VLOOKUP($A321,A:AL,22,FALSE)-50),"-",(VLOOKUP($A321,'SegEnds_NonXtal_BW#'!$A:$Z,16,FALSE)+VLOOKUP($A321,A:AL,22,FALSE)-50))</f>
        <v>678</v>
      </c>
      <c r="X321" s="3">
        <f>IF(ISERROR(VLOOKUP($A321,'SegEnds_NonXtal_BW#'!$A:$Z,17,FALSE)+VLOOKUP($A321,A:AL,25,FALSE)-50),"-",(VLOOKUP($A321,'SegEnds_NonXtal_BW#'!$A:$Z,17,FALSE)+VLOOKUP($A321,A:AL,25,FALSE)-50))</f>
        <v>684</v>
      </c>
      <c r="Y321" s="3">
        <v>684</v>
      </c>
      <c r="Z321" s="3">
        <f t="shared" si="183"/>
        <v>686</v>
      </c>
      <c r="AA321" s="3">
        <f>IF(ISERROR(VLOOKUP($A321,'SegEnds_NonXtal_BW#'!$A:$Z,19,FALSE)+VLOOKUP($A321,A:AL,28,FALSE)-50),"-",(VLOOKUP($A321,'SegEnds_NonXtal_BW#'!$A:$Z,19,FALSE)+VLOOKUP($A321,A:AL,28,FALSE)-50))</f>
        <v>689</v>
      </c>
      <c r="AB321" s="3">
        <v>703</v>
      </c>
      <c r="AC321" s="3">
        <f>IF(ISERROR((VLOOKUP($A321,'SegEnds_NonXtal_BW#'!$A:$Z,20,FALSE)+VLOOKUP($A321,A:AL,28,FALSE)-50)),"-",(VLOOKUP($A321,'SegEnds_NonXtal_BW#'!$A:$Z,20,FALSE)+VLOOKUP($A321,A:AL,28,FALSE)-50))</f>
        <v>722</v>
      </c>
      <c r="AD321" s="3">
        <f>IF(ISERROR(VLOOKUP($A321,'SegEnds_NonXtal_BW#'!$A:$Z,21,FALSE)+VLOOKUP($A321,A:AL,31,FALSE)-50),"-",(VLOOKUP($A321,'SegEnds_NonXtal_BW#'!$A:$Z,21,FALSE)+VLOOKUP($A321,A:AL,31,FALSE)-50))</f>
        <v>734</v>
      </c>
      <c r="AE321" s="3">
        <v>755</v>
      </c>
      <c r="AF321" s="3">
        <f>IF(ISERROR((VLOOKUP($A321,'SegEnds_NonXtal_BW#'!$A:$Z,22,FALSE)+VLOOKUP($A321,A:AL,31,FALSE)-50)),"-",(VLOOKUP($A321,'SegEnds_NonXtal_BW#'!$A:$Z,22,FALSE)+VLOOKUP($A321,A:AL,31,FALSE)-50))</f>
        <v>763</v>
      </c>
      <c r="AG321" s="3">
        <f>IF(ISERROR(VLOOKUP($A321,'SegEnds_NonXtal_BW#'!$A:$Z,23,FALSE)+VLOOKUP($A321,A:AL,34,FALSE)-50),"-",(VLOOKUP($A321,'SegEnds_NonXtal_BW#'!$A:$Z,23,FALSE)+VLOOKUP($A321,A:AL,34,FALSE)-50))</f>
        <v>764</v>
      </c>
      <c r="AH321" s="3">
        <v>783</v>
      </c>
      <c r="AI321" s="3">
        <f>IF(ISERROR((VLOOKUP($A321,'SegEnds_NonXtal_BW#'!$A:$Z,24,FALSE)+VLOOKUP($A321,A:AL,34,FALSE)-50)),"-",(VLOOKUP($A321,'SegEnds_NonXtal_BW#'!$A:$Z,24,FALSE)+VLOOKUP($A321,A:AL,34,FALSE)-50))</f>
        <v>789</v>
      </c>
      <c r="AJ321" s="3">
        <f>IF(ISERROR(VLOOKUP($A321,'SegEnds_NonXtal_BW#'!$A:$Z,25,FALSE)+VLOOKUP($A321,A:AL,37,FALSE)-50),"-",(VLOOKUP($A321,'SegEnds_NonXtal_BW#'!$A:$Z,25,FALSE)+VLOOKUP($A321,A:AL,37,FALSE)-50))</f>
        <v>790</v>
      </c>
      <c r="AK321" s="3">
        <v>793</v>
      </c>
      <c r="AL321" s="3">
        <f>IF(ISERROR((VLOOKUP($A321,'SegEnds_NonXtal_BW#'!$A:$Z,26,FALSE)+VLOOKUP($A321,A:AL,37,FALSE)-50)),"-",(VLOOKUP($A321,'SegEnds_NonXtal_BW#'!$A:$Z,26,FALSE)+VLOOKUP($A321,A:AL,37,FALSE)-50))</f>
        <v>806</v>
      </c>
      <c r="AM321" s="28" t="str">
        <f>VLOOKUP(A321,Classification!A:B,2,FALSE)</f>
        <v>B2</v>
      </c>
      <c r="AN321" s="28" t="b">
        <f t="shared" si="173"/>
        <v>1</v>
      </c>
      <c r="AO321" s="3" t="str">
        <f>IF(ISERROR(MATCH(A321,'SegEnds_Xtal_Prot#'!B:B, 0)), "NoXtal", "Xtal")</f>
        <v>NoXtal</v>
      </c>
      <c r="AP321" s="3" t="str">
        <f t="shared" si="153"/>
        <v>-</v>
      </c>
      <c r="AQ321" s="3" t="str">
        <f t="shared" si="154"/>
        <v>-</v>
      </c>
      <c r="AR321" s="3" t="str">
        <f t="shared" si="155"/>
        <v>-</v>
      </c>
      <c r="AS321" s="3" t="str">
        <f t="shared" si="156"/>
        <v>-</v>
      </c>
      <c r="AT321" s="3" t="str">
        <f t="shared" si="157"/>
        <v>-</v>
      </c>
      <c r="AU321" s="3" t="str">
        <f t="shared" si="158"/>
        <v>-</v>
      </c>
      <c r="AV321" s="3">
        <f t="shared" si="159"/>
        <v>6</v>
      </c>
      <c r="AW321" s="3">
        <f t="shared" si="160"/>
        <v>3</v>
      </c>
      <c r="AX321" s="3">
        <f t="shared" si="161"/>
        <v>12</v>
      </c>
      <c r="AY321" s="3">
        <f t="shared" si="162"/>
        <v>1</v>
      </c>
      <c r="AZ321" s="3">
        <f t="shared" si="163"/>
        <v>1</v>
      </c>
      <c r="BA321" s="3">
        <f>IF(ISERROR(LEN(VLOOKUP(A321,Seqs!A:E,2,FALSE))-AL321),"-",LEN(VLOOKUP(A321,Seqs!A:E,2,FALSE))-AL321)</f>
        <v>29</v>
      </c>
      <c r="BB321" s="16">
        <f t="shared" si="164"/>
        <v>28</v>
      </c>
      <c r="BC321" s="9" t="str">
        <f t="shared" si="165"/>
        <v>-</v>
      </c>
      <c r="BD321" s="3">
        <f t="shared" si="166"/>
        <v>28</v>
      </c>
      <c r="BE321" s="3">
        <f t="shared" si="167"/>
        <v>52</v>
      </c>
      <c r="BF321" s="3">
        <f>AH321-AE321</f>
        <v>28</v>
      </c>
    </row>
    <row r="322" spans="1:58" s="3" customFormat="1" x14ac:dyDescent="0.2">
      <c r="A322" s="3" t="s">
        <v>418</v>
      </c>
      <c r="B322" s="3" t="str">
        <f>LOWER(VLOOKUP(A322,Xtal_Templ!A:B,2,FALSE))</f>
        <v>calcr_human</v>
      </c>
      <c r="C322" s="3">
        <f>VLOOKUP($A322,'SegEnds_NonXtal_BW#'!$A:$Z,3,FALSE)+D322-50</f>
        <v>2456</v>
      </c>
      <c r="D322" s="3">
        <v>2483</v>
      </c>
      <c r="E322" s="3">
        <f>IF(ISERROR(VLOOKUP($A322,'SegEnds_NonXtal_BW#'!$A:$Z,4,FALSE)+VLOOKUP($A322,A:AL,4,FALSE)-50),"-",(VLOOKUP($A322,'SegEnds_NonXtal_BW#'!$A:$Z,4,FALSE)+VLOOKUP($A322,A:AL,4,FALSE)-50))</f>
        <v>2493</v>
      </c>
      <c r="F322" s="3">
        <f>G322-2</f>
        <v>2494</v>
      </c>
      <c r="G322" s="3">
        <v>2496</v>
      </c>
      <c r="H322" s="3">
        <f t="shared" ref="H322:I336" si="184">G322+1</f>
        <v>2497</v>
      </c>
      <c r="I322" s="3">
        <f t="shared" si="184"/>
        <v>2498</v>
      </c>
      <c r="J322" s="3">
        <v>2511</v>
      </c>
      <c r="K322" s="3">
        <f>VLOOKUP($A322,'SegEnds_NonXtal_BW#'!$A:$Z,8,FALSE)+VLOOKUP($A322,A:AL,10,FALSE)-50</f>
        <v>2524</v>
      </c>
      <c r="L322" s="3" t="str">
        <f>IF(ISERROR(VLOOKUP($A322,'SegEnds_NonXtal_BW#'!$A:$Z,9,FALSE)+VLOOKUP($A322,A:AL,13,FALSE)-50),"-",(VLOOKUP($A322,'SegEnds_NonXtal_BW#'!$A:$Z,9,FALSE)+VLOOKUP($A322,A:AL,13,FALSE)-50))</f>
        <v>-</v>
      </c>
      <c r="M322" s="3" t="s">
        <v>23</v>
      </c>
      <c r="N322" s="3" t="str">
        <f>IF(ISERROR(VLOOKUP($A322,'SegEnds_NonXtal_BW#'!$A:$Z,10,FALSE)+VLOOKUP($A322,A:AL,13,FALSE)-50),"-",(VLOOKUP($A322,'SegEnds_NonXtal_BW#'!$A:$Z,10,FALSE)+VLOOKUP($A322,A:AL,13,FALSE)-50))</f>
        <v>-</v>
      </c>
      <c r="O322" s="3">
        <f>VLOOKUP($A322,'SegEnds_NonXtal_BW#'!$A:$Z,11,FALSE)+VLOOKUP($A322,A:AL,16,FALSE)-50</f>
        <v>2529</v>
      </c>
      <c r="P322" s="3">
        <v>2556</v>
      </c>
      <c r="Q322" s="3">
        <f>VLOOKUP($A322,'SegEnds_NonXtal_BW#'!$A:$Z,12,FALSE)+VLOOKUP($A322,A:AL,16,FALSE)-50</f>
        <v>2562</v>
      </c>
      <c r="R322" s="3" t="str">
        <f>IF(ISERROR(VLOOKUP($A322,'SegEnds_NonXtal_BW#'!$A:$Z,13,FALSE)+VLOOKUP($A322,A:AL,19,FALSE)-50),"-",VLOOKUP($A322,'SegEnds_NonXtal_BW#'!$A:$Z,13,FALSE)+VLOOKUP($A322,A:AL,19,FALSE)-50)</f>
        <v>-</v>
      </c>
      <c r="S322" s="3" t="s">
        <v>23</v>
      </c>
      <c r="T322" s="103" t="str">
        <f>IF(ISERROR(VLOOKUP($A322,'SegEnds_NonXtal_BW#'!$A:$Z,14,FALSE)+VLOOKUP($A322,A:AL,19,FALSE)-50),"-",(VLOOKUP($A322,'SegEnds_NonXtal_BW#'!$A:$Z,14,FALSE)+VLOOKUP($A322,A:AL,19,FALSE)-50))</f>
        <v>-</v>
      </c>
      <c r="U322" s="9">
        <f>IF(ISERROR(VLOOKUP($A322,'SegEnds_NonXtal_BW#'!$A:$Z,15,FALSE)+VLOOKUP($A322,A:AL,22,FALSE)-50),"-",VLOOKUP($A322,'SegEnds_NonXtal_BW#'!$A:$Z,15,FALSE)+VLOOKUP($A322,A:AL,22,FALSE)-50)</f>
        <v>2570</v>
      </c>
      <c r="V322" s="3">
        <v>2579</v>
      </c>
      <c r="W322" s="3">
        <f>IF(ISERROR(VLOOKUP($A322,'SegEnds_NonXtal_BW#'!$A:$Z,16,FALSE)+VLOOKUP($A322,A:AL,22,FALSE)-50),"-",(VLOOKUP($A322,'SegEnds_NonXtal_BW#'!$A:$Z,16,FALSE)+VLOOKUP($A322,A:AL,22,FALSE)-50))</f>
        <v>2597</v>
      </c>
      <c r="X322" s="3">
        <f>IF(ISERROR(VLOOKUP($A322,'SegEnds_NonXtal_BW#'!$A:$Z,17,FALSE)+VLOOKUP($A322,A:AL,25,FALSE)-50),"-",(VLOOKUP($A322,'SegEnds_NonXtal_BW#'!$A:$Z,17,FALSE)+VLOOKUP($A322,A:AL,25,FALSE)-50))</f>
        <v>2603</v>
      </c>
      <c r="Y322" s="3">
        <v>2603</v>
      </c>
      <c r="Z322" s="3">
        <f t="shared" si="183"/>
        <v>2605</v>
      </c>
      <c r="AA322" s="3">
        <f>IF(ISERROR(VLOOKUP($A322,'SegEnds_NonXtal_BW#'!$A:$Z,19,FALSE)+VLOOKUP($A322,A:AL,28,FALSE)-50),"-",(VLOOKUP($A322,'SegEnds_NonXtal_BW#'!$A:$Z,19,FALSE)+VLOOKUP($A322,A:AL,28,FALSE)-50))</f>
        <v>2608</v>
      </c>
      <c r="AB322" s="3">
        <v>2622</v>
      </c>
      <c r="AC322" s="3">
        <f>IF(ISERROR((VLOOKUP($A322,'SegEnds_NonXtal_BW#'!$A:$Z,20,FALSE)+VLOOKUP($A322,A:AL,28,FALSE)-50)),"-",(VLOOKUP($A322,'SegEnds_NonXtal_BW#'!$A:$Z,20,FALSE)+VLOOKUP($A322,A:AL,28,FALSE)-50))</f>
        <v>2641</v>
      </c>
      <c r="AD322" s="3">
        <f>IF(ISERROR(VLOOKUP($A322,'SegEnds_NonXtal_BW#'!$A:$Z,21,FALSE)+VLOOKUP($A322,A:AL,31,FALSE)-50),"-",(VLOOKUP($A322,'SegEnds_NonXtal_BW#'!$A:$Z,21,FALSE)+VLOOKUP($A322,A:AL,31,FALSE)-50))</f>
        <v>2649</v>
      </c>
      <c r="AE322" s="3">
        <v>2670</v>
      </c>
      <c r="AF322" s="3">
        <f>IF(ISERROR((VLOOKUP($A322,'SegEnds_NonXtal_BW#'!$A:$Z,22,FALSE)+VLOOKUP($A322,A:AL,31,FALSE)-50)),"-",(VLOOKUP($A322,'SegEnds_NonXtal_BW#'!$A:$Z,22,FALSE)+VLOOKUP($A322,A:AL,31,FALSE)-50))</f>
        <v>2673</v>
      </c>
      <c r="AG322" s="3">
        <f>IF(ISERROR(VLOOKUP($A322,'SegEnds_NonXtal_BW#'!$A:$Z,23,FALSE)+VLOOKUP($A322,A:AL,34,FALSE)-50),"-",(VLOOKUP($A322,'SegEnds_NonXtal_BW#'!$A:$Z,23,FALSE)+VLOOKUP($A322,A:AL,34,FALSE)-50))</f>
        <v>2679</v>
      </c>
      <c r="AH322" s="3">
        <v>2698</v>
      </c>
      <c r="AI322" s="3">
        <f>IF(ISERROR((VLOOKUP($A322,'SegEnds_NonXtal_BW#'!$A:$Z,24,FALSE)+VLOOKUP($A322,A:AL,34,FALSE)-50)),"-",(VLOOKUP($A322,'SegEnds_NonXtal_BW#'!$A:$Z,24,FALSE)+VLOOKUP($A322,A:AL,34,FALSE)-50))</f>
        <v>2704</v>
      </c>
      <c r="AJ322" s="3">
        <f>IF(ISERROR(VLOOKUP($A322,'SegEnds_NonXtal_BW#'!$A:$Z,25,FALSE)+VLOOKUP($A322,A:AL,37,FALSE)-50),"-",(VLOOKUP($A322,'SegEnds_NonXtal_BW#'!$A:$Z,25,FALSE)+VLOOKUP($A322,A:AL,37,FALSE)-50))</f>
        <v>2705</v>
      </c>
      <c r="AK322" s="3">
        <v>2708</v>
      </c>
      <c r="AL322" s="3">
        <f>IF(ISERROR((VLOOKUP($A322,'SegEnds_NonXtal_BW#'!$A:$Z,26,FALSE)+VLOOKUP($A322,A:AL,37,FALSE)-50)),"-",(VLOOKUP($A322,'SegEnds_NonXtal_BW#'!$A:$Z,26,FALSE)+VLOOKUP($A322,A:AL,37,FALSE)-50))</f>
        <v>2721</v>
      </c>
      <c r="AM322" s="28" t="str">
        <f>VLOOKUP(A322,Classification!A:B,2,FALSE)</f>
        <v>B2</v>
      </c>
      <c r="AN322" s="28" t="b">
        <f t="shared" si="173"/>
        <v>1</v>
      </c>
      <c r="AO322" s="3" t="str">
        <f>IF(ISERROR(MATCH(A322,'SegEnds_Xtal_Prot#'!B:B, 0)), "NoXtal", "Xtal")</f>
        <v>NoXtal</v>
      </c>
      <c r="AP322" s="3">
        <f t="shared" ref="AP322:AP385" si="185">IF(ISERROR(F322-E322),"-",F322-E322)</f>
        <v>1</v>
      </c>
      <c r="AQ322" s="3">
        <f t="shared" ref="AQ322:AQ385" si="186">IF(ISERROR(I322-H322),"-",I322-H322)</f>
        <v>1</v>
      </c>
      <c r="AR322" s="3" t="str">
        <f t="shared" ref="AR322:AR385" si="187">IF(ISERROR(L322-K322),"-",L322-K322)</f>
        <v>-</v>
      </c>
      <c r="AS322" s="3" t="str">
        <f t="shared" ref="AS322:AS385" si="188">IF(ISERROR(O322-N322),"-",O322-N322)</f>
        <v>-</v>
      </c>
      <c r="AT322" s="3" t="str">
        <f t="shared" ref="AT322:AT385" si="189">IF(ISERROR(R322-Q322),"-",R322-Q322)</f>
        <v>-</v>
      </c>
      <c r="AU322" s="3" t="str">
        <f t="shared" ref="AU322:AU385" si="190">IF(ISERROR(U322-T322),"-",U322-T322)</f>
        <v>-</v>
      </c>
      <c r="AV322" s="3">
        <f t="shared" ref="AV322:AV385" si="191">IF(ISERROR(X322-W322),"-",X322-W322)</f>
        <v>6</v>
      </c>
      <c r="AW322" s="3">
        <f t="shared" ref="AW322:AW385" si="192">IF(ISERROR(AA322-Z322),"-",AA322-Z322)</f>
        <v>3</v>
      </c>
      <c r="AX322" s="3">
        <f t="shared" ref="AX322:AX385" si="193">IF(ISERROR(AD322-AC322),"-",AD322-AC322)</f>
        <v>8</v>
      </c>
      <c r="AY322" s="3">
        <f t="shared" ref="AY322:AY385" si="194">IF(ISERROR(AG322-AF322),"-",AG322-AF322)</f>
        <v>6</v>
      </c>
      <c r="AZ322" s="3">
        <f t="shared" ref="AZ322:AZ385" si="195">IF(ISERROR(AJ322-AI322),"-",AJ322-AI322)</f>
        <v>1</v>
      </c>
      <c r="BA322" s="3">
        <f>IF(ISERROR(LEN(VLOOKUP(A322,Seqs!A:E,2,FALSE))-AL322),"-",LEN(VLOOKUP(A322,Seqs!A:E,2,FALSE))-AL322)</f>
        <v>293</v>
      </c>
      <c r="BB322" s="16">
        <f t="shared" ref="BB322:BB385" si="196">J322-D322</f>
        <v>28</v>
      </c>
      <c r="BC322" s="9" t="str">
        <f t="shared" ref="BC322:BC385" si="197">IF(ISERROR(V322-S322),"-",V322-S322)</f>
        <v>-</v>
      </c>
      <c r="BD322" s="3">
        <f t="shared" ref="BD322:BD385" si="198">J322-D322</f>
        <v>28</v>
      </c>
      <c r="BE322" s="3">
        <f t="shared" ref="BE322:BE385" si="199">AE322-AB322</f>
        <v>48</v>
      </c>
    </row>
    <row r="323" spans="1:58" s="3" customFormat="1" x14ac:dyDescent="0.2">
      <c r="A323" s="3" t="s">
        <v>419</v>
      </c>
      <c r="B323" s="3" t="str">
        <f>LOWER(VLOOKUP(A323,Xtal_Templ!A:B,2,FALSE))</f>
        <v>calcr_human</v>
      </c>
      <c r="C323" s="3">
        <f>VLOOKUP($A323,'SegEnds_NonXtal_BW#'!$A:$Z,3,FALSE)+D323-50</f>
        <v>2364</v>
      </c>
      <c r="D323" s="3">
        <v>2391</v>
      </c>
      <c r="E323" s="3">
        <f>IF(ISERROR(VLOOKUP($A323,'SegEnds_NonXtal_BW#'!$A:$Z,4,FALSE)+VLOOKUP($A323,A:AL,4,FALSE)-50),"-",(VLOOKUP($A323,'SegEnds_NonXtal_BW#'!$A:$Z,4,FALSE)+VLOOKUP($A323,A:AL,4,FALSE)-50))</f>
        <v>2401</v>
      </c>
      <c r="F323" s="3">
        <f>G323-2</f>
        <v>2402</v>
      </c>
      <c r="G323" s="3">
        <v>2404</v>
      </c>
      <c r="H323" s="3">
        <f t="shared" si="184"/>
        <v>2405</v>
      </c>
      <c r="I323" s="3">
        <f t="shared" si="184"/>
        <v>2406</v>
      </c>
      <c r="J323" s="3">
        <v>2419</v>
      </c>
      <c r="K323" s="3">
        <f>VLOOKUP($A323,'SegEnds_NonXtal_BW#'!$A:$Z,8,FALSE)+VLOOKUP($A323,A:AL,10,FALSE)-50</f>
        <v>2432</v>
      </c>
      <c r="L323" s="3" t="str">
        <f>IF(ISERROR(VLOOKUP($A323,'SegEnds_NonXtal_BW#'!$A:$Z,9,FALSE)+VLOOKUP($A323,A:AL,13,FALSE)-50),"-",(VLOOKUP($A323,'SegEnds_NonXtal_BW#'!$A:$Z,9,FALSE)+VLOOKUP($A323,A:AL,13,FALSE)-50))</f>
        <v>-</v>
      </c>
      <c r="M323" s="3" t="s">
        <v>23</v>
      </c>
      <c r="N323" s="3" t="str">
        <f>IF(ISERROR(VLOOKUP($A323,'SegEnds_NonXtal_BW#'!$A:$Z,10,FALSE)+VLOOKUP($A323,A:AL,13,FALSE)-50),"-",(VLOOKUP($A323,'SegEnds_NonXtal_BW#'!$A:$Z,10,FALSE)+VLOOKUP($A323,A:AL,13,FALSE)-50))</f>
        <v>-</v>
      </c>
      <c r="O323" s="3">
        <f>VLOOKUP($A323,'SegEnds_NonXtal_BW#'!$A:$Z,11,FALSE)+VLOOKUP($A323,A:AL,16,FALSE)-50</f>
        <v>2437</v>
      </c>
      <c r="P323" s="3">
        <v>2464</v>
      </c>
      <c r="Q323" s="3">
        <f>VLOOKUP($A323,'SegEnds_NonXtal_BW#'!$A:$Z,12,FALSE)+VLOOKUP($A323,A:AL,16,FALSE)-50</f>
        <v>2470</v>
      </c>
      <c r="R323" s="3" t="str">
        <f>IF(ISERROR(VLOOKUP($A323,'SegEnds_NonXtal_BW#'!$A:$Z,13,FALSE)+VLOOKUP($A323,A:AL,19,FALSE)-50),"-",VLOOKUP($A323,'SegEnds_NonXtal_BW#'!$A:$Z,13,FALSE)+VLOOKUP($A323,A:AL,19,FALSE)-50)</f>
        <v>-</v>
      </c>
      <c r="S323" s="3" t="s">
        <v>23</v>
      </c>
      <c r="T323" s="103" t="str">
        <f>IF(ISERROR(VLOOKUP($A323,'SegEnds_NonXtal_BW#'!$A:$Z,14,FALSE)+VLOOKUP($A323,A:AL,19,FALSE)-50),"-",(VLOOKUP($A323,'SegEnds_NonXtal_BW#'!$A:$Z,14,FALSE)+VLOOKUP($A323,A:AL,19,FALSE)-50))</f>
        <v>-</v>
      </c>
      <c r="U323" s="9">
        <f>IF(ISERROR(VLOOKUP($A323,'SegEnds_NonXtal_BW#'!$A:$Z,15,FALSE)+VLOOKUP($A323,A:AL,22,FALSE)-50),"-",VLOOKUP($A323,'SegEnds_NonXtal_BW#'!$A:$Z,15,FALSE)+VLOOKUP($A323,A:AL,22,FALSE)-50)</f>
        <v>2478</v>
      </c>
      <c r="V323" s="3">
        <v>2487</v>
      </c>
      <c r="W323" s="3">
        <f>IF(ISERROR(VLOOKUP($A323,'SegEnds_NonXtal_BW#'!$A:$Z,16,FALSE)+VLOOKUP($A323,A:AL,22,FALSE)-50),"-",(VLOOKUP($A323,'SegEnds_NonXtal_BW#'!$A:$Z,16,FALSE)+VLOOKUP($A323,A:AL,22,FALSE)-50))</f>
        <v>2505</v>
      </c>
      <c r="X323" s="3">
        <f>IF(ISERROR(VLOOKUP($A323,'SegEnds_NonXtal_BW#'!$A:$Z,17,FALSE)+VLOOKUP($A323,A:AL,25,FALSE)-50),"-",(VLOOKUP($A323,'SegEnds_NonXtal_BW#'!$A:$Z,17,FALSE)+VLOOKUP($A323,A:AL,25,FALSE)-50))</f>
        <v>2511</v>
      </c>
      <c r="Y323" s="3">
        <v>2511</v>
      </c>
      <c r="Z323" s="3">
        <f t="shared" si="183"/>
        <v>2513</v>
      </c>
      <c r="AA323" s="3">
        <f>IF(ISERROR(VLOOKUP($A323,'SegEnds_NonXtal_BW#'!$A:$Z,19,FALSE)+VLOOKUP($A323,A:AL,28,FALSE)-50),"-",(VLOOKUP($A323,'SegEnds_NonXtal_BW#'!$A:$Z,19,FALSE)+VLOOKUP($A323,A:AL,28,FALSE)-50))</f>
        <v>2516</v>
      </c>
      <c r="AB323" s="3">
        <v>2530</v>
      </c>
      <c r="AC323" s="3">
        <f>IF(ISERROR((VLOOKUP($A323,'SegEnds_NonXtal_BW#'!$A:$Z,20,FALSE)+VLOOKUP($A323,A:AL,28,FALSE)-50)),"-",(VLOOKUP($A323,'SegEnds_NonXtal_BW#'!$A:$Z,20,FALSE)+VLOOKUP($A323,A:AL,28,FALSE)-50))</f>
        <v>2549</v>
      </c>
      <c r="AD323" s="3">
        <f>IF(ISERROR(VLOOKUP($A323,'SegEnds_NonXtal_BW#'!$A:$Z,21,FALSE)+VLOOKUP($A323,A:AL,31,FALSE)-50),"-",(VLOOKUP($A323,'SegEnds_NonXtal_BW#'!$A:$Z,21,FALSE)+VLOOKUP($A323,A:AL,31,FALSE)-50))</f>
        <v>2557</v>
      </c>
      <c r="AE323" s="3">
        <v>2578</v>
      </c>
      <c r="AF323" s="3">
        <f>IF(ISERROR((VLOOKUP($A323,'SegEnds_NonXtal_BW#'!$A:$Z,22,FALSE)+VLOOKUP($A323,A:AL,31,FALSE)-50)),"-",(VLOOKUP($A323,'SegEnds_NonXtal_BW#'!$A:$Z,22,FALSE)+VLOOKUP($A323,A:AL,31,FALSE)-50))</f>
        <v>2581</v>
      </c>
      <c r="AG323" s="3">
        <f>IF(ISERROR(VLOOKUP($A323,'SegEnds_NonXtal_BW#'!$A:$Z,23,FALSE)+VLOOKUP($A323,A:AL,34,FALSE)-50),"-",(VLOOKUP($A323,'SegEnds_NonXtal_BW#'!$A:$Z,23,FALSE)+VLOOKUP($A323,A:AL,34,FALSE)-50))</f>
        <v>2587</v>
      </c>
      <c r="AH323" s="3">
        <v>2606</v>
      </c>
      <c r="AI323" s="3">
        <f>IF(ISERROR((VLOOKUP($A323,'SegEnds_NonXtal_BW#'!$A:$Z,24,FALSE)+VLOOKUP($A323,A:AL,34,FALSE)-50)),"-",(VLOOKUP($A323,'SegEnds_NonXtal_BW#'!$A:$Z,24,FALSE)+VLOOKUP($A323,A:AL,34,FALSE)-50))</f>
        <v>2612</v>
      </c>
      <c r="AJ323" s="3">
        <f>IF(ISERROR(VLOOKUP($A323,'SegEnds_NonXtal_BW#'!$A:$Z,25,FALSE)+VLOOKUP($A323,A:AL,37,FALSE)-50),"-",(VLOOKUP($A323,'SegEnds_NonXtal_BW#'!$A:$Z,25,FALSE)+VLOOKUP($A323,A:AL,37,FALSE)-50))</f>
        <v>2613</v>
      </c>
      <c r="AK323" s="3">
        <v>2616</v>
      </c>
      <c r="AL323" s="3">
        <f>IF(ISERROR((VLOOKUP($A323,'SegEnds_NonXtal_BW#'!$A:$Z,26,FALSE)+VLOOKUP($A323,A:AL,37,FALSE)-50)),"-",(VLOOKUP($A323,'SegEnds_NonXtal_BW#'!$A:$Z,26,FALSE)+VLOOKUP($A323,A:AL,37,FALSE)-50))</f>
        <v>2629</v>
      </c>
      <c r="AM323" s="28" t="str">
        <f>VLOOKUP(A323,Classification!A:B,2,FALSE)</f>
        <v>B2</v>
      </c>
      <c r="AN323" s="28" t="b">
        <f t="shared" si="173"/>
        <v>1</v>
      </c>
      <c r="AO323" s="3" t="str">
        <f>IF(ISERROR(MATCH(A323,'SegEnds_Xtal_Prot#'!B:B, 0)), "NoXtal", "Xtal")</f>
        <v>NoXtal</v>
      </c>
      <c r="AP323" s="3">
        <f t="shared" si="185"/>
        <v>1</v>
      </c>
      <c r="AQ323" s="3">
        <f t="shared" si="186"/>
        <v>1</v>
      </c>
      <c r="AR323" s="3" t="str">
        <f t="shared" si="187"/>
        <v>-</v>
      </c>
      <c r="AS323" s="3" t="str">
        <f t="shared" si="188"/>
        <v>-</v>
      </c>
      <c r="AT323" s="3" t="str">
        <f t="shared" si="189"/>
        <v>-</v>
      </c>
      <c r="AU323" s="3" t="str">
        <f t="shared" si="190"/>
        <v>-</v>
      </c>
      <c r="AV323" s="3">
        <f t="shared" si="191"/>
        <v>6</v>
      </c>
      <c r="AW323" s="3">
        <f t="shared" si="192"/>
        <v>3</v>
      </c>
      <c r="AX323" s="3">
        <f t="shared" si="193"/>
        <v>8</v>
      </c>
      <c r="AY323" s="3">
        <f t="shared" si="194"/>
        <v>6</v>
      </c>
      <c r="AZ323" s="3">
        <f t="shared" si="195"/>
        <v>1</v>
      </c>
      <c r="BA323" s="3">
        <f>IF(ISERROR(LEN(VLOOKUP(A323,Seqs!A:E,2,FALSE))-AL323),"-",LEN(VLOOKUP(A323,Seqs!A:E,2,FALSE))-AL323)</f>
        <v>294</v>
      </c>
      <c r="BB323" s="16">
        <f t="shared" si="196"/>
        <v>28</v>
      </c>
      <c r="BC323" s="9" t="str">
        <f t="shared" si="197"/>
        <v>-</v>
      </c>
      <c r="BD323" s="3">
        <f t="shared" si="198"/>
        <v>28</v>
      </c>
      <c r="BE323" s="3">
        <f t="shared" si="199"/>
        <v>48</v>
      </c>
    </row>
    <row r="324" spans="1:58" s="3" customFormat="1" x14ac:dyDescent="0.2">
      <c r="A324" s="3" t="s">
        <v>420</v>
      </c>
      <c r="B324" s="3" t="str">
        <f>LOWER(VLOOKUP(A324,Xtal_Templ!A:B,2,FALSE))</f>
        <v>crfr1_human</v>
      </c>
      <c r="C324" s="3">
        <f>VLOOKUP($A324,'SegEnds_NonXtal_BW#'!$A:$Z,3,FALSE)+D324-50</f>
        <v>2527</v>
      </c>
      <c r="D324" s="3">
        <v>2554</v>
      </c>
      <c r="E324" s="3">
        <f>IF(ISERROR(VLOOKUP($A324,'SegEnds_NonXtal_BW#'!$A:$Z,4,FALSE)+VLOOKUP($A324,A:AL,4,FALSE)-50),"-",(VLOOKUP($A324,'SegEnds_NonXtal_BW#'!$A:$Z,4,FALSE)+VLOOKUP($A324,A:AL,4,FALSE)-50))</f>
        <v>2564</v>
      </c>
      <c r="F324" s="3">
        <f>G324-2</f>
        <v>2565</v>
      </c>
      <c r="G324" s="3">
        <v>2567</v>
      </c>
      <c r="H324" s="3">
        <f t="shared" si="184"/>
        <v>2568</v>
      </c>
      <c r="I324" s="3">
        <f t="shared" si="184"/>
        <v>2569</v>
      </c>
      <c r="J324" s="3">
        <v>2582</v>
      </c>
      <c r="K324" s="3">
        <f>VLOOKUP($A324,'SegEnds_NonXtal_BW#'!$A:$Z,8,FALSE)+VLOOKUP($A324,A:AL,10,FALSE)-50</f>
        <v>2595</v>
      </c>
      <c r="L324" s="3" t="str">
        <f>IF(ISERROR(VLOOKUP($A324,'SegEnds_NonXtal_BW#'!$A:$Z,9,FALSE)+VLOOKUP($A324,A:AL,13,FALSE)-50),"-",(VLOOKUP($A324,'SegEnds_NonXtal_BW#'!$A:$Z,9,FALSE)+VLOOKUP($A324,A:AL,13,FALSE)-50))</f>
        <v>-</v>
      </c>
      <c r="M324" s="3" t="s">
        <v>23</v>
      </c>
      <c r="N324" s="3" t="str">
        <f>IF(ISERROR(VLOOKUP($A324,'SegEnds_NonXtal_BW#'!$A:$Z,10,FALSE)+VLOOKUP($A324,A:AL,13,FALSE)-50),"-",(VLOOKUP($A324,'SegEnds_NonXtal_BW#'!$A:$Z,10,FALSE)+VLOOKUP($A324,A:AL,13,FALSE)-50))</f>
        <v>-</v>
      </c>
      <c r="O324" s="3">
        <f>VLOOKUP($A324,'SegEnds_NonXtal_BW#'!$A:$Z,11,FALSE)+VLOOKUP($A324,A:AL,16,FALSE)-50</f>
        <v>2600</v>
      </c>
      <c r="P324" s="3">
        <v>2627</v>
      </c>
      <c r="Q324" s="3">
        <f>VLOOKUP($A324,'SegEnds_NonXtal_BW#'!$A:$Z,12,FALSE)+VLOOKUP($A324,A:AL,16,FALSE)-50</f>
        <v>2633</v>
      </c>
      <c r="R324" s="3" t="str">
        <f>IF(ISERROR(VLOOKUP($A324,'SegEnds_NonXtal_BW#'!$A:$Z,13,FALSE)+VLOOKUP($A324,A:AL,19,FALSE)-50),"-",VLOOKUP($A324,'SegEnds_NonXtal_BW#'!$A:$Z,13,FALSE)+VLOOKUP($A324,A:AL,19,FALSE)-50)</f>
        <v>-</v>
      </c>
      <c r="S324" s="3" t="s">
        <v>23</v>
      </c>
      <c r="T324" s="103" t="str">
        <f>IF(ISERROR(VLOOKUP($A324,'SegEnds_NonXtal_BW#'!$A:$Z,14,FALSE)+VLOOKUP($A324,A:AL,19,FALSE)-50),"-",(VLOOKUP($A324,'SegEnds_NonXtal_BW#'!$A:$Z,14,FALSE)+VLOOKUP($A324,A:AL,19,FALSE)-50))</f>
        <v>-</v>
      </c>
      <c r="U324" s="9">
        <f>IF(ISERROR(VLOOKUP($A324,'SegEnds_NonXtal_BW#'!$A:$Z,15,FALSE)+VLOOKUP($A324,A:AL,22,FALSE)-50),"-",VLOOKUP($A324,'SegEnds_NonXtal_BW#'!$A:$Z,15,FALSE)+VLOOKUP($A324,A:AL,22,FALSE)-50)</f>
        <v>2640</v>
      </c>
      <c r="V324" s="3">
        <v>2650</v>
      </c>
      <c r="W324" s="3">
        <f>IF(ISERROR(VLOOKUP($A324,'SegEnds_NonXtal_BW#'!$A:$Z,16,FALSE)+VLOOKUP($A324,A:AL,22,FALSE)-50),"-",(VLOOKUP($A324,'SegEnds_NonXtal_BW#'!$A:$Z,16,FALSE)+VLOOKUP($A324,A:AL,22,FALSE)-50))</f>
        <v>2668</v>
      </c>
      <c r="X324" s="3">
        <f>IF(ISERROR(VLOOKUP($A324,'SegEnds_NonXtal_BW#'!$A:$Z,17,FALSE)+VLOOKUP($A324,A:AL,25,FALSE)-50),"-",(VLOOKUP($A324,'SegEnds_NonXtal_BW#'!$A:$Z,17,FALSE)+VLOOKUP($A324,A:AL,25,FALSE)-50))</f>
        <v>2674</v>
      </c>
      <c r="Y324" s="3">
        <v>2674</v>
      </c>
      <c r="Z324" s="3">
        <f t="shared" si="183"/>
        <v>2676</v>
      </c>
      <c r="AA324" s="3">
        <f>IF(ISERROR(VLOOKUP($A324,'SegEnds_NonXtal_BW#'!$A:$Z,19,FALSE)+VLOOKUP($A324,A:AL,28,FALSE)-50),"-",(VLOOKUP($A324,'SegEnds_NonXtal_BW#'!$A:$Z,19,FALSE)+VLOOKUP($A324,A:AL,28,FALSE)-50))</f>
        <v>2679</v>
      </c>
      <c r="AB324" s="3">
        <v>2693</v>
      </c>
      <c r="AC324" s="3">
        <f>IF(ISERROR((VLOOKUP($A324,'SegEnds_NonXtal_BW#'!$A:$Z,20,FALSE)+VLOOKUP($A324,A:AL,28,FALSE)-50)),"-",(VLOOKUP($A324,'SegEnds_NonXtal_BW#'!$A:$Z,20,FALSE)+VLOOKUP($A324,A:AL,28,FALSE)-50))</f>
        <v>2712</v>
      </c>
      <c r="AD324" s="3">
        <f>IF(ISERROR(VLOOKUP($A324,'SegEnds_NonXtal_BW#'!$A:$Z,21,FALSE)+VLOOKUP($A324,A:AL,31,FALSE)-50),"-",(VLOOKUP($A324,'SegEnds_NonXtal_BW#'!$A:$Z,21,FALSE)+VLOOKUP($A324,A:AL,31,FALSE)-50))</f>
        <v>2719</v>
      </c>
      <c r="AE324" s="3">
        <v>2740</v>
      </c>
      <c r="AF324" s="3">
        <f>IF(ISERROR((VLOOKUP($A324,'SegEnds_NonXtal_BW#'!$A:$Z,22,FALSE)+VLOOKUP($A324,A:AL,31,FALSE)-50)),"-",(VLOOKUP($A324,'SegEnds_NonXtal_BW#'!$A:$Z,22,FALSE)+VLOOKUP($A324,A:AL,31,FALSE)-50))</f>
        <v>2743</v>
      </c>
      <c r="AG324" s="3">
        <f>IF(ISERROR(VLOOKUP($A324,'SegEnds_NonXtal_BW#'!$A:$Z,23,FALSE)+VLOOKUP($A324,A:AL,34,FALSE)-50),"-",(VLOOKUP($A324,'SegEnds_NonXtal_BW#'!$A:$Z,23,FALSE)+VLOOKUP($A324,A:AL,34,FALSE)-50))</f>
        <v>2749</v>
      </c>
      <c r="AH324" s="3">
        <v>2768</v>
      </c>
      <c r="AI324" s="3">
        <f>IF(ISERROR((VLOOKUP($A324,'SegEnds_NonXtal_BW#'!$A:$Z,24,FALSE)+VLOOKUP($A324,A:AL,34,FALSE)-50)),"-",(VLOOKUP($A324,'SegEnds_NonXtal_BW#'!$A:$Z,24,FALSE)+VLOOKUP($A324,A:AL,34,FALSE)-50))</f>
        <v>2774</v>
      </c>
      <c r="AJ324" s="3">
        <f>IF(ISERROR(VLOOKUP($A324,'SegEnds_NonXtal_BW#'!$A:$Z,25,FALSE)+VLOOKUP($A324,A:AL,37,FALSE)-50),"-",(VLOOKUP($A324,'SegEnds_NonXtal_BW#'!$A:$Z,25,FALSE)+VLOOKUP($A324,A:AL,37,FALSE)-50))</f>
        <v>2775</v>
      </c>
      <c r="AK324" s="3">
        <v>2778</v>
      </c>
      <c r="AL324" s="3">
        <f>IF(ISERROR((VLOOKUP($A324,'SegEnds_NonXtal_BW#'!$A:$Z,26,FALSE)+VLOOKUP($A324,A:AL,37,FALSE)-50)),"-",(VLOOKUP($A324,'SegEnds_NonXtal_BW#'!$A:$Z,26,FALSE)+VLOOKUP($A324,A:AL,37,FALSE)-50))</f>
        <v>2791</v>
      </c>
      <c r="AM324" s="28" t="str">
        <f>VLOOKUP(A324,Classification!A:B,2,FALSE)</f>
        <v>B2</v>
      </c>
      <c r="AN324" s="28" t="b">
        <f t="shared" si="173"/>
        <v>1</v>
      </c>
      <c r="AO324" s="3" t="str">
        <f>IF(ISERROR(MATCH(A324,'SegEnds_Xtal_Prot#'!B:B, 0)), "NoXtal", "Xtal")</f>
        <v>NoXtal</v>
      </c>
      <c r="AP324" s="3">
        <f t="shared" si="185"/>
        <v>1</v>
      </c>
      <c r="AQ324" s="3">
        <f t="shared" si="186"/>
        <v>1</v>
      </c>
      <c r="AR324" s="3" t="str">
        <f t="shared" si="187"/>
        <v>-</v>
      </c>
      <c r="AS324" s="3" t="str">
        <f t="shared" si="188"/>
        <v>-</v>
      </c>
      <c r="AT324" s="3" t="str">
        <f t="shared" si="189"/>
        <v>-</v>
      </c>
      <c r="AU324" s="3" t="str">
        <f t="shared" si="190"/>
        <v>-</v>
      </c>
      <c r="AV324" s="3">
        <f t="shared" si="191"/>
        <v>6</v>
      </c>
      <c r="AW324" s="3">
        <f t="shared" si="192"/>
        <v>3</v>
      </c>
      <c r="AX324" s="3">
        <f t="shared" si="193"/>
        <v>7</v>
      </c>
      <c r="AY324" s="3">
        <f t="shared" si="194"/>
        <v>6</v>
      </c>
      <c r="AZ324" s="3">
        <f t="shared" si="195"/>
        <v>1</v>
      </c>
      <c r="BA324" s="3">
        <f>IF(ISERROR(LEN(VLOOKUP(A324,Seqs!A:E,2,FALSE))-AL324),"-",LEN(VLOOKUP(A324,Seqs!A:E,2,FALSE))-AL324)</f>
        <v>521</v>
      </c>
      <c r="BB324" s="16">
        <f t="shared" si="196"/>
        <v>28</v>
      </c>
      <c r="BC324" s="9" t="str">
        <f t="shared" si="197"/>
        <v>-</v>
      </c>
      <c r="BD324" s="3">
        <f t="shared" si="198"/>
        <v>28</v>
      </c>
      <c r="BE324" s="3">
        <f t="shared" si="199"/>
        <v>47</v>
      </c>
    </row>
    <row r="325" spans="1:58" s="3" customFormat="1" x14ac:dyDescent="0.2">
      <c r="A325" s="3" t="s">
        <v>38</v>
      </c>
      <c r="B325" s="3" t="str">
        <f>LOWER(VLOOKUP(A325,Xtal_Templ!A:B,2,FALSE))</f>
        <v>crfr1_human</v>
      </c>
      <c r="C325" s="3">
        <f>VLOOKUP($A325,'SegEnds_NonXtal_BW#'!$A:$Z,3,FALSE)+D325-50</f>
        <v>103</v>
      </c>
      <c r="D325" s="3">
        <v>134</v>
      </c>
      <c r="E325" s="3">
        <f>IF(ISERROR(VLOOKUP($A325,'SegEnds_NonXtal_BW#'!$A:$Z,4,FALSE)+VLOOKUP($A325,A:AL,4,FALSE)-50),"-",(VLOOKUP($A325,'SegEnds_NonXtal_BW#'!$A:$Z,4,FALSE)+VLOOKUP($A325,A:AL,4,FALSE)-50))</f>
        <v>144</v>
      </c>
      <c r="F325" s="3">
        <f>G325-2</f>
        <v>145</v>
      </c>
      <c r="G325" s="3">
        <v>147</v>
      </c>
      <c r="H325" s="3">
        <f t="shared" si="184"/>
        <v>148</v>
      </c>
      <c r="I325" s="3">
        <f t="shared" si="184"/>
        <v>149</v>
      </c>
      <c r="J325" s="3">
        <v>162</v>
      </c>
      <c r="K325" s="3">
        <f>VLOOKUP($A325,'SegEnds_NonXtal_BW#'!$A:$Z,8,FALSE)+VLOOKUP($A325,A:AL,10,FALSE)-50</f>
        <v>175</v>
      </c>
      <c r="L325" s="3" t="str">
        <f>IF(ISERROR(VLOOKUP($A325,'SegEnds_NonXtal_BW#'!$A:$Z,9,FALSE)+VLOOKUP($A325,A:AL,13,FALSE)-50),"-",(VLOOKUP($A325,'SegEnds_NonXtal_BW#'!$A:$Z,9,FALSE)+VLOOKUP($A325,A:AL,13,FALSE)-50))</f>
        <v>-</v>
      </c>
      <c r="M325" s="3" t="s">
        <v>23</v>
      </c>
      <c r="N325" s="3" t="str">
        <f>IF(ISERROR(VLOOKUP($A325,'SegEnds_NonXtal_BW#'!$A:$Z,10,FALSE)+VLOOKUP($A325,A:AL,13,FALSE)-50),"-",(VLOOKUP($A325,'SegEnds_NonXtal_BW#'!$A:$Z,10,FALSE)+VLOOKUP($A325,A:AL,13,FALSE)-50))</f>
        <v>-</v>
      </c>
      <c r="O325" s="3">
        <f>VLOOKUP($A325,'SegEnds_NonXtal_BW#'!$A:$Z,11,FALSE)+VLOOKUP($A325,A:AL,16,FALSE)-50</f>
        <v>185</v>
      </c>
      <c r="P325" s="3">
        <v>213</v>
      </c>
      <c r="Q325" s="3">
        <f>VLOOKUP($A325,'SegEnds_NonXtal_BW#'!$A:$Z,12,FALSE)+VLOOKUP($A325,A:AL,16,FALSE)-50</f>
        <v>219</v>
      </c>
      <c r="R325" s="3" t="str">
        <f>IF(ISERROR(VLOOKUP($A325,'SegEnds_NonXtal_BW#'!$A:$Z,13,FALSE)+VLOOKUP($A325,A:AL,19,FALSE)-50),"-",VLOOKUP($A325,'SegEnds_NonXtal_BW#'!$A:$Z,13,FALSE)+VLOOKUP($A325,A:AL,19,FALSE)-50)</f>
        <v>-</v>
      </c>
      <c r="S325" s="3" t="s">
        <v>23</v>
      </c>
      <c r="T325" s="103" t="str">
        <f>IF(ISERROR(VLOOKUP($A325,'SegEnds_NonXtal_BW#'!$A:$Z,14,FALSE)+VLOOKUP($A325,A:AL,19,FALSE)-50),"-",(VLOOKUP($A325,'SegEnds_NonXtal_BW#'!$A:$Z,14,FALSE)+VLOOKUP($A325,A:AL,19,FALSE)-50))</f>
        <v>-</v>
      </c>
      <c r="U325" s="9">
        <f>IF(ISERROR(VLOOKUP($A325,'SegEnds_NonXtal_BW#'!$A:$Z,15,FALSE)+VLOOKUP($A325,A:AL,22,FALSE)-50),"-",VLOOKUP($A325,'SegEnds_NonXtal_BW#'!$A:$Z,15,FALSE)+VLOOKUP($A325,A:AL,22,FALSE)-50)</f>
        <v>226</v>
      </c>
      <c r="V325" s="3">
        <v>236</v>
      </c>
      <c r="W325" s="3">
        <f>IF(ISERROR(VLOOKUP($A325,'SegEnds_NonXtal_BW#'!$A:$Z,16,FALSE)+VLOOKUP($A325,A:AL,22,FALSE)-50),"-",(VLOOKUP($A325,'SegEnds_NonXtal_BW#'!$A:$Z,16,FALSE)+VLOOKUP($A325,A:AL,22,FALSE)-50))</f>
        <v>254</v>
      </c>
      <c r="X325" s="3">
        <f>IF(ISERROR(VLOOKUP($A325,'SegEnds_NonXtal_BW#'!$A:$Z,17,FALSE)+VLOOKUP($A325,A:AL,25,FALSE)-50),"-",(VLOOKUP($A325,'SegEnds_NonXtal_BW#'!$A:$Z,17,FALSE)+VLOOKUP($A325,A:AL,25,FALSE)-50))</f>
        <v>258</v>
      </c>
      <c r="Y325" s="3">
        <v>258</v>
      </c>
      <c r="Z325" s="3">
        <f t="shared" si="183"/>
        <v>260</v>
      </c>
      <c r="AA325" s="3">
        <f>IF(ISERROR(VLOOKUP($A325,'SegEnds_NonXtal_BW#'!$A:$Z,19,FALSE)+AB325-50),"-",(VLOOKUP($A325,'SegEnds_NonXtal_BW#'!$A:$Z,19,FALSE)+AB325-50))</f>
        <v>268</v>
      </c>
      <c r="AB325" s="3">
        <v>279</v>
      </c>
      <c r="AC325" s="3">
        <f>IF(ISERROR((VLOOKUP($A325,'SegEnds_NonXtal_BW#'!$A:$Z,20,FALSE)+VLOOKUP($A325,A:AL,28,FALSE)-50)),"-",(VLOOKUP($A325,'SegEnds_NonXtal_BW#'!$A:$Z,20,FALSE)+VLOOKUP($A325,A:AL,28,FALSE)-50))</f>
        <v>298</v>
      </c>
      <c r="AD325" s="3">
        <f>IF(ISERROR(VLOOKUP($A325,'SegEnds_NonXtal_BW#'!$A:$Z,21,FALSE)+AE325-50),"-",(VLOOKUP($A325,'SegEnds_NonXtal_BW#'!$A:$Z,21,FALSE)+AE325-50))</f>
        <v>304</v>
      </c>
      <c r="AE325" s="3">
        <v>329</v>
      </c>
      <c r="AF325" s="3">
        <f>IF(ISERROR((VLOOKUP($A325,'SegEnds_NonXtal_BW#'!$A:$Z,22,FALSE)+AE325-50)),"-",(VLOOKUP($A325,'SegEnds_NonXtal_BW#'!$A:$Z,22,FALSE)+AE325-50))</f>
        <v>332</v>
      </c>
      <c r="AG325" s="3">
        <f>IF(ISERROR(VLOOKUP($A325,'SegEnds_NonXtal_BW#'!$A:$Z,23,FALSE)+VLOOKUP($A325,A:AL,34,FALSE)-50),"-",(VLOOKUP($A325,'SegEnds_NonXtal_BW#'!$A:$Z,23,FALSE)+VLOOKUP($A325,A:AL,34,FALSE)-50))</f>
        <v>339</v>
      </c>
      <c r="AH325" s="3">
        <v>360</v>
      </c>
      <c r="AI325" s="3">
        <f>IF(ISERROR((VLOOKUP($A325,'SegEnds_NonXtal_BW#'!$A:$Z,24,FALSE)+VLOOKUP($A325,A:AL,34,FALSE)-50)),"-",(VLOOKUP($A325,'SegEnds_NonXtal_BW#'!$A:$Z,24,FALSE)+VLOOKUP($A325,A:AL,34,FALSE)-50))</f>
        <v>366</v>
      </c>
      <c r="AJ325" s="3">
        <f>IF(ISERROR(VLOOKUP($A325,'SegEnds_NonXtal_BW#'!$A:$Z,25,FALSE)+VLOOKUP($A325,A:AL,37,FALSE)-50),"-",(VLOOKUP($A325,'SegEnds_NonXtal_BW#'!$A:$Z,25,FALSE)+VLOOKUP($A325,A:AL,37,FALSE)-50))</f>
        <v>367</v>
      </c>
      <c r="AK325" s="3">
        <v>370</v>
      </c>
      <c r="AL325" s="3">
        <f>IF(ISERROR((VLOOKUP($A325,'SegEnds_NonXtal_BW#'!$A:$Z,26,FALSE)+VLOOKUP($A325,A:AL,37,FALSE)-50)),"-",(VLOOKUP($A325,'SegEnds_NonXtal_BW#'!$A:$Z,26,FALSE)+VLOOKUP($A325,A:AL,37,FALSE)-50))</f>
        <v>392</v>
      </c>
      <c r="AM325" s="28" t="str">
        <f>VLOOKUP(A325,Classification!A:B,2,FALSE)</f>
        <v>B1</v>
      </c>
      <c r="AN325" s="28" t="b">
        <f t="shared" si="173"/>
        <v>1</v>
      </c>
      <c r="AO325" s="3" t="str">
        <f>IF(ISERROR(MATCH(A325,'SegEnds_Xtal_Prot#'!B:B, 0)), "NoXtal", "Xtal")</f>
        <v>Xtal</v>
      </c>
      <c r="AP325" s="3">
        <f t="shared" si="185"/>
        <v>1</v>
      </c>
      <c r="AQ325" s="3">
        <f t="shared" si="186"/>
        <v>1</v>
      </c>
      <c r="AR325" s="3" t="str">
        <f t="shared" si="187"/>
        <v>-</v>
      </c>
      <c r="AS325" s="3" t="str">
        <f t="shared" si="188"/>
        <v>-</v>
      </c>
      <c r="AT325" s="3" t="str">
        <f t="shared" si="189"/>
        <v>-</v>
      </c>
      <c r="AU325" s="3" t="str">
        <f t="shared" si="190"/>
        <v>-</v>
      </c>
      <c r="AV325" s="3">
        <f t="shared" si="191"/>
        <v>4</v>
      </c>
      <c r="AW325" s="3">
        <f t="shared" si="192"/>
        <v>8</v>
      </c>
      <c r="AX325" s="3">
        <f t="shared" si="193"/>
        <v>6</v>
      </c>
      <c r="AY325" s="3">
        <f t="shared" si="194"/>
        <v>7</v>
      </c>
      <c r="AZ325" s="3">
        <f t="shared" si="195"/>
        <v>1</v>
      </c>
      <c r="BA325" s="3">
        <f>IF(ISERROR(LEN(VLOOKUP(A325,Seqs!A:E,2,FALSE))-AL325),"-",LEN(VLOOKUP(A325,Seqs!A:E,2,FALSE))-AL325)</f>
        <v>23</v>
      </c>
      <c r="BB325" s="16">
        <f t="shared" si="196"/>
        <v>28</v>
      </c>
      <c r="BC325" s="9" t="str">
        <f t="shared" si="197"/>
        <v>-</v>
      </c>
      <c r="BD325" s="3">
        <f t="shared" si="198"/>
        <v>28</v>
      </c>
      <c r="BE325" s="3">
        <f t="shared" si="199"/>
        <v>50</v>
      </c>
      <c r="BF325" s="3">
        <f>AH325-AE325</f>
        <v>31</v>
      </c>
    </row>
    <row r="326" spans="1:58" s="3" customFormat="1" x14ac:dyDescent="0.2">
      <c r="A326" s="3" t="s">
        <v>403</v>
      </c>
      <c r="B326" s="3" t="str">
        <f>LOWER(VLOOKUP(A326,Xtal_Templ!A:B,2,FALSE))</f>
        <v>crfr1_human</v>
      </c>
      <c r="C326" s="3">
        <f>VLOOKUP($A326,'SegEnds_NonXtal_BW#'!$A:$Z,3,FALSE)+D326-50</f>
        <v>100</v>
      </c>
      <c r="D326" s="3">
        <v>131</v>
      </c>
      <c r="E326" s="3">
        <f>IF(ISERROR(VLOOKUP($A326,'SegEnds_NonXtal_BW#'!$A:$Z,4,FALSE)+VLOOKUP($A326,A:AL,4,FALSE)-50),"-",(VLOOKUP($A326,'SegEnds_NonXtal_BW#'!$A:$Z,4,FALSE)+VLOOKUP($A326,A:AL,4,FALSE)-50))</f>
        <v>141</v>
      </c>
      <c r="F326" s="3">
        <f>G326-2</f>
        <v>142</v>
      </c>
      <c r="G326" s="3">
        <v>144</v>
      </c>
      <c r="H326" s="3">
        <f t="shared" si="184"/>
        <v>145</v>
      </c>
      <c r="I326" s="3">
        <f t="shared" si="184"/>
        <v>146</v>
      </c>
      <c r="J326" s="3">
        <v>159</v>
      </c>
      <c r="K326" s="3">
        <f>VLOOKUP($A326,'SegEnds_NonXtal_BW#'!$A:$Z,8,FALSE)+VLOOKUP($A326,A:AL,10,FALSE)-50</f>
        <v>172</v>
      </c>
      <c r="L326" s="3" t="str">
        <f>IF(ISERROR(VLOOKUP($A326,'SegEnds_NonXtal_BW#'!$A:$Z,9,FALSE)+VLOOKUP($A326,A:AL,13,FALSE)-50),"-",(VLOOKUP($A326,'SegEnds_NonXtal_BW#'!$A:$Z,9,FALSE)+VLOOKUP($A326,A:AL,13,FALSE)-50))</f>
        <v>-</v>
      </c>
      <c r="M326" s="3" t="s">
        <v>23</v>
      </c>
      <c r="N326" s="3" t="str">
        <f>IF(ISERROR(VLOOKUP($A326,'SegEnds_NonXtal_BW#'!$A:$Z,10,FALSE)+VLOOKUP($A326,A:AL,13,FALSE)-50),"-",(VLOOKUP($A326,'SegEnds_NonXtal_BW#'!$A:$Z,10,FALSE)+VLOOKUP($A326,A:AL,13,FALSE)-50))</f>
        <v>-</v>
      </c>
      <c r="O326" s="3">
        <f>VLOOKUP($A326,'SegEnds_NonXtal_BW#'!$A:$Z,11,FALSE)+VLOOKUP($A326,A:AL,16,FALSE)-50</f>
        <v>181</v>
      </c>
      <c r="P326" s="3">
        <v>209</v>
      </c>
      <c r="Q326" s="3">
        <f>VLOOKUP($A326,'SegEnds_NonXtal_BW#'!$A:$Z,12,FALSE)+VLOOKUP($A326,A:AL,16,FALSE)-50</f>
        <v>215</v>
      </c>
      <c r="R326" s="3" t="str">
        <f>IF(ISERROR(VLOOKUP($A326,'SegEnds_NonXtal_BW#'!$A:$Z,13,FALSE)+VLOOKUP($A326,A:AL,19,FALSE)-50),"-",VLOOKUP($A326,'SegEnds_NonXtal_BW#'!$A:$Z,13,FALSE)+VLOOKUP($A326,A:AL,19,FALSE)-50)</f>
        <v>-</v>
      </c>
      <c r="S326" s="3" t="s">
        <v>23</v>
      </c>
      <c r="T326" s="103" t="str">
        <f>IF(ISERROR(VLOOKUP($A326,'SegEnds_NonXtal_BW#'!$A:$Z,14,FALSE)+VLOOKUP($A326,A:AL,19,FALSE)-50),"-",(VLOOKUP($A326,'SegEnds_NonXtal_BW#'!$A:$Z,14,FALSE)+VLOOKUP($A326,A:AL,19,FALSE)-50))</f>
        <v>-</v>
      </c>
      <c r="U326" s="9">
        <f>IF(ISERROR(VLOOKUP($A326,'SegEnds_NonXtal_BW#'!$A:$Z,15,FALSE)+VLOOKUP($A326,A:AL,22,FALSE)-50),"-",VLOOKUP($A326,'SegEnds_NonXtal_BW#'!$A:$Z,15,FALSE)+VLOOKUP($A326,A:AL,22,FALSE)-50)</f>
        <v>222</v>
      </c>
      <c r="V326" s="3">
        <v>232</v>
      </c>
      <c r="W326" s="3">
        <f>IF(ISERROR(VLOOKUP($A326,'SegEnds_NonXtal_BW#'!$A:$Z,16,FALSE)+VLOOKUP($A326,A:AL,22,FALSE)-50),"-",(VLOOKUP($A326,'SegEnds_NonXtal_BW#'!$A:$Z,16,FALSE)+VLOOKUP($A326,A:AL,22,FALSE)-50))</f>
        <v>250</v>
      </c>
      <c r="X326" s="3">
        <f>IF(ISERROR(VLOOKUP($A326,'SegEnds_NonXtal_BW#'!$A:$Z,17,FALSE)+VLOOKUP($A326,A:AL,25,FALSE)-50),"-",(VLOOKUP($A326,'SegEnds_NonXtal_BW#'!$A:$Z,17,FALSE)+VLOOKUP($A326,A:AL,25,FALSE)-50))</f>
        <v>254</v>
      </c>
      <c r="Y326" s="3">
        <v>254</v>
      </c>
      <c r="Z326" s="3">
        <f t="shared" si="183"/>
        <v>256</v>
      </c>
      <c r="AA326" s="3">
        <f>IF(ISERROR(VLOOKUP($A326,'SegEnds_NonXtal_BW#'!$A:$Z,19,FALSE)+VLOOKUP($A326,A:AL,28,FALSE)-50),"-",(VLOOKUP($A326,'SegEnds_NonXtal_BW#'!$A:$Z,19,FALSE)+VLOOKUP($A326,A:AL,28,FALSE)-50))</f>
        <v>264</v>
      </c>
      <c r="AB326" s="3">
        <v>275</v>
      </c>
      <c r="AC326" s="3">
        <f>IF(ISERROR((VLOOKUP($A326,'SegEnds_NonXtal_BW#'!$A:$Z,20,FALSE)+VLOOKUP($A326,A:AL,28,FALSE)-50)),"-",(VLOOKUP($A326,'SegEnds_NonXtal_BW#'!$A:$Z,20,FALSE)+VLOOKUP($A326,A:AL,28,FALSE)-50))</f>
        <v>294</v>
      </c>
      <c r="AD326" s="3">
        <f>IF(ISERROR(VLOOKUP($A326,'SegEnds_NonXtal_BW#'!$A:$Z,21,FALSE)+VLOOKUP($A326,A:AL,31,FALSE)-50),"-",(VLOOKUP($A326,'SegEnds_NonXtal_BW#'!$A:$Z,21,FALSE)+VLOOKUP($A326,A:AL,31,FALSE)-50))</f>
        <v>300</v>
      </c>
      <c r="AE326" s="3">
        <v>325</v>
      </c>
      <c r="AF326" s="3">
        <f>IF(ISERROR((VLOOKUP($A326,'SegEnds_NonXtal_BW#'!$A:$Z,22,FALSE)+VLOOKUP($A326,A:AL,31,FALSE)-50)),"-",(VLOOKUP($A326,'SegEnds_NonXtal_BW#'!$A:$Z,22,FALSE)+VLOOKUP($A326,A:AL,31,FALSE)-50))</f>
        <v>328</v>
      </c>
      <c r="AG326" s="3">
        <f>IF(ISERROR(VLOOKUP($A326,'SegEnds_NonXtal_BW#'!$A:$Z,23,FALSE)+VLOOKUP($A326,A:AL,34,FALSE)-50),"-",(VLOOKUP($A326,'SegEnds_NonXtal_BW#'!$A:$Z,23,FALSE)+VLOOKUP($A326,A:AL,34,FALSE)-50))</f>
        <v>335</v>
      </c>
      <c r="AH326" s="3">
        <v>356</v>
      </c>
      <c r="AI326" s="3">
        <f>IF(ISERROR((VLOOKUP($A326,'SegEnds_NonXtal_BW#'!$A:$Z,24,FALSE)+VLOOKUP($A326,A:AL,34,FALSE)-50)),"-",(VLOOKUP($A326,'SegEnds_NonXtal_BW#'!$A:$Z,24,FALSE)+VLOOKUP($A326,A:AL,34,FALSE)-50))</f>
        <v>362</v>
      </c>
      <c r="AJ326" s="3">
        <f>IF(ISERROR(VLOOKUP($A326,'SegEnds_NonXtal_BW#'!$A:$Z,25,FALSE)+VLOOKUP($A326,A:AL,37,FALSE)-50),"-",(VLOOKUP($A326,'SegEnds_NonXtal_BW#'!$A:$Z,25,FALSE)+VLOOKUP($A326,A:AL,37,FALSE)-50))</f>
        <v>363</v>
      </c>
      <c r="AK326" s="3">
        <v>366</v>
      </c>
      <c r="AL326" s="3">
        <f>IF(ISERROR((VLOOKUP($A326,'SegEnds_NonXtal_BW#'!$A:$Z,26,FALSE)+VLOOKUP($A326,A:AL,37,FALSE)-50)),"-",(VLOOKUP($A326,'SegEnds_NonXtal_BW#'!$A:$Z,26,FALSE)+VLOOKUP($A326,A:AL,37,FALSE)-50))</f>
        <v>388</v>
      </c>
      <c r="AM326" s="28" t="str">
        <f>VLOOKUP(A326,Classification!A:B,2,FALSE)</f>
        <v>B1</v>
      </c>
      <c r="AN326" s="28" t="b">
        <f t="shared" ref="AN326:AN389" si="200">AND(IF(Y326="-",IF(AA326-W326&gt;3,TRUE,FALSE),TRUE),IF(M326="-",IF(O326-K326&gt;3,TRUE,FALSE),TRUE),C326&lt;E326,OR(E326&lt;F326,F326="-"),OR(F326&lt;H326,F326="-"),OR(H326&lt;I326,H326="-"),I326&lt;K326,OR(K326&lt;L326,L326="-"),OR(L326&lt;N326,L326="-"),OR(N326&lt;O326,N326="-"),O326&lt;Q326,OR(Q326&lt;R326,R326="-"),OR(R326&lt;T326,R326="-"),OR(T326&lt;U326,T326="-"),U326&lt;W326,OR(W326&lt;X326,X326="-"),OR(X326&lt;Z326,X326="-"),OR(Z326&lt;AA326,Z326="-"),AA326&lt;AC326,AC326&lt;AD326,AD326&lt;AF326,AF326&lt;AG326,AG326&lt;AI326,OR(AI326&lt;AJ326,AJ326="-"),OR(AJ326&lt;AL326,AJ326="-"))</f>
        <v>1</v>
      </c>
      <c r="AO326" s="3" t="str">
        <f>IF(ISERROR(MATCH(A326,'SegEnds_Xtal_Prot#'!B:B, 0)), "NoXtal", "Xtal")</f>
        <v>NoXtal</v>
      </c>
      <c r="AP326" s="3">
        <f t="shared" si="185"/>
        <v>1</v>
      </c>
      <c r="AQ326" s="3">
        <f t="shared" si="186"/>
        <v>1</v>
      </c>
      <c r="AR326" s="3" t="str">
        <f t="shared" si="187"/>
        <v>-</v>
      </c>
      <c r="AS326" s="3" t="str">
        <f t="shared" si="188"/>
        <v>-</v>
      </c>
      <c r="AT326" s="3" t="str">
        <f t="shared" si="189"/>
        <v>-</v>
      </c>
      <c r="AU326" s="3" t="str">
        <f t="shared" si="190"/>
        <v>-</v>
      </c>
      <c r="AV326" s="3">
        <f t="shared" si="191"/>
        <v>4</v>
      </c>
      <c r="AW326" s="3">
        <f t="shared" si="192"/>
        <v>8</v>
      </c>
      <c r="AX326" s="3">
        <f t="shared" si="193"/>
        <v>6</v>
      </c>
      <c r="AY326" s="3">
        <f t="shared" si="194"/>
        <v>7</v>
      </c>
      <c r="AZ326" s="3">
        <f t="shared" si="195"/>
        <v>1</v>
      </c>
      <c r="BA326" s="3">
        <f>IF(ISERROR(LEN(VLOOKUP(A326,Seqs!A:E,2,FALSE))-AL326),"-",LEN(VLOOKUP(A326,Seqs!A:E,2,FALSE))-AL326)</f>
        <v>23</v>
      </c>
      <c r="BB326" s="16">
        <f t="shared" si="196"/>
        <v>28</v>
      </c>
      <c r="BC326" s="9" t="str">
        <f t="shared" si="197"/>
        <v>-</v>
      </c>
      <c r="BD326" s="3">
        <f t="shared" si="198"/>
        <v>28</v>
      </c>
      <c r="BE326" s="3">
        <f t="shared" si="199"/>
        <v>50</v>
      </c>
      <c r="BF326" s="3">
        <f>AH326-AE326</f>
        <v>31</v>
      </c>
    </row>
    <row r="327" spans="1:58" s="3" customFormat="1" x14ac:dyDescent="0.2">
      <c r="A327" s="3" t="s">
        <v>446</v>
      </c>
      <c r="B327" s="3" t="str">
        <f>LOWER(VLOOKUP(A327,Xtal_Templ!A:B,2,FALSE))</f>
        <v>smo_human</v>
      </c>
      <c r="C327" s="3">
        <f>VLOOKUP($A327,'SegEnds_NonXtal_BW#'!$A:$Z,3,FALSE)+D327-50</f>
        <v>313</v>
      </c>
      <c r="D327" s="3">
        <v>334</v>
      </c>
      <c r="E327" s="3">
        <f>IF(ISERROR(VLOOKUP($A327,'SegEnds_NonXtal_BW#'!$A:$Z,4,FALSE)+VLOOKUP($A327,A:AL,4,FALSE)-50),"-",(VLOOKUP($A327,'SegEnds_NonXtal_BW#'!$A:$Z,4,FALSE)+VLOOKUP($A327,A:AL,4,FALSE)-50))</f>
        <v>344</v>
      </c>
      <c r="F327" s="3">
        <f t="shared" ref="F327:F336" si="201">G327-3</f>
        <v>345</v>
      </c>
      <c r="G327" s="3">
        <v>348</v>
      </c>
      <c r="H327" s="3">
        <f t="shared" si="184"/>
        <v>349</v>
      </c>
      <c r="I327" s="3">
        <f t="shared" si="184"/>
        <v>350</v>
      </c>
      <c r="J327" s="3">
        <v>360</v>
      </c>
      <c r="K327" s="3">
        <f>VLOOKUP($A327,'SegEnds_NonXtal_BW#'!$A:$Z,8,FALSE)+VLOOKUP($A327,A:AL,10,FALSE)-50</f>
        <v>373</v>
      </c>
      <c r="L327" s="3" t="str">
        <f>IF(ISERROR(VLOOKUP($A327,'SegEnds_NonXtal_BW#'!$A:$Z,9,FALSE)+VLOOKUP($A327,A:AL,13,FALSE)-50),"-",(VLOOKUP($A327,'SegEnds_NonXtal_BW#'!$A:$Z,9,FALSE)+VLOOKUP($A327,A:AL,13,FALSE)-50))</f>
        <v>-</v>
      </c>
      <c r="M327" s="3" t="s">
        <v>23</v>
      </c>
      <c r="N327" s="3" t="str">
        <f>IF(ISERROR(VLOOKUP($A327,'SegEnds_NonXtal_BW#'!$A:$Z,10,FALSE)+VLOOKUP($A327,A:AL,13,FALSE)-50),"-",(VLOOKUP($A327,'SegEnds_NonXtal_BW#'!$A:$Z,10,FALSE)+VLOOKUP($A327,A:AL,13,FALSE)-50))</f>
        <v>-</v>
      </c>
      <c r="O327" s="3">
        <f>VLOOKUP($A327,'SegEnds_NonXtal_BW#'!$A:$Z,11,FALSE)+VLOOKUP($A327,A:AL,16,FALSE)-50</f>
        <v>400</v>
      </c>
      <c r="P327" s="3">
        <v>427</v>
      </c>
      <c r="Q327" s="3">
        <f>VLOOKUP($A327,'SegEnds_NonXtal_BW#'!$A:$Z,12,FALSE)+VLOOKUP($A327,A:AL,16,FALSE)-50</f>
        <v>436</v>
      </c>
      <c r="R327" s="3" t="str">
        <f>IF(ISERROR(VLOOKUP($A327,'SegEnds_NonXtal_BW#'!$A:$Z,13,FALSE)+VLOOKUP($A327,A:AL,19,FALSE)-50),"-",VLOOKUP($A327,'SegEnds_NonXtal_BW#'!$A:$Z,13,FALSE)+VLOOKUP($A327,A:AL,19,FALSE)-50)</f>
        <v>-</v>
      </c>
      <c r="S327" s="3" t="s">
        <v>23</v>
      </c>
      <c r="T327" s="103" t="str">
        <f>IF(ISERROR(VLOOKUP($A327,'SegEnds_NonXtal_BW#'!$A:$Z,14,FALSE)+VLOOKUP($A327,A:AL,19,FALSE)-50),"-",(VLOOKUP($A327,'SegEnds_NonXtal_BW#'!$A:$Z,14,FALSE)+VLOOKUP($A327,A:AL,19,FALSE)-50))</f>
        <v>-</v>
      </c>
      <c r="U327" s="9">
        <f>IF(ISERROR(VLOOKUP($A327,'SegEnds_NonXtal_BW#'!$A:$Z,15,FALSE)+VLOOKUP($A327,A:AL,22,FALSE)-50),"-",VLOOKUP($A327,'SegEnds_NonXtal_BW#'!$A:$Z,15,FALSE)+VLOOKUP($A327,A:AL,22,FALSE)-50)</f>
        <v>440</v>
      </c>
      <c r="V327" s="3">
        <v>452</v>
      </c>
      <c r="W327" s="3">
        <f>IF(ISERROR(VLOOKUP($A327,'SegEnds_NonXtal_BW#'!$A:$Z,16,FALSE)+VLOOKUP($A327,A:AL,22,FALSE)-50),"-",(VLOOKUP($A327,'SegEnds_NonXtal_BW#'!$A:$Z,16,FALSE)+VLOOKUP($A327,A:AL,22,FALSE)-50))</f>
        <v>465</v>
      </c>
      <c r="X327" s="3">
        <f>IF(ISERROR(VLOOKUP($A327,'SegEnds_NonXtal_BW#'!$A:$Z,17,FALSE)+VLOOKUP($A327,A:AL,25,FALSE)-50),"-",(VLOOKUP($A327,'SegEnds_NonXtal_BW#'!$A:$Z,17,FALSE)+VLOOKUP($A327,A:AL,25,FALSE)-50))</f>
        <v>477</v>
      </c>
      <c r="Y327" s="3">
        <v>477</v>
      </c>
      <c r="Z327" s="3">
        <f t="shared" si="183"/>
        <v>479</v>
      </c>
      <c r="AA327" s="3">
        <f>IF(ISERROR(VLOOKUP($A327,'SegEnds_NonXtal_BW#'!$A:$Z,19,FALSE)+VLOOKUP($A327,A:AL,28,FALSE)-50),"-",(VLOOKUP($A327,'SegEnds_NonXtal_BW#'!$A:$Z,19,FALSE)+VLOOKUP($A327,A:AL,28,FALSE)-50))</f>
        <v>484</v>
      </c>
      <c r="AB327" s="3">
        <v>498</v>
      </c>
      <c r="AC327" s="3">
        <f>IF(ISERROR((VLOOKUP($A327,'SegEnds_NonXtal_BW#'!$A:$Z,20,FALSE)+VLOOKUP($A327,A:AL,28,FALSE)-50)),"-",(VLOOKUP($A327,'SegEnds_NonXtal_BW#'!$A:$Z,20,FALSE)+VLOOKUP($A327,A:AL,28,FALSE)-50))</f>
        <v>520</v>
      </c>
      <c r="AD327" s="3">
        <f>IF(ISERROR(VLOOKUP($A327,'SegEnds_NonXtal_BW#'!$A:$Z,21,FALSE)+VLOOKUP($A327,A:AL,31,FALSE)-50),"-",(VLOOKUP($A327,'SegEnds_NonXtal_BW#'!$A:$Z,21,FALSE)+VLOOKUP($A327,A:AL,31,FALSE)-50))</f>
        <v>527</v>
      </c>
      <c r="AE327" s="3">
        <v>553</v>
      </c>
      <c r="AF327" s="3">
        <f>IF(ISERROR((VLOOKUP($A327,'SegEnds_NonXtal_BW#'!$A:$Z,22,FALSE)+VLOOKUP($A327,A:AL,31,FALSE)-50)),"-",(VLOOKUP($A327,'SegEnds_NonXtal_BW#'!$A:$Z,22,FALSE)+VLOOKUP($A327,A:AL,31,FALSE)-50))</f>
        <v>581</v>
      </c>
      <c r="AG327" s="3">
        <f>IF(ISERROR(VLOOKUP($A327,'SegEnds_NonXtal_BW#'!$A:$Z,23,FALSE)+VLOOKUP($A327,A:AL,34,FALSE)-50),"-",(VLOOKUP($A327,'SegEnds_NonXtal_BW#'!$A:$Z,23,FALSE)+VLOOKUP($A327,A:AL,34,FALSE)-50))</f>
        <v>600</v>
      </c>
      <c r="AH327" s="3">
        <v>615</v>
      </c>
      <c r="AI327" s="3">
        <f>IF(ISERROR((VLOOKUP($A327,'SegEnds_NonXtal_BW#'!$A:$Z,24,FALSE)+VLOOKUP($A327,A:AL,34,FALSE)-50)),"-",(VLOOKUP($A327,'SegEnds_NonXtal_BW#'!$A:$Z,24,FALSE)+VLOOKUP($A327,A:AL,34,FALSE)-50))</f>
        <v>622</v>
      </c>
      <c r="AJ327" s="3">
        <f>IF(ISERROR(VLOOKUP($A327,'SegEnds_NonXtal_BW#'!$A:$Z,25,FALSE)+VLOOKUP($A327,A:AL,37,FALSE)-50),"-",(VLOOKUP($A327,'SegEnds_NonXtal_BW#'!$A:$Z,25,FALSE)+VLOOKUP($A327,A:AL,37,FALSE)-50))</f>
        <v>623</v>
      </c>
      <c r="AK327" s="3">
        <v>626</v>
      </c>
      <c r="AL327" s="3">
        <f>IF(ISERROR((VLOOKUP($A327,'SegEnds_NonXtal_BW#'!$A:$Z,26,FALSE)+VLOOKUP($A327,A:AL,37,FALSE)-50)),"-",(VLOOKUP($A327,'SegEnds_NonXtal_BW#'!$A:$Z,26,FALSE)+VLOOKUP($A327,A:AL,37,FALSE)-50))</f>
        <v>638</v>
      </c>
      <c r="AM327" s="28" t="str">
        <f>VLOOKUP(A327,Classification!A:B,2,FALSE)</f>
        <v>F</v>
      </c>
      <c r="AN327" s="28" t="b">
        <f t="shared" si="200"/>
        <v>1</v>
      </c>
      <c r="AO327" s="3" t="str">
        <f>IF(ISERROR(MATCH(A327,'SegEnds_Xtal_Prot#'!B:B, 0)), "NoXtal", "Xtal")</f>
        <v>NoXtal</v>
      </c>
      <c r="AP327" s="3">
        <f t="shared" si="185"/>
        <v>1</v>
      </c>
      <c r="AQ327" s="3">
        <f t="shared" si="186"/>
        <v>1</v>
      </c>
      <c r="AR327" s="3" t="str">
        <f t="shared" si="187"/>
        <v>-</v>
      </c>
      <c r="AS327" s="3" t="str">
        <f t="shared" si="188"/>
        <v>-</v>
      </c>
      <c r="AT327" s="3" t="str">
        <f t="shared" si="189"/>
        <v>-</v>
      </c>
      <c r="AU327" s="3" t="str">
        <f t="shared" si="190"/>
        <v>-</v>
      </c>
      <c r="AV327" s="3">
        <f t="shared" si="191"/>
        <v>12</v>
      </c>
      <c r="AW327" s="3">
        <f t="shared" si="192"/>
        <v>5</v>
      </c>
      <c r="AX327" s="3">
        <f t="shared" si="193"/>
        <v>7</v>
      </c>
      <c r="AY327" s="3">
        <f t="shared" si="194"/>
        <v>19</v>
      </c>
      <c r="AZ327" s="3">
        <f t="shared" si="195"/>
        <v>1</v>
      </c>
      <c r="BA327" s="3">
        <f>IF(ISERROR(LEN(VLOOKUP(A327,Seqs!A:E,2,FALSE))-AL327),"-",LEN(VLOOKUP(A327,Seqs!A:E,2,FALSE))-AL327)</f>
        <v>9</v>
      </c>
      <c r="BB327" s="16">
        <f t="shared" si="196"/>
        <v>26</v>
      </c>
      <c r="BC327" s="9" t="str">
        <f t="shared" si="197"/>
        <v>-</v>
      </c>
      <c r="BD327" s="3">
        <f t="shared" si="198"/>
        <v>26</v>
      </c>
      <c r="BE327" s="3">
        <f t="shared" si="199"/>
        <v>55</v>
      </c>
      <c r="BF327" s="3">
        <f>AH327-AE327</f>
        <v>62</v>
      </c>
    </row>
    <row r="328" spans="1:58" s="3" customFormat="1" x14ac:dyDescent="0.2">
      <c r="A328" s="3" t="s">
        <v>447</v>
      </c>
      <c r="B328" s="3" t="str">
        <f>LOWER(VLOOKUP(A328,Xtal_Templ!A:B,2,FALSE))</f>
        <v>smo_human</v>
      </c>
      <c r="C328" s="3">
        <f>VLOOKUP($A328,'SegEnds_NonXtal_BW#'!$A:$Z,3,FALSE)+D328-50</f>
        <v>221</v>
      </c>
      <c r="D328" s="3">
        <v>242</v>
      </c>
      <c r="E328" s="3">
        <f>IF(ISERROR(VLOOKUP($A328,'SegEnds_NonXtal_BW#'!$A:$Z,4,FALSE)+VLOOKUP($A328,A:AL,4,FALSE)-50),"-",(VLOOKUP($A328,'SegEnds_NonXtal_BW#'!$A:$Z,4,FALSE)+VLOOKUP($A328,A:AL,4,FALSE)-50))</f>
        <v>252</v>
      </c>
      <c r="F328" s="3">
        <f t="shared" si="201"/>
        <v>253</v>
      </c>
      <c r="G328" s="3">
        <v>256</v>
      </c>
      <c r="H328" s="3">
        <f t="shared" si="184"/>
        <v>257</v>
      </c>
      <c r="I328" s="3">
        <f t="shared" si="184"/>
        <v>258</v>
      </c>
      <c r="J328" s="3">
        <v>268</v>
      </c>
      <c r="K328" s="3">
        <f>VLOOKUP($A328,'SegEnds_NonXtal_BW#'!$A:$Z,8,FALSE)+VLOOKUP($A328,A:AL,10,FALSE)-50</f>
        <v>281</v>
      </c>
      <c r="L328" s="3" t="str">
        <f>IF(ISERROR(VLOOKUP($A328,'SegEnds_NonXtal_BW#'!$A:$Z,9,FALSE)+VLOOKUP($A328,A:AL,13,FALSE)-50),"-",(VLOOKUP($A328,'SegEnds_NonXtal_BW#'!$A:$Z,9,FALSE)+VLOOKUP($A328,A:AL,13,FALSE)-50))</f>
        <v>-</v>
      </c>
      <c r="M328" s="3" t="s">
        <v>23</v>
      </c>
      <c r="N328" s="3" t="str">
        <f>IF(ISERROR(VLOOKUP($A328,'SegEnds_NonXtal_BW#'!$A:$Z,10,FALSE)+VLOOKUP($A328,A:AL,13,FALSE)-50),"-",(VLOOKUP($A328,'SegEnds_NonXtal_BW#'!$A:$Z,10,FALSE)+VLOOKUP($A328,A:AL,13,FALSE)-50))</f>
        <v>-</v>
      </c>
      <c r="O328" s="3">
        <f>VLOOKUP($A328,'SegEnds_NonXtal_BW#'!$A:$Z,11,FALSE)+VLOOKUP($A328,A:AL,16,FALSE)-50</f>
        <v>307</v>
      </c>
      <c r="P328" s="3">
        <v>334</v>
      </c>
      <c r="Q328" s="3">
        <f>VLOOKUP($A328,'SegEnds_NonXtal_BW#'!$A:$Z,12,FALSE)+VLOOKUP($A328,A:AL,16,FALSE)-50</f>
        <v>343</v>
      </c>
      <c r="R328" s="3" t="str">
        <f>IF(ISERROR(VLOOKUP($A328,'SegEnds_NonXtal_BW#'!$A:$Z,13,FALSE)+VLOOKUP($A328,A:AL,19,FALSE)-50),"-",VLOOKUP($A328,'SegEnds_NonXtal_BW#'!$A:$Z,13,FALSE)+VLOOKUP($A328,A:AL,19,FALSE)-50)</f>
        <v>-</v>
      </c>
      <c r="S328" s="3" t="s">
        <v>23</v>
      </c>
      <c r="T328" s="103" t="str">
        <f>IF(ISERROR(VLOOKUP($A328,'SegEnds_NonXtal_BW#'!$A:$Z,14,FALSE)+VLOOKUP($A328,A:AL,19,FALSE)-50),"-",(VLOOKUP($A328,'SegEnds_NonXtal_BW#'!$A:$Z,14,FALSE)+VLOOKUP($A328,A:AL,19,FALSE)-50))</f>
        <v>-</v>
      </c>
      <c r="U328" s="9">
        <f>IF(ISERROR(VLOOKUP($A328,'SegEnds_NonXtal_BW#'!$A:$Z,15,FALSE)+VLOOKUP($A328,A:AL,22,FALSE)-50),"-",VLOOKUP($A328,'SegEnds_NonXtal_BW#'!$A:$Z,15,FALSE)+VLOOKUP($A328,A:AL,22,FALSE)-50)</f>
        <v>347</v>
      </c>
      <c r="V328" s="3">
        <v>359</v>
      </c>
      <c r="W328" s="3">
        <f>IF(ISERROR(VLOOKUP($A328,'SegEnds_NonXtal_BW#'!$A:$Z,16,FALSE)+VLOOKUP($A328,A:AL,22,FALSE)-50),"-",(VLOOKUP($A328,'SegEnds_NonXtal_BW#'!$A:$Z,16,FALSE)+VLOOKUP($A328,A:AL,22,FALSE)-50))</f>
        <v>372</v>
      </c>
      <c r="X328" s="3">
        <f>IF(ISERROR(VLOOKUP($A328,'SegEnds_NonXtal_BW#'!$A:$Z,17,FALSE)+VLOOKUP($A328,A:AL,25,FALSE)-50),"-",(VLOOKUP($A328,'SegEnds_NonXtal_BW#'!$A:$Z,17,FALSE)+VLOOKUP($A328,A:AL,25,FALSE)-50))</f>
        <v>384</v>
      </c>
      <c r="Y328" s="3">
        <v>384</v>
      </c>
      <c r="Z328" s="3">
        <f t="shared" si="183"/>
        <v>386</v>
      </c>
      <c r="AA328" s="3">
        <f>IF(ISERROR(VLOOKUP($A328,'SegEnds_NonXtal_BW#'!$A:$Z,19,FALSE)+VLOOKUP($A328,A:AL,28,FALSE)-50),"-",(VLOOKUP($A328,'SegEnds_NonXtal_BW#'!$A:$Z,19,FALSE)+VLOOKUP($A328,A:AL,28,FALSE)-50))</f>
        <v>391</v>
      </c>
      <c r="AB328" s="3">
        <v>405</v>
      </c>
      <c r="AC328" s="3">
        <f>IF(ISERROR((VLOOKUP($A328,'SegEnds_NonXtal_BW#'!$A:$Z,20,FALSE)+VLOOKUP($A328,A:AL,28,FALSE)-50)),"-",(VLOOKUP($A328,'SegEnds_NonXtal_BW#'!$A:$Z,20,FALSE)+VLOOKUP($A328,A:AL,28,FALSE)-50))</f>
        <v>427</v>
      </c>
      <c r="AD328" s="3">
        <f>IF(ISERROR(VLOOKUP($A328,'SegEnds_NonXtal_BW#'!$A:$Z,21,FALSE)+VLOOKUP($A328,A:AL,31,FALSE)-50),"-",(VLOOKUP($A328,'SegEnds_NonXtal_BW#'!$A:$Z,21,FALSE)+VLOOKUP($A328,A:AL,31,FALSE)-50))</f>
        <v>434</v>
      </c>
      <c r="AE328" s="3">
        <v>460</v>
      </c>
      <c r="AF328" s="3">
        <f>IF(ISERROR((VLOOKUP($A328,'SegEnds_NonXtal_BW#'!$A:$Z,22,FALSE)+VLOOKUP($A328,A:AL,31,FALSE)-50)),"-",(VLOOKUP($A328,'SegEnds_NonXtal_BW#'!$A:$Z,22,FALSE)+VLOOKUP($A328,A:AL,31,FALSE)-50))</f>
        <v>488</v>
      </c>
      <c r="AG328" s="3">
        <f>IF(ISERROR(VLOOKUP($A328,'SegEnds_NonXtal_BW#'!$A:$Z,23,FALSE)+VLOOKUP($A328,A:AL,34,FALSE)-50),"-",(VLOOKUP($A328,'SegEnds_NonXtal_BW#'!$A:$Z,23,FALSE)+VLOOKUP($A328,A:AL,34,FALSE)-50))</f>
        <v>501</v>
      </c>
      <c r="AH328" s="3">
        <v>516</v>
      </c>
      <c r="AI328" s="3">
        <f>IF(ISERROR((VLOOKUP($A328,'SegEnds_NonXtal_BW#'!$A:$Z,24,FALSE)+VLOOKUP($A328,A:AL,34,FALSE)-50)),"-",(VLOOKUP($A328,'SegEnds_NonXtal_BW#'!$A:$Z,24,FALSE)+VLOOKUP($A328,A:AL,34,FALSE)-50))</f>
        <v>523</v>
      </c>
      <c r="AJ328" s="3">
        <f>IF(ISERROR(VLOOKUP($A328,'SegEnds_NonXtal_BW#'!$A:$Z,25,FALSE)+VLOOKUP($A328,A:AL,37,FALSE)-50),"-",(VLOOKUP($A328,'SegEnds_NonXtal_BW#'!$A:$Z,25,FALSE)+VLOOKUP($A328,A:AL,37,FALSE)-50))</f>
        <v>524</v>
      </c>
      <c r="AK328" s="3">
        <v>527</v>
      </c>
      <c r="AL328" s="3">
        <f>IF(ISERROR((VLOOKUP($A328,'SegEnds_NonXtal_BW#'!$A:$Z,26,FALSE)+VLOOKUP($A328,A:AL,37,FALSE)-50)),"-",(VLOOKUP($A328,'SegEnds_NonXtal_BW#'!$A:$Z,26,FALSE)+VLOOKUP($A328,A:AL,37,FALSE)-50))</f>
        <v>539</v>
      </c>
      <c r="AM328" s="28" t="str">
        <f>VLOOKUP(A328,Classification!A:B,2,FALSE)</f>
        <v>F</v>
      </c>
      <c r="AN328" s="28" t="b">
        <f t="shared" si="200"/>
        <v>1</v>
      </c>
      <c r="AO328" s="3" t="str">
        <f>IF(ISERROR(MATCH(A328,'SegEnds_Xtal_Prot#'!B:B, 0)), "NoXtal", "Xtal")</f>
        <v>NoXtal</v>
      </c>
      <c r="AP328" s="3">
        <f t="shared" si="185"/>
        <v>1</v>
      </c>
      <c r="AQ328" s="3">
        <f t="shared" si="186"/>
        <v>1</v>
      </c>
      <c r="AR328" s="3" t="str">
        <f t="shared" si="187"/>
        <v>-</v>
      </c>
      <c r="AS328" s="3" t="str">
        <f t="shared" si="188"/>
        <v>-</v>
      </c>
      <c r="AT328" s="3" t="str">
        <f t="shared" si="189"/>
        <v>-</v>
      </c>
      <c r="AU328" s="3" t="str">
        <f t="shared" si="190"/>
        <v>-</v>
      </c>
      <c r="AV328" s="3">
        <f t="shared" si="191"/>
        <v>12</v>
      </c>
      <c r="AW328" s="3">
        <f t="shared" si="192"/>
        <v>5</v>
      </c>
      <c r="AX328" s="3">
        <f t="shared" si="193"/>
        <v>7</v>
      </c>
      <c r="AY328" s="3">
        <f t="shared" si="194"/>
        <v>13</v>
      </c>
      <c r="AZ328" s="3">
        <f t="shared" si="195"/>
        <v>1</v>
      </c>
      <c r="BA328" s="3">
        <f>IF(ISERROR(LEN(VLOOKUP(A328,Seqs!A:E,2,FALSE))-AL328),"-",LEN(VLOOKUP(A328,Seqs!A:E,2,FALSE))-AL328)</f>
        <v>42</v>
      </c>
      <c r="BB328" s="16">
        <f t="shared" si="196"/>
        <v>26</v>
      </c>
      <c r="BC328" s="9" t="str">
        <f t="shared" si="197"/>
        <v>-</v>
      </c>
      <c r="BD328" s="3">
        <f t="shared" si="198"/>
        <v>26</v>
      </c>
      <c r="BE328" s="3">
        <f t="shared" si="199"/>
        <v>55</v>
      </c>
    </row>
    <row r="329" spans="1:58" s="3" customFormat="1" x14ac:dyDescent="0.2">
      <c r="A329" s="3" t="s">
        <v>448</v>
      </c>
      <c r="B329" s="3" t="str">
        <f>LOWER(VLOOKUP(A329,Xtal_Templ!A:B,2,FALSE))</f>
        <v>smo_human</v>
      </c>
      <c r="C329" s="3">
        <f>VLOOKUP($A329,'SegEnds_NonXtal_BW#'!$A:$Z,3,FALSE)+D329-50</f>
        <v>238</v>
      </c>
      <c r="D329" s="3">
        <v>259</v>
      </c>
      <c r="E329" s="3">
        <f>IF(ISERROR(VLOOKUP($A329,'SegEnds_NonXtal_BW#'!$A:$Z,4,FALSE)+VLOOKUP($A329,A:AL,4,FALSE)-50),"-",(VLOOKUP($A329,'SegEnds_NonXtal_BW#'!$A:$Z,4,FALSE)+VLOOKUP($A329,A:AL,4,FALSE)-50))</f>
        <v>269</v>
      </c>
      <c r="F329" s="3">
        <f t="shared" si="201"/>
        <v>270</v>
      </c>
      <c r="G329" s="3">
        <v>273</v>
      </c>
      <c r="H329" s="3">
        <f t="shared" si="184"/>
        <v>274</v>
      </c>
      <c r="I329" s="3">
        <f t="shared" si="184"/>
        <v>275</v>
      </c>
      <c r="J329" s="3">
        <v>285</v>
      </c>
      <c r="K329" s="3">
        <f>VLOOKUP($A329,'SegEnds_NonXtal_BW#'!$A:$Z,8,FALSE)+VLOOKUP($A329,A:AL,10,FALSE)-50</f>
        <v>298</v>
      </c>
      <c r="L329" s="3" t="str">
        <f>IF(ISERROR(VLOOKUP($A329,'SegEnds_NonXtal_BW#'!$A:$Z,9,FALSE)+VLOOKUP($A329,A:AL,13,FALSE)-50),"-",(VLOOKUP($A329,'SegEnds_NonXtal_BW#'!$A:$Z,9,FALSE)+VLOOKUP($A329,A:AL,13,FALSE)-50))</f>
        <v>-</v>
      </c>
      <c r="M329" s="3" t="s">
        <v>23</v>
      </c>
      <c r="N329" s="3" t="str">
        <f>IF(ISERROR(VLOOKUP($A329,'SegEnds_NonXtal_BW#'!$A:$Z,10,FALSE)+VLOOKUP($A329,A:AL,13,FALSE)-50),"-",(VLOOKUP($A329,'SegEnds_NonXtal_BW#'!$A:$Z,10,FALSE)+VLOOKUP($A329,A:AL,13,FALSE)-50))</f>
        <v>-</v>
      </c>
      <c r="O329" s="3">
        <f>VLOOKUP($A329,'SegEnds_NonXtal_BW#'!$A:$Z,11,FALSE)+VLOOKUP($A329,A:AL,16,FALSE)-50</f>
        <v>325</v>
      </c>
      <c r="P329" s="3">
        <v>352</v>
      </c>
      <c r="Q329" s="3">
        <f>VLOOKUP($A329,'SegEnds_NonXtal_BW#'!$A:$Z,12,FALSE)+VLOOKUP($A329,A:AL,16,FALSE)-50</f>
        <v>361</v>
      </c>
      <c r="R329" s="3" t="str">
        <f>IF(ISERROR(VLOOKUP($A329,'SegEnds_NonXtal_BW#'!$A:$Z,13,FALSE)+VLOOKUP($A329,A:AL,19,FALSE)-50),"-",VLOOKUP($A329,'SegEnds_NonXtal_BW#'!$A:$Z,13,FALSE)+VLOOKUP($A329,A:AL,19,FALSE)-50)</f>
        <v>-</v>
      </c>
      <c r="S329" s="3" t="s">
        <v>23</v>
      </c>
      <c r="T329" s="103" t="str">
        <f>IF(ISERROR(VLOOKUP($A329,'SegEnds_NonXtal_BW#'!$A:$Z,14,FALSE)+VLOOKUP($A329,A:AL,19,FALSE)-50),"-",(VLOOKUP($A329,'SegEnds_NonXtal_BW#'!$A:$Z,14,FALSE)+VLOOKUP($A329,A:AL,19,FALSE)-50))</f>
        <v>-</v>
      </c>
      <c r="U329" s="9">
        <f>IF(ISERROR(VLOOKUP($A329,'SegEnds_NonXtal_BW#'!$A:$Z,15,FALSE)+VLOOKUP($A329,A:AL,22,FALSE)-50),"-",VLOOKUP($A329,'SegEnds_NonXtal_BW#'!$A:$Z,15,FALSE)+VLOOKUP($A329,A:AL,22,FALSE)-50)</f>
        <v>365</v>
      </c>
      <c r="V329" s="3">
        <v>377</v>
      </c>
      <c r="W329" s="3">
        <f>IF(ISERROR(VLOOKUP($A329,'SegEnds_NonXtal_BW#'!$A:$Z,16,FALSE)+VLOOKUP($A329,A:AL,22,FALSE)-50),"-",(VLOOKUP($A329,'SegEnds_NonXtal_BW#'!$A:$Z,16,FALSE)+VLOOKUP($A329,A:AL,22,FALSE)-50))</f>
        <v>390</v>
      </c>
      <c r="X329" s="3">
        <f>IF(ISERROR(VLOOKUP($A329,'SegEnds_NonXtal_BW#'!$A:$Z,17,FALSE)+VLOOKUP($A329,A:AL,25,FALSE)-50),"-",(VLOOKUP($A329,'SegEnds_NonXtal_BW#'!$A:$Z,17,FALSE)+VLOOKUP($A329,A:AL,25,FALSE)-50))</f>
        <v>402</v>
      </c>
      <c r="Y329" s="3">
        <v>402</v>
      </c>
      <c r="Z329" s="3">
        <f t="shared" si="183"/>
        <v>404</v>
      </c>
      <c r="AA329" s="3">
        <f>IF(ISERROR(VLOOKUP($A329,'SegEnds_NonXtal_BW#'!$A:$Z,19,FALSE)+VLOOKUP($A329,A:AL,28,FALSE)-50),"-",(VLOOKUP($A329,'SegEnds_NonXtal_BW#'!$A:$Z,19,FALSE)+VLOOKUP($A329,A:AL,28,FALSE)-50))</f>
        <v>409</v>
      </c>
      <c r="AB329" s="3">
        <v>423</v>
      </c>
      <c r="AC329" s="3">
        <f>IF(ISERROR((VLOOKUP($A329,'SegEnds_NonXtal_BW#'!$A:$Z,20,FALSE)+VLOOKUP($A329,A:AL,28,FALSE)-50)),"-",(VLOOKUP($A329,'SegEnds_NonXtal_BW#'!$A:$Z,20,FALSE)+VLOOKUP($A329,A:AL,28,FALSE)-50))</f>
        <v>445</v>
      </c>
      <c r="AD329" s="3">
        <f>IF(ISERROR(VLOOKUP($A329,'SegEnds_NonXtal_BW#'!$A:$Z,21,FALSE)+VLOOKUP($A329,A:AL,31,FALSE)-50),"-",(VLOOKUP($A329,'SegEnds_NonXtal_BW#'!$A:$Z,21,FALSE)+VLOOKUP($A329,A:AL,31,FALSE)-50))</f>
        <v>452</v>
      </c>
      <c r="AE329" s="3">
        <v>478</v>
      </c>
      <c r="AF329" s="3">
        <f>IF(ISERROR((VLOOKUP($A329,'SegEnds_NonXtal_BW#'!$A:$Z,22,FALSE)+VLOOKUP($A329,A:AL,31,FALSE)-50)),"-",(VLOOKUP($A329,'SegEnds_NonXtal_BW#'!$A:$Z,22,FALSE)+VLOOKUP($A329,A:AL,31,FALSE)-50))</f>
        <v>506</v>
      </c>
      <c r="AG329" s="3">
        <f>IF(ISERROR(VLOOKUP($A329,'SegEnds_NonXtal_BW#'!$A:$Z,23,FALSE)+VLOOKUP($A329,A:AL,34,FALSE)-50),"-",(VLOOKUP($A329,'SegEnds_NonXtal_BW#'!$A:$Z,23,FALSE)+VLOOKUP($A329,A:AL,34,FALSE)-50))</f>
        <v>518</v>
      </c>
      <c r="AH329" s="3">
        <v>533</v>
      </c>
      <c r="AI329" s="3">
        <f>IF(ISERROR((VLOOKUP($A329,'SegEnds_NonXtal_BW#'!$A:$Z,24,FALSE)+VLOOKUP($A329,A:AL,34,FALSE)-50)),"-",(VLOOKUP($A329,'SegEnds_NonXtal_BW#'!$A:$Z,24,FALSE)+VLOOKUP($A329,A:AL,34,FALSE)-50))</f>
        <v>540</v>
      </c>
      <c r="AJ329" s="3">
        <f>IF(ISERROR(VLOOKUP($A329,'SegEnds_NonXtal_BW#'!$A:$Z,25,FALSE)+VLOOKUP($A329,A:AL,37,FALSE)-50),"-",(VLOOKUP($A329,'SegEnds_NonXtal_BW#'!$A:$Z,25,FALSE)+VLOOKUP($A329,A:AL,37,FALSE)-50))</f>
        <v>541</v>
      </c>
      <c r="AK329" s="3">
        <v>544</v>
      </c>
      <c r="AL329" s="3">
        <f>IF(ISERROR((VLOOKUP($A329,'SegEnds_NonXtal_BW#'!$A:$Z,26,FALSE)+VLOOKUP($A329,A:AL,37,FALSE)-50)),"-",(VLOOKUP($A329,'SegEnds_NonXtal_BW#'!$A:$Z,26,FALSE)+VLOOKUP($A329,A:AL,37,FALSE)-50))</f>
        <v>556</v>
      </c>
      <c r="AM329" s="28" t="str">
        <f>VLOOKUP(A329,Classification!A:B,2,FALSE)</f>
        <v>F</v>
      </c>
      <c r="AN329" s="28" t="b">
        <f t="shared" si="200"/>
        <v>1</v>
      </c>
      <c r="AO329" s="3" t="str">
        <f>IF(ISERROR(MATCH(A329,'SegEnds_Xtal_Prot#'!B:B, 0)), "NoXtal", "Xtal")</f>
        <v>NoXtal</v>
      </c>
      <c r="AP329" s="3">
        <f t="shared" si="185"/>
        <v>1</v>
      </c>
      <c r="AQ329" s="3">
        <f t="shared" si="186"/>
        <v>1</v>
      </c>
      <c r="AR329" s="3" t="str">
        <f t="shared" si="187"/>
        <v>-</v>
      </c>
      <c r="AS329" s="3" t="str">
        <f t="shared" si="188"/>
        <v>-</v>
      </c>
      <c r="AT329" s="3" t="str">
        <f t="shared" si="189"/>
        <v>-</v>
      </c>
      <c r="AU329" s="3" t="str">
        <f t="shared" si="190"/>
        <v>-</v>
      </c>
      <c r="AV329" s="3">
        <f t="shared" si="191"/>
        <v>12</v>
      </c>
      <c r="AW329" s="3">
        <f t="shared" si="192"/>
        <v>5</v>
      </c>
      <c r="AX329" s="3">
        <f t="shared" si="193"/>
        <v>7</v>
      </c>
      <c r="AY329" s="3">
        <f t="shared" si="194"/>
        <v>12</v>
      </c>
      <c r="AZ329" s="3">
        <f t="shared" si="195"/>
        <v>1</v>
      </c>
      <c r="BA329" s="3">
        <f>IF(ISERROR(LEN(VLOOKUP(A329,Seqs!A:E,2,FALSE))-AL329),"-",LEN(VLOOKUP(A329,Seqs!A:E,2,FALSE))-AL329)</f>
        <v>9</v>
      </c>
      <c r="BB329" s="16">
        <f t="shared" si="196"/>
        <v>26</v>
      </c>
      <c r="BC329" s="9" t="str">
        <f t="shared" si="197"/>
        <v>-</v>
      </c>
      <c r="BD329" s="3">
        <f t="shared" si="198"/>
        <v>26</v>
      </c>
      <c r="BE329" s="3">
        <f t="shared" si="199"/>
        <v>55</v>
      </c>
      <c r="BF329" s="3">
        <f>AH329-AE329</f>
        <v>55</v>
      </c>
    </row>
    <row r="330" spans="1:58" s="3" customFormat="1" x14ac:dyDescent="0.2">
      <c r="A330" s="3" t="s">
        <v>449</v>
      </c>
      <c r="B330" s="3" t="str">
        <f>LOWER(VLOOKUP(A330,Xtal_Templ!A:B,2,FALSE))</f>
        <v>smo_human</v>
      </c>
      <c r="C330" s="3">
        <f>VLOOKUP($A330,'SegEnds_NonXtal_BW#'!$A:$Z,3,FALSE)+D330-50</f>
        <v>196</v>
      </c>
      <c r="D330" s="3">
        <v>217</v>
      </c>
      <c r="E330" s="3">
        <f>IF(ISERROR(VLOOKUP($A330,'SegEnds_NonXtal_BW#'!$A:$Z,4,FALSE)+VLOOKUP($A330,A:AL,4,FALSE)-50),"-",(VLOOKUP($A330,'SegEnds_NonXtal_BW#'!$A:$Z,4,FALSE)+VLOOKUP($A330,A:AL,4,FALSE)-50))</f>
        <v>227</v>
      </c>
      <c r="F330" s="3">
        <f t="shared" si="201"/>
        <v>228</v>
      </c>
      <c r="G330" s="3">
        <v>231</v>
      </c>
      <c r="H330" s="3">
        <f t="shared" si="184"/>
        <v>232</v>
      </c>
      <c r="I330" s="3">
        <f t="shared" si="184"/>
        <v>233</v>
      </c>
      <c r="J330" s="3">
        <v>243</v>
      </c>
      <c r="K330" s="3">
        <f>VLOOKUP($A330,'SegEnds_NonXtal_BW#'!$A:$Z,8,FALSE)+VLOOKUP($A330,A:AL,10,FALSE)-50</f>
        <v>256</v>
      </c>
      <c r="L330" s="3" t="str">
        <f>IF(ISERROR(VLOOKUP($A330,'SegEnds_NonXtal_BW#'!$A:$Z,9,FALSE)+VLOOKUP($A330,A:AL,13,FALSE)-50),"-",(VLOOKUP($A330,'SegEnds_NonXtal_BW#'!$A:$Z,9,FALSE)+VLOOKUP($A330,A:AL,13,FALSE)-50))</f>
        <v>-</v>
      </c>
      <c r="M330" s="3" t="s">
        <v>23</v>
      </c>
      <c r="N330" s="3" t="str">
        <f>IF(ISERROR(VLOOKUP($A330,'SegEnds_NonXtal_BW#'!$A:$Z,10,FALSE)+VLOOKUP($A330,A:AL,13,FALSE)-50),"-",(VLOOKUP($A330,'SegEnds_NonXtal_BW#'!$A:$Z,10,FALSE)+VLOOKUP($A330,A:AL,13,FALSE)-50))</f>
        <v>-</v>
      </c>
      <c r="O330" s="3">
        <f>VLOOKUP($A330,'SegEnds_NonXtal_BW#'!$A:$Z,11,FALSE)+VLOOKUP($A330,A:AL,16,FALSE)-50</f>
        <v>284</v>
      </c>
      <c r="P330" s="3">
        <v>311</v>
      </c>
      <c r="Q330" s="3">
        <f>VLOOKUP($A330,'SegEnds_NonXtal_BW#'!$A:$Z,12,FALSE)+VLOOKUP($A330,A:AL,16,FALSE)-50</f>
        <v>320</v>
      </c>
      <c r="R330" s="3" t="str">
        <f>IF(ISERROR(VLOOKUP($A330,'SegEnds_NonXtal_BW#'!$A:$Z,13,FALSE)+VLOOKUP($A330,A:AL,19,FALSE)-50),"-",VLOOKUP($A330,'SegEnds_NonXtal_BW#'!$A:$Z,13,FALSE)+VLOOKUP($A330,A:AL,19,FALSE)-50)</f>
        <v>-</v>
      </c>
      <c r="S330" s="3" t="s">
        <v>23</v>
      </c>
      <c r="T330" s="103" t="str">
        <f>IF(ISERROR(VLOOKUP($A330,'SegEnds_NonXtal_BW#'!$A:$Z,14,FALSE)+VLOOKUP($A330,A:AL,19,FALSE)-50),"-",(VLOOKUP($A330,'SegEnds_NonXtal_BW#'!$A:$Z,14,FALSE)+VLOOKUP($A330,A:AL,19,FALSE)-50))</f>
        <v>-</v>
      </c>
      <c r="U330" s="9">
        <f>IF(ISERROR(VLOOKUP($A330,'SegEnds_NonXtal_BW#'!$A:$Z,15,FALSE)+VLOOKUP($A330,A:AL,22,FALSE)-50),"-",VLOOKUP($A330,'SegEnds_NonXtal_BW#'!$A:$Z,15,FALSE)+VLOOKUP($A330,A:AL,22,FALSE)-50)</f>
        <v>324</v>
      </c>
      <c r="V330" s="3">
        <v>336</v>
      </c>
      <c r="W330" s="3">
        <f>IF(ISERROR(VLOOKUP($A330,'SegEnds_NonXtal_BW#'!$A:$Z,16,FALSE)+VLOOKUP($A330,A:AL,22,FALSE)-50),"-",(VLOOKUP($A330,'SegEnds_NonXtal_BW#'!$A:$Z,16,FALSE)+VLOOKUP($A330,A:AL,22,FALSE)-50))</f>
        <v>349</v>
      </c>
      <c r="X330" s="3">
        <f>IF(ISERROR(VLOOKUP($A330,'SegEnds_NonXtal_BW#'!$A:$Z,17,FALSE)+VLOOKUP($A330,A:AL,25,FALSE)-50),"-",(VLOOKUP($A330,'SegEnds_NonXtal_BW#'!$A:$Z,17,FALSE)+VLOOKUP($A330,A:AL,25,FALSE)-50))</f>
        <v>361</v>
      </c>
      <c r="Y330" s="3">
        <v>361</v>
      </c>
      <c r="Z330" s="3">
        <f t="shared" ref="Z330:Z336" si="202">Y330+2</f>
        <v>363</v>
      </c>
      <c r="AA330" s="3">
        <f>IF(ISERROR(VLOOKUP($A330,'SegEnds_NonXtal_BW#'!$A:$Z,19,FALSE)+VLOOKUP($A330,A:AL,28,FALSE)-50),"-",(VLOOKUP($A330,'SegEnds_NonXtal_BW#'!$A:$Z,19,FALSE)+VLOOKUP($A330,A:AL,28,FALSE)-50))</f>
        <v>368</v>
      </c>
      <c r="AB330" s="3">
        <v>382</v>
      </c>
      <c r="AC330" s="3">
        <f>IF(ISERROR((VLOOKUP($A330,'SegEnds_NonXtal_BW#'!$A:$Z,20,FALSE)+VLOOKUP($A330,A:AL,28,FALSE)-50)),"-",(VLOOKUP($A330,'SegEnds_NonXtal_BW#'!$A:$Z,20,FALSE)+VLOOKUP($A330,A:AL,28,FALSE)-50))</f>
        <v>404</v>
      </c>
      <c r="AD330" s="3">
        <f>IF(ISERROR(VLOOKUP($A330,'SegEnds_NonXtal_BW#'!$A:$Z,21,FALSE)+VLOOKUP($A330,A:AL,31,FALSE)-50),"-",(VLOOKUP($A330,'SegEnds_NonXtal_BW#'!$A:$Z,21,FALSE)+VLOOKUP($A330,A:AL,31,FALSE)-50))</f>
        <v>411</v>
      </c>
      <c r="AE330" s="3">
        <v>437</v>
      </c>
      <c r="AF330" s="3">
        <f>IF(ISERROR((VLOOKUP($A330,'SegEnds_NonXtal_BW#'!$A:$Z,22,FALSE)+VLOOKUP($A330,A:AL,31,FALSE)-50)),"-",(VLOOKUP($A330,'SegEnds_NonXtal_BW#'!$A:$Z,22,FALSE)+VLOOKUP($A330,A:AL,31,FALSE)-50))</f>
        <v>465</v>
      </c>
      <c r="AG330" s="3">
        <f>IF(ISERROR(VLOOKUP($A330,'SegEnds_NonXtal_BW#'!$A:$Z,23,FALSE)+VLOOKUP($A330,A:AL,34,FALSE)-50),"-",(VLOOKUP($A330,'SegEnds_NonXtal_BW#'!$A:$Z,23,FALSE)+VLOOKUP($A330,A:AL,34,FALSE)-50))</f>
        <v>477</v>
      </c>
      <c r="AH330" s="3">
        <v>492</v>
      </c>
      <c r="AI330" s="3">
        <f>IF(ISERROR((VLOOKUP($A330,'SegEnds_NonXtal_BW#'!$A:$Z,24,FALSE)+VLOOKUP($A330,A:AL,34,FALSE)-50)),"-",(VLOOKUP($A330,'SegEnds_NonXtal_BW#'!$A:$Z,24,FALSE)+VLOOKUP($A330,A:AL,34,FALSE)-50))</f>
        <v>499</v>
      </c>
      <c r="AJ330" s="3">
        <f>IF(ISERROR(VLOOKUP($A330,'SegEnds_NonXtal_BW#'!$A:$Z,25,FALSE)+VLOOKUP($A330,A:AL,37,FALSE)-50),"-",(VLOOKUP($A330,'SegEnds_NonXtal_BW#'!$A:$Z,25,FALSE)+VLOOKUP($A330,A:AL,37,FALSE)-50))</f>
        <v>500</v>
      </c>
      <c r="AK330" s="3">
        <v>503</v>
      </c>
      <c r="AL330" s="3">
        <f>IF(ISERROR((VLOOKUP($A330,'SegEnds_NonXtal_BW#'!$A:$Z,26,FALSE)+VLOOKUP($A330,A:AL,37,FALSE)-50)),"-",(VLOOKUP($A330,'SegEnds_NonXtal_BW#'!$A:$Z,26,FALSE)+VLOOKUP($A330,A:AL,37,FALSE)-50))</f>
        <v>515</v>
      </c>
      <c r="AM330" s="28" t="str">
        <f>VLOOKUP(A330,Classification!A:B,2,FALSE)</f>
        <v>F</v>
      </c>
      <c r="AN330" s="28" t="b">
        <f t="shared" si="200"/>
        <v>1</v>
      </c>
      <c r="AO330" s="3" t="str">
        <f>IF(ISERROR(MATCH(A330,'SegEnds_Xtal_Prot#'!B:B, 0)), "NoXtal", "Xtal")</f>
        <v>NoXtal</v>
      </c>
      <c r="AP330" s="3">
        <f t="shared" si="185"/>
        <v>1</v>
      </c>
      <c r="AQ330" s="3">
        <f t="shared" si="186"/>
        <v>1</v>
      </c>
      <c r="AR330" s="3" t="str">
        <f t="shared" si="187"/>
        <v>-</v>
      </c>
      <c r="AS330" s="3" t="str">
        <f t="shared" si="188"/>
        <v>-</v>
      </c>
      <c r="AT330" s="3" t="str">
        <f t="shared" si="189"/>
        <v>-</v>
      </c>
      <c r="AU330" s="3" t="str">
        <f t="shared" si="190"/>
        <v>-</v>
      </c>
      <c r="AV330" s="3">
        <f t="shared" si="191"/>
        <v>12</v>
      </c>
      <c r="AW330" s="3">
        <f t="shared" si="192"/>
        <v>5</v>
      </c>
      <c r="AX330" s="3">
        <f t="shared" si="193"/>
        <v>7</v>
      </c>
      <c r="AY330" s="3">
        <f t="shared" si="194"/>
        <v>12</v>
      </c>
      <c r="AZ330" s="3">
        <f t="shared" si="195"/>
        <v>1</v>
      </c>
      <c r="BA330" s="3">
        <f>IF(ISERROR(LEN(VLOOKUP(A330,Seqs!A:E,2,FALSE))-AL330),"-",LEN(VLOOKUP(A330,Seqs!A:E,2,FALSE))-AL330)</f>
        <v>151</v>
      </c>
      <c r="BB330" s="16">
        <f t="shared" si="196"/>
        <v>26</v>
      </c>
      <c r="BC330" s="9" t="str">
        <f t="shared" si="197"/>
        <v>-</v>
      </c>
      <c r="BD330" s="3">
        <f t="shared" si="198"/>
        <v>26</v>
      </c>
      <c r="BE330" s="3">
        <f t="shared" si="199"/>
        <v>55</v>
      </c>
    </row>
    <row r="331" spans="1:58" s="3" customFormat="1" x14ac:dyDescent="0.2">
      <c r="A331" s="3" t="s">
        <v>450</v>
      </c>
      <c r="B331" s="3" t="str">
        <f>LOWER(VLOOKUP(A331,Xtal_Templ!A:B,2,FALSE))</f>
        <v>smo_human</v>
      </c>
      <c r="C331" s="3">
        <f>VLOOKUP($A331,'SegEnds_NonXtal_BW#'!$A:$Z,3,FALSE)+D331-50</f>
        <v>213</v>
      </c>
      <c r="D331" s="3">
        <v>234</v>
      </c>
      <c r="E331" s="3">
        <f>IF(ISERROR(VLOOKUP($A331,'SegEnds_NonXtal_BW#'!$A:$Z,4,FALSE)+VLOOKUP($A331,A:AL,4,FALSE)-50),"-",(VLOOKUP($A331,'SegEnds_NonXtal_BW#'!$A:$Z,4,FALSE)+VLOOKUP($A331,A:AL,4,FALSE)-50))</f>
        <v>244</v>
      </c>
      <c r="F331" s="3">
        <f t="shared" si="201"/>
        <v>245</v>
      </c>
      <c r="G331" s="3">
        <v>248</v>
      </c>
      <c r="H331" s="3">
        <f t="shared" si="184"/>
        <v>249</v>
      </c>
      <c r="I331" s="3">
        <f t="shared" si="184"/>
        <v>250</v>
      </c>
      <c r="J331" s="3">
        <v>260</v>
      </c>
      <c r="K331" s="3">
        <f>VLOOKUP($A331,'SegEnds_NonXtal_BW#'!$A:$Z,8,FALSE)+VLOOKUP($A331,A:AL,10,FALSE)-50</f>
        <v>273</v>
      </c>
      <c r="L331" s="3" t="str">
        <f>IF(ISERROR(VLOOKUP($A331,'SegEnds_NonXtal_BW#'!$A:$Z,9,FALSE)+VLOOKUP($A331,A:AL,13,FALSE)-50),"-",(VLOOKUP($A331,'SegEnds_NonXtal_BW#'!$A:$Z,9,FALSE)+VLOOKUP($A331,A:AL,13,FALSE)-50))</f>
        <v>-</v>
      </c>
      <c r="M331" s="3" t="s">
        <v>23</v>
      </c>
      <c r="N331" s="3" t="str">
        <f>IF(ISERROR(VLOOKUP($A331,'SegEnds_NonXtal_BW#'!$A:$Z,10,FALSE)+VLOOKUP($A331,A:AL,13,FALSE)-50),"-",(VLOOKUP($A331,'SegEnds_NonXtal_BW#'!$A:$Z,10,FALSE)+VLOOKUP($A331,A:AL,13,FALSE)-50))</f>
        <v>-</v>
      </c>
      <c r="O331" s="3">
        <f>VLOOKUP($A331,'SegEnds_NonXtal_BW#'!$A:$Z,11,FALSE)+VLOOKUP($A331,A:AL,16,FALSE)-50</f>
        <v>300</v>
      </c>
      <c r="P331" s="3">
        <v>327</v>
      </c>
      <c r="Q331" s="3">
        <f>VLOOKUP($A331,'SegEnds_NonXtal_BW#'!$A:$Z,12,FALSE)+VLOOKUP($A331,A:AL,16,FALSE)-50</f>
        <v>336</v>
      </c>
      <c r="R331" s="3" t="str">
        <f>IF(ISERROR(VLOOKUP($A331,'SegEnds_NonXtal_BW#'!$A:$Z,13,FALSE)+VLOOKUP($A331,A:AL,19,FALSE)-50),"-",VLOOKUP($A331,'SegEnds_NonXtal_BW#'!$A:$Z,13,FALSE)+VLOOKUP($A331,A:AL,19,FALSE)-50)</f>
        <v>-</v>
      </c>
      <c r="S331" s="3" t="s">
        <v>23</v>
      </c>
      <c r="T331" s="103" t="str">
        <f>IF(ISERROR(VLOOKUP($A331,'SegEnds_NonXtal_BW#'!$A:$Z,14,FALSE)+VLOOKUP($A331,A:AL,19,FALSE)-50),"-",(VLOOKUP($A331,'SegEnds_NonXtal_BW#'!$A:$Z,14,FALSE)+VLOOKUP($A331,A:AL,19,FALSE)-50))</f>
        <v>-</v>
      </c>
      <c r="U331" s="9">
        <f>IF(ISERROR(VLOOKUP($A331,'SegEnds_NonXtal_BW#'!$A:$Z,15,FALSE)+VLOOKUP($A331,A:AL,22,FALSE)-50),"-",VLOOKUP($A331,'SegEnds_NonXtal_BW#'!$A:$Z,15,FALSE)+VLOOKUP($A331,A:AL,22,FALSE)-50)</f>
        <v>340</v>
      </c>
      <c r="V331" s="3">
        <v>352</v>
      </c>
      <c r="W331" s="3">
        <f>IF(ISERROR(VLOOKUP($A331,'SegEnds_NonXtal_BW#'!$A:$Z,16,FALSE)+VLOOKUP($A331,A:AL,22,FALSE)-50),"-",(VLOOKUP($A331,'SegEnds_NonXtal_BW#'!$A:$Z,16,FALSE)+VLOOKUP($A331,A:AL,22,FALSE)-50))</f>
        <v>365</v>
      </c>
      <c r="X331" s="3">
        <f>IF(ISERROR(VLOOKUP($A331,'SegEnds_NonXtal_BW#'!$A:$Z,17,FALSE)+VLOOKUP($A331,A:AL,25,FALSE)-50),"-",(VLOOKUP($A331,'SegEnds_NonXtal_BW#'!$A:$Z,17,FALSE)+VLOOKUP($A331,A:AL,25,FALSE)-50))</f>
        <v>377</v>
      </c>
      <c r="Y331" s="3">
        <v>377</v>
      </c>
      <c r="Z331" s="3">
        <f t="shared" si="202"/>
        <v>379</v>
      </c>
      <c r="AA331" s="3">
        <f>IF(ISERROR(VLOOKUP($A331,'SegEnds_NonXtal_BW#'!$A:$Z,19,FALSE)+VLOOKUP($A331,A:AL,28,FALSE)-50),"-",(VLOOKUP($A331,'SegEnds_NonXtal_BW#'!$A:$Z,19,FALSE)+VLOOKUP($A331,A:AL,28,FALSE)-50))</f>
        <v>384</v>
      </c>
      <c r="AB331" s="3">
        <v>398</v>
      </c>
      <c r="AC331" s="3">
        <f>IF(ISERROR((VLOOKUP($A331,'SegEnds_NonXtal_BW#'!$A:$Z,20,FALSE)+VLOOKUP($A331,A:AL,28,FALSE)-50)),"-",(VLOOKUP($A331,'SegEnds_NonXtal_BW#'!$A:$Z,20,FALSE)+VLOOKUP($A331,A:AL,28,FALSE)-50))</f>
        <v>420</v>
      </c>
      <c r="AD331" s="3">
        <f>IF(ISERROR(VLOOKUP($A331,'SegEnds_NonXtal_BW#'!$A:$Z,21,FALSE)+VLOOKUP($A331,A:AL,31,FALSE)-50),"-",(VLOOKUP($A331,'SegEnds_NonXtal_BW#'!$A:$Z,21,FALSE)+VLOOKUP($A331,A:AL,31,FALSE)-50))</f>
        <v>427</v>
      </c>
      <c r="AE331" s="3">
        <v>453</v>
      </c>
      <c r="AF331" s="3">
        <f>IF(ISERROR((VLOOKUP($A331,'SegEnds_NonXtal_BW#'!$A:$Z,22,FALSE)+VLOOKUP($A331,A:AL,31,FALSE)-50)),"-",(VLOOKUP($A331,'SegEnds_NonXtal_BW#'!$A:$Z,22,FALSE)+VLOOKUP($A331,A:AL,31,FALSE)-50))</f>
        <v>469</v>
      </c>
      <c r="AG331" s="3">
        <f>IF(ISERROR(VLOOKUP($A331,'SegEnds_NonXtal_BW#'!$A:$Z,23,FALSE)+VLOOKUP($A331,A:AL,34,FALSE)-50),"-",(VLOOKUP($A331,'SegEnds_NonXtal_BW#'!$A:$Z,23,FALSE)+VLOOKUP($A331,A:AL,34,FALSE)-50))</f>
        <v>474</v>
      </c>
      <c r="AH331" s="3">
        <v>489</v>
      </c>
      <c r="AI331" s="3">
        <f>IF(ISERROR((VLOOKUP($A331,'SegEnds_NonXtal_BW#'!$A:$Z,24,FALSE)+VLOOKUP($A331,A:AL,34,FALSE)-50)),"-",(VLOOKUP($A331,'SegEnds_NonXtal_BW#'!$A:$Z,24,FALSE)+VLOOKUP($A331,A:AL,34,FALSE)-50))</f>
        <v>496</v>
      </c>
      <c r="AJ331" s="3">
        <f>IF(ISERROR(VLOOKUP($A331,'SegEnds_NonXtal_BW#'!$A:$Z,25,FALSE)+VLOOKUP($A331,A:AL,37,FALSE)-50),"-",(VLOOKUP($A331,'SegEnds_NonXtal_BW#'!$A:$Z,25,FALSE)+VLOOKUP($A331,A:AL,37,FALSE)-50))</f>
        <v>497</v>
      </c>
      <c r="AK331" s="3">
        <v>500</v>
      </c>
      <c r="AL331" s="3">
        <f>IF(ISERROR((VLOOKUP($A331,'SegEnds_NonXtal_BW#'!$A:$Z,26,FALSE)+VLOOKUP($A331,A:AL,37,FALSE)-50)),"-",(VLOOKUP($A331,'SegEnds_NonXtal_BW#'!$A:$Z,26,FALSE)+VLOOKUP($A331,A:AL,37,FALSE)-50))</f>
        <v>512</v>
      </c>
      <c r="AM331" s="28" t="str">
        <f>VLOOKUP(A331,Classification!A:B,2,FALSE)</f>
        <v>F</v>
      </c>
      <c r="AN331" s="28" t="b">
        <f t="shared" si="200"/>
        <v>1</v>
      </c>
      <c r="AO331" s="3" t="str">
        <f>IF(ISERROR(MATCH(A331,'SegEnds_Xtal_Prot#'!B:B, 0)), "NoXtal", "Xtal")</f>
        <v>NoXtal</v>
      </c>
      <c r="AP331" s="3">
        <f t="shared" si="185"/>
        <v>1</v>
      </c>
      <c r="AQ331" s="3">
        <f t="shared" si="186"/>
        <v>1</v>
      </c>
      <c r="AR331" s="3" t="str">
        <f t="shared" si="187"/>
        <v>-</v>
      </c>
      <c r="AS331" s="3" t="str">
        <f t="shared" si="188"/>
        <v>-</v>
      </c>
      <c r="AT331" s="3" t="str">
        <f t="shared" si="189"/>
        <v>-</v>
      </c>
      <c r="AU331" s="3" t="str">
        <f t="shared" si="190"/>
        <v>-</v>
      </c>
      <c r="AV331" s="3">
        <f t="shared" si="191"/>
        <v>12</v>
      </c>
      <c r="AW331" s="3">
        <f t="shared" si="192"/>
        <v>5</v>
      </c>
      <c r="AX331" s="3">
        <f t="shared" si="193"/>
        <v>7</v>
      </c>
      <c r="AY331" s="3">
        <f t="shared" si="194"/>
        <v>5</v>
      </c>
      <c r="AZ331" s="3">
        <f t="shared" si="195"/>
        <v>1</v>
      </c>
      <c r="BA331" s="3">
        <f>IF(ISERROR(LEN(VLOOKUP(A331,Seqs!A:E,2,FALSE))-AL331),"-",LEN(VLOOKUP(A331,Seqs!A:E,2,FALSE))-AL331)</f>
        <v>25</v>
      </c>
      <c r="BB331" s="16">
        <f t="shared" si="196"/>
        <v>26</v>
      </c>
      <c r="BC331" s="9" t="str">
        <f t="shared" si="197"/>
        <v>-</v>
      </c>
      <c r="BD331" s="3">
        <f t="shared" si="198"/>
        <v>26</v>
      </c>
      <c r="BE331" s="3">
        <f t="shared" si="199"/>
        <v>55</v>
      </c>
      <c r="BF331" s="3">
        <f>AH331-AE331</f>
        <v>36</v>
      </c>
    </row>
    <row r="332" spans="1:58" s="3" customFormat="1" x14ac:dyDescent="0.2">
      <c r="A332" s="3" t="s">
        <v>451</v>
      </c>
      <c r="B332" s="3" t="str">
        <f>LOWER(VLOOKUP(A332,Xtal_Templ!A:B,2,FALSE))</f>
        <v>smo_human</v>
      </c>
      <c r="C332" s="3">
        <f>VLOOKUP($A332,'SegEnds_NonXtal_BW#'!$A:$Z,3,FALSE)+D332-50</f>
        <v>229</v>
      </c>
      <c r="D332" s="3">
        <v>250</v>
      </c>
      <c r="E332" s="3">
        <f>IF(ISERROR(VLOOKUP($A332,'SegEnds_NonXtal_BW#'!$A:$Z,4,FALSE)+VLOOKUP($A332,A:AL,4,FALSE)-50),"-",(VLOOKUP($A332,'SegEnds_NonXtal_BW#'!$A:$Z,4,FALSE)+VLOOKUP($A332,A:AL,4,FALSE)-50))</f>
        <v>260</v>
      </c>
      <c r="F332" s="3">
        <f t="shared" si="201"/>
        <v>261</v>
      </c>
      <c r="G332" s="3">
        <v>264</v>
      </c>
      <c r="H332" s="3">
        <f t="shared" si="184"/>
        <v>265</v>
      </c>
      <c r="I332" s="3">
        <f t="shared" si="184"/>
        <v>266</v>
      </c>
      <c r="J332" s="3">
        <v>276</v>
      </c>
      <c r="K332" s="3">
        <f>VLOOKUP($A332,'SegEnds_NonXtal_BW#'!$A:$Z,8,FALSE)+VLOOKUP($A332,A:AL,10,FALSE)-50</f>
        <v>289</v>
      </c>
      <c r="L332" s="3" t="str">
        <f>IF(ISERROR(VLOOKUP($A332,'SegEnds_NonXtal_BW#'!$A:$Z,9,FALSE)+VLOOKUP($A332,A:AL,13,FALSE)-50),"-",(VLOOKUP($A332,'SegEnds_NonXtal_BW#'!$A:$Z,9,FALSE)+VLOOKUP($A332,A:AL,13,FALSE)-50))</f>
        <v>-</v>
      </c>
      <c r="M332" s="3" t="s">
        <v>23</v>
      </c>
      <c r="N332" s="3" t="str">
        <f>IF(ISERROR(VLOOKUP($A332,'SegEnds_NonXtal_BW#'!$A:$Z,10,FALSE)+VLOOKUP($A332,A:AL,13,FALSE)-50),"-",(VLOOKUP($A332,'SegEnds_NonXtal_BW#'!$A:$Z,10,FALSE)+VLOOKUP($A332,A:AL,13,FALSE)-50))</f>
        <v>-</v>
      </c>
      <c r="O332" s="3">
        <f>VLOOKUP($A332,'SegEnds_NonXtal_BW#'!$A:$Z,11,FALSE)+VLOOKUP($A332,A:AL,16,FALSE)-50</f>
        <v>313</v>
      </c>
      <c r="P332" s="3">
        <v>340</v>
      </c>
      <c r="Q332" s="3">
        <f>VLOOKUP($A332,'SegEnds_NonXtal_BW#'!$A:$Z,12,FALSE)+VLOOKUP($A332,A:AL,16,FALSE)-50</f>
        <v>349</v>
      </c>
      <c r="R332" s="3" t="str">
        <f>IF(ISERROR(VLOOKUP($A332,'SegEnds_NonXtal_BW#'!$A:$Z,13,FALSE)+VLOOKUP($A332,A:AL,19,FALSE)-50),"-",VLOOKUP($A332,'SegEnds_NonXtal_BW#'!$A:$Z,13,FALSE)+VLOOKUP($A332,A:AL,19,FALSE)-50)</f>
        <v>-</v>
      </c>
      <c r="S332" s="3" t="s">
        <v>23</v>
      </c>
      <c r="T332" s="103" t="str">
        <f>IF(ISERROR(VLOOKUP($A332,'SegEnds_NonXtal_BW#'!$A:$Z,14,FALSE)+VLOOKUP($A332,A:AL,19,FALSE)-50),"-",(VLOOKUP($A332,'SegEnds_NonXtal_BW#'!$A:$Z,14,FALSE)+VLOOKUP($A332,A:AL,19,FALSE)-50))</f>
        <v>-</v>
      </c>
      <c r="U332" s="9">
        <f>IF(ISERROR(VLOOKUP($A332,'SegEnds_NonXtal_BW#'!$A:$Z,15,FALSE)+VLOOKUP($A332,A:AL,22,FALSE)-50),"-",VLOOKUP($A332,'SegEnds_NonXtal_BW#'!$A:$Z,15,FALSE)+VLOOKUP($A332,A:AL,22,FALSE)-50)</f>
        <v>353</v>
      </c>
      <c r="V332" s="3">
        <v>365</v>
      </c>
      <c r="W332" s="3">
        <f>IF(ISERROR(VLOOKUP($A332,'SegEnds_NonXtal_BW#'!$A:$Z,16,FALSE)+VLOOKUP($A332,A:AL,22,FALSE)-50),"-",(VLOOKUP($A332,'SegEnds_NonXtal_BW#'!$A:$Z,16,FALSE)+VLOOKUP($A332,A:AL,22,FALSE)-50))</f>
        <v>378</v>
      </c>
      <c r="X332" s="3">
        <f>IF(ISERROR(VLOOKUP($A332,'SegEnds_NonXtal_BW#'!$A:$Z,17,FALSE)+VLOOKUP($A332,A:AL,25,FALSE)-50),"-",(VLOOKUP($A332,'SegEnds_NonXtal_BW#'!$A:$Z,17,FALSE)+VLOOKUP($A332,A:AL,25,FALSE)-50))</f>
        <v>390</v>
      </c>
      <c r="Y332" s="3">
        <v>390</v>
      </c>
      <c r="Z332" s="3">
        <f t="shared" si="202"/>
        <v>392</v>
      </c>
      <c r="AA332" s="3">
        <f>IF(ISERROR(VLOOKUP($A332,'SegEnds_NonXtal_BW#'!$A:$Z,19,FALSE)+VLOOKUP($A332,A:AL,28,FALSE)-50),"-",(VLOOKUP($A332,'SegEnds_NonXtal_BW#'!$A:$Z,19,FALSE)+VLOOKUP($A332,A:AL,28,FALSE)-50))</f>
        <v>397</v>
      </c>
      <c r="AB332" s="3">
        <v>411</v>
      </c>
      <c r="AC332" s="3">
        <f>IF(ISERROR((VLOOKUP($A332,'SegEnds_NonXtal_BW#'!$A:$Z,20,FALSE)+VLOOKUP($A332,A:AL,28,FALSE)-50)),"-",(VLOOKUP($A332,'SegEnds_NonXtal_BW#'!$A:$Z,20,FALSE)+VLOOKUP($A332,A:AL,28,FALSE)-50))</f>
        <v>433</v>
      </c>
      <c r="AD332" s="3">
        <f>IF(ISERROR(VLOOKUP($A332,'SegEnds_NonXtal_BW#'!$A:$Z,21,FALSE)+VLOOKUP($A332,A:AL,31,FALSE)-50),"-",(VLOOKUP($A332,'SegEnds_NonXtal_BW#'!$A:$Z,21,FALSE)+VLOOKUP($A332,A:AL,31,FALSE)-50))</f>
        <v>440</v>
      </c>
      <c r="AE332" s="3">
        <v>466</v>
      </c>
      <c r="AF332" s="3">
        <f>IF(ISERROR((VLOOKUP($A332,'SegEnds_NonXtal_BW#'!$A:$Z,22,FALSE)+VLOOKUP($A332,A:AL,31,FALSE)-50)),"-",(VLOOKUP($A332,'SegEnds_NonXtal_BW#'!$A:$Z,22,FALSE)+VLOOKUP($A332,A:AL,31,FALSE)-50))</f>
        <v>494</v>
      </c>
      <c r="AG332" s="3">
        <f>IF(ISERROR(VLOOKUP($A332,'SegEnds_NonXtal_BW#'!$A:$Z,23,FALSE)+VLOOKUP($A332,A:AL,34,FALSE)-50),"-",(VLOOKUP($A332,'SegEnds_NonXtal_BW#'!$A:$Z,23,FALSE)+VLOOKUP($A332,A:AL,34,FALSE)-50))</f>
        <v>500</v>
      </c>
      <c r="AH332" s="3">
        <v>515</v>
      </c>
      <c r="AI332" s="3">
        <f>IF(ISERROR((VLOOKUP($A332,'SegEnds_NonXtal_BW#'!$A:$Z,24,FALSE)+VLOOKUP($A332,A:AL,34,FALSE)-50)),"-",(VLOOKUP($A332,'SegEnds_NonXtal_BW#'!$A:$Z,24,FALSE)+VLOOKUP($A332,A:AL,34,FALSE)-50))</f>
        <v>522</v>
      </c>
      <c r="AJ332" s="3">
        <f>IF(ISERROR(VLOOKUP($A332,'SegEnds_NonXtal_BW#'!$A:$Z,25,FALSE)+VLOOKUP($A332,A:AL,37,FALSE)-50),"-",(VLOOKUP($A332,'SegEnds_NonXtal_BW#'!$A:$Z,25,FALSE)+VLOOKUP($A332,A:AL,37,FALSE)-50))</f>
        <v>523</v>
      </c>
      <c r="AK332" s="3">
        <v>526</v>
      </c>
      <c r="AL332" s="3">
        <f>IF(ISERROR((VLOOKUP($A332,'SegEnds_NonXtal_BW#'!$A:$Z,26,FALSE)+VLOOKUP($A332,A:AL,37,FALSE)-50)),"-",(VLOOKUP($A332,'SegEnds_NonXtal_BW#'!$A:$Z,26,FALSE)+VLOOKUP($A332,A:AL,37,FALSE)-50))</f>
        <v>538</v>
      </c>
      <c r="AM332" s="28" t="str">
        <f>VLOOKUP(A332,Classification!A:B,2,FALSE)</f>
        <v>F</v>
      </c>
      <c r="AN332" s="28" t="b">
        <f t="shared" si="200"/>
        <v>1</v>
      </c>
      <c r="AO332" s="3" t="str">
        <f>IF(ISERROR(MATCH(A332,'SegEnds_Xtal_Prot#'!B:B, 0)), "NoXtal", "Xtal")</f>
        <v>NoXtal</v>
      </c>
      <c r="AP332" s="3">
        <f t="shared" si="185"/>
        <v>1</v>
      </c>
      <c r="AQ332" s="3">
        <f t="shared" si="186"/>
        <v>1</v>
      </c>
      <c r="AR332" s="3" t="str">
        <f t="shared" si="187"/>
        <v>-</v>
      </c>
      <c r="AS332" s="3" t="str">
        <f t="shared" si="188"/>
        <v>-</v>
      </c>
      <c r="AT332" s="3" t="str">
        <f t="shared" si="189"/>
        <v>-</v>
      </c>
      <c r="AU332" s="3" t="str">
        <f t="shared" si="190"/>
        <v>-</v>
      </c>
      <c r="AV332" s="3">
        <f t="shared" si="191"/>
        <v>12</v>
      </c>
      <c r="AW332" s="3">
        <f t="shared" si="192"/>
        <v>5</v>
      </c>
      <c r="AX332" s="3">
        <f t="shared" si="193"/>
        <v>7</v>
      </c>
      <c r="AY332" s="3">
        <f t="shared" si="194"/>
        <v>6</v>
      </c>
      <c r="AZ332" s="3">
        <f t="shared" si="195"/>
        <v>1</v>
      </c>
      <c r="BA332" s="3">
        <f>IF(ISERROR(LEN(VLOOKUP(A332,Seqs!A:E,2,FALSE))-AL332),"-",LEN(VLOOKUP(A332,Seqs!A:E,2,FALSE))-AL332)</f>
        <v>47</v>
      </c>
      <c r="BB332" s="16">
        <f t="shared" si="196"/>
        <v>26</v>
      </c>
      <c r="BC332" s="9" t="str">
        <f t="shared" si="197"/>
        <v>-</v>
      </c>
      <c r="BD332" s="3">
        <f t="shared" si="198"/>
        <v>26</v>
      </c>
      <c r="BE332" s="3">
        <f t="shared" si="199"/>
        <v>55</v>
      </c>
    </row>
    <row r="333" spans="1:58" s="3" customFormat="1" x14ac:dyDescent="0.2">
      <c r="A333" s="3" t="s">
        <v>452</v>
      </c>
      <c r="B333" s="3" t="str">
        <f>LOWER(VLOOKUP(A333,Xtal_Templ!A:B,2,FALSE))</f>
        <v>smo_human</v>
      </c>
      <c r="C333" s="3">
        <f>VLOOKUP($A333,'SegEnds_NonXtal_BW#'!$A:$Z,3,FALSE)+D333-50</f>
        <v>192</v>
      </c>
      <c r="D333" s="3">
        <v>213</v>
      </c>
      <c r="E333" s="3">
        <f>IF(ISERROR(VLOOKUP($A333,'SegEnds_NonXtal_BW#'!$A:$Z,4,FALSE)+VLOOKUP($A333,A:AL,4,FALSE)-50),"-",(VLOOKUP($A333,'SegEnds_NonXtal_BW#'!$A:$Z,4,FALSE)+VLOOKUP($A333,A:AL,4,FALSE)-50))</f>
        <v>223</v>
      </c>
      <c r="F333" s="3">
        <f t="shared" si="201"/>
        <v>224</v>
      </c>
      <c r="G333" s="3">
        <v>227</v>
      </c>
      <c r="H333" s="3">
        <f t="shared" si="184"/>
        <v>228</v>
      </c>
      <c r="I333" s="3">
        <f t="shared" si="184"/>
        <v>229</v>
      </c>
      <c r="J333" s="3">
        <v>239</v>
      </c>
      <c r="K333" s="3">
        <f>VLOOKUP($A333,'SegEnds_NonXtal_BW#'!$A:$Z,8,FALSE)+VLOOKUP($A333,A:AL,10,FALSE)-50</f>
        <v>252</v>
      </c>
      <c r="L333" s="3" t="str">
        <f>IF(ISERROR(VLOOKUP($A333,'SegEnds_NonXtal_BW#'!$A:$Z,9,FALSE)+VLOOKUP($A333,A:AL,13,FALSE)-50),"-",(VLOOKUP($A333,'SegEnds_NonXtal_BW#'!$A:$Z,9,FALSE)+VLOOKUP($A333,A:AL,13,FALSE)-50))</f>
        <v>-</v>
      </c>
      <c r="M333" s="3" t="s">
        <v>23</v>
      </c>
      <c r="N333" s="3" t="str">
        <f>IF(ISERROR(VLOOKUP($A333,'SegEnds_NonXtal_BW#'!$A:$Z,10,FALSE)+VLOOKUP($A333,A:AL,13,FALSE)-50),"-",(VLOOKUP($A333,'SegEnds_NonXtal_BW#'!$A:$Z,10,FALSE)+VLOOKUP($A333,A:AL,13,FALSE)-50))</f>
        <v>-</v>
      </c>
      <c r="O333" s="3">
        <f>VLOOKUP($A333,'SegEnds_NonXtal_BW#'!$A:$Z,11,FALSE)+VLOOKUP($A333,A:AL,16,FALSE)-50</f>
        <v>280</v>
      </c>
      <c r="P333" s="3">
        <v>307</v>
      </c>
      <c r="Q333" s="3">
        <f>VLOOKUP($A333,'SegEnds_NonXtal_BW#'!$A:$Z,12,FALSE)+VLOOKUP($A333,A:AL,16,FALSE)-50</f>
        <v>316</v>
      </c>
      <c r="R333" s="3" t="str">
        <f>IF(ISERROR(VLOOKUP($A333,'SegEnds_NonXtal_BW#'!$A:$Z,13,FALSE)+VLOOKUP($A333,A:AL,19,FALSE)-50),"-",VLOOKUP($A333,'SegEnds_NonXtal_BW#'!$A:$Z,13,FALSE)+VLOOKUP($A333,A:AL,19,FALSE)-50)</f>
        <v>-</v>
      </c>
      <c r="S333" s="3" t="s">
        <v>23</v>
      </c>
      <c r="T333" s="103" t="str">
        <f>IF(ISERROR(VLOOKUP($A333,'SegEnds_NonXtal_BW#'!$A:$Z,14,FALSE)+VLOOKUP($A333,A:AL,19,FALSE)-50),"-",(VLOOKUP($A333,'SegEnds_NonXtal_BW#'!$A:$Z,14,FALSE)+VLOOKUP($A333,A:AL,19,FALSE)-50))</f>
        <v>-</v>
      </c>
      <c r="U333" s="9">
        <f>IF(ISERROR(VLOOKUP($A333,'SegEnds_NonXtal_BW#'!$A:$Z,15,FALSE)+VLOOKUP($A333,A:AL,22,FALSE)-50),"-",VLOOKUP($A333,'SegEnds_NonXtal_BW#'!$A:$Z,15,FALSE)+VLOOKUP($A333,A:AL,22,FALSE)-50)</f>
        <v>320</v>
      </c>
      <c r="V333" s="3">
        <v>332</v>
      </c>
      <c r="W333" s="3">
        <f>IF(ISERROR(VLOOKUP($A333,'SegEnds_NonXtal_BW#'!$A:$Z,16,FALSE)+VLOOKUP($A333,A:AL,22,FALSE)-50),"-",(VLOOKUP($A333,'SegEnds_NonXtal_BW#'!$A:$Z,16,FALSE)+VLOOKUP($A333,A:AL,22,FALSE)-50))</f>
        <v>345</v>
      </c>
      <c r="X333" s="3">
        <f>IF(ISERROR(VLOOKUP($A333,'SegEnds_NonXtal_BW#'!$A:$Z,17,FALSE)+VLOOKUP($A333,A:AL,25,FALSE)-50),"-",(VLOOKUP($A333,'SegEnds_NonXtal_BW#'!$A:$Z,17,FALSE)+VLOOKUP($A333,A:AL,25,FALSE)-50))</f>
        <v>357</v>
      </c>
      <c r="Y333" s="3">
        <v>357</v>
      </c>
      <c r="Z333" s="3">
        <f t="shared" si="202"/>
        <v>359</v>
      </c>
      <c r="AA333" s="3">
        <f>IF(ISERROR(VLOOKUP($A333,'SegEnds_NonXtal_BW#'!$A:$Z,19,FALSE)+VLOOKUP($A333,A:AL,28,FALSE)-50),"-",(VLOOKUP($A333,'SegEnds_NonXtal_BW#'!$A:$Z,19,FALSE)+VLOOKUP($A333,A:AL,28,FALSE)-50))</f>
        <v>364</v>
      </c>
      <c r="AB333" s="3">
        <v>378</v>
      </c>
      <c r="AC333" s="3">
        <f>IF(ISERROR((VLOOKUP($A333,'SegEnds_NonXtal_BW#'!$A:$Z,20,FALSE)+VLOOKUP($A333,A:AL,28,FALSE)-50)),"-",(VLOOKUP($A333,'SegEnds_NonXtal_BW#'!$A:$Z,20,FALSE)+VLOOKUP($A333,A:AL,28,FALSE)-50))</f>
        <v>400</v>
      </c>
      <c r="AD333" s="3">
        <f>IF(ISERROR(VLOOKUP($A333,'SegEnds_NonXtal_BW#'!$A:$Z,21,FALSE)+VLOOKUP($A333,A:AL,31,FALSE)-50),"-",(VLOOKUP($A333,'SegEnds_NonXtal_BW#'!$A:$Z,21,FALSE)+VLOOKUP($A333,A:AL,31,FALSE)-50))</f>
        <v>407</v>
      </c>
      <c r="AE333" s="3">
        <v>433</v>
      </c>
      <c r="AF333" s="3">
        <f>IF(ISERROR((VLOOKUP($A333,'SegEnds_NonXtal_BW#'!$A:$Z,22,FALSE)+VLOOKUP($A333,A:AL,31,FALSE)-50)),"-",(VLOOKUP($A333,'SegEnds_NonXtal_BW#'!$A:$Z,22,FALSE)+VLOOKUP($A333,A:AL,31,FALSE)-50))</f>
        <v>461</v>
      </c>
      <c r="AG333" s="3">
        <f>IF(ISERROR(VLOOKUP($A333,'SegEnds_NonXtal_BW#'!$A:$Z,23,FALSE)+VLOOKUP($A333,A:AL,34,FALSE)-50),"-",(VLOOKUP($A333,'SegEnds_NonXtal_BW#'!$A:$Z,23,FALSE)+VLOOKUP($A333,A:AL,34,FALSE)-50))</f>
        <v>473</v>
      </c>
      <c r="AH333" s="3">
        <v>488</v>
      </c>
      <c r="AI333" s="3">
        <f>IF(ISERROR((VLOOKUP($A333,'SegEnds_NonXtal_BW#'!$A:$Z,24,FALSE)+VLOOKUP($A333,A:AL,34,FALSE)-50)),"-",(VLOOKUP($A333,'SegEnds_NonXtal_BW#'!$A:$Z,24,FALSE)+VLOOKUP($A333,A:AL,34,FALSE)-50))</f>
        <v>495</v>
      </c>
      <c r="AJ333" s="3">
        <f>IF(ISERROR(VLOOKUP($A333,'SegEnds_NonXtal_BW#'!$A:$Z,25,FALSE)+VLOOKUP($A333,A:AL,37,FALSE)-50),"-",(VLOOKUP($A333,'SegEnds_NonXtal_BW#'!$A:$Z,25,FALSE)+VLOOKUP($A333,A:AL,37,FALSE)-50))</f>
        <v>496</v>
      </c>
      <c r="AK333" s="3">
        <v>499</v>
      </c>
      <c r="AL333" s="3">
        <f>IF(ISERROR((VLOOKUP($A333,'SegEnds_NonXtal_BW#'!$A:$Z,26,FALSE)+VLOOKUP($A333,A:AL,37,FALSE)-50)),"-",(VLOOKUP($A333,'SegEnds_NonXtal_BW#'!$A:$Z,26,FALSE)+VLOOKUP($A333,A:AL,37,FALSE)-50))</f>
        <v>511</v>
      </c>
      <c r="AM333" s="28" t="str">
        <f>VLOOKUP(A333,Classification!A:B,2,FALSE)</f>
        <v>F</v>
      </c>
      <c r="AN333" s="28" t="b">
        <f t="shared" si="200"/>
        <v>1</v>
      </c>
      <c r="AO333" s="3" t="str">
        <f>IF(ISERROR(MATCH(A333,'SegEnds_Xtal_Prot#'!B:B, 0)), "NoXtal", "Xtal")</f>
        <v>NoXtal</v>
      </c>
      <c r="AP333" s="3">
        <f t="shared" si="185"/>
        <v>1</v>
      </c>
      <c r="AQ333" s="3">
        <f t="shared" si="186"/>
        <v>1</v>
      </c>
      <c r="AR333" s="3" t="str">
        <f t="shared" si="187"/>
        <v>-</v>
      </c>
      <c r="AS333" s="3" t="str">
        <f t="shared" si="188"/>
        <v>-</v>
      </c>
      <c r="AT333" s="3" t="str">
        <f t="shared" si="189"/>
        <v>-</v>
      </c>
      <c r="AU333" s="3" t="str">
        <f t="shared" si="190"/>
        <v>-</v>
      </c>
      <c r="AV333" s="3">
        <f t="shared" si="191"/>
        <v>12</v>
      </c>
      <c r="AW333" s="3">
        <f t="shared" si="192"/>
        <v>5</v>
      </c>
      <c r="AX333" s="3">
        <f t="shared" si="193"/>
        <v>7</v>
      </c>
      <c r="AY333" s="3">
        <f t="shared" si="194"/>
        <v>12</v>
      </c>
      <c r="AZ333" s="3">
        <f t="shared" si="195"/>
        <v>1</v>
      </c>
      <c r="BA333" s="3">
        <f>IF(ISERROR(LEN(VLOOKUP(A333,Seqs!A:E,2,FALSE))-AL333),"-",LEN(VLOOKUP(A333,Seqs!A:E,2,FALSE))-AL333)</f>
        <v>195</v>
      </c>
      <c r="BB333" s="16">
        <f t="shared" si="196"/>
        <v>26</v>
      </c>
      <c r="BC333" s="9" t="str">
        <f t="shared" si="197"/>
        <v>-</v>
      </c>
      <c r="BD333" s="3">
        <f t="shared" si="198"/>
        <v>26</v>
      </c>
      <c r="BE333" s="3">
        <f t="shared" si="199"/>
        <v>55</v>
      </c>
    </row>
    <row r="334" spans="1:58" s="3" customFormat="1" x14ac:dyDescent="0.2">
      <c r="A334" s="3" t="s">
        <v>453</v>
      </c>
      <c r="B334" s="3" t="str">
        <f>LOWER(VLOOKUP(A334,Xtal_Templ!A:B,2,FALSE))</f>
        <v>smo_human</v>
      </c>
      <c r="C334" s="3">
        <f>VLOOKUP($A334,'SegEnds_NonXtal_BW#'!$A:$Z,3,FALSE)+D334-50</f>
        <v>247</v>
      </c>
      <c r="D334" s="3">
        <v>268</v>
      </c>
      <c r="E334" s="3">
        <f>IF(ISERROR(VLOOKUP($A334,'SegEnds_NonXtal_BW#'!$A:$Z,4,FALSE)+VLOOKUP($A334,A:AL,4,FALSE)-50),"-",(VLOOKUP($A334,'SegEnds_NonXtal_BW#'!$A:$Z,4,FALSE)+VLOOKUP($A334,A:AL,4,FALSE)-50))</f>
        <v>278</v>
      </c>
      <c r="F334" s="3">
        <f t="shared" si="201"/>
        <v>279</v>
      </c>
      <c r="G334" s="3">
        <v>282</v>
      </c>
      <c r="H334" s="3">
        <f t="shared" si="184"/>
        <v>283</v>
      </c>
      <c r="I334" s="3">
        <f t="shared" si="184"/>
        <v>284</v>
      </c>
      <c r="J334" s="3">
        <v>294</v>
      </c>
      <c r="K334" s="3">
        <f>VLOOKUP($A334,'SegEnds_NonXtal_BW#'!$A:$Z,8,FALSE)+VLOOKUP($A334,A:AL,10,FALSE)-50</f>
        <v>307</v>
      </c>
      <c r="L334" s="3" t="str">
        <f>IF(ISERROR(VLOOKUP($A334,'SegEnds_NonXtal_BW#'!$A:$Z,9,FALSE)+VLOOKUP($A334,A:AL,13,FALSE)-50),"-",(VLOOKUP($A334,'SegEnds_NonXtal_BW#'!$A:$Z,9,FALSE)+VLOOKUP($A334,A:AL,13,FALSE)-50))</f>
        <v>-</v>
      </c>
      <c r="M334" s="3" t="s">
        <v>23</v>
      </c>
      <c r="N334" s="3" t="str">
        <f>IF(ISERROR(VLOOKUP($A334,'SegEnds_NonXtal_BW#'!$A:$Z,10,FALSE)+VLOOKUP($A334,A:AL,13,FALSE)-50),"-",(VLOOKUP($A334,'SegEnds_NonXtal_BW#'!$A:$Z,10,FALSE)+VLOOKUP($A334,A:AL,13,FALSE)-50))</f>
        <v>-</v>
      </c>
      <c r="O334" s="3">
        <f>VLOOKUP($A334,'SegEnds_NonXtal_BW#'!$A:$Z,11,FALSE)+VLOOKUP($A334,A:AL,16,FALSE)-50</f>
        <v>334</v>
      </c>
      <c r="P334" s="3">
        <v>361</v>
      </c>
      <c r="Q334" s="3">
        <f>VLOOKUP($A334,'SegEnds_NonXtal_BW#'!$A:$Z,12,FALSE)+VLOOKUP($A334,A:AL,16,FALSE)-50</f>
        <v>370</v>
      </c>
      <c r="R334" s="3" t="str">
        <f>IF(ISERROR(VLOOKUP($A334,'SegEnds_NonXtal_BW#'!$A:$Z,13,FALSE)+VLOOKUP($A334,A:AL,19,FALSE)-50),"-",VLOOKUP($A334,'SegEnds_NonXtal_BW#'!$A:$Z,13,FALSE)+VLOOKUP($A334,A:AL,19,FALSE)-50)</f>
        <v>-</v>
      </c>
      <c r="S334" s="3" t="s">
        <v>23</v>
      </c>
      <c r="T334" s="103" t="str">
        <f>IF(ISERROR(VLOOKUP($A334,'SegEnds_NonXtal_BW#'!$A:$Z,14,FALSE)+VLOOKUP($A334,A:AL,19,FALSE)-50),"-",(VLOOKUP($A334,'SegEnds_NonXtal_BW#'!$A:$Z,14,FALSE)+VLOOKUP($A334,A:AL,19,FALSE)-50))</f>
        <v>-</v>
      </c>
      <c r="U334" s="9">
        <f>IF(ISERROR(VLOOKUP($A334,'SegEnds_NonXtal_BW#'!$A:$Z,15,FALSE)+VLOOKUP($A334,A:AL,22,FALSE)-50),"-",VLOOKUP($A334,'SegEnds_NonXtal_BW#'!$A:$Z,15,FALSE)+VLOOKUP($A334,A:AL,22,FALSE)-50)</f>
        <v>374</v>
      </c>
      <c r="V334" s="3">
        <v>386</v>
      </c>
      <c r="W334" s="3">
        <f>IF(ISERROR(VLOOKUP($A334,'SegEnds_NonXtal_BW#'!$A:$Z,16,FALSE)+VLOOKUP($A334,A:AL,22,FALSE)-50),"-",(VLOOKUP($A334,'SegEnds_NonXtal_BW#'!$A:$Z,16,FALSE)+VLOOKUP($A334,A:AL,22,FALSE)-50))</f>
        <v>399</v>
      </c>
      <c r="X334" s="3">
        <f>IF(ISERROR(VLOOKUP($A334,'SegEnds_NonXtal_BW#'!$A:$Z,17,FALSE)+VLOOKUP($A334,A:AL,25,FALSE)-50),"-",(VLOOKUP($A334,'SegEnds_NonXtal_BW#'!$A:$Z,17,FALSE)+VLOOKUP($A334,A:AL,25,FALSE)-50))</f>
        <v>411</v>
      </c>
      <c r="Y334" s="3">
        <v>411</v>
      </c>
      <c r="Z334" s="3">
        <f t="shared" si="202"/>
        <v>413</v>
      </c>
      <c r="AA334" s="3">
        <f>IF(ISERROR(VLOOKUP($A334,'SegEnds_NonXtal_BW#'!$A:$Z,19,FALSE)+VLOOKUP($A334,A:AL,28,FALSE)-50),"-",(VLOOKUP($A334,'SegEnds_NonXtal_BW#'!$A:$Z,19,FALSE)+VLOOKUP($A334,A:AL,28,FALSE)-50))</f>
        <v>418</v>
      </c>
      <c r="AB334" s="3">
        <v>432</v>
      </c>
      <c r="AC334" s="3">
        <f>IF(ISERROR((VLOOKUP($A334,'SegEnds_NonXtal_BW#'!$A:$Z,20,FALSE)+VLOOKUP($A334,A:AL,28,FALSE)-50)),"-",(VLOOKUP($A334,'SegEnds_NonXtal_BW#'!$A:$Z,20,FALSE)+VLOOKUP($A334,A:AL,28,FALSE)-50))</f>
        <v>454</v>
      </c>
      <c r="AD334" s="3">
        <f>IF(ISERROR(VLOOKUP($A334,'SegEnds_NonXtal_BW#'!$A:$Z,21,FALSE)+VLOOKUP($A334,A:AL,31,FALSE)-50),"-",(VLOOKUP($A334,'SegEnds_NonXtal_BW#'!$A:$Z,21,FALSE)+VLOOKUP($A334,A:AL,31,FALSE)-50))</f>
        <v>461</v>
      </c>
      <c r="AE334" s="3">
        <v>487</v>
      </c>
      <c r="AF334" s="3">
        <f>IF(ISERROR((VLOOKUP($A334,'SegEnds_NonXtal_BW#'!$A:$Z,22,FALSE)+VLOOKUP($A334,A:AL,31,FALSE)-50)),"-",(VLOOKUP($A334,'SegEnds_NonXtal_BW#'!$A:$Z,22,FALSE)+VLOOKUP($A334,A:AL,31,FALSE)-50))</f>
        <v>515</v>
      </c>
      <c r="AG334" s="3">
        <f>IF(ISERROR(VLOOKUP($A334,'SegEnds_NonXtal_BW#'!$A:$Z,23,FALSE)+VLOOKUP($A334,A:AL,34,FALSE)-50),"-",(VLOOKUP($A334,'SegEnds_NonXtal_BW#'!$A:$Z,23,FALSE)+VLOOKUP($A334,A:AL,34,FALSE)-50))</f>
        <v>527</v>
      </c>
      <c r="AH334" s="3">
        <v>542</v>
      </c>
      <c r="AI334" s="3">
        <f>IF(ISERROR((VLOOKUP($A334,'SegEnds_NonXtal_BW#'!$A:$Z,24,FALSE)+VLOOKUP($A334,A:AL,34,FALSE)-50)),"-",(VLOOKUP($A334,'SegEnds_NonXtal_BW#'!$A:$Z,24,FALSE)+VLOOKUP($A334,A:AL,34,FALSE)-50))</f>
        <v>549</v>
      </c>
      <c r="AJ334" s="3">
        <f>IF(ISERROR(VLOOKUP($A334,'SegEnds_NonXtal_BW#'!$A:$Z,25,FALSE)+VLOOKUP($A334,A:AL,37,FALSE)-50),"-",(VLOOKUP($A334,'SegEnds_NonXtal_BW#'!$A:$Z,25,FALSE)+VLOOKUP($A334,A:AL,37,FALSE)-50))</f>
        <v>550</v>
      </c>
      <c r="AK334" s="3">
        <v>553</v>
      </c>
      <c r="AL334" s="3">
        <f>IF(ISERROR((VLOOKUP($A334,'SegEnds_NonXtal_BW#'!$A:$Z,26,FALSE)+VLOOKUP($A334,A:AL,37,FALSE)-50)),"-",(VLOOKUP($A334,'SegEnds_NonXtal_BW#'!$A:$Z,26,FALSE)+VLOOKUP($A334,A:AL,37,FALSE)-50))</f>
        <v>565</v>
      </c>
      <c r="AM334" s="28" t="str">
        <f>VLOOKUP(A334,Classification!A:B,2,FALSE)</f>
        <v>F</v>
      </c>
      <c r="AN334" s="28" t="b">
        <f t="shared" si="200"/>
        <v>1</v>
      </c>
      <c r="AO334" s="3" t="str">
        <f>IF(ISERROR(MATCH(A334,'SegEnds_Xtal_Prot#'!B:B, 0)), "NoXtal", "Xtal")</f>
        <v>NoXtal</v>
      </c>
      <c r="AP334" s="3">
        <f t="shared" si="185"/>
        <v>1</v>
      </c>
      <c r="AQ334" s="3">
        <f t="shared" si="186"/>
        <v>1</v>
      </c>
      <c r="AR334" s="3" t="str">
        <f t="shared" si="187"/>
        <v>-</v>
      </c>
      <c r="AS334" s="3" t="str">
        <f t="shared" si="188"/>
        <v>-</v>
      </c>
      <c r="AT334" s="3" t="str">
        <f t="shared" si="189"/>
        <v>-</v>
      </c>
      <c r="AU334" s="3" t="str">
        <f t="shared" si="190"/>
        <v>-</v>
      </c>
      <c r="AV334" s="3">
        <f t="shared" si="191"/>
        <v>12</v>
      </c>
      <c r="AW334" s="3">
        <f t="shared" si="192"/>
        <v>5</v>
      </c>
      <c r="AX334" s="3">
        <f t="shared" si="193"/>
        <v>7</v>
      </c>
      <c r="AY334" s="3">
        <f t="shared" si="194"/>
        <v>12</v>
      </c>
      <c r="AZ334" s="3">
        <f t="shared" si="195"/>
        <v>1</v>
      </c>
      <c r="BA334" s="3">
        <f>IF(ISERROR(LEN(VLOOKUP(A334,Seqs!A:E,2,FALSE))-AL334),"-",LEN(VLOOKUP(A334,Seqs!A:E,2,FALSE))-AL334)</f>
        <v>9</v>
      </c>
      <c r="BB334" s="16">
        <f t="shared" si="196"/>
        <v>26</v>
      </c>
      <c r="BC334" s="9" t="str">
        <f t="shared" si="197"/>
        <v>-</v>
      </c>
      <c r="BD334" s="3">
        <f t="shared" si="198"/>
        <v>26</v>
      </c>
      <c r="BE334" s="3">
        <f t="shared" si="199"/>
        <v>55</v>
      </c>
      <c r="BF334" s="3">
        <f>AH334-AE334</f>
        <v>55</v>
      </c>
    </row>
    <row r="335" spans="1:58" s="3" customFormat="1" x14ac:dyDescent="0.2">
      <c r="A335" s="3" t="s">
        <v>454</v>
      </c>
      <c r="B335" s="3" t="str">
        <f>LOWER(VLOOKUP(A335,Xtal_Templ!A:B,2,FALSE))</f>
        <v>smo_human</v>
      </c>
      <c r="C335" s="3">
        <f>VLOOKUP($A335,'SegEnds_NonXtal_BW#'!$A:$Z,3,FALSE)+D335-50</f>
        <v>271</v>
      </c>
      <c r="D335" s="3">
        <v>292</v>
      </c>
      <c r="E335" s="3">
        <f>IF(ISERROR(VLOOKUP($A335,'SegEnds_NonXtal_BW#'!$A:$Z,4,FALSE)+VLOOKUP($A335,A:AL,4,FALSE)-50),"-",(VLOOKUP($A335,'SegEnds_NonXtal_BW#'!$A:$Z,4,FALSE)+VLOOKUP($A335,A:AL,4,FALSE)-50))</f>
        <v>302</v>
      </c>
      <c r="F335" s="3">
        <f t="shared" si="201"/>
        <v>303</v>
      </c>
      <c r="G335" s="3">
        <v>306</v>
      </c>
      <c r="H335" s="3">
        <f t="shared" si="184"/>
        <v>307</v>
      </c>
      <c r="I335" s="3">
        <f t="shared" si="184"/>
        <v>308</v>
      </c>
      <c r="J335" s="3">
        <v>318</v>
      </c>
      <c r="K335" s="3">
        <f>VLOOKUP($A335,'SegEnds_NonXtal_BW#'!$A:$Z,8,FALSE)+VLOOKUP($A335,A:AL,10,FALSE)-50</f>
        <v>331</v>
      </c>
      <c r="L335" s="3" t="str">
        <f>IF(ISERROR(VLOOKUP($A335,'SegEnds_NonXtal_BW#'!$A:$Z,9,FALSE)+VLOOKUP($A335,A:AL,13,FALSE)-50),"-",(VLOOKUP($A335,'SegEnds_NonXtal_BW#'!$A:$Z,9,FALSE)+VLOOKUP($A335,A:AL,13,FALSE)-50))</f>
        <v>-</v>
      </c>
      <c r="M335" s="3" t="s">
        <v>23</v>
      </c>
      <c r="N335" s="3" t="str">
        <f>IF(ISERROR(VLOOKUP($A335,'SegEnds_NonXtal_BW#'!$A:$Z,10,FALSE)+VLOOKUP($A335,A:AL,13,FALSE)-50),"-",(VLOOKUP($A335,'SegEnds_NonXtal_BW#'!$A:$Z,10,FALSE)+VLOOKUP($A335,A:AL,13,FALSE)-50))</f>
        <v>-</v>
      </c>
      <c r="O335" s="3">
        <f>VLOOKUP($A335,'SegEnds_NonXtal_BW#'!$A:$Z,11,FALSE)+VLOOKUP($A335,A:AL,16,FALSE)-50</f>
        <v>394</v>
      </c>
      <c r="P335" s="3">
        <v>421</v>
      </c>
      <c r="Q335" s="3">
        <f>VLOOKUP($A335,'SegEnds_NonXtal_BW#'!$A:$Z,12,FALSE)+VLOOKUP($A335,A:AL,16,FALSE)-50</f>
        <v>430</v>
      </c>
      <c r="R335" s="3" t="str">
        <f>IF(ISERROR(VLOOKUP($A335,'SegEnds_NonXtal_BW#'!$A:$Z,13,FALSE)+VLOOKUP($A335,A:AL,19,FALSE)-50),"-",VLOOKUP($A335,'SegEnds_NonXtal_BW#'!$A:$Z,13,FALSE)+VLOOKUP($A335,A:AL,19,FALSE)-50)</f>
        <v>-</v>
      </c>
      <c r="S335" s="3" t="s">
        <v>23</v>
      </c>
      <c r="T335" s="103" t="str">
        <f>IF(ISERROR(VLOOKUP($A335,'SegEnds_NonXtal_BW#'!$A:$Z,14,FALSE)+VLOOKUP($A335,A:AL,19,FALSE)-50),"-",(VLOOKUP($A335,'SegEnds_NonXtal_BW#'!$A:$Z,14,FALSE)+VLOOKUP($A335,A:AL,19,FALSE)-50))</f>
        <v>-</v>
      </c>
      <c r="U335" s="9">
        <f>IF(ISERROR(VLOOKUP($A335,'SegEnds_NonXtal_BW#'!$A:$Z,15,FALSE)+VLOOKUP($A335,A:AL,22,FALSE)-50),"-",VLOOKUP($A335,'SegEnds_NonXtal_BW#'!$A:$Z,15,FALSE)+VLOOKUP($A335,A:AL,22,FALSE)-50)</f>
        <v>434</v>
      </c>
      <c r="V335" s="3">
        <v>446</v>
      </c>
      <c r="W335" s="3">
        <f>IF(ISERROR(VLOOKUP($A335,'SegEnds_NonXtal_BW#'!$A:$Z,16,FALSE)+VLOOKUP($A335,A:AL,22,FALSE)-50),"-",(VLOOKUP($A335,'SegEnds_NonXtal_BW#'!$A:$Z,16,FALSE)+VLOOKUP($A335,A:AL,22,FALSE)-50))</f>
        <v>459</v>
      </c>
      <c r="X335" s="3">
        <f>IF(ISERROR(VLOOKUP($A335,'SegEnds_NonXtal_BW#'!$A:$Z,17,FALSE)+VLOOKUP($A335,A:AL,25,FALSE)-50),"-",(VLOOKUP($A335,'SegEnds_NonXtal_BW#'!$A:$Z,17,FALSE)+VLOOKUP($A335,A:AL,25,FALSE)-50))</f>
        <v>471</v>
      </c>
      <c r="Y335" s="3">
        <v>471</v>
      </c>
      <c r="Z335" s="3">
        <f t="shared" si="202"/>
        <v>473</v>
      </c>
      <c r="AA335" s="3">
        <f>IF(ISERROR(VLOOKUP($A335,'SegEnds_NonXtal_BW#'!$A:$Z,19,FALSE)+VLOOKUP($A335,A:AL,28,FALSE)-50),"-",(VLOOKUP($A335,'SegEnds_NonXtal_BW#'!$A:$Z,19,FALSE)+VLOOKUP($A335,A:AL,28,FALSE)-50))</f>
        <v>478</v>
      </c>
      <c r="AB335" s="3">
        <v>492</v>
      </c>
      <c r="AC335" s="3">
        <f>IF(ISERROR((VLOOKUP($A335,'SegEnds_NonXtal_BW#'!$A:$Z,20,FALSE)+VLOOKUP($A335,A:AL,28,FALSE)-50)),"-",(VLOOKUP($A335,'SegEnds_NonXtal_BW#'!$A:$Z,20,FALSE)+VLOOKUP($A335,A:AL,28,FALSE)-50))</f>
        <v>514</v>
      </c>
      <c r="AD335" s="3">
        <f>IF(ISERROR(VLOOKUP($A335,'SegEnds_NonXtal_BW#'!$A:$Z,21,FALSE)+VLOOKUP($A335,A:AL,31,FALSE)-50),"-",(VLOOKUP($A335,'SegEnds_NonXtal_BW#'!$A:$Z,21,FALSE)+VLOOKUP($A335,A:AL,31,FALSE)-50))</f>
        <v>523</v>
      </c>
      <c r="AE335" s="3">
        <v>549</v>
      </c>
      <c r="AF335" s="3">
        <f>IF(ISERROR((VLOOKUP($A335,'SegEnds_NonXtal_BW#'!$A:$Z,22,FALSE)+VLOOKUP($A335,A:AL,31,FALSE)-50)),"-",(VLOOKUP($A335,'SegEnds_NonXtal_BW#'!$A:$Z,22,FALSE)+VLOOKUP($A335,A:AL,31,FALSE)-50))</f>
        <v>577</v>
      </c>
      <c r="AG335" s="3">
        <f>IF(ISERROR(VLOOKUP($A335,'SegEnds_NonXtal_BW#'!$A:$Z,23,FALSE)+VLOOKUP($A335,A:AL,34,FALSE)-50),"-",(VLOOKUP($A335,'SegEnds_NonXtal_BW#'!$A:$Z,23,FALSE)+VLOOKUP($A335,A:AL,34,FALSE)-50))</f>
        <v>583</v>
      </c>
      <c r="AH335" s="3">
        <v>598</v>
      </c>
      <c r="AI335" s="3">
        <f>IF(ISERROR((VLOOKUP($A335,'SegEnds_NonXtal_BW#'!$A:$Z,24,FALSE)+VLOOKUP($A335,A:AL,34,FALSE)-50)),"-",(VLOOKUP($A335,'SegEnds_NonXtal_BW#'!$A:$Z,24,FALSE)+VLOOKUP($A335,A:AL,34,FALSE)-50))</f>
        <v>605</v>
      </c>
      <c r="AJ335" s="3">
        <f>IF(ISERROR(VLOOKUP($A335,'SegEnds_NonXtal_BW#'!$A:$Z,25,FALSE)+VLOOKUP($A335,A:AL,37,FALSE)-50),"-",(VLOOKUP($A335,'SegEnds_NonXtal_BW#'!$A:$Z,25,FALSE)+VLOOKUP($A335,A:AL,37,FALSE)-50))</f>
        <v>606</v>
      </c>
      <c r="AK335" s="3">
        <v>609</v>
      </c>
      <c r="AL335" s="3">
        <f>IF(ISERROR((VLOOKUP($A335,'SegEnds_NonXtal_BW#'!$A:$Z,26,FALSE)+VLOOKUP($A335,A:AL,37,FALSE)-50)),"-",(VLOOKUP($A335,'SegEnds_NonXtal_BW#'!$A:$Z,26,FALSE)+VLOOKUP($A335,A:AL,37,FALSE)-50))</f>
        <v>621</v>
      </c>
      <c r="AM335" s="28" t="str">
        <f>VLOOKUP(A335,Classification!A:B,2,FALSE)</f>
        <v>F</v>
      </c>
      <c r="AN335" s="28" t="b">
        <f t="shared" si="200"/>
        <v>1</v>
      </c>
      <c r="AO335" s="3" t="str">
        <f>IF(ISERROR(MATCH(A335,'SegEnds_Xtal_Prot#'!B:B, 0)), "NoXtal", "Xtal")</f>
        <v>NoXtal</v>
      </c>
      <c r="AP335" s="3">
        <f t="shared" si="185"/>
        <v>1</v>
      </c>
      <c r="AQ335" s="3">
        <f t="shared" si="186"/>
        <v>1</v>
      </c>
      <c r="AR335" s="3" t="str">
        <f t="shared" si="187"/>
        <v>-</v>
      </c>
      <c r="AS335" s="3" t="str">
        <f t="shared" si="188"/>
        <v>-</v>
      </c>
      <c r="AT335" s="3" t="str">
        <f t="shared" si="189"/>
        <v>-</v>
      </c>
      <c r="AU335" s="3" t="str">
        <f t="shared" si="190"/>
        <v>-</v>
      </c>
      <c r="AV335" s="3">
        <f t="shared" si="191"/>
        <v>12</v>
      </c>
      <c r="AW335" s="3">
        <f t="shared" si="192"/>
        <v>5</v>
      </c>
      <c r="AX335" s="3">
        <f t="shared" si="193"/>
        <v>9</v>
      </c>
      <c r="AY335" s="3">
        <f t="shared" si="194"/>
        <v>6</v>
      </c>
      <c r="AZ335" s="3">
        <f t="shared" si="195"/>
        <v>1</v>
      </c>
      <c r="BA335" s="3">
        <f>IF(ISERROR(LEN(VLOOKUP(A335,Seqs!A:E,2,FALSE))-AL335),"-",LEN(VLOOKUP(A335,Seqs!A:E,2,FALSE))-AL335)</f>
        <v>73</v>
      </c>
      <c r="BB335" s="16">
        <f t="shared" si="196"/>
        <v>26</v>
      </c>
      <c r="BC335" s="9" t="str">
        <f t="shared" si="197"/>
        <v>-</v>
      </c>
      <c r="BD335" s="3">
        <f t="shared" si="198"/>
        <v>26</v>
      </c>
      <c r="BE335" s="3">
        <f t="shared" si="199"/>
        <v>57</v>
      </c>
    </row>
    <row r="336" spans="1:58" s="3" customFormat="1" x14ac:dyDescent="0.2">
      <c r="A336" s="3" t="s">
        <v>455</v>
      </c>
      <c r="B336" s="3" t="str">
        <f>LOWER(VLOOKUP(A336,Xtal_Templ!A:B,2,FALSE))</f>
        <v>smo_human</v>
      </c>
      <c r="C336" s="3">
        <f>VLOOKUP($A336,'SegEnds_NonXtal_BW#'!$A:$Z,3,FALSE)+D336-50</f>
        <v>225</v>
      </c>
      <c r="D336" s="3">
        <v>246</v>
      </c>
      <c r="E336" s="3">
        <f>IF(ISERROR(VLOOKUP($A336,'SegEnds_NonXtal_BW#'!$A:$Z,4,FALSE)+VLOOKUP($A336,A:AL,4,FALSE)-50),"-",(VLOOKUP($A336,'SegEnds_NonXtal_BW#'!$A:$Z,4,FALSE)+VLOOKUP($A336,A:AL,4,FALSE)-50))</f>
        <v>256</v>
      </c>
      <c r="F336" s="3">
        <f t="shared" si="201"/>
        <v>257</v>
      </c>
      <c r="G336" s="3">
        <v>260</v>
      </c>
      <c r="H336" s="3">
        <f t="shared" si="184"/>
        <v>261</v>
      </c>
      <c r="I336" s="3">
        <f t="shared" si="184"/>
        <v>262</v>
      </c>
      <c r="J336" s="3">
        <v>272</v>
      </c>
      <c r="K336" s="3">
        <f>VLOOKUP($A336,'SegEnds_NonXtal_BW#'!$A:$Z,8,FALSE)+VLOOKUP($A336,A:AL,10,FALSE)-50</f>
        <v>285</v>
      </c>
      <c r="L336" s="3" t="str">
        <f>IF(ISERROR(VLOOKUP($A336,'SegEnds_NonXtal_BW#'!$A:$Z,9,FALSE)+VLOOKUP($A336,A:AL,13,FALSE)-50),"-",(VLOOKUP($A336,'SegEnds_NonXtal_BW#'!$A:$Z,9,FALSE)+VLOOKUP($A336,A:AL,13,FALSE)-50))</f>
        <v>-</v>
      </c>
      <c r="M336" s="3" t="s">
        <v>23</v>
      </c>
      <c r="N336" s="3" t="str">
        <f>IF(ISERROR(VLOOKUP($A336,'SegEnds_NonXtal_BW#'!$A:$Z,10,FALSE)+VLOOKUP($A336,A:AL,13,FALSE)-50),"-",(VLOOKUP($A336,'SegEnds_NonXtal_BW#'!$A:$Z,10,FALSE)+VLOOKUP($A336,A:AL,13,FALSE)-50))</f>
        <v>-</v>
      </c>
      <c r="O336" s="3">
        <f>VLOOKUP($A336,'SegEnds_NonXtal_BW#'!$A:$Z,11,FALSE)+VLOOKUP($A336,A:AL,16,FALSE)-50</f>
        <v>311</v>
      </c>
      <c r="P336" s="3">
        <v>338</v>
      </c>
      <c r="Q336" s="3">
        <f>VLOOKUP($A336,'SegEnds_NonXtal_BW#'!$A:$Z,12,FALSE)+VLOOKUP($A336,A:AL,16,FALSE)-50</f>
        <v>347</v>
      </c>
      <c r="R336" s="3" t="str">
        <f>IF(ISERROR(VLOOKUP($A336,'SegEnds_NonXtal_BW#'!$A:$Z,13,FALSE)+VLOOKUP($A336,A:AL,19,FALSE)-50),"-",VLOOKUP($A336,'SegEnds_NonXtal_BW#'!$A:$Z,13,FALSE)+VLOOKUP($A336,A:AL,19,FALSE)-50)</f>
        <v>-</v>
      </c>
      <c r="S336" s="3" t="s">
        <v>23</v>
      </c>
      <c r="T336" s="103" t="str">
        <f>IF(ISERROR(VLOOKUP($A336,'SegEnds_NonXtal_BW#'!$A:$Z,14,FALSE)+VLOOKUP($A336,A:AL,19,FALSE)-50),"-",(VLOOKUP($A336,'SegEnds_NonXtal_BW#'!$A:$Z,14,FALSE)+VLOOKUP($A336,A:AL,19,FALSE)-50))</f>
        <v>-</v>
      </c>
      <c r="U336" s="9">
        <f>IF(ISERROR(VLOOKUP($A336,'SegEnds_NonXtal_BW#'!$A:$Z,15,FALSE)+VLOOKUP($A336,A:AL,22,FALSE)-50),"-",VLOOKUP($A336,'SegEnds_NonXtal_BW#'!$A:$Z,15,FALSE)+VLOOKUP($A336,A:AL,22,FALSE)-50)</f>
        <v>351</v>
      </c>
      <c r="V336" s="3">
        <v>363</v>
      </c>
      <c r="W336" s="3">
        <f>IF(ISERROR(VLOOKUP($A336,'SegEnds_NonXtal_BW#'!$A:$Z,16,FALSE)+VLOOKUP($A336,A:AL,22,FALSE)-50),"-",(VLOOKUP($A336,'SegEnds_NonXtal_BW#'!$A:$Z,16,FALSE)+VLOOKUP($A336,A:AL,22,FALSE)-50))</f>
        <v>376</v>
      </c>
      <c r="X336" s="3">
        <f>IF(ISERROR(VLOOKUP($A336,'SegEnds_NonXtal_BW#'!$A:$Z,17,FALSE)+VLOOKUP($A336,A:AL,25,FALSE)-50),"-",(VLOOKUP($A336,'SegEnds_NonXtal_BW#'!$A:$Z,17,FALSE)+VLOOKUP($A336,A:AL,25,FALSE)-50))</f>
        <v>388</v>
      </c>
      <c r="Y336" s="3">
        <v>388</v>
      </c>
      <c r="Z336" s="3">
        <f t="shared" si="202"/>
        <v>390</v>
      </c>
      <c r="AA336" s="3">
        <f>IF(ISERROR(VLOOKUP($A336,'SegEnds_NonXtal_BW#'!$A:$Z,19,FALSE)+VLOOKUP($A336,A:AL,28,FALSE)-50),"-",(VLOOKUP($A336,'SegEnds_NonXtal_BW#'!$A:$Z,19,FALSE)+VLOOKUP($A336,A:AL,28,FALSE)-50))</f>
        <v>395</v>
      </c>
      <c r="AB336" s="3">
        <v>409</v>
      </c>
      <c r="AC336" s="3">
        <f>IF(ISERROR((VLOOKUP($A336,'SegEnds_NonXtal_BW#'!$A:$Z,20,FALSE)+VLOOKUP($A336,A:AL,28,FALSE)-50)),"-",(VLOOKUP($A336,'SegEnds_NonXtal_BW#'!$A:$Z,20,FALSE)+VLOOKUP($A336,A:AL,28,FALSE)-50))</f>
        <v>431</v>
      </c>
      <c r="AD336" s="3">
        <f>IF(ISERROR(VLOOKUP($A336,'SegEnds_NonXtal_BW#'!$A:$Z,21,FALSE)+VLOOKUP($A336,A:AL,31,FALSE)-50),"-",(VLOOKUP($A336,'SegEnds_NonXtal_BW#'!$A:$Z,21,FALSE)+VLOOKUP($A336,A:AL,31,FALSE)-50))</f>
        <v>438</v>
      </c>
      <c r="AE336" s="3">
        <v>464</v>
      </c>
      <c r="AF336" s="3">
        <f>IF(ISERROR((VLOOKUP($A336,'SegEnds_NonXtal_BW#'!$A:$Z,22,FALSE)+VLOOKUP($A336,A:AL,31,FALSE)-50)),"-",(VLOOKUP($A336,'SegEnds_NonXtal_BW#'!$A:$Z,22,FALSE)+VLOOKUP($A336,A:AL,31,FALSE)-50))</f>
        <v>492</v>
      </c>
      <c r="AG336" s="3">
        <f>IF(ISERROR(VLOOKUP($A336,'SegEnds_NonXtal_BW#'!$A:$Z,23,FALSE)+VLOOKUP($A336,A:AL,34,FALSE)-50),"-",(VLOOKUP($A336,'SegEnds_NonXtal_BW#'!$A:$Z,23,FALSE)+VLOOKUP($A336,A:AL,34,FALSE)-50))</f>
        <v>507</v>
      </c>
      <c r="AH336" s="3">
        <v>522</v>
      </c>
      <c r="AI336" s="3">
        <f>IF(ISERROR((VLOOKUP($A336,'SegEnds_NonXtal_BW#'!$A:$Z,24,FALSE)+VLOOKUP($A336,A:AL,34,FALSE)-50)),"-",(VLOOKUP($A336,'SegEnds_NonXtal_BW#'!$A:$Z,24,FALSE)+VLOOKUP($A336,A:AL,34,FALSE)-50))</f>
        <v>529</v>
      </c>
      <c r="AJ336" s="3">
        <f>IF(ISERROR(VLOOKUP($A336,'SegEnds_NonXtal_BW#'!$A:$Z,25,FALSE)+VLOOKUP($A336,A:AL,37,FALSE)-50),"-",(VLOOKUP($A336,'SegEnds_NonXtal_BW#'!$A:$Z,25,FALSE)+VLOOKUP($A336,A:AL,37,FALSE)-50))</f>
        <v>530</v>
      </c>
      <c r="AK336" s="3">
        <v>533</v>
      </c>
      <c r="AL336" s="3">
        <f>IF(ISERROR((VLOOKUP($A336,'SegEnds_NonXtal_BW#'!$A:$Z,26,FALSE)+VLOOKUP($A336,A:AL,37,FALSE)-50)),"-",(VLOOKUP($A336,'SegEnds_NonXtal_BW#'!$A:$Z,26,FALSE)+VLOOKUP($A336,A:AL,37,FALSE)-50))</f>
        <v>545</v>
      </c>
      <c r="AM336" s="28" t="str">
        <f>VLOOKUP(A336,Classification!A:B,2,FALSE)</f>
        <v>F</v>
      </c>
      <c r="AN336" s="28" t="b">
        <f t="shared" si="200"/>
        <v>1</v>
      </c>
      <c r="AO336" s="3" t="str">
        <f>IF(ISERROR(MATCH(A336,'SegEnds_Xtal_Prot#'!B:B, 0)), "NoXtal", "Xtal")</f>
        <v>NoXtal</v>
      </c>
      <c r="AP336" s="3">
        <f t="shared" si="185"/>
        <v>1</v>
      </c>
      <c r="AQ336" s="3">
        <f t="shared" si="186"/>
        <v>1</v>
      </c>
      <c r="AR336" s="3" t="str">
        <f t="shared" si="187"/>
        <v>-</v>
      </c>
      <c r="AS336" s="3" t="str">
        <f t="shared" si="188"/>
        <v>-</v>
      </c>
      <c r="AT336" s="3" t="str">
        <f t="shared" si="189"/>
        <v>-</v>
      </c>
      <c r="AU336" s="3" t="str">
        <f t="shared" si="190"/>
        <v>-</v>
      </c>
      <c r="AV336" s="3">
        <f t="shared" si="191"/>
        <v>12</v>
      </c>
      <c r="AW336" s="3">
        <f t="shared" si="192"/>
        <v>5</v>
      </c>
      <c r="AX336" s="3">
        <f t="shared" si="193"/>
        <v>7</v>
      </c>
      <c r="AY336" s="3">
        <f t="shared" si="194"/>
        <v>15</v>
      </c>
      <c r="AZ336" s="3">
        <f t="shared" si="195"/>
        <v>1</v>
      </c>
      <c r="BA336" s="3">
        <f>IF(ISERROR(LEN(VLOOKUP(A336,Seqs!A:E,2,FALSE))-AL336),"-",LEN(VLOOKUP(A336,Seqs!A:E,2,FALSE))-AL336)</f>
        <v>46</v>
      </c>
      <c r="BB336" s="16">
        <f t="shared" si="196"/>
        <v>26</v>
      </c>
      <c r="BC336" s="9" t="str">
        <f t="shared" si="197"/>
        <v>-</v>
      </c>
      <c r="BD336" s="3">
        <f t="shared" si="198"/>
        <v>26</v>
      </c>
      <c r="BE336" s="3">
        <f t="shared" si="199"/>
        <v>55</v>
      </c>
    </row>
    <row r="337" spans="1:58" s="3" customFormat="1" x14ac:dyDescent="0.2">
      <c r="A337" s="3" t="s">
        <v>481</v>
      </c>
      <c r="B337" s="3" t="str">
        <f>LOWER(VLOOKUP(A337,Xtal_Templ!A:B,2,FALSE))</f>
        <v>agtr1_human</v>
      </c>
      <c r="C337" s="3">
        <v>20</v>
      </c>
      <c r="D337" s="3">
        <v>53</v>
      </c>
      <c r="E337" s="3">
        <f>IF(ISERROR(VLOOKUP($A337,'SegEnds_NonXtal_BW#'!$A:$Z,4,FALSE)+VLOOKUP($A337,A:AL,4,FALSE)-50),"-",(VLOOKUP($A337,'SegEnds_NonXtal_BW#'!$A:$Z,4,FALSE)+VLOOKUP($A337,A:AL,4,FALSE)-50))</f>
        <v>63</v>
      </c>
      <c r="F337" s="3" t="str">
        <f>IF(ISERROR(VLOOKUP($A337,'SegEnds_NonXtal_BW#'!$A:$Z,5,FALSE)+VLOOKUP($A337,A:AL,7,FALSE)-50),"-",(VLOOKUP($A337,'SegEnds_NonXtal_BW#'!$A:$Z,5,FALSE)+VLOOKUP($A337,A:AL,7,FALSE)-50))</f>
        <v>-</v>
      </c>
      <c r="G337" s="3" t="s">
        <v>23</v>
      </c>
      <c r="H337" s="3" t="str">
        <f>IF(ISERROR(VLOOKUP($A337,'SegEnds_NonXtal_BW#'!$A:$Z,6,FALSE)+VLOOKUP($A337,A:AL,7,FALSE)-50),"-",(VLOOKUP($A337,'SegEnds_NonXtal_BW#'!$A:$Z,6,FALSE)+VLOOKUP($A337,A:AL,7,FALSE)-50))</f>
        <v>-</v>
      </c>
      <c r="I337" s="3">
        <f>VLOOKUP($A337,'SegEnds_NonXtal_BW#'!$A:$Z,7,FALSE)+J337-50</f>
        <v>60</v>
      </c>
      <c r="J337" s="3">
        <v>71</v>
      </c>
      <c r="K337" s="3">
        <f>VLOOKUP($A337,'SegEnds_NonXtal_BW#'!$A:$Z,8,FALSE)+VLOOKUP($A337,A:AL,10,FALSE)-50</f>
        <v>84</v>
      </c>
      <c r="L337" s="3" t="str">
        <f>IF(ISERROR(VLOOKUP($A337,'SegEnds_NonXtal_BW#'!$A:$Z,9,FALSE)+VLOOKUP($A337,A:AL,13,FALSE)-50),"-",(VLOOKUP($A337,'SegEnds_NonXtal_BW#'!$A:$Z,9,FALSE)+VLOOKUP($A337,A:AL,13,FALSE)-50))</f>
        <v>-</v>
      </c>
      <c r="M337" s="3" t="s">
        <v>23</v>
      </c>
      <c r="N337" s="3" t="str">
        <f>IF(ISERROR(VLOOKUP($A337,'SegEnds_NonXtal_BW#'!$A:$Z,10,FALSE)+VLOOKUP($A337,A:AL,13,FALSE)-50),"-",(VLOOKUP($A337,'SegEnds_NonXtal_BW#'!$A:$Z,10,FALSE)+VLOOKUP($A337,A:AL,13,FALSE)-50))</f>
        <v>-</v>
      </c>
      <c r="O337" s="3">
        <f>VLOOKUP($A337,'SegEnds_NonXtal_BW#'!$A:$Z,11,FALSE)+VLOOKUP($A337,A:AL,16,FALSE)-50</f>
        <v>125</v>
      </c>
      <c r="P337" s="3">
        <v>152</v>
      </c>
      <c r="Q337" s="3">
        <f>VLOOKUP($A337,'SegEnds_NonXtal_BW#'!$A:$Z,12,FALSE)+VLOOKUP($A337,A:AL,16,FALSE)-50</f>
        <v>158</v>
      </c>
      <c r="R337" s="3" t="str">
        <f>IF(ISERROR(VLOOKUP($A337,'SegEnds_NonXtal_BW#'!$A:$Z,13,FALSE)+VLOOKUP($A337,A:AL,19,FALSE)-50),"-",VLOOKUP($A337,'SegEnds_NonXtal_BW#'!$A:$Z,13,FALSE)+VLOOKUP($A337,A:AL,19,FALSE)-50)</f>
        <v>-</v>
      </c>
      <c r="S337" s="3" t="s">
        <v>23</v>
      </c>
      <c r="T337" s="103" t="str">
        <f>IF(ISERROR(VLOOKUP($A337,'SegEnds_NonXtal_BW#'!$A:$Z,14,FALSE)+VLOOKUP($A337,A:AL,19,FALSE)-50),"-",(VLOOKUP($A337,'SegEnds_NonXtal_BW#'!$A:$Z,14,FALSE)+VLOOKUP($A337,A:AL,19,FALSE)-50))</f>
        <v>-</v>
      </c>
      <c r="U337" s="9">
        <f>IF(ISERROR(VLOOKUP($A337,'SegEnds_NonXtal_BW#'!$A:$Z,15,FALSE)+VLOOKUP($A337,A:AL,22,FALSE)-50),"-",VLOOKUP($A337,'SegEnds_NonXtal_BW#'!$A:$Z,15,FALSE)+VLOOKUP($A337,A:AL,22,FALSE)-50)</f>
        <v>175</v>
      </c>
      <c r="V337" s="3">
        <v>185</v>
      </c>
      <c r="W337" s="3">
        <f>IF(ISERROR(VLOOKUP($A337,'SegEnds_NonXtal_BW#'!$A:$Z,16,FALSE)+VLOOKUP($A337,A:AL,22,FALSE)-50),"-",(VLOOKUP($A337,'SegEnds_NonXtal_BW#'!$A:$Z,16,FALSE)+VLOOKUP($A337,A:AL,22,FALSE)-50))</f>
        <v>199</v>
      </c>
      <c r="X337" s="3" t="str">
        <f>IF(ISERROR(VLOOKUP($A337,'SegEnds_NonXtal_BW#'!$A:$Z,17,FALSE)+VLOOKUP($A337,A:AL,25,FALSE)-50),"-",(VLOOKUP($A337,'SegEnds_NonXtal_BW#'!$A:$Z,17,FALSE)+VLOOKUP($A337,A:AL,25,FALSE)-50))</f>
        <v>-</v>
      </c>
      <c r="Y337" s="3" t="s">
        <v>23</v>
      </c>
      <c r="Z337" s="3" t="str">
        <f>IF(ISERROR(VLOOKUP($A337,'SegEnds_NonXtal_BW#'!$A:$Z,18,FALSE)+VLOOKUP($A337,A:AL,25,FALSE)-50),"-",(VLOOKUP($A337,'SegEnds_NonXtal_BW#'!$A:$Z,18,FALSE)+VLOOKUP($A337,A:AL,25,FALSE)-50))</f>
        <v>-</v>
      </c>
      <c r="AA337" s="3">
        <f>IF(ISERROR(VLOOKUP($A337,'SegEnds_NonXtal_BW#'!$A:$Z,19,FALSE)+VLOOKUP($A337,A:AL,28,FALSE)-50),"-",(VLOOKUP($A337,'SegEnds_NonXtal_BW#'!$A:$Z,19,FALSE)+VLOOKUP($A337,A:AL,28,FALSE)-50))</f>
        <v>257</v>
      </c>
      <c r="AB337" s="3">
        <v>268</v>
      </c>
      <c r="AC337" s="3">
        <f>IF(ISERROR((VLOOKUP($A337,'SegEnds_NonXtal_BW#'!$A:$Z,20,FALSE)+VLOOKUP($A337,A:AL,28,FALSE)-50)),"-",(VLOOKUP($A337,'SegEnds_NonXtal_BW#'!$A:$Z,20,FALSE)+VLOOKUP($A337,A:AL,28,FALSE)-50))</f>
        <v>279</v>
      </c>
      <c r="AD337" s="3">
        <f>IF(ISERROR(VLOOKUP($A337,'SegEnds_NonXtal_BW#'!$A:$Z,21,FALSE)+VLOOKUP($A337,A:AL,31,FALSE)-50),"-",(VLOOKUP($A337,'SegEnds_NonXtal_BW#'!$A:$Z,21,FALSE)+VLOOKUP($A337,A:AL,31,FALSE)-50))</f>
        <v>326</v>
      </c>
      <c r="AE337" s="3">
        <v>347</v>
      </c>
      <c r="AF337" s="3">
        <f>IF(ISERROR((VLOOKUP($A337,'SegEnds_NonXtal_BW#'!$A:$Z,22,FALSE)+VLOOKUP($A337,A:AL,31,FALSE)-50)),"-",(VLOOKUP($A337,'SegEnds_NonXtal_BW#'!$A:$Z,22,FALSE)+VLOOKUP($A337,A:AL,31,FALSE)-50))</f>
        <v>350</v>
      </c>
      <c r="AG337" s="3">
        <f>IF(ISERROR(VLOOKUP($A337,'SegEnds_NonXtal_BW#'!$A:$Z,23,FALSE)+VLOOKUP($A337,A:AL,34,FALSE)-50),"-",(VLOOKUP($A337,'SegEnds_NonXtal_BW#'!$A:$Z,23,FALSE)+VLOOKUP($A337,A:AL,34,FALSE)-50))</f>
        <v>365</v>
      </c>
      <c r="AH337" s="3">
        <v>380</v>
      </c>
      <c r="AI337" s="3">
        <f>IF(ISERROR((VLOOKUP($A337,'SegEnds_NonXtal_BW#'!$A:$Z,24,FALSE)+VLOOKUP($A337,A:AL,34,FALSE)-50)),"-",(VLOOKUP($A337,'SegEnds_NonXtal_BW#'!$A:$Z,24,FALSE)+VLOOKUP($A337,A:AL,34,FALSE)-50))</f>
        <v>386</v>
      </c>
      <c r="AJ337" s="3">
        <f>IF(ISERROR(VLOOKUP($A337,'SegEnds_NonXtal_BW#'!$A:$Z,25,FALSE)+VLOOKUP($A337,A:AL,37,FALSE)-50),"-",(VLOOKUP($A337,'SegEnds_NonXtal_BW#'!$A:$Z,25,FALSE)+VLOOKUP($A337,A:AL,37,FALSE)-50))</f>
        <v>387</v>
      </c>
      <c r="AK337" s="3">
        <v>390</v>
      </c>
      <c r="AL337" s="3">
        <f>IF(ISERROR((VLOOKUP($A337,'SegEnds_NonXtal_BW#'!$A:$Z,26,FALSE)+VLOOKUP($A337,A:AL,37,FALSE)-50)),"-",(VLOOKUP($A337,'SegEnds_NonXtal_BW#'!$A:$Z,26,FALSE)+VLOOKUP($A337,A:AL,37,FALSE)-50))</f>
        <v>397</v>
      </c>
      <c r="AM337" s="28" t="str">
        <f>VLOOKUP(A337,Classification!A:B,2,FALSE)</f>
        <v>O</v>
      </c>
      <c r="AN337" s="28" t="b">
        <f t="shared" si="200"/>
        <v>1</v>
      </c>
      <c r="AO337" s="3" t="str">
        <f>IF(ISERROR(MATCH(A337,'SegEnds_Xtal_Prot#'!B:B, 0)), "NoXtal", "Xtal")</f>
        <v>NoXtal</v>
      </c>
      <c r="AP337" s="3" t="str">
        <f t="shared" si="185"/>
        <v>-</v>
      </c>
      <c r="AQ337" s="3" t="str">
        <f t="shared" si="186"/>
        <v>-</v>
      </c>
      <c r="AR337" s="3" t="str">
        <f t="shared" si="187"/>
        <v>-</v>
      </c>
      <c r="AS337" s="3" t="str">
        <f t="shared" si="188"/>
        <v>-</v>
      </c>
      <c r="AT337" s="3" t="str">
        <f t="shared" si="189"/>
        <v>-</v>
      </c>
      <c r="AU337" s="3" t="str">
        <f t="shared" si="190"/>
        <v>-</v>
      </c>
      <c r="AV337" s="3" t="str">
        <f t="shared" si="191"/>
        <v>-</v>
      </c>
      <c r="AW337" s="3" t="str">
        <f t="shared" si="192"/>
        <v>-</v>
      </c>
      <c r="AX337" s="3">
        <f t="shared" si="193"/>
        <v>47</v>
      </c>
      <c r="AY337" s="3">
        <f t="shared" si="194"/>
        <v>15</v>
      </c>
      <c r="AZ337" s="3">
        <f t="shared" si="195"/>
        <v>1</v>
      </c>
      <c r="BA337" s="3">
        <f>IF(ISERROR(LEN(VLOOKUP(A337,Seqs!A:E,2,FALSE))-AL337),"-",LEN(VLOOKUP(A337,Seqs!A:E,2,FALSE))-AL337)</f>
        <v>20</v>
      </c>
      <c r="BB337" s="16">
        <f t="shared" si="196"/>
        <v>18</v>
      </c>
      <c r="BC337" s="9" t="str">
        <f t="shared" si="197"/>
        <v>-</v>
      </c>
      <c r="BD337" s="3">
        <f t="shared" si="198"/>
        <v>18</v>
      </c>
      <c r="BE337" s="3">
        <f t="shared" si="199"/>
        <v>79</v>
      </c>
      <c r="BF337" s="3">
        <f>AH337-AE337</f>
        <v>33</v>
      </c>
    </row>
    <row r="338" spans="1:58" s="3" customFormat="1" x14ac:dyDescent="0.2">
      <c r="A338" s="3" t="s">
        <v>106</v>
      </c>
      <c r="B338" s="3" t="str">
        <f>LOWER(VLOOKUP(A338,Xtal_Templ!A:B,2,FALSE))</f>
        <v>grm5_human</v>
      </c>
      <c r="C338" s="3">
        <f>VLOOKUP($A338,'SegEnds_NonXtal_BW#'!$A:$Z,3,FALSE)+D338-50</f>
        <v>590</v>
      </c>
      <c r="D338" s="3">
        <v>606</v>
      </c>
      <c r="E338" s="3">
        <f>IF(ISERROR(VLOOKUP($A338,'SegEnds_NonXtal_BW#'!$A:$Z,4,FALSE)+VLOOKUP($A338,A:AL,4,FALSE)-50),"-",(VLOOKUP($A338,'SegEnds_NonXtal_BW#'!$A:$Z,4,FALSE)+VLOOKUP($A338,A:AL,4,FALSE)-50))</f>
        <v>616</v>
      </c>
      <c r="F338" s="3">
        <f>G338-3</f>
        <v>619</v>
      </c>
      <c r="G338" s="3">
        <v>622</v>
      </c>
      <c r="H338" s="3">
        <f>G338+3</f>
        <v>625</v>
      </c>
      <c r="I338" s="3">
        <f t="shared" ref="I338:I344" si="203">H338+1</f>
        <v>626</v>
      </c>
      <c r="J338" s="3">
        <v>637</v>
      </c>
      <c r="K338" s="3">
        <f>VLOOKUP($A338,'SegEnds_NonXtal_BW#'!$A:$Z,8,FALSE)+VLOOKUP($A338,A:AL,10,FALSE)-50</f>
        <v>648</v>
      </c>
      <c r="L338" s="3" t="str">
        <f>IF(ISERROR(VLOOKUP($A338,'SegEnds_NonXtal_BW#'!$A:$Z,9,FALSE)+VLOOKUP($A338,A:AL,13,FALSE)-50),"-",(VLOOKUP($A338,'SegEnds_NonXtal_BW#'!$A:$Z,9,FALSE)+VLOOKUP($A338,A:AL,13,FALSE)-50))</f>
        <v>-</v>
      </c>
      <c r="M338" s="3" t="s">
        <v>23</v>
      </c>
      <c r="N338" s="3" t="str">
        <f>IF(ISERROR(VLOOKUP($A338,'SegEnds_NonXtal_BW#'!$A:$Z,10,FALSE)+VLOOKUP($A338,A:AL,13,FALSE)-50),"-",(VLOOKUP($A338,'SegEnds_NonXtal_BW#'!$A:$Z,10,FALSE)+VLOOKUP($A338,A:AL,13,FALSE)-50))</f>
        <v>-</v>
      </c>
      <c r="O338" s="3">
        <f>VLOOKUP($A338,'SegEnds_NonXtal_BW#'!$A:$Z,11,FALSE)+VLOOKUP($A338,A:AL,16,FALSE)-50</f>
        <v>660</v>
      </c>
      <c r="P338" s="3">
        <v>688</v>
      </c>
      <c r="Q338" s="3">
        <f>VLOOKUP($A338,'SegEnds_NonXtal_BW#'!$A:$Z,12,FALSE)+VLOOKUP($A338,A:AL,16,FALSE)-50</f>
        <v>692</v>
      </c>
      <c r="R338" s="3" t="str">
        <f>IF(ISERROR(VLOOKUP($A338,'SegEnds_NonXtal_BW#'!$A:$Z,13,FALSE)+VLOOKUP($A338,A:AL,19,FALSE)-50),"-",VLOOKUP($A338,'SegEnds_NonXtal_BW#'!$A:$Z,13,FALSE)+VLOOKUP($A338,A:AL,19,FALSE)-50)</f>
        <v>-</v>
      </c>
      <c r="S338" s="3" t="s">
        <v>23</v>
      </c>
      <c r="T338" s="103" t="str">
        <f>IF(ISERROR(VLOOKUP($A338,'SegEnds_NonXtal_BW#'!$A:$Z,14,FALSE)+VLOOKUP($A338,A:AL,19,FALSE)-50),"-",(VLOOKUP($A338,'SegEnds_NonXtal_BW#'!$A:$Z,14,FALSE)+VLOOKUP($A338,A:AL,19,FALSE)-50))</f>
        <v>-</v>
      </c>
      <c r="U338" s="9">
        <f>IF(ISERROR(VLOOKUP($A338,'SegEnds_NonXtal_BW#'!$A:$Z,15,FALSE)+VLOOKUP($A338,A:AL,22,FALSE)-50),"-",VLOOKUP($A338,'SegEnds_NonXtal_BW#'!$A:$Z,15,FALSE)+VLOOKUP($A338,A:AL,22,FALSE)-50)</f>
        <v>706</v>
      </c>
      <c r="V338" s="3">
        <v>718</v>
      </c>
      <c r="W338" s="3">
        <f>IF(ISERROR(VLOOKUP($A338,'SegEnds_NonXtal_BW#'!$A:$Z,16,FALSE)+VLOOKUP($A338,A:AL,22,FALSE)-50),"-",(VLOOKUP($A338,'SegEnds_NonXtal_BW#'!$A:$Z,16,FALSE)+VLOOKUP($A338,A:AL,22,FALSE)-50))</f>
        <v>732</v>
      </c>
      <c r="X338" s="3">
        <f>IF(ISERROR(VLOOKUP($A338,'SegEnds_NonXtal_BW#'!$A:$Z,17,FALSE)+VLOOKUP($A338,A:AL,25,FALSE)-50),"-",(VLOOKUP($A338,'SegEnds_NonXtal_BW#'!$A:$Z,17,FALSE)+VLOOKUP($A338,A:AL,25,FALSE)-50))</f>
        <v>761</v>
      </c>
      <c r="Y338" s="3">
        <v>761</v>
      </c>
      <c r="Z338" s="3">
        <f t="shared" ref="Z338:Z344" si="204">Y338+2</f>
        <v>763</v>
      </c>
      <c r="AA338" s="3">
        <f>IF(ISERROR(VLOOKUP($A338,'SegEnds_NonXtal_BW#'!$A:$Z,19,FALSE)+VLOOKUP($A338,A:AL,28,FALSE)-50),"-",(VLOOKUP($A338,'SegEnds_NonXtal_BW#'!$A:$Z,19,FALSE)+VLOOKUP($A338,A:AL,28,FALSE)-50))</f>
        <v>767</v>
      </c>
      <c r="AB338" s="3">
        <v>780</v>
      </c>
      <c r="AC338" s="3">
        <f>IF(ISERROR((VLOOKUP($A338,'SegEnds_NonXtal_BW#'!$A:$Z,20,FALSE)+VLOOKUP($A338,A:AL,28,FALSE)-50)),"-",(VLOOKUP($A338,'SegEnds_NonXtal_BW#'!$A:$Z,20,FALSE)+VLOOKUP($A338,A:AL,28,FALSE)-50))</f>
        <v>791</v>
      </c>
      <c r="AD338" s="3">
        <f>IF(ISERROR(VLOOKUP($A338,'SegEnds_NonXtal_BW#'!$A:$Z,21,FALSE)+VLOOKUP($A338,A:AL,31,FALSE)-50),"-",(VLOOKUP($A338,'SegEnds_NonXtal_BW#'!$A:$Z,21,FALSE)+VLOOKUP($A338,A:AL,31,FALSE)-50))</f>
        <v>801</v>
      </c>
      <c r="AE338" s="3">
        <v>818</v>
      </c>
      <c r="AF338" s="3">
        <f>IF(ISERROR((VLOOKUP($A338,'SegEnds_NonXtal_BW#'!$A:$Z,22,FALSE)+VLOOKUP($A338,A:AL,31,FALSE)-50)),"-",(VLOOKUP($A338,'SegEnds_NonXtal_BW#'!$A:$Z,22,FALSE)+VLOOKUP($A338,A:AL,31,FALSE)-50))</f>
        <v>825</v>
      </c>
      <c r="AG338" s="3">
        <f>IF(ISERROR(VLOOKUP($A338,'SegEnds_NonXtal_BW#'!$A:$Z,23,FALSE)+VLOOKUP($A338,A:AL,34,FALSE)-50),"-",(VLOOKUP($A338,'SegEnds_NonXtal_BW#'!$A:$Z,23,FALSE)+VLOOKUP($A338,A:AL,34,FALSE)-50))</f>
        <v>833</v>
      </c>
      <c r="AH338" s="3">
        <v>849</v>
      </c>
      <c r="AI338" s="3">
        <f>IF(ISERROR((VLOOKUP($A338,'SegEnds_NonXtal_BW#'!$A:$Z,24,FALSE)+VLOOKUP($A338,A:AL,34,FALSE)-50)),"-",(VLOOKUP($A338,'SegEnds_NonXtal_BW#'!$A:$Z,24,FALSE)+VLOOKUP($A338,A:AL,34,FALSE)-50))</f>
        <v>862</v>
      </c>
      <c r="AJ338" s="3">
        <f>IF(ISERROR(VLOOKUP($A338,'SegEnds_NonXtal_BW#'!$A:$Z,25,FALSE)+VLOOKUP($A338,A:AL,37,FALSE)-50),"-",(VLOOKUP($A338,'SegEnds_NonXtal_BW#'!$A:$Z,25,FALSE)+VLOOKUP($A338,A:AL,37,FALSE)-50))</f>
        <v>863</v>
      </c>
      <c r="AK338" s="3">
        <v>866</v>
      </c>
      <c r="AL338" s="3">
        <f>IF(ISERROR((VLOOKUP($A338,'SegEnds_NonXtal_BW#'!$A:$Z,26,FALSE)+VLOOKUP($A338,A:AL,37,FALSE)-50)),"-",(VLOOKUP($A338,'SegEnds_NonXtal_BW#'!$A:$Z,26,FALSE)+VLOOKUP($A338,A:AL,37,FALSE)-50))</f>
        <v>875</v>
      </c>
      <c r="AM338" s="28" t="str">
        <f>VLOOKUP(A338,Classification!A:B,2,FALSE)</f>
        <v>C</v>
      </c>
      <c r="AN338" s="28" t="b">
        <f t="shared" si="200"/>
        <v>1</v>
      </c>
      <c r="AO338" s="3" t="str">
        <f>IF(ISERROR(MATCH(A338,'SegEnds_Xtal_Prot#'!B:B, 0)), "NoXtal", "Xtal")</f>
        <v>NoXtal</v>
      </c>
      <c r="AP338" s="3">
        <f t="shared" si="185"/>
        <v>3</v>
      </c>
      <c r="AQ338" s="3">
        <f t="shared" si="186"/>
        <v>1</v>
      </c>
      <c r="AR338" s="3" t="str">
        <f t="shared" si="187"/>
        <v>-</v>
      </c>
      <c r="AS338" s="3" t="str">
        <f t="shared" si="188"/>
        <v>-</v>
      </c>
      <c r="AT338" s="3" t="str">
        <f t="shared" si="189"/>
        <v>-</v>
      </c>
      <c r="AU338" s="3" t="str">
        <f t="shared" si="190"/>
        <v>-</v>
      </c>
      <c r="AV338" s="3">
        <f t="shared" si="191"/>
        <v>29</v>
      </c>
      <c r="AW338" s="3">
        <f t="shared" si="192"/>
        <v>4</v>
      </c>
      <c r="AX338" s="3">
        <f t="shared" si="193"/>
        <v>10</v>
      </c>
      <c r="AY338" s="3">
        <f t="shared" si="194"/>
        <v>8</v>
      </c>
      <c r="AZ338" s="3">
        <f t="shared" si="195"/>
        <v>1</v>
      </c>
      <c r="BA338" s="3">
        <f>IF(ISERROR(LEN(VLOOKUP(A338,Seqs!A:E,2,FALSE))-AL338),"-",LEN(VLOOKUP(A338,Seqs!A:E,2,FALSE))-AL338)</f>
        <v>86</v>
      </c>
      <c r="BB338" s="16">
        <f t="shared" si="196"/>
        <v>31</v>
      </c>
      <c r="BC338" s="9" t="str">
        <f t="shared" si="197"/>
        <v>-</v>
      </c>
      <c r="BD338" s="3">
        <f t="shared" si="198"/>
        <v>31</v>
      </c>
      <c r="BE338" s="3">
        <f t="shared" si="199"/>
        <v>38</v>
      </c>
    </row>
    <row r="339" spans="1:58" s="3" customFormat="1" x14ac:dyDescent="0.2">
      <c r="A339" s="3" t="s">
        <v>107</v>
      </c>
      <c r="B339" s="3" t="str">
        <f>LOWER(VLOOKUP(A339,Xtal_Templ!A:B,2,FALSE))</f>
        <v>grm5_human</v>
      </c>
      <c r="C339" s="3">
        <f>VLOOKUP($A339,'SegEnds_NonXtal_BW#'!$A:$Z,3,FALSE)+D339-50</f>
        <v>480</v>
      </c>
      <c r="D339" s="3">
        <v>496</v>
      </c>
      <c r="E339" s="3">
        <f>IF(ISERROR(VLOOKUP($A339,'SegEnds_NonXtal_BW#'!$A:$Z,4,FALSE)+VLOOKUP($A339,A:AL,4,FALSE)-50),"-",(VLOOKUP($A339,'SegEnds_NonXtal_BW#'!$A:$Z,4,FALSE)+VLOOKUP($A339,A:AL,4,FALSE)-50))</f>
        <v>506</v>
      </c>
      <c r="F339" s="3">
        <f>G339-3</f>
        <v>509</v>
      </c>
      <c r="G339" s="3">
        <v>512</v>
      </c>
      <c r="H339" s="3">
        <f>G339+3</f>
        <v>515</v>
      </c>
      <c r="I339" s="3">
        <f t="shared" si="203"/>
        <v>516</v>
      </c>
      <c r="J339" s="3">
        <v>527</v>
      </c>
      <c r="K339" s="3">
        <f>VLOOKUP($A339,'SegEnds_NonXtal_BW#'!$A:$Z,8,FALSE)+VLOOKUP($A339,A:AL,10,FALSE)-50</f>
        <v>538</v>
      </c>
      <c r="L339" s="3" t="str">
        <f>IF(ISERROR(VLOOKUP($A339,'SegEnds_NonXtal_BW#'!$A:$Z,9,FALSE)+VLOOKUP($A339,A:AL,13,FALSE)-50),"-",(VLOOKUP($A339,'SegEnds_NonXtal_BW#'!$A:$Z,9,FALSE)+VLOOKUP($A339,A:AL,13,FALSE)-50))</f>
        <v>-</v>
      </c>
      <c r="M339" s="3" t="s">
        <v>23</v>
      </c>
      <c r="N339" s="3" t="str">
        <f>IF(ISERROR(VLOOKUP($A339,'SegEnds_NonXtal_BW#'!$A:$Z,10,FALSE)+VLOOKUP($A339,A:AL,13,FALSE)-50),"-",(VLOOKUP($A339,'SegEnds_NonXtal_BW#'!$A:$Z,10,FALSE)+VLOOKUP($A339,A:AL,13,FALSE)-50))</f>
        <v>-</v>
      </c>
      <c r="O339" s="3">
        <f>VLOOKUP($A339,'SegEnds_NonXtal_BW#'!$A:$Z,11,FALSE)+VLOOKUP($A339,A:AL,16,FALSE)-50</f>
        <v>550</v>
      </c>
      <c r="P339" s="3">
        <v>578</v>
      </c>
      <c r="Q339" s="3">
        <f>VLOOKUP($A339,'SegEnds_NonXtal_BW#'!$A:$Z,12,FALSE)+VLOOKUP($A339,A:AL,16,FALSE)-50</f>
        <v>582</v>
      </c>
      <c r="R339" s="3" t="str">
        <f>IF(ISERROR(VLOOKUP($A339,'SegEnds_NonXtal_BW#'!$A:$Z,13,FALSE)+VLOOKUP($A339,A:AL,19,FALSE)-50),"-",VLOOKUP($A339,'SegEnds_NonXtal_BW#'!$A:$Z,13,FALSE)+VLOOKUP($A339,A:AL,19,FALSE)-50)</f>
        <v>-</v>
      </c>
      <c r="S339" s="3" t="s">
        <v>23</v>
      </c>
      <c r="T339" s="103" t="str">
        <f>IF(ISERROR(VLOOKUP($A339,'SegEnds_NonXtal_BW#'!$A:$Z,14,FALSE)+VLOOKUP($A339,A:AL,19,FALSE)-50),"-",(VLOOKUP($A339,'SegEnds_NonXtal_BW#'!$A:$Z,14,FALSE)+VLOOKUP($A339,A:AL,19,FALSE)-50))</f>
        <v>-</v>
      </c>
      <c r="U339" s="9">
        <f>IF(ISERROR(VLOOKUP($A339,'SegEnds_NonXtal_BW#'!$A:$Z,15,FALSE)+VLOOKUP($A339,A:AL,22,FALSE)-50),"-",VLOOKUP($A339,'SegEnds_NonXtal_BW#'!$A:$Z,15,FALSE)+VLOOKUP($A339,A:AL,22,FALSE)-50)</f>
        <v>593</v>
      </c>
      <c r="V339" s="3">
        <v>605</v>
      </c>
      <c r="W339" s="3">
        <f>IF(ISERROR(VLOOKUP($A339,'SegEnds_NonXtal_BW#'!$A:$Z,16,FALSE)+VLOOKUP($A339,A:AL,22,FALSE)-50),"-",(VLOOKUP($A339,'SegEnds_NonXtal_BW#'!$A:$Z,16,FALSE)+VLOOKUP($A339,A:AL,22,FALSE)-50))</f>
        <v>619</v>
      </c>
      <c r="X339" s="3">
        <f>IF(ISERROR(VLOOKUP($A339,'SegEnds_NonXtal_BW#'!$A:$Z,17,FALSE)+VLOOKUP($A339,A:AL,25,FALSE)-50),"-",(VLOOKUP($A339,'SegEnds_NonXtal_BW#'!$A:$Z,17,FALSE)+VLOOKUP($A339,A:AL,25,FALSE)-50))</f>
        <v>648</v>
      </c>
      <c r="Y339" s="3">
        <v>648</v>
      </c>
      <c r="Z339" s="3">
        <f t="shared" si="204"/>
        <v>650</v>
      </c>
      <c r="AA339" s="3">
        <f>IF(ISERROR(VLOOKUP($A339,'SegEnds_NonXtal_BW#'!$A:$Z,19,FALSE)+VLOOKUP($A339,A:AL,28,FALSE)-50),"-",(VLOOKUP($A339,'SegEnds_NonXtal_BW#'!$A:$Z,19,FALSE)+VLOOKUP($A339,A:AL,28,FALSE)-50))</f>
        <v>654</v>
      </c>
      <c r="AB339" s="3">
        <v>667</v>
      </c>
      <c r="AC339" s="3">
        <f>IF(ISERROR((VLOOKUP($A339,'SegEnds_NonXtal_BW#'!$A:$Z,20,FALSE)+VLOOKUP($A339,A:AL,28,FALSE)-50)),"-",(VLOOKUP($A339,'SegEnds_NonXtal_BW#'!$A:$Z,20,FALSE)+VLOOKUP($A339,A:AL,28,FALSE)-50))</f>
        <v>678</v>
      </c>
      <c r="AD339" s="3">
        <f>IF(ISERROR(VLOOKUP($A339,'SegEnds_NonXtal_BW#'!$A:$Z,21,FALSE)+VLOOKUP($A339,A:AL,31,FALSE)-50),"-",(VLOOKUP($A339,'SegEnds_NonXtal_BW#'!$A:$Z,21,FALSE)+VLOOKUP($A339,A:AL,31,FALSE)-50))</f>
        <v>688</v>
      </c>
      <c r="AE339" s="3">
        <v>705</v>
      </c>
      <c r="AF339" s="3">
        <f>IF(ISERROR((VLOOKUP($A339,'SegEnds_NonXtal_BW#'!$A:$Z,22,FALSE)+VLOOKUP($A339,A:AL,31,FALSE)-50)),"-",(VLOOKUP($A339,'SegEnds_NonXtal_BW#'!$A:$Z,22,FALSE)+VLOOKUP($A339,A:AL,31,FALSE)-50))</f>
        <v>712</v>
      </c>
      <c r="AG339" s="3">
        <f>IF(ISERROR(VLOOKUP($A339,'SegEnds_NonXtal_BW#'!$A:$Z,23,FALSE)+VLOOKUP($A339,A:AL,34,FALSE)-50),"-",(VLOOKUP($A339,'SegEnds_NonXtal_BW#'!$A:$Z,23,FALSE)+VLOOKUP($A339,A:AL,34,FALSE)-50))</f>
        <v>720</v>
      </c>
      <c r="AH339" s="3">
        <v>736</v>
      </c>
      <c r="AI339" s="3">
        <f>IF(ISERROR((VLOOKUP($A339,'SegEnds_NonXtal_BW#'!$A:$Z,24,FALSE)+VLOOKUP($A339,A:AL,34,FALSE)-50)),"-",(VLOOKUP($A339,'SegEnds_NonXtal_BW#'!$A:$Z,24,FALSE)+VLOOKUP($A339,A:AL,34,FALSE)-50))</f>
        <v>749</v>
      </c>
      <c r="AJ339" s="3">
        <f>IF(ISERROR(VLOOKUP($A339,'SegEnds_NonXtal_BW#'!$A:$Z,25,FALSE)+VLOOKUP($A339,A:AL,37,FALSE)-50),"-",(VLOOKUP($A339,'SegEnds_NonXtal_BW#'!$A:$Z,25,FALSE)+VLOOKUP($A339,A:AL,37,FALSE)-50))</f>
        <v>750</v>
      </c>
      <c r="AK339" s="3">
        <v>753</v>
      </c>
      <c r="AL339" s="3">
        <f>IF(ISERROR((VLOOKUP($A339,'SegEnds_NonXtal_BW#'!$A:$Z,26,FALSE)+VLOOKUP($A339,A:AL,37,FALSE)-50)),"-",(VLOOKUP($A339,'SegEnds_NonXtal_BW#'!$A:$Z,26,FALSE)+VLOOKUP($A339,A:AL,37,FALSE)-50))</f>
        <v>762</v>
      </c>
      <c r="AM339" s="28" t="str">
        <f>VLOOKUP(A339,Classification!A:B,2,FALSE)</f>
        <v>C</v>
      </c>
      <c r="AN339" s="28" t="b">
        <f t="shared" si="200"/>
        <v>1</v>
      </c>
      <c r="AO339" s="3" t="str">
        <f>IF(ISERROR(MATCH(A339,'SegEnds_Xtal_Prot#'!B:B, 0)), "NoXtal", "Xtal")</f>
        <v>NoXtal</v>
      </c>
      <c r="AP339" s="3">
        <f t="shared" si="185"/>
        <v>3</v>
      </c>
      <c r="AQ339" s="3">
        <f t="shared" si="186"/>
        <v>1</v>
      </c>
      <c r="AR339" s="3" t="str">
        <f t="shared" si="187"/>
        <v>-</v>
      </c>
      <c r="AS339" s="3" t="str">
        <f t="shared" si="188"/>
        <v>-</v>
      </c>
      <c r="AT339" s="3" t="str">
        <f t="shared" si="189"/>
        <v>-</v>
      </c>
      <c r="AU339" s="3" t="str">
        <f t="shared" si="190"/>
        <v>-</v>
      </c>
      <c r="AV339" s="3">
        <f t="shared" si="191"/>
        <v>29</v>
      </c>
      <c r="AW339" s="3">
        <f t="shared" si="192"/>
        <v>4</v>
      </c>
      <c r="AX339" s="3">
        <f t="shared" si="193"/>
        <v>10</v>
      </c>
      <c r="AY339" s="3">
        <f t="shared" si="194"/>
        <v>8</v>
      </c>
      <c r="AZ339" s="3">
        <f t="shared" si="195"/>
        <v>1</v>
      </c>
      <c r="BA339" s="3">
        <f>IF(ISERROR(LEN(VLOOKUP(A339,Seqs!A:E,2,FALSE))-AL339),"-",LEN(VLOOKUP(A339,Seqs!A:E,2,FALSE))-AL339)</f>
        <v>179</v>
      </c>
      <c r="BB339" s="16">
        <f t="shared" si="196"/>
        <v>31</v>
      </c>
      <c r="BC339" s="9" t="str">
        <f t="shared" si="197"/>
        <v>-</v>
      </c>
      <c r="BD339" s="3">
        <f t="shared" si="198"/>
        <v>31</v>
      </c>
      <c r="BE339" s="3">
        <f t="shared" si="199"/>
        <v>38</v>
      </c>
    </row>
    <row r="340" spans="1:58" s="3" customFormat="1" x14ac:dyDescent="0.2">
      <c r="A340" s="3" t="s">
        <v>404</v>
      </c>
      <c r="B340" s="3" t="str">
        <f>LOWER(VLOOKUP(A340,Xtal_Templ!A:B,2,FALSE))</f>
        <v>glr_human</v>
      </c>
      <c r="C340" s="3">
        <f>VLOOKUP($A340,'SegEnds_NonXtal_BW#'!$A:$Z,3,FALSE)+D340-50</f>
        <v>119</v>
      </c>
      <c r="D340" s="3">
        <v>144</v>
      </c>
      <c r="E340" s="3">
        <f>IF(ISERROR(VLOOKUP($A340,'SegEnds_NonXtal_BW#'!$A:$Z,4,FALSE)+VLOOKUP($A340,A:AL,4,FALSE)-50),"-",(VLOOKUP($A340,'SegEnds_NonXtal_BW#'!$A:$Z,4,FALSE)+VLOOKUP($A340,A:AL,4,FALSE)-50))</f>
        <v>154</v>
      </c>
      <c r="F340" s="3">
        <f>G340-2</f>
        <v>155</v>
      </c>
      <c r="G340" s="3">
        <v>157</v>
      </c>
      <c r="H340" s="3">
        <f>G340+1</f>
        <v>158</v>
      </c>
      <c r="I340" s="3">
        <f t="shared" si="203"/>
        <v>159</v>
      </c>
      <c r="J340" s="3">
        <v>172</v>
      </c>
      <c r="K340" s="3">
        <f>VLOOKUP($A340,'SegEnds_NonXtal_BW#'!$A:$Z,8,FALSE)+VLOOKUP($A340,A:AL,10,FALSE)-50</f>
        <v>186</v>
      </c>
      <c r="L340" s="3" t="str">
        <f>IF(ISERROR(VLOOKUP($A340,'SegEnds_NonXtal_BW#'!$A:$Z,9,FALSE)+VLOOKUP($A340,A:AL,13,FALSE)-50),"-",(VLOOKUP($A340,'SegEnds_NonXtal_BW#'!$A:$Z,9,FALSE)+VLOOKUP($A340,A:AL,13,FALSE)-50))</f>
        <v>-</v>
      </c>
      <c r="M340" s="3" t="s">
        <v>23</v>
      </c>
      <c r="N340" s="3" t="str">
        <f>IF(ISERROR(VLOOKUP($A340,'SegEnds_NonXtal_BW#'!$A:$Z,10,FALSE)+VLOOKUP($A340,A:AL,13,FALSE)-50),"-",(VLOOKUP($A340,'SegEnds_NonXtal_BW#'!$A:$Z,10,FALSE)+VLOOKUP($A340,A:AL,13,FALSE)-50))</f>
        <v>-</v>
      </c>
      <c r="O340" s="3">
        <f>VLOOKUP($A340,'SegEnds_NonXtal_BW#'!$A:$Z,11,FALSE)+VLOOKUP($A340,A:AL,16,FALSE)-50</f>
        <v>198</v>
      </c>
      <c r="P340" s="3">
        <v>227</v>
      </c>
      <c r="Q340" s="3">
        <f>VLOOKUP($A340,'SegEnds_NonXtal_BW#'!$A:$Z,12,FALSE)+VLOOKUP($A340,A:AL,16,FALSE)-50</f>
        <v>233</v>
      </c>
      <c r="R340" s="3" t="str">
        <f>IF(ISERROR(VLOOKUP($A340,'SegEnds_NonXtal_BW#'!$A:$Z,13,FALSE)+VLOOKUP($A340,A:AL,19,FALSE)-50),"-",VLOOKUP($A340,'SegEnds_NonXtal_BW#'!$A:$Z,13,FALSE)+VLOOKUP($A340,A:AL,19,FALSE)-50)</f>
        <v>-</v>
      </c>
      <c r="S340" s="3" t="s">
        <v>23</v>
      </c>
      <c r="T340" s="103" t="str">
        <f>IF(ISERROR(VLOOKUP($A340,'SegEnds_NonXtal_BW#'!$A:$Z,14,FALSE)+VLOOKUP($A340,A:AL,19,FALSE)-50),"-",(VLOOKUP($A340,'SegEnds_NonXtal_BW#'!$A:$Z,14,FALSE)+VLOOKUP($A340,A:AL,19,FALSE)-50))</f>
        <v>-</v>
      </c>
      <c r="U340" s="9">
        <f>IF(ISERROR(VLOOKUP($A340,'SegEnds_NonXtal_BW#'!$A:$Z,15,FALSE)+VLOOKUP($A340,A:AL,22,FALSE)-50),"-",VLOOKUP($A340,'SegEnds_NonXtal_BW#'!$A:$Z,15,FALSE)+VLOOKUP($A340,A:AL,22,FALSE)-50)</f>
        <v>240</v>
      </c>
      <c r="V340" s="3">
        <v>250</v>
      </c>
      <c r="W340" s="3">
        <f>IF(ISERROR(VLOOKUP($A340,'SegEnds_NonXtal_BW#'!$A:$Z,16,FALSE)+VLOOKUP($A340,A:AL,22,FALSE)-50),"-",(VLOOKUP($A340,'SegEnds_NonXtal_BW#'!$A:$Z,16,FALSE)+VLOOKUP($A340,A:AL,22,FALSE)-50))</f>
        <v>268</v>
      </c>
      <c r="X340" s="3">
        <f>IF(ISERROR(VLOOKUP($A340,'SegEnds_NonXtal_BW#'!$A:$Z,17,FALSE)+VLOOKUP($A340,A:AL,25,FALSE)-50),"-",(VLOOKUP($A340,'SegEnds_NonXtal_BW#'!$A:$Z,17,FALSE)+VLOOKUP($A340,A:AL,25,FALSE)-50))</f>
        <v>272</v>
      </c>
      <c r="Y340" s="3">
        <v>272</v>
      </c>
      <c r="Z340" s="3">
        <f t="shared" si="204"/>
        <v>274</v>
      </c>
      <c r="AA340" s="3">
        <f>IF(ISERROR(VLOOKUP($A340,'SegEnds_NonXtal_BW#'!$A:$Z,19,FALSE)+VLOOKUP($A340,A:AL,28,FALSE)-50),"-",(VLOOKUP($A340,'SegEnds_NonXtal_BW#'!$A:$Z,19,FALSE)+VLOOKUP($A340,A:AL,28,FALSE)-50))</f>
        <v>281</v>
      </c>
      <c r="AB340" s="3">
        <v>292</v>
      </c>
      <c r="AC340" s="3">
        <f>IF(ISERROR((VLOOKUP($A340,'SegEnds_NonXtal_BW#'!$A:$Z,20,FALSE)+VLOOKUP($A340,A:AL,28,FALSE)-50)),"-",(VLOOKUP($A340,'SegEnds_NonXtal_BW#'!$A:$Z,20,FALSE)+VLOOKUP($A340,A:AL,28,FALSE)-50))</f>
        <v>311</v>
      </c>
      <c r="AD340" s="3">
        <f>IF(ISERROR(VLOOKUP($A340,'SegEnds_NonXtal_BW#'!$A:$Z,21,FALSE)+VLOOKUP($A340,A:AL,31,FALSE)-50),"-",(VLOOKUP($A340,'SegEnds_NonXtal_BW#'!$A:$Z,21,FALSE)+VLOOKUP($A340,A:AL,31,FALSE)-50))</f>
        <v>319</v>
      </c>
      <c r="AE340" s="3">
        <v>344</v>
      </c>
      <c r="AF340" s="3">
        <f>IF(ISERROR((VLOOKUP($A340,'SegEnds_NonXtal_BW#'!$A:$Z,22,FALSE)+VLOOKUP($A340,A:AL,31,FALSE)-50)),"-",(VLOOKUP($A340,'SegEnds_NonXtal_BW#'!$A:$Z,22,FALSE)+VLOOKUP($A340,A:AL,31,FALSE)-50))</f>
        <v>347</v>
      </c>
      <c r="AG340" s="3">
        <f>IF(ISERROR(VLOOKUP($A340,'SegEnds_NonXtal_BW#'!$A:$Z,23,FALSE)+VLOOKUP($A340,A:AL,34,FALSE)-50),"-",(VLOOKUP($A340,'SegEnds_NonXtal_BW#'!$A:$Z,23,FALSE)+VLOOKUP($A340,A:AL,34,FALSE)-50))</f>
        <v>354</v>
      </c>
      <c r="AH340" s="3">
        <v>373</v>
      </c>
      <c r="AI340" s="3">
        <f>IF(ISERROR((VLOOKUP($A340,'SegEnds_NonXtal_BW#'!$A:$Z,24,FALSE)+VLOOKUP($A340,A:AL,34,FALSE)-50)),"-",(VLOOKUP($A340,'SegEnds_NonXtal_BW#'!$A:$Z,24,FALSE)+VLOOKUP($A340,A:AL,34,FALSE)-50))</f>
        <v>379</v>
      </c>
      <c r="AJ340" s="3">
        <f>IF(ISERROR(VLOOKUP($A340,'SegEnds_NonXtal_BW#'!$A:$Z,25,FALSE)+VLOOKUP($A340,A:AL,37,FALSE)-50),"-",(VLOOKUP($A340,'SegEnds_NonXtal_BW#'!$A:$Z,25,FALSE)+VLOOKUP($A340,A:AL,37,FALSE)-50))</f>
        <v>380</v>
      </c>
      <c r="AK340" s="3">
        <v>383</v>
      </c>
      <c r="AL340" s="3">
        <f>IF(ISERROR((VLOOKUP($A340,'SegEnds_NonXtal_BW#'!$A:$Z,26,FALSE)+VLOOKUP($A340,A:AL,37,FALSE)-50)),"-",(VLOOKUP($A340,'SegEnds_NonXtal_BW#'!$A:$Z,26,FALSE)+VLOOKUP($A340,A:AL,37,FALSE)-50))</f>
        <v>405</v>
      </c>
      <c r="AM340" s="28" t="str">
        <f>VLOOKUP(A340,Classification!A:B,2,FALSE)</f>
        <v>B1</v>
      </c>
      <c r="AN340" s="28" t="b">
        <f t="shared" si="200"/>
        <v>1</v>
      </c>
      <c r="AO340" s="3" t="str">
        <f>IF(ISERROR(MATCH(A340,'SegEnds_Xtal_Prot#'!B:B, 0)), "NoXtal", "Xtal")</f>
        <v>NoXtal</v>
      </c>
      <c r="AP340" s="3">
        <f t="shared" si="185"/>
        <v>1</v>
      </c>
      <c r="AQ340" s="3">
        <f t="shared" si="186"/>
        <v>1</v>
      </c>
      <c r="AR340" s="3" t="str">
        <f t="shared" si="187"/>
        <v>-</v>
      </c>
      <c r="AS340" s="3" t="str">
        <f t="shared" si="188"/>
        <v>-</v>
      </c>
      <c r="AT340" s="3" t="str">
        <f t="shared" si="189"/>
        <v>-</v>
      </c>
      <c r="AU340" s="3" t="str">
        <f t="shared" si="190"/>
        <v>-</v>
      </c>
      <c r="AV340" s="3">
        <f t="shared" si="191"/>
        <v>4</v>
      </c>
      <c r="AW340" s="3">
        <f t="shared" si="192"/>
        <v>7</v>
      </c>
      <c r="AX340" s="3">
        <f t="shared" si="193"/>
        <v>8</v>
      </c>
      <c r="AY340" s="3">
        <f t="shared" si="194"/>
        <v>7</v>
      </c>
      <c r="AZ340" s="3">
        <f t="shared" si="195"/>
        <v>1</v>
      </c>
      <c r="BA340" s="3">
        <f>IF(ISERROR(LEN(VLOOKUP(A340,Seqs!A:E,2,FALSE))-AL340),"-",LEN(VLOOKUP(A340,Seqs!A:E,2,FALSE))-AL340)</f>
        <v>18</v>
      </c>
      <c r="BB340" s="16">
        <f t="shared" si="196"/>
        <v>28</v>
      </c>
      <c r="BC340" s="9" t="str">
        <f t="shared" si="197"/>
        <v>-</v>
      </c>
      <c r="BD340" s="3">
        <f t="shared" si="198"/>
        <v>28</v>
      </c>
      <c r="BE340" s="3">
        <f t="shared" si="199"/>
        <v>52</v>
      </c>
      <c r="BF340" s="3">
        <f>AH340-AE340</f>
        <v>29</v>
      </c>
    </row>
    <row r="341" spans="1:58" s="3" customFormat="1" x14ac:dyDescent="0.2">
      <c r="A341" s="3" t="s">
        <v>405</v>
      </c>
      <c r="B341" s="3" t="str">
        <f>LOWER(VLOOKUP(A341,Xtal_Templ!A:B,2,FALSE))</f>
        <v>glr_human</v>
      </c>
      <c r="C341" s="3">
        <f>VLOOKUP($A341,'SegEnds_NonXtal_BW#'!$A:$Z,3,FALSE)+D341-50</f>
        <v>127</v>
      </c>
      <c r="D341" s="3">
        <v>152</v>
      </c>
      <c r="E341" s="3">
        <f>IF(ISERROR(VLOOKUP($A341,'SegEnds_NonXtal_BW#'!$A:$Z,4,FALSE)+VLOOKUP($A341,A:AL,4,FALSE)-50),"-",(VLOOKUP($A341,'SegEnds_NonXtal_BW#'!$A:$Z,4,FALSE)+VLOOKUP($A341,A:AL,4,FALSE)-50))</f>
        <v>162</v>
      </c>
      <c r="F341" s="3">
        <f>G341-2</f>
        <v>163</v>
      </c>
      <c r="G341" s="3">
        <v>165</v>
      </c>
      <c r="H341" s="3">
        <f>G341+1</f>
        <v>166</v>
      </c>
      <c r="I341" s="3">
        <f t="shared" si="203"/>
        <v>167</v>
      </c>
      <c r="J341" s="3">
        <v>180</v>
      </c>
      <c r="K341" s="3">
        <f>VLOOKUP($A341,'SegEnds_NonXtal_BW#'!$A:$Z,8,FALSE)+VLOOKUP($A341,A:AL,10,FALSE)-50</f>
        <v>194</v>
      </c>
      <c r="L341" s="3" t="str">
        <f>IF(ISERROR(VLOOKUP($A341,'SegEnds_NonXtal_BW#'!$A:$Z,9,FALSE)+VLOOKUP($A341,A:AL,13,FALSE)-50),"-",(VLOOKUP($A341,'SegEnds_NonXtal_BW#'!$A:$Z,9,FALSE)+VLOOKUP($A341,A:AL,13,FALSE)-50))</f>
        <v>-</v>
      </c>
      <c r="M341" s="3" t="s">
        <v>23</v>
      </c>
      <c r="N341" s="3" t="str">
        <f>IF(ISERROR(VLOOKUP($A341,'SegEnds_NonXtal_BW#'!$A:$Z,10,FALSE)+VLOOKUP($A341,A:AL,13,FALSE)-50),"-",(VLOOKUP($A341,'SegEnds_NonXtal_BW#'!$A:$Z,10,FALSE)+VLOOKUP($A341,A:AL,13,FALSE)-50))</f>
        <v>-</v>
      </c>
      <c r="O341" s="3">
        <f>VLOOKUP($A341,'SegEnds_NonXtal_BW#'!$A:$Z,11,FALSE)+VLOOKUP($A341,A:AL,16,FALSE)-50</f>
        <v>214</v>
      </c>
      <c r="P341" s="3">
        <v>241</v>
      </c>
      <c r="Q341" s="3">
        <f>VLOOKUP($A341,'SegEnds_NonXtal_BW#'!$A:$Z,12,FALSE)+VLOOKUP($A341,A:AL,16,FALSE)-50</f>
        <v>247</v>
      </c>
      <c r="R341" s="3" t="str">
        <f>IF(ISERROR(VLOOKUP($A341,'SegEnds_NonXtal_BW#'!$A:$Z,13,FALSE)+VLOOKUP($A341,A:AL,19,FALSE)-50),"-",VLOOKUP($A341,'SegEnds_NonXtal_BW#'!$A:$Z,13,FALSE)+VLOOKUP($A341,A:AL,19,FALSE)-50)</f>
        <v>-</v>
      </c>
      <c r="S341" s="3" t="s">
        <v>23</v>
      </c>
      <c r="T341" s="103" t="str">
        <f>IF(ISERROR(VLOOKUP($A341,'SegEnds_NonXtal_BW#'!$A:$Z,14,FALSE)+VLOOKUP($A341,A:AL,19,FALSE)-50),"-",(VLOOKUP($A341,'SegEnds_NonXtal_BW#'!$A:$Z,14,FALSE)+VLOOKUP($A341,A:AL,19,FALSE)-50))</f>
        <v>-</v>
      </c>
      <c r="U341" s="9">
        <f>IF(ISERROR(VLOOKUP($A341,'SegEnds_NonXtal_BW#'!$A:$Z,15,FALSE)+VLOOKUP($A341,A:AL,22,FALSE)-50),"-",VLOOKUP($A341,'SegEnds_NonXtal_BW#'!$A:$Z,15,FALSE)+VLOOKUP($A341,A:AL,22,FALSE)-50)</f>
        <v>254</v>
      </c>
      <c r="V341" s="3">
        <v>264</v>
      </c>
      <c r="W341" s="3">
        <f>IF(ISERROR(VLOOKUP($A341,'SegEnds_NonXtal_BW#'!$A:$Z,16,FALSE)+VLOOKUP($A341,A:AL,22,FALSE)-50),"-",(VLOOKUP($A341,'SegEnds_NonXtal_BW#'!$A:$Z,16,FALSE)+VLOOKUP($A341,A:AL,22,FALSE)-50))</f>
        <v>282</v>
      </c>
      <c r="X341" s="3">
        <f>IF(ISERROR(VLOOKUP($A341,'SegEnds_NonXtal_BW#'!$A:$Z,17,FALSE)+VLOOKUP($A341,A:AL,25,FALSE)-50),"-",(VLOOKUP($A341,'SegEnds_NonXtal_BW#'!$A:$Z,17,FALSE)+VLOOKUP($A341,A:AL,25,FALSE)-50))</f>
        <v>286</v>
      </c>
      <c r="Y341" s="3">
        <v>286</v>
      </c>
      <c r="Z341" s="3">
        <f t="shared" si="204"/>
        <v>288</v>
      </c>
      <c r="AA341" s="3">
        <f>IF(ISERROR(VLOOKUP($A341,'SegEnds_NonXtal_BW#'!$A:$Z,19,FALSE)+VLOOKUP($A341,A:AL,28,FALSE)-50),"-",(VLOOKUP($A341,'SegEnds_NonXtal_BW#'!$A:$Z,19,FALSE)+VLOOKUP($A341,A:AL,28,FALSE)-50))</f>
        <v>295</v>
      </c>
      <c r="AB341" s="3">
        <v>306</v>
      </c>
      <c r="AC341" s="3">
        <f>IF(ISERROR((VLOOKUP($A341,'SegEnds_NonXtal_BW#'!$A:$Z,20,FALSE)+VLOOKUP($A341,A:AL,28,FALSE)-50)),"-",(VLOOKUP($A341,'SegEnds_NonXtal_BW#'!$A:$Z,20,FALSE)+VLOOKUP($A341,A:AL,28,FALSE)-50))</f>
        <v>327</v>
      </c>
      <c r="AD341" s="3">
        <f>IF(ISERROR(VLOOKUP($A341,'SegEnds_NonXtal_BW#'!$A:$Z,21,FALSE)+VLOOKUP($A341,A:AL,31,FALSE)-50),"-",(VLOOKUP($A341,'SegEnds_NonXtal_BW#'!$A:$Z,21,FALSE)+VLOOKUP($A341,A:AL,31,FALSE)-50))</f>
        <v>334</v>
      </c>
      <c r="AE341" s="3">
        <v>356</v>
      </c>
      <c r="AF341" s="3">
        <f>IF(ISERROR((VLOOKUP($A341,'SegEnds_NonXtal_BW#'!$A:$Z,22,FALSE)+VLOOKUP($A341,A:AL,31,FALSE)-50)),"-",(VLOOKUP($A341,'SegEnds_NonXtal_BW#'!$A:$Z,22,FALSE)+VLOOKUP($A341,A:AL,31,FALSE)-50))</f>
        <v>359</v>
      </c>
      <c r="AG341" s="3">
        <f>IF(ISERROR(VLOOKUP($A341,'SegEnds_NonXtal_BW#'!$A:$Z,23,FALSE)+VLOOKUP($A341,A:AL,34,FALSE)-50),"-",(VLOOKUP($A341,'SegEnds_NonXtal_BW#'!$A:$Z,23,FALSE)+VLOOKUP($A341,A:AL,34,FALSE)-50))</f>
        <v>366</v>
      </c>
      <c r="AH341" s="3">
        <v>389</v>
      </c>
      <c r="AI341" s="3">
        <f>IF(ISERROR((VLOOKUP($A341,'SegEnds_NonXtal_BW#'!$A:$Z,24,FALSE)+VLOOKUP($A341,A:AL,34,FALSE)-50)),"-",(VLOOKUP($A341,'SegEnds_NonXtal_BW#'!$A:$Z,24,FALSE)+VLOOKUP($A341,A:AL,34,FALSE)-50))</f>
        <v>395</v>
      </c>
      <c r="AJ341" s="3">
        <f>IF(ISERROR(VLOOKUP($A341,'SegEnds_NonXtal_BW#'!$A:$Z,25,FALSE)+VLOOKUP($A341,A:AL,37,FALSE)-50),"-",(VLOOKUP($A341,'SegEnds_NonXtal_BW#'!$A:$Z,25,FALSE)+VLOOKUP($A341,A:AL,37,FALSE)-50))</f>
        <v>396</v>
      </c>
      <c r="AK341" s="3">
        <v>399</v>
      </c>
      <c r="AL341" s="3">
        <f>IF(ISERROR((VLOOKUP($A341,'SegEnds_NonXtal_BW#'!$A:$Z,26,FALSE)+VLOOKUP($A341,A:AL,37,FALSE)-50)),"-",(VLOOKUP($A341,'SegEnds_NonXtal_BW#'!$A:$Z,26,FALSE)+VLOOKUP($A341,A:AL,37,FALSE)-50))</f>
        <v>421</v>
      </c>
      <c r="AM341" s="28" t="str">
        <f>VLOOKUP(A341,Classification!A:B,2,FALSE)</f>
        <v>B1</v>
      </c>
      <c r="AN341" s="28" t="b">
        <f t="shared" si="200"/>
        <v>1</v>
      </c>
      <c r="AO341" s="3" t="str">
        <f>IF(ISERROR(MATCH(A341,'SegEnds_Xtal_Prot#'!B:B, 0)), "NoXtal", "Xtal")</f>
        <v>NoXtal</v>
      </c>
      <c r="AP341" s="3">
        <f t="shared" si="185"/>
        <v>1</v>
      </c>
      <c r="AQ341" s="3">
        <f t="shared" si="186"/>
        <v>1</v>
      </c>
      <c r="AR341" s="3" t="str">
        <f t="shared" si="187"/>
        <v>-</v>
      </c>
      <c r="AS341" s="3" t="str">
        <f t="shared" si="188"/>
        <v>-</v>
      </c>
      <c r="AT341" s="3" t="str">
        <f t="shared" si="189"/>
        <v>-</v>
      </c>
      <c r="AU341" s="3" t="str">
        <f t="shared" si="190"/>
        <v>-</v>
      </c>
      <c r="AV341" s="3">
        <f t="shared" si="191"/>
        <v>4</v>
      </c>
      <c r="AW341" s="3">
        <f t="shared" si="192"/>
        <v>7</v>
      </c>
      <c r="AX341" s="3">
        <f t="shared" si="193"/>
        <v>7</v>
      </c>
      <c r="AY341" s="3">
        <f t="shared" si="194"/>
        <v>7</v>
      </c>
      <c r="AZ341" s="3">
        <f t="shared" si="195"/>
        <v>1</v>
      </c>
      <c r="BA341" s="3">
        <f>IF(ISERROR(LEN(VLOOKUP(A341,Seqs!A:E,2,FALSE))-AL341),"-",LEN(VLOOKUP(A341,Seqs!A:E,2,FALSE))-AL341)</f>
        <v>45</v>
      </c>
      <c r="BB341" s="16">
        <f t="shared" si="196"/>
        <v>28</v>
      </c>
      <c r="BC341" s="9" t="str">
        <f t="shared" si="197"/>
        <v>-</v>
      </c>
      <c r="BD341" s="3">
        <f t="shared" si="198"/>
        <v>28</v>
      </c>
      <c r="BE341" s="3">
        <f t="shared" si="199"/>
        <v>50</v>
      </c>
    </row>
    <row r="342" spans="1:58" s="3" customFormat="1" x14ac:dyDescent="0.2">
      <c r="A342" s="3" t="s">
        <v>406</v>
      </c>
      <c r="B342" s="3" t="str">
        <f>LOWER(VLOOKUP(A342,Xtal_Templ!A:B,2,FALSE))</f>
        <v>glp1r_human</v>
      </c>
      <c r="C342" s="3">
        <f>VLOOKUP($A342,'SegEnds_NonXtal_BW#'!$A:$Z,3,FALSE)+D342-50</f>
        <v>138</v>
      </c>
      <c r="D342" s="3">
        <v>159</v>
      </c>
      <c r="E342" s="3">
        <f>IF(ISERROR(VLOOKUP($A342,'SegEnds_NonXtal_BW#'!$A:$Z,4,FALSE)+VLOOKUP($A342,A:AL,4,FALSE)-50),"-",(VLOOKUP($A342,'SegEnds_NonXtal_BW#'!$A:$Z,4,FALSE)+VLOOKUP($A342,A:AL,4,FALSE)-50))</f>
        <v>169</v>
      </c>
      <c r="F342" s="3">
        <f>G342-2</f>
        <v>170</v>
      </c>
      <c r="G342" s="3">
        <v>172</v>
      </c>
      <c r="H342" s="3">
        <f>G342+1</f>
        <v>173</v>
      </c>
      <c r="I342" s="3">
        <f t="shared" si="203"/>
        <v>174</v>
      </c>
      <c r="J342" s="3">
        <v>187</v>
      </c>
      <c r="K342" s="3">
        <f>VLOOKUP($A342,'SegEnds_NonXtal_BW#'!$A:$Z,8,FALSE)+VLOOKUP($A342,A:AL,10,FALSE)-50</f>
        <v>201</v>
      </c>
      <c r="L342" s="3" t="str">
        <f>IF(ISERROR(VLOOKUP($A342,'SegEnds_NonXtal_BW#'!$A:$Z,9,FALSE)+VLOOKUP($A342,A:AL,13,FALSE)-50),"-",(VLOOKUP($A342,'SegEnds_NonXtal_BW#'!$A:$Z,9,FALSE)+VLOOKUP($A342,A:AL,13,FALSE)-50))</f>
        <v>-</v>
      </c>
      <c r="M342" s="3" t="s">
        <v>23</v>
      </c>
      <c r="N342" s="3" t="str">
        <f>IF(ISERROR(VLOOKUP($A342,'SegEnds_NonXtal_BW#'!$A:$Z,10,FALSE)+VLOOKUP($A342,A:AL,13,FALSE)-50),"-",(VLOOKUP($A342,'SegEnds_NonXtal_BW#'!$A:$Z,10,FALSE)+VLOOKUP($A342,A:AL,13,FALSE)-50))</f>
        <v>-</v>
      </c>
      <c r="O342" s="3">
        <f>VLOOKUP($A342,'SegEnds_NonXtal_BW#'!$A:$Z,11,FALSE)+VLOOKUP($A342,A:AL,16,FALSE)-50</f>
        <v>224</v>
      </c>
      <c r="P342" s="3">
        <v>251</v>
      </c>
      <c r="Q342" s="3">
        <f>VLOOKUP($A342,'SegEnds_NonXtal_BW#'!$A:$Z,12,FALSE)+VLOOKUP($A342,A:AL,16,FALSE)-50</f>
        <v>257</v>
      </c>
      <c r="R342" s="3" t="str">
        <f>IF(ISERROR(VLOOKUP($A342,'SegEnds_NonXtal_BW#'!$A:$Z,13,FALSE)+VLOOKUP($A342,A:AL,19,FALSE)-50),"-",VLOOKUP($A342,'SegEnds_NonXtal_BW#'!$A:$Z,13,FALSE)+VLOOKUP($A342,A:AL,19,FALSE)-50)</f>
        <v>-</v>
      </c>
      <c r="S342" s="3" t="s">
        <v>23</v>
      </c>
      <c r="T342" s="103" t="str">
        <f>IF(ISERROR(VLOOKUP($A342,'SegEnds_NonXtal_BW#'!$A:$Z,14,FALSE)+VLOOKUP($A342,A:AL,19,FALSE)-50),"-",(VLOOKUP($A342,'SegEnds_NonXtal_BW#'!$A:$Z,14,FALSE)+VLOOKUP($A342,A:AL,19,FALSE)-50))</f>
        <v>-</v>
      </c>
      <c r="U342" s="9">
        <f>IF(ISERROR(VLOOKUP($A342,'SegEnds_NonXtal_BW#'!$A:$Z,15,FALSE)+VLOOKUP($A342,A:AL,22,FALSE)-50),"-",VLOOKUP($A342,'SegEnds_NonXtal_BW#'!$A:$Z,15,FALSE)+VLOOKUP($A342,A:AL,22,FALSE)-50)</f>
        <v>262</v>
      </c>
      <c r="V342" s="3">
        <v>274</v>
      </c>
      <c r="W342" s="3">
        <f>IF(ISERROR(VLOOKUP($A342,'SegEnds_NonXtal_BW#'!$A:$Z,16,FALSE)+VLOOKUP($A342,A:AL,22,FALSE)-50),"-",(VLOOKUP($A342,'SegEnds_NonXtal_BW#'!$A:$Z,16,FALSE)+VLOOKUP($A342,A:AL,22,FALSE)-50))</f>
        <v>292</v>
      </c>
      <c r="X342" s="3">
        <f>IF(ISERROR(VLOOKUP($A342,'SegEnds_NonXtal_BW#'!$A:$Z,17,FALSE)+VLOOKUP($A342,A:AL,25,FALSE)-50),"-",(VLOOKUP($A342,'SegEnds_NonXtal_BW#'!$A:$Z,17,FALSE)+VLOOKUP($A342,A:AL,25,FALSE)-50))</f>
        <v>296</v>
      </c>
      <c r="Y342" s="3">
        <v>296</v>
      </c>
      <c r="Z342" s="3">
        <f t="shared" si="204"/>
        <v>298</v>
      </c>
      <c r="AA342" s="3">
        <f>IF(ISERROR(VLOOKUP($A342,'SegEnds_NonXtal_BW#'!$A:$Z,19,FALSE)+VLOOKUP($A342,A:AL,28,FALSE)-50),"-",(VLOOKUP($A342,'SegEnds_NonXtal_BW#'!$A:$Z,19,FALSE)+VLOOKUP($A342,A:AL,28,FALSE)-50))</f>
        <v>305</v>
      </c>
      <c r="AB342" s="3">
        <v>316</v>
      </c>
      <c r="AC342" s="3">
        <f>IF(ISERROR((VLOOKUP($A342,'SegEnds_NonXtal_BW#'!$A:$Z,20,FALSE)+VLOOKUP($A342,A:AL,28,FALSE)-50)),"-",(VLOOKUP($A342,'SegEnds_NonXtal_BW#'!$A:$Z,20,FALSE)+VLOOKUP($A342,A:AL,28,FALSE)-50))</f>
        <v>337</v>
      </c>
      <c r="AD342" s="3">
        <f>IF(ISERROR(VLOOKUP($A342,'SegEnds_NonXtal_BW#'!$A:$Z,21,FALSE)+VLOOKUP($A342,A:AL,31,FALSE)-50),"-",(VLOOKUP($A342,'SegEnds_NonXtal_BW#'!$A:$Z,21,FALSE)+VLOOKUP($A342,A:AL,31,FALSE)-50))</f>
        <v>344</v>
      </c>
      <c r="AE342" s="3">
        <v>366</v>
      </c>
      <c r="AF342" s="3">
        <f>IF(ISERROR((VLOOKUP($A342,'SegEnds_NonXtal_BW#'!$A:$Z,22,FALSE)+VLOOKUP($A342,A:AL,31,FALSE)-50)),"-",(VLOOKUP($A342,'SegEnds_NonXtal_BW#'!$A:$Z,22,FALSE)+VLOOKUP($A342,A:AL,31,FALSE)-50))</f>
        <v>374</v>
      </c>
      <c r="AG342" s="3">
        <f>IF(ISERROR(VLOOKUP($A342,'SegEnds_NonXtal_BW#'!$A:$Z,23,FALSE)+VLOOKUP($A342,A:AL,34,FALSE)-50),"-",(VLOOKUP($A342,'SegEnds_NonXtal_BW#'!$A:$Z,23,FALSE)+VLOOKUP($A342,A:AL,34,FALSE)-50))</f>
        <v>376</v>
      </c>
      <c r="AH342" s="3">
        <v>399</v>
      </c>
      <c r="AI342" s="3">
        <f>IF(ISERROR((VLOOKUP($A342,'SegEnds_NonXtal_BW#'!$A:$Z,24,FALSE)+VLOOKUP($A342,A:AL,34,FALSE)-50)),"-",(VLOOKUP($A342,'SegEnds_NonXtal_BW#'!$A:$Z,24,FALSE)+VLOOKUP($A342,A:AL,34,FALSE)-50))</f>
        <v>405</v>
      </c>
      <c r="AJ342" s="3">
        <f>IF(ISERROR(VLOOKUP($A342,'SegEnds_NonXtal_BW#'!$A:$Z,25,FALSE)+VLOOKUP($A342,A:AL,37,FALSE)-50),"-",(VLOOKUP($A342,'SegEnds_NonXtal_BW#'!$A:$Z,25,FALSE)+VLOOKUP($A342,A:AL,37,FALSE)-50))</f>
        <v>406</v>
      </c>
      <c r="AK342" s="3">
        <v>409</v>
      </c>
      <c r="AL342" s="3">
        <f>IF(ISERROR((VLOOKUP($A342,'SegEnds_NonXtal_BW#'!$A:$Z,26,FALSE)+VLOOKUP($A342,A:AL,37,FALSE)-50)),"-",(VLOOKUP($A342,'SegEnds_NonXtal_BW#'!$A:$Z,26,FALSE)+VLOOKUP($A342,A:AL,37,FALSE)-50))</f>
        <v>431</v>
      </c>
      <c r="AM342" s="28" t="str">
        <f>VLOOKUP(A342,Classification!A:B,2,FALSE)</f>
        <v>B1</v>
      </c>
      <c r="AN342" s="28" t="b">
        <f t="shared" si="200"/>
        <v>1</v>
      </c>
      <c r="AO342" s="3" t="str">
        <f>IF(ISERROR(MATCH(A342,'SegEnds_Xtal_Prot#'!B:B, 0)), "NoXtal", "Xtal")</f>
        <v>Xtal</v>
      </c>
      <c r="AP342" s="3">
        <f t="shared" si="185"/>
        <v>1</v>
      </c>
      <c r="AQ342" s="3">
        <f t="shared" si="186"/>
        <v>1</v>
      </c>
      <c r="AR342" s="3" t="str">
        <f t="shared" si="187"/>
        <v>-</v>
      </c>
      <c r="AS342" s="3" t="str">
        <f t="shared" si="188"/>
        <v>-</v>
      </c>
      <c r="AT342" s="3" t="str">
        <f t="shared" si="189"/>
        <v>-</v>
      </c>
      <c r="AU342" s="3" t="str">
        <f t="shared" si="190"/>
        <v>-</v>
      </c>
      <c r="AV342" s="3">
        <f t="shared" si="191"/>
        <v>4</v>
      </c>
      <c r="AW342" s="3">
        <f t="shared" si="192"/>
        <v>7</v>
      </c>
      <c r="AX342" s="3">
        <f t="shared" si="193"/>
        <v>7</v>
      </c>
      <c r="AY342" s="3">
        <f t="shared" si="194"/>
        <v>2</v>
      </c>
      <c r="AZ342" s="3">
        <f t="shared" si="195"/>
        <v>1</v>
      </c>
      <c r="BA342" s="3">
        <f>IF(ISERROR(LEN(VLOOKUP(A342,Seqs!A:E,2,FALSE))-AL342),"-",LEN(VLOOKUP(A342,Seqs!A:E,2,FALSE))-AL342)</f>
        <v>32</v>
      </c>
      <c r="BB342" s="16">
        <f t="shared" si="196"/>
        <v>28</v>
      </c>
      <c r="BC342" s="9" t="str">
        <f t="shared" si="197"/>
        <v>-</v>
      </c>
      <c r="BD342" s="3">
        <f t="shared" si="198"/>
        <v>28</v>
      </c>
      <c r="BE342" s="3">
        <f t="shared" si="199"/>
        <v>50</v>
      </c>
    </row>
    <row r="343" spans="1:58" s="3" customFormat="1" x14ac:dyDescent="0.2">
      <c r="A343" s="3" t="s">
        <v>407</v>
      </c>
      <c r="B343" s="3" t="str">
        <f>LOWER(VLOOKUP(A343,Xtal_Templ!A:B,2,FALSE))</f>
        <v>glr_human</v>
      </c>
      <c r="C343" s="3">
        <f>VLOOKUP($A343,'SegEnds_NonXtal_BW#'!$A:$Z,3,FALSE)+D343-50</f>
        <v>168</v>
      </c>
      <c r="D343" s="3">
        <v>193</v>
      </c>
      <c r="E343" s="3">
        <f>IF(ISERROR(VLOOKUP($A343,'SegEnds_NonXtal_BW#'!$A:$Z,4,FALSE)+VLOOKUP($A343,A:AL,4,FALSE)-50),"-",(VLOOKUP($A343,'SegEnds_NonXtal_BW#'!$A:$Z,4,FALSE)+VLOOKUP($A343,A:AL,4,FALSE)-50))</f>
        <v>203</v>
      </c>
      <c r="F343" s="3">
        <f>G343-2</f>
        <v>204</v>
      </c>
      <c r="G343" s="3">
        <v>206</v>
      </c>
      <c r="H343" s="3">
        <f>G343+1</f>
        <v>207</v>
      </c>
      <c r="I343" s="3">
        <f t="shared" si="203"/>
        <v>208</v>
      </c>
      <c r="J343" s="3">
        <v>221</v>
      </c>
      <c r="K343" s="3">
        <f>VLOOKUP($A343,'SegEnds_NonXtal_BW#'!$A:$Z,8,FALSE)+VLOOKUP($A343,A:AL,10,FALSE)-50</f>
        <v>235</v>
      </c>
      <c r="L343" s="3" t="str">
        <f>IF(ISERROR(VLOOKUP($A343,'SegEnds_NonXtal_BW#'!$A:$Z,9,FALSE)+VLOOKUP($A343,A:AL,13,FALSE)-50),"-",(VLOOKUP($A343,'SegEnds_NonXtal_BW#'!$A:$Z,9,FALSE)+VLOOKUP($A343,A:AL,13,FALSE)-50))</f>
        <v>-</v>
      </c>
      <c r="M343" s="3" t="s">
        <v>23</v>
      </c>
      <c r="N343" s="3" t="str">
        <f>IF(ISERROR(VLOOKUP($A343,'SegEnds_NonXtal_BW#'!$A:$Z,10,FALSE)+VLOOKUP($A343,A:AL,13,FALSE)-50),"-",(VLOOKUP($A343,'SegEnds_NonXtal_BW#'!$A:$Z,10,FALSE)+VLOOKUP($A343,A:AL,13,FALSE)-50))</f>
        <v>-</v>
      </c>
      <c r="O343" s="3">
        <f>VLOOKUP($A343,'SegEnds_NonXtal_BW#'!$A:$Z,11,FALSE)+VLOOKUP($A343,A:AL,16,FALSE)-50</f>
        <v>258</v>
      </c>
      <c r="P343" s="3">
        <v>285</v>
      </c>
      <c r="Q343" s="3">
        <f>VLOOKUP($A343,'SegEnds_NonXtal_BW#'!$A:$Z,12,FALSE)+VLOOKUP($A343,A:AL,16,FALSE)-50</f>
        <v>291</v>
      </c>
      <c r="R343" s="3" t="str">
        <f>IF(ISERROR(VLOOKUP($A343,'SegEnds_NonXtal_BW#'!$A:$Z,13,FALSE)+VLOOKUP($A343,A:AL,19,FALSE)-50),"-",VLOOKUP($A343,'SegEnds_NonXtal_BW#'!$A:$Z,13,FALSE)+VLOOKUP($A343,A:AL,19,FALSE)-50)</f>
        <v>-</v>
      </c>
      <c r="S343" s="3" t="s">
        <v>23</v>
      </c>
      <c r="T343" s="103" t="str">
        <f>IF(ISERROR(VLOOKUP($A343,'SegEnds_NonXtal_BW#'!$A:$Z,14,FALSE)+VLOOKUP($A343,A:AL,19,FALSE)-50),"-",(VLOOKUP($A343,'SegEnds_NonXtal_BW#'!$A:$Z,14,FALSE)+VLOOKUP($A343,A:AL,19,FALSE)-50))</f>
        <v>-</v>
      </c>
      <c r="U343" s="9">
        <f>IF(ISERROR(VLOOKUP($A343,'SegEnds_NonXtal_BW#'!$A:$Z,15,FALSE)+VLOOKUP($A343,A:AL,22,FALSE)-50),"-",VLOOKUP($A343,'SegEnds_NonXtal_BW#'!$A:$Z,15,FALSE)+VLOOKUP($A343,A:AL,22,FALSE)-50)</f>
        <v>298</v>
      </c>
      <c r="V343" s="3">
        <v>308</v>
      </c>
      <c r="W343" s="3">
        <f>IF(ISERROR(VLOOKUP($A343,'SegEnds_NonXtal_BW#'!$A:$Z,16,FALSE)+VLOOKUP($A343,A:AL,22,FALSE)-50),"-",(VLOOKUP($A343,'SegEnds_NonXtal_BW#'!$A:$Z,16,FALSE)+VLOOKUP($A343,A:AL,22,FALSE)-50))</f>
        <v>326</v>
      </c>
      <c r="X343" s="3">
        <f>IF(ISERROR(VLOOKUP($A343,'SegEnds_NonXtal_BW#'!$A:$Z,17,FALSE)+VLOOKUP($A343,A:AL,25,FALSE)-50),"-",(VLOOKUP($A343,'SegEnds_NonXtal_BW#'!$A:$Z,17,FALSE)+VLOOKUP($A343,A:AL,25,FALSE)-50))</f>
        <v>330</v>
      </c>
      <c r="Y343" s="3">
        <v>330</v>
      </c>
      <c r="Z343" s="3">
        <f t="shared" si="204"/>
        <v>332</v>
      </c>
      <c r="AA343" s="3">
        <f>IF(ISERROR(VLOOKUP($A343,'SegEnds_NonXtal_BW#'!$A:$Z,19,FALSE)+VLOOKUP($A343,A:AL,28,FALSE)-50),"-",(VLOOKUP($A343,'SegEnds_NonXtal_BW#'!$A:$Z,19,FALSE)+VLOOKUP($A343,A:AL,28,FALSE)-50))</f>
        <v>339</v>
      </c>
      <c r="AB343" s="3">
        <v>350</v>
      </c>
      <c r="AC343" s="3">
        <f>IF(ISERROR((VLOOKUP($A343,'SegEnds_NonXtal_BW#'!$A:$Z,20,FALSE)+VLOOKUP($A343,A:AL,28,FALSE)-50)),"-",(VLOOKUP($A343,'SegEnds_NonXtal_BW#'!$A:$Z,20,FALSE)+VLOOKUP($A343,A:AL,28,FALSE)-50))</f>
        <v>371</v>
      </c>
      <c r="AD343" s="3">
        <f>IF(ISERROR(VLOOKUP($A343,'SegEnds_NonXtal_BW#'!$A:$Z,21,FALSE)+VLOOKUP($A343,A:AL,31,FALSE)-50),"-",(VLOOKUP($A343,'SegEnds_NonXtal_BW#'!$A:$Z,21,FALSE)+VLOOKUP($A343,A:AL,31,FALSE)-50))</f>
        <v>378</v>
      </c>
      <c r="AE343" s="3">
        <v>400</v>
      </c>
      <c r="AF343" s="3">
        <f>IF(ISERROR((VLOOKUP($A343,'SegEnds_NonXtal_BW#'!$A:$Z,22,FALSE)+VLOOKUP($A343,A:AL,31,FALSE)-50)),"-",(VLOOKUP($A343,'SegEnds_NonXtal_BW#'!$A:$Z,22,FALSE)+VLOOKUP($A343,A:AL,31,FALSE)-50))</f>
        <v>403</v>
      </c>
      <c r="AG343" s="3">
        <f>IF(ISERROR(VLOOKUP($A343,'SegEnds_NonXtal_BW#'!$A:$Z,23,FALSE)+VLOOKUP($A343,A:AL,34,FALSE)-50),"-",(VLOOKUP($A343,'SegEnds_NonXtal_BW#'!$A:$Z,23,FALSE)+VLOOKUP($A343,A:AL,34,FALSE)-50))</f>
        <v>410</v>
      </c>
      <c r="AH343" s="3">
        <v>433</v>
      </c>
      <c r="AI343" s="3">
        <f>IF(ISERROR((VLOOKUP($A343,'SegEnds_NonXtal_BW#'!$A:$Z,24,FALSE)+VLOOKUP($A343,A:AL,34,FALSE)-50)),"-",(VLOOKUP($A343,'SegEnds_NonXtal_BW#'!$A:$Z,24,FALSE)+VLOOKUP($A343,A:AL,34,FALSE)-50))</f>
        <v>439</v>
      </c>
      <c r="AJ343" s="3">
        <f>IF(ISERROR(VLOOKUP($A343,'SegEnds_NonXtal_BW#'!$A:$Z,25,FALSE)+VLOOKUP($A343,A:AL,37,FALSE)-50),"-",(VLOOKUP($A343,'SegEnds_NonXtal_BW#'!$A:$Z,25,FALSE)+VLOOKUP($A343,A:AL,37,FALSE)-50))</f>
        <v>440</v>
      </c>
      <c r="AK343" s="3">
        <v>443</v>
      </c>
      <c r="AL343" s="3">
        <f>IF(ISERROR((VLOOKUP($A343,'SegEnds_NonXtal_BW#'!$A:$Z,26,FALSE)+VLOOKUP($A343,A:AL,37,FALSE)-50)),"-",(VLOOKUP($A343,'SegEnds_NonXtal_BW#'!$A:$Z,26,FALSE)+VLOOKUP($A343,A:AL,37,FALSE)-50))</f>
        <v>465</v>
      </c>
      <c r="AM343" s="28" t="str">
        <f>VLOOKUP(A343,Classification!A:B,2,FALSE)</f>
        <v>B1</v>
      </c>
      <c r="AN343" s="28" t="b">
        <f t="shared" si="200"/>
        <v>1</v>
      </c>
      <c r="AO343" s="3" t="str">
        <f>IF(ISERROR(MATCH(A343,'SegEnds_Xtal_Prot#'!B:B, 0)), "NoXtal", "Xtal")</f>
        <v>NoXtal</v>
      </c>
      <c r="AP343" s="3">
        <f t="shared" si="185"/>
        <v>1</v>
      </c>
      <c r="AQ343" s="3">
        <f t="shared" si="186"/>
        <v>1</v>
      </c>
      <c r="AR343" s="3" t="str">
        <f t="shared" si="187"/>
        <v>-</v>
      </c>
      <c r="AS343" s="3" t="str">
        <f t="shared" si="188"/>
        <v>-</v>
      </c>
      <c r="AT343" s="3" t="str">
        <f t="shared" si="189"/>
        <v>-</v>
      </c>
      <c r="AU343" s="3" t="str">
        <f t="shared" si="190"/>
        <v>-</v>
      </c>
      <c r="AV343" s="3">
        <f t="shared" si="191"/>
        <v>4</v>
      </c>
      <c r="AW343" s="3">
        <f t="shared" si="192"/>
        <v>7</v>
      </c>
      <c r="AX343" s="3">
        <f t="shared" si="193"/>
        <v>7</v>
      </c>
      <c r="AY343" s="3">
        <f t="shared" si="194"/>
        <v>7</v>
      </c>
      <c r="AZ343" s="3">
        <f t="shared" si="195"/>
        <v>1</v>
      </c>
      <c r="BA343" s="3">
        <f>IF(ISERROR(LEN(VLOOKUP(A343,Seqs!A:E,2,FALSE))-AL343),"-",LEN(VLOOKUP(A343,Seqs!A:E,2,FALSE))-AL343)</f>
        <v>88</v>
      </c>
      <c r="BB343" s="16">
        <f t="shared" si="196"/>
        <v>28</v>
      </c>
      <c r="BC343" s="9" t="str">
        <f t="shared" si="197"/>
        <v>-</v>
      </c>
      <c r="BD343" s="3">
        <f t="shared" si="198"/>
        <v>28</v>
      </c>
      <c r="BE343" s="3">
        <f t="shared" si="199"/>
        <v>50</v>
      </c>
    </row>
    <row r="344" spans="1:58" s="3" customFormat="1" x14ac:dyDescent="0.2">
      <c r="A344" s="3" t="s">
        <v>32</v>
      </c>
      <c r="B344" s="3" t="str">
        <f>LOWER(VLOOKUP(A344,Xtal_Templ!A:B,2,FALSE))</f>
        <v>glr_human</v>
      </c>
      <c r="C344" s="3">
        <f>VLOOKUP($A344,'SegEnds_NonXtal_BW#'!$A:$Z,3,FALSE)+D344-50</f>
        <v>131</v>
      </c>
      <c r="D344" s="3">
        <v>156</v>
      </c>
      <c r="E344" s="3">
        <f>IF(ISERROR(VLOOKUP($A344,'SegEnds_NonXtal_BW#'!$A:$Z,4,FALSE)+VLOOKUP($A344,A:AL,4,FALSE)-50),"-",(VLOOKUP($A344,'SegEnds_NonXtal_BW#'!$A:$Z,4,FALSE)+VLOOKUP($A344,A:AL,4,FALSE)-50))</f>
        <v>166</v>
      </c>
      <c r="F344" s="3">
        <f>G344-2</f>
        <v>167</v>
      </c>
      <c r="G344" s="3">
        <v>169</v>
      </c>
      <c r="H344" s="3">
        <f>G344+1</f>
        <v>170</v>
      </c>
      <c r="I344" s="3">
        <f t="shared" si="203"/>
        <v>171</v>
      </c>
      <c r="J344" s="3">
        <v>184</v>
      </c>
      <c r="K344" s="3">
        <f>VLOOKUP($A344,'SegEnds_NonXtal_BW#'!$A:$Z,8,FALSE)+VLOOKUP($A344,A:AL,10,FALSE)-50</f>
        <v>201</v>
      </c>
      <c r="L344" s="3" t="str">
        <f>IF(ISERROR(VLOOKUP($A344,'SegEnds_NonXtal_BW#'!$A:$Z,9,FALSE)+VLOOKUP($A344,A:AL,13,FALSE)-50),"-",(VLOOKUP($A344,'SegEnds_NonXtal_BW#'!$A:$Z,9,FALSE)+VLOOKUP($A344,A:AL,13,FALSE)-50))</f>
        <v>-</v>
      </c>
      <c r="M344" s="3" t="s">
        <v>23</v>
      </c>
      <c r="N344" s="3" t="str">
        <f>IF(ISERROR(VLOOKUP($A344,'SegEnds_NonXtal_BW#'!$A:$Z,10,FALSE)+VLOOKUP($A344,A:AL,13,FALSE)-50),"-",(VLOOKUP($A344,'SegEnds_NonXtal_BW#'!$A:$Z,10,FALSE)+VLOOKUP($A344,A:AL,13,FALSE)-50))</f>
        <v>-</v>
      </c>
      <c r="O344" s="3">
        <f>VLOOKUP($A344,'SegEnds_NonXtal_BW#'!$A:$Z,11,FALSE)+VLOOKUP($A344,A:AL,16,FALSE)-50</f>
        <v>217</v>
      </c>
      <c r="P344" s="3">
        <v>249</v>
      </c>
      <c r="Q344" s="3">
        <f>VLOOKUP($A344,'SegEnds_NonXtal_BW#'!$A:$Z,12,FALSE)+VLOOKUP($A344,A:AL,16,FALSE)-50</f>
        <v>255</v>
      </c>
      <c r="R344" s="3" t="str">
        <f>IF(ISERROR(VLOOKUP($A344,'SegEnds_NonXtal_BW#'!$A:$Z,13,FALSE)+VLOOKUP($A344,A:AL,19,FALSE)-50),"-",VLOOKUP($A344,'SegEnds_NonXtal_BW#'!$A:$Z,13,FALSE)+VLOOKUP($A344,A:AL,19,FALSE)-50)</f>
        <v>-</v>
      </c>
      <c r="S344" s="3" t="s">
        <v>23</v>
      </c>
      <c r="T344" s="103" t="str">
        <f>IF(ISERROR(VLOOKUP($A344,'SegEnds_NonXtal_BW#'!$A:$Z,14,FALSE)+VLOOKUP($A344,A:AL,19,FALSE)-50),"-",(VLOOKUP($A344,'SegEnds_NonXtal_BW#'!$A:$Z,14,FALSE)+VLOOKUP($A344,A:AL,19,FALSE)-50))</f>
        <v>-</v>
      </c>
      <c r="U344" s="9">
        <f>IF(ISERROR(VLOOKUP($A344,'SegEnds_NonXtal_BW#'!$A:$Z,15,FALSE)+VLOOKUP($A344,A:AL,22,FALSE)-50),"-",VLOOKUP($A344,'SegEnds_NonXtal_BW#'!$A:$Z,15,FALSE)+VLOOKUP($A344,A:AL,22,FALSE)-50)</f>
        <v>262</v>
      </c>
      <c r="V344" s="3">
        <v>272</v>
      </c>
      <c r="W344" s="3">
        <f>IF(ISERROR(VLOOKUP($A344,'SegEnds_NonXtal_BW#'!$A:$Z,16,FALSE)+VLOOKUP($A344,A:AL,22,FALSE)-50),"-",(VLOOKUP($A344,'SegEnds_NonXtal_BW#'!$A:$Z,16,FALSE)+VLOOKUP($A344,A:AL,22,FALSE)-50))</f>
        <v>290</v>
      </c>
      <c r="X344" s="3">
        <f>IF(ISERROR(VLOOKUP($A344,'SegEnds_NonXtal_BW#'!$A:$Z,17,FALSE)+VLOOKUP($A344,A:AL,25,FALSE)-50),"-",(VLOOKUP($A344,'SegEnds_NonXtal_BW#'!$A:$Z,17,FALSE)+VLOOKUP($A344,A:AL,25,FALSE)-50))</f>
        <v>294</v>
      </c>
      <c r="Y344" s="3">
        <v>294</v>
      </c>
      <c r="Z344" s="3">
        <f t="shared" si="204"/>
        <v>296</v>
      </c>
      <c r="AA344" s="3">
        <f>IF(ISERROR(VLOOKUP($A344,'SegEnds_NonXtal_BW#'!$A:$Z,19,FALSE)+VLOOKUP($A344,A:AL,28,FALSE)-50),"-",(VLOOKUP($A344,'SegEnds_NonXtal_BW#'!$A:$Z,19,FALSE)+VLOOKUP($A344,A:AL,28,FALSE)-50))</f>
        <v>300</v>
      </c>
      <c r="AB344" s="3">
        <v>314</v>
      </c>
      <c r="AC344" s="3">
        <f>IF(ISERROR((VLOOKUP($A344,'SegEnds_NonXtal_BW#'!$A:$Z,20,FALSE)+VLOOKUP($A344,A:AL,28,FALSE)-50)),"-",(VLOOKUP($A344,'SegEnds_NonXtal_BW#'!$A:$Z,20,FALSE)+VLOOKUP($A344,A:AL,28,FALSE)-50))</f>
        <v>335</v>
      </c>
      <c r="AD344" s="3">
        <f>IF(ISERROR(VLOOKUP($A344,'SegEnds_NonXtal_BW#'!$A:$Z,21,FALSE)+VLOOKUP($A344,A:AL,31,FALSE)-50),"-",(VLOOKUP($A344,'SegEnds_NonXtal_BW#'!$A:$Z,21,FALSE)+VLOOKUP($A344,A:AL,31,FALSE)-50))</f>
        <v>343</v>
      </c>
      <c r="AE344" s="3">
        <v>364</v>
      </c>
      <c r="AF344" s="3">
        <f>IF(ISERROR((VLOOKUP($A344,'SegEnds_NonXtal_BW#'!$A:$Z,22,FALSE)+VLOOKUP($A344,A:AL,31,FALSE)-50)),"-",(VLOOKUP($A344,'SegEnds_NonXtal_BW#'!$A:$Z,22,FALSE)+VLOOKUP($A344,A:AL,31,FALSE)-50))</f>
        <v>367</v>
      </c>
      <c r="AG344" s="3">
        <f>IF(ISERROR(VLOOKUP($A344,'SegEnds_NonXtal_BW#'!$A:$Z,23,FALSE)+VLOOKUP($A344,A:AL,34,FALSE)-50),"-",(VLOOKUP($A344,'SegEnds_NonXtal_BW#'!$A:$Z,23,FALSE)+VLOOKUP($A344,A:AL,34,FALSE)-50))</f>
        <v>374</v>
      </c>
      <c r="AH344" s="3">
        <v>397</v>
      </c>
      <c r="AI344" s="3">
        <f>IF(ISERROR((VLOOKUP($A344,'SegEnds_NonXtal_BW#'!$A:$Z,24,FALSE)+VLOOKUP($A344,A:AL,34,FALSE)-50)),"-",(VLOOKUP($A344,'SegEnds_NonXtal_BW#'!$A:$Z,24,FALSE)+VLOOKUP($A344,A:AL,34,FALSE)-50))</f>
        <v>403</v>
      </c>
      <c r="AJ344" s="3">
        <f>IF(ISERROR(VLOOKUP($A344,'SegEnds_NonXtal_BW#'!$A:$Z,25,FALSE)+VLOOKUP($A344,A:AL,37,FALSE)-50),"-",(VLOOKUP($A344,'SegEnds_NonXtal_BW#'!$A:$Z,25,FALSE)+VLOOKUP($A344,A:AL,37,FALSE)-50))</f>
        <v>404</v>
      </c>
      <c r="AK344" s="3">
        <v>407</v>
      </c>
      <c r="AL344" s="3">
        <f>IF(ISERROR((VLOOKUP($A344,'SegEnds_NonXtal_BW#'!$A:$Z,26,FALSE)+VLOOKUP($A344,A:AL,37,FALSE)-50)),"-",(VLOOKUP($A344,'SegEnds_NonXtal_BW#'!$A:$Z,26,FALSE)+VLOOKUP($A344,A:AL,37,FALSE)-50))</f>
        <v>429</v>
      </c>
      <c r="AM344" s="28" t="str">
        <f>VLOOKUP(A344,Classification!A:B,2,FALSE)</f>
        <v>B1</v>
      </c>
      <c r="AN344" s="28" t="b">
        <f t="shared" si="200"/>
        <v>1</v>
      </c>
      <c r="AO344" s="3" t="str">
        <f>IF(ISERROR(MATCH(A344,'SegEnds_Xtal_Prot#'!B:B, 0)), "NoXtal", "Xtal")</f>
        <v>Xtal</v>
      </c>
      <c r="AP344" s="3">
        <f t="shared" si="185"/>
        <v>1</v>
      </c>
      <c r="AQ344" s="3">
        <f t="shared" si="186"/>
        <v>1</v>
      </c>
      <c r="AR344" s="3" t="str">
        <f t="shared" si="187"/>
        <v>-</v>
      </c>
      <c r="AS344" s="3" t="str">
        <f t="shared" si="188"/>
        <v>-</v>
      </c>
      <c r="AT344" s="3" t="str">
        <f t="shared" si="189"/>
        <v>-</v>
      </c>
      <c r="AU344" s="3" t="str">
        <f t="shared" si="190"/>
        <v>-</v>
      </c>
      <c r="AV344" s="3">
        <f t="shared" si="191"/>
        <v>4</v>
      </c>
      <c r="AW344" s="3">
        <f t="shared" si="192"/>
        <v>4</v>
      </c>
      <c r="AX344" s="3">
        <f t="shared" si="193"/>
        <v>8</v>
      </c>
      <c r="AY344" s="3">
        <f t="shared" si="194"/>
        <v>7</v>
      </c>
      <c r="AZ344" s="3">
        <f t="shared" si="195"/>
        <v>1</v>
      </c>
      <c r="BA344" s="3">
        <f>IF(ISERROR(LEN(VLOOKUP(A344,Seqs!A:E,2,FALSE))-AL344),"-",LEN(VLOOKUP(A344,Seqs!A:E,2,FALSE))-AL344)</f>
        <v>48</v>
      </c>
      <c r="BB344" s="16">
        <f t="shared" si="196"/>
        <v>28</v>
      </c>
      <c r="BC344" s="9" t="str">
        <f t="shared" si="197"/>
        <v>-</v>
      </c>
      <c r="BD344" s="3">
        <f t="shared" si="198"/>
        <v>28</v>
      </c>
      <c r="BE344" s="3">
        <f t="shared" si="199"/>
        <v>50</v>
      </c>
    </row>
    <row r="345" spans="1:58" s="3" customFormat="1" x14ac:dyDescent="0.2">
      <c r="A345" s="3" t="s">
        <v>482</v>
      </c>
      <c r="B345" s="3" t="str">
        <f>LOWER(VLOOKUP(A345,Xtal_Templ!A:B,2,FALSE))</f>
        <v>ccr9_human</v>
      </c>
      <c r="C345" s="3">
        <v>202</v>
      </c>
      <c r="D345" s="3">
        <v>231</v>
      </c>
      <c r="E345" s="3">
        <f>IF(ISERROR(VLOOKUP($A345,'SegEnds_NonXtal_BW#'!$A:$Z,4,FALSE)+VLOOKUP($A345,A:AL,4,FALSE)-50),"-",(VLOOKUP($A345,'SegEnds_NonXtal_BW#'!$A:$Z,4,FALSE)+VLOOKUP($A345,A:AL,4,FALSE)-50))</f>
        <v>241</v>
      </c>
      <c r="F345" s="3" t="str">
        <f>IF(ISERROR(VLOOKUP($A345,'SegEnds_NonXtal_BW#'!$A:$Z,5,FALSE)+VLOOKUP($A345,A:AL,7,FALSE)-50),"-",(VLOOKUP($A345,'SegEnds_NonXtal_BW#'!$A:$Z,5,FALSE)+VLOOKUP($A345,A:AL,7,FALSE)-50))</f>
        <v>-</v>
      </c>
      <c r="G345" s="3" t="s">
        <v>23</v>
      </c>
      <c r="H345" s="3" t="str">
        <f>IF(ISERROR(VLOOKUP($A345,'SegEnds_NonXtal_BW#'!$A:$Z,6,FALSE)+VLOOKUP($A345,A:AL,7,FALSE)-50),"-",(VLOOKUP($A345,'SegEnds_NonXtal_BW#'!$A:$Z,6,FALSE)+VLOOKUP($A345,A:AL,7,FALSE)-50))</f>
        <v>-</v>
      </c>
      <c r="I345" s="3">
        <f>VLOOKUP($A345,'SegEnds_NonXtal_BW#'!$A:$Z,7,FALSE)+J345-50</f>
        <v>269</v>
      </c>
      <c r="J345" s="3">
        <v>280</v>
      </c>
      <c r="K345" s="3">
        <f>VLOOKUP($A345,'SegEnds_NonXtal_BW#'!$A:$Z,8,FALSE)+VLOOKUP($A345,A:AL,10,FALSE)-50</f>
        <v>293</v>
      </c>
      <c r="L345" s="3" t="str">
        <f>IF(ISERROR(VLOOKUP($A345,'SegEnds_NonXtal_BW#'!$A:$Z,9,FALSE)+VLOOKUP($A345,A:AL,13,FALSE)-50),"-",(VLOOKUP($A345,'SegEnds_NonXtal_BW#'!$A:$Z,9,FALSE)+VLOOKUP($A345,A:AL,13,FALSE)-50))</f>
        <v>-</v>
      </c>
      <c r="M345" s="3" t="s">
        <v>23</v>
      </c>
      <c r="N345" s="3" t="str">
        <f>IF(ISERROR(VLOOKUP($A345,'SegEnds_NonXtal_BW#'!$A:$Z,10,FALSE)+VLOOKUP($A345,A:AL,13,FALSE)-50),"-",(VLOOKUP($A345,'SegEnds_NonXtal_BW#'!$A:$Z,10,FALSE)+VLOOKUP($A345,A:AL,13,FALSE)-50))</f>
        <v>-</v>
      </c>
      <c r="O345" s="3">
        <f>VLOOKUP($A345,'SegEnds_NonXtal_BW#'!$A:$Z,11,FALSE)+VLOOKUP($A345,A:AL,16,FALSE)-50</f>
        <v>327</v>
      </c>
      <c r="P345" s="3">
        <v>354</v>
      </c>
      <c r="Q345" s="3">
        <f>VLOOKUP($A345,'SegEnds_NonXtal_BW#'!$A:$Z,12,FALSE)+VLOOKUP($A345,A:AL,16,FALSE)-50</f>
        <v>360</v>
      </c>
      <c r="R345" s="3" t="str">
        <f>IF(ISERROR(VLOOKUP($A345,'SegEnds_NonXtal_BW#'!$A:$Z,13,FALSE)+VLOOKUP($A345,A:AL,19,FALSE)-50),"-",VLOOKUP($A345,'SegEnds_NonXtal_BW#'!$A:$Z,13,FALSE)+VLOOKUP($A345,A:AL,19,FALSE)-50)</f>
        <v>-</v>
      </c>
      <c r="S345" s="3" t="s">
        <v>23</v>
      </c>
      <c r="T345" s="103" t="str">
        <f>IF(ISERROR(VLOOKUP($A345,'SegEnds_NonXtal_BW#'!$A:$Z,14,FALSE)+VLOOKUP($A345,A:AL,19,FALSE)-50),"-",(VLOOKUP($A345,'SegEnds_NonXtal_BW#'!$A:$Z,14,FALSE)+VLOOKUP($A345,A:AL,19,FALSE)-50))</f>
        <v>-</v>
      </c>
      <c r="U345" s="9">
        <f>IF(ISERROR(VLOOKUP($A345,'SegEnds_NonXtal_BW#'!$A:$Z,15,FALSE)+VLOOKUP($A345,A:AL,22,FALSE)-50),"-",VLOOKUP($A345,'SegEnds_NonXtal_BW#'!$A:$Z,15,FALSE)+VLOOKUP($A345,A:AL,22,FALSE)-50)</f>
        <v>381</v>
      </c>
      <c r="V345" s="3">
        <v>391</v>
      </c>
      <c r="W345" s="3">
        <f>IF(ISERROR(VLOOKUP($A345,'SegEnds_NonXtal_BW#'!$A:$Z,16,FALSE)+VLOOKUP($A345,A:AL,22,FALSE)-50),"-",(VLOOKUP($A345,'SegEnds_NonXtal_BW#'!$A:$Z,16,FALSE)+VLOOKUP($A345,A:AL,22,FALSE)-50))</f>
        <v>405</v>
      </c>
      <c r="X345" s="3" t="str">
        <f>IF(ISERROR(VLOOKUP($A345,'SegEnds_NonXtal_BW#'!$A:$Z,17,FALSE)+VLOOKUP($A345,A:AL,25,FALSE)-50),"-",(VLOOKUP($A345,'SegEnds_NonXtal_BW#'!$A:$Z,17,FALSE)+VLOOKUP($A345,A:AL,25,FALSE)-50))</f>
        <v>-</v>
      </c>
      <c r="Y345" s="3" t="s">
        <v>23</v>
      </c>
      <c r="Z345" s="3" t="str">
        <f>IF(ISERROR(VLOOKUP($A345,'SegEnds_NonXtal_BW#'!$A:$Z,18,FALSE)+VLOOKUP($A345,A:AL,25,FALSE)-50),"-",(VLOOKUP($A345,'SegEnds_NonXtal_BW#'!$A:$Z,18,FALSE)+VLOOKUP($A345,A:AL,25,FALSE)-50))</f>
        <v>-</v>
      </c>
      <c r="AA345" s="3">
        <f>IF(ISERROR(VLOOKUP($A345,'SegEnds_NonXtal_BW#'!$A:$Z,19,FALSE)+VLOOKUP($A345,A:AL,28,FALSE)-50),"-",(VLOOKUP($A345,'SegEnds_NonXtal_BW#'!$A:$Z,19,FALSE)+VLOOKUP($A345,A:AL,28,FALSE)-50))</f>
        <v>461</v>
      </c>
      <c r="AB345" s="3">
        <v>472</v>
      </c>
      <c r="AC345" s="3">
        <f>IF(ISERROR((VLOOKUP($A345,'SegEnds_NonXtal_BW#'!$A:$Z,20,FALSE)+VLOOKUP($A345,A:AL,28,FALSE)-50)),"-",(VLOOKUP($A345,'SegEnds_NonXtal_BW#'!$A:$Z,20,FALSE)+VLOOKUP($A345,A:AL,28,FALSE)-50))</f>
        <v>483</v>
      </c>
      <c r="AD345" s="3">
        <f>IF(ISERROR(VLOOKUP($A345,'SegEnds_NonXtal_BW#'!$A:$Z,21,FALSE)+VLOOKUP($A345,A:AL,31,FALSE)-50),"-",(VLOOKUP($A345,'SegEnds_NonXtal_BW#'!$A:$Z,21,FALSE)+VLOOKUP($A345,A:AL,31,FALSE)-50))</f>
        <v>488</v>
      </c>
      <c r="AE345" s="3">
        <v>509</v>
      </c>
      <c r="AF345" s="3">
        <f>IF(ISERROR((VLOOKUP($A345,'SegEnds_NonXtal_BW#'!$A:$Z,22,FALSE)+VLOOKUP($A345,A:AL,31,FALSE)-50)),"-",(VLOOKUP($A345,'SegEnds_NonXtal_BW#'!$A:$Z,22,FALSE)+VLOOKUP($A345,A:AL,31,FALSE)-50))</f>
        <v>512</v>
      </c>
      <c r="AG345" s="3">
        <f>IF(ISERROR(VLOOKUP($A345,'SegEnds_NonXtal_BW#'!$A:$Z,23,FALSE)+VLOOKUP($A345,A:AL,34,FALSE)-50),"-",(VLOOKUP($A345,'SegEnds_NonXtal_BW#'!$A:$Z,23,FALSE)+VLOOKUP($A345,A:AL,34,FALSE)-50))</f>
        <v>538</v>
      </c>
      <c r="AH345" s="3">
        <v>553</v>
      </c>
      <c r="AI345" s="3">
        <f>IF(ISERROR((VLOOKUP($A345,'SegEnds_NonXtal_BW#'!$A:$Z,24,FALSE)+VLOOKUP($A345,A:AL,34,FALSE)-50)),"-",(VLOOKUP($A345,'SegEnds_NonXtal_BW#'!$A:$Z,24,FALSE)+VLOOKUP($A345,A:AL,34,FALSE)-50))</f>
        <v>559</v>
      </c>
      <c r="AJ345" s="3">
        <f>IF(ISERROR(VLOOKUP($A345,'SegEnds_NonXtal_BW#'!$A:$Z,25,FALSE)+VLOOKUP($A345,A:AL,37,FALSE)-50),"-",(VLOOKUP($A345,'SegEnds_NonXtal_BW#'!$A:$Z,25,FALSE)+VLOOKUP($A345,A:AL,37,FALSE)-50))</f>
        <v>561</v>
      </c>
      <c r="AK345" s="3">
        <v>564</v>
      </c>
      <c r="AL345" s="3">
        <f>IF(ISERROR((VLOOKUP($A345,'SegEnds_NonXtal_BW#'!$A:$Z,26,FALSE)+VLOOKUP($A345,A:AL,37,FALSE)-50)),"-",(VLOOKUP($A345,'SegEnds_NonXtal_BW#'!$A:$Z,26,FALSE)+VLOOKUP($A345,A:AL,37,FALSE)-50))</f>
        <v>571</v>
      </c>
      <c r="AM345" s="28" t="str">
        <f>VLOOKUP(A345,Classification!A:B,2,FALSE)</f>
        <v>O</v>
      </c>
      <c r="AN345" s="28" t="b">
        <f t="shared" si="200"/>
        <v>1</v>
      </c>
      <c r="AO345" s="3" t="str">
        <f>IF(ISERROR(MATCH(A345,'SegEnds_Xtal_Prot#'!B:B, 0)), "NoXtal", "Xtal")</f>
        <v>NoXtal</v>
      </c>
      <c r="AP345" s="3" t="str">
        <f t="shared" si="185"/>
        <v>-</v>
      </c>
      <c r="AQ345" s="3" t="str">
        <f t="shared" si="186"/>
        <v>-</v>
      </c>
      <c r="AR345" s="3" t="str">
        <f t="shared" si="187"/>
        <v>-</v>
      </c>
      <c r="AS345" s="3" t="str">
        <f t="shared" si="188"/>
        <v>-</v>
      </c>
      <c r="AT345" s="3" t="str">
        <f t="shared" si="189"/>
        <v>-</v>
      </c>
      <c r="AU345" s="3" t="str">
        <f t="shared" si="190"/>
        <v>-</v>
      </c>
      <c r="AV345" s="3" t="str">
        <f t="shared" si="191"/>
        <v>-</v>
      </c>
      <c r="AW345" s="3" t="str">
        <f t="shared" si="192"/>
        <v>-</v>
      </c>
      <c r="AX345" s="3">
        <f t="shared" si="193"/>
        <v>5</v>
      </c>
      <c r="AY345" s="3">
        <f t="shared" si="194"/>
        <v>26</v>
      </c>
      <c r="AZ345" s="3">
        <f t="shared" si="195"/>
        <v>2</v>
      </c>
      <c r="BA345" s="3">
        <f>IF(ISERROR(LEN(VLOOKUP(A345,Seqs!A:E,2,FALSE))-AL345),"-",LEN(VLOOKUP(A345,Seqs!A:E,2,FALSE))-AL345)</f>
        <v>29</v>
      </c>
      <c r="BB345" s="16">
        <f t="shared" si="196"/>
        <v>49</v>
      </c>
      <c r="BC345" s="9" t="str">
        <f t="shared" si="197"/>
        <v>-</v>
      </c>
      <c r="BD345" s="3">
        <f t="shared" si="198"/>
        <v>49</v>
      </c>
      <c r="BE345" s="3">
        <f t="shared" si="199"/>
        <v>37</v>
      </c>
      <c r="BF345" s="3">
        <f>AH345-AE345</f>
        <v>44</v>
      </c>
    </row>
    <row r="346" spans="1:58" s="3" customFormat="1" x14ac:dyDescent="0.2">
      <c r="A346" s="3" t="s">
        <v>1423</v>
      </c>
      <c r="B346" s="3" t="str">
        <f>LOWER(VLOOKUP(A346,Xtal_Templ!A:B,2,FALSE))</f>
        <v>crfr1_human</v>
      </c>
      <c r="C346" s="3">
        <f>VLOOKUP($A346,'SegEnds_NonXtal_BW#'!$A:$Z,3,FALSE)+D346-50</f>
        <v>852</v>
      </c>
      <c r="D346" s="3">
        <v>879</v>
      </c>
      <c r="E346" s="3">
        <f>IF(ISERROR(VLOOKUP($A346,'SegEnds_NonXtal_BW#'!$A:$Z,4,FALSE)+VLOOKUP($A346,A:AL,4,FALSE)-50),"-",(VLOOKUP($A346,'SegEnds_NonXtal_BW#'!$A:$Z,4,FALSE)+VLOOKUP($A346,A:AL,4,FALSE)-50))</f>
        <v>889</v>
      </c>
      <c r="F346" s="3">
        <f>G346-2</f>
        <v>890</v>
      </c>
      <c r="G346" s="3">
        <v>892</v>
      </c>
      <c r="H346" s="3">
        <f>G346+1</f>
        <v>893</v>
      </c>
      <c r="I346" s="3">
        <f>H346+1</f>
        <v>894</v>
      </c>
      <c r="J346" s="3">
        <v>908</v>
      </c>
      <c r="K346" s="3">
        <f>VLOOKUP($A346,'SegEnds_NonXtal_BW#'!$A:$Z,8,FALSE)+VLOOKUP($A346,A:AL,10,FALSE)-50</f>
        <v>921</v>
      </c>
      <c r="L346" s="3" t="str">
        <f>IF(ISERROR(VLOOKUP($A346,'SegEnds_NonXtal_BW#'!$A:$Z,9,FALSE)+VLOOKUP($A346,A:AL,13,FALSE)-50),"-",(VLOOKUP($A346,'SegEnds_NonXtal_BW#'!$A:$Z,9,FALSE)+VLOOKUP($A346,A:AL,13,FALSE)-50))</f>
        <v>-</v>
      </c>
      <c r="M346" s="3" t="s">
        <v>23</v>
      </c>
      <c r="N346" s="3" t="str">
        <f>IF(ISERROR(VLOOKUP($A346,'SegEnds_NonXtal_BW#'!$A:$Z,10,FALSE)+VLOOKUP($A346,A:AL,13,FALSE)-50),"-",(VLOOKUP($A346,'SegEnds_NonXtal_BW#'!$A:$Z,10,FALSE)+VLOOKUP($A346,A:AL,13,FALSE)-50))</f>
        <v>-</v>
      </c>
      <c r="O346" s="3">
        <f>VLOOKUP($A346,'SegEnds_NonXtal_BW#'!$A:$Z,11,FALSE)+VLOOKUP($A346,A:AL,16,FALSE)-50</f>
        <v>928</v>
      </c>
      <c r="P346" s="3">
        <v>955</v>
      </c>
      <c r="Q346" s="3">
        <f>VLOOKUP($A346,'SegEnds_NonXtal_BW#'!$A:$Z,12,FALSE)+VLOOKUP($A346,A:AL,16,FALSE)-50</f>
        <v>961</v>
      </c>
      <c r="R346" s="3" t="str">
        <f>IF(ISERROR(VLOOKUP($A346,'SegEnds_NonXtal_BW#'!$A:$Z,13,FALSE)+VLOOKUP($A346,A:AL,19,FALSE)-50),"-",VLOOKUP($A346,'SegEnds_NonXtal_BW#'!$A:$Z,13,FALSE)+VLOOKUP($A346,A:AL,19,FALSE)-50)</f>
        <v>-</v>
      </c>
      <c r="S346" s="3" t="s">
        <v>23</v>
      </c>
      <c r="T346" s="103" t="str">
        <f>IF(ISERROR(VLOOKUP($A346,'SegEnds_NonXtal_BW#'!$A:$Z,14,FALSE)+VLOOKUP($A346,A:AL,19,FALSE)-50),"-",(VLOOKUP($A346,'SegEnds_NonXtal_BW#'!$A:$Z,14,FALSE)+VLOOKUP($A346,A:AL,19,FALSE)-50))</f>
        <v>-</v>
      </c>
      <c r="U346" s="9">
        <f>IF(ISERROR(VLOOKUP($A346,'SegEnds_NonXtal_BW#'!$A:$Z,15,FALSE)+VLOOKUP($A346,A:AL,22,FALSE)-50),"-",VLOOKUP($A346,'SegEnds_NonXtal_BW#'!$A:$Z,15,FALSE)+VLOOKUP($A346,A:AL,22,FALSE)-50)</f>
        <v>969</v>
      </c>
      <c r="V346" s="3">
        <v>979</v>
      </c>
      <c r="W346" s="3">
        <f>IF(ISERROR(VLOOKUP($A346,'SegEnds_NonXtal_BW#'!$A:$Z,16,FALSE)+VLOOKUP($A346,A:AL,22,FALSE)-50),"-",(VLOOKUP($A346,'SegEnds_NonXtal_BW#'!$A:$Z,16,FALSE)+VLOOKUP($A346,A:AL,22,FALSE)-50))</f>
        <v>997</v>
      </c>
      <c r="X346" s="3">
        <f>IF(ISERROR(VLOOKUP($A346,'SegEnds_NonXtal_BW#'!$A:$Z,17,FALSE)+VLOOKUP($A346,A:AL,25,FALSE)-50),"-",(VLOOKUP($A346,'SegEnds_NonXtal_BW#'!$A:$Z,17,FALSE)+VLOOKUP($A346,A:AL,25,FALSE)-50))</f>
        <v>1013</v>
      </c>
      <c r="Y346" s="3">
        <v>1013</v>
      </c>
      <c r="Z346" s="3">
        <f>Y346+2</f>
        <v>1015</v>
      </c>
      <c r="AA346" s="3">
        <f>IF(ISERROR(VLOOKUP($A346,'SegEnds_NonXtal_BW#'!$A:$Z,19,FALSE)+VLOOKUP($A346,A:AL,28,FALSE)-50),"-",(VLOOKUP($A346,'SegEnds_NonXtal_BW#'!$A:$Z,19,FALSE)+VLOOKUP($A346,A:AL,28,FALSE)-50))</f>
        <v>1018</v>
      </c>
      <c r="AB346" s="3">
        <v>1032</v>
      </c>
      <c r="AC346" s="3">
        <f>IF(ISERROR((VLOOKUP($A346,'SegEnds_NonXtal_BW#'!$A:$Z,20,FALSE)+VLOOKUP($A346,A:AL,28,FALSE)-50)),"-",(VLOOKUP($A346,'SegEnds_NonXtal_BW#'!$A:$Z,20,FALSE)+VLOOKUP($A346,A:AL,28,FALSE)-50))</f>
        <v>1051</v>
      </c>
      <c r="AD346" s="3">
        <f>IF(ISERROR(VLOOKUP($A346,'SegEnds_NonXtal_BW#'!$A:$Z,21,FALSE)+VLOOKUP($A346,A:AL,31,FALSE)-50),"-",(VLOOKUP($A346,'SegEnds_NonXtal_BW#'!$A:$Z,21,FALSE)+VLOOKUP($A346,A:AL,31,FALSE)-50))</f>
        <v>1062</v>
      </c>
      <c r="AE346" s="3">
        <v>1083</v>
      </c>
      <c r="AF346" s="3">
        <f>IF(ISERROR((VLOOKUP($A346,'SegEnds_NonXtal_BW#'!$A:$Z,22,FALSE)+VLOOKUP($A346,A:AL,31,FALSE)-50)),"-",(VLOOKUP($A346,'SegEnds_NonXtal_BW#'!$A:$Z,22,FALSE)+VLOOKUP($A346,A:AL,31,FALSE)-50))</f>
        <v>1086</v>
      </c>
      <c r="AG346" s="3">
        <f>IF(ISERROR(VLOOKUP($A346,'SegEnds_NonXtal_BW#'!$A:$Z,23,FALSE)+VLOOKUP($A346,A:AL,34,FALSE)-50),"-",(VLOOKUP($A346,'SegEnds_NonXtal_BW#'!$A:$Z,23,FALSE)+VLOOKUP($A346,A:AL,34,FALSE)-50))</f>
        <v>1092</v>
      </c>
      <c r="AH346" s="3">
        <v>1111</v>
      </c>
      <c r="AI346" s="3">
        <f>IF(ISERROR((VLOOKUP($A346,'SegEnds_NonXtal_BW#'!$A:$Z,24,FALSE)+VLOOKUP($A346,A:AL,34,FALSE)-50)),"-",(VLOOKUP($A346,'SegEnds_NonXtal_BW#'!$A:$Z,24,FALSE)+VLOOKUP($A346,A:AL,34,FALSE)-50))</f>
        <v>1117</v>
      </c>
      <c r="AJ346" s="3">
        <f>IF(ISERROR(VLOOKUP($A346,'SegEnds_NonXtal_BW#'!$A:$Z,25,FALSE)+VLOOKUP($A346,A:AL,37,FALSE)-50),"-",(VLOOKUP($A346,'SegEnds_NonXtal_BW#'!$A:$Z,25,FALSE)+VLOOKUP($A346,A:AL,37,FALSE)-50))</f>
        <v>1118</v>
      </c>
      <c r="AK346" s="3">
        <v>1121</v>
      </c>
      <c r="AL346" s="3">
        <f>IF(ISERROR((VLOOKUP($A346,'SegEnds_NonXtal_BW#'!$A:$Z,26,FALSE)+VLOOKUP($A346,A:AL,37,FALSE)-50)),"-",(VLOOKUP($A346,'SegEnds_NonXtal_BW#'!$A:$Z,26,FALSE)+VLOOKUP($A346,A:AL,37,FALSE)-50))</f>
        <v>1134</v>
      </c>
      <c r="AM346" s="28" t="str">
        <f>VLOOKUP(A346,Classification!A:B,2,FALSE)</f>
        <v>B2</v>
      </c>
      <c r="AN346" s="28" t="b">
        <f t="shared" si="200"/>
        <v>1</v>
      </c>
      <c r="AO346" s="3" t="str">
        <f>IF(ISERROR(MATCH(A346,'SegEnds_Xtal_Prot#'!B:B, 0)), "NoXtal", "Xtal")</f>
        <v>NoXtal</v>
      </c>
      <c r="AP346" s="3">
        <f t="shared" si="185"/>
        <v>1</v>
      </c>
      <c r="AQ346" s="3">
        <f t="shared" si="186"/>
        <v>1</v>
      </c>
      <c r="AR346" s="3" t="str">
        <f t="shared" si="187"/>
        <v>-</v>
      </c>
      <c r="AS346" s="3" t="str">
        <f t="shared" si="188"/>
        <v>-</v>
      </c>
      <c r="AT346" s="3" t="str">
        <f t="shared" si="189"/>
        <v>-</v>
      </c>
      <c r="AU346" s="3" t="str">
        <f t="shared" si="190"/>
        <v>-</v>
      </c>
      <c r="AV346" s="3">
        <f t="shared" si="191"/>
        <v>16</v>
      </c>
      <c r="AW346" s="3">
        <f t="shared" si="192"/>
        <v>3</v>
      </c>
      <c r="AX346" s="3">
        <f t="shared" si="193"/>
        <v>11</v>
      </c>
      <c r="AY346" s="3">
        <f t="shared" si="194"/>
        <v>6</v>
      </c>
      <c r="AZ346" s="3">
        <f t="shared" si="195"/>
        <v>1</v>
      </c>
      <c r="BA346" s="3">
        <f>IF(ISERROR(LEN(VLOOKUP(A346,Seqs!A:E,2,FALSE))-AL346),"-",LEN(VLOOKUP(A346,Seqs!A:E,2,FALSE))-AL346)</f>
        <v>87</v>
      </c>
      <c r="BB346" s="16">
        <f t="shared" si="196"/>
        <v>29</v>
      </c>
      <c r="BC346" s="9" t="str">
        <f t="shared" si="197"/>
        <v>-</v>
      </c>
      <c r="BD346" s="3">
        <f t="shared" si="198"/>
        <v>29</v>
      </c>
      <c r="BE346" s="3">
        <f t="shared" si="199"/>
        <v>51</v>
      </c>
    </row>
    <row r="347" spans="1:58" s="3" customFormat="1" x14ac:dyDescent="0.2">
      <c r="A347" s="3" t="s">
        <v>214</v>
      </c>
      <c r="B347" s="3" t="str">
        <f>LOWER(VLOOKUP(A347,Xtal_Templ!A:B,2,FALSE))</f>
        <v>p2ry1_human</v>
      </c>
      <c r="C347" s="3">
        <f>VLOOKUP($A347,'SegEnds_NonXtal_BW#'!$A:$Z,3,FALSE)+D347-50</f>
        <v>40</v>
      </c>
      <c r="D347" s="3">
        <v>60</v>
      </c>
      <c r="E347" s="3">
        <f>IF(ISERROR(VLOOKUP($A347,'SegEnds_NonXtal_BW#'!$A:$Z,4,FALSE)+VLOOKUP($A347,A:AL,4,FALSE)-50),"-",(VLOOKUP($A347,'SegEnds_NonXtal_BW#'!$A:$Z,4,FALSE)+VLOOKUP($A347,A:AL,4,FALSE)-50))</f>
        <v>70</v>
      </c>
      <c r="F347" s="3" t="str">
        <f>IF(ISERROR(VLOOKUP($A347,'SegEnds_NonXtal_BW#'!$A:$Z,5,FALSE)+VLOOKUP($A347,A:AL,7,FALSE)-50),"-",(VLOOKUP($A347,'SegEnds_NonXtal_BW#'!$A:$Z,5,FALSE)+VLOOKUP($A347,A:AL,7,FALSE)-50))</f>
        <v>-</v>
      </c>
      <c r="G347" s="3" t="s">
        <v>23</v>
      </c>
      <c r="H347" s="3" t="str">
        <f>IF(ISERROR(VLOOKUP($A347,'SegEnds_NonXtal_BW#'!$A:$Z,6,FALSE)+VLOOKUP($A347,A:AL,7,FALSE)-50),"-",(VLOOKUP($A347,'SegEnds_NonXtal_BW#'!$A:$Z,6,FALSE)+VLOOKUP($A347,A:AL,7,FALSE)-50))</f>
        <v>-</v>
      </c>
      <c r="I347" s="3">
        <f>VLOOKUP($A347,'SegEnds_NonXtal_BW#'!$A:$Z,7,FALSE)+J347-50</f>
        <v>75</v>
      </c>
      <c r="J347" s="3">
        <v>88</v>
      </c>
      <c r="K347" s="3">
        <f>VLOOKUP($A347,'SegEnds_NonXtal_BW#'!$A:$Z,8,FALSE)+VLOOKUP($A347,A:AL,10,FALSE)-50</f>
        <v>104</v>
      </c>
      <c r="L347" s="3">
        <f>M347-1</f>
        <v>107</v>
      </c>
      <c r="M347" s="3">
        <v>108</v>
      </c>
      <c r="N347" s="3">
        <f>M347+2</f>
        <v>110</v>
      </c>
      <c r="O347" s="3">
        <f>N347+1</f>
        <v>111</v>
      </c>
      <c r="P347" s="3">
        <v>140</v>
      </c>
      <c r="Q347" s="3">
        <f>VLOOKUP($A347,'SegEnds_NonXtal_BW#'!$A:$Z,12,FALSE)+VLOOKUP($A347,A:AL,16,FALSE)-50</f>
        <v>146</v>
      </c>
      <c r="R347" s="3" t="str">
        <f>IF(ISERROR(VLOOKUP($A347,'SegEnds_NonXtal_BW#'!$A:$Z,13,FALSE)+VLOOKUP($A347,A:AL,19,FALSE)-50),"-",VLOOKUP($A347,'SegEnds_NonXtal_BW#'!$A:$Z,13,FALSE)+VLOOKUP($A347,A:AL,19,FALSE)-50)</f>
        <v>-</v>
      </c>
      <c r="S347" s="3" t="s">
        <v>23</v>
      </c>
      <c r="T347" s="103" t="str">
        <f>IF(ISERROR(VLOOKUP($A347,'SegEnds_NonXtal_BW#'!$A:$Z,14,FALSE)+VLOOKUP($A347,A:AL,19,FALSE)-50),"-",(VLOOKUP($A347,'SegEnds_NonXtal_BW#'!$A:$Z,14,FALSE)+VLOOKUP($A347,A:AL,19,FALSE)-50))</f>
        <v>-</v>
      </c>
      <c r="U347" s="9">
        <f>IF(ISERROR(VLOOKUP($A347,'SegEnds_NonXtal_BW#'!$A:$Z,15,FALSE)+VLOOKUP($A347,A:AL,22,FALSE)-50),"-",VLOOKUP($A347,'SegEnds_NonXtal_BW#'!$A:$Z,15,FALSE)+VLOOKUP($A347,A:AL,22,FALSE)-50)</f>
        <v>155</v>
      </c>
      <c r="V347" s="3">
        <v>167</v>
      </c>
      <c r="W347" s="3">
        <f>IF(ISERROR(VLOOKUP($A347,'SegEnds_NonXtal_BW#'!$A:$Z,16,FALSE)+VLOOKUP($A347,A:AL,22,FALSE)-50),"-",(VLOOKUP($A347,'SegEnds_NonXtal_BW#'!$A:$Z,16,FALSE)+VLOOKUP($A347,A:AL,22,FALSE)-50))</f>
        <v>181</v>
      </c>
      <c r="X347" s="3">
        <f>IF(ISERROR(VLOOKUP($A347,'SegEnds_NonXtal_BW#'!$A:$Z,17,FALSE)+VLOOKUP($A347,A:AL,25,FALSE)-50),"-",(VLOOKUP($A347,'SegEnds_NonXtal_BW#'!$A:$Z,17,FALSE)+VLOOKUP($A347,A:AL,25,FALSE)-50))</f>
        <v>186</v>
      </c>
      <c r="Y347" s="3">
        <v>186</v>
      </c>
      <c r="Z347" s="3">
        <f>Y347+2</f>
        <v>188</v>
      </c>
      <c r="AA347" s="3">
        <f>IF(ISERROR(VLOOKUP($A347,'SegEnds_NonXtal_BW#'!$A:$Z,19,FALSE)+VLOOKUP($A347,A:AL,28,FALSE)-50),"-",(VLOOKUP($A347,'SegEnds_NonXtal_BW#'!$A:$Z,19,FALSE)+VLOOKUP($A347,A:AL,28,FALSE)-50))</f>
        <v>193</v>
      </c>
      <c r="AB347" s="3">
        <v>211</v>
      </c>
      <c r="AC347" s="3">
        <f>IF(ISERROR((VLOOKUP($A347,'SegEnds_NonXtal_BW#'!$A:$Z,20,FALSE)+VLOOKUP($A347,A:AL,28,FALSE)-50)),"-",(VLOOKUP($A347,'SegEnds_NonXtal_BW#'!$A:$Z,20,FALSE)+VLOOKUP($A347,A:AL,28,FALSE)-50))</f>
        <v>228</v>
      </c>
      <c r="AD347" s="3">
        <f>IF(ISERROR(VLOOKUP($A347,'SegEnds_NonXtal_BW#'!$A:$Z,21,FALSE)+VLOOKUP($A347,A:AL,31,FALSE)-50),"-",(VLOOKUP($A347,'SegEnds_NonXtal_BW#'!$A:$Z,21,FALSE)+VLOOKUP($A347,A:AL,31,FALSE)-50))</f>
        <v>233</v>
      </c>
      <c r="AE347" s="3">
        <v>257</v>
      </c>
      <c r="AF347" s="3">
        <f>IF(ISERROR((VLOOKUP($A347,'SegEnds_NonXtal_BW#'!$A:$Z,22,FALSE)+VLOOKUP($A347,A:AL,31,FALSE)-50)),"-",(VLOOKUP($A347,'SegEnds_NonXtal_BW#'!$A:$Z,22,FALSE)+VLOOKUP($A347,A:AL,31,FALSE)-50))</f>
        <v>271</v>
      </c>
      <c r="AG347" s="3">
        <f>IF(ISERROR(VLOOKUP($A347,'SegEnds_NonXtal_BW#'!$A:$Z,23,FALSE)+VLOOKUP($A347,A:AL,34,FALSE)-50),"-",(VLOOKUP($A347,'SegEnds_NonXtal_BW#'!$A:$Z,23,FALSE)+VLOOKUP($A347,A:AL,34,FALSE)-50))</f>
        <v>279</v>
      </c>
      <c r="AH347" s="3">
        <v>305</v>
      </c>
      <c r="AI347" s="3">
        <f>IF(ISERROR((VLOOKUP($A347,'SegEnds_NonXtal_BW#'!$A:$Z,24,FALSE)+VLOOKUP($A347,A:AL,34,FALSE)-50)),"-",(VLOOKUP($A347,'SegEnds_NonXtal_BW#'!$A:$Z,24,FALSE)+VLOOKUP($A347,A:AL,34,FALSE)-50))</f>
        <v>311</v>
      </c>
      <c r="AJ347" s="3">
        <f>IF(ISERROR(VLOOKUP($A347,'SegEnds_NonXtal_BW#'!$A:$Z,25,FALSE)+VLOOKUP($A347,A:AL,37,FALSE)-50),"-",(VLOOKUP($A347,'SegEnds_NonXtal_BW#'!$A:$Z,25,FALSE)+VLOOKUP($A347,A:AL,37,FALSE)-50))</f>
        <v>312</v>
      </c>
      <c r="AK347" s="3">
        <v>315</v>
      </c>
      <c r="AL347" s="3">
        <f>IF(ISERROR((VLOOKUP($A347,'SegEnds_NonXtal_BW#'!$A:$Z,26,FALSE)+VLOOKUP($A347,A:AL,37,FALSE)-50)),"-",(VLOOKUP($A347,'SegEnds_NonXtal_BW#'!$A:$Z,26,FALSE)+VLOOKUP($A347,A:AL,37,FALSE)-50))</f>
        <v>324</v>
      </c>
      <c r="AM347" s="28" t="str">
        <f>VLOOKUP(A347,Classification!A:B,2,FALSE)</f>
        <v>A</v>
      </c>
      <c r="AN347" s="28" t="b">
        <f t="shared" si="200"/>
        <v>1</v>
      </c>
      <c r="AO347" s="3" t="str">
        <f>IF(ISERROR(MATCH(A347,'SegEnds_Xtal_Prot#'!B:B, 0)), "NoXtal", "Xtal")</f>
        <v>NoXtal</v>
      </c>
      <c r="AP347" s="3" t="str">
        <f t="shared" si="185"/>
        <v>-</v>
      </c>
      <c r="AQ347" s="3" t="str">
        <f t="shared" si="186"/>
        <v>-</v>
      </c>
      <c r="AR347" s="3">
        <f t="shared" si="187"/>
        <v>3</v>
      </c>
      <c r="AS347" s="3">
        <f t="shared" si="188"/>
        <v>1</v>
      </c>
      <c r="AT347" s="3" t="str">
        <f t="shared" si="189"/>
        <v>-</v>
      </c>
      <c r="AU347" s="3" t="str">
        <f t="shared" si="190"/>
        <v>-</v>
      </c>
      <c r="AV347" s="3">
        <f t="shared" si="191"/>
        <v>5</v>
      </c>
      <c r="AW347" s="3">
        <f t="shared" si="192"/>
        <v>5</v>
      </c>
      <c r="AX347" s="3">
        <f t="shared" si="193"/>
        <v>5</v>
      </c>
      <c r="AY347" s="3">
        <f t="shared" si="194"/>
        <v>8</v>
      </c>
      <c r="AZ347" s="3">
        <f t="shared" si="195"/>
        <v>1</v>
      </c>
      <c r="BA347" s="3">
        <f>IF(ISERROR(LEN(VLOOKUP(A347,Seqs!A:E,2,FALSE))-AL347),"-",LEN(VLOOKUP(A347,Seqs!A:E,2,FALSE))-AL347)</f>
        <v>56</v>
      </c>
      <c r="BB347" s="16">
        <f t="shared" si="196"/>
        <v>28</v>
      </c>
      <c r="BC347" s="9" t="str">
        <f t="shared" si="197"/>
        <v>-</v>
      </c>
      <c r="BD347" s="3">
        <f t="shared" si="198"/>
        <v>28</v>
      </c>
      <c r="BE347" s="3">
        <f t="shared" si="199"/>
        <v>46</v>
      </c>
    </row>
    <row r="348" spans="1:58" s="3" customFormat="1" x14ac:dyDescent="0.2">
      <c r="A348" s="3" t="s">
        <v>215</v>
      </c>
      <c r="B348" s="3" t="str">
        <f>LOWER(VLOOKUP(A348,Xtal_Templ!A:B,2,FALSE))</f>
        <v>ox1r_human</v>
      </c>
      <c r="C348" s="3">
        <f>VLOOKUP($A348,'SegEnds_NonXtal_BW#'!$A:$Z,3,FALSE)+D348-50</f>
        <v>103</v>
      </c>
      <c r="D348" s="3">
        <v>121</v>
      </c>
      <c r="E348" s="3">
        <f>IF(ISERROR(VLOOKUP($A348,'SegEnds_NonXtal_BW#'!$A:$Z,4,FALSE)+VLOOKUP($A348,A:AL,4,FALSE)-50),"-",(VLOOKUP($A348,'SegEnds_NonXtal_BW#'!$A:$Z,4,FALSE)+VLOOKUP($A348,A:AL,4,FALSE)-50))</f>
        <v>131</v>
      </c>
      <c r="F348" s="3">
        <f>G348-2</f>
        <v>132</v>
      </c>
      <c r="G348" s="3">
        <v>134</v>
      </c>
      <c r="H348" s="3">
        <f>G348+1</f>
        <v>135</v>
      </c>
      <c r="I348" s="3">
        <f>H348+1</f>
        <v>136</v>
      </c>
      <c r="J348" s="3">
        <v>149</v>
      </c>
      <c r="K348" s="3">
        <f>VLOOKUP($A348,'SegEnds_NonXtal_BW#'!$A:$Z,8,FALSE)+VLOOKUP($A348,A:AL,10,FALSE)-50</f>
        <v>166</v>
      </c>
      <c r="L348" s="3" t="str">
        <f>IF(ISERROR(VLOOKUP($A348,'SegEnds_NonXtal_BW#'!$A:$Z,9,FALSE)+VLOOKUP($A348,A:AL,13,FALSE)-50),"-",(VLOOKUP($A348,'SegEnds_NonXtal_BW#'!$A:$Z,9,FALSE)+VLOOKUP($A348,A:AL,13,FALSE)-50))</f>
        <v>-</v>
      </c>
      <c r="M348" s="3" t="s">
        <v>23</v>
      </c>
      <c r="N348" s="3" t="str">
        <f>IF(ISERROR(VLOOKUP($A348,'SegEnds_NonXtal_BW#'!$A:$Z,10,FALSE)+VLOOKUP($A348,A:AL,13,FALSE)-50),"-",(VLOOKUP($A348,'SegEnds_NonXtal_BW#'!$A:$Z,10,FALSE)+VLOOKUP($A348,A:AL,13,FALSE)-50))</f>
        <v>-</v>
      </c>
      <c r="O348" s="3">
        <f>VLOOKUP($A348,'SegEnds_NonXtal_BW#'!$A:$Z,11,FALSE)+VLOOKUP($A348,A:AL,16,FALSE)-50</f>
        <v>177</v>
      </c>
      <c r="P348" s="3">
        <v>209</v>
      </c>
      <c r="Q348" s="3">
        <f>VLOOKUP($A348,'SegEnds_NonXtal_BW#'!$A:$Z,12,FALSE)+VLOOKUP($A348,A:AL,16,FALSE)-50</f>
        <v>215</v>
      </c>
      <c r="R348" s="3" t="str">
        <f>IF(ISERROR(VLOOKUP($A348,'SegEnds_NonXtal_BW#'!$A:$Z,13,FALSE)+VLOOKUP($A348,A:AL,19,FALSE)-50),"-",VLOOKUP($A348,'SegEnds_NonXtal_BW#'!$A:$Z,13,FALSE)+VLOOKUP($A348,A:AL,19,FALSE)-50)</f>
        <v>-</v>
      </c>
      <c r="S348" s="3" t="s">
        <v>23</v>
      </c>
      <c r="T348" s="103" t="str">
        <f>IF(ISERROR(VLOOKUP($A348,'SegEnds_NonXtal_BW#'!$A:$Z,14,FALSE)+VLOOKUP($A348,A:AL,19,FALSE)-50),"-",(VLOOKUP($A348,'SegEnds_NonXtal_BW#'!$A:$Z,14,FALSE)+VLOOKUP($A348,A:AL,19,FALSE)-50))</f>
        <v>-</v>
      </c>
      <c r="U348" s="9">
        <f>IF(ISERROR(VLOOKUP($A348,'SegEnds_NonXtal_BW#'!$A:$Z,15,FALSE)+VLOOKUP($A348,A:AL,22,FALSE)-50),"-",VLOOKUP($A348,'SegEnds_NonXtal_BW#'!$A:$Z,15,FALSE)+VLOOKUP($A348,A:AL,22,FALSE)-50)</f>
        <v>222</v>
      </c>
      <c r="V348" s="3">
        <v>234</v>
      </c>
      <c r="W348" s="3">
        <f>IF(ISERROR(VLOOKUP($A348,'SegEnds_NonXtal_BW#'!$A:$Z,16,FALSE)+VLOOKUP($A348,A:AL,22,FALSE)-50),"-",(VLOOKUP($A348,'SegEnds_NonXtal_BW#'!$A:$Z,16,FALSE)+VLOOKUP($A348,A:AL,22,FALSE)-50))</f>
        <v>248</v>
      </c>
      <c r="X348" s="3">
        <f>IF(ISERROR(VLOOKUP($A348,'SegEnds_NonXtal_BW#'!$A:$Z,17,FALSE)+VLOOKUP($A348,A:AL,25,FALSE)-50),"-",(VLOOKUP($A348,'SegEnds_NonXtal_BW#'!$A:$Z,17,FALSE)+VLOOKUP($A348,A:AL,25,FALSE)-50))</f>
        <v>262</v>
      </c>
      <c r="Y348" s="3">
        <v>262</v>
      </c>
      <c r="Z348" s="3">
        <f>Y348+2</f>
        <v>264</v>
      </c>
      <c r="AA348" s="3">
        <f>IF(ISERROR(VLOOKUP($A348,'SegEnds_NonXtal_BW#'!$A:$Z,19,FALSE)+VLOOKUP($A348,A:AL,28,FALSE)-50),"-",(VLOOKUP($A348,'SegEnds_NonXtal_BW#'!$A:$Z,19,FALSE)+VLOOKUP($A348,A:AL,28,FALSE)-50))</f>
        <v>271</v>
      </c>
      <c r="AB348" s="3">
        <v>289</v>
      </c>
      <c r="AC348" s="3">
        <f>IF(ISERROR((VLOOKUP($A348,'SegEnds_NonXtal_BW#'!$A:$Z,20,FALSE)+VLOOKUP($A348,A:AL,28,FALSE)-50)),"-",(VLOOKUP($A348,'SegEnds_NonXtal_BW#'!$A:$Z,20,FALSE)+VLOOKUP($A348,A:AL,28,FALSE)-50))</f>
        <v>311</v>
      </c>
      <c r="AD348" s="3">
        <f>IF(ISERROR(VLOOKUP($A348,'SegEnds_NonXtal_BW#'!$A:$Z,21,FALSE)+VLOOKUP($A348,A:AL,31,FALSE)-50),"-",(VLOOKUP($A348,'SegEnds_NonXtal_BW#'!$A:$Z,21,FALSE)+VLOOKUP($A348,A:AL,31,FALSE)-50))</f>
        <v>320</v>
      </c>
      <c r="AE348" s="3">
        <v>346</v>
      </c>
      <c r="AF348" s="3">
        <f>IF(ISERROR((VLOOKUP($A348,'SegEnds_NonXtal_BW#'!$A:$Z,22,FALSE)+VLOOKUP($A348,A:AL,31,FALSE)-50)),"-",(VLOOKUP($A348,'SegEnds_NonXtal_BW#'!$A:$Z,22,FALSE)+VLOOKUP($A348,A:AL,31,FALSE)-50))</f>
        <v>357</v>
      </c>
      <c r="AG348" s="3">
        <f>IF(ISERROR(VLOOKUP($A348,'SegEnds_NonXtal_BW#'!$A:$Z,23,FALSE)+VLOOKUP($A348,A:AL,34,FALSE)-50),"-",(VLOOKUP($A348,'SegEnds_NonXtal_BW#'!$A:$Z,23,FALSE)+VLOOKUP($A348,A:AL,34,FALSE)-50))</f>
        <v>362</v>
      </c>
      <c r="AH348" s="3">
        <v>384</v>
      </c>
      <c r="AI348" s="3">
        <f>IF(ISERROR((VLOOKUP($A348,'SegEnds_NonXtal_BW#'!$A:$Z,24,FALSE)+VLOOKUP($A348,A:AL,34,FALSE)-50)),"-",(VLOOKUP($A348,'SegEnds_NonXtal_BW#'!$A:$Z,24,FALSE)+VLOOKUP($A348,A:AL,34,FALSE)-50))</f>
        <v>390</v>
      </c>
      <c r="AJ348" s="3">
        <f>IF(ISERROR(VLOOKUP($A348,'SegEnds_NonXtal_BW#'!$A:$Z,25,FALSE)+VLOOKUP($A348,A:AL,37,FALSE)-50),"-",(VLOOKUP($A348,'SegEnds_NonXtal_BW#'!$A:$Z,25,FALSE)+VLOOKUP($A348,A:AL,37,FALSE)-50))</f>
        <v>391</v>
      </c>
      <c r="AK348" s="3">
        <v>394</v>
      </c>
      <c r="AL348" s="3">
        <f>IF(ISERROR((VLOOKUP($A348,'SegEnds_NonXtal_BW#'!$A:$Z,26,FALSE)+VLOOKUP($A348,A:AL,37,FALSE)-50)),"-",(VLOOKUP($A348,'SegEnds_NonXtal_BW#'!$A:$Z,26,FALSE)+VLOOKUP($A348,A:AL,37,FALSE)-50))</f>
        <v>402</v>
      </c>
      <c r="AM348" s="28" t="str">
        <f>VLOOKUP(A348,Classification!A:B,2,FALSE)</f>
        <v>A</v>
      </c>
      <c r="AN348" s="28" t="b">
        <f t="shared" si="200"/>
        <v>1</v>
      </c>
      <c r="AO348" s="3" t="str">
        <f>IF(ISERROR(MATCH(A348,'SegEnds_Xtal_Prot#'!B:B, 0)), "NoXtal", "Xtal")</f>
        <v>NoXtal</v>
      </c>
      <c r="AP348" s="3">
        <f t="shared" si="185"/>
        <v>1</v>
      </c>
      <c r="AQ348" s="3">
        <f t="shared" si="186"/>
        <v>1</v>
      </c>
      <c r="AR348" s="3" t="str">
        <f t="shared" si="187"/>
        <v>-</v>
      </c>
      <c r="AS348" s="3" t="str">
        <f t="shared" si="188"/>
        <v>-</v>
      </c>
      <c r="AT348" s="3" t="str">
        <f t="shared" si="189"/>
        <v>-</v>
      </c>
      <c r="AU348" s="3" t="str">
        <f t="shared" si="190"/>
        <v>-</v>
      </c>
      <c r="AV348" s="3">
        <f t="shared" si="191"/>
        <v>14</v>
      </c>
      <c r="AW348" s="3">
        <f t="shared" si="192"/>
        <v>7</v>
      </c>
      <c r="AX348" s="3">
        <f t="shared" si="193"/>
        <v>9</v>
      </c>
      <c r="AY348" s="3">
        <f t="shared" si="194"/>
        <v>5</v>
      </c>
      <c r="AZ348" s="3">
        <f t="shared" si="195"/>
        <v>1</v>
      </c>
      <c r="BA348" s="3">
        <f>IF(ISERROR(LEN(VLOOKUP(A348,Seqs!A:E,2,FALSE))-AL348),"-",LEN(VLOOKUP(A348,Seqs!A:E,2,FALSE))-AL348)</f>
        <v>92</v>
      </c>
      <c r="BB348" s="16">
        <f t="shared" si="196"/>
        <v>28</v>
      </c>
      <c r="BC348" s="9" t="str">
        <f t="shared" si="197"/>
        <v>-</v>
      </c>
      <c r="BD348" s="3">
        <f t="shared" si="198"/>
        <v>28</v>
      </c>
      <c r="BE348" s="3">
        <f t="shared" si="199"/>
        <v>57</v>
      </c>
    </row>
    <row r="349" spans="1:58" s="3" customFormat="1" x14ac:dyDescent="0.2">
      <c r="A349" s="3" t="s">
        <v>485</v>
      </c>
      <c r="B349" s="3" t="str">
        <f>LOWER(VLOOKUP(A349,Xtal_Templ!A:B,2,FALSE))</f>
        <v>aa2ar_human</v>
      </c>
      <c r="C349" s="3">
        <v>12</v>
      </c>
      <c r="D349" s="3">
        <v>42</v>
      </c>
      <c r="E349" s="3">
        <f>IF(ISERROR(VLOOKUP($A349,'SegEnds_NonXtal_BW#'!$A:$Z,4,FALSE)+VLOOKUP($A349,A:AL,4,FALSE)-50),"-",(VLOOKUP($A349,'SegEnds_NonXtal_BW#'!$A:$Z,4,FALSE)+VLOOKUP($A349,A:AL,4,FALSE)-50))</f>
        <v>52</v>
      </c>
      <c r="F349" s="3" t="str">
        <f>IF(ISERROR(VLOOKUP($A349,'SegEnds_NonXtal_BW#'!$A:$Z,5,FALSE)+VLOOKUP($A349,A:AL,7,FALSE)-50),"-",(VLOOKUP($A349,'SegEnds_NonXtal_BW#'!$A:$Z,5,FALSE)+VLOOKUP($A349,A:AL,7,FALSE)-50))</f>
        <v>-</v>
      </c>
      <c r="G349" s="3" t="s">
        <v>23</v>
      </c>
      <c r="H349" s="3" t="str">
        <f>IF(ISERROR(VLOOKUP($A349,'SegEnds_NonXtal_BW#'!$A:$Z,6,FALSE)+VLOOKUP($A349,A:AL,7,FALSE)-50),"-",(VLOOKUP($A349,'SegEnds_NonXtal_BW#'!$A:$Z,6,FALSE)+VLOOKUP($A349,A:AL,7,FALSE)-50))</f>
        <v>-</v>
      </c>
      <c r="I349" s="3">
        <f>VLOOKUP($A349,'SegEnds_NonXtal_BW#'!$A:$Z,7,FALSE)+J349-50</f>
        <v>67</v>
      </c>
      <c r="J349" s="3">
        <v>78</v>
      </c>
      <c r="K349" s="3">
        <f>VLOOKUP($A349,'SegEnds_NonXtal_BW#'!$A:$Z,8,FALSE)+VLOOKUP($A349,A:AL,10,FALSE)-50</f>
        <v>91</v>
      </c>
      <c r="L349" s="3" t="str">
        <f>IF(ISERROR(VLOOKUP($A349,'SegEnds_NonXtal_BW#'!$A:$Z,9,FALSE)+VLOOKUP($A349,A:AL,13,FALSE)-50),"-",(VLOOKUP($A349,'SegEnds_NonXtal_BW#'!$A:$Z,9,FALSE)+VLOOKUP($A349,A:AL,13,FALSE)-50))</f>
        <v>-</v>
      </c>
      <c r="M349" s="3" t="s">
        <v>23</v>
      </c>
      <c r="N349" s="3" t="str">
        <f>IF(ISERROR(VLOOKUP($A349,'SegEnds_NonXtal_BW#'!$A:$Z,10,FALSE)+VLOOKUP($A349,A:AL,13,FALSE)-50),"-",(VLOOKUP($A349,'SegEnds_NonXtal_BW#'!$A:$Z,10,FALSE)+VLOOKUP($A349,A:AL,13,FALSE)-50))</f>
        <v>-</v>
      </c>
      <c r="O349" s="3">
        <f>VLOOKUP($A349,'SegEnds_NonXtal_BW#'!$A:$Z,11,FALSE)+VLOOKUP($A349,A:AL,16,FALSE)-50</f>
        <v>114</v>
      </c>
      <c r="P349" s="3">
        <v>141</v>
      </c>
      <c r="Q349" s="3">
        <f>VLOOKUP($A349,'SegEnds_NonXtal_BW#'!$A:$Z,12,FALSE)+VLOOKUP($A349,A:AL,16,FALSE)-50</f>
        <v>147</v>
      </c>
      <c r="R349" s="3" t="str">
        <f>IF(ISERROR(VLOOKUP($A349,'SegEnds_NonXtal_BW#'!$A:$Z,13,FALSE)+VLOOKUP($A349,A:AL,19,FALSE)-50),"-",VLOOKUP($A349,'SegEnds_NonXtal_BW#'!$A:$Z,13,FALSE)+VLOOKUP($A349,A:AL,19,FALSE)-50)</f>
        <v>-</v>
      </c>
      <c r="S349" s="3" t="s">
        <v>23</v>
      </c>
      <c r="T349" s="103" t="str">
        <f>IF(ISERROR(VLOOKUP($A349,'SegEnds_NonXtal_BW#'!$A:$Z,14,FALSE)+VLOOKUP($A349,A:AL,19,FALSE)-50),"-",(VLOOKUP($A349,'SegEnds_NonXtal_BW#'!$A:$Z,14,FALSE)+VLOOKUP($A349,A:AL,19,FALSE)-50))</f>
        <v>-</v>
      </c>
      <c r="U349" s="9">
        <f>IF(ISERROR(VLOOKUP($A349,'SegEnds_NonXtal_BW#'!$A:$Z,15,FALSE)+VLOOKUP($A349,A:AL,22,FALSE)-50),"-",VLOOKUP($A349,'SegEnds_NonXtal_BW#'!$A:$Z,15,FALSE)+VLOOKUP($A349,A:AL,22,FALSE)-50)</f>
        <v>152</v>
      </c>
      <c r="V349" s="3">
        <v>162</v>
      </c>
      <c r="W349" s="3">
        <f>IF(ISERROR(VLOOKUP($A349,'SegEnds_NonXtal_BW#'!$A:$Z,16,FALSE)+VLOOKUP($A349,A:AL,22,FALSE)-50),"-",(VLOOKUP($A349,'SegEnds_NonXtal_BW#'!$A:$Z,16,FALSE)+VLOOKUP($A349,A:AL,22,FALSE)-50))</f>
        <v>176</v>
      </c>
      <c r="X349" s="3" t="str">
        <f>IF(ISERROR(VLOOKUP($A349,'SegEnds_NonXtal_BW#'!$A:$Z,17,FALSE)+VLOOKUP($A349,A:AL,25,FALSE)-50),"-",(VLOOKUP($A349,'SegEnds_NonXtal_BW#'!$A:$Z,17,FALSE)+VLOOKUP($A349,A:AL,25,FALSE)-50))</f>
        <v>-</v>
      </c>
      <c r="Y349" s="3" t="s">
        <v>23</v>
      </c>
      <c r="Z349" s="3" t="str">
        <f>IF(ISERROR(VLOOKUP($A349,'SegEnds_NonXtal_BW#'!$A:$Z,18,FALSE)+VLOOKUP($A349,A:AL,25,FALSE)-50),"-",(VLOOKUP($A349,'SegEnds_NonXtal_BW#'!$A:$Z,18,FALSE)+VLOOKUP($A349,A:AL,25,FALSE)-50))</f>
        <v>-</v>
      </c>
      <c r="AA349" s="3">
        <f>IF(ISERROR(VLOOKUP($A349,'SegEnds_NonXtal_BW#'!$A:$Z,19,FALSE)+VLOOKUP($A349,A:AL,28,FALSE)-50),"-",(VLOOKUP($A349,'SegEnds_NonXtal_BW#'!$A:$Z,19,FALSE)+VLOOKUP($A349,A:AL,28,FALSE)-50))</f>
        <v>190</v>
      </c>
      <c r="AB349" s="3">
        <v>201</v>
      </c>
      <c r="AC349" s="3">
        <f>IF(ISERROR((VLOOKUP($A349,'SegEnds_NonXtal_BW#'!$A:$Z,20,FALSE)+VLOOKUP($A349,A:AL,28,FALSE)-50)),"-",(VLOOKUP($A349,'SegEnds_NonXtal_BW#'!$A:$Z,20,FALSE)+VLOOKUP($A349,A:AL,28,FALSE)-50))</f>
        <v>212</v>
      </c>
      <c r="AD349" s="3">
        <f>IF(ISERROR(VLOOKUP($A349,'SegEnds_NonXtal_BW#'!$A:$Z,21,FALSE)+VLOOKUP($A349,A:AL,31,FALSE)-50),"-",(VLOOKUP($A349,'SegEnds_NonXtal_BW#'!$A:$Z,21,FALSE)+VLOOKUP($A349,A:AL,31,FALSE)-50))</f>
        <v>238</v>
      </c>
      <c r="AE349" s="3">
        <v>259</v>
      </c>
      <c r="AF349" s="3">
        <f>IF(ISERROR((VLOOKUP($A349,'SegEnds_NonXtal_BW#'!$A:$Z,22,FALSE)+VLOOKUP($A349,A:AL,31,FALSE)-50)),"-",(VLOOKUP($A349,'SegEnds_NonXtal_BW#'!$A:$Z,22,FALSE)+VLOOKUP($A349,A:AL,31,FALSE)-50))</f>
        <v>262</v>
      </c>
      <c r="AG349" s="3">
        <f>IF(ISERROR(VLOOKUP($A349,'SegEnds_NonXtal_BW#'!$A:$Z,23,FALSE)+VLOOKUP($A349,A:AL,34,FALSE)-50),"-",(VLOOKUP($A349,'SegEnds_NonXtal_BW#'!$A:$Z,23,FALSE)+VLOOKUP($A349,A:AL,34,FALSE)-50))</f>
        <v>293</v>
      </c>
      <c r="AH349" s="3">
        <v>308</v>
      </c>
      <c r="AI349" s="3">
        <f>IF(ISERROR((VLOOKUP($A349,'SegEnds_NonXtal_BW#'!$A:$Z,24,FALSE)+VLOOKUP($A349,A:AL,34,FALSE)-50)),"-",(VLOOKUP($A349,'SegEnds_NonXtal_BW#'!$A:$Z,24,FALSE)+VLOOKUP($A349,A:AL,34,FALSE)-50))</f>
        <v>314</v>
      </c>
      <c r="AJ349" s="3">
        <f>IF(ISERROR(VLOOKUP($A349,'SegEnds_NonXtal_BW#'!$A:$Z,25,FALSE)+VLOOKUP($A349,A:AL,37,FALSE)-50),"-",(VLOOKUP($A349,'SegEnds_NonXtal_BW#'!$A:$Z,25,FALSE)+VLOOKUP($A349,A:AL,37,FALSE)-50))</f>
        <v>315</v>
      </c>
      <c r="AK349" s="3">
        <v>318</v>
      </c>
      <c r="AL349" s="3">
        <f>IF(ISERROR((VLOOKUP($A349,'SegEnds_NonXtal_BW#'!$A:$Z,26,FALSE)+VLOOKUP($A349,A:AL,37,FALSE)-50)),"-",(VLOOKUP($A349,'SegEnds_NonXtal_BW#'!$A:$Z,26,FALSE)+VLOOKUP($A349,A:AL,37,FALSE)-50))</f>
        <v>325</v>
      </c>
      <c r="AM349" s="28" t="str">
        <f>VLOOKUP(A349,Classification!A:B,2,FALSE)</f>
        <v>O</v>
      </c>
      <c r="AN349" s="28" t="b">
        <f t="shared" si="200"/>
        <v>1</v>
      </c>
      <c r="AO349" s="3" t="str">
        <f>IF(ISERROR(MATCH(A349,'SegEnds_Xtal_Prot#'!B:B, 0)), "NoXtal", "Xtal")</f>
        <v>NoXtal</v>
      </c>
      <c r="AP349" s="3" t="str">
        <f t="shared" si="185"/>
        <v>-</v>
      </c>
      <c r="AQ349" s="3" t="str">
        <f t="shared" si="186"/>
        <v>-</v>
      </c>
      <c r="AR349" s="3" t="str">
        <f t="shared" si="187"/>
        <v>-</v>
      </c>
      <c r="AS349" s="3" t="str">
        <f t="shared" si="188"/>
        <v>-</v>
      </c>
      <c r="AT349" s="3" t="str">
        <f t="shared" si="189"/>
        <v>-</v>
      </c>
      <c r="AU349" s="3" t="str">
        <f t="shared" si="190"/>
        <v>-</v>
      </c>
      <c r="AV349" s="3" t="str">
        <f t="shared" si="191"/>
        <v>-</v>
      </c>
      <c r="AW349" s="3" t="str">
        <f t="shared" si="192"/>
        <v>-</v>
      </c>
      <c r="AX349" s="3">
        <f t="shared" si="193"/>
        <v>26</v>
      </c>
      <c r="AY349" s="3">
        <f t="shared" si="194"/>
        <v>31</v>
      </c>
      <c r="AZ349" s="3">
        <f t="shared" si="195"/>
        <v>1</v>
      </c>
      <c r="BA349" s="3">
        <f>IF(ISERROR(LEN(VLOOKUP(A349,Seqs!A:E,2,FALSE))-AL349),"-",LEN(VLOOKUP(A349,Seqs!A:E,2,FALSE))-AL349)</f>
        <v>79</v>
      </c>
      <c r="BB349" s="16">
        <f t="shared" si="196"/>
        <v>36</v>
      </c>
      <c r="BC349" s="9" t="str">
        <f t="shared" si="197"/>
        <v>-</v>
      </c>
      <c r="BD349" s="3">
        <f t="shared" si="198"/>
        <v>36</v>
      </c>
      <c r="BE349" s="3">
        <f t="shared" si="199"/>
        <v>58</v>
      </c>
    </row>
    <row r="350" spans="1:58" s="3" customFormat="1" x14ac:dyDescent="0.2">
      <c r="A350" s="3" t="s">
        <v>219</v>
      </c>
      <c r="B350" s="3" t="str">
        <f>LOWER(VLOOKUP(A350,Xtal_Templ!A:B,2,FALSE))</f>
        <v>agtr1_human</v>
      </c>
      <c r="C350" s="3">
        <f>VLOOKUP($A350,'SegEnds_NonXtal_BW#'!$A:$Z,3,FALSE)+D350-50</f>
        <v>25</v>
      </c>
      <c r="D350" s="3">
        <v>45</v>
      </c>
      <c r="E350" s="3">
        <f>IF(ISERROR(VLOOKUP($A350,'SegEnds_NonXtal_BW#'!$A:$Z,4,FALSE)+VLOOKUP($A350,A:AL,4,FALSE)-50),"-",(VLOOKUP($A350,'SegEnds_NonXtal_BW#'!$A:$Z,4,FALSE)+VLOOKUP($A350,A:AL,4,FALSE)-50))</f>
        <v>55</v>
      </c>
      <c r="F350" s="3" t="str">
        <f>IF(ISERROR(VLOOKUP($A350,'SegEnds_NonXtal_BW#'!$A:$Z,5,FALSE)+VLOOKUP($A350,A:AL,7,FALSE)-50),"-",(VLOOKUP($A350,'SegEnds_NonXtal_BW#'!$A:$Z,5,FALSE)+VLOOKUP($A350,A:AL,7,FALSE)-50))</f>
        <v>-</v>
      </c>
      <c r="G350" s="3" t="s">
        <v>23</v>
      </c>
      <c r="H350" s="3" t="str">
        <f>IF(ISERROR(VLOOKUP($A350,'SegEnds_NonXtal_BW#'!$A:$Z,6,FALSE)+VLOOKUP($A350,A:AL,7,FALSE)-50),"-",(VLOOKUP($A350,'SegEnds_NonXtal_BW#'!$A:$Z,6,FALSE)+VLOOKUP($A350,A:AL,7,FALSE)-50))</f>
        <v>-</v>
      </c>
      <c r="I350" s="3">
        <f>VLOOKUP($A350,'SegEnds_NonXtal_BW#'!$A:$Z,7,FALSE)+J350-50</f>
        <v>65</v>
      </c>
      <c r="J350" s="3">
        <v>78</v>
      </c>
      <c r="K350" s="3">
        <f>VLOOKUP($A350,'SegEnds_NonXtal_BW#'!$A:$Z,8,FALSE)+VLOOKUP($A350,A:AL,10,FALSE)-50</f>
        <v>91</v>
      </c>
      <c r="L350" s="3">
        <f>M350-1</f>
        <v>94</v>
      </c>
      <c r="M350" s="3">
        <v>95</v>
      </c>
      <c r="N350" s="3">
        <f>M350+2</f>
        <v>97</v>
      </c>
      <c r="O350" s="3">
        <f>N350+1</f>
        <v>98</v>
      </c>
      <c r="P350" s="3">
        <v>127</v>
      </c>
      <c r="Q350" s="3">
        <f>VLOOKUP($A350,'SegEnds_NonXtal_BW#'!$A:$Z,12,FALSE)+VLOOKUP($A350,A:AL,16,FALSE)-50</f>
        <v>133</v>
      </c>
      <c r="R350" s="3" t="str">
        <f>IF(ISERROR(VLOOKUP($A350,'SegEnds_NonXtal_BW#'!$A:$Z,13,FALSE)+VLOOKUP($A350,A:AL,19,FALSE)-50),"-",VLOOKUP($A350,'SegEnds_NonXtal_BW#'!$A:$Z,13,FALSE)+VLOOKUP($A350,A:AL,19,FALSE)-50)</f>
        <v>-</v>
      </c>
      <c r="S350" s="3" t="s">
        <v>23</v>
      </c>
      <c r="T350" s="103" t="str">
        <f>IF(ISERROR(VLOOKUP($A350,'SegEnds_NonXtal_BW#'!$A:$Z,14,FALSE)+VLOOKUP($A350,A:AL,19,FALSE)-50),"-",(VLOOKUP($A350,'SegEnds_NonXtal_BW#'!$A:$Z,14,FALSE)+VLOOKUP($A350,A:AL,19,FALSE)-50))</f>
        <v>-</v>
      </c>
      <c r="U350" s="9">
        <f>IF(ISERROR(VLOOKUP($A350,'SegEnds_NonXtal_BW#'!$A:$Z,15,FALSE)+VLOOKUP($A350,A:AL,22,FALSE)-50),"-",VLOOKUP($A350,'SegEnds_NonXtal_BW#'!$A:$Z,15,FALSE)+VLOOKUP($A350,A:AL,22,FALSE)-50)</f>
        <v>140</v>
      </c>
      <c r="V350" s="3">
        <v>152</v>
      </c>
      <c r="W350" s="3">
        <f>IF(ISERROR(VLOOKUP($A350,'SegEnds_NonXtal_BW#'!$A:$Z,16,FALSE)+VLOOKUP($A350,A:AL,22,FALSE)-50),"-",(VLOOKUP($A350,'SegEnds_NonXtal_BW#'!$A:$Z,16,FALSE)+VLOOKUP($A350,A:AL,22,FALSE)-50))</f>
        <v>166</v>
      </c>
      <c r="X350" s="3" t="str">
        <f>IF(ISERROR(VLOOKUP($A350,'SegEnds_NonXtal_BW#'!$A:$Z,17,FALSE)+VLOOKUP($A350,A:AL,25,FALSE)-50),"-",(VLOOKUP($A350,'SegEnds_NonXtal_BW#'!$A:$Z,17,FALSE)+VLOOKUP($A350,A:AL,25,FALSE)-50))</f>
        <v>-</v>
      </c>
      <c r="Y350" s="3" t="s">
        <v>23</v>
      </c>
      <c r="Z350" s="3" t="str">
        <f>IF(ISERROR(VLOOKUP($A350,'SegEnds_NonXtal_BW#'!$A:$Z,18,FALSE)+VLOOKUP($A350,A:AL,25,FALSE)-50),"-",(VLOOKUP($A350,'SegEnds_NonXtal_BW#'!$A:$Z,18,FALSE)+VLOOKUP($A350,A:AL,25,FALSE)-50))</f>
        <v>-</v>
      </c>
      <c r="AA350" s="3">
        <f>IF(ISERROR(VLOOKUP($A350,'SegEnds_NonXtal_BW#'!$A:$Z,19,FALSE)+VLOOKUP($A350,A:AL,28,FALSE)-50),"-",(VLOOKUP($A350,'SegEnds_NonXtal_BW#'!$A:$Z,19,FALSE)+VLOOKUP($A350,A:AL,28,FALSE)-50))</f>
        <v>183</v>
      </c>
      <c r="AB350" s="3">
        <v>199</v>
      </c>
      <c r="AC350" s="3">
        <f>IF(ISERROR((VLOOKUP($A350,'SegEnds_NonXtal_BW#'!$A:$Z,20,FALSE)+VLOOKUP($A350,A:AL,28,FALSE)-50)),"-",(VLOOKUP($A350,'SegEnds_NonXtal_BW#'!$A:$Z,20,FALSE)+VLOOKUP($A350,A:AL,28,FALSE)-50))</f>
        <v>217</v>
      </c>
      <c r="AD350" s="3">
        <f>IF(ISERROR(VLOOKUP($A350,'SegEnds_NonXtal_BW#'!$A:$Z,21,FALSE)+VLOOKUP($A350,A:AL,31,FALSE)-50),"-",(VLOOKUP($A350,'SegEnds_NonXtal_BW#'!$A:$Z,21,FALSE)+VLOOKUP($A350,A:AL,31,FALSE)-50))</f>
        <v>222</v>
      </c>
      <c r="AE350" s="3">
        <v>248</v>
      </c>
      <c r="AF350" s="3">
        <f>IF(ISERROR((VLOOKUP($A350,'SegEnds_NonXtal_BW#'!$A:$Z,22,FALSE)+VLOOKUP($A350,A:AL,31,FALSE)-50)),"-",(VLOOKUP($A350,'SegEnds_NonXtal_BW#'!$A:$Z,22,FALSE)+VLOOKUP($A350,A:AL,31,FALSE)-50))</f>
        <v>262</v>
      </c>
      <c r="AG350" s="3">
        <f>IF(ISERROR(VLOOKUP($A350,'SegEnds_NonXtal_BW#'!$A:$Z,23,FALSE)+VLOOKUP($A350,A:AL,34,FALSE)-50),"-",(VLOOKUP($A350,'SegEnds_NonXtal_BW#'!$A:$Z,23,FALSE)+VLOOKUP($A350,A:AL,34,FALSE)-50))</f>
        <v>267</v>
      </c>
      <c r="AH350" s="3">
        <v>293</v>
      </c>
      <c r="AI350" s="3">
        <f>IF(ISERROR((VLOOKUP($A350,'SegEnds_NonXtal_BW#'!$A:$Z,24,FALSE)+VLOOKUP($A350,A:AL,34,FALSE)-50)),"-",(VLOOKUP($A350,'SegEnds_NonXtal_BW#'!$A:$Z,24,FALSE)+VLOOKUP($A350,A:AL,34,FALSE)-50))</f>
        <v>299</v>
      </c>
      <c r="AJ350" s="3">
        <f>IF(ISERROR(VLOOKUP($A350,'SegEnds_NonXtal_BW#'!$A:$Z,25,FALSE)+VLOOKUP($A350,A:AL,37,FALSE)-50),"-",(VLOOKUP($A350,'SegEnds_NonXtal_BW#'!$A:$Z,25,FALSE)+VLOOKUP($A350,A:AL,37,FALSE)-50))</f>
        <v>300</v>
      </c>
      <c r="AK350" s="3">
        <v>303</v>
      </c>
      <c r="AL350" s="3">
        <f>IF(ISERROR((VLOOKUP($A350,'SegEnds_NonXtal_BW#'!$A:$Z,26,FALSE)+VLOOKUP($A350,A:AL,37,FALSE)-50)),"-",(VLOOKUP($A350,'SegEnds_NonXtal_BW#'!$A:$Z,26,FALSE)+VLOOKUP($A350,A:AL,37,FALSE)-50))</f>
        <v>314</v>
      </c>
      <c r="AM350" s="28" t="str">
        <f>VLOOKUP(A350,Classification!A:B,2,FALSE)</f>
        <v>A</v>
      </c>
      <c r="AN350" s="28" t="b">
        <f t="shared" si="200"/>
        <v>1</v>
      </c>
      <c r="AO350" s="3" t="str">
        <f>IF(ISERROR(MATCH(A350,'SegEnds_Xtal_Prot#'!B:B, 0)), "NoXtal", "Xtal")</f>
        <v>NoXtal</v>
      </c>
      <c r="AP350" s="3" t="str">
        <f t="shared" si="185"/>
        <v>-</v>
      </c>
      <c r="AQ350" s="3" t="str">
        <f t="shared" si="186"/>
        <v>-</v>
      </c>
      <c r="AR350" s="3">
        <f t="shared" si="187"/>
        <v>3</v>
      </c>
      <c r="AS350" s="3">
        <f t="shared" si="188"/>
        <v>1</v>
      </c>
      <c r="AT350" s="3" t="str">
        <f t="shared" si="189"/>
        <v>-</v>
      </c>
      <c r="AU350" s="3" t="str">
        <f t="shared" si="190"/>
        <v>-</v>
      </c>
      <c r="AV350" s="3" t="str">
        <f t="shared" si="191"/>
        <v>-</v>
      </c>
      <c r="AW350" s="3" t="str">
        <f t="shared" si="192"/>
        <v>-</v>
      </c>
      <c r="AX350" s="3">
        <f t="shared" si="193"/>
        <v>5</v>
      </c>
      <c r="AY350" s="3">
        <f t="shared" si="194"/>
        <v>5</v>
      </c>
      <c r="AZ350" s="3">
        <f t="shared" si="195"/>
        <v>1</v>
      </c>
      <c r="BA350" s="3">
        <f>IF(ISERROR(LEN(VLOOKUP(A350,Seqs!A:E,2,FALSE))-AL350),"-",LEN(VLOOKUP(A350,Seqs!A:E,2,FALSE))-AL350)</f>
        <v>19</v>
      </c>
      <c r="BB350" s="16">
        <f t="shared" si="196"/>
        <v>33</v>
      </c>
      <c r="BC350" s="9" t="str">
        <f t="shared" si="197"/>
        <v>-</v>
      </c>
      <c r="BD350" s="3">
        <f t="shared" si="198"/>
        <v>33</v>
      </c>
      <c r="BE350" s="3">
        <f t="shared" si="199"/>
        <v>49</v>
      </c>
      <c r="BF350" s="3">
        <f>AH350-AE350</f>
        <v>45</v>
      </c>
    </row>
    <row r="351" spans="1:58" s="3" customFormat="1" x14ac:dyDescent="0.2">
      <c r="A351" s="3" t="s">
        <v>221</v>
      </c>
      <c r="B351" s="3" t="str">
        <f>LOWER(VLOOKUP(A351,Xtal_Templ!A:B,2,FALSE))</f>
        <v>s1pr1_human</v>
      </c>
      <c r="C351" s="3">
        <f>VLOOKUP($A351,'SegEnds_NonXtal_BW#'!$A:$Z,3,FALSE)+D351-50</f>
        <v>12</v>
      </c>
      <c r="D351" s="3">
        <v>33</v>
      </c>
      <c r="E351" s="3">
        <f>IF(ISERROR(VLOOKUP($A351,'SegEnds_NonXtal_BW#'!$A:$Z,4,FALSE)+VLOOKUP($A351,A:AL,4,FALSE)-50),"-",(VLOOKUP($A351,'SegEnds_NonXtal_BW#'!$A:$Z,4,FALSE)+VLOOKUP($A351,A:AL,4,FALSE)-50))</f>
        <v>43</v>
      </c>
      <c r="F351" s="3" t="str">
        <f>IF(ISERROR(VLOOKUP($A351,'SegEnds_NonXtal_BW#'!$A:$Z,5,FALSE)+VLOOKUP($A351,A:AL,7,FALSE)-50),"-",(VLOOKUP($A351,'SegEnds_NonXtal_BW#'!$A:$Z,5,FALSE)+VLOOKUP($A351,A:AL,7,FALSE)-50))</f>
        <v>-</v>
      </c>
      <c r="G351" s="3" t="s">
        <v>23</v>
      </c>
      <c r="H351" s="3" t="str">
        <f>IF(ISERROR(VLOOKUP($A351,'SegEnds_NonXtal_BW#'!$A:$Z,6,FALSE)+VLOOKUP($A351,A:AL,7,FALSE)-50),"-",(VLOOKUP($A351,'SegEnds_NonXtal_BW#'!$A:$Z,6,FALSE)+VLOOKUP($A351,A:AL,7,FALSE)-50))</f>
        <v>-</v>
      </c>
      <c r="I351" s="3">
        <f>VLOOKUP($A351,'SegEnds_NonXtal_BW#'!$A:$Z,7,FALSE)+J351-50</f>
        <v>49</v>
      </c>
      <c r="J351" s="3">
        <v>62</v>
      </c>
      <c r="K351" s="3">
        <f>VLOOKUP($A351,'SegEnds_NonXtal_BW#'!$A:$Z,8,FALSE)+VLOOKUP($A351,A:AL,10,FALSE)-50</f>
        <v>79</v>
      </c>
      <c r="L351" s="3">
        <f>M351-1</f>
        <v>87</v>
      </c>
      <c r="M351" s="3">
        <v>88</v>
      </c>
      <c r="N351" s="3">
        <f>M351+2</f>
        <v>90</v>
      </c>
      <c r="O351" s="3">
        <f>N351+1</f>
        <v>91</v>
      </c>
      <c r="P351" s="3">
        <v>131</v>
      </c>
      <c r="Q351" s="3">
        <f>VLOOKUP($A351,'SegEnds_NonXtal_BW#'!$A:$Z,12,FALSE)+VLOOKUP($A351,A:AL,16,FALSE)-50</f>
        <v>137</v>
      </c>
      <c r="R351" s="3" t="str">
        <f>S351</f>
        <v>-</v>
      </c>
      <c r="S351" s="3" t="s">
        <v>23</v>
      </c>
      <c r="T351" s="103" t="s">
        <v>23</v>
      </c>
      <c r="U351" s="9">
        <f>IF(ISERROR(VLOOKUP($A351,'SegEnds_NonXtal_BW#'!$A:$Z,15,FALSE)+VLOOKUP($A351,A:AL,22,FALSE)-50),"-",VLOOKUP($A351,'SegEnds_NonXtal_BW#'!$A:$Z,15,FALSE)+VLOOKUP($A351,A:AL,22,FALSE)-50)</f>
        <v>146</v>
      </c>
      <c r="V351" s="3">
        <v>158</v>
      </c>
      <c r="W351" s="3">
        <f>IF(ISERROR(VLOOKUP($A351,'SegEnds_NonXtal_BW#'!$A:$Z,16,FALSE)+VLOOKUP($A351,A:AL,22,FALSE)-50),"-",(VLOOKUP($A351,'SegEnds_NonXtal_BW#'!$A:$Z,16,FALSE)+VLOOKUP($A351,A:AL,22,FALSE)-50))</f>
        <v>171</v>
      </c>
      <c r="X351" s="3" t="str">
        <f>IF(ISERROR(VLOOKUP($A351,'SegEnds_NonXtal_BW#'!$A:$Z,17,FALSE)+VLOOKUP($A351,A:AL,25,FALSE)-50),"-",(VLOOKUP($A351,'SegEnds_NonXtal_BW#'!$A:$Z,17,FALSE)+VLOOKUP($A351,A:AL,25,FALSE)-50))</f>
        <v>-</v>
      </c>
      <c r="Y351" s="3" t="s">
        <v>23</v>
      </c>
      <c r="Z351" s="3" t="str">
        <f>IF(ISERROR(VLOOKUP($A351,'SegEnds_NonXtal_BW#'!$A:$Z,18,FALSE)+VLOOKUP($A351,A:AL,25,FALSE)-50),"-",(VLOOKUP($A351,'SegEnds_NonXtal_BW#'!$A:$Z,18,FALSE)+VLOOKUP($A351,A:AL,25,FALSE)-50))</f>
        <v>-</v>
      </c>
      <c r="AA351" s="3">
        <f>IF(ISERROR(VLOOKUP($A351,'SegEnds_NonXtal_BW#'!$A:$Z,19,FALSE)+VLOOKUP($A351,A:AL,28,FALSE)-50),"-",(VLOOKUP($A351,'SegEnds_NonXtal_BW#'!$A:$Z,19,FALSE)+VLOOKUP($A351,A:AL,28,FALSE)-50))</f>
        <v>197</v>
      </c>
      <c r="AB351" s="3">
        <v>211</v>
      </c>
      <c r="AC351" s="3">
        <f>IF(ISERROR((VLOOKUP($A351,'SegEnds_NonXtal_BW#'!$A:$Z,20,FALSE)+VLOOKUP($A351,A:AL,28,FALSE)-50)),"-",(VLOOKUP($A351,'SegEnds_NonXtal_BW#'!$A:$Z,20,FALSE)+VLOOKUP($A351,A:AL,28,FALSE)-50))</f>
        <v>237</v>
      </c>
      <c r="AD351" s="3">
        <f>IF(ISERROR(VLOOKUP($A351,'SegEnds_NonXtal_BW#'!$A:$Z,21,FALSE)+VLOOKUP($A351,A:AL,31,FALSE)-50),"-",(VLOOKUP($A351,'SegEnds_NonXtal_BW#'!$A:$Z,21,FALSE)+VLOOKUP($A351,A:AL,31,FALSE)-50))</f>
        <v>299</v>
      </c>
      <c r="AE351" s="3">
        <v>325</v>
      </c>
      <c r="AF351" s="3">
        <f>IF(ISERROR((VLOOKUP($A351,'SegEnds_NonXtal_BW#'!$A:$Z,22,FALSE)+VLOOKUP($A351,A:AL,31,FALSE)-50)),"-",(VLOOKUP($A351,'SegEnds_NonXtal_BW#'!$A:$Z,22,FALSE)+VLOOKUP($A351,A:AL,31,FALSE)-50))</f>
        <v>336</v>
      </c>
      <c r="AG351" s="3">
        <f>IF(ISERROR(VLOOKUP($A351,'SegEnds_NonXtal_BW#'!$A:$Z,23,FALSE)+VLOOKUP($A351,A:AL,34,FALSE)-50),"-",(VLOOKUP($A351,'SegEnds_NonXtal_BW#'!$A:$Z,23,FALSE)+VLOOKUP($A351,A:AL,34,FALSE)-50))</f>
        <v>341</v>
      </c>
      <c r="AH351" s="3">
        <v>359</v>
      </c>
      <c r="AI351" s="3">
        <f>IF(ISERROR((VLOOKUP($A351,'SegEnds_NonXtal_BW#'!$A:$Z,24,FALSE)+VLOOKUP($A351,A:AL,34,FALSE)-50)),"-",(VLOOKUP($A351,'SegEnds_NonXtal_BW#'!$A:$Z,24,FALSE)+VLOOKUP($A351,A:AL,34,FALSE)-50))</f>
        <v>365</v>
      </c>
      <c r="AJ351" s="3">
        <f>IF(ISERROR(VLOOKUP($A351,'SegEnds_NonXtal_BW#'!$A:$Z,25,FALSE)+VLOOKUP($A351,A:AL,37,FALSE)-50),"-",(VLOOKUP($A351,'SegEnds_NonXtal_BW#'!$A:$Z,25,FALSE)+VLOOKUP($A351,A:AL,37,FALSE)-50))</f>
        <v>366</v>
      </c>
      <c r="AK351" s="3">
        <v>369</v>
      </c>
      <c r="AL351" s="3">
        <f>IF(ISERROR((VLOOKUP($A351,'SegEnds_NonXtal_BW#'!$A:$Z,26,FALSE)+VLOOKUP($A351,A:AL,37,FALSE)-50)),"-",(VLOOKUP($A351,'SegEnds_NonXtal_BW#'!$A:$Z,26,FALSE)+VLOOKUP($A351,A:AL,37,FALSE)-50))</f>
        <v>378</v>
      </c>
      <c r="AM351" s="28" t="str">
        <f>VLOOKUP(A351,Classification!A:B,2,FALSE)</f>
        <v>A</v>
      </c>
      <c r="AN351" s="28" t="b">
        <f t="shared" si="200"/>
        <v>1</v>
      </c>
      <c r="AO351" s="3" t="str">
        <f>IF(ISERROR(MATCH(A351,'SegEnds_Xtal_Prot#'!B:B, 0)), "NoXtal", "Xtal")</f>
        <v>NoXtal</v>
      </c>
      <c r="AP351" s="3" t="str">
        <f t="shared" si="185"/>
        <v>-</v>
      </c>
      <c r="AQ351" s="3" t="str">
        <f t="shared" si="186"/>
        <v>-</v>
      </c>
      <c r="AR351" s="3">
        <f t="shared" si="187"/>
        <v>8</v>
      </c>
      <c r="AS351" s="3">
        <f t="shared" si="188"/>
        <v>1</v>
      </c>
      <c r="AT351" s="3" t="str">
        <f t="shared" si="189"/>
        <v>-</v>
      </c>
      <c r="AU351" s="3" t="str">
        <f t="shared" si="190"/>
        <v>-</v>
      </c>
      <c r="AV351" s="3" t="str">
        <f t="shared" si="191"/>
        <v>-</v>
      </c>
      <c r="AW351" s="3" t="str">
        <f t="shared" si="192"/>
        <v>-</v>
      </c>
      <c r="AX351" s="3">
        <f t="shared" si="193"/>
        <v>62</v>
      </c>
      <c r="AY351" s="3">
        <f t="shared" si="194"/>
        <v>5</v>
      </c>
      <c r="AZ351" s="3">
        <f t="shared" si="195"/>
        <v>1</v>
      </c>
      <c r="BA351" s="3">
        <f>IF(ISERROR(LEN(VLOOKUP(A351,Seqs!A:E,2,FALSE))-AL351),"-",LEN(VLOOKUP(A351,Seqs!A:E,2,FALSE))-AL351)</f>
        <v>353</v>
      </c>
      <c r="BB351" s="16">
        <f t="shared" si="196"/>
        <v>29</v>
      </c>
      <c r="BC351" s="9" t="str">
        <f t="shared" si="197"/>
        <v>-</v>
      </c>
      <c r="BD351" s="3">
        <f t="shared" si="198"/>
        <v>29</v>
      </c>
      <c r="BE351" s="3">
        <f t="shared" si="199"/>
        <v>114</v>
      </c>
    </row>
    <row r="352" spans="1:58" s="3" customFormat="1" x14ac:dyDescent="0.2">
      <c r="A352" s="3" t="s">
        <v>222</v>
      </c>
      <c r="B352" s="3" t="str">
        <f>LOWER(VLOOKUP(A352,Xtal_Templ!A:B,2,FALSE))</f>
        <v>ox2r_human</v>
      </c>
      <c r="C352" s="3">
        <f>VLOOKUP($A352,'SegEnds_NonXtal_BW#'!$A:$Z,3,FALSE)+D352-50</f>
        <v>41</v>
      </c>
      <c r="D352" s="3">
        <v>60</v>
      </c>
      <c r="E352" s="3">
        <f>IF(ISERROR(VLOOKUP($A352,'SegEnds_NonXtal_BW#'!$A:$Z,4,FALSE)+VLOOKUP($A352,A:AL,4,FALSE)-50),"-",(VLOOKUP($A352,'SegEnds_NonXtal_BW#'!$A:$Z,4,FALSE)+VLOOKUP($A352,A:AL,4,FALSE)-50))</f>
        <v>70</v>
      </c>
      <c r="F352" s="3" t="str">
        <f>IF(ISERROR(VLOOKUP($A352,'SegEnds_NonXtal_BW#'!$A:$Z,5,FALSE)+VLOOKUP($A352,A:AL,7,FALSE)-50),"-",(VLOOKUP($A352,'SegEnds_NonXtal_BW#'!$A:$Z,5,FALSE)+VLOOKUP($A352,A:AL,7,FALSE)-50))</f>
        <v>-</v>
      </c>
      <c r="G352" s="3" t="s">
        <v>23</v>
      </c>
      <c r="H352" s="3" t="str">
        <f>IF(ISERROR(VLOOKUP($A352,'SegEnds_NonXtal_BW#'!$A:$Z,6,FALSE)+VLOOKUP($A352,A:AL,7,FALSE)-50),"-",(VLOOKUP($A352,'SegEnds_NonXtal_BW#'!$A:$Z,6,FALSE)+VLOOKUP($A352,A:AL,7,FALSE)-50))</f>
        <v>-</v>
      </c>
      <c r="I352" s="3">
        <f>VLOOKUP($A352,'SegEnds_NonXtal_BW#'!$A:$Z,7,FALSE)+J352-50</f>
        <v>80</v>
      </c>
      <c r="J352" s="3">
        <v>93</v>
      </c>
      <c r="K352" s="3">
        <f>VLOOKUP($A352,'SegEnds_NonXtal_BW#'!$A:$Z,8,FALSE)+VLOOKUP($A352,A:AL,10,FALSE)-50</f>
        <v>110</v>
      </c>
      <c r="L352" s="3" t="str">
        <f>IF(ISERROR(VLOOKUP($A352,'SegEnds_NonXtal_BW#'!$A:$Z,9,FALSE)+VLOOKUP($A352,A:AL,13,FALSE)-50),"-",(VLOOKUP($A352,'SegEnds_NonXtal_BW#'!$A:$Z,9,FALSE)+VLOOKUP($A352,A:AL,13,FALSE)-50))</f>
        <v>-</v>
      </c>
      <c r="M352" s="3" t="s">
        <v>23</v>
      </c>
      <c r="N352" s="3" t="str">
        <f>IF(ISERROR(VLOOKUP($A352,'SegEnds_NonXtal_BW#'!$A:$Z,10,FALSE)+VLOOKUP($A352,A:AL,13,FALSE)-50),"-",(VLOOKUP($A352,'SegEnds_NonXtal_BW#'!$A:$Z,10,FALSE)+VLOOKUP($A352,A:AL,13,FALSE)-50))</f>
        <v>-</v>
      </c>
      <c r="O352" s="3">
        <f>VLOOKUP($A352,'SegEnds_NonXtal_BW#'!$A:$Z,11,FALSE)+VLOOKUP($A352,A:AL,16,FALSE)-50</f>
        <v>115</v>
      </c>
      <c r="P352" s="3">
        <v>147</v>
      </c>
      <c r="Q352" s="3">
        <f>VLOOKUP($A352,'SegEnds_NonXtal_BW#'!$A:$Z,12,FALSE)+VLOOKUP($A352,A:AL,16,FALSE)-50</f>
        <v>153</v>
      </c>
      <c r="R352" s="3" t="str">
        <f>IF(ISERROR(VLOOKUP($A352,'SegEnds_NonXtal_BW#'!$A:$Z,13,FALSE)+VLOOKUP($A352,A:AL,19,FALSE)-50),"-",VLOOKUP($A352,'SegEnds_NonXtal_BW#'!$A:$Z,13,FALSE)+VLOOKUP($A352,A:AL,19,FALSE)-50)</f>
        <v>-</v>
      </c>
      <c r="S352" s="3" t="s">
        <v>23</v>
      </c>
      <c r="T352" s="103" t="str">
        <f>IF(ISERROR(VLOOKUP($A352,'SegEnds_NonXtal_BW#'!$A:$Z,14,FALSE)+VLOOKUP($A352,A:AL,19,FALSE)-50),"-",(VLOOKUP($A352,'SegEnds_NonXtal_BW#'!$A:$Z,14,FALSE)+VLOOKUP($A352,A:AL,19,FALSE)-50))</f>
        <v>-</v>
      </c>
      <c r="U352" s="9">
        <f>IF(ISERROR(VLOOKUP($A352,'SegEnds_NonXtal_BW#'!$A:$Z,15,FALSE)+VLOOKUP($A352,A:AL,22,FALSE)-50),"-",VLOOKUP($A352,'SegEnds_NonXtal_BW#'!$A:$Z,15,FALSE)+VLOOKUP($A352,A:AL,22,FALSE)-50)</f>
        <v>157</v>
      </c>
      <c r="V352" s="3">
        <v>169</v>
      </c>
      <c r="W352" s="3">
        <f>IF(ISERROR(VLOOKUP($A352,'SegEnds_NonXtal_BW#'!$A:$Z,16,FALSE)+VLOOKUP($A352,A:AL,22,FALSE)-50),"-",(VLOOKUP($A352,'SegEnds_NonXtal_BW#'!$A:$Z,16,FALSE)+VLOOKUP($A352,A:AL,22,FALSE)-50))</f>
        <v>183</v>
      </c>
      <c r="X352" s="3">
        <f>IF(ISERROR(VLOOKUP($A352,'SegEnds_NonXtal_BW#'!$A:$Z,17,FALSE)+VLOOKUP($A352,A:AL,25,FALSE)-50),"-",(VLOOKUP($A352,'SegEnds_NonXtal_BW#'!$A:$Z,17,FALSE)+VLOOKUP($A352,A:AL,25,FALSE)-50))</f>
        <v>217</v>
      </c>
      <c r="Y352" s="3">
        <v>217</v>
      </c>
      <c r="Z352" s="3">
        <f>Y352+2</f>
        <v>219</v>
      </c>
      <c r="AA352" s="3">
        <f>IF(ISERROR(VLOOKUP($A352,'SegEnds_NonXtal_BW#'!$A:$Z,19,FALSE)+VLOOKUP($A352,A:AL,28,FALSE)-50),"-",(VLOOKUP($A352,'SegEnds_NonXtal_BW#'!$A:$Z,19,FALSE)+VLOOKUP($A352,A:AL,28,FALSE)-50))</f>
        <v>226</v>
      </c>
      <c r="AB352" s="3">
        <v>244</v>
      </c>
      <c r="AC352" s="3">
        <f>IF(ISERROR((VLOOKUP($A352,'SegEnds_NonXtal_BW#'!$A:$Z,20,FALSE)+VLOOKUP($A352,A:AL,28,FALSE)-50)),"-",(VLOOKUP($A352,'SegEnds_NonXtal_BW#'!$A:$Z,20,FALSE)+VLOOKUP($A352,A:AL,28,FALSE)-50))</f>
        <v>268</v>
      </c>
      <c r="AD352" s="3">
        <f>IF(ISERROR(VLOOKUP($A352,'SegEnds_NonXtal_BW#'!$A:$Z,21,FALSE)+VLOOKUP($A352,A:AL,31,FALSE)-50),"-",(VLOOKUP($A352,'SegEnds_NonXtal_BW#'!$A:$Z,21,FALSE)+VLOOKUP($A352,A:AL,31,FALSE)-50))</f>
        <v>281</v>
      </c>
      <c r="AE352" s="3">
        <v>310</v>
      </c>
      <c r="AF352" s="3">
        <f>IF(ISERROR((VLOOKUP($A352,'SegEnds_NonXtal_BW#'!$A:$Z,22,FALSE)+VLOOKUP($A352,A:AL,31,FALSE)-50)),"-",(VLOOKUP($A352,'SegEnds_NonXtal_BW#'!$A:$Z,22,FALSE)+VLOOKUP($A352,A:AL,31,FALSE)-50))</f>
        <v>321</v>
      </c>
      <c r="AG352" s="3">
        <f>IF(ISERROR(VLOOKUP($A352,'SegEnds_NonXtal_BW#'!$A:$Z,23,FALSE)+VLOOKUP($A352,A:AL,34,FALSE)-50),"-",(VLOOKUP($A352,'SegEnds_NonXtal_BW#'!$A:$Z,23,FALSE)+VLOOKUP($A352,A:AL,34,FALSE)-50))</f>
        <v>327</v>
      </c>
      <c r="AH352" s="3">
        <v>349</v>
      </c>
      <c r="AI352" s="3">
        <f>IF(ISERROR((VLOOKUP($A352,'SegEnds_NonXtal_BW#'!$A:$Z,24,FALSE)+VLOOKUP($A352,A:AL,34,FALSE)-50)),"-",(VLOOKUP($A352,'SegEnds_NonXtal_BW#'!$A:$Z,24,FALSE)+VLOOKUP($A352,A:AL,34,FALSE)-50))</f>
        <v>355</v>
      </c>
      <c r="AJ352" s="3">
        <f>IF(ISERROR(VLOOKUP($A352,'SegEnds_NonXtal_BW#'!$A:$Z,25,FALSE)+VLOOKUP($A352,A:AL,37,FALSE)-50),"-",(VLOOKUP($A352,'SegEnds_NonXtal_BW#'!$A:$Z,25,FALSE)+VLOOKUP($A352,A:AL,37,FALSE)-50))</f>
        <v>356</v>
      </c>
      <c r="AK352" s="3">
        <v>359</v>
      </c>
      <c r="AL352" s="3">
        <f>IF(ISERROR((VLOOKUP($A352,'SegEnds_NonXtal_BW#'!$A:$Z,26,FALSE)+VLOOKUP($A352,A:AL,37,FALSE)-50)),"-",(VLOOKUP($A352,'SegEnds_NonXtal_BW#'!$A:$Z,26,FALSE)+VLOOKUP($A352,A:AL,37,FALSE)-50))</f>
        <v>367</v>
      </c>
      <c r="AM352" s="28" t="str">
        <f>VLOOKUP(A352,Classification!A:B,2,FALSE)</f>
        <v>A</v>
      </c>
      <c r="AN352" s="28" t="b">
        <f t="shared" si="200"/>
        <v>1</v>
      </c>
      <c r="AO352" s="3" t="str">
        <f>IF(ISERROR(MATCH(A352,'SegEnds_Xtal_Prot#'!B:B, 0)), "NoXtal", "Xtal")</f>
        <v>NoXtal</v>
      </c>
      <c r="AP352" s="3" t="str">
        <f t="shared" si="185"/>
        <v>-</v>
      </c>
      <c r="AQ352" s="3" t="str">
        <f t="shared" si="186"/>
        <v>-</v>
      </c>
      <c r="AR352" s="3" t="str">
        <f t="shared" si="187"/>
        <v>-</v>
      </c>
      <c r="AS352" s="3" t="str">
        <f t="shared" si="188"/>
        <v>-</v>
      </c>
      <c r="AT352" s="3" t="str">
        <f t="shared" si="189"/>
        <v>-</v>
      </c>
      <c r="AU352" s="3" t="str">
        <f t="shared" si="190"/>
        <v>-</v>
      </c>
      <c r="AV352" s="3">
        <f t="shared" si="191"/>
        <v>34</v>
      </c>
      <c r="AW352" s="3">
        <f t="shared" si="192"/>
        <v>7</v>
      </c>
      <c r="AX352" s="3">
        <f t="shared" si="193"/>
        <v>13</v>
      </c>
      <c r="AY352" s="3">
        <f t="shared" si="194"/>
        <v>6</v>
      </c>
      <c r="AZ352" s="3">
        <f t="shared" si="195"/>
        <v>1</v>
      </c>
      <c r="BA352" s="3">
        <f>IF(ISERROR(LEN(VLOOKUP(A352,Seqs!A:E,2,FALSE))-AL352),"-",LEN(VLOOKUP(A352,Seqs!A:E,2,FALSE))-AL352)</f>
        <v>67</v>
      </c>
      <c r="BB352" s="16">
        <f t="shared" si="196"/>
        <v>33</v>
      </c>
      <c r="BC352" s="9" t="str">
        <f t="shared" si="197"/>
        <v>-</v>
      </c>
      <c r="BD352" s="3">
        <f t="shared" si="198"/>
        <v>33</v>
      </c>
      <c r="BE352" s="3">
        <f t="shared" si="199"/>
        <v>66</v>
      </c>
    </row>
    <row r="353" spans="1:57" s="3" customFormat="1" x14ac:dyDescent="0.2">
      <c r="A353" s="3" t="s">
        <v>108</v>
      </c>
      <c r="B353" s="3" t="str">
        <f>LOWER(VLOOKUP(A353,Xtal_Templ!A:B,2,FALSE))</f>
        <v>grm1_human</v>
      </c>
      <c r="C353" s="3">
        <f>VLOOKUP($A353,'SegEnds_NonXtal_BW#'!$A:$Z,3,FALSE)+D353-50</f>
        <v>48</v>
      </c>
      <c r="D353" s="3">
        <v>64</v>
      </c>
      <c r="E353" s="3">
        <f>IF(ISERROR(VLOOKUP($A353,'SegEnds_NonXtal_BW#'!$A:$Z,4,FALSE)+VLOOKUP($A353,A:AL,4,FALSE)-50),"-",(VLOOKUP($A353,'SegEnds_NonXtal_BW#'!$A:$Z,4,FALSE)+VLOOKUP($A353,A:AL,4,FALSE)-50))</f>
        <v>74</v>
      </c>
      <c r="F353" s="3">
        <f>G353-3</f>
        <v>77</v>
      </c>
      <c r="G353" s="3">
        <v>80</v>
      </c>
      <c r="H353" s="3">
        <f>G353+3</f>
        <v>83</v>
      </c>
      <c r="I353" s="3">
        <f>H353+1</f>
        <v>84</v>
      </c>
      <c r="J353" s="3">
        <v>95</v>
      </c>
      <c r="K353" s="3">
        <f>VLOOKUP($A353,'SegEnds_NonXtal_BW#'!$A:$Z,8,FALSE)+VLOOKUP($A353,A:AL,10,FALSE)-50</f>
        <v>106</v>
      </c>
      <c r="L353" s="3" t="str">
        <f>IF(ISERROR(VLOOKUP($A353,'SegEnds_NonXtal_BW#'!$A:$Z,9,FALSE)+VLOOKUP($A353,A:AL,13,FALSE)-50),"-",(VLOOKUP($A353,'SegEnds_NonXtal_BW#'!$A:$Z,9,FALSE)+VLOOKUP($A353,A:AL,13,FALSE)-50))</f>
        <v>-</v>
      </c>
      <c r="M353" s="3" t="s">
        <v>23</v>
      </c>
      <c r="N353" s="3" t="str">
        <f>IF(ISERROR(VLOOKUP($A353,'SegEnds_NonXtal_BW#'!$A:$Z,10,FALSE)+VLOOKUP($A353,A:AL,13,FALSE)-50),"-",(VLOOKUP($A353,'SegEnds_NonXtal_BW#'!$A:$Z,10,FALSE)+VLOOKUP($A353,A:AL,13,FALSE)-50))</f>
        <v>-</v>
      </c>
      <c r="O353" s="3">
        <f>VLOOKUP($A353,'SegEnds_NonXtal_BW#'!$A:$Z,11,FALSE)+VLOOKUP($A353,A:AL,16,FALSE)-50</f>
        <v>117</v>
      </c>
      <c r="P353" s="3">
        <v>145</v>
      </c>
      <c r="Q353" s="3">
        <f>VLOOKUP($A353,'SegEnds_NonXtal_BW#'!$A:$Z,12,FALSE)+VLOOKUP($A353,A:AL,16,FALSE)-50</f>
        <v>149</v>
      </c>
      <c r="R353" s="3" t="str">
        <f>IF(ISERROR(VLOOKUP($A353,'SegEnds_NonXtal_BW#'!$A:$Z,13,FALSE)+VLOOKUP($A353,A:AL,19,FALSE)-50),"-",VLOOKUP($A353,'SegEnds_NonXtal_BW#'!$A:$Z,13,FALSE)+VLOOKUP($A353,A:AL,19,FALSE)-50)</f>
        <v>-</v>
      </c>
      <c r="S353" s="3" t="s">
        <v>23</v>
      </c>
      <c r="T353" s="103" t="str">
        <f>IF(ISERROR(VLOOKUP($A353,'SegEnds_NonXtal_BW#'!$A:$Z,14,FALSE)+VLOOKUP($A353,A:AL,19,FALSE)-50),"-",(VLOOKUP($A353,'SegEnds_NonXtal_BW#'!$A:$Z,14,FALSE)+VLOOKUP($A353,A:AL,19,FALSE)-50))</f>
        <v>-</v>
      </c>
      <c r="U353" s="9">
        <f>IF(ISERROR(VLOOKUP($A353,'SegEnds_NonXtal_BW#'!$A:$Z,15,FALSE)+VLOOKUP($A353,A:AL,22,FALSE)-50),"-",VLOOKUP($A353,'SegEnds_NonXtal_BW#'!$A:$Z,15,FALSE)+VLOOKUP($A353,A:AL,22,FALSE)-50)</f>
        <v>161</v>
      </c>
      <c r="V353" s="3">
        <v>173</v>
      </c>
      <c r="W353" s="3">
        <f>IF(ISERROR(VLOOKUP($A353,'SegEnds_NonXtal_BW#'!$A:$Z,16,FALSE)+VLOOKUP($A353,A:AL,22,FALSE)-50),"-",(VLOOKUP($A353,'SegEnds_NonXtal_BW#'!$A:$Z,16,FALSE)+VLOOKUP($A353,A:AL,22,FALSE)-50))</f>
        <v>187</v>
      </c>
      <c r="X353" s="3" t="str">
        <f>IF(ISERROR(VLOOKUP($A353,'SegEnds_NonXtal_BW#'!$A:$Z,17,FALSE)+VLOOKUP($A353,A:AL,25,FALSE)-50),"-",(VLOOKUP($A353,'SegEnds_NonXtal_BW#'!$A:$Z,17,FALSE)+VLOOKUP($A353,A:AL,25,FALSE)-50))</f>
        <v>-</v>
      </c>
      <c r="Y353" s="3" t="s">
        <v>23</v>
      </c>
      <c r="Z353" s="3" t="str">
        <f>IF(ISERROR(VLOOKUP($A353,'SegEnds_NonXtal_BW#'!$A:$Z,18,FALSE)+VLOOKUP($A353,A:AL,25,FALSE)-50),"-",(VLOOKUP($A353,'SegEnds_NonXtal_BW#'!$A:$Z,18,FALSE)+VLOOKUP($A353,A:AL,25,FALSE)-50))</f>
        <v>-</v>
      </c>
      <c r="AA353" s="3">
        <f>IF(ISERROR(VLOOKUP($A353,'SegEnds_NonXtal_BW#'!$A:$Z,19,FALSE)+VLOOKUP($A353,A:AL,28,FALSE)-50),"-",(VLOOKUP($A353,'SegEnds_NonXtal_BW#'!$A:$Z,19,FALSE)+VLOOKUP($A353,A:AL,28,FALSE)-50))</f>
        <v>222</v>
      </c>
      <c r="AB353" s="3">
        <v>235</v>
      </c>
      <c r="AC353" s="3">
        <f>IF(ISERROR((VLOOKUP($A353,'SegEnds_NonXtal_BW#'!$A:$Z,20,FALSE)+VLOOKUP($A353,A:AL,28,FALSE)-50)),"-",(VLOOKUP($A353,'SegEnds_NonXtal_BW#'!$A:$Z,20,FALSE)+VLOOKUP($A353,A:AL,28,FALSE)-50))</f>
        <v>246</v>
      </c>
      <c r="AD353" s="3">
        <f>IF(ISERROR(VLOOKUP($A353,'SegEnds_NonXtal_BW#'!$A:$Z,21,FALSE)+VLOOKUP($A353,A:AL,31,FALSE)-50),"-",(VLOOKUP($A353,'SegEnds_NonXtal_BW#'!$A:$Z,21,FALSE)+VLOOKUP($A353,A:AL,31,FALSE)-50))</f>
        <v>257</v>
      </c>
      <c r="AE353" s="3">
        <v>274</v>
      </c>
      <c r="AF353" s="3">
        <f>IF(ISERROR((VLOOKUP($A353,'SegEnds_NonXtal_BW#'!$A:$Z,22,FALSE)+VLOOKUP($A353,A:AL,31,FALSE)-50)),"-",(VLOOKUP($A353,'SegEnds_NonXtal_BW#'!$A:$Z,22,FALSE)+VLOOKUP($A353,A:AL,31,FALSE)-50))</f>
        <v>281</v>
      </c>
      <c r="AG353" s="3">
        <f>IF(ISERROR(VLOOKUP($A353,'SegEnds_NonXtal_BW#'!$A:$Z,23,FALSE)+VLOOKUP($A353,A:AL,34,FALSE)-50),"-",(VLOOKUP($A353,'SegEnds_NonXtal_BW#'!$A:$Z,23,FALSE)+VLOOKUP($A353,A:AL,34,FALSE)-50))</f>
        <v>288</v>
      </c>
      <c r="AH353" s="3">
        <v>304</v>
      </c>
      <c r="AI353" s="3">
        <f>IF(ISERROR((VLOOKUP($A353,'SegEnds_NonXtal_BW#'!$A:$Z,24,FALSE)+VLOOKUP($A353,A:AL,34,FALSE)-50)),"-",(VLOOKUP($A353,'SegEnds_NonXtal_BW#'!$A:$Z,24,FALSE)+VLOOKUP($A353,A:AL,34,FALSE)-50))</f>
        <v>317</v>
      </c>
      <c r="AJ353" s="3">
        <f>IF(ISERROR(VLOOKUP($A353,'SegEnds_NonXtal_BW#'!$A:$Z,25,FALSE)+VLOOKUP($A353,A:AL,37,FALSE)-50),"-",(VLOOKUP($A353,'SegEnds_NonXtal_BW#'!$A:$Z,25,FALSE)+VLOOKUP($A353,A:AL,37,FALSE)-50))</f>
        <v>318</v>
      </c>
      <c r="AK353" s="3">
        <v>321</v>
      </c>
      <c r="AL353" s="3">
        <f>IF(ISERROR((VLOOKUP($A353,'SegEnds_NonXtal_BW#'!$A:$Z,26,FALSE)+VLOOKUP($A353,A:AL,37,FALSE)-50)),"-",(VLOOKUP($A353,'SegEnds_NonXtal_BW#'!$A:$Z,26,FALSE)+VLOOKUP($A353,A:AL,37,FALSE)-50))</f>
        <v>330</v>
      </c>
      <c r="AM353" s="28" t="str">
        <f>VLOOKUP(A353,Classification!A:B,2,FALSE)</f>
        <v>C</v>
      </c>
      <c r="AN353" s="28" t="b">
        <f t="shared" si="200"/>
        <v>1</v>
      </c>
      <c r="AO353" s="3" t="str">
        <f>IF(ISERROR(MATCH(A353,'SegEnds_Xtal_Prot#'!B:B, 0)), "NoXtal", "Xtal")</f>
        <v>NoXtal</v>
      </c>
      <c r="AP353" s="3">
        <f t="shared" si="185"/>
        <v>3</v>
      </c>
      <c r="AQ353" s="3">
        <f t="shared" si="186"/>
        <v>1</v>
      </c>
      <c r="AR353" s="3" t="str">
        <f t="shared" si="187"/>
        <v>-</v>
      </c>
      <c r="AS353" s="3" t="str">
        <f t="shared" si="188"/>
        <v>-</v>
      </c>
      <c r="AT353" s="3" t="str">
        <f t="shared" si="189"/>
        <v>-</v>
      </c>
      <c r="AU353" s="3" t="str">
        <f t="shared" si="190"/>
        <v>-</v>
      </c>
      <c r="AV353" s="3" t="str">
        <f t="shared" si="191"/>
        <v>-</v>
      </c>
      <c r="AW353" s="3" t="str">
        <f t="shared" si="192"/>
        <v>-</v>
      </c>
      <c r="AX353" s="3">
        <f t="shared" si="193"/>
        <v>11</v>
      </c>
      <c r="AY353" s="3">
        <f t="shared" si="194"/>
        <v>7</v>
      </c>
      <c r="AZ353" s="3">
        <f t="shared" si="195"/>
        <v>1</v>
      </c>
      <c r="BA353" s="3">
        <f>IF(ISERROR(LEN(VLOOKUP(A353,Seqs!A:E,2,FALSE))-AL353),"-",LEN(VLOOKUP(A353,Seqs!A:E,2,FALSE))-AL353)</f>
        <v>484</v>
      </c>
      <c r="BB353" s="16">
        <f t="shared" si="196"/>
        <v>31</v>
      </c>
      <c r="BC353" s="9" t="str">
        <f t="shared" si="197"/>
        <v>-</v>
      </c>
      <c r="BD353" s="3">
        <f t="shared" si="198"/>
        <v>31</v>
      </c>
      <c r="BE353" s="3">
        <f t="shared" si="199"/>
        <v>39</v>
      </c>
    </row>
    <row r="354" spans="1:57" s="3" customFormat="1" x14ac:dyDescent="0.2">
      <c r="A354" s="3" t="s">
        <v>486</v>
      </c>
      <c r="B354" s="3" t="str">
        <f>LOWER(VLOOKUP(A354,Xtal_Templ!A:B,2,FALSE))</f>
        <v>5ht2b_human</v>
      </c>
      <c r="C354" s="3">
        <f>VLOOKUP($A354,'SegEnds_NonXtal_BW#'!$A:$Z,3,FALSE)+D354-50</f>
        <v>11</v>
      </c>
      <c r="D354" s="3">
        <v>29</v>
      </c>
      <c r="E354" s="3">
        <f>IF(ISERROR(VLOOKUP($A354,'SegEnds_NonXtal_BW#'!$A:$Z,4,FALSE)+VLOOKUP($A354,A:AL,4,FALSE)-50),"-",(VLOOKUP($A354,'SegEnds_NonXtal_BW#'!$A:$Z,4,FALSE)+VLOOKUP($A354,A:AL,4,FALSE)-50))</f>
        <v>39</v>
      </c>
      <c r="F354" s="3" t="str">
        <f>IF(ISERROR(VLOOKUP($A354,'SegEnds_NonXtal_BW#'!$A:$Z,5,FALSE)+VLOOKUP($A354,A:AL,7,FALSE)-50),"-",(VLOOKUP($A354,'SegEnds_NonXtal_BW#'!$A:$Z,5,FALSE)+VLOOKUP($A354,A:AL,7,FALSE)-50))</f>
        <v>-</v>
      </c>
      <c r="G354" s="3" t="s">
        <v>23</v>
      </c>
      <c r="H354" s="3" t="str">
        <f>IF(ISERROR(VLOOKUP($A354,'SegEnds_NonXtal_BW#'!$A:$Z,6,FALSE)+VLOOKUP($A354,A:AL,7,FALSE)-50),"-",(VLOOKUP($A354,'SegEnds_NonXtal_BW#'!$A:$Z,6,FALSE)+VLOOKUP($A354,A:AL,7,FALSE)-50))</f>
        <v>-</v>
      </c>
      <c r="I354" s="3">
        <f>VLOOKUP($A354,'SegEnds_NonXtal_BW#'!$A:$Z,7,FALSE)+J354-50</f>
        <v>46</v>
      </c>
      <c r="J354" s="3">
        <v>57</v>
      </c>
      <c r="K354" s="3">
        <f>VLOOKUP($A354,'SegEnds_NonXtal_BW#'!$A:$Z,8,FALSE)+VLOOKUP($A354,A:AL,10,FALSE)-50</f>
        <v>70</v>
      </c>
      <c r="L354" s="3" t="str">
        <f>IF(ISERROR(VLOOKUP($A354,'SegEnds_NonXtal_BW#'!$A:$Z,9,FALSE)+VLOOKUP($A354,A:AL,13,FALSE)-50),"-",(VLOOKUP($A354,'SegEnds_NonXtal_BW#'!$A:$Z,9,FALSE)+VLOOKUP($A354,A:AL,13,FALSE)-50))</f>
        <v>-</v>
      </c>
      <c r="M354" s="3" t="s">
        <v>23</v>
      </c>
      <c r="N354" s="3" t="str">
        <f>IF(ISERROR(VLOOKUP($A354,'SegEnds_NonXtal_BW#'!$A:$Z,10,FALSE)+VLOOKUP($A354,A:AL,13,FALSE)-50),"-",(VLOOKUP($A354,'SegEnds_NonXtal_BW#'!$A:$Z,10,FALSE)+VLOOKUP($A354,A:AL,13,FALSE)-50))</f>
        <v>-</v>
      </c>
      <c r="O354" s="3">
        <f>VLOOKUP($A354,'SegEnds_NonXtal_BW#'!$A:$Z,11,FALSE)+VLOOKUP($A354,A:AL,16,FALSE)-50</f>
        <v>77</v>
      </c>
      <c r="P354" s="3">
        <v>104</v>
      </c>
      <c r="Q354" s="3">
        <f>VLOOKUP($A354,'SegEnds_NonXtal_BW#'!$A:$Z,12,FALSE)+VLOOKUP($A354,A:AL,16,FALSE)-50</f>
        <v>110</v>
      </c>
      <c r="R354" s="3" t="str">
        <f>IF(ISERROR(VLOOKUP($A354,'SegEnds_NonXtal_BW#'!$A:$Z,13,FALSE)+VLOOKUP($A354,A:AL,19,FALSE)-50),"-",VLOOKUP($A354,'SegEnds_NonXtal_BW#'!$A:$Z,13,FALSE)+VLOOKUP($A354,A:AL,19,FALSE)-50)</f>
        <v>-</v>
      </c>
      <c r="S354" s="3" t="s">
        <v>23</v>
      </c>
      <c r="T354" s="103" t="str">
        <f>IF(ISERROR(VLOOKUP($A354,'SegEnds_NonXtal_BW#'!$A:$Z,14,FALSE)+VLOOKUP($A354,A:AL,19,FALSE)-50),"-",(VLOOKUP($A354,'SegEnds_NonXtal_BW#'!$A:$Z,14,FALSE)+VLOOKUP($A354,A:AL,19,FALSE)-50))</f>
        <v>-</v>
      </c>
      <c r="U354" s="9">
        <f>IF(ISERROR(VLOOKUP($A354,'SegEnds_NonXtal_BW#'!$A:$Z,15,FALSE)+VLOOKUP($A354,A:AL,22,FALSE)-50),"-",VLOOKUP($A354,'SegEnds_NonXtal_BW#'!$A:$Z,15,FALSE)+VLOOKUP($A354,A:AL,22,FALSE)-50)</f>
        <v>125</v>
      </c>
      <c r="V354" s="3">
        <v>135</v>
      </c>
      <c r="W354" s="3">
        <f>IF(ISERROR(VLOOKUP($A354,'SegEnds_NonXtal_BW#'!$A:$Z,16,FALSE)+VLOOKUP($A354,A:AL,22,FALSE)-50),"-",(VLOOKUP($A354,'SegEnds_NonXtal_BW#'!$A:$Z,16,FALSE)+VLOOKUP($A354,A:AL,22,FALSE)-50))</f>
        <v>149</v>
      </c>
      <c r="X354" s="3" t="str">
        <f>IF(ISERROR(VLOOKUP($A354,'SegEnds_NonXtal_BW#'!$A:$Z,17,FALSE)+VLOOKUP($A354,A:AL,25,FALSE)-50),"-",(VLOOKUP($A354,'SegEnds_NonXtal_BW#'!$A:$Z,17,FALSE)+VLOOKUP($A354,A:AL,25,FALSE)-50))</f>
        <v>-</v>
      </c>
      <c r="Y354" s="3" t="s">
        <v>23</v>
      </c>
      <c r="Z354" s="3" t="str">
        <f>IF(ISERROR(VLOOKUP($A354,'SegEnds_NonXtal_BW#'!$A:$Z,18,FALSE)+VLOOKUP($A354,A:AL,25,FALSE)-50),"-",(VLOOKUP($A354,'SegEnds_NonXtal_BW#'!$A:$Z,18,FALSE)+VLOOKUP($A354,A:AL,25,FALSE)-50))</f>
        <v>-</v>
      </c>
      <c r="AA354" s="3">
        <f>IF(ISERROR(VLOOKUP($A354,'SegEnds_NonXtal_BW#'!$A:$Z,19,FALSE)+VLOOKUP($A354,A:AL,28,FALSE)-50),"-",(VLOOKUP($A354,'SegEnds_NonXtal_BW#'!$A:$Z,19,FALSE)+VLOOKUP($A354,A:AL,28,FALSE)-50))</f>
        <v>153</v>
      </c>
      <c r="AB354" s="3">
        <v>164</v>
      </c>
      <c r="AC354" s="3">
        <f>IF(ISERROR((VLOOKUP($A354,'SegEnds_NonXtal_BW#'!$A:$Z,20,FALSE)+VLOOKUP($A354,A:AL,28,FALSE)-50)),"-",(VLOOKUP($A354,'SegEnds_NonXtal_BW#'!$A:$Z,20,FALSE)+VLOOKUP($A354,A:AL,28,FALSE)-50))</f>
        <v>175</v>
      </c>
      <c r="AD354" s="3">
        <f>IF(ISERROR(VLOOKUP($A354,'SegEnds_NonXtal_BW#'!$A:$Z,21,FALSE)+VLOOKUP($A354,A:AL,31,FALSE)-50),"-",(VLOOKUP($A354,'SegEnds_NonXtal_BW#'!$A:$Z,21,FALSE)+VLOOKUP($A354,A:AL,31,FALSE)-50))</f>
        <v>210</v>
      </c>
      <c r="AE354" s="3">
        <v>231</v>
      </c>
      <c r="AF354" s="3">
        <f>IF(ISERROR((VLOOKUP($A354,'SegEnds_NonXtal_BW#'!$A:$Z,22,FALSE)+VLOOKUP($A354,A:AL,31,FALSE)-50)),"-",(VLOOKUP($A354,'SegEnds_NonXtal_BW#'!$A:$Z,22,FALSE)+VLOOKUP($A354,A:AL,31,FALSE)-50))</f>
        <v>234</v>
      </c>
      <c r="AG354" s="3">
        <f>IF(ISERROR(VLOOKUP($A354,'SegEnds_NonXtal_BW#'!$A:$Z,23,FALSE)+VLOOKUP($A354,A:AL,34,FALSE)-50),"-",(VLOOKUP($A354,'SegEnds_NonXtal_BW#'!$A:$Z,23,FALSE)+VLOOKUP($A354,A:AL,34,FALSE)-50))</f>
        <v>261</v>
      </c>
      <c r="AH354" s="3">
        <v>276</v>
      </c>
      <c r="AI354" s="3">
        <f>IF(ISERROR((VLOOKUP($A354,'SegEnds_NonXtal_BW#'!$A:$Z,24,FALSE)+VLOOKUP($A354,A:AL,34,FALSE)-50)),"-",(VLOOKUP($A354,'SegEnds_NonXtal_BW#'!$A:$Z,24,FALSE)+VLOOKUP($A354,A:AL,34,FALSE)-50))</f>
        <v>282</v>
      </c>
      <c r="AJ354" s="3">
        <v>286</v>
      </c>
      <c r="AK354" s="3">
        <v>294</v>
      </c>
      <c r="AL354" s="3">
        <f>IF(ISERROR((VLOOKUP($A354,'SegEnds_NonXtal_BW#'!$A:$Z,26,FALSE)+VLOOKUP($A354,A:AL,37,FALSE)-50)),"-",(VLOOKUP($A354,'SegEnds_NonXtal_BW#'!$A:$Z,26,FALSE)+VLOOKUP($A354,A:AL,37,FALSE)-50))</f>
        <v>301</v>
      </c>
      <c r="AM354" s="28" t="str">
        <f>VLOOKUP(A354,Classification!A:B,2,FALSE)</f>
        <v>O</v>
      </c>
      <c r="AN354" s="28" t="b">
        <f t="shared" si="200"/>
        <v>1</v>
      </c>
      <c r="AO354" s="3" t="str">
        <f>IF(ISERROR(MATCH(A354,'SegEnds_Xtal_Prot#'!B:B, 0)), "NoXtal", "Xtal")</f>
        <v>NoXtal</v>
      </c>
      <c r="AP354" s="3" t="str">
        <f t="shared" si="185"/>
        <v>-</v>
      </c>
      <c r="AQ354" s="3" t="str">
        <f t="shared" si="186"/>
        <v>-</v>
      </c>
      <c r="AR354" s="3" t="str">
        <f t="shared" si="187"/>
        <v>-</v>
      </c>
      <c r="AS354" s="3" t="str">
        <f t="shared" si="188"/>
        <v>-</v>
      </c>
      <c r="AT354" s="3" t="str">
        <f t="shared" si="189"/>
        <v>-</v>
      </c>
      <c r="AU354" s="3" t="str">
        <f t="shared" si="190"/>
        <v>-</v>
      </c>
      <c r="AV354" s="3" t="str">
        <f t="shared" si="191"/>
        <v>-</v>
      </c>
      <c r="AW354" s="3" t="str">
        <f t="shared" si="192"/>
        <v>-</v>
      </c>
      <c r="AX354" s="3">
        <f t="shared" si="193"/>
        <v>35</v>
      </c>
      <c r="AY354" s="3">
        <f t="shared" si="194"/>
        <v>27</v>
      </c>
      <c r="AZ354" s="3">
        <f t="shared" si="195"/>
        <v>4</v>
      </c>
      <c r="BA354" s="3">
        <f>IF(ISERROR(LEN(VLOOKUP(A354,Seqs!A:E,2,FALSE))-AL354),"-",LEN(VLOOKUP(A354,Seqs!A:E,2,FALSE))-AL354)</f>
        <v>34</v>
      </c>
      <c r="BB354" s="16">
        <f t="shared" si="196"/>
        <v>28</v>
      </c>
      <c r="BC354" s="9" t="str">
        <f t="shared" si="197"/>
        <v>-</v>
      </c>
      <c r="BD354" s="3">
        <f t="shared" si="198"/>
        <v>28</v>
      </c>
      <c r="BE354" s="3">
        <f t="shared" si="199"/>
        <v>67</v>
      </c>
    </row>
    <row r="355" spans="1:57" s="3" customFormat="1" x14ac:dyDescent="0.2">
      <c r="A355" s="3" t="s">
        <v>109</v>
      </c>
      <c r="B355" s="3" t="str">
        <f>LOWER(VLOOKUP(A355,Xtal_Templ!A:B,2,FALSE))</f>
        <v>grm1_human</v>
      </c>
      <c r="C355" s="3">
        <f>VLOOKUP($A355,'SegEnds_NonXtal_BW#'!$A:$Z,3,FALSE)+D355-50</f>
        <v>415</v>
      </c>
      <c r="D355" s="3">
        <v>431</v>
      </c>
      <c r="E355" s="3">
        <f>IF(ISERROR(VLOOKUP($A355,'SegEnds_NonXtal_BW#'!$A:$Z,4,FALSE)+VLOOKUP($A355,A:AL,4,FALSE)-50),"-",(VLOOKUP($A355,'SegEnds_NonXtal_BW#'!$A:$Z,4,FALSE)+VLOOKUP($A355,A:AL,4,FALSE)-50))</f>
        <v>441</v>
      </c>
      <c r="F355" s="3">
        <f>G355-3</f>
        <v>444</v>
      </c>
      <c r="G355" s="3">
        <v>447</v>
      </c>
      <c r="H355" s="3">
        <f>G355+3</f>
        <v>450</v>
      </c>
      <c r="I355" s="3">
        <f>H355+1</f>
        <v>451</v>
      </c>
      <c r="J355" s="3">
        <v>462</v>
      </c>
      <c r="K355" s="3">
        <f>VLOOKUP($A355,'SegEnds_NonXtal_BW#'!$A:$Z,8,FALSE)+VLOOKUP($A355,A:AL,10,FALSE)-50</f>
        <v>473</v>
      </c>
      <c r="L355" s="3" t="str">
        <f>IF(ISERROR(VLOOKUP($A355,'SegEnds_NonXtal_BW#'!$A:$Z,9,FALSE)+VLOOKUP($A355,A:AL,13,FALSE)-50),"-",(VLOOKUP($A355,'SegEnds_NonXtal_BW#'!$A:$Z,9,FALSE)+VLOOKUP($A355,A:AL,13,FALSE)-50))</f>
        <v>-</v>
      </c>
      <c r="M355" s="3" t="s">
        <v>23</v>
      </c>
      <c r="N355" s="3" t="str">
        <f>IF(ISERROR(VLOOKUP($A355,'SegEnds_NonXtal_BW#'!$A:$Z,10,FALSE)+VLOOKUP($A355,A:AL,13,FALSE)-50),"-",(VLOOKUP($A355,'SegEnds_NonXtal_BW#'!$A:$Z,10,FALSE)+VLOOKUP($A355,A:AL,13,FALSE)-50))</f>
        <v>-</v>
      </c>
      <c r="O355" s="3">
        <f>VLOOKUP($A355,'SegEnds_NonXtal_BW#'!$A:$Z,11,FALSE)+VLOOKUP($A355,A:AL,16,FALSE)-50</f>
        <v>478</v>
      </c>
      <c r="P355" s="3">
        <v>506</v>
      </c>
      <c r="Q355" s="3">
        <f>VLOOKUP($A355,'SegEnds_NonXtal_BW#'!$A:$Z,12,FALSE)+VLOOKUP($A355,A:AL,16,FALSE)-50</f>
        <v>510</v>
      </c>
      <c r="R355" s="3" t="str">
        <f>IF(ISERROR(VLOOKUP($A355,'SegEnds_NonXtal_BW#'!$A:$Z,13,FALSE)+VLOOKUP($A355,A:AL,19,FALSE)-50),"-",VLOOKUP($A355,'SegEnds_NonXtal_BW#'!$A:$Z,13,FALSE)+VLOOKUP($A355,A:AL,19,FALSE)-50)</f>
        <v>-</v>
      </c>
      <c r="S355" s="3" t="s">
        <v>23</v>
      </c>
      <c r="T355" s="103" t="str">
        <f>IF(ISERROR(VLOOKUP($A355,'SegEnds_NonXtal_BW#'!$A:$Z,14,FALSE)+VLOOKUP($A355,A:AL,19,FALSE)-50),"-",(VLOOKUP($A355,'SegEnds_NonXtal_BW#'!$A:$Z,14,FALSE)+VLOOKUP($A355,A:AL,19,FALSE)-50))</f>
        <v>-</v>
      </c>
      <c r="U355" s="9">
        <f>IF(ISERROR(VLOOKUP($A355,'SegEnds_NonXtal_BW#'!$A:$Z,15,FALSE)+VLOOKUP($A355,A:AL,22,FALSE)-50),"-",VLOOKUP($A355,'SegEnds_NonXtal_BW#'!$A:$Z,15,FALSE)+VLOOKUP($A355,A:AL,22,FALSE)-50)</f>
        <v>512</v>
      </c>
      <c r="V355" s="3">
        <v>524</v>
      </c>
      <c r="W355" s="3">
        <f>IF(ISERROR(VLOOKUP($A355,'SegEnds_NonXtal_BW#'!$A:$Z,16,FALSE)+VLOOKUP($A355,A:AL,22,FALSE)-50),"-",(VLOOKUP($A355,'SegEnds_NonXtal_BW#'!$A:$Z,16,FALSE)+VLOOKUP($A355,A:AL,22,FALSE)-50))</f>
        <v>538</v>
      </c>
      <c r="X355" s="3">
        <f>IF(ISERROR(VLOOKUP($A355,'SegEnds_NonXtal_BW#'!$A:$Z,17,FALSE)+VLOOKUP($A355,A:AL,25,FALSE)-50),"-",(VLOOKUP($A355,'SegEnds_NonXtal_BW#'!$A:$Z,17,FALSE)+VLOOKUP($A355,A:AL,25,FALSE)-50))</f>
        <v>573</v>
      </c>
      <c r="Y355" s="3">
        <v>573</v>
      </c>
      <c r="Z355" s="3">
        <f t="shared" ref="Z355:Z361" si="205">Y355+2</f>
        <v>575</v>
      </c>
      <c r="AA355" s="3">
        <f>IF(ISERROR(VLOOKUP($A355,'SegEnds_NonXtal_BW#'!$A:$Z,19,FALSE)+VLOOKUP($A355,A:AL,28,FALSE)-50),"-",(VLOOKUP($A355,'SegEnds_NonXtal_BW#'!$A:$Z,19,FALSE)+VLOOKUP($A355,A:AL,28,FALSE)-50))</f>
        <v>576</v>
      </c>
      <c r="AB355" s="3">
        <v>589</v>
      </c>
      <c r="AC355" s="3">
        <f>IF(ISERROR((VLOOKUP($A355,'SegEnds_NonXtal_BW#'!$A:$Z,20,FALSE)+VLOOKUP($A355,A:AL,28,FALSE)-50)),"-",(VLOOKUP($A355,'SegEnds_NonXtal_BW#'!$A:$Z,20,FALSE)+VLOOKUP($A355,A:AL,28,FALSE)-50))</f>
        <v>600</v>
      </c>
      <c r="AD355" s="3">
        <f>IF(ISERROR(VLOOKUP($A355,'SegEnds_NonXtal_BW#'!$A:$Z,21,FALSE)+VLOOKUP($A355,A:AL,31,FALSE)-50),"-",(VLOOKUP($A355,'SegEnds_NonXtal_BW#'!$A:$Z,21,FALSE)+VLOOKUP($A355,A:AL,31,FALSE)-50))</f>
        <v>609</v>
      </c>
      <c r="AE355" s="3">
        <v>626</v>
      </c>
      <c r="AF355" s="3">
        <f>IF(ISERROR((VLOOKUP($A355,'SegEnds_NonXtal_BW#'!$A:$Z,22,FALSE)+VLOOKUP($A355,A:AL,31,FALSE)-50)),"-",(VLOOKUP($A355,'SegEnds_NonXtal_BW#'!$A:$Z,22,FALSE)+VLOOKUP($A355,A:AL,31,FALSE)-50))</f>
        <v>633</v>
      </c>
      <c r="AG355" s="3">
        <f>IF(ISERROR(VLOOKUP($A355,'SegEnds_NonXtal_BW#'!$A:$Z,23,FALSE)+VLOOKUP($A355,A:AL,34,FALSE)-50),"-",(VLOOKUP($A355,'SegEnds_NonXtal_BW#'!$A:$Z,23,FALSE)+VLOOKUP($A355,A:AL,34,FALSE)-50))</f>
        <v>643</v>
      </c>
      <c r="AH355" s="3">
        <v>659</v>
      </c>
      <c r="AI355" s="3">
        <f>IF(ISERROR((VLOOKUP($A355,'SegEnds_NonXtal_BW#'!$A:$Z,24,FALSE)+VLOOKUP($A355,A:AL,34,FALSE)-50)),"-",(VLOOKUP($A355,'SegEnds_NonXtal_BW#'!$A:$Z,24,FALSE)+VLOOKUP($A355,A:AL,34,FALSE)-50))</f>
        <v>672</v>
      </c>
      <c r="AJ355" s="3">
        <f>IF(ISERROR(VLOOKUP($A355,'SegEnds_NonXtal_BW#'!$A:$Z,25,FALSE)+VLOOKUP($A355,A:AL,37,FALSE)-50),"-",(VLOOKUP($A355,'SegEnds_NonXtal_BW#'!$A:$Z,25,FALSE)+VLOOKUP($A355,A:AL,37,FALSE)-50))</f>
        <v>673</v>
      </c>
      <c r="AK355" s="3">
        <v>676</v>
      </c>
      <c r="AL355" s="3">
        <f>IF(ISERROR((VLOOKUP($A355,'SegEnds_NonXtal_BW#'!$A:$Z,26,FALSE)+VLOOKUP($A355,A:AL,37,FALSE)-50)),"-",(VLOOKUP($A355,'SegEnds_NonXtal_BW#'!$A:$Z,26,FALSE)+VLOOKUP($A355,A:AL,37,FALSE)-50))</f>
        <v>685</v>
      </c>
      <c r="AM355" s="28" t="str">
        <f>VLOOKUP(A355,Classification!A:B,2,FALSE)</f>
        <v>C</v>
      </c>
      <c r="AN355" s="28" t="b">
        <f t="shared" si="200"/>
        <v>1</v>
      </c>
      <c r="AO355" s="3" t="str">
        <f>IF(ISERROR(MATCH(A355,'SegEnds_Xtal_Prot#'!B:B, 0)), "NoXtal", "Xtal")</f>
        <v>NoXtal</v>
      </c>
      <c r="AP355" s="3">
        <f t="shared" si="185"/>
        <v>3</v>
      </c>
      <c r="AQ355" s="3">
        <f t="shared" si="186"/>
        <v>1</v>
      </c>
      <c r="AR355" s="3" t="str">
        <f t="shared" si="187"/>
        <v>-</v>
      </c>
      <c r="AS355" s="3" t="str">
        <f t="shared" si="188"/>
        <v>-</v>
      </c>
      <c r="AT355" s="3" t="str">
        <f t="shared" si="189"/>
        <v>-</v>
      </c>
      <c r="AU355" s="3" t="str">
        <f t="shared" si="190"/>
        <v>-</v>
      </c>
      <c r="AV355" s="3">
        <f t="shared" si="191"/>
        <v>35</v>
      </c>
      <c r="AW355" s="3">
        <f t="shared" si="192"/>
        <v>1</v>
      </c>
      <c r="AX355" s="3">
        <f t="shared" si="193"/>
        <v>9</v>
      </c>
      <c r="AY355" s="3">
        <f t="shared" si="194"/>
        <v>10</v>
      </c>
      <c r="AZ355" s="3">
        <f t="shared" si="195"/>
        <v>1</v>
      </c>
      <c r="BA355" s="3">
        <f>IF(ISERROR(LEN(VLOOKUP(A355,Seqs!A:E,2,FALSE))-AL355),"-",LEN(VLOOKUP(A355,Seqs!A:E,2,FALSE))-AL355)</f>
        <v>530</v>
      </c>
      <c r="BB355" s="16">
        <f t="shared" si="196"/>
        <v>31</v>
      </c>
      <c r="BC355" s="9" t="str">
        <f t="shared" si="197"/>
        <v>-</v>
      </c>
      <c r="BD355" s="3">
        <f t="shared" si="198"/>
        <v>31</v>
      </c>
      <c r="BE355" s="3">
        <f t="shared" si="199"/>
        <v>37</v>
      </c>
    </row>
    <row r="356" spans="1:57" s="3" customFormat="1" x14ac:dyDescent="0.2">
      <c r="A356" s="3" t="s">
        <v>226</v>
      </c>
      <c r="B356" s="3" t="str">
        <f>LOWER(VLOOKUP(A356,Xtal_Templ!A:B,2,FALSE))</f>
        <v>par1_human</v>
      </c>
      <c r="C356" s="3">
        <f>VLOOKUP($A356,'SegEnds_NonXtal_BW#'!$A:$Z,3,FALSE)+D356-50</f>
        <v>18</v>
      </c>
      <c r="D356" s="3">
        <v>39</v>
      </c>
      <c r="E356" s="3">
        <f>IF(ISERROR(VLOOKUP($A356,'SegEnds_NonXtal_BW#'!$A:$Z,4,FALSE)+VLOOKUP($A356,A:AL,4,FALSE)-50),"-",(VLOOKUP($A356,'SegEnds_NonXtal_BW#'!$A:$Z,4,FALSE)+VLOOKUP($A356,A:AL,4,FALSE)-50))</f>
        <v>49</v>
      </c>
      <c r="F356" s="3" t="str">
        <f>IF(ISERROR(VLOOKUP($A356,'SegEnds_NonXtal_BW#'!$A:$Z,5,FALSE)+VLOOKUP($A356,A:AL,7,FALSE)-50),"-",(VLOOKUP($A356,'SegEnds_NonXtal_BW#'!$A:$Z,5,FALSE)+VLOOKUP($A356,A:AL,7,FALSE)-50))</f>
        <v>-</v>
      </c>
      <c r="G356" s="3" t="s">
        <v>23</v>
      </c>
      <c r="H356" s="3" t="str">
        <f>IF(ISERROR(VLOOKUP($A356,'SegEnds_NonXtal_BW#'!$A:$Z,6,FALSE)+VLOOKUP($A356,A:AL,7,FALSE)-50),"-",(VLOOKUP($A356,'SegEnds_NonXtal_BW#'!$A:$Z,6,FALSE)+VLOOKUP($A356,A:AL,7,FALSE)-50))</f>
        <v>-</v>
      </c>
      <c r="I356" s="3">
        <f>VLOOKUP($A356,'SegEnds_NonXtal_BW#'!$A:$Z,7,FALSE)+J356-50</f>
        <v>53</v>
      </c>
      <c r="J356" s="3">
        <v>66</v>
      </c>
      <c r="K356" s="3">
        <f>VLOOKUP($A356,'SegEnds_NonXtal_BW#'!$A:$Z,8,FALSE)+VLOOKUP($A356,A:AL,10,FALSE)-50</f>
        <v>82</v>
      </c>
      <c r="L356" s="3" t="str">
        <f>IF(ISERROR(VLOOKUP($A356,'SegEnds_NonXtal_BW#'!$A:$Z,9,FALSE)+VLOOKUP($A356,A:AL,13,FALSE)-50),"-",(VLOOKUP($A356,'SegEnds_NonXtal_BW#'!$A:$Z,9,FALSE)+VLOOKUP($A356,A:AL,13,FALSE)-50))</f>
        <v>-</v>
      </c>
      <c r="M356" s="3" t="s">
        <v>23</v>
      </c>
      <c r="N356" s="3" t="str">
        <f>IF(ISERROR(VLOOKUP($A356,'SegEnds_NonXtal_BW#'!$A:$Z,10,FALSE)+VLOOKUP($A356,A:AL,13,FALSE)-50),"-",(VLOOKUP($A356,'SegEnds_NonXtal_BW#'!$A:$Z,10,FALSE)+VLOOKUP($A356,A:AL,13,FALSE)-50))</f>
        <v>-</v>
      </c>
      <c r="O356" s="3">
        <f>VLOOKUP($A356,'SegEnds_NonXtal_BW#'!$A:$Z,11,FALSE)+VLOOKUP($A356,A:AL,16,FALSE)-50</f>
        <v>88</v>
      </c>
      <c r="P356" s="3">
        <v>120</v>
      </c>
      <c r="Q356" s="3">
        <f>VLOOKUP($A356,'SegEnds_NonXtal_BW#'!$A:$Z,12,FALSE)+VLOOKUP($A356,A:AL,16,FALSE)-50</f>
        <v>126</v>
      </c>
      <c r="R356" s="3" t="str">
        <f>IF(ISERROR(VLOOKUP($A356,'SegEnds_NonXtal_BW#'!$A:$Z,13,FALSE)+VLOOKUP($A356,A:AL,19,FALSE)-50),"-",VLOOKUP($A356,'SegEnds_NonXtal_BW#'!$A:$Z,13,FALSE)+VLOOKUP($A356,A:AL,19,FALSE)-50)</f>
        <v>-</v>
      </c>
      <c r="S356" s="3" t="s">
        <v>23</v>
      </c>
      <c r="T356" s="103" t="str">
        <f>IF(ISERROR(VLOOKUP($A356,'SegEnds_NonXtal_BW#'!$A:$Z,14,FALSE)+VLOOKUP($A356,A:AL,19,FALSE)-50),"-",(VLOOKUP($A356,'SegEnds_NonXtal_BW#'!$A:$Z,14,FALSE)+VLOOKUP($A356,A:AL,19,FALSE)-50))</f>
        <v>-</v>
      </c>
      <c r="U356" s="9">
        <f>IF(ISERROR(VLOOKUP($A356,'SegEnds_NonXtal_BW#'!$A:$Z,15,FALSE)+VLOOKUP($A356,A:AL,22,FALSE)-50),"-",VLOOKUP($A356,'SegEnds_NonXtal_BW#'!$A:$Z,15,FALSE)+VLOOKUP($A356,A:AL,22,FALSE)-50)</f>
        <v>135</v>
      </c>
      <c r="V356" s="3">
        <v>147</v>
      </c>
      <c r="W356" s="3">
        <f>IF(ISERROR(VLOOKUP($A356,'SegEnds_NonXtal_BW#'!$A:$Z,16,FALSE)+VLOOKUP($A356,A:AL,22,FALSE)-50),"-",(VLOOKUP($A356,'SegEnds_NonXtal_BW#'!$A:$Z,16,FALSE)+VLOOKUP($A356,A:AL,22,FALSE)-50))</f>
        <v>160</v>
      </c>
      <c r="X356" s="3">
        <f>IF(ISERROR(VLOOKUP($A356,'SegEnds_NonXtal_BW#'!$A:$Z,17,FALSE)+VLOOKUP($A356,A:AL,25,FALSE)-50),"-",(VLOOKUP($A356,'SegEnds_NonXtal_BW#'!$A:$Z,17,FALSE)+VLOOKUP($A356,A:AL,25,FALSE)-50))</f>
        <v>174</v>
      </c>
      <c r="Y356" s="3">
        <v>174</v>
      </c>
      <c r="Z356" s="3">
        <f t="shared" si="205"/>
        <v>176</v>
      </c>
      <c r="AA356" s="3">
        <f>IF(ISERROR(VLOOKUP($A356,'SegEnds_NonXtal_BW#'!$A:$Z,19,FALSE)+VLOOKUP($A356,A:AL,28,FALSE)-50),"-",(VLOOKUP($A356,'SegEnds_NonXtal_BW#'!$A:$Z,19,FALSE)+VLOOKUP($A356,A:AL,28,FALSE)-50))</f>
        <v>181</v>
      </c>
      <c r="AB356" s="3">
        <v>196</v>
      </c>
      <c r="AC356" s="3">
        <f>IF(ISERROR((VLOOKUP($A356,'SegEnds_NonXtal_BW#'!$A:$Z,20,FALSE)+VLOOKUP($A356,A:AL,28,FALSE)-50)),"-",(VLOOKUP($A356,'SegEnds_NonXtal_BW#'!$A:$Z,20,FALSE)+VLOOKUP($A356,A:AL,28,FALSE)-50))</f>
        <v>219</v>
      </c>
      <c r="AD356" s="3">
        <f>IF(ISERROR(VLOOKUP($A356,'SegEnds_NonXtal_BW#'!$A:$Z,21,FALSE)+VLOOKUP($A356,A:AL,31,FALSE)-50),"-",(VLOOKUP($A356,'SegEnds_NonXtal_BW#'!$A:$Z,21,FALSE)+VLOOKUP($A356,A:AL,31,FALSE)-50))</f>
        <v>228</v>
      </c>
      <c r="AE356" s="3">
        <v>254</v>
      </c>
      <c r="AF356" s="3">
        <f>IF(ISERROR((VLOOKUP($A356,'SegEnds_NonXtal_BW#'!$A:$Z,22,FALSE)+VLOOKUP($A356,A:AL,31,FALSE)-50)),"-",(VLOOKUP($A356,'SegEnds_NonXtal_BW#'!$A:$Z,22,FALSE)+VLOOKUP($A356,A:AL,31,FALSE)-50))</f>
        <v>265</v>
      </c>
      <c r="AG356" s="3">
        <f>IF(ISERROR(VLOOKUP($A356,'SegEnds_NonXtal_BW#'!$A:$Z,23,FALSE)+VLOOKUP($A356,A:AL,34,FALSE)-50),"-",(VLOOKUP($A356,'SegEnds_NonXtal_BW#'!$A:$Z,23,FALSE)+VLOOKUP($A356,A:AL,34,FALSE)-50))</f>
        <v>270</v>
      </c>
      <c r="AH356" s="3">
        <v>289</v>
      </c>
      <c r="AI356" s="3">
        <f>IF(ISERROR((VLOOKUP($A356,'SegEnds_NonXtal_BW#'!$A:$Z,24,FALSE)+VLOOKUP($A356,A:AL,34,FALSE)-50)),"-",(VLOOKUP($A356,'SegEnds_NonXtal_BW#'!$A:$Z,24,FALSE)+VLOOKUP($A356,A:AL,34,FALSE)-50))</f>
        <v>295</v>
      </c>
      <c r="AJ356" s="3">
        <f>IF(ISERROR(VLOOKUP($A356,'SegEnds_NonXtal_BW#'!$A:$Z,25,FALSE)+VLOOKUP($A356,A:AL,37,FALSE)-50),"-",(VLOOKUP($A356,'SegEnds_NonXtal_BW#'!$A:$Z,25,FALSE)+VLOOKUP($A356,A:AL,37,FALSE)-50))</f>
        <v>296</v>
      </c>
      <c r="AK356" s="3">
        <v>299</v>
      </c>
      <c r="AL356" s="3">
        <f>IF(ISERROR((VLOOKUP($A356,'SegEnds_NonXtal_BW#'!$A:$Z,26,FALSE)+VLOOKUP($A356,A:AL,37,FALSE)-50)),"-",(VLOOKUP($A356,'SegEnds_NonXtal_BW#'!$A:$Z,26,FALSE)+VLOOKUP($A356,A:AL,37,FALSE)-50))</f>
        <v>310</v>
      </c>
      <c r="AM356" s="28" t="str">
        <f>VLOOKUP(A356,Classification!A:B,2,FALSE)</f>
        <v>A</v>
      </c>
      <c r="AN356" s="28" t="b">
        <f t="shared" si="200"/>
        <v>1</v>
      </c>
      <c r="AO356" s="3" t="str">
        <f>IF(ISERROR(MATCH(A356,'SegEnds_Xtal_Prot#'!B:B, 0)), "NoXtal", "Xtal")</f>
        <v>NoXtal</v>
      </c>
      <c r="AP356" s="3" t="str">
        <f t="shared" si="185"/>
        <v>-</v>
      </c>
      <c r="AQ356" s="3" t="str">
        <f t="shared" si="186"/>
        <v>-</v>
      </c>
      <c r="AR356" s="3" t="str">
        <f t="shared" si="187"/>
        <v>-</v>
      </c>
      <c r="AS356" s="3" t="str">
        <f t="shared" si="188"/>
        <v>-</v>
      </c>
      <c r="AT356" s="3" t="str">
        <f t="shared" si="189"/>
        <v>-</v>
      </c>
      <c r="AU356" s="3" t="str">
        <f t="shared" si="190"/>
        <v>-</v>
      </c>
      <c r="AV356" s="3">
        <f t="shared" si="191"/>
        <v>14</v>
      </c>
      <c r="AW356" s="3">
        <f t="shared" si="192"/>
        <v>5</v>
      </c>
      <c r="AX356" s="3">
        <f t="shared" si="193"/>
        <v>9</v>
      </c>
      <c r="AY356" s="3">
        <f t="shared" si="194"/>
        <v>5</v>
      </c>
      <c r="AZ356" s="3">
        <f t="shared" si="195"/>
        <v>1</v>
      </c>
      <c r="BA356" s="3">
        <f>IF(ISERROR(LEN(VLOOKUP(A356,Seqs!A:E,2,FALSE))-AL356),"-",LEN(VLOOKUP(A356,Seqs!A:E,2,FALSE))-AL356)</f>
        <v>28</v>
      </c>
      <c r="BB356" s="16">
        <f t="shared" si="196"/>
        <v>27</v>
      </c>
      <c r="BC356" s="9" t="str">
        <f t="shared" si="197"/>
        <v>-</v>
      </c>
      <c r="BD356" s="3">
        <f t="shared" si="198"/>
        <v>27</v>
      </c>
      <c r="BE356" s="3">
        <f t="shared" si="199"/>
        <v>58</v>
      </c>
    </row>
    <row r="357" spans="1:57" s="3" customFormat="1" x14ac:dyDescent="0.2">
      <c r="A357" s="3" t="s">
        <v>232</v>
      </c>
      <c r="B357" s="3" t="str">
        <f>LOWER(VLOOKUP(A357,Xtal_Templ!A:B,2,FALSE))</f>
        <v>ox1r_human</v>
      </c>
      <c r="C357" s="3">
        <f>VLOOKUP($A357,'SegEnds_NonXtal_BW#'!$A:$Z,3,FALSE)+D357-50</f>
        <v>41</v>
      </c>
      <c r="D357" s="3">
        <v>59</v>
      </c>
      <c r="E357" s="3">
        <f>IF(ISERROR(VLOOKUP($A357,'SegEnds_NonXtal_BW#'!$A:$Z,4,FALSE)+VLOOKUP($A357,A:AL,4,FALSE)-50),"-",(VLOOKUP($A357,'SegEnds_NonXtal_BW#'!$A:$Z,4,FALSE)+VLOOKUP($A357,A:AL,4,FALSE)-50))</f>
        <v>69</v>
      </c>
      <c r="F357" s="3">
        <f>G357-2</f>
        <v>70</v>
      </c>
      <c r="G357" s="3">
        <v>72</v>
      </c>
      <c r="H357" s="3">
        <f>G357+1</f>
        <v>73</v>
      </c>
      <c r="I357" s="3">
        <f>H357+1</f>
        <v>74</v>
      </c>
      <c r="J357" s="3">
        <v>87</v>
      </c>
      <c r="K357" s="3">
        <f>VLOOKUP($A357,'SegEnds_NonXtal_BW#'!$A:$Z,8,FALSE)+VLOOKUP($A357,A:AL,10,FALSE)-50</f>
        <v>104</v>
      </c>
      <c r="L357" s="3">
        <f>M357-1</f>
        <v>108</v>
      </c>
      <c r="M357" s="3">
        <v>109</v>
      </c>
      <c r="N357" s="3">
        <f>M357+2</f>
        <v>111</v>
      </c>
      <c r="O357" s="3">
        <f>N357+1</f>
        <v>112</v>
      </c>
      <c r="P357" s="3">
        <v>142</v>
      </c>
      <c r="Q357" s="3">
        <f>VLOOKUP($A357,'SegEnds_NonXtal_BW#'!$A:$Z,12,FALSE)+VLOOKUP($A357,A:AL,16,FALSE)-50</f>
        <v>148</v>
      </c>
      <c r="R357" s="3" t="str">
        <f>IF(ISERROR(VLOOKUP($A357,'SegEnds_NonXtal_BW#'!$A:$Z,13,FALSE)+VLOOKUP($A357,A:AL,19,FALSE)-50),"-",VLOOKUP($A357,'SegEnds_NonXtal_BW#'!$A:$Z,13,FALSE)+VLOOKUP($A357,A:AL,19,FALSE)-50)</f>
        <v>-</v>
      </c>
      <c r="S357" s="3" t="s">
        <v>23</v>
      </c>
      <c r="T357" s="103" t="str">
        <f>IF(ISERROR(VLOOKUP($A357,'SegEnds_NonXtal_BW#'!$A:$Z,14,FALSE)+VLOOKUP($A357,A:AL,19,FALSE)-50),"-",(VLOOKUP($A357,'SegEnds_NonXtal_BW#'!$A:$Z,14,FALSE)+VLOOKUP($A357,A:AL,19,FALSE)-50))</f>
        <v>-</v>
      </c>
      <c r="U357" s="9">
        <f>IF(ISERROR(VLOOKUP($A357,'SegEnds_NonXtal_BW#'!$A:$Z,15,FALSE)+VLOOKUP($A357,A:AL,22,FALSE)-50),"-",VLOOKUP($A357,'SegEnds_NonXtal_BW#'!$A:$Z,15,FALSE)+VLOOKUP($A357,A:AL,22,FALSE)-50)</f>
        <v>155</v>
      </c>
      <c r="V357" s="3">
        <v>167</v>
      </c>
      <c r="W357" s="3">
        <f>IF(ISERROR(VLOOKUP($A357,'SegEnds_NonXtal_BW#'!$A:$Z,16,FALSE)+VLOOKUP($A357,A:AL,22,FALSE)-50),"-",(VLOOKUP($A357,'SegEnds_NonXtal_BW#'!$A:$Z,16,FALSE)+VLOOKUP($A357,A:AL,22,FALSE)-50))</f>
        <v>181</v>
      </c>
      <c r="X357" s="3">
        <f>IF(ISERROR(VLOOKUP($A357,'SegEnds_NonXtal_BW#'!$A:$Z,17,FALSE)+VLOOKUP($A357,A:AL,25,FALSE)-50),"-",(VLOOKUP($A357,'SegEnds_NonXtal_BW#'!$A:$Z,17,FALSE)+VLOOKUP($A357,A:AL,25,FALSE)-50))</f>
        <v>192</v>
      </c>
      <c r="Y357" s="3">
        <v>192</v>
      </c>
      <c r="Z357" s="3">
        <f t="shared" si="205"/>
        <v>194</v>
      </c>
      <c r="AA357" s="3">
        <f>IF(ISERROR(VLOOKUP($A357,'SegEnds_NonXtal_BW#'!$A:$Z,19,FALSE)+VLOOKUP($A357,A:AL,28,FALSE)-50),"-",(VLOOKUP($A357,'SegEnds_NonXtal_BW#'!$A:$Z,19,FALSE)+VLOOKUP($A357,A:AL,28,FALSE)-50))</f>
        <v>199</v>
      </c>
      <c r="AB357" s="3">
        <v>217</v>
      </c>
      <c r="AC357" s="3">
        <f>IF(ISERROR((VLOOKUP($A357,'SegEnds_NonXtal_BW#'!$A:$Z,20,FALSE)+VLOOKUP($A357,A:AL,28,FALSE)-50)),"-",(VLOOKUP($A357,'SegEnds_NonXtal_BW#'!$A:$Z,20,FALSE)+VLOOKUP($A357,A:AL,28,FALSE)-50))</f>
        <v>241</v>
      </c>
      <c r="AD357" s="3">
        <f>IF(ISERROR(VLOOKUP($A357,'SegEnds_NonXtal_BW#'!$A:$Z,21,FALSE)+VLOOKUP($A357,A:AL,31,FALSE)-50),"-",(VLOOKUP($A357,'SegEnds_NonXtal_BW#'!$A:$Z,21,FALSE)+VLOOKUP($A357,A:AL,31,FALSE)-50))</f>
        <v>252</v>
      </c>
      <c r="AE357" s="3">
        <v>281</v>
      </c>
      <c r="AF357" s="3">
        <f>IF(ISERROR((VLOOKUP($A357,'SegEnds_NonXtal_BW#'!$A:$Z,22,FALSE)+VLOOKUP($A357,A:AL,31,FALSE)-50)),"-",(VLOOKUP($A357,'SegEnds_NonXtal_BW#'!$A:$Z,22,FALSE)+VLOOKUP($A357,A:AL,31,FALSE)-50))</f>
        <v>292</v>
      </c>
      <c r="AG357" s="3">
        <f>IF(ISERROR(VLOOKUP($A357,'SegEnds_NonXtal_BW#'!$A:$Z,23,FALSE)+VLOOKUP($A357,A:AL,34,FALSE)-50),"-",(VLOOKUP($A357,'SegEnds_NonXtal_BW#'!$A:$Z,23,FALSE)+VLOOKUP($A357,A:AL,34,FALSE)-50))</f>
        <v>298</v>
      </c>
      <c r="AH357" s="3">
        <v>317</v>
      </c>
      <c r="AI357" s="3">
        <f>IF(ISERROR((VLOOKUP($A357,'SegEnds_NonXtal_BW#'!$A:$Z,24,FALSE)+VLOOKUP($A357,A:AL,34,FALSE)-50)),"-",(VLOOKUP($A357,'SegEnds_NonXtal_BW#'!$A:$Z,24,FALSE)+VLOOKUP($A357,A:AL,34,FALSE)-50))</f>
        <v>323</v>
      </c>
      <c r="AJ357" s="3">
        <f>IF(ISERROR(VLOOKUP($A357,'SegEnds_NonXtal_BW#'!$A:$Z,25,FALSE)+VLOOKUP($A357,A:AL,37,FALSE)-50),"-",(VLOOKUP($A357,'SegEnds_NonXtal_BW#'!$A:$Z,25,FALSE)+VLOOKUP($A357,A:AL,37,FALSE)-50))</f>
        <v>324</v>
      </c>
      <c r="AK357" s="3">
        <v>327</v>
      </c>
      <c r="AL357" s="3">
        <f>IF(ISERROR((VLOOKUP($A357,'SegEnds_NonXtal_BW#'!$A:$Z,26,FALSE)+VLOOKUP($A357,A:AL,37,FALSE)-50)),"-",(VLOOKUP($A357,'SegEnds_NonXtal_BW#'!$A:$Z,26,FALSE)+VLOOKUP($A357,A:AL,37,FALSE)-50))</f>
        <v>335</v>
      </c>
      <c r="AM357" s="28" t="str">
        <f>VLOOKUP(A357,Classification!A:B,2,FALSE)</f>
        <v>A</v>
      </c>
      <c r="AN357" s="28" t="b">
        <f t="shared" si="200"/>
        <v>1</v>
      </c>
      <c r="AO357" s="3" t="str">
        <f>IF(ISERROR(MATCH(A357,'SegEnds_Xtal_Prot#'!B:B, 0)), "NoXtal", "Xtal")</f>
        <v>NoXtal</v>
      </c>
      <c r="AP357" s="3">
        <f t="shared" si="185"/>
        <v>1</v>
      </c>
      <c r="AQ357" s="3">
        <f t="shared" si="186"/>
        <v>1</v>
      </c>
      <c r="AR357" s="3">
        <f t="shared" si="187"/>
        <v>4</v>
      </c>
      <c r="AS357" s="3">
        <f t="shared" si="188"/>
        <v>1</v>
      </c>
      <c r="AT357" s="3" t="str">
        <f t="shared" si="189"/>
        <v>-</v>
      </c>
      <c r="AU357" s="3" t="str">
        <f t="shared" si="190"/>
        <v>-</v>
      </c>
      <c r="AV357" s="3">
        <f t="shared" si="191"/>
        <v>11</v>
      </c>
      <c r="AW357" s="3">
        <f t="shared" si="192"/>
        <v>5</v>
      </c>
      <c r="AX357" s="3">
        <f t="shared" si="193"/>
        <v>11</v>
      </c>
      <c r="AY357" s="3">
        <f t="shared" si="194"/>
        <v>6</v>
      </c>
      <c r="AZ357" s="3">
        <f t="shared" si="195"/>
        <v>1</v>
      </c>
      <c r="BA357" s="3">
        <f>IF(ISERROR(LEN(VLOOKUP(A357,Seqs!A:E,2,FALSE))-AL357),"-",LEN(VLOOKUP(A357,Seqs!A:E,2,FALSE))-AL357)</f>
        <v>180</v>
      </c>
      <c r="BB357" s="16">
        <f t="shared" si="196"/>
        <v>28</v>
      </c>
      <c r="BC357" s="9" t="str">
        <f t="shared" si="197"/>
        <v>-</v>
      </c>
      <c r="BD357" s="3">
        <f t="shared" si="198"/>
        <v>28</v>
      </c>
      <c r="BE357" s="3">
        <f t="shared" si="199"/>
        <v>64</v>
      </c>
    </row>
    <row r="358" spans="1:57" s="3" customFormat="1" x14ac:dyDescent="0.2">
      <c r="A358" s="3" t="s">
        <v>110</v>
      </c>
      <c r="B358" s="3" t="str">
        <f>LOWER(VLOOKUP(A358,Xtal_Templ!A:B,2,FALSE))</f>
        <v>grm1_human</v>
      </c>
      <c r="C358" s="3">
        <f>VLOOKUP($A358,'SegEnds_NonXtal_BW#'!$A:$Z,3,FALSE)+D358-50</f>
        <v>379</v>
      </c>
      <c r="D358" s="3">
        <v>395</v>
      </c>
      <c r="E358" s="3">
        <f>IF(ISERROR(VLOOKUP($A358,'SegEnds_NonXtal_BW#'!$A:$Z,4,FALSE)+VLOOKUP($A358,A:AL,4,FALSE)-50),"-",(VLOOKUP($A358,'SegEnds_NonXtal_BW#'!$A:$Z,4,FALSE)+VLOOKUP($A358,A:AL,4,FALSE)-50))</f>
        <v>405</v>
      </c>
      <c r="F358" s="3">
        <f>G358-3</f>
        <v>408</v>
      </c>
      <c r="G358" s="3">
        <v>411</v>
      </c>
      <c r="H358" s="3">
        <f>G358+3</f>
        <v>414</v>
      </c>
      <c r="I358" s="3">
        <f t="shared" ref="I358:I364" si="206">H358+1</f>
        <v>415</v>
      </c>
      <c r="J358" s="3">
        <v>426</v>
      </c>
      <c r="K358" s="3">
        <f>VLOOKUP($A358,'SegEnds_NonXtal_BW#'!$A:$Z,8,FALSE)+VLOOKUP($A358,A:AL,10,FALSE)-50</f>
        <v>437</v>
      </c>
      <c r="L358" s="3" t="str">
        <f>IF(ISERROR(VLOOKUP($A358,'SegEnds_NonXtal_BW#'!$A:$Z,9,FALSE)+VLOOKUP($A358,A:AL,13,FALSE)-50),"-",(VLOOKUP($A358,'SegEnds_NonXtal_BW#'!$A:$Z,9,FALSE)+VLOOKUP($A358,A:AL,13,FALSE)-50))</f>
        <v>-</v>
      </c>
      <c r="M358" s="3" t="s">
        <v>23</v>
      </c>
      <c r="N358" s="3" t="str">
        <f>IF(ISERROR(VLOOKUP($A358,'SegEnds_NonXtal_BW#'!$A:$Z,10,FALSE)+VLOOKUP($A358,A:AL,13,FALSE)-50),"-",(VLOOKUP($A358,'SegEnds_NonXtal_BW#'!$A:$Z,10,FALSE)+VLOOKUP($A358,A:AL,13,FALSE)-50))</f>
        <v>-</v>
      </c>
      <c r="O358" s="3">
        <f>VLOOKUP($A358,'SegEnds_NonXtal_BW#'!$A:$Z,11,FALSE)+VLOOKUP($A358,A:AL,16,FALSE)-50</f>
        <v>442</v>
      </c>
      <c r="P358" s="3">
        <v>470</v>
      </c>
      <c r="Q358" s="3">
        <f>VLOOKUP($A358,'SegEnds_NonXtal_BW#'!$A:$Z,12,FALSE)+VLOOKUP($A358,A:AL,16,FALSE)-50</f>
        <v>474</v>
      </c>
      <c r="R358" s="3" t="str">
        <f>IF(ISERROR(VLOOKUP($A358,'SegEnds_NonXtal_BW#'!$A:$Z,13,FALSE)+VLOOKUP($A358,A:AL,19,FALSE)-50),"-",VLOOKUP($A358,'SegEnds_NonXtal_BW#'!$A:$Z,13,FALSE)+VLOOKUP($A358,A:AL,19,FALSE)-50)</f>
        <v>-</v>
      </c>
      <c r="S358" s="3" t="s">
        <v>23</v>
      </c>
      <c r="T358" s="103" t="str">
        <f>IF(ISERROR(VLOOKUP($A358,'SegEnds_NonXtal_BW#'!$A:$Z,14,FALSE)+VLOOKUP($A358,A:AL,19,FALSE)-50),"-",(VLOOKUP($A358,'SegEnds_NonXtal_BW#'!$A:$Z,14,FALSE)+VLOOKUP($A358,A:AL,19,FALSE)-50))</f>
        <v>-</v>
      </c>
      <c r="U358" s="9">
        <f>IF(ISERROR(VLOOKUP($A358,'SegEnds_NonXtal_BW#'!$A:$Z,15,FALSE)+VLOOKUP($A358,A:AL,22,FALSE)-50),"-",VLOOKUP($A358,'SegEnds_NonXtal_BW#'!$A:$Z,15,FALSE)+VLOOKUP($A358,A:AL,22,FALSE)-50)</f>
        <v>476</v>
      </c>
      <c r="V358" s="3">
        <v>488</v>
      </c>
      <c r="W358" s="3">
        <f>IF(ISERROR(VLOOKUP($A358,'SegEnds_NonXtal_BW#'!$A:$Z,16,FALSE)+VLOOKUP($A358,A:AL,22,FALSE)-50),"-",(VLOOKUP($A358,'SegEnds_NonXtal_BW#'!$A:$Z,16,FALSE)+VLOOKUP($A358,A:AL,22,FALSE)-50))</f>
        <v>502</v>
      </c>
      <c r="X358" s="3">
        <f>IF(ISERROR(VLOOKUP($A358,'SegEnds_NonXtal_BW#'!$A:$Z,17,FALSE)+VLOOKUP($A358,A:AL,25,FALSE)-50),"-",(VLOOKUP($A358,'SegEnds_NonXtal_BW#'!$A:$Z,17,FALSE)+VLOOKUP($A358,A:AL,25,FALSE)-50))</f>
        <v>537</v>
      </c>
      <c r="Y358" s="3">
        <v>537</v>
      </c>
      <c r="Z358" s="3">
        <f t="shared" si="205"/>
        <v>539</v>
      </c>
      <c r="AA358" s="3">
        <f>IF(ISERROR(VLOOKUP($A358,'SegEnds_NonXtal_BW#'!$A:$Z,19,FALSE)+VLOOKUP($A358,A:AL,28,FALSE)-50),"-",(VLOOKUP($A358,'SegEnds_NonXtal_BW#'!$A:$Z,19,FALSE)+VLOOKUP($A358,A:AL,28,FALSE)-50))</f>
        <v>540</v>
      </c>
      <c r="AB358" s="3">
        <v>553</v>
      </c>
      <c r="AC358" s="3">
        <f>IF(ISERROR((VLOOKUP($A358,'SegEnds_NonXtal_BW#'!$A:$Z,20,FALSE)+VLOOKUP($A358,A:AL,28,FALSE)-50)),"-",(VLOOKUP($A358,'SegEnds_NonXtal_BW#'!$A:$Z,20,FALSE)+VLOOKUP($A358,A:AL,28,FALSE)-50))</f>
        <v>564</v>
      </c>
      <c r="AD358" s="3">
        <f>IF(ISERROR(VLOOKUP($A358,'SegEnds_NonXtal_BW#'!$A:$Z,21,FALSE)+VLOOKUP($A358,A:AL,31,FALSE)-50),"-",(VLOOKUP($A358,'SegEnds_NonXtal_BW#'!$A:$Z,21,FALSE)+VLOOKUP($A358,A:AL,31,FALSE)-50))</f>
        <v>573</v>
      </c>
      <c r="AE358" s="3">
        <v>590</v>
      </c>
      <c r="AF358" s="3">
        <f>IF(ISERROR((VLOOKUP($A358,'SegEnds_NonXtal_BW#'!$A:$Z,22,FALSE)+VLOOKUP($A358,A:AL,31,FALSE)-50)),"-",(VLOOKUP($A358,'SegEnds_NonXtal_BW#'!$A:$Z,22,FALSE)+VLOOKUP($A358,A:AL,31,FALSE)-50))</f>
        <v>597</v>
      </c>
      <c r="AG358" s="3">
        <f>IF(ISERROR(VLOOKUP($A358,'SegEnds_NonXtal_BW#'!$A:$Z,23,FALSE)+VLOOKUP($A358,A:AL,34,FALSE)-50),"-",(VLOOKUP($A358,'SegEnds_NonXtal_BW#'!$A:$Z,23,FALSE)+VLOOKUP($A358,A:AL,34,FALSE)-50))</f>
        <v>607</v>
      </c>
      <c r="AH358" s="3">
        <v>623</v>
      </c>
      <c r="AI358" s="3">
        <f>IF(ISERROR((VLOOKUP($A358,'SegEnds_NonXtal_BW#'!$A:$Z,24,FALSE)+VLOOKUP($A358,A:AL,34,FALSE)-50)),"-",(VLOOKUP($A358,'SegEnds_NonXtal_BW#'!$A:$Z,24,FALSE)+VLOOKUP($A358,A:AL,34,FALSE)-50))</f>
        <v>636</v>
      </c>
      <c r="AJ358" s="3">
        <f>IF(ISERROR(VLOOKUP($A358,'SegEnds_NonXtal_BW#'!$A:$Z,25,FALSE)+VLOOKUP($A358,A:AL,37,FALSE)-50),"-",(VLOOKUP($A358,'SegEnds_NonXtal_BW#'!$A:$Z,25,FALSE)+VLOOKUP($A358,A:AL,37,FALSE)-50))</f>
        <v>637</v>
      </c>
      <c r="AK358" s="3">
        <v>640</v>
      </c>
      <c r="AL358" s="3">
        <f>IF(ISERROR((VLOOKUP($A358,'SegEnds_NonXtal_BW#'!$A:$Z,26,FALSE)+VLOOKUP($A358,A:AL,37,FALSE)-50)),"-",(VLOOKUP($A358,'SegEnds_NonXtal_BW#'!$A:$Z,26,FALSE)+VLOOKUP($A358,A:AL,37,FALSE)-50))</f>
        <v>649</v>
      </c>
      <c r="AM358" s="28" t="str">
        <f>VLOOKUP(A358,Classification!A:B,2,FALSE)</f>
        <v>C</v>
      </c>
      <c r="AN358" s="28" t="b">
        <f t="shared" si="200"/>
        <v>1</v>
      </c>
      <c r="AO358" s="3" t="str">
        <f>IF(ISERROR(MATCH(A358,'SegEnds_Xtal_Prot#'!B:B, 0)), "NoXtal", "Xtal")</f>
        <v>NoXtal</v>
      </c>
      <c r="AP358" s="3">
        <f t="shared" si="185"/>
        <v>3</v>
      </c>
      <c r="AQ358" s="3">
        <f t="shared" si="186"/>
        <v>1</v>
      </c>
      <c r="AR358" s="3" t="str">
        <f t="shared" si="187"/>
        <v>-</v>
      </c>
      <c r="AS358" s="3" t="str">
        <f t="shared" si="188"/>
        <v>-</v>
      </c>
      <c r="AT358" s="3" t="str">
        <f t="shared" si="189"/>
        <v>-</v>
      </c>
      <c r="AU358" s="3" t="str">
        <f t="shared" si="190"/>
        <v>-</v>
      </c>
      <c r="AV358" s="3">
        <f t="shared" si="191"/>
        <v>35</v>
      </c>
      <c r="AW358" s="3">
        <f t="shared" si="192"/>
        <v>1</v>
      </c>
      <c r="AX358" s="3">
        <f t="shared" si="193"/>
        <v>9</v>
      </c>
      <c r="AY358" s="3">
        <f t="shared" si="194"/>
        <v>10</v>
      </c>
      <c r="AZ358" s="3">
        <f t="shared" si="195"/>
        <v>1</v>
      </c>
      <c r="BA358" s="3">
        <f>IF(ISERROR(LEN(VLOOKUP(A358,Seqs!A:E,2,FALSE))-AL358),"-",LEN(VLOOKUP(A358,Seqs!A:E,2,FALSE))-AL358)</f>
        <v>1718</v>
      </c>
      <c r="BB358" s="16">
        <f t="shared" si="196"/>
        <v>31</v>
      </c>
      <c r="BC358" s="9" t="str">
        <f t="shared" si="197"/>
        <v>-</v>
      </c>
      <c r="BD358" s="3">
        <f t="shared" si="198"/>
        <v>31</v>
      </c>
      <c r="BE358" s="3">
        <f t="shared" si="199"/>
        <v>37</v>
      </c>
    </row>
    <row r="359" spans="1:57" s="3" customFormat="1" x14ac:dyDescent="0.2">
      <c r="A359" s="3" t="s">
        <v>235</v>
      </c>
      <c r="B359" s="3" t="str">
        <f>LOWER(VLOOKUP(A359,Xtal_Templ!A:B,2,FALSE))</f>
        <v>lpar1_human</v>
      </c>
      <c r="C359" s="3">
        <f>VLOOKUP($A359,'SegEnds_NonXtal_BW#'!$A:$Z,3,FALSE)+D359-50</f>
        <v>12</v>
      </c>
      <c r="D359" s="3">
        <v>32</v>
      </c>
      <c r="E359" s="3">
        <f>IF(ISERROR(VLOOKUP($A359,'SegEnds_NonXtal_BW#'!$A:$Z,4,FALSE)+VLOOKUP($A359,A:AL,4,FALSE)-50),"-",(VLOOKUP($A359,'SegEnds_NonXtal_BW#'!$A:$Z,4,FALSE)+VLOOKUP($A359,A:AL,4,FALSE)-50))</f>
        <v>42</v>
      </c>
      <c r="F359" s="3">
        <f>G359-2</f>
        <v>43</v>
      </c>
      <c r="G359" s="3">
        <v>45</v>
      </c>
      <c r="H359" s="3">
        <f>G359+1</f>
        <v>46</v>
      </c>
      <c r="I359" s="3">
        <f t="shared" si="206"/>
        <v>47</v>
      </c>
      <c r="J359" s="3">
        <v>61</v>
      </c>
      <c r="K359" s="3">
        <f>VLOOKUP($A359,'SegEnds_NonXtal_BW#'!$A:$Z,8,FALSE)+VLOOKUP($A359,A:AL,10,FALSE)-50</f>
        <v>77</v>
      </c>
      <c r="L359" s="3" t="str">
        <f>IF(ISERROR(VLOOKUP($A359,'SegEnds_NonXtal_BW#'!$A:$Z,9,FALSE)+VLOOKUP($A359,A:AL,13,FALSE)-50),"-",(VLOOKUP($A359,'SegEnds_NonXtal_BW#'!$A:$Z,9,FALSE)+VLOOKUP($A359,A:AL,13,FALSE)-50))</f>
        <v>-</v>
      </c>
      <c r="M359" s="3" t="s">
        <v>23</v>
      </c>
      <c r="N359" s="3" t="str">
        <f>IF(ISERROR(VLOOKUP($A359,'SegEnds_NonXtal_BW#'!$A:$Z,10,FALSE)+VLOOKUP($A359,A:AL,13,FALSE)-50),"-",(VLOOKUP($A359,'SegEnds_NonXtal_BW#'!$A:$Z,10,FALSE)+VLOOKUP($A359,A:AL,13,FALSE)-50))</f>
        <v>-</v>
      </c>
      <c r="O359" s="3">
        <f>VLOOKUP($A359,'SegEnds_NonXtal_BW#'!$A:$Z,11,FALSE)+VLOOKUP($A359,A:AL,16,FALSE)-50</f>
        <v>84</v>
      </c>
      <c r="P359" s="3">
        <v>110</v>
      </c>
      <c r="Q359" s="3">
        <f>VLOOKUP($A359,'SegEnds_NonXtal_BW#'!$A:$Z,12,FALSE)+VLOOKUP($A359,A:AL,16,FALSE)-50</f>
        <v>116</v>
      </c>
      <c r="R359" s="3" t="str">
        <f>IF(ISERROR(VLOOKUP($A359,'SegEnds_NonXtal_BW#'!$A:$Z,13,FALSE)+VLOOKUP($A359,A:AL,19,FALSE)-50),"-",VLOOKUP($A359,'SegEnds_NonXtal_BW#'!$A:$Z,13,FALSE)+VLOOKUP($A359,A:AL,19,FALSE)-50)</f>
        <v>-</v>
      </c>
      <c r="S359" s="3" t="s">
        <v>23</v>
      </c>
      <c r="T359" s="103" t="str">
        <f>IF(ISERROR(VLOOKUP($A359,'SegEnds_NonXtal_BW#'!$A:$Z,14,FALSE)+VLOOKUP($A359,A:AL,19,FALSE)-50),"-",(VLOOKUP($A359,'SegEnds_NonXtal_BW#'!$A:$Z,14,FALSE)+VLOOKUP($A359,A:AL,19,FALSE)-50))</f>
        <v>-</v>
      </c>
      <c r="U359" s="9">
        <f>IF(ISERROR(VLOOKUP($A359,'SegEnds_NonXtal_BW#'!$A:$Z,15,FALSE)+VLOOKUP($A359,A:AL,22,FALSE)-50),"-",VLOOKUP($A359,'SegEnds_NonXtal_BW#'!$A:$Z,15,FALSE)+VLOOKUP($A359,A:AL,22,FALSE)-50)</f>
        <v>120</v>
      </c>
      <c r="V359" s="3">
        <v>132</v>
      </c>
      <c r="W359" s="3">
        <f>IF(ISERROR(VLOOKUP($A359,'SegEnds_NonXtal_BW#'!$A:$Z,16,FALSE)+VLOOKUP($A359,A:AL,22,FALSE)-50),"-",(VLOOKUP($A359,'SegEnds_NonXtal_BW#'!$A:$Z,16,FALSE)+VLOOKUP($A359,A:AL,22,FALSE)-50))</f>
        <v>145</v>
      </c>
      <c r="X359" s="3">
        <f>IF(ISERROR(VLOOKUP($A359,'SegEnds_NonXtal_BW#'!$A:$Z,17,FALSE)+VLOOKUP($A359,A:AL,25,FALSE)-50),"-",(VLOOKUP($A359,'SegEnds_NonXtal_BW#'!$A:$Z,17,FALSE)+VLOOKUP($A359,A:AL,25,FALSE)-50))</f>
        <v>155</v>
      </c>
      <c r="Y359" s="3">
        <v>155</v>
      </c>
      <c r="Z359" s="3">
        <f t="shared" si="205"/>
        <v>157</v>
      </c>
      <c r="AA359" s="3">
        <f>IF(ISERROR(VLOOKUP($A359,'SegEnds_NonXtal_BW#'!$A:$Z,19,FALSE)+VLOOKUP($A359,A:AL,28,FALSE)-50),"-",(VLOOKUP($A359,'SegEnds_NonXtal_BW#'!$A:$Z,19,FALSE)+VLOOKUP($A359,A:AL,28,FALSE)-50))</f>
        <v>161</v>
      </c>
      <c r="AB359" s="3">
        <v>176</v>
      </c>
      <c r="AC359" s="3">
        <f>IF(ISERROR((VLOOKUP($A359,'SegEnds_NonXtal_BW#'!$A:$Z,20,FALSE)+VLOOKUP($A359,A:AL,28,FALSE)-50)),"-",(VLOOKUP($A359,'SegEnds_NonXtal_BW#'!$A:$Z,20,FALSE)+VLOOKUP($A359,A:AL,28,FALSE)-50))</f>
        <v>200</v>
      </c>
      <c r="AD359" s="3">
        <f>IF(ISERROR(VLOOKUP($A359,'SegEnds_NonXtal_BW#'!$A:$Z,21,FALSE)+VLOOKUP($A359,A:AL,31,FALSE)-50),"-",(VLOOKUP($A359,'SegEnds_NonXtal_BW#'!$A:$Z,21,FALSE)+VLOOKUP($A359,A:AL,31,FALSE)-50))</f>
        <v>210</v>
      </c>
      <c r="AE359" s="3">
        <v>239</v>
      </c>
      <c r="AF359" s="3">
        <f>IF(ISERROR((VLOOKUP($A359,'SegEnds_NonXtal_BW#'!$A:$Z,22,FALSE)+VLOOKUP($A359,A:AL,31,FALSE)-50)),"-",(VLOOKUP($A359,'SegEnds_NonXtal_BW#'!$A:$Z,22,FALSE)+VLOOKUP($A359,A:AL,31,FALSE)-50))</f>
        <v>250</v>
      </c>
      <c r="AG359" s="3">
        <f>IF(ISERROR(VLOOKUP($A359,'SegEnds_NonXtal_BW#'!$A:$Z,23,FALSE)+VLOOKUP($A359,A:AL,34,FALSE)-50),"-",(VLOOKUP($A359,'SegEnds_NonXtal_BW#'!$A:$Z,23,FALSE)+VLOOKUP($A359,A:AL,34,FALSE)-50))</f>
        <v>255</v>
      </c>
      <c r="AH359" s="3">
        <v>277</v>
      </c>
      <c r="AI359" s="3">
        <f>IF(ISERROR((VLOOKUP($A359,'SegEnds_NonXtal_BW#'!$A:$Z,24,FALSE)+VLOOKUP($A359,A:AL,34,FALSE)-50)),"-",(VLOOKUP($A359,'SegEnds_NonXtal_BW#'!$A:$Z,24,FALSE)+VLOOKUP($A359,A:AL,34,FALSE)-50))</f>
        <v>283</v>
      </c>
      <c r="AJ359" s="3">
        <f>IF(ISERROR(VLOOKUP($A359,'SegEnds_NonXtal_BW#'!$A:$Z,25,FALSE)+VLOOKUP($A359,A:AL,37,FALSE)-50),"-",(VLOOKUP($A359,'SegEnds_NonXtal_BW#'!$A:$Z,25,FALSE)+VLOOKUP($A359,A:AL,37,FALSE)-50))</f>
        <v>284</v>
      </c>
      <c r="AK359" s="3">
        <v>287</v>
      </c>
      <c r="AL359" s="3">
        <f>IF(ISERROR((VLOOKUP($A359,'SegEnds_NonXtal_BW#'!$A:$Z,26,FALSE)+VLOOKUP($A359,A:AL,37,FALSE)-50)),"-",(VLOOKUP($A359,'SegEnds_NonXtal_BW#'!$A:$Z,26,FALSE)+VLOOKUP($A359,A:AL,37,FALSE)-50))</f>
        <v>296</v>
      </c>
      <c r="AM359" s="28" t="str">
        <f>VLOOKUP(A359,Classification!A:B,2,FALSE)</f>
        <v>A</v>
      </c>
      <c r="AN359" s="28" t="b">
        <f t="shared" si="200"/>
        <v>1</v>
      </c>
      <c r="AO359" s="3" t="str">
        <f>IF(ISERROR(MATCH(A359,'SegEnds_Xtal_Prot#'!B:B, 0)), "NoXtal", "Xtal")</f>
        <v>NoXtal</v>
      </c>
      <c r="AP359" s="3">
        <f t="shared" si="185"/>
        <v>1</v>
      </c>
      <c r="AQ359" s="3">
        <f t="shared" si="186"/>
        <v>1</v>
      </c>
      <c r="AR359" s="3" t="str">
        <f t="shared" si="187"/>
        <v>-</v>
      </c>
      <c r="AS359" s="3" t="str">
        <f t="shared" si="188"/>
        <v>-</v>
      </c>
      <c r="AT359" s="3" t="str">
        <f t="shared" si="189"/>
        <v>-</v>
      </c>
      <c r="AU359" s="3" t="str">
        <f t="shared" si="190"/>
        <v>-</v>
      </c>
      <c r="AV359" s="3">
        <f t="shared" si="191"/>
        <v>10</v>
      </c>
      <c r="AW359" s="3">
        <f t="shared" si="192"/>
        <v>4</v>
      </c>
      <c r="AX359" s="3">
        <f t="shared" si="193"/>
        <v>10</v>
      </c>
      <c r="AY359" s="3">
        <f t="shared" si="194"/>
        <v>5</v>
      </c>
      <c r="AZ359" s="3">
        <f t="shared" si="195"/>
        <v>1</v>
      </c>
      <c r="BA359" s="3">
        <f>IF(ISERROR(LEN(VLOOKUP(A359,Seqs!A:E,2,FALSE))-AL359),"-",LEN(VLOOKUP(A359,Seqs!A:E,2,FALSE))-AL359)</f>
        <v>34</v>
      </c>
      <c r="BB359" s="16">
        <f t="shared" si="196"/>
        <v>29</v>
      </c>
      <c r="BC359" s="9" t="str">
        <f t="shared" si="197"/>
        <v>-</v>
      </c>
      <c r="BD359" s="3">
        <f t="shared" si="198"/>
        <v>29</v>
      </c>
      <c r="BE359" s="3">
        <f t="shared" si="199"/>
        <v>63</v>
      </c>
    </row>
    <row r="360" spans="1:57" s="3" customFormat="1" x14ac:dyDescent="0.2">
      <c r="A360" s="3" t="s">
        <v>111</v>
      </c>
      <c r="B360" s="3" t="str">
        <f>LOWER(VLOOKUP(A360,Xtal_Templ!A:B,2,FALSE))</f>
        <v>grm1_human</v>
      </c>
      <c r="C360" s="3">
        <f>VLOOKUP($A360,'SegEnds_NonXtal_BW#'!$A:$Z,3,FALSE)+D360-50</f>
        <v>54</v>
      </c>
      <c r="D360" s="3">
        <v>70</v>
      </c>
      <c r="E360" s="3">
        <f>IF(ISERROR(VLOOKUP($A360,'SegEnds_NonXtal_BW#'!$A:$Z,4,FALSE)+VLOOKUP($A360,A:AL,4,FALSE)-50),"-",(VLOOKUP($A360,'SegEnds_NonXtal_BW#'!$A:$Z,4,FALSE)+VLOOKUP($A360,A:AL,4,FALSE)-50))</f>
        <v>80</v>
      </c>
      <c r="F360" s="3">
        <f>G360-3</f>
        <v>81</v>
      </c>
      <c r="G360" s="3">
        <v>84</v>
      </c>
      <c r="H360" s="3">
        <f>G360+3</f>
        <v>87</v>
      </c>
      <c r="I360" s="3">
        <f t="shared" si="206"/>
        <v>88</v>
      </c>
      <c r="J360" s="3">
        <v>103</v>
      </c>
      <c r="K360" s="3">
        <f>VLOOKUP($A360,'SegEnds_NonXtal_BW#'!$A:$Z,8,FALSE)+VLOOKUP($A360,A:AL,10,FALSE)-50</f>
        <v>114</v>
      </c>
      <c r="L360" s="3" t="str">
        <f>IF(ISERROR(VLOOKUP($A360,'SegEnds_NonXtal_BW#'!$A:$Z,9,FALSE)+VLOOKUP($A360,A:AL,13,FALSE)-50),"-",(VLOOKUP($A360,'SegEnds_NonXtal_BW#'!$A:$Z,9,FALSE)+VLOOKUP($A360,A:AL,13,FALSE)-50))</f>
        <v>-</v>
      </c>
      <c r="M360" s="3" t="s">
        <v>23</v>
      </c>
      <c r="N360" s="3" t="str">
        <f>IF(ISERROR(VLOOKUP($A360,'SegEnds_NonXtal_BW#'!$A:$Z,10,FALSE)+VLOOKUP($A360,A:AL,13,FALSE)-50),"-",(VLOOKUP($A360,'SegEnds_NonXtal_BW#'!$A:$Z,10,FALSE)+VLOOKUP($A360,A:AL,13,FALSE)-50))</f>
        <v>-</v>
      </c>
      <c r="O360" s="3">
        <f>VLOOKUP($A360,'SegEnds_NonXtal_BW#'!$A:$Z,11,FALSE)+VLOOKUP($A360,A:AL,16,FALSE)-50</f>
        <v>119</v>
      </c>
      <c r="P360" s="3">
        <v>147</v>
      </c>
      <c r="Q360" s="3">
        <f>VLOOKUP($A360,'SegEnds_NonXtal_BW#'!$A:$Z,12,FALSE)+VLOOKUP($A360,A:AL,16,FALSE)-50</f>
        <v>151</v>
      </c>
      <c r="R360" s="3" t="str">
        <f>IF(ISERROR(VLOOKUP($A360,'SegEnds_NonXtal_BW#'!$A:$Z,13,FALSE)+VLOOKUP($A360,A:AL,19,FALSE)-50),"-",VLOOKUP($A360,'SegEnds_NonXtal_BW#'!$A:$Z,13,FALSE)+VLOOKUP($A360,A:AL,19,FALSE)-50)</f>
        <v>-</v>
      </c>
      <c r="S360" s="3" t="s">
        <v>23</v>
      </c>
      <c r="T360" s="103" t="str">
        <f>IF(ISERROR(VLOOKUP($A360,'SegEnds_NonXtal_BW#'!$A:$Z,14,FALSE)+VLOOKUP($A360,A:AL,19,FALSE)-50),"-",(VLOOKUP($A360,'SegEnds_NonXtal_BW#'!$A:$Z,14,FALSE)+VLOOKUP($A360,A:AL,19,FALSE)-50))</f>
        <v>-</v>
      </c>
      <c r="U360" s="9">
        <f>IF(ISERROR(VLOOKUP($A360,'SegEnds_NonXtal_BW#'!$A:$Z,15,FALSE)+VLOOKUP($A360,A:AL,22,FALSE)-50),"-",VLOOKUP($A360,'SegEnds_NonXtal_BW#'!$A:$Z,15,FALSE)+VLOOKUP($A360,A:AL,22,FALSE)-50)</f>
        <v>158</v>
      </c>
      <c r="V360" s="3">
        <v>170</v>
      </c>
      <c r="W360" s="3">
        <f>IF(ISERROR(VLOOKUP($A360,'SegEnds_NonXtal_BW#'!$A:$Z,16,FALSE)+VLOOKUP($A360,A:AL,22,FALSE)-50),"-",(VLOOKUP($A360,'SegEnds_NonXtal_BW#'!$A:$Z,16,FALSE)+VLOOKUP($A360,A:AL,22,FALSE)-50))</f>
        <v>184</v>
      </c>
      <c r="X360" s="3">
        <f>IF(ISERROR(VLOOKUP($A360,'SegEnds_NonXtal_BW#'!$A:$Z,17,FALSE)+VLOOKUP($A360,A:AL,25,FALSE)-50),"-",(VLOOKUP($A360,'SegEnds_NonXtal_BW#'!$A:$Z,17,FALSE)+VLOOKUP($A360,A:AL,25,FALSE)-50))</f>
        <v>193</v>
      </c>
      <c r="Y360" s="3">
        <v>193</v>
      </c>
      <c r="Z360" s="3">
        <f t="shared" si="205"/>
        <v>195</v>
      </c>
      <c r="AA360" s="3">
        <f>IF(ISERROR(VLOOKUP($A360,'SegEnds_NonXtal_BW#'!$A:$Z,19,FALSE)+VLOOKUP($A360,A:AL,28,FALSE)-50),"-",(VLOOKUP($A360,'SegEnds_NonXtal_BW#'!$A:$Z,19,FALSE)+VLOOKUP($A360,A:AL,28,FALSE)-50))</f>
        <v>197</v>
      </c>
      <c r="AB360" s="3">
        <v>210</v>
      </c>
      <c r="AC360" s="3">
        <f>IF(ISERROR((VLOOKUP($A360,'SegEnds_NonXtal_BW#'!$A:$Z,20,FALSE)+VLOOKUP($A360,A:AL,28,FALSE)-50)),"-",(VLOOKUP($A360,'SegEnds_NonXtal_BW#'!$A:$Z,20,FALSE)+VLOOKUP($A360,A:AL,28,FALSE)-50))</f>
        <v>221</v>
      </c>
      <c r="AD360" s="3">
        <f>IF(ISERROR(VLOOKUP($A360,'SegEnds_NonXtal_BW#'!$A:$Z,21,FALSE)+VLOOKUP($A360,A:AL,31,FALSE)-50),"-",(VLOOKUP($A360,'SegEnds_NonXtal_BW#'!$A:$Z,21,FALSE)+VLOOKUP($A360,A:AL,31,FALSE)-50))</f>
        <v>232</v>
      </c>
      <c r="AE360" s="3">
        <v>249</v>
      </c>
      <c r="AF360" s="3">
        <f>IF(ISERROR((VLOOKUP($A360,'SegEnds_NonXtal_BW#'!$A:$Z,22,FALSE)+VLOOKUP($A360,A:AL,31,FALSE)-50)),"-",(VLOOKUP($A360,'SegEnds_NonXtal_BW#'!$A:$Z,22,FALSE)+VLOOKUP($A360,A:AL,31,FALSE)-50))</f>
        <v>256</v>
      </c>
      <c r="AG360" s="3">
        <f>IF(ISERROR(VLOOKUP($A360,'SegEnds_NonXtal_BW#'!$A:$Z,23,FALSE)+VLOOKUP($A360,A:AL,34,FALSE)-50),"-",(VLOOKUP($A360,'SegEnds_NonXtal_BW#'!$A:$Z,23,FALSE)+VLOOKUP($A360,A:AL,34,FALSE)-50))</f>
        <v>268</v>
      </c>
      <c r="AH360" s="3">
        <v>284</v>
      </c>
      <c r="AI360" s="3">
        <f>IF(ISERROR((VLOOKUP($A360,'SegEnds_NonXtal_BW#'!$A:$Z,24,FALSE)+VLOOKUP($A360,A:AL,34,FALSE)-50)),"-",(VLOOKUP($A360,'SegEnds_NonXtal_BW#'!$A:$Z,24,FALSE)+VLOOKUP($A360,A:AL,34,FALSE)-50))</f>
        <v>297</v>
      </c>
      <c r="AJ360" s="3">
        <f>IF(ISERROR(VLOOKUP($A360,'SegEnds_NonXtal_BW#'!$A:$Z,25,FALSE)+VLOOKUP($A360,A:AL,37,FALSE)-50),"-",(VLOOKUP($A360,'SegEnds_NonXtal_BW#'!$A:$Z,25,FALSE)+VLOOKUP($A360,A:AL,37,FALSE)-50))</f>
        <v>299</v>
      </c>
      <c r="AK360" s="3">
        <v>302</v>
      </c>
      <c r="AL360" s="3">
        <f>IF(ISERROR((VLOOKUP($A360,'SegEnds_NonXtal_BW#'!$A:$Z,26,FALSE)+VLOOKUP($A360,A:AL,37,FALSE)-50)),"-",(VLOOKUP($A360,'SegEnds_NonXtal_BW#'!$A:$Z,26,FALSE)+VLOOKUP($A360,A:AL,37,FALSE)-50))</f>
        <v>311</v>
      </c>
      <c r="AM360" s="28" t="str">
        <f>VLOOKUP(A360,Classification!A:B,2,FALSE)</f>
        <v>C</v>
      </c>
      <c r="AN360" s="28" t="b">
        <f t="shared" si="200"/>
        <v>1</v>
      </c>
      <c r="AO360" s="3" t="str">
        <f>IF(ISERROR(MATCH(A360,'SegEnds_Xtal_Prot#'!B:B, 0)), "NoXtal", "Xtal")</f>
        <v>NoXtal</v>
      </c>
      <c r="AP360" s="3">
        <f t="shared" si="185"/>
        <v>1</v>
      </c>
      <c r="AQ360" s="3">
        <f t="shared" si="186"/>
        <v>1</v>
      </c>
      <c r="AR360" s="3" t="str">
        <f t="shared" si="187"/>
        <v>-</v>
      </c>
      <c r="AS360" s="3" t="str">
        <f t="shared" si="188"/>
        <v>-</v>
      </c>
      <c r="AT360" s="3" t="str">
        <f t="shared" si="189"/>
        <v>-</v>
      </c>
      <c r="AU360" s="3" t="str">
        <f t="shared" si="190"/>
        <v>-</v>
      </c>
      <c r="AV360" s="3">
        <f t="shared" si="191"/>
        <v>9</v>
      </c>
      <c r="AW360" s="3">
        <f t="shared" si="192"/>
        <v>2</v>
      </c>
      <c r="AX360" s="3">
        <f t="shared" si="193"/>
        <v>11</v>
      </c>
      <c r="AY360" s="3">
        <f t="shared" si="194"/>
        <v>12</v>
      </c>
      <c r="AZ360" s="3">
        <f t="shared" si="195"/>
        <v>2</v>
      </c>
      <c r="BA360" s="3">
        <f>IF(ISERROR(LEN(VLOOKUP(A360,Seqs!A:E,2,FALSE))-AL360),"-",LEN(VLOOKUP(A360,Seqs!A:E,2,FALSE))-AL360)</f>
        <v>92</v>
      </c>
      <c r="BB360" s="16">
        <f t="shared" si="196"/>
        <v>33</v>
      </c>
      <c r="BC360" s="9" t="str">
        <f t="shared" si="197"/>
        <v>-</v>
      </c>
      <c r="BD360" s="3">
        <f t="shared" si="198"/>
        <v>33</v>
      </c>
      <c r="BE360" s="3">
        <f t="shared" si="199"/>
        <v>39</v>
      </c>
    </row>
    <row r="361" spans="1:57" s="3" customFormat="1" x14ac:dyDescent="0.2">
      <c r="A361" s="3" t="s">
        <v>112</v>
      </c>
      <c r="B361" s="3" t="str">
        <f>LOWER(VLOOKUP(A361,Xtal_Templ!A:B,2,FALSE))</f>
        <v>grm1_human</v>
      </c>
      <c r="C361" s="3">
        <f>VLOOKUP($A361,'SegEnds_NonXtal_BW#'!$A:$Z,3,FALSE)+D361-50</f>
        <v>48</v>
      </c>
      <c r="D361" s="3">
        <v>64</v>
      </c>
      <c r="E361" s="3">
        <f>IF(ISERROR(VLOOKUP($A361,'SegEnds_NonXtal_BW#'!$A:$Z,4,FALSE)+VLOOKUP($A361,A:AL,4,FALSE)-50),"-",(VLOOKUP($A361,'SegEnds_NonXtal_BW#'!$A:$Z,4,FALSE)+VLOOKUP($A361,A:AL,4,FALSE)-50))</f>
        <v>74</v>
      </c>
      <c r="F361" s="3">
        <f>G361-3</f>
        <v>75</v>
      </c>
      <c r="G361" s="3">
        <v>78</v>
      </c>
      <c r="H361" s="3">
        <f>G361+3</f>
        <v>81</v>
      </c>
      <c r="I361" s="3">
        <f t="shared" si="206"/>
        <v>82</v>
      </c>
      <c r="J361" s="3">
        <v>97</v>
      </c>
      <c r="K361" s="3">
        <f>VLOOKUP($A361,'SegEnds_NonXtal_BW#'!$A:$Z,8,FALSE)+VLOOKUP($A361,A:AL,10,FALSE)-50</f>
        <v>108</v>
      </c>
      <c r="L361" s="3" t="str">
        <f>IF(ISERROR(VLOOKUP($A361,'SegEnds_NonXtal_BW#'!$A:$Z,9,FALSE)+VLOOKUP($A361,A:AL,13,FALSE)-50),"-",(VLOOKUP($A361,'SegEnds_NonXtal_BW#'!$A:$Z,9,FALSE)+VLOOKUP($A361,A:AL,13,FALSE)-50))</f>
        <v>-</v>
      </c>
      <c r="M361" s="3" t="s">
        <v>23</v>
      </c>
      <c r="N361" s="3" t="str">
        <f>IF(ISERROR(VLOOKUP($A361,'SegEnds_NonXtal_BW#'!$A:$Z,10,FALSE)+VLOOKUP($A361,A:AL,13,FALSE)-50),"-",(VLOOKUP($A361,'SegEnds_NonXtal_BW#'!$A:$Z,10,FALSE)+VLOOKUP($A361,A:AL,13,FALSE)-50))</f>
        <v>-</v>
      </c>
      <c r="O361" s="3">
        <f>VLOOKUP($A361,'SegEnds_NonXtal_BW#'!$A:$Z,11,FALSE)+VLOOKUP($A361,A:AL,16,FALSE)-50</f>
        <v>113</v>
      </c>
      <c r="P361" s="3">
        <v>141</v>
      </c>
      <c r="Q361" s="3">
        <f>VLOOKUP($A361,'SegEnds_NonXtal_BW#'!$A:$Z,12,FALSE)+VLOOKUP($A361,A:AL,16,FALSE)-50</f>
        <v>145</v>
      </c>
      <c r="R361" s="3" t="str">
        <f>IF(ISERROR(VLOOKUP($A361,'SegEnds_NonXtal_BW#'!$A:$Z,13,FALSE)+VLOOKUP($A361,A:AL,19,FALSE)-50),"-",VLOOKUP($A361,'SegEnds_NonXtal_BW#'!$A:$Z,13,FALSE)+VLOOKUP($A361,A:AL,19,FALSE)-50)</f>
        <v>-</v>
      </c>
      <c r="S361" s="3" t="s">
        <v>23</v>
      </c>
      <c r="T361" s="103" t="str">
        <f>IF(ISERROR(VLOOKUP($A361,'SegEnds_NonXtal_BW#'!$A:$Z,14,FALSE)+VLOOKUP($A361,A:AL,19,FALSE)-50),"-",(VLOOKUP($A361,'SegEnds_NonXtal_BW#'!$A:$Z,14,FALSE)+VLOOKUP($A361,A:AL,19,FALSE)-50))</f>
        <v>-</v>
      </c>
      <c r="U361" s="9">
        <f>IF(ISERROR(VLOOKUP($A361,'SegEnds_NonXtal_BW#'!$A:$Z,15,FALSE)+VLOOKUP($A361,A:AL,22,FALSE)-50),"-",VLOOKUP($A361,'SegEnds_NonXtal_BW#'!$A:$Z,15,FALSE)+VLOOKUP($A361,A:AL,22,FALSE)-50)</f>
        <v>152</v>
      </c>
      <c r="V361" s="3">
        <v>164</v>
      </c>
      <c r="W361" s="3">
        <f>IF(ISERROR(VLOOKUP($A361,'SegEnds_NonXtal_BW#'!$A:$Z,16,FALSE)+VLOOKUP($A361,A:AL,22,FALSE)-50),"-",(VLOOKUP($A361,'SegEnds_NonXtal_BW#'!$A:$Z,16,FALSE)+VLOOKUP($A361,A:AL,22,FALSE)-50))</f>
        <v>178</v>
      </c>
      <c r="X361" s="3">
        <f>IF(ISERROR(VLOOKUP($A361,'SegEnds_NonXtal_BW#'!$A:$Z,17,FALSE)+VLOOKUP($A361,A:AL,25,FALSE)-50),"-",(VLOOKUP($A361,'SegEnds_NonXtal_BW#'!$A:$Z,17,FALSE)+VLOOKUP($A361,A:AL,25,FALSE)-50))</f>
        <v>202</v>
      </c>
      <c r="Y361" s="3">
        <v>202</v>
      </c>
      <c r="Z361" s="3">
        <f t="shared" si="205"/>
        <v>204</v>
      </c>
      <c r="AA361" s="3">
        <f>IF(ISERROR(VLOOKUP($A361,'SegEnds_NonXtal_BW#'!$A:$Z,19,FALSE)+VLOOKUP($A361,A:AL,28,FALSE)-50),"-",(VLOOKUP($A361,'SegEnds_NonXtal_BW#'!$A:$Z,19,FALSE)+VLOOKUP($A361,A:AL,28,FALSE)-50))</f>
        <v>206</v>
      </c>
      <c r="AB361" s="3">
        <v>219</v>
      </c>
      <c r="AC361" s="3">
        <f>IF(ISERROR((VLOOKUP($A361,'SegEnds_NonXtal_BW#'!$A:$Z,20,FALSE)+VLOOKUP($A361,A:AL,28,FALSE)-50)),"-",(VLOOKUP($A361,'SegEnds_NonXtal_BW#'!$A:$Z,20,FALSE)+VLOOKUP($A361,A:AL,28,FALSE)-50))</f>
        <v>230</v>
      </c>
      <c r="AD361" s="3">
        <f>IF(ISERROR(VLOOKUP($A361,'SegEnds_NonXtal_BW#'!$A:$Z,21,FALSE)+VLOOKUP($A361,A:AL,31,FALSE)-50),"-",(VLOOKUP($A361,'SegEnds_NonXtal_BW#'!$A:$Z,21,FALSE)+VLOOKUP($A361,A:AL,31,FALSE)-50))</f>
        <v>241</v>
      </c>
      <c r="AE361" s="3">
        <v>258</v>
      </c>
      <c r="AF361" s="3">
        <f>IF(ISERROR((VLOOKUP($A361,'SegEnds_NonXtal_BW#'!$A:$Z,22,FALSE)+VLOOKUP($A361,A:AL,31,FALSE)-50)),"-",(VLOOKUP($A361,'SegEnds_NonXtal_BW#'!$A:$Z,22,FALSE)+VLOOKUP($A361,A:AL,31,FALSE)-50))</f>
        <v>265</v>
      </c>
      <c r="AG361" s="3">
        <f>IF(ISERROR(VLOOKUP($A361,'SegEnds_NonXtal_BW#'!$A:$Z,23,FALSE)+VLOOKUP($A361,A:AL,34,FALSE)-50),"-",(VLOOKUP($A361,'SegEnds_NonXtal_BW#'!$A:$Z,23,FALSE)+VLOOKUP($A361,A:AL,34,FALSE)-50))</f>
        <v>276</v>
      </c>
      <c r="AH361" s="3">
        <v>292</v>
      </c>
      <c r="AI361" s="3">
        <f>IF(ISERROR((VLOOKUP($A361,'SegEnds_NonXtal_BW#'!$A:$Z,24,FALSE)+VLOOKUP($A361,A:AL,34,FALSE)-50)),"-",(VLOOKUP($A361,'SegEnds_NonXtal_BW#'!$A:$Z,24,FALSE)+VLOOKUP($A361,A:AL,34,FALSE)-50))</f>
        <v>305</v>
      </c>
      <c r="AJ361" s="3">
        <f>IF(ISERROR(VLOOKUP($A361,'SegEnds_NonXtal_BW#'!$A:$Z,25,FALSE)+VLOOKUP($A361,A:AL,37,FALSE)-50),"-",(VLOOKUP($A361,'SegEnds_NonXtal_BW#'!$A:$Z,25,FALSE)+VLOOKUP($A361,A:AL,37,FALSE)-50))</f>
        <v>307</v>
      </c>
      <c r="AK361" s="3">
        <v>310</v>
      </c>
      <c r="AL361" s="3">
        <v>319</v>
      </c>
      <c r="AM361" s="28" t="str">
        <f>VLOOKUP(A361,Classification!A:B,2,FALSE)</f>
        <v>C</v>
      </c>
      <c r="AN361" s="28" t="b">
        <f t="shared" si="200"/>
        <v>1</v>
      </c>
      <c r="AO361" s="3" t="str">
        <f>IF(ISERROR(MATCH(A361,'SegEnds_Xtal_Prot#'!B:B, 0)), "NoXtal", "Xtal")</f>
        <v>NoXtal</v>
      </c>
      <c r="AP361" s="3">
        <f t="shared" si="185"/>
        <v>1</v>
      </c>
      <c r="AQ361" s="3">
        <f t="shared" si="186"/>
        <v>1</v>
      </c>
      <c r="AR361" s="3" t="str">
        <f t="shared" si="187"/>
        <v>-</v>
      </c>
      <c r="AS361" s="3" t="str">
        <f t="shared" si="188"/>
        <v>-</v>
      </c>
      <c r="AT361" s="3" t="str">
        <f t="shared" si="189"/>
        <v>-</v>
      </c>
      <c r="AU361" s="3" t="str">
        <f t="shared" si="190"/>
        <v>-</v>
      </c>
      <c r="AV361" s="3">
        <f t="shared" si="191"/>
        <v>24</v>
      </c>
      <c r="AW361" s="3">
        <f t="shared" si="192"/>
        <v>2</v>
      </c>
      <c r="AX361" s="3">
        <f t="shared" si="193"/>
        <v>11</v>
      </c>
      <c r="AY361" s="3">
        <f t="shared" si="194"/>
        <v>11</v>
      </c>
      <c r="AZ361" s="3">
        <f t="shared" si="195"/>
        <v>2</v>
      </c>
      <c r="BA361" s="3">
        <f>IF(ISERROR(LEN(VLOOKUP(A361,Seqs!A:E,2,FALSE))-AL361),"-",LEN(VLOOKUP(A361,Seqs!A:E,2,FALSE))-AL361)</f>
        <v>122</v>
      </c>
      <c r="BB361" s="16">
        <f t="shared" si="196"/>
        <v>33</v>
      </c>
      <c r="BC361" s="9" t="str">
        <f t="shared" si="197"/>
        <v>-</v>
      </c>
      <c r="BD361" s="3">
        <f t="shared" si="198"/>
        <v>33</v>
      </c>
      <c r="BE361" s="3">
        <f t="shared" si="199"/>
        <v>39</v>
      </c>
    </row>
    <row r="362" spans="1:57" s="3" customFormat="1" x14ac:dyDescent="0.2">
      <c r="A362" s="3" t="s">
        <v>113</v>
      </c>
      <c r="B362" s="3" t="str">
        <f>LOWER(VLOOKUP(A362,Xtal_Templ!A:B,2,FALSE))</f>
        <v>grm1_human</v>
      </c>
      <c r="C362" s="3">
        <f>VLOOKUP($A362,'SegEnds_NonXtal_BW#'!$A:$Z,3,FALSE)+D362-50</f>
        <v>21</v>
      </c>
      <c r="D362" s="3">
        <v>37</v>
      </c>
      <c r="E362" s="3">
        <f>IF(ISERROR(VLOOKUP($A362,'SegEnds_NonXtal_BW#'!$A:$Z,4,FALSE)+VLOOKUP($A362,A:AL,4,FALSE)-50),"-",(VLOOKUP($A362,'SegEnds_NonXtal_BW#'!$A:$Z,4,FALSE)+VLOOKUP($A362,A:AL,4,FALSE)-50))</f>
        <v>47</v>
      </c>
      <c r="F362" s="3">
        <f>G362-3</f>
        <v>48</v>
      </c>
      <c r="G362" s="3">
        <v>51</v>
      </c>
      <c r="H362" s="3">
        <f>G362+3</f>
        <v>54</v>
      </c>
      <c r="I362" s="3">
        <f t="shared" si="206"/>
        <v>55</v>
      </c>
      <c r="J362" s="3">
        <v>70</v>
      </c>
      <c r="K362" s="3">
        <f>VLOOKUP($A362,'SegEnds_NonXtal_BW#'!$A:$Z,8,FALSE)+VLOOKUP($A362,A:AL,10,FALSE)-50</f>
        <v>81</v>
      </c>
      <c r="L362" s="3" t="str">
        <f>IF(ISERROR(VLOOKUP($A362,'SegEnds_NonXtal_BW#'!$A:$Z,9,FALSE)+VLOOKUP($A362,A:AL,13,FALSE)-50),"-",(VLOOKUP($A362,'SegEnds_NonXtal_BW#'!$A:$Z,9,FALSE)+VLOOKUP($A362,A:AL,13,FALSE)-50))</f>
        <v>-</v>
      </c>
      <c r="M362" s="3" t="s">
        <v>23</v>
      </c>
      <c r="N362" s="3" t="str">
        <f>IF(ISERROR(VLOOKUP($A362,'SegEnds_NonXtal_BW#'!$A:$Z,10,FALSE)+VLOOKUP($A362,A:AL,13,FALSE)-50),"-",(VLOOKUP($A362,'SegEnds_NonXtal_BW#'!$A:$Z,10,FALSE)+VLOOKUP($A362,A:AL,13,FALSE)-50))</f>
        <v>-</v>
      </c>
      <c r="O362" s="3">
        <f>VLOOKUP($A362,'SegEnds_NonXtal_BW#'!$A:$Z,11,FALSE)+VLOOKUP($A362,A:AL,16,FALSE)-50</f>
        <v>86</v>
      </c>
      <c r="P362" s="3">
        <v>114</v>
      </c>
      <c r="Q362" s="3">
        <f>VLOOKUP($A362,'SegEnds_NonXtal_BW#'!$A:$Z,12,FALSE)+VLOOKUP($A362,A:AL,16,FALSE)-50</f>
        <v>118</v>
      </c>
      <c r="R362" s="3" t="str">
        <f>IF(ISERROR(VLOOKUP($A362,'SegEnds_NonXtal_BW#'!$A:$Z,13,FALSE)+VLOOKUP($A362,A:AL,19,FALSE)-50),"-",VLOOKUP($A362,'SegEnds_NonXtal_BW#'!$A:$Z,13,FALSE)+VLOOKUP($A362,A:AL,19,FALSE)-50)</f>
        <v>-</v>
      </c>
      <c r="S362" s="3" t="s">
        <v>23</v>
      </c>
      <c r="T362" s="103" t="str">
        <f>IF(ISERROR(VLOOKUP($A362,'SegEnds_NonXtal_BW#'!$A:$Z,14,FALSE)+VLOOKUP($A362,A:AL,19,FALSE)-50),"-",(VLOOKUP($A362,'SegEnds_NonXtal_BW#'!$A:$Z,14,FALSE)+VLOOKUP($A362,A:AL,19,FALSE)-50))</f>
        <v>-</v>
      </c>
      <c r="U362" s="9">
        <f>IF(ISERROR(VLOOKUP($A362,'SegEnds_NonXtal_BW#'!$A:$Z,15,FALSE)+VLOOKUP($A362,A:AL,22,FALSE)-50),"-",VLOOKUP($A362,'SegEnds_NonXtal_BW#'!$A:$Z,15,FALSE)+VLOOKUP($A362,A:AL,22,FALSE)-50)</f>
        <v>125</v>
      </c>
      <c r="V362" s="3">
        <v>137</v>
      </c>
      <c r="W362" s="3">
        <f>IF(ISERROR(VLOOKUP($A362,'SegEnds_NonXtal_BW#'!$A:$Z,16,FALSE)+VLOOKUP($A362,A:AL,22,FALSE)-50),"-",(VLOOKUP($A362,'SegEnds_NonXtal_BW#'!$A:$Z,16,FALSE)+VLOOKUP($A362,A:AL,22,FALSE)-50))</f>
        <v>151</v>
      </c>
      <c r="X362" s="3" t="str">
        <f>IF(ISERROR(VLOOKUP($A362,'SegEnds_NonXtal_BW#'!$A:$Z,17,FALSE)+VLOOKUP($A362,A:AL,25,FALSE)-50),"-",(VLOOKUP($A362,'SegEnds_NonXtal_BW#'!$A:$Z,17,FALSE)+VLOOKUP($A362,A:AL,25,FALSE)-50))</f>
        <v>-</v>
      </c>
      <c r="Y362" s="3" t="s">
        <v>23</v>
      </c>
      <c r="Z362" s="3" t="str">
        <f>IF(ISERROR(VLOOKUP($A362,'SegEnds_NonXtal_BW#'!$A:$Z,18,FALSE)+VLOOKUP($A362,A:AL,25,FALSE)-50),"-",(VLOOKUP($A362,'SegEnds_NonXtal_BW#'!$A:$Z,18,FALSE)+VLOOKUP($A362,A:AL,25,FALSE)-50))</f>
        <v>-</v>
      </c>
      <c r="AA362" s="3">
        <f>IF(ISERROR(VLOOKUP($A362,'SegEnds_NonXtal_BW#'!$A:$Z,19,FALSE)+VLOOKUP($A362,A:AL,28,FALSE)-50),"-",(VLOOKUP($A362,'SegEnds_NonXtal_BW#'!$A:$Z,19,FALSE)+VLOOKUP($A362,A:AL,28,FALSE)-50))</f>
        <v>167</v>
      </c>
      <c r="AB362" s="3">
        <v>180</v>
      </c>
      <c r="AC362" s="3">
        <f>IF(ISERROR((VLOOKUP($A362,'SegEnds_NonXtal_BW#'!$A:$Z,20,FALSE)+VLOOKUP($A362,A:AL,28,FALSE)-50)),"-",(VLOOKUP($A362,'SegEnds_NonXtal_BW#'!$A:$Z,20,FALSE)+VLOOKUP($A362,A:AL,28,FALSE)-50))</f>
        <v>191</v>
      </c>
      <c r="AD362" s="3">
        <f>IF(ISERROR(VLOOKUP($A362,'SegEnds_NonXtal_BW#'!$A:$Z,21,FALSE)+VLOOKUP($A362,A:AL,31,FALSE)-50),"-",(VLOOKUP($A362,'SegEnds_NonXtal_BW#'!$A:$Z,21,FALSE)+VLOOKUP($A362,A:AL,31,FALSE)-50))</f>
        <v>202</v>
      </c>
      <c r="AE362" s="3">
        <v>219</v>
      </c>
      <c r="AF362" s="3">
        <f>IF(ISERROR((VLOOKUP($A362,'SegEnds_NonXtal_BW#'!$A:$Z,22,FALSE)+VLOOKUP($A362,A:AL,31,FALSE)-50)),"-",(VLOOKUP($A362,'SegEnds_NonXtal_BW#'!$A:$Z,22,FALSE)+VLOOKUP($A362,A:AL,31,FALSE)-50))</f>
        <v>226</v>
      </c>
      <c r="AG362" s="3">
        <f>IF(ISERROR(VLOOKUP($A362,'SegEnds_NonXtal_BW#'!$A:$Z,23,FALSE)+VLOOKUP($A362,A:AL,34,FALSE)-50),"-",(VLOOKUP($A362,'SegEnds_NonXtal_BW#'!$A:$Z,23,FALSE)+VLOOKUP($A362,A:AL,34,FALSE)-50))</f>
        <v>238</v>
      </c>
      <c r="AH362" s="3">
        <v>254</v>
      </c>
      <c r="AI362" s="3">
        <f>IF(ISERROR((VLOOKUP($A362,'SegEnds_NonXtal_BW#'!$A:$Z,24,FALSE)+VLOOKUP($A362,A:AL,34,FALSE)-50)),"-",(VLOOKUP($A362,'SegEnds_NonXtal_BW#'!$A:$Z,24,FALSE)+VLOOKUP($A362,A:AL,34,FALSE)-50))</f>
        <v>267</v>
      </c>
      <c r="AJ362" s="9">
        <f>IF(ISERROR(VLOOKUP($A362,'SegEnds_NonXtal_BW#'!$A:$Z,25,FALSE)+VLOOKUP($A362,A:AL,37,FALSE)-50),"-",(VLOOKUP($A362,'SegEnds_NonXtal_BW#'!$A:$Z,25,FALSE)+VLOOKUP($A362,A:AL,37,FALSE)-50))</f>
        <v>270</v>
      </c>
      <c r="AK362" s="3">
        <v>273</v>
      </c>
      <c r="AL362" s="3">
        <v>281</v>
      </c>
      <c r="AM362" s="28" t="str">
        <f>VLOOKUP(A362,Classification!A:B,2,FALSE)</f>
        <v>C</v>
      </c>
      <c r="AN362" s="28" t="b">
        <f t="shared" si="200"/>
        <v>1</v>
      </c>
      <c r="AO362" s="3" t="str">
        <f>IF(ISERROR(MATCH(A362,'SegEnds_Xtal_Prot#'!B:B, 0)), "NoXtal", "Xtal")</f>
        <v>NoXtal</v>
      </c>
      <c r="AP362" s="3">
        <f t="shared" si="185"/>
        <v>1</v>
      </c>
      <c r="AQ362" s="3">
        <f t="shared" si="186"/>
        <v>1</v>
      </c>
      <c r="AR362" s="3" t="str">
        <f t="shared" si="187"/>
        <v>-</v>
      </c>
      <c r="AS362" s="3" t="str">
        <f t="shared" si="188"/>
        <v>-</v>
      </c>
      <c r="AT362" s="3" t="str">
        <f t="shared" si="189"/>
        <v>-</v>
      </c>
      <c r="AU362" s="3" t="str">
        <f t="shared" si="190"/>
        <v>-</v>
      </c>
      <c r="AV362" s="3" t="str">
        <f t="shared" si="191"/>
        <v>-</v>
      </c>
      <c r="AW362" s="3" t="str">
        <f t="shared" si="192"/>
        <v>-</v>
      </c>
      <c r="AX362" s="3">
        <f t="shared" si="193"/>
        <v>11</v>
      </c>
      <c r="AY362" s="3">
        <f t="shared" si="194"/>
        <v>12</v>
      </c>
      <c r="AZ362" s="3">
        <f t="shared" si="195"/>
        <v>3</v>
      </c>
      <c r="BA362" s="3">
        <f>IF(ISERROR(LEN(VLOOKUP(A362,Seqs!A:E,2,FALSE))-AL362),"-",LEN(VLOOKUP(A362,Seqs!A:E,2,FALSE))-AL362)</f>
        <v>64</v>
      </c>
      <c r="BB362" s="16">
        <f t="shared" si="196"/>
        <v>33</v>
      </c>
      <c r="BC362" s="9" t="str">
        <f t="shared" si="197"/>
        <v>-</v>
      </c>
      <c r="BD362" s="3">
        <f t="shared" si="198"/>
        <v>33</v>
      </c>
      <c r="BE362" s="3">
        <f t="shared" si="199"/>
        <v>39</v>
      </c>
    </row>
    <row r="363" spans="1:57" s="3" customFormat="1" x14ac:dyDescent="0.2">
      <c r="A363" s="3" t="s">
        <v>114</v>
      </c>
      <c r="B363" s="3" t="str">
        <f>LOWER(VLOOKUP(A363,Xtal_Templ!A:B,2,FALSE))</f>
        <v>grm1_human</v>
      </c>
      <c r="C363" s="3">
        <f>VLOOKUP($A363,'SegEnds_NonXtal_BW#'!$A:$Z,3,FALSE)+D363-50</f>
        <v>592</v>
      </c>
      <c r="D363" s="3">
        <v>608</v>
      </c>
      <c r="E363" s="3">
        <f>IF(ISERROR(VLOOKUP($A363,'SegEnds_NonXtal_BW#'!$A:$Z,4,FALSE)+VLOOKUP($A363,A:AL,4,FALSE)-50),"-",(VLOOKUP($A363,'SegEnds_NonXtal_BW#'!$A:$Z,4,FALSE)+VLOOKUP($A363,A:AL,4,FALSE)-50))</f>
        <v>618</v>
      </c>
      <c r="F363" s="3">
        <f>G363-3</f>
        <v>621</v>
      </c>
      <c r="G363" s="3">
        <v>624</v>
      </c>
      <c r="H363" s="3">
        <f>G363+3</f>
        <v>627</v>
      </c>
      <c r="I363" s="3">
        <f t="shared" si="206"/>
        <v>628</v>
      </c>
      <c r="J363" s="3">
        <v>640</v>
      </c>
      <c r="K363" s="3">
        <f>VLOOKUP($A363,'SegEnds_NonXtal_BW#'!$A:$Z,8,FALSE)+VLOOKUP($A363,A:AL,10,FALSE)-50</f>
        <v>651</v>
      </c>
      <c r="L363" s="3" t="str">
        <f>IF(ISERROR(VLOOKUP($A363,'SegEnds_NonXtal_BW#'!$A:$Z,9,FALSE)+VLOOKUP($A363,A:AL,13,FALSE)-50),"-",(VLOOKUP($A363,'SegEnds_NonXtal_BW#'!$A:$Z,9,FALSE)+VLOOKUP($A363,A:AL,13,FALSE)-50))</f>
        <v>-</v>
      </c>
      <c r="M363" s="3" t="s">
        <v>23</v>
      </c>
      <c r="N363" s="3" t="str">
        <f>IF(ISERROR(VLOOKUP($A363,'SegEnds_NonXtal_BW#'!$A:$Z,10,FALSE)+VLOOKUP($A363,A:AL,13,FALSE)-50),"-",(VLOOKUP($A363,'SegEnds_NonXtal_BW#'!$A:$Z,10,FALSE)+VLOOKUP($A363,A:AL,13,FALSE)-50))</f>
        <v>-</v>
      </c>
      <c r="O363" s="3">
        <f>VLOOKUP($A363,'SegEnds_NonXtal_BW#'!$A:$Z,11,FALSE)+VLOOKUP($A363,A:AL,16,FALSE)-50</f>
        <v>656</v>
      </c>
      <c r="P363" s="3">
        <v>684</v>
      </c>
      <c r="Q363" s="3">
        <f>VLOOKUP($A363,'SegEnds_NonXtal_BW#'!$A:$Z,12,FALSE)+VLOOKUP($A363,A:AL,16,FALSE)-50</f>
        <v>688</v>
      </c>
      <c r="R363" s="3" t="str">
        <f>IF(ISERROR(VLOOKUP($A363,'SegEnds_NonXtal_BW#'!$A:$Z,13,FALSE)+VLOOKUP($A363,A:AL,19,FALSE)-50),"-",VLOOKUP($A363,'SegEnds_NonXtal_BW#'!$A:$Z,13,FALSE)+VLOOKUP($A363,A:AL,19,FALSE)-50)</f>
        <v>-</v>
      </c>
      <c r="S363" s="3" t="s">
        <v>23</v>
      </c>
      <c r="T363" s="103" t="str">
        <f>IF(ISERROR(VLOOKUP($A363,'SegEnds_NonXtal_BW#'!$A:$Z,14,FALSE)+VLOOKUP($A363,A:AL,19,FALSE)-50),"-",(VLOOKUP($A363,'SegEnds_NonXtal_BW#'!$A:$Z,14,FALSE)+VLOOKUP($A363,A:AL,19,FALSE)-50))</f>
        <v>-</v>
      </c>
      <c r="U363" s="9">
        <f>IF(ISERROR(VLOOKUP($A363,'SegEnds_NonXtal_BW#'!$A:$Z,15,FALSE)+VLOOKUP($A363,A:AL,22,FALSE)-50),"-",VLOOKUP($A363,'SegEnds_NonXtal_BW#'!$A:$Z,15,FALSE)+VLOOKUP($A363,A:AL,22,FALSE)-50)</f>
        <v>700</v>
      </c>
      <c r="V363" s="3">
        <v>712</v>
      </c>
      <c r="W363" s="3">
        <f>IF(ISERROR(VLOOKUP($A363,'SegEnds_NonXtal_BW#'!$A:$Z,16,FALSE)+VLOOKUP($A363,A:AL,22,FALSE)-50),"-",(VLOOKUP($A363,'SegEnds_NonXtal_BW#'!$A:$Z,16,FALSE)+VLOOKUP($A363,A:AL,22,FALSE)-50))</f>
        <v>726</v>
      </c>
      <c r="X363" s="3">
        <f>IF(ISERROR(VLOOKUP($A363,'SegEnds_NonXtal_BW#'!$A:$Z,17,FALSE)+VLOOKUP($A363,A:AL,25,FALSE)-50),"-",(VLOOKUP($A363,'SegEnds_NonXtal_BW#'!$A:$Z,17,FALSE)+VLOOKUP($A363,A:AL,25,FALSE)-50))</f>
        <v>744</v>
      </c>
      <c r="Y363" s="3">
        <v>744</v>
      </c>
      <c r="Z363" s="3">
        <f t="shared" ref="Z363:Z395" si="207">Y363+2</f>
        <v>746</v>
      </c>
      <c r="AA363" s="3">
        <f>IF(ISERROR(VLOOKUP($A363,'SegEnds_NonXtal_BW#'!$A:$Z,19,FALSE)+VLOOKUP($A363,A:AL,28,FALSE)-50),"-",(VLOOKUP($A363,'SegEnds_NonXtal_BW#'!$A:$Z,19,FALSE)+VLOOKUP($A363,A:AL,28,FALSE)-50))</f>
        <v>749</v>
      </c>
      <c r="AB363" s="3">
        <v>762</v>
      </c>
      <c r="AC363" s="3">
        <f>IF(ISERROR((VLOOKUP($A363,'SegEnds_NonXtal_BW#'!$A:$Z,20,FALSE)+VLOOKUP($A363,A:AL,28,FALSE)-50)),"-",(VLOOKUP($A363,'SegEnds_NonXtal_BW#'!$A:$Z,20,FALSE)+VLOOKUP($A363,A:AL,28,FALSE)-50))</f>
        <v>773</v>
      </c>
      <c r="AD363" s="3">
        <f>IF(ISERROR(VLOOKUP($A363,'SegEnds_NonXtal_BW#'!$A:$Z,21,FALSE)+VLOOKUP($A363,A:AL,31,FALSE)-50),"-",(VLOOKUP($A363,'SegEnds_NonXtal_BW#'!$A:$Z,21,FALSE)+VLOOKUP($A363,A:AL,31,FALSE)-50))</f>
        <v>780</v>
      </c>
      <c r="AE363" s="3">
        <v>797</v>
      </c>
      <c r="AF363" s="3">
        <f>IF(ISERROR((VLOOKUP($A363,'SegEnds_NonXtal_BW#'!$A:$Z,22,FALSE)+VLOOKUP($A363,A:AL,31,FALSE)-50)),"-",(VLOOKUP($A363,'SegEnds_NonXtal_BW#'!$A:$Z,22,FALSE)+VLOOKUP($A363,A:AL,31,FALSE)-50))</f>
        <v>804</v>
      </c>
      <c r="AG363" s="3">
        <f>IF(ISERROR(VLOOKUP($A363,'SegEnds_NonXtal_BW#'!$A:$Z,23,FALSE)+VLOOKUP($A363,A:AL,34,FALSE)-50),"-",(VLOOKUP($A363,'SegEnds_NonXtal_BW#'!$A:$Z,23,FALSE)+VLOOKUP($A363,A:AL,34,FALSE)-50))</f>
        <v>810</v>
      </c>
      <c r="AH363" s="3">
        <v>826</v>
      </c>
      <c r="AI363" s="3">
        <f>IF(ISERROR((VLOOKUP($A363,'SegEnds_NonXtal_BW#'!$A:$Z,24,FALSE)+VLOOKUP($A363,A:AL,34,FALSE)-50)),"-",(VLOOKUP($A363,'SegEnds_NonXtal_BW#'!$A:$Z,24,FALSE)+VLOOKUP($A363,A:AL,34,FALSE)-50))</f>
        <v>839</v>
      </c>
      <c r="AJ363" s="3">
        <f>IF(ISERROR(VLOOKUP($A363,'SegEnds_NonXtal_BW#'!$A:$Z,25,FALSE)+VLOOKUP($A363,A:AL,37,FALSE)-50),"-",(VLOOKUP($A363,'SegEnds_NonXtal_BW#'!$A:$Z,25,FALSE)+VLOOKUP($A363,A:AL,37,FALSE)-50))</f>
        <v>840</v>
      </c>
      <c r="AK363" s="3">
        <v>843</v>
      </c>
      <c r="AL363" s="3">
        <f>IF(ISERROR((VLOOKUP($A363,'SegEnds_NonXtal_BW#'!$A:$Z,26,FALSE)+VLOOKUP($A363,A:AL,37,FALSE)-50)),"-",(VLOOKUP($A363,'SegEnds_NonXtal_BW#'!$A:$Z,26,FALSE)+VLOOKUP($A363,A:AL,37,FALSE)-50))</f>
        <v>852</v>
      </c>
      <c r="AM363" s="28" t="str">
        <f>VLOOKUP(A363,Classification!A:B,2,FALSE)</f>
        <v>C</v>
      </c>
      <c r="AN363" s="28" t="b">
        <f t="shared" si="200"/>
        <v>1</v>
      </c>
      <c r="AO363" s="3" t="str">
        <f>IF(ISERROR(MATCH(A363,'SegEnds_Xtal_Prot#'!B:B, 0)), "NoXtal", "Xtal")</f>
        <v>NoXtal</v>
      </c>
      <c r="AP363" s="3">
        <f t="shared" si="185"/>
        <v>3</v>
      </c>
      <c r="AQ363" s="3">
        <f t="shared" si="186"/>
        <v>1</v>
      </c>
      <c r="AR363" s="3" t="str">
        <f t="shared" si="187"/>
        <v>-</v>
      </c>
      <c r="AS363" s="3" t="str">
        <f t="shared" si="188"/>
        <v>-</v>
      </c>
      <c r="AT363" s="3" t="str">
        <f t="shared" si="189"/>
        <v>-</v>
      </c>
      <c r="AU363" s="3" t="str">
        <f t="shared" si="190"/>
        <v>-</v>
      </c>
      <c r="AV363" s="3">
        <f t="shared" si="191"/>
        <v>18</v>
      </c>
      <c r="AW363" s="3">
        <f t="shared" si="192"/>
        <v>3</v>
      </c>
      <c r="AX363" s="3">
        <f t="shared" si="193"/>
        <v>7</v>
      </c>
      <c r="AY363" s="3">
        <f t="shared" si="194"/>
        <v>6</v>
      </c>
      <c r="AZ363" s="3">
        <f t="shared" si="195"/>
        <v>1</v>
      </c>
      <c r="BA363" s="3">
        <f>IF(ISERROR(LEN(VLOOKUP(A363,Seqs!A:E,2,FALSE))-AL363),"-",LEN(VLOOKUP(A363,Seqs!A:E,2,FALSE))-AL363)</f>
        <v>74</v>
      </c>
      <c r="BB363" s="16">
        <f t="shared" si="196"/>
        <v>32</v>
      </c>
      <c r="BC363" s="9" t="str">
        <f t="shared" si="197"/>
        <v>-</v>
      </c>
      <c r="BD363" s="3">
        <f t="shared" si="198"/>
        <v>32</v>
      </c>
      <c r="BE363" s="3">
        <f t="shared" si="199"/>
        <v>35</v>
      </c>
    </row>
    <row r="364" spans="1:57" s="3" customFormat="1" ht="17" customHeight="1" x14ac:dyDescent="0.2">
      <c r="A364" s="3" t="s">
        <v>259</v>
      </c>
      <c r="B364" s="3" t="str">
        <f>LOWER(VLOOKUP(A364,Xtal_Templ!A:B,2,FALSE))</f>
        <v>5ht1b_human</v>
      </c>
      <c r="C364" s="3">
        <f>VLOOKUP($A364,'SegEnds_NonXtal_BW#'!$A:$Z,3,FALSE)+D364-50</f>
        <v>31</v>
      </c>
      <c r="D364" s="3">
        <v>52</v>
      </c>
      <c r="E364" s="3">
        <f>IF(ISERROR(VLOOKUP($A364,'SegEnds_NonXtal_BW#'!$A:$Z,4,FALSE)+VLOOKUP($A364,A:AL,4,FALSE)-50),"-",(VLOOKUP($A364,'SegEnds_NonXtal_BW#'!$A:$Z,4,FALSE)+VLOOKUP($A364,A:AL,4,FALSE)-50))</f>
        <v>62</v>
      </c>
      <c r="F364" s="3">
        <f>G364-2</f>
        <v>63</v>
      </c>
      <c r="G364" s="3">
        <v>65</v>
      </c>
      <c r="H364" s="3">
        <f>G364+1</f>
        <v>66</v>
      </c>
      <c r="I364" s="3">
        <f t="shared" si="206"/>
        <v>67</v>
      </c>
      <c r="J364" s="3">
        <v>80</v>
      </c>
      <c r="K364" s="3">
        <f>VLOOKUP($A364,'SegEnds_NonXtal_BW#'!$A:$Z,8,FALSE)+VLOOKUP($A364,A:AL,10,FALSE)-50</f>
        <v>97</v>
      </c>
      <c r="L364" s="3">
        <f>M364-1</f>
        <v>99</v>
      </c>
      <c r="M364" s="3">
        <v>100</v>
      </c>
      <c r="N364" s="3">
        <f>M364+2</f>
        <v>102</v>
      </c>
      <c r="O364" s="3">
        <f>N364+1</f>
        <v>103</v>
      </c>
      <c r="P364" s="3">
        <v>132</v>
      </c>
      <c r="Q364" s="3">
        <f>VLOOKUP($A364,'SegEnds_NonXtal_BW#'!$A:$Z,12,FALSE)+VLOOKUP($A364,A:AL,16,FALSE)-50</f>
        <v>138</v>
      </c>
      <c r="R364" s="3" t="str">
        <f>IF(ISERROR(VLOOKUP($A364,'SegEnds_NonXtal_BW#'!$A:$Z,13,FALSE)+VLOOKUP($A364,A:AL,19,FALSE)-50),"-",VLOOKUP($A364,'SegEnds_NonXtal_BW#'!$A:$Z,13,FALSE)+VLOOKUP($A364,A:AL,19,FALSE)-50)</f>
        <v>-</v>
      </c>
      <c r="S364" s="3" t="s">
        <v>23</v>
      </c>
      <c r="T364" s="103" t="str">
        <f>IF(ISERROR(VLOOKUP($A364,'SegEnds_NonXtal_BW#'!$A:$Z,14,FALSE)+VLOOKUP($A364,A:AL,19,FALSE)-50),"-",(VLOOKUP($A364,'SegEnds_NonXtal_BW#'!$A:$Z,14,FALSE)+VLOOKUP($A364,A:AL,19,FALSE)-50))</f>
        <v>-</v>
      </c>
      <c r="U364" s="9">
        <f>IF(ISERROR(VLOOKUP($A364,'SegEnds_NonXtal_BW#'!$A:$Z,15,FALSE)+VLOOKUP($A364,A:AL,22,FALSE)-50),"-",VLOOKUP($A364,'SegEnds_NonXtal_BW#'!$A:$Z,15,FALSE)+VLOOKUP($A364,A:AL,22,FALSE)-50)</f>
        <v>144</v>
      </c>
      <c r="V364" s="3">
        <v>156</v>
      </c>
      <c r="W364" s="3">
        <f>IF(ISERROR(VLOOKUP($A364,'SegEnds_NonXtal_BW#'!$A:$Z,16,FALSE)+VLOOKUP($A364,A:AL,22,FALSE)-50),"-",(VLOOKUP($A364,'SegEnds_NonXtal_BW#'!$A:$Z,16,FALSE)+VLOOKUP($A364,A:AL,22,FALSE)-50))</f>
        <v>169</v>
      </c>
      <c r="X364" s="3">
        <f>IF(ISERROR(VLOOKUP($A364,'SegEnds_NonXtal_BW#'!$A:$Z,17,FALSE)+VLOOKUP($A364,A:AL,25,FALSE)-50),"-",(VLOOKUP($A364,'SegEnds_NonXtal_BW#'!$A:$Z,17,FALSE)+VLOOKUP($A364,A:AL,25,FALSE)-50))</f>
        <v>182</v>
      </c>
      <c r="Y364" s="3">
        <v>182</v>
      </c>
      <c r="Z364" s="3">
        <f t="shared" si="207"/>
        <v>184</v>
      </c>
      <c r="AA364" s="3">
        <f>IF(ISERROR(VLOOKUP($A364,'SegEnds_NonXtal_BW#'!$A:$Z,19,FALSE)+VLOOKUP($A364,A:AL,28,FALSE)-50),"-",(VLOOKUP($A364,'SegEnds_NonXtal_BW#'!$A:$Z,19,FALSE)+VLOOKUP($A364,A:AL,28,FALSE)-50))</f>
        <v>192</v>
      </c>
      <c r="AB364" s="3">
        <v>207</v>
      </c>
      <c r="AC364" s="3">
        <f>IF(ISERROR((VLOOKUP($A364,'SegEnds_NonXtal_BW#'!$A:$Z,20,FALSE)+VLOOKUP($A364,A:AL,28,FALSE)-50)),"-",(VLOOKUP($A364,'SegEnds_NonXtal_BW#'!$A:$Z,20,FALSE)+VLOOKUP($A364,A:AL,28,FALSE)-50))</f>
        <v>233</v>
      </c>
      <c r="AD364" s="3">
        <f>IF(ISERROR(VLOOKUP($A364,'SegEnds_NonXtal_BW#'!$A:$Z,21,FALSE)+VLOOKUP($A364,A:AL,31,FALSE)-50),"-",(VLOOKUP($A364,'SegEnds_NonXtal_BW#'!$A:$Z,21,FALSE)+VLOOKUP($A364,A:AL,31,FALSE)-50))</f>
        <v>256</v>
      </c>
      <c r="AE364" s="3">
        <v>282</v>
      </c>
      <c r="AF364" s="3">
        <f>IF(ISERROR((VLOOKUP($A364,'SegEnds_NonXtal_BW#'!$A:$Z,22,FALSE)+VLOOKUP($A364,A:AL,31,FALSE)-50)),"-",(VLOOKUP($A364,'SegEnds_NonXtal_BW#'!$A:$Z,22,FALSE)+VLOOKUP($A364,A:AL,31,FALSE)-50))</f>
        <v>293</v>
      </c>
      <c r="AG364" s="3">
        <f>IF(ISERROR(VLOOKUP($A364,'SegEnds_NonXtal_BW#'!$A:$Z,23,FALSE)+VLOOKUP($A364,A:AL,34,FALSE)-50),"-",(VLOOKUP($A364,'SegEnds_NonXtal_BW#'!$A:$Z,23,FALSE)+VLOOKUP($A364,A:AL,34,FALSE)-50))</f>
        <v>299</v>
      </c>
      <c r="AH364" s="3">
        <v>321</v>
      </c>
      <c r="AI364" s="3">
        <v>327</v>
      </c>
      <c r="AJ364" s="3">
        <f>IF(ISERROR(VLOOKUP($A364,'SegEnds_NonXtal_BW#'!$A:$Z,25,FALSE)+VLOOKUP($A364,A:AL,37,FALSE)-50),"-",(VLOOKUP($A364,'SegEnds_NonXtal_BW#'!$A:$Z,25,FALSE)+VLOOKUP($A364,A:AL,37,FALSE)-50))</f>
        <v>328</v>
      </c>
      <c r="AK364" s="3">
        <v>331</v>
      </c>
      <c r="AL364" s="3">
        <f>IF(ISERROR((VLOOKUP($A364,'SegEnds_NonXtal_BW#'!$A:$Z,26,FALSE)+VLOOKUP($A364,A:AL,37,FALSE)-50)),"-",(VLOOKUP($A364,'SegEnds_NonXtal_BW#'!$A:$Z,26,FALSE)+VLOOKUP($A364,A:AL,37,FALSE)-50))</f>
        <v>339</v>
      </c>
      <c r="AM364" s="28" t="str">
        <f>VLOOKUP(A364,Classification!A:B,2,FALSE)</f>
        <v>A</v>
      </c>
      <c r="AN364" s="28" t="b">
        <f t="shared" si="200"/>
        <v>1</v>
      </c>
      <c r="AO364" s="3" t="str">
        <f>IF(ISERROR(MATCH(A364,'SegEnds_Xtal_Prot#'!B:B, 0)), "NoXtal", "Xtal")</f>
        <v>NoXtal</v>
      </c>
      <c r="AP364" s="3">
        <f t="shared" si="185"/>
        <v>1</v>
      </c>
      <c r="AQ364" s="3">
        <f t="shared" si="186"/>
        <v>1</v>
      </c>
      <c r="AR364" s="3">
        <f t="shared" si="187"/>
        <v>2</v>
      </c>
      <c r="AS364" s="3">
        <f t="shared" si="188"/>
        <v>1</v>
      </c>
      <c r="AT364" s="3" t="str">
        <f t="shared" si="189"/>
        <v>-</v>
      </c>
      <c r="AU364" s="3" t="str">
        <f t="shared" si="190"/>
        <v>-</v>
      </c>
      <c r="AV364" s="3">
        <f t="shared" si="191"/>
        <v>13</v>
      </c>
      <c r="AW364" s="3">
        <f t="shared" si="192"/>
        <v>8</v>
      </c>
      <c r="AX364" s="3">
        <f t="shared" si="193"/>
        <v>23</v>
      </c>
      <c r="AY364" s="3">
        <f t="shared" si="194"/>
        <v>6</v>
      </c>
      <c r="AZ364" s="3">
        <f t="shared" si="195"/>
        <v>1</v>
      </c>
      <c r="BA364" s="3">
        <f>IF(ISERROR(LEN(VLOOKUP(A364,Seqs!A:E,2,FALSE))-AL364),"-",LEN(VLOOKUP(A364,Seqs!A:E,2,FALSE))-AL364)</f>
        <v>33</v>
      </c>
      <c r="BB364" s="16">
        <f t="shared" si="196"/>
        <v>28</v>
      </c>
      <c r="BC364" s="9" t="str">
        <f t="shared" si="197"/>
        <v>-</v>
      </c>
      <c r="BD364" s="3">
        <f t="shared" si="198"/>
        <v>28</v>
      </c>
      <c r="BE364" s="3">
        <f t="shared" si="199"/>
        <v>75</v>
      </c>
    </row>
    <row r="365" spans="1:57" s="3" customFormat="1" x14ac:dyDescent="0.2">
      <c r="A365" s="3" t="s">
        <v>264</v>
      </c>
      <c r="B365" s="3" t="str">
        <f>LOWER(VLOOKUP(A365,Xtal_Templ!A:B,2,FALSE))</f>
        <v>drd3_human</v>
      </c>
      <c r="C365" s="3">
        <f>VLOOKUP($A365,'SegEnds_NonXtal_BW#'!$A:$Z,3,FALSE)+D365-50</f>
        <v>11</v>
      </c>
      <c r="D365" s="3">
        <v>32</v>
      </c>
      <c r="E365" s="3">
        <f>IF(ISERROR(VLOOKUP($A365,'SegEnds_NonXtal_BW#'!$A:$Z,4,FALSE)+VLOOKUP($A365,A:AL,4,FALSE)-50),"-",(VLOOKUP($A365,'SegEnds_NonXtal_BW#'!$A:$Z,4,FALSE)+VLOOKUP($A365,A:AL,4,FALSE)-50))</f>
        <v>42</v>
      </c>
      <c r="F365" s="3" t="str">
        <f>IF(ISERROR(VLOOKUP($A365,'SegEnds_NonXtal_BW#'!$A:$Z,5,FALSE)+VLOOKUP($A365,A:AL,7,FALSE)-50),"-",(VLOOKUP($A365,'SegEnds_NonXtal_BW#'!$A:$Z,5,FALSE)+VLOOKUP($A365,A:AL,7,FALSE)-50))</f>
        <v>-</v>
      </c>
      <c r="G365" s="3" t="s">
        <v>23</v>
      </c>
      <c r="H365" s="3" t="str">
        <f>IF(ISERROR(VLOOKUP($A365,'SegEnds_NonXtal_BW#'!$A:$Z,6,FALSE)+VLOOKUP($A365,A:AL,7,FALSE)-50),"-",(VLOOKUP($A365,'SegEnds_NonXtal_BW#'!$A:$Z,6,FALSE)+VLOOKUP($A365,A:AL,7,FALSE)-50))</f>
        <v>-</v>
      </c>
      <c r="I365" s="3">
        <f>VLOOKUP($A365,'SegEnds_NonXtal_BW#'!$A:$Z,7,FALSE)+J365-50</f>
        <v>45</v>
      </c>
      <c r="J365" s="3">
        <v>58</v>
      </c>
      <c r="K365" s="3">
        <f>VLOOKUP($A365,'SegEnds_NonXtal_BW#'!$A:$Z,8,FALSE)+VLOOKUP($A365,A:AL,10,FALSE)-50</f>
        <v>75</v>
      </c>
      <c r="L365" s="3" t="str">
        <f>IF(ISERROR(VLOOKUP($A365,'SegEnds_NonXtal_BW#'!$A:$Z,9,FALSE)+VLOOKUP($A365,A:AL,13,FALSE)-50),"-",(VLOOKUP($A365,'SegEnds_NonXtal_BW#'!$A:$Z,9,FALSE)+VLOOKUP($A365,A:AL,13,FALSE)-50))</f>
        <v>-</v>
      </c>
      <c r="M365" s="3" t="s">
        <v>23</v>
      </c>
      <c r="N365" s="3" t="str">
        <f>IF(ISERROR(VLOOKUP($A365,'SegEnds_NonXtal_BW#'!$A:$Z,10,FALSE)+VLOOKUP($A365,A:AL,13,FALSE)-50),"-",(VLOOKUP($A365,'SegEnds_NonXtal_BW#'!$A:$Z,10,FALSE)+VLOOKUP($A365,A:AL,13,FALSE)-50))</f>
        <v>-</v>
      </c>
      <c r="O365" s="3">
        <f>VLOOKUP($A365,'SegEnds_NonXtal_BW#'!$A:$Z,11,FALSE)+VLOOKUP($A365,A:AL,16,FALSE)-50</f>
        <v>81</v>
      </c>
      <c r="P365" s="3">
        <v>113</v>
      </c>
      <c r="Q365" s="3">
        <f>VLOOKUP($A365,'SegEnds_NonXtal_BW#'!$A:$Z,12,FALSE)+VLOOKUP($A365,A:AL,16,FALSE)-50</f>
        <v>119</v>
      </c>
      <c r="R365" s="3" t="str">
        <f>IF(ISERROR(VLOOKUP($A365,'SegEnds_NonXtal_BW#'!$A:$Z,13,FALSE)+VLOOKUP($A365,A:AL,19,FALSE)-50),"-",VLOOKUP($A365,'SegEnds_NonXtal_BW#'!$A:$Z,13,FALSE)+VLOOKUP($A365,A:AL,19,FALSE)-50)</f>
        <v>-</v>
      </c>
      <c r="S365" s="3" t="s">
        <v>23</v>
      </c>
      <c r="T365" s="103" t="str">
        <f>IF(ISERROR(VLOOKUP($A365,'SegEnds_NonXtal_BW#'!$A:$Z,14,FALSE)+VLOOKUP($A365,A:AL,19,FALSE)-50),"-",(VLOOKUP($A365,'SegEnds_NonXtal_BW#'!$A:$Z,14,FALSE)+VLOOKUP($A365,A:AL,19,FALSE)-50))</f>
        <v>-</v>
      </c>
      <c r="U365" s="9">
        <f>IF(ISERROR(VLOOKUP($A365,'SegEnds_NonXtal_BW#'!$A:$Z,15,FALSE)+VLOOKUP($A365,A:AL,22,FALSE)-50),"-",VLOOKUP($A365,'SegEnds_NonXtal_BW#'!$A:$Z,15,FALSE)+VLOOKUP($A365,A:AL,22,FALSE)-50)</f>
        <v>125</v>
      </c>
      <c r="V365" s="3">
        <v>137</v>
      </c>
      <c r="W365" s="3">
        <f>IF(ISERROR(VLOOKUP($A365,'SegEnds_NonXtal_BW#'!$A:$Z,16,FALSE)+VLOOKUP($A365,A:AL,22,FALSE)-50),"-",(VLOOKUP($A365,'SegEnds_NonXtal_BW#'!$A:$Z,16,FALSE)+VLOOKUP($A365,A:AL,22,FALSE)-50))</f>
        <v>150</v>
      </c>
      <c r="X365" s="3">
        <f>IF(ISERROR(VLOOKUP($A365,'SegEnds_NonXtal_BW#'!$A:$Z,17,FALSE)+VLOOKUP($A365,A:AL,25,FALSE)-50),"-",(VLOOKUP($A365,'SegEnds_NonXtal_BW#'!$A:$Z,17,FALSE)+VLOOKUP($A365,A:AL,25,FALSE)-50))</f>
        <v>162</v>
      </c>
      <c r="Y365" s="3">
        <v>162</v>
      </c>
      <c r="Z365" s="3">
        <f t="shared" si="207"/>
        <v>164</v>
      </c>
      <c r="AA365" s="3">
        <f>IF(ISERROR(VLOOKUP($A365,'SegEnds_NonXtal_BW#'!$A:$Z,19,FALSE)+VLOOKUP($A365,A:AL,28,FALSE)-50),"-",(VLOOKUP($A365,'SegEnds_NonXtal_BW#'!$A:$Z,19,FALSE)+VLOOKUP($A365,A:AL,28,FALSE)-50))</f>
        <v>169</v>
      </c>
      <c r="AB365" s="3">
        <v>184</v>
      </c>
      <c r="AC365" s="3">
        <f>IF(ISERROR((VLOOKUP($A365,'SegEnds_NonXtal_BW#'!$A:$Z,20,FALSE)+VLOOKUP($A365,A:AL,28,FALSE)-50)),"-",(VLOOKUP($A365,'SegEnds_NonXtal_BW#'!$A:$Z,20,FALSE)+VLOOKUP($A365,A:AL,28,FALSE)-50))</f>
        <v>210</v>
      </c>
      <c r="AD365" s="3">
        <f>IF(ISERROR(VLOOKUP($A365,'SegEnds_NonXtal_BW#'!$A:$Z,21,FALSE)+VLOOKUP($A365,A:AL,31,FALSE)-50),"-",(VLOOKUP($A365,'SegEnds_NonXtal_BW#'!$A:$Z,21,FALSE)+VLOOKUP($A365,A:AL,31,FALSE)-50))</f>
        <v>230</v>
      </c>
      <c r="AE365" s="3">
        <v>256</v>
      </c>
      <c r="AF365" s="3">
        <f>IF(ISERROR((VLOOKUP($A365,'SegEnds_NonXtal_BW#'!$A:$Z,22,FALSE)+VLOOKUP($A365,A:AL,31,FALSE)-50)),"-",(VLOOKUP($A365,'SegEnds_NonXtal_BW#'!$A:$Z,22,FALSE)+VLOOKUP($A365,A:AL,31,FALSE)-50))</f>
        <v>264</v>
      </c>
      <c r="AG365" s="3">
        <f>IF(ISERROR(VLOOKUP($A365,'SegEnds_NonXtal_BW#'!$A:$Z,23,FALSE)+VLOOKUP($A365,A:AL,34,FALSE)-50),"-",(VLOOKUP($A365,'SegEnds_NonXtal_BW#'!$A:$Z,23,FALSE)+VLOOKUP($A365,A:AL,34,FALSE)-50))</f>
        <v>272</v>
      </c>
      <c r="AH365" s="3">
        <v>287</v>
      </c>
      <c r="AI365" s="3">
        <f>IF(ISERROR((VLOOKUP($A365,'SegEnds_NonXtal_BW#'!$A:$Z,24,FALSE)+VLOOKUP($A365,A:AL,34,FALSE)-50)),"-",(VLOOKUP($A365,'SegEnds_NonXtal_BW#'!$A:$Z,24,FALSE)+VLOOKUP($A365,A:AL,34,FALSE)-50))</f>
        <v>293</v>
      </c>
      <c r="AJ365" s="3">
        <f>IF(ISERROR(VLOOKUP($A365,'SegEnds_NonXtal_BW#'!$A:$Z,25,FALSE)+VLOOKUP($A365,A:AL,37,FALSE)-50),"-",(VLOOKUP($A365,'SegEnds_NonXtal_BW#'!$A:$Z,25,FALSE)+VLOOKUP($A365,A:AL,37,FALSE)-50))</f>
        <v>294</v>
      </c>
      <c r="AK365" s="3">
        <v>297</v>
      </c>
      <c r="AL365" s="3">
        <f>IF(ISERROR((VLOOKUP($A365,'SegEnds_NonXtal_BW#'!$A:$Z,26,FALSE)+VLOOKUP($A365,A:AL,37,FALSE)-50)),"-",(VLOOKUP($A365,'SegEnds_NonXtal_BW#'!$A:$Z,26,FALSE)+VLOOKUP($A365,A:AL,37,FALSE)-50))</f>
        <v>306</v>
      </c>
      <c r="AM365" s="28" t="str">
        <f>VLOOKUP(A365,Classification!A:B,2,FALSE)</f>
        <v>A</v>
      </c>
      <c r="AN365" s="28" t="b">
        <f t="shared" si="200"/>
        <v>1</v>
      </c>
      <c r="AO365" s="3" t="str">
        <f>IF(ISERROR(MATCH(A365,'SegEnds_Xtal_Prot#'!B:B, 0)), "NoXtal", "Xtal")</f>
        <v>NoXtal</v>
      </c>
      <c r="AP365" s="3" t="str">
        <f t="shared" si="185"/>
        <v>-</v>
      </c>
      <c r="AQ365" s="3" t="str">
        <f t="shared" si="186"/>
        <v>-</v>
      </c>
      <c r="AR365" s="3" t="str">
        <f t="shared" si="187"/>
        <v>-</v>
      </c>
      <c r="AS365" s="3" t="str">
        <f t="shared" si="188"/>
        <v>-</v>
      </c>
      <c r="AT365" s="3" t="str">
        <f t="shared" si="189"/>
        <v>-</v>
      </c>
      <c r="AU365" s="3" t="str">
        <f t="shared" si="190"/>
        <v>-</v>
      </c>
      <c r="AV365" s="3">
        <f t="shared" si="191"/>
        <v>12</v>
      </c>
      <c r="AW365" s="3">
        <f t="shared" si="192"/>
        <v>5</v>
      </c>
      <c r="AX365" s="3">
        <f t="shared" si="193"/>
        <v>20</v>
      </c>
      <c r="AY365" s="3">
        <f t="shared" si="194"/>
        <v>8</v>
      </c>
      <c r="AZ365" s="3">
        <f t="shared" si="195"/>
        <v>1</v>
      </c>
      <c r="BA365" s="3">
        <f>IF(ISERROR(LEN(VLOOKUP(A365,Seqs!A:E,2,FALSE))-AL365),"-",LEN(VLOOKUP(A365,Seqs!A:E,2,FALSE))-AL365)</f>
        <v>62</v>
      </c>
      <c r="BB365" s="16">
        <f t="shared" si="196"/>
        <v>26</v>
      </c>
      <c r="BC365" s="9" t="str">
        <f t="shared" si="197"/>
        <v>-</v>
      </c>
      <c r="BD365" s="3">
        <f t="shared" si="198"/>
        <v>26</v>
      </c>
      <c r="BE365" s="3">
        <f t="shared" si="199"/>
        <v>72</v>
      </c>
    </row>
    <row r="366" spans="1:57" s="3" customFormat="1" x14ac:dyDescent="0.2">
      <c r="A366" s="3" t="s">
        <v>265</v>
      </c>
      <c r="B366" s="3" t="str">
        <f>LOWER(VLOOKUP(A366,Xtal_Templ!A:B,2,FALSE))</f>
        <v>5ht2b_human</v>
      </c>
      <c r="C366" s="3">
        <f>VLOOKUP($A366,'SegEnds_NonXtal_BW#'!$A:$Z,3,FALSE)+D366-50</f>
        <v>81</v>
      </c>
      <c r="D366" s="3">
        <v>99</v>
      </c>
      <c r="E366" s="3">
        <f>IF(ISERROR(VLOOKUP($A366,'SegEnds_NonXtal_BW#'!$A:$Z,4,FALSE)+VLOOKUP($A366,A:AL,4,FALSE)-50),"-",(VLOOKUP($A366,'SegEnds_NonXtal_BW#'!$A:$Z,4,FALSE)+VLOOKUP($A366,A:AL,4,FALSE)-50))</f>
        <v>109</v>
      </c>
      <c r="F366" s="3">
        <f>G366-2</f>
        <v>110</v>
      </c>
      <c r="G366" s="3">
        <v>112</v>
      </c>
      <c r="H366" s="3">
        <f t="shared" ref="H366:I368" si="208">G366+1</f>
        <v>113</v>
      </c>
      <c r="I366" s="3">
        <f t="shared" si="208"/>
        <v>114</v>
      </c>
      <c r="J366" s="3">
        <v>127</v>
      </c>
      <c r="K366" s="3">
        <f>VLOOKUP($A366,'SegEnds_NonXtal_BW#'!$A:$Z,8,FALSE)+VLOOKUP($A366,A:AL,10,FALSE)-50</f>
        <v>144</v>
      </c>
      <c r="L366" s="3">
        <f>M366-1</f>
        <v>146</v>
      </c>
      <c r="M366" s="3">
        <v>147</v>
      </c>
      <c r="N366" s="3">
        <f>M366+2</f>
        <v>149</v>
      </c>
      <c r="O366" s="3">
        <f>N366+1</f>
        <v>150</v>
      </c>
      <c r="P366" s="3">
        <v>179</v>
      </c>
      <c r="Q366" s="3">
        <f>VLOOKUP($A366,'SegEnds_NonXtal_BW#'!$A:$Z,12,FALSE)+VLOOKUP($A366,A:AL,16,FALSE)-50</f>
        <v>185</v>
      </c>
      <c r="R366" s="3" t="str">
        <f>IF(ISERROR(VLOOKUP($A366,'SegEnds_NonXtal_BW#'!$A:$Z,13,FALSE)+VLOOKUP($A366,A:AL,19,FALSE)-50),"-",VLOOKUP($A366,'SegEnds_NonXtal_BW#'!$A:$Z,13,FALSE)+VLOOKUP($A366,A:AL,19,FALSE)-50)</f>
        <v>-</v>
      </c>
      <c r="S366" s="3" t="s">
        <v>23</v>
      </c>
      <c r="T366" s="103" t="str">
        <f>IF(ISERROR(VLOOKUP($A366,'SegEnds_NonXtal_BW#'!$A:$Z,14,FALSE)+VLOOKUP($A366,A:AL,19,FALSE)-50),"-",(VLOOKUP($A366,'SegEnds_NonXtal_BW#'!$A:$Z,14,FALSE)+VLOOKUP($A366,A:AL,19,FALSE)-50))</f>
        <v>-</v>
      </c>
      <c r="U366" s="9">
        <f>IF(ISERROR(VLOOKUP($A366,'SegEnds_NonXtal_BW#'!$A:$Z,15,FALSE)+VLOOKUP($A366,A:AL,22,FALSE)-50),"-",VLOOKUP($A366,'SegEnds_NonXtal_BW#'!$A:$Z,15,FALSE)+VLOOKUP($A366,A:AL,22,FALSE)-50)</f>
        <v>191</v>
      </c>
      <c r="V366" s="3">
        <v>203</v>
      </c>
      <c r="W366" s="3">
        <f>IF(ISERROR(VLOOKUP($A366,'SegEnds_NonXtal_BW#'!$A:$Z,16,FALSE)+VLOOKUP($A366,A:AL,22,FALSE)-50),"-",(VLOOKUP($A366,'SegEnds_NonXtal_BW#'!$A:$Z,16,FALSE)+VLOOKUP($A366,A:AL,22,FALSE)-50))</f>
        <v>217</v>
      </c>
      <c r="X366" s="3">
        <f>IF(ISERROR(VLOOKUP($A366,'SegEnds_NonXtal_BW#'!$A:$Z,17,FALSE)+VLOOKUP($A366,A:AL,25,FALSE)-50),"-",(VLOOKUP($A366,'SegEnds_NonXtal_BW#'!$A:$Z,17,FALSE)+VLOOKUP($A366,A:AL,25,FALSE)-50))</f>
        <v>229</v>
      </c>
      <c r="Y366" s="3">
        <v>229</v>
      </c>
      <c r="Z366" s="3">
        <f t="shared" si="207"/>
        <v>231</v>
      </c>
      <c r="AA366" s="3">
        <f>IF(ISERROR(VLOOKUP($A366,'SegEnds_NonXtal_BW#'!$A:$Z,19,FALSE)+VLOOKUP($A366,A:AL,28,FALSE)-50),"-",(VLOOKUP($A366,'SegEnds_NonXtal_BW#'!$A:$Z,19,FALSE)+VLOOKUP($A366,A:AL,28,FALSE)-50))</f>
        <v>239</v>
      </c>
      <c r="AB366" s="3">
        <v>254</v>
      </c>
      <c r="AC366" s="3">
        <f>IF(ISERROR((VLOOKUP($A366,'SegEnds_NonXtal_BW#'!$A:$Z,20,FALSE)+VLOOKUP($A366,A:AL,28,FALSE)-50)),"-",(VLOOKUP($A366,'SegEnds_NonXtal_BW#'!$A:$Z,20,FALSE)+VLOOKUP($A366,A:AL,28,FALSE)-50))</f>
        <v>280</v>
      </c>
      <c r="AD366" s="3">
        <f>IF(ISERROR(VLOOKUP($A366,'SegEnds_NonXtal_BW#'!$A:$Z,21,FALSE)+VLOOKUP($A366,A:AL,31,FALSE)-50),"-",(VLOOKUP($A366,'SegEnds_NonXtal_BW#'!$A:$Z,21,FALSE)+VLOOKUP($A366,A:AL,31,FALSE)-50))</f>
        <v>303</v>
      </c>
      <c r="AE366" s="3">
        <v>329</v>
      </c>
      <c r="AF366" s="3">
        <f>IF(ISERROR((VLOOKUP($A366,'SegEnds_NonXtal_BW#'!$A:$Z,22,FALSE)+VLOOKUP($A366,A:AL,31,FALSE)-50)),"-",(VLOOKUP($A366,'SegEnds_NonXtal_BW#'!$A:$Z,22,FALSE)+VLOOKUP($A366,A:AL,31,FALSE)-50))</f>
        <v>340</v>
      </c>
      <c r="AG366" s="3">
        <f>IF(ISERROR(VLOOKUP($A366,'SegEnds_NonXtal_BW#'!$A:$Z,23,FALSE)+VLOOKUP($A366,A:AL,34,FALSE)-50),"-",(VLOOKUP($A366,'SegEnds_NonXtal_BW#'!$A:$Z,23,FALSE)+VLOOKUP($A366,A:AL,34,FALSE)-50))</f>
        <v>346</v>
      </c>
      <c r="AH366" s="3">
        <v>368</v>
      </c>
      <c r="AI366" s="3">
        <f>IF(ISERROR((VLOOKUP($A366,'SegEnds_NonXtal_BW#'!$A:$Z,24,FALSE)+VLOOKUP($A366,A:AL,34,FALSE)-50)),"-",(VLOOKUP($A366,'SegEnds_NonXtal_BW#'!$A:$Z,24,FALSE)+VLOOKUP($A366,A:AL,34,FALSE)-50))</f>
        <v>374</v>
      </c>
      <c r="AJ366" s="3">
        <f>IF(ISERROR(VLOOKUP($A366,'SegEnds_NonXtal_BW#'!$A:$Z,25,FALSE)+VLOOKUP($A366,A:AL,37,FALSE)-50),"-",(VLOOKUP($A366,'SegEnds_NonXtal_BW#'!$A:$Z,25,FALSE)+VLOOKUP($A366,A:AL,37,FALSE)-50))</f>
        <v>375</v>
      </c>
      <c r="AK366" s="3">
        <v>378</v>
      </c>
      <c r="AL366" s="3">
        <f>IF(ISERROR((VLOOKUP($A366,'SegEnds_NonXtal_BW#'!$A:$Z,26,FALSE)+VLOOKUP($A366,A:AL,37,FALSE)-50)),"-",(VLOOKUP($A366,'SegEnds_NonXtal_BW#'!$A:$Z,26,FALSE)+VLOOKUP($A366,A:AL,37,FALSE)-50))</f>
        <v>386</v>
      </c>
      <c r="AM366" s="28" t="str">
        <f>VLOOKUP(A366,Classification!A:B,2,FALSE)</f>
        <v>A</v>
      </c>
      <c r="AN366" s="28" t="b">
        <f t="shared" si="200"/>
        <v>1</v>
      </c>
      <c r="AO366" s="3" t="str">
        <f>IF(ISERROR(MATCH(A366,'SegEnds_Xtal_Prot#'!B:B, 0)), "NoXtal", "Xtal")</f>
        <v>NoXtal</v>
      </c>
      <c r="AP366" s="3">
        <f t="shared" si="185"/>
        <v>1</v>
      </c>
      <c r="AQ366" s="3">
        <f t="shared" si="186"/>
        <v>1</v>
      </c>
      <c r="AR366" s="3">
        <f t="shared" si="187"/>
        <v>2</v>
      </c>
      <c r="AS366" s="3">
        <f t="shared" si="188"/>
        <v>1</v>
      </c>
      <c r="AT366" s="3" t="str">
        <f t="shared" si="189"/>
        <v>-</v>
      </c>
      <c r="AU366" s="3" t="str">
        <f t="shared" si="190"/>
        <v>-</v>
      </c>
      <c r="AV366" s="3">
        <f t="shared" si="191"/>
        <v>12</v>
      </c>
      <c r="AW366" s="3">
        <f t="shared" si="192"/>
        <v>8</v>
      </c>
      <c r="AX366" s="3">
        <f t="shared" si="193"/>
        <v>23</v>
      </c>
      <c r="AY366" s="3">
        <f t="shared" si="194"/>
        <v>6</v>
      </c>
      <c r="AZ366" s="3">
        <f t="shared" si="195"/>
        <v>1</v>
      </c>
      <c r="BA366" s="3">
        <f>IF(ISERROR(LEN(VLOOKUP(A366,Seqs!A:E,2,FALSE))-AL366),"-",LEN(VLOOKUP(A366,Seqs!A:E,2,FALSE))-AL366)</f>
        <v>33</v>
      </c>
      <c r="BB366" s="16">
        <f t="shared" si="196"/>
        <v>28</v>
      </c>
      <c r="BC366" s="9" t="str">
        <f t="shared" si="197"/>
        <v>-</v>
      </c>
      <c r="BD366" s="3">
        <f t="shared" si="198"/>
        <v>28</v>
      </c>
      <c r="BE366" s="3">
        <f t="shared" si="199"/>
        <v>75</v>
      </c>
    </row>
    <row r="367" spans="1:57" s="3" customFormat="1" x14ac:dyDescent="0.2">
      <c r="A367" s="3" t="s">
        <v>266</v>
      </c>
      <c r="B367" s="3" t="str">
        <f>LOWER(VLOOKUP(A367,Xtal_Templ!A:B,2,FALSE))</f>
        <v>adrb2_human</v>
      </c>
      <c r="C367" s="3">
        <f>VLOOKUP($A367,'SegEnds_NonXtal_BW#'!$A:$Z,3,FALSE)+D367-50</f>
        <v>35</v>
      </c>
      <c r="D367" s="3">
        <v>60</v>
      </c>
      <c r="E367" s="3">
        <f>IF(ISERROR(VLOOKUP($A367,'SegEnds_NonXtal_BW#'!$A:$Z,4,FALSE)+VLOOKUP($A367,A:AL,4,FALSE)-50),"-",(VLOOKUP($A367,'SegEnds_NonXtal_BW#'!$A:$Z,4,FALSE)+VLOOKUP($A367,A:AL,4,FALSE)-50))</f>
        <v>70</v>
      </c>
      <c r="F367" s="3">
        <f>G367-2</f>
        <v>73</v>
      </c>
      <c r="G367" s="3">
        <v>75</v>
      </c>
      <c r="H367" s="3">
        <f t="shared" si="208"/>
        <v>76</v>
      </c>
      <c r="I367" s="3">
        <f t="shared" si="208"/>
        <v>77</v>
      </c>
      <c r="J367" s="3">
        <v>90</v>
      </c>
      <c r="K367" s="3">
        <f>VLOOKUP($A367,'SegEnds_NonXtal_BW#'!$A:$Z,8,FALSE)+VLOOKUP($A367,A:AL,10,FALSE)-50</f>
        <v>107</v>
      </c>
      <c r="L367" s="3" t="str">
        <f>IF(ISERROR(VLOOKUP($A367,'SegEnds_NonXtal_BW#'!$A:$Z,9,FALSE)+VLOOKUP($A367,A:AL,13,FALSE)-50),"-",(VLOOKUP($A367,'SegEnds_NonXtal_BW#'!$A:$Z,9,FALSE)+VLOOKUP($A367,A:AL,13,FALSE)-50))</f>
        <v>-</v>
      </c>
      <c r="M367" s="3" t="s">
        <v>23</v>
      </c>
      <c r="N367" s="3" t="str">
        <f>IF(ISERROR(VLOOKUP($A367,'SegEnds_NonXtal_BW#'!$A:$Z,10,FALSE)+VLOOKUP($A367,A:AL,13,FALSE)-50),"-",(VLOOKUP($A367,'SegEnds_NonXtal_BW#'!$A:$Z,10,FALSE)+VLOOKUP($A367,A:AL,13,FALSE)-50))</f>
        <v>-</v>
      </c>
      <c r="O367" s="3">
        <f>VLOOKUP($A367,'SegEnds_NonXtal_BW#'!$A:$Z,11,FALSE)+VLOOKUP($A367,A:AL,16,FALSE)-50</f>
        <v>111</v>
      </c>
      <c r="P367" s="3">
        <v>143</v>
      </c>
      <c r="Q367" s="3">
        <f>VLOOKUP($A367,'SegEnds_NonXtal_BW#'!$A:$Z,12,FALSE)+VLOOKUP($A367,A:AL,16,FALSE)-50</f>
        <v>149</v>
      </c>
      <c r="R367" s="3" t="str">
        <f>IF(ISERROR(VLOOKUP($A367,'SegEnds_NonXtal_BW#'!$A:$Z,13,FALSE)+VLOOKUP($A367,A:AL,19,FALSE)-50),"-",VLOOKUP($A367,'SegEnds_NonXtal_BW#'!$A:$Z,13,FALSE)+VLOOKUP($A367,A:AL,19,FALSE)-50)</f>
        <v>-</v>
      </c>
      <c r="S367" s="3" t="s">
        <v>23</v>
      </c>
      <c r="T367" s="103" t="str">
        <f>IF(ISERROR(VLOOKUP($A367,'SegEnds_NonXtal_BW#'!$A:$Z,14,FALSE)+VLOOKUP($A367,A:AL,19,FALSE)-50),"-",(VLOOKUP($A367,'SegEnds_NonXtal_BW#'!$A:$Z,14,FALSE)+VLOOKUP($A367,A:AL,19,FALSE)-50))</f>
        <v>-</v>
      </c>
      <c r="U367" s="9">
        <f>IF(ISERROR(VLOOKUP($A367,'SegEnds_NonXtal_BW#'!$A:$Z,15,FALSE)+VLOOKUP($A367,A:AL,22,FALSE)-50),"-",VLOOKUP($A367,'SegEnds_NonXtal_BW#'!$A:$Z,15,FALSE)+VLOOKUP($A367,A:AL,22,FALSE)-50)</f>
        <v>157</v>
      </c>
      <c r="V367" s="3">
        <v>169</v>
      </c>
      <c r="W367" s="3">
        <f>IF(ISERROR(VLOOKUP($A367,'SegEnds_NonXtal_BW#'!$A:$Z,16,FALSE)+VLOOKUP($A367,A:AL,22,FALSE)-50),"-",(VLOOKUP($A367,'SegEnds_NonXtal_BW#'!$A:$Z,16,FALSE)+VLOOKUP($A367,A:AL,22,FALSE)-50))</f>
        <v>183</v>
      </c>
      <c r="X367" s="3">
        <f>IF(ISERROR(VLOOKUP($A367,'SegEnds_NonXtal_BW#'!$A:$Z,17,FALSE)+VLOOKUP($A367,A:AL,25,FALSE)-50),"-",(VLOOKUP($A367,'SegEnds_NonXtal_BW#'!$A:$Z,17,FALSE)+VLOOKUP($A367,A:AL,25,FALSE)-50))</f>
        <v>189</v>
      </c>
      <c r="Y367" s="3">
        <v>189</v>
      </c>
      <c r="Z367" s="3">
        <f t="shared" si="207"/>
        <v>191</v>
      </c>
      <c r="AA367" s="3">
        <f>IF(ISERROR(VLOOKUP($A367,'SegEnds_NonXtal_BW#'!$A:$Z,19,FALSE)+VLOOKUP($A367,A:AL,28,FALSE)-50),"-",(VLOOKUP($A367,'SegEnds_NonXtal_BW#'!$A:$Z,19,FALSE)+VLOOKUP($A367,A:AL,28,FALSE)-50))</f>
        <v>199</v>
      </c>
      <c r="AB367" s="3">
        <v>214</v>
      </c>
      <c r="AC367" s="3">
        <f>IF(ISERROR((VLOOKUP($A367,'SegEnds_NonXtal_BW#'!$A:$Z,20,FALSE)+VLOOKUP($A367,A:AL,28,FALSE)-50)),"-",(VLOOKUP($A367,'SegEnds_NonXtal_BW#'!$A:$Z,20,FALSE)+VLOOKUP($A367,A:AL,28,FALSE)-50))</f>
        <v>240</v>
      </c>
      <c r="AD367" s="3">
        <f>IF(ISERROR(VLOOKUP($A367,'SegEnds_NonXtal_BW#'!$A:$Z,21,FALSE)+VLOOKUP($A367,A:AL,31,FALSE)-50),"-",(VLOOKUP($A367,'SegEnds_NonXtal_BW#'!$A:$Z,21,FALSE)+VLOOKUP($A367,A:AL,31,FALSE)-50))</f>
        <v>310</v>
      </c>
      <c r="AE367" s="3">
        <v>336</v>
      </c>
      <c r="AF367" s="3">
        <f>IF(ISERROR((VLOOKUP($A367,'SegEnds_NonXtal_BW#'!$A:$Z,22,FALSE)+VLOOKUP($A367,A:AL,31,FALSE)-50)),"-",(VLOOKUP($A367,'SegEnds_NonXtal_BW#'!$A:$Z,22,FALSE)+VLOOKUP($A367,A:AL,31,FALSE)-50))</f>
        <v>347</v>
      </c>
      <c r="AG367" s="3">
        <f>IF(ISERROR(VLOOKUP($A367,'SegEnds_NonXtal_BW#'!$A:$Z,23,FALSE)+VLOOKUP($A367,A:AL,34,FALSE)-50),"-",(VLOOKUP($A367,'SegEnds_NonXtal_BW#'!$A:$Z,23,FALSE)+VLOOKUP($A367,A:AL,34,FALSE)-50))</f>
        <v>354</v>
      </c>
      <c r="AH367" s="3">
        <v>373</v>
      </c>
      <c r="AI367" s="3">
        <f>IF(ISERROR((VLOOKUP($A367,'SegEnds_NonXtal_BW#'!$A:$Z,24,FALSE)+VLOOKUP($A367,A:AL,34,FALSE)-50)),"-",(VLOOKUP($A367,'SegEnds_NonXtal_BW#'!$A:$Z,24,FALSE)+VLOOKUP($A367,A:AL,34,FALSE)-50))</f>
        <v>378</v>
      </c>
      <c r="AJ367" s="3">
        <f>IF(ISERROR(VLOOKUP($A367,'SegEnds_NonXtal_BW#'!$A:$Z,25,FALSE)+VLOOKUP($A367,A:AL,37,FALSE)-50),"-",(VLOOKUP($A367,'SegEnds_NonXtal_BW#'!$A:$Z,25,FALSE)+VLOOKUP($A367,A:AL,37,FALSE)-50))</f>
        <v>380</v>
      </c>
      <c r="AK367" s="3">
        <v>383</v>
      </c>
      <c r="AL367" s="3">
        <f>IF(ISERROR((VLOOKUP($A367,'SegEnds_NonXtal_BW#'!$A:$Z,26,FALSE)+VLOOKUP($A367,A:AL,37,FALSE)-50)),"-",(VLOOKUP($A367,'SegEnds_NonXtal_BW#'!$A:$Z,26,FALSE)+VLOOKUP($A367,A:AL,37,FALSE)-50))</f>
        <v>392</v>
      </c>
      <c r="AM367" s="28" t="str">
        <f>VLOOKUP(A367,Classification!A:B,2,FALSE)</f>
        <v>A</v>
      </c>
      <c r="AN367" s="28" t="b">
        <f t="shared" si="200"/>
        <v>1</v>
      </c>
      <c r="AO367" s="3" t="str">
        <f>IF(ISERROR(MATCH(A367,'SegEnds_Xtal_Prot#'!B:B, 0)), "NoXtal", "Xtal")</f>
        <v>NoXtal</v>
      </c>
      <c r="AP367" s="3">
        <f t="shared" si="185"/>
        <v>3</v>
      </c>
      <c r="AQ367" s="3">
        <f t="shared" si="186"/>
        <v>1</v>
      </c>
      <c r="AR367" s="3" t="str">
        <f t="shared" si="187"/>
        <v>-</v>
      </c>
      <c r="AS367" s="3" t="str">
        <f t="shared" si="188"/>
        <v>-</v>
      </c>
      <c r="AT367" s="3" t="str">
        <f t="shared" si="189"/>
        <v>-</v>
      </c>
      <c r="AU367" s="3" t="str">
        <f t="shared" si="190"/>
        <v>-</v>
      </c>
      <c r="AV367" s="3">
        <f t="shared" si="191"/>
        <v>6</v>
      </c>
      <c r="AW367" s="3">
        <f t="shared" si="192"/>
        <v>8</v>
      </c>
      <c r="AX367" s="3">
        <f t="shared" si="193"/>
        <v>70</v>
      </c>
      <c r="AY367" s="3">
        <f t="shared" si="194"/>
        <v>7</v>
      </c>
      <c r="AZ367" s="3">
        <f t="shared" si="195"/>
        <v>2</v>
      </c>
      <c r="BA367" s="3">
        <f>IF(ISERROR(LEN(VLOOKUP(A367,Seqs!A:E,2,FALSE))-AL367),"-",LEN(VLOOKUP(A367,Seqs!A:E,2,FALSE))-AL367)</f>
        <v>148</v>
      </c>
      <c r="BB367" s="16">
        <f t="shared" si="196"/>
        <v>30</v>
      </c>
      <c r="BC367" s="9" t="str">
        <f t="shared" si="197"/>
        <v>-</v>
      </c>
      <c r="BD367" s="3">
        <f t="shared" si="198"/>
        <v>30</v>
      </c>
      <c r="BE367" s="3">
        <f t="shared" si="199"/>
        <v>122</v>
      </c>
    </row>
    <row r="368" spans="1:57" s="3" customFormat="1" x14ac:dyDescent="0.2">
      <c r="A368" s="3" t="s">
        <v>269</v>
      </c>
      <c r="B368" s="3" t="str">
        <f>LOWER(VLOOKUP(A368,Xtal_Templ!A:B,2,FALSE))</f>
        <v>ox2r_human</v>
      </c>
      <c r="C368" s="3">
        <f>VLOOKUP($A368,'SegEnds_NonXtal_BW#'!$A:$Z,3,FALSE)+D368-50</f>
        <v>70</v>
      </c>
      <c r="D368" s="3">
        <v>89</v>
      </c>
      <c r="E368" s="3">
        <f>IF(ISERROR(VLOOKUP($A368,'SegEnds_NonXtal_BW#'!$A:$Z,4,FALSE)+VLOOKUP($A368,A:AL,4,FALSE)-50),"-",(VLOOKUP($A368,'SegEnds_NonXtal_BW#'!$A:$Z,4,FALSE)+VLOOKUP($A368,A:AL,4,FALSE)-50))</f>
        <v>99</v>
      </c>
      <c r="F368" s="3">
        <f>G368-2</f>
        <v>100</v>
      </c>
      <c r="G368" s="3">
        <v>102</v>
      </c>
      <c r="H368" s="3">
        <f t="shared" si="208"/>
        <v>103</v>
      </c>
      <c r="I368" s="3">
        <f t="shared" si="208"/>
        <v>104</v>
      </c>
      <c r="J368" s="3">
        <v>117</v>
      </c>
      <c r="K368" s="3">
        <f>VLOOKUP($A368,'SegEnds_NonXtal_BW#'!$A:$Z,8,FALSE)+VLOOKUP($A368,A:AL,10,FALSE)-50</f>
        <v>134</v>
      </c>
      <c r="L368" s="3">
        <f>M368-1</f>
        <v>136</v>
      </c>
      <c r="M368" s="3">
        <v>137</v>
      </c>
      <c r="N368" s="3">
        <f>M368+2</f>
        <v>139</v>
      </c>
      <c r="O368" s="3">
        <f>N368+1</f>
        <v>140</v>
      </c>
      <c r="P368" s="3">
        <v>169</v>
      </c>
      <c r="Q368" s="3">
        <f>VLOOKUP($A368,'SegEnds_NonXtal_BW#'!$A:$Z,12,FALSE)+VLOOKUP($A368,A:AL,16,FALSE)-50</f>
        <v>175</v>
      </c>
      <c r="R368" s="3" t="str">
        <f>IF(ISERROR(VLOOKUP($A368,'SegEnds_NonXtal_BW#'!$A:$Z,13,FALSE)+VLOOKUP($A368,A:AL,19,FALSE)-50),"-",VLOOKUP($A368,'SegEnds_NonXtal_BW#'!$A:$Z,13,FALSE)+VLOOKUP($A368,A:AL,19,FALSE)-50)</f>
        <v>-</v>
      </c>
      <c r="S368" s="3" t="s">
        <v>23</v>
      </c>
      <c r="T368" s="103" t="str">
        <f>IF(ISERROR(VLOOKUP($A368,'SegEnds_NonXtal_BW#'!$A:$Z,14,FALSE)+VLOOKUP($A368,A:AL,19,FALSE)-50),"-",(VLOOKUP($A368,'SegEnds_NonXtal_BW#'!$A:$Z,14,FALSE)+VLOOKUP($A368,A:AL,19,FALSE)-50))</f>
        <v>-</v>
      </c>
      <c r="U368" s="9">
        <f>IF(ISERROR(VLOOKUP($A368,'SegEnds_NonXtal_BW#'!$A:$Z,15,FALSE)+VLOOKUP($A368,A:AL,22,FALSE)-50),"-",VLOOKUP($A368,'SegEnds_NonXtal_BW#'!$A:$Z,15,FALSE)+VLOOKUP($A368,A:AL,22,FALSE)-50)</f>
        <v>182</v>
      </c>
      <c r="V368" s="3">
        <v>194</v>
      </c>
      <c r="W368" s="3">
        <f>IF(ISERROR(VLOOKUP($A368,'SegEnds_NonXtal_BW#'!$A:$Z,16,FALSE)+VLOOKUP($A368,A:AL,22,FALSE)-50),"-",(VLOOKUP($A368,'SegEnds_NonXtal_BW#'!$A:$Z,16,FALSE)+VLOOKUP($A368,A:AL,22,FALSE)-50))</f>
        <v>208</v>
      </c>
      <c r="X368" s="3">
        <f>IF(ISERROR(VLOOKUP($A368,'SegEnds_NonXtal_BW#'!$A:$Z,17,FALSE)+VLOOKUP($A368,A:AL,25,FALSE)-50),"-",(VLOOKUP($A368,'SegEnds_NonXtal_BW#'!$A:$Z,17,FALSE)+VLOOKUP($A368,A:AL,25,FALSE)-50))</f>
        <v>224</v>
      </c>
      <c r="Y368" s="3">
        <v>224</v>
      </c>
      <c r="Z368" s="3">
        <f t="shared" si="207"/>
        <v>226</v>
      </c>
      <c r="AA368" s="3">
        <f>IF(ISERROR(VLOOKUP($A368,'SegEnds_NonXtal_BW#'!$A:$Z,19,FALSE)+VLOOKUP($A368,A:AL,28,FALSE)-50),"-",(VLOOKUP($A368,'SegEnds_NonXtal_BW#'!$A:$Z,19,FALSE)+VLOOKUP($A368,A:AL,28,FALSE)-50))</f>
        <v>233</v>
      </c>
      <c r="AB368" s="3">
        <v>251</v>
      </c>
      <c r="AC368" s="3">
        <f>IF(ISERROR((VLOOKUP($A368,'SegEnds_NonXtal_BW#'!$A:$Z,20,FALSE)+VLOOKUP($A368,A:AL,28,FALSE)-50)),"-",(VLOOKUP($A368,'SegEnds_NonXtal_BW#'!$A:$Z,20,FALSE)+VLOOKUP($A368,A:AL,28,FALSE)-50))</f>
        <v>274</v>
      </c>
      <c r="AD368" s="3">
        <f>IF(ISERROR(VLOOKUP($A368,'SegEnds_NonXtal_BW#'!$A:$Z,21,FALSE)+VLOOKUP($A368,A:AL,31,FALSE)-50),"-",(VLOOKUP($A368,'SegEnds_NonXtal_BW#'!$A:$Z,21,FALSE)+VLOOKUP($A368,A:AL,31,FALSE)-50))</f>
        <v>279</v>
      </c>
      <c r="AE368" s="3">
        <v>307</v>
      </c>
      <c r="AF368" s="3">
        <f>IF(ISERROR((VLOOKUP($A368,'SegEnds_NonXtal_BW#'!$A:$Z,22,FALSE)+VLOOKUP($A368,A:AL,31,FALSE)-50)),"-",(VLOOKUP($A368,'SegEnds_NonXtal_BW#'!$A:$Z,22,FALSE)+VLOOKUP($A368,A:AL,31,FALSE)-50))</f>
        <v>318</v>
      </c>
      <c r="AG368" s="3">
        <f>IF(ISERROR(VLOOKUP($A368,'SegEnds_NonXtal_BW#'!$A:$Z,23,FALSE)+VLOOKUP($A368,A:AL,34,FALSE)-50),"-",(VLOOKUP($A368,'SegEnds_NonXtal_BW#'!$A:$Z,23,FALSE)+VLOOKUP($A368,A:AL,34,FALSE)-50))</f>
        <v>323</v>
      </c>
      <c r="AH368" s="3">
        <v>342</v>
      </c>
      <c r="AI368" s="3">
        <f>IF(ISERROR((VLOOKUP($A368,'SegEnds_NonXtal_BW#'!$A:$Z,24,FALSE)+VLOOKUP($A368,A:AL,34,FALSE)-50)),"-",(VLOOKUP($A368,'SegEnds_NonXtal_BW#'!$A:$Z,24,FALSE)+VLOOKUP($A368,A:AL,34,FALSE)-50))</f>
        <v>348</v>
      </c>
      <c r="AJ368" s="3">
        <f>IF(ISERROR(VLOOKUP($A368,'SegEnds_NonXtal_BW#'!$A:$Z,25,FALSE)+VLOOKUP($A368,A:AL,37,FALSE)-50),"-",(VLOOKUP($A368,'SegEnds_NonXtal_BW#'!$A:$Z,25,FALSE)+VLOOKUP($A368,A:AL,37,FALSE)-50))</f>
        <v>349</v>
      </c>
      <c r="AK368" s="3">
        <v>352</v>
      </c>
      <c r="AL368" s="3">
        <f>IF(ISERROR((VLOOKUP($A368,'SegEnds_NonXtal_BW#'!$A:$Z,26,FALSE)+VLOOKUP($A368,A:AL,37,FALSE)-50)),"-",(VLOOKUP($A368,'SegEnds_NonXtal_BW#'!$A:$Z,26,FALSE)+VLOOKUP($A368,A:AL,37,FALSE)-50))</f>
        <v>360</v>
      </c>
      <c r="AM368" s="28" t="str">
        <f>VLOOKUP(A368,Classification!A:B,2,FALSE)</f>
        <v>A</v>
      </c>
      <c r="AN368" s="28" t="b">
        <f t="shared" si="200"/>
        <v>1</v>
      </c>
      <c r="AO368" s="3" t="str">
        <f>IF(ISERROR(MATCH(A368,'SegEnds_Xtal_Prot#'!B:B, 0)), "NoXtal", "Xtal")</f>
        <v>NoXtal</v>
      </c>
      <c r="AP368" s="3">
        <f t="shared" si="185"/>
        <v>1</v>
      </c>
      <c r="AQ368" s="3">
        <f t="shared" si="186"/>
        <v>1</v>
      </c>
      <c r="AR368" s="3">
        <f t="shared" si="187"/>
        <v>2</v>
      </c>
      <c r="AS368" s="3">
        <f t="shared" si="188"/>
        <v>1</v>
      </c>
      <c r="AT368" s="3" t="str">
        <f t="shared" si="189"/>
        <v>-</v>
      </c>
      <c r="AU368" s="3" t="str">
        <f t="shared" si="190"/>
        <v>-</v>
      </c>
      <c r="AV368" s="3">
        <f t="shared" si="191"/>
        <v>16</v>
      </c>
      <c r="AW368" s="3">
        <f t="shared" si="192"/>
        <v>7</v>
      </c>
      <c r="AX368" s="3">
        <f t="shared" si="193"/>
        <v>5</v>
      </c>
      <c r="AY368" s="3">
        <f t="shared" si="194"/>
        <v>5</v>
      </c>
      <c r="AZ368" s="3">
        <f t="shared" si="195"/>
        <v>1</v>
      </c>
      <c r="BA368" s="3">
        <f>IF(ISERROR(LEN(VLOOKUP(A368,Seqs!A:E,2,FALSE))-AL368),"-",LEN(VLOOKUP(A368,Seqs!A:E,2,FALSE))-AL368)</f>
        <v>63</v>
      </c>
      <c r="BB368" s="16">
        <f t="shared" si="196"/>
        <v>28</v>
      </c>
      <c r="BC368" s="9" t="str">
        <f t="shared" si="197"/>
        <v>-</v>
      </c>
      <c r="BD368" s="3">
        <f t="shared" si="198"/>
        <v>28</v>
      </c>
      <c r="BE368" s="3">
        <f t="shared" si="199"/>
        <v>56</v>
      </c>
    </row>
    <row r="369" spans="1:58" s="3" customFormat="1" x14ac:dyDescent="0.2">
      <c r="A369" s="3" t="s">
        <v>442</v>
      </c>
      <c r="B369" s="3" t="str">
        <f>LOWER(VLOOKUP(A369,Xtal_Templ!A:B,2,FALSE))</f>
        <v>crfr1_human</v>
      </c>
      <c r="C369" s="3">
        <f>VLOOKUP($A369,'SegEnds_NonXtal_BW#'!$A:$Z,3,FALSE)+D369-50</f>
        <v>5895</v>
      </c>
      <c r="D369" s="3">
        <v>5922</v>
      </c>
      <c r="E369" s="3">
        <f>IF(ISERROR(VLOOKUP($A369,'SegEnds_NonXtal_BW#'!$A:$Z,4,FALSE)+VLOOKUP($A369,A:AL,4,FALSE)-50),"-",(VLOOKUP($A369,'SegEnds_NonXtal_BW#'!$A:$Z,4,FALSE)+VLOOKUP($A369,A:AL,4,FALSE)-50))</f>
        <v>5932</v>
      </c>
      <c r="F369" s="3" t="s">
        <v>23</v>
      </c>
      <c r="G369" s="3" t="s">
        <v>23</v>
      </c>
      <c r="H369" s="3" t="s">
        <v>23</v>
      </c>
      <c r="I369" s="3">
        <f>VLOOKUP($A369,'SegEnds_NonXtal_BW#'!$A:$Z,7,FALSE)+J369-50</f>
        <v>5935</v>
      </c>
      <c r="J369" s="3">
        <v>5948</v>
      </c>
      <c r="K369" s="3">
        <f>VLOOKUP($A369,'SegEnds_NonXtal_BW#'!$A:$Z,8,FALSE)+VLOOKUP($A369,A:AL,10,FALSE)-50</f>
        <v>5961</v>
      </c>
      <c r="L369" s="3" t="str">
        <f>IF(ISERROR(VLOOKUP($A369,'SegEnds_NonXtal_BW#'!$A:$Z,9,FALSE)+VLOOKUP($A369,A:AL,13,FALSE)-50),"-",(VLOOKUP($A369,'SegEnds_NonXtal_BW#'!$A:$Z,9,FALSE)+VLOOKUP($A369,A:AL,13,FALSE)-50))</f>
        <v>-</v>
      </c>
      <c r="M369" s="3" t="s">
        <v>23</v>
      </c>
      <c r="N369" s="3" t="str">
        <f>IF(ISERROR(VLOOKUP($A369,'SegEnds_NonXtal_BW#'!$A:$Z,10,FALSE)+VLOOKUP($A369,A:AL,13,FALSE)-50),"-",(VLOOKUP($A369,'SegEnds_NonXtal_BW#'!$A:$Z,10,FALSE)+VLOOKUP($A369,A:AL,13,FALSE)-50))</f>
        <v>-</v>
      </c>
      <c r="O369" s="3">
        <f>VLOOKUP($A369,'SegEnds_NonXtal_BW#'!$A:$Z,11,FALSE)+VLOOKUP($A369,A:AL,16,FALSE)-50</f>
        <v>5968</v>
      </c>
      <c r="P369" s="3">
        <v>5995</v>
      </c>
      <c r="Q369" s="3">
        <f>VLOOKUP($A369,'SegEnds_NonXtal_BW#'!$A:$Z,12,FALSE)+VLOOKUP($A369,A:AL,16,FALSE)-50</f>
        <v>6001</v>
      </c>
      <c r="R369" s="3" t="str">
        <f>IF(ISERROR(VLOOKUP($A369,'SegEnds_NonXtal_BW#'!$A:$Z,13,FALSE)+VLOOKUP($A369,A:AL,19,FALSE)-50),"-",VLOOKUP($A369,'SegEnds_NonXtal_BW#'!$A:$Z,13,FALSE)+VLOOKUP($A369,A:AL,19,FALSE)-50)</f>
        <v>-</v>
      </c>
      <c r="S369" s="3" t="s">
        <v>23</v>
      </c>
      <c r="T369" s="103" t="str">
        <f>IF(ISERROR(VLOOKUP($A369,'SegEnds_NonXtal_BW#'!$A:$Z,14,FALSE)+VLOOKUP($A369,A:AL,19,FALSE)-50),"-",(VLOOKUP($A369,'SegEnds_NonXtal_BW#'!$A:$Z,14,FALSE)+VLOOKUP($A369,A:AL,19,FALSE)-50))</f>
        <v>-</v>
      </c>
      <c r="U369" s="9">
        <f>IF(ISERROR(VLOOKUP($A369,'SegEnds_NonXtal_BW#'!$A:$Z,15,FALSE)+VLOOKUP($A369,A:AL,22,FALSE)-50),"-",VLOOKUP($A369,'SegEnds_NonXtal_BW#'!$A:$Z,15,FALSE)+VLOOKUP($A369,A:AL,22,FALSE)-50)</f>
        <v>6008</v>
      </c>
      <c r="V369" s="3">
        <v>6018</v>
      </c>
      <c r="W369" s="3">
        <f>IF(ISERROR(VLOOKUP($A369,'SegEnds_NonXtal_BW#'!$A:$Z,16,FALSE)+VLOOKUP($A369,A:AL,22,FALSE)-50),"-",(VLOOKUP($A369,'SegEnds_NonXtal_BW#'!$A:$Z,16,FALSE)+VLOOKUP($A369,A:AL,22,FALSE)-50))</f>
        <v>6036</v>
      </c>
      <c r="X369" s="3">
        <f>IF(ISERROR(VLOOKUP($A369,'SegEnds_NonXtal_BW#'!$A:$Z,17,FALSE)+VLOOKUP($A369,A:AL,25,FALSE)-50),"-",(VLOOKUP($A369,'SegEnds_NonXtal_BW#'!$A:$Z,17,FALSE)+VLOOKUP($A369,A:AL,25,FALSE)-50))</f>
        <v>6052</v>
      </c>
      <c r="Y369" s="3">
        <v>6052</v>
      </c>
      <c r="Z369" s="3">
        <f t="shared" si="207"/>
        <v>6054</v>
      </c>
      <c r="AA369" s="3">
        <f>IF(ISERROR(VLOOKUP($A369,'SegEnds_NonXtal_BW#'!$A:$Z,19,FALSE)+VLOOKUP($A369,A:AL,28,FALSE)-50),"-",(VLOOKUP($A369,'SegEnds_NonXtal_BW#'!$A:$Z,19,FALSE)+VLOOKUP($A369,A:AL,28,FALSE)-50))</f>
        <v>6058</v>
      </c>
      <c r="AB369" s="3">
        <v>6072</v>
      </c>
      <c r="AC369" s="3">
        <f>IF(ISERROR((VLOOKUP($A369,'SegEnds_NonXtal_BW#'!$A:$Z,20,FALSE)+VLOOKUP($A369,A:AL,28,FALSE)-50)),"-",(VLOOKUP($A369,'SegEnds_NonXtal_BW#'!$A:$Z,20,FALSE)+VLOOKUP($A369,A:AL,28,FALSE)-50))</f>
        <v>6091</v>
      </c>
      <c r="AD369" s="3">
        <f>IF(ISERROR(VLOOKUP($A369,'SegEnds_NonXtal_BW#'!$A:$Z,21,FALSE)+VLOOKUP($A369,A:AL,31,FALSE)-50),"-",(VLOOKUP($A369,'SegEnds_NonXtal_BW#'!$A:$Z,21,FALSE)+VLOOKUP($A369,A:AL,31,FALSE)-50))</f>
        <v>6100</v>
      </c>
      <c r="AE369" s="3">
        <v>6121</v>
      </c>
      <c r="AF369" s="3">
        <f>IF(ISERROR((VLOOKUP($A369,'SegEnds_NonXtal_BW#'!$A:$Z,22,FALSE)+VLOOKUP($A369,A:AL,31,FALSE)-50)),"-",(VLOOKUP($A369,'SegEnds_NonXtal_BW#'!$A:$Z,22,FALSE)+VLOOKUP($A369,A:AL,31,FALSE)-50))</f>
        <v>6124</v>
      </c>
      <c r="AG369" s="3">
        <f>IF(ISERROR(VLOOKUP($A369,'SegEnds_NonXtal_BW#'!$A:$Z,23,FALSE)+VLOOKUP($A369,A:AL,34,FALSE)-50),"-",(VLOOKUP($A369,'SegEnds_NonXtal_BW#'!$A:$Z,23,FALSE)+VLOOKUP($A369,A:AL,34,FALSE)-50))</f>
        <v>6130</v>
      </c>
      <c r="AH369" s="3">
        <v>6149</v>
      </c>
      <c r="AI369" s="3">
        <f>IF(ISERROR((VLOOKUP($A369,'SegEnds_NonXtal_BW#'!$A:$Z,24,FALSE)+VLOOKUP($A369,A:AL,34,FALSE)-50)),"-",(VLOOKUP($A369,'SegEnds_NonXtal_BW#'!$A:$Z,24,FALSE)+VLOOKUP($A369,A:AL,34,FALSE)-50))</f>
        <v>6155</v>
      </c>
      <c r="AJ369" s="3">
        <f>IF(ISERROR(VLOOKUP($A369,'SegEnds_NonXtal_BW#'!$A:$Z,25,FALSE)+VLOOKUP($A369,A:AL,37,FALSE)-50),"-",(VLOOKUP($A369,'SegEnds_NonXtal_BW#'!$A:$Z,25,FALSE)+VLOOKUP($A369,A:AL,37,FALSE)-50))</f>
        <v>6156</v>
      </c>
      <c r="AK369" s="3">
        <v>6159</v>
      </c>
      <c r="AL369" s="3">
        <f>IF(ISERROR((VLOOKUP($A369,'SegEnds_NonXtal_BW#'!$A:$Z,26,FALSE)+VLOOKUP($A369,A:AL,37,FALSE)-50)),"-",(VLOOKUP($A369,'SegEnds_NonXtal_BW#'!$A:$Z,26,FALSE)+VLOOKUP($A369,A:AL,37,FALSE)-50))</f>
        <v>6172</v>
      </c>
      <c r="AM369" s="28" t="str">
        <f>VLOOKUP(A369,Classification!A:B,2,FALSE)</f>
        <v>B2</v>
      </c>
      <c r="AN369" s="28" t="b">
        <f t="shared" si="200"/>
        <v>1</v>
      </c>
      <c r="AO369" s="3" t="str">
        <f>IF(ISERROR(MATCH(A369,'SegEnds_Xtal_Prot#'!B:B, 0)), "NoXtal", "Xtal")</f>
        <v>NoXtal</v>
      </c>
      <c r="AP369" s="3" t="str">
        <f t="shared" si="185"/>
        <v>-</v>
      </c>
      <c r="AQ369" s="3" t="str">
        <f t="shared" si="186"/>
        <v>-</v>
      </c>
      <c r="AR369" s="3" t="str">
        <f t="shared" si="187"/>
        <v>-</v>
      </c>
      <c r="AS369" s="3" t="str">
        <f t="shared" si="188"/>
        <v>-</v>
      </c>
      <c r="AT369" s="3" t="str">
        <f t="shared" si="189"/>
        <v>-</v>
      </c>
      <c r="AU369" s="3" t="str">
        <f t="shared" si="190"/>
        <v>-</v>
      </c>
      <c r="AV369" s="3">
        <f t="shared" si="191"/>
        <v>16</v>
      </c>
      <c r="AW369" s="3">
        <f t="shared" si="192"/>
        <v>4</v>
      </c>
      <c r="AX369" s="3">
        <f t="shared" si="193"/>
        <v>9</v>
      </c>
      <c r="AY369" s="3">
        <f t="shared" si="194"/>
        <v>6</v>
      </c>
      <c r="AZ369" s="3">
        <f t="shared" si="195"/>
        <v>1</v>
      </c>
      <c r="BA369" s="3">
        <f>IF(ISERROR(LEN(VLOOKUP(A369,Seqs!A:E,2,FALSE))-AL369),"-",LEN(VLOOKUP(A369,Seqs!A:E,2,FALSE))-AL369)</f>
        <v>134</v>
      </c>
      <c r="BB369" s="16">
        <f t="shared" si="196"/>
        <v>26</v>
      </c>
      <c r="BC369" s="9" t="str">
        <f t="shared" si="197"/>
        <v>-</v>
      </c>
      <c r="BD369" s="3">
        <f t="shared" si="198"/>
        <v>26</v>
      </c>
      <c r="BE369" s="3">
        <f t="shared" si="199"/>
        <v>49</v>
      </c>
    </row>
    <row r="370" spans="1:58" s="3" customFormat="1" x14ac:dyDescent="0.2">
      <c r="A370" s="3" t="s">
        <v>40</v>
      </c>
      <c r="B370" s="3" t="str">
        <f>LOWER(VLOOKUP(A370,Xtal_Templ!A:B,2,FALSE))</f>
        <v>grm1_human</v>
      </c>
      <c r="C370" s="3">
        <f>VLOOKUP($A370,'SegEnds_NonXtal_BW#'!$A:$Z,3,FALSE)+D370-50</f>
        <v>591</v>
      </c>
      <c r="D370" s="3">
        <v>607</v>
      </c>
      <c r="E370" s="3">
        <f>IF(ISERROR(VLOOKUP($A370,'SegEnds_NonXtal_BW#'!$A:$Z,4,FALSE)+VLOOKUP($A370,A:AL,4,FALSE)-50),"-",(VLOOKUP($A370,'SegEnds_NonXtal_BW#'!$A:$Z,4,FALSE)+VLOOKUP($A370,A:AL,4,FALSE)-50))</f>
        <v>617</v>
      </c>
      <c r="F370" s="3">
        <f t="shared" ref="F370:F377" si="209">G370-3</f>
        <v>620</v>
      </c>
      <c r="G370" s="3">
        <v>623</v>
      </c>
      <c r="H370" s="3">
        <f t="shared" ref="H370:H377" si="210">G370+3</f>
        <v>626</v>
      </c>
      <c r="I370" s="3">
        <f t="shared" ref="I370:I399" si="211">H370+1</f>
        <v>627</v>
      </c>
      <c r="J370" s="3">
        <v>638</v>
      </c>
      <c r="K370" s="3">
        <f>VLOOKUP($A370,'SegEnds_NonXtal_BW#'!$A:$Z,8,FALSE)+VLOOKUP($A370,A:AL,10,FALSE)-50</f>
        <v>649</v>
      </c>
      <c r="L370" s="3" t="str">
        <f>IF(ISERROR(VLOOKUP($A370,'SegEnds_NonXtal_BW#'!$A:$Z,9,FALSE)+VLOOKUP($A370,A:AL,13,FALSE)-50),"-",(VLOOKUP($A370,'SegEnds_NonXtal_BW#'!$A:$Z,9,FALSE)+VLOOKUP($A370,A:AL,13,FALSE)-50))</f>
        <v>-</v>
      </c>
      <c r="M370" s="3" t="s">
        <v>23</v>
      </c>
      <c r="N370" s="3" t="str">
        <f>IF(ISERROR(VLOOKUP($A370,'SegEnds_NonXtal_BW#'!$A:$Z,10,FALSE)+VLOOKUP($A370,A:AL,13,FALSE)-50),"-",(VLOOKUP($A370,'SegEnds_NonXtal_BW#'!$A:$Z,10,FALSE)+VLOOKUP($A370,A:AL,13,FALSE)-50))</f>
        <v>-</v>
      </c>
      <c r="O370" s="3">
        <f>VLOOKUP($A370,'SegEnds_NonXtal_BW#'!$A:$Z,11,FALSE)+VLOOKUP($A370,A:AL,16,FALSE)-50</f>
        <v>654</v>
      </c>
      <c r="P370" s="3">
        <v>682</v>
      </c>
      <c r="Q370" s="3">
        <f>VLOOKUP($A370,'SegEnds_NonXtal_BW#'!$A:$Z,12,FALSE)+VLOOKUP($A370,A:AL,16,FALSE)-50</f>
        <v>686</v>
      </c>
      <c r="R370" s="3" t="str">
        <f>IF(ISERROR(VLOOKUP($A370,'SegEnds_NonXtal_BW#'!$A:$Z,13,FALSE)+VLOOKUP($A370,A:AL,19,FALSE)-50),"-",VLOOKUP($A370,'SegEnds_NonXtal_BW#'!$A:$Z,13,FALSE)+VLOOKUP($A370,A:AL,19,FALSE)-50)</f>
        <v>-</v>
      </c>
      <c r="S370" s="3" t="s">
        <v>23</v>
      </c>
      <c r="T370" s="103" t="str">
        <f>IF(ISERROR(VLOOKUP($A370,'SegEnds_NonXtal_BW#'!$A:$Z,14,FALSE)+VLOOKUP($A370,A:AL,19,FALSE)-50),"-",(VLOOKUP($A370,'SegEnds_NonXtal_BW#'!$A:$Z,14,FALSE)+VLOOKUP($A370,A:AL,19,FALSE)-50))</f>
        <v>-</v>
      </c>
      <c r="U370" s="9">
        <f>IF(ISERROR(VLOOKUP($A370,'SegEnds_NonXtal_BW#'!$A:$Z,15,FALSE)+VLOOKUP($A370,A:AL,22,FALSE)-50),"-",VLOOKUP($A370,'SegEnds_NonXtal_BW#'!$A:$Z,15,FALSE)+VLOOKUP($A370,A:AL,22,FALSE)-50)</f>
        <v>702</v>
      </c>
      <c r="V370" s="3">
        <v>714</v>
      </c>
      <c r="W370" s="3">
        <f>IF(ISERROR(VLOOKUP($A370,'SegEnds_NonXtal_BW#'!$A:$Z,16,FALSE)+VLOOKUP($A370,A:AL,22,FALSE)-50),"-",(VLOOKUP($A370,'SegEnds_NonXtal_BW#'!$A:$Z,16,FALSE)+VLOOKUP($A370,A:AL,22,FALSE)-50))</f>
        <v>728</v>
      </c>
      <c r="X370" s="3">
        <f>IF(ISERROR(VLOOKUP($A370,'SegEnds_NonXtal_BW#'!$A:$Z,17,FALSE)+VLOOKUP($A370,A:AL,25,FALSE)-50),"-",(VLOOKUP($A370,'SegEnds_NonXtal_BW#'!$A:$Z,17,FALSE)+VLOOKUP($A370,A:AL,25,FALSE)-50))</f>
        <v>746</v>
      </c>
      <c r="Y370" s="3">
        <v>746</v>
      </c>
      <c r="Z370" s="3">
        <f t="shared" si="207"/>
        <v>748</v>
      </c>
      <c r="AA370" s="3">
        <f>IF(ISERROR(VLOOKUP($A370,'SegEnds_NonXtal_BW#'!$A:$Z,19,FALSE)+VLOOKUP($A370,A:AL,28,FALSE)-50),"-",(VLOOKUP($A370,'SegEnds_NonXtal_BW#'!$A:$Z,19,FALSE)+VLOOKUP($A370,A:AL,28,FALSE)-50))</f>
        <v>750</v>
      </c>
      <c r="AB370" s="3">
        <v>763</v>
      </c>
      <c r="AC370" s="3">
        <f>IF(ISERROR((VLOOKUP($A370,'SegEnds_NonXtal_BW#'!$A:$Z,20,FALSE)+VLOOKUP($A370,A:AL,28,FALSE)-50)),"-",(VLOOKUP($A370,'SegEnds_NonXtal_BW#'!$A:$Z,20,FALSE)+VLOOKUP($A370,A:AL,28,FALSE)-50))</f>
        <v>774</v>
      </c>
      <c r="AD370" s="3">
        <f>IF(ISERROR(VLOOKUP($A370,'SegEnds_NonXtal_BW#'!$A:$Z,21,FALSE)+VLOOKUP($A370,A:AL,31,FALSE)-50),"-",(VLOOKUP($A370,'SegEnds_NonXtal_BW#'!$A:$Z,21,FALSE)+VLOOKUP($A370,A:AL,31,FALSE)-50))</f>
        <v>783</v>
      </c>
      <c r="AE370" s="3">
        <v>800</v>
      </c>
      <c r="AF370" s="3">
        <f>IF(ISERROR((VLOOKUP($A370,'SegEnds_NonXtal_BW#'!$A:$Z,22,FALSE)+VLOOKUP($A370,A:AL,31,FALSE)-50)),"-",(VLOOKUP($A370,'SegEnds_NonXtal_BW#'!$A:$Z,22,FALSE)+VLOOKUP($A370,A:AL,31,FALSE)-50))</f>
        <v>807</v>
      </c>
      <c r="AG370" s="3">
        <f>IF(ISERROR(VLOOKUP($A370,'SegEnds_NonXtal_BW#'!$A:$Z,23,FALSE)+VLOOKUP($A370,A:AL,34,FALSE)-50),"-",(VLOOKUP($A370,'SegEnds_NonXtal_BW#'!$A:$Z,23,FALSE)+VLOOKUP($A370,A:AL,34,FALSE)-50))</f>
        <v>811</v>
      </c>
      <c r="AH370" s="3">
        <v>827</v>
      </c>
      <c r="AI370" s="3">
        <f>IF(ISERROR((VLOOKUP($A370,'SegEnds_NonXtal_BW#'!$A:$Z,24,FALSE)+VLOOKUP($A370,A:AL,34,FALSE)-50)),"-",(VLOOKUP($A370,'SegEnds_NonXtal_BW#'!$A:$Z,24,FALSE)+VLOOKUP($A370,A:AL,34,FALSE)-50))</f>
        <v>840</v>
      </c>
      <c r="AJ370" s="3">
        <f>IF(ISERROR(VLOOKUP($A370,'SegEnds_NonXtal_BW#'!$A:$Z,25,FALSE)+VLOOKUP($A370,A:AL,37,FALSE)-50),"-",(VLOOKUP($A370,'SegEnds_NonXtal_BW#'!$A:$Z,25,FALSE)+VLOOKUP($A370,A:AL,37,FALSE)-50))</f>
        <v>841</v>
      </c>
      <c r="AK370" s="3">
        <v>844</v>
      </c>
      <c r="AL370" s="3">
        <f>IF(ISERROR((VLOOKUP($A370,'SegEnds_NonXtal_BW#'!$A:$Z,26,FALSE)+VLOOKUP($A370,A:AL,37,FALSE)-50)),"-",(VLOOKUP($A370,'SegEnds_NonXtal_BW#'!$A:$Z,26,FALSE)+VLOOKUP($A370,A:AL,37,FALSE)-50))</f>
        <v>853</v>
      </c>
      <c r="AM370" s="28" t="str">
        <f>VLOOKUP(A370,Classification!A:B,2,FALSE)</f>
        <v>C</v>
      </c>
      <c r="AN370" s="28" t="b">
        <f t="shared" si="200"/>
        <v>1</v>
      </c>
      <c r="AO370" s="3" t="str">
        <f>IF(ISERROR(MATCH(A370,'SegEnds_Xtal_Prot#'!B:B, 0)), "NoXtal", "Xtal")</f>
        <v>Xtal</v>
      </c>
      <c r="AP370" s="3">
        <f t="shared" si="185"/>
        <v>3</v>
      </c>
      <c r="AQ370" s="3">
        <f t="shared" si="186"/>
        <v>1</v>
      </c>
      <c r="AR370" s="3" t="str">
        <f t="shared" si="187"/>
        <v>-</v>
      </c>
      <c r="AS370" s="3" t="str">
        <f t="shared" si="188"/>
        <v>-</v>
      </c>
      <c r="AT370" s="3" t="str">
        <f t="shared" si="189"/>
        <v>-</v>
      </c>
      <c r="AU370" s="3" t="str">
        <f t="shared" si="190"/>
        <v>-</v>
      </c>
      <c r="AV370" s="3">
        <f t="shared" si="191"/>
        <v>18</v>
      </c>
      <c r="AW370" s="3">
        <f t="shared" si="192"/>
        <v>2</v>
      </c>
      <c r="AX370" s="3">
        <f t="shared" si="193"/>
        <v>9</v>
      </c>
      <c r="AY370" s="3">
        <f t="shared" si="194"/>
        <v>4</v>
      </c>
      <c r="AZ370" s="3">
        <f t="shared" si="195"/>
        <v>1</v>
      </c>
      <c r="BA370" s="3">
        <f>IF(ISERROR(LEN(VLOOKUP(A370,Seqs!A:E,2,FALSE))-AL370),"-",LEN(VLOOKUP(A370,Seqs!A:E,2,FALSE))-AL370)</f>
        <v>341</v>
      </c>
      <c r="BB370" s="16">
        <f t="shared" si="196"/>
        <v>31</v>
      </c>
      <c r="BC370" s="9" t="str">
        <f t="shared" si="197"/>
        <v>-</v>
      </c>
      <c r="BD370" s="3">
        <f t="shared" si="198"/>
        <v>31</v>
      </c>
      <c r="BE370" s="3">
        <f t="shared" si="199"/>
        <v>37</v>
      </c>
    </row>
    <row r="371" spans="1:58" s="3" customFormat="1" x14ac:dyDescent="0.2">
      <c r="A371" s="3" t="s">
        <v>115</v>
      </c>
      <c r="B371" s="3" t="str">
        <f>LOWER(VLOOKUP(A371,Xtal_Templ!A:B,2,FALSE))</f>
        <v>grm5_human</v>
      </c>
      <c r="C371" s="3">
        <f>VLOOKUP($A371,'SegEnds_NonXtal_BW#'!$A:$Z,3,FALSE)+D371-50</f>
        <v>566</v>
      </c>
      <c r="D371" s="3">
        <v>582</v>
      </c>
      <c r="E371" s="3">
        <f>IF(ISERROR(VLOOKUP($A371,'SegEnds_NonXtal_BW#'!$A:$Z,4,FALSE)+VLOOKUP($A371,A:AL,4,FALSE)-50),"-",(VLOOKUP($A371,'SegEnds_NonXtal_BW#'!$A:$Z,4,FALSE)+VLOOKUP($A371,A:AL,4,FALSE)-50))</f>
        <v>592</v>
      </c>
      <c r="F371" s="3">
        <f t="shared" si="209"/>
        <v>595</v>
      </c>
      <c r="G371" s="3">
        <v>598</v>
      </c>
      <c r="H371" s="3">
        <f t="shared" si="210"/>
        <v>601</v>
      </c>
      <c r="I371" s="3">
        <f t="shared" si="211"/>
        <v>602</v>
      </c>
      <c r="J371" s="3">
        <v>613</v>
      </c>
      <c r="K371" s="3">
        <f>VLOOKUP($A371,'SegEnds_NonXtal_BW#'!$A:$Z,8,FALSE)+VLOOKUP($A371,A:AL,10,FALSE)-50</f>
        <v>624</v>
      </c>
      <c r="L371" s="3" t="str">
        <f>IF(ISERROR(VLOOKUP($A371,'SegEnds_NonXtal_BW#'!$A:$Z,9,FALSE)+VLOOKUP($A371,A:AL,13,FALSE)-50),"-",(VLOOKUP($A371,'SegEnds_NonXtal_BW#'!$A:$Z,9,FALSE)+VLOOKUP($A371,A:AL,13,FALSE)-50))</f>
        <v>-</v>
      </c>
      <c r="M371" s="3" t="s">
        <v>23</v>
      </c>
      <c r="N371" s="3" t="str">
        <f>IF(ISERROR(VLOOKUP($A371,'SegEnds_NonXtal_BW#'!$A:$Z,10,FALSE)+VLOOKUP($A371,A:AL,13,FALSE)-50),"-",(VLOOKUP($A371,'SegEnds_NonXtal_BW#'!$A:$Z,10,FALSE)+VLOOKUP($A371,A:AL,13,FALSE)-50))</f>
        <v>-</v>
      </c>
      <c r="O371" s="3">
        <f>VLOOKUP($A371,'SegEnds_NonXtal_BW#'!$A:$Z,11,FALSE)+VLOOKUP($A371,A:AL,16,FALSE)-50</f>
        <v>629</v>
      </c>
      <c r="P371" s="3">
        <v>657</v>
      </c>
      <c r="Q371" s="3">
        <f>VLOOKUP($A371,'SegEnds_NonXtal_BW#'!$A:$Z,12,FALSE)+VLOOKUP($A371,A:AL,16,FALSE)-50</f>
        <v>661</v>
      </c>
      <c r="R371" s="3" t="str">
        <f>IF(ISERROR(VLOOKUP($A371,'SegEnds_NonXtal_BW#'!$A:$Z,13,FALSE)+VLOOKUP($A371,A:AL,19,FALSE)-50),"-",VLOOKUP($A371,'SegEnds_NonXtal_BW#'!$A:$Z,13,FALSE)+VLOOKUP($A371,A:AL,19,FALSE)-50)</f>
        <v>-</v>
      </c>
      <c r="S371" s="3" t="s">
        <v>23</v>
      </c>
      <c r="T371" s="103" t="str">
        <f>IF(ISERROR(VLOOKUP($A371,'SegEnds_NonXtal_BW#'!$A:$Z,14,FALSE)+VLOOKUP($A371,A:AL,19,FALSE)-50),"-",(VLOOKUP($A371,'SegEnds_NonXtal_BW#'!$A:$Z,14,FALSE)+VLOOKUP($A371,A:AL,19,FALSE)-50))</f>
        <v>-</v>
      </c>
      <c r="U371" s="9">
        <f>IF(ISERROR(VLOOKUP($A371,'SegEnds_NonXtal_BW#'!$A:$Z,15,FALSE)+VLOOKUP($A371,A:AL,22,FALSE)-50),"-",VLOOKUP($A371,'SegEnds_NonXtal_BW#'!$A:$Z,15,FALSE)+VLOOKUP($A371,A:AL,22,FALSE)-50)</f>
        <v>675</v>
      </c>
      <c r="V371" s="3">
        <v>687</v>
      </c>
      <c r="W371" s="3">
        <f>IF(ISERROR(VLOOKUP($A371,'SegEnds_NonXtal_BW#'!$A:$Z,16,FALSE)+VLOOKUP($A371,A:AL,22,FALSE)-50),"-",(VLOOKUP($A371,'SegEnds_NonXtal_BW#'!$A:$Z,16,FALSE)+VLOOKUP($A371,A:AL,22,FALSE)-50))</f>
        <v>701</v>
      </c>
      <c r="X371" s="3">
        <f>IF(ISERROR(VLOOKUP($A371,'SegEnds_NonXtal_BW#'!$A:$Z,17,FALSE)+VLOOKUP($A371,A:AL,25,FALSE)-50),"-",(VLOOKUP($A371,'SegEnds_NonXtal_BW#'!$A:$Z,17,FALSE)+VLOOKUP($A371,A:AL,25,FALSE)-50))</f>
        <v>721</v>
      </c>
      <c r="Y371" s="3">
        <v>721</v>
      </c>
      <c r="Z371" s="3">
        <f t="shared" si="207"/>
        <v>723</v>
      </c>
      <c r="AA371" s="3">
        <f>IF(ISERROR(VLOOKUP($A371,'SegEnds_NonXtal_BW#'!$A:$Z,19,FALSE)+VLOOKUP($A371,A:AL,28,FALSE)-50),"-",(VLOOKUP($A371,'SegEnds_NonXtal_BW#'!$A:$Z,19,FALSE)+VLOOKUP($A371,A:AL,28,FALSE)-50))</f>
        <v>725</v>
      </c>
      <c r="AB371" s="3">
        <v>738</v>
      </c>
      <c r="AC371" s="3">
        <f>IF(ISERROR((VLOOKUP($A371,'SegEnds_NonXtal_BW#'!$A:$Z,20,FALSE)+VLOOKUP($A371,A:AL,28,FALSE)-50)),"-",(VLOOKUP($A371,'SegEnds_NonXtal_BW#'!$A:$Z,20,FALSE)+VLOOKUP($A371,A:AL,28,FALSE)-50))</f>
        <v>749</v>
      </c>
      <c r="AD371" s="3">
        <f>IF(ISERROR(VLOOKUP($A371,'SegEnds_NonXtal_BW#'!$A:$Z,21,FALSE)+VLOOKUP($A371,A:AL,31,FALSE)-50),"-",(VLOOKUP($A371,'SegEnds_NonXtal_BW#'!$A:$Z,21,FALSE)+VLOOKUP($A371,A:AL,31,FALSE)-50))</f>
        <v>758</v>
      </c>
      <c r="AE371" s="3">
        <v>775</v>
      </c>
      <c r="AF371" s="3">
        <f>IF(ISERROR((VLOOKUP($A371,'SegEnds_NonXtal_BW#'!$A:$Z,22,FALSE)+VLOOKUP($A371,A:AL,31,FALSE)-50)),"-",(VLOOKUP($A371,'SegEnds_NonXtal_BW#'!$A:$Z,22,FALSE)+VLOOKUP($A371,A:AL,31,FALSE)-50))</f>
        <v>782</v>
      </c>
      <c r="AG371" s="3">
        <f>IF(ISERROR(VLOOKUP($A371,'SegEnds_NonXtal_BW#'!$A:$Z,23,FALSE)+VLOOKUP($A371,A:AL,34,FALSE)-50),"-",(VLOOKUP($A371,'SegEnds_NonXtal_BW#'!$A:$Z,23,FALSE)+VLOOKUP($A371,A:AL,34,FALSE)-50))</f>
        <v>790</v>
      </c>
      <c r="AH371" s="3">
        <v>806</v>
      </c>
      <c r="AI371" s="3">
        <f>IF(ISERROR((VLOOKUP($A371,'SegEnds_NonXtal_BW#'!$A:$Z,24,FALSE)+VLOOKUP($A371,A:AL,34,FALSE)-50)),"-",(VLOOKUP($A371,'SegEnds_NonXtal_BW#'!$A:$Z,24,FALSE)+VLOOKUP($A371,A:AL,34,FALSE)-50))</f>
        <v>819</v>
      </c>
      <c r="AJ371" s="3">
        <f>IF(ISERROR(VLOOKUP($A371,'SegEnds_NonXtal_BW#'!$A:$Z,25,FALSE)+VLOOKUP($A371,A:AL,37,FALSE)-50),"-",(VLOOKUP($A371,'SegEnds_NonXtal_BW#'!$A:$Z,25,FALSE)+VLOOKUP($A371,A:AL,37,FALSE)-50))</f>
        <v>820</v>
      </c>
      <c r="AK371" s="3">
        <v>823</v>
      </c>
      <c r="AL371" s="3">
        <f>IF(ISERROR((VLOOKUP($A371,'SegEnds_NonXtal_BW#'!$A:$Z,26,FALSE)+VLOOKUP($A371,A:AL,37,FALSE)-50)),"-",(VLOOKUP($A371,'SegEnds_NonXtal_BW#'!$A:$Z,26,FALSE)+VLOOKUP($A371,A:AL,37,FALSE)-50))</f>
        <v>832</v>
      </c>
      <c r="AM371" s="28" t="str">
        <f>VLOOKUP(A371,Classification!A:B,2,FALSE)</f>
        <v>C</v>
      </c>
      <c r="AN371" s="28" t="b">
        <f t="shared" si="200"/>
        <v>1</v>
      </c>
      <c r="AO371" s="3" t="str">
        <f>IF(ISERROR(MATCH(A371,'SegEnds_Xtal_Prot#'!B:B, 0)), "NoXtal", "Xtal")</f>
        <v>NoXtal</v>
      </c>
      <c r="AP371" s="3">
        <f t="shared" si="185"/>
        <v>3</v>
      </c>
      <c r="AQ371" s="3">
        <f t="shared" si="186"/>
        <v>1</v>
      </c>
      <c r="AR371" s="3" t="str">
        <f t="shared" si="187"/>
        <v>-</v>
      </c>
      <c r="AS371" s="3" t="str">
        <f t="shared" si="188"/>
        <v>-</v>
      </c>
      <c r="AT371" s="3" t="str">
        <f t="shared" si="189"/>
        <v>-</v>
      </c>
      <c r="AU371" s="3" t="str">
        <f t="shared" si="190"/>
        <v>-</v>
      </c>
      <c r="AV371" s="3">
        <f t="shared" si="191"/>
        <v>20</v>
      </c>
      <c r="AW371" s="3">
        <f t="shared" si="192"/>
        <v>2</v>
      </c>
      <c r="AX371" s="3">
        <f t="shared" si="193"/>
        <v>9</v>
      </c>
      <c r="AY371" s="3">
        <f t="shared" si="194"/>
        <v>8</v>
      </c>
      <c r="AZ371" s="3">
        <f t="shared" si="195"/>
        <v>1</v>
      </c>
      <c r="BA371" s="3">
        <f>IF(ISERROR(LEN(VLOOKUP(A371,Seqs!A:E,2,FALSE))-AL371),"-",LEN(VLOOKUP(A371,Seqs!A:E,2,FALSE))-AL371)</f>
        <v>40</v>
      </c>
      <c r="BB371" s="16">
        <f t="shared" si="196"/>
        <v>31</v>
      </c>
      <c r="BC371" s="9" t="str">
        <f t="shared" si="197"/>
        <v>-</v>
      </c>
      <c r="BD371" s="3">
        <f t="shared" si="198"/>
        <v>31</v>
      </c>
      <c r="BE371" s="3">
        <f t="shared" si="199"/>
        <v>37</v>
      </c>
    </row>
    <row r="372" spans="1:58" s="3" customFormat="1" x14ac:dyDescent="0.2">
      <c r="A372" s="3" t="s">
        <v>116</v>
      </c>
      <c r="B372" s="3" t="str">
        <f>LOWER(VLOOKUP(A372,Xtal_Templ!A:B,2,FALSE))</f>
        <v>grm5_human</v>
      </c>
      <c r="C372" s="3">
        <f>VLOOKUP($A372,'SegEnds_NonXtal_BW#'!$A:$Z,3,FALSE)+D372-50</f>
        <v>575</v>
      </c>
      <c r="D372" s="3">
        <v>591</v>
      </c>
      <c r="E372" s="3">
        <f>IF(ISERROR(VLOOKUP($A372,'SegEnds_NonXtal_BW#'!$A:$Z,4,FALSE)+VLOOKUP($A372,A:AL,4,FALSE)-50),"-",(VLOOKUP($A372,'SegEnds_NonXtal_BW#'!$A:$Z,4,FALSE)+VLOOKUP($A372,A:AL,4,FALSE)-50))</f>
        <v>601</v>
      </c>
      <c r="F372" s="3">
        <f t="shared" si="209"/>
        <v>604</v>
      </c>
      <c r="G372" s="3">
        <v>607</v>
      </c>
      <c r="H372" s="3">
        <f t="shared" si="210"/>
        <v>610</v>
      </c>
      <c r="I372" s="3">
        <f t="shared" si="211"/>
        <v>611</v>
      </c>
      <c r="J372" s="3">
        <v>622</v>
      </c>
      <c r="K372" s="3">
        <f>VLOOKUP($A372,'SegEnds_NonXtal_BW#'!$A:$Z,8,FALSE)+VLOOKUP($A372,A:AL,10,FALSE)-50</f>
        <v>633</v>
      </c>
      <c r="L372" s="3" t="str">
        <f>IF(ISERROR(VLOOKUP($A372,'SegEnds_NonXtal_BW#'!$A:$Z,9,FALSE)+VLOOKUP($A372,A:AL,13,FALSE)-50),"-",(VLOOKUP($A372,'SegEnds_NonXtal_BW#'!$A:$Z,9,FALSE)+VLOOKUP($A372,A:AL,13,FALSE)-50))</f>
        <v>-</v>
      </c>
      <c r="M372" s="3" t="s">
        <v>23</v>
      </c>
      <c r="N372" s="3" t="str">
        <f>IF(ISERROR(VLOOKUP($A372,'SegEnds_NonXtal_BW#'!$A:$Z,10,FALSE)+VLOOKUP($A372,A:AL,13,FALSE)-50),"-",(VLOOKUP($A372,'SegEnds_NonXtal_BW#'!$A:$Z,10,FALSE)+VLOOKUP($A372,A:AL,13,FALSE)-50))</f>
        <v>-</v>
      </c>
      <c r="O372" s="3">
        <f>VLOOKUP($A372,'SegEnds_NonXtal_BW#'!$A:$Z,11,FALSE)+VLOOKUP($A372,A:AL,16,FALSE)-50</f>
        <v>638</v>
      </c>
      <c r="P372" s="3">
        <v>666</v>
      </c>
      <c r="Q372" s="3">
        <f>VLOOKUP($A372,'SegEnds_NonXtal_BW#'!$A:$Z,12,FALSE)+VLOOKUP($A372,A:AL,16,FALSE)-50</f>
        <v>670</v>
      </c>
      <c r="R372" s="3" t="str">
        <f>IF(ISERROR(VLOOKUP($A372,'SegEnds_NonXtal_BW#'!$A:$Z,13,FALSE)+VLOOKUP($A372,A:AL,19,FALSE)-50),"-",VLOOKUP($A372,'SegEnds_NonXtal_BW#'!$A:$Z,13,FALSE)+VLOOKUP($A372,A:AL,19,FALSE)-50)</f>
        <v>-</v>
      </c>
      <c r="S372" s="3" t="s">
        <v>23</v>
      </c>
      <c r="T372" s="103" t="str">
        <f>IF(ISERROR(VLOOKUP($A372,'SegEnds_NonXtal_BW#'!$A:$Z,14,FALSE)+VLOOKUP($A372,A:AL,19,FALSE)-50),"-",(VLOOKUP($A372,'SegEnds_NonXtal_BW#'!$A:$Z,14,FALSE)+VLOOKUP($A372,A:AL,19,FALSE)-50))</f>
        <v>-</v>
      </c>
      <c r="U372" s="9">
        <f>IF(ISERROR(VLOOKUP($A372,'SegEnds_NonXtal_BW#'!$A:$Z,15,FALSE)+VLOOKUP($A372,A:AL,22,FALSE)-50),"-",VLOOKUP($A372,'SegEnds_NonXtal_BW#'!$A:$Z,15,FALSE)+VLOOKUP($A372,A:AL,22,FALSE)-50)</f>
        <v>684</v>
      </c>
      <c r="V372" s="3">
        <v>696</v>
      </c>
      <c r="W372" s="3">
        <f>IF(ISERROR(VLOOKUP($A372,'SegEnds_NonXtal_BW#'!$A:$Z,16,FALSE)+VLOOKUP($A372,A:AL,22,FALSE)-50),"-",(VLOOKUP($A372,'SegEnds_NonXtal_BW#'!$A:$Z,16,FALSE)+VLOOKUP($A372,A:AL,22,FALSE)-50))</f>
        <v>710</v>
      </c>
      <c r="X372" s="3">
        <f>IF(ISERROR(VLOOKUP($A372,'SegEnds_NonXtal_BW#'!$A:$Z,17,FALSE)+VLOOKUP($A372,A:AL,25,FALSE)-50),"-",(VLOOKUP($A372,'SegEnds_NonXtal_BW#'!$A:$Z,17,FALSE)+VLOOKUP($A372,A:AL,25,FALSE)-50))</f>
        <v>730</v>
      </c>
      <c r="Y372" s="3">
        <v>730</v>
      </c>
      <c r="Z372" s="3">
        <f t="shared" si="207"/>
        <v>732</v>
      </c>
      <c r="AA372" s="3">
        <f>IF(ISERROR(VLOOKUP($A372,'SegEnds_NonXtal_BW#'!$A:$Z,19,FALSE)+VLOOKUP($A372,A:AL,28,FALSE)-50),"-",(VLOOKUP($A372,'SegEnds_NonXtal_BW#'!$A:$Z,19,FALSE)+VLOOKUP($A372,A:AL,28,FALSE)-50))</f>
        <v>734</v>
      </c>
      <c r="AB372" s="3">
        <v>747</v>
      </c>
      <c r="AC372" s="3">
        <f>IF(ISERROR((VLOOKUP($A372,'SegEnds_NonXtal_BW#'!$A:$Z,20,FALSE)+VLOOKUP($A372,A:AL,28,FALSE)-50)),"-",(VLOOKUP($A372,'SegEnds_NonXtal_BW#'!$A:$Z,20,FALSE)+VLOOKUP($A372,A:AL,28,FALSE)-50))</f>
        <v>758</v>
      </c>
      <c r="AD372" s="3">
        <f>IF(ISERROR(VLOOKUP($A372,'SegEnds_NonXtal_BW#'!$A:$Z,21,FALSE)+VLOOKUP($A372,A:AL,31,FALSE)-50),"-",(VLOOKUP($A372,'SegEnds_NonXtal_BW#'!$A:$Z,21,FALSE)+VLOOKUP($A372,A:AL,31,FALSE)-50))</f>
        <v>767</v>
      </c>
      <c r="AE372" s="3">
        <v>784</v>
      </c>
      <c r="AF372" s="3">
        <f>IF(ISERROR((VLOOKUP($A372,'SegEnds_NonXtal_BW#'!$A:$Z,22,FALSE)+VLOOKUP($A372,A:AL,31,FALSE)-50)),"-",(VLOOKUP($A372,'SegEnds_NonXtal_BW#'!$A:$Z,22,FALSE)+VLOOKUP($A372,A:AL,31,FALSE)-50))</f>
        <v>791</v>
      </c>
      <c r="AG372" s="3">
        <f>IF(ISERROR(VLOOKUP($A372,'SegEnds_NonXtal_BW#'!$A:$Z,23,FALSE)+VLOOKUP($A372,A:AL,34,FALSE)-50),"-",(VLOOKUP($A372,'SegEnds_NonXtal_BW#'!$A:$Z,23,FALSE)+VLOOKUP($A372,A:AL,34,FALSE)-50))</f>
        <v>799</v>
      </c>
      <c r="AH372" s="3">
        <v>815</v>
      </c>
      <c r="AI372" s="3">
        <f>IF(ISERROR((VLOOKUP($A372,'SegEnds_NonXtal_BW#'!$A:$Z,24,FALSE)+VLOOKUP($A372,A:AL,34,FALSE)-50)),"-",(VLOOKUP($A372,'SegEnds_NonXtal_BW#'!$A:$Z,24,FALSE)+VLOOKUP($A372,A:AL,34,FALSE)-50))</f>
        <v>828</v>
      </c>
      <c r="AJ372" s="3">
        <f>IF(ISERROR(VLOOKUP($A372,'SegEnds_NonXtal_BW#'!$A:$Z,25,FALSE)+VLOOKUP($A372,A:AL,37,FALSE)-50),"-",(VLOOKUP($A372,'SegEnds_NonXtal_BW#'!$A:$Z,25,FALSE)+VLOOKUP($A372,A:AL,37,FALSE)-50))</f>
        <v>829</v>
      </c>
      <c r="AK372" s="3">
        <v>832</v>
      </c>
      <c r="AL372" s="3">
        <f>IF(ISERROR((VLOOKUP($A372,'SegEnds_NonXtal_BW#'!$A:$Z,26,FALSE)+VLOOKUP($A372,A:AL,37,FALSE)-50)),"-",(VLOOKUP($A372,'SegEnds_NonXtal_BW#'!$A:$Z,26,FALSE)+VLOOKUP($A372,A:AL,37,FALSE)-50))</f>
        <v>841</v>
      </c>
      <c r="AM372" s="28" t="str">
        <f>VLOOKUP(A372,Classification!A:B,2,FALSE)</f>
        <v>C</v>
      </c>
      <c r="AN372" s="28" t="b">
        <f t="shared" si="200"/>
        <v>1</v>
      </c>
      <c r="AO372" s="3" t="str">
        <f>IF(ISERROR(MATCH(A372,'SegEnds_Xtal_Prot#'!B:B, 0)), "NoXtal", "Xtal")</f>
        <v>NoXtal</v>
      </c>
      <c r="AP372" s="3">
        <f t="shared" si="185"/>
        <v>3</v>
      </c>
      <c r="AQ372" s="3">
        <f t="shared" si="186"/>
        <v>1</v>
      </c>
      <c r="AR372" s="3" t="str">
        <f t="shared" si="187"/>
        <v>-</v>
      </c>
      <c r="AS372" s="3" t="str">
        <f t="shared" si="188"/>
        <v>-</v>
      </c>
      <c r="AT372" s="3" t="str">
        <f t="shared" si="189"/>
        <v>-</v>
      </c>
      <c r="AU372" s="3" t="str">
        <f t="shared" si="190"/>
        <v>-</v>
      </c>
      <c r="AV372" s="3">
        <f t="shared" si="191"/>
        <v>20</v>
      </c>
      <c r="AW372" s="3">
        <f t="shared" si="192"/>
        <v>2</v>
      </c>
      <c r="AX372" s="3">
        <f t="shared" si="193"/>
        <v>9</v>
      </c>
      <c r="AY372" s="3">
        <f t="shared" si="194"/>
        <v>8</v>
      </c>
      <c r="AZ372" s="3">
        <f t="shared" si="195"/>
        <v>1</v>
      </c>
      <c r="BA372" s="3">
        <f>IF(ISERROR(LEN(VLOOKUP(A372,Seqs!A:E,2,FALSE))-AL372),"-",LEN(VLOOKUP(A372,Seqs!A:E,2,FALSE))-AL372)</f>
        <v>38</v>
      </c>
      <c r="BB372" s="16">
        <f t="shared" si="196"/>
        <v>31</v>
      </c>
      <c r="BC372" s="9" t="str">
        <f t="shared" si="197"/>
        <v>-</v>
      </c>
      <c r="BD372" s="3">
        <f t="shared" si="198"/>
        <v>31</v>
      </c>
      <c r="BE372" s="3">
        <f t="shared" si="199"/>
        <v>37</v>
      </c>
    </row>
    <row r="373" spans="1:58" s="3" customFormat="1" x14ac:dyDescent="0.2">
      <c r="A373" s="3" t="s">
        <v>117</v>
      </c>
      <c r="B373" s="3" t="str">
        <f>LOWER(VLOOKUP(A373,Xtal_Templ!A:B,2,FALSE))</f>
        <v>grm5_human</v>
      </c>
      <c r="C373" s="3">
        <f>VLOOKUP($A373,'SegEnds_NonXtal_BW#'!$A:$Z,3,FALSE)+D373-50</f>
        <v>586</v>
      </c>
      <c r="D373" s="3">
        <v>602</v>
      </c>
      <c r="E373" s="3">
        <f>IF(ISERROR(VLOOKUP($A373,'SegEnds_NonXtal_BW#'!$A:$Z,4,FALSE)+VLOOKUP($A373,A:AL,4,FALSE)-50),"-",(VLOOKUP($A373,'SegEnds_NonXtal_BW#'!$A:$Z,4,FALSE)+VLOOKUP($A373,A:AL,4,FALSE)-50))</f>
        <v>612</v>
      </c>
      <c r="F373" s="3">
        <f t="shared" si="209"/>
        <v>615</v>
      </c>
      <c r="G373" s="3">
        <v>618</v>
      </c>
      <c r="H373" s="3">
        <f t="shared" si="210"/>
        <v>621</v>
      </c>
      <c r="I373" s="3">
        <f t="shared" si="211"/>
        <v>622</v>
      </c>
      <c r="J373" s="3">
        <v>633</v>
      </c>
      <c r="K373" s="3">
        <f>VLOOKUP($A373,'SegEnds_NonXtal_BW#'!$A:$Z,8,FALSE)+VLOOKUP($A373,A:AL,10,FALSE)-50</f>
        <v>644</v>
      </c>
      <c r="L373" s="3" t="str">
        <f>IF(ISERROR(VLOOKUP($A373,'SegEnds_NonXtal_BW#'!$A:$Z,9,FALSE)+VLOOKUP($A373,A:AL,13,FALSE)-50),"-",(VLOOKUP($A373,'SegEnds_NonXtal_BW#'!$A:$Z,9,FALSE)+VLOOKUP($A373,A:AL,13,FALSE)-50))</f>
        <v>-</v>
      </c>
      <c r="M373" s="3" t="s">
        <v>23</v>
      </c>
      <c r="N373" s="3" t="str">
        <f>IF(ISERROR(VLOOKUP($A373,'SegEnds_NonXtal_BW#'!$A:$Z,10,FALSE)+VLOOKUP($A373,A:AL,13,FALSE)-50),"-",(VLOOKUP($A373,'SegEnds_NonXtal_BW#'!$A:$Z,10,FALSE)+VLOOKUP($A373,A:AL,13,FALSE)-50))</f>
        <v>-</v>
      </c>
      <c r="O373" s="3">
        <f>VLOOKUP($A373,'SegEnds_NonXtal_BW#'!$A:$Z,11,FALSE)+VLOOKUP($A373,A:AL,16,FALSE)-50</f>
        <v>649</v>
      </c>
      <c r="P373" s="3">
        <v>677</v>
      </c>
      <c r="Q373" s="3">
        <f>VLOOKUP($A373,'SegEnds_NonXtal_BW#'!$A:$Z,12,FALSE)+VLOOKUP($A373,A:AL,16,FALSE)-50</f>
        <v>681</v>
      </c>
      <c r="R373" s="3" t="str">
        <f>IF(ISERROR(VLOOKUP($A373,'SegEnds_NonXtal_BW#'!$A:$Z,13,FALSE)+VLOOKUP($A373,A:AL,19,FALSE)-50),"-",VLOOKUP($A373,'SegEnds_NonXtal_BW#'!$A:$Z,13,FALSE)+VLOOKUP($A373,A:AL,19,FALSE)-50)</f>
        <v>-</v>
      </c>
      <c r="S373" s="3" t="s">
        <v>23</v>
      </c>
      <c r="T373" s="103" t="str">
        <f>IF(ISERROR(VLOOKUP($A373,'SegEnds_NonXtal_BW#'!$A:$Z,14,FALSE)+VLOOKUP($A373,A:AL,19,FALSE)-50),"-",(VLOOKUP($A373,'SegEnds_NonXtal_BW#'!$A:$Z,14,FALSE)+VLOOKUP($A373,A:AL,19,FALSE)-50))</f>
        <v>-</v>
      </c>
      <c r="U373" s="9">
        <f>IF(ISERROR(VLOOKUP($A373,'SegEnds_NonXtal_BW#'!$A:$Z,15,FALSE)+VLOOKUP($A373,A:AL,22,FALSE)-50),"-",VLOOKUP($A373,'SegEnds_NonXtal_BW#'!$A:$Z,15,FALSE)+VLOOKUP($A373,A:AL,22,FALSE)-50)</f>
        <v>695</v>
      </c>
      <c r="V373" s="3">
        <v>707</v>
      </c>
      <c r="W373" s="3">
        <f>IF(ISERROR(VLOOKUP($A373,'SegEnds_NonXtal_BW#'!$A:$Z,16,FALSE)+VLOOKUP($A373,A:AL,22,FALSE)-50),"-",(VLOOKUP($A373,'SegEnds_NonXtal_BW#'!$A:$Z,16,FALSE)+VLOOKUP($A373,A:AL,22,FALSE)-50))</f>
        <v>721</v>
      </c>
      <c r="X373" s="3">
        <f>IF(ISERROR(VLOOKUP($A373,'SegEnds_NonXtal_BW#'!$A:$Z,17,FALSE)+VLOOKUP($A373,A:AL,25,FALSE)-50),"-",(VLOOKUP($A373,'SegEnds_NonXtal_BW#'!$A:$Z,17,FALSE)+VLOOKUP($A373,A:AL,25,FALSE)-50))</f>
        <v>746</v>
      </c>
      <c r="Y373" s="3">
        <v>746</v>
      </c>
      <c r="Z373" s="3">
        <f t="shared" si="207"/>
        <v>748</v>
      </c>
      <c r="AA373" s="3">
        <f>IF(ISERROR(VLOOKUP($A373,'SegEnds_NonXtal_BW#'!$A:$Z,19,FALSE)+VLOOKUP($A373,A:AL,28,FALSE)-50),"-",(VLOOKUP($A373,'SegEnds_NonXtal_BW#'!$A:$Z,19,FALSE)+VLOOKUP($A373,A:AL,28,FALSE)-50))</f>
        <v>750</v>
      </c>
      <c r="AB373" s="3">
        <v>763</v>
      </c>
      <c r="AC373" s="3">
        <f>IF(ISERROR((VLOOKUP($A373,'SegEnds_NonXtal_BW#'!$A:$Z,20,FALSE)+VLOOKUP($A373,A:AL,28,FALSE)-50)),"-",(VLOOKUP($A373,'SegEnds_NonXtal_BW#'!$A:$Z,20,FALSE)+VLOOKUP($A373,A:AL,28,FALSE)-50))</f>
        <v>774</v>
      </c>
      <c r="AD373" s="3">
        <f>IF(ISERROR(VLOOKUP($A373,'SegEnds_NonXtal_BW#'!$A:$Z,21,FALSE)+VLOOKUP($A373,A:AL,31,FALSE)-50),"-",(VLOOKUP($A373,'SegEnds_NonXtal_BW#'!$A:$Z,21,FALSE)+VLOOKUP($A373,A:AL,31,FALSE)-50))</f>
        <v>783</v>
      </c>
      <c r="AE373" s="3">
        <v>800</v>
      </c>
      <c r="AF373" s="3">
        <f>IF(ISERROR((VLOOKUP($A373,'SegEnds_NonXtal_BW#'!$A:$Z,22,FALSE)+VLOOKUP($A373,A:AL,31,FALSE)-50)),"-",(VLOOKUP($A373,'SegEnds_NonXtal_BW#'!$A:$Z,22,FALSE)+VLOOKUP($A373,A:AL,31,FALSE)-50))</f>
        <v>807</v>
      </c>
      <c r="AG373" s="3">
        <f>IF(ISERROR(VLOOKUP($A373,'SegEnds_NonXtal_BW#'!$A:$Z,23,FALSE)+VLOOKUP($A373,A:AL,34,FALSE)-50),"-",(VLOOKUP($A373,'SegEnds_NonXtal_BW#'!$A:$Z,23,FALSE)+VLOOKUP($A373,A:AL,34,FALSE)-50))</f>
        <v>818</v>
      </c>
      <c r="AH373" s="3">
        <v>834</v>
      </c>
      <c r="AI373" s="3">
        <f>IF(ISERROR((VLOOKUP($A373,'SegEnds_NonXtal_BW#'!$A:$Z,24,FALSE)+VLOOKUP($A373,A:AL,34,FALSE)-50)),"-",(VLOOKUP($A373,'SegEnds_NonXtal_BW#'!$A:$Z,24,FALSE)+VLOOKUP($A373,A:AL,34,FALSE)-50))</f>
        <v>847</v>
      </c>
      <c r="AJ373" s="3">
        <f>IF(ISERROR(VLOOKUP($A373,'SegEnds_NonXtal_BW#'!$A:$Z,25,FALSE)+VLOOKUP($A373,A:AL,37,FALSE)-50),"-",(VLOOKUP($A373,'SegEnds_NonXtal_BW#'!$A:$Z,25,FALSE)+VLOOKUP($A373,A:AL,37,FALSE)-50))</f>
        <v>848</v>
      </c>
      <c r="AK373" s="3">
        <v>851</v>
      </c>
      <c r="AL373" s="3">
        <f>IF(ISERROR((VLOOKUP($A373,'SegEnds_NonXtal_BW#'!$A:$Z,26,FALSE)+VLOOKUP($A373,A:AL,37,FALSE)-50)),"-",(VLOOKUP($A373,'SegEnds_NonXtal_BW#'!$A:$Z,26,FALSE)+VLOOKUP($A373,A:AL,37,FALSE)-50))</f>
        <v>860</v>
      </c>
      <c r="AM373" s="28" t="str">
        <f>VLOOKUP(A373,Classification!A:B,2,FALSE)</f>
        <v>C</v>
      </c>
      <c r="AN373" s="28" t="b">
        <f t="shared" si="200"/>
        <v>1</v>
      </c>
      <c r="AO373" s="3" t="str">
        <f>IF(ISERROR(MATCH(A373,'SegEnds_Xtal_Prot#'!B:B, 0)), "NoXtal", "Xtal")</f>
        <v>NoXtal</v>
      </c>
      <c r="AP373" s="3">
        <f t="shared" si="185"/>
        <v>3</v>
      </c>
      <c r="AQ373" s="3">
        <f t="shared" si="186"/>
        <v>1</v>
      </c>
      <c r="AR373" s="3" t="str">
        <f t="shared" si="187"/>
        <v>-</v>
      </c>
      <c r="AS373" s="3" t="str">
        <f t="shared" si="188"/>
        <v>-</v>
      </c>
      <c r="AT373" s="3" t="str">
        <f t="shared" si="189"/>
        <v>-</v>
      </c>
      <c r="AU373" s="3" t="str">
        <f t="shared" si="190"/>
        <v>-</v>
      </c>
      <c r="AV373" s="3">
        <f t="shared" si="191"/>
        <v>25</v>
      </c>
      <c r="AW373" s="3">
        <f t="shared" si="192"/>
        <v>2</v>
      </c>
      <c r="AX373" s="3">
        <f t="shared" si="193"/>
        <v>9</v>
      </c>
      <c r="AY373" s="3">
        <f t="shared" si="194"/>
        <v>11</v>
      </c>
      <c r="AZ373" s="3">
        <f t="shared" si="195"/>
        <v>1</v>
      </c>
      <c r="BA373" s="3">
        <f>IF(ISERROR(LEN(VLOOKUP(A373,Seqs!A:E,2,FALSE))-AL373),"-",LEN(VLOOKUP(A373,Seqs!A:E,2,FALSE))-AL373)</f>
        <v>52</v>
      </c>
      <c r="BB373" s="16">
        <f t="shared" si="196"/>
        <v>31</v>
      </c>
      <c r="BC373" s="9" t="str">
        <f t="shared" si="197"/>
        <v>-</v>
      </c>
      <c r="BD373" s="3">
        <f t="shared" si="198"/>
        <v>31</v>
      </c>
      <c r="BE373" s="3">
        <f t="shared" si="199"/>
        <v>37</v>
      </c>
    </row>
    <row r="374" spans="1:58" s="3" customFormat="1" x14ac:dyDescent="0.2">
      <c r="A374" s="3" t="s">
        <v>41</v>
      </c>
      <c r="B374" s="3" t="str">
        <f>LOWER(VLOOKUP(A374,Xtal_Templ!A:B,2,FALSE))</f>
        <v>grm5_human</v>
      </c>
      <c r="C374" s="3">
        <f>VLOOKUP($A374,'SegEnds_NonXtal_BW#'!$A:$Z,3,FALSE)+D374-50</f>
        <v>578</v>
      </c>
      <c r="D374" s="3">
        <v>594</v>
      </c>
      <c r="E374" s="3">
        <f>IF(ISERROR(VLOOKUP($A374,'SegEnds_NonXtal_BW#'!$A:$Z,4,FALSE)+VLOOKUP($A374,A:AL,4,FALSE)-50),"-",(VLOOKUP($A374,'SegEnds_NonXtal_BW#'!$A:$Z,4,FALSE)+VLOOKUP($A374,A:AL,4,FALSE)-50))</f>
        <v>604</v>
      </c>
      <c r="F374" s="3">
        <f t="shared" si="209"/>
        <v>607</v>
      </c>
      <c r="G374" s="3">
        <v>610</v>
      </c>
      <c r="H374" s="3">
        <f t="shared" si="210"/>
        <v>613</v>
      </c>
      <c r="I374" s="3">
        <f t="shared" si="211"/>
        <v>614</v>
      </c>
      <c r="J374" s="3">
        <v>625</v>
      </c>
      <c r="K374" s="3">
        <f>VLOOKUP($A374,'SegEnds_NonXtal_BW#'!$A:$Z,8,FALSE)+VLOOKUP($A374,A:AL,10,FALSE)-50</f>
        <v>636</v>
      </c>
      <c r="L374" s="3" t="str">
        <f>IF(ISERROR(VLOOKUP($A374,'SegEnds_NonXtal_BW#'!$A:$Z,9,FALSE)+VLOOKUP($A374,A:AL,13,FALSE)-50),"-",(VLOOKUP($A374,'SegEnds_NonXtal_BW#'!$A:$Z,9,FALSE)+VLOOKUP($A374,A:AL,13,FALSE)-50))</f>
        <v>-</v>
      </c>
      <c r="M374" s="3" t="s">
        <v>23</v>
      </c>
      <c r="N374" s="3" t="str">
        <f>IF(ISERROR(VLOOKUP($A374,'SegEnds_NonXtal_BW#'!$A:$Z,10,FALSE)+VLOOKUP($A374,A:AL,13,FALSE)-50),"-",(VLOOKUP($A374,'SegEnds_NonXtal_BW#'!$A:$Z,10,FALSE)+VLOOKUP($A374,A:AL,13,FALSE)-50))</f>
        <v>-</v>
      </c>
      <c r="O374" s="3">
        <f>VLOOKUP($A374,'SegEnds_NonXtal_BW#'!$A:$Z,11,FALSE)+VLOOKUP($A374,A:AL,16,FALSE)-50</f>
        <v>641</v>
      </c>
      <c r="P374" s="3">
        <v>669</v>
      </c>
      <c r="Q374" s="3">
        <f>VLOOKUP($A374,'SegEnds_NonXtal_BW#'!$A:$Z,12,FALSE)+VLOOKUP($A374,A:AL,16,FALSE)-50</f>
        <v>673</v>
      </c>
      <c r="R374" s="3" t="str">
        <f>IF(ISERROR(VLOOKUP($A374,'SegEnds_NonXtal_BW#'!$A:$Z,13,FALSE)+VLOOKUP($A374,A:AL,19,FALSE)-50),"-",VLOOKUP($A374,'SegEnds_NonXtal_BW#'!$A:$Z,13,FALSE)+VLOOKUP($A374,A:AL,19,FALSE)-50)</f>
        <v>-</v>
      </c>
      <c r="S374" s="3" t="s">
        <v>23</v>
      </c>
      <c r="T374" s="103" t="str">
        <f>IF(ISERROR(VLOOKUP($A374,'SegEnds_NonXtal_BW#'!$A:$Z,14,FALSE)+VLOOKUP($A374,A:AL,19,FALSE)-50),"-",(VLOOKUP($A374,'SegEnds_NonXtal_BW#'!$A:$Z,14,FALSE)+VLOOKUP($A374,A:AL,19,FALSE)-50))</f>
        <v>-</v>
      </c>
      <c r="U374" s="9">
        <f>IF(ISERROR(VLOOKUP($A374,'SegEnds_NonXtal_BW#'!$A:$Z,15,FALSE)+VLOOKUP($A374,A:AL,22,FALSE)-50),"-",VLOOKUP($A374,'SegEnds_NonXtal_BW#'!$A:$Z,15,FALSE)+VLOOKUP($A374,A:AL,22,FALSE)-50)</f>
        <v>689</v>
      </c>
      <c r="V374" s="3">
        <v>701</v>
      </c>
      <c r="W374" s="3">
        <f>IF(ISERROR(VLOOKUP($A374,'SegEnds_NonXtal_BW#'!$A:$Z,16,FALSE)+VLOOKUP($A374,A:AL,22,FALSE)-50),"-",(VLOOKUP($A374,'SegEnds_NonXtal_BW#'!$A:$Z,16,FALSE)+VLOOKUP($A374,A:AL,22,FALSE)-50))</f>
        <v>715</v>
      </c>
      <c r="X374" s="3">
        <f>IF(ISERROR(VLOOKUP($A374,'SegEnds_NonXtal_BW#'!$A:$Z,17,FALSE)+VLOOKUP($A374,A:AL,25,FALSE)-50),"-",(VLOOKUP($A374,'SegEnds_NonXtal_BW#'!$A:$Z,17,FALSE)+VLOOKUP($A374,A:AL,25,FALSE)-50))</f>
        <v>733</v>
      </c>
      <c r="Y374" s="3">
        <v>733</v>
      </c>
      <c r="Z374" s="3">
        <f t="shared" si="207"/>
        <v>735</v>
      </c>
      <c r="AA374" s="3">
        <f>IF(ISERROR(VLOOKUP($A374,'SegEnds_NonXtal_BW#'!$A:$Z,19,FALSE)+VLOOKUP($A374,A:AL,28,FALSE)-50),"-",(VLOOKUP($A374,'SegEnds_NonXtal_BW#'!$A:$Z,19,FALSE)+VLOOKUP($A374,A:AL,28,FALSE)-50))</f>
        <v>737</v>
      </c>
      <c r="AB374" s="3">
        <v>750</v>
      </c>
      <c r="AC374" s="3">
        <f>IF(ISERROR((VLOOKUP($A374,'SegEnds_NonXtal_BW#'!$A:$Z,20,FALSE)+VLOOKUP($A374,A:AL,28,FALSE)-50)),"-",(VLOOKUP($A374,'SegEnds_NonXtal_BW#'!$A:$Z,20,FALSE)+VLOOKUP($A374,A:AL,28,FALSE)-50))</f>
        <v>761</v>
      </c>
      <c r="AD374" s="3">
        <f>IF(ISERROR(VLOOKUP($A374,'SegEnds_NonXtal_BW#'!$A:$Z,21,FALSE)+VLOOKUP($A374,A:AL,31,FALSE)-50),"-",(VLOOKUP($A374,'SegEnds_NonXtal_BW#'!$A:$Z,21,FALSE)+VLOOKUP($A374,A:AL,31,FALSE)-50))</f>
        <v>770</v>
      </c>
      <c r="AE374" s="3">
        <v>787</v>
      </c>
      <c r="AF374" s="3">
        <f>IF(ISERROR((VLOOKUP($A374,'SegEnds_NonXtal_BW#'!$A:$Z,22,FALSE)+VLOOKUP($A374,A:AL,31,FALSE)-50)),"-",(VLOOKUP($A374,'SegEnds_NonXtal_BW#'!$A:$Z,22,FALSE)+VLOOKUP($A374,A:AL,31,FALSE)-50))</f>
        <v>794</v>
      </c>
      <c r="AG374" s="3">
        <f>IF(ISERROR(VLOOKUP($A374,'SegEnds_NonXtal_BW#'!$A:$Z,23,FALSE)+VLOOKUP($A374,A:AL,34,FALSE)-50),"-",(VLOOKUP($A374,'SegEnds_NonXtal_BW#'!$A:$Z,23,FALSE)+VLOOKUP($A374,A:AL,34,FALSE)-50))</f>
        <v>798</v>
      </c>
      <c r="AH374" s="3">
        <v>814</v>
      </c>
      <c r="AI374" s="3">
        <f>IF(ISERROR((VLOOKUP($A374,'SegEnds_NonXtal_BW#'!$A:$Z,24,FALSE)+VLOOKUP($A374,A:AL,34,FALSE)-50)),"-",(VLOOKUP($A374,'SegEnds_NonXtal_BW#'!$A:$Z,24,FALSE)+VLOOKUP($A374,A:AL,34,FALSE)-50))</f>
        <v>827</v>
      </c>
      <c r="AJ374" s="3">
        <f>IF(ISERROR(VLOOKUP($A374,'SegEnds_NonXtal_BW#'!$A:$Z,25,FALSE)+VLOOKUP($A374,A:AL,37,FALSE)-50),"-",(VLOOKUP($A374,'SegEnds_NonXtal_BW#'!$A:$Z,25,FALSE)+VLOOKUP($A374,A:AL,37,FALSE)-50))</f>
        <v>828</v>
      </c>
      <c r="AK374" s="3">
        <v>831</v>
      </c>
      <c r="AL374" s="3">
        <f>IF(ISERROR((VLOOKUP($A374,'SegEnds_NonXtal_BW#'!$A:$Z,26,FALSE)+VLOOKUP($A374,A:AL,37,FALSE)-50)),"-",(VLOOKUP($A374,'SegEnds_NonXtal_BW#'!$A:$Z,26,FALSE)+VLOOKUP($A374,A:AL,37,FALSE)-50))</f>
        <v>840</v>
      </c>
      <c r="AM374" s="28" t="str">
        <f>VLOOKUP(A374,Classification!A:B,2,FALSE)</f>
        <v>C</v>
      </c>
      <c r="AN374" s="28" t="b">
        <f t="shared" si="200"/>
        <v>1</v>
      </c>
      <c r="AO374" s="3" t="str">
        <f>IF(ISERROR(MATCH(A374,'SegEnds_Xtal_Prot#'!B:B, 0)), "NoXtal", "Xtal")</f>
        <v>Xtal</v>
      </c>
      <c r="AP374" s="3">
        <f t="shared" si="185"/>
        <v>3</v>
      </c>
      <c r="AQ374" s="3">
        <f t="shared" si="186"/>
        <v>1</v>
      </c>
      <c r="AR374" s="3" t="str">
        <f t="shared" si="187"/>
        <v>-</v>
      </c>
      <c r="AS374" s="3" t="str">
        <f t="shared" si="188"/>
        <v>-</v>
      </c>
      <c r="AT374" s="3" t="str">
        <f t="shared" si="189"/>
        <v>-</v>
      </c>
      <c r="AU374" s="3" t="str">
        <f t="shared" si="190"/>
        <v>-</v>
      </c>
      <c r="AV374" s="3">
        <f t="shared" si="191"/>
        <v>18</v>
      </c>
      <c r="AW374" s="3">
        <f t="shared" si="192"/>
        <v>2</v>
      </c>
      <c r="AX374" s="3">
        <f t="shared" si="193"/>
        <v>9</v>
      </c>
      <c r="AY374" s="3">
        <f t="shared" si="194"/>
        <v>4</v>
      </c>
      <c r="AZ374" s="3">
        <f t="shared" si="195"/>
        <v>1</v>
      </c>
      <c r="BA374" s="3">
        <f>IF(ISERROR(LEN(VLOOKUP(A374,Seqs!A:E,2,FALSE))-AL374),"-",LEN(VLOOKUP(A374,Seqs!A:E,2,FALSE))-AL374)</f>
        <v>372</v>
      </c>
      <c r="BB374" s="16">
        <f t="shared" si="196"/>
        <v>31</v>
      </c>
      <c r="BC374" s="9" t="str">
        <f t="shared" si="197"/>
        <v>-</v>
      </c>
      <c r="BD374" s="3">
        <f t="shared" si="198"/>
        <v>31</v>
      </c>
      <c r="BE374" s="3">
        <f t="shared" si="199"/>
        <v>37</v>
      </c>
    </row>
    <row r="375" spans="1:58" s="3" customFormat="1" x14ac:dyDescent="0.2">
      <c r="A375" s="3" t="s">
        <v>118</v>
      </c>
      <c r="B375" s="3" t="str">
        <f>LOWER(VLOOKUP(A375,Xtal_Templ!A:B,2,FALSE))</f>
        <v>grm5_human</v>
      </c>
      <c r="C375" s="3">
        <f>VLOOKUP($A375,'SegEnds_NonXtal_BW#'!$A:$Z,3,FALSE)+D375-50</f>
        <v>584</v>
      </c>
      <c r="D375" s="3">
        <v>600</v>
      </c>
      <c r="E375" s="3">
        <f>IF(ISERROR(VLOOKUP($A375,'SegEnds_NonXtal_BW#'!$A:$Z,4,FALSE)+VLOOKUP($A375,A:AL,4,FALSE)-50),"-",(VLOOKUP($A375,'SegEnds_NonXtal_BW#'!$A:$Z,4,FALSE)+VLOOKUP($A375,A:AL,4,FALSE)-50))</f>
        <v>610</v>
      </c>
      <c r="F375" s="3">
        <f t="shared" si="209"/>
        <v>613</v>
      </c>
      <c r="G375" s="3">
        <v>616</v>
      </c>
      <c r="H375" s="3">
        <f t="shared" si="210"/>
        <v>619</v>
      </c>
      <c r="I375" s="3">
        <f t="shared" si="211"/>
        <v>620</v>
      </c>
      <c r="J375" s="3">
        <v>631</v>
      </c>
      <c r="K375" s="3">
        <f>VLOOKUP($A375,'SegEnds_NonXtal_BW#'!$A:$Z,8,FALSE)+VLOOKUP($A375,A:AL,10,FALSE)-50</f>
        <v>642</v>
      </c>
      <c r="L375" s="3" t="str">
        <f>IF(ISERROR(VLOOKUP($A375,'SegEnds_NonXtal_BW#'!$A:$Z,9,FALSE)+VLOOKUP($A375,A:AL,13,FALSE)-50),"-",(VLOOKUP($A375,'SegEnds_NonXtal_BW#'!$A:$Z,9,FALSE)+VLOOKUP($A375,A:AL,13,FALSE)-50))</f>
        <v>-</v>
      </c>
      <c r="M375" s="3" t="s">
        <v>23</v>
      </c>
      <c r="N375" s="3" t="str">
        <f>IF(ISERROR(VLOOKUP($A375,'SegEnds_NonXtal_BW#'!$A:$Z,10,FALSE)+VLOOKUP($A375,A:AL,13,FALSE)-50),"-",(VLOOKUP($A375,'SegEnds_NonXtal_BW#'!$A:$Z,10,FALSE)+VLOOKUP($A375,A:AL,13,FALSE)-50))</f>
        <v>-</v>
      </c>
      <c r="O375" s="3">
        <f>VLOOKUP($A375,'SegEnds_NonXtal_BW#'!$A:$Z,11,FALSE)+VLOOKUP($A375,A:AL,16,FALSE)-50</f>
        <v>647</v>
      </c>
      <c r="P375" s="3">
        <v>675</v>
      </c>
      <c r="Q375" s="3">
        <f>VLOOKUP($A375,'SegEnds_NonXtal_BW#'!$A:$Z,12,FALSE)+VLOOKUP($A375,A:AL,16,FALSE)-50</f>
        <v>679</v>
      </c>
      <c r="R375" s="3" t="str">
        <f>IF(ISERROR(VLOOKUP($A375,'SegEnds_NonXtal_BW#'!$A:$Z,13,FALSE)+VLOOKUP($A375,A:AL,19,FALSE)-50),"-",VLOOKUP($A375,'SegEnds_NonXtal_BW#'!$A:$Z,13,FALSE)+VLOOKUP($A375,A:AL,19,FALSE)-50)</f>
        <v>-</v>
      </c>
      <c r="S375" s="3" t="s">
        <v>23</v>
      </c>
      <c r="T375" s="103" t="str">
        <f>IF(ISERROR(VLOOKUP($A375,'SegEnds_NonXtal_BW#'!$A:$Z,14,FALSE)+VLOOKUP($A375,A:AL,19,FALSE)-50),"-",(VLOOKUP($A375,'SegEnds_NonXtal_BW#'!$A:$Z,14,FALSE)+VLOOKUP($A375,A:AL,19,FALSE)-50))</f>
        <v>-</v>
      </c>
      <c r="U375" s="9">
        <f>IF(ISERROR(VLOOKUP($A375,'SegEnds_NonXtal_BW#'!$A:$Z,15,FALSE)+VLOOKUP($A375,A:AL,22,FALSE)-50),"-",VLOOKUP($A375,'SegEnds_NonXtal_BW#'!$A:$Z,15,FALSE)+VLOOKUP($A375,A:AL,22,FALSE)-50)</f>
        <v>693</v>
      </c>
      <c r="V375" s="3">
        <v>705</v>
      </c>
      <c r="W375" s="3">
        <f>IF(ISERROR(VLOOKUP($A375,'SegEnds_NonXtal_BW#'!$A:$Z,16,FALSE)+VLOOKUP($A375,A:AL,22,FALSE)-50),"-",(VLOOKUP($A375,'SegEnds_NonXtal_BW#'!$A:$Z,16,FALSE)+VLOOKUP($A375,A:AL,22,FALSE)-50))</f>
        <v>719</v>
      </c>
      <c r="X375" s="3">
        <f>IF(ISERROR(VLOOKUP($A375,'SegEnds_NonXtal_BW#'!$A:$Z,17,FALSE)+VLOOKUP($A375,A:AL,25,FALSE)-50),"-",(VLOOKUP($A375,'SegEnds_NonXtal_BW#'!$A:$Z,17,FALSE)+VLOOKUP($A375,A:AL,25,FALSE)-50))</f>
        <v>744</v>
      </c>
      <c r="Y375" s="3">
        <v>744</v>
      </c>
      <c r="Z375" s="3">
        <f t="shared" si="207"/>
        <v>746</v>
      </c>
      <c r="AA375" s="3">
        <f>IF(ISERROR(VLOOKUP($A375,'SegEnds_NonXtal_BW#'!$A:$Z,19,FALSE)+VLOOKUP($A375,A:AL,28,FALSE)-50),"-",(VLOOKUP($A375,'SegEnds_NonXtal_BW#'!$A:$Z,19,FALSE)+VLOOKUP($A375,A:AL,28,FALSE)-50))</f>
        <v>748</v>
      </c>
      <c r="AB375" s="3">
        <v>761</v>
      </c>
      <c r="AC375" s="3">
        <f>IF(ISERROR((VLOOKUP($A375,'SegEnds_NonXtal_BW#'!$A:$Z,20,FALSE)+VLOOKUP($A375,A:AL,28,FALSE)-50)),"-",(VLOOKUP($A375,'SegEnds_NonXtal_BW#'!$A:$Z,20,FALSE)+VLOOKUP($A375,A:AL,28,FALSE)-50))</f>
        <v>772</v>
      </c>
      <c r="AD375" s="3">
        <f>IF(ISERROR(VLOOKUP($A375,'SegEnds_NonXtal_BW#'!$A:$Z,21,FALSE)+VLOOKUP($A375,A:AL,31,FALSE)-50),"-",(VLOOKUP($A375,'SegEnds_NonXtal_BW#'!$A:$Z,21,FALSE)+VLOOKUP($A375,A:AL,31,FALSE)-50))</f>
        <v>781</v>
      </c>
      <c r="AE375" s="3">
        <v>798</v>
      </c>
      <c r="AF375" s="3">
        <f>IF(ISERROR((VLOOKUP($A375,'SegEnds_NonXtal_BW#'!$A:$Z,22,FALSE)+VLOOKUP($A375,A:AL,31,FALSE)-50)),"-",(VLOOKUP($A375,'SegEnds_NonXtal_BW#'!$A:$Z,22,FALSE)+VLOOKUP($A375,A:AL,31,FALSE)-50))</f>
        <v>805</v>
      </c>
      <c r="AG375" s="3">
        <f>IF(ISERROR(VLOOKUP($A375,'SegEnds_NonXtal_BW#'!$A:$Z,23,FALSE)+VLOOKUP($A375,A:AL,34,FALSE)-50),"-",(VLOOKUP($A375,'SegEnds_NonXtal_BW#'!$A:$Z,23,FALSE)+VLOOKUP($A375,A:AL,34,FALSE)-50))</f>
        <v>816</v>
      </c>
      <c r="AH375" s="3">
        <v>832</v>
      </c>
      <c r="AI375" s="3">
        <f>IF(ISERROR((VLOOKUP($A375,'SegEnds_NonXtal_BW#'!$A:$Z,24,FALSE)+VLOOKUP($A375,A:AL,34,FALSE)-50)),"-",(VLOOKUP($A375,'SegEnds_NonXtal_BW#'!$A:$Z,24,FALSE)+VLOOKUP($A375,A:AL,34,FALSE)-50))</f>
        <v>845</v>
      </c>
      <c r="AJ375" s="3">
        <f>IF(ISERROR(VLOOKUP($A375,'SegEnds_NonXtal_BW#'!$A:$Z,25,FALSE)+VLOOKUP($A375,A:AL,37,FALSE)-50),"-",(VLOOKUP($A375,'SegEnds_NonXtal_BW#'!$A:$Z,25,FALSE)+VLOOKUP($A375,A:AL,37,FALSE)-50))</f>
        <v>846</v>
      </c>
      <c r="AK375" s="3">
        <v>849</v>
      </c>
      <c r="AL375" s="3">
        <f>IF(ISERROR((VLOOKUP($A375,'SegEnds_NonXtal_BW#'!$A:$Z,26,FALSE)+VLOOKUP($A375,A:AL,37,FALSE)-50)),"-",(VLOOKUP($A375,'SegEnds_NonXtal_BW#'!$A:$Z,26,FALSE)+VLOOKUP($A375,A:AL,37,FALSE)-50))</f>
        <v>858</v>
      </c>
      <c r="AM375" s="28" t="str">
        <f>VLOOKUP(A375,Classification!A:B,2,FALSE)</f>
        <v>C</v>
      </c>
      <c r="AN375" s="28" t="b">
        <f t="shared" si="200"/>
        <v>1</v>
      </c>
      <c r="AO375" s="3" t="str">
        <f>IF(ISERROR(MATCH(A375,'SegEnds_Xtal_Prot#'!B:B, 0)), "NoXtal", "Xtal")</f>
        <v>NoXtal</v>
      </c>
      <c r="AP375" s="3">
        <f t="shared" si="185"/>
        <v>3</v>
      </c>
      <c r="AQ375" s="3">
        <f t="shared" si="186"/>
        <v>1</v>
      </c>
      <c r="AR375" s="3" t="str">
        <f t="shared" si="187"/>
        <v>-</v>
      </c>
      <c r="AS375" s="3" t="str">
        <f t="shared" si="188"/>
        <v>-</v>
      </c>
      <c r="AT375" s="3" t="str">
        <f t="shared" si="189"/>
        <v>-</v>
      </c>
      <c r="AU375" s="3" t="str">
        <f t="shared" si="190"/>
        <v>-</v>
      </c>
      <c r="AV375" s="3">
        <f t="shared" si="191"/>
        <v>25</v>
      </c>
      <c r="AW375" s="3">
        <f t="shared" si="192"/>
        <v>2</v>
      </c>
      <c r="AX375" s="3">
        <f t="shared" si="193"/>
        <v>9</v>
      </c>
      <c r="AY375" s="3">
        <f t="shared" si="194"/>
        <v>11</v>
      </c>
      <c r="AZ375" s="3">
        <f t="shared" si="195"/>
        <v>1</v>
      </c>
      <c r="BA375" s="3">
        <f>IF(ISERROR(LEN(VLOOKUP(A375,Seqs!A:E,2,FALSE))-AL375),"-",LEN(VLOOKUP(A375,Seqs!A:E,2,FALSE))-AL375)</f>
        <v>19</v>
      </c>
      <c r="BB375" s="16">
        <f t="shared" si="196"/>
        <v>31</v>
      </c>
      <c r="BC375" s="9" t="str">
        <f t="shared" si="197"/>
        <v>-</v>
      </c>
      <c r="BD375" s="3">
        <f t="shared" si="198"/>
        <v>31</v>
      </c>
      <c r="BE375" s="3">
        <f t="shared" si="199"/>
        <v>37</v>
      </c>
      <c r="BF375" s="3">
        <f>AH375-AE375</f>
        <v>34</v>
      </c>
    </row>
    <row r="376" spans="1:58" s="3" customFormat="1" x14ac:dyDescent="0.2">
      <c r="A376" s="3" t="s">
        <v>119</v>
      </c>
      <c r="B376" s="3" t="str">
        <f>LOWER(VLOOKUP(A376,Xtal_Templ!A:B,2,FALSE))</f>
        <v>grm5_human</v>
      </c>
      <c r="C376" s="3">
        <f>VLOOKUP($A376,'SegEnds_NonXtal_BW#'!$A:$Z,3,FALSE)+D376-50</f>
        <v>589</v>
      </c>
      <c r="D376" s="3">
        <v>605</v>
      </c>
      <c r="E376" s="3">
        <f>IF(ISERROR(VLOOKUP($A376,'SegEnds_NonXtal_BW#'!$A:$Z,4,FALSE)+VLOOKUP($A376,A:AL,4,FALSE)-50),"-",(VLOOKUP($A376,'SegEnds_NonXtal_BW#'!$A:$Z,4,FALSE)+VLOOKUP($A376,A:AL,4,FALSE)-50))</f>
        <v>615</v>
      </c>
      <c r="F376" s="3">
        <f t="shared" si="209"/>
        <v>618</v>
      </c>
      <c r="G376" s="3">
        <v>621</v>
      </c>
      <c r="H376" s="3">
        <f t="shared" si="210"/>
        <v>624</v>
      </c>
      <c r="I376" s="3">
        <f t="shared" si="211"/>
        <v>625</v>
      </c>
      <c r="J376" s="3">
        <v>636</v>
      </c>
      <c r="K376" s="3">
        <f>VLOOKUP($A376,'SegEnds_NonXtal_BW#'!$A:$Z,8,FALSE)+VLOOKUP($A376,A:AL,10,FALSE)-50</f>
        <v>647</v>
      </c>
      <c r="L376" s="3" t="str">
        <f>IF(ISERROR(VLOOKUP($A376,'SegEnds_NonXtal_BW#'!$A:$Z,9,FALSE)+VLOOKUP($A376,A:AL,13,FALSE)-50),"-",(VLOOKUP($A376,'SegEnds_NonXtal_BW#'!$A:$Z,9,FALSE)+VLOOKUP($A376,A:AL,13,FALSE)-50))</f>
        <v>-</v>
      </c>
      <c r="M376" s="3" t="s">
        <v>23</v>
      </c>
      <c r="N376" s="3" t="str">
        <f>IF(ISERROR(VLOOKUP($A376,'SegEnds_NonXtal_BW#'!$A:$Z,10,FALSE)+VLOOKUP($A376,A:AL,13,FALSE)-50),"-",(VLOOKUP($A376,'SegEnds_NonXtal_BW#'!$A:$Z,10,FALSE)+VLOOKUP($A376,A:AL,13,FALSE)-50))</f>
        <v>-</v>
      </c>
      <c r="O376" s="3">
        <f>VLOOKUP($A376,'SegEnds_NonXtal_BW#'!$A:$Z,11,FALSE)+VLOOKUP($A376,A:AL,16,FALSE)-50</f>
        <v>652</v>
      </c>
      <c r="P376" s="3">
        <v>680</v>
      </c>
      <c r="Q376" s="3">
        <f>VLOOKUP($A376,'SegEnds_NonXtal_BW#'!$A:$Z,12,FALSE)+VLOOKUP($A376,A:AL,16,FALSE)-50</f>
        <v>684</v>
      </c>
      <c r="R376" s="3" t="str">
        <f>IF(ISERROR(VLOOKUP($A376,'SegEnds_NonXtal_BW#'!$A:$Z,13,FALSE)+VLOOKUP($A376,A:AL,19,FALSE)-50),"-",VLOOKUP($A376,'SegEnds_NonXtal_BW#'!$A:$Z,13,FALSE)+VLOOKUP($A376,A:AL,19,FALSE)-50)</f>
        <v>-</v>
      </c>
      <c r="S376" s="3" t="s">
        <v>23</v>
      </c>
      <c r="T376" s="103" t="str">
        <f>IF(ISERROR(VLOOKUP($A376,'SegEnds_NonXtal_BW#'!$A:$Z,14,FALSE)+VLOOKUP($A376,A:AL,19,FALSE)-50),"-",(VLOOKUP($A376,'SegEnds_NonXtal_BW#'!$A:$Z,14,FALSE)+VLOOKUP($A376,A:AL,19,FALSE)-50))</f>
        <v>-</v>
      </c>
      <c r="U376" s="9">
        <f>IF(ISERROR(VLOOKUP($A376,'SegEnds_NonXtal_BW#'!$A:$Z,15,FALSE)+VLOOKUP($A376,A:AL,22,FALSE)-50),"-",VLOOKUP($A376,'SegEnds_NonXtal_BW#'!$A:$Z,15,FALSE)+VLOOKUP($A376,A:AL,22,FALSE)-50)</f>
        <v>698</v>
      </c>
      <c r="V376" s="3">
        <v>710</v>
      </c>
      <c r="W376" s="3">
        <f>IF(ISERROR(VLOOKUP($A376,'SegEnds_NonXtal_BW#'!$A:$Z,16,FALSE)+VLOOKUP($A376,A:AL,22,FALSE)-50),"-",(VLOOKUP($A376,'SegEnds_NonXtal_BW#'!$A:$Z,16,FALSE)+VLOOKUP($A376,A:AL,22,FALSE)-50))</f>
        <v>724</v>
      </c>
      <c r="X376" s="3">
        <f>IF(ISERROR(VLOOKUP($A376,'SegEnds_NonXtal_BW#'!$A:$Z,17,FALSE)+VLOOKUP($A376,A:AL,25,FALSE)-50),"-",(VLOOKUP($A376,'SegEnds_NonXtal_BW#'!$A:$Z,17,FALSE)+VLOOKUP($A376,A:AL,25,FALSE)-50))</f>
        <v>749</v>
      </c>
      <c r="Y376" s="3">
        <v>749</v>
      </c>
      <c r="Z376" s="3">
        <f t="shared" si="207"/>
        <v>751</v>
      </c>
      <c r="AA376" s="3">
        <f>IF(ISERROR(VLOOKUP($A376,'SegEnds_NonXtal_BW#'!$A:$Z,19,FALSE)+VLOOKUP($A376,A:AL,28,FALSE)-50),"-",(VLOOKUP($A376,'SegEnds_NonXtal_BW#'!$A:$Z,19,FALSE)+VLOOKUP($A376,A:AL,28,FALSE)-50))</f>
        <v>753</v>
      </c>
      <c r="AB376" s="3">
        <v>766</v>
      </c>
      <c r="AC376" s="3">
        <f>IF(ISERROR((VLOOKUP($A376,'SegEnds_NonXtal_BW#'!$A:$Z,20,FALSE)+VLOOKUP($A376,A:AL,28,FALSE)-50)),"-",(VLOOKUP($A376,'SegEnds_NonXtal_BW#'!$A:$Z,20,FALSE)+VLOOKUP($A376,A:AL,28,FALSE)-50))</f>
        <v>777</v>
      </c>
      <c r="AD376" s="3">
        <f>IF(ISERROR(VLOOKUP($A376,'SegEnds_NonXtal_BW#'!$A:$Z,21,FALSE)+VLOOKUP($A376,A:AL,31,FALSE)-50),"-",(VLOOKUP($A376,'SegEnds_NonXtal_BW#'!$A:$Z,21,FALSE)+VLOOKUP($A376,A:AL,31,FALSE)-50))</f>
        <v>786</v>
      </c>
      <c r="AE376" s="3">
        <v>803</v>
      </c>
      <c r="AF376" s="3">
        <f>IF(ISERROR((VLOOKUP($A376,'SegEnds_NonXtal_BW#'!$A:$Z,22,FALSE)+VLOOKUP($A376,A:AL,31,FALSE)-50)),"-",(VLOOKUP($A376,'SegEnds_NonXtal_BW#'!$A:$Z,22,FALSE)+VLOOKUP($A376,A:AL,31,FALSE)-50))</f>
        <v>810</v>
      </c>
      <c r="AG376" s="3">
        <f>IF(ISERROR(VLOOKUP($A376,'SegEnds_NonXtal_BW#'!$A:$Z,23,FALSE)+VLOOKUP($A376,A:AL,34,FALSE)-50),"-",(VLOOKUP($A376,'SegEnds_NonXtal_BW#'!$A:$Z,23,FALSE)+VLOOKUP($A376,A:AL,34,FALSE)-50))</f>
        <v>821</v>
      </c>
      <c r="AH376" s="3">
        <v>837</v>
      </c>
      <c r="AI376" s="3">
        <f>IF(ISERROR((VLOOKUP($A376,'SegEnds_NonXtal_BW#'!$A:$Z,24,FALSE)+VLOOKUP($A376,A:AL,34,FALSE)-50)),"-",(VLOOKUP($A376,'SegEnds_NonXtal_BW#'!$A:$Z,24,FALSE)+VLOOKUP($A376,A:AL,34,FALSE)-50))</f>
        <v>850</v>
      </c>
      <c r="AJ376" s="3">
        <f>IF(ISERROR(VLOOKUP($A376,'SegEnds_NonXtal_BW#'!$A:$Z,25,FALSE)+VLOOKUP($A376,A:AL,37,FALSE)-50),"-",(VLOOKUP($A376,'SegEnds_NonXtal_BW#'!$A:$Z,25,FALSE)+VLOOKUP($A376,A:AL,37,FALSE)-50))</f>
        <v>851</v>
      </c>
      <c r="AK376" s="3">
        <v>854</v>
      </c>
      <c r="AL376" s="3">
        <f>IF(ISERROR((VLOOKUP($A376,'SegEnds_NonXtal_BW#'!$A:$Z,26,FALSE)+VLOOKUP($A376,A:AL,37,FALSE)-50)),"-",(VLOOKUP($A376,'SegEnds_NonXtal_BW#'!$A:$Z,26,FALSE)+VLOOKUP($A376,A:AL,37,FALSE)-50))</f>
        <v>863</v>
      </c>
      <c r="AM376" s="28" t="str">
        <f>VLOOKUP(A376,Classification!A:B,2,FALSE)</f>
        <v>C</v>
      </c>
      <c r="AN376" s="28" t="b">
        <f t="shared" si="200"/>
        <v>1</v>
      </c>
      <c r="AO376" s="3" t="str">
        <f>IF(ISERROR(MATCH(A376,'SegEnds_Xtal_Prot#'!B:B, 0)), "NoXtal", "Xtal")</f>
        <v>NoXtal</v>
      </c>
      <c r="AP376" s="3">
        <f t="shared" si="185"/>
        <v>3</v>
      </c>
      <c r="AQ376" s="3">
        <f t="shared" si="186"/>
        <v>1</v>
      </c>
      <c r="AR376" s="3" t="str">
        <f t="shared" si="187"/>
        <v>-</v>
      </c>
      <c r="AS376" s="3" t="str">
        <f t="shared" si="188"/>
        <v>-</v>
      </c>
      <c r="AT376" s="3" t="str">
        <f t="shared" si="189"/>
        <v>-</v>
      </c>
      <c r="AU376" s="3" t="str">
        <f t="shared" si="190"/>
        <v>-</v>
      </c>
      <c r="AV376" s="3">
        <f t="shared" si="191"/>
        <v>25</v>
      </c>
      <c r="AW376" s="3">
        <f t="shared" si="192"/>
        <v>2</v>
      </c>
      <c r="AX376" s="3">
        <f t="shared" si="193"/>
        <v>9</v>
      </c>
      <c r="AY376" s="3">
        <f t="shared" si="194"/>
        <v>11</v>
      </c>
      <c r="AZ376" s="3">
        <f t="shared" si="195"/>
        <v>1</v>
      </c>
      <c r="BA376" s="3">
        <f>IF(ISERROR(LEN(VLOOKUP(A376,Seqs!A:E,2,FALSE))-AL376),"-",LEN(VLOOKUP(A376,Seqs!A:E,2,FALSE))-AL376)</f>
        <v>52</v>
      </c>
      <c r="BB376" s="16">
        <f t="shared" si="196"/>
        <v>31</v>
      </c>
      <c r="BC376" s="9" t="str">
        <f t="shared" si="197"/>
        <v>-</v>
      </c>
      <c r="BD376" s="3">
        <f t="shared" si="198"/>
        <v>31</v>
      </c>
      <c r="BE376" s="3">
        <f t="shared" si="199"/>
        <v>37</v>
      </c>
    </row>
    <row r="377" spans="1:58" s="3" customFormat="1" x14ac:dyDescent="0.2">
      <c r="A377" s="3" t="s">
        <v>120</v>
      </c>
      <c r="B377" s="3" t="str">
        <f>LOWER(VLOOKUP(A377,Xtal_Templ!A:B,2,FALSE))</f>
        <v>grm5_human</v>
      </c>
      <c r="C377" s="3">
        <f>VLOOKUP($A377,'SegEnds_NonXtal_BW#'!$A:$Z,3,FALSE)+D377-50</f>
        <v>582</v>
      </c>
      <c r="D377" s="3">
        <v>598</v>
      </c>
      <c r="E377" s="3">
        <f>IF(ISERROR(VLOOKUP($A377,'SegEnds_NonXtal_BW#'!$A:$Z,4,FALSE)+VLOOKUP($A377,A:AL,4,FALSE)-50),"-",(VLOOKUP($A377,'SegEnds_NonXtal_BW#'!$A:$Z,4,FALSE)+VLOOKUP($A377,A:AL,4,FALSE)-50))</f>
        <v>608</v>
      </c>
      <c r="F377" s="3">
        <f t="shared" si="209"/>
        <v>611</v>
      </c>
      <c r="G377" s="3">
        <v>614</v>
      </c>
      <c r="H377" s="3">
        <f t="shared" si="210"/>
        <v>617</v>
      </c>
      <c r="I377" s="3">
        <f t="shared" si="211"/>
        <v>618</v>
      </c>
      <c r="J377" s="3">
        <v>629</v>
      </c>
      <c r="K377" s="3">
        <f>VLOOKUP($A377,'SegEnds_NonXtal_BW#'!$A:$Z,8,FALSE)+VLOOKUP($A377,A:AL,10,FALSE)-50</f>
        <v>640</v>
      </c>
      <c r="L377" s="3" t="str">
        <f>IF(ISERROR(VLOOKUP($A377,'SegEnds_NonXtal_BW#'!$A:$Z,9,FALSE)+VLOOKUP($A377,A:AL,13,FALSE)-50),"-",(VLOOKUP($A377,'SegEnds_NonXtal_BW#'!$A:$Z,9,FALSE)+VLOOKUP($A377,A:AL,13,FALSE)-50))</f>
        <v>-</v>
      </c>
      <c r="M377" s="3" t="s">
        <v>23</v>
      </c>
      <c r="N377" s="3" t="str">
        <f>IF(ISERROR(VLOOKUP($A377,'SegEnds_NonXtal_BW#'!$A:$Z,10,FALSE)+VLOOKUP($A377,A:AL,13,FALSE)-50),"-",(VLOOKUP($A377,'SegEnds_NonXtal_BW#'!$A:$Z,10,FALSE)+VLOOKUP($A377,A:AL,13,FALSE)-50))</f>
        <v>-</v>
      </c>
      <c r="O377" s="3">
        <f>VLOOKUP($A377,'SegEnds_NonXtal_BW#'!$A:$Z,11,FALSE)+VLOOKUP($A377,A:AL,16,FALSE)-50</f>
        <v>645</v>
      </c>
      <c r="P377" s="3">
        <v>673</v>
      </c>
      <c r="Q377" s="3">
        <f>VLOOKUP($A377,'SegEnds_NonXtal_BW#'!$A:$Z,12,FALSE)+VLOOKUP($A377,A:AL,16,FALSE)-50</f>
        <v>677</v>
      </c>
      <c r="R377" s="3" t="str">
        <f>IF(ISERROR(VLOOKUP($A377,'SegEnds_NonXtal_BW#'!$A:$Z,13,FALSE)+VLOOKUP($A377,A:AL,19,FALSE)-50),"-",VLOOKUP($A377,'SegEnds_NonXtal_BW#'!$A:$Z,13,FALSE)+VLOOKUP($A377,A:AL,19,FALSE)-50)</f>
        <v>-</v>
      </c>
      <c r="S377" s="3" t="s">
        <v>23</v>
      </c>
      <c r="T377" s="103" t="str">
        <f>IF(ISERROR(VLOOKUP($A377,'SegEnds_NonXtal_BW#'!$A:$Z,14,FALSE)+VLOOKUP($A377,A:AL,19,FALSE)-50),"-",(VLOOKUP($A377,'SegEnds_NonXtal_BW#'!$A:$Z,14,FALSE)+VLOOKUP($A377,A:AL,19,FALSE)-50))</f>
        <v>-</v>
      </c>
      <c r="U377" s="9">
        <f>IF(ISERROR(VLOOKUP($A377,'SegEnds_NonXtal_BW#'!$A:$Z,15,FALSE)+VLOOKUP($A377,A:AL,22,FALSE)-50),"-",VLOOKUP($A377,'SegEnds_NonXtal_BW#'!$A:$Z,15,FALSE)+VLOOKUP($A377,A:AL,22,FALSE)-50)</f>
        <v>691</v>
      </c>
      <c r="V377" s="3">
        <v>703</v>
      </c>
      <c r="W377" s="3">
        <f>IF(ISERROR(VLOOKUP($A377,'SegEnds_NonXtal_BW#'!$A:$Z,16,FALSE)+VLOOKUP($A377,A:AL,22,FALSE)-50),"-",(VLOOKUP($A377,'SegEnds_NonXtal_BW#'!$A:$Z,16,FALSE)+VLOOKUP($A377,A:AL,22,FALSE)-50))</f>
        <v>717</v>
      </c>
      <c r="X377" s="3">
        <f>IF(ISERROR(VLOOKUP($A377,'SegEnds_NonXtal_BW#'!$A:$Z,17,FALSE)+VLOOKUP($A377,A:AL,25,FALSE)-50),"-",(VLOOKUP($A377,'SegEnds_NonXtal_BW#'!$A:$Z,17,FALSE)+VLOOKUP($A377,A:AL,25,FALSE)-50))</f>
        <v>742</v>
      </c>
      <c r="Y377" s="3">
        <v>742</v>
      </c>
      <c r="Z377" s="3">
        <f t="shared" si="207"/>
        <v>744</v>
      </c>
      <c r="AA377" s="3">
        <f>IF(ISERROR(VLOOKUP($A377,'SegEnds_NonXtal_BW#'!$A:$Z,19,FALSE)+VLOOKUP($A377,A:AL,28,FALSE)-50),"-",(VLOOKUP($A377,'SegEnds_NonXtal_BW#'!$A:$Z,19,FALSE)+VLOOKUP($A377,A:AL,28,FALSE)-50))</f>
        <v>746</v>
      </c>
      <c r="AB377" s="3">
        <v>759</v>
      </c>
      <c r="AC377" s="3">
        <f>IF(ISERROR((VLOOKUP($A377,'SegEnds_NonXtal_BW#'!$A:$Z,20,FALSE)+VLOOKUP($A377,A:AL,28,FALSE)-50)),"-",(VLOOKUP($A377,'SegEnds_NonXtal_BW#'!$A:$Z,20,FALSE)+VLOOKUP($A377,A:AL,28,FALSE)-50))</f>
        <v>770</v>
      </c>
      <c r="AD377" s="3">
        <f>IF(ISERROR(VLOOKUP($A377,'SegEnds_NonXtal_BW#'!$A:$Z,21,FALSE)+VLOOKUP($A377,A:AL,31,FALSE)-50),"-",(VLOOKUP($A377,'SegEnds_NonXtal_BW#'!$A:$Z,21,FALSE)+VLOOKUP($A377,A:AL,31,FALSE)-50))</f>
        <v>779</v>
      </c>
      <c r="AE377" s="3">
        <v>796</v>
      </c>
      <c r="AF377" s="3">
        <f>IF(ISERROR((VLOOKUP($A377,'SegEnds_NonXtal_BW#'!$A:$Z,22,FALSE)+VLOOKUP($A377,A:AL,31,FALSE)-50)),"-",(VLOOKUP($A377,'SegEnds_NonXtal_BW#'!$A:$Z,22,FALSE)+VLOOKUP($A377,A:AL,31,FALSE)-50))</f>
        <v>803</v>
      </c>
      <c r="AG377" s="3">
        <f>IF(ISERROR(VLOOKUP($A377,'SegEnds_NonXtal_BW#'!$A:$Z,23,FALSE)+VLOOKUP($A377,A:AL,34,FALSE)-50),"-",(VLOOKUP($A377,'SegEnds_NonXtal_BW#'!$A:$Z,23,FALSE)+VLOOKUP($A377,A:AL,34,FALSE)-50))</f>
        <v>814</v>
      </c>
      <c r="AH377" s="3">
        <v>830</v>
      </c>
      <c r="AI377" s="3">
        <f>IF(ISERROR((VLOOKUP($A377,'SegEnds_NonXtal_BW#'!$A:$Z,24,FALSE)+VLOOKUP($A377,A:AL,34,FALSE)-50)),"-",(VLOOKUP($A377,'SegEnds_NonXtal_BW#'!$A:$Z,24,FALSE)+VLOOKUP($A377,A:AL,34,FALSE)-50))</f>
        <v>843</v>
      </c>
      <c r="AJ377" s="3">
        <f>IF(ISERROR(VLOOKUP($A377,'SegEnds_NonXtal_BW#'!$A:$Z,25,FALSE)+VLOOKUP($A377,A:AL,37,FALSE)-50),"-",(VLOOKUP($A377,'SegEnds_NonXtal_BW#'!$A:$Z,25,FALSE)+VLOOKUP($A377,A:AL,37,FALSE)-50))</f>
        <v>844</v>
      </c>
      <c r="AK377" s="3">
        <v>847</v>
      </c>
      <c r="AL377" s="3">
        <f>IF(ISERROR((VLOOKUP($A377,'SegEnds_NonXtal_BW#'!$A:$Z,26,FALSE)+VLOOKUP($A377,A:AL,37,FALSE)-50)),"-",(VLOOKUP($A377,'SegEnds_NonXtal_BW#'!$A:$Z,26,FALSE)+VLOOKUP($A377,A:AL,37,FALSE)-50))</f>
        <v>856</v>
      </c>
      <c r="AM377" s="28" t="str">
        <f>VLOOKUP(A377,Classification!A:B,2,FALSE)</f>
        <v>C</v>
      </c>
      <c r="AN377" s="28" t="b">
        <f t="shared" si="200"/>
        <v>1</v>
      </c>
      <c r="AO377" s="3" t="str">
        <f>IF(ISERROR(MATCH(A377,'SegEnds_Xtal_Prot#'!B:B, 0)), "NoXtal", "Xtal")</f>
        <v>NoXtal</v>
      </c>
      <c r="AP377" s="3">
        <f t="shared" si="185"/>
        <v>3</v>
      </c>
      <c r="AQ377" s="3">
        <f t="shared" si="186"/>
        <v>1</v>
      </c>
      <c r="AR377" s="3" t="str">
        <f t="shared" si="187"/>
        <v>-</v>
      </c>
      <c r="AS377" s="3" t="str">
        <f t="shared" si="188"/>
        <v>-</v>
      </c>
      <c r="AT377" s="3" t="str">
        <f t="shared" si="189"/>
        <v>-</v>
      </c>
      <c r="AU377" s="3" t="str">
        <f t="shared" si="190"/>
        <v>-</v>
      </c>
      <c r="AV377" s="3">
        <f t="shared" si="191"/>
        <v>25</v>
      </c>
      <c r="AW377" s="3">
        <f t="shared" si="192"/>
        <v>2</v>
      </c>
      <c r="AX377" s="3">
        <f t="shared" si="193"/>
        <v>9</v>
      </c>
      <c r="AY377" s="3">
        <f t="shared" si="194"/>
        <v>11</v>
      </c>
      <c r="AZ377" s="3">
        <f t="shared" si="195"/>
        <v>1</v>
      </c>
      <c r="BA377" s="3">
        <f>IF(ISERROR(LEN(VLOOKUP(A377,Seqs!A:E,2,FALSE))-AL377),"-",LEN(VLOOKUP(A377,Seqs!A:E,2,FALSE))-AL377)</f>
        <v>52</v>
      </c>
      <c r="BB377" s="16">
        <f t="shared" si="196"/>
        <v>31</v>
      </c>
      <c r="BC377" s="9" t="str">
        <f t="shared" si="197"/>
        <v>-</v>
      </c>
      <c r="BD377" s="3">
        <f t="shared" si="198"/>
        <v>31</v>
      </c>
      <c r="BE377" s="3">
        <f t="shared" si="199"/>
        <v>37</v>
      </c>
    </row>
    <row r="378" spans="1:58" s="3" customFormat="1" x14ac:dyDescent="0.2">
      <c r="A378" s="3" t="s">
        <v>314</v>
      </c>
      <c r="B378" s="3" t="str">
        <f>LOWER(VLOOKUP(A378,Xtal_Templ!A:B,2,FALSE))</f>
        <v>ox2r_human</v>
      </c>
      <c r="C378" s="3">
        <f>VLOOKUP($A378,'SegEnds_NonXtal_BW#'!$A:$Z,3,FALSE)+D378-50</f>
        <v>31</v>
      </c>
      <c r="D378" s="3">
        <v>50</v>
      </c>
      <c r="E378" s="3">
        <f>IF(ISERROR(VLOOKUP($A378,'SegEnds_NonXtal_BW#'!$A:$Z,4,FALSE)+VLOOKUP($A378,A:AL,4,FALSE)-50),"-",(VLOOKUP($A378,'SegEnds_NonXtal_BW#'!$A:$Z,4,FALSE)+VLOOKUP($A378,A:AL,4,FALSE)-50))</f>
        <v>60</v>
      </c>
      <c r="F378" s="3">
        <f t="shared" ref="F378:F395" si="212">G378-2</f>
        <v>61</v>
      </c>
      <c r="G378" s="3">
        <v>63</v>
      </c>
      <c r="H378" s="3">
        <f t="shared" ref="H378:H395" si="213">G378+1</f>
        <v>64</v>
      </c>
      <c r="I378" s="3">
        <f t="shared" si="211"/>
        <v>65</v>
      </c>
      <c r="J378" s="3">
        <v>78</v>
      </c>
      <c r="K378" s="3">
        <f>VLOOKUP($A378,'SegEnds_NonXtal_BW#'!$A:$Z,8,FALSE)+VLOOKUP($A378,A:AL,10,FALSE)-50</f>
        <v>95</v>
      </c>
      <c r="L378" s="3">
        <f t="shared" ref="L378:L390" si="214">M378-1</f>
        <v>97</v>
      </c>
      <c r="M378" s="3">
        <v>98</v>
      </c>
      <c r="N378" s="3">
        <f t="shared" ref="N378:N390" si="215">M378+2</f>
        <v>100</v>
      </c>
      <c r="O378" s="3">
        <f t="shared" ref="O378:O390" si="216">N378+1</f>
        <v>101</v>
      </c>
      <c r="P378" s="3">
        <v>130</v>
      </c>
      <c r="Q378" s="3">
        <f>VLOOKUP($A378,'SegEnds_NonXtal_BW#'!$A:$Z,12,FALSE)+VLOOKUP($A378,A:AL,16,FALSE)-50</f>
        <v>136</v>
      </c>
      <c r="R378" s="3" t="str">
        <f>IF(ISERROR(VLOOKUP($A378,'SegEnds_NonXtal_BW#'!$A:$Z,13,FALSE)+VLOOKUP($A378,A:AL,19,FALSE)-50),"-",VLOOKUP($A378,'SegEnds_NonXtal_BW#'!$A:$Z,13,FALSE)+VLOOKUP($A378,A:AL,19,FALSE)-50)</f>
        <v>-</v>
      </c>
      <c r="S378" s="3" t="s">
        <v>23</v>
      </c>
      <c r="T378" s="103" t="str">
        <f>IF(ISERROR(VLOOKUP($A378,'SegEnds_NonXtal_BW#'!$A:$Z,14,FALSE)+VLOOKUP($A378,A:AL,19,FALSE)-50),"-",(VLOOKUP($A378,'SegEnds_NonXtal_BW#'!$A:$Z,14,FALSE)+VLOOKUP($A378,A:AL,19,FALSE)-50))</f>
        <v>-</v>
      </c>
      <c r="U378" s="9">
        <f>IF(ISERROR(VLOOKUP($A378,'SegEnds_NonXtal_BW#'!$A:$Z,15,FALSE)+VLOOKUP($A378,A:AL,22,FALSE)-50),"-",VLOOKUP($A378,'SegEnds_NonXtal_BW#'!$A:$Z,15,FALSE)+VLOOKUP($A378,A:AL,22,FALSE)-50)</f>
        <v>143</v>
      </c>
      <c r="V378" s="3">
        <v>155</v>
      </c>
      <c r="W378" s="3">
        <f>IF(ISERROR(VLOOKUP($A378,'SegEnds_NonXtal_BW#'!$A:$Z,16,FALSE)+VLOOKUP($A378,A:AL,22,FALSE)-50),"-",(VLOOKUP($A378,'SegEnds_NonXtal_BW#'!$A:$Z,16,FALSE)+VLOOKUP($A378,A:AL,22,FALSE)-50))</f>
        <v>169</v>
      </c>
      <c r="X378" s="3">
        <f>IF(ISERROR(VLOOKUP($A378,'SegEnds_NonXtal_BW#'!$A:$Z,17,FALSE)+VLOOKUP($A378,A:AL,25,FALSE)-50),"-",(VLOOKUP($A378,'SegEnds_NonXtal_BW#'!$A:$Z,17,FALSE)+VLOOKUP($A378,A:AL,25,FALSE)-50))</f>
        <v>180</v>
      </c>
      <c r="Y378" s="3">
        <v>180</v>
      </c>
      <c r="Z378" s="3">
        <f t="shared" si="207"/>
        <v>182</v>
      </c>
      <c r="AA378" s="3">
        <f>IF(ISERROR(VLOOKUP($A378,'SegEnds_NonXtal_BW#'!$A:$Z,19,FALSE)+VLOOKUP($A378,A:AL,28,FALSE)-50),"-",(VLOOKUP($A378,'SegEnds_NonXtal_BW#'!$A:$Z,19,FALSE)+VLOOKUP($A378,A:AL,28,FALSE)-50))</f>
        <v>190</v>
      </c>
      <c r="AB378" s="3">
        <v>208</v>
      </c>
      <c r="AC378" s="3">
        <f>IF(ISERROR((VLOOKUP($A378,'SegEnds_NonXtal_BW#'!$A:$Z,20,FALSE)+VLOOKUP($A378,A:AL,28,FALSE)-50)),"-",(VLOOKUP($A378,'SegEnds_NonXtal_BW#'!$A:$Z,20,FALSE)+VLOOKUP($A378,A:AL,28,FALSE)-50))</f>
        <v>231</v>
      </c>
      <c r="AD378" s="3">
        <f>IF(ISERROR(VLOOKUP($A378,'SegEnds_NonXtal_BW#'!$A:$Z,21,FALSE)+VLOOKUP($A378,A:AL,31,FALSE)-50),"-",(VLOOKUP($A378,'SegEnds_NonXtal_BW#'!$A:$Z,21,FALSE)+VLOOKUP($A378,A:AL,31,FALSE)-50))</f>
        <v>235</v>
      </c>
      <c r="AE378" s="3">
        <v>263</v>
      </c>
      <c r="AF378" s="3">
        <f>IF(ISERROR((VLOOKUP($A378,'SegEnds_NonXtal_BW#'!$A:$Z,22,FALSE)+VLOOKUP($A378,A:AL,31,FALSE)-50)),"-",(VLOOKUP($A378,'SegEnds_NonXtal_BW#'!$A:$Z,22,FALSE)+VLOOKUP($A378,A:AL,31,FALSE)-50))</f>
        <v>274</v>
      </c>
      <c r="AG378" s="3">
        <f>IF(ISERROR(VLOOKUP($A378,'SegEnds_NonXtal_BW#'!$A:$Z,23,FALSE)+VLOOKUP($A378,A:AL,34,FALSE)-50),"-",(VLOOKUP($A378,'SegEnds_NonXtal_BW#'!$A:$Z,23,FALSE)+VLOOKUP($A378,A:AL,34,FALSE)-50))</f>
        <v>280</v>
      </c>
      <c r="AH378" s="3">
        <v>302</v>
      </c>
      <c r="AI378" s="3">
        <f>IF(ISERROR((VLOOKUP($A378,'SegEnds_NonXtal_BW#'!$A:$Z,24,FALSE)+VLOOKUP($A378,A:AL,34,FALSE)-50)),"-",(VLOOKUP($A378,'SegEnds_NonXtal_BW#'!$A:$Z,24,FALSE)+VLOOKUP($A378,A:AL,34,FALSE)-50))</f>
        <v>308</v>
      </c>
      <c r="AJ378" s="3">
        <f>IF(ISERROR(VLOOKUP($A378,'SegEnds_NonXtal_BW#'!$A:$Z,25,FALSE)+VLOOKUP($A378,A:AL,37,FALSE)-50),"-",(VLOOKUP($A378,'SegEnds_NonXtal_BW#'!$A:$Z,25,FALSE)+VLOOKUP($A378,A:AL,37,FALSE)-50))</f>
        <v>309</v>
      </c>
      <c r="AK378" s="3">
        <v>312</v>
      </c>
      <c r="AL378" s="3">
        <f>IF(ISERROR((VLOOKUP($A378,'SegEnds_NonXtal_BW#'!$A:$Z,26,FALSE)+VLOOKUP($A378,A:AL,37,FALSE)-50)),"-",(VLOOKUP($A378,'SegEnds_NonXtal_BW#'!$A:$Z,26,FALSE)+VLOOKUP($A378,A:AL,37,FALSE)-50))</f>
        <v>320</v>
      </c>
      <c r="AM378" s="28" t="str">
        <f>VLOOKUP(A378,Classification!A:B,2,FALSE)</f>
        <v>A</v>
      </c>
      <c r="AN378" s="28" t="b">
        <f t="shared" si="200"/>
        <v>1</v>
      </c>
      <c r="AO378" s="3" t="str">
        <f>IF(ISERROR(MATCH(A378,'SegEnds_Xtal_Prot#'!B:B, 0)), "NoXtal", "Xtal")</f>
        <v>NoXtal</v>
      </c>
      <c r="AP378" s="3">
        <f t="shared" si="185"/>
        <v>1</v>
      </c>
      <c r="AQ378" s="3">
        <f t="shared" si="186"/>
        <v>1</v>
      </c>
      <c r="AR378" s="3">
        <f t="shared" si="187"/>
        <v>2</v>
      </c>
      <c r="AS378" s="3">
        <f t="shared" si="188"/>
        <v>1</v>
      </c>
      <c r="AT378" s="3" t="str">
        <f t="shared" si="189"/>
        <v>-</v>
      </c>
      <c r="AU378" s="3" t="str">
        <f t="shared" si="190"/>
        <v>-</v>
      </c>
      <c r="AV378" s="3">
        <f t="shared" si="191"/>
        <v>11</v>
      </c>
      <c r="AW378" s="3">
        <f t="shared" si="192"/>
        <v>8</v>
      </c>
      <c r="AX378" s="3">
        <f t="shared" si="193"/>
        <v>4</v>
      </c>
      <c r="AY378" s="3">
        <f t="shared" si="194"/>
        <v>6</v>
      </c>
      <c r="AZ378" s="3">
        <f t="shared" si="195"/>
        <v>1</v>
      </c>
      <c r="BA378" s="3">
        <f>IF(ISERROR(LEN(VLOOKUP(A378,Seqs!A:E,2,FALSE))-AL378),"-",LEN(VLOOKUP(A378,Seqs!A:E,2,FALSE))-AL378)</f>
        <v>87</v>
      </c>
      <c r="BB378" s="16">
        <f t="shared" si="196"/>
        <v>28</v>
      </c>
      <c r="BC378" s="9" t="str">
        <f t="shared" si="197"/>
        <v>-</v>
      </c>
      <c r="BD378" s="3">
        <f t="shared" si="198"/>
        <v>28</v>
      </c>
      <c r="BE378" s="3">
        <f t="shared" si="199"/>
        <v>55</v>
      </c>
    </row>
    <row r="379" spans="1:58" s="3" customFormat="1" x14ac:dyDescent="0.2">
      <c r="A379" s="3" t="s">
        <v>315</v>
      </c>
      <c r="B379" s="3" t="str">
        <f>LOWER(VLOOKUP(A379,Xtal_Templ!A:B,2,FALSE))</f>
        <v>ox1r_human</v>
      </c>
      <c r="C379" s="3">
        <f>VLOOKUP($A379,'SegEnds_NonXtal_BW#'!$A:$Z,3,FALSE)+D379-50</f>
        <v>33</v>
      </c>
      <c r="D379" s="3">
        <v>51</v>
      </c>
      <c r="E379" s="3">
        <f>IF(ISERROR(VLOOKUP($A379,'SegEnds_NonXtal_BW#'!$A:$Z,4,FALSE)+VLOOKUP($A379,A:AL,4,FALSE)-50),"-",(VLOOKUP($A379,'SegEnds_NonXtal_BW#'!$A:$Z,4,FALSE)+VLOOKUP($A379,A:AL,4,FALSE)-50))</f>
        <v>61</v>
      </c>
      <c r="F379" s="3">
        <f t="shared" si="212"/>
        <v>62</v>
      </c>
      <c r="G379" s="3">
        <v>64</v>
      </c>
      <c r="H379" s="3">
        <f t="shared" si="213"/>
        <v>65</v>
      </c>
      <c r="I379" s="3">
        <f t="shared" si="211"/>
        <v>66</v>
      </c>
      <c r="J379" s="3">
        <v>79</v>
      </c>
      <c r="K379" s="3">
        <f>VLOOKUP($A379,'SegEnds_NonXtal_BW#'!$A:$Z,8,FALSE)+VLOOKUP($A379,A:AL,10,FALSE)-50</f>
        <v>96</v>
      </c>
      <c r="L379" s="3">
        <f t="shared" si="214"/>
        <v>98</v>
      </c>
      <c r="M379" s="3">
        <v>99</v>
      </c>
      <c r="N379" s="3">
        <f t="shared" si="215"/>
        <v>101</v>
      </c>
      <c r="O379" s="3">
        <f t="shared" si="216"/>
        <v>102</v>
      </c>
      <c r="P379" s="3">
        <v>131</v>
      </c>
      <c r="Q379" s="3">
        <f>VLOOKUP($A379,'SegEnds_NonXtal_BW#'!$A:$Z,12,FALSE)+VLOOKUP($A379,A:AL,16,FALSE)-50</f>
        <v>137</v>
      </c>
      <c r="R379" s="3" t="str">
        <f>IF(ISERROR(VLOOKUP($A379,'SegEnds_NonXtal_BW#'!$A:$Z,13,FALSE)+VLOOKUP($A379,A:AL,19,FALSE)-50),"-",VLOOKUP($A379,'SegEnds_NonXtal_BW#'!$A:$Z,13,FALSE)+VLOOKUP($A379,A:AL,19,FALSE)-50)</f>
        <v>-</v>
      </c>
      <c r="S379" s="3" t="s">
        <v>23</v>
      </c>
      <c r="T379" s="103" t="str">
        <f>IF(ISERROR(VLOOKUP($A379,'SegEnds_NonXtal_BW#'!$A:$Z,14,FALSE)+VLOOKUP($A379,A:AL,19,FALSE)-50),"-",(VLOOKUP($A379,'SegEnds_NonXtal_BW#'!$A:$Z,14,FALSE)+VLOOKUP($A379,A:AL,19,FALSE)-50))</f>
        <v>-</v>
      </c>
      <c r="U379" s="9">
        <f>IF(ISERROR(VLOOKUP($A379,'SegEnds_NonXtal_BW#'!$A:$Z,15,FALSE)+VLOOKUP($A379,A:AL,22,FALSE)-50),"-",VLOOKUP($A379,'SegEnds_NonXtal_BW#'!$A:$Z,15,FALSE)+VLOOKUP($A379,A:AL,22,FALSE)-50)</f>
        <v>144</v>
      </c>
      <c r="V379" s="3">
        <v>156</v>
      </c>
      <c r="W379" s="3">
        <f>IF(ISERROR(VLOOKUP($A379,'SegEnds_NonXtal_BW#'!$A:$Z,16,FALSE)+VLOOKUP($A379,A:AL,22,FALSE)-50),"-",(VLOOKUP($A379,'SegEnds_NonXtal_BW#'!$A:$Z,16,FALSE)+VLOOKUP($A379,A:AL,22,FALSE)-50))</f>
        <v>170</v>
      </c>
      <c r="X379" s="3">
        <f>IF(ISERROR(VLOOKUP($A379,'SegEnds_NonXtal_BW#'!$A:$Z,17,FALSE)+VLOOKUP($A379,A:AL,25,FALSE)-50),"-",(VLOOKUP($A379,'SegEnds_NonXtal_BW#'!$A:$Z,17,FALSE)+VLOOKUP($A379,A:AL,25,FALSE)-50))</f>
        <v>181</v>
      </c>
      <c r="Y379" s="3">
        <v>181</v>
      </c>
      <c r="Z379" s="3">
        <f t="shared" si="207"/>
        <v>183</v>
      </c>
      <c r="AA379" s="3">
        <f>IF(ISERROR(VLOOKUP($A379,'SegEnds_NonXtal_BW#'!$A:$Z,19,FALSE)+VLOOKUP($A379,A:AL,28,FALSE)-50),"-",(VLOOKUP($A379,'SegEnds_NonXtal_BW#'!$A:$Z,19,FALSE)+VLOOKUP($A379,A:AL,28,FALSE)-50))</f>
        <v>191</v>
      </c>
      <c r="AB379" s="3">
        <v>209</v>
      </c>
      <c r="AC379" s="3">
        <f>IF(ISERROR((VLOOKUP($A379,'SegEnds_NonXtal_BW#'!$A:$Z,20,FALSE)+VLOOKUP($A379,A:AL,28,FALSE)-50)),"-",(VLOOKUP($A379,'SegEnds_NonXtal_BW#'!$A:$Z,20,FALSE)+VLOOKUP($A379,A:AL,28,FALSE)-50))</f>
        <v>232</v>
      </c>
      <c r="AD379" s="3">
        <f>IF(ISERROR(VLOOKUP($A379,'SegEnds_NonXtal_BW#'!$A:$Z,21,FALSE)+VLOOKUP($A379,A:AL,31,FALSE)-50),"-",(VLOOKUP($A379,'SegEnds_NonXtal_BW#'!$A:$Z,21,FALSE)+VLOOKUP($A379,A:AL,31,FALSE)-50))</f>
        <v>237</v>
      </c>
      <c r="AE379" s="3">
        <v>265</v>
      </c>
      <c r="AF379" s="3">
        <f>IF(ISERROR((VLOOKUP($A379,'SegEnds_NonXtal_BW#'!$A:$Z,22,FALSE)+VLOOKUP($A379,A:AL,31,FALSE)-50)),"-",(VLOOKUP($A379,'SegEnds_NonXtal_BW#'!$A:$Z,22,FALSE)+VLOOKUP($A379,A:AL,31,FALSE)-50))</f>
        <v>276</v>
      </c>
      <c r="AG379" s="3">
        <f>IF(ISERROR(VLOOKUP($A379,'SegEnds_NonXtal_BW#'!$A:$Z,23,FALSE)+VLOOKUP($A379,A:AL,34,FALSE)-50),"-",(VLOOKUP($A379,'SegEnds_NonXtal_BW#'!$A:$Z,23,FALSE)+VLOOKUP($A379,A:AL,34,FALSE)-50))</f>
        <v>282</v>
      </c>
      <c r="AH379" s="3">
        <v>304</v>
      </c>
      <c r="AI379" s="3">
        <f>IF(ISERROR((VLOOKUP($A379,'SegEnds_NonXtal_BW#'!$A:$Z,24,FALSE)+VLOOKUP($A379,A:AL,34,FALSE)-50)),"-",(VLOOKUP($A379,'SegEnds_NonXtal_BW#'!$A:$Z,24,FALSE)+VLOOKUP($A379,A:AL,34,FALSE)-50))</f>
        <v>310</v>
      </c>
      <c r="AJ379" s="3">
        <f>IF(ISERROR(VLOOKUP($A379,'SegEnds_NonXtal_BW#'!$A:$Z,25,FALSE)+VLOOKUP($A379,A:AL,37,FALSE)-50),"-",(VLOOKUP($A379,'SegEnds_NonXtal_BW#'!$A:$Z,25,FALSE)+VLOOKUP($A379,A:AL,37,FALSE)-50))</f>
        <v>311</v>
      </c>
      <c r="AK379" s="3">
        <v>314</v>
      </c>
      <c r="AL379" s="3">
        <f>IF(ISERROR((VLOOKUP($A379,'SegEnds_NonXtal_BW#'!$A:$Z,26,FALSE)+VLOOKUP($A379,A:AL,37,FALSE)-50)),"-",(VLOOKUP($A379,'SegEnds_NonXtal_BW#'!$A:$Z,26,FALSE)+VLOOKUP($A379,A:AL,37,FALSE)-50))</f>
        <v>322</v>
      </c>
      <c r="AM379" s="28" t="str">
        <f>VLOOKUP(A379,Classification!A:B,2,FALSE)</f>
        <v>A</v>
      </c>
      <c r="AN379" s="28" t="b">
        <f t="shared" si="200"/>
        <v>1</v>
      </c>
      <c r="AO379" s="3" t="str">
        <f>IF(ISERROR(MATCH(A379,'SegEnds_Xtal_Prot#'!B:B, 0)), "NoXtal", "Xtal")</f>
        <v>NoXtal</v>
      </c>
      <c r="AP379" s="3">
        <f t="shared" si="185"/>
        <v>1</v>
      </c>
      <c r="AQ379" s="3">
        <f t="shared" si="186"/>
        <v>1</v>
      </c>
      <c r="AR379" s="3">
        <f t="shared" si="187"/>
        <v>2</v>
      </c>
      <c r="AS379" s="3">
        <f t="shared" si="188"/>
        <v>1</v>
      </c>
      <c r="AT379" s="3" t="str">
        <f t="shared" si="189"/>
        <v>-</v>
      </c>
      <c r="AU379" s="3" t="str">
        <f t="shared" si="190"/>
        <v>-</v>
      </c>
      <c r="AV379" s="3">
        <f t="shared" si="191"/>
        <v>11</v>
      </c>
      <c r="AW379" s="3">
        <f t="shared" si="192"/>
        <v>8</v>
      </c>
      <c r="AX379" s="3">
        <f t="shared" si="193"/>
        <v>5</v>
      </c>
      <c r="AY379" s="3">
        <f t="shared" si="194"/>
        <v>6</v>
      </c>
      <c r="AZ379" s="3">
        <f t="shared" si="195"/>
        <v>1</v>
      </c>
      <c r="BA379" s="3">
        <f>IF(ISERROR(LEN(VLOOKUP(A379,Seqs!A:E,2,FALSE))-AL379),"-",LEN(VLOOKUP(A379,Seqs!A:E,2,FALSE))-AL379)</f>
        <v>76</v>
      </c>
      <c r="BB379" s="16">
        <f t="shared" si="196"/>
        <v>28</v>
      </c>
      <c r="BC379" s="9" t="str">
        <f t="shared" si="197"/>
        <v>-</v>
      </c>
      <c r="BD379" s="3">
        <f t="shared" si="198"/>
        <v>28</v>
      </c>
      <c r="BE379" s="3">
        <f t="shared" si="199"/>
        <v>56</v>
      </c>
    </row>
    <row r="380" spans="1:58" s="3" customFormat="1" x14ac:dyDescent="0.2">
      <c r="A380" s="3" t="s">
        <v>316</v>
      </c>
      <c r="B380" s="3" t="str">
        <f>LOWER(VLOOKUP(A380,Xtal_Templ!A:B,2,FALSE))</f>
        <v>ox2r_human</v>
      </c>
      <c r="C380" s="3">
        <f>VLOOKUP($A380,'SegEnds_NonXtal_BW#'!$A:$Z,3,FALSE)+D380-50</f>
        <v>84</v>
      </c>
      <c r="D380" s="3">
        <v>103</v>
      </c>
      <c r="E380" s="3">
        <f>IF(ISERROR(VLOOKUP($A380,'SegEnds_NonXtal_BW#'!$A:$Z,4,FALSE)+VLOOKUP($A380,A:AL,4,FALSE)-50),"-",(VLOOKUP($A380,'SegEnds_NonXtal_BW#'!$A:$Z,4,FALSE)+VLOOKUP($A380,A:AL,4,FALSE)-50))</f>
        <v>113</v>
      </c>
      <c r="F380" s="3">
        <f t="shared" si="212"/>
        <v>114</v>
      </c>
      <c r="G380" s="3">
        <v>116</v>
      </c>
      <c r="H380" s="3">
        <f t="shared" si="213"/>
        <v>117</v>
      </c>
      <c r="I380" s="3">
        <f t="shared" si="211"/>
        <v>118</v>
      </c>
      <c r="J380" s="3">
        <v>131</v>
      </c>
      <c r="K380" s="3">
        <f>VLOOKUP($A380,'SegEnds_NonXtal_BW#'!$A:$Z,8,FALSE)+VLOOKUP($A380,A:AL,10,FALSE)-50</f>
        <v>148</v>
      </c>
      <c r="L380" s="3">
        <f t="shared" si="214"/>
        <v>150</v>
      </c>
      <c r="M380" s="3">
        <v>151</v>
      </c>
      <c r="N380" s="3">
        <f t="shared" si="215"/>
        <v>153</v>
      </c>
      <c r="O380" s="3">
        <f t="shared" si="216"/>
        <v>154</v>
      </c>
      <c r="P380" s="3">
        <v>183</v>
      </c>
      <c r="Q380" s="3">
        <f>VLOOKUP($A380,'SegEnds_NonXtal_BW#'!$A:$Z,12,FALSE)+VLOOKUP($A380,A:AL,16,FALSE)-50</f>
        <v>189</v>
      </c>
      <c r="R380" s="3" t="str">
        <f>IF(ISERROR(VLOOKUP($A380,'SegEnds_NonXtal_BW#'!$A:$Z,13,FALSE)+VLOOKUP($A380,A:AL,19,FALSE)-50),"-",VLOOKUP($A380,'SegEnds_NonXtal_BW#'!$A:$Z,13,FALSE)+VLOOKUP($A380,A:AL,19,FALSE)-50)</f>
        <v>-</v>
      </c>
      <c r="S380" s="3" t="s">
        <v>23</v>
      </c>
      <c r="T380" s="103" t="str">
        <f>IF(ISERROR(VLOOKUP($A380,'SegEnds_NonXtal_BW#'!$A:$Z,14,FALSE)+VLOOKUP($A380,A:AL,19,FALSE)-50),"-",(VLOOKUP($A380,'SegEnds_NonXtal_BW#'!$A:$Z,14,FALSE)+VLOOKUP($A380,A:AL,19,FALSE)-50))</f>
        <v>-</v>
      </c>
      <c r="U380" s="9">
        <f>IF(ISERROR(VLOOKUP($A380,'SegEnds_NonXtal_BW#'!$A:$Z,15,FALSE)+VLOOKUP($A380,A:AL,22,FALSE)-50),"-",VLOOKUP($A380,'SegEnds_NonXtal_BW#'!$A:$Z,15,FALSE)+VLOOKUP($A380,A:AL,22,FALSE)-50)</f>
        <v>196</v>
      </c>
      <c r="V380" s="3">
        <v>208</v>
      </c>
      <c r="W380" s="3">
        <f>IF(ISERROR(VLOOKUP($A380,'SegEnds_NonXtal_BW#'!$A:$Z,16,FALSE)+VLOOKUP($A380,A:AL,22,FALSE)-50),"-",(VLOOKUP($A380,'SegEnds_NonXtal_BW#'!$A:$Z,16,FALSE)+VLOOKUP($A380,A:AL,22,FALSE)-50))</f>
        <v>222</v>
      </c>
      <c r="X380" s="3">
        <f>IF(ISERROR(VLOOKUP($A380,'SegEnds_NonXtal_BW#'!$A:$Z,17,FALSE)+VLOOKUP($A380,A:AL,25,FALSE)-50),"-",(VLOOKUP($A380,'SegEnds_NonXtal_BW#'!$A:$Z,17,FALSE)+VLOOKUP($A380,A:AL,25,FALSE)-50))</f>
        <v>233</v>
      </c>
      <c r="Y380" s="3">
        <v>233</v>
      </c>
      <c r="Z380" s="3">
        <f t="shared" si="207"/>
        <v>235</v>
      </c>
      <c r="AA380" s="3">
        <f>IF(ISERROR(VLOOKUP($A380,'SegEnds_NonXtal_BW#'!$A:$Z,19,FALSE)+VLOOKUP($A380,A:AL,28,FALSE)-50),"-",(VLOOKUP($A380,'SegEnds_NonXtal_BW#'!$A:$Z,19,FALSE)+VLOOKUP($A380,A:AL,28,FALSE)-50))</f>
        <v>241</v>
      </c>
      <c r="AB380" s="3">
        <v>259</v>
      </c>
      <c r="AC380" s="3">
        <f>IF(ISERROR((VLOOKUP($A380,'SegEnds_NonXtal_BW#'!$A:$Z,20,FALSE)+VLOOKUP($A380,A:AL,28,FALSE)-50)),"-",(VLOOKUP($A380,'SegEnds_NonXtal_BW#'!$A:$Z,20,FALSE)+VLOOKUP($A380,A:AL,28,FALSE)-50))</f>
        <v>282</v>
      </c>
      <c r="AD380" s="3">
        <f>IF(ISERROR(VLOOKUP($A380,'SegEnds_NonXtal_BW#'!$A:$Z,21,FALSE)+VLOOKUP($A380,A:AL,31,FALSE)-50),"-",(VLOOKUP($A380,'SegEnds_NonXtal_BW#'!$A:$Z,21,FALSE)+VLOOKUP($A380,A:AL,31,FALSE)-50))</f>
        <v>286</v>
      </c>
      <c r="AE380" s="3">
        <v>314</v>
      </c>
      <c r="AF380" s="3">
        <f>IF(ISERROR((VLOOKUP($A380,'SegEnds_NonXtal_BW#'!$A:$Z,22,FALSE)+VLOOKUP($A380,A:AL,31,FALSE)-50)),"-",(VLOOKUP($A380,'SegEnds_NonXtal_BW#'!$A:$Z,22,FALSE)+VLOOKUP($A380,A:AL,31,FALSE)-50))</f>
        <v>325</v>
      </c>
      <c r="AG380" s="3">
        <f>IF(ISERROR(VLOOKUP($A380,'SegEnds_NonXtal_BW#'!$A:$Z,23,FALSE)+VLOOKUP($A380,A:AL,34,FALSE)-50),"-",(VLOOKUP($A380,'SegEnds_NonXtal_BW#'!$A:$Z,23,FALSE)+VLOOKUP($A380,A:AL,34,FALSE)-50))</f>
        <v>331</v>
      </c>
      <c r="AH380" s="3">
        <v>353</v>
      </c>
      <c r="AI380" s="3">
        <f>IF(ISERROR((VLOOKUP($A380,'SegEnds_NonXtal_BW#'!$A:$Z,24,FALSE)+VLOOKUP($A380,A:AL,34,FALSE)-50)),"-",(VLOOKUP($A380,'SegEnds_NonXtal_BW#'!$A:$Z,24,FALSE)+VLOOKUP($A380,A:AL,34,FALSE)-50))</f>
        <v>359</v>
      </c>
      <c r="AJ380" s="3">
        <f>IF(ISERROR(VLOOKUP($A380,'SegEnds_NonXtal_BW#'!$A:$Z,25,FALSE)+VLOOKUP($A380,A:AL,37,FALSE)-50),"-",(VLOOKUP($A380,'SegEnds_NonXtal_BW#'!$A:$Z,25,FALSE)+VLOOKUP($A380,A:AL,37,FALSE)-50))</f>
        <v>360</v>
      </c>
      <c r="AK380" s="3">
        <v>363</v>
      </c>
      <c r="AL380" s="3">
        <f>IF(ISERROR((VLOOKUP($A380,'SegEnds_NonXtal_BW#'!$A:$Z,26,FALSE)+VLOOKUP($A380,A:AL,37,FALSE)-50)),"-",(VLOOKUP($A380,'SegEnds_NonXtal_BW#'!$A:$Z,26,FALSE)+VLOOKUP($A380,A:AL,37,FALSE)-50))</f>
        <v>371</v>
      </c>
      <c r="AM380" s="28" t="str">
        <f>VLOOKUP(A380,Classification!A:B,2,FALSE)</f>
        <v>A</v>
      </c>
      <c r="AN380" s="28" t="b">
        <f t="shared" si="200"/>
        <v>1</v>
      </c>
      <c r="AO380" s="3" t="str">
        <f>IF(ISERROR(MATCH(A380,'SegEnds_Xtal_Prot#'!B:B, 0)), "NoXtal", "Xtal")</f>
        <v>NoXtal</v>
      </c>
      <c r="AP380" s="3">
        <f t="shared" si="185"/>
        <v>1</v>
      </c>
      <c r="AQ380" s="3">
        <f t="shared" si="186"/>
        <v>1</v>
      </c>
      <c r="AR380" s="3">
        <f t="shared" si="187"/>
        <v>2</v>
      </c>
      <c r="AS380" s="3">
        <f t="shared" si="188"/>
        <v>1</v>
      </c>
      <c r="AT380" s="3" t="str">
        <f t="shared" si="189"/>
        <v>-</v>
      </c>
      <c r="AU380" s="3" t="str">
        <f t="shared" si="190"/>
        <v>-</v>
      </c>
      <c r="AV380" s="3">
        <f t="shared" si="191"/>
        <v>11</v>
      </c>
      <c r="AW380" s="3">
        <f t="shared" si="192"/>
        <v>6</v>
      </c>
      <c r="AX380" s="3">
        <f t="shared" si="193"/>
        <v>4</v>
      </c>
      <c r="AY380" s="3">
        <f t="shared" si="194"/>
        <v>6</v>
      </c>
      <c r="AZ380" s="3">
        <f t="shared" si="195"/>
        <v>1</v>
      </c>
      <c r="BA380" s="3">
        <f>IF(ISERROR(LEN(VLOOKUP(A380,Seqs!A:E,2,FALSE))-AL380),"-",LEN(VLOOKUP(A380,Seqs!A:E,2,FALSE))-AL380)</f>
        <v>94</v>
      </c>
      <c r="BB380" s="16">
        <f t="shared" si="196"/>
        <v>28</v>
      </c>
      <c r="BC380" s="9" t="str">
        <f t="shared" si="197"/>
        <v>-</v>
      </c>
      <c r="BD380" s="3">
        <f t="shared" si="198"/>
        <v>28</v>
      </c>
      <c r="BE380" s="3">
        <f t="shared" si="199"/>
        <v>55</v>
      </c>
    </row>
    <row r="381" spans="1:58" s="3" customFormat="1" x14ac:dyDescent="0.2">
      <c r="A381" s="3" t="s">
        <v>320</v>
      </c>
      <c r="B381" s="3" t="str">
        <f>LOWER(VLOOKUP(A381,Xtal_Templ!A:B,2,FALSE))</f>
        <v>oprk_human</v>
      </c>
      <c r="C381" s="3">
        <f>VLOOKUP($A381,'SegEnds_NonXtal_BW#'!$A:$Z,3,FALSE)+D381-50</f>
        <v>35</v>
      </c>
      <c r="D381" s="3">
        <v>55</v>
      </c>
      <c r="E381" s="3">
        <f>IF(ISERROR(VLOOKUP($A381,'SegEnds_NonXtal_BW#'!$A:$Z,4,FALSE)+VLOOKUP($A381,A:AL,4,FALSE)-50),"-",(VLOOKUP($A381,'SegEnds_NonXtal_BW#'!$A:$Z,4,FALSE)+VLOOKUP($A381,A:AL,4,FALSE)-50))</f>
        <v>65</v>
      </c>
      <c r="F381" s="3">
        <f t="shared" si="212"/>
        <v>66</v>
      </c>
      <c r="G381" s="3">
        <v>68</v>
      </c>
      <c r="H381" s="3">
        <f t="shared" si="213"/>
        <v>69</v>
      </c>
      <c r="I381" s="3">
        <f t="shared" si="211"/>
        <v>70</v>
      </c>
      <c r="J381" s="3">
        <v>83</v>
      </c>
      <c r="K381" s="3">
        <f>VLOOKUP($A381,'SegEnds_NonXtal_BW#'!$A:$Z,8,FALSE)+VLOOKUP($A381,A:AL,10,FALSE)-50</f>
        <v>99</v>
      </c>
      <c r="L381" s="3">
        <f t="shared" si="214"/>
        <v>101</v>
      </c>
      <c r="M381" s="3">
        <v>102</v>
      </c>
      <c r="N381" s="3">
        <f t="shared" si="215"/>
        <v>104</v>
      </c>
      <c r="O381" s="3">
        <f t="shared" si="216"/>
        <v>105</v>
      </c>
      <c r="P381" s="3">
        <v>134</v>
      </c>
      <c r="Q381" s="3">
        <f>VLOOKUP($A381,'SegEnds_NonXtal_BW#'!$A:$Z,12,FALSE)+VLOOKUP($A381,A:AL,16,FALSE)-50</f>
        <v>140</v>
      </c>
      <c r="R381" s="3" t="str">
        <f>IF(ISERROR(VLOOKUP($A381,'SegEnds_NonXtal_BW#'!$A:$Z,13,FALSE)+VLOOKUP($A381,A:AL,19,FALSE)-50),"-",VLOOKUP($A381,'SegEnds_NonXtal_BW#'!$A:$Z,13,FALSE)+VLOOKUP($A381,A:AL,19,FALSE)-50)</f>
        <v>-</v>
      </c>
      <c r="S381" s="3" t="s">
        <v>23</v>
      </c>
      <c r="T381" s="103" t="str">
        <f>IF(ISERROR(VLOOKUP($A381,'SegEnds_NonXtal_BW#'!$A:$Z,14,FALSE)+VLOOKUP($A381,A:AL,19,FALSE)-50),"-",(VLOOKUP($A381,'SegEnds_NonXtal_BW#'!$A:$Z,14,FALSE)+VLOOKUP($A381,A:AL,19,FALSE)-50))</f>
        <v>-</v>
      </c>
      <c r="U381" s="9">
        <f>IF(ISERROR(VLOOKUP($A381,'SegEnds_NonXtal_BW#'!$A:$Z,15,FALSE)+VLOOKUP($A381,A:AL,22,FALSE)-50),"-",VLOOKUP($A381,'SegEnds_NonXtal_BW#'!$A:$Z,15,FALSE)+VLOOKUP($A381,A:AL,22,FALSE)-50)</f>
        <v>151</v>
      </c>
      <c r="V381" s="3">
        <v>163</v>
      </c>
      <c r="W381" s="3">
        <f>IF(ISERROR(VLOOKUP($A381,'SegEnds_NonXtal_BW#'!$A:$Z,16,FALSE)+VLOOKUP($A381,A:AL,22,FALSE)-50),"-",(VLOOKUP($A381,'SegEnds_NonXtal_BW#'!$A:$Z,16,FALSE)+VLOOKUP($A381,A:AL,22,FALSE)-50))</f>
        <v>177</v>
      </c>
      <c r="X381" s="3">
        <f>IF(ISERROR(VLOOKUP($A381,'SegEnds_NonXtal_BW#'!$A:$Z,17,FALSE)+VLOOKUP($A381,A:AL,25,FALSE)-50),"-",(VLOOKUP($A381,'SegEnds_NonXtal_BW#'!$A:$Z,17,FALSE)+VLOOKUP($A381,A:AL,25,FALSE)-50))</f>
        <v>188</v>
      </c>
      <c r="Y381" s="3">
        <v>188</v>
      </c>
      <c r="Z381" s="3">
        <f t="shared" si="207"/>
        <v>190</v>
      </c>
      <c r="AA381" s="3">
        <f>IF(ISERROR(VLOOKUP($A381,'SegEnds_NonXtal_BW#'!$A:$Z,19,FALSE)+VLOOKUP($A381,A:AL,28,FALSE)-50),"-",(VLOOKUP($A381,'SegEnds_NonXtal_BW#'!$A:$Z,19,FALSE)+VLOOKUP($A381,A:AL,28,FALSE)-50))</f>
        <v>196</v>
      </c>
      <c r="AB381" s="3">
        <v>215</v>
      </c>
      <c r="AC381" s="3">
        <f>IF(ISERROR((VLOOKUP($A381,'SegEnds_NonXtal_BW#'!$A:$Z,20,FALSE)+VLOOKUP($A381,A:AL,28,FALSE)-50)),"-",(VLOOKUP($A381,'SegEnds_NonXtal_BW#'!$A:$Z,20,FALSE)+VLOOKUP($A381,A:AL,28,FALSE)-50))</f>
        <v>233</v>
      </c>
      <c r="AD381" s="3">
        <f>IF(ISERROR(VLOOKUP($A381,'SegEnds_NonXtal_BW#'!$A:$Z,21,FALSE)+VLOOKUP($A381,A:AL,31,FALSE)-50),"-",(VLOOKUP($A381,'SegEnds_NonXtal_BW#'!$A:$Z,21,FALSE)+VLOOKUP($A381,A:AL,31,FALSE)-50))</f>
        <v>239</v>
      </c>
      <c r="AE381" s="3">
        <v>266</v>
      </c>
      <c r="AF381" s="3">
        <f>IF(ISERROR((VLOOKUP($A381,'SegEnds_NonXtal_BW#'!$A:$Z,22,FALSE)+VLOOKUP($A381,A:AL,31,FALSE)-50)),"-",(VLOOKUP($A381,'SegEnds_NonXtal_BW#'!$A:$Z,22,FALSE)+VLOOKUP($A381,A:AL,31,FALSE)-50))</f>
        <v>277</v>
      </c>
      <c r="AG381" s="3">
        <f>IF(ISERROR(VLOOKUP($A381,'SegEnds_NonXtal_BW#'!$A:$Z,23,FALSE)+VLOOKUP($A381,A:AL,34,FALSE)-50),"-",(VLOOKUP($A381,'SegEnds_NonXtal_BW#'!$A:$Z,23,FALSE)+VLOOKUP($A381,A:AL,34,FALSE)-50))</f>
        <v>282</v>
      </c>
      <c r="AH381" s="3">
        <v>304</v>
      </c>
      <c r="AI381" s="3">
        <f>IF(ISERROR((VLOOKUP($A381,'SegEnds_NonXtal_BW#'!$A:$Z,24,FALSE)+VLOOKUP($A381,A:AL,34,FALSE)-50)),"-",(VLOOKUP($A381,'SegEnds_NonXtal_BW#'!$A:$Z,24,FALSE)+VLOOKUP($A381,A:AL,34,FALSE)-50))</f>
        <v>310</v>
      </c>
      <c r="AJ381" s="3">
        <f>IF(ISERROR(VLOOKUP($A381,'SegEnds_NonXtal_BW#'!$A:$Z,25,FALSE)+VLOOKUP($A381,A:AL,37,FALSE)-50),"-",(VLOOKUP($A381,'SegEnds_NonXtal_BW#'!$A:$Z,25,FALSE)+VLOOKUP($A381,A:AL,37,FALSE)-50))</f>
        <v>311</v>
      </c>
      <c r="AK381" s="3">
        <v>314</v>
      </c>
      <c r="AL381" s="3">
        <f>IF(ISERROR((VLOOKUP($A381,'SegEnds_NonXtal_BW#'!$A:$Z,26,FALSE)+VLOOKUP($A381,A:AL,37,FALSE)-50)),"-",(VLOOKUP($A381,'SegEnds_NonXtal_BW#'!$A:$Z,26,FALSE)+VLOOKUP($A381,A:AL,37,FALSE)-50))</f>
        <v>323</v>
      </c>
      <c r="AM381" s="28" t="str">
        <f>VLOOKUP(A381,Classification!A:B,2,FALSE)</f>
        <v>A</v>
      </c>
      <c r="AN381" s="28" t="b">
        <f t="shared" si="200"/>
        <v>1</v>
      </c>
      <c r="AO381" s="3" t="str">
        <f>IF(ISERROR(MATCH(A381,'SegEnds_Xtal_Prot#'!B:B, 0)), "NoXtal", "Xtal")</f>
        <v>NoXtal</v>
      </c>
      <c r="AP381" s="3">
        <f t="shared" si="185"/>
        <v>1</v>
      </c>
      <c r="AQ381" s="3">
        <f t="shared" si="186"/>
        <v>1</v>
      </c>
      <c r="AR381" s="3">
        <f t="shared" si="187"/>
        <v>2</v>
      </c>
      <c r="AS381" s="3">
        <f t="shared" si="188"/>
        <v>1</v>
      </c>
      <c r="AT381" s="3" t="str">
        <f t="shared" si="189"/>
        <v>-</v>
      </c>
      <c r="AU381" s="3" t="str">
        <f t="shared" si="190"/>
        <v>-</v>
      </c>
      <c r="AV381" s="3">
        <f t="shared" si="191"/>
        <v>11</v>
      </c>
      <c r="AW381" s="3">
        <f t="shared" si="192"/>
        <v>6</v>
      </c>
      <c r="AX381" s="3">
        <f t="shared" si="193"/>
        <v>6</v>
      </c>
      <c r="AY381" s="3">
        <f t="shared" si="194"/>
        <v>5</v>
      </c>
      <c r="AZ381" s="3">
        <f t="shared" si="195"/>
        <v>1</v>
      </c>
      <c r="BA381" s="3">
        <f>IF(ISERROR(LEN(VLOOKUP(A381,Seqs!A:E,2,FALSE))-AL381),"-",LEN(VLOOKUP(A381,Seqs!A:E,2,FALSE))-AL381)</f>
        <v>5</v>
      </c>
      <c r="BB381" s="16">
        <f t="shared" si="196"/>
        <v>28</v>
      </c>
      <c r="BC381" s="9" t="str">
        <f t="shared" si="197"/>
        <v>-</v>
      </c>
      <c r="BD381" s="3">
        <f t="shared" si="198"/>
        <v>28</v>
      </c>
      <c r="BE381" s="3">
        <f t="shared" si="199"/>
        <v>51</v>
      </c>
      <c r="BF381" s="3">
        <f>AH381-AE381</f>
        <v>38</v>
      </c>
    </row>
    <row r="382" spans="1:58" s="3" customFormat="1" x14ac:dyDescent="0.2">
      <c r="A382" s="3" t="s">
        <v>321</v>
      </c>
      <c r="B382" s="3" t="str">
        <f>LOWER(VLOOKUP(A382,Xtal_Templ!A:B,2,FALSE))</f>
        <v>oprd_human</v>
      </c>
      <c r="C382" s="3">
        <f>VLOOKUP($A382,'SegEnds_NonXtal_BW#'!$A:$Z,3,FALSE)+D382-50</f>
        <v>35</v>
      </c>
      <c r="D382" s="3">
        <v>63</v>
      </c>
      <c r="E382" s="3">
        <f>IF(ISERROR(VLOOKUP($A382,'SegEnds_NonXtal_BW#'!$A:$Z,4,FALSE)+VLOOKUP($A382,A:AL,4,FALSE)-50),"-",(VLOOKUP($A382,'SegEnds_NonXtal_BW#'!$A:$Z,4,FALSE)+VLOOKUP($A382,A:AL,4,FALSE)-50))</f>
        <v>73</v>
      </c>
      <c r="F382" s="3">
        <f t="shared" si="212"/>
        <v>74</v>
      </c>
      <c r="G382" s="3">
        <v>76</v>
      </c>
      <c r="H382" s="3">
        <f t="shared" si="213"/>
        <v>77</v>
      </c>
      <c r="I382" s="3">
        <f t="shared" si="211"/>
        <v>78</v>
      </c>
      <c r="J382" s="3">
        <v>91</v>
      </c>
      <c r="K382" s="3">
        <f>VLOOKUP($A382,'SegEnds_NonXtal_BW#'!$A:$Z,8,FALSE)+VLOOKUP($A382,A:AL,10,FALSE)-50</f>
        <v>107</v>
      </c>
      <c r="L382" s="3">
        <f t="shared" si="214"/>
        <v>109</v>
      </c>
      <c r="M382" s="3">
        <v>110</v>
      </c>
      <c r="N382" s="3">
        <f t="shared" si="215"/>
        <v>112</v>
      </c>
      <c r="O382" s="3">
        <f t="shared" si="216"/>
        <v>113</v>
      </c>
      <c r="P382" s="3">
        <v>142</v>
      </c>
      <c r="Q382" s="3">
        <f>VLOOKUP($A382,'SegEnds_NonXtal_BW#'!$A:$Z,12,FALSE)+VLOOKUP($A382,A:AL,16,FALSE)-50</f>
        <v>148</v>
      </c>
      <c r="R382" s="3" t="str">
        <f>IF(ISERROR(VLOOKUP($A382,'SegEnds_NonXtal_BW#'!$A:$Z,13,FALSE)+VLOOKUP($A382,A:AL,19,FALSE)-50),"-",VLOOKUP($A382,'SegEnds_NonXtal_BW#'!$A:$Z,13,FALSE)+VLOOKUP($A382,A:AL,19,FALSE)-50)</f>
        <v>-</v>
      </c>
      <c r="S382" s="3" t="s">
        <v>23</v>
      </c>
      <c r="T382" s="103" t="str">
        <f>IF(ISERROR(VLOOKUP($A382,'SegEnds_NonXtal_BW#'!$A:$Z,14,FALSE)+VLOOKUP($A382,A:AL,19,FALSE)-50),"-",(VLOOKUP($A382,'SegEnds_NonXtal_BW#'!$A:$Z,14,FALSE)+VLOOKUP($A382,A:AL,19,FALSE)-50))</f>
        <v>-</v>
      </c>
      <c r="U382" s="9">
        <f>IF(ISERROR(VLOOKUP($A382,'SegEnds_NonXtal_BW#'!$A:$Z,15,FALSE)+VLOOKUP($A382,A:AL,22,FALSE)-50),"-",VLOOKUP($A382,'SegEnds_NonXtal_BW#'!$A:$Z,15,FALSE)+VLOOKUP($A382,A:AL,22,FALSE)-50)</f>
        <v>159</v>
      </c>
      <c r="V382" s="3">
        <v>171</v>
      </c>
      <c r="W382" s="3">
        <f>IF(ISERROR(VLOOKUP($A382,'SegEnds_NonXtal_BW#'!$A:$Z,16,FALSE)+VLOOKUP($A382,A:AL,22,FALSE)-50),"-",(VLOOKUP($A382,'SegEnds_NonXtal_BW#'!$A:$Z,16,FALSE)+VLOOKUP($A382,A:AL,22,FALSE)-50))</f>
        <v>185</v>
      </c>
      <c r="X382" s="3">
        <f>IF(ISERROR(VLOOKUP($A382,'SegEnds_NonXtal_BW#'!$A:$Z,17,FALSE)+VLOOKUP($A382,A:AL,25,FALSE)-50),"-",(VLOOKUP($A382,'SegEnds_NonXtal_BW#'!$A:$Z,17,FALSE)+VLOOKUP($A382,A:AL,25,FALSE)-50))</f>
        <v>197</v>
      </c>
      <c r="Y382" s="3">
        <v>197</v>
      </c>
      <c r="Z382" s="3">
        <f t="shared" si="207"/>
        <v>199</v>
      </c>
      <c r="AA382" s="3">
        <f>IF(ISERROR(VLOOKUP($A382,'SegEnds_NonXtal_BW#'!$A:$Z,19,FALSE)+VLOOKUP($A382,A:AL,28,FALSE)-50),"-",(VLOOKUP($A382,'SegEnds_NonXtal_BW#'!$A:$Z,19,FALSE)+VLOOKUP($A382,A:AL,28,FALSE)-50))</f>
        <v>205</v>
      </c>
      <c r="AB382" s="3">
        <v>224</v>
      </c>
      <c r="AC382" s="3">
        <f>IF(ISERROR((VLOOKUP($A382,'SegEnds_NonXtal_BW#'!$A:$Z,20,FALSE)+VLOOKUP($A382,A:AL,28,FALSE)-50)),"-",(VLOOKUP($A382,'SegEnds_NonXtal_BW#'!$A:$Z,20,FALSE)+VLOOKUP($A382,A:AL,28,FALSE)-50))</f>
        <v>242</v>
      </c>
      <c r="AD382" s="3">
        <f>IF(ISERROR(VLOOKUP($A382,'SegEnds_NonXtal_BW#'!$A:$Z,21,FALSE)+VLOOKUP($A382,A:AL,31,FALSE)-50),"-",(VLOOKUP($A382,'SegEnds_NonXtal_BW#'!$A:$Z,21,FALSE)+VLOOKUP($A382,A:AL,31,FALSE)-50))</f>
        <v>248</v>
      </c>
      <c r="AE382" s="3">
        <v>275</v>
      </c>
      <c r="AF382" s="3">
        <f>IF(ISERROR((VLOOKUP($A382,'SegEnds_NonXtal_BW#'!$A:$Z,22,FALSE)+VLOOKUP($A382,A:AL,31,FALSE)-50)),"-",(VLOOKUP($A382,'SegEnds_NonXtal_BW#'!$A:$Z,22,FALSE)+VLOOKUP($A382,A:AL,31,FALSE)-50))</f>
        <v>286</v>
      </c>
      <c r="AG382" s="3">
        <f>IF(ISERROR(VLOOKUP($A382,'SegEnds_NonXtal_BW#'!$A:$Z,23,FALSE)+VLOOKUP($A382,A:AL,34,FALSE)-50),"-",(VLOOKUP($A382,'SegEnds_NonXtal_BW#'!$A:$Z,23,FALSE)+VLOOKUP($A382,A:AL,34,FALSE)-50))</f>
        <v>291</v>
      </c>
      <c r="AH382" s="3">
        <v>313</v>
      </c>
      <c r="AI382" s="3">
        <f>IF(ISERROR((VLOOKUP($A382,'SegEnds_NonXtal_BW#'!$A:$Z,24,FALSE)+VLOOKUP($A382,A:AL,34,FALSE)-50)),"-",(VLOOKUP($A382,'SegEnds_NonXtal_BW#'!$A:$Z,24,FALSE)+VLOOKUP($A382,A:AL,34,FALSE)-50))</f>
        <v>319</v>
      </c>
      <c r="AJ382" s="3">
        <f>IF(ISERROR(VLOOKUP($A382,'SegEnds_NonXtal_BW#'!$A:$Z,25,FALSE)+VLOOKUP($A382,A:AL,37,FALSE)-50),"-",(VLOOKUP($A382,'SegEnds_NonXtal_BW#'!$A:$Z,25,FALSE)+VLOOKUP($A382,A:AL,37,FALSE)-50))</f>
        <v>320</v>
      </c>
      <c r="AK382" s="3">
        <v>323</v>
      </c>
      <c r="AL382" s="3">
        <f>IF(ISERROR((VLOOKUP($A382,'SegEnds_NonXtal_BW#'!$A:$Z,26,FALSE)+VLOOKUP($A382,A:AL,37,FALSE)-50)),"-",(VLOOKUP($A382,'SegEnds_NonXtal_BW#'!$A:$Z,26,FALSE)+VLOOKUP($A382,A:AL,37,FALSE)-50))</f>
        <v>333</v>
      </c>
      <c r="AM382" s="28" t="str">
        <f>VLOOKUP(A382,Classification!A:B,2,FALSE)</f>
        <v>A</v>
      </c>
      <c r="AN382" s="28" t="b">
        <f t="shared" si="200"/>
        <v>1</v>
      </c>
      <c r="AO382" s="3" t="str">
        <f>IF(ISERROR(MATCH(A382,'SegEnds_Xtal_Prot#'!B:B, 0)), "NoXtal", "Xtal")</f>
        <v>NoXtal</v>
      </c>
      <c r="AP382" s="3">
        <f t="shared" si="185"/>
        <v>1</v>
      </c>
      <c r="AQ382" s="3">
        <f t="shared" si="186"/>
        <v>1</v>
      </c>
      <c r="AR382" s="3">
        <f t="shared" si="187"/>
        <v>2</v>
      </c>
      <c r="AS382" s="3">
        <f t="shared" si="188"/>
        <v>1</v>
      </c>
      <c r="AT382" s="3" t="str">
        <f t="shared" si="189"/>
        <v>-</v>
      </c>
      <c r="AU382" s="3" t="str">
        <f t="shared" si="190"/>
        <v>-</v>
      </c>
      <c r="AV382" s="3">
        <f t="shared" si="191"/>
        <v>12</v>
      </c>
      <c r="AW382" s="3">
        <f t="shared" si="192"/>
        <v>6</v>
      </c>
      <c r="AX382" s="3">
        <f t="shared" si="193"/>
        <v>6</v>
      </c>
      <c r="AY382" s="3">
        <f t="shared" si="194"/>
        <v>5</v>
      </c>
      <c r="AZ382" s="3">
        <f t="shared" si="195"/>
        <v>1</v>
      </c>
      <c r="BA382" s="3">
        <f>IF(ISERROR(LEN(VLOOKUP(A382,Seqs!A:E,2,FALSE))-AL382),"-",LEN(VLOOKUP(A382,Seqs!A:E,2,FALSE))-AL382)</f>
        <v>0</v>
      </c>
      <c r="BB382" s="16">
        <f t="shared" si="196"/>
        <v>28</v>
      </c>
      <c r="BC382" s="9" t="str">
        <f t="shared" si="197"/>
        <v>-</v>
      </c>
      <c r="BD382" s="3">
        <f t="shared" si="198"/>
        <v>28</v>
      </c>
      <c r="BE382" s="3">
        <f t="shared" si="199"/>
        <v>51</v>
      </c>
      <c r="BF382" s="3">
        <f>AH382-AE382</f>
        <v>38</v>
      </c>
    </row>
    <row r="383" spans="1:58" s="3" customFormat="1" x14ac:dyDescent="0.2">
      <c r="A383" s="3" t="s">
        <v>322</v>
      </c>
      <c r="B383" s="3" t="str">
        <f>LOWER(VLOOKUP(A383,Xtal_Templ!A:B,2,FALSE))</f>
        <v>ox1r_human</v>
      </c>
      <c r="C383" s="3">
        <f>VLOOKUP($A383,'SegEnds_NonXtal_BW#'!$A:$Z,3,FALSE)+D383-50</f>
        <v>43</v>
      </c>
      <c r="D383" s="3">
        <v>61</v>
      </c>
      <c r="E383" s="3">
        <f>IF(ISERROR(VLOOKUP($A383,'SegEnds_NonXtal_BW#'!$A:$Z,4,FALSE)+VLOOKUP($A383,A:AL,4,FALSE)-50),"-",(VLOOKUP($A383,'SegEnds_NonXtal_BW#'!$A:$Z,4,FALSE)+VLOOKUP($A383,A:AL,4,FALSE)-50))</f>
        <v>71</v>
      </c>
      <c r="F383" s="3">
        <f t="shared" si="212"/>
        <v>72</v>
      </c>
      <c r="G383" s="3">
        <v>74</v>
      </c>
      <c r="H383" s="3">
        <f t="shared" si="213"/>
        <v>75</v>
      </c>
      <c r="I383" s="3">
        <f t="shared" si="211"/>
        <v>76</v>
      </c>
      <c r="J383" s="3">
        <v>89</v>
      </c>
      <c r="K383" s="3">
        <f>VLOOKUP($A383,'SegEnds_NonXtal_BW#'!$A:$Z,8,FALSE)+VLOOKUP($A383,A:AL,10,FALSE)-50</f>
        <v>106</v>
      </c>
      <c r="L383" s="3">
        <f t="shared" si="214"/>
        <v>108</v>
      </c>
      <c r="M383" s="3">
        <v>109</v>
      </c>
      <c r="N383" s="3">
        <f t="shared" si="215"/>
        <v>111</v>
      </c>
      <c r="O383" s="3">
        <f t="shared" si="216"/>
        <v>112</v>
      </c>
      <c r="P383" s="3">
        <v>141</v>
      </c>
      <c r="Q383" s="3">
        <f>VLOOKUP($A383,'SegEnds_NonXtal_BW#'!$A:$Z,12,FALSE)+VLOOKUP($A383,A:AL,16,FALSE)-50</f>
        <v>147</v>
      </c>
      <c r="R383" s="3" t="str">
        <f>IF(ISERROR(VLOOKUP($A383,'SegEnds_NonXtal_BW#'!$A:$Z,13,FALSE)+VLOOKUP($A383,A:AL,19,FALSE)-50),"-",VLOOKUP($A383,'SegEnds_NonXtal_BW#'!$A:$Z,13,FALSE)+VLOOKUP($A383,A:AL,19,FALSE)-50)</f>
        <v>-</v>
      </c>
      <c r="S383" s="3" t="s">
        <v>23</v>
      </c>
      <c r="T383" s="103" t="str">
        <f>IF(ISERROR(VLOOKUP($A383,'SegEnds_NonXtal_BW#'!$A:$Z,14,FALSE)+VLOOKUP($A383,A:AL,19,FALSE)-50),"-",(VLOOKUP($A383,'SegEnds_NonXtal_BW#'!$A:$Z,14,FALSE)+VLOOKUP($A383,A:AL,19,FALSE)-50))</f>
        <v>-</v>
      </c>
      <c r="U383" s="9">
        <f>IF(ISERROR(VLOOKUP($A383,'SegEnds_NonXtal_BW#'!$A:$Z,15,FALSE)+VLOOKUP($A383,A:AL,22,FALSE)-50),"-",VLOOKUP($A383,'SegEnds_NonXtal_BW#'!$A:$Z,15,FALSE)+VLOOKUP($A383,A:AL,22,FALSE)-50)</f>
        <v>154</v>
      </c>
      <c r="V383" s="3">
        <v>166</v>
      </c>
      <c r="W383" s="3">
        <f>IF(ISERROR(VLOOKUP($A383,'SegEnds_NonXtal_BW#'!$A:$Z,16,FALSE)+VLOOKUP($A383,A:AL,22,FALSE)-50),"-",(VLOOKUP($A383,'SegEnds_NonXtal_BW#'!$A:$Z,16,FALSE)+VLOOKUP($A383,A:AL,22,FALSE)-50))</f>
        <v>180</v>
      </c>
      <c r="X383" s="3">
        <f>IF(ISERROR(VLOOKUP($A383,'SegEnds_NonXtal_BW#'!$A:$Z,17,FALSE)+VLOOKUP($A383,A:AL,25,FALSE)-50),"-",(VLOOKUP($A383,'SegEnds_NonXtal_BW#'!$A:$Z,17,FALSE)+VLOOKUP($A383,A:AL,25,FALSE)-50))</f>
        <v>203</v>
      </c>
      <c r="Y383" s="3">
        <v>203</v>
      </c>
      <c r="Z383" s="3">
        <f t="shared" si="207"/>
        <v>205</v>
      </c>
      <c r="AA383" s="3">
        <f>IF(ISERROR(VLOOKUP($A383,'SegEnds_NonXtal_BW#'!$A:$Z,19,FALSE)+VLOOKUP($A383,A:AL,28,FALSE)-50),"-",(VLOOKUP($A383,'SegEnds_NonXtal_BW#'!$A:$Z,19,FALSE)+VLOOKUP($A383,A:AL,28,FALSE)-50))</f>
        <v>210</v>
      </c>
      <c r="AB383" s="3">
        <v>228</v>
      </c>
      <c r="AC383" s="3">
        <f>IF(ISERROR((VLOOKUP($A383,'SegEnds_NonXtal_BW#'!$A:$Z,20,FALSE)+VLOOKUP($A383,A:AL,28,FALSE)-50)),"-",(VLOOKUP($A383,'SegEnds_NonXtal_BW#'!$A:$Z,20,FALSE)+VLOOKUP($A383,A:AL,28,FALSE)-50))</f>
        <v>250</v>
      </c>
      <c r="AD383" s="3">
        <f>IF(ISERROR(VLOOKUP($A383,'SegEnds_NonXtal_BW#'!$A:$Z,21,FALSE)+VLOOKUP($A383,A:AL,31,FALSE)-50),"-",(VLOOKUP($A383,'SegEnds_NonXtal_BW#'!$A:$Z,21,FALSE)+VLOOKUP($A383,A:AL,31,FALSE)-50))</f>
        <v>259</v>
      </c>
      <c r="AE383" s="3">
        <v>285</v>
      </c>
      <c r="AF383" s="3">
        <f>IF(ISERROR((VLOOKUP($A383,'SegEnds_NonXtal_BW#'!$A:$Z,22,FALSE)+VLOOKUP($A383,A:AL,31,FALSE)-50)),"-",(VLOOKUP($A383,'SegEnds_NonXtal_BW#'!$A:$Z,22,FALSE)+VLOOKUP($A383,A:AL,31,FALSE)-50))</f>
        <v>296</v>
      </c>
      <c r="AG383" s="3">
        <f>IF(ISERROR(VLOOKUP($A383,'SegEnds_NonXtal_BW#'!$A:$Z,23,FALSE)+VLOOKUP($A383,A:AL,34,FALSE)-50),"-",(VLOOKUP($A383,'SegEnds_NonXtal_BW#'!$A:$Z,23,FALSE)+VLOOKUP($A383,A:AL,34,FALSE)-50))</f>
        <v>304</v>
      </c>
      <c r="AH383" s="3">
        <v>326</v>
      </c>
      <c r="AI383" s="3">
        <f>IF(ISERROR((VLOOKUP($A383,'SegEnds_NonXtal_BW#'!$A:$Z,24,FALSE)+VLOOKUP($A383,A:AL,34,FALSE)-50)),"-",(VLOOKUP($A383,'SegEnds_NonXtal_BW#'!$A:$Z,24,FALSE)+VLOOKUP($A383,A:AL,34,FALSE)-50))</f>
        <v>332</v>
      </c>
      <c r="AJ383" s="3">
        <f>IF(ISERROR(VLOOKUP($A383,'SegEnds_NonXtal_BW#'!$A:$Z,25,FALSE)+VLOOKUP($A383,A:AL,37,FALSE)-50),"-",(VLOOKUP($A383,'SegEnds_NonXtal_BW#'!$A:$Z,25,FALSE)+VLOOKUP($A383,A:AL,37,FALSE)-50))</f>
        <v>333</v>
      </c>
      <c r="AK383" s="3">
        <v>336</v>
      </c>
      <c r="AL383" s="3">
        <f>IF(ISERROR((VLOOKUP($A383,'SegEnds_NonXtal_BW#'!$A:$Z,26,FALSE)+VLOOKUP($A383,A:AL,37,FALSE)-50)),"-",(VLOOKUP($A383,'SegEnds_NonXtal_BW#'!$A:$Z,26,FALSE)+VLOOKUP($A383,A:AL,37,FALSE)-50))</f>
        <v>344</v>
      </c>
      <c r="AM383" s="28" t="str">
        <f>VLOOKUP(A383,Classification!A:B,2,FALSE)</f>
        <v>A</v>
      </c>
      <c r="AN383" s="28" t="b">
        <f t="shared" si="200"/>
        <v>1</v>
      </c>
      <c r="AO383" s="3" t="str">
        <f>IF(ISERROR(MATCH(A383,'SegEnds_Xtal_Prot#'!B:B, 0)), "NoXtal", "Xtal")</f>
        <v>NoXtal</v>
      </c>
      <c r="AP383" s="3">
        <f t="shared" si="185"/>
        <v>1</v>
      </c>
      <c r="AQ383" s="3">
        <f t="shared" si="186"/>
        <v>1</v>
      </c>
      <c r="AR383" s="3">
        <f t="shared" si="187"/>
        <v>2</v>
      </c>
      <c r="AS383" s="3">
        <f t="shared" si="188"/>
        <v>1</v>
      </c>
      <c r="AT383" s="3" t="str">
        <f t="shared" si="189"/>
        <v>-</v>
      </c>
      <c r="AU383" s="3" t="str">
        <f t="shared" si="190"/>
        <v>-</v>
      </c>
      <c r="AV383" s="3">
        <f t="shared" si="191"/>
        <v>23</v>
      </c>
      <c r="AW383" s="3">
        <f t="shared" si="192"/>
        <v>5</v>
      </c>
      <c r="AX383" s="3">
        <f t="shared" si="193"/>
        <v>9</v>
      </c>
      <c r="AY383" s="3">
        <f t="shared" si="194"/>
        <v>8</v>
      </c>
      <c r="AZ383" s="3">
        <f t="shared" si="195"/>
        <v>1</v>
      </c>
      <c r="BA383" s="3">
        <f>IF(ISERROR(LEN(VLOOKUP(A383,Seqs!A:E,2,FALSE))-AL383),"-",LEN(VLOOKUP(A383,Seqs!A:E,2,FALSE))-AL383)</f>
        <v>86</v>
      </c>
      <c r="BB383" s="16">
        <f t="shared" si="196"/>
        <v>28</v>
      </c>
      <c r="BC383" s="9" t="str">
        <f t="shared" si="197"/>
        <v>-</v>
      </c>
      <c r="BD383" s="3">
        <f t="shared" si="198"/>
        <v>28</v>
      </c>
      <c r="BE383" s="3">
        <f t="shared" si="199"/>
        <v>57</v>
      </c>
    </row>
    <row r="384" spans="1:58" s="3" customFormat="1" x14ac:dyDescent="0.2">
      <c r="A384" s="3" t="s">
        <v>323</v>
      </c>
      <c r="B384" s="3" t="str">
        <f>LOWER(VLOOKUP(A384,Xtal_Templ!A:B,2,FALSE))</f>
        <v>ox2r_human</v>
      </c>
      <c r="C384" s="3">
        <f>VLOOKUP($A384,'SegEnds_NonXtal_BW#'!$A:$Z,3,FALSE)+D384-50</f>
        <v>146</v>
      </c>
      <c r="D384" s="3">
        <v>165</v>
      </c>
      <c r="E384" s="3">
        <f>IF(ISERROR(VLOOKUP($A384,'SegEnds_NonXtal_BW#'!$A:$Z,4,FALSE)+VLOOKUP($A384,A:AL,4,FALSE)-50),"-",(VLOOKUP($A384,'SegEnds_NonXtal_BW#'!$A:$Z,4,FALSE)+VLOOKUP($A384,A:AL,4,FALSE)-50))</f>
        <v>175</v>
      </c>
      <c r="F384" s="3">
        <f t="shared" si="212"/>
        <v>176</v>
      </c>
      <c r="G384" s="3">
        <v>178</v>
      </c>
      <c r="H384" s="3">
        <f t="shared" si="213"/>
        <v>179</v>
      </c>
      <c r="I384" s="3">
        <f t="shared" si="211"/>
        <v>180</v>
      </c>
      <c r="J384" s="3">
        <v>193</v>
      </c>
      <c r="K384" s="3">
        <f>VLOOKUP($A384,'SegEnds_NonXtal_BW#'!$A:$Z,8,FALSE)+VLOOKUP($A384,A:AL,10,FALSE)-50</f>
        <v>210</v>
      </c>
      <c r="L384" s="3">
        <f t="shared" si="214"/>
        <v>212</v>
      </c>
      <c r="M384" s="3">
        <v>213</v>
      </c>
      <c r="N384" s="3">
        <f t="shared" si="215"/>
        <v>215</v>
      </c>
      <c r="O384" s="3">
        <f t="shared" si="216"/>
        <v>216</v>
      </c>
      <c r="P384" s="3">
        <v>245</v>
      </c>
      <c r="Q384" s="3">
        <f>VLOOKUP($A384,'SegEnds_NonXtal_BW#'!$A:$Z,12,FALSE)+VLOOKUP($A384,A:AL,16,FALSE)-50</f>
        <v>251</v>
      </c>
      <c r="R384" s="3" t="str">
        <f>IF(ISERROR(VLOOKUP($A384,'SegEnds_NonXtal_BW#'!$A:$Z,13,FALSE)+VLOOKUP($A384,A:AL,19,FALSE)-50),"-",VLOOKUP($A384,'SegEnds_NonXtal_BW#'!$A:$Z,13,FALSE)+VLOOKUP($A384,A:AL,19,FALSE)-50)</f>
        <v>-</v>
      </c>
      <c r="S384" s="3" t="s">
        <v>23</v>
      </c>
      <c r="T384" s="103" t="str">
        <f>IF(ISERROR(VLOOKUP($A384,'SegEnds_NonXtal_BW#'!$A:$Z,14,FALSE)+VLOOKUP($A384,A:AL,19,FALSE)-50),"-",(VLOOKUP($A384,'SegEnds_NonXtal_BW#'!$A:$Z,14,FALSE)+VLOOKUP($A384,A:AL,19,FALSE)-50))</f>
        <v>-</v>
      </c>
      <c r="U384" s="9">
        <f>IF(ISERROR(VLOOKUP($A384,'SegEnds_NonXtal_BW#'!$A:$Z,15,FALSE)+VLOOKUP($A384,A:AL,22,FALSE)-50),"-",VLOOKUP($A384,'SegEnds_NonXtal_BW#'!$A:$Z,15,FALSE)+VLOOKUP($A384,A:AL,22,FALSE)-50)</f>
        <v>258</v>
      </c>
      <c r="V384" s="3">
        <v>270</v>
      </c>
      <c r="W384" s="3">
        <f>IF(ISERROR(VLOOKUP($A384,'SegEnds_NonXtal_BW#'!$A:$Z,16,FALSE)+VLOOKUP($A384,A:AL,22,FALSE)-50),"-",(VLOOKUP($A384,'SegEnds_NonXtal_BW#'!$A:$Z,16,FALSE)+VLOOKUP($A384,A:AL,22,FALSE)-50))</f>
        <v>284</v>
      </c>
      <c r="X384" s="3">
        <f>IF(ISERROR(VLOOKUP($A384,'SegEnds_NonXtal_BW#'!$A:$Z,17,FALSE)+VLOOKUP($A384,A:AL,25,FALSE)-50),"-",(VLOOKUP($A384,'SegEnds_NonXtal_BW#'!$A:$Z,17,FALSE)+VLOOKUP($A384,A:AL,25,FALSE)-50))</f>
        <v>308</v>
      </c>
      <c r="Y384" s="3">
        <v>308</v>
      </c>
      <c r="Z384" s="3">
        <f t="shared" si="207"/>
        <v>310</v>
      </c>
      <c r="AA384" s="3">
        <f>IF(ISERROR(VLOOKUP($A384,'SegEnds_NonXtal_BW#'!$A:$Z,19,FALSE)+VLOOKUP($A384,A:AL,28,FALSE)-50),"-",(VLOOKUP($A384,'SegEnds_NonXtal_BW#'!$A:$Z,19,FALSE)+VLOOKUP($A384,A:AL,28,FALSE)-50))</f>
        <v>315</v>
      </c>
      <c r="AB384" s="3">
        <v>333</v>
      </c>
      <c r="AC384" s="3">
        <f>IF(ISERROR((VLOOKUP($A384,'SegEnds_NonXtal_BW#'!$A:$Z,20,FALSE)+VLOOKUP($A384,A:AL,28,FALSE)-50)),"-",(VLOOKUP($A384,'SegEnds_NonXtal_BW#'!$A:$Z,20,FALSE)+VLOOKUP($A384,A:AL,28,FALSE)-50))</f>
        <v>356</v>
      </c>
      <c r="AD384" s="3">
        <f>IF(ISERROR(VLOOKUP($A384,'SegEnds_NonXtal_BW#'!$A:$Z,21,FALSE)+VLOOKUP($A384,A:AL,31,FALSE)-50),"-",(VLOOKUP($A384,'SegEnds_NonXtal_BW#'!$A:$Z,21,FALSE)+VLOOKUP($A384,A:AL,31,FALSE)-50))</f>
        <v>365</v>
      </c>
      <c r="AE384" s="3">
        <v>391</v>
      </c>
      <c r="AF384" s="3">
        <f>IF(ISERROR((VLOOKUP($A384,'SegEnds_NonXtal_BW#'!$A:$Z,22,FALSE)+VLOOKUP($A384,A:AL,31,FALSE)-50)),"-",(VLOOKUP($A384,'SegEnds_NonXtal_BW#'!$A:$Z,22,FALSE)+VLOOKUP($A384,A:AL,31,FALSE)-50))</f>
        <v>402</v>
      </c>
      <c r="AG384" s="3">
        <f>IF(ISERROR(VLOOKUP($A384,'SegEnds_NonXtal_BW#'!$A:$Z,23,FALSE)+VLOOKUP($A384,A:AL,34,FALSE)-50),"-",(VLOOKUP($A384,'SegEnds_NonXtal_BW#'!$A:$Z,23,FALSE)+VLOOKUP($A384,A:AL,34,FALSE)-50))</f>
        <v>410</v>
      </c>
      <c r="AH384" s="3">
        <v>432</v>
      </c>
      <c r="AI384" s="3">
        <f>IF(ISERROR((VLOOKUP($A384,'SegEnds_NonXtal_BW#'!$A:$Z,24,FALSE)+VLOOKUP($A384,A:AL,34,FALSE)-50)),"-",(VLOOKUP($A384,'SegEnds_NonXtal_BW#'!$A:$Z,24,FALSE)+VLOOKUP($A384,A:AL,34,FALSE)-50))</f>
        <v>438</v>
      </c>
      <c r="AJ384" s="3">
        <f>IF(ISERROR(VLOOKUP($A384,'SegEnds_NonXtal_BW#'!$A:$Z,25,FALSE)+VLOOKUP($A384,A:AL,37,FALSE)-50),"-",(VLOOKUP($A384,'SegEnds_NonXtal_BW#'!$A:$Z,25,FALSE)+VLOOKUP($A384,A:AL,37,FALSE)-50))</f>
        <v>439</v>
      </c>
      <c r="AK384" s="3">
        <v>442</v>
      </c>
      <c r="AL384" s="3">
        <f>IF(ISERROR((VLOOKUP($A384,'SegEnds_NonXtal_BW#'!$A:$Z,26,FALSE)+VLOOKUP($A384,A:AL,37,FALSE)-50)),"-",(VLOOKUP($A384,'SegEnds_NonXtal_BW#'!$A:$Z,26,FALSE)+VLOOKUP($A384,A:AL,37,FALSE)-50))</f>
        <v>450</v>
      </c>
      <c r="AM384" s="28" t="str">
        <f>VLOOKUP(A384,Classification!A:B,2,FALSE)</f>
        <v>A</v>
      </c>
      <c r="AN384" s="28" t="b">
        <f t="shared" si="200"/>
        <v>1</v>
      </c>
      <c r="AO384" s="3" t="str">
        <f>IF(ISERROR(MATCH(A384,'SegEnds_Xtal_Prot#'!B:B, 0)), "NoXtal", "Xtal")</f>
        <v>NoXtal</v>
      </c>
      <c r="AP384" s="3">
        <f t="shared" si="185"/>
        <v>1</v>
      </c>
      <c r="AQ384" s="3">
        <f t="shared" si="186"/>
        <v>1</v>
      </c>
      <c r="AR384" s="3">
        <f t="shared" si="187"/>
        <v>2</v>
      </c>
      <c r="AS384" s="3">
        <f t="shared" si="188"/>
        <v>1</v>
      </c>
      <c r="AT384" s="3" t="str">
        <f t="shared" si="189"/>
        <v>-</v>
      </c>
      <c r="AU384" s="3" t="str">
        <f t="shared" si="190"/>
        <v>-</v>
      </c>
      <c r="AV384" s="3">
        <f t="shared" si="191"/>
        <v>24</v>
      </c>
      <c r="AW384" s="3">
        <f t="shared" si="192"/>
        <v>5</v>
      </c>
      <c r="AX384" s="3">
        <f t="shared" si="193"/>
        <v>9</v>
      </c>
      <c r="AY384" s="3">
        <f t="shared" si="194"/>
        <v>8</v>
      </c>
      <c r="AZ384" s="3">
        <f t="shared" si="195"/>
        <v>1</v>
      </c>
      <c r="BA384" s="3">
        <f>IF(ISERROR(LEN(VLOOKUP(A384,Seqs!A:E,2,FALSE))-AL384),"-",LEN(VLOOKUP(A384,Seqs!A:E,2,FALSE))-AL384)</f>
        <v>72</v>
      </c>
      <c r="BB384" s="16">
        <f t="shared" si="196"/>
        <v>28</v>
      </c>
      <c r="BC384" s="9" t="str">
        <f t="shared" si="197"/>
        <v>-</v>
      </c>
      <c r="BD384" s="3">
        <f t="shared" si="198"/>
        <v>28</v>
      </c>
      <c r="BE384" s="3">
        <f t="shared" si="199"/>
        <v>58</v>
      </c>
    </row>
    <row r="385" spans="1:58" s="3" customFormat="1" x14ac:dyDescent="0.2">
      <c r="A385" s="3" t="s">
        <v>325</v>
      </c>
      <c r="B385" s="3" t="str">
        <f>LOWER(VLOOKUP(A385,Xtal_Templ!A:B,2,FALSE))</f>
        <v>ox1r_human</v>
      </c>
      <c r="C385" s="3">
        <f>VLOOKUP($A385,'SegEnds_NonXtal_BW#'!$A:$Z,3,FALSE)+D385-50</f>
        <v>40</v>
      </c>
      <c r="D385" s="3">
        <v>58</v>
      </c>
      <c r="E385" s="3">
        <f>IF(ISERROR(VLOOKUP($A385,'SegEnds_NonXtal_BW#'!$A:$Z,4,FALSE)+VLOOKUP($A385,A:AL,4,FALSE)-50),"-",(VLOOKUP($A385,'SegEnds_NonXtal_BW#'!$A:$Z,4,FALSE)+VLOOKUP($A385,A:AL,4,FALSE)-50))</f>
        <v>68</v>
      </c>
      <c r="F385" s="3">
        <f t="shared" si="212"/>
        <v>69</v>
      </c>
      <c r="G385" s="3">
        <v>71</v>
      </c>
      <c r="H385" s="3">
        <f t="shared" si="213"/>
        <v>72</v>
      </c>
      <c r="I385" s="3">
        <f t="shared" si="211"/>
        <v>73</v>
      </c>
      <c r="J385" s="3">
        <v>86</v>
      </c>
      <c r="K385" s="3">
        <f>VLOOKUP($A385,'SegEnds_NonXtal_BW#'!$A:$Z,8,FALSE)+VLOOKUP($A385,A:AL,10,FALSE)-50</f>
        <v>103</v>
      </c>
      <c r="L385" s="3">
        <f t="shared" si="214"/>
        <v>105</v>
      </c>
      <c r="M385" s="3">
        <v>106</v>
      </c>
      <c r="N385" s="3">
        <f t="shared" si="215"/>
        <v>108</v>
      </c>
      <c r="O385" s="3">
        <f t="shared" si="216"/>
        <v>109</v>
      </c>
      <c r="P385" s="3">
        <v>138</v>
      </c>
      <c r="Q385" s="3">
        <f>VLOOKUP($A385,'SegEnds_NonXtal_BW#'!$A:$Z,12,FALSE)+VLOOKUP($A385,A:AL,16,FALSE)-50</f>
        <v>144</v>
      </c>
      <c r="R385" s="3" t="str">
        <f>IF(ISERROR(VLOOKUP($A385,'SegEnds_NonXtal_BW#'!$A:$Z,13,FALSE)+VLOOKUP($A385,A:AL,19,FALSE)-50),"-",VLOOKUP($A385,'SegEnds_NonXtal_BW#'!$A:$Z,13,FALSE)+VLOOKUP($A385,A:AL,19,FALSE)-50)</f>
        <v>-</v>
      </c>
      <c r="S385" s="3" t="s">
        <v>23</v>
      </c>
      <c r="T385" s="103" t="str">
        <f>IF(ISERROR(VLOOKUP($A385,'SegEnds_NonXtal_BW#'!$A:$Z,14,FALSE)+VLOOKUP($A385,A:AL,19,FALSE)-50),"-",(VLOOKUP($A385,'SegEnds_NonXtal_BW#'!$A:$Z,14,FALSE)+VLOOKUP($A385,A:AL,19,FALSE)-50))</f>
        <v>-</v>
      </c>
      <c r="U385" s="9">
        <f>IF(ISERROR(VLOOKUP($A385,'SegEnds_NonXtal_BW#'!$A:$Z,15,FALSE)+VLOOKUP($A385,A:AL,22,FALSE)-50),"-",VLOOKUP($A385,'SegEnds_NonXtal_BW#'!$A:$Z,15,FALSE)+VLOOKUP($A385,A:AL,22,FALSE)-50)</f>
        <v>151</v>
      </c>
      <c r="V385" s="3">
        <v>163</v>
      </c>
      <c r="W385" s="3">
        <f>IF(ISERROR(VLOOKUP($A385,'SegEnds_NonXtal_BW#'!$A:$Z,16,FALSE)+VLOOKUP($A385,A:AL,22,FALSE)-50),"-",(VLOOKUP($A385,'SegEnds_NonXtal_BW#'!$A:$Z,16,FALSE)+VLOOKUP($A385,A:AL,22,FALSE)-50))</f>
        <v>177</v>
      </c>
      <c r="X385" s="3">
        <f>IF(ISERROR(VLOOKUP($A385,'SegEnds_NonXtal_BW#'!$A:$Z,17,FALSE)+VLOOKUP($A385,A:AL,25,FALSE)-50),"-",(VLOOKUP($A385,'SegEnds_NonXtal_BW#'!$A:$Z,17,FALSE)+VLOOKUP($A385,A:AL,25,FALSE)-50))</f>
        <v>198</v>
      </c>
      <c r="Y385" s="3">
        <v>198</v>
      </c>
      <c r="Z385" s="3">
        <f t="shared" si="207"/>
        <v>200</v>
      </c>
      <c r="AA385" s="3">
        <f>IF(ISERROR(VLOOKUP($A385,'SegEnds_NonXtal_BW#'!$A:$Z,19,FALSE)+VLOOKUP($A385,A:AL,28,FALSE)-50),"-",(VLOOKUP($A385,'SegEnds_NonXtal_BW#'!$A:$Z,19,FALSE)+VLOOKUP($A385,A:AL,28,FALSE)-50))</f>
        <v>205</v>
      </c>
      <c r="AB385" s="3">
        <v>223</v>
      </c>
      <c r="AC385" s="3">
        <f>IF(ISERROR((VLOOKUP($A385,'SegEnds_NonXtal_BW#'!$A:$Z,20,FALSE)+VLOOKUP($A385,A:AL,28,FALSE)-50)),"-",(VLOOKUP($A385,'SegEnds_NonXtal_BW#'!$A:$Z,20,FALSE)+VLOOKUP($A385,A:AL,28,FALSE)-50))</f>
        <v>246</v>
      </c>
      <c r="AD385" s="3">
        <f>IF(ISERROR(VLOOKUP($A385,'SegEnds_NonXtal_BW#'!$A:$Z,21,FALSE)+VLOOKUP($A385,A:AL,31,FALSE)-50),"-",(VLOOKUP($A385,'SegEnds_NonXtal_BW#'!$A:$Z,21,FALSE)+VLOOKUP($A385,A:AL,31,FALSE)-50))</f>
        <v>250</v>
      </c>
      <c r="AE385" s="3">
        <v>278</v>
      </c>
      <c r="AF385" s="3">
        <f>IF(ISERROR((VLOOKUP($A385,'SegEnds_NonXtal_BW#'!$A:$Z,22,FALSE)+VLOOKUP($A385,A:AL,31,FALSE)-50)),"-",(VLOOKUP($A385,'SegEnds_NonXtal_BW#'!$A:$Z,22,FALSE)+VLOOKUP($A385,A:AL,31,FALSE)-50))</f>
        <v>289</v>
      </c>
      <c r="AG385" s="3">
        <f>IF(ISERROR(VLOOKUP($A385,'SegEnds_NonXtal_BW#'!$A:$Z,23,FALSE)+VLOOKUP($A385,A:AL,34,FALSE)-50),"-",(VLOOKUP($A385,'SegEnds_NonXtal_BW#'!$A:$Z,23,FALSE)+VLOOKUP($A385,A:AL,34,FALSE)-50))</f>
        <v>295</v>
      </c>
      <c r="AH385" s="3">
        <v>317</v>
      </c>
      <c r="AI385" s="3">
        <f>IF(ISERROR((VLOOKUP($A385,'SegEnds_NonXtal_BW#'!$A:$Z,24,FALSE)+VLOOKUP($A385,A:AL,34,FALSE)-50)),"-",(VLOOKUP($A385,'SegEnds_NonXtal_BW#'!$A:$Z,24,FALSE)+VLOOKUP($A385,A:AL,34,FALSE)-50))</f>
        <v>323</v>
      </c>
      <c r="AJ385" s="3">
        <f>IF(ISERROR(VLOOKUP($A385,'SegEnds_NonXtal_BW#'!$A:$Z,25,FALSE)+VLOOKUP($A385,A:AL,37,FALSE)-50),"-",(VLOOKUP($A385,'SegEnds_NonXtal_BW#'!$A:$Z,25,FALSE)+VLOOKUP($A385,A:AL,37,FALSE)-50))</f>
        <v>324</v>
      </c>
      <c r="AK385" s="3">
        <v>327</v>
      </c>
      <c r="AL385" s="3">
        <f>IF(ISERROR((VLOOKUP($A385,'SegEnds_NonXtal_BW#'!$A:$Z,26,FALSE)+VLOOKUP($A385,A:AL,37,FALSE)-50)),"-",(VLOOKUP($A385,'SegEnds_NonXtal_BW#'!$A:$Z,26,FALSE)+VLOOKUP($A385,A:AL,37,FALSE)-50))</f>
        <v>335</v>
      </c>
      <c r="AM385" s="28" t="str">
        <f>VLOOKUP(A385,Classification!A:B,2,FALSE)</f>
        <v>A</v>
      </c>
      <c r="AN385" s="28" t="b">
        <f t="shared" si="200"/>
        <v>1</v>
      </c>
      <c r="AO385" s="3" t="str">
        <f>IF(ISERROR(MATCH(A385,'SegEnds_Xtal_Prot#'!B:B, 0)), "NoXtal", "Xtal")</f>
        <v>NoXtal</v>
      </c>
      <c r="AP385" s="3">
        <f t="shared" si="185"/>
        <v>1</v>
      </c>
      <c r="AQ385" s="3">
        <f t="shared" si="186"/>
        <v>1</v>
      </c>
      <c r="AR385" s="3">
        <f t="shared" si="187"/>
        <v>2</v>
      </c>
      <c r="AS385" s="3">
        <f t="shared" si="188"/>
        <v>1</v>
      </c>
      <c r="AT385" s="3" t="str">
        <f t="shared" si="189"/>
        <v>-</v>
      </c>
      <c r="AU385" s="3" t="str">
        <f t="shared" si="190"/>
        <v>-</v>
      </c>
      <c r="AV385" s="3">
        <f t="shared" si="191"/>
        <v>21</v>
      </c>
      <c r="AW385" s="3">
        <f t="shared" si="192"/>
        <v>5</v>
      </c>
      <c r="AX385" s="3">
        <f t="shared" si="193"/>
        <v>4</v>
      </c>
      <c r="AY385" s="3">
        <f t="shared" si="194"/>
        <v>6</v>
      </c>
      <c r="AZ385" s="3">
        <f t="shared" si="195"/>
        <v>1</v>
      </c>
      <c r="BA385" s="3">
        <f>IF(ISERROR(LEN(VLOOKUP(A385,Seqs!A:E,2,FALSE))-AL385),"-",LEN(VLOOKUP(A385,Seqs!A:E,2,FALSE))-AL385)</f>
        <v>49</v>
      </c>
      <c r="BB385" s="16">
        <f t="shared" si="196"/>
        <v>28</v>
      </c>
      <c r="BC385" s="9" t="str">
        <f t="shared" si="197"/>
        <v>-</v>
      </c>
      <c r="BD385" s="3">
        <f t="shared" si="198"/>
        <v>28</v>
      </c>
      <c r="BE385" s="3">
        <f t="shared" si="199"/>
        <v>55</v>
      </c>
    </row>
    <row r="386" spans="1:58" s="3" customFormat="1" x14ac:dyDescent="0.2">
      <c r="A386" s="3" t="s">
        <v>326</v>
      </c>
      <c r="B386" s="3" t="str">
        <f>LOWER(VLOOKUP(A386,Xtal_Templ!A:B,2,FALSE))</f>
        <v>ox1r_human</v>
      </c>
      <c r="C386" s="3">
        <f>VLOOKUP($A386,'SegEnds_NonXtal_BW#'!$A:$Z,3,FALSE)+D386-50</f>
        <v>50</v>
      </c>
      <c r="D386" s="3">
        <v>68</v>
      </c>
      <c r="E386" s="3">
        <f>IF(ISERROR(VLOOKUP($A386,'SegEnds_NonXtal_BW#'!$A:$Z,4,FALSE)+VLOOKUP($A386,A:AL,4,FALSE)-50),"-",(VLOOKUP($A386,'SegEnds_NonXtal_BW#'!$A:$Z,4,FALSE)+VLOOKUP($A386,A:AL,4,FALSE)-50))</f>
        <v>78</v>
      </c>
      <c r="F386" s="3">
        <f t="shared" si="212"/>
        <v>79</v>
      </c>
      <c r="G386" s="3">
        <v>81</v>
      </c>
      <c r="H386" s="3">
        <f t="shared" si="213"/>
        <v>82</v>
      </c>
      <c r="I386" s="3">
        <f t="shared" si="211"/>
        <v>83</v>
      </c>
      <c r="J386" s="3">
        <v>96</v>
      </c>
      <c r="K386" s="3">
        <f>VLOOKUP($A386,'SegEnds_NonXtal_BW#'!$A:$Z,8,FALSE)+VLOOKUP($A386,A:AL,10,FALSE)-50</f>
        <v>113</v>
      </c>
      <c r="L386" s="3">
        <f t="shared" si="214"/>
        <v>115</v>
      </c>
      <c r="M386" s="3">
        <v>116</v>
      </c>
      <c r="N386" s="3">
        <f t="shared" si="215"/>
        <v>118</v>
      </c>
      <c r="O386" s="3">
        <f t="shared" si="216"/>
        <v>119</v>
      </c>
      <c r="P386" s="3">
        <v>148</v>
      </c>
      <c r="Q386" s="3">
        <f>VLOOKUP($A386,'SegEnds_NonXtal_BW#'!$A:$Z,12,FALSE)+VLOOKUP($A386,A:AL,16,FALSE)-50</f>
        <v>154</v>
      </c>
      <c r="R386" s="3" t="str">
        <f>IF(ISERROR(VLOOKUP($A386,'SegEnds_NonXtal_BW#'!$A:$Z,13,FALSE)+VLOOKUP($A386,A:AL,19,FALSE)-50),"-",VLOOKUP($A386,'SegEnds_NonXtal_BW#'!$A:$Z,13,FALSE)+VLOOKUP($A386,A:AL,19,FALSE)-50)</f>
        <v>-</v>
      </c>
      <c r="S386" s="3" t="s">
        <v>23</v>
      </c>
      <c r="T386" s="103" t="str">
        <f>IF(ISERROR(VLOOKUP($A386,'SegEnds_NonXtal_BW#'!$A:$Z,14,FALSE)+VLOOKUP($A386,A:AL,19,FALSE)-50),"-",(VLOOKUP($A386,'SegEnds_NonXtal_BW#'!$A:$Z,14,FALSE)+VLOOKUP($A386,A:AL,19,FALSE)-50))</f>
        <v>-</v>
      </c>
      <c r="U386" s="9">
        <f>IF(ISERROR(VLOOKUP($A386,'SegEnds_NonXtal_BW#'!$A:$Z,15,FALSE)+VLOOKUP($A386,A:AL,22,FALSE)-50),"-",VLOOKUP($A386,'SegEnds_NonXtal_BW#'!$A:$Z,15,FALSE)+VLOOKUP($A386,A:AL,22,FALSE)-50)</f>
        <v>161</v>
      </c>
      <c r="V386" s="3">
        <v>173</v>
      </c>
      <c r="W386" s="3">
        <f>IF(ISERROR(VLOOKUP($A386,'SegEnds_NonXtal_BW#'!$A:$Z,16,FALSE)+VLOOKUP($A386,A:AL,22,FALSE)-50),"-",(VLOOKUP($A386,'SegEnds_NonXtal_BW#'!$A:$Z,16,FALSE)+VLOOKUP($A386,A:AL,22,FALSE)-50))</f>
        <v>187</v>
      </c>
      <c r="X386" s="3">
        <f>IF(ISERROR(VLOOKUP($A386,'SegEnds_NonXtal_BW#'!$A:$Z,17,FALSE)+VLOOKUP($A386,A:AL,25,FALSE)-50),"-",(VLOOKUP($A386,'SegEnds_NonXtal_BW#'!$A:$Z,17,FALSE)+VLOOKUP($A386,A:AL,25,FALSE)-50))</f>
        <v>203</v>
      </c>
      <c r="Y386" s="3">
        <v>203</v>
      </c>
      <c r="Z386" s="3">
        <f t="shared" si="207"/>
        <v>205</v>
      </c>
      <c r="AA386" s="3">
        <f>IF(ISERROR(VLOOKUP($A386,'SegEnds_NonXtal_BW#'!$A:$Z,19,FALSE)+VLOOKUP($A386,A:AL,28,FALSE)-50),"-",(VLOOKUP($A386,'SegEnds_NonXtal_BW#'!$A:$Z,19,FALSE)+VLOOKUP($A386,A:AL,28,FALSE)-50))</f>
        <v>213</v>
      </c>
      <c r="AB386" s="3">
        <v>231</v>
      </c>
      <c r="AC386" s="3">
        <f>IF(ISERROR((VLOOKUP($A386,'SegEnds_NonXtal_BW#'!$A:$Z,20,FALSE)+VLOOKUP($A386,A:AL,28,FALSE)-50)),"-",(VLOOKUP($A386,'SegEnds_NonXtal_BW#'!$A:$Z,20,FALSE)+VLOOKUP($A386,A:AL,28,FALSE)-50))</f>
        <v>253</v>
      </c>
      <c r="AD386" s="3">
        <f>IF(ISERROR(VLOOKUP($A386,'SegEnds_NonXtal_BW#'!$A:$Z,21,FALSE)+VLOOKUP($A386,A:AL,31,FALSE)-50),"-",(VLOOKUP($A386,'SegEnds_NonXtal_BW#'!$A:$Z,21,FALSE)+VLOOKUP($A386,A:AL,31,FALSE)-50))</f>
        <v>257</v>
      </c>
      <c r="AE386" s="3">
        <v>283</v>
      </c>
      <c r="AF386" s="3">
        <f>IF(ISERROR((VLOOKUP($A386,'SegEnds_NonXtal_BW#'!$A:$Z,22,FALSE)+VLOOKUP($A386,A:AL,31,FALSE)-50)),"-",(VLOOKUP($A386,'SegEnds_NonXtal_BW#'!$A:$Z,22,FALSE)+VLOOKUP($A386,A:AL,31,FALSE)-50))</f>
        <v>294</v>
      </c>
      <c r="AG386" s="3">
        <f>IF(ISERROR(VLOOKUP($A386,'SegEnds_NonXtal_BW#'!$A:$Z,23,FALSE)+VLOOKUP($A386,A:AL,34,FALSE)-50),"-",(VLOOKUP($A386,'SegEnds_NonXtal_BW#'!$A:$Z,23,FALSE)+VLOOKUP($A386,A:AL,34,FALSE)-50))</f>
        <v>300</v>
      </c>
      <c r="AH386" s="3">
        <v>322</v>
      </c>
      <c r="AI386" s="3">
        <f>IF(ISERROR((VLOOKUP($A386,'SegEnds_NonXtal_BW#'!$A:$Z,24,FALSE)+VLOOKUP($A386,A:AL,34,FALSE)-50)),"-",(VLOOKUP($A386,'SegEnds_NonXtal_BW#'!$A:$Z,24,FALSE)+VLOOKUP($A386,A:AL,34,FALSE)-50))</f>
        <v>328</v>
      </c>
      <c r="AJ386" s="3">
        <f>IF(ISERROR(VLOOKUP($A386,'SegEnds_NonXtal_BW#'!$A:$Z,25,FALSE)+VLOOKUP($A386,A:AL,37,FALSE)-50),"-",(VLOOKUP($A386,'SegEnds_NonXtal_BW#'!$A:$Z,25,FALSE)+VLOOKUP($A386,A:AL,37,FALSE)-50))</f>
        <v>329</v>
      </c>
      <c r="AK386" s="3">
        <v>332</v>
      </c>
      <c r="AL386" s="3">
        <f>IF(ISERROR((VLOOKUP($A386,'SegEnds_NonXtal_BW#'!$A:$Z,26,FALSE)+VLOOKUP($A386,A:AL,37,FALSE)-50)),"-",(VLOOKUP($A386,'SegEnds_NonXtal_BW#'!$A:$Z,26,FALSE)+VLOOKUP($A386,A:AL,37,FALSE)-50))</f>
        <v>340</v>
      </c>
      <c r="AM386" s="28" t="str">
        <f>VLOOKUP(A386,Classification!A:B,2,FALSE)</f>
        <v>A</v>
      </c>
      <c r="AN386" s="28" t="b">
        <f t="shared" si="200"/>
        <v>1</v>
      </c>
      <c r="AO386" s="3" t="str">
        <f>IF(ISERROR(MATCH(A386,'SegEnds_Xtal_Prot#'!B:B, 0)), "NoXtal", "Xtal")</f>
        <v>NoXtal</v>
      </c>
      <c r="AP386" s="3">
        <f t="shared" ref="AP386:AP406" si="217">IF(ISERROR(F386-E386),"-",F386-E386)</f>
        <v>1</v>
      </c>
      <c r="AQ386" s="3">
        <f t="shared" ref="AQ386:AQ406" si="218">IF(ISERROR(I386-H386),"-",I386-H386)</f>
        <v>1</v>
      </c>
      <c r="AR386" s="3">
        <f t="shared" ref="AR386:AR406" si="219">IF(ISERROR(L386-K386),"-",L386-K386)</f>
        <v>2</v>
      </c>
      <c r="AS386" s="3">
        <f t="shared" ref="AS386:AS406" si="220">IF(ISERROR(O386-N386),"-",O386-N386)</f>
        <v>1</v>
      </c>
      <c r="AT386" s="3" t="str">
        <f t="shared" ref="AT386:AT406" si="221">IF(ISERROR(R386-Q386),"-",R386-Q386)</f>
        <v>-</v>
      </c>
      <c r="AU386" s="3" t="str">
        <f t="shared" ref="AU386:AU406" si="222">IF(ISERROR(U386-T386),"-",U386-T386)</f>
        <v>-</v>
      </c>
      <c r="AV386" s="3">
        <f t="shared" ref="AV386:AV406" si="223">IF(ISERROR(X386-W386),"-",X386-W386)</f>
        <v>16</v>
      </c>
      <c r="AW386" s="3">
        <f t="shared" ref="AW386:AW406" si="224">IF(ISERROR(AA386-Z386),"-",AA386-Z386)</f>
        <v>8</v>
      </c>
      <c r="AX386" s="3">
        <f t="shared" ref="AX386:AX406" si="225">IF(ISERROR(AD386-AC386),"-",AD386-AC386)</f>
        <v>4</v>
      </c>
      <c r="AY386" s="3">
        <f t="shared" ref="AY386:AY406" si="226">IF(ISERROR(AG386-AF386),"-",AG386-AF386)</f>
        <v>6</v>
      </c>
      <c r="AZ386" s="3">
        <f t="shared" ref="AZ386:AZ406" si="227">IF(ISERROR(AJ386-AI386),"-",AJ386-AI386)</f>
        <v>1</v>
      </c>
      <c r="BA386" s="3">
        <f>IF(ISERROR(LEN(VLOOKUP(A386,Seqs!A:E,2,FALSE))-AL386),"-",LEN(VLOOKUP(A386,Seqs!A:E,2,FALSE))-AL386)</f>
        <v>41</v>
      </c>
      <c r="BB386" s="16">
        <f t="shared" ref="BB386:BB406" si="228">J386-D386</f>
        <v>28</v>
      </c>
      <c r="BC386" s="9" t="str">
        <f t="shared" ref="BC386:BC406" si="229">IF(ISERROR(V386-S386),"-",V386-S386)</f>
        <v>-</v>
      </c>
      <c r="BD386" s="3">
        <f t="shared" ref="BD386:BD406" si="230">J386-D386</f>
        <v>28</v>
      </c>
      <c r="BE386" s="3">
        <f t="shared" ref="BE386:BE406" si="231">AE386-AB386</f>
        <v>52</v>
      </c>
    </row>
    <row r="387" spans="1:58" s="3" customFormat="1" x14ac:dyDescent="0.2">
      <c r="A387" s="3" t="s">
        <v>327</v>
      </c>
      <c r="B387" s="3" t="str">
        <f>LOWER(VLOOKUP(A387,Xtal_Templ!A:B,2,FALSE))</f>
        <v>ox2r_human</v>
      </c>
      <c r="C387" s="3">
        <f>VLOOKUP($A387,'SegEnds_NonXtal_BW#'!$A:$Z,3,FALSE)+D387-50</f>
        <v>40</v>
      </c>
      <c r="D387" s="3">
        <v>59</v>
      </c>
      <c r="E387" s="3">
        <f>IF(ISERROR(VLOOKUP($A387,'SegEnds_NonXtal_BW#'!$A:$Z,4,FALSE)+VLOOKUP($A387,A:AL,4,FALSE)-50),"-",(VLOOKUP($A387,'SegEnds_NonXtal_BW#'!$A:$Z,4,FALSE)+VLOOKUP($A387,A:AL,4,FALSE)-50))</f>
        <v>69</v>
      </c>
      <c r="F387" s="3">
        <f t="shared" si="212"/>
        <v>70</v>
      </c>
      <c r="G387" s="3">
        <v>72</v>
      </c>
      <c r="H387" s="3">
        <f t="shared" si="213"/>
        <v>73</v>
      </c>
      <c r="I387" s="3">
        <f t="shared" si="211"/>
        <v>74</v>
      </c>
      <c r="J387" s="3">
        <v>87</v>
      </c>
      <c r="K387" s="3">
        <f>VLOOKUP($A387,'SegEnds_NonXtal_BW#'!$A:$Z,8,FALSE)+VLOOKUP($A387,A:AL,10,FALSE)-50</f>
        <v>104</v>
      </c>
      <c r="L387" s="3">
        <f t="shared" si="214"/>
        <v>106</v>
      </c>
      <c r="M387" s="3">
        <v>107</v>
      </c>
      <c r="N387" s="3">
        <f t="shared" si="215"/>
        <v>109</v>
      </c>
      <c r="O387" s="3">
        <f t="shared" si="216"/>
        <v>110</v>
      </c>
      <c r="P387" s="3">
        <v>139</v>
      </c>
      <c r="Q387" s="3">
        <f>VLOOKUP($A387,'SegEnds_NonXtal_BW#'!$A:$Z,12,FALSE)+VLOOKUP($A387,A:AL,16,FALSE)-50</f>
        <v>145</v>
      </c>
      <c r="R387" s="3" t="str">
        <f>IF(ISERROR(VLOOKUP($A387,'SegEnds_NonXtal_BW#'!$A:$Z,13,FALSE)+VLOOKUP($A387,A:AL,19,FALSE)-50),"-",VLOOKUP($A387,'SegEnds_NonXtal_BW#'!$A:$Z,13,FALSE)+VLOOKUP($A387,A:AL,19,FALSE)-50)</f>
        <v>-</v>
      </c>
      <c r="S387" s="3" t="s">
        <v>23</v>
      </c>
      <c r="T387" s="103" t="str">
        <f>IF(ISERROR(VLOOKUP($A387,'SegEnds_NonXtal_BW#'!$A:$Z,14,FALSE)+VLOOKUP($A387,A:AL,19,FALSE)-50),"-",(VLOOKUP($A387,'SegEnds_NonXtal_BW#'!$A:$Z,14,FALSE)+VLOOKUP($A387,A:AL,19,FALSE)-50))</f>
        <v>-</v>
      </c>
      <c r="U387" s="9">
        <f>IF(ISERROR(VLOOKUP($A387,'SegEnds_NonXtal_BW#'!$A:$Z,15,FALSE)+VLOOKUP($A387,A:AL,22,FALSE)-50),"-",VLOOKUP($A387,'SegEnds_NonXtal_BW#'!$A:$Z,15,FALSE)+VLOOKUP($A387,A:AL,22,FALSE)-50)</f>
        <v>152</v>
      </c>
      <c r="V387" s="3">
        <v>164</v>
      </c>
      <c r="W387" s="3">
        <f>IF(ISERROR(VLOOKUP($A387,'SegEnds_NonXtal_BW#'!$A:$Z,16,FALSE)+VLOOKUP($A387,A:AL,22,FALSE)-50),"-",(VLOOKUP($A387,'SegEnds_NonXtal_BW#'!$A:$Z,16,FALSE)+VLOOKUP($A387,A:AL,22,FALSE)-50))</f>
        <v>178</v>
      </c>
      <c r="X387" s="3">
        <f>IF(ISERROR(VLOOKUP($A387,'SegEnds_NonXtal_BW#'!$A:$Z,17,FALSE)+VLOOKUP($A387,A:AL,25,FALSE)-50),"-",(VLOOKUP($A387,'SegEnds_NonXtal_BW#'!$A:$Z,17,FALSE)+VLOOKUP($A387,A:AL,25,FALSE)-50))</f>
        <v>201</v>
      </c>
      <c r="Y387" s="3">
        <v>201</v>
      </c>
      <c r="Z387" s="3">
        <f t="shared" si="207"/>
        <v>203</v>
      </c>
      <c r="AA387" s="3">
        <f>IF(ISERROR(VLOOKUP($A387,'SegEnds_NonXtal_BW#'!$A:$Z,19,FALSE)+VLOOKUP($A387,A:AL,28,FALSE)-50),"-",(VLOOKUP($A387,'SegEnds_NonXtal_BW#'!$A:$Z,19,FALSE)+VLOOKUP($A387,A:AL,28,FALSE)-50))</f>
        <v>208</v>
      </c>
      <c r="AB387" s="3">
        <v>226</v>
      </c>
      <c r="AC387" s="3">
        <f>IF(ISERROR((VLOOKUP($A387,'SegEnds_NonXtal_BW#'!$A:$Z,20,FALSE)+VLOOKUP($A387,A:AL,28,FALSE)-50)),"-",(VLOOKUP($A387,'SegEnds_NonXtal_BW#'!$A:$Z,20,FALSE)+VLOOKUP($A387,A:AL,28,FALSE)-50))</f>
        <v>248</v>
      </c>
      <c r="AD387" s="3">
        <f>IF(ISERROR(VLOOKUP($A387,'SegEnds_NonXtal_BW#'!$A:$Z,21,FALSE)+VLOOKUP($A387,A:AL,31,FALSE)-50),"-",(VLOOKUP($A387,'SegEnds_NonXtal_BW#'!$A:$Z,21,FALSE)+VLOOKUP($A387,A:AL,31,FALSE)-50))</f>
        <v>254</v>
      </c>
      <c r="AE387" s="3">
        <v>280</v>
      </c>
      <c r="AF387" s="3">
        <f>IF(ISERROR((VLOOKUP($A387,'SegEnds_NonXtal_BW#'!$A:$Z,22,FALSE)+VLOOKUP($A387,A:AL,31,FALSE)-50)),"-",(VLOOKUP($A387,'SegEnds_NonXtal_BW#'!$A:$Z,22,FALSE)+VLOOKUP($A387,A:AL,31,FALSE)-50))</f>
        <v>291</v>
      </c>
      <c r="AG387" s="3">
        <f>IF(ISERROR(VLOOKUP($A387,'SegEnds_NonXtal_BW#'!$A:$Z,23,FALSE)+VLOOKUP($A387,A:AL,34,FALSE)-50),"-",(VLOOKUP($A387,'SegEnds_NonXtal_BW#'!$A:$Z,23,FALSE)+VLOOKUP($A387,A:AL,34,FALSE)-50))</f>
        <v>297</v>
      </c>
      <c r="AH387" s="3">
        <v>319</v>
      </c>
      <c r="AI387" s="3">
        <f>IF(ISERROR((VLOOKUP($A387,'SegEnds_NonXtal_BW#'!$A:$Z,24,FALSE)+VLOOKUP($A387,A:AL,34,FALSE)-50)),"-",(VLOOKUP($A387,'SegEnds_NonXtal_BW#'!$A:$Z,24,FALSE)+VLOOKUP($A387,A:AL,34,FALSE)-50))</f>
        <v>325</v>
      </c>
      <c r="AJ387" s="3">
        <f>IF(ISERROR(VLOOKUP($A387,'SegEnds_NonXtal_BW#'!$A:$Z,25,FALSE)+VLOOKUP($A387,A:AL,37,FALSE)-50),"-",(VLOOKUP($A387,'SegEnds_NonXtal_BW#'!$A:$Z,25,FALSE)+VLOOKUP($A387,A:AL,37,FALSE)-50))</f>
        <v>326</v>
      </c>
      <c r="AK387" s="3">
        <v>329</v>
      </c>
      <c r="AL387" s="3">
        <f>IF(ISERROR((VLOOKUP($A387,'SegEnds_NonXtal_BW#'!$A:$Z,26,FALSE)+VLOOKUP($A387,A:AL,37,FALSE)-50)),"-",(VLOOKUP($A387,'SegEnds_NonXtal_BW#'!$A:$Z,26,FALSE)+VLOOKUP($A387,A:AL,37,FALSE)-50))</f>
        <v>337</v>
      </c>
      <c r="AM387" s="28" t="str">
        <f>VLOOKUP(A387,Classification!A:B,2,FALSE)</f>
        <v>A</v>
      </c>
      <c r="AN387" s="28" t="b">
        <f t="shared" si="200"/>
        <v>1</v>
      </c>
      <c r="AO387" s="3" t="str">
        <f>IF(ISERROR(MATCH(A387,'SegEnds_Xtal_Prot#'!B:B, 0)), "NoXtal", "Xtal")</f>
        <v>NoXtal</v>
      </c>
      <c r="AP387" s="3">
        <f t="shared" si="217"/>
        <v>1</v>
      </c>
      <c r="AQ387" s="3">
        <f t="shared" si="218"/>
        <v>1</v>
      </c>
      <c r="AR387" s="3">
        <f t="shared" si="219"/>
        <v>2</v>
      </c>
      <c r="AS387" s="3">
        <f t="shared" si="220"/>
        <v>1</v>
      </c>
      <c r="AT387" s="3" t="str">
        <f t="shared" si="221"/>
        <v>-</v>
      </c>
      <c r="AU387" s="3" t="str">
        <f t="shared" si="222"/>
        <v>-</v>
      </c>
      <c r="AV387" s="3">
        <f t="shared" si="223"/>
        <v>23</v>
      </c>
      <c r="AW387" s="3">
        <f t="shared" si="224"/>
        <v>5</v>
      </c>
      <c r="AX387" s="3">
        <f t="shared" si="225"/>
        <v>6</v>
      </c>
      <c r="AY387" s="3">
        <f t="shared" si="226"/>
        <v>6</v>
      </c>
      <c r="AZ387" s="3">
        <f t="shared" si="227"/>
        <v>1</v>
      </c>
      <c r="BA387" s="3">
        <f>IF(ISERROR(LEN(VLOOKUP(A387,Seqs!A:E,2,FALSE))-AL387),"-",LEN(VLOOKUP(A387,Seqs!A:E,2,FALSE))-AL387)</f>
        <v>38</v>
      </c>
      <c r="BB387" s="16">
        <f t="shared" si="228"/>
        <v>28</v>
      </c>
      <c r="BC387" s="9" t="str">
        <f t="shared" si="229"/>
        <v>-</v>
      </c>
      <c r="BD387" s="3">
        <f t="shared" si="230"/>
        <v>28</v>
      </c>
      <c r="BE387" s="3">
        <f t="shared" si="231"/>
        <v>54</v>
      </c>
    </row>
    <row r="388" spans="1:58" s="3" customFormat="1" x14ac:dyDescent="0.2">
      <c r="A388" s="3" t="s">
        <v>328</v>
      </c>
      <c r="B388" s="3" t="str">
        <f>LOWER(VLOOKUP(A388,Xtal_Templ!A:B,2,FALSE))</f>
        <v>ox2r_human</v>
      </c>
      <c r="C388" s="3">
        <f>VLOOKUP($A388,'SegEnds_NonXtal_BW#'!$A:$Z,3,FALSE)+D388-50</f>
        <v>40</v>
      </c>
      <c r="D388" s="3">
        <v>59</v>
      </c>
      <c r="E388" s="3">
        <f>IF(ISERROR(VLOOKUP($A388,'SegEnds_NonXtal_BW#'!$A:$Z,4,FALSE)+VLOOKUP($A388,A:AL,4,FALSE)-50),"-",(VLOOKUP($A388,'SegEnds_NonXtal_BW#'!$A:$Z,4,FALSE)+VLOOKUP($A388,A:AL,4,FALSE)-50))</f>
        <v>69</v>
      </c>
      <c r="F388" s="3">
        <f t="shared" si="212"/>
        <v>70</v>
      </c>
      <c r="G388" s="3">
        <v>72</v>
      </c>
      <c r="H388" s="3">
        <f t="shared" si="213"/>
        <v>73</v>
      </c>
      <c r="I388" s="3">
        <f t="shared" si="211"/>
        <v>74</v>
      </c>
      <c r="J388" s="3">
        <v>87</v>
      </c>
      <c r="K388" s="3">
        <f>VLOOKUP($A388,'SegEnds_NonXtal_BW#'!$A:$Z,8,FALSE)+VLOOKUP($A388,A:AL,10,FALSE)-50</f>
        <v>104</v>
      </c>
      <c r="L388" s="3">
        <f t="shared" si="214"/>
        <v>106</v>
      </c>
      <c r="M388" s="3">
        <v>107</v>
      </c>
      <c r="N388" s="3">
        <f t="shared" si="215"/>
        <v>109</v>
      </c>
      <c r="O388" s="3">
        <f t="shared" si="216"/>
        <v>110</v>
      </c>
      <c r="P388" s="3">
        <v>139</v>
      </c>
      <c r="Q388" s="3">
        <f>VLOOKUP($A388,'SegEnds_NonXtal_BW#'!$A:$Z,12,FALSE)+VLOOKUP($A388,A:AL,16,FALSE)-50</f>
        <v>145</v>
      </c>
      <c r="R388" s="3" t="str">
        <f>IF(ISERROR(VLOOKUP($A388,'SegEnds_NonXtal_BW#'!$A:$Z,13,FALSE)+VLOOKUP($A388,A:AL,19,FALSE)-50),"-",VLOOKUP($A388,'SegEnds_NonXtal_BW#'!$A:$Z,13,FALSE)+VLOOKUP($A388,A:AL,19,FALSE)-50)</f>
        <v>-</v>
      </c>
      <c r="S388" s="3" t="s">
        <v>23</v>
      </c>
      <c r="T388" s="103" t="str">
        <f>IF(ISERROR(VLOOKUP($A388,'SegEnds_NonXtal_BW#'!$A:$Z,14,FALSE)+VLOOKUP($A388,A:AL,19,FALSE)-50),"-",(VLOOKUP($A388,'SegEnds_NonXtal_BW#'!$A:$Z,14,FALSE)+VLOOKUP($A388,A:AL,19,FALSE)-50))</f>
        <v>-</v>
      </c>
      <c r="U388" s="9">
        <f>IF(ISERROR(VLOOKUP($A388,'SegEnds_NonXtal_BW#'!$A:$Z,15,FALSE)+VLOOKUP($A388,A:AL,22,FALSE)-50),"-",VLOOKUP($A388,'SegEnds_NonXtal_BW#'!$A:$Z,15,FALSE)+VLOOKUP($A388,A:AL,22,FALSE)-50)</f>
        <v>152</v>
      </c>
      <c r="V388" s="3">
        <v>164</v>
      </c>
      <c r="W388" s="3">
        <f>IF(ISERROR(VLOOKUP($A388,'SegEnds_NonXtal_BW#'!$A:$Z,16,FALSE)+VLOOKUP($A388,A:AL,22,FALSE)-50),"-",(VLOOKUP($A388,'SegEnds_NonXtal_BW#'!$A:$Z,16,FALSE)+VLOOKUP($A388,A:AL,22,FALSE)-50))</f>
        <v>178</v>
      </c>
      <c r="X388" s="3">
        <f>IF(ISERROR(VLOOKUP($A388,'SegEnds_NonXtal_BW#'!$A:$Z,17,FALSE)+VLOOKUP($A388,A:AL,25,FALSE)-50),"-",(VLOOKUP($A388,'SegEnds_NonXtal_BW#'!$A:$Z,17,FALSE)+VLOOKUP($A388,A:AL,25,FALSE)-50))</f>
        <v>198</v>
      </c>
      <c r="Y388" s="3">
        <v>198</v>
      </c>
      <c r="Z388" s="3">
        <f t="shared" si="207"/>
        <v>200</v>
      </c>
      <c r="AA388" s="3">
        <f>IF(ISERROR(VLOOKUP($A388,'SegEnds_NonXtal_BW#'!$A:$Z,19,FALSE)+VLOOKUP($A388,A:AL,28,FALSE)-50),"-",(VLOOKUP($A388,'SegEnds_NonXtal_BW#'!$A:$Z,19,FALSE)+VLOOKUP($A388,A:AL,28,FALSE)-50))</f>
        <v>205</v>
      </c>
      <c r="AB388" s="3">
        <v>223</v>
      </c>
      <c r="AC388" s="3">
        <f>IF(ISERROR((VLOOKUP($A388,'SegEnds_NonXtal_BW#'!$A:$Z,20,FALSE)+VLOOKUP($A388,A:AL,28,FALSE)-50)),"-",(VLOOKUP($A388,'SegEnds_NonXtal_BW#'!$A:$Z,20,FALSE)+VLOOKUP($A388,A:AL,28,FALSE)-50))</f>
        <v>249</v>
      </c>
      <c r="AD388" s="3">
        <f>IF(ISERROR(VLOOKUP($A388,'SegEnds_NonXtal_BW#'!$A:$Z,21,FALSE)+VLOOKUP($A388,A:AL,31,FALSE)-50),"-",(VLOOKUP($A388,'SegEnds_NonXtal_BW#'!$A:$Z,21,FALSE)+VLOOKUP($A388,A:AL,31,FALSE)-50))</f>
        <v>357</v>
      </c>
      <c r="AE388" s="3">
        <v>383</v>
      </c>
      <c r="AF388" s="3">
        <f>IF(ISERROR((VLOOKUP($A388,'SegEnds_NonXtal_BW#'!$A:$Z,22,FALSE)+VLOOKUP($A388,A:AL,31,FALSE)-50)),"-",(VLOOKUP($A388,'SegEnds_NonXtal_BW#'!$A:$Z,22,FALSE)+VLOOKUP($A388,A:AL,31,FALSE)-50))</f>
        <v>394</v>
      </c>
      <c r="AG388" s="3">
        <f>IF(ISERROR(VLOOKUP($A388,'SegEnds_NonXtal_BW#'!$A:$Z,23,FALSE)+VLOOKUP($A388,A:AL,34,FALSE)-50),"-",(VLOOKUP($A388,'SegEnds_NonXtal_BW#'!$A:$Z,23,FALSE)+VLOOKUP($A388,A:AL,34,FALSE)-50))</f>
        <v>400</v>
      </c>
      <c r="AH388" s="3">
        <v>422</v>
      </c>
      <c r="AI388" s="3">
        <f>IF(ISERROR((VLOOKUP($A388,'SegEnds_NonXtal_BW#'!$A:$Z,24,FALSE)+VLOOKUP($A388,A:AL,34,FALSE)-50)),"-",(VLOOKUP($A388,'SegEnds_NonXtal_BW#'!$A:$Z,24,FALSE)+VLOOKUP($A388,A:AL,34,FALSE)-50))</f>
        <v>428</v>
      </c>
      <c r="AJ388" s="3">
        <f>IF(ISERROR(VLOOKUP($A388,'SegEnds_NonXtal_BW#'!$A:$Z,25,FALSE)+VLOOKUP($A388,A:AL,37,FALSE)-50),"-",(VLOOKUP($A388,'SegEnds_NonXtal_BW#'!$A:$Z,25,FALSE)+VLOOKUP($A388,A:AL,37,FALSE)-50))</f>
        <v>429</v>
      </c>
      <c r="AK388" s="3">
        <v>432</v>
      </c>
      <c r="AL388" s="3">
        <f>IF(ISERROR((VLOOKUP($A388,'SegEnds_NonXtal_BW#'!$A:$Z,26,FALSE)+VLOOKUP($A388,A:AL,37,FALSE)-50)),"-",(VLOOKUP($A388,'SegEnds_NonXtal_BW#'!$A:$Z,26,FALSE)+VLOOKUP($A388,A:AL,37,FALSE)-50))</f>
        <v>440</v>
      </c>
      <c r="AM388" s="28" t="str">
        <f>VLOOKUP(A388,Classification!A:B,2,FALSE)</f>
        <v>A</v>
      </c>
      <c r="AN388" s="28" t="b">
        <f t="shared" si="200"/>
        <v>1</v>
      </c>
      <c r="AO388" s="3" t="str">
        <f>IF(ISERROR(MATCH(A388,'SegEnds_Xtal_Prot#'!B:B, 0)), "NoXtal", "Xtal")</f>
        <v>NoXtal</v>
      </c>
      <c r="AP388" s="3">
        <f t="shared" si="217"/>
        <v>1</v>
      </c>
      <c r="AQ388" s="3">
        <f t="shared" si="218"/>
        <v>1</v>
      </c>
      <c r="AR388" s="3">
        <f t="shared" si="219"/>
        <v>2</v>
      </c>
      <c r="AS388" s="3">
        <f t="shared" si="220"/>
        <v>1</v>
      </c>
      <c r="AT388" s="3" t="str">
        <f t="shared" si="221"/>
        <v>-</v>
      </c>
      <c r="AU388" s="3" t="str">
        <f t="shared" si="222"/>
        <v>-</v>
      </c>
      <c r="AV388" s="3">
        <f t="shared" si="223"/>
        <v>20</v>
      </c>
      <c r="AW388" s="3">
        <f t="shared" si="224"/>
        <v>5</v>
      </c>
      <c r="AX388" s="3">
        <f t="shared" si="225"/>
        <v>108</v>
      </c>
      <c r="AY388" s="3">
        <f t="shared" si="226"/>
        <v>6</v>
      </c>
      <c r="AZ388" s="3">
        <f t="shared" si="227"/>
        <v>1</v>
      </c>
      <c r="BA388" s="3">
        <f>IF(ISERROR(LEN(VLOOKUP(A388,Seqs!A:E,2,FALSE))-AL388),"-",LEN(VLOOKUP(A388,Seqs!A:E,2,FALSE))-AL388)</f>
        <v>5</v>
      </c>
      <c r="BB388" s="16">
        <f t="shared" si="228"/>
        <v>28</v>
      </c>
      <c r="BC388" s="9" t="str">
        <f t="shared" si="229"/>
        <v>-</v>
      </c>
      <c r="BD388" s="3">
        <f t="shared" si="230"/>
        <v>28</v>
      </c>
      <c r="BE388" s="3">
        <f t="shared" si="231"/>
        <v>160</v>
      </c>
      <c r="BF388" s="3">
        <f>AH388-AE388</f>
        <v>39</v>
      </c>
    </row>
    <row r="389" spans="1:58" s="3" customFormat="1" x14ac:dyDescent="0.2">
      <c r="A389" s="3" t="s">
        <v>332</v>
      </c>
      <c r="B389" s="3" t="str">
        <f>LOWER(VLOOKUP(A389,Xtal_Templ!A:B,2,FALSE))</f>
        <v>opsd_bovin</v>
      </c>
      <c r="C389" s="3">
        <f>VLOOKUP($A389,'SegEnds_NonXtal_BW#'!$A:$Z,3,FALSE)+D389-50</f>
        <v>38</v>
      </c>
      <c r="D389" s="3">
        <v>59</v>
      </c>
      <c r="E389" s="3">
        <f>IF(ISERROR(VLOOKUP($A389,'SegEnds_NonXtal_BW#'!$A:$Z,4,FALSE)+VLOOKUP($A389,A:AL,4,FALSE)-50),"-",(VLOOKUP($A389,'SegEnds_NonXtal_BW#'!$A:$Z,4,FALSE)+VLOOKUP($A389,A:AL,4,FALSE)-50))</f>
        <v>69</v>
      </c>
      <c r="F389" s="3">
        <f t="shared" si="212"/>
        <v>70</v>
      </c>
      <c r="G389" s="3">
        <v>72</v>
      </c>
      <c r="H389" s="3">
        <f t="shared" si="213"/>
        <v>73</v>
      </c>
      <c r="I389" s="3">
        <f t="shared" si="211"/>
        <v>74</v>
      </c>
      <c r="J389" s="3">
        <v>87</v>
      </c>
      <c r="K389" s="3">
        <f>VLOOKUP($A389,'SegEnds_NonXtal_BW#'!$A:$Z,8,FALSE)+VLOOKUP($A389,A:AL,10,FALSE)-50</f>
        <v>104</v>
      </c>
      <c r="L389" s="3">
        <f t="shared" si="214"/>
        <v>106</v>
      </c>
      <c r="M389" s="3">
        <v>107</v>
      </c>
      <c r="N389" s="3">
        <f t="shared" si="215"/>
        <v>109</v>
      </c>
      <c r="O389" s="3">
        <f t="shared" si="216"/>
        <v>110</v>
      </c>
      <c r="P389" s="3">
        <v>139</v>
      </c>
      <c r="Q389" s="3">
        <f>VLOOKUP($A389,'SegEnds_NonXtal_BW#'!$A:$Z,12,FALSE)+VLOOKUP($A389,A:AL,16,FALSE)-50</f>
        <v>145</v>
      </c>
      <c r="R389" s="3" t="str">
        <f>IF(ISERROR(VLOOKUP($A389,'SegEnds_NonXtal_BW#'!$A:$Z,13,FALSE)+VLOOKUP($A389,A:AL,19,FALSE)-50),"-",VLOOKUP($A389,'SegEnds_NonXtal_BW#'!$A:$Z,13,FALSE)+VLOOKUP($A389,A:AL,19,FALSE)-50)</f>
        <v>-</v>
      </c>
      <c r="S389" s="3" t="s">
        <v>23</v>
      </c>
      <c r="T389" s="103" t="str">
        <f>IF(ISERROR(VLOOKUP($A389,'SegEnds_NonXtal_BW#'!$A:$Z,14,FALSE)+VLOOKUP($A389,A:AL,19,FALSE)-50),"-",(VLOOKUP($A389,'SegEnds_NonXtal_BW#'!$A:$Z,14,FALSE)+VLOOKUP($A389,A:AL,19,FALSE)-50))</f>
        <v>-</v>
      </c>
      <c r="U389" s="9">
        <f>IF(ISERROR(VLOOKUP($A389,'SegEnds_NonXtal_BW#'!$A:$Z,15,FALSE)+VLOOKUP($A389,A:AL,22,FALSE)-50),"-",VLOOKUP($A389,'SegEnds_NonXtal_BW#'!$A:$Z,15,FALSE)+VLOOKUP($A389,A:AL,22,FALSE)-50)</f>
        <v>150</v>
      </c>
      <c r="V389" s="3">
        <v>162</v>
      </c>
      <c r="W389" s="3">
        <f>IF(ISERROR(VLOOKUP($A389,'SegEnds_NonXtal_BW#'!$A:$Z,16,FALSE)+VLOOKUP($A389,A:AL,22,FALSE)-50),"-",(VLOOKUP($A389,'SegEnds_NonXtal_BW#'!$A:$Z,16,FALSE)+VLOOKUP($A389,A:AL,22,FALSE)-50))</f>
        <v>174</v>
      </c>
      <c r="X389" s="3">
        <f>IF(ISERROR(VLOOKUP($A389,'SegEnds_NonXtal_BW#'!$A:$Z,17,FALSE)+VLOOKUP($A389,A:AL,25,FALSE)-50),"-",(VLOOKUP($A389,'SegEnds_NonXtal_BW#'!$A:$Z,17,FALSE)+VLOOKUP($A389,A:AL,25,FALSE)-50))</f>
        <v>188</v>
      </c>
      <c r="Y389" s="3">
        <v>188</v>
      </c>
      <c r="Z389" s="3">
        <f t="shared" si="207"/>
        <v>190</v>
      </c>
      <c r="AA389" s="3">
        <f>IF(ISERROR(VLOOKUP($A389,'SegEnds_NonXtal_BW#'!$A:$Z,19,FALSE)+VLOOKUP($A389,A:AL,28,FALSE)-50),"-",(VLOOKUP($A389,'SegEnds_NonXtal_BW#'!$A:$Z,19,FALSE)+VLOOKUP($A389,A:AL,28,FALSE)-50))</f>
        <v>198</v>
      </c>
      <c r="AB389" s="3">
        <v>214</v>
      </c>
      <c r="AC389" s="3">
        <f>IF(ISERROR((VLOOKUP($A389,'SegEnds_NonXtal_BW#'!$A:$Z,20,FALSE)+VLOOKUP($A389,A:AL,28,FALSE)-50)),"-",(VLOOKUP($A389,'SegEnds_NonXtal_BW#'!$A:$Z,20,FALSE)+VLOOKUP($A389,A:AL,28,FALSE)-50))</f>
        <v>237</v>
      </c>
      <c r="AD389" s="3">
        <f>IF(ISERROR(VLOOKUP($A389,'SegEnds_NonXtal_BW#'!$A:$Z,21,FALSE)+VLOOKUP($A389,A:AL,31,FALSE)-50),"-",(VLOOKUP($A389,'SegEnds_NonXtal_BW#'!$A:$Z,21,FALSE)+VLOOKUP($A389,A:AL,31,FALSE)-50))</f>
        <v>242</v>
      </c>
      <c r="AE389" s="3">
        <v>270</v>
      </c>
      <c r="AF389" s="3">
        <f>IF(ISERROR((VLOOKUP($A389,'SegEnds_NonXtal_BW#'!$A:$Z,22,FALSE)+VLOOKUP($A389,A:AL,31,FALSE)-50)),"-",(VLOOKUP($A389,'SegEnds_NonXtal_BW#'!$A:$Z,22,FALSE)+VLOOKUP($A389,A:AL,31,FALSE)-50))</f>
        <v>281</v>
      </c>
      <c r="AG389" s="3">
        <f>IF(ISERROR(VLOOKUP($A389,'SegEnds_NonXtal_BW#'!$A:$Z,23,FALSE)+VLOOKUP($A389,A:AL,34,FALSE)-50),"-",(VLOOKUP($A389,'SegEnds_NonXtal_BW#'!$A:$Z,23,FALSE)+VLOOKUP($A389,A:AL,34,FALSE)-50))</f>
        <v>287</v>
      </c>
      <c r="AH389" s="3">
        <v>306</v>
      </c>
      <c r="AI389" s="3">
        <f>IF(ISERROR((VLOOKUP($A389,'SegEnds_NonXtal_BW#'!$A:$Z,24,FALSE)+VLOOKUP($A389,A:AL,34,FALSE)-50)),"-",(VLOOKUP($A389,'SegEnds_NonXtal_BW#'!$A:$Z,24,FALSE)+VLOOKUP($A389,A:AL,34,FALSE)-50))</f>
        <v>312</v>
      </c>
      <c r="AJ389" s="3">
        <f>IF(ISERROR(VLOOKUP($A389,'SegEnds_NonXtal_BW#'!$A:$Z,25,FALSE)+VLOOKUP($A389,A:AL,37,FALSE)-50),"-",(VLOOKUP($A389,'SegEnds_NonXtal_BW#'!$A:$Z,25,FALSE)+VLOOKUP($A389,A:AL,37,FALSE)-50))</f>
        <v>313</v>
      </c>
      <c r="AK389" s="3">
        <v>316</v>
      </c>
      <c r="AL389" s="3">
        <f>IF(ISERROR((VLOOKUP($A389,'SegEnds_NonXtal_BW#'!$A:$Z,26,FALSE)+VLOOKUP($A389,A:AL,37,FALSE)-50)),"-",(VLOOKUP($A389,'SegEnds_NonXtal_BW#'!$A:$Z,26,FALSE)+VLOOKUP($A389,A:AL,37,FALSE)-50))</f>
        <v>325</v>
      </c>
      <c r="AM389" s="28" t="str">
        <f>VLOOKUP(A389,Classification!A:B,2,FALSE)</f>
        <v>A</v>
      </c>
      <c r="AN389" s="28" t="b">
        <f t="shared" si="200"/>
        <v>1</v>
      </c>
      <c r="AO389" s="3" t="str">
        <f>IF(ISERROR(MATCH(A389,'SegEnds_Xtal_Prot#'!B:B, 0)), "NoXtal", "Xtal")</f>
        <v>NoXtal</v>
      </c>
      <c r="AP389" s="3">
        <f t="shared" si="217"/>
        <v>1</v>
      </c>
      <c r="AQ389" s="3">
        <f t="shared" si="218"/>
        <v>1</v>
      </c>
      <c r="AR389" s="3">
        <f t="shared" si="219"/>
        <v>2</v>
      </c>
      <c r="AS389" s="3">
        <f t="shared" si="220"/>
        <v>1</v>
      </c>
      <c r="AT389" s="3" t="str">
        <f t="shared" si="221"/>
        <v>-</v>
      </c>
      <c r="AU389" s="3" t="str">
        <f t="shared" si="222"/>
        <v>-</v>
      </c>
      <c r="AV389" s="3">
        <f t="shared" si="223"/>
        <v>14</v>
      </c>
      <c r="AW389" s="3">
        <f t="shared" si="224"/>
        <v>8</v>
      </c>
      <c r="AX389" s="3">
        <f t="shared" si="225"/>
        <v>5</v>
      </c>
      <c r="AY389" s="3">
        <f t="shared" si="226"/>
        <v>6</v>
      </c>
      <c r="AZ389" s="3">
        <f t="shared" si="227"/>
        <v>1</v>
      </c>
      <c r="BA389" s="3">
        <f>IF(ISERROR(LEN(VLOOKUP(A389,Seqs!A:E,2,FALSE))-AL389),"-",LEN(VLOOKUP(A389,Seqs!A:E,2,FALSE))-AL389)</f>
        <v>77</v>
      </c>
      <c r="BB389" s="16">
        <f t="shared" si="228"/>
        <v>28</v>
      </c>
      <c r="BC389" s="9" t="str">
        <f t="shared" si="229"/>
        <v>-</v>
      </c>
      <c r="BD389" s="3">
        <f t="shared" si="230"/>
        <v>28</v>
      </c>
      <c r="BE389" s="3">
        <f t="shared" si="231"/>
        <v>56</v>
      </c>
    </row>
    <row r="390" spans="1:58" s="3" customFormat="1" x14ac:dyDescent="0.2">
      <c r="A390" s="3" t="s">
        <v>344</v>
      </c>
      <c r="B390" s="3" t="str">
        <f>LOWER(VLOOKUP(A390,Xtal_Templ!A:B,2,FALSE))</f>
        <v>ox1r_human</v>
      </c>
      <c r="C390" s="3">
        <f>VLOOKUP($A390,'SegEnds_NonXtal_BW#'!$A:$Z,3,FALSE)+D390-50</f>
        <v>39</v>
      </c>
      <c r="D390" s="3">
        <v>57</v>
      </c>
      <c r="E390" s="3">
        <f>IF(ISERROR(VLOOKUP($A390,'SegEnds_NonXtal_BW#'!$A:$Z,4,FALSE)+VLOOKUP($A390,A:AL,4,FALSE)-50),"-",(VLOOKUP($A390,'SegEnds_NonXtal_BW#'!$A:$Z,4,FALSE)+VLOOKUP($A390,A:AL,4,FALSE)-50))</f>
        <v>67</v>
      </c>
      <c r="F390" s="3">
        <f t="shared" si="212"/>
        <v>68</v>
      </c>
      <c r="G390" s="3">
        <v>70</v>
      </c>
      <c r="H390" s="3">
        <f t="shared" si="213"/>
        <v>71</v>
      </c>
      <c r="I390" s="3">
        <f t="shared" si="211"/>
        <v>72</v>
      </c>
      <c r="J390" s="3">
        <v>85</v>
      </c>
      <c r="K390" s="3">
        <f>VLOOKUP($A390,'SegEnds_NonXtal_BW#'!$A:$Z,8,FALSE)+VLOOKUP($A390,A:AL,10,FALSE)-50</f>
        <v>101</v>
      </c>
      <c r="L390" s="3">
        <f t="shared" si="214"/>
        <v>102</v>
      </c>
      <c r="M390" s="3">
        <v>103</v>
      </c>
      <c r="N390" s="3">
        <f t="shared" si="215"/>
        <v>105</v>
      </c>
      <c r="O390" s="3">
        <f t="shared" si="216"/>
        <v>106</v>
      </c>
      <c r="P390" s="3">
        <v>137</v>
      </c>
      <c r="Q390" s="3">
        <f>VLOOKUP($A390,'SegEnds_NonXtal_BW#'!$A:$Z,12,FALSE)+VLOOKUP($A390,A:AL,16,FALSE)-50</f>
        <v>143</v>
      </c>
      <c r="R390" s="3" t="str">
        <f>IF(ISERROR(VLOOKUP($A390,'SegEnds_NonXtal_BW#'!$A:$Z,13,FALSE)+VLOOKUP($A390,A:AL,19,FALSE)-50),"-",VLOOKUP($A390,'SegEnds_NonXtal_BW#'!$A:$Z,13,FALSE)+VLOOKUP($A390,A:AL,19,FALSE)-50)</f>
        <v>-</v>
      </c>
      <c r="S390" s="3" t="s">
        <v>23</v>
      </c>
      <c r="T390" s="103" t="str">
        <f>IF(ISERROR(VLOOKUP($A390,'SegEnds_NonXtal_BW#'!$A:$Z,14,FALSE)+VLOOKUP($A390,A:AL,19,FALSE)-50),"-",(VLOOKUP($A390,'SegEnds_NonXtal_BW#'!$A:$Z,14,FALSE)+VLOOKUP($A390,A:AL,19,FALSE)-50))</f>
        <v>-</v>
      </c>
      <c r="U390" s="9">
        <f>IF(ISERROR(VLOOKUP($A390,'SegEnds_NonXtal_BW#'!$A:$Z,15,FALSE)+VLOOKUP($A390,A:AL,22,FALSE)-50),"-",VLOOKUP($A390,'SegEnds_NonXtal_BW#'!$A:$Z,15,FALSE)+VLOOKUP($A390,A:AL,22,FALSE)-50)</f>
        <v>149</v>
      </c>
      <c r="V390" s="3">
        <v>161</v>
      </c>
      <c r="W390" s="3">
        <f>IF(ISERROR(VLOOKUP($A390,'SegEnds_NonXtal_BW#'!$A:$Z,16,FALSE)+VLOOKUP($A390,A:AL,22,FALSE)-50),"-",(VLOOKUP($A390,'SegEnds_NonXtal_BW#'!$A:$Z,16,FALSE)+VLOOKUP($A390,A:AL,22,FALSE)-50))</f>
        <v>175</v>
      </c>
      <c r="X390" s="3">
        <f>IF(ISERROR(VLOOKUP($A390,'SegEnds_NonXtal_BW#'!$A:$Z,17,FALSE)+VLOOKUP($A390,A:AL,25,FALSE)-50),"-",(VLOOKUP($A390,'SegEnds_NonXtal_BW#'!$A:$Z,17,FALSE)+VLOOKUP($A390,A:AL,25,FALSE)-50))</f>
        <v>187</v>
      </c>
      <c r="Y390" s="3">
        <v>187</v>
      </c>
      <c r="Z390" s="3">
        <f t="shared" si="207"/>
        <v>189</v>
      </c>
      <c r="AA390" s="3">
        <f>IF(ISERROR(VLOOKUP($A390,'SegEnds_NonXtal_BW#'!$A:$Z,19,FALSE)+VLOOKUP($A390,A:AL,28,FALSE)-50),"-",(VLOOKUP($A390,'SegEnds_NonXtal_BW#'!$A:$Z,19,FALSE)+VLOOKUP($A390,A:AL,28,FALSE)-50))</f>
        <v>194</v>
      </c>
      <c r="AB390" s="3">
        <v>212</v>
      </c>
      <c r="AC390" s="3">
        <f>IF(ISERROR((VLOOKUP($A390,'SegEnds_NonXtal_BW#'!$A:$Z,20,FALSE)+VLOOKUP($A390,A:AL,28,FALSE)-50)),"-",(VLOOKUP($A390,'SegEnds_NonXtal_BW#'!$A:$Z,20,FALSE)+VLOOKUP($A390,A:AL,28,FALSE)-50))</f>
        <v>238</v>
      </c>
      <c r="AD390" s="3">
        <f>IF(ISERROR(VLOOKUP($A390,'SegEnds_NonXtal_BW#'!$A:$Z,21,FALSE)+VLOOKUP($A390,A:AL,31,FALSE)-50),"-",(VLOOKUP($A390,'SegEnds_NonXtal_BW#'!$A:$Z,21,FALSE)+VLOOKUP($A390,A:AL,31,FALSE)-50))</f>
        <v>264</v>
      </c>
      <c r="AE390" s="3">
        <v>290</v>
      </c>
      <c r="AF390" s="3">
        <f>IF(ISERROR((VLOOKUP($A390,'SegEnds_NonXtal_BW#'!$A:$Z,22,FALSE)+VLOOKUP($A390,A:AL,31,FALSE)-50)),"-",(VLOOKUP($A390,'SegEnds_NonXtal_BW#'!$A:$Z,22,FALSE)+VLOOKUP($A390,A:AL,31,FALSE)-50))</f>
        <v>301</v>
      </c>
      <c r="AG390" s="3">
        <f>IF(ISERROR(VLOOKUP($A390,'SegEnds_NonXtal_BW#'!$A:$Z,23,FALSE)+VLOOKUP($A390,A:AL,34,FALSE)-50),"-",(VLOOKUP($A390,'SegEnds_NonXtal_BW#'!$A:$Z,23,FALSE)+VLOOKUP($A390,A:AL,34,FALSE)-50))</f>
        <v>307</v>
      </c>
      <c r="AH390" s="3">
        <v>326</v>
      </c>
      <c r="AI390" s="3">
        <f>IF(ISERROR((VLOOKUP($A390,'SegEnds_NonXtal_BW#'!$A:$Z,24,FALSE)+VLOOKUP($A390,A:AL,34,FALSE)-50)),"-",(VLOOKUP($A390,'SegEnds_NonXtal_BW#'!$A:$Z,24,FALSE)+VLOOKUP($A390,A:AL,34,FALSE)-50))</f>
        <v>332</v>
      </c>
      <c r="AJ390" s="3">
        <f>IF(ISERROR(VLOOKUP($A390,'SegEnds_NonXtal_BW#'!$A:$Z,25,FALSE)+VLOOKUP($A390,A:AL,37,FALSE)-50),"-",(VLOOKUP($A390,'SegEnds_NonXtal_BW#'!$A:$Z,25,FALSE)+VLOOKUP($A390,A:AL,37,FALSE)-50))</f>
        <v>333</v>
      </c>
      <c r="AK390" s="3">
        <v>336</v>
      </c>
      <c r="AL390" s="3">
        <f>IF(ISERROR((VLOOKUP($A390,'SegEnds_NonXtal_BW#'!$A:$Z,26,FALSE)+VLOOKUP($A390,A:AL,37,FALSE)-50)),"-",(VLOOKUP($A390,'SegEnds_NonXtal_BW#'!$A:$Z,26,FALSE)+VLOOKUP($A390,A:AL,37,FALSE)-50))</f>
        <v>344</v>
      </c>
      <c r="AM390" s="28" t="str">
        <f>VLOOKUP(A390,Classification!A:B,2,FALSE)</f>
        <v>A</v>
      </c>
      <c r="AN390" s="28" t="b">
        <f t="shared" ref="AN390:AN406" si="232">AND(IF(Y390="-",IF(AA390-W390&gt;3,TRUE,FALSE),TRUE),IF(M390="-",IF(O390-K390&gt;3,TRUE,FALSE),TRUE),C390&lt;E390,OR(E390&lt;F390,F390="-"),OR(F390&lt;H390,F390="-"),OR(H390&lt;I390,H390="-"),I390&lt;K390,OR(K390&lt;L390,L390="-"),OR(L390&lt;N390,L390="-"),OR(N390&lt;O390,N390="-"),O390&lt;Q390,OR(Q390&lt;R390,R390="-"),OR(R390&lt;T390,R390="-"),OR(T390&lt;U390,T390="-"),U390&lt;W390,OR(W390&lt;X390,X390="-"),OR(X390&lt;Z390,X390="-"),OR(Z390&lt;AA390,Z390="-"),AA390&lt;AC390,AC390&lt;AD390,AD390&lt;AF390,AF390&lt;AG390,AG390&lt;AI390,OR(AI390&lt;AJ390,AJ390="-"),OR(AJ390&lt;AL390,AJ390="-"))</f>
        <v>1</v>
      </c>
      <c r="AO390" s="3" t="str">
        <f>IF(ISERROR(MATCH(A390,'SegEnds_Xtal_Prot#'!B:B, 0)), "NoXtal", "Xtal")</f>
        <v>NoXtal</v>
      </c>
      <c r="AP390" s="3">
        <f t="shared" si="217"/>
        <v>1</v>
      </c>
      <c r="AQ390" s="3">
        <f t="shared" si="218"/>
        <v>1</v>
      </c>
      <c r="AR390" s="3">
        <f t="shared" si="219"/>
        <v>1</v>
      </c>
      <c r="AS390" s="3">
        <f t="shared" si="220"/>
        <v>1</v>
      </c>
      <c r="AT390" s="3" t="str">
        <f t="shared" si="221"/>
        <v>-</v>
      </c>
      <c r="AU390" s="3" t="str">
        <f t="shared" si="222"/>
        <v>-</v>
      </c>
      <c r="AV390" s="3">
        <f t="shared" si="223"/>
        <v>12</v>
      </c>
      <c r="AW390" s="3">
        <f t="shared" si="224"/>
        <v>5</v>
      </c>
      <c r="AX390" s="3">
        <f t="shared" si="225"/>
        <v>26</v>
      </c>
      <c r="AY390" s="3">
        <f t="shared" si="226"/>
        <v>6</v>
      </c>
      <c r="AZ390" s="3">
        <f t="shared" si="227"/>
        <v>1</v>
      </c>
      <c r="BA390" s="3">
        <f>IF(ISERROR(LEN(VLOOKUP(A390,Seqs!A:E,2,FALSE))-AL390),"-",LEN(VLOOKUP(A390,Seqs!A:E,2,FALSE))-AL390)</f>
        <v>45</v>
      </c>
      <c r="BB390" s="16">
        <f t="shared" si="228"/>
        <v>28</v>
      </c>
      <c r="BC390" s="9" t="str">
        <f t="shared" si="229"/>
        <v>-</v>
      </c>
      <c r="BD390" s="3">
        <f t="shared" si="230"/>
        <v>28</v>
      </c>
      <c r="BE390" s="3">
        <f t="shared" si="231"/>
        <v>78</v>
      </c>
    </row>
    <row r="391" spans="1:58" s="3" customFormat="1" x14ac:dyDescent="0.2">
      <c r="A391" s="3" t="s">
        <v>408</v>
      </c>
      <c r="B391" s="3" t="str">
        <f>LOWER(VLOOKUP(A391,Xtal_Templ!A:B,2,FALSE))</f>
        <v>glr_human</v>
      </c>
      <c r="C391" s="3">
        <f>VLOOKUP($A391,'SegEnds_NonXtal_BW#'!$A:$Z,3,FALSE)+D391-50</f>
        <v>143</v>
      </c>
      <c r="D391" s="3">
        <v>168</v>
      </c>
      <c r="E391" s="3">
        <f>IF(ISERROR(VLOOKUP($A391,'SegEnds_NonXtal_BW#'!$A:$Z,4,FALSE)+VLOOKUP($A391,A:AL,4,FALSE)-50),"-",(VLOOKUP($A391,'SegEnds_NonXtal_BW#'!$A:$Z,4,FALSE)+VLOOKUP($A391,A:AL,4,FALSE)-50))</f>
        <v>178</v>
      </c>
      <c r="F391" s="3">
        <f t="shared" si="212"/>
        <v>179</v>
      </c>
      <c r="G391" s="3">
        <v>181</v>
      </c>
      <c r="H391" s="3">
        <f t="shared" si="213"/>
        <v>182</v>
      </c>
      <c r="I391" s="3">
        <f t="shared" si="211"/>
        <v>183</v>
      </c>
      <c r="J391" s="3">
        <v>196</v>
      </c>
      <c r="K391" s="3">
        <f>VLOOKUP($A391,'SegEnds_NonXtal_BW#'!$A:$Z,8,FALSE)+VLOOKUP($A391,A:AL,10,FALSE)-50</f>
        <v>210</v>
      </c>
      <c r="L391" s="3" t="str">
        <f>IF(ISERROR(VLOOKUP($A391,'SegEnds_NonXtal_BW#'!$A:$Z,9,FALSE)+VLOOKUP($A391,A:AL,13,FALSE)-50),"-",(VLOOKUP($A391,'SegEnds_NonXtal_BW#'!$A:$Z,9,FALSE)+VLOOKUP($A391,A:AL,13,FALSE)-50))</f>
        <v>-</v>
      </c>
      <c r="M391" s="3" t="s">
        <v>23</v>
      </c>
      <c r="N391" s="3" t="str">
        <f>IF(ISERROR(VLOOKUP($A391,'SegEnds_NonXtal_BW#'!$A:$Z,10,FALSE)+VLOOKUP($A391,A:AL,13,FALSE)-50),"-",(VLOOKUP($A391,'SegEnds_NonXtal_BW#'!$A:$Z,10,FALSE)+VLOOKUP($A391,A:AL,13,FALSE)-50))</f>
        <v>-</v>
      </c>
      <c r="O391" s="3">
        <f>VLOOKUP($A391,'SegEnds_NonXtal_BW#'!$A:$Z,11,FALSE)+VLOOKUP($A391,A:AL,16,FALSE)-50</f>
        <v>222</v>
      </c>
      <c r="P391" s="3">
        <v>251</v>
      </c>
      <c r="Q391" s="3">
        <f>VLOOKUP($A391,'SegEnds_NonXtal_BW#'!$A:$Z,12,FALSE)+VLOOKUP($A391,A:AL,16,FALSE)-50</f>
        <v>257</v>
      </c>
      <c r="R391" s="3" t="str">
        <f>IF(ISERROR(VLOOKUP($A391,'SegEnds_NonXtal_BW#'!$A:$Z,13,FALSE)+VLOOKUP($A391,A:AL,19,FALSE)-50),"-",VLOOKUP($A391,'SegEnds_NonXtal_BW#'!$A:$Z,13,FALSE)+VLOOKUP($A391,A:AL,19,FALSE)-50)</f>
        <v>-</v>
      </c>
      <c r="S391" s="3" t="s">
        <v>23</v>
      </c>
      <c r="T391" s="103" t="str">
        <f>IF(ISERROR(VLOOKUP($A391,'SegEnds_NonXtal_BW#'!$A:$Z,14,FALSE)+VLOOKUP($A391,A:AL,19,FALSE)-50),"-",(VLOOKUP($A391,'SegEnds_NonXtal_BW#'!$A:$Z,14,FALSE)+VLOOKUP($A391,A:AL,19,FALSE)-50))</f>
        <v>-</v>
      </c>
      <c r="U391" s="9">
        <f>IF(ISERROR(VLOOKUP($A391,'SegEnds_NonXtal_BW#'!$A:$Z,15,FALSE)+VLOOKUP($A391,A:AL,22,FALSE)-50),"-",VLOOKUP($A391,'SegEnds_NonXtal_BW#'!$A:$Z,15,FALSE)+VLOOKUP($A391,A:AL,22,FALSE)-50)</f>
        <v>264</v>
      </c>
      <c r="V391" s="3">
        <v>274</v>
      </c>
      <c r="W391" s="3">
        <f>IF(ISERROR(VLOOKUP($A391,'SegEnds_NonXtal_BW#'!$A:$Z,16,FALSE)+VLOOKUP($A391,A:AL,22,FALSE)-50),"-",(VLOOKUP($A391,'SegEnds_NonXtal_BW#'!$A:$Z,16,FALSE)+VLOOKUP($A391,A:AL,22,FALSE)-50))</f>
        <v>292</v>
      </c>
      <c r="X391" s="3">
        <f>IF(ISERROR(VLOOKUP($A391,'SegEnds_NonXtal_BW#'!$A:$Z,17,FALSE)+VLOOKUP($A391,A:AL,25,FALSE)-50),"-",(VLOOKUP($A391,'SegEnds_NonXtal_BW#'!$A:$Z,17,FALSE)+VLOOKUP($A391,A:AL,25,FALSE)-50))</f>
        <v>296</v>
      </c>
      <c r="Y391" s="3">
        <v>296</v>
      </c>
      <c r="Z391" s="3">
        <f t="shared" si="207"/>
        <v>298</v>
      </c>
      <c r="AA391" s="3">
        <f>IF(ISERROR(VLOOKUP($A391,'SegEnds_NonXtal_BW#'!$A:$Z,19,FALSE)+VLOOKUP($A391,A:AL,28,FALSE)-50),"-",(VLOOKUP($A391,'SegEnds_NonXtal_BW#'!$A:$Z,19,FALSE)+VLOOKUP($A391,A:AL,28,FALSE)-50))</f>
        <v>305</v>
      </c>
      <c r="AB391" s="3">
        <v>316</v>
      </c>
      <c r="AC391" s="3">
        <f>IF(ISERROR((VLOOKUP($A391,'SegEnds_NonXtal_BW#'!$A:$Z,20,FALSE)+VLOOKUP($A391,A:AL,28,FALSE)-50)),"-",(VLOOKUP($A391,'SegEnds_NonXtal_BW#'!$A:$Z,20,FALSE)+VLOOKUP($A391,A:AL,28,FALSE)-50))</f>
        <v>335</v>
      </c>
      <c r="AD391" s="3">
        <f>IF(ISERROR(VLOOKUP($A391,'SegEnds_NonXtal_BW#'!$A:$Z,21,FALSE)+VLOOKUP($A391,A:AL,31,FALSE)-50),"-",(VLOOKUP($A391,'SegEnds_NonXtal_BW#'!$A:$Z,21,FALSE)+VLOOKUP($A391,A:AL,31,FALSE)-50))</f>
        <v>343</v>
      </c>
      <c r="AE391" s="3">
        <v>368</v>
      </c>
      <c r="AF391" s="3">
        <f>IF(ISERROR((VLOOKUP($A391,'SegEnds_NonXtal_BW#'!$A:$Z,22,FALSE)+VLOOKUP($A391,A:AL,31,FALSE)-50)),"-",(VLOOKUP($A391,'SegEnds_NonXtal_BW#'!$A:$Z,22,FALSE)+VLOOKUP($A391,A:AL,31,FALSE)-50))</f>
        <v>371</v>
      </c>
      <c r="AG391" s="3">
        <f>IF(ISERROR(VLOOKUP($A391,'SegEnds_NonXtal_BW#'!$A:$Z,23,FALSE)+VLOOKUP($A391,A:AL,34,FALSE)-50),"-",(VLOOKUP($A391,'SegEnds_NonXtal_BW#'!$A:$Z,23,FALSE)+VLOOKUP($A391,A:AL,34,FALSE)-50))</f>
        <v>378</v>
      </c>
      <c r="AH391" s="3">
        <v>397</v>
      </c>
      <c r="AI391" s="3">
        <f>IF(ISERROR((VLOOKUP($A391,'SegEnds_NonXtal_BW#'!$A:$Z,24,FALSE)+VLOOKUP($A391,A:AL,34,FALSE)-50)),"-",(VLOOKUP($A391,'SegEnds_NonXtal_BW#'!$A:$Z,24,FALSE)+VLOOKUP($A391,A:AL,34,FALSE)-50))</f>
        <v>403</v>
      </c>
      <c r="AJ391" s="3">
        <f>IF(ISERROR(VLOOKUP($A391,'SegEnds_NonXtal_BW#'!$A:$Z,25,FALSE)+VLOOKUP($A391,A:AL,37,FALSE)-50),"-",(VLOOKUP($A391,'SegEnds_NonXtal_BW#'!$A:$Z,25,FALSE)+VLOOKUP($A391,A:AL,37,FALSE)-50))</f>
        <v>404</v>
      </c>
      <c r="AK391" s="3">
        <v>407</v>
      </c>
      <c r="AL391" s="3">
        <f>IF(ISERROR((VLOOKUP($A391,'SegEnds_NonXtal_BW#'!$A:$Z,26,FALSE)+VLOOKUP($A391,A:AL,37,FALSE)-50)),"-",(VLOOKUP($A391,'SegEnds_NonXtal_BW#'!$A:$Z,26,FALSE)+VLOOKUP($A391,A:AL,37,FALSE)-50))</f>
        <v>429</v>
      </c>
      <c r="AM391" s="28" t="str">
        <f>VLOOKUP(A391,Classification!A:B,2,FALSE)</f>
        <v>B1</v>
      </c>
      <c r="AN391" s="28" t="b">
        <f t="shared" si="232"/>
        <v>1</v>
      </c>
      <c r="AO391" s="3" t="str">
        <f>IF(ISERROR(MATCH(A391,'SegEnds_Xtal_Prot#'!B:B, 0)), "NoXtal", "Xtal")</f>
        <v>NoXtal</v>
      </c>
      <c r="AP391" s="3">
        <f t="shared" si="217"/>
        <v>1</v>
      </c>
      <c r="AQ391" s="3">
        <f t="shared" si="218"/>
        <v>1</v>
      </c>
      <c r="AR391" s="3" t="str">
        <f t="shared" si="219"/>
        <v>-</v>
      </c>
      <c r="AS391" s="3" t="str">
        <f t="shared" si="220"/>
        <v>-</v>
      </c>
      <c r="AT391" s="3" t="str">
        <f t="shared" si="221"/>
        <v>-</v>
      </c>
      <c r="AU391" s="3" t="str">
        <f t="shared" si="222"/>
        <v>-</v>
      </c>
      <c r="AV391" s="3">
        <f t="shared" si="223"/>
        <v>4</v>
      </c>
      <c r="AW391" s="3">
        <f t="shared" si="224"/>
        <v>7</v>
      </c>
      <c r="AX391" s="3">
        <f t="shared" si="225"/>
        <v>8</v>
      </c>
      <c r="AY391" s="3">
        <f t="shared" si="226"/>
        <v>7</v>
      </c>
      <c r="AZ391" s="3">
        <f t="shared" si="227"/>
        <v>1</v>
      </c>
      <c r="BA391" s="3">
        <f>IF(ISERROR(LEN(VLOOKUP(A391,Seqs!A:E,2,FALSE))-AL391),"-",LEN(VLOOKUP(A391,Seqs!A:E,2,FALSE))-AL391)</f>
        <v>39</v>
      </c>
      <c r="BB391" s="16">
        <f t="shared" si="228"/>
        <v>28</v>
      </c>
      <c r="BC391" s="9" t="str">
        <f t="shared" si="229"/>
        <v>-</v>
      </c>
      <c r="BD391" s="3">
        <f t="shared" si="230"/>
        <v>28</v>
      </c>
      <c r="BE391" s="3">
        <f t="shared" si="231"/>
        <v>52</v>
      </c>
    </row>
    <row r="392" spans="1:58" s="3" customFormat="1" x14ac:dyDescent="0.2">
      <c r="A392" s="3" t="s">
        <v>367</v>
      </c>
      <c r="B392" s="3" t="str">
        <f>LOWER(VLOOKUP(A392,Xtal_Templ!A:B,2,FALSE))</f>
        <v>ox1r_human</v>
      </c>
      <c r="C392" s="3">
        <f>VLOOKUP($A392,'SegEnds_NonXtal_BW#'!$A:$Z,3,FALSE)+D392-50</f>
        <v>62</v>
      </c>
      <c r="D392" s="3">
        <v>80</v>
      </c>
      <c r="E392" s="3">
        <f>IF(ISERROR(VLOOKUP($A392,'SegEnds_NonXtal_BW#'!$A:$Z,4,FALSE)+VLOOKUP($A392,A:AL,4,FALSE)-50),"-",(VLOOKUP($A392,'SegEnds_NonXtal_BW#'!$A:$Z,4,FALSE)+VLOOKUP($A392,A:AL,4,FALSE)-50))</f>
        <v>90</v>
      </c>
      <c r="F392" s="3">
        <f t="shared" si="212"/>
        <v>91</v>
      </c>
      <c r="G392" s="3">
        <v>93</v>
      </c>
      <c r="H392" s="3">
        <f t="shared" si="213"/>
        <v>94</v>
      </c>
      <c r="I392" s="3">
        <f t="shared" si="211"/>
        <v>95</v>
      </c>
      <c r="J392" s="3">
        <v>108</v>
      </c>
      <c r="K392" s="3">
        <f>VLOOKUP($A392,'SegEnds_NonXtal_BW#'!$A:$Z,8,FALSE)+VLOOKUP($A392,A:AL,10,FALSE)-50</f>
        <v>125</v>
      </c>
      <c r="L392" s="3">
        <f>M392-1</f>
        <v>129</v>
      </c>
      <c r="M392" s="3">
        <v>130</v>
      </c>
      <c r="N392" s="3">
        <f>M392+2</f>
        <v>132</v>
      </c>
      <c r="O392" s="3">
        <f>N392+1</f>
        <v>133</v>
      </c>
      <c r="P392" s="3">
        <v>162</v>
      </c>
      <c r="Q392" s="3">
        <f>VLOOKUP($A392,'SegEnds_NonXtal_BW#'!$A:$Z,12,FALSE)+VLOOKUP($A392,A:AL,16,FALSE)-50</f>
        <v>168</v>
      </c>
      <c r="R392" s="3" t="str">
        <f>IF(ISERROR(VLOOKUP($A392,'SegEnds_NonXtal_BW#'!$A:$Z,13,FALSE)+VLOOKUP($A392,A:AL,19,FALSE)-50),"-",VLOOKUP($A392,'SegEnds_NonXtal_BW#'!$A:$Z,13,FALSE)+VLOOKUP($A392,A:AL,19,FALSE)-50)</f>
        <v>-</v>
      </c>
      <c r="S392" s="3" t="s">
        <v>23</v>
      </c>
      <c r="T392" s="103" t="str">
        <f>IF(ISERROR(VLOOKUP($A392,'SegEnds_NonXtal_BW#'!$A:$Z,14,FALSE)+VLOOKUP($A392,A:AL,19,FALSE)-50),"-",(VLOOKUP($A392,'SegEnds_NonXtal_BW#'!$A:$Z,14,FALSE)+VLOOKUP($A392,A:AL,19,FALSE)-50))</f>
        <v>-</v>
      </c>
      <c r="U392" s="9">
        <f>IF(ISERROR(VLOOKUP($A392,'SegEnds_NonXtal_BW#'!$A:$Z,15,FALSE)+VLOOKUP($A392,A:AL,22,FALSE)-50),"-",VLOOKUP($A392,'SegEnds_NonXtal_BW#'!$A:$Z,15,FALSE)+VLOOKUP($A392,A:AL,22,FALSE)-50)</f>
        <v>175</v>
      </c>
      <c r="V392" s="3">
        <v>187</v>
      </c>
      <c r="W392" s="3">
        <f>IF(ISERROR(VLOOKUP($A392,'SegEnds_NonXtal_BW#'!$A:$Z,16,FALSE)+VLOOKUP($A392,A:AL,22,FALSE)-50),"-",(VLOOKUP($A392,'SegEnds_NonXtal_BW#'!$A:$Z,16,FALSE)+VLOOKUP($A392,A:AL,22,FALSE)-50))</f>
        <v>201</v>
      </c>
      <c r="X392" s="3">
        <f>IF(ISERROR(VLOOKUP($A392,'SegEnds_NonXtal_BW#'!$A:$Z,17,FALSE)+VLOOKUP($A392,A:AL,25,FALSE)-50),"-",(VLOOKUP($A392,'SegEnds_NonXtal_BW#'!$A:$Z,17,FALSE)+VLOOKUP($A392,A:AL,25,FALSE)-50))</f>
        <v>217</v>
      </c>
      <c r="Y392" s="3">
        <v>217</v>
      </c>
      <c r="Z392" s="3">
        <f t="shared" si="207"/>
        <v>219</v>
      </c>
      <c r="AA392" s="3">
        <f>IF(ISERROR(VLOOKUP($A392,'SegEnds_NonXtal_BW#'!$A:$Z,19,FALSE)+VLOOKUP($A392,A:AL,28,FALSE)-50),"-",(VLOOKUP($A392,'SegEnds_NonXtal_BW#'!$A:$Z,19,FALSE)+VLOOKUP($A392,A:AL,28,FALSE)-50))</f>
        <v>226</v>
      </c>
      <c r="AB392" s="3">
        <v>244</v>
      </c>
      <c r="AC392" s="3">
        <f>IF(ISERROR((VLOOKUP($A392,'SegEnds_NonXtal_BW#'!$A:$Z,20,FALSE)+VLOOKUP($A392,A:AL,28,FALSE)-50)),"-",(VLOOKUP($A392,'SegEnds_NonXtal_BW#'!$A:$Z,20,FALSE)+VLOOKUP($A392,A:AL,28,FALSE)-50))</f>
        <v>267</v>
      </c>
      <c r="AD392" s="3">
        <f>IF(ISERROR(VLOOKUP($A392,'SegEnds_NonXtal_BW#'!$A:$Z,21,FALSE)+VLOOKUP($A392,A:AL,31,FALSE)-50),"-",(VLOOKUP($A392,'SegEnds_NonXtal_BW#'!$A:$Z,21,FALSE)+VLOOKUP($A392,A:AL,31,FALSE)-50))</f>
        <v>271</v>
      </c>
      <c r="AE392" s="3">
        <v>299</v>
      </c>
      <c r="AF392" s="3">
        <f>IF(ISERROR((VLOOKUP($A392,'SegEnds_NonXtal_BW#'!$A:$Z,22,FALSE)+VLOOKUP($A392,A:AL,31,FALSE)-50)),"-",(VLOOKUP($A392,'SegEnds_NonXtal_BW#'!$A:$Z,22,FALSE)+VLOOKUP($A392,A:AL,31,FALSE)-50))</f>
        <v>310</v>
      </c>
      <c r="AG392" s="3">
        <f>IF(ISERROR(VLOOKUP($A392,'SegEnds_NonXtal_BW#'!$A:$Z,23,FALSE)+VLOOKUP($A392,A:AL,34,FALSE)-50),"-",(VLOOKUP($A392,'SegEnds_NonXtal_BW#'!$A:$Z,23,FALSE)+VLOOKUP($A392,A:AL,34,FALSE)-50))</f>
        <v>317</v>
      </c>
      <c r="AH392" s="3">
        <v>339</v>
      </c>
      <c r="AI392" s="3">
        <f>IF(ISERROR((VLOOKUP($A392,'SegEnds_NonXtal_BW#'!$A:$Z,24,FALSE)+VLOOKUP($A392,A:AL,34,FALSE)-50)),"-",(VLOOKUP($A392,'SegEnds_NonXtal_BW#'!$A:$Z,24,FALSE)+VLOOKUP($A392,A:AL,34,FALSE)-50))</f>
        <v>345</v>
      </c>
      <c r="AJ392" s="3">
        <v>347</v>
      </c>
      <c r="AK392" s="3">
        <v>350</v>
      </c>
      <c r="AL392" s="3">
        <v>358</v>
      </c>
      <c r="AM392" s="28" t="str">
        <f>VLOOKUP(A392,Classification!A:B,2,FALSE)</f>
        <v>A</v>
      </c>
      <c r="AN392" s="28" t="b">
        <f t="shared" si="232"/>
        <v>1</v>
      </c>
      <c r="AO392" s="3" t="str">
        <f>IF(ISERROR(MATCH(A392,'SegEnds_Xtal_Prot#'!B:B, 0)), "NoXtal", "Xtal")</f>
        <v>NoXtal</v>
      </c>
      <c r="AP392" s="3">
        <f t="shared" si="217"/>
        <v>1</v>
      </c>
      <c r="AQ392" s="3">
        <f t="shared" si="218"/>
        <v>1</v>
      </c>
      <c r="AR392" s="3">
        <f t="shared" si="219"/>
        <v>4</v>
      </c>
      <c r="AS392" s="3">
        <f t="shared" si="220"/>
        <v>1</v>
      </c>
      <c r="AT392" s="3" t="str">
        <f t="shared" si="221"/>
        <v>-</v>
      </c>
      <c r="AU392" s="3" t="str">
        <f t="shared" si="222"/>
        <v>-</v>
      </c>
      <c r="AV392" s="3">
        <f t="shared" si="223"/>
        <v>16</v>
      </c>
      <c r="AW392" s="3">
        <f t="shared" si="224"/>
        <v>7</v>
      </c>
      <c r="AX392" s="3">
        <f t="shared" si="225"/>
        <v>4</v>
      </c>
      <c r="AY392" s="3">
        <f t="shared" si="226"/>
        <v>7</v>
      </c>
      <c r="AZ392" s="3">
        <f t="shared" si="227"/>
        <v>2</v>
      </c>
      <c r="BA392" s="3">
        <f>IF(ISERROR(LEN(VLOOKUP(A392,Seqs!A:E,2,FALSE))-AL392),"-",LEN(VLOOKUP(A392,Seqs!A:E,2,FALSE))-AL392)</f>
        <v>35</v>
      </c>
      <c r="BB392" s="16">
        <f t="shared" si="228"/>
        <v>28</v>
      </c>
      <c r="BC392" s="9" t="str">
        <f t="shared" si="229"/>
        <v>-</v>
      </c>
      <c r="BD392" s="3">
        <f t="shared" si="230"/>
        <v>28</v>
      </c>
      <c r="BE392" s="3">
        <f t="shared" si="231"/>
        <v>55</v>
      </c>
    </row>
    <row r="393" spans="1:58" s="3" customFormat="1" x14ac:dyDescent="0.2">
      <c r="A393" s="3" t="s">
        <v>368</v>
      </c>
      <c r="B393" s="3" t="str">
        <f>LOWER(VLOOKUP(A393,Xtal_Templ!A:B,2,FALSE))</f>
        <v>ox2r_human</v>
      </c>
      <c r="C393" s="3">
        <f>VLOOKUP($A393,'SegEnds_NonXtal_BW#'!$A:$Z,3,FALSE)+D393-50</f>
        <v>52</v>
      </c>
      <c r="D393" s="3">
        <v>71</v>
      </c>
      <c r="E393" s="3">
        <f>IF(ISERROR(VLOOKUP($A393,'SegEnds_NonXtal_BW#'!$A:$Z,4,FALSE)+VLOOKUP($A393,A:AL,4,FALSE)-50),"-",(VLOOKUP($A393,'SegEnds_NonXtal_BW#'!$A:$Z,4,FALSE)+VLOOKUP($A393,A:AL,4,FALSE)-50))</f>
        <v>81</v>
      </c>
      <c r="F393" s="3">
        <f t="shared" si="212"/>
        <v>82</v>
      </c>
      <c r="G393" s="3">
        <v>84</v>
      </c>
      <c r="H393" s="3">
        <f t="shared" si="213"/>
        <v>85</v>
      </c>
      <c r="I393" s="3">
        <f t="shared" si="211"/>
        <v>86</v>
      </c>
      <c r="J393" s="3">
        <v>99</v>
      </c>
      <c r="K393" s="3">
        <f>VLOOKUP($A393,'SegEnds_NonXtal_BW#'!$A:$Z,8,FALSE)+VLOOKUP($A393,A:AL,10,FALSE)-50</f>
        <v>116</v>
      </c>
      <c r="L393" s="3">
        <f>M393-1</f>
        <v>120</v>
      </c>
      <c r="M393" s="3">
        <v>121</v>
      </c>
      <c r="N393" s="3">
        <f>M393+2</f>
        <v>123</v>
      </c>
      <c r="O393" s="3">
        <f>N393+1</f>
        <v>124</v>
      </c>
      <c r="P393" s="3">
        <v>153</v>
      </c>
      <c r="Q393" s="3">
        <f>VLOOKUP($A393,'SegEnds_NonXtal_BW#'!$A:$Z,12,FALSE)+VLOOKUP($A393,A:AL,16,FALSE)-50</f>
        <v>159</v>
      </c>
      <c r="R393" s="3" t="str">
        <f>IF(ISERROR(VLOOKUP($A393,'SegEnds_NonXtal_BW#'!$A:$Z,13,FALSE)+VLOOKUP($A393,A:AL,19,FALSE)-50),"-",VLOOKUP($A393,'SegEnds_NonXtal_BW#'!$A:$Z,13,FALSE)+VLOOKUP($A393,A:AL,19,FALSE)-50)</f>
        <v>-</v>
      </c>
      <c r="S393" s="3" t="s">
        <v>23</v>
      </c>
      <c r="T393" s="103" t="str">
        <f>IF(ISERROR(VLOOKUP($A393,'SegEnds_NonXtal_BW#'!$A:$Z,14,FALSE)+VLOOKUP($A393,A:AL,19,FALSE)-50),"-",(VLOOKUP($A393,'SegEnds_NonXtal_BW#'!$A:$Z,14,FALSE)+VLOOKUP($A393,A:AL,19,FALSE)-50))</f>
        <v>-</v>
      </c>
      <c r="U393" s="9">
        <f>IF(ISERROR(VLOOKUP($A393,'SegEnds_NonXtal_BW#'!$A:$Z,15,FALSE)+VLOOKUP($A393,A:AL,22,FALSE)-50),"-",VLOOKUP($A393,'SegEnds_NonXtal_BW#'!$A:$Z,15,FALSE)+VLOOKUP($A393,A:AL,22,FALSE)-50)</f>
        <v>166</v>
      </c>
      <c r="V393" s="3">
        <v>178</v>
      </c>
      <c r="W393" s="3">
        <f>IF(ISERROR(VLOOKUP($A393,'SegEnds_NonXtal_BW#'!$A:$Z,16,FALSE)+VLOOKUP($A393,A:AL,22,FALSE)-50),"-",(VLOOKUP($A393,'SegEnds_NonXtal_BW#'!$A:$Z,16,FALSE)+VLOOKUP($A393,A:AL,22,FALSE)-50))</f>
        <v>192</v>
      </c>
      <c r="X393" s="3">
        <f>IF(ISERROR(VLOOKUP($A393,'SegEnds_NonXtal_BW#'!$A:$Z,17,FALSE)+VLOOKUP($A393,A:AL,25,FALSE)-50),"-",(VLOOKUP($A393,'SegEnds_NonXtal_BW#'!$A:$Z,17,FALSE)+VLOOKUP($A393,A:AL,25,FALSE)-50))</f>
        <v>208</v>
      </c>
      <c r="Y393" s="3">
        <v>208</v>
      </c>
      <c r="Z393" s="3">
        <f t="shared" si="207"/>
        <v>210</v>
      </c>
      <c r="AA393" s="3">
        <f>IF(ISERROR(VLOOKUP($A393,'SegEnds_NonXtal_BW#'!$A:$Z,19,FALSE)+VLOOKUP($A393,A:AL,28,FALSE)-50),"-",(VLOOKUP($A393,'SegEnds_NonXtal_BW#'!$A:$Z,19,FALSE)+VLOOKUP($A393,A:AL,28,FALSE)-50))</f>
        <v>217</v>
      </c>
      <c r="AB393" s="3">
        <v>235</v>
      </c>
      <c r="AC393" s="3">
        <f>IF(ISERROR((VLOOKUP($A393,'SegEnds_NonXtal_BW#'!$A:$Z,20,FALSE)+VLOOKUP($A393,A:AL,28,FALSE)-50)),"-",(VLOOKUP($A393,'SegEnds_NonXtal_BW#'!$A:$Z,20,FALSE)+VLOOKUP($A393,A:AL,28,FALSE)-50))</f>
        <v>258</v>
      </c>
      <c r="AD393" s="3">
        <f>IF(ISERROR(VLOOKUP($A393,'SegEnds_NonXtal_BW#'!$A:$Z,21,FALSE)+VLOOKUP($A393,A:AL,31,FALSE)-50),"-",(VLOOKUP($A393,'SegEnds_NonXtal_BW#'!$A:$Z,21,FALSE)+VLOOKUP($A393,A:AL,31,FALSE)-50))</f>
        <v>262</v>
      </c>
      <c r="AE393" s="3">
        <v>290</v>
      </c>
      <c r="AF393" s="3">
        <f>IF(ISERROR((VLOOKUP($A393,'SegEnds_NonXtal_BW#'!$A:$Z,22,FALSE)+VLOOKUP($A393,A:AL,31,FALSE)-50)),"-",(VLOOKUP($A393,'SegEnds_NonXtal_BW#'!$A:$Z,22,FALSE)+VLOOKUP($A393,A:AL,31,FALSE)-50))</f>
        <v>301</v>
      </c>
      <c r="AG393" s="3">
        <f>IF(ISERROR(VLOOKUP($A393,'SegEnds_NonXtal_BW#'!$A:$Z,23,FALSE)+VLOOKUP($A393,A:AL,34,FALSE)-50),"-",(VLOOKUP($A393,'SegEnds_NonXtal_BW#'!$A:$Z,23,FALSE)+VLOOKUP($A393,A:AL,34,FALSE)-50))</f>
        <v>308</v>
      </c>
      <c r="AH393" s="3">
        <v>330</v>
      </c>
      <c r="AI393" s="3">
        <f>IF(ISERROR((VLOOKUP($A393,'SegEnds_NonXtal_BW#'!$A:$Z,24,FALSE)+VLOOKUP($A393,A:AL,34,FALSE)-50)),"-",(VLOOKUP($A393,'SegEnds_NonXtal_BW#'!$A:$Z,24,FALSE)+VLOOKUP($A393,A:AL,34,FALSE)-50))</f>
        <v>336</v>
      </c>
      <c r="AJ393" s="3">
        <v>338</v>
      </c>
      <c r="AK393" s="3">
        <v>341</v>
      </c>
      <c r="AL393" s="3">
        <v>349</v>
      </c>
      <c r="AM393" s="28" t="str">
        <f>VLOOKUP(A393,Classification!A:B,2,FALSE)</f>
        <v>A</v>
      </c>
      <c r="AN393" s="28" t="b">
        <f t="shared" si="232"/>
        <v>1</v>
      </c>
      <c r="AO393" s="3" t="str">
        <f>IF(ISERROR(MATCH(A393,'SegEnds_Xtal_Prot#'!B:B, 0)), "NoXtal", "Xtal")</f>
        <v>NoXtal</v>
      </c>
      <c r="AP393" s="3">
        <f t="shared" si="217"/>
        <v>1</v>
      </c>
      <c r="AQ393" s="3">
        <f t="shared" si="218"/>
        <v>1</v>
      </c>
      <c r="AR393" s="3">
        <f t="shared" si="219"/>
        <v>4</v>
      </c>
      <c r="AS393" s="3">
        <f t="shared" si="220"/>
        <v>1</v>
      </c>
      <c r="AT393" s="3" t="str">
        <f t="shared" si="221"/>
        <v>-</v>
      </c>
      <c r="AU393" s="3" t="str">
        <f t="shared" si="222"/>
        <v>-</v>
      </c>
      <c r="AV393" s="3">
        <f t="shared" si="223"/>
        <v>16</v>
      </c>
      <c r="AW393" s="3">
        <f t="shared" si="224"/>
        <v>7</v>
      </c>
      <c r="AX393" s="3">
        <f t="shared" si="225"/>
        <v>4</v>
      </c>
      <c r="AY393" s="3">
        <f t="shared" si="226"/>
        <v>7</v>
      </c>
      <c r="AZ393" s="3">
        <f t="shared" si="227"/>
        <v>2</v>
      </c>
      <c r="BA393" s="3">
        <f>IF(ISERROR(LEN(VLOOKUP(A393,Seqs!A:E,2,FALSE))-AL393),"-",LEN(VLOOKUP(A393,Seqs!A:E,2,FALSE))-AL393)</f>
        <v>35</v>
      </c>
      <c r="BB393" s="16">
        <f t="shared" si="228"/>
        <v>28</v>
      </c>
      <c r="BC393" s="9" t="str">
        <f t="shared" si="229"/>
        <v>-</v>
      </c>
      <c r="BD393" s="3">
        <f t="shared" si="230"/>
        <v>28</v>
      </c>
      <c r="BE393" s="3">
        <f t="shared" si="231"/>
        <v>55</v>
      </c>
    </row>
    <row r="394" spans="1:58" s="3" customFormat="1" x14ac:dyDescent="0.2">
      <c r="A394" s="3" t="s">
        <v>409</v>
      </c>
      <c r="B394" s="3" t="str">
        <f>LOWER(VLOOKUP(A394,Xtal_Templ!A:B,2,FALSE))</f>
        <v>glp1r_human</v>
      </c>
      <c r="C394" s="3">
        <f>VLOOKUP($A394,'SegEnds_NonXtal_BW#'!$A:$Z,3,FALSE)+D394-50</f>
        <v>181</v>
      </c>
      <c r="D394" s="3">
        <v>202</v>
      </c>
      <c r="E394" s="3">
        <f>IF(ISERROR(VLOOKUP($A394,'SegEnds_NonXtal_BW#'!$A:$Z,4,FALSE)+VLOOKUP($A394,A:AL,4,FALSE)-50),"-",(VLOOKUP($A394,'SegEnds_NonXtal_BW#'!$A:$Z,4,FALSE)+VLOOKUP($A394,A:AL,4,FALSE)-50))</f>
        <v>212</v>
      </c>
      <c r="F394" s="3">
        <f t="shared" si="212"/>
        <v>213</v>
      </c>
      <c r="G394" s="3">
        <v>215</v>
      </c>
      <c r="H394" s="3">
        <f t="shared" si="213"/>
        <v>216</v>
      </c>
      <c r="I394" s="3">
        <f t="shared" si="211"/>
        <v>217</v>
      </c>
      <c r="J394" s="3">
        <v>230</v>
      </c>
      <c r="K394" s="3">
        <f>VLOOKUP($A394,'SegEnds_NonXtal_BW#'!$A:$Z,8,FALSE)+VLOOKUP($A394,A:AL,10,FALSE)-50</f>
        <v>247</v>
      </c>
      <c r="L394" s="3" t="str">
        <f>IF(ISERROR(VLOOKUP($A394,'SegEnds_NonXtal_BW#'!$A:$Z,9,FALSE)+VLOOKUP($A394,A:AL,13,FALSE)-50),"-",(VLOOKUP($A394,'SegEnds_NonXtal_BW#'!$A:$Z,9,FALSE)+VLOOKUP($A394,A:AL,13,FALSE)-50))</f>
        <v>-</v>
      </c>
      <c r="M394" s="3" t="s">
        <v>23</v>
      </c>
      <c r="N394" s="3" t="str">
        <f>IF(ISERROR(VLOOKUP($A394,'SegEnds_NonXtal_BW#'!$A:$Z,10,FALSE)+VLOOKUP($A394,A:AL,13,FALSE)-50),"-",(VLOOKUP($A394,'SegEnds_NonXtal_BW#'!$A:$Z,10,FALSE)+VLOOKUP($A394,A:AL,13,FALSE)-50))</f>
        <v>-</v>
      </c>
      <c r="O394" s="3">
        <f>VLOOKUP($A394,'SegEnds_NonXtal_BW#'!$A:$Z,11,FALSE)+VLOOKUP($A394,A:AL,16,FALSE)-50</f>
        <v>274</v>
      </c>
      <c r="P394" s="3">
        <v>306</v>
      </c>
      <c r="Q394" s="3">
        <f>VLOOKUP($A394,'SegEnds_NonXtal_BW#'!$A:$Z,12,FALSE)+VLOOKUP($A394,A:AL,16,FALSE)-50</f>
        <v>312</v>
      </c>
      <c r="R394" s="3" t="str">
        <f>IF(ISERROR(VLOOKUP($A394,'SegEnds_NonXtal_BW#'!$A:$Z,13,FALSE)+VLOOKUP($A394,A:AL,19,FALSE)-50),"-",VLOOKUP($A394,'SegEnds_NonXtal_BW#'!$A:$Z,13,FALSE)+VLOOKUP($A394,A:AL,19,FALSE)-50)</f>
        <v>-</v>
      </c>
      <c r="S394" s="3" t="s">
        <v>23</v>
      </c>
      <c r="T394" s="103" t="str">
        <f>IF(ISERROR(VLOOKUP($A394,'SegEnds_NonXtal_BW#'!$A:$Z,14,FALSE)+VLOOKUP($A394,A:AL,19,FALSE)-50),"-",(VLOOKUP($A394,'SegEnds_NonXtal_BW#'!$A:$Z,14,FALSE)+VLOOKUP($A394,A:AL,19,FALSE)-50))</f>
        <v>-</v>
      </c>
      <c r="U394" s="9">
        <f>IF(ISERROR(VLOOKUP($A394,'SegEnds_NonXtal_BW#'!$A:$Z,15,FALSE)+VLOOKUP($A394,A:AL,22,FALSE)-50),"-",VLOOKUP($A394,'SegEnds_NonXtal_BW#'!$A:$Z,15,FALSE)+VLOOKUP($A394,A:AL,22,FALSE)-50)</f>
        <v>317</v>
      </c>
      <c r="V394" s="3">
        <v>329</v>
      </c>
      <c r="W394" s="3">
        <f>IF(ISERROR(VLOOKUP($A394,'SegEnds_NonXtal_BW#'!$A:$Z,16,FALSE)+VLOOKUP($A394,A:AL,22,FALSE)-50),"-",(VLOOKUP($A394,'SegEnds_NonXtal_BW#'!$A:$Z,16,FALSE)+VLOOKUP($A394,A:AL,22,FALSE)-50))</f>
        <v>347</v>
      </c>
      <c r="X394" s="3">
        <f>IF(ISERROR(VLOOKUP($A394,'SegEnds_NonXtal_BW#'!$A:$Z,17,FALSE)+VLOOKUP($A394,A:AL,25,FALSE)-50),"-",(VLOOKUP($A394,'SegEnds_NonXtal_BW#'!$A:$Z,17,FALSE)+VLOOKUP($A394,A:AL,25,FALSE)-50))</f>
        <v>351</v>
      </c>
      <c r="Y394" s="3">
        <v>351</v>
      </c>
      <c r="Z394" s="3">
        <f t="shared" si="207"/>
        <v>353</v>
      </c>
      <c r="AA394" s="3">
        <f>IF(ISERROR(VLOOKUP($A394,'SegEnds_NonXtal_BW#'!$A:$Z,19,FALSE)+VLOOKUP($A394,A:AL,28,FALSE)-50),"-",(VLOOKUP($A394,'SegEnds_NonXtal_BW#'!$A:$Z,19,FALSE)+VLOOKUP($A394,A:AL,28,FALSE)-50))</f>
        <v>359</v>
      </c>
      <c r="AB394" s="3">
        <v>370</v>
      </c>
      <c r="AC394" s="3">
        <f>IF(ISERROR((VLOOKUP($A394,'SegEnds_NonXtal_BW#'!$A:$Z,20,FALSE)+VLOOKUP($A394,A:AL,28,FALSE)-50)),"-",(VLOOKUP($A394,'SegEnds_NonXtal_BW#'!$A:$Z,20,FALSE)+VLOOKUP($A394,A:AL,28,FALSE)-50))</f>
        <v>389</v>
      </c>
      <c r="AD394" s="3">
        <f>IF(ISERROR(VLOOKUP($A394,'SegEnds_NonXtal_BW#'!$A:$Z,21,FALSE)+VLOOKUP($A394,A:AL,31,FALSE)-50),"-",(VLOOKUP($A394,'SegEnds_NonXtal_BW#'!$A:$Z,21,FALSE)+VLOOKUP($A394,A:AL,31,FALSE)-50))</f>
        <v>398</v>
      </c>
      <c r="AE394" s="3">
        <v>423</v>
      </c>
      <c r="AF394" s="3">
        <f>IF(ISERROR((VLOOKUP($A394,'SegEnds_NonXtal_BW#'!$A:$Z,22,FALSE)+VLOOKUP($A394,A:AL,31,FALSE)-50)),"-",(VLOOKUP($A394,'SegEnds_NonXtal_BW#'!$A:$Z,22,FALSE)+VLOOKUP($A394,A:AL,31,FALSE)-50))</f>
        <v>431</v>
      </c>
      <c r="AG394" s="3">
        <f>IF(ISERROR(VLOOKUP($A394,'SegEnds_NonXtal_BW#'!$A:$Z,23,FALSE)+VLOOKUP($A394,A:AL,34,FALSE)-50),"-",(VLOOKUP($A394,'SegEnds_NonXtal_BW#'!$A:$Z,23,FALSE)+VLOOKUP($A394,A:AL,34,FALSE)-50))</f>
        <v>433</v>
      </c>
      <c r="AH394" s="3">
        <v>456</v>
      </c>
      <c r="AI394" s="3">
        <f>IF(ISERROR((VLOOKUP($A394,'SegEnds_NonXtal_BW#'!$A:$Z,24,FALSE)+VLOOKUP($A394,A:AL,34,FALSE)-50)),"-",(VLOOKUP($A394,'SegEnds_NonXtal_BW#'!$A:$Z,24,FALSE)+VLOOKUP($A394,A:AL,34,FALSE)-50))</f>
        <v>462</v>
      </c>
      <c r="AJ394" s="3">
        <f>IF(ISERROR(VLOOKUP($A394,'SegEnds_NonXtal_BW#'!$A:$Z,25,FALSE)+VLOOKUP($A394,A:AL,37,FALSE)-50),"-",(VLOOKUP($A394,'SegEnds_NonXtal_BW#'!$A:$Z,25,FALSE)+VLOOKUP($A394,A:AL,37,FALSE)-50))</f>
        <v>463</v>
      </c>
      <c r="AK394" s="3">
        <v>466</v>
      </c>
      <c r="AL394" s="3">
        <f>IF(ISERROR((VLOOKUP($A394,'SegEnds_NonXtal_BW#'!$A:$Z,26,FALSE)+VLOOKUP($A394,A:AL,37,FALSE)-50)),"-",(VLOOKUP($A394,'SegEnds_NonXtal_BW#'!$A:$Z,26,FALSE)+VLOOKUP($A394,A:AL,37,FALSE)-50))</f>
        <v>488</v>
      </c>
      <c r="AM394" s="28" t="str">
        <f>VLOOKUP(A394,Classification!A:B,2,FALSE)</f>
        <v>B1</v>
      </c>
      <c r="AN394" s="28" t="b">
        <f t="shared" si="232"/>
        <v>1</v>
      </c>
      <c r="AO394" s="3" t="str">
        <f>IF(ISERROR(MATCH(A394,'SegEnds_Xtal_Prot#'!B:B, 0)), "NoXtal", "Xtal")</f>
        <v>NoXtal</v>
      </c>
      <c r="AP394" s="3">
        <f t="shared" si="217"/>
        <v>1</v>
      </c>
      <c r="AQ394" s="3">
        <f t="shared" si="218"/>
        <v>1</v>
      </c>
      <c r="AR394" s="3" t="str">
        <f t="shared" si="219"/>
        <v>-</v>
      </c>
      <c r="AS394" s="3" t="str">
        <f t="shared" si="220"/>
        <v>-</v>
      </c>
      <c r="AT394" s="3" t="str">
        <f t="shared" si="221"/>
        <v>-</v>
      </c>
      <c r="AU394" s="3" t="str">
        <f t="shared" si="222"/>
        <v>-</v>
      </c>
      <c r="AV394" s="3">
        <f t="shared" si="223"/>
        <v>4</v>
      </c>
      <c r="AW394" s="3">
        <f t="shared" si="224"/>
        <v>6</v>
      </c>
      <c r="AX394" s="3">
        <f t="shared" si="225"/>
        <v>9</v>
      </c>
      <c r="AY394" s="3">
        <f t="shared" si="226"/>
        <v>2</v>
      </c>
      <c r="AZ394" s="3">
        <f t="shared" si="227"/>
        <v>1</v>
      </c>
      <c r="BA394" s="3">
        <f>IF(ISERROR(LEN(VLOOKUP(A394,Seqs!A:E,2,FALSE))-AL394),"-",LEN(VLOOKUP(A394,Seqs!A:E,2,FALSE))-AL394)</f>
        <v>105</v>
      </c>
      <c r="BB394" s="16">
        <f t="shared" si="228"/>
        <v>28</v>
      </c>
      <c r="BC394" s="9" t="str">
        <f t="shared" si="229"/>
        <v>-</v>
      </c>
      <c r="BD394" s="3">
        <f t="shared" si="230"/>
        <v>28</v>
      </c>
      <c r="BE394" s="3">
        <f t="shared" si="231"/>
        <v>53</v>
      </c>
    </row>
    <row r="395" spans="1:58" s="3" customFormat="1" x14ac:dyDescent="0.2">
      <c r="A395" s="3" t="s">
        <v>410</v>
      </c>
      <c r="B395" s="3" t="str">
        <f>LOWER(VLOOKUP(A395,Xtal_Templ!A:B,2,FALSE))</f>
        <v>glp1r_human</v>
      </c>
      <c r="C395" s="3">
        <f>VLOOKUP($A395,'SegEnds_NonXtal_BW#'!$A:$Z,3,FALSE)+D395-50</f>
        <v>138</v>
      </c>
      <c r="D395" s="3">
        <v>159</v>
      </c>
      <c r="E395" s="3">
        <f>IF(ISERROR(VLOOKUP($A395,'SegEnds_NonXtal_BW#'!$A:$Z,4,FALSE)+VLOOKUP($A395,A:AL,4,FALSE)-50),"-",(VLOOKUP($A395,'SegEnds_NonXtal_BW#'!$A:$Z,4,FALSE)+VLOOKUP($A395,A:AL,4,FALSE)-50))</f>
        <v>169</v>
      </c>
      <c r="F395" s="3">
        <f t="shared" si="212"/>
        <v>170</v>
      </c>
      <c r="G395" s="3">
        <v>172</v>
      </c>
      <c r="H395" s="3">
        <f t="shared" si="213"/>
        <v>173</v>
      </c>
      <c r="I395" s="3">
        <f t="shared" si="211"/>
        <v>174</v>
      </c>
      <c r="J395" s="3">
        <v>187</v>
      </c>
      <c r="K395" s="3">
        <f>VLOOKUP($A395,'SegEnds_NonXtal_BW#'!$A:$Z,8,FALSE)+VLOOKUP($A395,A:AL,10,FALSE)-50</f>
        <v>204</v>
      </c>
      <c r="L395" s="3" t="str">
        <f>IF(ISERROR(VLOOKUP($A395,'SegEnds_NonXtal_BW#'!$A:$Z,9,FALSE)+VLOOKUP($A395,A:AL,13,FALSE)-50),"-",(VLOOKUP($A395,'SegEnds_NonXtal_BW#'!$A:$Z,9,FALSE)+VLOOKUP($A395,A:AL,13,FALSE)-50))</f>
        <v>-</v>
      </c>
      <c r="M395" s="3" t="s">
        <v>23</v>
      </c>
      <c r="N395" s="3" t="str">
        <f>IF(ISERROR(VLOOKUP($A395,'SegEnds_NonXtal_BW#'!$A:$Z,10,FALSE)+VLOOKUP($A395,A:AL,13,FALSE)-50),"-",(VLOOKUP($A395,'SegEnds_NonXtal_BW#'!$A:$Z,10,FALSE)+VLOOKUP($A395,A:AL,13,FALSE)-50))</f>
        <v>-</v>
      </c>
      <c r="O395" s="3">
        <f>VLOOKUP($A395,'SegEnds_NonXtal_BW#'!$A:$Z,11,FALSE)+VLOOKUP($A395,A:AL,16,FALSE)-50</f>
        <v>229</v>
      </c>
      <c r="P395" s="3">
        <v>261</v>
      </c>
      <c r="Q395" s="3">
        <f>VLOOKUP($A395,'SegEnds_NonXtal_BW#'!$A:$Z,12,FALSE)+VLOOKUP($A395,A:AL,16,FALSE)-50</f>
        <v>267</v>
      </c>
      <c r="R395" s="3" t="str">
        <f>IF(ISERROR(VLOOKUP($A395,'SegEnds_NonXtal_BW#'!$A:$Z,13,FALSE)+VLOOKUP($A395,A:AL,19,FALSE)-50),"-",VLOOKUP($A395,'SegEnds_NonXtal_BW#'!$A:$Z,13,FALSE)+VLOOKUP($A395,A:AL,19,FALSE)-50)</f>
        <v>-</v>
      </c>
      <c r="S395" s="3" t="s">
        <v>23</v>
      </c>
      <c r="T395" s="103" t="str">
        <f>IF(ISERROR(VLOOKUP($A395,'SegEnds_NonXtal_BW#'!$A:$Z,14,FALSE)+VLOOKUP($A395,A:AL,19,FALSE)-50),"-",(VLOOKUP($A395,'SegEnds_NonXtal_BW#'!$A:$Z,14,FALSE)+VLOOKUP($A395,A:AL,19,FALSE)-50))</f>
        <v>-</v>
      </c>
      <c r="U395" s="9">
        <f>IF(ISERROR(VLOOKUP($A395,'SegEnds_NonXtal_BW#'!$A:$Z,15,FALSE)+VLOOKUP($A395,A:AL,22,FALSE)-50),"-",VLOOKUP($A395,'SegEnds_NonXtal_BW#'!$A:$Z,15,FALSE)+VLOOKUP($A395,A:AL,22,FALSE)-50)</f>
        <v>272</v>
      </c>
      <c r="V395" s="3">
        <v>284</v>
      </c>
      <c r="W395" s="3">
        <f>IF(ISERROR(VLOOKUP($A395,'SegEnds_NonXtal_BW#'!$A:$Z,16,FALSE)+VLOOKUP($A395,A:AL,22,FALSE)-50),"-",(VLOOKUP($A395,'SegEnds_NonXtal_BW#'!$A:$Z,16,FALSE)+VLOOKUP($A395,A:AL,22,FALSE)-50))</f>
        <v>302</v>
      </c>
      <c r="X395" s="3">
        <f>IF(ISERROR(VLOOKUP($A395,'SegEnds_NonXtal_BW#'!$A:$Z,17,FALSE)+VLOOKUP($A395,A:AL,25,FALSE)-50),"-",(VLOOKUP($A395,'SegEnds_NonXtal_BW#'!$A:$Z,17,FALSE)+VLOOKUP($A395,A:AL,25,FALSE)-50))</f>
        <v>306</v>
      </c>
      <c r="Y395" s="3">
        <v>306</v>
      </c>
      <c r="Z395" s="3">
        <f t="shared" si="207"/>
        <v>308</v>
      </c>
      <c r="AA395" s="3">
        <f>IF(ISERROR(VLOOKUP($A395,'SegEnds_NonXtal_BW#'!$A:$Z,19,FALSE)+VLOOKUP($A395,A:AL,28,FALSE)-50),"-",(VLOOKUP($A395,'SegEnds_NonXtal_BW#'!$A:$Z,19,FALSE)+VLOOKUP($A395,A:AL,28,FALSE)-50))</f>
        <v>314</v>
      </c>
      <c r="AB395" s="3">
        <v>325</v>
      </c>
      <c r="AC395" s="3">
        <f>IF(ISERROR((VLOOKUP($A395,'SegEnds_NonXtal_BW#'!$A:$Z,20,FALSE)+VLOOKUP($A395,A:AL,28,FALSE)-50)),"-",(VLOOKUP($A395,'SegEnds_NonXtal_BW#'!$A:$Z,20,FALSE)+VLOOKUP($A395,A:AL,28,FALSE)-50))</f>
        <v>344</v>
      </c>
      <c r="AD395" s="3">
        <f>IF(ISERROR(VLOOKUP($A395,'SegEnds_NonXtal_BW#'!$A:$Z,21,FALSE)+VLOOKUP($A395,A:AL,31,FALSE)-50),"-",(VLOOKUP($A395,'SegEnds_NonXtal_BW#'!$A:$Z,21,FALSE)+VLOOKUP($A395,A:AL,31,FALSE)-50))</f>
        <v>353</v>
      </c>
      <c r="AE395" s="3">
        <v>378</v>
      </c>
      <c r="AF395" s="3">
        <f>IF(ISERROR((VLOOKUP($A395,'SegEnds_NonXtal_BW#'!$A:$Z,22,FALSE)+VLOOKUP($A395,A:AL,31,FALSE)-50)),"-",(VLOOKUP($A395,'SegEnds_NonXtal_BW#'!$A:$Z,22,FALSE)+VLOOKUP($A395,A:AL,31,FALSE)-50))</f>
        <v>386</v>
      </c>
      <c r="AG395" s="3">
        <f>IF(ISERROR(VLOOKUP($A395,'SegEnds_NonXtal_BW#'!$A:$Z,23,FALSE)+VLOOKUP($A395,A:AL,34,FALSE)-50),"-",(VLOOKUP($A395,'SegEnds_NonXtal_BW#'!$A:$Z,23,FALSE)+VLOOKUP($A395,A:AL,34,FALSE)-50))</f>
        <v>387</v>
      </c>
      <c r="AH395" s="3">
        <v>410</v>
      </c>
      <c r="AI395" s="3">
        <f>IF(ISERROR((VLOOKUP($A395,'SegEnds_NonXtal_BW#'!$A:$Z,24,FALSE)+VLOOKUP($A395,A:AL,34,FALSE)-50)),"-",(VLOOKUP($A395,'SegEnds_NonXtal_BW#'!$A:$Z,24,FALSE)+VLOOKUP($A395,A:AL,34,FALSE)-50))</f>
        <v>416</v>
      </c>
      <c r="AJ395" s="3">
        <f>IF(ISERROR(VLOOKUP($A395,'SegEnds_NonXtal_BW#'!$A:$Z,25,FALSE)+VLOOKUP($A395,A:AL,37,FALSE)-50),"-",(VLOOKUP($A395,'SegEnds_NonXtal_BW#'!$A:$Z,25,FALSE)+VLOOKUP($A395,A:AL,37,FALSE)-50))</f>
        <v>417</v>
      </c>
      <c r="AK395" s="3">
        <v>420</v>
      </c>
      <c r="AL395" s="3">
        <f>IF(ISERROR((VLOOKUP($A395,'SegEnds_NonXtal_BW#'!$A:$Z,26,FALSE)+VLOOKUP($A395,A:AL,37,FALSE)-50)),"-",(VLOOKUP($A395,'SegEnds_NonXtal_BW#'!$A:$Z,26,FALSE)+VLOOKUP($A395,A:AL,37,FALSE)-50))</f>
        <v>442</v>
      </c>
      <c r="AM395" s="28" t="str">
        <f>VLOOKUP(A395,Classification!A:B,2,FALSE)</f>
        <v>B1</v>
      </c>
      <c r="AN395" s="28" t="b">
        <f t="shared" si="232"/>
        <v>1</v>
      </c>
      <c r="AO395" s="3" t="str">
        <f>IF(ISERROR(MATCH(A395,'SegEnds_Xtal_Prot#'!B:B, 0)), "NoXtal", "Xtal")</f>
        <v>NoXtal</v>
      </c>
      <c r="AP395" s="3">
        <f t="shared" si="217"/>
        <v>1</v>
      </c>
      <c r="AQ395" s="3">
        <f t="shared" si="218"/>
        <v>1</v>
      </c>
      <c r="AR395" s="3" t="str">
        <f t="shared" si="219"/>
        <v>-</v>
      </c>
      <c r="AS395" s="3" t="str">
        <f t="shared" si="220"/>
        <v>-</v>
      </c>
      <c r="AT395" s="3" t="str">
        <f t="shared" si="221"/>
        <v>-</v>
      </c>
      <c r="AU395" s="3" t="str">
        <f t="shared" si="222"/>
        <v>-</v>
      </c>
      <c r="AV395" s="3">
        <f t="shared" si="223"/>
        <v>4</v>
      </c>
      <c r="AW395" s="3">
        <f t="shared" si="224"/>
        <v>6</v>
      </c>
      <c r="AX395" s="3">
        <f t="shared" si="225"/>
        <v>9</v>
      </c>
      <c r="AY395" s="3">
        <f t="shared" si="226"/>
        <v>1</v>
      </c>
      <c r="AZ395" s="3">
        <f t="shared" si="227"/>
        <v>1</v>
      </c>
      <c r="BA395" s="3">
        <f>IF(ISERROR(LEN(VLOOKUP(A395,Seqs!A:E,2,FALSE))-AL395),"-",LEN(VLOOKUP(A395,Seqs!A:E,2,FALSE))-AL395)</f>
        <v>108</v>
      </c>
      <c r="BB395" s="16">
        <f t="shared" si="228"/>
        <v>28</v>
      </c>
      <c r="BC395" s="9" t="str">
        <f t="shared" si="229"/>
        <v>-</v>
      </c>
      <c r="BD395" s="3">
        <f t="shared" si="230"/>
        <v>28</v>
      </c>
      <c r="BE395" s="3">
        <f t="shared" si="231"/>
        <v>53</v>
      </c>
    </row>
    <row r="396" spans="1:58" s="3" customFormat="1" x14ac:dyDescent="0.2">
      <c r="A396" s="3" t="s">
        <v>121</v>
      </c>
      <c r="B396" s="3" t="str">
        <f>LOWER(VLOOKUP(A396,Xtal_Templ!A:B,2,FALSE))</f>
        <v>grm1_human</v>
      </c>
      <c r="C396" s="3">
        <f>VLOOKUP($A396,'SegEnds_NonXtal_BW#'!$A:$Z,3,FALSE)+D396-50</f>
        <v>26</v>
      </c>
      <c r="D396" s="3">
        <v>42</v>
      </c>
      <c r="E396" s="3">
        <f>IF(ISERROR(VLOOKUP($A396,'SegEnds_NonXtal_BW#'!$A:$Z,4,FALSE)+VLOOKUP($A396,A:AL,4,FALSE)-50),"-",(VLOOKUP($A396,'SegEnds_NonXtal_BW#'!$A:$Z,4,FALSE)+VLOOKUP($A396,A:AL,4,FALSE)-50))</f>
        <v>52</v>
      </c>
      <c r="F396" s="3">
        <f>G396-3</f>
        <v>53</v>
      </c>
      <c r="G396" s="3">
        <v>56</v>
      </c>
      <c r="H396" s="3">
        <f>G396+3</f>
        <v>59</v>
      </c>
      <c r="I396" s="3">
        <f t="shared" si="211"/>
        <v>60</v>
      </c>
      <c r="J396" s="3">
        <v>75</v>
      </c>
      <c r="K396" s="3">
        <f>VLOOKUP($A396,'SegEnds_NonXtal_BW#'!$A:$Z,8,FALSE)+VLOOKUP($A396,A:AL,10,FALSE)-50</f>
        <v>86</v>
      </c>
      <c r="L396" s="3" t="str">
        <f>IF(ISERROR(VLOOKUP($A396,'SegEnds_NonXtal_BW#'!$A:$Z,9,FALSE)+VLOOKUP($A396,A:AL,13,FALSE)-50),"-",(VLOOKUP($A396,'SegEnds_NonXtal_BW#'!$A:$Z,9,FALSE)+VLOOKUP($A396,A:AL,13,FALSE)-50))</f>
        <v>-</v>
      </c>
      <c r="M396" s="3" t="s">
        <v>23</v>
      </c>
      <c r="N396" s="3" t="str">
        <f>IF(ISERROR(VLOOKUP($A396,'SegEnds_NonXtal_BW#'!$A:$Z,10,FALSE)+VLOOKUP($A396,A:AL,13,FALSE)-50),"-",(VLOOKUP($A396,'SegEnds_NonXtal_BW#'!$A:$Z,10,FALSE)+VLOOKUP($A396,A:AL,13,FALSE)-50))</f>
        <v>-</v>
      </c>
      <c r="O396" s="3">
        <f>VLOOKUP($A396,'SegEnds_NonXtal_BW#'!$A:$Z,11,FALSE)+VLOOKUP($A396,A:AL,16,FALSE)-50</f>
        <v>91</v>
      </c>
      <c r="P396" s="3">
        <v>119</v>
      </c>
      <c r="Q396" s="3">
        <f>VLOOKUP($A396,'SegEnds_NonXtal_BW#'!$A:$Z,12,FALSE)+VLOOKUP($A396,A:AL,16,FALSE)-50</f>
        <v>123</v>
      </c>
      <c r="R396" s="3" t="str">
        <f>IF(ISERROR(VLOOKUP($A396,'SegEnds_NonXtal_BW#'!$A:$Z,13,FALSE)+VLOOKUP($A396,A:AL,19,FALSE)-50),"-",VLOOKUP($A396,'SegEnds_NonXtal_BW#'!$A:$Z,13,FALSE)+VLOOKUP($A396,A:AL,19,FALSE)-50)</f>
        <v>-</v>
      </c>
      <c r="S396" s="3" t="s">
        <v>23</v>
      </c>
      <c r="T396" s="103" t="str">
        <f>IF(ISERROR(VLOOKUP($A396,'SegEnds_NonXtal_BW#'!$A:$Z,14,FALSE)+VLOOKUP($A396,A:AL,19,FALSE)-50),"-",(VLOOKUP($A396,'SegEnds_NonXtal_BW#'!$A:$Z,14,FALSE)+VLOOKUP($A396,A:AL,19,FALSE)-50))</f>
        <v>-</v>
      </c>
      <c r="U396" s="9">
        <f>IF(ISERROR(VLOOKUP($A396,'SegEnds_NonXtal_BW#'!$A:$Z,15,FALSE)+VLOOKUP($A396,A:AL,22,FALSE)-50),"-",VLOOKUP($A396,'SegEnds_NonXtal_BW#'!$A:$Z,15,FALSE)+VLOOKUP($A396,A:AL,22,FALSE)-50)</f>
        <v>130</v>
      </c>
      <c r="V396" s="3">
        <v>142</v>
      </c>
      <c r="W396" s="3">
        <f>IF(ISERROR(VLOOKUP($A396,'SegEnds_NonXtal_BW#'!$A:$Z,16,FALSE)+VLOOKUP($A396,A:AL,22,FALSE)-50),"-",(VLOOKUP($A396,'SegEnds_NonXtal_BW#'!$A:$Z,16,FALSE)+VLOOKUP($A396,A:AL,22,FALSE)-50))</f>
        <v>156</v>
      </c>
      <c r="X396" s="3" t="str">
        <f>IF(ISERROR(VLOOKUP($A396,'SegEnds_NonXtal_BW#'!$A:$Z,17,FALSE)+VLOOKUP($A396,A:AL,25,FALSE)-50),"-",(VLOOKUP($A396,'SegEnds_NonXtal_BW#'!$A:$Z,17,FALSE)+VLOOKUP($A396,A:AL,25,FALSE)-50))</f>
        <v>-</v>
      </c>
      <c r="Y396" s="3" t="s">
        <v>23</v>
      </c>
      <c r="Z396" s="3" t="str">
        <f>IF(ISERROR(VLOOKUP($A396,'SegEnds_NonXtal_BW#'!$A:$Z,18,FALSE)+VLOOKUP($A396,A:AL,25,FALSE)-50),"-",(VLOOKUP($A396,'SegEnds_NonXtal_BW#'!$A:$Z,18,FALSE)+VLOOKUP($A396,A:AL,25,FALSE)-50))</f>
        <v>-</v>
      </c>
      <c r="AA396" s="3">
        <f>IF(ISERROR(VLOOKUP($A396,'SegEnds_NonXtal_BW#'!$A:$Z,19,FALSE)+VLOOKUP($A396,A:AL,28,FALSE)-50),"-",(VLOOKUP($A396,'SegEnds_NonXtal_BW#'!$A:$Z,19,FALSE)+VLOOKUP($A396,A:AL,28,FALSE)-50))</f>
        <v>174</v>
      </c>
      <c r="AB396" s="3">
        <v>187</v>
      </c>
      <c r="AC396" s="3">
        <f>IF(ISERROR((VLOOKUP($A396,'SegEnds_NonXtal_BW#'!$A:$Z,20,FALSE)+VLOOKUP($A396,A:AL,28,FALSE)-50)),"-",(VLOOKUP($A396,'SegEnds_NonXtal_BW#'!$A:$Z,20,FALSE)+VLOOKUP($A396,A:AL,28,FALSE)-50))</f>
        <v>198</v>
      </c>
      <c r="AD396" s="3">
        <f>IF(ISERROR(VLOOKUP($A396,'SegEnds_NonXtal_BW#'!$A:$Z,21,FALSE)+VLOOKUP($A396,A:AL,31,FALSE)-50),"-",(VLOOKUP($A396,'SegEnds_NonXtal_BW#'!$A:$Z,21,FALSE)+VLOOKUP($A396,A:AL,31,FALSE)-50))</f>
        <v>209</v>
      </c>
      <c r="AE396" s="3">
        <v>226</v>
      </c>
      <c r="AF396" s="3">
        <f>IF(ISERROR((VLOOKUP($A396,'SegEnds_NonXtal_BW#'!$A:$Z,22,FALSE)+VLOOKUP($A396,A:AL,31,FALSE)-50)),"-",(VLOOKUP($A396,'SegEnds_NonXtal_BW#'!$A:$Z,22,FALSE)+VLOOKUP($A396,A:AL,31,FALSE)-50))</f>
        <v>233</v>
      </c>
      <c r="AG396" s="3">
        <f>IF(ISERROR(VLOOKUP($A396,'SegEnds_NonXtal_BW#'!$A:$Z,23,FALSE)+VLOOKUP($A396,A:AL,34,FALSE)-50),"-",(VLOOKUP($A396,'SegEnds_NonXtal_BW#'!$A:$Z,23,FALSE)+VLOOKUP($A396,A:AL,34,FALSE)-50))</f>
        <v>241</v>
      </c>
      <c r="AH396" s="3">
        <v>257</v>
      </c>
      <c r="AI396" s="3">
        <f>IF(ISERROR((VLOOKUP($A396,'SegEnds_NonXtal_BW#'!$A:$Z,24,FALSE)+VLOOKUP($A396,A:AL,34,FALSE)-50)),"-",(VLOOKUP($A396,'SegEnds_NonXtal_BW#'!$A:$Z,24,FALSE)+VLOOKUP($A396,A:AL,34,FALSE)-50))</f>
        <v>270</v>
      </c>
      <c r="AJ396" s="3">
        <v>273</v>
      </c>
      <c r="AK396" s="3">
        <v>276</v>
      </c>
      <c r="AL396" s="3">
        <v>285</v>
      </c>
      <c r="AM396" s="28" t="str">
        <f>VLOOKUP(A396,Classification!A:B,2,FALSE)</f>
        <v>C</v>
      </c>
      <c r="AN396" s="28" t="b">
        <f t="shared" si="232"/>
        <v>1</v>
      </c>
      <c r="AO396" s="3" t="str">
        <f>IF(ISERROR(MATCH(A396,'SegEnds_Xtal_Prot#'!B:B, 0)), "NoXtal", "Xtal")</f>
        <v>NoXtal</v>
      </c>
      <c r="AP396" s="3">
        <f t="shared" si="217"/>
        <v>1</v>
      </c>
      <c r="AQ396" s="3">
        <f t="shared" si="218"/>
        <v>1</v>
      </c>
      <c r="AR396" s="3" t="str">
        <f t="shared" si="219"/>
        <v>-</v>
      </c>
      <c r="AS396" s="3" t="str">
        <f t="shared" si="220"/>
        <v>-</v>
      </c>
      <c r="AT396" s="3" t="str">
        <f t="shared" si="221"/>
        <v>-</v>
      </c>
      <c r="AU396" s="3" t="str">
        <f t="shared" si="222"/>
        <v>-</v>
      </c>
      <c r="AV396" s="3" t="str">
        <f t="shared" si="223"/>
        <v>-</v>
      </c>
      <c r="AW396" s="3" t="str">
        <f t="shared" si="224"/>
        <v>-</v>
      </c>
      <c r="AX396" s="3">
        <f t="shared" si="225"/>
        <v>11</v>
      </c>
      <c r="AY396" s="3">
        <f t="shared" si="226"/>
        <v>8</v>
      </c>
      <c r="AZ396" s="3">
        <f t="shared" si="227"/>
        <v>3</v>
      </c>
      <c r="BA396" s="3">
        <f>IF(ISERROR(LEN(VLOOKUP(A396,Seqs!A:E,2,FALSE))-AL396),"-",LEN(VLOOKUP(A396,Seqs!A:E,2,FALSE))-AL396)</f>
        <v>72</v>
      </c>
      <c r="BB396" s="16">
        <f t="shared" si="228"/>
        <v>33</v>
      </c>
      <c r="BC396" s="9" t="str">
        <f t="shared" si="229"/>
        <v>-</v>
      </c>
      <c r="BD396" s="3">
        <f t="shared" si="230"/>
        <v>33</v>
      </c>
      <c r="BE396" s="3">
        <f t="shared" si="231"/>
        <v>39</v>
      </c>
    </row>
    <row r="397" spans="1:58" s="3" customFormat="1" x14ac:dyDescent="0.2">
      <c r="A397" s="3" t="s">
        <v>373</v>
      </c>
      <c r="B397" s="3" t="str">
        <f>LOWER(VLOOKUP(A397,Xtal_Templ!A:B,2,FALSE))</f>
        <v>agtr1_human</v>
      </c>
      <c r="C397" s="3">
        <f>VLOOKUP($A397,'SegEnds_NonXtal_BW#'!$A:$Z,3,FALSE)+D397-50</f>
        <v>79</v>
      </c>
      <c r="D397" s="3">
        <v>99</v>
      </c>
      <c r="E397" s="3">
        <f>IF(ISERROR(VLOOKUP($A397,'SegEnds_NonXtal_BW#'!$A:$Z,4,FALSE)+VLOOKUP($A397,A:AL,4,FALSE)-50),"-",(VLOOKUP($A397,'SegEnds_NonXtal_BW#'!$A:$Z,4,FALSE)+VLOOKUP($A397,A:AL,4,FALSE)-50))</f>
        <v>109</v>
      </c>
      <c r="F397" s="3">
        <f>G397-2</f>
        <v>110</v>
      </c>
      <c r="G397" s="3">
        <v>112</v>
      </c>
      <c r="H397" s="3">
        <f>G397+1</f>
        <v>113</v>
      </c>
      <c r="I397" s="3">
        <f t="shared" si="211"/>
        <v>114</v>
      </c>
      <c r="J397" s="3">
        <v>128</v>
      </c>
      <c r="K397" s="3">
        <f>VLOOKUP($A397,'SegEnds_NonXtal_BW#'!$A:$Z,8,FALSE)+VLOOKUP($A397,A:AL,10,FALSE)-50</f>
        <v>144</v>
      </c>
      <c r="L397" s="3">
        <f>M397-1</f>
        <v>147</v>
      </c>
      <c r="M397" s="3">
        <v>148</v>
      </c>
      <c r="N397" s="3">
        <f>M397+2</f>
        <v>150</v>
      </c>
      <c r="O397" s="3">
        <f>N397+1</f>
        <v>151</v>
      </c>
      <c r="P397" s="3">
        <v>180</v>
      </c>
      <c r="Q397" s="3">
        <f>VLOOKUP($A397,'SegEnds_NonXtal_BW#'!$A:$Z,12,FALSE)+VLOOKUP($A397,A:AL,16,FALSE)-50</f>
        <v>186</v>
      </c>
      <c r="R397" s="3" t="str">
        <f>IF(ISERROR(VLOOKUP($A397,'SegEnds_NonXtal_BW#'!$A:$Z,13,FALSE)+VLOOKUP($A397,A:AL,19,FALSE)-50),"-",VLOOKUP($A397,'SegEnds_NonXtal_BW#'!$A:$Z,13,FALSE)+VLOOKUP($A397,A:AL,19,FALSE)-50)</f>
        <v>-</v>
      </c>
      <c r="S397" s="3" t="s">
        <v>23</v>
      </c>
      <c r="T397" s="103" t="str">
        <f>IF(ISERROR(VLOOKUP($A397,'SegEnds_NonXtal_BW#'!$A:$Z,14,FALSE)+VLOOKUP($A397,A:AL,19,FALSE)-50),"-",(VLOOKUP($A397,'SegEnds_NonXtal_BW#'!$A:$Z,14,FALSE)+VLOOKUP($A397,A:AL,19,FALSE)-50))</f>
        <v>-</v>
      </c>
      <c r="U397" s="9">
        <f>IF(ISERROR(VLOOKUP($A397,'SegEnds_NonXtal_BW#'!$A:$Z,15,FALSE)+VLOOKUP($A397,A:AL,22,FALSE)-50),"-",VLOOKUP($A397,'SegEnds_NonXtal_BW#'!$A:$Z,15,FALSE)+VLOOKUP($A397,A:AL,22,FALSE)-50)</f>
        <v>210</v>
      </c>
      <c r="V397" s="3">
        <v>222</v>
      </c>
      <c r="W397" s="3">
        <f>IF(ISERROR(VLOOKUP($A397,'SegEnds_NonXtal_BW#'!$A:$Z,16,FALSE)+VLOOKUP($A397,A:AL,22,FALSE)-50),"-",(VLOOKUP($A397,'SegEnds_NonXtal_BW#'!$A:$Z,16,FALSE)+VLOOKUP($A397,A:AL,22,FALSE)-50))</f>
        <v>236</v>
      </c>
      <c r="X397" s="3">
        <f>IF(ISERROR(VLOOKUP($A397,'SegEnds_NonXtal_BW#'!$A:$Z,17,FALSE)+VLOOKUP($A397,A:AL,25,FALSE)-50),"-",(VLOOKUP($A397,'SegEnds_NonXtal_BW#'!$A:$Z,17,FALSE)+VLOOKUP($A397,A:AL,25,FALSE)-50))</f>
        <v>247</v>
      </c>
      <c r="Y397" s="3">
        <v>247</v>
      </c>
      <c r="Z397" s="3">
        <f>Y397+2</f>
        <v>249</v>
      </c>
      <c r="AA397" s="3">
        <f>IF(ISERROR(VLOOKUP($A397,'SegEnds_NonXtal_BW#'!$A:$Z,19,FALSE)+VLOOKUP($A397,A:AL,28,FALSE)-50),"-",(VLOOKUP($A397,'SegEnds_NonXtal_BW#'!$A:$Z,19,FALSE)+VLOOKUP($A397,A:AL,28,FALSE)-50))</f>
        <v>263</v>
      </c>
      <c r="AB397" s="3">
        <v>279</v>
      </c>
      <c r="AC397" s="3">
        <f>IF(ISERROR((VLOOKUP($A397,'SegEnds_NonXtal_BW#'!$A:$Z,20,FALSE)+VLOOKUP($A397,A:AL,28,FALSE)-50)),"-",(VLOOKUP($A397,'SegEnds_NonXtal_BW#'!$A:$Z,20,FALSE)+VLOOKUP($A397,A:AL,28,FALSE)-50))</f>
        <v>303</v>
      </c>
      <c r="AD397" s="3">
        <f>IF(ISERROR(VLOOKUP($A397,'SegEnds_NonXtal_BW#'!$A:$Z,21,FALSE)+VLOOKUP($A397,A:AL,31,FALSE)-50),"-",(VLOOKUP($A397,'SegEnds_NonXtal_BW#'!$A:$Z,21,FALSE)+VLOOKUP($A397,A:AL,31,FALSE)-50))</f>
        <v>312</v>
      </c>
      <c r="AE397" s="3">
        <v>341</v>
      </c>
      <c r="AF397" s="3">
        <f>IF(ISERROR((VLOOKUP($A397,'SegEnds_NonXtal_BW#'!$A:$Z,22,FALSE)+VLOOKUP($A397,A:AL,31,FALSE)-50)),"-",(VLOOKUP($A397,'SegEnds_NonXtal_BW#'!$A:$Z,22,FALSE)+VLOOKUP($A397,A:AL,31,FALSE)-50))</f>
        <v>355</v>
      </c>
      <c r="AG397" s="3">
        <f>IF(ISERROR(VLOOKUP($A397,'SegEnds_NonXtal_BW#'!$A:$Z,23,FALSE)+VLOOKUP($A397,A:AL,34,FALSE)-50),"-",(VLOOKUP($A397,'SegEnds_NonXtal_BW#'!$A:$Z,23,FALSE)+VLOOKUP($A397,A:AL,34,FALSE)-50))</f>
        <v>360</v>
      </c>
      <c r="AH397" s="3">
        <v>386</v>
      </c>
      <c r="AI397" s="3">
        <f>IF(ISERROR((VLOOKUP($A397,'SegEnds_NonXtal_BW#'!$A:$Z,24,FALSE)+VLOOKUP($A397,A:AL,34,FALSE)-50)),"-",(VLOOKUP($A397,'SegEnds_NonXtal_BW#'!$A:$Z,24,FALSE)+VLOOKUP($A397,A:AL,34,FALSE)-50))</f>
        <v>392</v>
      </c>
      <c r="AJ397" s="3">
        <f>IF(ISERROR(VLOOKUP($A397,'SegEnds_NonXtal_BW#'!$A:$Z,25,FALSE)+VLOOKUP($A397,A:AL,37,FALSE)-50),"-",(VLOOKUP($A397,'SegEnds_NonXtal_BW#'!$A:$Z,25,FALSE)+VLOOKUP($A397,A:AL,37,FALSE)-50))</f>
        <v>393</v>
      </c>
      <c r="AK397" s="3">
        <v>396</v>
      </c>
      <c r="AL397" s="3">
        <f>IF(ISERROR((VLOOKUP($A397,'SegEnds_NonXtal_BW#'!$A:$Z,26,FALSE)+VLOOKUP($A397,A:AL,37,FALSE)-50)),"-",(VLOOKUP($A397,'SegEnds_NonXtal_BW#'!$A:$Z,26,FALSE)+VLOOKUP($A397,A:AL,37,FALSE)-50))</f>
        <v>407</v>
      </c>
      <c r="AM397" s="28" t="str">
        <f>VLOOKUP(A397,Classification!A:B,2,FALSE)</f>
        <v>A</v>
      </c>
      <c r="AN397" s="28" t="b">
        <f t="shared" si="232"/>
        <v>1</v>
      </c>
      <c r="AO397" s="3" t="str">
        <f>IF(ISERROR(MATCH(A397,'SegEnds_Xtal_Prot#'!B:B, 0)), "NoXtal", "Xtal")</f>
        <v>NoXtal</v>
      </c>
      <c r="AP397" s="3">
        <f t="shared" si="217"/>
        <v>1</v>
      </c>
      <c r="AQ397" s="3">
        <f t="shared" si="218"/>
        <v>1</v>
      </c>
      <c r="AR397" s="3">
        <f t="shared" si="219"/>
        <v>3</v>
      </c>
      <c r="AS397" s="3">
        <f t="shared" si="220"/>
        <v>1</v>
      </c>
      <c r="AT397" s="3" t="str">
        <f t="shared" si="221"/>
        <v>-</v>
      </c>
      <c r="AU397" s="3" t="str">
        <f t="shared" si="222"/>
        <v>-</v>
      </c>
      <c r="AV397" s="3">
        <f t="shared" si="223"/>
        <v>11</v>
      </c>
      <c r="AW397" s="3">
        <f t="shared" si="224"/>
        <v>14</v>
      </c>
      <c r="AX397" s="3">
        <f t="shared" si="225"/>
        <v>9</v>
      </c>
      <c r="AY397" s="3">
        <f t="shared" si="226"/>
        <v>5</v>
      </c>
      <c r="AZ397" s="3">
        <f t="shared" si="227"/>
        <v>1</v>
      </c>
      <c r="BA397" s="3">
        <f>IF(ISERROR(LEN(VLOOKUP(A397,Seqs!A:E,2,FALSE))-AL397),"-",LEN(VLOOKUP(A397,Seqs!A:E,2,FALSE))-AL397)</f>
        <v>62</v>
      </c>
      <c r="BB397" s="16">
        <f t="shared" si="228"/>
        <v>29</v>
      </c>
      <c r="BC397" s="9" t="str">
        <f t="shared" si="229"/>
        <v>-</v>
      </c>
      <c r="BD397" s="3">
        <f t="shared" si="230"/>
        <v>29</v>
      </c>
      <c r="BE397" s="3">
        <f t="shared" si="231"/>
        <v>62</v>
      </c>
    </row>
    <row r="398" spans="1:58" s="3" customFormat="1" x14ac:dyDescent="0.2">
      <c r="A398" s="3" t="s">
        <v>411</v>
      </c>
      <c r="B398" s="3" t="str">
        <f>LOWER(VLOOKUP(A398,Xtal_Templ!A:B,2,FALSE))</f>
        <v>glp1r_human</v>
      </c>
      <c r="C398" s="3">
        <f>VLOOKUP($A398,'SegEnds_NonXtal_BW#'!$A:$Z,3,FALSE)+D398-50</f>
        <v>136</v>
      </c>
      <c r="D398" s="3">
        <v>157</v>
      </c>
      <c r="E398" s="3">
        <f>IF(ISERROR(VLOOKUP($A398,'SegEnds_NonXtal_BW#'!$A:$Z,4,FALSE)+VLOOKUP($A398,A:AL,4,FALSE)-50),"-",(VLOOKUP($A398,'SegEnds_NonXtal_BW#'!$A:$Z,4,FALSE)+VLOOKUP($A398,A:AL,4,FALSE)-50))</f>
        <v>167</v>
      </c>
      <c r="F398" s="3">
        <f>G398-2</f>
        <v>168</v>
      </c>
      <c r="G398" s="3">
        <v>170</v>
      </c>
      <c r="H398" s="3">
        <f>G398+1</f>
        <v>171</v>
      </c>
      <c r="I398" s="3">
        <f t="shared" si="211"/>
        <v>172</v>
      </c>
      <c r="J398" s="3">
        <v>185</v>
      </c>
      <c r="K398" s="3">
        <f>VLOOKUP($A398,'SegEnds_NonXtal_BW#'!$A:$Z,8,FALSE)+VLOOKUP($A398,A:AL,10,FALSE)-50</f>
        <v>199</v>
      </c>
      <c r="L398" s="3" t="str">
        <f>IF(ISERROR(VLOOKUP($A398,'SegEnds_NonXtal_BW#'!$A:$Z,9,FALSE)+VLOOKUP($A398,A:AL,13,FALSE)-50),"-",(VLOOKUP($A398,'SegEnds_NonXtal_BW#'!$A:$Z,9,FALSE)+VLOOKUP($A398,A:AL,13,FALSE)-50))</f>
        <v>-</v>
      </c>
      <c r="M398" s="3" t="s">
        <v>23</v>
      </c>
      <c r="N398" s="3" t="str">
        <f>IF(ISERROR(VLOOKUP($A398,'SegEnds_NonXtal_BW#'!$A:$Z,10,FALSE)+VLOOKUP($A398,A:AL,13,FALSE)-50),"-",(VLOOKUP($A398,'SegEnds_NonXtal_BW#'!$A:$Z,10,FALSE)+VLOOKUP($A398,A:AL,13,FALSE)-50))</f>
        <v>-</v>
      </c>
      <c r="O398" s="3">
        <f>VLOOKUP($A398,'SegEnds_NonXtal_BW#'!$A:$Z,11,FALSE)+VLOOKUP($A398,A:AL,16,FALSE)-50</f>
        <v>211</v>
      </c>
      <c r="P398" s="3">
        <v>240</v>
      </c>
      <c r="Q398" s="3">
        <f>VLOOKUP($A398,'SegEnds_NonXtal_BW#'!$A:$Z,12,FALSE)+VLOOKUP($A398,A:AL,16,FALSE)-50</f>
        <v>246</v>
      </c>
      <c r="R398" s="3" t="str">
        <f>IF(ISERROR(VLOOKUP($A398,'SegEnds_NonXtal_BW#'!$A:$Z,13,FALSE)+VLOOKUP($A398,A:AL,19,FALSE)-50),"-",VLOOKUP($A398,'SegEnds_NonXtal_BW#'!$A:$Z,13,FALSE)+VLOOKUP($A398,A:AL,19,FALSE)-50)</f>
        <v>-</v>
      </c>
      <c r="S398" s="3" t="s">
        <v>23</v>
      </c>
      <c r="T398" s="103" t="str">
        <f>IF(ISERROR(VLOOKUP($A398,'SegEnds_NonXtal_BW#'!$A:$Z,14,FALSE)+VLOOKUP($A398,A:AL,19,FALSE)-50),"-",(VLOOKUP($A398,'SegEnds_NonXtal_BW#'!$A:$Z,14,FALSE)+VLOOKUP($A398,A:AL,19,FALSE)-50))</f>
        <v>-</v>
      </c>
      <c r="U398" s="9">
        <f>IF(ISERROR(VLOOKUP($A398,'SegEnds_NonXtal_BW#'!$A:$Z,15,FALSE)+VLOOKUP($A398,A:AL,22,FALSE)-50),"-",VLOOKUP($A398,'SegEnds_NonXtal_BW#'!$A:$Z,15,FALSE)+VLOOKUP($A398,A:AL,22,FALSE)-50)</f>
        <v>251</v>
      </c>
      <c r="V398" s="3">
        <v>263</v>
      </c>
      <c r="W398" s="3">
        <f>IF(ISERROR(VLOOKUP($A398,'SegEnds_NonXtal_BW#'!$A:$Z,16,FALSE)+VLOOKUP($A398,A:AL,22,FALSE)-50),"-",(VLOOKUP($A398,'SegEnds_NonXtal_BW#'!$A:$Z,16,FALSE)+VLOOKUP($A398,A:AL,22,FALSE)-50))</f>
        <v>281</v>
      </c>
      <c r="X398" s="3">
        <f>IF(ISERROR(VLOOKUP($A398,'SegEnds_NonXtal_BW#'!$A:$Z,17,FALSE)+VLOOKUP($A398,A:AL,25,FALSE)-50),"-",(VLOOKUP($A398,'SegEnds_NonXtal_BW#'!$A:$Z,17,FALSE)+VLOOKUP($A398,A:AL,25,FALSE)-50))</f>
        <v>285</v>
      </c>
      <c r="Y398" s="3">
        <v>285</v>
      </c>
      <c r="Z398" s="3">
        <f>Y398+2</f>
        <v>287</v>
      </c>
      <c r="AA398" s="3">
        <f>IF(ISERROR(VLOOKUP($A398,'SegEnds_NonXtal_BW#'!$A:$Z,19,FALSE)+VLOOKUP($A398,A:AL,28,FALSE)-50),"-",(VLOOKUP($A398,'SegEnds_NonXtal_BW#'!$A:$Z,19,FALSE)+VLOOKUP($A398,A:AL,28,FALSE)-50))</f>
        <v>294</v>
      </c>
      <c r="AB398" s="3">
        <v>305</v>
      </c>
      <c r="AC398" s="3">
        <f>IF(ISERROR((VLOOKUP($A398,'SegEnds_NonXtal_BW#'!$A:$Z,20,FALSE)+VLOOKUP($A398,A:AL,28,FALSE)-50)),"-",(VLOOKUP($A398,'SegEnds_NonXtal_BW#'!$A:$Z,20,FALSE)+VLOOKUP($A398,A:AL,28,FALSE)-50))</f>
        <v>324</v>
      </c>
      <c r="AD398" s="3">
        <f>IF(ISERROR(VLOOKUP($A398,'SegEnds_NonXtal_BW#'!$A:$Z,21,FALSE)+VLOOKUP($A398,A:AL,31,FALSE)-50),"-",(VLOOKUP($A398,'SegEnds_NonXtal_BW#'!$A:$Z,21,FALSE)+VLOOKUP($A398,A:AL,31,FALSE)-50))</f>
        <v>332</v>
      </c>
      <c r="AE398" s="3">
        <v>357</v>
      </c>
      <c r="AF398" s="3">
        <f>IF(ISERROR((VLOOKUP($A398,'SegEnds_NonXtal_BW#'!$A:$Z,22,FALSE)+VLOOKUP($A398,A:AL,31,FALSE)-50)),"-",(VLOOKUP($A398,'SegEnds_NonXtal_BW#'!$A:$Z,22,FALSE)+VLOOKUP($A398,A:AL,31,FALSE)-50))</f>
        <v>365</v>
      </c>
      <c r="AG398" s="3">
        <f>IF(ISERROR(VLOOKUP($A398,'SegEnds_NonXtal_BW#'!$A:$Z,23,FALSE)+VLOOKUP($A398,A:AL,34,FALSE)-50),"-",(VLOOKUP($A398,'SegEnds_NonXtal_BW#'!$A:$Z,23,FALSE)+VLOOKUP($A398,A:AL,34,FALSE)-50))</f>
        <v>366</v>
      </c>
      <c r="AH398" s="3">
        <v>385</v>
      </c>
      <c r="AI398" s="3">
        <f>IF(ISERROR((VLOOKUP($A398,'SegEnds_NonXtal_BW#'!$A:$Z,24,FALSE)+VLOOKUP($A398,A:AL,34,FALSE)-50)),"-",(VLOOKUP($A398,'SegEnds_NonXtal_BW#'!$A:$Z,24,FALSE)+VLOOKUP($A398,A:AL,34,FALSE)-50))</f>
        <v>391</v>
      </c>
      <c r="AJ398" s="3">
        <f>IF(ISERROR(VLOOKUP($A398,'SegEnds_NonXtal_BW#'!$A:$Z,25,FALSE)+VLOOKUP($A398,A:AL,37,FALSE)-50),"-",(VLOOKUP($A398,'SegEnds_NonXtal_BW#'!$A:$Z,25,FALSE)+VLOOKUP($A398,A:AL,37,FALSE)-50))</f>
        <v>392</v>
      </c>
      <c r="AK398" s="3">
        <v>395</v>
      </c>
      <c r="AL398" s="3">
        <f>IF(ISERROR((VLOOKUP($A398,'SegEnds_NonXtal_BW#'!$A:$Z,26,FALSE)+VLOOKUP($A398,A:AL,37,FALSE)-50)),"-",(VLOOKUP($A398,'SegEnds_NonXtal_BW#'!$A:$Z,26,FALSE)+VLOOKUP($A398,A:AL,37,FALSE)-50))</f>
        <v>417</v>
      </c>
      <c r="AM398" s="28" t="str">
        <f>VLOOKUP(A398,Classification!A:B,2,FALSE)</f>
        <v>B1</v>
      </c>
      <c r="AN398" s="28" t="b">
        <f t="shared" si="232"/>
        <v>1</v>
      </c>
      <c r="AO398" s="3" t="str">
        <f>IF(ISERROR(MATCH(A398,'SegEnds_Xtal_Prot#'!B:B, 0)), "NoXtal", "Xtal")</f>
        <v>NoXtal</v>
      </c>
      <c r="AP398" s="3">
        <f t="shared" si="217"/>
        <v>1</v>
      </c>
      <c r="AQ398" s="3">
        <f t="shared" si="218"/>
        <v>1</v>
      </c>
      <c r="AR398" s="3" t="str">
        <f t="shared" si="219"/>
        <v>-</v>
      </c>
      <c r="AS398" s="3" t="str">
        <f t="shared" si="220"/>
        <v>-</v>
      </c>
      <c r="AT398" s="3" t="str">
        <f t="shared" si="221"/>
        <v>-</v>
      </c>
      <c r="AU398" s="3" t="str">
        <f t="shared" si="222"/>
        <v>-</v>
      </c>
      <c r="AV398" s="3">
        <f t="shared" si="223"/>
        <v>4</v>
      </c>
      <c r="AW398" s="3">
        <f t="shared" si="224"/>
        <v>7</v>
      </c>
      <c r="AX398" s="3">
        <f t="shared" si="225"/>
        <v>8</v>
      </c>
      <c r="AY398" s="3">
        <f t="shared" si="226"/>
        <v>1</v>
      </c>
      <c r="AZ398" s="3">
        <f t="shared" si="227"/>
        <v>1</v>
      </c>
      <c r="BA398" s="3">
        <f>IF(ISERROR(LEN(VLOOKUP(A398,Seqs!A:E,2,FALSE))-AL398),"-",LEN(VLOOKUP(A398,Seqs!A:E,2,FALSE))-AL398)</f>
        <v>23</v>
      </c>
      <c r="BB398" s="16">
        <f t="shared" si="228"/>
        <v>28</v>
      </c>
      <c r="BC398" s="9" t="str">
        <f t="shared" si="229"/>
        <v>-</v>
      </c>
      <c r="BD398" s="3">
        <f t="shared" si="230"/>
        <v>28</v>
      </c>
      <c r="BE398" s="3">
        <f t="shared" si="231"/>
        <v>52</v>
      </c>
      <c r="BF398" s="3">
        <f>AH398-AE398</f>
        <v>28</v>
      </c>
    </row>
    <row r="399" spans="1:58" s="3" customFormat="1" x14ac:dyDescent="0.2">
      <c r="A399" s="3" t="s">
        <v>33</v>
      </c>
      <c r="B399" s="3" t="str">
        <f>LOWER(VLOOKUP(A399,Xtal_Templ!A:B,2,FALSE))</f>
        <v>smo_human</v>
      </c>
      <c r="C399" s="3">
        <f>VLOOKUP($A399,'SegEnds_NonXtal_BW#'!$A:$Z,3,FALSE)+D399-50</f>
        <v>224</v>
      </c>
      <c r="D399" s="3">
        <v>245</v>
      </c>
      <c r="E399" s="3">
        <f>IF(ISERROR(VLOOKUP($A399,'SegEnds_NonXtal_BW#'!$A:$Z,4,FALSE)+VLOOKUP($A399,A:AL,4,FALSE)-50),"-",(VLOOKUP($A399,'SegEnds_NonXtal_BW#'!$A:$Z,4,FALSE)+VLOOKUP($A399,A:AL,4,FALSE)-50))</f>
        <v>255</v>
      </c>
      <c r="F399" s="3">
        <f>G399-3</f>
        <v>256</v>
      </c>
      <c r="G399" s="3">
        <v>259</v>
      </c>
      <c r="H399" s="3">
        <f>G399+1</f>
        <v>260</v>
      </c>
      <c r="I399" s="3">
        <f t="shared" si="211"/>
        <v>261</v>
      </c>
      <c r="J399" s="3">
        <v>272</v>
      </c>
      <c r="K399" s="3">
        <f>VLOOKUP($A399,'SegEnds_NonXtal_BW#'!$A:$Z,8,FALSE)+VLOOKUP($A399,A:AL,10,FALSE)-50</f>
        <v>285</v>
      </c>
      <c r="L399" s="3" t="str">
        <f>IF(ISERROR(VLOOKUP($A399,'SegEnds_NonXtal_BW#'!$A:$Z,9,FALSE)+VLOOKUP($A399,A:AL,13,FALSE)-50),"-",(VLOOKUP($A399,'SegEnds_NonXtal_BW#'!$A:$Z,9,FALSE)+VLOOKUP($A399,A:AL,13,FALSE)-50))</f>
        <v>-</v>
      </c>
      <c r="M399" s="3" t="s">
        <v>23</v>
      </c>
      <c r="N399" s="3" t="str">
        <f>IF(ISERROR(VLOOKUP($A399,'SegEnds_NonXtal_BW#'!$A:$Z,10,FALSE)+VLOOKUP($A399,A:AL,13,FALSE)-50),"-",(VLOOKUP($A399,'SegEnds_NonXtal_BW#'!$A:$Z,10,FALSE)+VLOOKUP($A399,A:AL,13,FALSE)-50))</f>
        <v>-</v>
      </c>
      <c r="O399" s="3">
        <f>VLOOKUP($A399,'SegEnds_NonXtal_BW#'!$A:$Z,11,FALSE)+VLOOKUP($A399,A:AL,16,FALSE)-50</f>
        <v>312</v>
      </c>
      <c r="P399" s="3">
        <v>339</v>
      </c>
      <c r="Q399" s="3">
        <f>VLOOKUP($A399,'SegEnds_NonXtal_BW#'!$A:$Z,12,FALSE)+VLOOKUP($A399,A:AL,16,FALSE)-50</f>
        <v>348</v>
      </c>
      <c r="R399" s="3" t="str">
        <f>IF(ISERROR(VLOOKUP($A399,'SegEnds_NonXtal_BW#'!$A:$Z,13,FALSE)+VLOOKUP($A399,A:AL,19,FALSE)-50),"-",VLOOKUP($A399,'SegEnds_NonXtal_BW#'!$A:$Z,13,FALSE)+VLOOKUP($A399,A:AL,19,FALSE)-50)</f>
        <v>-</v>
      </c>
      <c r="S399" s="3" t="s">
        <v>23</v>
      </c>
      <c r="T399" s="103" t="str">
        <f>IF(ISERROR(VLOOKUP($A399,'SegEnds_NonXtal_BW#'!$A:$Z,14,FALSE)+VLOOKUP($A399,A:AL,19,FALSE)-50),"-",(VLOOKUP($A399,'SegEnds_NonXtal_BW#'!$A:$Z,14,FALSE)+VLOOKUP($A399,A:AL,19,FALSE)-50))</f>
        <v>-</v>
      </c>
      <c r="U399" s="9">
        <f>IF(ISERROR(VLOOKUP($A399,'SegEnds_NonXtal_BW#'!$A:$Z,15,FALSE)+VLOOKUP($A399,A:AL,22,FALSE)-50),"-",VLOOKUP($A399,'SegEnds_NonXtal_BW#'!$A:$Z,15,FALSE)+VLOOKUP($A399,A:AL,22,FALSE)-50)</f>
        <v>353</v>
      </c>
      <c r="V399" s="3">
        <v>365</v>
      </c>
      <c r="W399" s="3">
        <f>IF(ISERROR(VLOOKUP($A399,'SegEnds_NonXtal_BW#'!$A:$Z,16,FALSE)+VLOOKUP($A399,A:AL,22,FALSE)-50),"-",(VLOOKUP($A399,'SegEnds_NonXtal_BW#'!$A:$Z,16,FALSE)+VLOOKUP($A399,A:AL,22,FALSE)-50))</f>
        <v>378</v>
      </c>
      <c r="X399" s="3">
        <f>IF(ISERROR(VLOOKUP($A399,'SegEnds_NonXtal_BW#'!$A:$Z,17,FALSE)+VLOOKUP($A399,A:AL,25,FALSE)-50),"-",(VLOOKUP($A399,'SegEnds_NonXtal_BW#'!$A:$Z,17,FALSE)+VLOOKUP($A399,A:AL,25,FALSE)-50))</f>
        <v>390</v>
      </c>
      <c r="Y399" s="3">
        <v>390</v>
      </c>
      <c r="Z399" s="3">
        <f>Y399+2</f>
        <v>392</v>
      </c>
      <c r="AA399" s="3">
        <f>IF(ISERROR(VLOOKUP($A399,'SegEnds_NonXtal_BW#'!$A:$Z,19,FALSE)+VLOOKUP($A399,A:AL,28,FALSE)-50),"-",(VLOOKUP($A399,'SegEnds_NonXtal_BW#'!$A:$Z,19,FALSE)+VLOOKUP($A399,A:AL,28,FALSE)-50))</f>
        <v>397</v>
      </c>
      <c r="AB399" s="3">
        <v>411</v>
      </c>
      <c r="AC399" s="3">
        <f>IF(ISERROR((VLOOKUP($A399,'SegEnds_NonXtal_BW#'!$A:$Z,20,FALSE)+VLOOKUP($A399,A:AL,28,FALSE)-50)),"-",(VLOOKUP($A399,'SegEnds_NonXtal_BW#'!$A:$Z,20,FALSE)+VLOOKUP($A399,A:AL,28,FALSE)-50))</f>
        <v>433</v>
      </c>
      <c r="AD399" s="3">
        <f>IF(ISERROR(VLOOKUP($A399,'SegEnds_NonXtal_BW#'!$A:$Z,21,FALSE)+VLOOKUP($A399,A:AL,31,FALSE)-50),"-",(VLOOKUP($A399,'SegEnds_NonXtal_BW#'!$A:$Z,21,FALSE)+VLOOKUP($A399,A:AL,31,FALSE)-50))</f>
        <v>442</v>
      </c>
      <c r="AE399" s="3">
        <v>468</v>
      </c>
      <c r="AF399" s="3">
        <f>IF(ISERROR((VLOOKUP($A399,'SegEnds_NonXtal_BW#'!$A:$Z,22,FALSE)+VLOOKUP($A399,A:AL,31,FALSE)-50)),"-",(VLOOKUP($A399,'SegEnds_NonXtal_BW#'!$A:$Z,22,FALSE)+VLOOKUP($A399,A:AL,31,FALSE)-50))</f>
        <v>496</v>
      </c>
      <c r="AG399" s="3">
        <f>IF(ISERROR(VLOOKUP($A399,'SegEnds_NonXtal_BW#'!$A:$Z,23,FALSE)+VLOOKUP($A399,A:AL,34,FALSE)-50),"-",(VLOOKUP($A399,'SegEnds_NonXtal_BW#'!$A:$Z,23,FALSE)+VLOOKUP($A399,A:AL,34,FALSE)-50))</f>
        <v>515</v>
      </c>
      <c r="AH399" s="3">
        <v>530</v>
      </c>
      <c r="AI399" s="3">
        <f>IF(ISERROR((VLOOKUP($A399,'SegEnds_NonXtal_BW#'!$A:$Z,24,FALSE)+VLOOKUP($A399,A:AL,34,FALSE)-50)),"-",(VLOOKUP($A399,'SegEnds_NonXtal_BW#'!$A:$Z,24,FALSE)+VLOOKUP($A399,A:AL,34,FALSE)-50))</f>
        <v>537</v>
      </c>
      <c r="AJ399" s="3">
        <f>IF(ISERROR(VLOOKUP($A399,'SegEnds_NonXtal_BW#'!$A:$Z,25,FALSE)+VLOOKUP($A399,A:AL,37,FALSE)-50),"-",(VLOOKUP($A399,'SegEnds_NonXtal_BW#'!$A:$Z,25,FALSE)+VLOOKUP($A399,A:AL,37,FALSE)-50))</f>
        <v>538</v>
      </c>
      <c r="AK399" s="3">
        <v>541</v>
      </c>
      <c r="AL399" s="3">
        <f>IF(ISERROR((VLOOKUP($A399,'SegEnds_NonXtal_BW#'!$A:$Z,26,FALSE)+VLOOKUP($A399,A:AL,37,FALSE)-50)),"-",(VLOOKUP($A399,'SegEnds_NonXtal_BW#'!$A:$Z,26,FALSE)+VLOOKUP($A399,A:AL,37,FALSE)-50))</f>
        <v>553</v>
      </c>
      <c r="AM399" s="28" t="str">
        <f>VLOOKUP(A399,Classification!A:B,2,FALSE)</f>
        <v>F</v>
      </c>
      <c r="AN399" s="28" t="b">
        <f t="shared" si="232"/>
        <v>1</v>
      </c>
      <c r="AO399" s="3" t="str">
        <f>IF(ISERROR(MATCH(A399,'SegEnds_Xtal_Prot#'!B:B, 0)), "NoXtal", "Xtal")</f>
        <v>Xtal</v>
      </c>
      <c r="AP399" s="3">
        <f t="shared" si="217"/>
        <v>1</v>
      </c>
      <c r="AQ399" s="3">
        <f t="shared" si="218"/>
        <v>1</v>
      </c>
      <c r="AR399" s="3" t="str">
        <f t="shared" si="219"/>
        <v>-</v>
      </c>
      <c r="AS399" s="3" t="str">
        <f t="shared" si="220"/>
        <v>-</v>
      </c>
      <c r="AT399" s="3" t="str">
        <f t="shared" si="221"/>
        <v>-</v>
      </c>
      <c r="AU399" s="3" t="str">
        <f t="shared" si="222"/>
        <v>-</v>
      </c>
      <c r="AV399" s="3">
        <f t="shared" si="223"/>
        <v>12</v>
      </c>
      <c r="AW399" s="3">
        <f t="shared" si="224"/>
        <v>5</v>
      </c>
      <c r="AX399" s="3">
        <f t="shared" si="225"/>
        <v>9</v>
      </c>
      <c r="AY399" s="3">
        <f t="shared" si="226"/>
        <v>19</v>
      </c>
      <c r="AZ399" s="3">
        <f t="shared" si="227"/>
        <v>1</v>
      </c>
      <c r="BA399" s="3">
        <f>IF(ISERROR(LEN(VLOOKUP(A399,Seqs!A:E,2,FALSE))-AL399),"-",LEN(VLOOKUP(A399,Seqs!A:E,2,FALSE))-AL399)</f>
        <v>234</v>
      </c>
      <c r="BB399" s="16">
        <f t="shared" si="228"/>
        <v>27</v>
      </c>
      <c r="BC399" s="9" t="str">
        <f t="shared" si="229"/>
        <v>-</v>
      </c>
      <c r="BD399" s="3">
        <f t="shared" si="230"/>
        <v>27</v>
      </c>
      <c r="BE399" s="3">
        <f t="shared" si="231"/>
        <v>57</v>
      </c>
    </row>
    <row r="400" spans="1:58" s="3" customFormat="1" x14ac:dyDescent="0.2">
      <c r="A400" s="3" t="s">
        <v>484</v>
      </c>
      <c r="B400" s="3" t="str">
        <f>LOWER(VLOOKUP(A400,Xtal_Templ!A:B,2,FALSE))</f>
        <v>oprk_human</v>
      </c>
      <c r="C400" s="3">
        <v>27</v>
      </c>
      <c r="D400" s="3">
        <v>64</v>
      </c>
      <c r="E400" s="3">
        <f>IF(ISERROR(VLOOKUP($A400,'SegEnds_NonXtal_BW#'!$A:$Z,4,FALSE)+VLOOKUP($A400,A:AL,4,FALSE)-50),"-",(VLOOKUP($A400,'SegEnds_NonXtal_BW#'!$A:$Z,4,FALSE)+VLOOKUP($A400,A:AL,4,FALSE)-50))</f>
        <v>74</v>
      </c>
      <c r="F400" s="3" t="str">
        <f>IF(ISERROR(VLOOKUP($A400,'SegEnds_NonXtal_BW#'!$A:$Z,5,FALSE)+VLOOKUP($A400,A:AL,7,FALSE)-50),"-",(VLOOKUP($A400,'SegEnds_NonXtal_BW#'!$A:$Z,5,FALSE)+VLOOKUP($A400,A:AL,7,FALSE)-50))</f>
        <v>-</v>
      </c>
      <c r="G400" s="3" t="s">
        <v>23</v>
      </c>
      <c r="H400" s="3" t="str">
        <f>IF(ISERROR(VLOOKUP($A400,'SegEnds_NonXtal_BW#'!$A:$Z,6,FALSE)+VLOOKUP($A400,A:AL,7,FALSE)-50),"-",(VLOOKUP($A400,'SegEnds_NonXtal_BW#'!$A:$Z,6,FALSE)+VLOOKUP($A400,A:AL,7,FALSE)-50))</f>
        <v>-</v>
      </c>
      <c r="I400" s="3">
        <f>VLOOKUP($A400,'SegEnds_NonXtal_BW#'!$A:$Z,7,FALSE)+J400-50</f>
        <v>85</v>
      </c>
      <c r="J400" s="3">
        <v>96</v>
      </c>
      <c r="K400" s="3">
        <f>VLOOKUP($A400,'SegEnds_NonXtal_BW#'!$A:$Z,8,FALSE)+VLOOKUP($A400,A:AL,10,FALSE)-50</f>
        <v>109</v>
      </c>
      <c r="L400" s="3" t="str">
        <f>IF(ISERROR(VLOOKUP($A400,'SegEnds_NonXtal_BW#'!$A:$Z,9,FALSE)+VLOOKUP($A400,A:AL,13,FALSE)-50),"-",(VLOOKUP($A400,'SegEnds_NonXtal_BW#'!$A:$Z,9,FALSE)+VLOOKUP($A400,A:AL,13,FALSE)-50))</f>
        <v>-</v>
      </c>
      <c r="M400" s="3" t="s">
        <v>23</v>
      </c>
      <c r="N400" s="3" t="str">
        <f>IF(ISERROR(VLOOKUP($A400,'SegEnds_NonXtal_BW#'!$A:$Z,10,FALSE)+VLOOKUP($A400,A:AL,13,FALSE)-50),"-",(VLOOKUP($A400,'SegEnds_NonXtal_BW#'!$A:$Z,10,FALSE)+VLOOKUP($A400,A:AL,13,FALSE)-50))</f>
        <v>-</v>
      </c>
      <c r="O400" s="3">
        <f>VLOOKUP($A400,'SegEnds_NonXtal_BW#'!$A:$Z,11,FALSE)+VLOOKUP($A400,A:AL,16,FALSE)-50</f>
        <v>114</v>
      </c>
      <c r="P400" s="3">
        <v>141</v>
      </c>
      <c r="Q400" s="3">
        <f>VLOOKUP($A400,'SegEnds_NonXtal_BW#'!$A:$Z,12,FALSE)+VLOOKUP($A400,A:AL,16,FALSE)-50</f>
        <v>147</v>
      </c>
      <c r="R400" s="3" t="str">
        <f>IF(ISERROR(VLOOKUP($A400,'SegEnds_NonXtal_BW#'!$A:$Z,13,FALSE)+VLOOKUP($A400,A:AL,19,FALSE)-50),"-",VLOOKUP($A400,'SegEnds_NonXtal_BW#'!$A:$Z,13,FALSE)+VLOOKUP($A400,A:AL,19,FALSE)-50)</f>
        <v>-</v>
      </c>
      <c r="S400" s="3" t="s">
        <v>23</v>
      </c>
      <c r="T400" s="103" t="str">
        <f>IF(ISERROR(VLOOKUP($A400,'SegEnds_NonXtal_BW#'!$A:$Z,14,FALSE)+VLOOKUP($A400,A:AL,19,FALSE)-50),"-",(VLOOKUP($A400,'SegEnds_NonXtal_BW#'!$A:$Z,14,FALSE)+VLOOKUP($A400,A:AL,19,FALSE)-50))</f>
        <v>-</v>
      </c>
      <c r="U400" s="9">
        <f>IF(ISERROR(VLOOKUP($A400,'SegEnds_NonXtal_BW#'!$A:$Z,15,FALSE)+VLOOKUP($A400,A:AL,22,FALSE)-50),"-",VLOOKUP($A400,'SegEnds_NonXtal_BW#'!$A:$Z,15,FALSE)+VLOOKUP($A400,A:AL,22,FALSE)-50)</f>
        <v>162</v>
      </c>
      <c r="V400" s="3">
        <v>172</v>
      </c>
      <c r="W400" s="3">
        <f>IF(ISERROR(VLOOKUP($A400,'SegEnds_NonXtal_BW#'!$A:$Z,16,FALSE)+VLOOKUP($A400,A:AL,22,FALSE)-50),"-",(VLOOKUP($A400,'SegEnds_NonXtal_BW#'!$A:$Z,16,FALSE)+VLOOKUP($A400,A:AL,22,FALSE)-50))</f>
        <v>183</v>
      </c>
      <c r="X400" s="3" t="str">
        <f>IF(ISERROR(VLOOKUP($A400,'SegEnds_NonXtal_BW#'!$A:$Z,17,FALSE)+VLOOKUP($A400,A:AL,25,FALSE)-50),"-",(VLOOKUP($A400,'SegEnds_NonXtal_BW#'!$A:$Z,17,FALSE)+VLOOKUP($A400,A:AL,25,FALSE)-50))</f>
        <v>-</v>
      </c>
      <c r="Y400" s="3" t="s">
        <v>23</v>
      </c>
      <c r="Z400" s="3" t="str">
        <f>IF(ISERROR(VLOOKUP($A400,'SegEnds_NonXtal_BW#'!$A:$Z,18,FALSE)+VLOOKUP($A400,A:AL,25,FALSE)-50),"-",(VLOOKUP($A400,'SegEnds_NonXtal_BW#'!$A:$Z,18,FALSE)+VLOOKUP($A400,A:AL,25,FALSE)-50))</f>
        <v>-</v>
      </c>
      <c r="AA400" s="3">
        <f>IF(ISERROR(VLOOKUP($A400,'SegEnds_NonXtal_BW#'!$A:$Z,19,FALSE)+VLOOKUP($A400,A:AL,28,FALSE)-50),"-",(VLOOKUP($A400,'SegEnds_NonXtal_BW#'!$A:$Z,19,FALSE)+VLOOKUP($A400,A:AL,28,FALSE)-50))</f>
        <v>187</v>
      </c>
      <c r="AB400" s="3">
        <v>197</v>
      </c>
      <c r="AC400" s="3">
        <f>IF(ISERROR((VLOOKUP($A400,'SegEnds_NonXtal_BW#'!$A:$Z,20,FALSE)+VLOOKUP($A400,A:AL,28,FALSE)-50)),"-",(VLOOKUP($A400,'SegEnds_NonXtal_BW#'!$A:$Z,20,FALSE)+VLOOKUP($A400,A:AL,28,FALSE)-50))</f>
        <v>208</v>
      </c>
      <c r="AD400" s="3">
        <f>IF(ISERROR(VLOOKUP($A400,'SegEnds_NonXtal_BW#'!$A:$Z,21,FALSE)+VLOOKUP($A400,A:AL,31,FALSE)-50),"-",(VLOOKUP($A400,'SegEnds_NonXtal_BW#'!$A:$Z,21,FALSE)+VLOOKUP($A400,A:AL,31,FALSE)-50))</f>
        <v>252</v>
      </c>
      <c r="AE400" s="3">
        <v>273</v>
      </c>
      <c r="AF400" s="3">
        <f>IF(ISERROR((VLOOKUP($A400,'SegEnds_NonXtal_BW#'!$A:$Z,22,FALSE)+VLOOKUP($A400,A:AL,31,FALSE)-50)),"-",(VLOOKUP($A400,'SegEnds_NonXtal_BW#'!$A:$Z,22,FALSE)+VLOOKUP($A400,A:AL,31,FALSE)-50))</f>
        <v>276</v>
      </c>
      <c r="AG400" s="3">
        <f>IF(ISERROR(VLOOKUP($A400,'SegEnds_NonXtal_BW#'!$A:$Z,23,FALSE)+VLOOKUP($A400,A:AL,34,FALSE)-50),"-",(VLOOKUP($A400,'SegEnds_NonXtal_BW#'!$A:$Z,23,FALSE)+VLOOKUP($A400,A:AL,34,FALSE)-50))</f>
        <v>294</v>
      </c>
      <c r="AH400" s="3">
        <v>309</v>
      </c>
      <c r="AI400" s="3">
        <f>IF(ISERROR((VLOOKUP($A400,'SegEnds_NonXtal_BW#'!$A:$Z,24,FALSE)+VLOOKUP($A400,A:AL,34,FALSE)-50)),"-",(VLOOKUP($A400,'SegEnds_NonXtal_BW#'!$A:$Z,24,FALSE)+VLOOKUP($A400,A:AL,34,FALSE)-50))</f>
        <v>315</v>
      </c>
      <c r="AJ400" s="108">
        <v>320</v>
      </c>
      <c r="AK400" s="3">
        <v>333</v>
      </c>
      <c r="AL400" s="3">
        <f>IF(ISERROR((VLOOKUP($A400,'SegEnds_NonXtal_BW#'!$A:$Z,26,FALSE)+VLOOKUP($A400,A:AL,37,FALSE)-50)),"-",(VLOOKUP($A400,'SegEnds_NonXtal_BW#'!$A:$Z,26,FALSE)+VLOOKUP($A400,A:AL,37,FALSE)-50))</f>
        <v>340</v>
      </c>
      <c r="AM400" s="28" t="str">
        <f>VLOOKUP(A400,Classification!A:B,2,FALSE)</f>
        <v>O</v>
      </c>
      <c r="AN400" s="28" t="b">
        <f t="shared" si="232"/>
        <v>1</v>
      </c>
      <c r="AO400" s="3" t="str">
        <f>IF(ISERROR(MATCH(A400,'SegEnds_Xtal_Prot#'!B:B, 0)), "NoXtal", "Xtal")</f>
        <v>NoXtal</v>
      </c>
      <c r="AP400" s="3" t="str">
        <f t="shared" si="217"/>
        <v>-</v>
      </c>
      <c r="AQ400" s="3" t="str">
        <f t="shared" si="218"/>
        <v>-</v>
      </c>
      <c r="AR400" s="3" t="str">
        <f t="shared" si="219"/>
        <v>-</v>
      </c>
      <c r="AS400" s="3" t="str">
        <f t="shared" si="220"/>
        <v>-</v>
      </c>
      <c r="AT400" s="3" t="str">
        <f t="shared" si="221"/>
        <v>-</v>
      </c>
      <c r="AU400" s="3" t="str">
        <f t="shared" si="222"/>
        <v>-</v>
      </c>
      <c r="AV400" s="3" t="str">
        <f t="shared" si="223"/>
        <v>-</v>
      </c>
      <c r="AW400" s="3" t="str">
        <f t="shared" si="224"/>
        <v>-</v>
      </c>
      <c r="AX400" s="3">
        <f t="shared" si="225"/>
        <v>44</v>
      </c>
      <c r="AY400" s="3">
        <f t="shared" si="226"/>
        <v>18</v>
      </c>
      <c r="AZ400" s="3">
        <f t="shared" si="227"/>
        <v>5</v>
      </c>
      <c r="BA400" s="3">
        <f>IF(ISERROR(LEN(VLOOKUP(A400,Seqs!A:E,2,FALSE))-AL400),"-",LEN(VLOOKUP(A400,Seqs!A:E,2,FALSE))-AL400)</f>
        <v>33</v>
      </c>
      <c r="BB400" s="16">
        <f t="shared" si="228"/>
        <v>32</v>
      </c>
      <c r="BC400" s="9" t="str">
        <f t="shared" si="229"/>
        <v>-</v>
      </c>
      <c r="BD400" s="3">
        <f t="shared" si="230"/>
        <v>32</v>
      </c>
      <c r="BE400" s="3">
        <f t="shared" si="231"/>
        <v>76</v>
      </c>
    </row>
    <row r="401" spans="1:58" s="3" customFormat="1" x14ac:dyDescent="0.2">
      <c r="A401" s="3" t="s">
        <v>122</v>
      </c>
      <c r="B401" s="3" t="str">
        <f>LOWER(VLOOKUP(A401,Xtal_Templ!A:B,2,FALSE))</f>
        <v>grm1_human</v>
      </c>
      <c r="C401" s="3">
        <f>VLOOKUP($A401,'SegEnds_NonXtal_BW#'!$A:$Z,3,FALSE)+D401-50</f>
        <v>565</v>
      </c>
      <c r="D401" s="3">
        <v>581</v>
      </c>
      <c r="E401" s="3">
        <f>IF(ISERROR(VLOOKUP($A401,'SegEnds_NonXtal_BW#'!$A:$Z,4,FALSE)+VLOOKUP($A401,A:AL,4,FALSE)-50),"-",(VLOOKUP($A401,'SegEnds_NonXtal_BW#'!$A:$Z,4,FALSE)+VLOOKUP($A401,A:AL,4,FALSE)-50))</f>
        <v>591</v>
      </c>
      <c r="F401" s="3">
        <f>G401-3</f>
        <v>594</v>
      </c>
      <c r="G401" s="3">
        <v>597</v>
      </c>
      <c r="H401" s="3">
        <f>G401+3</f>
        <v>600</v>
      </c>
      <c r="I401" s="3">
        <f t="shared" ref="I401:I406" si="233">H401+1</f>
        <v>601</v>
      </c>
      <c r="J401" s="3">
        <v>612</v>
      </c>
      <c r="K401" s="3">
        <f>VLOOKUP($A401,'SegEnds_NonXtal_BW#'!$A:$Z,8,FALSE)+VLOOKUP($A401,A:AL,10,FALSE)-50</f>
        <v>623</v>
      </c>
      <c r="L401" s="3" t="str">
        <f>IF(ISERROR(VLOOKUP($A401,'SegEnds_NonXtal_BW#'!$A:$Z,9,FALSE)+VLOOKUP($A401,A:AL,13,FALSE)-50),"-",(VLOOKUP($A401,'SegEnds_NonXtal_BW#'!$A:$Z,9,FALSE)+VLOOKUP($A401,A:AL,13,FALSE)-50))</f>
        <v>-</v>
      </c>
      <c r="M401" s="3" t="s">
        <v>23</v>
      </c>
      <c r="N401" s="3" t="str">
        <f>IF(ISERROR(VLOOKUP($A401,'SegEnds_NonXtal_BW#'!$A:$Z,10,FALSE)+VLOOKUP($A401,A:AL,13,FALSE)-50),"-",(VLOOKUP($A401,'SegEnds_NonXtal_BW#'!$A:$Z,10,FALSE)+VLOOKUP($A401,A:AL,13,FALSE)-50))</f>
        <v>-</v>
      </c>
      <c r="O401" s="3">
        <f>VLOOKUP($A401,'SegEnds_NonXtal_BW#'!$A:$Z,11,FALSE)+VLOOKUP($A401,A:AL,16,FALSE)-50</f>
        <v>628</v>
      </c>
      <c r="P401" s="3">
        <v>656</v>
      </c>
      <c r="Q401" s="3">
        <f>VLOOKUP($A401,'SegEnds_NonXtal_BW#'!$A:$Z,12,FALSE)+VLOOKUP($A401,A:AL,16,FALSE)-50</f>
        <v>660</v>
      </c>
      <c r="R401" s="3" t="str">
        <f>IF(ISERROR(VLOOKUP($A401,'SegEnds_NonXtal_BW#'!$A:$Z,13,FALSE)+VLOOKUP($A401,A:AL,19,FALSE)-50),"-",VLOOKUP($A401,'SegEnds_NonXtal_BW#'!$A:$Z,13,FALSE)+VLOOKUP($A401,A:AL,19,FALSE)-50)</f>
        <v>-</v>
      </c>
      <c r="S401" s="3" t="s">
        <v>23</v>
      </c>
      <c r="T401" s="103" t="str">
        <f>IF(ISERROR(VLOOKUP($A401,'SegEnds_NonXtal_BW#'!$A:$Z,14,FALSE)+VLOOKUP($A401,A:AL,19,FALSE)-50),"-",(VLOOKUP($A401,'SegEnds_NonXtal_BW#'!$A:$Z,14,FALSE)+VLOOKUP($A401,A:AL,19,FALSE)-50))</f>
        <v>-</v>
      </c>
      <c r="U401" s="9">
        <f>IF(ISERROR(VLOOKUP($A401,'SegEnds_NonXtal_BW#'!$A:$Z,15,FALSE)+VLOOKUP($A401,A:AL,22,FALSE)-50),"-",VLOOKUP($A401,'SegEnds_NonXtal_BW#'!$A:$Z,15,FALSE)+VLOOKUP($A401,A:AL,22,FALSE)-50)</f>
        <v>675</v>
      </c>
      <c r="V401" s="3">
        <v>687</v>
      </c>
      <c r="W401" s="3">
        <f>IF(ISERROR(VLOOKUP($A401,'SegEnds_NonXtal_BW#'!$A:$Z,16,FALSE)+VLOOKUP($A401,A:AL,22,FALSE)-50),"-",(VLOOKUP($A401,'SegEnds_NonXtal_BW#'!$A:$Z,16,FALSE)+VLOOKUP($A401,A:AL,22,FALSE)-50))</f>
        <v>701</v>
      </c>
      <c r="X401" s="3">
        <f>IF(ISERROR(VLOOKUP($A401,'SegEnds_NonXtal_BW#'!$A:$Z,17,FALSE)+VLOOKUP($A401,A:AL,25,FALSE)-50),"-",(VLOOKUP($A401,'SegEnds_NonXtal_BW#'!$A:$Z,17,FALSE)+VLOOKUP($A401,A:AL,25,FALSE)-50))</f>
        <v>720</v>
      </c>
      <c r="Y401" s="3">
        <v>720</v>
      </c>
      <c r="Z401" s="3">
        <f t="shared" ref="Z401:Z406" si="234">Y401+2</f>
        <v>722</v>
      </c>
      <c r="AA401" s="3">
        <f>IF(ISERROR(VLOOKUP($A401,'SegEnds_NonXtal_BW#'!$A:$Z,19,FALSE)+VLOOKUP($A401,A:AL,28,FALSE)-50),"-",(VLOOKUP($A401,'SegEnds_NonXtal_BW#'!$A:$Z,19,FALSE)+VLOOKUP($A401,A:AL,28,FALSE)-50))</f>
        <v>725</v>
      </c>
      <c r="AB401" s="3">
        <v>738</v>
      </c>
      <c r="AC401" s="3">
        <f>IF(ISERROR((VLOOKUP($A401,'SegEnds_NonXtal_BW#'!$A:$Z,20,FALSE)+VLOOKUP($A401,A:AL,28,FALSE)-50)),"-",(VLOOKUP($A401,'SegEnds_NonXtal_BW#'!$A:$Z,20,FALSE)+VLOOKUP($A401,A:AL,28,FALSE)-50))</f>
        <v>749</v>
      </c>
      <c r="AD401" s="3">
        <f>IF(ISERROR(VLOOKUP($A401,'SegEnds_NonXtal_BW#'!$A:$Z,21,FALSE)+VLOOKUP($A401,A:AL,31,FALSE)-50),"-",(VLOOKUP($A401,'SegEnds_NonXtal_BW#'!$A:$Z,21,FALSE)+VLOOKUP($A401,A:AL,31,FALSE)-50))</f>
        <v>758</v>
      </c>
      <c r="AE401" s="3">
        <v>775</v>
      </c>
      <c r="AF401" s="3">
        <f>IF(ISERROR((VLOOKUP($A401,'SegEnds_NonXtal_BW#'!$A:$Z,22,FALSE)+VLOOKUP($A401,A:AL,31,FALSE)-50)),"-",(VLOOKUP($A401,'SegEnds_NonXtal_BW#'!$A:$Z,22,FALSE)+VLOOKUP($A401,A:AL,31,FALSE)-50))</f>
        <v>782</v>
      </c>
      <c r="AG401" s="3">
        <f>IF(ISERROR(VLOOKUP($A401,'SegEnds_NonXtal_BW#'!$A:$Z,23,FALSE)+VLOOKUP($A401,A:AL,34,FALSE)-50),"-",(VLOOKUP($A401,'SegEnds_NonXtal_BW#'!$A:$Z,23,FALSE)+VLOOKUP($A401,A:AL,34,FALSE)-50))</f>
        <v>788</v>
      </c>
      <c r="AH401" s="3">
        <v>804</v>
      </c>
      <c r="AI401" s="3">
        <f>IF(ISERROR((VLOOKUP($A401,'SegEnds_NonXtal_BW#'!$A:$Z,24,FALSE)+VLOOKUP($A401,A:AL,34,FALSE)-50)),"-",(VLOOKUP($A401,'SegEnds_NonXtal_BW#'!$A:$Z,24,FALSE)+VLOOKUP($A401,A:AL,34,FALSE)-50))</f>
        <v>817</v>
      </c>
      <c r="AJ401" s="3">
        <f>IF(ISERROR(VLOOKUP($A401,'SegEnds_NonXtal_BW#'!$A:$Z,25,FALSE)+VLOOKUP($A401,A:AL,37,FALSE)-50),"-",(VLOOKUP($A401,'SegEnds_NonXtal_BW#'!$A:$Z,25,FALSE)+VLOOKUP($A401,A:AL,37,FALSE)-50))</f>
        <v>818</v>
      </c>
      <c r="AK401" s="3">
        <v>821</v>
      </c>
      <c r="AL401" s="3">
        <f>IF(ISERROR((VLOOKUP($A401,'SegEnds_NonXtal_BW#'!$A:$Z,26,FALSE)+VLOOKUP($A401,A:AL,37,FALSE)-50)),"-",(VLOOKUP($A401,'SegEnds_NonXtal_BW#'!$A:$Z,26,FALSE)+VLOOKUP($A401,A:AL,37,FALSE)-50))</f>
        <v>830</v>
      </c>
      <c r="AM401" s="28" t="str">
        <f>VLOOKUP(A401,Classification!A:B,2,FALSE)</f>
        <v>C</v>
      </c>
      <c r="AN401" s="28" t="b">
        <f t="shared" si="232"/>
        <v>1</v>
      </c>
      <c r="AO401" s="3" t="str">
        <f>IF(ISERROR(MATCH(A401,'SegEnds_Xtal_Prot#'!B:B, 0)), "NoXtal", "Xtal")</f>
        <v>NoXtal</v>
      </c>
      <c r="AP401" s="3">
        <f t="shared" si="217"/>
        <v>3</v>
      </c>
      <c r="AQ401" s="3">
        <f t="shared" si="218"/>
        <v>1</v>
      </c>
      <c r="AR401" s="3" t="str">
        <f t="shared" si="219"/>
        <v>-</v>
      </c>
      <c r="AS401" s="3" t="str">
        <f t="shared" si="220"/>
        <v>-</v>
      </c>
      <c r="AT401" s="3" t="str">
        <f t="shared" si="221"/>
        <v>-</v>
      </c>
      <c r="AU401" s="3" t="str">
        <f t="shared" si="222"/>
        <v>-</v>
      </c>
      <c r="AV401" s="3">
        <f t="shared" si="223"/>
        <v>19</v>
      </c>
      <c r="AW401" s="3">
        <f t="shared" si="224"/>
        <v>3</v>
      </c>
      <c r="AX401" s="3">
        <f t="shared" si="225"/>
        <v>9</v>
      </c>
      <c r="AY401" s="3">
        <f t="shared" si="226"/>
        <v>6</v>
      </c>
      <c r="AZ401" s="3">
        <f t="shared" si="227"/>
        <v>1</v>
      </c>
      <c r="BA401" s="3">
        <f>IF(ISERROR(LEN(VLOOKUP(A401,Seqs!A:E,2,FALSE))-AL401),"-",LEN(VLOOKUP(A401,Seqs!A:E,2,FALSE))-AL401)</f>
        <v>11</v>
      </c>
      <c r="BB401" s="16">
        <f t="shared" si="228"/>
        <v>31</v>
      </c>
      <c r="BC401" s="9" t="str">
        <f t="shared" si="229"/>
        <v>-</v>
      </c>
      <c r="BD401" s="3">
        <f t="shared" si="230"/>
        <v>31</v>
      </c>
      <c r="BE401" s="3">
        <f t="shared" si="231"/>
        <v>37</v>
      </c>
      <c r="BF401" s="3">
        <f>AH401-AE401</f>
        <v>29</v>
      </c>
    </row>
    <row r="402" spans="1:58" s="3" customFormat="1" x14ac:dyDescent="0.2">
      <c r="A402" s="3" t="s">
        <v>123</v>
      </c>
      <c r="B402" s="3" t="str">
        <f>LOWER(VLOOKUP(A402,Xtal_Templ!A:B,2,FALSE))</f>
        <v>grm1_human</v>
      </c>
      <c r="C402" s="3">
        <f>VLOOKUP($A402,'SegEnds_NonXtal_BW#'!$A:$Z,3,FALSE)+D402-50</f>
        <v>564</v>
      </c>
      <c r="D402" s="3">
        <v>580</v>
      </c>
      <c r="E402" s="3">
        <f>IF(ISERROR(VLOOKUP($A402,'SegEnds_NonXtal_BW#'!$A:$Z,4,FALSE)+VLOOKUP($A402,A:AL,4,FALSE)-50),"-",(VLOOKUP($A402,'SegEnds_NonXtal_BW#'!$A:$Z,4,FALSE)+VLOOKUP($A402,A:AL,4,FALSE)-50))</f>
        <v>590</v>
      </c>
      <c r="F402" s="3">
        <f>G402-3</f>
        <v>593</v>
      </c>
      <c r="G402" s="3">
        <v>596</v>
      </c>
      <c r="H402" s="3">
        <f>G402+3</f>
        <v>599</v>
      </c>
      <c r="I402" s="3">
        <f t="shared" si="233"/>
        <v>600</v>
      </c>
      <c r="J402" s="3">
        <v>611</v>
      </c>
      <c r="K402" s="3">
        <f>VLOOKUP($A402,'SegEnds_NonXtal_BW#'!$A:$Z,8,FALSE)+VLOOKUP($A402,A:AL,10,FALSE)-50</f>
        <v>622</v>
      </c>
      <c r="L402" s="3" t="str">
        <f>IF(ISERROR(VLOOKUP($A402,'SegEnds_NonXtal_BW#'!$A:$Z,9,FALSE)+VLOOKUP($A402,A:AL,13,FALSE)-50),"-",(VLOOKUP($A402,'SegEnds_NonXtal_BW#'!$A:$Z,9,FALSE)+VLOOKUP($A402,A:AL,13,FALSE)-50))</f>
        <v>-</v>
      </c>
      <c r="M402" s="3" t="s">
        <v>23</v>
      </c>
      <c r="N402" s="3" t="str">
        <f>IF(ISERROR(VLOOKUP($A402,'SegEnds_NonXtal_BW#'!$A:$Z,10,FALSE)+VLOOKUP($A402,A:AL,13,FALSE)-50),"-",(VLOOKUP($A402,'SegEnds_NonXtal_BW#'!$A:$Z,10,FALSE)+VLOOKUP($A402,A:AL,13,FALSE)-50))</f>
        <v>-</v>
      </c>
      <c r="O402" s="3">
        <f>VLOOKUP($A402,'SegEnds_NonXtal_BW#'!$A:$Z,11,FALSE)+VLOOKUP($A402,A:AL,16,FALSE)-50</f>
        <v>627</v>
      </c>
      <c r="P402" s="3">
        <v>655</v>
      </c>
      <c r="Q402" s="3">
        <f>VLOOKUP($A402,'SegEnds_NonXtal_BW#'!$A:$Z,12,FALSE)+VLOOKUP($A402,A:AL,16,FALSE)-50</f>
        <v>659</v>
      </c>
      <c r="R402" s="3" t="str">
        <f>IF(ISERROR(VLOOKUP($A402,'SegEnds_NonXtal_BW#'!$A:$Z,13,FALSE)+VLOOKUP($A402,A:AL,19,FALSE)-50),"-",VLOOKUP($A402,'SegEnds_NonXtal_BW#'!$A:$Z,13,FALSE)+VLOOKUP($A402,A:AL,19,FALSE)-50)</f>
        <v>-</v>
      </c>
      <c r="S402" s="3" t="s">
        <v>23</v>
      </c>
      <c r="T402" s="103" t="str">
        <f>IF(ISERROR(VLOOKUP($A402,'SegEnds_NonXtal_BW#'!$A:$Z,14,FALSE)+VLOOKUP($A402,A:AL,19,FALSE)-50),"-",(VLOOKUP($A402,'SegEnds_NonXtal_BW#'!$A:$Z,14,FALSE)+VLOOKUP($A402,A:AL,19,FALSE)-50))</f>
        <v>-</v>
      </c>
      <c r="U402" s="9">
        <f>IF(ISERROR(VLOOKUP($A402,'SegEnds_NonXtal_BW#'!$A:$Z,15,FALSE)+VLOOKUP($A402,A:AL,22,FALSE)-50),"-",VLOOKUP($A402,'SegEnds_NonXtal_BW#'!$A:$Z,15,FALSE)+VLOOKUP($A402,A:AL,22,FALSE)-50)</f>
        <v>674</v>
      </c>
      <c r="V402" s="3">
        <v>686</v>
      </c>
      <c r="W402" s="3">
        <f>IF(ISERROR(VLOOKUP($A402,'SegEnds_NonXtal_BW#'!$A:$Z,16,FALSE)+VLOOKUP($A402,A:AL,22,FALSE)-50),"-",(VLOOKUP($A402,'SegEnds_NonXtal_BW#'!$A:$Z,16,FALSE)+VLOOKUP($A402,A:AL,22,FALSE)-50))</f>
        <v>700</v>
      </c>
      <c r="X402" s="3">
        <f>IF(ISERROR(VLOOKUP($A402,'SegEnds_NonXtal_BW#'!$A:$Z,17,FALSE)+VLOOKUP($A402,A:AL,25,FALSE)-50),"-",(VLOOKUP($A402,'SegEnds_NonXtal_BW#'!$A:$Z,17,FALSE)+VLOOKUP($A402,A:AL,25,FALSE)-50))</f>
        <v>720</v>
      </c>
      <c r="Y402" s="3">
        <v>720</v>
      </c>
      <c r="Z402" s="3">
        <f t="shared" si="234"/>
        <v>722</v>
      </c>
      <c r="AA402" s="3">
        <f>IF(ISERROR(VLOOKUP($A402,'SegEnds_NonXtal_BW#'!$A:$Z,19,FALSE)+VLOOKUP($A402,A:AL,28,FALSE)-50),"-",(VLOOKUP($A402,'SegEnds_NonXtal_BW#'!$A:$Z,19,FALSE)+VLOOKUP($A402,A:AL,28,FALSE)-50))</f>
        <v>725</v>
      </c>
      <c r="AB402" s="3">
        <v>738</v>
      </c>
      <c r="AC402" s="3">
        <f>IF(ISERROR((VLOOKUP($A402,'SegEnds_NonXtal_BW#'!$A:$Z,20,FALSE)+VLOOKUP($A402,A:AL,28,FALSE)-50)),"-",(VLOOKUP($A402,'SegEnds_NonXtal_BW#'!$A:$Z,20,FALSE)+VLOOKUP($A402,A:AL,28,FALSE)-50))</f>
        <v>749</v>
      </c>
      <c r="AD402" s="3">
        <f>IF(ISERROR(VLOOKUP($A402,'SegEnds_NonXtal_BW#'!$A:$Z,21,FALSE)+VLOOKUP($A402,A:AL,31,FALSE)-50),"-",(VLOOKUP($A402,'SegEnds_NonXtal_BW#'!$A:$Z,21,FALSE)+VLOOKUP($A402,A:AL,31,FALSE)-50))</f>
        <v>758</v>
      </c>
      <c r="AE402" s="3">
        <v>775</v>
      </c>
      <c r="AF402" s="3">
        <f>IF(ISERROR((VLOOKUP($A402,'SegEnds_NonXtal_BW#'!$A:$Z,22,FALSE)+VLOOKUP($A402,A:AL,31,FALSE)-50)),"-",(VLOOKUP($A402,'SegEnds_NonXtal_BW#'!$A:$Z,22,FALSE)+VLOOKUP($A402,A:AL,31,FALSE)-50))</f>
        <v>782</v>
      </c>
      <c r="AG402" s="3">
        <f>IF(ISERROR(VLOOKUP($A402,'SegEnds_NonXtal_BW#'!$A:$Z,23,FALSE)+VLOOKUP($A402,A:AL,34,FALSE)-50),"-",(VLOOKUP($A402,'SegEnds_NonXtal_BW#'!$A:$Z,23,FALSE)+VLOOKUP($A402,A:AL,34,FALSE)-50))</f>
        <v>788</v>
      </c>
      <c r="AH402" s="3">
        <v>804</v>
      </c>
      <c r="AI402" s="3">
        <f>IF(ISERROR((VLOOKUP($A402,'SegEnds_NonXtal_BW#'!$A:$Z,24,FALSE)+VLOOKUP($A402,A:AL,34,FALSE)-50)),"-",(VLOOKUP($A402,'SegEnds_NonXtal_BW#'!$A:$Z,24,FALSE)+VLOOKUP($A402,A:AL,34,FALSE)-50))</f>
        <v>817</v>
      </c>
      <c r="AJ402" s="3">
        <f>IF(ISERROR(VLOOKUP($A402,'SegEnds_NonXtal_BW#'!$A:$Z,25,FALSE)+VLOOKUP($A402,A:AL,37,FALSE)-50),"-",(VLOOKUP($A402,'SegEnds_NonXtal_BW#'!$A:$Z,25,FALSE)+VLOOKUP($A402,A:AL,37,FALSE)-50))</f>
        <v>818</v>
      </c>
      <c r="AK402" s="3">
        <v>821</v>
      </c>
      <c r="AL402" s="3">
        <f>IF(ISERROR((VLOOKUP($A402,'SegEnds_NonXtal_BW#'!$A:$Z,26,FALSE)+VLOOKUP($A402,A:AL,37,FALSE)-50)),"-",(VLOOKUP($A402,'SegEnds_NonXtal_BW#'!$A:$Z,26,FALSE)+VLOOKUP($A402,A:AL,37,FALSE)-50))</f>
        <v>830</v>
      </c>
      <c r="AM402" s="28" t="str">
        <f>VLOOKUP(A402,Classification!A:B,2,FALSE)</f>
        <v>C</v>
      </c>
      <c r="AN402" s="28" t="b">
        <f t="shared" si="232"/>
        <v>1</v>
      </c>
      <c r="AO402" s="3" t="str">
        <f>IF(ISERROR(MATCH(A402,'SegEnds_Xtal_Prot#'!B:B, 0)), "NoXtal", "Xtal")</f>
        <v>NoXtal</v>
      </c>
      <c r="AP402" s="3">
        <f t="shared" si="217"/>
        <v>3</v>
      </c>
      <c r="AQ402" s="3">
        <f t="shared" si="218"/>
        <v>1</v>
      </c>
      <c r="AR402" s="3" t="str">
        <f t="shared" si="219"/>
        <v>-</v>
      </c>
      <c r="AS402" s="3" t="str">
        <f t="shared" si="220"/>
        <v>-</v>
      </c>
      <c r="AT402" s="3" t="str">
        <f t="shared" si="221"/>
        <v>-</v>
      </c>
      <c r="AU402" s="3" t="str">
        <f t="shared" si="222"/>
        <v>-</v>
      </c>
      <c r="AV402" s="3">
        <f t="shared" si="223"/>
        <v>20</v>
      </c>
      <c r="AW402" s="3">
        <f t="shared" si="224"/>
        <v>3</v>
      </c>
      <c r="AX402" s="3">
        <f t="shared" si="225"/>
        <v>9</v>
      </c>
      <c r="AY402" s="3">
        <f t="shared" si="226"/>
        <v>6</v>
      </c>
      <c r="AZ402" s="3">
        <f t="shared" si="227"/>
        <v>1</v>
      </c>
      <c r="BA402" s="3">
        <f>IF(ISERROR(LEN(VLOOKUP(A402,Seqs!A:E,2,FALSE))-AL402),"-",LEN(VLOOKUP(A402,Seqs!A:E,2,FALSE))-AL402)</f>
        <v>9</v>
      </c>
      <c r="BB402" s="16">
        <f t="shared" si="228"/>
        <v>31</v>
      </c>
      <c r="BC402" s="9" t="str">
        <f t="shared" si="229"/>
        <v>-</v>
      </c>
      <c r="BD402" s="3">
        <f t="shared" si="230"/>
        <v>31</v>
      </c>
      <c r="BE402" s="3">
        <f t="shared" si="231"/>
        <v>37</v>
      </c>
      <c r="BF402" s="3">
        <f>AH402-AE402</f>
        <v>29</v>
      </c>
    </row>
    <row r="403" spans="1:58" s="3" customFormat="1" x14ac:dyDescent="0.2">
      <c r="A403" s="3" t="s">
        <v>124</v>
      </c>
      <c r="B403" s="3" t="str">
        <f>LOWER(VLOOKUP(A403,Xtal_Templ!A:B,2,FALSE))</f>
        <v>grm1_human</v>
      </c>
      <c r="C403" s="3">
        <f>VLOOKUP($A403,'SegEnds_NonXtal_BW#'!$A:$Z,3,FALSE)+D403-50</f>
        <v>567</v>
      </c>
      <c r="D403" s="3">
        <v>583</v>
      </c>
      <c r="E403" s="3">
        <f>IF(ISERROR(VLOOKUP($A403,'SegEnds_NonXtal_BW#'!$A:$Z,4,FALSE)+VLOOKUP($A403,A:AL,4,FALSE)-50),"-",(VLOOKUP($A403,'SegEnds_NonXtal_BW#'!$A:$Z,4,FALSE)+VLOOKUP($A403,A:AL,4,FALSE)-50))</f>
        <v>593</v>
      </c>
      <c r="F403" s="3">
        <f>G403-3</f>
        <v>596</v>
      </c>
      <c r="G403" s="3">
        <v>599</v>
      </c>
      <c r="H403" s="3">
        <f>G403+3</f>
        <v>602</v>
      </c>
      <c r="I403" s="3">
        <f t="shared" si="233"/>
        <v>603</v>
      </c>
      <c r="J403" s="3">
        <v>614</v>
      </c>
      <c r="K403" s="3">
        <f>VLOOKUP($A403,'SegEnds_NonXtal_BW#'!$A:$Z,8,FALSE)+VLOOKUP($A403,A:AL,10,FALSE)-50</f>
        <v>625</v>
      </c>
      <c r="L403" s="3" t="str">
        <f>IF(ISERROR(VLOOKUP($A403,'SegEnds_NonXtal_BW#'!$A:$Z,9,FALSE)+VLOOKUP($A403,A:AL,13,FALSE)-50),"-",(VLOOKUP($A403,'SegEnds_NonXtal_BW#'!$A:$Z,9,FALSE)+VLOOKUP($A403,A:AL,13,FALSE)-50))</f>
        <v>-</v>
      </c>
      <c r="M403" s="3" t="s">
        <v>23</v>
      </c>
      <c r="N403" s="3" t="str">
        <f>IF(ISERROR(VLOOKUP($A403,'SegEnds_NonXtal_BW#'!$A:$Z,10,FALSE)+VLOOKUP($A403,A:AL,13,FALSE)-50),"-",(VLOOKUP($A403,'SegEnds_NonXtal_BW#'!$A:$Z,10,FALSE)+VLOOKUP($A403,A:AL,13,FALSE)-50))</f>
        <v>-</v>
      </c>
      <c r="O403" s="3">
        <f>VLOOKUP($A403,'SegEnds_NonXtal_BW#'!$A:$Z,11,FALSE)+VLOOKUP($A403,A:AL,16,FALSE)-50</f>
        <v>630</v>
      </c>
      <c r="P403" s="3">
        <v>658</v>
      </c>
      <c r="Q403" s="3">
        <f>VLOOKUP($A403,'SegEnds_NonXtal_BW#'!$A:$Z,12,FALSE)+VLOOKUP($A403,A:AL,16,FALSE)-50</f>
        <v>662</v>
      </c>
      <c r="R403" s="3" t="str">
        <f>IF(ISERROR(VLOOKUP($A403,'SegEnds_NonXtal_BW#'!$A:$Z,13,FALSE)+VLOOKUP($A403,A:AL,19,FALSE)-50),"-",VLOOKUP($A403,'SegEnds_NonXtal_BW#'!$A:$Z,13,FALSE)+VLOOKUP($A403,A:AL,19,FALSE)-50)</f>
        <v>-</v>
      </c>
      <c r="S403" s="3" t="s">
        <v>23</v>
      </c>
      <c r="T403" s="103" t="str">
        <f>IF(ISERROR(VLOOKUP($A403,'SegEnds_NonXtal_BW#'!$A:$Z,14,FALSE)+VLOOKUP($A403,A:AL,19,FALSE)-50),"-",(VLOOKUP($A403,'SegEnds_NonXtal_BW#'!$A:$Z,14,FALSE)+VLOOKUP($A403,A:AL,19,FALSE)-50))</f>
        <v>-</v>
      </c>
      <c r="U403" s="9">
        <f>IF(ISERROR(VLOOKUP($A403,'SegEnds_NonXtal_BW#'!$A:$Z,15,FALSE)+VLOOKUP($A403,A:AL,22,FALSE)-50),"-",VLOOKUP($A403,'SegEnds_NonXtal_BW#'!$A:$Z,15,FALSE)+VLOOKUP($A403,A:AL,22,FALSE)-50)</f>
        <v>677</v>
      </c>
      <c r="V403" s="3">
        <v>689</v>
      </c>
      <c r="W403" s="3">
        <f>IF(ISERROR(VLOOKUP($A403,'SegEnds_NonXtal_BW#'!$A:$Z,16,FALSE)+VLOOKUP($A403,A:AL,22,FALSE)-50),"-",(VLOOKUP($A403,'SegEnds_NonXtal_BW#'!$A:$Z,16,FALSE)+VLOOKUP($A403,A:AL,22,FALSE)-50))</f>
        <v>703</v>
      </c>
      <c r="X403" s="3">
        <f>IF(ISERROR(VLOOKUP($A403,'SegEnds_NonXtal_BW#'!$A:$Z,17,FALSE)+VLOOKUP($A403,A:AL,25,FALSE)-50),"-",(VLOOKUP($A403,'SegEnds_NonXtal_BW#'!$A:$Z,17,FALSE)+VLOOKUP($A403,A:AL,25,FALSE)-50))</f>
        <v>722</v>
      </c>
      <c r="Y403" s="3">
        <v>722</v>
      </c>
      <c r="Z403" s="3">
        <f t="shared" si="234"/>
        <v>724</v>
      </c>
      <c r="AA403" s="3">
        <f>IF(ISERROR(VLOOKUP($A403,'SegEnds_NonXtal_BW#'!$A:$Z,19,FALSE)+VLOOKUP($A403,A:AL,28,FALSE)-50),"-",(VLOOKUP($A403,'SegEnds_NonXtal_BW#'!$A:$Z,19,FALSE)+VLOOKUP($A403,A:AL,28,FALSE)-50))</f>
        <v>727</v>
      </c>
      <c r="AB403" s="3">
        <v>740</v>
      </c>
      <c r="AC403" s="3">
        <f>IF(ISERROR((VLOOKUP($A403,'SegEnds_NonXtal_BW#'!$A:$Z,20,FALSE)+VLOOKUP($A403,A:AL,28,FALSE)-50)),"-",(VLOOKUP($A403,'SegEnds_NonXtal_BW#'!$A:$Z,20,FALSE)+VLOOKUP($A403,A:AL,28,FALSE)-50))</f>
        <v>751</v>
      </c>
      <c r="AD403" s="3">
        <f>IF(ISERROR(VLOOKUP($A403,'SegEnds_NonXtal_BW#'!$A:$Z,21,FALSE)+VLOOKUP($A403,A:AL,31,FALSE)-50),"-",(VLOOKUP($A403,'SegEnds_NonXtal_BW#'!$A:$Z,21,FALSE)+VLOOKUP($A403,A:AL,31,FALSE)-50))</f>
        <v>760</v>
      </c>
      <c r="AE403" s="3">
        <v>777</v>
      </c>
      <c r="AF403" s="3">
        <f>IF(ISERROR((VLOOKUP($A403,'SegEnds_NonXtal_BW#'!$A:$Z,22,FALSE)+VLOOKUP($A403,A:AL,31,FALSE)-50)),"-",(VLOOKUP($A403,'SegEnds_NonXtal_BW#'!$A:$Z,22,FALSE)+VLOOKUP($A403,A:AL,31,FALSE)-50))</f>
        <v>784</v>
      </c>
      <c r="AG403" s="3">
        <f>IF(ISERROR(VLOOKUP($A403,'SegEnds_NonXtal_BW#'!$A:$Z,23,FALSE)+VLOOKUP($A403,A:AL,34,FALSE)-50),"-",(VLOOKUP($A403,'SegEnds_NonXtal_BW#'!$A:$Z,23,FALSE)+VLOOKUP($A403,A:AL,34,FALSE)-50))</f>
        <v>790</v>
      </c>
      <c r="AH403" s="3">
        <v>806</v>
      </c>
      <c r="AI403" s="3">
        <f>IF(ISERROR((VLOOKUP($A403,'SegEnds_NonXtal_BW#'!$A:$Z,24,FALSE)+VLOOKUP($A403,A:AL,34,FALSE)-50)),"-",(VLOOKUP($A403,'SegEnds_NonXtal_BW#'!$A:$Z,24,FALSE)+VLOOKUP($A403,A:AL,34,FALSE)-50))</f>
        <v>819</v>
      </c>
      <c r="AJ403" s="3">
        <f>IF(ISERROR(VLOOKUP($A403,'SegEnds_NonXtal_BW#'!$A:$Z,25,FALSE)+VLOOKUP($A403,A:AL,37,FALSE)-50),"-",(VLOOKUP($A403,'SegEnds_NonXtal_BW#'!$A:$Z,25,FALSE)+VLOOKUP($A403,A:AL,37,FALSE)-50))</f>
        <v>820</v>
      </c>
      <c r="AK403" s="3">
        <v>823</v>
      </c>
      <c r="AL403" s="3">
        <f>IF(ISERROR((VLOOKUP($A403,'SegEnds_NonXtal_BW#'!$A:$Z,26,FALSE)+VLOOKUP($A403,A:AL,37,FALSE)-50)),"-",(VLOOKUP($A403,'SegEnds_NonXtal_BW#'!$A:$Z,26,FALSE)+VLOOKUP($A403,A:AL,37,FALSE)-50))</f>
        <v>832</v>
      </c>
      <c r="AM403" s="28" t="str">
        <f>VLOOKUP(A403,Classification!A:B,2,FALSE)</f>
        <v>C</v>
      </c>
      <c r="AN403" s="28" t="b">
        <f t="shared" si="232"/>
        <v>1</v>
      </c>
      <c r="AO403" s="3" t="str">
        <f>IF(ISERROR(MATCH(A403,'SegEnds_Xtal_Prot#'!B:B, 0)), "NoXtal", "Xtal")</f>
        <v>NoXtal</v>
      </c>
      <c r="AP403" s="3">
        <f t="shared" si="217"/>
        <v>3</v>
      </c>
      <c r="AQ403" s="3">
        <f t="shared" si="218"/>
        <v>1</v>
      </c>
      <c r="AR403" s="3" t="str">
        <f t="shared" si="219"/>
        <v>-</v>
      </c>
      <c r="AS403" s="3" t="str">
        <f t="shared" si="220"/>
        <v>-</v>
      </c>
      <c r="AT403" s="3" t="str">
        <f t="shared" si="221"/>
        <v>-</v>
      </c>
      <c r="AU403" s="3" t="str">
        <f t="shared" si="222"/>
        <v>-</v>
      </c>
      <c r="AV403" s="3">
        <f t="shared" si="223"/>
        <v>19</v>
      </c>
      <c r="AW403" s="3">
        <f t="shared" si="224"/>
        <v>3</v>
      </c>
      <c r="AX403" s="3">
        <f t="shared" si="225"/>
        <v>9</v>
      </c>
      <c r="AY403" s="3">
        <f t="shared" si="226"/>
        <v>6</v>
      </c>
      <c r="AZ403" s="3">
        <f t="shared" si="227"/>
        <v>1</v>
      </c>
      <c r="BA403" s="3">
        <f>IF(ISERROR(LEN(VLOOKUP(A403,Seqs!A:E,2,FALSE))-AL403),"-",LEN(VLOOKUP(A403,Seqs!A:E,2,FALSE))-AL403)</f>
        <v>20</v>
      </c>
      <c r="BB403" s="16">
        <f t="shared" si="228"/>
        <v>31</v>
      </c>
      <c r="BC403" s="9" t="str">
        <f t="shared" si="229"/>
        <v>-</v>
      </c>
      <c r="BD403" s="3">
        <f t="shared" si="230"/>
        <v>31</v>
      </c>
      <c r="BE403" s="3">
        <f t="shared" si="231"/>
        <v>37</v>
      </c>
      <c r="BF403" s="3">
        <f>AH403-AE403</f>
        <v>29</v>
      </c>
    </row>
    <row r="404" spans="1:58" s="3" customFormat="1" x14ac:dyDescent="0.2">
      <c r="A404" s="3" t="s">
        <v>924</v>
      </c>
      <c r="B404" s="3" t="str">
        <f>LOWER(VLOOKUP(A404,Xtal_Templ!A:B,2,FALSE))</f>
        <v>us28_hcmva</v>
      </c>
      <c r="C404" s="3">
        <f>VLOOKUP($A404,'SegEnds_NonXtal_BW#'!$A:$Z,3,FALSE)+D404-50</f>
        <v>26</v>
      </c>
      <c r="D404" s="3">
        <v>51</v>
      </c>
      <c r="E404" s="3">
        <f>IF(ISERROR(VLOOKUP($A404,'SegEnds_NonXtal_BW#'!$A:$Z,4,FALSE)+VLOOKUP($A404,A:AL,4,FALSE)-50),"-",(VLOOKUP($A404,'SegEnds_NonXtal_BW#'!$A:$Z,4,FALSE)+VLOOKUP($A404,A:AL,4,FALSE)-50))</f>
        <v>61</v>
      </c>
      <c r="F404" s="3">
        <f>G404-2</f>
        <v>62</v>
      </c>
      <c r="G404" s="3">
        <v>64</v>
      </c>
      <c r="H404" s="3">
        <f>G404+1</f>
        <v>65</v>
      </c>
      <c r="I404" s="3">
        <f t="shared" si="233"/>
        <v>66</v>
      </c>
      <c r="J404" s="3">
        <v>79</v>
      </c>
      <c r="K404" s="3">
        <f>VLOOKUP($A404,'SegEnds_NonXtal_BW#'!$A:$Z,8,FALSE)+VLOOKUP($A404,A:AL,10,FALSE)-50</f>
        <v>95</v>
      </c>
      <c r="L404" s="3" t="str">
        <f>IF(ISERROR(VLOOKUP($A404,'SegEnds_NonXtal_BW#'!$A:$Z,9,FALSE)+VLOOKUP($A404,A:AL,13,FALSE)-50),"-",(VLOOKUP($A404,'SegEnds_NonXtal_BW#'!$A:$Z,9,FALSE)+VLOOKUP($A404,A:AL,13,FALSE)-50))</f>
        <v>-</v>
      </c>
      <c r="M404" s="3" t="s">
        <v>23</v>
      </c>
      <c r="N404" s="3" t="str">
        <f>IF(ISERROR(VLOOKUP($A404,'SegEnds_NonXtal_BW#'!$A:$Z,10,FALSE)+VLOOKUP($A404,A:AL,13,FALSE)-50),"-",(VLOOKUP($A404,'SegEnds_NonXtal_BW#'!$A:$Z,10,FALSE)+VLOOKUP($A404,A:AL,13,FALSE)-50))</f>
        <v>-</v>
      </c>
      <c r="O404" s="3">
        <f>VLOOKUP($A404,'SegEnds_NonXtal_BW#'!$A:$Z,11,FALSE)+VLOOKUP($A404,A:AL,16,FALSE)-50</f>
        <v>103</v>
      </c>
      <c r="P404" s="3">
        <v>129</v>
      </c>
      <c r="Q404" s="3">
        <f>VLOOKUP($A404,'SegEnds_NonXtal_BW#'!$A:$Z,12,FALSE)+VLOOKUP($A404,A:AL,16,FALSE)-50</f>
        <v>135</v>
      </c>
      <c r="R404" s="3" t="str">
        <f>IF(ISERROR(VLOOKUP($A404,'SegEnds_NonXtal_BW#'!$A:$Z,13,FALSE)+VLOOKUP($A404,A:AL,19,FALSE)-50),"-",VLOOKUP($A404,'SegEnds_NonXtal_BW#'!$A:$Z,13,FALSE)+VLOOKUP($A404,A:AL,19,FALSE)-50)</f>
        <v>-</v>
      </c>
      <c r="S404" s="3" t="s">
        <v>23</v>
      </c>
      <c r="T404" s="103" t="str">
        <f>IF(ISERROR(VLOOKUP($A404,'SegEnds_NonXtal_BW#'!$A:$Z,14,FALSE)+VLOOKUP($A404,A:AL,19,FALSE)-50),"-",(VLOOKUP($A404,'SegEnds_NonXtal_BW#'!$A:$Z,14,FALSE)+VLOOKUP($A404,A:AL,19,FALSE)-50))</f>
        <v>-</v>
      </c>
      <c r="U404" s="9">
        <f>IF(ISERROR(VLOOKUP($A404,'SegEnds_NonXtal_BW#'!$A:$Z,15,FALSE)+VLOOKUP($A404,A:AL,22,FALSE)-50),"-",VLOOKUP($A404,'SegEnds_NonXtal_BW#'!$A:$Z,15,FALSE)+VLOOKUP($A404,A:AL,22,FALSE)-50)</f>
        <v>140</v>
      </c>
      <c r="V404" s="3">
        <v>152</v>
      </c>
      <c r="W404" s="3">
        <f>IF(ISERROR(VLOOKUP($A404,'SegEnds_NonXtal_BW#'!$A:$Z,16,FALSE)+VLOOKUP($A404,A:AL,22,FALSE)-50),"-",(VLOOKUP($A404,'SegEnds_NonXtal_BW#'!$A:$Z,16,FALSE)+VLOOKUP($A404,A:AL,22,FALSE)-50))</f>
        <v>165</v>
      </c>
      <c r="X404" s="3">
        <f>IF(ISERROR(VLOOKUP($A404,'SegEnds_NonXtal_BW#'!$A:$Z,17,FALSE)+VLOOKUP($A404,A:AL,25,FALSE)-50),"-",(VLOOKUP($A404,'SegEnds_NonXtal_BW#'!$A:$Z,17,FALSE)+VLOOKUP($A404,A:AL,25,FALSE)-50))</f>
        <v>173</v>
      </c>
      <c r="Y404" s="3">
        <v>173</v>
      </c>
      <c r="Z404" s="3">
        <f t="shared" si="234"/>
        <v>175</v>
      </c>
      <c r="AA404" s="3">
        <f>IF(ISERROR(VLOOKUP($A404,'SegEnds_NonXtal_BW#'!$A:$Z,19,FALSE)+VLOOKUP($A404,A:AL,28,FALSE)-50),"-",(VLOOKUP($A404,'SegEnds_NonXtal_BW#'!$A:$Z,19,FALSE)+VLOOKUP($A404,A:AL,28,FALSE)-50))</f>
        <v>182</v>
      </c>
      <c r="AB404" s="3">
        <v>200</v>
      </c>
      <c r="AC404" s="3">
        <f>IF(ISERROR((VLOOKUP($A404,'SegEnds_NonXtal_BW#'!$A:$Z,20,FALSE)+VLOOKUP($A404,A:AL,28,FALSE)-50)),"-",(VLOOKUP($A404,'SegEnds_NonXtal_BW#'!$A:$Z,20,FALSE)+VLOOKUP($A404,A:AL,28,FALSE)-50))</f>
        <v>218</v>
      </c>
      <c r="AD404" s="3">
        <f>IF(ISERROR(VLOOKUP($A404,'SegEnds_NonXtal_BW#'!$A:$Z,21,FALSE)+VLOOKUP($A404,A:AL,31,FALSE)-50),"-",(VLOOKUP($A404,'SegEnds_NonXtal_BW#'!$A:$Z,21,FALSE)+VLOOKUP($A404,A:AL,31,FALSE)-50))</f>
        <v>222</v>
      </c>
      <c r="AE404" s="3">
        <v>243</v>
      </c>
      <c r="AF404" s="3">
        <f>IF(ISERROR((VLOOKUP($A404,'SegEnds_NonXtal_BW#'!$A:$Z,22,FALSE)+VLOOKUP($A404,A:AL,31,FALSE)-50)),"-",(VLOOKUP($A404,'SegEnds_NonXtal_BW#'!$A:$Z,22,FALSE)+VLOOKUP($A404,A:AL,31,FALSE)-50))</f>
        <v>257</v>
      </c>
      <c r="AG404" s="3">
        <f>IF(ISERROR(VLOOKUP($A404,'SegEnds_NonXtal_BW#'!$A:$Z,23,FALSE)+VLOOKUP($A404,A:AL,34,FALSE)-50),"-",(VLOOKUP($A404,'SegEnds_NonXtal_BW#'!$A:$Z,23,FALSE)+VLOOKUP($A404,A:AL,34,FALSE)-50))</f>
        <v>262</v>
      </c>
      <c r="AH404" s="3">
        <v>288</v>
      </c>
      <c r="AI404" s="3">
        <f>IF(ISERROR((VLOOKUP($A404,'SegEnds_NonXtal_BW#'!$A:$Z,24,FALSE)+VLOOKUP($A404,A:AL,34,FALSE)-50)),"-",(VLOOKUP($A404,'SegEnds_NonXtal_BW#'!$A:$Z,24,FALSE)+VLOOKUP($A404,A:AL,34,FALSE)-50))</f>
        <v>294</v>
      </c>
      <c r="AJ404" s="3">
        <f>IF(ISERROR(VLOOKUP($A404,'SegEnds_NonXtal_BW#'!$A:$Z,25,FALSE)+VLOOKUP($A404,A:AL,37,FALSE)-50),"-",(VLOOKUP($A404,'SegEnds_NonXtal_BW#'!$A:$Z,25,FALSE)+VLOOKUP($A404,A:AL,37,FALSE)-50))</f>
        <v>295</v>
      </c>
      <c r="AK404" s="3">
        <v>298</v>
      </c>
      <c r="AL404" s="3">
        <f>IF(ISERROR((VLOOKUP($A404,'SegEnds_NonXtal_BW#'!$A:$Z,26,FALSE)+VLOOKUP($A404,A:AL,37,FALSE)-50)),"-",(VLOOKUP($A404,'SegEnds_NonXtal_BW#'!$A:$Z,26,FALSE)+VLOOKUP($A404,A:AL,37,FALSE)-50))</f>
        <v>310</v>
      </c>
      <c r="AM404" s="28" t="str">
        <f>VLOOKUP(A404,Classification!A:B,2,FALSE)</f>
        <v>A</v>
      </c>
      <c r="AN404" s="28" t="b">
        <f t="shared" si="232"/>
        <v>1</v>
      </c>
      <c r="AO404" s="3" t="str">
        <f>IF(ISERROR(MATCH(A404,'SegEnds_Xtal_Prot#'!B:B, 0)), "NoXtal", "Xtal")</f>
        <v>Xtal</v>
      </c>
      <c r="AP404" s="3">
        <f t="shared" si="217"/>
        <v>1</v>
      </c>
      <c r="AQ404" s="3">
        <f t="shared" si="218"/>
        <v>1</v>
      </c>
      <c r="AR404" s="3" t="str">
        <f t="shared" si="219"/>
        <v>-</v>
      </c>
      <c r="AS404" s="3" t="str">
        <f t="shared" si="220"/>
        <v>-</v>
      </c>
      <c r="AT404" s="3" t="str">
        <f t="shared" si="221"/>
        <v>-</v>
      </c>
      <c r="AU404" s="3" t="str">
        <f t="shared" si="222"/>
        <v>-</v>
      </c>
      <c r="AV404" s="3">
        <f t="shared" si="223"/>
        <v>8</v>
      </c>
      <c r="AW404" s="3">
        <f t="shared" si="224"/>
        <v>7</v>
      </c>
      <c r="AX404" s="3">
        <f t="shared" si="225"/>
        <v>4</v>
      </c>
      <c r="AY404" s="3">
        <f t="shared" si="226"/>
        <v>5</v>
      </c>
      <c r="AZ404" s="3">
        <f t="shared" si="227"/>
        <v>1</v>
      </c>
      <c r="BA404" s="3">
        <f>IF(ISERROR(LEN(VLOOKUP(A404,Seqs!A:E,2,FALSE))-AL404),"-",LEN(VLOOKUP(A404,Seqs!A:E,2,FALSE))-AL404)</f>
        <v>44</v>
      </c>
      <c r="BB404" s="16">
        <f t="shared" si="228"/>
        <v>28</v>
      </c>
      <c r="BC404" s="9" t="str">
        <f t="shared" si="229"/>
        <v>-</v>
      </c>
      <c r="BD404" s="3">
        <f t="shared" si="230"/>
        <v>28</v>
      </c>
      <c r="BE404" s="3">
        <f t="shared" si="231"/>
        <v>43</v>
      </c>
    </row>
    <row r="405" spans="1:58" s="3" customFormat="1" x14ac:dyDescent="0.2">
      <c r="A405" s="3" t="s">
        <v>412</v>
      </c>
      <c r="B405" s="3" t="str">
        <f>LOWER(VLOOKUP(A405,Xtal_Templ!A:B,2,FALSE))</f>
        <v>glp1r_human</v>
      </c>
      <c r="C405" s="3">
        <f>VLOOKUP($A405,'SegEnds_NonXtal_BW#'!$A:$Z,3,FALSE)+D405-50</f>
        <v>136</v>
      </c>
      <c r="D405" s="3">
        <v>157</v>
      </c>
      <c r="E405" s="3">
        <f>IF(ISERROR(VLOOKUP($A405,'SegEnds_NonXtal_BW#'!$A:$Z,4,FALSE)+VLOOKUP($A405,A:AL,4,FALSE)-50),"-",(VLOOKUP($A405,'SegEnds_NonXtal_BW#'!$A:$Z,4,FALSE)+VLOOKUP($A405,A:AL,4,FALSE)-50))</f>
        <v>167</v>
      </c>
      <c r="F405" s="3">
        <f>G405-2</f>
        <v>168</v>
      </c>
      <c r="G405" s="3">
        <v>170</v>
      </c>
      <c r="H405" s="3">
        <f>G405+1</f>
        <v>171</v>
      </c>
      <c r="I405" s="3">
        <f t="shared" si="233"/>
        <v>172</v>
      </c>
      <c r="J405" s="3">
        <v>185</v>
      </c>
      <c r="K405" s="3">
        <f>VLOOKUP($A405,'SegEnds_NonXtal_BW#'!$A:$Z,8,FALSE)+VLOOKUP($A405,A:AL,10,FALSE)-50</f>
        <v>199</v>
      </c>
      <c r="L405" s="3" t="str">
        <f>IF(ISERROR(VLOOKUP($A405,'SegEnds_NonXtal_BW#'!$A:$Z,9,FALSE)+VLOOKUP($A405,A:AL,13,FALSE)-50),"-",(VLOOKUP($A405,'SegEnds_NonXtal_BW#'!$A:$Z,9,FALSE)+VLOOKUP($A405,A:AL,13,FALSE)-50))</f>
        <v>-</v>
      </c>
      <c r="M405" s="3" t="s">
        <v>23</v>
      </c>
      <c r="N405" s="3" t="str">
        <f>IF(ISERROR(VLOOKUP($A405,'SegEnds_NonXtal_BW#'!$A:$Z,10,FALSE)+VLOOKUP($A405,A:AL,13,FALSE)-50),"-",(VLOOKUP($A405,'SegEnds_NonXtal_BW#'!$A:$Z,10,FALSE)+VLOOKUP($A405,A:AL,13,FALSE)-50))</f>
        <v>-</v>
      </c>
      <c r="O405" s="3">
        <f>VLOOKUP($A405,'SegEnds_NonXtal_BW#'!$A:$Z,11,FALSE)+VLOOKUP($A405,A:AL,16,FALSE)-50</f>
        <v>211</v>
      </c>
      <c r="P405" s="3">
        <v>240</v>
      </c>
      <c r="Q405" s="3">
        <f>VLOOKUP($A405,'SegEnds_NonXtal_BW#'!$A:$Z,12,FALSE)+VLOOKUP($A405,A:AL,16,FALSE)-50</f>
        <v>246</v>
      </c>
      <c r="R405" s="3" t="str">
        <f>IF(ISERROR(VLOOKUP($A405,'SegEnds_NonXtal_BW#'!$A:$Z,13,FALSE)+VLOOKUP($A405,A:AL,19,FALSE)-50),"-",VLOOKUP($A405,'SegEnds_NonXtal_BW#'!$A:$Z,13,FALSE)+VLOOKUP($A405,A:AL,19,FALSE)-50)</f>
        <v>-</v>
      </c>
      <c r="S405" s="3" t="s">
        <v>23</v>
      </c>
      <c r="T405" s="103" t="str">
        <f>IF(ISERROR(VLOOKUP($A405,'SegEnds_NonXtal_BW#'!$A:$Z,14,FALSE)+VLOOKUP($A405,A:AL,19,FALSE)-50),"-",(VLOOKUP($A405,'SegEnds_NonXtal_BW#'!$A:$Z,14,FALSE)+VLOOKUP($A405,A:AL,19,FALSE)-50))</f>
        <v>-</v>
      </c>
      <c r="U405" s="9">
        <f>IF(ISERROR(VLOOKUP($A405,'SegEnds_NonXtal_BW#'!$A:$Z,15,FALSE)+VLOOKUP($A405,A:AL,22,FALSE)-50),"-",VLOOKUP($A405,'SegEnds_NonXtal_BW#'!$A:$Z,15,FALSE)+VLOOKUP($A405,A:AL,22,FALSE)-50)</f>
        <v>251</v>
      </c>
      <c r="V405" s="3">
        <v>263</v>
      </c>
      <c r="W405" s="3">
        <f>IF(ISERROR(VLOOKUP($A405,'SegEnds_NonXtal_BW#'!$A:$Z,16,FALSE)+VLOOKUP($A405,A:AL,22,FALSE)-50),"-",(VLOOKUP($A405,'SegEnds_NonXtal_BW#'!$A:$Z,16,FALSE)+VLOOKUP($A405,A:AL,22,FALSE)-50))</f>
        <v>281</v>
      </c>
      <c r="X405" s="3">
        <f>IF(ISERROR(VLOOKUP($A405,'SegEnds_NonXtal_BW#'!$A:$Z,17,FALSE)+VLOOKUP($A405,A:AL,25,FALSE)-50),"-",(VLOOKUP($A405,'SegEnds_NonXtal_BW#'!$A:$Z,17,FALSE)+VLOOKUP($A405,A:AL,25,FALSE)-50))</f>
        <v>285</v>
      </c>
      <c r="Y405" s="3">
        <v>285</v>
      </c>
      <c r="Z405" s="3">
        <f t="shared" si="234"/>
        <v>287</v>
      </c>
      <c r="AA405" s="3">
        <f>IF(ISERROR(VLOOKUP($A405,'SegEnds_NonXtal_BW#'!$A:$Z,19,FALSE)+VLOOKUP($A405,A:AL,28,FALSE)-50),"-",(VLOOKUP($A405,'SegEnds_NonXtal_BW#'!$A:$Z,19,FALSE)+VLOOKUP($A405,A:AL,28,FALSE)-50))</f>
        <v>293</v>
      </c>
      <c r="AB405" s="3">
        <v>304</v>
      </c>
      <c r="AC405" s="3">
        <f>IF(ISERROR((VLOOKUP($A405,'SegEnds_NonXtal_BW#'!$A:$Z,20,FALSE)+VLOOKUP($A405,A:AL,28,FALSE)-50)),"-",(VLOOKUP($A405,'SegEnds_NonXtal_BW#'!$A:$Z,20,FALSE)+VLOOKUP($A405,A:AL,28,FALSE)-50))</f>
        <v>323</v>
      </c>
      <c r="AD405" s="3">
        <f>IF(ISERROR(VLOOKUP($A405,'SegEnds_NonXtal_BW#'!$A:$Z,21,FALSE)+VLOOKUP($A405,A:AL,31,FALSE)-50),"-",(VLOOKUP($A405,'SegEnds_NonXtal_BW#'!$A:$Z,21,FALSE)+VLOOKUP($A405,A:AL,31,FALSE)-50))</f>
        <v>331</v>
      </c>
      <c r="AE405" s="3">
        <v>356</v>
      </c>
      <c r="AF405" s="3">
        <f>IF(ISERROR((VLOOKUP($A405,'SegEnds_NonXtal_BW#'!$A:$Z,22,FALSE)+VLOOKUP($A405,A:AL,31,FALSE)-50)),"-",(VLOOKUP($A405,'SegEnds_NonXtal_BW#'!$A:$Z,22,FALSE)+VLOOKUP($A405,A:AL,31,FALSE)-50))</f>
        <v>364</v>
      </c>
      <c r="AG405" s="3">
        <f>IF(ISERROR(VLOOKUP($A405,'SegEnds_NonXtal_BW#'!$A:$Z,23,FALSE)+VLOOKUP($A405,A:AL,34,FALSE)-50),"-",(VLOOKUP($A405,'SegEnds_NonXtal_BW#'!$A:$Z,23,FALSE)+VLOOKUP($A405,A:AL,34,FALSE)-50))</f>
        <v>366</v>
      </c>
      <c r="AH405" s="3">
        <v>385</v>
      </c>
      <c r="AI405" s="3">
        <f>IF(ISERROR((VLOOKUP($A405,'SegEnds_NonXtal_BW#'!$A:$Z,24,FALSE)+VLOOKUP($A405,A:AL,34,FALSE)-50)),"-",(VLOOKUP($A405,'SegEnds_NonXtal_BW#'!$A:$Z,24,FALSE)+VLOOKUP($A405,A:AL,34,FALSE)-50))</f>
        <v>391</v>
      </c>
      <c r="AJ405" s="3">
        <f>IF(ISERROR(VLOOKUP($A405,'SegEnds_NonXtal_BW#'!$A:$Z,25,FALSE)+VLOOKUP($A405,A:AL,37,FALSE)-50),"-",(VLOOKUP($A405,'SegEnds_NonXtal_BW#'!$A:$Z,25,FALSE)+VLOOKUP($A405,A:AL,37,FALSE)-50))</f>
        <v>392</v>
      </c>
      <c r="AK405" s="3">
        <v>395</v>
      </c>
      <c r="AL405" s="3">
        <f>IF(ISERROR((VLOOKUP($A405,'SegEnds_NonXtal_BW#'!$A:$Z,26,FALSE)+VLOOKUP($A405,A:AL,37,FALSE)-50)),"-",(VLOOKUP($A405,'SegEnds_NonXtal_BW#'!$A:$Z,26,FALSE)+VLOOKUP($A405,A:AL,37,FALSE)-50))</f>
        <v>417</v>
      </c>
      <c r="AM405" s="28" t="str">
        <f>VLOOKUP(A405,Classification!A:B,2,FALSE)</f>
        <v>B1</v>
      </c>
      <c r="AN405" s="28" t="b">
        <f t="shared" si="232"/>
        <v>1</v>
      </c>
      <c r="AO405" s="3" t="str">
        <f>IF(ISERROR(MATCH(A405,'SegEnds_Xtal_Prot#'!B:B, 0)), "NoXtal", "Xtal")</f>
        <v>NoXtal</v>
      </c>
      <c r="AP405" s="3">
        <f t="shared" si="217"/>
        <v>1</v>
      </c>
      <c r="AQ405" s="3">
        <f t="shared" si="218"/>
        <v>1</v>
      </c>
      <c r="AR405" s="3" t="str">
        <f t="shared" si="219"/>
        <v>-</v>
      </c>
      <c r="AS405" s="3" t="str">
        <f t="shared" si="220"/>
        <v>-</v>
      </c>
      <c r="AT405" s="3" t="str">
        <f t="shared" si="221"/>
        <v>-</v>
      </c>
      <c r="AU405" s="3" t="str">
        <f t="shared" si="222"/>
        <v>-</v>
      </c>
      <c r="AV405" s="3">
        <f t="shared" si="223"/>
        <v>4</v>
      </c>
      <c r="AW405" s="3">
        <f t="shared" si="224"/>
        <v>6</v>
      </c>
      <c r="AX405" s="3">
        <f t="shared" si="225"/>
        <v>8</v>
      </c>
      <c r="AY405" s="3">
        <f t="shared" si="226"/>
        <v>2</v>
      </c>
      <c r="AZ405" s="3">
        <f t="shared" si="227"/>
        <v>1</v>
      </c>
      <c r="BA405" s="3">
        <f>IF(ISERROR(LEN(VLOOKUP(A405,Seqs!A:E,2,FALSE))-AL405),"-",LEN(VLOOKUP(A405,Seqs!A:E,2,FALSE))-AL405)</f>
        <v>40</v>
      </c>
      <c r="BB405" s="16">
        <f t="shared" si="228"/>
        <v>28</v>
      </c>
      <c r="BC405" s="9" t="str">
        <f t="shared" si="229"/>
        <v>-</v>
      </c>
      <c r="BD405" s="3">
        <f t="shared" si="230"/>
        <v>28</v>
      </c>
      <c r="BE405" s="3">
        <f t="shared" si="231"/>
        <v>52</v>
      </c>
    </row>
    <row r="406" spans="1:58" s="3" customFormat="1" x14ac:dyDescent="0.2">
      <c r="A406" s="3" t="s">
        <v>413</v>
      </c>
      <c r="B406" s="3" t="str">
        <f>LOWER(VLOOKUP(A406,Xtal_Templ!A:B,2,FALSE))</f>
        <v>glr_human</v>
      </c>
      <c r="C406" s="3">
        <f>VLOOKUP($A406,'SegEnds_NonXtal_BW#'!$A:$Z,3,FALSE)+D406-50</f>
        <v>116</v>
      </c>
      <c r="D406" s="3">
        <v>141</v>
      </c>
      <c r="E406" s="3">
        <f>IF(ISERROR(VLOOKUP($A406,'SegEnds_NonXtal_BW#'!$A:$Z,4,FALSE)+VLOOKUP($A406,A:AL,4,FALSE)-50),"-",(VLOOKUP($A406,'SegEnds_NonXtal_BW#'!$A:$Z,4,FALSE)+VLOOKUP($A406,A:AL,4,FALSE)-50))</f>
        <v>151</v>
      </c>
      <c r="F406" s="3">
        <f>G406-2</f>
        <v>152</v>
      </c>
      <c r="G406" s="3">
        <v>154</v>
      </c>
      <c r="H406" s="3">
        <f>G406+1</f>
        <v>155</v>
      </c>
      <c r="I406" s="3">
        <f t="shared" si="233"/>
        <v>156</v>
      </c>
      <c r="J406" s="3">
        <v>169</v>
      </c>
      <c r="K406" s="3">
        <f>VLOOKUP($A406,'SegEnds_NonXtal_BW#'!$A:$Z,8,FALSE)+VLOOKUP($A406,A:AL,10,FALSE)-50</f>
        <v>183</v>
      </c>
      <c r="L406" s="3" t="str">
        <f>IF(ISERROR(VLOOKUP($A406,'SegEnds_NonXtal_BW#'!$A:$Z,9,FALSE)+VLOOKUP($A406,A:AL,13,FALSE)-50),"-",(VLOOKUP($A406,'SegEnds_NonXtal_BW#'!$A:$Z,9,FALSE)+VLOOKUP($A406,A:AL,13,FALSE)-50))</f>
        <v>-</v>
      </c>
      <c r="M406" s="3" t="s">
        <v>23</v>
      </c>
      <c r="N406" s="3" t="str">
        <f>IF(ISERROR(VLOOKUP($A406,'SegEnds_NonXtal_BW#'!$A:$Z,10,FALSE)+VLOOKUP($A406,A:AL,13,FALSE)-50),"-",(VLOOKUP($A406,'SegEnds_NonXtal_BW#'!$A:$Z,10,FALSE)+VLOOKUP($A406,A:AL,13,FALSE)-50))</f>
        <v>-</v>
      </c>
      <c r="O406" s="3">
        <f>VLOOKUP($A406,'SegEnds_NonXtal_BW#'!$A:$Z,11,FALSE)+VLOOKUP($A406,A:AL,16,FALSE)-50</f>
        <v>200</v>
      </c>
      <c r="P406" s="3">
        <v>227</v>
      </c>
      <c r="Q406" s="3">
        <f>VLOOKUP($A406,'SegEnds_NonXtal_BW#'!$A:$Z,12,FALSE)+VLOOKUP($A406,A:AL,16,FALSE)-50</f>
        <v>233</v>
      </c>
      <c r="R406" s="3" t="str">
        <f>IF(ISERROR(VLOOKUP($A406,'SegEnds_NonXtal_BW#'!$A:$Z,13,FALSE)+VLOOKUP($A406,A:AL,19,FALSE)-50),"-",VLOOKUP($A406,'SegEnds_NonXtal_BW#'!$A:$Z,13,FALSE)+VLOOKUP($A406,A:AL,19,FALSE)-50)</f>
        <v>-</v>
      </c>
      <c r="S406" s="3" t="s">
        <v>23</v>
      </c>
      <c r="T406" s="103" t="str">
        <f>IF(ISERROR(VLOOKUP($A406,'SegEnds_NonXtal_BW#'!$A:$Z,14,FALSE)+VLOOKUP($A406,A:AL,19,FALSE)-50),"-",(VLOOKUP($A406,'SegEnds_NonXtal_BW#'!$A:$Z,14,FALSE)+VLOOKUP($A406,A:AL,19,FALSE)-50))</f>
        <v>-</v>
      </c>
      <c r="U406" s="9">
        <f>IF(ISERROR(VLOOKUP($A406,'SegEnds_NonXtal_BW#'!$A:$Z,15,FALSE)+VLOOKUP($A406,A:AL,22,FALSE)-50),"-",VLOOKUP($A406,'SegEnds_NonXtal_BW#'!$A:$Z,15,FALSE)+VLOOKUP($A406,A:AL,22,FALSE)-50)</f>
        <v>239</v>
      </c>
      <c r="V406" s="3">
        <v>249</v>
      </c>
      <c r="W406" s="3">
        <f>IF(ISERROR(VLOOKUP($A406,'SegEnds_NonXtal_BW#'!$A:$Z,16,FALSE)+VLOOKUP($A406,A:AL,22,FALSE)-50),"-",(VLOOKUP($A406,'SegEnds_NonXtal_BW#'!$A:$Z,16,FALSE)+VLOOKUP($A406,A:AL,22,FALSE)-50))</f>
        <v>267</v>
      </c>
      <c r="X406" s="3">
        <f>IF(ISERROR(VLOOKUP($A406,'SegEnds_NonXtal_BW#'!$A:$Z,17,FALSE)+VLOOKUP($A406,A:AL,25,FALSE)-50),"-",(VLOOKUP($A406,'SegEnds_NonXtal_BW#'!$A:$Z,17,FALSE)+VLOOKUP($A406,A:AL,25,FALSE)-50))</f>
        <v>271</v>
      </c>
      <c r="Y406" s="3">
        <v>271</v>
      </c>
      <c r="Z406" s="3">
        <f t="shared" si="234"/>
        <v>273</v>
      </c>
      <c r="AA406" s="3">
        <f>IF(ISERROR(VLOOKUP($A406,'SegEnds_NonXtal_BW#'!$A:$Z,19,FALSE)+VLOOKUP($A406,A:AL,28,FALSE)-50),"-",(VLOOKUP($A406,'SegEnds_NonXtal_BW#'!$A:$Z,19,FALSE)+VLOOKUP($A406,A:AL,28,FALSE)-50))</f>
        <v>280</v>
      </c>
      <c r="AB406" s="3">
        <v>291</v>
      </c>
      <c r="AC406" s="3">
        <f>IF(ISERROR((VLOOKUP($A406,'SegEnds_NonXtal_BW#'!$A:$Z,20,FALSE)+VLOOKUP($A406,A:AL,28,FALSE)-50)),"-",(VLOOKUP($A406,'SegEnds_NonXtal_BW#'!$A:$Z,20,FALSE)+VLOOKUP($A406,A:AL,28,FALSE)-50))</f>
        <v>310</v>
      </c>
      <c r="AD406" s="3">
        <f>IF(ISERROR(VLOOKUP($A406,'SegEnds_NonXtal_BW#'!$A:$Z,21,FALSE)+VLOOKUP($A406,A:AL,31,FALSE)-50),"-",(VLOOKUP($A406,'SegEnds_NonXtal_BW#'!$A:$Z,21,FALSE)+VLOOKUP($A406,A:AL,31,FALSE)-50))</f>
        <v>318</v>
      </c>
      <c r="AE406" s="3">
        <v>343</v>
      </c>
      <c r="AF406" s="3">
        <f>IF(ISERROR((VLOOKUP($A406,'SegEnds_NonXtal_BW#'!$A:$Z,22,FALSE)+VLOOKUP($A406,A:AL,31,FALSE)-50)),"-",(VLOOKUP($A406,'SegEnds_NonXtal_BW#'!$A:$Z,22,FALSE)+VLOOKUP($A406,A:AL,31,FALSE)-50))</f>
        <v>346</v>
      </c>
      <c r="AG406" s="3">
        <f>IF(ISERROR(VLOOKUP($A406,'SegEnds_NonXtal_BW#'!$A:$Z,23,FALSE)+VLOOKUP($A406,A:AL,34,FALSE)-50),"-",(VLOOKUP($A406,'SegEnds_NonXtal_BW#'!$A:$Z,23,FALSE)+VLOOKUP($A406,A:AL,34,FALSE)-50))</f>
        <v>353</v>
      </c>
      <c r="AH406" s="3">
        <v>372</v>
      </c>
      <c r="AI406" s="3">
        <f>IF(ISERROR((VLOOKUP($A406,'SegEnds_NonXtal_BW#'!$A:$Z,24,FALSE)+VLOOKUP($A406,A:AL,34,FALSE)-50)),"-",(VLOOKUP($A406,'SegEnds_NonXtal_BW#'!$A:$Z,24,FALSE)+VLOOKUP($A406,A:AL,34,FALSE)-50))</f>
        <v>378</v>
      </c>
      <c r="AJ406" s="3">
        <f>IF(ISERROR(VLOOKUP($A406,'SegEnds_NonXtal_BW#'!$A:$Z,25,FALSE)+VLOOKUP($A406,A:AL,37,FALSE)-50),"-",(VLOOKUP($A406,'SegEnds_NonXtal_BW#'!$A:$Z,25,FALSE)+VLOOKUP($A406,A:AL,37,FALSE)-50))</f>
        <v>379</v>
      </c>
      <c r="AK406" s="3">
        <v>382</v>
      </c>
      <c r="AL406" s="3">
        <f>IF(ISERROR((VLOOKUP($A406,'SegEnds_NonXtal_BW#'!$A:$Z,26,FALSE)+VLOOKUP($A406,A:AL,37,FALSE)-50)),"-",(VLOOKUP($A406,'SegEnds_NonXtal_BW#'!$A:$Z,26,FALSE)+VLOOKUP($A406,A:AL,37,FALSE)-50))</f>
        <v>404</v>
      </c>
      <c r="AM406" s="28" t="str">
        <f>VLOOKUP(A406,Classification!A:B,2,FALSE)</f>
        <v>B1</v>
      </c>
      <c r="AN406" s="28" t="b">
        <f t="shared" si="232"/>
        <v>1</v>
      </c>
      <c r="AO406" s="3" t="str">
        <f>IF(ISERROR(MATCH(A406,'SegEnds_Xtal_Prot#'!B:B, 0)), "NoXtal", "Xtal")</f>
        <v>NoXtal</v>
      </c>
      <c r="AP406" s="3">
        <f t="shared" si="217"/>
        <v>1</v>
      </c>
      <c r="AQ406" s="3">
        <f t="shared" si="218"/>
        <v>1</v>
      </c>
      <c r="AR406" s="3" t="str">
        <f t="shared" si="219"/>
        <v>-</v>
      </c>
      <c r="AS406" s="3" t="str">
        <f t="shared" si="220"/>
        <v>-</v>
      </c>
      <c r="AT406" s="3" t="str">
        <f t="shared" si="221"/>
        <v>-</v>
      </c>
      <c r="AU406" s="3" t="str">
        <f t="shared" si="222"/>
        <v>-</v>
      </c>
      <c r="AV406" s="3">
        <f t="shared" si="223"/>
        <v>4</v>
      </c>
      <c r="AW406" s="3">
        <f t="shared" si="224"/>
        <v>7</v>
      </c>
      <c r="AX406" s="3">
        <f t="shared" si="225"/>
        <v>8</v>
      </c>
      <c r="AY406" s="3">
        <f t="shared" si="226"/>
        <v>7</v>
      </c>
      <c r="AZ406" s="3">
        <f t="shared" si="227"/>
        <v>1</v>
      </c>
      <c r="BA406" s="3">
        <f>IF(ISERROR(LEN(VLOOKUP(A406,Seqs!A:E,2,FALSE))-AL406),"-",LEN(VLOOKUP(A406,Seqs!A:E,2,FALSE))-AL406)</f>
        <v>34</v>
      </c>
      <c r="BB406" s="16">
        <f t="shared" si="228"/>
        <v>28</v>
      </c>
      <c r="BC406" s="9" t="str">
        <f t="shared" si="229"/>
        <v>-</v>
      </c>
      <c r="BD406" s="3">
        <f t="shared" si="230"/>
        <v>28</v>
      </c>
      <c r="BE406" s="3">
        <f t="shared" si="231"/>
        <v>52</v>
      </c>
    </row>
    <row r="407" spans="1:58" s="3" customFormat="1" x14ac:dyDescent="0.2">
      <c r="A407" s="3" t="s">
        <v>1430</v>
      </c>
      <c r="B407" s="3" t="str">
        <f>LOWER(VLOOKUP(A407,Xtal_Templ!A:B,2,FALSE))</f>
        <v>g1sgd4_rabit</v>
      </c>
      <c r="C407" s="3">
        <f>VLOOKUP($A407,'SegEnds_NonXtal_BW#'!$A:$Z,3,FALSE)+D407-50</f>
        <v>137</v>
      </c>
      <c r="D407" s="3">
        <v>159</v>
      </c>
      <c r="E407" s="3">
        <f>IF(ISERROR(VLOOKUP($A407,'SegEnds_NonXtal_BW#'!$A:$Z,4,FALSE)+VLOOKUP($A407,A:AL,4,FALSE)-50),"-",(VLOOKUP($A407,'SegEnds_NonXtal_BW#'!$A:$Z,4,FALSE)+VLOOKUP($A407,A:AL,4,FALSE)-50))</f>
        <v>169</v>
      </c>
      <c r="F407" s="3">
        <f>G407-2</f>
        <v>170</v>
      </c>
      <c r="G407" s="3">
        <v>172</v>
      </c>
      <c r="H407" s="3">
        <f>G407+1</f>
        <v>173</v>
      </c>
      <c r="I407" s="3">
        <f t="shared" ref="I407" si="235">H407+1</f>
        <v>174</v>
      </c>
      <c r="J407" s="3">
        <v>187</v>
      </c>
      <c r="K407" s="3">
        <f>VLOOKUP($A407,'SegEnds_NonXtal_BW#'!$A:$Z,8,FALSE)+VLOOKUP($A407,A:AL,10,FALSE)-50</f>
        <v>211</v>
      </c>
      <c r="L407" s="3" t="str">
        <f>IF(ISERROR(VLOOKUP($A407,'SegEnds_NonXtal_BW#'!$A:$Z,9,FALSE)+VLOOKUP($A407,A:AL,13,FALSE)-50),"-",(VLOOKUP($A407,'SegEnds_NonXtal_BW#'!$A:$Z,9,FALSE)+VLOOKUP($A407,A:AL,13,FALSE)-50))</f>
        <v>-</v>
      </c>
      <c r="M407" s="3" t="s">
        <v>23</v>
      </c>
      <c r="N407" s="3" t="str">
        <f>IF(ISERROR(VLOOKUP($A407,'SegEnds_NonXtal_BW#'!$A:$Z,10,FALSE)+VLOOKUP($A407,A:AL,13,FALSE)-50),"-",(VLOOKUP($A407,'SegEnds_NonXtal_BW#'!$A:$Z,10,FALSE)+VLOOKUP($A407,A:AL,13,FALSE)-50))</f>
        <v>-</v>
      </c>
      <c r="O407" s="3">
        <f>VLOOKUP($A407,'SegEnds_NonXtal_BW#'!$A:$Z,11,FALSE)+VLOOKUP($A407,A:AL,16,FALSE)-50</f>
        <v>224</v>
      </c>
      <c r="P407" s="3">
        <v>251</v>
      </c>
      <c r="Q407" s="3">
        <f>VLOOKUP($A407,'SegEnds_NonXtal_BW#'!$A:$Z,12,FALSE)+VLOOKUP($A407,A:AL,16,FALSE)-50</f>
        <v>257</v>
      </c>
      <c r="R407" s="3" t="str">
        <f>IF(ISERROR(VLOOKUP($A407,'SegEnds_NonXtal_BW#'!$A:$Z,13,FALSE)+VLOOKUP($A407,A:AL,19,FALSE)-50),"-",VLOOKUP($A407,'SegEnds_NonXtal_BW#'!$A:$Z,13,FALSE)+VLOOKUP($A407,A:AL,19,FALSE)-50)</f>
        <v>-</v>
      </c>
      <c r="S407" s="3" t="s">
        <v>23</v>
      </c>
      <c r="T407" s="103" t="str">
        <f>IF(ISERROR(VLOOKUP($A407,'SegEnds_NonXtal_BW#'!$A:$Z,14,FALSE)+VLOOKUP($A407,A:AL,19,FALSE)-50),"-",(VLOOKUP($A407,'SegEnds_NonXtal_BW#'!$A:$Z,14,FALSE)+VLOOKUP($A407,A:AL,19,FALSE)-50))</f>
        <v>-</v>
      </c>
      <c r="U407" s="9">
        <f>IF(ISERROR(VLOOKUP($A407,'SegEnds_NonXtal_BW#'!$A:$Z,15,FALSE)+VLOOKUP($A407,A:AL,22,FALSE)-50),"-",VLOOKUP($A407,'SegEnds_NonXtal_BW#'!$A:$Z,15,FALSE)+VLOOKUP($A407,A:AL,22,FALSE)-50)</f>
        <v>261</v>
      </c>
      <c r="V407" s="3">
        <v>274</v>
      </c>
      <c r="W407" s="3">
        <f>IF(ISERROR(VLOOKUP($A407,'SegEnds_NonXtal_BW#'!$A:$Z,16,FALSE)+VLOOKUP($A407,A:AL,22,FALSE)-50),"-",(VLOOKUP($A407,'SegEnds_NonXtal_BW#'!$A:$Z,16,FALSE)+VLOOKUP($A407,A:AL,22,FALSE)-50))</f>
        <v>292</v>
      </c>
      <c r="X407" s="3">
        <f>IF(ISERROR(VLOOKUP($A407,'SegEnds_NonXtal_BW#'!$A:$Z,17,FALSE)+VLOOKUP($A407,A:AL,25,FALSE)-50),"-",(VLOOKUP($A407,'SegEnds_NonXtal_BW#'!$A:$Z,17,FALSE)+VLOOKUP($A407,A:AL,25,FALSE)-50))</f>
        <v>296</v>
      </c>
      <c r="Y407" s="3">
        <v>296</v>
      </c>
      <c r="Z407" s="3">
        <f t="shared" ref="Z407" si="236">Y407+2</f>
        <v>298</v>
      </c>
      <c r="AA407" s="3">
        <f>IF(ISERROR(VLOOKUP($A407,'SegEnds_NonXtal_BW#'!$A:$Z,19,FALSE)+VLOOKUP($A407,A:AL,28,FALSE)-50),"-",(VLOOKUP($A407,'SegEnds_NonXtal_BW#'!$A:$Z,19,FALSE)+VLOOKUP($A407,A:AL,28,FALSE)-50))</f>
        <v>305</v>
      </c>
      <c r="AB407" s="3">
        <v>316</v>
      </c>
      <c r="AC407" s="3">
        <f>IF(ISERROR((VLOOKUP($A407,'SegEnds_NonXtal_BW#'!$A:$Z,20,FALSE)+VLOOKUP($A407,A:AL,28,FALSE)-50)),"-",(VLOOKUP($A407,'SegEnds_NonXtal_BW#'!$A:$Z,20,FALSE)+VLOOKUP($A407,A:AL,28,FALSE)-50))</f>
        <v>337</v>
      </c>
      <c r="AD407" s="3">
        <f>IF(ISERROR(VLOOKUP($A407,'SegEnds_NonXtal_BW#'!$A:$Z,21,FALSE)+VLOOKUP($A407,A:AL,31,FALSE)-50),"-",(VLOOKUP($A407,'SegEnds_NonXtal_BW#'!$A:$Z,21,FALSE)+VLOOKUP($A407,A:AL,31,FALSE)-50))</f>
        <v>346</v>
      </c>
      <c r="AE407" s="3">
        <v>366</v>
      </c>
      <c r="AF407" s="3">
        <f>IF(ISERROR((VLOOKUP($A407,'SegEnds_NonXtal_BW#'!$A:$Z,22,FALSE)+VLOOKUP($A407,A:AL,31,FALSE)-50)),"-",(VLOOKUP($A407,'SegEnds_NonXtal_BW#'!$A:$Z,22,FALSE)+VLOOKUP($A407,A:AL,31,FALSE)-50))</f>
        <v>369</v>
      </c>
      <c r="AG407" s="3">
        <f>IF(ISERROR(VLOOKUP($A407,'SegEnds_NonXtal_BW#'!$A:$Z,23,FALSE)+VLOOKUP($A407,A:AL,34,FALSE)-50),"-",(VLOOKUP($A407,'SegEnds_NonXtal_BW#'!$A:$Z,23,FALSE)+VLOOKUP($A407,A:AL,34,FALSE)-50))</f>
        <v>379</v>
      </c>
      <c r="AH407" s="3">
        <v>399</v>
      </c>
      <c r="AI407" s="3">
        <f>IF(ISERROR((VLOOKUP($A407,'SegEnds_NonXtal_BW#'!$A:$Z,24,FALSE)+VLOOKUP($A407,A:AL,34,FALSE)-50)),"-",(VLOOKUP($A407,'SegEnds_NonXtal_BW#'!$A:$Z,24,FALSE)+VLOOKUP($A407,A:AL,34,FALSE)-50))</f>
        <v>405</v>
      </c>
      <c r="AJ407" s="3">
        <f>IF(ISERROR(VLOOKUP($A407,'SegEnds_NonXtal_BW#'!$A:$Z,25,FALSE)+VLOOKUP($A407,A:AL,37,FALSE)-50),"-",(VLOOKUP($A407,'SegEnds_NonXtal_BW#'!$A:$Z,25,FALSE)+VLOOKUP($A407,A:AL,37,FALSE)-50))</f>
        <v>406</v>
      </c>
      <c r="AK407" s="3">
        <v>409</v>
      </c>
      <c r="AL407" s="3">
        <f>IF(ISERROR((VLOOKUP($A407,'SegEnds_NonXtal_BW#'!$A:$Z,26,FALSE)+VLOOKUP($A407,A:AL,37,FALSE)-50)),"-",(VLOOKUP($A407,'SegEnds_NonXtal_BW#'!$A:$Z,26,FALSE)+VLOOKUP($A407,A:AL,37,FALSE)-50))</f>
        <v>431</v>
      </c>
      <c r="AM407" s="28" t="str">
        <f>VLOOKUP(A407,Classification!A:B,2,FALSE)</f>
        <v>B1</v>
      </c>
      <c r="AN407" s="28" t="b">
        <f t="shared" ref="AN407" si="237">AND(IF(Y407="-",IF(AA407-W407&gt;3,TRUE,FALSE),TRUE),IF(M407="-",IF(O407-K407&gt;3,TRUE,FALSE),TRUE),C407&lt;E407,OR(E407&lt;F407,F407="-"),OR(F407&lt;H407,F407="-"),OR(H407&lt;I407,H407="-"),I407&lt;K407,OR(K407&lt;L407,L407="-"),OR(L407&lt;N407,L407="-"),OR(N407&lt;O407,N407="-"),O407&lt;Q407,OR(Q407&lt;R407,R407="-"),OR(R407&lt;T407,R407="-"),OR(T407&lt;U407,T407="-"),U407&lt;W407,OR(W407&lt;X407,X407="-"),OR(X407&lt;Z407,X407="-"),OR(Z407&lt;AA407,Z407="-"),AA407&lt;AC407,AC407&lt;AD407,AD407&lt;AF407,AF407&lt;AG407,AG407&lt;AI407,OR(AI407&lt;AJ407,AJ407="-"),OR(AJ407&lt;AL407,AJ407="-"))</f>
        <v>1</v>
      </c>
      <c r="AO407" s="3" t="str">
        <f>IF(ISERROR(MATCH(A407,'SegEnds_Xtal_Prot#'!B:B, 0)), "NoXtal", "Xtal")</f>
        <v>Xtal</v>
      </c>
      <c r="AP407" s="3">
        <f t="shared" ref="AP407" si="238">IF(ISERROR(F407-E407),"-",F407-E407)</f>
        <v>1</v>
      </c>
      <c r="AQ407" s="3">
        <f t="shared" ref="AQ407" si="239">IF(ISERROR(I407-H407),"-",I407-H407)</f>
        <v>1</v>
      </c>
      <c r="AR407" s="3" t="str">
        <f t="shared" ref="AR407" si="240">IF(ISERROR(L407-K407),"-",L407-K407)</f>
        <v>-</v>
      </c>
      <c r="AS407" s="3" t="str">
        <f t="shared" ref="AS407" si="241">IF(ISERROR(O407-N407),"-",O407-N407)</f>
        <v>-</v>
      </c>
      <c r="AT407" s="3" t="str">
        <f t="shared" ref="AT407" si="242">IF(ISERROR(R407-Q407),"-",R407-Q407)</f>
        <v>-</v>
      </c>
      <c r="AU407" s="3" t="str">
        <f t="shared" ref="AU407" si="243">IF(ISERROR(U407-T407),"-",U407-T407)</f>
        <v>-</v>
      </c>
      <c r="AV407" s="3">
        <f t="shared" ref="AV407" si="244">IF(ISERROR(X407-W407),"-",X407-W407)</f>
        <v>4</v>
      </c>
      <c r="AW407" s="3">
        <f t="shared" ref="AW407" si="245">IF(ISERROR(AA407-Z407),"-",AA407-Z407)</f>
        <v>7</v>
      </c>
      <c r="AX407" s="3">
        <f t="shared" ref="AX407" si="246">IF(ISERROR(AD407-AC407),"-",AD407-AC407)</f>
        <v>9</v>
      </c>
      <c r="AY407" s="3">
        <f t="shared" ref="AY407" si="247">IF(ISERROR(AG407-AF407),"-",AG407-AF407)</f>
        <v>10</v>
      </c>
      <c r="AZ407" s="3">
        <f t="shared" ref="AZ407" si="248">IF(ISERROR(AJ407-AI407),"-",AJ407-AI407)</f>
        <v>1</v>
      </c>
      <c r="BA407" s="3">
        <f>IF(ISERROR(LEN(VLOOKUP(A407,Seqs!A:E,2,FALSE))-AL407),"-",LEN(VLOOKUP(A407,Seqs!A:E,2,FALSE))-AL407)</f>
        <v>31</v>
      </c>
      <c r="BB407" s="16">
        <f t="shared" ref="BB407" si="249">J407-D407</f>
        <v>28</v>
      </c>
      <c r="BC407" s="9" t="str">
        <f t="shared" ref="BC407" si="250">IF(ISERROR(V407-S407),"-",V407-S407)</f>
        <v>-</v>
      </c>
      <c r="BD407" s="3">
        <f t="shared" ref="BD407" si="251">J407-D407</f>
        <v>28</v>
      </c>
      <c r="BE407" s="3">
        <f t="shared" ref="BE407" si="252">AE407-AB407</f>
        <v>50</v>
      </c>
    </row>
    <row r="408" spans="1:58" s="3" customFormat="1" x14ac:dyDescent="0.2">
      <c r="T408" s="103"/>
      <c r="U408" s="9"/>
      <c r="AM408" s="28"/>
      <c r="AN408" s="16"/>
      <c r="BB408" s="16"/>
      <c r="BC408" s="9"/>
    </row>
    <row r="409" spans="1:58" s="3" customFormat="1" x14ac:dyDescent="0.2">
      <c r="T409" s="103"/>
      <c r="U409" s="9"/>
      <c r="AM409" s="28"/>
      <c r="AN409" s="16"/>
      <c r="BB409" s="16"/>
      <c r="BC409" s="9"/>
    </row>
  </sheetData>
  <sortState ref="A2:BG406">
    <sortCondition ref="AN2:AN406"/>
    <sortCondition ref="BC2:BC406"/>
    <sortCondition ref="A2:A406"/>
  </sortState>
  <customSheetViews>
    <customSheetView guid="{3E3401AF-8459-8641-BD70-AD04F80E86ED}" scale="120">
      <pane ySplit="1" topLeftCell="A155" activePane="bottomLeft" state="frozenSplit"/>
      <selection pane="bottomLeft" activeCell="AB176" sqref="AB176"/>
      <pageMargins left="0.7" right="0.7" top="0.75" bottom="0.75" header="0.3" footer="0.3"/>
      <pageSetup paperSize="9" orientation="portrait" horizontalDpi="0" verticalDpi="0"/>
    </customSheetView>
  </customSheetViews>
  <conditionalFormatting sqref="AN2:AN407">
    <cfRule type="containsText" dxfId="24" priority="7" operator="containsText" text="FALSE">
      <formula>NOT(ISERROR(SEARCH("FALSE",AN2)))</formula>
    </cfRule>
  </conditionalFormatting>
  <conditionalFormatting sqref="AP1:BA1048576">
    <cfRule type="cellIs" dxfId="23" priority="5" operator="lessThan">
      <formula>1</formula>
    </cfRule>
  </conditionalFormatting>
  <conditionalFormatting sqref="E2:F407">
    <cfRule type="expression" dxfId="22" priority="25">
      <formula>NOT(OR(C2&lt;E2,C2="-",E2="-"))</formula>
    </cfRule>
  </conditionalFormatting>
  <conditionalFormatting sqref="K2:L2 K3 K4:L407">
    <cfRule type="expression" dxfId="21" priority="29">
      <formula>NOT(OR(G2&lt;K2,G2="-",K2="-"))</formula>
    </cfRule>
  </conditionalFormatting>
  <conditionalFormatting sqref="N2:O2 N4:N237 O3:O237 N238:O407">
    <cfRule type="expression" dxfId="20" priority="31">
      <formula>NOT(OR(I2&lt;N2,I2="-",N2="-"))</formula>
    </cfRule>
  </conditionalFormatting>
  <conditionalFormatting sqref="Q2:R407">
    <cfRule type="expression" dxfId="19" priority="33">
      <formula>NOT(OR(K2&lt;Q2,K2="-",Q2="-"))</formula>
    </cfRule>
  </conditionalFormatting>
  <conditionalFormatting sqref="T2:U407">
    <cfRule type="expression" dxfId="18" priority="35">
      <formula>NOT(OR(M2&lt;T2,M2="-",T2="-"))</formula>
    </cfRule>
  </conditionalFormatting>
  <conditionalFormatting sqref="W2:X407">
    <cfRule type="expression" dxfId="17" priority="37">
      <formula>NOT(OR(O2&lt;W2,O2="-",W2="-"))</formula>
    </cfRule>
  </conditionalFormatting>
  <conditionalFormatting sqref="Z2:AA407">
    <cfRule type="expression" dxfId="16" priority="39">
      <formula>NOT(OR(Q2&lt;Z2,Q2="-",Z2="-"))</formula>
    </cfRule>
  </conditionalFormatting>
  <conditionalFormatting sqref="AC2:AD407">
    <cfRule type="expression" dxfId="15" priority="41">
      <formula>NOT(OR(S2&lt;AC2,S2="-",AC2="-"))</formula>
    </cfRule>
  </conditionalFormatting>
  <conditionalFormatting sqref="AF2:AG407">
    <cfRule type="expression" dxfId="14" priority="43">
      <formula>NOT(OR(U2&lt;AF2,U2="-",AF2="-"))</formula>
    </cfRule>
  </conditionalFormatting>
  <conditionalFormatting sqref="AI2:AJ407">
    <cfRule type="expression" dxfId="13" priority="45">
      <formula>NOT(OR(W2&lt;AI2,W2="-",AI2="-"))</formula>
    </cfRule>
  </conditionalFormatting>
  <conditionalFormatting sqref="AL2:AL407">
    <cfRule type="expression" dxfId="12" priority="47">
      <formula>NOT(OR(Y2&lt;AL2,Y2="-",AL2="-"))</formula>
    </cfRule>
  </conditionalFormatting>
  <conditionalFormatting sqref="L3">
    <cfRule type="expression" dxfId="11" priority="3">
      <formula>NOT(OR(H3&lt;L3,H3="-",L3="-"))</formula>
    </cfRule>
  </conditionalFormatting>
  <conditionalFormatting sqref="N3">
    <cfRule type="expression" dxfId="10" priority="4">
      <formula>NOT(OR(I3&lt;N3,I3="-",N3="-"))</formula>
    </cfRule>
  </conditionalFormatting>
  <conditionalFormatting sqref="F2">
    <cfRule type="cellIs" dxfId="9" priority="2" operator="lessThan">
      <formula>$E$2</formula>
    </cfRule>
  </conditionalFormatting>
  <conditionalFormatting sqref="AN1:AN1048576">
    <cfRule type="cellIs" dxfId="8" priority="1" operator="equal">
      <formula>FALSE</formula>
    </cfRule>
  </conditionalFormatting>
  <pageMargins left="0.7" right="0.7" top="0.75" bottom="0.75" header="0.3" footer="0.3"/>
  <pageSetup paperSize="9"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AG410"/>
  <sheetViews>
    <sheetView zoomScale="120" zoomScaleNormal="120" zoomScalePageLayoutView="120" workbookViewId="0">
      <pane ySplit="1" topLeftCell="A2" activePane="bottomLeft" state="frozenSplit"/>
      <selection pane="bottomLeft" activeCell="A3" sqref="A1:A1048576"/>
    </sheetView>
  </sheetViews>
  <sheetFormatPr baseColWidth="10" defaultColWidth="10.83203125" defaultRowHeight="16" x14ac:dyDescent="0.2"/>
  <cols>
    <col min="1" max="1" width="13.33203125" style="4" bestFit="1" customWidth="1"/>
    <col min="2" max="2" width="12.83203125" style="4" bestFit="1" customWidth="1"/>
    <col min="3" max="3" width="3.1640625" style="4" bestFit="1" customWidth="1"/>
    <col min="4" max="4" width="7.33203125" style="4" customWidth="1"/>
    <col min="5" max="6" width="6" style="4" bestFit="1" customWidth="1"/>
    <col min="7" max="7" width="6" style="4" customWidth="1"/>
    <col min="8" max="8" width="7" style="4" bestFit="1" customWidth="1"/>
    <col min="9" max="9" width="6" style="4" bestFit="1" customWidth="1"/>
    <col min="10" max="13" width="5" style="4" bestFit="1" customWidth="1"/>
    <col min="14" max="14" width="6" style="4" bestFit="1" customWidth="1"/>
    <col min="15" max="16" width="6" style="4" customWidth="1"/>
    <col min="17" max="18" width="6" style="4" bestFit="1" customWidth="1"/>
    <col min="19" max="19" width="5" style="4" bestFit="1" customWidth="1"/>
    <col min="20" max="20" width="6" style="4" bestFit="1" customWidth="1"/>
    <col min="21" max="21" width="5" style="27" bestFit="1" customWidth="1"/>
    <col min="22" max="22" width="5" style="51" customWidth="1"/>
    <col min="23" max="24" width="5" style="51" bestFit="1" customWidth="1"/>
    <col min="25" max="25" width="4.1640625" style="51" customWidth="1"/>
    <col min="26" max="26" width="5" style="51" bestFit="1" customWidth="1"/>
    <col min="27" max="27" width="4.6640625" style="27" customWidth="1"/>
    <col min="28" max="30" width="4.6640625" style="51" customWidth="1"/>
    <col min="31" max="31" width="5" style="4" customWidth="1"/>
    <col min="32" max="32" width="4.6640625" style="5" customWidth="1"/>
    <col min="33" max="33" width="4.6640625" style="4" customWidth="1"/>
    <col min="34" max="16384" width="10.83203125" style="4"/>
  </cols>
  <sheetData>
    <row r="1" spans="1:33" s="30" customFormat="1" x14ac:dyDescent="0.2">
      <c r="A1" s="30" t="s">
        <v>31</v>
      </c>
      <c r="B1" s="55" t="s">
        <v>1204</v>
      </c>
      <c r="C1" s="30" t="s">
        <v>99</v>
      </c>
      <c r="D1" s="30" t="s">
        <v>1227</v>
      </c>
      <c r="E1" s="56" t="s">
        <v>13</v>
      </c>
      <c r="F1" s="20" t="s">
        <v>5</v>
      </c>
      <c r="G1" s="4" t="s">
        <v>1370</v>
      </c>
      <c r="H1" s="20" t="s">
        <v>21</v>
      </c>
      <c r="I1" s="54" t="s">
        <v>25</v>
      </c>
      <c r="J1" s="54" t="s">
        <v>26</v>
      </c>
      <c r="K1" s="20" t="s">
        <v>20</v>
      </c>
      <c r="L1" s="20" t="s">
        <v>18</v>
      </c>
      <c r="M1" s="20" t="s">
        <v>14</v>
      </c>
      <c r="N1" s="54" t="s">
        <v>1325</v>
      </c>
      <c r="O1" s="54" t="s">
        <v>1329</v>
      </c>
      <c r="P1" s="54" t="s">
        <v>1373</v>
      </c>
      <c r="Q1" s="20" t="s">
        <v>9</v>
      </c>
      <c r="R1" s="20" t="s">
        <v>1328</v>
      </c>
      <c r="S1" s="20" t="s">
        <v>12</v>
      </c>
      <c r="T1" s="20" t="s">
        <v>1330</v>
      </c>
      <c r="U1" s="26" t="s">
        <v>1315</v>
      </c>
      <c r="V1" s="30" t="s">
        <v>1316</v>
      </c>
      <c r="W1" s="30" t="s">
        <v>1317</v>
      </c>
      <c r="X1" s="30" t="s">
        <v>1318</v>
      </c>
      <c r="Y1" s="30" t="s">
        <v>1319</v>
      </c>
      <c r="Z1" s="106" t="s">
        <v>1390</v>
      </c>
      <c r="AA1" s="26" t="s">
        <v>1320</v>
      </c>
      <c r="AB1" s="26" t="s">
        <v>1321</v>
      </c>
      <c r="AC1" s="26" t="s">
        <v>1322</v>
      </c>
      <c r="AD1" s="26" t="s">
        <v>1323</v>
      </c>
      <c r="AE1" s="30" t="s">
        <v>1324</v>
      </c>
      <c r="AF1" s="26" t="s">
        <v>1326</v>
      </c>
      <c r="AG1" s="30" t="s">
        <v>1327</v>
      </c>
    </row>
    <row r="2" spans="1:33" s="2" customFormat="1" x14ac:dyDescent="0.2">
      <c r="A2" s="2" t="s">
        <v>128</v>
      </c>
      <c r="B2" s="2" t="str">
        <f>LOWER(VLOOKUP(A2,Xtal_Templ!A:B,2,FALSE))</f>
        <v>5ht1b_human</v>
      </c>
      <c r="C2" s="2" t="str">
        <f>VLOOKUP(A2,Classification!A:D,2,FALSE)</f>
        <v>A</v>
      </c>
      <c r="D2" s="2" t="str">
        <f>IF(ISERROR(MATCH(A2,'SegEnds_Xtal_Prot#'!B:B, 0)), "NoXtal", "Xtal")</f>
        <v>NoXtal</v>
      </c>
      <c r="F2" s="2" t="s">
        <v>5</v>
      </c>
      <c r="G2" s="4"/>
      <c r="Q2" s="2" t="s">
        <v>9</v>
      </c>
      <c r="S2" s="4" t="s">
        <v>12</v>
      </c>
      <c r="U2" s="28" t="str">
        <f>MID(VLOOKUP($A2,Seqs!$A:$B,2,FALSE),VLOOKUP($A2,'SegEnds_NonXtal_Prot#'!$A:$AL,10,FALSE),1)</f>
        <v>D</v>
      </c>
      <c r="V2" s="50" t="str">
        <f>MID(VLOOKUP($A2,Seqs!$A:$B,2,FALSE),VLOOKUP($A2,'SegEnds_NonXtal_Prot#'!$A:$AL,10,FALSE)+6,1)</f>
        <v>L</v>
      </c>
      <c r="W2" s="50" t="str">
        <f>MID(VLOOKUP($A2,Seqs!$A:$B,2,FALSE),VLOOKUP($A2,'SegEnds_NonXtal_Prot#'!$A:$AL,10,FALSE)+7,1)</f>
        <v>V</v>
      </c>
      <c r="X2" s="50" t="str">
        <f>MID(VLOOKUP($A2,Seqs!$A:$B,2,FALSE),VLOOKUP($A2,'SegEnds_NonXtal_Prot#'!$A:$AL,10,FALSE)+8,1)</f>
        <v>L</v>
      </c>
      <c r="Y2" s="50" t="str">
        <f>MID(VLOOKUP($A2,Seqs!$A:$B,2,FALSE),VLOOKUP($A2,'SegEnds_NonXtal_Prot#'!A:AL,10,FALSE)+9,1)</f>
        <v>P</v>
      </c>
      <c r="Z2" s="50" t="str">
        <f>MID(VLOOKUP($A2,Seqs!$A:$B,2,FALSE),VLOOKUP($A2,'SegEnds_NonXtal_Prot#'!A:AL,10,FALSE)+10,1)</f>
        <v>M</v>
      </c>
      <c r="AA2" s="28" t="str">
        <f>MID(VLOOKUP($A2,Seqs!$A:$B,2,FALSE),VLOOKUP($A2,'SegEnds_NonXtal_Prot#'!$A:$AL,22,FALSE)+6,1)</f>
        <v>I</v>
      </c>
      <c r="AB2" s="50" t="str">
        <f>MID(VLOOKUP($A2,Seqs!$A:$B,2,FALSE),VLOOKUP($A2,'SegEnds_NonXtal_Prot#'!$A:$AL,22,FALSE)+7,1)</f>
        <v>S</v>
      </c>
      <c r="AC2" s="50" t="str">
        <f>MID(VLOOKUP($A2,Seqs!$A:$B,2,FALSE),VLOOKUP($A2,'SegEnds_NonXtal_Prot#'!$A:$AL,22,FALSE)+8,1)</f>
        <v>I</v>
      </c>
      <c r="AD2" s="50" t="str">
        <f>MID(VLOOKUP($A2,Seqs!$A:$B,2,FALSE),VLOOKUP($A2,'SegEnds_NonXtal_Prot#'!$A:$AL,22,FALSE)+9,1)</f>
        <v>P</v>
      </c>
      <c r="AE2" s="50" t="str">
        <f>MID(VLOOKUP($A2,Seqs!$A:$B,2,FALSE),VLOOKUP($A2,'SegEnds_NonXtal_Prot#'!$A:$AL,22,FALSE)+10,1)</f>
        <v>P</v>
      </c>
      <c r="AF2" s="28" t="str">
        <f>MID(VLOOKUP($A2,Seqs!$A:$B,2,FALSE),VLOOKUP($A2,'SegEnds_NonXtal_Prot#'!$A:$AL,28,FALSE)-4,1)</f>
        <v>A</v>
      </c>
      <c r="AG2" s="50" t="str">
        <f>MID(VLOOKUP($A2,Seqs!$A:$B,2,FALSE),VLOOKUP($A2,'SegEnds_NonXtal_Prot#'!$A:$AL,28,FALSE),1)</f>
        <v>P</v>
      </c>
    </row>
    <row r="3" spans="1:33" s="2" customFormat="1" x14ac:dyDescent="0.2">
      <c r="A3" s="2" t="s">
        <v>34</v>
      </c>
      <c r="B3" s="2" t="str">
        <f>LOWER(VLOOKUP(A3,Xtal_Templ!A:B,2,FALSE))</f>
        <v>5ht1b_human</v>
      </c>
      <c r="C3" s="2" t="str">
        <f>VLOOKUP(A3,Classification!A:D,2,FALSE)</f>
        <v>A</v>
      </c>
      <c r="D3" s="2" t="str">
        <f>IF(ISERROR(MATCH(A3,'SegEnds_Xtal_Prot#'!B:B, 0)), "NoXtal", "Xtal")</f>
        <v>Xtal</v>
      </c>
      <c r="F3" s="2" t="s">
        <v>5</v>
      </c>
      <c r="G3" s="4"/>
      <c r="Q3" s="2" t="s">
        <v>9</v>
      </c>
      <c r="S3" s="4" t="s">
        <v>12</v>
      </c>
      <c r="U3" s="28" t="str">
        <f>MID(VLOOKUP($A3,Seqs!$A:$B,2,FALSE),VLOOKUP($A3,'SegEnds_NonXtal_Prot#'!A:AL,10,FALSE),1)</f>
        <v>D</v>
      </c>
      <c r="V3" s="50" t="str">
        <f>MID(VLOOKUP($A3,Seqs!$A:$B,2,FALSE),VLOOKUP($A3,'SegEnds_NonXtal_Prot#'!A:AL,10,FALSE)+6,1)</f>
        <v>L</v>
      </c>
      <c r="W3" s="50" t="str">
        <f>MID(VLOOKUP($A3,Seqs!$A:$B,2,FALSE),VLOOKUP($A3,'SegEnds_NonXtal_Prot#'!A:AL,10,FALSE)+7,1)</f>
        <v>V</v>
      </c>
      <c r="X3" s="50" t="str">
        <f>MID(VLOOKUP($A3,Seqs!$A:$B,2,FALSE),VLOOKUP($A3,'SegEnds_NonXtal_Prot#'!A:AL,10,FALSE)+8,1)</f>
        <v>M</v>
      </c>
      <c r="Y3" s="50" t="str">
        <f>MID(VLOOKUP($A3,Seqs!$A:$B,2,FALSE),VLOOKUP($A3,'SegEnds_NonXtal_Prot#'!A:AL,10,FALSE)+9,1)</f>
        <v>P</v>
      </c>
      <c r="Z3" s="50" t="str">
        <f>MID(VLOOKUP($A3,Seqs!$A:$B,2,FALSE),VLOOKUP($A3,'SegEnds_NonXtal_Prot#'!A:AL,10,FALSE)+10,1)</f>
        <v>I</v>
      </c>
      <c r="AA3" s="28" t="str">
        <f>MID(VLOOKUP($A3,Seqs!$A:$B,2,FALSE),VLOOKUP($A3,'SegEnds_NonXtal_Prot#'!$A:$AL,22,FALSE)+6,1)</f>
        <v>I</v>
      </c>
      <c r="AB3" s="50" t="str">
        <f>MID(VLOOKUP($A3,Seqs!$A:$B,2,FALSE),VLOOKUP($A3,'SegEnds_NonXtal_Prot#'!$A:$AL,22,FALSE)+7,1)</f>
        <v>S</v>
      </c>
      <c r="AC3" s="50" t="str">
        <f>MID(VLOOKUP($A3,Seqs!$A:$B,2,FALSE),VLOOKUP($A3,'SegEnds_NonXtal_Prot#'!$A:$AL,22,FALSE)+8,1)</f>
        <v>L</v>
      </c>
      <c r="AD3" s="50" t="str">
        <f>MID(VLOOKUP($A3,Seqs!$A:$B,2,FALSE),VLOOKUP($A3,'SegEnds_NonXtal_Prot#'!$A:$AL,22,FALSE)+9,1)</f>
        <v>P</v>
      </c>
      <c r="AE3" s="50" t="str">
        <f>MID(VLOOKUP($A3,Seqs!$A:$B,2,FALSE),VLOOKUP($A3,'SegEnds_NonXtal_Prot#'!$A:$AL,22,FALSE)+10,1)</f>
        <v>P</v>
      </c>
      <c r="AF3" s="28" t="str">
        <f>MID(VLOOKUP($A3,Seqs!$A:$B,2,FALSE),VLOOKUP($A3,'SegEnds_NonXtal_Prot#'!$A:$AL,28,FALSE)-4,1)</f>
        <v>A</v>
      </c>
      <c r="AG3" s="50" t="str">
        <f>MID(VLOOKUP($A3,Seqs!$A:$B,2,FALSE),VLOOKUP($A3,'SegEnds_NonXtal_Prot#'!$A:$AL,28,FALSE),1)</f>
        <v>P</v>
      </c>
    </row>
    <row r="4" spans="1:33" s="2" customFormat="1" x14ac:dyDescent="0.2">
      <c r="A4" s="2" t="s">
        <v>129</v>
      </c>
      <c r="B4" s="2" t="str">
        <f>LOWER(VLOOKUP(A4,Xtal_Templ!A:B,2,FALSE))</f>
        <v>5ht1b_human</v>
      </c>
      <c r="C4" s="2" t="str">
        <f>VLOOKUP(A4,Classification!A:D,2,FALSE)</f>
        <v>A</v>
      </c>
      <c r="D4" s="2" t="str">
        <f>IF(ISERROR(MATCH(A4,'SegEnds_Xtal_Prot#'!B:B, 0)), "NoXtal", "Xtal")</f>
        <v>NoXtal</v>
      </c>
      <c r="F4" s="2" t="s">
        <v>5</v>
      </c>
      <c r="G4" s="4"/>
      <c r="Q4" s="2" t="s">
        <v>9</v>
      </c>
      <c r="S4" s="4" t="s">
        <v>12</v>
      </c>
      <c r="U4" s="28" t="str">
        <f>MID(VLOOKUP($A4,Seqs!$A:$B,2,FALSE),VLOOKUP($A4,'SegEnds_NonXtal_Prot#'!A:AL,10,FALSE),1)</f>
        <v>D</v>
      </c>
      <c r="V4" s="50" t="str">
        <f>MID(VLOOKUP($A4,Seqs!$A:$B,2,FALSE),VLOOKUP($A4,'SegEnds_NonXtal_Prot#'!A:AL,10,FALSE)+6,1)</f>
        <v>L</v>
      </c>
      <c r="W4" s="50" t="str">
        <f>MID(VLOOKUP($A4,Seqs!$A:$B,2,FALSE),VLOOKUP($A4,'SegEnds_NonXtal_Prot#'!A:AL,10,FALSE)+7,1)</f>
        <v>V</v>
      </c>
      <c r="X4" s="50" t="str">
        <f>MID(VLOOKUP($A4,Seqs!$A:$B,2,FALSE),VLOOKUP($A4,'SegEnds_NonXtal_Prot#'!A:AL,10,FALSE)+8,1)</f>
        <v>M</v>
      </c>
      <c r="Y4" s="50" t="str">
        <f>MID(VLOOKUP($A4,Seqs!$A:$B,2,FALSE),VLOOKUP($A4,'SegEnds_NonXtal_Prot#'!A:AL,10,FALSE)+9,1)</f>
        <v>P</v>
      </c>
      <c r="Z4" s="50" t="str">
        <f>MID(VLOOKUP($A4,Seqs!$A:$B,2,FALSE),VLOOKUP($A4,'SegEnds_NonXtal_Prot#'!A:AL,10,FALSE)+10,1)</f>
        <v>I</v>
      </c>
      <c r="AA4" s="28" t="str">
        <f>MID(VLOOKUP($A4,Seqs!$A:$B,2,FALSE),VLOOKUP($A4,'SegEnds_NonXtal_Prot#'!$A:$AL,22,FALSE)+6,1)</f>
        <v>I</v>
      </c>
      <c r="AB4" s="50" t="str">
        <f>MID(VLOOKUP($A4,Seqs!$A:$B,2,FALSE),VLOOKUP($A4,'SegEnds_NonXtal_Prot#'!$A:$AL,22,FALSE)+7,1)</f>
        <v>S</v>
      </c>
      <c r="AC4" s="50" t="str">
        <f>MID(VLOOKUP($A4,Seqs!$A:$B,2,FALSE),VLOOKUP($A4,'SegEnds_NonXtal_Prot#'!$A:$AL,22,FALSE)+8,1)</f>
        <v>I</v>
      </c>
      <c r="AD4" s="50" t="str">
        <f>MID(VLOOKUP($A4,Seqs!$A:$B,2,FALSE),VLOOKUP($A4,'SegEnds_NonXtal_Prot#'!$A:$AL,22,FALSE)+9,1)</f>
        <v>P</v>
      </c>
      <c r="AE4" s="50" t="str">
        <f>MID(VLOOKUP($A4,Seqs!$A:$B,2,FALSE),VLOOKUP($A4,'SegEnds_NonXtal_Prot#'!$A:$AL,22,FALSE)+10,1)</f>
        <v>P</v>
      </c>
      <c r="AF4" s="28" t="str">
        <f>MID(VLOOKUP($A4,Seqs!$A:$B,2,FALSE),VLOOKUP($A4,'SegEnds_NonXtal_Prot#'!$A:$AL,28,FALSE)-4,1)</f>
        <v>A</v>
      </c>
      <c r="AG4" s="50" t="str">
        <f>MID(VLOOKUP($A4,Seqs!$A:$B,2,FALSE),VLOOKUP($A4,'SegEnds_NonXtal_Prot#'!$A:$AL,28,FALSE),1)</f>
        <v>P</v>
      </c>
    </row>
    <row r="5" spans="1:33" s="2" customFormat="1" x14ac:dyDescent="0.2">
      <c r="A5" s="2" t="s">
        <v>130</v>
      </c>
      <c r="B5" s="2" t="str">
        <f>LOWER(VLOOKUP(A5,Xtal_Templ!A:B,2,FALSE))</f>
        <v>5ht1b_human</v>
      </c>
      <c r="C5" s="2" t="str">
        <f>VLOOKUP(A5,Classification!A:D,2,FALSE)</f>
        <v>A</v>
      </c>
      <c r="D5" s="2" t="str">
        <f>IF(ISERROR(MATCH(A5,'SegEnds_Xtal_Prot#'!B:B, 0)), "NoXtal", "Xtal")</f>
        <v>NoXtal</v>
      </c>
      <c r="F5" s="2" t="s">
        <v>5</v>
      </c>
      <c r="G5" s="4"/>
      <c r="Q5" s="2" t="s">
        <v>9</v>
      </c>
      <c r="S5" s="4" t="s">
        <v>12</v>
      </c>
      <c r="U5" s="28" t="str">
        <f>MID(VLOOKUP($A5,Seqs!$A:$B,2,FALSE),VLOOKUP($A5,'SegEnds_NonXtal_Prot#'!A:AL,10,FALSE),1)</f>
        <v>D</v>
      </c>
      <c r="V5" s="50" t="str">
        <f>MID(VLOOKUP($A5,Seqs!$A:$B,2,FALSE),VLOOKUP($A5,'SegEnds_NonXtal_Prot#'!A:AL,10,FALSE)+6,1)</f>
        <v>L</v>
      </c>
      <c r="W5" s="50" t="str">
        <f>MID(VLOOKUP($A5,Seqs!$A:$B,2,FALSE),VLOOKUP($A5,'SegEnds_NonXtal_Prot#'!A:AL,10,FALSE)+7,1)</f>
        <v>V</v>
      </c>
      <c r="X5" s="50" t="str">
        <f>MID(VLOOKUP($A5,Seqs!$A:$B,2,FALSE),VLOOKUP($A5,'SegEnds_NonXtal_Prot#'!A:AL,10,FALSE)+8,1)</f>
        <v>M</v>
      </c>
      <c r="Y5" s="50" t="str">
        <f>MID(VLOOKUP($A5,Seqs!$A:$B,2,FALSE),VLOOKUP($A5,'SegEnds_NonXtal_Prot#'!A:AL,10,FALSE)+9,1)</f>
        <v>P</v>
      </c>
      <c r="Z5" s="50" t="str">
        <f>MID(VLOOKUP($A5,Seqs!$A:$B,2,FALSE),VLOOKUP($A5,'SegEnds_NonXtal_Prot#'!A:AL,10,FALSE)+10,1)</f>
        <v>L</v>
      </c>
      <c r="AA5" s="28" t="str">
        <f>MID(VLOOKUP($A5,Seqs!$A:$B,2,FALSE),VLOOKUP($A5,'SegEnds_NonXtal_Prot#'!$A:$AL,22,FALSE)+6,1)</f>
        <v>I</v>
      </c>
      <c r="AB5" s="50" t="str">
        <f>MID(VLOOKUP($A5,Seqs!$A:$B,2,FALSE),VLOOKUP($A5,'SegEnds_NonXtal_Prot#'!$A:$AL,22,FALSE)+7,1)</f>
        <v>S</v>
      </c>
      <c r="AC5" s="50" t="str">
        <f>MID(VLOOKUP($A5,Seqs!$A:$B,2,FALSE),VLOOKUP($A5,'SegEnds_NonXtal_Prot#'!$A:$AL,22,FALSE)+8,1)</f>
        <v>M</v>
      </c>
      <c r="AD5" s="50" t="str">
        <f>MID(VLOOKUP($A5,Seqs!$A:$B,2,FALSE),VLOOKUP($A5,'SegEnds_NonXtal_Prot#'!$A:$AL,22,FALSE)+9,1)</f>
        <v>P</v>
      </c>
      <c r="AE5" s="50" t="str">
        <f>MID(VLOOKUP($A5,Seqs!$A:$B,2,FALSE),VLOOKUP($A5,'SegEnds_NonXtal_Prot#'!$A:$AL,22,FALSE)+10,1)</f>
        <v>P</v>
      </c>
      <c r="AF5" s="28" t="str">
        <f>MID(VLOOKUP($A5,Seqs!$A:$B,2,FALSE),VLOOKUP($A5,'SegEnds_NonXtal_Prot#'!$A:$AL,28,FALSE)-4,1)</f>
        <v>A</v>
      </c>
      <c r="AG5" s="50" t="str">
        <f>MID(VLOOKUP($A5,Seqs!$A:$B,2,FALSE),VLOOKUP($A5,'SegEnds_NonXtal_Prot#'!$A:$AL,28,FALSE),1)</f>
        <v>P</v>
      </c>
    </row>
    <row r="6" spans="1:33" s="2" customFormat="1" x14ac:dyDescent="0.2">
      <c r="A6" s="2" t="s">
        <v>131</v>
      </c>
      <c r="B6" s="2" t="str">
        <f>LOWER(VLOOKUP(A6,Xtal_Templ!A:B,2,FALSE))</f>
        <v>5ht1b_human</v>
      </c>
      <c r="C6" s="2" t="str">
        <f>VLOOKUP(A6,Classification!A:D,2,FALSE)</f>
        <v>A</v>
      </c>
      <c r="D6" s="2" t="str">
        <f>IF(ISERROR(MATCH(A6,'SegEnds_Xtal_Prot#'!B:B, 0)), "NoXtal", "Xtal")</f>
        <v>NoXtal</v>
      </c>
      <c r="F6" s="2" t="s">
        <v>5</v>
      </c>
      <c r="G6" s="4"/>
      <c r="Q6" s="2" t="s">
        <v>9</v>
      </c>
      <c r="S6" s="4" t="s">
        <v>12</v>
      </c>
      <c r="U6" s="28" t="str">
        <f>MID(VLOOKUP($A6,Seqs!$A:$B,2,FALSE),VLOOKUP($A6,'SegEnds_NonXtal_Prot#'!A:AL,10,FALSE),1)</f>
        <v>D</v>
      </c>
      <c r="V6" s="50" t="str">
        <f>MID(VLOOKUP($A6,Seqs!$A:$B,2,FALSE),VLOOKUP($A6,'SegEnds_NonXtal_Prot#'!A:AL,10,FALSE)+6,1)</f>
        <v>L</v>
      </c>
      <c r="W6" s="50" t="str">
        <f>MID(VLOOKUP($A6,Seqs!$A:$B,2,FALSE),VLOOKUP($A6,'SegEnds_NonXtal_Prot#'!A:AL,10,FALSE)+7,1)</f>
        <v>V</v>
      </c>
      <c r="X6" s="50" t="str">
        <f>MID(VLOOKUP($A6,Seqs!$A:$B,2,FALSE),VLOOKUP($A6,'SegEnds_NonXtal_Prot#'!A:AL,10,FALSE)+8,1)</f>
        <v>M</v>
      </c>
      <c r="Y6" s="50" t="str">
        <f>MID(VLOOKUP($A6,Seqs!$A:$B,2,FALSE),VLOOKUP($A6,'SegEnds_NonXtal_Prot#'!A:AL,10,FALSE)+9,1)</f>
        <v>P</v>
      </c>
      <c r="Z6" s="50" t="str">
        <f>MID(VLOOKUP($A6,Seqs!$A:$B,2,FALSE),VLOOKUP($A6,'SegEnds_NonXtal_Prot#'!A:AL,10,FALSE)+10,1)</f>
        <v>F</v>
      </c>
      <c r="AA6" s="28" t="str">
        <f>MID(VLOOKUP($A6,Seqs!$A:$B,2,FALSE),VLOOKUP($A6,'SegEnds_NonXtal_Prot#'!$A:$AL,22,FALSE)+6,1)</f>
        <v>I</v>
      </c>
      <c r="AB6" s="50" t="str">
        <f>MID(VLOOKUP($A6,Seqs!$A:$B,2,FALSE),VLOOKUP($A6,'SegEnds_NonXtal_Prot#'!$A:$AL,22,FALSE)+7,1)</f>
        <v>S</v>
      </c>
      <c r="AC6" s="50" t="str">
        <f>MID(VLOOKUP($A6,Seqs!$A:$B,2,FALSE),VLOOKUP($A6,'SegEnds_NonXtal_Prot#'!$A:$AL,22,FALSE)+8,1)</f>
        <v>M</v>
      </c>
      <c r="AD6" s="50" t="str">
        <f>MID(VLOOKUP($A6,Seqs!$A:$B,2,FALSE),VLOOKUP($A6,'SegEnds_NonXtal_Prot#'!$A:$AL,22,FALSE)+9,1)</f>
        <v>P</v>
      </c>
      <c r="AE6" s="50" t="str">
        <f>MID(VLOOKUP($A6,Seqs!$A:$B,2,FALSE),VLOOKUP($A6,'SegEnds_NonXtal_Prot#'!$A:$AL,22,FALSE)+10,1)</f>
        <v>P</v>
      </c>
      <c r="AF6" s="28" t="str">
        <f>MID(VLOOKUP($A6,Seqs!$A:$B,2,FALSE),VLOOKUP($A6,'SegEnds_NonXtal_Prot#'!$A:$AL,28,FALSE)-4,1)</f>
        <v>A</v>
      </c>
      <c r="AG6" s="50" t="str">
        <f>MID(VLOOKUP($A6,Seqs!$A:$B,2,FALSE),VLOOKUP($A6,'SegEnds_NonXtal_Prot#'!$A:$AL,28,FALSE),1)</f>
        <v>P</v>
      </c>
    </row>
    <row r="7" spans="1:33" s="2" customFormat="1" x14ac:dyDescent="0.2">
      <c r="A7" s="2" t="s">
        <v>135</v>
      </c>
      <c r="B7" s="2" t="str">
        <f>LOWER(VLOOKUP(A7,Xtal_Templ!A:B,2,FALSE))</f>
        <v>5ht1b_human</v>
      </c>
      <c r="C7" s="2" t="str">
        <f>VLOOKUP(A7,Classification!A:D,2,FALSE)</f>
        <v>A</v>
      </c>
      <c r="D7" s="2" t="str">
        <f>IF(ISERROR(MATCH(A7,'SegEnds_Xtal_Prot#'!B:B, 0)), "NoXtal", "Xtal")</f>
        <v>NoXtal</v>
      </c>
      <c r="F7" s="2" t="s">
        <v>5</v>
      </c>
      <c r="G7" s="4"/>
      <c r="Q7" s="2" t="s">
        <v>9</v>
      </c>
      <c r="S7" s="4" t="s">
        <v>12</v>
      </c>
      <c r="U7" s="28" t="str">
        <f>MID(VLOOKUP($A7,Seqs!$A:$B,2,FALSE),VLOOKUP($A7,'SegEnds_NonXtal_Prot#'!A:AL,10,FALSE),1)</f>
        <v>D</v>
      </c>
      <c r="V7" s="50" t="str">
        <f>MID(VLOOKUP($A7,Seqs!$A:$B,2,FALSE),VLOOKUP($A7,'SegEnds_NonXtal_Prot#'!A:AL,10,FALSE)+6,1)</f>
        <v>L</v>
      </c>
      <c r="W7" s="50" t="str">
        <f>MID(VLOOKUP($A7,Seqs!$A:$B,2,FALSE),VLOOKUP($A7,'SegEnds_NonXtal_Prot#'!A:AL,10,FALSE)+7,1)</f>
        <v>V</v>
      </c>
      <c r="X7" s="50" t="str">
        <f>MID(VLOOKUP($A7,Seqs!$A:$B,2,FALSE),VLOOKUP($A7,'SegEnds_NonXtal_Prot#'!A:AL,10,FALSE)+8,1)</f>
        <v>M</v>
      </c>
      <c r="Y7" s="50" t="str">
        <f>MID(VLOOKUP($A7,Seqs!$A:$B,2,FALSE),VLOOKUP($A7,'SegEnds_NonXtal_Prot#'!A:AL,10,FALSE)+9,1)</f>
        <v>P</v>
      </c>
      <c r="Z7" s="50" t="str">
        <f>MID(VLOOKUP($A7,Seqs!$A:$B,2,FALSE),VLOOKUP($A7,'SegEnds_NonXtal_Prot#'!A:AL,10,FALSE)+10,1)</f>
        <v>L</v>
      </c>
      <c r="AA7" s="28" t="str">
        <f>MID(VLOOKUP($A7,Seqs!$A:$B,2,FALSE),VLOOKUP($A7,'SegEnds_NonXtal_Prot#'!$A:$AL,22,FALSE)+6,1)</f>
        <v>I</v>
      </c>
      <c r="AB7" s="50" t="str">
        <f>MID(VLOOKUP($A7,Seqs!$A:$B,2,FALSE),VLOOKUP($A7,'SegEnds_NonXtal_Prot#'!$A:$AL,22,FALSE)+7,1)</f>
        <v>S</v>
      </c>
      <c r="AC7" s="50" t="str">
        <f>MID(VLOOKUP($A7,Seqs!$A:$B,2,FALSE),VLOOKUP($A7,'SegEnds_NonXtal_Prot#'!$A:$AL,22,FALSE)+8,1)</f>
        <v>L</v>
      </c>
      <c r="AD7" s="50" t="str">
        <f>MID(VLOOKUP($A7,Seqs!$A:$B,2,FALSE),VLOOKUP($A7,'SegEnds_NonXtal_Prot#'!$A:$AL,22,FALSE)+9,1)</f>
        <v>A</v>
      </c>
      <c r="AE7" s="50" t="str">
        <f>MID(VLOOKUP($A7,Seqs!$A:$B,2,FALSE),VLOOKUP($A7,'SegEnds_NonXtal_Prot#'!$A:$AL,22,FALSE)+10,1)</f>
        <v>P</v>
      </c>
      <c r="AF7" s="28" t="str">
        <f>MID(VLOOKUP($A7,Seqs!$A:$B,2,FALSE),VLOOKUP($A7,'SegEnds_NonXtal_Prot#'!$A:$AL,28,FALSE)-4,1)</f>
        <v>A</v>
      </c>
      <c r="AG7" s="50" t="str">
        <f>MID(VLOOKUP($A7,Seqs!$A:$B,2,FALSE),VLOOKUP($A7,'SegEnds_NonXtal_Prot#'!$A:$AL,28,FALSE),1)</f>
        <v>P</v>
      </c>
    </row>
    <row r="8" spans="1:33" s="2" customFormat="1" x14ac:dyDescent="0.2">
      <c r="A8" s="2" t="s">
        <v>137</v>
      </c>
      <c r="B8" s="2" t="str">
        <f>LOWER(VLOOKUP(A8,Xtal_Templ!A:B,2,FALSE))</f>
        <v>5ht1b_human</v>
      </c>
      <c r="C8" s="2" t="str">
        <f>VLOOKUP(A8,Classification!A:D,2,FALSE)</f>
        <v>A</v>
      </c>
      <c r="D8" s="2" t="str">
        <f>IF(ISERROR(MATCH(A8,'SegEnds_Xtal_Prot#'!B:B, 0)), "NoXtal", "Xtal")</f>
        <v>NoXtal</v>
      </c>
      <c r="F8" s="2" t="s">
        <v>5</v>
      </c>
      <c r="G8" s="4"/>
      <c r="Q8" s="2" t="s">
        <v>9</v>
      </c>
      <c r="S8" s="4" t="s">
        <v>12</v>
      </c>
      <c r="U8" s="28" t="str">
        <f>MID(VLOOKUP($A8,Seqs!$A:$B,2,FALSE),VLOOKUP($A8,'SegEnds_NonXtal_Prot#'!A:AL,10,FALSE),1)</f>
        <v>D</v>
      </c>
      <c r="V8" s="50" t="str">
        <f>MID(VLOOKUP($A8,Seqs!$A:$B,2,FALSE),VLOOKUP($A8,'SegEnds_NonXtal_Prot#'!A:AL,10,FALSE)+6,1)</f>
        <v>A</v>
      </c>
      <c r="W8" s="50" t="str">
        <f>MID(VLOOKUP($A8,Seqs!$A:$B,2,FALSE),VLOOKUP($A8,'SegEnds_NonXtal_Prot#'!A:AL,10,FALSE)+7,1)</f>
        <v>V</v>
      </c>
      <c r="X8" s="50" t="str">
        <f>MID(VLOOKUP($A8,Seqs!$A:$B,2,FALSE),VLOOKUP($A8,'SegEnds_NonXtal_Prot#'!A:AL,10,FALSE)+8,1)</f>
        <v>M</v>
      </c>
      <c r="Y8" s="50" t="str">
        <f>MID(VLOOKUP($A8,Seqs!$A:$B,2,FALSE),VLOOKUP($A8,'SegEnds_NonXtal_Prot#'!A:AL,10,FALSE)+9,1)</f>
        <v>P</v>
      </c>
      <c r="Z8" s="50" t="str">
        <f>MID(VLOOKUP($A8,Seqs!$A:$B,2,FALSE),VLOOKUP($A8,'SegEnds_NonXtal_Prot#'!A:AL,10,FALSE)+10,1)</f>
        <v>F</v>
      </c>
      <c r="AA8" s="28" t="str">
        <f>MID(VLOOKUP($A8,Seqs!$A:$B,2,FALSE),VLOOKUP($A8,'SegEnds_NonXtal_Prot#'!$A:$AL,22,FALSE)+6,1)</f>
        <v>I</v>
      </c>
      <c r="AB8" s="50" t="str">
        <f>MID(VLOOKUP($A8,Seqs!$A:$B,2,FALSE),VLOOKUP($A8,'SegEnds_NonXtal_Prot#'!$A:$AL,22,FALSE)+7,1)</f>
        <v>T</v>
      </c>
      <c r="AC8" s="50" t="str">
        <f>MID(VLOOKUP($A8,Seqs!$A:$B,2,FALSE),VLOOKUP($A8,'SegEnds_NonXtal_Prot#'!$A:$AL,22,FALSE)+8,1)</f>
        <v>L</v>
      </c>
      <c r="AD8" s="50" t="str">
        <f>MID(VLOOKUP($A8,Seqs!$A:$B,2,FALSE),VLOOKUP($A8,'SegEnds_NonXtal_Prot#'!$A:$AL,22,FALSE)+9,1)</f>
        <v>P</v>
      </c>
      <c r="AE8" s="50" t="str">
        <f>MID(VLOOKUP($A8,Seqs!$A:$B,2,FALSE),VLOOKUP($A8,'SegEnds_NonXtal_Prot#'!$A:$AL,22,FALSE)+10,1)</f>
        <v>P</v>
      </c>
      <c r="AF8" s="28" t="str">
        <f>MID(VLOOKUP($A8,Seqs!$A:$B,2,FALSE),VLOOKUP($A8,'SegEnds_NonXtal_Prot#'!$A:$AL,28,FALSE)-4,1)</f>
        <v>A</v>
      </c>
      <c r="AG8" s="50" t="str">
        <f>MID(VLOOKUP($A8,Seqs!$A:$B,2,FALSE),VLOOKUP($A8,'SegEnds_NonXtal_Prot#'!$A:$AL,28,FALSE),1)</f>
        <v>P</v>
      </c>
    </row>
    <row r="9" spans="1:33" s="2" customFormat="1" x14ac:dyDescent="0.2">
      <c r="A9" s="2" t="s">
        <v>152</v>
      </c>
      <c r="B9" s="2" t="str">
        <f>LOWER(VLOOKUP(A9,Xtal_Templ!A:B,2,FALSE))</f>
        <v>5ht1b_human</v>
      </c>
      <c r="C9" s="2" t="str">
        <f>VLOOKUP(A9,Classification!A:D,2,FALSE)</f>
        <v>A</v>
      </c>
      <c r="D9" s="2" t="str">
        <f>IF(ISERROR(MATCH(A9,'SegEnds_Xtal_Prot#'!B:B, 0)), "NoXtal", "Xtal")</f>
        <v>NoXtal</v>
      </c>
      <c r="F9" s="2" t="s">
        <v>5</v>
      </c>
      <c r="G9" s="4"/>
      <c r="Q9" s="2" t="s">
        <v>9</v>
      </c>
      <c r="S9" s="4" t="s">
        <v>12</v>
      </c>
      <c r="U9" s="28" t="str">
        <f>MID(VLOOKUP($A9,Seqs!$A:$B,2,FALSE),VLOOKUP($A9,'SegEnds_NonXtal_Prot#'!A:AL,10,FALSE),1)</f>
        <v>D</v>
      </c>
      <c r="V9" s="50" t="str">
        <f>MID(VLOOKUP($A9,Seqs!$A:$B,2,FALSE),VLOOKUP($A9,'SegEnds_NonXtal_Prot#'!A:AL,10,FALSE)+6,1)</f>
        <v>T</v>
      </c>
      <c r="W9" s="50" t="str">
        <f>MID(VLOOKUP($A9,Seqs!$A:$B,2,FALSE),VLOOKUP($A9,'SegEnds_NonXtal_Prot#'!A:AL,10,FALSE)+7,1)</f>
        <v>V</v>
      </c>
      <c r="X9" s="50" t="str">
        <f>MID(VLOOKUP($A9,Seqs!$A:$B,2,FALSE),VLOOKUP($A9,'SegEnds_NonXtal_Prot#'!A:AL,10,FALSE)+8,1)</f>
        <v>L</v>
      </c>
      <c r="Y9" s="50" t="str">
        <f>MID(VLOOKUP($A9,Seqs!$A:$B,2,FALSE),VLOOKUP($A9,'SegEnds_NonXtal_Prot#'!A:AL,10,FALSE)+9,1)</f>
        <v>P</v>
      </c>
      <c r="Z9" s="50" t="str">
        <f>MID(VLOOKUP($A9,Seqs!$A:$B,2,FALSE),VLOOKUP($A9,'SegEnds_NonXtal_Prot#'!A:AL,10,FALSE)+10,1)</f>
        <v>F</v>
      </c>
      <c r="AA9" s="28" t="str">
        <f>MID(VLOOKUP($A9,Seqs!$A:$B,2,FALSE),VLOOKUP($A9,'SegEnds_NonXtal_Prot#'!$A:$AL,22,FALSE)+6,1)</f>
        <v>I</v>
      </c>
      <c r="AB9" s="50" t="str">
        <f>MID(VLOOKUP($A9,Seqs!$A:$B,2,FALSE),VLOOKUP($A9,'SegEnds_NonXtal_Prot#'!$A:$AL,22,FALSE)+7,1)</f>
        <v>S</v>
      </c>
      <c r="AC9" s="50" t="str">
        <f>MID(VLOOKUP($A9,Seqs!$A:$B,2,FALSE),VLOOKUP($A9,'SegEnds_NonXtal_Prot#'!$A:$AL,22,FALSE)+8,1)</f>
        <v>I</v>
      </c>
      <c r="AD9" s="50" t="str">
        <f>MID(VLOOKUP($A9,Seqs!$A:$B,2,FALSE),VLOOKUP($A9,'SegEnds_NonXtal_Prot#'!$A:$AL,22,FALSE)+9,1)</f>
        <v>G</v>
      </c>
      <c r="AE9" s="50" t="str">
        <f>MID(VLOOKUP($A9,Seqs!$A:$B,2,FALSE),VLOOKUP($A9,'SegEnds_NonXtal_Prot#'!$A:$AL,22,FALSE)+10,1)</f>
        <v>P</v>
      </c>
      <c r="AF9" s="28" t="str">
        <f>MID(VLOOKUP($A9,Seqs!$A:$B,2,FALSE),VLOOKUP($A9,'SegEnds_NonXtal_Prot#'!$A:$AL,28,FALSE)-4,1)</f>
        <v>S</v>
      </c>
      <c r="AG9" s="50" t="str">
        <f>MID(VLOOKUP($A9,Seqs!$A:$B,2,FALSE),VLOOKUP($A9,'SegEnds_NonXtal_Prot#'!$A:$AL,28,FALSE),1)</f>
        <v>P</v>
      </c>
    </row>
    <row r="10" spans="1:33" s="2" customFormat="1" x14ac:dyDescent="0.2">
      <c r="A10" s="2" t="s">
        <v>155</v>
      </c>
      <c r="B10" s="2" t="str">
        <f>LOWER(VLOOKUP(A10,Xtal_Templ!A:B,2,FALSE))</f>
        <v>drd3_human</v>
      </c>
      <c r="C10" s="2" t="str">
        <f>VLOOKUP(A10,Classification!A:D,2,FALSE)</f>
        <v>A</v>
      </c>
      <c r="D10" s="2" t="str">
        <f>IF(ISERROR(MATCH(A10,'SegEnds_Xtal_Prot#'!B:B, 0)), "NoXtal", "Xtal")</f>
        <v>NoXtal</v>
      </c>
      <c r="F10" s="2" t="s">
        <v>5</v>
      </c>
      <c r="G10" s="4"/>
      <c r="Q10" s="2" t="s">
        <v>9</v>
      </c>
      <c r="S10" s="4" t="s">
        <v>12</v>
      </c>
      <c r="U10" s="28" t="str">
        <f>MID(VLOOKUP($A10,Seqs!$A:$B,2,FALSE),VLOOKUP($A10,'SegEnds_NonXtal_Prot#'!A:AL,10,FALSE),1)</f>
        <v>D</v>
      </c>
      <c r="V10" s="50" t="str">
        <f>MID(VLOOKUP($A10,Seqs!$A:$B,2,FALSE),VLOOKUP($A10,'SegEnds_NonXtal_Prot#'!A:AL,10,FALSE)+6,1)</f>
        <v>L</v>
      </c>
      <c r="W10" s="50" t="str">
        <f>MID(VLOOKUP($A10,Seqs!$A:$B,2,FALSE),VLOOKUP($A10,'SegEnds_NonXtal_Prot#'!A:AL,10,FALSE)+7,1)</f>
        <v>V</v>
      </c>
      <c r="X10" s="50" t="str">
        <f>MID(VLOOKUP($A10,Seqs!$A:$B,2,FALSE),VLOOKUP($A10,'SegEnds_NonXtal_Prot#'!A:AL,10,FALSE)+8,1)</f>
        <v>I</v>
      </c>
      <c r="Y10" s="50" t="str">
        <f>MID(VLOOKUP($A10,Seqs!$A:$B,2,FALSE),VLOOKUP($A10,'SegEnds_NonXtal_Prot#'!A:AL,10,FALSE)+9,1)</f>
        <v>P</v>
      </c>
      <c r="Z10" s="50" t="str">
        <f>MID(VLOOKUP($A10,Seqs!$A:$B,2,FALSE),VLOOKUP($A10,'SegEnds_NonXtal_Prot#'!A:AL,10,FALSE)+10,1)</f>
        <v>F</v>
      </c>
      <c r="AA10" s="28" t="str">
        <f>MID(VLOOKUP($A10,Seqs!$A:$B,2,FALSE),VLOOKUP($A10,'SegEnds_NonXtal_Prot#'!$A:$AL,22,FALSE)+6,1)</f>
        <v>I</v>
      </c>
      <c r="AB10" s="50" t="str">
        <f>MID(VLOOKUP($A10,Seqs!$A:$B,2,FALSE),VLOOKUP($A10,'SegEnds_NonXtal_Prot#'!$A:$AL,22,FALSE)+7,1)</f>
        <v>S</v>
      </c>
      <c r="AC10" s="50" t="str">
        <f>MID(VLOOKUP($A10,Seqs!$A:$B,2,FALSE),VLOOKUP($A10,'SegEnds_NonXtal_Prot#'!$A:$AL,22,FALSE)+8,1)</f>
        <v>F</v>
      </c>
      <c r="AD10" s="50" t="str">
        <f>MID(VLOOKUP($A10,Seqs!$A:$B,2,FALSE),VLOOKUP($A10,'SegEnds_NonXtal_Prot#'!$A:$AL,22,FALSE)+9,1)</f>
        <v>P</v>
      </c>
      <c r="AE10" s="50" t="str">
        <f>MID(VLOOKUP($A10,Seqs!$A:$B,2,FALSE),VLOOKUP($A10,'SegEnds_NonXtal_Prot#'!$A:$AL,22,FALSE)+10,1)</f>
        <v>P</v>
      </c>
      <c r="AF10" s="28" t="str">
        <f>MID(VLOOKUP($A10,Seqs!$A:$B,2,FALSE),VLOOKUP($A10,'SegEnds_NonXtal_Prot#'!$A:$AL,28,FALSE)-4,1)</f>
        <v>S</v>
      </c>
      <c r="AG10" s="50" t="str">
        <f>MID(VLOOKUP($A10,Seqs!$A:$B,2,FALSE),VLOOKUP($A10,'SegEnds_NonXtal_Prot#'!$A:$AL,28,FALSE),1)</f>
        <v>P</v>
      </c>
    </row>
    <row r="11" spans="1:33" s="2" customFormat="1" x14ac:dyDescent="0.2">
      <c r="A11" s="2" t="s">
        <v>157</v>
      </c>
      <c r="B11" s="2" t="str">
        <f>LOWER(VLOOKUP(A11,Xtal_Templ!A:B,2,FALSE))</f>
        <v>drd3_human</v>
      </c>
      <c r="C11" s="2" t="str">
        <f>VLOOKUP(A11,Classification!A:D,2,FALSE)</f>
        <v>A</v>
      </c>
      <c r="D11" s="2" t="str">
        <f>IF(ISERROR(MATCH(A11,'SegEnds_Xtal_Prot#'!B:B, 0)), "NoXtal", "Xtal")</f>
        <v>NoXtal</v>
      </c>
      <c r="F11" s="2" t="s">
        <v>5</v>
      </c>
      <c r="G11" s="4"/>
      <c r="Q11" s="2" t="s">
        <v>9</v>
      </c>
      <c r="S11" s="4" t="s">
        <v>12</v>
      </c>
      <c r="U11" s="28" t="str">
        <f>MID(VLOOKUP($A11,Seqs!$A:$B,2,FALSE),VLOOKUP($A11,'SegEnds_NonXtal_Prot#'!A:AL,10,FALSE),1)</f>
        <v>D</v>
      </c>
      <c r="V11" s="50" t="str">
        <f>MID(VLOOKUP($A11,Seqs!$A:$B,2,FALSE),VLOOKUP($A11,'SegEnds_NonXtal_Prot#'!A:AL,10,FALSE)+6,1)</f>
        <v>L</v>
      </c>
      <c r="W11" s="50" t="str">
        <f>MID(VLOOKUP($A11,Seqs!$A:$B,2,FALSE),VLOOKUP($A11,'SegEnds_NonXtal_Prot#'!A:AL,10,FALSE)+7,1)</f>
        <v>V</v>
      </c>
      <c r="X11" s="50" t="str">
        <f>MID(VLOOKUP($A11,Seqs!$A:$B,2,FALSE),VLOOKUP($A11,'SegEnds_NonXtal_Prot#'!A:AL,10,FALSE)+8,1)</f>
        <v>M</v>
      </c>
      <c r="Y11" s="50" t="str">
        <f>MID(VLOOKUP($A11,Seqs!$A:$B,2,FALSE),VLOOKUP($A11,'SegEnds_NonXtal_Prot#'!A:AL,10,FALSE)+9,1)</f>
        <v>P</v>
      </c>
      <c r="Z11" s="50" t="str">
        <f>MID(VLOOKUP($A11,Seqs!$A:$B,2,FALSE),VLOOKUP($A11,'SegEnds_NonXtal_Prot#'!A:AL,10,FALSE)+10,1)</f>
        <v>F</v>
      </c>
      <c r="AA11" s="28" t="str">
        <f>MID(VLOOKUP($A11,Seqs!$A:$B,2,FALSE),VLOOKUP($A11,'SegEnds_NonXtal_Prot#'!$A:$AL,22,FALSE)+6,1)</f>
        <v>I</v>
      </c>
      <c r="AB11" s="50" t="str">
        <f>MID(VLOOKUP($A11,Seqs!$A:$B,2,FALSE),VLOOKUP($A11,'SegEnds_NonXtal_Prot#'!$A:$AL,22,FALSE)+7,1)</f>
        <v>S</v>
      </c>
      <c r="AC11" s="50" t="str">
        <f>MID(VLOOKUP($A11,Seqs!$A:$B,2,FALSE),VLOOKUP($A11,'SegEnds_NonXtal_Prot#'!$A:$AL,22,FALSE)+8,1)</f>
        <v>F</v>
      </c>
      <c r="AD11" s="50" t="str">
        <f>MID(VLOOKUP($A11,Seqs!$A:$B,2,FALSE),VLOOKUP($A11,'SegEnds_NonXtal_Prot#'!$A:$AL,22,FALSE)+9,1)</f>
        <v>P</v>
      </c>
      <c r="AE11" s="50" t="str">
        <f>MID(VLOOKUP($A11,Seqs!$A:$B,2,FALSE),VLOOKUP($A11,'SegEnds_NonXtal_Prot#'!$A:$AL,22,FALSE)+10,1)</f>
        <v>P</v>
      </c>
      <c r="AF11" s="28" t="str">
        <f>MID(VLOOKUP($A11,Seqs!$A:$B,2,FALSE),VLOOKUP($A11,'SegEnds_NonXtal_Prot#'!$A:$AL,28,FALSE)-4,1)</f>
        <v>S</v>
      </c>
      <c r="AG11" s="50" t="str">
        <f>MID(VLOOKUP($A11,Seqs!$A:$B,2,FALSE),VLOOKUP($A11,'SegEnds_NonXtal_Prot#'!$A:$AL,28,FALSE),1)</f>
        <v>P</v>
      </c>
    </row>
    <row r="12" spans="1:33" s="2" customFormat="1" x14ac:dyDescent="0.2">
      <c r="A12" s="2" t="s">
        <v>220</v>
      </c>
      <c r="B12" s="2" t="str">
        <f>LOWER(VLOOKUP(A12,Xtal_Templ!A:B,2,FALSE))</f>
        <v>5ht1b_human</v>
      </c>
      <c r="C12" s="2" t="str">
        <f>VLOOKUP(A12,Classification!A:D,2,FALSE)</f>
        <v>A</v>
      </c>
      <c r="D12" s="2" t="str">
        <f>IF(ISERROR(MATCH(A12,'SegEnds_Xtal_Prot#'!B:B, 0)), "NoXtal", "Xtal")</f>
        <v>NoXtal</v>
      </c>
      <c r="G12" s="4"/>
      <c r="Q12" s="2" t="s">
        <v>9</v>
      </c>
      <c r="S12" s="4" t="s">
        <v>12</v>
      </c>
      <c r="U12" s="28" t="str">
        <f>MID(VLOOKUP($A12,Seqs!$A:$B,2,FALSE),VLOOKUP($A12,'SegEnds_NonXtal_Prot#'!A:AL,10,FALSE),1)</f>
        <v>D</v>
      </c>
      <c r="V12" s="50" t="str">
        <f>MID(VLOOKUP($A12,Seqs!$A:$B,2,FALSE),VLOOKUP($A12,'SegEnds_NonXtal_Prot#'!A:AL,10,FALSE)+6,1)</f>
        <v>L</v>
      </c>
      <c r="W12" s="50" t="str">
        <f>MID(VLOOKUP($A12,Seqs!$A:$B,2,FALSE),VLOOKUP($A12,'SegEnds_NonXtal_Prot#'!A:AL,10,FALSE)+7,1)</f>
        <v>H</v>
      </c>
      <c r="X12" s="50" t="str">
        <f>MID(VLOOKUP($A12,Seqs!$A:$B,2,FALSE),VLOOKUP($A12,'SegEnds_NonXtal_Prot#'!A:AL,10,FALSE)+8,1)</f>
        <v>M</v>
      </c>
      <c r="Y12" s="50" t="str">
        <f>MID(VLOOKUP($A12,Seqs!$A:$B,2,FALSE),VLOOKUP($A12,'SegEnds_NonXtal_Prot#'!A:AL,10,FALSE)+9,1)</f>
        <v>L</v>
      </c>
      <c r="Z12" s="50" t="str">
        <f>MID(VLOOKUP($A12,Seqs!$A:$B,2,FALSE),VLOOKUP($A12,'SegEnds_NonXtal_Prot#'!A:AL,10,FALSE)+10,1)</f>
        <v>I</v>
      </c>
      <c r="AA12" s="28" t="str">
        <f>MID(VLOOKUP($A12,Seqs!$A:$B,2,FALSE),VLOOKUP($A12,'SegEnds_NonXtal_Prot#'!$A:$AL,22,FALSE)+6,1)</f>
        <v>F</v>
      </c>
      <c r="AB12" s="50" t="str">
        <f>MID(VLOOKUP($A12,Seqs!$A:$B,2,FALSE),VLOOKUP($A12,'SegEnds_NonXtal_Prot#'!$A:$AL,22,FALSE)+7,1)</f>
        <v>P</v>
      </c>
      <c r="AC12" s="50" t="str">
        <f>MID(VLOOKUP($A12,Seqs!$A:$B,2,FALSE),VLOOKUP($A12,'SegEnds_NonXtal_Prot#'!$A:$AL,22,FALSE)+8,1)</f>
        <v>T</v>
      </c>
      <c r="AD12" s="50" t="str">
        <f>MID(VLOOKUP($A12,Seqs!$A:$B,2,FALSE),VLOOKUP($A12,'SegEnds_NonXtal_Prot#'!$A:$AL,22,FALSE)+9,1)</f>
        <v>F</v>
      </c>
      <c r="AE12" s="50" t="str">
        <f>MID(VLOOKUP($A12,Seqs!$A:$B,2,FALSE),VLOOKUP($A12,'SegEnds_NonXtal_Prot#'!$A:$AL,22,FALSE)+10,1)</f>
        <v>L</v>
      </c>
      <c r="AF12" s="28" t="str">
        <f>MID(VLOOKUP($A12,Seqs!$A:$B,2,FALSE),VLOOKUP($A12,'SegEnds_NonXtal_Prot#'!$A:$AL,28,FALSE)-4,1)</f>
        <v>M</v>
      </c>
      <c r="AG12" s="50" t="str">
        <f>MID(VLOOKUP($A12,Seqs!$A:$B,2,FALSE),VLOOKUP($A12,'SegEnds_NonXtal_Prot#'!$A:$AL,28,FALSE),1)</f>
        <v>P</v>
      </c>
    </row>
    <row r="13" spans="1:33" s="2" customFormat="1" x14ac:dyDescent="0.2">
      <c r="A13" s="2" t="s">
        <v>227</v>
      </c>
      <c r="B13" s="2" t="str">
        <f>LOWER(VLOOKUP(A13,Xtal_Templ!A:B,2,FALSE))</f>
        <v>5ht1b_human</v>
      </c>
      <c r="C13" s="2" t="str">
        <f>VLOOKUP(A13,Classification!A:D,2,FALSE)</f>
        <v>A</v>
      </c>
      <c r="D13" s="2" t="str">
        <f>IF(ISERROR(MATCH(A13,'SegEnds_Xtal_Prot#'!B:B, 0)), "NoXtal", "Xtal")</f>
        <v>NoXtal</v>
      </c>
      <c r="F13" s="2" t="s">
        <v>5</v>
      </c>
      <c r="G13" s="4"/>
      <c r="Q13" s="2" t="s">
        <v>9</v>
      </c>
      <c r="S13" s="4" t="s">
        <v>12</v>
      </c>
      <c r="U13" s="28" t="str">
        <f>MID(VLOOKUP($A13,Seqs!$A:$B,2,FALSE),VLOOKUP($A13,'SegEnds_NonXtal_Prot#'!A:AL,10,FALSE),1)</f>
        <v>N</v>
      </c>
      <c r="V13" s="50" t="str">
        <f>MID(VLOOKUP($A13,Seqs!$A:$B,2,FALSE),VLOOKUP($A13,'SegEnds_NonXtal_Prot#'!A:AL,10,FALSE)+6,1)</f>
        <v>L</v>
      </c>
      <c r="W13" s="50" t="str">
        <f>MID(VLOOKUP($A13,Seqs!$A:$B,2,FALSE),VLOOKUP($A13,'SegEnds_NonXtal_Prot#'!A:AL,10,FALSE)+7,1)</f>
        <v>V</v>
      </c>
      <c r="X13" s="50" t="str">
        <f>MID(VLOOKUP($A13,Seqs!$A:$B,2,FALSE),VLOOKUP($A13,'SegEnds_NonXtal_Prot#'!A:AL,10,FALSE)+8,1)</f>
        <v>L</v>
      </c>
      <c r="Y13" s="50" t="str">
        <f>MID(VLOOKUP($A13,Seqs!$A:$B,2,FALSE),VLOOKUP($A13,'SegEnds_NonXtal_Prot#'!A:AL,10,FALSE)+9,1)</f>
        <v>P</v>
      </c>
      <c r="Z13" s="50" t="str">
        <f>MID(VLOOKUP($A13,Seqs!$A:$B,2,FALSE),VLOOKUP($A13,'SegEnds_NonXtal_Prot#'!A:AL,10,FALSE)+10,1)</f>
        <v>F</v>
      </c>
      <c r="AA13" s="28" t="str">
        <f>MID(VLOOKUP($A13,Seqs!$A:$B,2,FALSE),VLOOKUP($A13,'SegEnds_NonXtal_Prot#'!$A:$AL,22,FALSE)+6,1)</f>
        <v>G</v>
      </c>
      <c r="AB13" s="50" t="str">
        <f>MID(VLOOKUP($A13,Seqs!$A:$B,2,FALSE),VLOOKUP($A13,'SegEnds_NonXtal_Prot#'!$A:$AL,22,FALSE)+7,1)</f>
        <v>C</v>
      </c>
      <c r="AC13" s="50" t="str">
        <f>MID(VLOOKUP($A13,Seqs!$A:$B,2,FALSE),VLOOKUP($A13,'SegEnds_NonXtal_Prot#'!$A:$AL,22,FALSE)+8,1)</f>
        <v>L</v>
      </c>
      <c r="AD13" s="50" t="str">
        <f>MID(VLOOKUP($A13,Seqs!$A:$B,2,FALSE),VLOOKUP($A13,'SegEnds_NonXtal_Prot#'!$A:$AL,22,FALSE)+9,1)</f>
        <v>P</v>
      </c>
      <c r="AE13" s="50" t="str">
        <f>MID(VLOOKUP($A13,Seqs!$A:$B,2,FALSE),VLOOKUP($A13,'SegEnds_NonXtal_Prot#'!$A:$AL,22,FALSE)+10,1)</f>
        <v>P</v>
      </c>
      <c r="AF13" s="28" t="str">
        <f>MID(VLOOKUP($A13,Seqs!$A:$B,2,FALSE),VLOOKUP($A13,'SegEnds_NonXtal_Prot#'!$A:$AL,28,FALSE)-4,1)</f>
        <v>C</v>
      </c>
      <c r="AG13" s="50" t="str">
        <f>MID(VLOOKUP($A13,Seqs!$A:$B,2,FALSE),VLOOKUP($A13,'SegEnds_NonXtal_Prot#'!$A:$AL,28,FALSE),1)</f>
        <v>P</v>
      </c>
    </row>
    <row r="14" spans="1:33" s="2" customFormat="1" x14ac:dyDescent="0.2">
      <c r="A14" s="2" t="s">
        <v>265</v>
      </c>
      <c r="B14" s="2" t="str">
        <f>LOWER(VLOOKUP(A14,Xtal_Templ!A:B,2,FALSE))</f>
        <v>5ht2b_human</v>
      </c>
      <c r="C14" s="2" t="str">
        <f>VLOOKUP(A14,Classification!A:D,2,FALSE)</f>
        <v>A</v>
      </c>
      <c r="D14" s="2" t="str">
        <f>IF(ISERROR(MATCH(A14,'SegEnds_Xtal_Prot#'!B:B, 0)), "NoXtal", "Xtal")</f>
        <v>NoXtal</v>
      </c>
      <c r="F14" s="2" t="s">
        <v>5</v>
      </c>
      <c r="G14" s="4"/>
      <c r="M14" s="2" t="s">
        <v>14</v>
      </c>
      <c r="Q14" s="2" t="s">
        <v>9</v>
      </c>
      <c r="S14" s="4" t="s">
        <v>12</v>
      </c>
      <c r="U14" s="28" t="str">
        <f>MID(VLOOKUP($A14,Seqs!$A:$B,2,FALSE),VLOOKUP($A14,'SegEnds_NonXtal_Prot#'!A:AL,10,FALSE),1)</f>
        <v>D</v>
      </c>
      <c r="V14" s="50" t="str">
        <f>MID(VLOOKUP($A14,Seqs!$A:$B,2,FALSE),VLOOKUP($A14,'SegEnds_NonXtal_Prot#'!A:AL,10,FALSE)+6,1)</f>
        <v>L</v>
      </c>
      <c r="W14" s="50" t="str">
        <f>MID(VLOOKUP($A14,Seqs!$A:$B,2,FALSE),VLOOKUP($A14,'SegEnds_NonXtal_Prot#'!A:AL,10,FALSE)+7,1)</f>
        <v>N</v>
      </c>
      <c r="X14" s="50" t="str">
        <f>MID(VLOOKUP($A14,Seqs!$A:$B,2,FALSE),VLOOKUP($A14,'SegEnds_NonXtal_Prot#'!A:AL,10,FALSE)+8,1)</f>
        <v>M</v>
      </c>
      <c r="Y14" s="50" t="str">
        <f>MID(VLOOKUP($A14,Seqs!$A:$B,2,FALSE),VLOOKUP($A14,'SegEnds_NonXtal_Prot#'!A:AL,10,FALSE)+9,1)</f>
        <v>P</v>
      </c>
      <c r="Z14" s="50" t="str">
        <f>MID(VLOOKUP($A14,Seqs!$A:$B,2,FALSE),VLOOKUP($A14,'SegEnds_NonXtal_Prot#'!A:AL,10,FALSE)+10,1)</f>
        <v>F</v>
      </c>
      <c r="AA14" s="28" t="str">
        <f>MID(VLOOKUP($A14,Seqs!$A:$B,2,FALSE),VLOOKUP($A14,'SegEnds_NonXtal_Prot#'!$A:$AL,22,FALSE)+6,1)</f>
        <v>V</v>
      </c>
      <c r="AB14" s="50" t="str">
        <f>MID(VLOOKUP($A14,Seqs!$A:$B,2,FALSE),VLOOKUP($A14,'SegEnds_NonXtal_Prot#'!$A:$AL,22,FALSE)+7,1)</f>
        <v>A</v>
      </c>
      <c r="AC14" s="50" t="str">
        <f>MID(VLOOKUP($A14,Seqs!$A:$B,2,FALSE),VLOOKUP($A14,'SegEnds_NonXtal_Prot#'!$A:$AL,22,FALSE)+8,1)</f>
        <v>F</v>
      </c>
      <c r="AD14" s="50" t="str">
        <f>MID(VLOOKUP($A14,Seqs!$A:$B,2,FALSE),VLOOKUP($A14,'SegEnds_NonXtal_Prot#'!$A:$AL,22,FALSE)+9,1)</f>
        <v>P</v>
      </c>
      <c r="AE14" s="50" t="str">
        <f>MID(VLOOKUP($A14,Seqs!$A:$B,2,FALSE),VLOOKUP($A14,'SegEnds_NonXtal_Prot#'!$A:$AL,22,FALSE)+10,1)</f>
        <v>L</v>
      </c>
      <c r="AF14" s="28" t="str">
        <f>MID(VLOOKUP($A14,Seqs!$A:$B,2,FALSE),VLOOKUP($A14,'SegEnds_NonXtal_Prot#'!$A:$AL,28,FALSE)-4,1)</f>
        <v>S</v>
      </c>
      <c r="AG14" s="50" t="str">
        <f>MID(VLOOKUP($A14,Seqs!$A:$B,2,FALSE),VLOOKUP($A14,'SegEnds_NonXtal_Prot#'!$A:$AL,28,FALSE),1)</f>
        <v>P</v>
      </c>
    </row>
    <row r="15" spans="1:33" s="2" customFormat="1" x14ac:dyDescent="0.2">
      <c r="A15" s="2" t="s">
        <v>388</v>
      </c>
      <c r="B15" s="2" t="str">
        <f>LOWER(VLOOKUP(A15,Xtal_Templ!A:B,2,FALSE))</f>
        <v>adrb2_human</v>
      </c>
      <c r="C15" s="2" t="str">
        <f>VLOOKUP(A15,Classification!A:D,2,FALSE)</f>
        <v>A</v>
      </c>
      <c r="D15" s="2" t="str">
        <f>IF(ISERROR(MATCH(A15,'SegEnds_Xtal_Prot#'!B:B, 0)), "NoXtal", "Xtal")</f>
        <v>NoXtal</v>
      </c>
      <c r="F15" s="2" t="s">
        <v>5</v>
      </c>
      <c r="G15" s="4"/>
      <c r="Q15" s="2" t="s">
        <v>9</v>
      </c>
      <c r="S15" s="4" t="s">
        <v>12</v>
      </c>
      <c r="U15" s="28" t="str">
        <f>MID(VLOOKUP($A15,Seqs!$A:$B,2,FALSE),VLOOKUP($A15,'SegEnds_NonXtal_Prot#'!A:AL,10,FALSE),1)</f>
        <v>D</v>
      </c>
      <c r="V15" s="50" t="str">
        <f>MID(VLOOKUP($A15,Seqs!$A:$B,2,FALSE),VLOOKUP($A15,'SegEnds_NonXtal_Prot#'!A:AL,10,FALSE)+6,1)</f>
        <v>T</v>
      </c>
      <c r="W15" s="50" t="str">
        <f>MID(VLOOKUP($A15,Seqs!$A:$B,2,FALSE),VLOOKUP($A15,'SegEnds_NonXtal_Prot#'!A:AL,10,FALSE)+7,1)</f>
        <v>I</v>
      </c>
      <c r="X15" s="50" t="str">
        <f>MID(VLOOKUP($A15,Seqs!$A:$B,2,FALSE),VLOOKUP($A15,'SegEnds_NonXtal_Prot#'!A:AL,10,FALSE)+8,1)</f>
        <v>M</v>
      </c>
      <c r="Y15" s="50" t="str">
        <f>MID(VLOOKUP($A15,Seqs!$A:$B,2,FALSE),VLOOKUP($A15,'SegEnds_NonXtal_Prot#'!A:AL,10,FALSE)+9,1)</f>
        <v>P</v>
      </c>
      <c r="Z15" s="50" t="str">
        <f>MID(VLOOKUP($A15,Seqs!$A:$B,2,FALSE),VLOOKUP($A15,'SegEnds_NonXtal_Prot#'!A:AL,10,FALSE)+10,1)</f>
        <v>Y</v>
      </c>
      <c r="AA15" s="28" t="str">
        <f>MID(VLOOKUP($A15,Seqs!$A:$B,2,FALSE),VLOOKUP($A15,'SegEnds_NonXtal_Prot#'!$A:$AL,22,FALSE)+6,1)</f>
        <v>F</v>
      </c>
      <c r="AB15" s="50" t="str">
        <f>MID(VLOOKUP($A15,Seqs!$A:$B,2,FALSE),VLOOKUP($A15,'SegEnds_NonXtal_Prot#'!$A:$AL,22,FALSE)+7,1)</f>
        <v>A</v>
      </c>
      <c r="AC15" s="50" t="str">
        <f>MID(VLOOKUP($A15,Seqs!$A:$B,2,FALSE),VLOOKUP($A15,'SegEnds_NonXtal_Prot#'!$A:$AL,22,FALSE)+8,1)</f>
        <v>F</v>
      </c>
      <c r="AD15" s="50" t="str">
        <f>MID(VLOOKUP($A15,Seqs!$A:$B,2,FALSE),VLOOKUP($A15,'SegEnds_NonXtal_Prot#'!$A:$AL,22,FALSE)+9,1)</f>
        <v>G</v>
      </c>
      <c r="AE15" s="50" t="str">
        <f>MID(VLOOKUP($A15,Seqs!$A:$B,2,FALSE),VLOOKUP($A15,'SegEnds_NonXtal_Prot#'!$A:$AL,22,FALSE)+10,1)</f>
        <v>V</v>
      </c>
      <c r="AF15" s="28" t="str">
        <f>MID(VLOOKUP($A15,Seqs!$A:$B,2,FALSE),VLOOKUP($A15,'SegEnds_NonXtal_Prot#'!$A:$AL,28,FALSE)-4,1)</f>
        <v>G</v>
      </c>
      <c r="AG15" s="50" t="str">
        <f>MID(VLOOKUP($A15,Seqs!$A:$B,2,FALSE),VLOOKUP($A15,'SegEnds_NonXtal_Prot#'!$A:$AL,28,FALSE),1)</f>
        <v>P</v>
      </c>
    </row>
    <row r="16" spans="1:33" s="2" customFormat="1" x14ac:dyDescent="0.2">
      <c r="A16" s="2" t="s">
        <v>389</v>
      </c>
      <c r="B16" s="2" t="str">
        <f>LOWER(VLOOKUP(A16,Xtal_Templ!A:B,2,FALSE))</f>
        <v>adrb2_human</v>
      </c>
      <c r="C16" s="2" t="str">
        <f>VLOOKUP(A16,Classification!A:D,2,FALSE)</f>
        <v>A</v>
      </c>
      <c r="D16" s="2" t="str">
        <f>IF(ISERROR(MATCH(A16,'SegEnds_Xtal_Prot#'!B:B, 0)), "NoXtal", "Xtal")</f>
        <v>NoXtal</v>
      </c>
      <c r="F16" s="2" t="s">
        <v>5</v>
      </c>
      <c r="G16" s="4"/>
      <c r="Q16" s="2" t="s">
        <v>9</v>
      </c>
      <c r="S16" s="4" t="s">
        <v>12</v>
      </c>
      <c r="U16" s="28" t="str">
        <f>MID(VLOOKUP($A16,Seqs!$A:$B,2,FALSE),VLOOKUP($A16,'SegEnds_NonXtal_Prot#'!A:AL,10,FALSE),1)</f>
        <v>D</v>
      </c>
      <c r="V16" s="50" t="str">
        <f>MID(VLOOKUP($A16,Seqs!$A:$B,2,FALSE),VLOOKUP($A16,'SegEnds_NonXtal_Prot#'!A:AL,10,FALSE)+6,1)</f>
        <v>V</v>
      </c>
      <c r="W16" s="50" t="str">
        <f>MID(VLOOKUP($A16,Seqs!$A:$B,2,FALSE),VLOOKUP($A16,'SegEnds_NonXtal_Prot#'!A:AL,10,FALSE)+7,1)</f>
        <v>I</v>
      </c>
      <c r="X16" s="50" t="str">
        <f>MID(VLOOKUP($A16,Seqs!$A:$B,2,FALSE),VLOOKUP($A16,'SegEnds_NonXtal_Prot#'!A:AL,10,FALSE)+8,1)</f>
        <v>M</v>
      </c>
      <c r="Y16" s="50" t="str">
        <f>MID(VLOOKUP($A16,Seqs!$A:$B,2,FALSE),VLOOKUP($A16,'SegEnds_NonXtal_Prot#'!A:AL,10,FALSE)+9,1)</f>
        <v>P</v>
      </c>
      <c r="Z16" s="50" t="str">
        <f>MID(VLOOKUP($A16,Seqs!$A:$B,2,FALSE),VLOOKUP($A16,'SegEnds_NonXtal_Prot#'!A:AL,10,FALSE)+10,1)</f>
        <v>Y</v>
      </c>
      <c r="AA16" s="28" t="str">
        <f>MID(VLOOKUP($A16,Seqs!$A:$B,2,FALSE),VLOOKUP($A16,'SegEnds_NonXtal_Prot#'!$A:$AL,22,FALSE)+6,1)</f>
        <v>F</v>
      </c>
      <c r="AB16" s="50" t="str">
        <f>MID(VLOOKUP($A16,Seqs!$A:$B,2,FALSE),VLOOKUP($A16,'SegEnds_NonXtal_Prot#'!$A:$AL,22,FALSE)+7,1)</f>
        <v>S</v>
      </c>
      <c r="AC16" s="50" t="str">
        <f>MID(VLOOKUP($A16,Seqs!$A:$B,2,FALSE),VLOOKUP($A16,'SegEnds_NonXtal_Prot#'!$A:$AL,22,FALSE)+8,1)</f>
        <v>F</v>
      </c>
      <c r="AD16" s="50" t="str">
        <f>MID(VLOOKUP($A16,Seqs!$A:$B,2,FALSE),VLOOKUP($A16,'SegEnds_NonXtal_Prot#'!$A:$AL,22,FALSE)+9,1)</f>
        <v>G</v>
      </c>
      <c r="AE16" s="50" t="str">
        <f>MID(VLOOKUP($A16,Seqs!$A:$B,2,FALSE),VLOOKUP($A16,'SegEnds_NonXtal_Prot#'!$A:$AL,22,FALSE)+10,1)</f>
        <v>L</v>
      </c>
      <c r="AF16" s="28" t="str">
        <f>MID(VLOOKUP($A16,Seqs!$A:$B,2,FALSE),VLOOKUP($A16,'SegEnds_NonXtal_Prot#'!$A:$AL,28,FALSE)-4,1)</f>
        <v>C</v>
      </c>
      <c r="AG16" s="50" t="str">
        <f>MID(VLOOKUP($A16,Seqs!$A:$B,2,FALSE),VLOOKUP($A16,'SegEnds_NonXtal_Prot#'!$A:$AL,28,FALSE),1)</f>
        <v>P</v>
      </c>
    </row>
    <row r="17" spans="1:33" s="2" customFormat="1" x14ac:dyDescent="0.2">
      <c r="A17" s="2" t="s">
        <v>390</v>
      </c>
      <c r="B17" s="2" t="str">
        <f>LOWER(VLOOKUP(A17,Xtal_Templ!A:B,2,FALSE))</f>
        <v>5ht1b_human</v>
      </c>
      <c r="C17" s="2" t="str">
        <f>VLOOKUP(A17,Classification!A:D,2,FALSE)</f>
        <v>A</v>
      </c>
      <c r="D17" s="2" t="str">
        <f>IF(ISERROR(MATCH(A17,'SegEnds_Xtal_Prot#'!B:B, 0)), "NoXtal", "Xtal")</f>
        <v>NoXtal</v>
      </c>
      <c r="F17" s="2" t="s">
        <v>5</v>
      </c>
      <c r="G17" s="4"/>
      <c r="Q17" s="2" t="s">
        <v>9</v>
      </c>
      <c r="S17" s="4" t="s">
        <v>12</v>
      </c>
      <c r="U17" s="28" t="str">
        <f>MID(VLOOKUP($A17,Seqs!$A:$B,2,FALSE),VLOOKUP($A17,'SegEnds_NonXtal_Prot#'!A:AL,10,FALSE),1)</f>
        <v>D</v>
      </c>
      <c r="V17" s="50" t="str">
        <f>MID(VLOOKUP($A17,Seqs!$A:$B,2,FALSE),VLOOKUP($A17,'SegEnds_NonXtal_Prot#'!A:AL,10,FALSE)+6,1)</f>
        <v>L</v>
      </c>
      <c r="W17" s="50" t="str">
        <f>MID(VLOOKUP($A17,Seqs!$A:$B,2,FALSE),VLOOKUP($A17,'SegEnds_NonXtal_Prot#'!A:AL,10,FALSE)+7,1)</f>
        <v>V</v>
      </c>
      <c r="X17" s="50" t="str">
        <f>MID(VLOOKUP($A17,Seqs!$A:$B,2,FALSE),VLOOKUP($A17,'SegEnds_NonXtal_Prot#'!A:AL,10,FALSE)+8,1)</f>
        <v>L</v>
      </c>
      <c r="Y17" s="50" t="str">
        <f>MID(VLOOKUP($A17,Seqs!$A:$B,2,FALSE),VLOOKUP($A17,'SegEnds_NonXtal_Prot#'!A:AL,10,FALSE)+9,1)</f>
        <v>P</v>
      </c>
      <c r="Z17" s="50" t="str">
        <f>MID(VLOOKUP($A17,Seqs!$A:$B,2,FALSE),VLOOKUP($A17,'SegEnds_NonXtal_Prot#'!A:AL,10,FALSE)+10,1)</f>
        <v>L</v>
      </c>
      <c r="AA17" s="28" t="str">
        <f>MID(VLOOKUP($A17,Seqs!$A:$B,2,FALSE),VLOOKUP($A17,'SegEnds_NonXtal_Prot#'!$A:$AL,22,FALSE)+6,1)</f>
        <v>Y</v>
      </c>
      <c r="AB17" s="50" t="str">
        <f>MID(VLOOKUP($A17,Seqs!$A:$B,2,FALSE),VLOOKUP($A17,'SegEnds_NonXtal_Prot#'!$A:$AL,22,FALSE)+7,1)</f>
        <v>T</v>
      </c>
      <c r="AC17" s="50" t="str">
        <f>MID(VLOOKUP($A17,Seqs!$A:$B,2,FALSE),VLOOKUP($A17,'SegEnds_NonXtal_Prot#'!$A:$AL,22,FALSE)+8,1)</f>
        <v>S</v>
      </c>
      <c r="AD17" s="50" t="str">
        <f>MID(VLOOKUP($A17,Seqs!$A:$B,2,FALSE),VLOOKUP($A17,'SegEnds_NonXtal_Prot#'!$A:$AL,22,FALSE)+9,1)</f>
        <v>L</v>
      </c>
      <c r="AE17" s="50" t="str">
        <f>MID(VLOOKUP($A17,Seqs!$A:$B,2,FALSE),VLOOKUP($A17,'SegEnds_NonXtal_Prot#'!$A:$AL,22,FALSE)+10,1)</f>
        <v>F</v>
      </c>
      <c r="AF17" s="28" t="str">
        <f>MID(VLOOKUP($A17,Seqs!$A:$B,2,FALSE),VLOOKUP($A17,'SegEnds_NonXtal_Prot#'!$A:$AL,28,FALSE)-4,1)</f>
        <v>L</v>
      </c>
      <c r="AG17" s="50" t="str">
        <f>MID(VLOOKUP($A17,Seqs!$A:$B,2,FALSE),VLOOKUP($A17,'SegEnds_NonXtal_Prot#'!$A:$AL,28,FALSE),1)</f>
        <v>P</v>
      </c>
    </row>
    <row r="18" spans="1:33" s="2" customFormat="1" x14ac:dyDescent="0.2">
      <c r="A18" s="2" t="s">
        <v>391</v>
      </c>
      <c r="B18" s="2" t="str">
        <f>LOWER(VLOOKUP(A18,Xtal_Templ!A:B,2,FALSE))</f>
        <v>5ht1b_human</v>
      </c>
      <c r="C18" s="2" t="str">
        <f>VLOOKUP(A18,Classification!A:D,2,FALSE)</f>
        <v>A</v>
      </c>
      <c r="D18" s="2" t="str">
        <f>IF(ISERROR(MATCH(A18,'SegEnds_Xtal_Prot#'!B:B, 0)), "NoXtal", "Xtal")</f>
        <v>NoXtal</v>
      </c>
      <c r="F18" s="2" t="s">
        <v>5</v>
      </c>
      <c r="G18" s="4"/>
      <c r="Q18" s="2" t="s">
        <v>9</v>
      </c>
      <c r="S18" s="4" t="s">
        <v>12</v>
      </c>
      <c r="U18" s="28" t="str">
        <f>MID(VLOOKUP($A18,Seqs!$A:$B,2,FALSE),VLOOKUP($A18,'SegEnds_NonXtal_Prot#'!A:AL,10,FALSE),1)</f>
        <v>D</v>
      </c>
      <c r="V18" s="50" t="str">
        <f>MID(VLOOKUP($A18,Seqs!$A:$B,2,FALSE),VLOOKUP($A18,'SegEnds_NonXtal_Prot#'!A:AL,10,FALSE)+6,1)</f>
        <v>T</v>
      </c>
      <c r="W18" s="50" t="str">
        <f>MID(VLOOKUP($A18,Seqs!$A:$B,2,FALSE),VLOOKUP($A18,'SegEnds_NonXtal_Prot#'!A:AL,10,FALSE)+7,1)</f>
        <v>V</v>
      </c>
      <c r="X18" s="50" t="str">
        <f>MID(VLOOKUP($A18,Seqs!$A:$B,2,FALSE),VLOOKUP($A18,'SegEnds_NonXtal_Prot#'!A:AL,10,FALSE)+8,1)</f>
        <v>M</v>
      </c>
      <c r="Y18" s="50" t="str">
        <f>MID(VLOOKUP($A18,Seqs!$A:$B,2,FALSE),VLOOKUP($A18,'SegEnds_NonXtal_Prot#'!A:AL,10,FALSE)+9,1)</f>
        <v>P</v>
      </c>
      <c r="Z18" s="50" t="str">
        <f>MID(VLOOKUP($A18,Seqs!$A:$B,2,FALSE),VLOOKUP($A18,'SegEnds_NonXtal_Prot#'!A:AL,10,FALSE)+10,1)</f>
        <v>F</v>
      </c>
      <c r="AA18" s="28" t="str">
        <f>MID(VLOOKUP($A18,Seqs!$A:$B,2,FALSE),VLOOKUP($A18,'SegEnds_NonXtal_Prot#'!$A:$AL,22,FALSE)+6,1)</f>
        <v>Y</v>
      </c>
      <c r="AB18" s="50" t="str">
        <f>MID(VLOOKUP($A18,Seqs!$A:$B,2,FALSE),VLOOKUP($A18,'SegEnds_NonXtal_Prot#'!$A:$AL,22,FALSE)+7,1)</f>
        <v>S</v>
      </c>
      <c r="AC18" s="50" t="str">
        <f>MID(VLOOKUP($A18,Seqs!$A:$B,2,FALSE),VLOOKUP($A18,'SegEnds_NonXtal_Prot#'!$A:$AL,22,FALSE)+8,1)</f>
        <v>G</v>
      </c>
      <c r="AD18" s="50" t="str">
        <f>MID(VLOOKUP($A18,Seqs!$A:$B,2,FALSE),VLOOKUP($A18,'SegEnds_NonXtal_Prot#'!$A:$AL,22,FALSE)+9,1)</f>
        <v>A</v>
      </c>
      <c r="AE18" s="50" t="str">
        <f>MID(VLOOKUP($A18,Seqs!$A:$B,2,FALSE),VLOOKUP($A18,'SegEnds_NonXtal_Prot#'!$A:$AL,22,FALSE)+10,1)</f>
        <v>V</v>
      </c>
      <c r="AF18" s="28" t="str">
        <f>MID(VLOOKUP($A18,Seqs!$A:$B,2,FALSE),VLOOKUP($A18,'SegEnds_NonXtal_Prot#'!$A:$AL,28,FALSE)-4,1)</f>
        <v>S</v>
      </c>
      <c r="AG18" s="50" t="str">
        <f>MID(VLOOKUP($A18,Seqs!$A:$B,2,FALSE),VLOOKUP($A18,'SegEnds_NonXtal_Prot#'!$A:$AL,28,FALSE),1)</f>
        <v>P</v>
      </c>
    </row>
    <row r="19" spans="1:33" s="2" customFormat="1" x14ac:dyDescent="0.2">
      <c r="A19" s="2" t="s">
        <v>392</v>
      </c>
      <c r="B19" s="2" t="str">
        <f>LOWER(VLOOKUP(A19,Xtal_Templ!A:B,2,FALSE))</f>
        <v>5ht1b_human</v>
      </c>
      <c r="C19" s="2" t="str">
        <f>VLOOKUP(A19,Classification!A:D,2,FALSE)</f>
        <v>A</v>
      </c>
      <c r="D19" s="2" t="str">
        <f>IF(ISERROR(MATCH(A19,'SegEnds_Xtal_Prot#'!B:B, 0)), "NoXtal", "Xtal")</f>
        <v>NoXtal</v>
      </c>
      <c r="G19" s="4"/>
      <c r="Q19" s="2" t="s">
        <v>9</v>
      </c>
      <c r="S19" s="4" t="s">
        <v>12</v>
      </c>
      <c r="U19" s="28" t="str">
        <f>MID(VLOOKUP($A19,Seqs!$A:$B,2,FALSE),VLOOKUP($A19,'SegEnds_NonXtal_Prot#'!A:AL,10,FALSE),1)</f>
        <v>D</v>
      </c>
      <c r="V19" s="50" t="str">
        <f>MID(VLOOKUP($A19,Seqs!$A:$B,2,FALSE),VLOOKUP($A19,'SegEnds_NonXtal_Prot#'!A:AL,10,FALSE)+6,1)</f>
        <v>T</v>
      </c>
      <c r="W19" s="50" t="str">
        <f>MID(VLOOKUP($A19,Seqs!$A:$B,2,FALSE),VLOOKUP($A19,'SegEnds_NonXtal_Prot#'!A:AL,10,FALSE)+7,1)</f>
        <v>V</v>
      </c>
      <c r="X19" s="50" t="str">
        <f>MID(VLOOKUP($A19,Seqs!$A:$B,2,FALSE),VLOOKUP($A19,'SegEnds_NonXtal_Prot#'!A:AL,10,FALSE)+8,1)</f>
        <v>M</v>
      </c>
      <c r="Y19" s="50" t="str">
        <f>MID(VLOOKUP($A19,Seqs!$A:$B,2,FALSE),VLOOKUP($A19,'SegEnds_NonXtal_Prot#'!A:AL,10,FALSE)+9,1)</f>
        <v>L</v>
      </c>
      <c r="Z19" s="50" t="str">
        <f>MID(VLOOKUP($A19,Seqs!$A:$B,2,FALSE),VLOOKUP($A19,'SegEnds_NonXtal_Prot#'!A:AL,10,FALSE)+10,1)</f>
        <v>F</v>
      </c>
      <c r="AA19" s="28" t="str">
        <f>MID(VLOOKUP($A19,Seqs!$A:$B,2,FALSE),VLOOKUP($A19,'SegEnds_NonXtal_Prot#'!$A:$AL,22,FALSE)+6,1)</f>
        <v>Y</v>
      </c>
      <c r="AB19" s="50" t="str">
        <f>MID(VLOOKUP($A19,Seqs!$A:$B,2,FALSE),VLOOKUP($A19,'SegEnds_NonXtal_Prot#'!$A:$AL,22,FALSE)+7,1)</f>
        <v>S</v>
      </c>
      <c r="AC19" s="50" t="str">
        <f>MID(VLOOKUP($A19,Seqs!$A:$B,2,FALSE),VLOOKUP($A19,'SegEnds_NonXtal_Prot#'!$A:$AL,22,FALSE)+8,1)</f>
        <v>G</v>
      </c>
      <c r="AD19" s="50" t="str">
        <f>MID(VLOOKUP($A19,Seqs!$A:$B,2,FALSE),VLOOKUP($A19,'SegEnds_NonXtal_Prot#'!$A:$AL,22,FALSE)+9,1)</f>
        <v>A</v>
      </c>
      <c r="AE19" s="50" t="str">
        <f>MID(VLOOKUP($A19,Seqs!$A:$B,2,FALSE),VLOOKUP($A19,'SegEnds_NonXtal_Prot#'!$A:$AL,22,FALSE)+10,1)</f>
        <v>V</v>
      </c>
      <c r="AF19" s="28" t="str">
        <f>MID(VLOOKUP($A19,Seqs!$A:$B,2,FALSE),VLOOKUP($A19,'SegEnds_NonXtal_Prot#'!$A:$AL,28,FALSE)-4,1)</f>
        <v>L</v>
      </c>
      <c r="AG19" s="50" t="str">
        <f>MID(VLOOKUP($A19,Seqs!$A:$B,2,FALSE),VLOOKUP($A19,'SegEnds_NonXtal_Prot#'!$A:$AL,28,FALSE),1)</f>
        <v>P</v>
      </c>
    </row>
    <row r="20" spans="1:33" s="2" customFormat="1" x14ac:dyDescent="0.2">
      <c r="A20" s="2" t="s">
        <v>393</v>
      </c>
      <c r="B20" s="2" t="str">
        <f>LOWER(VLOOKUP(A20,Xtal_Templ!A:B,2,FALSE))</f>
        <v>5ht1b_human</v>
      </c>
      <c r="C20" s="2" t="str">
        <f>VLOOKUP(A20,Classification!A:D,2,FALSE)</f>
        <v>A</v>
      </c>
      <c r="D20" s="2" t="str">
        <f>IF(ISERROR(MATCH(A20,'SegEnds_Xtal_Prot#'!B:B, 0)), "NoXtal", "Xtal")</f>
        <v>NoXtal</v>
      </c>
      <c r="F20" s="2" t="s">
        <v>5</v>
      </c>
      <c r="G20" s="4"/>
      <c r="Q20" s="2" t="s">
        <v>9</v>
      </c>
      <c r="S20" s="4" t="s">
        <v>12</v>
      </c>
      <c r="U20" s="28" t="str">
        <f>MID(VLOOKUP($A20,Seqs!$A:$B,2,FALSE),VLOOKUP($A20,'SegEnds_NonXtal_Prot#'!A:AL,10,FALSE),1)</f>
        <v>D</v>
      </c>
      <c r="V20" s="50" t="str">
        <f>MID(VLOOKUP($A20,Seqs!$A:$B,2,FALSE),VLOOKUP($A20,'SegEnds_NonXtal_Prot#'!A:AL,10,FALSE)+6,1)</f>
        <v>T</v>
      </c>
      <c r="W20" s="50" t="str">
        <f>MID(VLOOKUP($A20,Seqs!$A:$B,2,FALSE),VLOOKUP($A20,'SegEnds_NonXtal_Prot#'!A:AL,10,FALSE)+7,1)</f>
        <v>V</v>
      </c>
      <c r="X20" s="50" t="str">
        <f>MID(VLOOKUP($A20,Seqs!$A:$B,2,FALSE),VLOOKUP($A20,'SegEnds_NonXtal_Prot#'!A:AL,10,FALSE)+8,1)</f>
        <v>M</v>
      </c>
      <c r="Y20" s="50" t="str">
        <f>MID(VLOOKUP($A20,Seqs!$A:$B,2,FALSE),VLOOKUP($A20,'SegEnds_NonXtal_Prot#'!A:AL,10,FALSE)+9,1)</f>
        <v>P</v>
      </c>
      <c r="Z20" s="50" t="str">
        <f>MID(VLOOKUP($A20,Seqs!$A:$B,2,FALSE),VLOOKUP($A20,'SegEnds_NonXtal_Prot#'!A:AL,10,FALSE)+10,1)</f>
        <v>F</v>
      </c>
      <c r="AA20" s="28" t="str">
        <f>MID(VLOOKUP($A20,Seqs!$A:$B,2,FALSE),VLOOKUP($A20,'SegEnds_NonXtal_Prot#'!$A:$AL,22,FALSE)+6,1)</f>
        <v>Y</v>
      </c>
      <c r="AB20" s="50" t="str">
        <f>MID(VLOOKUP($A20,Seqs!$A:$B,2,FALSE),VLOOKUP($A20,'SegEnds_NonXtal_Prot#'!$A:$AL,22,FALSE)+7,1)</f>
        <v>S</v>
      </c>
      <c r="AC20" s="50" t="str">
        <f>MID(VLOOKUP($A20,Seqs!$A:$B,2,FALSE),VLOOKUP($A20,'SegEnds_NonXtal_Prot#'!$A:$AL,22,FALSE)+8,1)</f>
        <v>F</v>
      </c>
      <c r="AD20" s="50" t="str">
        <f>MID(VLOOKUP($A20,Seqs!$A:$B,2,FALSE),VLOOKUP($A20,'SegEnds_NonXtal_Prot#'!$A:$AL,22,FALSE)+9,1)</f>
        <v>S</v>
      </c>
      <c r="AE20" s="50" t="str">
        <f>MID(VLOOKUP($A20,Seqs!$A:$B,2,FALSE),VLOOKUP($A20,'SegEnds_NonXtal_Prot#'!$A:$AL,22,FALSE)+10,1)</f>
        <v>I</v>
      </c>
      <c r="AF20" s="28" t="str">
        <f>MID(VLOOKUP($A20,Seqs!$A:$B,2,FALSE),VLOOKUP($A20,'SegEnds_NonXtal_Prot#'!$A:$AL,28,FALSE)-4,1)</f>
        <v>L</v>
      </c>
      <c r="AG20" s="50" t="str">
        <f>MID(VLOOKUP($A20,Seqs!$A:$B,2,FALSE),VLOOKUP($A20,'SegEnds_NonXtal_Prot#'!$A:$AL,28,FALSE),1)</f>
        <v>P</v>
      </c>
    </row>
    <row r="21" spans="1:33" s="2" customFormat="1" x14ac:dyDescent="0.2">
      <c r="A21" s="2" t="s">
        <v>132</v>
      </c>
      <c r="B21" s="2" t="str">
        <f>LOWER(VLOOKUP(A21,Xtal_Templ!A:B,2,FALSE))</f>
        <v>5ht2b_human</v>
      </c>
      <c r="C21" s="2" t="str">
        <f>VLOOKUP(A21,Classification!A:D,2,FALSE)</f>
        <v>A</v>
      </c>
      <c r="D21" s="2" t="str">
        <f>IF(ISERROR(MATCH(A21,'SegEnds_Xtal_Prot#'!B:B, 0)), "NoXtal", "Xtal")</f>
        <v>NoXtal</v>
      </c>
      <c r="F21" s="2" t="s">
        <v>5</v>
      </c>
      <c r="G21" s="4"/>
      <c r="M21" s="2" t="s">
        <v>14</v>
      </c>
      <c r="Q21" s="2" t="s">
        <v>9</v>
      </c>
      <c r="S21" s="4" t="s">
        <v>12</v>
      </c>
      <c r="U21" s="28" t="str">
        <f>MID(VLOOKUP($A21,Seqs!$A:$B,2,FALSE),VLOOKUP($A21,'SegEnds_NonXtal_Prot#'!A:AL,10,FALSE),1)</f>
        <v>D</v>
      </c>
      <c r="V21" s="50" t="str">
        <f>MID(VLOOKUP($A21,Seqs!$A:$B,2,FALSE),VLOOKUP($A21,'SegEnds_NonXtal_Prot#'!A:AL,10,FALSE)+6,1)</f>
        <v>L</v>
      </c>
      <c r="W21" s="50" t="str">
        <f>MID(VLOOKUP($A21,Seqs!$A:$B,2,FALSE),VLOOKUP($A21,'SegEnds_NonXtal_Prot#'!A:AL,10,FALSE)+7,1)</f>
        <v>V</v>
      </c>
      <c r="X21" s="50" t="str">
        <f>MID(VLOOKUP($A21,Seqs!$A:$B,2,FALSE),VLOOKUP($A21,'SegEnds_NonXtal_Prot#'!A:AL,10,FALSE)+8,1)</f>
        <v>M</v>
      </c>
      <c r="Y21" s="50" t="str">
        <f>MID(VLOOKUP($A21,Seqs!$A:$B,2,FALSE),VLOOKUP($A21,'SegEnds_NonXtal_Prot#'!A:AL,10,FALSE)+9,1)</f>
        <v>P</v>
      </c>
      <c r="Z21" s="50" t="str">
        <f>MID(VLOOKUP($A21,Seqs!$A:$B,2,FALSE),VLOOKUP($A21,'SegEnds_NonXtal_Prot#'!A:AL,10,FALSE)+10,1)</f>
        <v>V</v>
      </c>
      <c r="AA21" s="28" t="str">
        <f>MID(VLOOKUP($A21,Seqs!$A:$B,2,FALSE),VLOOKUP($A21,'SegEnds_NonXtal_Prot#'!$A:$AL,22,FALSE)+6,1)</f>
        <v>I</v>
      </c>
      <c r="AB21" s="50" t="str">
        <f>MID(VLOOKUP($A21,Seqs!$A:$B,2,FALSE),VLOOKUP($A21,'SegEnds_NonXtal_Prot#'!$A:$AL,22,FALSE)+7,1)</f>
        <v>S</v>
      </c>
      <c r="AC21" s="50" t="str">
        <f>MID(VLOOKUP($A21,Seqs!$A:$B,2,FALSE),VLOOKUP($A21,'SegEnds_NonXtal_Prot#'!$A:$AL,22,FALSE)+8,1)</f>
        <v>M</v>
      </c>
      <c r="AD21" s="50" t="str">
        <f>MID(VLOOKUP($A21,Seqs!$A:$B,2,FALSE),VLOOKUP($A21,'SegEnds_NonXtal_Prot#'!$A:$AL,22,FALSE)+9,1)</f>
        <v>P</v>
      </c>
      <c r="AE21" s="50" t="str">
        <f>MID(VLOOKUP($A21,Seqs!$A:$B,2,FALSE),VLOOKUP($A21,'SegEnds_NonXtal_Prot#'!$A:$AL,22,FALSE)+10,1)</f>
        <v>I</v>
      </c>
      <c r="AF21" s="28" t="str">
        <f>MID(VLOOKUP($A21,Seqs!$A:$B,2,FALSE),VLOOKUP($A21,'SegEnds_NonXtal_Prot#'!$A:$AL,28,FALSE)-4,1)</f>
        <v>S</v>
      </c>
      <c r="AG21" s="50" t="str">
        <f>MID(VLOOKUP($A21,Seqs!$A:$B,2,FALSE),VLOOKUP($A21,'SegEnds_NonXtal_Prot#'!$A:$AL,28,FALSE),1)</f>
        <v>P</v>
      </c>
    </row>
    <row r="22" spans="1:33" s="2" customFormat="1" x14ac:dyDescent="0.2">
      <c r="A22" s="2" t="s">
        <v>35</v>
      </c>
      <c r="B22" s="2" t="str">
        <f>LOWER(VLOOKUP(A22,Xtal_Templ!A:B,2,FALSE))</f>
        <v>5ht2b_human</v>
      </c>
      <c r="C22" s="2" t="str">
        <f>VLOOKUP(A22,Classification!A:D,2,FALSE)</f>
        <v>A</v>
      </c>
      <c r="D22" s="2" t="str">
        <f>IF(ISERROR(MATCH(A22,'SegEnds_Xtal_Prot#'!B:B, 0)), "NoXtal", "Xtal")</f>
        <v>Xtal</v>
      </c>
      <c r="E22" s="2" t="s">
        <v>13</v>
      </c>
      <c r="F22" s="2" t="s">
        <v>5</v>
      </c>
      <c r="G22" s="4"/>
      <c r="M22" s="2" t="s">
        <v>14</v>
      </c>
      <c r="Q22" s="2" t="s">
        <v>9</v>
      </c>
      <c r="S22" s="4" t="s">
        <v>12</v>
      </c>
      <c r="U22" s="28" t="str">
        <f>MID(VLOOKUP($A22,Seqs!$A:$B,2,FALSE),VLOOKUP($A22,'SegEnds_NonXtal_Prot#'!A:AL,10,FALSE),1)</f>
        <v>D</v>
      </c>
      <c r="V22" s="50" t="str">
        <f>MID(VLOOKUP($A22,Seqs!$A:$B,2,FALSE),VLOOKUP($A22,'SegEnds_NonXtal_Prot#'!A:AL,10,FALSE)+6,1)</f>
        <v>F</v>
      </c>
      <c r="W22" s="50" t="str">
        <f>MID(VLOOKUP($A22,Seqs!$A:$B,2,FALSE),VLOOKUP($A22,'SegEnds_NonXtal_Prot#'!A:AL,10,FALSE)+7,1)</f>
        <v>V</v>
      </c>
      <c r="X22" s="50" t="str">
        <f>MID(VLOOKUP($A22,Seqs!$A:$B,2,FALSE),VLOOKUP($A22,'SegEnds_NonXtal_Prot#'!A:AL,10,FALSE)+8,1)</f>
        <v>M</v>
      </c>
      <c r="Y22" s="50" t="str">
        <f>MID(VLOOKUP($A22,Seqs!$A:$B,2,FALSE),VLOOKUP($A22,'SegEnds_NonXtal_Prot#'!A:AL,10,FALSE)+9,1)</f>
        <v>P</v>
      </c>
      <c r="Z22" s="50" t="str">
        <f>MID(VLOOKUP($A22,Seqs!$A:$B,2,FALSE),VLOOKUP($A22,'SegEnds_NonXtal_Prot#'!A:AL,10,FALSE)+10,1)</f>
        <v>I</v>
      </c>
      <c r="AA22" s="28" t="str">
        <f>MID(VLOOKUP($A22,Seqs!$A:$B,2,FALSE),VLOOKUP($A22,'SegEnds_NonXtal_Prot#'!$A:$AL,22,FALSE)+6,1)</f>
        <v>I</v>
      </c>
      <c r="AB22" s="50" t="str">
        <f>MID(VLOOKUP($A22,Seqs!$A:$B,2,FALSE),VLOOKUP($A22,'SegEnds_NonXtal_Prot#'!$A:$AL,22,FALSE)+7,1)</f>
        <v>A</v>
      </c>
      <c r="AC22" s="50" t="str">
        <f>MID(VLOOKUP($A22,Seqs!$A:$B,2,FALSE),VLOOKUP($A22,'SegEnds_NonXtal_Prot#'!$A:$AL,22,FALSE)+8,1)</f>
        <v>I</v>
      </c>
      <c r="AD22" s="50" t="str">
        <f>MID(VLOOKUP($A22,Seqs!$A:$B,2,FALSE),VLOOKUP($A22,'SegEnds_NonXtal_Prot#'!$A:$AL,22,FALSE)+9,1)</f>
        <v>P</v>
      </c>
      <c r="AE22" s="50" t="str">
        <f>MID(VLOOKUP($A22,Seqs!$A:$B,2,FALSE),VLOOKUP($A22,'SegEnds_NonXtal_Prot#'!$A:$AL,22,FALSE)+10,1)</f>
        <v>V</v>
      </c>
      <c r="AF22" s="28" t="str">
        <f>MID(VLOOKUP($A22,Seqs!$A:$B,2,FALSE),VLOOKUP($A22,'SegEnds_NonXtal_Prot#'!$A:$AL,28,FALSE)-4,1)</f>
        <v>A</v>
      </c>
      <c r="AG22" s="50" t="str">
        <f>MID(VLOOKUP($A22,Seqs!$A:$B,2,FALSE),VLOOKUP($A22,'SegEnds_NonXtal_Prot#'!$A:$AL,28,FALSE),1)</f>
        <v>P</v>
      </c>
    </row>
    <row r="23" spans="1:33" s="2" customFormat="1" x14ac:dyDescent="0.2">
      <c r="A23" s="2" t="s">
        <v>133</v>
      </c>
      <c r="B23" s="2" t="str">
        <f>LOWER(VLOOKUP(A23,Xtal_Templ!A:B,2,FALSE))</f>
        <v>5ht2b_human</v>
      </c>
      <c r="C23" s="2" t="str">
        <f>VLOOKUP(A23,Classification!A:D,2,FALSE)</f>
        <v>A</v>
      </c>
      <c r="D23" s="2" t="str">
        <f>IF(ISERROR(MATCH(A23,'SegEnds_Xtal_Prot#'!B:B, 0)), "NoXtal", "Xtal")</f>
        <v>NoXtal</v>
      </c>
      <c r="F23" s="2" t="s">
        <v>5</v>
      </c>
      <c r="G23" s="4"/>
      <c r="M23" s="2" t="s">
        <v>14</v>
      </c>
      <c r="Q23" s="2" t="s">
        <v>9</v>
      </c>
      <c r="S23" s="4" t="s">
        <v>12</v>
      </c>
      <c r="U23" s="28" t="str">
        <f>MID(VLOOKUP($A23,Seqs!$A:$B,2,FALSE),VLOOKUP($A23,'SegEnds_NonXtal_Prot#'!A:AL,10,FALSE),1)</f>
        <v>D</v>
      </c>
      <c r="V23" s="50" t="str">
        <f>MID(VLOOKUP($A23,Seqs!$A:$B,2,FALSE),VLOOKUP($A23,'SegEnds_NonXtal_Prot#'!A:AL,10,FALSE)+6,1)</f>
        <v>L</v>
      </c>
      <c r="W23" s="50" t="str">
        <f>MID(VLOOKUP($A23,Seqs!$A:$B,2,FALSE),VLOOKUP($A23,'SegEnds_NonXtal_Prot#'!A:AL,10,FALSE)+7,1)</f>
        <v>V</v>
      </c>
      <c r="X23" s="50" t="str">
        <f>MID(VLOOKUP($A23,Seqs!$A:$B,2,FALSE),VLOOKUP($A23,'SegEnds_NonXtal_Prot#'!A:AL,10,FALSE)+8,1)</f>
        <v>M</v>
      </c>
      <c r="Y23" s="50" t="str">
        <f>MID(VLOOKUP($A23,Seqs!$A:$B,2,FALSE),VLOOKUP($A23,'SegEnds_NonXtal_Prot#'!A:AL,10,FALSE)+9,1)</f>
        <v>P</v>
      </c>
      <c r="Z23" s="50" t="str">
        <f>MID(VLOOKUP($A23,Seqs!$A:$B,2,FALSE),VLOOKUP($A23,'SegEnds_NonXtal_Prot#'!A:AL,10,FALSE)+10,1)</f>
        <v>L</v>
      </c>
      <c r="AA23" s="28" t="str">
        <f>MID(VLOOKUP($A23,Seqs!$A:$B,2,FALSE),VLOOKUP($A23,'SegEnds_NonXtal_Prot#'!$A:$AL,22,FALSE)+6,1)</f>
        <v>V</v>
      </c>
      <c r="AB23" s="50" t="str">
        <f>MID(VLOOKUP($A23,Seqs!$A:$B,2,FALSE),VLOOKUP($A23,'SegEnds_NonXtal_Prot#'!$A:$AL,22,FALSE)+7,1)</f>
        <v>S</v>
      </c>
      <c r="AC23" s="50" t="str">
        <f>MID(VLOOKUP($A23,Seqs!$A:$B,2,FALSE),VLOOKUP($A23,'SegEnds_NonXtal_Prot#'!$A:$AL,22,FALSE)+8,1)</f>
        <v>V</v>
      </c>
      <c r="AD23" s="50" t="str">
        <f>MID(VLOOKUP($A23,Seqs!$A:$B,2,FALSE),VLOOKUP($A23,'SegEnds_NonXtal_Prot#'!$A:$AL,22,FALSE)+9,1)</f>
        <v>P</v>
      </c>
      <c r="AE23" s="50" t="str">
        <f>MID(VLOOKUP($A23,Seqs!$A:$B,2,FALSE),VLOOKUP($A23,'SegEnds_NonXtal_Prot#'!$A:$AL,22,FALSE)+10,1)</f>
        <v>I</v>
      </c>
      <c r="AF23" s="28" t="str">
        <f>MID(VLOOKUP($A23,Seqs!$A:$B,2,FALSE),VLOOKUP($A23,'SegEnds_NonXtal_Prot#'!$A:$AL,28,FALSE)-4,1)</f>
        <v>A</v>
      </c>
      <c r="AG23" s="50" t="str">
        <f>MID(VLOOKUP($A23,Seqs!$A:$B,2,FALSE),VLOOKUP($A23,'SegEnds_NonXtal_Prot#'!$A:$AL,28,FALSE),1)</f>
        <v>P</v>
      </c>
    </row>
    <row r="24" spans="1:33" s="2" customFormat="1" x14ac:dyDescent="0.2">
      <c r="A24" s="2" t="s">
        <v>230</v>
      </c>
      <c r="B24" s="2" t="str">
        <f>LOWER(VLOOKUP(A24,Xtal_Templ!A:B,2,FALSE))</f>
        <v>ox1r_human</v>
      </c>
      <c r="C24" s="2" t="str">
        <f>VLOOKUP(A24,Classification!A:D,2,FALSE)</f>
        <v>A</v>
      </c>
      <c r="D24" s="2" t="str">
        <f>IF(ISERROR(MATCH(A24,'SegEnds_Xtal_Prot#'!B:B, 0)), "NoXtal", "Xtal")</f>
        <v>NoXtal</v>
      </c>
      <c r="F24" s="2" t="s">
        <v>5</v>
      </c>
      <c r="G24" s="4"/>
      <c r="Q24" s="2" t="s">
        <v>9</v>
      </c>
      <c r="S24" s="4" t="s">
        <v>12</v>
      </c>
      <c r="U24" s="28" t="str">
        <f>MID(VLOOKUP($A24,Seqs!$A:$B,2,FALSE),VLOOKUP($A24,'SegEnds_NonXtal_Prot#'!A:AL,10,FALSE),1)</f>
        <v>D</v>
      </c>
      <c r="V24" s="50" t="str">
        <f>MID(VLOOKUP($A24,Seqs!$A:$B,2,FALSE),VLOOKUP($A24,'SegEnds_NonXtal_Prot#'!A:AL,10,FALSE)+6,1)</f>
        <v>V</v>
      </c>
      <c r="W24" s="50" t="str">
        <f>MID(VLOOKUP($A24,Seqs!$A:$B,2,FALSE),VLOOKUP($A24,'SegEnds_NonXtal_Prot#'!A:AL,10,FALSE)+7,1)</f>
        <v>C</v>
      </c>
      <c r="X24" s="50" t="str">
        <f>MID(VLOOKUP($A24,Seqs!$A:$B,2,FALSE),VLOOKUP($A24,'SegEnds_NonXtal_Prot#'!A:AL,10,FALSE)+8,1)</f>
        <v>F</v>
      </c>
      <c r="Y24" s="50" t="str">
        <f>MID(VLOOKUP($A24,Seqs!$A:$B,2,FALSE),VLOOKUP($A24,'SegEnds_NonXtal_Prot#'!A:AL,10,FALSE)+9,1)</f>
        <v>P</v>
      </c>
      <c r="Z24" s="50" t="str">
        <f>MID(VLOOKUP($A24,Seqs!$A:$B,2,FALSE),VLOOKUP($A24,'SegEnds_NonXtal_Prot#'!A:AL,10,FALSE)+10,1)</f>
        <v>F</v>
      </c>
      <c r="AA24" s="28" t="str">
        <f>MID(VLOOKUP($A24,Seqs!$A:$B,2,FALSE),VLOOKUP($A24,'SegEnds_NonXtal_Prot#'!$A:$AL,22,FALSE)+6,1)</f>
        <v>M</v>
      </c>
      <c r="AB24" s="50" t="str">
        <f>MID(VLOOKUP($A24,Seqs!$A:$B,2,FALSE),VLOOKUP($A24,'SegEnds_NonXtal_Prot#'!$A:$AL,22,FALSE)+7,1)</f>
        <v>A</v>
      </c>
      <c r="AC24" s="50" t="str">
        <f>MID(VLOOKUP($A24,Seqs!$A:$B,2,FALSE),VLOOKUP($A24,'SegEnds_NonXtal_Prot#'!$A:$AL,22,FALSE)+8,1)</f>
        <v>F</v>
      </c>
      <c r="AD24" s="50" t="str">
        <f>MID(VLOOKUP($A24,Seqs!$A:$B,2,FALSE),VLOOKUP($A24,'SegEnds_NonXtal_Prot#'!$A:$AL,22,FALSE)+9,1)</f>
        <v>P</v>
      </c>
      <c r="AE24" s="50" t="str">
        <f>MID(VLOOKUP($A24,Seqs!$A:$B,2,FALSE),VLOOKUP($A24,'SegEnds_NonXtal_Prot#'!$A:$AL,22,FALSE)+10,1)</f>
        <v>P</v>
      </c>
      <c r="AF24" s="28" t="str">
        <f>MID(VLOOKUP($A24,Seqs!$A:$B,2,FALSE),VLOOKUP($A24,'SegEnds_NonXtal_Prot#'!$A:$AL,28,FALSE)-4,1)</f>
        <v>T</v>
      </c>
      <c r="AG24" s="50" t="str">
        <f>MID(VLOOKUP($A24,Seqs!$A:$B,2,FALSE),VLOOKUP($A24,'SegEnds_NonXtal_Prot#'!$A:$AL,28,FALSE),1)</f>
        <v>P</v>
      </c>
    </row>
    <row r="25" spans="1:33" s="2" customFormat="1" x14ac:dyDescent="0.2">
      <c r="A25" s="2" t="s">
        <v>248</v>
      </c>
      <c r="B25" s="2" t="str">
        <f>LOWER(VLOOKUP(A25,Xtal_Templ!A:B,2,FALSE))</f>
        <v>ox1r_human</v>
      </c>
      <c r="C25" s="2" t="str">
        <f>VLOOKUP(A25,Classification!A:D,2,FALSE)</f>
        <v>A</v>
      </c>
      <c r="D25" s="2" t="str">
        <f>IF(ISERROR(MATCH(A25,'SegEnds_Xtal_Prot#'!B:B, 0)), "NoXtal", "Xtal")</f>
        <v>NoXtal</v>
      </c>
      <c r="F25" s="2" t="s">
        <v>5</v>
      </c>
      <c r="G25" s="4"/>
      <c r="S25" s="4" t="s">
        <v>12</v>
      </c>
      <c r="U25" s="28" t="str">
        <f>MID(VLOOKUP($A25,Seqs!$A:$B,2,FALSE),VLOOKUP($A25,'SegEnds_NonXtal_Prot#'!A:AL,10,FALSE),1)</f>
        <v>D</v>
      </c>
      <c r="V25" s="50" t="str">
        <f>MID(VLOOKUP($A25,Seqs!$A:$B,2,FALSE),VLOOKUP($A25,'SegEnds_NonXtal_Prot#'!A:AL,10,FALSE)+6,1)</f>
        <v>A</v>
      </c>
      <c r="W25" s="50" t="str">
        <f>MID(VLOOKUP($A25,Seqs!$A:$B,2,FALSE),VLOOKUP($A25,'SegEnds_NonXtal_Prot#'!A:AL,10,FALSE)+7,1)</f>
        <v>C</v>
      </c>
      <c r="X25" s="50" t="str">
        <f>MID(VLOOKUP($A25,Seqs!$A:$B,2,FALSE),VLOOKUP($A25,'SegEnds_NonXtal_Prot#'!A:AL,10,FALSE)+8,1)</f>
        <v>L</v>
      </c>
      <c r="Y25" s="50" t="str">
        <f>MID(VLOOKUP($A25,Seqs!$A:$B,2,FALSE),VLOOKUP($A25,'SegEnds_NonXtal_Prot#'!A:AL,10,FALSE)+9,1)</f>
        <v>P</v>
      </c>
      <c r="Z25" s="50" t="str">
        <f>MID(VLOOKUP($A25,Seqs!$A:$B,2,FALSE),VLOOKUP($A25,'SegEnds_NonXtal_Prot#'!A:AL,10,FALSE)+10,1)</f>
        <v>A</v>
      </c>
      <c r="AA25" s="28" t="str">
        <f>MID(VLOOKUP($A25,Seqs!$A:$B,2,FALSE),VLOOKUP($A25,'SegEnds_NonXtal_Prot#'!$A:$AL,22,FALSE)+6,1)</f>
        <v>A</v>
      </c>
      <c r="AB25" s="50" t="str">
        <f>MID(VLOOKUP($A25,Seqs!$A:$B,2,FALSE),VLOOKUP($A25,'SegEnds_NonXtal_Prot#'!$A:$AL,22,FALSE)+7,1)</f>
        <v>A</v>
      </c>
      <c r="AC25" s="50" t="str">
        <f>MID(VLOOKUP($A25,Seqs!$A:$B,2,FALSE),VLOOKUP($A25,'SegEnds_NonXtal_Prot#'!$A:$AL,22,FALSE)+8,1)</f>
        <v>F</v>
      </c>
      <c r="AD25" s="50" t="str">
        <f>MID(VLOOKUP($A25,Seqs!$A:$B,2,FALSE),VLOOKUP($A25,'SegEnds_NonXtal_Prot#'!$A:$AL,22,FALSE)+9,1)</f>
        <v>P</v>
      </c>
      <c r="AE25" s="50" t="str">
        <f>MID(VLOOKUP($A25,Seqs!$A:$B,2,FALSE),VLOOKUP($A25,'SegEnds_NonXtal_Prot#'!$A:$AL,22,FALSE)+10,1)</f>
        <v>P</v>
      </c>
      <c r="AF25" s="28" t="str">
        <f>MID(VLOOKUP($A25,Seqs!$A:$B,2,FALSE),VLOOKUP($A25,'SegEnds_NonXtal_Prot#'!$A:$AL,28,FALSE)-4,1)</f>
        <v>G</v>
      </c>
      <c r="AG25" s="50" t="str">
        <f>MID(VLOOKUP($A25,Seqs!$A:$B,2,FALSE),VLOOKUP($A25,'SegEnds_NonXtal_Prot#'!$A:$AL,28,FALSE),1)</f>
        <v>L</v>
      </c>
    </row>
    <row r="26" spans="1:33" s="2" customFormat="1" x14ac:dyDescent="0.2">
      <c r="A26" s="2" t="s">
        <v>271</v>
      </c>
      <c r="B26" s="2" t="str">
        <f>LOWER(VLOOKUP(A26,Xtal_Templ!A:B,2,FALSE))</f>
        <v>ox1r_human</v>
      </c>
      <c r="C26" s="2" t="str">
        <f>VLOOKUP(A26,Classification!A:D,2,FALSE)</f>
        <v>A</v>
      </c>
      <c r="D26" s="2" t="str">
        <f>IF(ISERROR(MATCH(A26,'SegEnds_Xtal_Prot#'!B:B, 0)), "NoXtal", "Xtal")</f>
        <v>NoXtal</v>
      </c>
      <c r="F26" s="2" t="s">
        <v>5</v>
      </c>
      <c r="G26" s="4"/>
      <c r="Q26" s="2" t="s">
        <v>9</v>
      </c>
      <c r="S26" s="4" t="s">
        <v>12</v>
      </c>
      <c r="U26" s="28" t="str">
        <f>MID(VLOOKUP($A26,Seqs!$A:$B,2,FALSE),VLOOKUP($A26,'SegEnds_NonXtal_Prot#'!A:AL,10,FALSE),1)</f>
        <v>D</v>
      </c>
      <c r="V26" s="50" t="str">
        <f>MID(VLOOKUP($A26,Seqs!$A:$B,2,FALSE),VLOOKUP($A26,'SegEnds_NonXtal_Prot#'!A:AL,10,FALSE)+6,1)</f>
        <v>I</v>
      </c>
      <c r="W26" s="50" t="str">
        <f>MID(VLOOKUP($A26,Seqs!$A:$B,2,FALSE),VLOOKUP($A26,'SegEnds_NonXtal_Prot#'!A:AL,10,FALSE)+7,1)</f>
        <v>C</v>
      </c>
      <c r="X26" s="50" t="str">
        <f>MID(VLOOKUP($A26,Seqs!$A:$B,2,FALSE),VLOOKUP($A26,'SegEnds_NonXtal_Prot#'!A:AL,10,FALSE)+8,1)</f>
        <v>F</v>
      </c>
      <c r="Y26" s="50" t="str">
        <f>MID(VLOOKUP($A26,Seqs!$A:$B,2,FALSE),VLOOKUP($A26,'SegEnds_NonXtal_Prot#'!A:AL,10,FALSE)+9,1)</f>
        <v>P</v>
      </c>
      <c r="Z26" s="50" t="str">
        <f>MID(VLOOKUP($A26,Seqs!$A:$B,2,FALSE),VLOOKUP($A26,'SegEnds_NonXtal_Prot#'!A:AL,10,FALSE)+10,1)</f>
        <v>F</v>
      </c>
      <c r="AA26" s="28" t="str">
        <f>MID(VLOOKUP($A26,Seqs!$A:$B,2,FALSE),VLOOKUP($A26,'SegEnds_NonXtal_Prot#'!$A:$AL,22,FALSE)+6,1)</f>
        <v>M</v>
      </c>
      <c r="AB26" s="50" t="str">
        <f>MID(VLOOKUP($A26,Seqs!$A:$B,2,FALSE),VLOOKUP($A26,'SegEnds_NonXtal_Prot#'!$A:$AL,22,FALSE)+7,1)</f>
        <v>A</v>
      </c>
      <c r="AC26" s="50" t="str">
        <f>MID(VLOOKUP($A26,Seqs!$A:$B,2,FALSE),VLOOKUP($A26,'SegEnds_NonXtal_Prot#'!$A:$AL,22,FALSE)+8,1)</f>
        <v>F</v>
      </c>
      <c r="AD26" s="50" t="str">
        <f>MID(VLOOKUP($A26,Seqs!$A:$B,2,FALSE),VLOOKUP($A26,'SegEnds_NonXtal_Prot#'!$A:$AL,22,FALSE)+9,1)</f>
        <v>P</v>
      </c>
      <c r="AE26" s="50" t="str">
        <f>MID(VLOOKUP($A26,Seqs!$A:$B,2,FALSE),VLOOKUP($A26,'SegEnds_NonXtal_Prot#'!$A:$AL,22,FALSE)+10,1)</f>
        <v>P</v>
      </c>
      <c r="AF26" s="28" t="str">
        <f>MID(VLOOKUP($A26,Seqs!$A:$B,2,FALSE),VLOOKUP($A26,'SegEnds_NonXtal_Prot#'!$A:$AL,28,FALSE)-4,1)</f>
        <v>T</v>
      </c>
      <c r="AG26" s="50" t="str">
        <f>MID(VLOOKUP($A26,Seqs!$A:$B,2,FALSE),VLOOKUP($A26,'SegEnds_NonXtal_Prot#'!$A:$AL,28,FALSE),1)</f>
        <v>P</v>
      </c>
    </row>
    <row r="27" spans="1:33" s="2" customFormat="1" x14ac:dyDescent="0.2">
      <c r="A27" s="2" t="s">
        <v>138</v>
      </c>
      <c r="B27" s="2" t="str">
        <f>LOWER(VLOOKUP(A27,Xtal_Templ!A:B,2,FALSE))</f>
        <v>aa1r_human</v>
      </c>
      <c r="C27" s="2" t="str">
        <f>VLOOKUP(A27,Classification!A:D,2,FALSE)</f>
        <v>A</v>
      </c>
      <c r="D27" s="2" t="str">
        <f>IF(ISERROR(MATCH(A27,'SegEnds_Xtal_Prot#'!B:B, 0)), "NoXtal", "Xtal")</f>
        <v>Xtal</v>
      </c>
      <c r="F27" s="2" t="s">
        <v>5</v>
      </c>
      <c r="G27" s="4"/>
      <c r="N27" s="2" t="s">
        <v>1325</v>
      </c>
      <c r="Q27" s="2" t="s">
        <v>9</v>
      </c>
      <c r="S27" s="4" t="s">
        <v>12</v>
      </c>
      <c r="U27" s="28" t="str">
        <f>MID(VLOOKUP($A27,Seqs!$A:$B,2,FALSE),VLOOKUP($A27,'SegEnds_NonXtal_Prot#'!A:AL,10,FALSE),1)</f>
        <v>D</v>
      </c>
      <c r="V27" s="50" t="str">
        <f>MID(VLOOKUP($A27,Seqs!$A:$B,2,FALSE),VLOOKUP($A27,'SegEnds_NonXtal_Prot#'!A:AL,10,FALSE)+6,1)</f>
        <v>L</v>
      </c>
      <c r="W27" s="50" t="str">
        <f>MID(VLOOKUP($A27,Seqs!$A:$B,2,FALSE),VLOOKUP($A27,'SegEnds_NonXtal_Prot#'!A:AL,10,FALSE)+7,1)</f>
        <v>V</v>
      </c>
      <c r="X27" s="50" t="str">
        <f>MID(VLOOKUP($A27,Seqs!$A:$B,2,FALSE),VLOOKUP($A27,'SegEnds_NonXtal_Prot#'!A:AL,10,FALSE)+8,1)</f>
        <v>I</v>
      </c>
      <c r="Y27" s="50" t="str">
        <f>MID(VLOOKUP($A27,Seqs!$A:$B,2,FALSE),VLOOKUP($A27,'SegEnds_NonXtal_Prot#'!A:AL,10,FALSE)+9,1)</f>
        <v>P</v>
      </c>
      <c r="Z27" s="50" t="str">
        <f>MID(VLOOKUP($A27,Seqs!$A:$B,2,FALSE),VLOOKUP($A27,'SegEnds_NonXtal_Prot#'!A:AL,10,FALSE)+10,1)</f>
        <v>L</v>
      </c>
      <c r="AA27" s="28" t="str">
        <f>MID(VLOOKUP($A27,Seqs!$A:$B,2,FALSE),VLOOKUP($A27,'SegEnds_NonXtal_Prot#'!$A:$AL,22,FALSE)+6,1)</f>
        <v>V</v>
      </c>
      <c r="AB27" s="50" t="str">
        <f>MID(VLOOKUP($A27,Seqs!$A:$B,2,FALSE),VLOOKUP($A27,'SegEnds_NonXtal_Prot#'!$A:$AL,22,FALSE)+7,1)</f>
        <v>G</v>
      </c>
      <c r="AC27" s="50" t="str">
        <f>MID(VLOOKUP($A27,Seqs!$A:$B,2,FALSE),VLOOKUP($A27,'SegEnds_NonXtal_Prot#'!$A:$AL,22,FALSE)+8,1)</f>
        <v>L</v>
      </c>
      <c r="AD27" s="50" t="str">
        <f>MID(VLOOKUP($A27,Seqs!$A:$B,2,FALSE),VLOOKUP($A27,'SegEnds_NonXtal_Prot#'!$A:$AL,22,FALSE)+9,1)</f>
        <v>T</v>
      </c>
      <c r="AE27" s="50" t="str">
        <f>MID(VLOOKUP($A27,Seqs!$A:$B,2,FALSE),VLOOKUP($A27,'SegEnds_NonXtal_Prot#'!$A:$AL,22,FALSE)+10,1)</f>
        <v>P</v>
      </c>
      <c r="AF27" s="28" t="str">
        <f>MID(VLOOKUP($A27,Seqs!$A:$B,2,FALSE),VLOOKUP($A27,'SegEnds_NonXtal_Prot#'!$A:$AL,28,FALSE)-4,1)</f>
        <v>W</v>
      </c>
      <c r="AG27" s="50" t="str">
        <f>MID(VLOOKUP($A27,Seqs!$A:$B,2,FALSE),VLOOKUP($A27,'SegEnds_NonXtal_Prot#'!$A:$AL,28,FALSE),1)</f>
        <v>P</v>
      </c>
    </row>
    <row r="28" spans="1:33" s="2" customFormat="1" x14ac:dyDescent="0.2">
      <c r="A28" s="2" t="s">
        <v>139</v>
      </c>
      <c r="B28" s="2" t="str">
        <f>LOWER(VLOOKUP(A28,Xtal_Templ!A:B,2,FALSE))</f>
        <v>aa2ar_human</v>
      </c>
      <c r="C28" s="2" t="str">
        <f>VLOOKUP(A28,Classification!A:D,2,FALSE)</f>
        <v>A</v>
      </c>
      <c r="D28" s="2" t="str">
        <f>IF(ISERROR(MATCH(A28,'SegEnds_Xtal_Prot#'!B:B, 0)), "NoXtal", "Xtal")</f>
        <v>Xtal</v>
      </c>
      <c r="F28" s="2" t="s">
        <v>5</v>
      </c>
      <c r="G28" s="4"/>
      <c r="N28" s="2" t="s">
        <v>1325</v>
      </c>
      <c r="Q28" s="2" t="s">
        <v>9</v>
      </c>
      <c r="S28" s="4" t="s">
        <v>12</v>
      </c>
      <c r="U28" s="28" t="str">
        <f>MID(VLOOKUP($A28,Seqs!$A:$B,2,FALSE),VLOOKUP($A28,'SegEnds_NonXtal_Prot#'!A:AL,10,FALSE),1)</f>
        <v>D</v>
      </c>
      <c r="V28" s="50" t="str">
        <f>MID(VLOOKUP($A28,Seqs!$A:$B,2,FALSE),VLOOKUP($A28,'SegEnds_NonXtal_Prot#'!A:AL,10,FALSE)+6,1)</f>
        <v>L</v>
      </c>
      <c r="W28" s="50" t="str">
        <f>MID(VLOOKUP($A28,Seqs!$A:$B,2,FALSE),VLOOKUP($A28,'SegEnds_NonXtal_Prot#'!A:AL,10,FALSE)+7,1)</f>
        <v>A</v>
      </c>
      <c r="X28" s="50" t="str">
        <f>MID(VLOOKUP($A28,Seqs!$A:$B,2,FALSE),VLOOKUP($A28,'SegEnds_NonXtal_Prot#'!A:AL,10,FALSE)+8,1)</f>
        <v>I</v>
      </c>
      <c r="Y28" s="50" t="str">
        <f>MID(VLOOKUP($A28,Seqs!$A:$B,2,FALSE),VLOOKUP($A28,'SegEnds_NonXtal_Prot#'!A:AL,10,FALSE)+9,1)</f>
        <v>P</v>
      </c>
      <c r="Z28" s="50" t="str">
        <f>MID(VLOOKUP($A28,Seqs!$A:$B,2,FALSE),VLOOKUP($A28,'SegEnds_NonXtal_Prot#'!A:AL,10,FALSE)+10,1)</f>
        <v>F</v>
      </c>
      <c r="AA28" s="28" t="str">
        <f>MID(VLOOKUP($A28,Seqs!$A:$B,2,FALSE),VLOOKUP($A28,'SegEnds_NonXtal_Prot#'!$A:$AL,22,FALSE)+6,1)</f>
        <v>I</v>
      </c>
      <c r="AB28" s="50" t="str">
        <f>MID(VLOOKUP($A28,Seqs!$A:$B,2,FALSE),VLOOKUP($A28,'SegEnds_NonXtal_Prot#'!$A:$AL,22,FALSE)+7,1)</f>
        <v>G</v>
      </c>
      <c r="AC28" s="50" t="str">
        <f>MID(VLOOKUP($A28,Seqs!$A:$B,2,FALSE),VLOOKUP($A28,'SegEnds_NonXtal_Prot#'!$A:$AL,22,FALSE)+8,1)</f>
        <v>L</v>
      </c>
      <c r="AD28" s="50" t="str">
        <f>MID(VLOOKUP($A28,Seqs!$A:$B,2,FALSE),VLOOKUP($A28,'SegEnds_NonXtal_Prot#'!$A:$AL,22,FALSE)+9,1)</f>
        <v>T</v>
      </c>
      <c r="AE28" s="50" t="str">
        <f>MID(VLOOKUP($A28,Seqs!$A:$B,2,FALSE),VLOOKUP($A28,'SegEnds_NonXtal_Prot#'!$A:$AL,22,FALSE)+10,1)</f>
        <v>P</v>
      </c>
      <c r="AF28" s="28" t="str">
        <f>MID(VLOOKUP($A28,Seqs!$A:$B,2,FALSE),VLOOKUP($A28,'SegEnds_NonXtal_Prot#'!$A:$AL,28,FALSE)-4,1)</f>
        <v>C</v>
      </c>
      <c r="AG28" s="50" t="str">
        <f>MID(VLOOKUP($A28,Seqs!$A:$B,2,FALSE),VLOOKUP($A28,'SegEnds_NonXtal_Prot#'!$A:$AL,28,FALSE),1)</f>
        <v>P</v>
      </c>
    </row>
    <row r="29" spans="1:33" s="2" customFormat="1" x14ac:dyDescent="0.2">
      <c r="A29" s="2" t="s">
        <v>140</v>
      </c>
      <c r="B29" s="2" t="str">
        <f>LOWER(VLOOKUP(A29,Xtal_Templ!A:B,2,FALSE))</f>
        <v>aa2ar_human</v>
      </c>
      <c r="C29" s="2" t="str">
        <f>VLOOKUP(A29,Classification!A:D,2,FALSE)</f>
        <v>A</v>
      </c>
      <c r="D29" s="2" t="str">
        <f>IF(ISERROR(MATCH(A29,'SegEnds_Xtal_Prot#'!B:B, 0)), "NoXtal", "Xtal")</f>
        <v>NoXtal</v>
      </c>
      <c r="F29" s="2" t="s">
        <v>5</v>
      </c>
      <c r="G29" s="4"/>
      <c r="N29" s="2" t="s">
        <v>1325</v>
      </c>
      <c r="Q29" s="2" t="s">
        <v>9</v>
      </c>
      <c r="S29" s="4" t="s">
        <v>12</v>
      </c>
      <c r="U29" s="28" t="str">
        <f>MID(VLOOKUP($A29,Seqs!$A:$B,2,FALSE),VLOOKUP($A29,'SegEnds_NonXtal_Prot#'!A:AL,10,FALSE),1)</f>
        <v>D</v>
      </c>
      <c r="V29" s="50" t="str">
        <f>MID(VLOOKUP($A29,Seqs!$A:$B,2,FALSE),VLOOKUP($A29,'SegEnds_NonXtal_Prot#'!A:AL,10,FALSE)+6,1)</f>
        <v>F</v>
      </c>
      <c r="W29" s="50" t="str">
        <f>MID(VLOOKUP($A29,Seqs!$A:$B,2,FALSE),VLOOKUP($A29,'SegEnds_NonXtal_Prot#'!A:AL,10,FALSE)+7,1)</f>
        <v>A</v>
      </c>
      <c r="X29" s="50" t="str">
        <f>MID(VLOOKUP($A29,Seqs!$A:$B,2,FALSE),VLOOKUP($A29,'SegEnds_NonXtal_Prot#'!A:AL,10,FALSE)+8,1)</f>
        <v>I</v>
      </c>
      <c r="Y29" s="50" t="str">
        <f>MID(VLOOKUP($A29,Seqs!$A:$B,2,FALSE),VLOOKUP($A29,'SegEnds_NonXtal_Prot#'!A:AL,10,FALSE)+9,1)</f>
        <v>P</v>
      </c>
      <c r="Z29" s="50" t="str">
        <f>MID(VLOOKUP($A29,Seqs!$A:$B,2,FALSE),VLOOKUP($A29,'SegEnds_NonXtal_Prot#'!A:AL,10,FALSE)+10,1)</f>
        <v>F</v>
      </c>
      <c r="AA29" s="28" t="str">
        <f>MID(VLOOKUP($A29,Seqs!$A:$B,2,FALSE),VLOOKUP($A29,'SegEnds_NonXtal_Prot#'!$A:$AL,22,FALSE)+6,1)</f>
        <v>I</v>
      </c>
      <c r="AB29" s="50" t="str">
        <f>MID(VLOOKUP($A29,Seqs!$A:$B,2,FALSE),VLOOKUP($A29,'SegEnds_NonXtal_Prot#'!$A:$AL,22,FALSE)+7,1)</f>
        <v>G</v>
      </c>
      <c r="AC29" s="50" t="str">
        <f>MID(VLOOKUP($A29,Seqs!$A:$B,2,FALSE),VLOOKUP($A29,'SegEnds_NonXtal_Prot#'!$A:$AL,22,FALSE)+8,1)</f>
        <v>L</v>
      </c>
      <c r="AD29" s="50" t="str">
        <f>MID(VLOOKUP($A29,Seqs!$A:$B,2,FALSE),VLOOKUP($A29,'SegEnds_NonXtal_Prot#'!$A:$AL,22,FALSE)+9,1)</f>
        <v>T</v>
      </c>
      <c r="AE29" s="50" t="str">
        <f>MID(VLOOKUP($A29,Seqs!$A:$B,2,FALSE),VLOOKUP($A29,'SegEnds_NonXtal_Prot#'!$A:$AL,22,FALSE)+10,1)</f>
        <v>P</v>
      </c>
      <c r="AF29" s="28" t="str">
        <f>MID(VLOOKUP($A29,Seqs!$A:$B,2,FALSE),VLOOKUP($A29,'SegEnds_NonXtal_Prot#'!$A:$AL,28,FALSE)-4,1)</f>
        <v>C</v>
      </c>
      <c r="AG29" s="50" t="str">
        <f>MID(VLOOKUP($A29,Seqs!$A:$B,2,FALSE),VLOOKUP($A29,'SegEnds_NonXtal_Prot#'!$A:$AL,28,FALSE),1)</f>
        <v>P</v>
      </c>
    </row>
    <row r="30" spans="1:33" s="2" customFormat="1" x14ac:dyDescent="0.2">
      <c r="A30" s="2" t="s">
        <v>141</v>
      </c>
      <c r="B30" s="2" t="str">
        <f>LOWER(VLOOKUP(A30,Xtal_Templ!A:B,2,FALSE))</f>
        <v>aa1r_human</v>
      </c>
      <c r="C30" s="2" t="str">
        <f>VLOOKUP(A30,Classification!A:D,2,FALSE)</f>
        <v>A</v>
      </c>
      <c r="D30" s="2" t="str">
        <f>IF(ISERROR(MATCH(A30,'SegEnds_Xtal_Prot#'!B:B, 0)), "NoXtal", "Xtal")</f>
        <v>NoXtal</v>
      </c>
      <c r="F30" s="2" t="s">
        <v>5</v>
      </c>
      <c r="G30" s="4"/>
      <c r="N30" s="2" t="s">
        <v>1325</v>
      </c>
      <c r="Q30" s="2" t="s">
        <v>9</v>
      </c>
      <c r="S30" s="4" t="s">
        <v>12</v>
      </c>
      <c r="U30" s="28" t="str">
        <f>MID(VLOOKUP($A30,Seqs!$A:$B,2,FALSE),VLOOKUP($A30,'SegEnds_NonXtal_Prot#'!A:AL,10,FALSE),1)</f>
        <v>D</v>
      </c>
      <c r="V30" s="50" t="str">
        <f>MID(VLOOKUP($A30,Seqs!$A:$B,2,FALSE),VLOOKUP($A30,'SegEnds_NonXtal_Prot#'!A:AL,10,FALSE)+6,1)</f>
        <v>L</v>
      </c>
      <c r="W30" s="50" t="str">
        <f>MID(VLOOKUP($A30,Seqs!$A:$B,2,FALSE),VLOOKUP($A30,'SegEnds_NonXtal_Prot#'!A:AL,10,FALSE)+7,1)</f>
        <v>V</v>
      </c>
      <c r="X30" s="50" t="str">
        <f>MID(VLOOKUP($A30,Seqs!$A:$B,2,FALSE),VLOOKUP($A30,'SegEnds_NonXtal_Prot#'!A:AL,10,FALSE)+8,1)</f>
        <v>M</v>
      </c>
      <c r="Y30" s="50" t="str">
        <f>MID(VLOOKUP($A30,Seqs!$A:$B,2,FALSE),VLOOKUP($A30,'SegEnds_NonXtal_Prot#'!A:AL,10,FALSE)+9,1)</f>
        <v>P</v>
      </c>
      <c r="Z30" s="50" t="str">
        <f>MID(VLOOKUP($A30,Seqs!$A:$B,2,FALSE),VLOOKUP($A30,'SegEnds_NonXtal_Prot#'!A:AL,10,FALSE)+10,1)</f>
        <v>L</v>
      </c>
      <c r="AA30" s="28" t="str">
        <f>MID(VLOOKUP($A30,Seqs!$A:$B,2,FALSE),VLOOKUP($A30,'SegEnds_NonXtal_Prot#'!$A:$AL,22,FALSE)+6,1)</f>
        <v>V</v>
      </c>
      <c r="AB30" s="50" t="str">
        <f>MID(VLOOKUP($A30,Seqs!$A:$B,2,FALSE),VLOOKUP($A30,'SegEnds_NonXtal_Prot#'!$A:$AL,22,FALSE)+7,1)</f>
        <v>G</v>
      </c>
      <c r="AC30" s="50" t="str">
        <f>MID(VLOOKUP($A30,Seqs!$A:$B,2,FALSE),VLOOKUP($A30,'SegEnds_NonXtal_Prot#'!$A:$AL,22,FALSE)+8,1)</f>
        <v>L</v>
      </c>
      <c r="AD30" s="50" t="str">
        <f>MID(VLOOKUP($A30,Seqs!$A:$B,2,FALSE),VLOOKUP($A30,'SegEnds_NonXtal_Prot#'!$A:$AL,22,FALSE)+9,1)</f>
        <v>T</v>
      </c>
      <c r="AE30" s="50" t="str">
        <f>MID(VLOOKUP($A30,Seqs!$A:$B,2,FALSE),VLOOKUP($A30,'SegEnds_NonXtal_Prot#'!$A:$AL,22,FALSE)+10,1)</f>
        <v>P</v>
      </c>
      <c r="AF30" s="28" t="str">
        <f>MID(VLOOKUP($A30,Seqs!$A:$B,2,FALSE),VLOOKUP($A30,'SegEnds_NonXtal_Prot#'!$A:$AL,28,FALSE)-4,1)</f>
        <v>W</v>
      </c>
      <c r="AG30" s="50" t="str">
        <f>MID(VLOOKUP($A30,Seqs!$A:$B,2,FALSE),VLOOKUP($A30,'SegEnds_NonXtal_Prot#'!$A:$AL,28,FALSE),1)</f>
        <v>P</v>
      </c>
    </row>
    <row r="31" spans="1:33" s="2" customFormat="1" x14ac:dyDescent="0.2">
      <c r="A31" s="2" t="s">
        <v>204</v>
      </c>
      <c r="B31" s="2" t="str">
        <f>LOWER(VLOOKUP(A31,Xtal_Templ!A:B,2,FALSE))</f>
        <v>aa2ar_human</v>
      </c>
      <c r="C31" s="2" t="str">
        <f>VLOOKUP(A31,Classification!A:D,2,FALSE)</f>
        <v>A</v>
      </c>
      <c r="D31" s="2" t="str">
        <f>IF(ISERROR(MATCH(A31,'SegEnds_Xtal_Prot#'!B:B, 0)), "NoXtal", "Xtal")</f>
        <v>NoXtal</v>
      </c>
      <c r="G31" s="4"/>
      <c r="S31" s="4" t="s">
        <v>12</v>
      </c>
      <c r="U31" s="28" t="str">
        <f>MID(VLOOKUP($A31,Seqs!$A:$B,2,FALSE),VLOOKUP($A31,'SegEnds_NonXtal_Prot#'!A:AL,10,FALSE),1)</f>
        <v>D</v>
      </c>
      <c r="V31" s="50" t="str">
        <f>MID(VLOOKUP($A31,Seqs!$A:$B,2,FALSE),VLOOKUP($A31,'SegEnds_NonXtal_Prot#'!A:AL,10,FALSE)+6,1)</f>
        <v>Y</v>
      </c>
      <c r="W31" s="50" t="str">
        <f>MID(VLOOKUP($A31,Seqs!$A:$B,2,FALSE),VLOOKUP($A31,'SegEnds_NonXtal_Prot#'!A:AL,10,FALSE)+7,1)</f>
        <v>L</v>
      </c>
      <c r="X31" s="50" t="str">
        <f>MID(VLOOKUP($A31,Seqs!$A:$B,2,FALSE),VLOOKUP($A31,'SegEnds_NonXtal_Prot#'!A:AL,10,FALSE)+8,1)</f>
        <v>L</v>
      </c>
      <c r="Y31" s="50" t="str">
        <f>MID(VLOOKUP($A31,Seqs!$A:$B,2,FALSE),VLOOKUP($A31,'SegEnds_NonXtal_Prot#'!A:AL,10,FALSE)+9,1)</f>
        <v>L</v>
      </c>
      <c r="Z31" s="50" t="str">
        <f>MID(VLOOKUP($A31,Seqs!$A:$B,2,FALSE),VLOOKUP($A31,'SegEnds_NonXtal_Prot#'!A:AL,10,FALSE)+10,1)</f>
        <v>I</v>
      </c>
      <c r="AA31" s="28" t="str">
        <f>MID(VLOOKUP($A31,Seqs!$A:$B,2,FALSE),VLOOKUP($A31,'SegEnds_NonXtal_Prot#'!$A:$AL,22,FALSE)+6,1)</f>
        <v>A</v>
      </c>
      <c r="AB31" s="50" t="str">
        <f>MID(VLOOKUP($A31,Seqs!$A:$B,2,FALSE),VLOOKUP($A31,'SegEnds_NonXtal_Prot#'!$A:$AL,22,FALSE)+7,1)</f>
        <v>A</v>
      </c>
      <c r="AC31" s="50" t="str">
        <f>MID(VLOOKUP($A31,Seqs!$A:$B,2,FALSE),VLOOKUP($A31,'SegEnds_NonXtal_Prot#'!$A:$AL,22,FALSE)+8,1)</f>
        <v>L</v>
      </c>
      <c r="AD31" s="50" t="str">
        <f>MID(VLOOKUP($A31,Seqs!$A:$B,2,FALSE),VLOOKUP($A31,'SegEnds_NonXtal_Prot#'!$A:$AL,22,FALSE)+9,1)</f>
        <v>F</v>
      </c>
      <c r="AE31" s="50" t="str">
        <f>MID(VLOOKUP($A31,Seqs!$A:$B,2,FALSE),VLOOKUP($A31,'SegEnds_NonXtal_Prot#'!$A:$AL,22,FALSE)+10,1)</f>
        <v>P</v>
      </c>
      <c r="AF31" s="28" t="str">
        <f>MID(VLOOKUP($A31,Seqs!$A:$B,2,FALSE),VLOOKUP($A31,'SegEnds_NonXtal_Prot#'!$A:$AL,28,FALSE)-4,1)</f>
        <v>L</v>
      </c>
      <c r="AG31" s="50" t="str">
        <f>MID(VLOOKUP($A31,Seqs!$A:$B,2,FALSE),VLOOKUP($A31,'SegEnds_NonXtal_Prot#'!$A:$AL,28,FALSE),1)</f>
        <v>A</v>
      </c>
    </row>
    <row r="32" spans="1:33" s="2" customFormat="1" x14ac:dyDescent="0.2">
      <c r="A32" s="2" t="s">
        <v>284</v>
      </c>
      <c r="B32" s="2" t="str">
        <f>LOWER(VLOOKUP(A32,Xtal_Templ!A:B,2,FALSE))</f>
        <v>aa2ar_human</v>
      </c>
      <c r="C32" s="2" t="str">
        <f>VLOOKUP(A32,Classification!A:D,2,FALSE)</f>
        <v>A</v>
      </c>
      <c r="D32" s="2" t="str">
        <f>IF(ISERROR(MATCH(A32,'SegEnds_Xtal_Prot#'!B:B, 0)), "NoXtal", "Xtal")</f>
        <v>NoXtal</v>
      </c>
      <c r="G32" s="4"/>
      <c r="S32" s="4" t="s">
        <v>12</v>
      </c>
      <c r="U32" s="28" t="str">
        <f>MID(VLOOKUP($A32,Seqs!$A:$B,2,FALSE),VLOOKUP($A32,'SegEnds_NonXtal_Prot#'!A:AL,10,FALSE),1)</f>
        <v>N</v>
      </c>
      <c r="V32" s="50" t="str">
        <f>MID(VLOOKUP($A32,Seqs!$A:$B,2,FALSE),VLOOKUP($A32,'SegEnds_NonXtal_Prot#'!A:AL,10,FALSE)+6,1)</f>
        <v>S</v>
      </c>
      <c r="W32" s="50" t="str">
        <f>MID(VLOOKUP($A32,Seqs!$A:$B,2,FALSE),VLOOKUP($A32,'SegEnds_NonXtal_Prot#'!A:AL,10,FALSE)+7,1)</f>
        <v>S</v>
      </c>
      <c r="X32" s="50" t="str">
        <f>MID(VLOOKUP($A32,Seqs!$A:$B,2,FALSE),VLOOKUP($A32,'SegEnds_NonXtal_Prot#'!A:AL,10,FALSE)+8,1)</f>
        <v>A</v>
      </c>
      <c r="Y32" s="50" t="str">
        <f>MID(VLOOKUP($A32,Seqs!$A:$B,2,FALSE),VLOOKUP($A32,'SegEnds_NonXtal_Prot#'!A:AL,10,FALSE)+9,1)</f>
        <v>V</v>
      </c>
      <c r="Z32" s="50" t="str">
        <f>MID(VLOOKUP($A32,Seqs!$A:$B,2,FALSE),VLOOKUP($A32,'SegEnds_NonXtal_Prot#'!A:AL,10,FALSE)+10,1)</f>
        <v>L</v>
      </c>
      <c r="AA32" s="28" t="str">
        <f>MID(VLOOKUP($A32,Seqs!$A:$B,2,FALSE),VLOOKUP($A32,'SegEnds_NonXtal_Prot#'!$A:$AL,22,FALSE)+6,1)</f>
        <v>M</v>
      </c>
      <c r="AB32" s="50" t="str">
        <f>MID(VLOOKUP($A32,Seqs!$A:$B,2,FALSE),VLOOKUP($A32,'SegEnds_NonXtal_Prot#'!$A:$AL,22,FALSE)+7,1)</f>
        <v>A</v>
      </c>
      <c r="AC32" s="50" t="str">
        <f>MID(VLOOKUP($A32,Seqs!$A:$B,2,FALSE),VLOOKUP($A32,'SegEnds_NonXtal_Prot#'!$A:$AL,22,FALSE)+8,1)</f>
        <v>A</v>
      </c>
      <c r="AD32" s="50" t="str">
        <f>MID(VLOOKUP($A32,Seqs!$A:$B,2,FALSE),VLOOKUP($A32,'SegEnds_NonXtal_Prot#'!$A:$AL,22,FALSE)+9,1)</f>
        <v>V</v>
      </c>
      <c r="AE32" s="50" t="str">
        <f>MID(VLOOKUP($A32,Seqs!$A:$B,2,FALSE),VLOOKUP($A32,'SegEnds_NonXtal_Prot#'!$A:$AL,22,FALSE)+10,1)</f>
        <v>P</v>
      </c>
      <c r="AF32" s="28" t="str">
        <f>MID(VLOOKUP($A32,Seqs!$A:$B,2,FALSE),VLOOKUP($A32,'SegEnds_NonXtal_Prot#'!$A:$AL,28,FALSE)-4,1)</f>
        <v>L</v>
      </c>
      <c r="AG32" s="50" t="str">
        <f>MID(VLOOKUP($A32,Seqs!$A:$B,2,FALSE),VLOOKUP($A32,'SegEnds_NonXtal_Prot#'!$A:$AL,28,FALSE),1)</f>
        <v>C</v>
      </c>
    </row>
    <row r="33" spans="1:33" s="2" customFormat="1" x14ac:dyDescent="0.2">
      <c r="A33" s="2" t="s">
        <v>291</v>
      </c>
      <c r="B33" s="2" t="str">
        <f>LOWER(VLOOKUP(A33,Xtal_Templ!A:B,2,FALSE))</f>
        <v>hrh1_human</v>
      </c>
      <c r="C33" s="2" t="str">
        <f>VLOOKUP(A33,Classification!A:D,2,FALSE)</f>
        <v>A</v>
      </c>
      <c r="D33" s="2" t="str">
        <f>IF(ISERROR(MATCH(A33,'SegEnds_Xtal_Prot#'!B:B, 0)), "NoXtal", "Xtal")</f>
        <v>NoXtal</v>
      </c>
      <c r="G33" s="4"/>
      <c r="S33" s="4" t="s">
        <v>12</v>
      </c>
      <c r="U33" s="28" t="str">
        <f>MID(VLOOKUP($A33,Seqs!$A:$B,2,FALSE),VLOOKUP($A33,'SegEnds_NonXtal_Prot#'!A:AL,10,FALSE),1)</f>
        <v>D</v>
      </c>
      <c r="V33" s="50" t="str">
        <f>MID(VLOOKUP($A33,Seqs!$A:$B,2,FALSE),VLOOKUP($A33,'SegEnds_NonXtal_Prot#'!A:AL,10,FALSE)+6,1)</f>
        <v>Y</v>
      </c>
      <c r="W33" s="50" t="str">
        <f>MID(VLOOKUP($A33,Seqs!$A:$B,2,FALSE),VLOOKUP($A33,'SegEnds_NonXtal_Prot#'!A:AL,10,FALSE)+7,1)</f>
        <v>L</v>
      </c>
      <c r="X33" s="50" t="str">
        <f>MID(VLOOKUP($A33,Seqs!$A:$B,2,FALSE),VLOOKUP($A33,'SegEnds_NonXtal_Prot#'!A:AL,10,FALSE)+8,1)</f>
        <v>L</v>
      </c>
      <c r="Y33" s="50" t="str">
        <f>MID(VLOOKUP($A33,Seqs!$A:$B,2,FALSE),VLOOKUP($A33,'SegEnds_NonXtal_Prot#'!A:AL,10,FALSE)+9,1)</f>
        <v>L</v>
      </c>
      <c r="Z33" s="50" t="str">
        <f>MID(VLOOKUP($A33,Seqs!$A:$B,2,FALSE),VLOOKUP($A33,'SegEnds_NonXtal_Prot#'!A:AL,10,FALSE)+10,1)</f>
        <v>I</v>
      </c>
      <c r="AA33" s="28" t="str">
        <f>MID(VLOOKUP($A33,Seqs!$A:$B,2,FALSE),VLOOKUP($A33,'SegEnds_NonXtal_Prot#'!$A:$AL,22,FALSE)+6,1)</f>
        <v>I</v>
      </c>
      <c r="AB33" s="50" t="str">
        <f>MID(VLOOKUP($A33,Seqs!$A:$B,2,FALSE),VLOOKUP($A33,'SegEnds_NonXtal_Prot#'!$A:$AL,22,FALSE)+7,1)</f>
        <v>A</v>
      </c>
      <c r="AC33" s="50" t="str">
        <f>MID(VLOOKUP($A33,Seqs!$A:$B,2,FALSE),VLOOKUP($A33,'SegEnds_NonXtal_Prot#'!$A:$AL,22,FALSE)+8,1)</f>
        <v>M</v>
      </c>
      <c r="AD33" s="50" t="str">
        <f>MID(VLOOKUP($A33,Seqs!$A:$B,2,FALSE),VLOOKUP($A33,'SegEnds_NonXtal_Prot#'!$A:$AL,22,FALSE)+9,1)</f>
        <v>L</v>
      </c>
      <c r="AE33" s="50" t="str">
        <f>MID(VLOOKUP($A33,Seqs!$A:$B,2,FALSE),VLOOKUP($A33,'SegEnds_NonXtal_Prot#'!$A:$AL,22,FALSE)+10,1)</f>
        <v>P</v>
      </c>
      <c r="AF33" s="28" t="str">
        <f>MID(VLOOKUP($A33,Seqs!$A:$B,2,FALSE),VLOOKUP($A33,'SegEnds_NonXtal_Prot#'!$A:$AL,28,FALSE)-4,1)</f>
        <v>L</v>
      </c>
      <c r="AG33" s="50" t="str">
        <f>MID(VLOOKUP($A33,Seqs!$A:$B,2,FALSE),VLOOKUP($A33,'SegEnds_NonXtal_Prot#'!$A:$AL,28,FALSE),1)</f>
        <v>A</v>
      </c>
    </row>
    <row r="34" spans="1:33" s="2" customFormat="1" x14ac:dyDescent="0.2">
      <c r="A34" s="2" t="s">
        <v>298</v>
      </c>
      <c r="B34" s="2" t="str">
        <f>LOWER(VLOOKUP(A34,Xtal_Templ!A:B,2,FALSE))</f>
        <v>lpar1_human</v>
      </c>
      <c r="C34" s="2" t="str">
        <f>VLOOKUP(A34,Classification!A:D,2,FALSE)</f>
        <v>A</v>
      </c>
      <c r="D34" s="2" t="str">
        <f>IF(ISERROR(MATCH(A34,'SegEnds_Xtal_Prot#'!B:B, 0)), "NoXtal", "Xtal")</f>
        <v>NoXtal</v>
      </c>
      <c r="G34" s="4"/>
      <c r="S34" s="4" t="s">
        <v>12</v>
      </c>
      <c r="U34" s="28" t="str">
        <f>MID(VLOOKUP($A34,Seqs!$A:$B,2,FALSE),VLOOKUP($A34,'SegEnds_NonXtal_Prot#'!A:AL,10,FALSE),1)</f>
        <v>D</v>
      </c>
      <c r="V34" s="50" t="str">
        <f>MID(VLOOKUP($A34,Seqs!$A:$B,2,FALSE),VLOOKUP($A34,'SegEnds_NonXtal_Prot#'!A:AL,10,FALSE)+6,1)</f>
        <v>S</v>
      </c>
      <c r="W34" s="50" t="str">
        <f>MID(VLOOKUP($A34,Seqs!$A:$B,2,FALSE),VLOOKUP($A34,'SegEnds_NonXtal_Prot#'!A:AL,10,FALSE)+7,1)</f>
        <v>S</v>
      </c>
      <c r="X34" s="50" t="str">
        <f>MID(VLOOKUP($A34,Seqs!$A:$B,2,FALSE),VLOOKUP($A34,'SegEnds_NonXtal_Prot#'!A:AL,10,FALSE)+8,1)</f>
        <v>A</v>
      </c>
      <c r="Y34" s="50" t="str">
        <f>MID(VLOOKUP($A34,Seqs!$A:$B,2,FALSE),VLOOKUP($A34,'SegEnds_NonXtal_Prot#'!A:AL,10,FALSE)+9,1)</f>
        <v>W</v>
      </c>
      <c r="Z34" s="50" t="str">
        <f>MID(VLOOKUP($A34,Seqs!$A:$B,2,FALSE),VLOOKUP($A34,'SegEnds_NonXtal_Prot#'!A:AL,10,FALSE)+10,1)</f>
        <v>E</v>
      </c>
      <c r="AA34" s="28" t="str">
        <f>MID(VLOOKUP($A34,Seqs!$A:$B,2,FALSE),VLOOKUP($A34,'SegEnds_NonXtal_Prot#'!$A:$AL,22,FALSE)+6,1)</f>
        <v>C</v>
      </c>
      <c r="AB34" s="50" t="str">
        <f>MID(VLOOKUP($A34,Seqs!$A:$B,2,FALSE),VLOOKUP($A34,'SegEnds_NonXtal_Prot#'!$A:$AL,22,FALSE)+7,1)</f>
        <v>G</v>
      </c>
      <c r="AC34" s="50" t="str">
        <f>MID(VLOOKUP($A34,Seqs!$A:$B,2,FALSE),VLOOKUP($A34,'SegEnds_NonXtal_Prot#'!$A:$AL,22,FALSE)+8,1)</f>
        <v>I</v>
      </c>
      <c r="AD34" s="50" t="str">
        <f>MID(VLOOKUP($A34,Seqs!$A:$B,2,FALSE),VLOOKUP($A34,'SegEnds_NonXtal_Prot#'!$A:$AL,22,FALSE)+9,1)</f>
        <v>V</v>
      </c>
      <c r="AE34" s="50" t="str">
        <f>MID(VLOOKUP($A34,Seqs!$A:$B,2,FALSE),VLOOKUP($A34,'SegEnds_NonXtal_Prot#'!$A:$AL,22,FALSE)+10,1)</f>
        <v>F</v>
      </c>
      <c r="AF34" s="28" t="str">
        <f>MID(VLOOKUP($A34,Seqs!$A:$B,2,FALSE),VLOOKUP($A34,'SegEnds_NonXtal_Prot#'!$A:$AL,28,FALSE)-4,1)</f>
        <v>S</v>
      </c>
      <c r="AG34" s="50" t="str">
        <f>MID(VLOOKUP($A34,Seqs!$A:$B,2,FALSE),VLOOKUP($A34,'SegEnds_NonXtal_Prot#'!$A:$AL,28,FALSE),1)</f>
        <v>H</v>
      </c>
    </row>
    <row r="35" spans="1:33" s="2" customFormat="1" x14ac:dyDescent="0.2">
      <c r="A35" s="2" t="s">
        <v>361</v>
      </c>
      <c r="B35" s="2" t="str">
        <f>LOWER(VLOOKUP(A35,Xtal_Templ!A:B,2,FALSE))</f>
        <v>cnr1_human</v>
      </c>
      <c r="C35" s="2" t="str">
        <f>VLOOKUP(A35,Classification!A:D,2,FALSE)</f>
        <v>A</v>
      </c>
      <c r="D35" s="2" t="str">
        <f>IF(ISERROR(MATCH(A35,'SegEnds_Xtal_Prot#'!B:B, 0)), "NoXtal", "Xtal")</f>
        <v>NoXtal</v>
      </c>
      <c r="G35" s="4"/>
      <c r="S35" s="4" t="s">
        <v>12</v>
      </c>
      <c r="U35" s="28" t="str">
        <f>MID(VLOOKUP($A35,Seqs!$A:$B,2,FALSE),VLOOKUP($A35,'SegEnds_NonXtal_Prot#'!A:AL,10,FALSE),1)</f>
        <v>D</v>
      </c>
      <c r="V35" s="50" t="str">
        <f>MID(VLOOKUP($A35,Seqs!$A:$B,2,FALSE),VLOOKUP($A35,'SegEnds_NonXtal_Prot#'!A:AL,10,FALSE)+6,1)</f>
        <v>I</v>
      </c>
      <c r="W35" s="50" t="str">
        <f>MID(VLOOKUP($A35,Seqs!$A:$B,2,FALSE),VLOOKUP($A35,'SegEnds_NonXtal_Prot#'!A:AL,10,FALSE)+7,1)</f>
        <v>P</v>
      </c>
      <c r="X35" s="50" t="str">
        <f>MID(VLOOKUP($A35,Seqs!$A:$B,2,FALSE),VLOOKUP($A35,'SegEnds_NonXtal_Prot#'!A:AL,10,FALSE)+8,1)</f>
        <v>G</v>
      </c>
      <c r="Y35" s="50" t="str">
        <f>MID(VLOOKUP($A35,Seqs!$A:$B,2,FALSE),VLOOKUP($A35,'SegEnds_NonXtal_Prot#'!A:AL,10,FALSE)+9,1)</f>
        <v>A</v>
      </c>
      <c r="Z35" s="50" t="str">
        <f>MID(VLOOKUP($A35,Seqs!$A:$B,2,FALSE),VLOOKUP($A35,'SegEnds_NonXtal_Prot#'!A:AL,10,FALSE)+10,1)</f>
        <v>L</v>
      </c>
      <c r="AA35" s="28" t="str">
        <f>MID(VLOOKUP($A35,Seqs!$A:$B,2,FALSE),VLOOKUP($A35,'SegEnds_NonXtal_Prot#'!$A:$AL,22,FALSE)+6,1)</f>
        <v>V</v>
      </c>
      <c r="AB35" s="50" t="str">
        <f>MID(VLOOKUP($A35,Seqs!$A:$B,2,FALSE),VLOOKUP($A35,'SegEnds_NonXtal_Prot#'!$A:$AL,22,FALSE)+7,1)</f>
        <v>A</v>
      </c>
      <c r="AC35" s="50" t="str">
        <f>MID(VLOOKUP($A35,Seqs!$A:$B,2,FALSE),VLOOKUP($A35,'SegEnds_NonXtal_Prot#'!$A:$AL,22,FALSE)+8,1)</f>
        <v>L</v>
      </c>
      <c r="AD35" s="50" t="str">
        <f>MID(VLOOKUP($A35,Seqs!$A:$B,2,FALSE),VLOOKUP($A35,'SegEnds_NonXtal_Prot#'!$A:$AL,22,FALSE)+9,1)</f>
        <v>L</v>
      </c>
      <c r="AE35" s="50" t="str">
        <f>MID(VLOOKUP($A35,Seqs!$A:$B,2,FALSE),VLOOKUP($A35,'SegEnds_NonXtal_Prot#'!$A:$AL,22,FALSE)+10,1)</f>
        <v>P</v>
      </c>
      <c r="AF35" s="28" t="str">
        <f>MID(VLOOKUP($A35,Seqs!$A:$B,2,FALSE),VLOOKUP($A35,'SegEnds_NonXtal_Prot#'!$A:$AL,28,FALSE)-4,1)</f>
        <v>L</v>
      </c>
      <c r="AG35" s="50" t="str">
        <f>MID(VLOOKUP($A35,Seqs!$A:$B,2,FALSE),VLOOKUP($A35,'SegEnds_NonXtal_Prot#'!$A:$AL,28,FALSE),1)</f>
        <v>L</v>
      </c>
    </row>
    <row r="36" spans="1:33" s="2" customFormat="1" x14ac:dyDescent="0.2">
      <c r="A36" s="2" t="s">
        <v>395</v>
      </c>
      <c r="B36" s="2" t="str">
        <f>LOWER(VLOOKUP(A36,Xtal_Templ!A:B,2,FALSE))</f>
        <v>aa2ar_human</v>
      </c>
      <c r="C36" s="2" t="str">
        <f>VLOOKUP(A36,Classification!A:D,2,FALSE)</f>
        <v>A</v>
      </c>
      <c r="D36" s="2" t="str">
        <f>IF(ISERROR(MATCH(A36,'SegEnds_Xtal_Prot#'!B:B, 0)), "NoXtal", "Xtal")</f>
        <v>NoXtal</v>
      </c>
      <c r="G36" s="4"/>
      <c r="S36" s="4" t="s">
        <v>12</v>
      </c>
      <c r="U36" s="28" t="str">
        <f>MID(VLOOKUP($A36,Seqs!$A:$B,2,FALSE),VLOOKUP($A36,'SegEnds_NonXtal_Prot#'!A:AL,10,FALSE),1)</f>
        <v>D</v>
      </c>
      <c r="V36" s="50" t="str">
        <f>MID(VLOOKUP($A36,Seqs!$A:$B,2,FALSE),VLOOKUP($A36,'SegEnds_NonXtal_Prot#'!A:AL,10,FALSE)+6,1)</f>
        <v>Y</v>
      </c>
      <c r="W36" s="50" t="str">
        <f>MID(VLOOKUP($A36,Seqs!$A:$B,2,FALSE),VLOOKUP($A36,'SegEnds_NonXtal_Prot#'!A:AL,10,FALSE)+7,1)</f>
        <v>L</v>
      </c>
      <c r="X36" s="50" t="str">
        <f>MID(VLOOKUP($A36,Seqs!$A:$B,2,FALSE),VLOOKUP($A36,'SegEnds_NonXtal_Prot#'!A:AL,10,FALSE)+8,1)</f>
        <v>L</v>
      </c>
      <c r="Y36" s="50" t="str">
        <f>MID(VLOOKUP($A36,Seqs!$A:$B,2,FALSE),VLOOKUP($A36,'SegEnds_NonXtal_Prot#'!A:AL,10,FALSE)+9,1)</f>
        <v>L</v>
      </c>
      <c r="Z36" s="50" t="str">
        <f>MID(VLOOKUP($A36,Seqs!$A:$B,2,FALSE),VLOOKUP($A36,'SegEnds_NonXtal_Prot#'!A:AL,10,FALSE)+10,1)</f>
        <v>I</v>
      </c>
      <c r="AA36" s="28" t="str">
        <f>MID(VLOOKUP($A36,Seqs!$A:$B,2,FALSE),VLOOKUP($A36,'SegEnds_NonXtal_Prot#'!$A:$AL,22,FALSE)+6,1)</f>
        <v>L</v>
      </c>
      <c r="AB36" s="50" t="str">
        <f>MID(VLOOKUP($A36,Seqs!$A:$B,2,FALSE),VLOOKUP($A36,'SegEnds_NonXtal_Prot#'!$A:$AL,22,FALSE)+7,1)</f>
        <v>A</v>
      </c>
      <c r="AC36" s="50" t="str">
        <f>MID(VLOOKUP($A36,Seqs!$A:$B,2,FALSE),VLOOKUP($A36,'SegEnds_NonXtal_Prot#'!$A:$AL,22,FALSE)+8,1)</f>
        <v>L</v>
      </c>
      <c r="AD36" s="50" t="str">
        <f>MID(VLOOKUP($A36,Seqs!$A:$B,2,FALSE),VLOOKUP($A36,'SegEnds_NonXtal_Prot#'!$A:$AL,22,FALSE)+9,1)</f>
        <v>L</v>
      </c>
      <c r="AE36" s="50" t="str">
        <f>MID(VLOOKUP($A36,Seqs!$A:$B,2,FALSE),VLOOKUP($A36,'SegEnds_NonXtal_Prot#'!$A:$AL,22,FALSE)+10,1)</f>
        <v>P</v>
      </c>
      <c r="AF36" s="28" t="str">
        <f>MID(VLOOKUP($A36,Seqs!$A:$B,2,FALSE),VLOOKUP($A36,'SegEnds_NonXtal_Prot#'!$A:$AL,28,FALSE)-4,1)</f>
        <v>L</v>
      </c>
      <c r="AG36" s="50" t="str">
        <f>MID(VLOOKUP($A36,Seqs!$A:$B,2,FALSE),VLOOKUP($A36,'SegEnds_NonXtal_Prot#'!$A:$AL,28,FALSE),1)</f>
        <v>A</v>
      </c>
    </row>
    <row r="37" spans="1:33" s="2" customFormat="1" x14ac:dyDescent="0.2">
      <c r="A37" s="2" t="s">
        <v>146</v>
      </c>
      <c r="B37" s="2" t="str">
        <f>LOWER(VLOOKUP(A37,Xtal_Templ!A:B,2,FALSE))</f>
        <v>acm1_human</v>
      </c>
      <c r="C37" s="2" t="str">
        <f>VLOOKUP(A37,Classification!A:D,2,FALSE)</f>
        <v>A</v>
      </c>
      <c r="D37" s="2" t="str">
        <f>IF(ISERROR(MATCH(A37,'SegEnds_Xtal_Prot#'!B:B, 0)), "NoXtal", "Xtal")</f>
        <v>Xtal</v>
      </c>
      <c r="F37" s="2" t="s">
        <v>5</v>
      </c>
      <c r="G37" s="4"/>
      <c r="Q37" s="2" t="s">
        <v>9</v>
      </c>
      <c r="S37" s="4" t="s">
        <v>12</v>
      </c>
      <c r="U37" s="28" t="str">
        <f>MID(VLOOKUP($A37,Seqs!$A:$B,2,FALSE),VLOOKUP($A37,'SegEnds_NonXtal_Prot#'!A:AL,10,FALSE),1)</f>
        <v>D</v>
      </c>
      <c r="V37" s="50" t="str">
        <f>MID(VLOOKUP($A37,Seqs!$A:$B,2,FALSE),VLOOKUP($A37,'SegEnds_NonXtal_Prot#'!A:AL,10,FALSE)+6,1)</f>
        <v>F</v>
      </c>
      <c r="W37" s="50" t="str">
        <f>MID(VLOOKUP($A37,Seqs!$A:$B,2,FALSE),VLOOKUP($A37,'SegEnds_NonXtal_Prot#'!A:AL,10,FALSE)+7,1)</f>
        <v>S</v>
      </c>
      <c r="X37" s="50" t="str">
        <f>MID(VLOOKUP($A37,Seqs!$A:$B,2,FALSE),VLOOKUP($A37,'SegEnds_NonXtal_Prot#'!A:AL,10,FALSE)+8,1)</f>
        <v>M</v>
      </c>
      <c r="Y37" s="50" t="str">
        <f>MID(VLOOKUP($A37,Seqs!$A:$B,2,FALSE),VLOOKUP($A37,'SegEnds_NonXtal_Prot#'!A:AL,10,FALSE)+9,1)</f>
        <v>N</v>
      </c>
      <c r="Z37" s="50" t="str">
        <f>MID(VLOOKUP($A37,Seqs!$A:$B,2,FALSE),VLOOKUP($A37,'SegEnds_NonXtal_Prot#'!A:AL,10,FALSE)+10,1)</f>
        <v>L</v>
      </c>
      <c r="AA37" s="28" t="str">
        <f>MID(VLOOKUP($A37,Seqs!$A:$B,2,FALSE),VLOOKUP($A37,'SegEnds_NonXtal_Prot#'!$A:$AL,22,FALSE)+6,1)</f>
        <v>L</v>
      </c>
      <c r="AB37" s="50" t="str">
        <f>MID(VLOOKUP($A37,Seqs!$A:$B,2,FALSE),VLOOKUP($A37,'SegEnds_NonXtal_Prot#'!$A:$AL,22,FALSE)+7,1)</f>
        <v>W</v>
      </c>
      <c r="AC37" s="50" t="str">
        <f>MID(VLOOKUP($A37,Seqs!$A:$B,2,FALSE),VLOOKUP($A37,'SegEnds_NonXtal_Prot#'!$A:$AL,22,FALSE)+8,1)</f>
        <v>A</v>
      </c>
      <c r="AD37" s="50" t="str">
        <f>MID(VLOOKUP($A37,Seqs!$A:$B,2,FALSE),VLOOKUP($A37,'SegEnds_NonXtal_Prot#'!$A:$AL,22,FALSE)+9,1)</f>
        <v>P</v>
      </c>
      <c r="AE37" s="50" t="str">
        <f>MID(VLOOKUP($A37,Seqs!$A:$B,2,FALSE),VLOOKUP($A37,'SegEnds_NonXtal_Prot#'!$A:$AL,22,FALSE)+10,1)</f>
        <v>A</v>
      </c>
      <c r="AF37" s="28" t="str">
        <f>MID(VLOOKUP($A37,Seqs!$A:$B,2,FALSE),VLOOKUP($A37,'SegEnds_NonXtal_Prot#'!$A:$AL,28,FALSE)-4,1)</f>
        <v>A</v>
      </c>
      <c r="AG37" s="50" t="str">
        <f>MID(VLOOKUP($A37,Seqs!$A:$B,2,FALSE),VLOOKUP($A37,'SegEnds_NonXtal_Prot#'!$A:$AL,28,FALSE),1)</f>
        <v>P</v>
      </c>
    </row>
    <row r="38" spans="1:33" s="2" customFormat="1" x14ac:dyDescent="0.2">
      <c r="A38" s="2" t="s">
        <v>235</v>
      </c>
      <c r="B38" s="2" t="str">
        <f>LOWER(VLOOKUP(A38,Xtal_Templ!A:B,2,FALSE))</f>
        <v>lpar1_human</v>
      </c>
      <c r="C38" s="2" t="str">
        <f>VLOOKUP(A38,Classification!A:D,2,FALSE)</f>
        <v>A</v>
      </c>
      <c r="D38" s="2" t="str">
        <f>IF(ISERROR(MATCH(A38,'SegEnds_Xtal_Prot#'!B:B, 0)), "NoXtal", "Xtal")</f>
        <v>NoXtal</v>
      </c>
      <c r="G38" s="4"/>
      <c r="Q38" s="2" t="s">
        <v>9</v>
      </c>
      <c r="S38" s="4" t="s">
        <v>12</v>
      </c>
      <c r="U38" s="28" t="str">
        <f>MID(VLOOKUP($A38,Seqs!$A:$B,2,FALSE),VLOOKUP($A38,'SegEnds_NonXtal_Prot#'!A:AL,10,FALSE),1)</f>
        <v>G</v>
      </c>
      <c r="V38" s="50" t="str">
        <f>MID(VLOOKUP($A38,Seqs!$A:$B,2,FALSE),VLOOKUP($A38,'SegEnds_NonXtal_Prot#'!A:AL,10,FALSE)+6,1)</f>
        <v>A</v>
      </c>
      <c r="W38" s="50" t="str">
        <f>MID(VLOOKUP($A38,Seqs!$A:$B,2,FALSE),VLOOKUP($A38,'SegEnds_NonXtal_Prot#'!A:AL,10,FALSE)+7,1)</f>
        <v>L</v>
      </c>
      <c r="X38" s="50" t="str">
        <f>MID(VLOOKUP($A38,Seqs!$A:$B,2,FALSE),VLOOKUP($A38,'SegEnds_NonXtal_Prot#'!A:AL,10,FALSE)+8,1)</f>
        <v>P</v>
      </c>
      <c r="Y38" s="50" t="str">
        <f>MID(VLOOKUP($A38,Seqs!$A:$B,2,FALSE),VLOOKUP($A38,'SegEnds_NonXtal_Prot#'!A:AL,10,FALSE)+9,1)</f>
        <v>T</v>
      </c>
      <c r="Z38" s="50" t="str">
        <f>MID(VLOOKUP($A38,Seqs!$A:$B,2,FALSE),VLOOKUP($A38,'SegEnds_NonXtal_Prot#'!A:AL,10,FALSE)+10,1)</f>
        <v>L</v>
      </c>
      <c r="AA38" s="28" t="str">
        <f>MID(VLOOKUP($A38,Seqs!$A:$B,2,FALSE),VLOOKUP($A38,'SegEnds_NonXtal_Prot#'!$A:$AL,22,FALSE)+6,1)</f>
        <v>F</v>
      </c>
      <c r="AB38" s="50" t="str">
        <f>MID(VLOOKUP($A38,Seqs!$A:$B,2,FALSE),VLOOKUP($A38,'SegEnds_NonXtal_Prot#'!$A:$AL,22,FALSE)+7,1)</f>
        <v>A</v>
      </c>
      <c r="AC38" s="50" t="str">
        <f>MID(VLOOKUP($A38,Seqs!$A:$B,2,FALSE),VLOOKUP($A38,'SegEnds_NonXtal_Prot#'!$A:$AL,22,FALSE)+8,1)</f>
        <v>S</v>
      </c>
      <c r="AD38" s="50" t="str">
        <f>MID(VLOOKUP($A38,Seqs!$A:$B,2,FALSE),VLOOKUP($A38,'SegEnds_NonXtal_Prot#'!$A:$AL,22,FALSE)+9,1)</f>
        <v>L</v>
      </c>
      <c r="AE38" s="50" t="str">
        <f>MID(VLOOKUP($A38,Seqs!$A:$B,2,FALSE),VLOOKUP($A38,'SegEnds_NonXtal_Prot#'!$A:$AL,22,FALSE)+10,1)</f>
        <v>P</v>
      </c>
      <c r="AF38" s="28" t="str">
        <f>MID(VLOOKUP($A38,Seqs!$A:$B,2,FALSE),VLOOKUP($A38,'SegEnds_NonXtal_Prot#'!$A:$AL,28,FALSE)-4,1)</f>
        <v>G</v>
      </c>
      <c r="AG38" s="50" t="str">
        <f>MID(VLOOKUP($A38,Seqs!$A:$B,2,FALSE),VLOOKUP($A38,'SegEnds_NonXtal_Prot#'!$A:$AL,28,FALSE),1)</f>
        <v>P</v>
      </c>
    </row>
    <row r="39" spans="1:33" s="2" customFormat="1" x14ac:dyDescent="0.2">
      <c r="A39" s="2" t="s">
        <v>280</v>
      </c>
      <c r="B39" s="2" t="str">
        <f>LOWER(VLOOKUP(A39,Xtal_Templ!A:B,2,FALSE))</f>
        <v>hrh1_human</v>
      </c>
      <c r="C39" s="2" t="str">
        <f>VLOOKUP(A39,Classification!A:D,2,FALSE)</f>
        <v>A</v>
      </c>
      <c r="D39" s="2" t="str">
        <f>IF(ISERROR(MATCH(A39,'SegEnds_Xtal_Prot#'!B:B, 0)), "NoXtal", "Xtal")</f>
        <v>NoXtal</v>
      </c>
      <c r="F39" s="2" t="s">
        <v>5</v>
      </c>
      <c r="G39" s="4"/>
      <c r="M39" s="2" t="s">
        <v>14</v>
      </c>
      <c r="Q39" s="2" t="s">
        <v>9</v>
      </c>
      <c r="S39" s="4" t="s">
        <v>12</v>
      </c>
      <c r="U39" s="28" t="str">
        <f>MID(VLOOKUP($A39,Seqs!$A:$B,2,FALSE),VLOOKUP($A39,'SegEnds_NonXtal_Prot#'!A:AL,10,FALSE),1)</f>
        <v>D</v>
      </c>
      <c r="V39" s="50" t="str">
        <f>MID(VLOOKUP($A39,Seqs!$A:$B,2,FALSE),VLOOKUP($A39,'SegEnds_NonXtal_Prot#'!A:AL,10,FALSE)+6,1)</f>
        <v>F</v>
      </c>
      <c r="W39" s="50" t="str">
        <f>MID(VLOOKUP($A39,Seqs!$A:$B,2,FALSE),VLOOKUP($A39,'SegEnds_NonXtal_Prot#'!A:AL,10,FALSE)+7,1)</f>
        <v>C</v>
      </c>
      <c r="X39" s="50" t="str">
        <f>MID(VLOOKUP($A39,Seqs!$A:$B,2,FALSE),VLOOKUP($A39,'SegEnds_NonXtal_Prot#'!A:AL,10,FALSE)+8,1)</f>
        <v>I</v>
      </c>
      <c r="Y39" s="50" t="str">
        <f>MID(VLOOKUP($A39,Seqs!$A:$B,2,FALSE),VLOOKUP($A39,'SegEnds_NonXtal_Prot#'!A:AL,10,FALSE)+9,1)</f>
        <v>P</v>
      </c>
      <c r="Z39" s="50" t="str">
        <f>MID(VLOOKUP($A39,Seqs!$A:$B,2,FALSE),VLOOKUP($A39,'SegEnds_NonXtal_Prot#'!A:AL,10,FALSE)+10,1)</f>
        <v>L</v>
      </c>
      <c r="AA39" s="28" t="str">
        <f>MID(VLOOKUP($A39,Seqs!$A:$B,2,FALSE),VLOOKUP($A39,'SegEnds_NonXtal_Prot#'!$A:$AL,22,FALSE)+6,1)</f>
        <v>L</v>
      </c>
      <c r="AB39" s="50" t="str">
        <f>MID(VLOOKUP($A39,Seqs!$A:$B,2,FALSE),VLOOKUP($A39,'SegEnds_NonXtal_Prot#'!$A:$AL,22,FALSE)+7,1)</f>
        <v>Y</v>
      </c>
      <c r="AC39" s="50" t="str">
        <f>MID(VLOOKUP($A39,Seqs!$A:$B,2,FALSE),VLOOKUP($A39,'SegEnds_NonXtal_Prot#'!$A:$AL,22,FALSE)+8,1)</f>
        <v>G</v>
      </c>
      <c r="AD39" s="50" t="str">
        <f>MID(VLOOKUP($A39,Seqs!$A:$B,2,FALSE),VLOOKUP($A39,'SegEnds_NonXtal_Prot#'!$A:$AL,22,FALSE)+9,1)</f>
        <v>P</v>
      </c>
      <c r="AE39" s="50" t="str">
        <f>MID(VLOOKUP($A39,Seqs!$A:$B,2,FALSE),VLOOKUP($A39,'SegEnds_NonXtal_Prot#'!$A:$AL,22,FALSE)+10,1)</f>
        <v>A</v>
      </c>
      <c r="AF39" s="28" t="str">
        <f>MID(VLOOKUP($A39,Seqs!$A:$B,2,FALSE),VLOOKUP($A39,'SegEnds_NonXtal_Prot#'!$A:$AL,28,FALSE)-4,1)</f>
        <v>E</v>
      </c>
      <c r="AG39" s="50" t="str">
        <f>MID(VLOOKUP($A39,Seqs!$A:$B,2,FALSE),VLOOKUP($A39,'SegEnds_NonXtal_Prot#'!$A:$AL,28,FALSE),1)</f>
        <v>P</v>
      </c>
    </row>
    <row r="40" spans="1:33" s="2" customFormat="1" x14ac:dyDescent="0.2">
      <c r="A40" s="2" t="s">
        <v>147</v>
      </c>
      <c r="B40" s="2" t="str">
        <f>LOWER(VLOOKUP(A40,Xtal_Templ!A:B,2,FALSE))</f>
        <v>acm2_human</v>
      </c>
      <c r="C40" s="2" t="str">
        <f>VLOOKUP(A40,Classification!A:D,2,FALSE)</f>
        <v>A</v>
      </c>
      <c r="D40" s="2" t="str">
        <f>IF(ISERROR(MATCH(A40,'SegEnds_Xtal_Prot#'!B:B, 0)), "NoXtal", "Xtal")</f>
        <v>Xtal</v>
      </c>
      <c r="F40" s="2" t="s">
        <v>5</v>
      </c>
      <c r="G40" s="4"/>
      <c r="Q40" s="2" t="s">
        <v>9</v>
      </c>
      <c r="S40" s="4" t="s">
        <v>12</v>
      </c>
      <c r="U40" s="28" t="str">
        <f>MID(VLOOKUP($A40,Seqs!$A:$B,2,FALSE),VLOOKUP($A40,'SegEnds_NonXtal_Prot#'!A:AL,10,FALSE),1)</f>
        <v>D</v>
      </c>
      <c r="V40" s="50" t="str">
        <f>MID(VLOOKUP($A40,Seqs!$A:$B,2,FALSE),VLOOKUP($A40,'SegEnds_NonXtal_Prot#'!A:AL,10,FALSE)+6,1)</f>
        <v>F</v>
      </c>
      <c r="W40" s="50" t="str">
        <f>MID(VLOOKUP($A40,Seqs!$A:$B,2,FALSE),VLOOKUP($A40,'SegEnds_NonXtal_Prot#'!A:AL,10,FALSE)+7,1)</f>
        <v>S</v>
      </c>
      <c r="X40" s="50" t="str">
        <f>MID(VLOOKUP($A40,Seqs!$A:$B,2,FALSE),VLOOKUP($A40,'SegEnds_NonXtal_Prot#'!A:AL,10,FALSE)+8,1)</f>
        <v>M</v>
      </c>
      <c r="Y40" s="50" t="str">
        <f>MID(VLOOKUP($A40,Seqs!$A:$B,2,FALSE),VLOOKUP($A40,'SegEnds_NonXtal_Prot#'!A:AL,10,FALSE)+9,1)</f>
        <v>N</v>
      </c>
      <c r="Z40" s="50" t="str">
        <f>MID(VLOOKUP($A40,Seqs!$A:$B,2,FALSE),VLOOKUP($A40,'SegEnds_NonXtal_Prot#'!A:AL,10,FALSE)+10,1)</f>
        <v>L</v>
      </c>
      <c r="AA40" s="28" t="str">
        <f>MID(VLOOKUP($A40,Seqs!$A:$B,2,FALSE),VLOOKUP($A40,'SegEnds_NonXtal_Prot#'!$A:$AL,22,FALSE)+6,1)</f>
        <v>L</v>
      </c>
      <c r="AB40" s="50" t="str">
        <f>MID(VLOOKUP($A40,Seqs!$A:$B,2,FALSE),VLOOKUP($A40,'SegEnds_NonXtal_Prot#'!$A:$AL,22,FALSE)+7,1)</f>
        <v>W</v>
      </c>
      <c r="AC40" s="50" t="str">
        <f>MID(VLOOKUP($A40,Seqs!$A:$B,2,FALSE),VLOOKUP($A40,'SegEnds_NonXtal_Prot#'!$A:$AL,22,FALSE)+8,1)</f>
        <v>A</v>
      </c>
      <c r="AD40" s="50" t="str">
        <f>MID(VLOOKUP($A40,Seqs!$A:$B,2,FALSE),VLOOKUP($A40,'SegEnds_NonXtal_Prot#'!$A:$AL,22,FALSE)+9,1)</f>
        <v>P</v>
      </c>
      <c r="AE40" s="50" t="str">
        <f>MID(VLOOKUP($A40,Seqs!$A:$B,2,FALSE),VLOOKUP($A40,'SegEnds_NonXtal_Prot#'!$A:$AL,22,FALSE)+10,1)</f>
        <v>A</v>
      </c>
      <c r="AF40" s="28" t="str">
        <f>MID(VLOOKUP($A40,Seqs!$A:$B,2,FALSE),VLOOKUP($A40,'SegEnds_NonXtal_Prot#'!$A:$AL,28,FALSE)-4,1)</f>
        <v>A</v>
      </c>
      <c r="AG40" s="50" t="str">
        <f>MID(VLOOKUP($A40,Seqs!$A:$B,2,FALSE),VLOOKUP($A40,'SegEnds_NonXtal_Prot#'!$A:$AL,28,FALSE),1)</f>
        <v>P</v>
      </c>
    </row>
    <row r="41" spans="1:33" s="2" customFormat="1" x14ac:dyDescent="0.2">
      <c r="A41" s="2" t="s">
        <v>148</v>
      </c>
      <c r="B41" s="2" t="str">
        <f>LOWER(VLOOKUP(A41,Xtal_Templ!A:B,2,FALSE))</f>
        <v>acm3_rat</v>
      </c>
      <c r="C41" s="2" t="str">
        <f>VLOOKUP(A41,Classification!A:D,2,FALSE)</f>
        <v>A</v>
      </c>
      <c r="D41" s="2" t="str">
        <f>IF(ISERROR(MATCH(A41,'SegEnds_Xtal_Prot#'!B:B, 0)), "NoXtal", "Xtal")</f>
        <v>NoXtal</v>
      </c>
      <c r="F41" s="2" t="s">
        <v>5</v>
      </c>
      <c r="G41" s="4"/>
      <c r="Q41" s="2" t="s">
        <v>9</v>
      </c>
      <c r="S41" s="4" t="s">
        <v>12</v>
      </c>
      <c r="U41" s="28" t="str">
        <f>MID(VLOOKUP($A41,Seqs!$A:$B,2,FALSE),VLOOKUP($A41,'SegEnds_NonXtal_Prot#'!A:AL,10,FALSE),1)</f>
        <v>D</v>
      </c>
      <c r="V41" s="50" t="str">
        <f>MID(VLOOKUP($A41,Seqs!$A:$B,2,FALSE),VLOOKUP($A41,'SegEnds_NonXtal_Prot#'!A:AL,10,FALSE)+6,1)</f>
        <v>I</v>
      </c>
      <c r="W41" s="50" t="str">
        <f>MID(VLOOKUP($A41,Seqs!$A:$B,2,FALSE),VLOOKUP($A41,'SegEnds_NonXtal_Prot#'!A:AL,10,FALSE)+7,1)</f>
        <v>S</v>
      </c>
      <c r="X41" s="50" t="str">
        <f>MID(VLOOKUP($A41,Seqs!$A:$B,2,FALSE),VLOOKUP($A41,'SegEnds_NonXtal_Prot#'!A:AL,10,FALSE)+8,1)</f>
        <v>M</v>
      </c>
      <c r="Y41" s="50" t="str">
        <f>MID(VLOOKUP($A41,Seqs!$A:$B,2,FALSE),VLOOKUP($A41,'SegEnds_NonXtal_Prot#'!A:AL,10,FALSE)+9,1)</f>
        <v>N</v>
      </c>
      <c r="Z41" s="50" t="str">
        <f>MID(VLOOKUP($A41,Seqs!$A:$B,2,FALSE),VLOOKUP($A41,'SegEnds_NonXtal_Prot#'!A:AL,10,FALSE)+10,1)</f>
        <v>L</v>
      </c>
      <c r="AA41" s="28" t="str">
        <f>MID(VLOOKUP($A41,Seqs!$A:$B,2,FALSE),VLOOKUP($A41,'SegEnds_NonXtal_Prot#'!$A:$AL,22,FALSE)+6,1)</f>
        <v>L</v>
      </c>
      <c r="AB41" s="50" t="str">
        <f>MID(VLOOKUP($A41,Seqs!$A:$B,2,FALSE),VLOOKUP($A41,'SegEnds_NonXtal_Prot#'!$A:$AL,22,FALSE)+7,1)</f>
        <v>W</v>
      </c>
      <c r="AC41" s="50" t="str">
        <f>MID(VLOOKUP($A41,Seqs!$A:$B,2,FALSE),VLOOKUP($A41,'SegEnds_NonXtal_Prot#'!$A:$AL,22,FALSE)+8,1)</f>
        <v>A</v>
      </c>
      <c r="AD41" s="50" t="str">
        <f>MID(VLOOKUP($A41,Seqs!$A:$B,2,FALSE),VLOOKUP($A41,'SegEnds_NonXtal_Prot#'!$A:$AL,22,FALSE)+9,1)</f>
        <v>P</v>
      </c>
      <c r="AE41" s="50" t="str">
        <f>MID(VLOOKUP($A41,Seqs!$A:$B,2,FALSE),VLOOKUP($A41,'SegEnds_NonXtal_Prot#'!$A:$AL,22,FALSE)+10,1)</f>
        <v>A</v>
      </c>
      <c r="AF41" s="28" t="str">
        <f>MID(VLOOKUP($A41,Seqs!$A:$B,2,FALSE),VLOOKUP($A41,'SegEnds_NonXtal_Prot#'!$A:$AL,28,FALSE)-4,1)</f>
        <v>A</v>
      </c>
      <c r="AG41" s="50" t="str">
        <f>MID(VLOOKUP($A41,Seqs!$A:$B,2,FALSE),VLOOKUP($A41,'SegEnds_NonXtal_Prot#'!$A:$AL,28,FALSE),1)</f>
        <v>P</v>
      </c>
    </row>
    <row r="42" spans="1:33" s="2" customFormat="1" x14ac:dyDescent="0.2">
      <c r="A42" s="2" t="s">
        <v>910</v>
      </c>
      <c r="B42" s="2" t="str">
        <f>LOWER(VLOOKUP(A42,Xtal_Templ!A:B,2,FALSE))</f>
        <v>acm3_rat</v>
      </c>
      <c r="C42" s="2" t="str">
        <f>VLOOKUP(A42,Classification!A:D,2,FALSE)</f>
        <v>A</v>
      </c>
      <c r="D42" s="2" t="str">
        <f>IF(ISERROR(MATCH(A42,'SegEnds_Xtal_Prot#'!B:B, 0)), "NoXtal", "Xtal")</f>
        <v>Xtal</v>
      </c>
      <c r="F42" s="2" t="s">
        <v>5</v>
      </c>
      <c r="G42" s="4"/>
      <c r="Q42" s="2" t="s">
        <v>9</v>
      </c>
      <c r="S42" s="4" t="s">
        <v>12</v>
      </c>
      <c r="U42" s="28" t="str">
        <f>MID(VLOOKUP($A42,Seqs!$A:$B,2,FALSE),VLOOKUP($A42,'SegEnds_NonXtal_Prot#'!A:AL,10,FALSE),1)</f>
        <v>D</v>
      </c>
      <c r="V42" s="50" t="str">
        <f>MID(VLOOKUP($A42,Seqs!$A:$B,2,FALSE),VLOOKUP($A42,'SegEnds_NonXtal_Prot#'!A:AL,10,FALSE)+6,1)</f>
        <v>I</v>
      </c>
      <c r="W42" s="50" t="str">
        <f>MID(VLOOKUP($A42,Seqs!$A:$B,2,FALSE),VLOOKUP($A42,'SegEnds_NonXtal_Prot#'!A:AL,10,FALSE)+7,1)</f>
        <v>S</v>
      </c>
      <c r="X42" s="50" t="str">
        <f>MID(VLOOKUP($A42,Seqs!$A:$B,2,FALSE),VLOOKUP($A42,'SegEnds_NonXtal_Prot#'!A:AL,10,FALSE)+8,1)</f>
        <v>M</v>
      </c>
      <c r="Y42" s="50" t="str">
        <f>MID(VLOOKUP($A42,Seqs!$A:$B,2,FALSE),VLOOKUP($A42,'SegEnds_NonXtal_Prot#'!A:AL,10,FALSE)+9,1)</f>
        <v>N</v>
      </c>
      <c r="Z42" s="50" t="str">
        <f>MID(VLOOKUP($A42,Seqs!$A:$B,2,FALSE),VLOOKUP($A42,'SegEnds_NonXtal_Prot#'!A:AL,10,FALSE)+10,1)</f>
        <v>L</v>
      </c>
      <c r="AA42" s="28" t="str">
        <f>MID(VLOOKUP($A42,Seqs!$A:$B,2,FALSE),VLOOKUP($A42,'SegEnds_NonXtal_Prot#'!$A:$AL,22,FALSE)+6,1)</f>
        <v>L</v>
      </c>
      <c r="AB42" s="50" t="str">
        <f>MID(VLOOKUP($A42,Seqs!$A:$B,2,FALSE),VLOOKUP($A42,'SegEnds_NonXtal_Prot#'!$A:$AL,22,FALSE)+7,1)</f>
        <v>W</v>
      </c>
      <c r="AC42" s="50" t="str">
        <f>MID(VLOOKUP($A42,Seqs!$A:$B,2,FALSE),VLOOKUP($A42,'SegEnds_NonXtal_Prot#'!$A:$AL,22,FALSE)+8,1)</f>
        <v>A</v>
      </c>
      <c r="AD42" s="50" t="str">
        <f>MID(VLOOKUP($A42,Seqs!$A:$B,2,FALSE),VLOOKUP($A42,'SegEnds_NonXtal_Prot#'!$A:$AL,22,FALSE)+9,1)</f>
        <v>P</v>
      </c>
      <c r="AE42" s="50" t="str">
        <f>MID(VLOOKUP($A42,Seqs!$A:$B,2,FALSE),VLOOKUP($A42,'SegEnds_NonXtal_Prot#'!$A:$AL,22,FALSE)+10,1)</f>
        <v>A</v>
      </c>
      <c r="AF42" s="28" t="str">
        <f>MID(VLOOKUP($A42,Seqs!$A:$B,2,FALSE),VLOOKUP($A42,'SegEnds_NonXtal_Prot#'!$A:$AL,28,FALSE)-4,1)</f>
        <v>A</v>
      </c>
      <c r="AG42" s="50" t="str">
        <f>MID(VLOOKUP($A42,Seqs!$A:$B,2,FALSE),VLOOKUP($A42,'SegEnds_NonXtal_Prot#'!$A:$AL,28,FALSE),1)</f>
        <v>P</v>
      </c>
    </row>
    <row r="43" spans="1:33" s="2" customFormat="1" x14ac:dyDescent="0.2">
      <c r="A43" s="2" t="s">
        <v>150</v>
      </c>
      <c r="B43" s="2" t="str">
        <f>LOWER(VLOOKUP(A43,Xtal_Templ!A:B,2,FALSE))</f>
        <v>acm3_rat</v>
      </c>
      <c r="C43" s="2" t="str">
        <f>VLOOKUP(A43,Classification!A:D,2,FALSE)</f>
        <v>A</v>
      </c>
      <c r="D43" s="2" t="str">
        <f>IF(ISERROR(MATCH(A43,'SegEnds_Xtal_Prot#'!B:B, 0)), "NoXtal", "Xtal")</f>
        <v>NoXtal</v>
      </c>
      <c r="F43" s="2" t="s">
        <v>5</v>
      </c>
      <c r="G43" s="4"/>
      <c r="Q43" s="2" t="s">
        <v>9</v>
      </c>
      <c r="S43" s="4" t="s">
        <v>12</v>
      </c>
      <c r="U43" s="28" t="str">
        <f>MID(VLOOKUP($A43,Seqs!$A:$B,2,FALSE),VLOOKUP($A43,'SegEnds_NonXtal_Prot#'!A:AL,10,FALSE),1)</f>
        <v>D</v>
      </c>
      <c r="V43" s="50" t="str">
        <f>MID(VLOOKUP($A43,Seqs!$A:$B,2,FALSE),VLOOKUP($A43,'SegEnds_NonXtal_Prot#'!A:AL,10,FALSE)+6,1)</f>
        <v>F</v>
      </c>
      <c r="W43" s="50" t="str">
        <f>MID(VLOOKUP($A43,Seqs!$A:$B,2,FALSE),VLOOKUP($A43,'SegEnds_NonXtal_Prot#'!A:AL,10,FALSE)+7,1)</f>
        <v>S</v>
      </c>
      <c r="X43" s="50" t="str">
        <f>MID(VLOOKUP($A43,Seqs!$A:$B,2,FALSE),VLOOKUP($A43,'SegEnds_NonXtal_Prot#'!A:AL,10,FALSE)+8,1)</f>
        <v>M</v>
      </c>
      <c r="Y43" s="50" t="str">
        <f>MID(VLOOKUP($A43,Seqs!$A:$B,2,FALSE),VLOOKUP($A43,'SegEnds_NonXtal_Prot#'!A:AL,10,FALSE)+9,1)</f>
        <v>N</v>
      </c>
      <c r="Z43" s="50" t="str">
        <f>MID(VLOOKUP($A43,Seqs!$A:$B,2,FALSE),VLOOKUP($A43,'SegEnds_NonXtal_Prot#'!A:AL,10,FALSE)+10,1)</f>
        <v>L</v>
      </c>
      <c r="AA43" s="28" t="str">
        <f>MID(VLOOKUP($A43,Seqs!$A:$B,2,FALSE),VLOOKUP($A43,'SegEnds_NonXtal_Prot#'!$A:$AL,22,FALSE)+6,1)</f>
        <v>L</v>
      </c>
      <c r="AB43" s="50" t="str">
        <f>MID(VLOOKUP($A43,Seqs!$A:$B,2,FALSE),VLOOKUP($A43,'SegEnds_NonXtal_Prot#'!$A:$AL,22,FALSE)+7,1)</f>
        <v>W</v>
      </c>
      <c r="AC43" s="50" t="str">
        <f>MID(VLOOKUP($A43,Seqs!$A:$B,2,FALSE),VLOOKUP($A43,'SegEnds_NonXtal_Prot#'!$A:$AL,22,FALSE)+8,1)</f>
        <v>A</v>
      </c>
      <c r="AD43" s="50" t="str">
        <f>MID(VLOOKUP($A43,Seqs!$A:$B,2,FALSE),VLOOKUP($A43,'SegEnds_NonXtal_Prot#'!$A:$AL,22,FALSE)+9,1)</f>
        <v>P</v>
      </c>
      <c r="AE43" s="50" t="str">
        <f>MID(VLOOKUP($A43,Seqs!$A:$B,2,FALSE),VLOOKUP($A43,'SegEnds_NonXtal_Prot#'!$A:$AL,22,FALSE)+10,1)</f>
        <v>A</v>
      </c>
      <c r="AF43" s="28" t="str">
        <f>MID(VLOOKUP($A43,Seqs!$A:$B,2,FALSE),VLOOKUP($A43,'SegEnds_NonXtal_Prot#'!$A:$AL,28,FALSE)-4,1)</f>
        <v>A</v>
      </c>
      <c r="AG43" s="50" t="str">
        <f>MID(VLOOKUP($A43,Seqs!$A:$B,2,FALSE),VLOOKUP($A43,'SegEnds_NonXtal_Prot#'!$A:$AL,28,FALSE),1)</f>
        <v>P</v>
      </c>
    </row>
    <row r="44" spans="1:33" s="2" customFormat="1" ht="17" customHeight="1" x14ac:dyDescent="0.2">
      <c r="A44" s="2" t="s">
        <v>281</v>
      </c>
      <c r="B44" s="2" t="str">
        <f>LOWER(VLOOKUP(A44,Xtal_Templ!A:B,2,FALSE))</f>
        <v>acm3_rat</v>
      </c>
      <c r="C44" s="2" t="str">
        <f>VLOOKUP(A44,Classification!A:D,2,FALSE)</f>
        <v>A</v>
      </c>
      <c r="D44" s="2" t="str">
        <f>IF(ISERROR(MATCH(A44,'SegEnds_Xtal_Prot#'!B:B, 0)), "NoXtal", "Xtal")</f>
        <v>NoXtal</v>
      </c>
      <c r="F44" s="2" t="s">
        <v>5</v>
      </c>
      <c r="G44" s="4"/>
      <c r="M44" s="2" t="s">
        <v>14</v>
      </c>
      <c r="Q44" s="2" t="s">
        <v>9</v>
      </c>
      <c r="S44" s="4" t="s">
        <v>12</v>
      </c>
      <c r="U44" s="28" t="str">
        <f>MID(VLOOKUP($A44,Seqs!$A:$B,2,FALSE),VLOOKUP($A44,'SegEnds_NonXtal_Prot#'!A:AL,10,FALSE),1)</f>
        <v>D</v>
      </c>
      <c r="V44" s="50" t="str">
        <f>MID(VLOOKUP($A44,Seqs!$A:$B,2,FALSE),VLOOKUP($A44,'SegEnds_NonXtal_Prot#'!A:AL,10,FALSE)+6,1)</f>
        <v>I</v>
      </c>
      <c r="W44" s="50" t="str">
        <f>MID(VLOOKUP($A44,Seqs!$A:$B,2,FALSE),VLOOKUP($A44,'SegEnds_NonXtal_Prot#'!A:AL,10,FALSE)+7,1)</f>
        <v>S</v>
      </c>
      <c r="X44" s="50" t="str">
        <f>MID(VLOOKUP($A44,Seqs!$A:$B,2,FALSE),VLOOKUP($A44,'SegEnds_NonXtal_Prot#'!A:AL,10,FALSE)+8,1)</f>
        <v>I</v>
      </c>
      <c r="Y44" s="50" t="str">
        <f>MID(VLOOKUP($A44,Seqs!$A:$B,2,FALSE),VLOOKUP($A44,'SegEnds_NonXtal_Prot#'!A:AL,10,FALSE)+9,1)</f>
        <v>P</v>
      </c>
      <c r="Z44" s="50" t="str">
        <f>MID(VLOOKUP($A44,Seqs!$A:$B,2,FALSE),VLOOKUP($A44,'SegEnds_NonXtal_Prot#'!A:AL,10,FALSE)+10,1)</f>
        <v>L</v>
      </c>
      <c r="AA44" s="28" t="str">
        <f>MID(VLOOKUP($A44,Seqs!$A:$B,2,FALSE),VLOOKUP($A44,'SegEnds_NonXtal_Prot#'!$A:$AL,22,FALSE)+6,1)</f>
        <v>V</v>
      </c>
      <c r="AB44" s="50" t="str">
        <f>MID(VLOOKUP($A44,Seqs!$A:$B,2,FALSE),VLOOKUP($A44,'SegEnds_NonXtal_Prot#'!$A:$AL,22,FALSE)+7,1)</f>
        <v>N</v>
      </c>
      <c r="AC44" s="50" t="str">
        <f>MID(VLOOKUP($A44,Seqs!$A:$B,2,FALSE),VLOOKUP($A44,'SegEnds_NonXtal_Prot#'!$A:$AL,22,FALSE)+8,1)</f>
        <v>G</v>
      </c>
      <c r="AD44" s="50" t="str">
        <f>MID(VLOOKUP($A44,Seqs!$A:$B,2,FALSE),VLOOKUP($A44,'SegEnds_NonXtal_Prot#'!$A:$AL,22,FALSE)+9,1)</f>
        <v>P</v>
      </c>
      <c r="AE44" s="50" t="str">
        <f>MID(VLOOKUP($A44,Seqs!$A:$B,2,FALSE),VLOOKUP($A44,'SegEnds_NonXtal_Prot#'!$A:$AL,22,FALSE)+10,1)</f>
        <v>M</v>
      </c>
      <c r="AF44" s="28" t="str">
        <f>MID(VLOOKUP($A44,Seqs!$A:$B,2,FALSE),VLOOKUP($A44,'SegEnds_NonXtal_Prot#'!$A:$AL,28,FALSE)-4,1)</f>
        <v>E</v>
      </c>
      <c r="AG44" s="50" t="str">
        <f>MID(VLOOKUP($A44,Seqs!$A:$B,2,FALSE),VLOOKUP($A44,'SegEnds_NonXtal_Prot#'!$A:$AL,28,FALSE),1)</f>
        <v>P</v>
      </c>
    </row>
    <row r="45" spans="1:33" s="2" customFormat="1" x14ac:dyDescent="0.2">
      <c r="A45" s="2" t="s">
        <v>149</v>
      </c>
      <c r="B45" s="2" t="str">
        <f>LOWER(VLOOKUP(A45,Xtal_Templ!A:B,2,FALSE))</f>
        <v>acm4_human</v>
      </c>
      <c r="C45" s="2" t="str">
        <f>VLOOKUP(A45,Classification!A:D,2,FALSE)</f>
        <v>A</v>
      </c>
      <c r="D45" s="2" t="str">
        <f>IF(ISERROR(MATCH(A45,'SegEnds_Xtal_Prot#'!B:B, 0)), "NoXtal", "Xtal")</f>
        <v>Xtal</v>
      </c>
      <c r="F45" s="2" t="s">
        <v>5</v>
      </c>
      <c r="G45" s="4"/>
      <c r="Q45" s="2" t="s">
        <v>9</v>
      </c>
      <c r="S45" s="4" t="s">
        <v>12</v>
      </c>
      <c r="U45" s="28" t="str">
        <f>MID(VLOOKUP($A45,Seqs!$A:$B,2,FALSE),VLOOKUP($A45,'SegEnds_NonXtal_Prot#'!A:AL,10,FALSE),1)</f>
        <v>D</v>
      </c>
      <c r="V45" s="50" t="str">
        <f>MID(VLOOKUP($A45,Seqs!$A:$B,2,FALSE),VLOOKUP($A45,'SegEnds_NonXtal_Prot#'!A:AL,10,FALSE)+6,1)</f>
        <v>F</v>
      </c>
      <c r="W45" s="50" t="str">
        <f>MID(VLOOKUP($A45,Seqs!$A:$B,2,FALSE),VLOOKUP($A45,'SegEnds_NonXtal_Prot#'!A:AL,10,FALSE)+7,1)</f>
        <v>S</v>
      </c>
      <c r="X45" s="50" t="str">
        <f>MID(VLOOKUP($A45,Seqs!$A:$B,2,FALSE),VLOOKUP($A45,'SegEnds_NonXtal_Prot#'!A:AL,10,FALSE)+8,1)</f>
        <v>M</v>
      </c>
      <c r="Y45" s="50" t="str">
        <f>MID(VLOOKUP($A45,Seqs!$A:$B,2,FALSE),VLOOKUP($A45,'SegEnds_NonXtal_Prot#'!A:AL,10,FALSE)+9,1)</f>
        <v>N</v>
      </c>
      <c r="Z45" s="50" t="str">
        <f>MID(VLOOKUP($A45,Seqs!$A:$B,2,FALSE),VLOOKUP($A45,'SegEnds_NonXtal_Prot#'!A:AL,10,FALSE)+10,1)</f>
        <v>L</v>
      </c>
      <c r="AA45" s="28" t="str">
        <f>MID(VLOOKUP($A45,Seqs!$A:$B,2,FALSE),VLOOKUP($A45,'SegEnds_NonXtal_Prot#'!$A:$AL,22,FALSE)+6,1)</f>
        <v>L</v>
      </c>
      <c r="AB45" s="50" t="str">
        <f>MID(VLOOKUP($A45,Seqs!$A:$B,2,FALSE),VLOOKUP($A45,'SegEnds_NonXtal_Prot#'!$A:$AL,22,FALSE)+7,1)</f>
        <v>W</v>
      </c>
      <c r="AC45" s="50" t="str">
        <f>MID(VLOOKUP($A45,Seqs!$A:$B,2,FALSE),VLOOKUP($A45,'SegEnds_NonXtal_Prot#'!$A:$AL,22,FALSE)+8,1)</f>
        <v>A</v>
      </c>
      <c r="AD45" s="50" t="str">
        <f>MID(VLOOKUP($A45,Seqs!$A:$B,2,FALSE),VLOOKUP($A45,'SegEnds_NonXtal_Prot#'!$A:$AL,22,FALSE)+9,1)</f>
        <v>P</v>
      </c>
      <c r="AE45" s="50" t="str">
        <f>MID(VLOOKUP($A45,Seqs!$A:$B,2,FALSE),VLOOKUP($A45,'SegEnds_NonXtal_Prot#'!$A:$AL,22,FALSE)+10,1)</f>
        <v>A</v>
      </c>
      <c r="AF45" s="28" t="str">
        <f>MID(VLOOKUP($A45,Seqs!$A:$B,2,FALSE),VLOOKUP($A45,'SegEnds_NonXtal_Prot#'!$A:$AL,28,FALSE)-4,1)</f>
        <v>A</v>
      </c>
      <c r="AG45" s="50" t="str">
        <f>MID(VLOOKUP($A45,Seqs!$A:$B,2,FALSE),VLOOKUP($A45,'SegEnds_NonXtal_Prot#'!$A:$AL,28,FALSE),1)</f>
        <v>P</v>
      </c>
    </row>
    <row r="46" spans="1:33" s="2" customFormat="1" x14ac:dyDescent="0.2">
      <c r="A46" s="2" t="s">
        <v>228</v>
      </c>
      <c r="B46" s="2" t="str">
        <f>LOWER(VLOOKUP(A46,Xtal_Templ!A:B,2,FALSE))</f>
        <v>ox2r_human</v>
      </c>
      <c r="C46" s="2" t="str">
        <f>VLOOKUP(A46,Classification!A:D,2,FALSE)</f>
        <v>A</v>
      </c>
      <c r="D46" s="2" t="str">
        <f>IF(ISERROR(MATCH(A46,'SegEnds_Xtal_Prot#'!B:B, 0)), "NoXtal", "Xtal")</f>
        <v>NoXtal</v>
      </c>
      <c r="G46" s="4"/>
      <c r="S46" s="4" t="s">
        <v>12</v>
      </c>
      <c r="U46" s="28" t="str">
        <f>MID(VLOOKUP($A46,Seqs!$A:$B,2,FALSE),VLOOKUP($A46,'SegEnds_NonXtal_Prot#'!A:AL,10,FALSE),1)</f>
        <v>T</v>
      </c>
      <c r="V46" s="50" t="str">
        <f>MID(VLOOKUP($A46,Seqs!$A:$B,2,FALSE),VLOOKUP($A46,'SegEnds_NonXtal_Prot#'!A:AL,10,FALSE)+6,1)</f>
        <v>A</v>
      </c>
      <c r="W46" s="50" t="str">
        <f>MID(VLOOKUP($A46,Seqs!$A:$B,2,FALSE),VLOOKUP($A46,'SegEnds_NonXtal_Prot#'!A:AL,10,FALSE)+7,1)</f>
        <v>V</v>
      </c>
      <c r="X46" s="50" t="str">
        <f>MID(VLOOKUP($A46,Seqs!$A:$B,2,FALSE),VLOOKUP($A46,'SegEnds_NonXtal_Prot#'!A:AL,10,FALSE)+8,1)</f>
        <v>P</v>
      </c>
      <c r="Y46" s="50" t="str">
        <f>MID(VLOOKUP($A46,Seqs!$A:$B,2,FALSE),VLOOKUP($A46,'SegEnds_NonXtal_Prot#'!A:AL,10,FALSE)+9,1)</f>
        <v>L</v>
      </c>
      <c r="Z46" s="50" t="str">
        <f>MID(VLOOKUP($A46,Seqs!$A:$B,2,FALSE),VLOOKUP($A46,'SegEnds_NonXtal_Prot#'!A:AL,10,FALSE)+10,1)</f>
        <v>T</v>
      </c>
      <c r="AA46" s="28" t="str">
        <f>MID(VLOOKUP($A46,Seqs!$A:$B,2,FALSE),VLOOKUP($A46,'SegEnds_NonXtal_Prot#'!$A:$AL,22,FALSE)+6,1)</f>
        <v>L</v>
      </c>
      <c r="AB46" s="50" t="str">
        <f>MID(VLOOKUP($A46,Seqs!$A:$B,2,FALSE),VLOOKUP($A46,'SegEnds_NonXtal_Prot#'!$A:$AL,22,FALSE)+7,1)</f>
        <v>S</v>
      </c>
      <c r="AC46" s="50" t="str">
        <f>MID(VLOOKUP($A46,Seqs!$A:$B,2,FALSE),VLOOKUP($A46,'SegEnds_NonXtal_Prot#'!$A:$AL,22,FALSE)+8,1)</f>
        <v>T</v>
      </c>
      <c r="AD46" s="50" t="str">
        <f>MID(VLOOKUP($A46,Seqs!$A:$B,2,FALSE),VLOOKUP($A46,'SegEnds_NonXtal_Prot#'!$A:$AL,22,FALSE)+9,1)</f>
        <v>L</v>
      </c>
      <c r="AE46" s="50" t="str">
        <f>MID(VLOOKUP($A46,Seqs!$A:$B,2,FALSE),VLOOKUP($A46,'SegEnds_NonXtal_Prot#'!$A:$AL,22,FALSE)+10,1)</f>
        <v>P</v>
      </c>
      <c r="AF46" s="28" t="str">
        <f>MID(VLOOKUP($A46,Seqs!$A:$B,2,FALSE),VLOOKUP($A46,'SegEnds_NonXtal_Prot#'!$A:$AL,28,FALSE)-4,1)</f>
        <v>L</v>
      </c>
      <c r="AG46" s="50" t="str">
        <f>MID(VLOOKUP($A46,Seqs!$A:$B,2,FALSE),VLOOKUP($A46,'SegEnds_NonXtal_Prot#'!$A:$AL,28,FALSE),1)</f>
        <v>I</v>
      </c>
    </row>
    <row r="47" spans="1:33" s="2" customFormat="1" x14ac:dyDescent="0.2">
      <c r="A47" s="2" t="s">
        <v>134</v>
      </c>
      <c r="B47" s="2" t="str">
        <f>LOWER(VLOOKUP(A47,Xtal_Templ!A:B,2,FALSE))</f>
        <v>adrb2_human</v>
      </c>
      <c r="C47" s="2" t="str">
        <f>VLOOKUP(A47,Classification!A:D,2,FALSE)</f>
        <v>A</v>
      </c>
      <c r="D47" s="2" t="str">
        <f>IF(ISERROR(MATCH(A47,'SegEnds_Xtal_Prot#'!B:B, 0)), "NoXtal", "Xtal")</f>
        <v>NoXtal</v>
      </c>
      <c r="F47" s="2" t="s">
        <v>5</v>
      </c>
      <c r="G47" s="4"/>
      <c r="Q47" s="2" t="s">
        <v>9</v>
      </c>
      <c r="S47" s="4" t="s">
        <v>12</v>
      </c>
      <c r="U47" s="28" t="str">
        <f>MID(VLOOKUP($A47,Seqs!$A:$B,2,FALSE),VLOOKUP($A47,'SegEnds_NonXtal_Prot#'!A:AL,10,FALSE),1)</f>
        <v>D</v>
      </c>
      <c r="V47" s="50" t="str">
        <f>MID(VLOOKUP($A47,Seqs!$A:$B,2,FALSE),VLOOKUP($A47,'SegEnds_NonXtal_Prot#'!A:AL,10,FALSE)+6,1)</f>
        <v>L</v>
      </c>
      <c r="W47" s="50" t="str">
        <f>MID(VLOOKUP($A47,Seqs!$A:$B,2,FALSE),VLOOKUP($A47,'SegEnds_NonXtal_Prot#'!A:AL,10,FALSE)+7,1)</f>
        <v>V</v>
      </c>
      <c r="X47" s="50" t="str">
        <f>MID(VLOOKUP($A47,Seqs!$A:$B,2,FALSE),VLOOKUP($A47,'SegEnds_NonXtal_Prot#'!A:AL,10,FALSE)+8,1)</f>
        <v>M</v>
      </c>
      <c r="Y47" s="50" t="str">
        <f>MID(VLOOKUP($A47,Seqs!$A:$B,2,FALSE),VLOOKUP($A47,'SegEnds_NonXtal_Prot#'!A:AL,10,FALSE)+9,1)</f>
        <v>P</v>
      </c>
      <c r="Z47" s="50" t="str">
        <f>MID(VLOOKUP($A47,Seqs!$A:$B,2,FALSE),VLOOKUP($A47,'SegEnds_NonXtal_Prot#'!A:AL,10,FALSE)+10,1)</f>
        <v>F</v>
      </c>
      <c r="AA47" s="28" t="str">
        <f>MID(VLOOKUP($A47,Seqs!$A:$B,2,FALSE),VLOOKUP($A47,'SegEnds_NonXtal_Prot#'!$A:$AL,22,FALSE)+6,1)</f>
        <v>I</v>
      </c>
      <c r="AB47" s="50" t="str">
        <f>MID(VLOOKUP($A47,Seqs!$A:$B,2,FALSE),VLOOKUP($A47,'SegEnds_NonXtal_Prot#'!$A:$AL,22,FALSE)+7,1)</f>
        <v>S</v>
      </c>
      <c r="AC47" s="50" t="str">
        <f>MID(VLOOKUP($A47,Seqs!$A:$B,2,FALSE),VLOOKUP($A47,'SegEnds_NonXtal_Prot#'!$A:$AL,22,FALSE)+8,1)</f>
        <v>F</v>
      </c>
      <c r="AD47" s="50" t="str">
        <f>MID(VLOOKUP($A47,Seqs!$A:$B,2,FALSE),VLOOKUP($A47,'SegEnds_NonXtal_Prot#'!$A:$AL,22,FALSE)+9,1)</f>
        <v>L</v>
      </c>
      <c r="AE47" s="50" t="str">
        <f>MID(VLOOKUP($A47,Seqs!$A:$B,2,FALSE),VLOOKUP($A47,'SegEnds_NonXtal_Prot#'!$A:$AL,22,FALSE)+10,1)</f>
        <v>P</v>
      </c>
      <c r="AF47" s="28" t="str">
        <f>MID(VLOOKUP($A47,Seqs!$A:$B,2,FALSE),VLOOKUP($A47,'SegEnds_NonXtal_Prot#'!$A:$AL,28,FALSE)-4,1)</f>
        <v>A</v>
      </c>
      <c r="AG47" s="50" t="str">
        <f>MID(VLOOKUP($A47,Seqs!$A:$B,2,FALSE),VLOOKUP($A47,'SegEnds_NonXtal_Prot#'!$A:$AL,28,FALSE),1)</f>
        <v>P</v>
      </c>
    </row>
    <row r="48" spans="1:33" s="2" customFormat="1" x14ac:dyDescent="0.2">
      <c r="A48" s="2" t="s">
        <v>136</v>
      </c>
      <c r="B48" s="2" t="str">
        <f>LOWER(VLOOKUP(A48,Xtal_Templ!A:B,2,FALSE))</f>
        <v>5ht2b_human</v>
      </c>
      <c r="C48" s="2" t="str">
        <f>VLOOKUP(A48,Classification!A:D,2,FALSE)</f>
        <v>A</v>
      </c>
      <c r="D48" s="2" t="str">
        <f>IF(ISERROR(MATCH(A48,'SegEnds_Xtal_Prot#'!B:B, 0)), "NoXtal", "Xtal")</f>
        <v>NoXtal</v>
      </c>
      <c r="F48" s="2" t="s">
        <v>5</v>
      </c>
      <c r="G48" s="4"/>
      <c r="Q48" s="2" t="s">
        <v>9</v>
      </c>
      <c r="S48" s="4" t="s">
        <v>12</v>
      </c>
      <c r="U48" s="28" t="str">
        <f>MID(VLOOKUP($A48,Seqs!$A:$B,2,FALSE),VLOOKUP($A48,'SegEnds_NonXtal_Prot#'!A:AL,10,FALSE),1)</f>
        <v>D</v>
      </c>
      <c r="V48" s="50" t="str">
        <f>MID(VLOOKUP($A48,Seqs!$A:$B,2,FALSE),VLOOKUP($A48,'SegEnds_NonXtal_Prot#'!A:AL,10,FALSE)+6,1)</f>
        <v>V</v>
      </c>
      <c r="W48" s="50" t="str">
        <f>MID(VLOOKUP($A48,Seqs!$A:$B,2,FALSE),VLOOKUP($A48,'SegEnds_NonXtal_Prot#'!A:AL,10,FALSE)+7,1)</f>
        <v>V</v>
      </c>
      <c r="X48" s="50" t="str">
        <f>MID(VLOOKUP($A48,Seqs!$A:$B,2,FALSE),VLOOKUP($A48,'SegEnds_NonXtal_Prot#'!A:AL,10,FALSE)+8,1)</f>
        <v>M</v>
      </c>
      <c r="Y48" s="50" t="str">
        <f>MID(VLOOKUP($A48,Seqs!$A:$B,2,FALSE),VLOOKUP($A48,'SegEnds_NonXtal_Prot#'!A:AL,10,FALSE)+9,1)</f>
        <v>P</v>
      </c>
      <c r="Z48" s="50" t="str">
        <f>MID(VLOOKUP($A48,Seqs!$A:$B,2,FALSE),VLOOKUP($A48,'SegEnds_NonXtal_Prot#'!A:AL,10,FALSE)+10,1)</f>
        <v>P</v>
      </c>
      <c r="AA48" s="28" t="str">
        <f>MID(VLOOKUP($A48,Seqs!$A:$B,2,FALSE),VLOOKUP($A48,'SegEnds_NonXtal_Prot#'!$A:$AL,22,FALSE)+6,1)</f>
        <v>A</v>
      </c>
      <c r="AB48" s="50" t="str">
        <f>MID(VLOOKUP($A48,Seqs!$A:$B,2,FALSE),VLOOKUP($A48,'SegEnds_NonXtal_Prot#'!$A:$AL,22,FALSE)+7,1)</f>
        <v>S</v>
      </c>
      <c r="AC48" s="50" t="str">
        <f>MID(VLOOKUP($A48,Seqs!$A:$B,2,FALSE),VLOOKUP($A48,'SegEnds_NonXtal_Prot#'!$A:$AL,22,FALSE)+8,1)</f>
        <v>F</v>
      </c>
      <c r="AD48" s="50" t="str">
        <f>MID(VLOOKUP($A48,Seqs!$A:$B,2,FALSE),VLOOKUP($A48,'SegEnds_NonXtal_Prot#'!$A:$AL,22,FALSE)+9,1)</f>
        <v>L</v>
      </c>
      <c r="AE48" s="50" t="str">
        <f>MID(VLOOKUP($A48,Seqs!$A:$B,2,FALSE),VLOOKUP($A48,'SegEnds_NonXtal_Prot#'!$A:$AL,22,FALSE)+10,1)</f>
        <v>P</v>
      </c>
      <c r="AF48" s="28" t="str">
        <f>MID(VLOOKUP($A48,Seqs!$A:$B,2,FALSE),VLOOKUP($A48,'SegEnds_NonXtal_Prot#'!$A:$AL,28,FALSE)-4,1)</f>
        <v>T</v>
      </c>
      <c r="AG48" s="50" t="str">
        <f>MID(VLOOKUP($A48,Seqs!$A:$B,2,FALSE),VLOOKUP($A48,'SegEnds_NonXtal_Prot#'!$A:$AL,28,FALSE),1)</f>
        <v>P</v>
      </c>
    </row>
    <row r="49" spans="1:33" s="2" customFormat="1" x14ac:dyDescent="0.2">
      <c r="A49" s="2" t="s">
        <v>153</v>
      </c>
      <c r="B49" s="2" t="str">
        <f>LOWER(VLOOKUP(A49,Xtal_Templ!A:B,2,FALSE))</f>
        <v>drd3_human</v>
      </c>
      <c r="C49" s="2" t="str">
        <f>VLOOKUP(A49,Classification!A:D,2,FALSE)</f>
        <v>A</v>
      </c>
      <c r="D49" s="2" t="str">
        <f>IF(ISERROR(MATCH(A49,'SegEnds_Xtal_Prot#'!B:B, 0)), "NoXtal", "Xtal")</f>
        <v>NoXtal</v>
      </c>
      <c r="F49" s="2" t="s">
        <v>5</v>
      </c>
      <c r="G49" s="4"/>
      <c r="Q49" s="2" t="s">
        <v>9</v>
      </c>
      <c r="S49" s="4" t="s">
        <v>12</v>
      </c>
      <c r="U49" s="28" t="str">
        <f>MID(VLOOKUP($A49,Seqs!$A:$B,2,FALSE),VLOOKUP($A49,'SegEnds_NonXtal_Prot#'!A:AL,10,FALSE),1)</f>
        <v>D</v>
      </c>
      <c r="V49" s="50" t="str">
        <f>MID(VLOOKUP($A49,Seqs!$A:$B,2,FALSE),VLOOKUP($A49,'SegEnds_NonXtal_Prot#'!A:AL,10,FALSE)+6,1)</f>
        <v>T</v>
      </c>
      <c r="W49" s="50" t="str">
        <f>MID(VLOOKUP($A49,Seqs!$A:$B,2,FALSE),VLOOKUP($A49,'SegEnds_NonXtal_Prot#'!A:AL,10,FALSE)+7,1)</f>
        <v>V</v>
      </c>
      <c r="X49" s="50" t="str">
        <f>MID(VLOOKUP($A49,Seqs!$A:$B,2,FALSE),VLOOKUP($A49,'SegEnds_NonXtal_Prot#'!A:AL,10,FALSE)+8,1)</f>
        <v>L</v>
      </c>
      <c r="Y49" s="50" t="str">
        <f>MID(VLOOKUP($A49,Seqs!$A:$B,2,FALSE),VLOOKUP($A49,'SegEnds_NonXtal_Prot#'!A:AL,10,FALSE)+9,1)</f>
        <v>P</v>
      </c>
      <c r="Z49" s="50" t="str">
        <f>MID(VLOOKUP($A49,Seqs!$A:$B,2,FALSE),VLOOKUP($A49,'SegEnds_NonXtal_Prot#'!A:AL,10,FALSE)+10,1)</f>
        <v>F</v>
      </c>
      <c r="AA49" s="28" t="str">
        <f>MID(VLOOKUP($A49,Seqs!$A:$B,2,FALSE),VLOOKUP($A49,'SegEnds_NonXtal_Prot#'!$A:$AL,22,FALSE)+6,1)</f>
        <v>I</v>
      </c>
      <c r="AB49" s="50" t="str">
        <f>MID(VLOOKUP($A49,Seqs!$A:$B,2,FALSE),VLOOKUP($A49,'SegEnds_NonXtal_Prot#'!$A:$AL,22,FALSE)+7,1)</f>
        <v>S</v>
      </c>
      <c r="AC49" s="50" t="str">
        <f>MID(VLOOKUP($A49,Seqs!$A:$B,2,FALSE),VLOOKUP($A49,'SegEnds_NonXtal_Prot#'!$A:$AL,22,FALSE)+8,1)</f>
        <v>I</v>
      </c>
      <c r="AD49" s="50" t="str">
        <f>MID(VLOOKUP($A49,Seqs!$A:$B,2,FALSE),VLOOKUP($A49,'SegEnds_NonXtal_Prot#'!$A:$AL,22,FALSE)+9,1)</f>
        <v>G</v>
      </c>
      <c r="AE49" s="50" t="str">
        <f>MID(VLOOKUP($A49,Seqs!$A:$B,2,FALSE),VLOOKUP($A49,'SegEnds_NonXtal_Prot#'!$A:$AL,22,FALSE)+10,1)</f>
        <v>P</v>
      </c>
      <c r="AF49" s="28" t="str">
        <f>MID(VLOOKUP($A49,Seqs!$A:$B,2,FALSE),VLOOKUP($A49,'SegEnds_NonXtal_Prot#'!$A:$AL,28,FALSE)-4,1)</f>
        <v>S</v>
      </c>
      <c r="AG49" s="50" t="str">
        <f>MID(VLOOKUP($A49,Seqs!$A:$B,2,FALSE),VLOOKUP($A49,'SegEnds_NonXtal_Prot#'!$A:$AL,28,FALSE),1)</f>
        <v>P</v>
      </c>
    </row>
    <row r="50" spans="1:33" s="2" customFormat="1" x14ac:dyDescent="0.2">
      <c r="A50" s="2" t="s">
        <v>154</v>
      </c>
      <c r="B50" s="2" t="str">
        <f>LOWER(VLOOKUP(A50,Xtal_Templ!A:B,2,FALSE))</f>
        <v>adrb2_human</v>
      </c>
      <c r="C50" s="2" t="str">
        <f>VLOOKUP(A50,Classification!A:D,2,FALSE)</f>
        <v>A</v>
      </c>
      <c r="D50" s="2" t="str">
        <f>IF(ISERROR(MATCH(A50,'SegEnds_Xtal_Prot#'!B:B, 0)), "NoXtal", "Xtal")</f>
        <v>NoXtal</v>
      </c>
      <c r="F50" s="2" t="s">
        <v>5</v>
      </c>
      <c r="G50" s="4"/>
      <c r="Q50" s="2" t="s">
        <v>9</v>
      </c>
      <c r="S50" s="4" t="s">
        <v>12</v>
      </c>
      <c r="U50" s="28" t="str">
        <f>MID(VLOOKUP($A50,Seqs!$A:$B,2,FALSE),VLOOKUP($A50,'SegEnds_NonXtal_Prot#'!A:AL,10,FALSE),1)</f>
        <v>D</v>
      </c>
      <c r="V50" s="50" t="str">
        <f>MID(VLOOKUP($A50,Seqs!$A:$B,2,FALSE),VLOOKUP($A50,'SegEnds_NonXtal_Prot#'!A:AL,10,FALSE)+6,1)</f>
        <v>T</v>
      </c>
      <c r="W50" s="50" t="str">
        <f>MID(VLOOKUP($A50,Seqs!$A:$B,2,FALSE),VLOOKUP($A50,'SegEnds_NonXtal_Prot#'!A:AL,10,FALSE)+7,1)</f>
        <v>V</v>
      </c>
      <c r="X50" s="50" t="str">
        <f>MID(VLOOKUP($A50,Seqs!$A:$B,2,FALSE),VLOOKUP($A50,'SegEnds_NonXtal_Prot#'!A:AL,10,FALSE)+8,1)</f>
        <v>L</v>
      </c>
      <c r="Y50" s="50" t="str">
        <f>MID(VLOOKUP($A50,Seqs!$A:$B,2,FALSE),VLOOKUP($A50,'SegEnds_NonXtal_Prot#'!A:AL,10,FALSE)+9,1)</f>
        <v>P</v>
      </c>
      <c r="Z50" s="50" t="str">
        <f>MID(VLOOKUP($A50,Seqs!$A:$B,2,FALSE),VLOOKUP($A50,'SegEnds_NonXtal_Prot#'!A:AL,10,FALSE)+10,1)</f>
        <v>F</v>
      </c>
      <c r="AA50" s="28" t="str">
        <f>MID(VLOOKUP($A50,Seqs!$A:$B,2,FALSE),VLOOKUP($A50,'SegEnds_NonXtal_Prot#'!$A:$AL,22,FALSE)+6,1)</f>
        <v>V</v>
      </c>
      <c r="AB50" s="50" t="str">
        <f>MID(VLOOKUP($A50,Seqs!$A:$B,2,FALSE),VLOOKUP($A50,'SegEnds_NonXtal_Prot#'!$A:$AL,22,FALSE)+7,1)</f>
        <v>S</v>
      </c>
      <c r="AC50" s="50" t="str">
        <f>MID(VLOOKUP($A50,Seqs!$A:$B,2,FALSE),VLOOKUP($A50,'SegEnds_NonXtal_Prot#'!$A:$AL,22,FALSE)+8,1)</f>
        <v>V</v>
      </c>
      <c r="AD50" s="50" t="str">
        <f>MID(VLOOKUP($A50,Seqs!$A:$B,2,FALSE),VLOOKUP($A50,'SegEnds_NonXtal_Prot#'!$A:$AL,22,FALSE)+9,1)</f>
        <v>G</v>
      </c>
      <c r="AE50" s="50" t="str">
        <f>MID(VLOOKUP($A50,Seqs!$A:$B,2,FALSE),VLOOKUP($A50,'SegEnds_NonXtal_Prot#'!$A:$AL,22,FALSE)+10,1)</f>
        <v>P</v>
      </c>
      <c r="AF50" s="28" t="str">
        <f>MID(VLOOKUP($A50,Seqs!$A:$B,2,FALSE),VLOOKUP($A50,'SegEnds_NonXtal_Prot#'!$A:$AL,28,FALSE)-4,1)</f>
        <v>S</v>
      </c>
      <c r="AG50" s="50" t="str">
        <f>MID(VLOOKUP($A50,Seqs!$A:$B,2,FALSE),VLOOKUP($A50,'SegEnds_NonXtal_Prot#'!$A:$AL,28,FALSE),1)</f>
        <v>P</v>
      </c>
    </row>
    <row r="51" spans="1:33" s="2" customFormat="1" x14ac:dyDescent="0.2">
      <c r="A51" s="2" t="s">
        <v>125</v>
      </c>
      <c r="B51" s="2" t="str">
        <f>LOWER(VLOOKUP(A51,Xtal_Templ!A:B,2,FALSE))</f>
        <v>adrb2_human</v>
      </c>
      <c r="C51" s="2" t="str">
        <f>VLOOKUP(A51,Classification!A:D,2,FALSE)</f>
        <v>A</v>
      </c>
      <c r="D51" s="2" t="str">
        <f>IF(ISERROR(MATCH(A51,'SegEnds_Xtal_Prot#'!B:B, 0)), "NoXtal", "Xtal")</f>
        <v>NoXtal</v>
      </c>
      <c r="F51" s="2" t="s">
        <v>5</v>
      </c>
      <c r="G51" s="4"/>
      <c r="Q51" s="2" t="s">
        <v>9</v>
      </c>
      <c r="S51" s="4" t="s">
        <v>12</v>
      </c>
      <c r="U51" s="28" t="str">
        <f>MID(VLOOKUP($A51,Seqs!$A:$B,2,FALSE),VLOOKUP($A51,'SegEnds_NonXtal_Prot#'!A:AL,10,FALSE),1)</f>
        <v>D</v>
      </c>
      <c r="V51" s="50" t="str">
        <f>MID(VLOOKUP($A51,Seqs!$A:$B,2,FALSE),VLOOKUP($A51,'SegEnds_NonXtal_Prot#'!A:AL,10,FALSE)+6,1)</f>
        <v>L</v>
      </c>
      <c r="W51" s="50" t="str">
        <f>MID(VLOOKUP($A51,Seqs!$A:$B,2,FALSE),VLOOKUP($A51,'SegEnds_NonXtal_Prot#'!A:AL,10,FALSE)+7,1)</f>
        <v>V</v>
      </c>
      <c r="X51" s="50" t="str">
        <f>MID(VLOOKUP($A51,Seqs!$A:$B,2,FALSE),VLOOKUP($A51,'SegEnds_NonXtal_Prot#'!A:AL,10,FALSE)+8,1)</f>
        <v>V</v>
      </c>
      <c r="Y51" s="50" t="str">
        <f>MID(VLOOKUP($A51,Seqs!$A:$B,2,FALSE),VLOOKUP($A51,'SegEnds_NonXtal_Prot#'!A:AL,10,FALSE)+9,1)</f>
        <v>P</v>
      </c>
      <c r="Z51" s="50" t="str">
        <f>MID(VLOOKUP($A51,Seqs!$A:$B,2,FALSE),VLOOKUP($A51,'SegEnds_NonXtal_Prot#'!A:AL,10,FALSE)+10,1)</f>
        <v>F</v>
      </c>
      <c r="AA51" s="28" t="str">
        <f>MID(VLOOKUP($A51,Seqs!$A:$B,2,FALSE),VLOOKUP($A51,'SegEnds_NonXtal_Prot#'!$A:$AL,22,FALSE)+6,1)</f>
        <v>V</v>
      </c>
      <c r="AB51" s="50" t="str">
        <f>MID(VLOOKUP($A51,Seqs!$A:$B,2,FALSE),VLOOKUP($A51,'SegEnds_NonXtal_Prot#'!$A:$AL,22,FALSE)+7,1)</f>
        <v>S</v>
      </c>
      <c r="AC51" s="50" t="str">
        <f>MID(VLOOKUP($A51,Seqs!$A:$B,2,FALSE),VLOOKUP($A51,'SegEnds_NonXtal_Prot#'!$A:$AL,22,FALSE)+8,1)</f>
        <v>F</v>
      </c>
      <c r="AD51" s="50" t="str">
        <f>MID(VLOOKUP($A51,Seqs!$A:$B,2,FALSE),VLOOKUP($A51,'SegEnds_NonXtal_Prot#'!$A:$AL,22,FALSE)+9,1)</f>
        <v>L</v>
      </c>
      <c r="AE51" s="50" t="str">
        <f>MID(VLOOKUP($A51,Seqs!$A:$B,2,FALSE),VLOOKUP($A51,'SegEnds_NonXtal_Prot#'!$A:$AL,22,FALSE)+10,1)</f>
        <v>P</v>
      </c>
      <c r="AF51" s="28" t="str">
        <f>MID(VLOOKUP($A51,Seqs!$A:$B,2,FALSE),VLOOKUP($A51,'SegEnds_NonXtal_Prot#'!$A:$AL,28,FALSE)-4,1)</f>
        <v>S</v>
      </c>
      <c r="AG51" s="50" t="str">
        <f>MID(VLOOKUP($A51,Seqs!$A:$B,2,FALSE),VLOOKUP($A51,'SegEnds_NonXtal_Prot#'!$A:$AL,28,FALSE),1)</f>
        <v>P</v>
      </c>
    </row>
    <row r="52" spans="1:33" s="2" customFormat="1" x14ac:dyDescent="0.2">
      <c r="A52" s="2" t="s">
        <v>912</v>
      </c>
      <c r="B52" s="2" t="str">
        <f>LOWER(VLOOKUP(A52,Xtal_Templ!A:B,2,FALSE))</f>
        <v>adrb1_melga</v>
      </c>
      <c r="C52" s="2" t="str">
        <f>VLOOKUP(A52,Classification!A:D,2,FALSE)</f>
        <v>A</v>
      </c>
      <c r="D52" s="2" t="str">
        <f>IF(ISERROR(MATCH(A52,'SegEnds_Xtal_Prot#'!B:B, 0)), "NoXtal", "Xtal")</f>
        <v>Xtal</v>
      </c>
      <c r="F52" s="2" t="s">
        <v>5</v>
      </c>
      <c r="G52" s="4"/>
      <c r="Q52" s="2" t="s">
        <v>9</v>
      </c>
      <c r="S52" s="4" t="s">
        <v>12</v>
      </c>
      <c r="U52" s="28" t="str">
        <f>MID(VLOOKUP($A52,Seqs!$A:$B,2,FALSE),VLOOKUP($A52,'SegEnds_NonXtal_Prot#'!A:AL,10,FALSE),1)</f>
        <v>D</v>
      </c>
      <c r="V52" s="50" t="str">
        <f>MID(VLOOKUP($A52,Seqs!$A:$B,2,FALSE),VLOOKUP($A52,'SegEnds_NonXtal_Prot#'!A:AL,10,FALSE)+6,1)</f>
        <v>L</v>
      </c>
      <c r="W52" s="50" t="str">
        <f>MID(VLOOKUP($A52,Seqs!$A:$B,2,FALSE),VLOOKUP($A52,'SegEnds_NonXtal_Prot#'!A:AL,10,FALSE)+7,1)</f>
        <v>V</v>
      </c>
      <c r="X52" s="50" t="str">
        <f>MID(VLOOKUP($A52,Seqs!$A:$B,2,FALSE),VLOOKUP($A52,'SegEnds_NonXtal_Prot#'!A:AL,10,FALSE)+8,1)</f>
        <v>V</v>
      </c>
      <c r="Y52" s="50" t="str">
        <f>MID(VLOOKUP($A52,Seqs!$A:$B,2,FALSE),VLOOKUP($A52,'SegEnds_NonXtal_Prot#'!A:AL,10,FALSE)+9,1)</f>
        <v>P</v>
      </c>
      <c r="Z52" s="50" t="str">
        <f>MID(VLOOKUP($A52,Seqs!$A:$B,2,FALSE),VLOOKUP($A52,'SegEnds_NonXtal_Prot#'!A:AL,10,FALSE)+10,1)</f>
        <v>F</v>
      </c>
      <c r="AA52" s="28" t="str">
        <f>MID(VLOOKUP($A52,Seqs!$A:$B,2,FALSE),VLOOKUP($A52,'SegEnds_NonXtal_Prot#'!$A:$AL,22,FALSE)+6,1)</f>
        <v>V</v>
      </c>
      <c r="AB52" s="50" t="str">
        <f>MID(VLOOKUP($A52,Seqs!$A:$B,2,FALSE),VLOOKUP($A52,'SegEnds_NonXtal_Prot#'!$A:$AL,22,FALSE)+7,1)</f>
        <v>S</v>
      </c>
      <c r="AC52" s="50" t="str">
        <f>MID(VLOOKUP($A52,Seqs!$A:$B,2,FALSE),VLOOKUP($A52,'SegEnds_NonXtal_Prot#'!$A:$AL,22,FALSE)+8,1)</f>
        <v>F</v>
      </c>
      <c r="AD52" s="50" t="str">
        <f>MID(VLOOKUP($A52,Seqs!$A:$B,2,FALSE),VLOOKUP($A52,'SegEnds_NonXtal_Prot#'!$A:$AL,22,FALSE)+9,1)</f>
        <v>L</v>
      </c>
      <c r="AE52" s="50" t="str">
        <f>MID(VLOOKUP($A52,Seqs!$A:$B,2,FALSE),VLOOKUP($A52,'SegEnds_NonXtal_Prot#'!$A:$AL,22,FALSE)+10,1)</f>
        <v>P</v>
      </c>
      <c r="AF52" s="28" t="str">
        <f>MID(VLOOKUP($A52,Seqs!$A:$B,2,FALSE),VLOOKUP($A52,'SegEnds_NonXtal_Prot#'!$A:$AL,28,FALSE)-4,1)</f>
        <v>S</v>
      </c>
      <c r="AG52" s="50" t="str">
        <f>MID(VLOOKUP($A52,Seqs!$A:$B,2,FALSE),VLOOKUP($A52,'SegEnds_NonXtal_Prot#'!$A:$AL,28,FALSE),1)</f>
        <v>P</v>
      </c>
    </row>
    <row r="53" spans="1:33" s="2" customFormat="1" x14ac:dyDescent="0.2">
      <c r="A53" s="2" t="s">
        <v>102</v>
      </c>
      <c r="B53" s="2" t="str">
        <f>LOWER(VLOOKUP(A53,Xtal_Templ!A:B,2,FALSE))</f>
        <v>adrb2_human</v>
      </c>
      <c r="C53" s="2" t="str">
        <f>VLOOKUP(A53,Classification!A:D,2,FALSE)</f>
        <v>A</v>
      </c>
      <c r="D53" s="2" t="str">
        <f>IF(ISERROR(MATCH(A53,'SegEnds_Xtal_Prot#'!B:B, 0)), "NoXtal", "Xtal")</f>
        <v>NoXtal</v>
      </c>
      <c r="F53" s="2" t="s">
        <v>5</v>
      </c>
      <c r="G53" s="4"/>
      <c r="Q53" s="2" t="s">
        <v>9</v>
      </c>
      <c r="S53" s="4" t="s">
        <v>12</v>
      </c>
      <c r="U53" s="28" t="str">
        <f>MID(VLOOKUP($A53,Seqs!$A:$B,2,FALSE),VLOOKUP($A53,'SegEnds_NonXtal_Prot#'!A:AL,10,FALSE),1)</f>
        <v>D</v>
      </c>
      <c r="V53" s="50" t="str">
        <f>MID(VLOOKUP($A53,Seqs!$A:$B,2,FALSE),VLOOKUP($A53,'SegEnds_NonXtal_Prot#'!A:AL,10,FALSE)+6,1)</f>
        <v>L</v>
      </c>
      <c r="W53" s="50" t="str">
        <f>MID(VLOOKUP($A53,Seqs!$A:$B,2,FALSE),VLOOKUP($A53,'SegEnds_NonXtal_Prot#'!A:AL,10,FALSE)+7,1)</f>
        <v>V</v>
      </c>
      <c r="X53" s="50" t="str">
        <f>MID(VLOOKUP($A53,Seqs!$A:$B,2,FALSE),VLOOKUP($A53,'SegEnds_NonXtal_Prot#'!A:AL,10,FALSE)+8,1)</f>
        <v>V</v>
      </c>
      <c r="Y53" s="50" t="str">
        <f>MID(VLOOKUP($A53,Seqs!$A:$B,2,FALSE),VLOOKUP($A53,'SegEnds_NonXtal_Prot#'!A:AL,10,FALSE)+9,1)</f>
        <v>P</v>
      </c>
      <c r="Z53" s="50" t="str">
        <f>MID(VLOOKUP($A53,Seqs!$A:$B,2,FALSE),VLOOKUP($A53,'SegEnds_NonXtal_Prot#'!A:AL,10,FALSE)+10,1)</f>
        <v>P</v>
      </c>
      <c r="AA53" s="28" t="str">
        <f>MID(VLOOKUP($A53,Seqs!$A:$B,2,FALSE),VLOOKUP($A53,'SegEnds_NonXtal_Prot#'!$A:$AL,22,FALSE)+6,1)</f>
        <v>V</v>
      </c>
      <c r="AB53" s="50" t="str">
        <f>MID(VLOOKUP($A53,Seqs!$A:$B,2,FALSE),VLOOKUP($A53,'SegEnds_NonXtal_Prot#'!$A:$AL,22,FALSE)+7,1)</f>
        <v>S</v>
      </c>
      <c r="AC53" s="50" t="str">
        <f>MID(VLOOKUP($A53,Seqs!$A:$B,2,FALSE),VLOOKUP($A53,'SegEnds_NonXtal_Prot#'!$A:$AL,22,FALSE)+8,1)</f>
        <v>F</v>
      </c>
      <c r="AD53" s="50" t="str">
        <f>MID(VLOOKUP($A53,Seqs!$A:$B,2,FALSE),VLOOKUP($A53,'SegEnds_NonXtal_Prot#'!$A:$AL,22,FALSE)+9,1)</f>
        <v>A</v>
      </c>
      <c r="AE53" s="50" t="str">
        <f>MID(VLOOKUP($A53,Seqs!$A:$B,2,FALSE),VLOOKUP($A53,'SegEnds_NonXtal_Prot#'!$A:$AL,22,FALSE)+10,1)</f>
        <v>P</v>
      </c>
      <c r="AF53" s="28" t="str">
        <f>MID(VLOOKUP($A53,Seqs!$A:$B,2,FALSE),VLOOKUP($A53,'SegEnds_NonXtal_Prot#'!$A:$AL,28,FALSE)-4,1)</f>
        <v>S</v>
      </c>
      <c r="AG53" s="50" t="str">
        <f>MID(VLOOKUP($A53,Seqs!$A:$B,2,FALSE),VLOOKUP($A53,'SegEnds_NonXtal_Prot#'!$A:$AL,28,FALSE),1)</f>
        <v>P</v>
      </c>
    </row>
    <row r="54" spans="1:33" s="2" customFormat="1" x14ac:dyDescent="0.2">
      <c r="A54" s="2" t="s">
        <v>190</v>
      </c>
      <c r="B54" s="2" t="str">
        <f>LOWER(VLOOKUP(A54,Xtal_Templ!A:B,2,FALSE))</f>
        <v>adrb2_human</v>
      </c>
      <c r="C54" s="2" t="str">
        <f>VLOOKUP(A54,Classification!A:D,2,FALSE)</f>
        <v>A</v>
      </c>
      <c r="D54" s="2" t="str">
        <f>IF(ISERROR(MATCH(A54,'SegEnds_Xtal_Prot#'!B:B, 0)), "NoXtal", "Xtal")</f>
        <v>NoXtal</v>
      </c>
      <c r="F54" s="2" t="s">
        <v>5</v>
      </c>
      <c r="G54" s="4"/>
      <c r="Q54" s="2" t="s">
        <v>9</v>
      </c>
      <c r="S54" s="4" t="s">
        <v>12</v>
      </c>
      <c r="U54" s="28" t="str">
        <f>MID(VLOOKUP($A54,Seqs!$A:$B,2,FALSE),VLOOKUP($A54,'SegEnds_NonXtal_Prot#'!A:AL,10,FALSE),1)</f>
        <v>D</v>
      </c>
      <c r="V54" s="50" t="str">
        <f>MID(VLOOKUP($A54,Seqs!$A:$B,2,FALSE),VLOOKUP($A54,'SegEnds_NonXtal_Prot#'!A:AL,10,FALSE)+6,1)</f>
        <v>L</v>
      </c>
      <c r="W54" s="50" t="str">
        <f>MID(VLOOKUP($A54,Seqs!$A:$B,2,FALSE),VLOOKUP($A54,'SegEnds_NonXtal_Prot#'!A:AL,10,FALSE)+7,1)</f>
        <v>V</v>
      </c>
      <c r="X54" s="50" t="str">
        <f>MID(VLOOKUP($A54,Seqs!$A:$B,2,FALSE),VLOOKUP($A54,'SegEnds_NonXtal_Prot#'!A:AL,10,FALSE)+8,1)</f>
        <v>M</v>
      </c>
      <c r="Y54" s="50" t="str">
        <f>MID(VLOOKUP($A54,Seqs!$A:$B,2,FALSE),VLOOKUP($A54,'SegEnds_NonXtal_Prot#'!A:AL,10,FALSE)+9,1)</f>
        <v>P</v>
      </c>
      <c r="Z54" s="50" t="str">
        <f>MID(VLOOKUP($A54,Seqs!$A:$B,2,FALSE),VLOOKUP($A54,'SegEnds_NonXtal_Prot#'!A:AL,10,FALSE)+10,1)</f>
        <v>W</v>
      </c>
      <c r="AA54" s="28" t="str">
        <f>MID(VLOOKUP($A54,Seqs!$A:$B,2,FALSE),VLOOKUP($A54,'SegEnds_NonXtal_Prot#'!$A:$AL,22,FALSE)+6,1)</f>
        <v>I</v>
      </c>
      <c r="AB54" s="50" t="str">
        <f>MID(VLOOKUP($A54,Seqs!$A:$B,2,FALSE),VLOOKUP($A54,'SegEnds_NonXtal_Prot#'!$A:$AL,22,FALSE)+7,1)</f>
        <v>S</v>
      </c>
      <c r="AC54" s="50" t="str">
        <f>MID(VLOOKUP($A54,Seqs!$A:$B,2,FALSE),VLOOKUP($A54,'SegEnds_NonXtal_Prot#'!$A:$AL,22,FALSE)+8,1)</f>
        <v>F</v>
      </c>
      <c r="AD54" s="50" t="str">
        <f>MID(VLOOKUP($A54,Seqs!$A:$B,2,FALSE),VLOOKUP($A54,'SegEnds_NonXtal_Prot#'!$A:$AL,22,FALSE)+9,1)</f>
        <v>I</v>
      </c>
      <c r="AE54" s="50" t="str">
        <f>MID(VLOOKUP($A54,Seqs!$A:$B,2,FALSE),VLOOKUP($A54,'SegEnds_NonXtal_Prot#'!$A:$AL,22,FALSE)+10,1)</f>
        <v>P</v>
      </c>
      <c r="AF54" s="28" t="str">
        <f>MID(VLOOKUP($A54,Seqs!$A:$B,2,FALSE),VLOOKUP($A54,'SegEnds_NonXtal_Prot#'!$A:$AL,28,FALSE)-4,1)</f>
        <v>S</v>
      </c>
      <c r="AG54" s="50" t="str">
        <f>MID(VLOOKUP($A54,Seqs!$A:$B,2,FALSE),VLOOKUP($A54,'SegEnds_NonXtal_Prot#'!$A:$AL,28,FALSE),1)</f>
        <v>P</v>
      </c>
    </row>
    <row r="55" spans="1:33" s="2" customFormat="1" x14ac:dyDescent="0.2">
      <c r="A55" s="2" t="s">
        <v>194</v>
      </c>
      <c r="B55" s="2" t="str">
        <f>LOWER(VLOOKUP(A55,Xtal_Templ!A:B,2,FALSE))</f>
        <v>adrb2_human</v>
      </c>
      <c r="C55" s="2" t="str">
        <f>VLOOKUP(A55,Classification!A:D,2,FALSE)</f>
        <v>A</v>
      </c>
      <c r="D55" s="2" t="str">
        <f>IF(ISERROR(MATCH(A55,'SegEnds_Xtal_Prot#'!B:B, 0)), "NoXtal", "Xtal")</f>
        <v>NoXtal</v>
      </c>
      <c r="F55" s="2" t="s">
        <v>5</v>
      </c>
      <c r="G55" s="4"/>
      <c r="Q55" s="2" t="s">
        <v>9</v>
      </c>
      <c r="S55" s="4" t="s">
        <v>12</v>
      </c>
      <c r="U55" s="28" t="str">
        <f>MID(VLOOKUP($A55,Seqs!$A:$B,2,FALSE),VLOOKUP($A55,'SegEnds_NonXtal_Prot#'!A:AL,10,FALSE),1)</f>
        <v>D</v>
      </c>
      <c r="V55" s="50" t="str">
        <f>MID(VLOOKUP($A55,Seqs!$A:$B,2,FALSE),VLOOKUP($A55,'SegEnds_NonXtal_Prot#'!A:AL,10,FALSE)+6,1)</f>
        <v>L</v>
      </c>
      <c r="W55" s="50" t="str">
        <f>MID(VLOOKUP($A55,Seqs!$A:$B,2,FALSE),VLOOKUP($A55,'SegEnds_NonXtal_Prot#'!A:AL,10,FALSE)+7,1)</f>
        <v>V</v>
      </c>
      <c r="X55" s="50" t="str">
        <f>MID(VLOOKUP($A55,Seqs!$A:$B,2,FALSE),VLOOKUP($A55,'SegEnds_NonXtal_Prot#'!A:AL,10,FALSE)+8,1)</f>
        <v>M</v>
      </c>
      <c r="Y55" s="50" t="str">
        <f>MID(VLOOKUP($A55,Seqs!$A:$B,2,FALSE),VLOOKUP($A55,'SegEnds_NonXtal_Prot#'!A:AL,10,FALSE)+9,1)</f>
        <v>P</v>
      </c>
      <c r="Z55" s="50" t="str">
        <f>MID(VLOOKUP($A55,Seqs!$A:$B,2,FALSE),VLOOKUP($A55,'SegEnds_NonXtal_Prot#'!A:AL,10,FALSE)+10,1)</f>
        <v>W</v>
      </c>
      <c r="AA55" s="28" t="str">
        <f>MID(VLOOKUP($A55,Seqs!$A:$B,2,FALSE),VLOOKUP($A55,'SegEnds_NonXtal_Prot#'!$A:$AL,22,FALSE)+6,1)</f>
        <v>I</v>
      </c>
      <c r="AB55" s="50" t="str">
        <f>MID(VLOOKUP($A55,Seqs!$A:$B,2,FALSE),VLOOKUP($A55,'SegEnds_NonXtal_Prot#'!$A:$AL,22,FALSE)+7,1)</f>
        <v>S</v>
      </c>
      <c r="AC55" s="50" t="str">
        <f>MID(VLOOKUP($A55,Seqs!$A:$B,2,FALSE),VLOOKUP($A55,'SegEnds_NonXtal_Prot#'!$A:$AL,22,FALSE)+8,1)</f>
        <v>F</v>
      </c>
      <c r="AD55" s="50" t="str">
        <f>MID(VLOOKUP($A55,Seqs!$A:$B,2,FALSE),VLOOKUP($A55,'SegEnds_NonXtal_Prot#'!$A:$AL,22,FALSE)+9,1)</f>
        <v>I</v>
      </c>
      <c r="AE55" s="50" t="str">
        <f>MID(VLOOKUP($A55,Seqs!$A:$B,2,FALSE),VLOOKUP($A55,'SegEnds_NonXtal_Prot#'!$A:$AL,22,FALSE)+10,1)</f>
        <v>P</v>
      </c>
      <c r="AF55" s="28" t="str">
        <f>MID(VLOOKUP($A55,Seqs!$A:$B,2,FALSE),VLOOKUP($A55,'SegEnds_NonXtal_Prot#'!$A:$AL,28,FALSE)-4,1)</f>
        <v>S</v>
      </c>
      <c r="AG55" s="50" t="str">
        <f>MID(VLOOKUP($A55,Seqs!$A:$B,2,FALSE),VLOOKUP($A55,'SegEnds_NonXtal_Prot#'!$A:$AL,28,FALSE),1)</f>
        <v>P</v>
      </c>
    </row>
    <row r="56" spans="1:33" s="2" customFormat="1" x14ac:dyDescent="0.2">
      <c r="A56" s="2" t="s">
        <v>212</v>
      </c>
      <c r="B56" s="2" t="str">
        <f>LOWER(VLOOKUP(A56,Xtal_Templ!A:B,2,FALSE))</f>
        <v>ccr5_human</v>
      </c>
      <c r="C56" s="2" t="str">
        <f>VLOOKUP(A56,Classification!A:D,2,FALSE)</f>
        <v>A</v>
      </c>
      <c r="D56" s="2" t="str">
        <f>IF(ISERROR(MATCH(A56,'SegEnds_Xtal_Prot#'!B:B, 0)), "NoXtal", "Xtal")</f>
        <v>NoXtal</v>
      </c>
      <c r="F56" s="2" t="s">
        <v>5</v>
      </c>
      <c r="G56" s="4"/>
      <c r="S56" s="4" t="s">
        <v>12</v>
      </c>
      <c r="U56" s="28" t="str">
        <f>MID(VLOOKUP($A56,Seqs!$A:$B,2,FALSE),VLOOKUP($A56,'SegEnds_NonXtal_Prot#'!A:AL,10,FALSE),1)</f>
        <v>D</v>
      </c>
      <c r="V56" s="50" t="str">
        <f>MID(VLOOKUP($A56,Seqs!$A:$B,2,FALSE),VLOOKUP($A56,'SegEnds_NonXtal_Prot#'!A:AL,10,FALSE)+6,1)</f>
        <v>L</v>
      </c>
      <c r="W56" s="50" t="str">
        <f>MID(VLOOKUP($A56,Seqs!$A:$B,2,FALSE),VLOOKUP($A56,'SegEnds_NonXtal_Prot#'!A:AL,10,FALSE)+7,1)</f>
        <v>V</v>
      </c>
      <c r="X56" s="50" t="str">
        <f>MID(VLOOKUP($A56,Seqs!$A:$B,2,FALSE),VLOOKUP($A56,'SegEnds_NonXtal_Prot#'!A:AL,10,FALSE)+8,1)</f>
        <v>A</v>
      </c>
      <c r="Y56" s="50" t="str">
        <f>MID(VLOOKUP($A56,Seqs!$A:$B,2,FALSE),VLOOKUP($A56,'SegEnds_NonXtal_Prot#'!A:AL,10,FALSE)+9,1)</f>
        <v>P</v>
      </c>
      <c r="Z56" s="50" t="str">
        <f>MID(VLOOKUP($A56,Seqs!$A:$B,2,FALSE),VLOOKUP($A56,'SegEnds_NonXtal_Prot#'!A:AL,10,FALSE)+10,1)</f>
        <v>W</v>
      </c>
      <c r="AA56" s="28" t="str">
        <f>MID(VLOOKUP($A56,Seqs!$A:$B,2,FALSE),VLOOKUP($A56,'SegEnds_NonXtal_Prot#'!$A:$AL,22,FALSE)+6,1)</f>
        <v>Q</v>
      </c>
      <c r="AB56" s="50" t="str">
        <f>MID(VLOOKUP($A56,Seqs!$A:$B,2,FALSE),VLOOKUP($A56,'SegEnds_NonXtal_Prot#'!$A:$AL,22,FALSE)+7,1)</f>
        <v>S</v>
      </c>
      <c r="AC56" s="50" t="str">
        <f>MID(VLOOKUP($A56,Seqs!$A:$B,2,FALSE),VLOOKUP($A56,'SegEnds_NonXtal_Prot#'!$A:$AL,22,FALSE)+8,1)</f>
        <v>T</v>
      </c>
      <c r="AD56" s="50" t="str">
        <f>MID(VLOOKUP($A56,Seqs!$A:$B,2,FALSE),VLOOKUP($A56,'SegEnds_NonXtal_Prot#'!$A:$AL,22,FALSE)+9,1)</f>
        <v>P</v>
      </c>
      <c r="AE56" s="50" t="str">
        <f>MID(VLOOKUP($A56,Seqs!$A:$B,2,FALSE),VLOOKUP($A56,'SegEnds_NonXtal_Prot#'!$A:$AL,22,FALSE)+10,1)</f>
        <v>P</v>
      </c>
      <c r="AF56" s="28" t="str">
        <f>MID(VLOOKUP($A56,Seqs!$A:$B,2,FALSE),VLOOKUP($A56,'SegEnds_NonXtal_Prot#'!$A:$AL,28,FALSE)-4,1)</f>
        <v>F</v>
      </c>
      <c r="AG56" s="50" t="str">
        <f>MID(VLOOKUP($A56,Seqs!$A:$B,2,FALSE),VLOOKUP($A56,'SegEnds_NonXtal_Prot#'!$A:$AL,28,FALSE),1)</f>
        <v>P</v>
      </c>
    </row>
    <row r="57" spans="1:33" s="2" customFormat="1" x14ac:dyDescent="0.2">
      <c r="A57" s="2" t="s">
        <v>259</v>
      </c>
      <c r="B57" s="2" t="str">
        <f>LOWER(VLOOKUP(A57,Xtal_Templ!A:B,2,FALSE))</f>
        <v>5ht1b_human</v>
      </c>
      <c r="C57" s="2" t="str">
        <f>VLOOKUP(A57,Classification!A:D,2,FALSE)</f>
        <v>A</v>
      </c>
      <c r="D57" s="2" t="str">
        <f>IF(ISERROR(MATCH(A57,'SegEnds_Xtal_Prot#'!B:B, 0)), "NoXtal", "Xtal")</f>
        <v>NoXtal</v>
      </c>
      <c r="F57" s="2" t="s">
        <v>5</v>
      </c>
      <c r="G57" s="4"/>
      <c r="M57" s="2" t="s">
        <v>14</v>
      </c>
      <c r="Q57" s="2" t="s">
        <v>9</v>
      </c>
      <c r="S57" s="4" t="s">
        <v>12</v>
      </c>
      <c r="U57" s="28" t="str">
        <f>MID(VLOOKUP($A57,Seqs!$A:$B,2,FALSE),VLOOKUP($A57,'SegEnds_NonXtal_Prot#'!A:AL,10,FALSE),1)</f>
        <v>D</v>
      </c>
      <c r="V57" s="50" t="str">
        <f>MID(VLOOKUP($A57,Seqs!$A:$B,2,FALSE),VLOOKUP($A57,'SegEnds_NonXtal_Prot#'!A:AL,10,FALSE)+6,1)</f>
        <v>C</v>
      </c>
      <c r="W57" s="50" t="str">
        <f>MID(VLOOKUP($A57,Seqs!$A:$B,2,FALSE),VLOOKUP($A57,'SegEnds_NonXtal_Prot#'!A:AL,10,FALSE)+7,1)</f>
        <v>C</v>
      </c>
      <c r="X57" s="50" t="str">
        <f>MID(VLOOKUP($A57,Seqs!$A:$B,2,FALSE),VLOOKUP($A57,'SegEnds_NonXtal_Prot#'!A:AL,10,FALSE)+8,1)</f>
        <v>M</v>
      </c>
      <c r="Y57" s="50" t="str">
        <f>MID(VLOOKUP($A57,Seqs!$A:$B,2,FALSE),VLOOKUP($A57,'SegEnds_NonXtal_Prot#'!A:AL,10,FALSE)+9,1)</f>
        <v>P</v>
      </c>
      <c r="Z57" s="50" t="str">
        <f>MID(VLOOKUP($A57,Seqs!$A:$B,2,FALSE),VLOOKUP($A57,'SegEnds_NonXtal_Prot#'!A:AL,10,FALSE)+10,1)</f>
        <v>F</v>
      </c>
      <c r="AA57" s="28" t="str">
        <f>MID(VLOOKUP($A57,Seqs!$A:$B,2,FALSE),VLOOKUP($A57,'SegEnds_NonXtal_Prot#'!$A:$AL,22,FALSE)+6,1)</f>
        <v>I</v>
      </c>
      <c r="AB57" s="50" t="str">
        <f>MID(VLOOKUP($A57,Seqs!$A:$B,2,FALSE),VLOOKUP($A57,'SegEnds_NonXtal_Prot#'!$A:$AL,22,FALSE)+7,1)</f>
        <v>A</v>
      </c>
      <c r="AC57" s="50" t="str">
        <f>MID(VLOOKUP($A57,Seqs!$A:$B,2,FALSE),VLOOKUP($A57,'SegEnds_NonXtal_Prot#'!$A:$AL,22,FALSE)+8,1)</f>
        <v>G</v>
      </c>
      <c r="AD57" s="50" t="str">
        <f>MID(VLOOKUP($A57,Seqs!$A:$B,2,FALSE),VLOOKUP($A57,'SegEnds_NonXtal_Prot#'!$A:$AL,22,FALSE)+9,1)</f>
        <v>P</v>
      </c>
      <c r="AE57" s="50" t="str">
        <f>MID(VLOOKUP($A57,Seqs!$A:$B,2,FALSE),VLOOKUP($A57,'SegEnds_NonXtal_Prot#'!$A:$AL,22,FALSE)+10,1)</f>
        <v>S</v>
      </c>
      <c r="AF57" s="28" t="str">
        <f>MID(VLOOKUP($A57,Seqs!$A:$B,2,FALSE),VLOOKUP($A57,'SegEnds_NonXtal_Prot#'!$A:$AL,28,FALSE)-4,1)</f>
        <v>V</v>
      </c>
      <c r="AG57" s="50" t="str">
        <f>MID(VLOOKUP($A57,Seqs!$A:$B,2,FALSE),VLOOKUP($A57,'SegEnds_NonXtal_Prot#'!$A:$AL,28,FALSE),1)</f>
        <v>P</v>
      </c>
    </row>
    <row r="58" spans="1:33" s="2" customFormat="1" x14ac:dyDescent="0.2">
      <c r="A58" s="2" t="s">
        <v>279</v>
      </c>
      <c r="B58" s="2" t="str">
        <f>LOWER(VLOOKUP(A58,Xtal_Templ!A:B,2,FALSE))</f>
        <v>adrb2_human</v>
      </c>
      <c r="C58" s="2" t="str">
        <f>VLOOKUP(A58,Classification!A:D,2,FALSE)</f>
        <v>A</v>
      </c>
      <c r="D58" s="2" t="str">
        <f>IF(ISERROR(MATCH(A58,'SegEnds_Xtal_Prot#'!B:B, 0)), "NoXtal", "Xtal")</f>
        <v>NoXtal</v>
      </c>
      <c r="F58" s="2" t="s">
        <v>5</v>
      </c>
      <c r="G58" s="4"/>
      <c r="Q58" s="2" t="s">
        <v>9</v>
      </c>
      <c r="S58" s="4" t="s">
        <v>12</v>
      </c>
      <c r="U58" s="28" t="str">
        <f>MID(VLOOKUP($A58,Seqs!$A:$B,2,FALSE),VLOOKUP($A58,'SegEnds_NonXtal_Prot#'!A:AL,10,FALSE),1)</f>
        <v>D</v>
      </c>
      <c r="V58" s="50" t="str">
        <f>MID(VLOOKUP($A58,Seqs!$A:$B,2,FALSE),VLOOKUP($A58,'SegEnds_NonXtal_Prot#'!A:AL,10,FALSE)+6,1)</f>
        <v>L</v>
      </c>
      <c r="W58" s="50" t="str">
        <f>MID(VLOOKUP($A58,Seqs!$A:$B,2,FALSE),VLOOKUP($A58,'SegEnds_NonXtal_Prot#'!A:AL,10,FALSE)+7,1)</f>
        <v>V</v>
      </c>
      <c r="X58" s="50" t="str">
        <f>MID(VLOOKUP($A58,Seqs!$A:$B,2,FALSE),VLOOKUP($A58,'SegEnds_NonXtal_Prot#'!A:AL,10,FALSE)+8,1)</f>
        <v>L</v>
      </c>
      <c r="Y58" s="50" t="str">
        <f>MID(VLOOKUP($A58,Seqs!$A:$B,2,FALSE),VLOOKUP($A58,'SegEnds_NonXtal_Prot#'!A:AL,10,FALSE)+9,1)</f>
        <v>P</v>
      </c>
      <c r="Z58" s="50" t="str">
        <f>MID(VLOOKUP($A58,Seqs!$A:$B,2,FALSE),VLOOKUP($A58,'SegEnds_NonXtal_Prot#'!A:AL,10,FALSE)+10,1)</f>
        <v>F</v>
      </c>
      <c r="AA58" s="28" t="str">
        <f>MID(VLOOKUP($A58,Seqs!$A:$B,2,FALSE),VLOOKUP($A58,'SegEnds_NonXtal_Prot#'!$A:$AL,22,FALSE)+6,1)</f>
        <v>L</v>
      </c>
      <c r="AB58" s="50" t="str">
        <f>MID(VLOOKUP($A58,Seqs!$A:$B,2,FALSE),VLOOKUP($A58,'SegEnds_NonXtal_Prot#'!$A:$AL,22,FALSE)+7,1)</f>
        <v>S</v>
      </c>
      <c r="AC58" s="50" t="str">
        <f>MID(VLOOKUP($A58,Seqs!$A:$B,2,FALSE),VLOOKUP($A58,'SegEnds_NonXtal_Prot#'!$A:$AL,22,FALSE)+8,1)</f>
        <v>F</v>
      </c>
      <c r="AD58" s="50" t="str">
        <f>MID(VLOOKUP($A58,Seqs!$A:$B,2,FALSE),VLOOKUP($A58,'SegEnds_NonXtal_Prot#'!$A:$AL,22,FALSE)+9,1)</f>
        <v>L</v>
      </c>
      <c r="AE58" s="50" t="str">
        <f>MID(VLOOKUP($A58,Seqs!$A:$B,2,FALSE),VLOOKUP($A58,'SegEnds_NonXtal_Prot#'!$A:$AL,22,FALSE)+10,1)</f>
        <v>S</v>
      </c>
      <c r="AF58" s="28" t="str">
        <f>MID(VLOOKUP($A58,Seqs!$A:$B,2,FALSE),VLOOKUP($A58,'SegEnds_NonXtal_Prot#'!$A:$AL,28,FALSE)-4,1)</f>
        <v>T</v>
      </c>
      <c r="AG58" s="50" t="str">
        <f>MID(VLOOKUP($A58,Seqs!$A:$B,2,FALSE),VLOOKUP($A58,'SegEnds_NonXtal_Prot#'!$A:$AL,28,FALSE),1)</f>
        <v>P</v>
      </c>
    </row>
    <row r="59" spans="1:33" s="2" customFormat="1" x14ac:dyDescent="0.2">
      <c r="A59" s="2" t="s">
        <v>311</v>
      </c>
      <c r="B59" s="2" t="str">
        <f>LOWER(VLOOKUP(A59,Xtal_Templ!A:B,2,FALSE))</f>
        <v>ox2r_human</v>
      </c>
      <c r="C59" s="2" t="str">
        <f>VLOOKUP(A59,Classification!A:D,2,FALSE)</f>
        <v>A</v>
      </c>
      <c r="D59" s="2" t="str">
        <f>IF(ISERROR(MATCH(A59,'SegEnds_Xtal_Prot#'!B:B, 0)), "NoXtal", "Xtal")</f>
        <v>NoXtal</v>
      </c>
      <c r="G59" s="4"/>
      <c r="M59" s="2" t="s">
        <v>14</v>
      </c>
      <c r="Q59" s="2" t="s">
        <v>9</v>
      </c>
      <c r="S59" s="4" t="s">
        <v>12</v>
      </c>
      <c r="U59" s="28" t="str">
        <f>MID(VLOOKUP($A59,Seqs!$A:$B,2,FALSE),VLOOKUP($A59,'SegEnds_NonXtal_Prot#'!A:AL,10,FALSE),1)</f>
        <v>D</v>
      </c>
      <c r="V59" s="50" t="str">
        <f>MID(VLOOKUP($A59,Seqs!$A:$B,2,FALSE),VLOOKUP($A59,'SegEnds_NonXtal_Prot#'!A:AL,10,FALSE)+6,1)</f>
        <v>Y</v>
      </c>
      <c r="W59" s="50" t="str">
        <f>MID(VLOOKUP($A59,Seqs!$A:$B,2,FALSE),VLOOKUP($A59,'SegEnds_NonXtal_Prot#'!A:AL,10,FALSE)+7,1)</f>
        <v>P</v>
      </c>
      <c r="X59" s="50" t="str">
        <f>MID(VLOOKUP($A59,Seqs!$A:$B,2,FALSE),VLOOKUP($A59,'SegEnds_NonXtal_Prot#'!A:AL,10,FALSE)+8,1)</f>
        <v>Y</v>
      </c>
      <c r="Y59" s="50" t="str">
        <f>MID(VLOOKUP($A59,Seqs!$A:$B,2,FALSE),VLOOKUP($A59,'SegEnds_NonXtal_Prot#'!A:AL,10,FALSE)+9,1)</f>
        <v>P</v>
      </c>
      <c r="Z59" s="50" t="str">
        <f>MID(VLOOKUP($A59,Seqs!$A:$B,2,FALSE),VLOOKUP($A59,'SegEnds_NonXtal_Prot#'!A:AL,10,FALSE)+10,1)</f>
        <v>L</v>
      </c>
      <c r="AA59" s="28" t="str">
        <f>MID(VLOOKUP($A59,Seqs!$A:$B,2,FALSE),VLOOKUP($A59,'SegEnds_NonXtal_Prot#'!$A:$AL,22,FALSE)+6,1)</f>
        <v>A</v>
      </c>
      <c r="AB59" s="50" t="str">
        <f>MID(VLOOKUP($A59,Seqs!$A:$B,2,FALSE),VLOOKUP($A59,'SegEnds_NonXtal_Prot#'!$A:$AL,22,FALSE)+7,1)</f>
        <v>V</v>
      </c>
      <c r="AC59" s="50" t="str">
        <f>MID(VLOOKUP($A59,Seqs!$A:$B,2,FALSE),VLOOKUP($A59,'SegEnds_NonXtal_Prot#'!$A:$AL,22,FALSE)+8,1)</f>
        <v>L</v>
      </c>
      <c r="AD59" s="50" t="str">
        <f>MID(VLOOKUP($A59,Seqs!$A:$B,2,FALSE),VLOOKUP($A59,'SegEnds_NonXtal_Prot#'!$A:$AL,22,FALSE)+9,1)</f>
        <v>P</v>
      </c>
      <c r="AE59" s="50" t="str">
        <f>MID(VLOOKUP($A59,Seqs!$A:$B,2,FALSE),VLOOKUP($A59,'SegEnds_NonXtal_Prot#'!$A:$AL,22,FALSE)+10,1)</f>
        <v>N</v>
      </c>
      <c r="AF59" s="28" t="str">
        <f>MID(VLOOKUP($A59,Seqs!$A:$B,2,FALSE),VLOOKUP($A59,'SegEnds_NonXtal_Prot#'!$A:$AL,28,FALSE)-4,1)</f>
        <v>H</v>
      </c>
      <c r="AG59" s="50" t="str">
        <f>MID(VLOOKUP($A59,Seqs!$A:$B,2,FALSE),VLOOKUP($A59,'SegEnds_NonXtal_Prot#'!$A:$AL,28,FALSE),1)</f>
        <v>P</v>
      </c>
    </row>
    <row r="60" spans="1:33" s="2" customFormat="1" x14ac:dyDescent="0.2">
      <c r="A60" s="2" t="s">
        <v>376</v>
      </c>
      <c r="B60" s="2" t="str">
        <f>LOWER(VLOOKUP(A60,Xtal_Templ!A:B,2,FALSE))</f>
        <v>aa1r_human</v>
      </c>
      <c r="C60" s="2" t="str">
        <f>VLOOKUP(A60,Classification!A:D,2,FALSE)</f>
        <v>A</v>
      </c>
      <c r="D60" s="2" t="str">
        <f>IF(ISERROR(MATCH(A60,'SegEnds_Xtal_Prot#'!B:B, 0)), "NoXtal", "Xtal")</f>
        <v>NoXtal</v>
      </c>
      <c r="G60" s="4"/>
      <c r="S60" s="4" t="s">
        <v>12</v>
      </c>
      <c r="U60" s="28" t="str">
        <f>MID(VLOOKUP($A60,Seqs!$A:$B,2,FALSE),VLOOKUP($A60,'SegEnds_NonXtal_Prot#'!A:AL,10,FALSE),1)</f>
        <v>D</v>
      </c>
      <c r="V60" s="50" t="str">
        <f>MID(VLOOKUP($A60,Seqs!$A:$B,2,FALSE),VLOOKUP($A60,'SegEnds_NonXtal_Prot#'!A:AL,10,FALSE)+6,1)</f>
        <v>Y</v>
      </c>
      <c r="W60" s="50" t="str">
        <f>MID(VLOOKUP($A60,Seqs!$A:$B,2,FALSE),VLOOKUP($A60,'SegEnds_NonXtal_Prot#'!A:AL,10,FALSE)+7,1)</f>
        <v>L</v>
      </c>
      <c r="X60" s="50" t="str">
        <f>MID(VLOOKUP($A60,Seqs!$A:$B,2,FALSE),VLOOKUP($A60,'SegEnds_NonXtal_Prot#'!A:AL,10,FALSE)+8,1)</f>
        <v>F</v>
      </c>
      <c r="Y60" s="50" t="str">
        <f>MID(VLOOKUP($A60,Seqs!$A:$B,2,FALSE),VLOOKUP($A60,'SegEnds_NonXtal_Prot#'!A:AL,10,FALSE)+9,1)</f>
        <v>F</v>
      </c>
      <c r="Z60" s="50" t="str">
        <f>MID(VLOOKUP($A60,Seqs!$A:$B,2,FALSE),VLOOKUP($A60,'SegEnds_NonXtal_Prot#'!A:AL,10,FALSE)+10,1)</f>
        <v>V</v>
      </c>
      <c r="AA60" s="28" t="str">
        <f>MID(VLOOKUP($A60,Seqs!$A:$B,2,FALSE),VLOOKUP($A60,'SegEnds_NonXtal_Prot#'!$A:$AL,22,FALSE)+6,1)</f>
        <v>I</v>
      </c>
      <c r="AB60" s="50" t="str">
        <f>MID(VLOOKUP($A60,Seqs!$A:$B,2,FALSE),VLOOKUP($A60,'SegEnds_NonXtal_Prot#'!$A:$AL,22,FALSE)+7,1)</f>
        <v>A</v>
      </c>
      <c r="AC60" s="50" t="str">
        <f>MID(VLOOKUP($A60,Seqs!$A:$B,2,FALSE),VLOOKUP($A60,'SegEnds_NonXtal_Prot#'!$A:$AL,22,FALSE)+8,1)</f>
        <v>V</v>
      </c>
      <c r="AD60" s="50" t="str">
        <f>MID(VLOOKUP($A60,Seqs!$A:$B,2,FALSE),VLOOKUP($A60,'SegEnds_NonXtal_Prot#'!$A:$AL,22,FALSE)+9,1)</f>
        <v>I</v>
      </c>
      <c r="AE60" s="50" t="str">
        <f>MID(VLOOKUP($A60,Seqs!$A:$B,2,FALSE),VLOOKUP($A60,'SegEnds_NonXtal_Prot#'!$A:$AL,22,FALSE)+10,1)</f>
        <v>P</v>
      </c>
      <c r="AF60" s="28" t="str">
        <f>MID(VLOOKUP($A60,Seqs!$A:$B,2,FALSE),VLOOKUP($A60,'SegEnds_NonXtal_Prot#'!$A:$AL,28,FALSE)-4,1)</f>
        <v>V</v>
      </c>
      <c r="AG60" s="50" t="str">
        <f>MID(VLOOKUP($A60,Seqs!$A:$B,2,FALSE),VLOOKUP($A60,'SegEnds_NonXtal_Prot#'!$A:$AL,28,FALSE),1)</f>
        <v>A</v>
      </c>
    </row>
    <row r="61" spans="1:33" s="2" customFormat="1" x14ac:dyDescent="0.2">
      <c r="A61" s="2" t="s">
        <v>387</v>
      </c>
      <c r="B61" s="2" t="str">
        <f>LOWER(VLOOKUP(A61,Xtal_Templ!A:B,2,FALSE))</f>
        <v>5ht1b_human</v>
      </c>
      <c r="C61" s="2" t="str">
        <f>VLOOKUP(A61,Classification!A:D,2,FALSE)</f>
        <v>A</v>
      </c>
      <c r="D61" s="2" t="str">
        <f>IF(ISERROR(MATCH(A61,'SegEnds_Xtal_Prot#'!B:B, 0)), "NoXtal", "Xtal")</f>
        <v>NoXtal</v>
      </c>
      <c r="F61" s="2" t="s">
        <v>5</v>
      </c>
      <c r="G61" s="4"/>
      <c r="Q61" s="2" t="s">
        <v>9</v>
      </c>
      <c r="S61" s="4" t="s">
        <v>12</v>
      </c>
      <c r="U61" s="28" t="str">
        <f>MID(VLOOKUP($A61,Seqs!$A:$B,2,FALSE),VLOOKUP($A61,'SegEnds_NonXtal_Prot#'!A:AL,10,FALSE),1)</f>
        <v>D</v>
      </c>
      <c r="V61" s="50" t="str">
        <f>MID(VLOOKUP($A61,Seqs!$A:$B,2,FALSE),VLOOKUP($A61,'SegEnds_NonXtal_Prot#'!A:AL,10,FALSE)+6,1)</f>
        <v>L</v>
      </c>
      <c r="W61" s="50" t="str">
        <f>MID(VLOOKUP($A61,Seqs!$A:$B,2,FALSE),VLOOKUP($A61,'SegEnds_NonXtal_Prot#'!A:AL,10,FALSE)+7,1)</f>
        <v>V</v>
      </c>
      <c r="X61" s="50" t="str">
        <f>MID(VLOOKUP($A61,Seqs!$A:$B,2,FALSE),VLOOKUP($A61,'SegEnds_NonXtal_Prot#'!A:AL,10,FALSE)+8,1)</f>
        <v>M</v>
      </c>
      <c r="Y61" s="50" t="str">
        <f>MID(VLOOKUP($A61,Seqs!$A:$B,2,FALSE),VLOOKUP($A61,'SegEnds_NonXtal_Prot#'!A:AL,10,FALSE)+9,1)</f>
        <v>P</v>
      </c>
      <c r="Z61" s="50" t="str">
        <f>MID(VLOOKUP($A61,Seqs!$A:$B,2,FALSE),VLOOKUP($A61,'SegEnds_NonXtal_Prot#'!A:AL,10,FALSE)+10,1)</f>
        <v>Y</v>
      </c>
      <c r="AA61" s="28" t="str">
        <f>MID(VLOOKUP($A61,Seqs!$A:$B,2,FALSE),VLOOKUP($A61,'SegEnds_NonXtal_Prot#'!$A:$AL,22,FALSE)+6,1)</f>
        <v>F</v>
      </c>
      <c r="AB61" s="50" t="str">
        <f>MID(VLOOKUP($A61,Seqs!$A:$B,2,FALSE),VLOOKUP($A61,'SegEnds_NonXtal_Prot#'!$A:$AL,22,FALSE)+7,1)</f>
        <v>A</v>
      </c>
      <c r="AC61" s="50" t="str">
        <f>MID(VLOOKUP($A61,Seqs!$A:$B,2,FALSE),VLOOKUP($A61,'SegEnds_NonXtal_Prot#'!$A:$AL,22,FALSE)+8,1)</f>
        <v>F</v>
      </c>
      <c r="AD61" s="50" t="str">
        <f>MID(VLOOKUP($A61,Seqs!$A:$B,2,FALSE),VLOOKUP($A61,'SegEnds_NonXtal_Prot#'!$A:$AL,22,FALSE)+9,1)</f>
        <v>G</v>
      </c>
      <c r="AE61" s="50" t="str">
        <f>MID(VLOOKUP($A61,Seqs!$A:$B,2,FALSE),VLOOKUP($A61,'SegEnds_NonXtal_Prot#'!$A:$AL,22,FALSE)+10,1)</f>
        <v>M</v>
      </c>
      <c r="AF61" s="28" t="str">
        <f>MID(VLOOKUP($A61,Seqs!$A:$B,2,FALSE),VLOOKUP($A61,'SegEnds_NonXtal_Prot#'!$A:$AL,28,FALSE)-4,1)</f>
        <v>S</v>
      </c>
      <c r="AG61" s="50" t="str">
        <f>MID(VLOOKUP($A61,Seqs!$A:$B,2,FALSE),VLOOKUP($A61,'SegEnds_NonXtal_Prot#'!$A:$AL,28,FALSE),1)</f>
        <v>P</v>
      </c>
    </row>
    <row r="62" spans="1:33" s="2" customFormat="1" x14ac:dyDescent="0.2">
      <c r="A62" s="2" t="s">
        <v>126</v>
      </c>
      <c r="B62" s="2" t="str">
        <f>LOWER(VLOOKUP(A62,Xtal_Templ!A:B,2,FALSE))</f>
        <v>adrb2_human</v>
      </c>
      <c r="C62" s="2" t="str">
        <f>VLOOKUP(A62,Classification!A:D,2,FALSE)</f>
        <v>A</v>
      </c>
      <c r="D62" s="2" t="str">
        <f>IF(ISERROR(MATCH(A62,'SegEnds_Xtal_Prot#'!B:B, 0)), "NoXtal", "Xtal")</f>
        <v>Xtal</v>
      </c>
      <c r="F62" s="2" t="s">
        <v>5</v>
      </c>
      <c r="G62" s="4"/>
      <c r="Q62" s="2" t="s">
        <v>9</v>
      </c>
      <c r="S62" s="4" t="s">
        <v>12</v>
      </c>
      <c r="U62" s="28" t="str">
        <f>MID(VLOOKUP($A62,Seqs!$A:$B,2,FALSE),VLOOKUP($A62,'SegEnds_NonXtal_Prot#'!A:AL,10,FALSE),1)</f>
        <v>D</v>
      </c>
      <c r="V62" s="50" t="str">
        <f>MID(VLOOKUP($A62,Seqs!$A:$B,2,FALSE),VLOOKUP($A62,'SegEnds_NonXtal_Prot#'!A:AL,10,FALSE)+6,1)</f>
        <v>A</v>
      </c>
      <c r="W62" s="50" t="str">
        <f>MID(VLOOKUP($A62,Seqs!$A:$B,2,FALSE),VLOOKUP($A62,'SegEnds_NonXtal_Prot#'!A:AL,10,FALSE)+7,1)</f>
        <v>V</v>
      </c>
      <c r="X62" s="50" t="str">
        <f>MID(VLOOKUP($A62,Seqs!$A:$B,2,FALSE),VLOOKUP($A62,'SegEnds_NonXtal_Prot#'!A:AL,10,FALSE)+8,1)</f>
        <v>V</v>
      </c>
      <c r="Y62" s="50" t="str">
        <f>MID(VLOOKUP($A62,Seqs!$A:$B,2,FALSE),VLOOKUP($A62,'SegEnds_NonXtal_Prot#'!A:AL,10,FALSE)+9,1)</f>
        <v>P</v>
      </c>
      <c r="Z62" s="50" t="str">
        <f>MID(VLOOKUP($A62,Seqs!$A:$B,2,FALSE),VLOOKUP($A62,'SegEnds_NonXtal_Prot#'!A:AL,10,FALSE)+10,1)</f>
        <v>F</v>
      </c>
      <c r="AA62" s="28" t="str">
        <f>MID(VLOOKUP($A62,Seqs!$A:$B,2,FALSE),VLOOKUP($A62,'SegEnds_NonXtal_Prot#'!$A:$AL,22,FALSE)+6,1)</f>
        <v>T</v>
      </c>
      <c r="AB62" s="50" t="str">
        <f>MID(VLOOKUP($A62,Seqs!$A:$B,2,FALSE),VLOOKUP($A62,'SegEnds_NonXtal_Prot#'!$A:$AL,22,FALSE)+7,1)</f>
        <v>S</v>
      </c>
      <c r="AC62" s="50" t="str">
        <f>MID(VLOOKUP($A62,Seqs!$A:$B,2,FALSE),VLOOKUP($A62,'SegEnds_NonXtal_Prot#'!$A:$AL,22,FALSE)+8,1)</f>
        <v>F</v>
      </c>
      <c r="AD62" s="50" t="str">
        <f>MID(VLOOKUP($A62,Seqs!$A:$B,2,FALSE),VLOOKUP($A62,'SegEnds_NonXtal_Prot#'!$A:$AL,22,FALSE)+9,1)</f>
        <v>L</v>
      </c>
      <c r="AE62" s="50" t="str">
        <f>MID(VLOOKUP($A62,Seqs!$A:$B,2,FALSE),VLOOKUP($A62,'SegEnds_NonXtal_Prot#'!$A:$AL,22,FALSE)+10,1)</f>
        <v>P</v>
      </c>
      <c r="AF62" s="28" t="str">
        <f>MID(VLOOKUP($A62,Seqs!$A:$B,2,FALSE),VLOOKUP($A62,'SegEnds_NonXtal_Prot#'!$A:$AL,28,FALSE)-4,1)</f>
        <v>S</v>
      </c>
      <c r="AG62" s="50" t="str">
        <f>MID(VLOOKUP($A62,Seqs!$A:$B,2,FALSE),VLOOKUP($A62,'SegEnds_NonXtal_Prot#'!$A:$AL,28,FALSE),1)</f>
        <v>P</v>
      </c>
    </row>
    <row r="63" spans="1:33" s="2" customFormat="1" x14ac:dyDescent="0.2">
      <c r="A63" s="2" t="s">
        <v>375</v>
      </c>
      <c r="B63" s="2" t="str">
        <f>LOWER(VLOOKUP(A63,Xtal_Templ!A:B,2,FALSE))</f>
        <v>aa1r_human</v>
      </c>
      <c r="C63" s="2" t="str">
        <f>VLOOKUP(A63,Classification!A:D,2,FALSE)</f>
        <v>A</v>
      </c>
      <c r="D63" s="2" t="str">
        <f>IF(ISERROR(MATCH(A63,'SegEnds_Xtal_Prot#'!B:B, 0)), "NoXtal", "Xtal")</f>
        <v>NoXtal</v>
      </c>
      <c r="G63" s="4"/>
      <c r="S63" s="4" t="s">
        <v>12</v>
      </c>
      <c r="U63" s="28" t="str">
        <f>MID(VLOOKUP($A63,Seqs!$A:$B,2,FALSE),VLOOKUP($A63,'SegEnds_NonXtal_Prot#'!A:AL,10,FALSE),1)</f>
        <v>D</v>
      </c>
      <c r="V63" s="50" t="str">
        <f>MID(VLOOKUP($A63,Seqs!$A:$B,2,FALSE),VLOOKUP($A63,'SegEnds_NonXtal_Prot#'!A:AL,10,FALSE)+6,1)</f>
        <v>Y</v>
      </c>
      <c r="W63" s="50" t="str">
        <f>MID(VLOOKUP($A63,Seqs!$A:$B,2,FALSE),VLOOKUP($A63,'SegEnds_NonXtal_Prot#'!A:AL,10,FALSE)+7,1)</f>
        <v>L</v>
      </c>
      <c r="X63" s="50" t="str">
        <f>MID(VLOOKUP($A63,Seqs!$A:$B,2,FALSE),VLOOKUP($A63,'SegEnds_NonXtal_Prot#'!A:AL,10,FALSE)+8,1)</f>
        <v>F</v>
      </c>
      <c r="Y63" s="50" t="str">
        <f>MID(VLOOKUP($A63,Seqs!$A:$B,2,FALSE),VLOOKUP($A63,'SegEnds_NonXtal_Prot#'!A:AL,10,FALSE)+9,1)</f>
        <v>V</v>
      </c>
      <c r="Z63" s="50" t="str">
        <f>MID(VLOOKUP($A63,Seqs!$A:$B,2,FALSE),VLOOKUP($A63,'SegEnds_NonXtal_Prot#'!A:AL,10,FALSE)+10,1)</f>
        <v>I</v>
      </c>
      <c r="AA63" s="28" t="str">
        <f>MID(VLOOKUP($A63,Seqs!$A:$B,2,FALSE),VLOOKUP($A63,'SegEnds_NonXtal_Prot#'!$A:$AL,22,FALSE)+6,1)</f>
        <v>V</v>
      </c>
      <c r="AB63" s="50" t="str">
        <f>MID(VLOOKUP($A63,Seqs!$A:$B,2,FALSE),VLOOKUP($A63,'SegEnds_NonXtal_Prot#'!$A:$AL,22,FALSE)+7,1)</f>
        <v>A</v>
      </c>
      <c r="AC63" s="50" t="str">
        <f>MID(VLOOKUP($A63,Seqs!$A:$B,2,FALSE),VLOOKUP($A63,'SegEnds_NonXtal_Prot#'!$A:$AL,22,FALSE)+8,1)</f>
        <v>F</v>
      </c>
      <c r="AD63" s="50" t="str">
        <f>MID(VLOOKUP($A63,Seqs!$A:$B,2,FALSE),VLOOKUP($A63,'SegEnds_NonXtal_Prot#'!$A:$AL,22,FALSE)+9,1)</f>
        <v>I</v>
      </c>
      <c r="AE63" s="50" t="str">
        <f>MID(VLOOKUP($A63,Seqs!$A:$B,2,FALSE),VLOOKUP($A63,'SegEnds_NonXtal_Prot#'!$A:$AL,22,FALSE)+10,1)</f>
        <v>P</v>
      </c>
      <c r="AF63" s="28" t="str">
        <f>MID(VLOOKUP($A63,Seqs!$A:$B,2,FALSE),VLOOKUP($A63,'SegEnds_NonXtal_Prot#'!$A:$AL,28,FALSE)-4,1)</f>
        <v>I</v>
      </c>
      <c r="AG63" s="50" t="str">
        <f>MID(VLOOKUP($A63,Seqs!$A:$B,2,FALSE),VLOOKUP($A63,'SegEnds_NonXtal_Prot#'!$A:$AL,28,FALSE),1)</f>
        <v>A</v>
      </c>
    </row>
    <row r="64" spans="1:33" s="2" customFormat="1" x14ac:dyDescent="0.2">
      <c r="A64" s="2" t="s">
        <v>144</v>
      </c>
      <c r="B64" s="2" t="str">
        <f>LOWER(VLOOKUP(A64,Xtal_Templ!A:B,2,FALSE))</f>
        <v>agtr1_human</v>
      </c>
      <c r="C64" s="2" t="str">
        <f>VLOOKUP(A64,Classification!A:D,2,FALSE)</f>
        <v>A</v>
      </c>
      <c r="D64" s="2" t="str">
        <f>IF(ISERROR(MATCH(A64,'SegEnds_Xtal_Prot#'!B:B, 0)), "NoXtal", "Xtal")</f>
        <v>NoXtal</v>
      </c>
      <c r="G64" s="4"/>
      <c r="M64" s="2" t="s">
        <v>14</v>
      </c>
      <c r="Q64" s="2" t="s">
        <v>9</v>
      </c>
      <c r="S64" s="4" t="s">
        <v>12</v>
      </c>
      <c r="U64" s="28" t="str">
        <f>MID(VLOOKUP($A64,Seqs!$A:$B,2,FALSE),VLOOKUP($A64,'SegEnds_NonXtal_Prot#'!A:AL,10,FALSE),1)</f>
        <v>D</v>
      </c>
      <c r="V64" s="50" t="str">
        <f>MID(VLOOKUP($A64,Seqs!$A:$B,2,FALSE),VLOOKUP($A64,'SegEnds_NonXtal_Prot#'!A:AL,10,FALSE)+6,1)</f>
        <v>T</v>
      </c>
      <c r="W64" s="50" t="str">
        <f>MID(VLOOKUP($A64,Seqs!$A:$B,2,FALSE),VLOOKUP($A64,'SegEnds_NonXtal_Prot#'!A:AL,10,FALSE)+7,1)</f>
        <v>I</v>
      </c>
      <c r="X64" s="50" t="str">
        <f>MID(VLOOKUP($A64,Seqs!$A:$B,2,FALSE),VLOOKUP($A64,'SegEnds_NonXtal_Prot#'!A:AL,10,FALSE)+8,1)</f>
        <v>P</v>
      </c>
      <c r="Y64" s="50" t="str">
        <f>MID(VLOOKUP($A64,Seqs!$A:$B,2,FALSE),VLOOKUP($A64,'SegEnds_NonXtal_Prot#'!A:AL,10,FALSE)+9,1)</f>
        <v>V</v>
      </c>
      <c r="Z64" s="50" t="str">
        <f>MID(VLOOKUP($A64,Seqs!$A:$B,2,FALSE),VLOOKUP($A64,'SegEnds_NonXtal_Prot#'!A:AL,10,FALSE)+10,1)</f>
        <v>W</v>
      </c>
      <c r="AA64" s="28" t="str">
        <f>MID(VLOOKUP($A64,Seqs!$A:$B,2,FALSE),VLOOKUP($A64,'SegEnds_NonXtal_Prot#'!$A:$AL,22,FALSE)+6,1)</f>
        <v>V</v>
      </c>
      <c r="AB64" s="50" t="str">
        <f>MID(VLOOKUP($A64,Seqs!$A:$B,2,FALSE),VLOOKUP($A64,'SegEnds_NonXtal_Prot#'!$A:$AL,22,FALSE)+7,1)</f>
        <v>S</v>
      </c>
      <c r="AC64" s="50" t="str">
        <f>MID(VLOOKUP($A64,Seqs!$A:$B,2,FALSE),VLOOKUP($A64,'SegEnds_NonXtal_Prot#'!$A:$AL,22,FALSE)+8,1)</f>
        <v>L</v>
      </c>
      <c r="AD64" s="50" t="str">
        <f>MID(VLOOKUP($A64,Seqs!$A:$B,2,FALSE),VLOOKUP($A64,'SegEnds_NonXtal_Prot#'!$A:$AL,22,FALSE)+9,1)</f>
        <v>P</v>
      </c>
      <c r="AE64" s="50" t="str">
        <f>MID(VLOOKUP($A64,Seqs!$A:$B,2,FALSE),VLOOKUP($A64,'SegEnds_NonXtal_Prot#'!$A:$AL,22,FALSE)+10,1)</f>
        <v>D</v>
      </c>
      <c r="AF64" s="28" t="str">
        <f>MID(VLOOKUP($A64,Seqs!$A:$B,2,FALSE),VLOOKUP($A64,'SegEnds_NonXtal_Prot#'!$A:$AL,28,FALSE)-4,1)</f>
        <v>G</v>
      </c>
      <c r="AG64" s="50" t="str">
        <f>MID(VLOOKUP($A64,Seqs!$A:$B,2,FALSE),VLOOKUP($A64,'SegEnds_NonXtal_Prot#'!$A:$AL,28,FALSE),1)</f>
        <v>P</v>
      </c>
    </row>
    <row r="65" spans="1:33" s="2" customFormat="1" x14ac:dyDescent="0.2">
      <c r="A65" s="2" t="s">
        <v>158</v>
      </c>
      <c r="B65" s="2" t="str">
        <f>LOWER(VLOOKUP(A65,Xtal_Templ!A:B,2,FALSE))</f>
        <v>agtr1_human</v>
      </c>
      <c r="C65" s="2" t="str">
        <f>VLOOKUP(A65,Classification!A:D,2,FALSE)</f>
        <v>A</v>
      </c>
      <c r="D65" s="2" t="str">
        <f>IF(ISERROR(MATCH(A65,'SegEnds_Xtal_Prot#'!B:B, 0)), "NoXtal", "Xtal")</f>
        <v>Xtal</v>
      </c>
      <c r="G65" s="4"/>
      <c r="M65" s="109" t="s">
        <v>14</v>
      </c>
      <c r="Q65" s="2" t="s">
        <v>9</v>
      </c>
      <c r="S65" s="4" t="s">
        <v>12</v>
      </c>
      <c r="U65" s="28" t="str">
        <f>MID(VLOOKUP($A65,Seqs!$A:$B,2,FALSE),VLOOKUP($A65,'SegEnds_NonXtal_Prot#'!A:AL,10,FALSE),1)</f>
        <v>D</v>
      </c>
      <c r="V65" s="50" t="str">
        <f>MID(VLOOKUP($A65,Seqs!$A:$B,2,FALSE),VLOOKUP($A65,'SegEnds_NonXtal_Prot#'!A:AL,10,FALSE)+6,1)</f>
        <v>T</v>
      </c>
      <c r="W65" s="50" t="str">
        <f>MID(VLOOKUP($A65,Seqs!$A:$B,2,FALSE),VLOOKUP($A65,'SegEnds_NonXtal_Prot#'!A:AL,10,FALSE)+7,1)</f>
        <v>L</v>
      </c>
      <c r="X65" s="50" t="str">
        <f>MID(VLOOKUP($A65,Seqs!$A:$B,2,FALSE),VLOOKUP($A65,'SegEnds_NonXtal_Prot#'!A:AL,10,FALSE)+8,1)</f>
        <v>P</v>
      </c>
      <c r="Y65" s="50" t="str">
        <f>MID(VLOOKUP($A65,Seqs!$A:$B,2,FALSE),VLOOKUP($A65,'SegEnds_NonXtal_Prot#'!A:AL,10,FALSE)+9,1)</f>
        <v>L</v>
      </c>
      <c r="Z65" s="50" t="str">
        <f>MID(VLOOKUP($A65,Seqs!$A:$B,2,FALSE),VLOOKUP($A65,'SegEnds_NonXtal_Prot#'!A:AL,10,FALSE)+10,1)</f>
        <v>W</v>
      </c>
      <c r="AA65" s="28" t="str">
        <f>MID(VLOOKUP($A65,Seqs!$A:$B,2,FALSE),VLOOKUP($A65,'SegEnds_NonXtal_Prot#'!$A:$AL,22,FALSE)+6,1)</f>
        <v>A</v>
      </c>
      <c r="AB65" s="50" t="str">
        <f>MID(VLOOKUP($A65,Seqs!$A:$B,2,FALSE),VLOOKUP($A65,'SegEnds_NonXtal_Prot#'!$A:$AL,22,FALSE)+7,1)</f>
        <v>S</v>
      </c>
      <c r="AC65" s="50" t="str">
        <f>MID(VLOOKUP($A65,Seqs!$A:$B,2,FALSE),VLOOKUP($A65,'SegEnds_NonXtal_Prot#'!$A:$AL,22,FALSE)+8,1)</f>
        <v>L</v>
      </c>
      <c r="AD65" s="50" t="str">
        <f>MID(VLOOKUP($A65,Seqs!$A:$B,2,FALSE),VLOOKUP($A65,'SegEnds_NonXtal_Prot#'!$A:$AL,22,FALSE)+9,1)</f>
        <v>P</v>
      </c>
      <c r="AE65" s="50" t="str">
        <f>MID(VLOOKUP($A65,Seqs!$A:$B,2,FALSE),VLOOKUP($A65,'SegEnds_NonXtal_Prot#'!$A:$AL,22,FALSE)+10,1)</f>
        <v>A</v>
      </c>
      <c r="AF65" s="28" t="str">
        <f>MID(VLOOKUP($A65,Seqs!$A:$B,2,FALSE),VLOOKUP($A65,'SegEnds_NonXtal_Prot#'!$A:$AL,28,FALSE)-4,1)</f>
        <v>G</v>
      </c>
      <c r="AG65" s="50" t="str">
        <f>MID(VLOOKUP($A65,Seqs!$A:$B,2,FALSE),VLOOKUP($A65,'SegEnds_NonXtal_Prot#'!$A:$AL,28,FALSE),1)</f>
        <v>P</v>
      </c>
    </row>
    <row r="66" spans="1:33" s="2" customFormat="1" x14ac:dyDescent="0.2">
      <c r="A66" s="2" t="s">
        <v>159</v>
      </c>
      <c r="B66" s="2" t="s">
        <v>159</v>
      </c>
      <c r="C66" s="2" t="str">
        <f>VLOOKUP(A66,Classification!A:D,2,FALSE)</f>
        <v>A</v>
      </c>
      <c r="D66" s="2" t="str">
        <f>IF(ISERROR(MATCH(A66,'SegEnds_Xtal_Prot#'!B:B, 0)), "NoXtal", "Xtal")</f>
        <v>Xtal</v>
      </c>
      <c r="G66" s="4"/>
      <c r="M66" s="109" t="s">
        <v>14</v>
      </c>
      <c r="Q66" s="2" t="s">
        <v>9</v>
      </c>
      <c r="S66" s="4" t="s">
        <v>12</v>
      </c>
      <c r="U66" s="28" t="str">
        <f>MID(VLOOKUP($A66,Seqs!$A:$B,2,FALSE),VLOOKUP($A66,'SegEnds_NonXtal_Prot#'!A:AL,10,FALSE),1)</f>
        <v>D</v>
      </c>
      <c r="V66" s="50" t="str">
        <f>MID(VLOOKUP($A66,Seqs!$A:$B,2,FALSE),VLOOKUP($A66,'SegEnds_NonXtal_Prot#'!A:AL,10,FALSE)+6,1)</f>
        <v>T</v>
      </c>
      <c r="W66" s="50" t="str">
        <f>MID(VLOOKUP($A66,Seqs!$A:$B,2,FALSE),VLOOKUP($A66,'SegEnds_NonXtal_Prot#'!A:AL,10,FALSE)+7,1)</f>
        <v>L</v>
      </c>
      <c r="X66" s="50" t="str">
        <f>MID(VLOOKUP($A66,Seqs!$A:$B,2,FALSE),VLOOKUP($A66,'SegEnds_NonXtal_Prot#'!A:AL,10,FALSE)+8,1)</f>
        <v>P</v>
      </c>
      <c r="Y66" s="50" t="str">
        <f>MID(VLOOKUP($A66,Seqs!$A:$B,2,FALSE),VLOOKUP($A66,'SegEnds_NonXtal_Prot#'!A:AL,10,FALSE)+9,1)</f>
        <v>L</v>
      </c>
      <c r="Z66" s="50" t="str">
        <f>MID(VLOOKUP($A66,Seqs!$A:$B,2,FALSE),VLOOKUP($A66,'SegEnds_NonXtal_Prot#'!A:AL,10,FALSE)+10,1)</f>
        <v>W</v>
      </c>
      <c r="AA66" s="28" t="str">
        <f>MID(VLOOKUP($A66,Seqs!$A:$B,2,FALSE),VLOOKUP($A66,'SegEnds_NonXtal_Prot#'!$A:$AL,22,FALSE)+6,1)</f>
        <v>S</v>
      </c>
      <c r="AB66" s="50" t="str">
        <f>MID(VLOOKUP($A66,Seqs!$A:$B,2,FALSE),VLOOKUP($A66,'SegEnds_NonXtal_Prot#'!$A:$AL,22,FALSE)+7,1)</f>
        <v>S</v>
      </c>
      <c r="AC66" s="50" t="str">
        <f>MID(VLOOKUP($A66,Seqs!$A:$B,2,FALSE),VLOOKUP($A66,'SegEnds_NonXtal_Prot#'!$A:$AL,22,FALSE)+8,1)</f>
        <v>L</v>
      </c>
      <c r="AD66" s="50" t="str">
        <f>MID(VLOOKUP($A66,Seqs!$A:$B,2,FALSE),VLOOKUP($A66,'SegEnds_NonXtal_Prot#'!$A:$AL,22,FALSE)+9,1)</f>
        <v>P</v>
      </c>
      <c r="AE66" s="50" t="str">
        <f>MID(VLOOKUP($A66,Seqs!$A:$B,2,FALSE),VLOOKUP($A66,'SegEnds_NonXtal_Prot#'!$A:$AL,22,FALSE)+10,1)</f>
        <v>T</v>
      </c>
      <c r="AF66" s="28" t="str">
        <f>MID(VLOOKUP($A66,Seqs!$A:$B,2,FALSE),VLOOKUP($A66,'SegEnds_NonXtal_Prot#'!$A:$AL,28,FALSE)-4,1)</f>
        <v>G</v>
      </c>
      <c r="AG66" s="50" t="str">
        <f>MID(VLOOKUP($A66,Seqs!$A:$B,2,FALSE),VLOOKUP($A66,'SegEnds_NonXtal_Prot#'!$A:$AL,28,FALSE),1)</f>
        <v>P</v>
      </c>
    </row>
    <row r="67" spans="1:33" s="2" customFormat="1" ht="17" customHeight="1" x14ac:dyDescent="0.2">
      <c r="A67" s="2" t="s">
        <v>160</v>
      </c>
      <c r="B67" s="2" t="str">
        <f>LOWER(VLOOKUP(A67,Xtal_Templ!A:B,2,FALSE))</f>
        <v>apj_human</v>
      </c>
      <c r="C67" s="2" t="str">
        <f>VLOOKUP(A67,Classification!A:D,2,FALSE)</f>
        <v>A</v>
      </c>
      <c r="D67" s="2" t="str">
        <f>IF(ISERROR(MATCH(A67,'SegEnds_Xtal_Prot#'!B:B, 0)), "NoXtal", "Xtal")</f>
        <v>Xtal</v>
      </c>
      <c r="G67" s="51"/>
      <c r="M67" s="2" t="s">
        <v>14</v>
      </c>
      <c r="Q67" s="2" t="s">
        <v>9</v>
      </c>
      <c r="S67" s="4" t="s">
        <v>12</v>
      </c>
      <c r="U67" s="28" t="str">
        <f>MID(VLOOKUP($A67,Seqs!$A:$B,2,FALSE),VLOOKUP($A67,'SegEnds_NonXtal_Prot#'!A:AL,10,FALSE),1)</f>
        <v>D</v>
      </c>
      <c r="V67" s="50" t="str">
        <f>MID(VLOOKUP($A67,Seqs!$A:$B,2,FALSE),VLOOKUP($A67,'SegEnds_NonXtal_Prot#'!A:AL,10,FALSE)+6,1)</f>
        <v>T</v>
      </c>
      <c r="W67" s="50" t="str">
        <f>MID(VLOOKUP($A67,Seqs!$A:$B,2,FALSE),VLOOKUP($A67,'SegEnds_NonXtal_Prot#'!A:AL,10,FALSE)+7,1)</f>
        <v>L</v>
      </c>
      <c r="X67" s="50" t="str">
        <f>MID(VLOOKUP($A67,Seqs!$A:$B,2,FALSE),VLOOKUP($A67,'SegEnds_NonXtal_Prot#'!A:AL,10,FALSE)+8,1)</f>
        <v>P</v>
      </c>
      <c r="Y67" s="50" t="str">
        <f>MID(VLOOKUP($A67,Seqs!$A:$B,2,FALSE),VLOOKUP($A67,'SegEnds_NonXtal_Prot#'!A:AL,10,FALSE)+9,1)</f>
        <v>L</v>
      </c>
      <c r="Z67" s="50" t="str">
        <f>MID(VLOOKUP($A67,Seqs!$A:$B,2,FALSE),VLOOKUP($A67,'SegEnds_NonXtal_Prot#'!A:AL,10,FALSE)+10,1)</f>
        <v>W</v>
      </c>
      <c r="AA67" s="28" t="str">
        <f>MID(VLOOKUP($A67,Seqs!$A:$B,2,FALSE),VLOOKUP($A67,'SegEnds_NonXtal_Prot#'!$A:$AL,22,FALSE)+6,1)</f>
        <v>L</v>
      </c>
      <c r="AB67" s="50" t="str">
        <f>MID(VLOOKUP($A67,Seqs!$A:$B,2,FALSE),VLOOKUP($A67,'SegEnds_NonXtal_Prot#'!$A:$AL,22,FALSE)+7,1)</f>
        <v>A</v>
      </c>
      <c r="AC67" s="50" t="str">
        <f>MID(VLOOKUP($A67,Seqs!$A:$B,2,FALSE),VLOOKUP($A67,'SegEnds_NonXtal_Prot#'!$A:$AL,22,FALSE)+8,1)</f>
        <v>M</v>
      </c>
      <c r="AD67" s="50" t="str">
        <f>MID(VLOOKUP($A67,Seqs!$A:$B,2,FALSE),VLOOKUP($A67,'SegEnds_NonXtal_Prot#'!$A:$AL,22,FALSE)+9,1)</f>
        <v>P</v>
      </c>
      <c r="AE67" s="50" t="str">
        <f>MID(VLOOKUP($A67,Seqs!$A:$B,2,FALSE),VLOOKUP($A67,'SegEnds_NonXtal_Prot#'!$A:$AL,22,FALSE)+10,1)</f>
        <v>V</v>
      </c>
      <c r="AF67" s="28" t="str">
        <f>MID(VLOOKUP($A67,Seqs!$A:$B,2,FALSE),VLOOKUP($A67,'SegEnds_NonXtal_Prot#'!$A:$AL,28,FALSE)-4,1)</f>
        <v>G</v>
      </c>
      <c r="AG67" s="50" t="str">
        <f>MID(VLOOKUP($A67,Seqs!$A:$B,2,FALSE),VLOOKUP($A67,'SegEnds_NonXtal_Prot#'!$A:$AL,28,FALSE),1)</f>
        <v>P</v>
      </c>
    </row>
    <row r="68" spans="1:33" s="2" customFormat="1" x14ac:dyDescent="0.2">
      <c r="A68" s="2" t="s">
        <v>161</v>
      </c>
      <c r="B68" s="2" t="str">
        <f>LOWER(VLOOKUP(A68,Xtal_Templ!A:B,2,FALSE))</f>
        <v>agtr1_human</v>
      </c>
      <c r="C68" s="2" t="str">
        <f>VLOOKUP(A68,Classification!A:D,2,FALSE)</f>
        <v>A</v>
      </c>
      <c r="D68" s="2" t="str">
        <f>IF(ISERROR(MATCH(A68,'SegEnds_Xtal_Prot#'!B:B, 0)), "NoXtal", "Xtal")</f>
        <v>NoXtal</v>
      </c>
      <c r="G68" s="4"/>
      <c r="M68" s="2" t="s">
        <v>14</v>
      </c>
      <c r="Q68" s="2" t="s">
        <v>9</v>
      </c>
      <c r="S68" s="4" t="s">
        <v>12</v>
      </c>
      <c r="U68" s="28" t="str">
        <f>MID(VLOOKUP($A68,Seqs!$A:$B,2,FALSE),VLOOKUP($A68,'SegEnds_NonXtal_Prot#'!A:AL,10,FALSE),1)</f>
        <v>D</v>
      </c>
      <c r="V68" s="50" t="str">
        <f>MID(VLOOKUP($A68,Seqs!$A:$B,2,FALSE),VLOOKUP($A68,'SegEnds_NonXtal_Prot#'!A:AL,10,FALSE)+6,1)</f>
        <v>G</v>
      </c>
      <c r="W68" s="50" t="str">
        <f>MID(VLOOKUP($A68,Seqs!$A:$B,2,FALSE),VLOOKUP($A68,'SegEnds_NonXtal_Prot#'!A:AL,10,FALSE)+7,1)</f>
        <v>L</v>
      </c>
      <c r="X68" s="50" t="str">
        <f>MID(VLOOKUP($A68,Seqs!$A:$B,2,FALSE),VLOOKUP($A68,'SegEnds_NonXtal_Prot#'!A:AL,10,FALSE)+8,1)</f>
        <v>P</v>
      </c>
      <c r="Y68" s="50" t="str">
        <f>MID(VLOOKUP($A68,Seqs!$A:$B,2,FALSE),VLOOKUP($A68,'SegEnds_NonXtal_Prot#'!A:AL,10,FALSE)+9,1)</f>
        <v>F</v>
      </c>
      <c r="Z68" s="50" t="str">
        <f>MID(VLOOKUP($A68,Seqs!$A:$B,2,FALSE),VLOOKUP($A68,'SegEnds_NonXtal_Prot#'!A:AL,10,FALSE)+10,1)</f>
        <v>W</v>
      </c>
      <c r="AA68" s="28" t="str">
        <f>MID(VLOOKUP($A68,Seqs!$A:$B,2,FALSE),VLOOKUP($A68,'SegEnds_NonXtal_Prot#'!$A:$AL,22,FALSE)+6,1)</f>
        <v>L</v>
      </c>
      <c r="AB68" s="50" t="str">
        <f>MID(VLOOKUP($A68,Seqs!$A:$B,2,FALSE),VLOOKUP($A68,'SegEnds_NonXtal_Prot#'!$A:$AL,22,FALSE)+7,1)</f>
        <v>S</v>
      </c>
      <c r="AC68" s="50" t="str">
        <f>MID(VLOOKUP($A68,Seqs!$A:$B,2,FALSE),VLOOKUP($A68,'SegEnds_NonXtal_Prot#'!$A:$AL,22,FALSE)+8,1)</f>
        <v>I</v>
      </c>
      <c r="AD68" s="50" t="str">
        <f>MID(VLOOKUP($A68,Seqs!$A:$B,2,FALSE),VLOOKUP($A68,'SegEnds_NonXtal_Prot#'!$A:$AL,22,FALSE)+9,1)</f>
        <v>P</v>
      </c>
      <c r="AE68" s="50" t="str">
        <f>MID(VLOOKUP($A68,Seqs!$A:$B,2,FALSE),VLOOKUP($A68,'SegEnds_NonXtal_Prot#'!$A:$AL,22,FALSE)+10,1)</f>
        <v>T</v>
      </c>
      <c r="AF68" s="28" t="str">
        <f>MID(VLOOKUP($A68,Seqs!$A:$B,2,FALSE),VLOOKUP($A68,'SegEnds_NonXtal_Prot#'!$A:$AL,28,FALSE)-4,1)</f>
        <v>G</v>
      </c>
      <c r="AG68" s="50" t="str">
        <f>MID(VLOOKUP($A68,Seqs!$A:$B,2,FALSE),VLOOKUP($A68,'SegEnds_NonXtal_Prot#'!$A:$AL,28,FALSE),1)</f>
        <v>P</v>
      </c>
    </row>
    <row r="69" spans="1:33" s="41" customFormat="1" x14ac:dyDescent="0.2">
      <c r="A69" s="2" t="s">
        <v>162</v>
      </c>
      <c r="B69" s="2" t="str">
        <f>LOWER(VLOOKUP(A69,Xtal_Templ!A:B,2,FALSE))</f>
        <v>agtr2_human</v>
      </c>
      <c r="C69" s="2" t="str">
        <f>VLOOKUP(A69,Classification!A:D,2,FALSE)</f>
        <v>A</v>
      </c>
      <c r="D69" s="2" t="str">
        <f>IF(ISERROR(MATCH(A69,'SegEnds_Xtal_Prot#'!B:B, 0)), "NoXtal", "Xtal")</f>
        <v>NoXtal</v>
      </c>
      <c r="E69" s="2"/>
      <c r="F69" s="2"/>
      <c r="G69" s="4"/>
      <c r="H69" s="2"/>
      <c r="I69" s="2"/>
      <c r="J69" s="2"/>
      <c r="K69" s="2"/>
      <c r="L69" s="2"/>
      <c r="M69" s="2" t="s">
        <v>14</v>
      </c>
      <c r="N69" s="2"/>
      <c r="O69" s="2"/>
      <c r="P69" s="2"/>
      <c r="Q69" s="2" t="s">
        <v>9</v>
      </c>
      <c r="R69" s="2"/>
      <c r="S69" s="4" t="s">
        <v>12</v>
      </c>
      <c r="T69" s="2"/>
      <c r="U69" s="28" t="str">
        <f>MID(VLOOKUP($A69,Seqs!$A:$B,2,FALSE),VLOOKUP($A69,'SegEnds_NonXtal_Prot#'!A:AL,10,FALSE),1)</f>
        <v>D</v>
      </c>
      <c r="V69" s="50" t="str">
        <f>MID(VLOOKUP($A69,Seqs!$A:$B,2,FALSE),VLOOKUP($A69,'SegEnds_NonXtal_Prot#'!A:AL,10,FALSE)+6,1)</f>
        <v>G</v>
      </c>
      <c r="W69" s="50" t="str">
        <f>MID(VLOOKUP($A69,Seqs!$A:$B,2,FALSE),VLOOKUP($A69,'SegEnds_NonXtal_Prot#'!A:AL,10,FALSE)+7,1)</f>
        <v>L</v>
      </c>
      <c r="X69" s="50" t="str">
        <f>MID(VLOOKUP($A69,Seqs!$A:$B,2,FALSE),VLOOKUP($A69,'SegEnds_NonXtal_Prot#'!A:AL,10,FALSE)+8,1)</f>
        <v>P</v>
      </c>
      <c r="Y69" s="50" t="str">
        <f>MID(VLOOKUP($A69,Seqs!$A:$B,2,FALSE),VLOOKUP($A69,'SegEnds_NonXtal_Prot#'!A:AL,10,FALSE)+9,1)</f>
        <v>F</v>
      </c>
      <c r="Z69" s="50" t="str">
        <f>MID(VLOOKUP($A69,Seqs!$A:$B,2,FALSE),VLOOKUP($A69,'SegEnds_NonXtal_Prot#'!A:AL,10,FALSE)+10,1)</f>
        <v>W</v>
      </c>
      <c r="AA69" s="28" t="str">
        <f>MID(VLOOKUP($A69,Seqs!$A:$B,2,FALSE),VLOOKUP($A69,'SegEnds_NonXtal_Prot#'!$A:$AL,22,FALSE)+6,1)</f>
        <v>L</v>
      </c>
      <c r="AB69" s="50" t="str">
        <f>MID(VLOOKUP($A69,Seqs!$A:$B,2,FALSE),VLOOKUP($A69,'SegEnds_NonXtal_Prot#'!$A:$AL,22,FALSE)+7,1)</f>
        <v>S</v>
      </c>
      <c r="AC69" s="50" t="str">
        <f>MID(VLOOKUP($A69,Seqs!$A:$B,2,FALSE),VLOOKUP($A69,'SegEnds_NonXtal_Prot#'!$A:$AL,22,FALSE)+8,1)</f>
        <v>S</v>
      </c>
      <c r="AD69" s="50" t="str">
        <f>MID(VLOOKUP($A69,Seqs!$A:$B,2,FALSE),VLOOKUP($A69,'SegEnds_NonXtal_Prot#'!$A:$AL,22,FALSE)+9,1)</f>
        <v>P</v>
      </c>
      <c r="AE69" s="50" t="str">
        <f>MID(VLOOKUP($A69,Seqs!$A:$B,2,FALSE),VLOOKUP($A69,'SegEnds_NonXtal_Prot#'!$A:$AL,22,FALSE)+10,1)</f>
        <v>M</v>
      </c>
      <c r="AF69" s="28" t="str">
        <f>MID(VLOOKUP($A69,Seqs!$A:$B,2,FALSE),VLOOKUP($A69,'SegEnds_NonXtal_Prot#'!$A:$AL,28,FALSE)-4,1)</f>
        <v>G</v>
      </c>
      <c r="AG69" s="50" t="str">
        <f>MID(VLOOKUP($A69,Seqs!$A:$B,2,FALSE),VLOOKUP($A69,'SegEnds_NonXtal_Prot#'!$A:$AL,28,FALSE),1)</f>
        <v>P</v>
      </c>
    </row>
    <row r="70" spans="1:33" s="2" customFormat="1" x14ac:dyDescent="0.2">
      <c r="A70" s="2" t="s">
        <v>165</v>
      </c>
      <c r="B70" s="2" t="str">
        <f>LOWER(VLOOKUP(A70,Xtal_Templ!A:B,2,FALSE))</f>
        <v>agtr1_human</v>
      </c>
      <c r="C70" s="2" t="str">
        <f>VLOOKUP(A70,Classification!A:D,2,FALSE)</f>
        <v>A</v>
      </c>
      <c r="D70" s="2" t="str">
        <f>IF(ISERROR(MATCH(A70,'SegEnds_Xtal_Prot#'!B:B, 0)), "NoXtal", "Xtal")</f>
        <v>NoXtal</v>
      </c>
      <c r="G70" s="4"/>
      <c r="M70" s="2" t="s">
        <v>14</v>
      </c>
      <c r="Q70" s="2" t="s">
        <v>9</v>
      </c>
      <c r="S70" s="4" t="s">
        <v>12</v>
      </c>
      <c r="U70" s="28" t="str">
        <f>MID(VLOOKUP($A70,Seqs!$A:$B,2,FALSE),VLOOKUP($A70,'SegEnds_NonXtal_Prot#'!A:AL,10,FALSE),1)</f>
        <v>D</v>
      </c>
      <c r="V70" s="50" t="str">
        <f>MID(VLOOKUP($A70,Seqs!$A:$B,2,FALSE),VLOOKUP($A70,'SegEnds_NonXtal_Prot#'!A:AL,10,FALSE)+6,1)</f>
        <v>A</v>
      </c>
      <c r="W70" s="50" t="str">
        <f>MID(VLOOKUP($A70,Seqs!$A:$B,2,FALSE),VLOOKUP($A70,'SegEnds_NonXtal_Prot#'!A:AL,10,FALSE)+7,1)</f>
        <v>L</v>
      </c>
      <c r="X70" s="50" t="str">
        <f>MID(VLOOKUP($A70,Seqs!$A:$B,2,FALSE),VLOOKUP($A70,'SegEnds_NonXtal_Prot#'!A:AL,10,FALSE)+8,1)</f>
        <v>P</v>
      </c>
      <c r="Y70" s="50" t="str">
        <f>MID(VLOOKUP($A70,Seqs!$A:$B,2,FALSE),VLOOKUP($A70,'SegEnds_NonXtal_Prot#'!A:AL,10,FALSE)+9,1)</f>
        <v>I</v>
      </c>
      <c r="Z70" s="50" t="str">
        <f>MID(VLOOKUP($A70,Seqs!$A:$B,2,FALSE),VLOOKUP($A70,'SegEnds_NonXtal_Prot#'!A:AL,10,FALSE)+10,1)</f>
        <v>L</v>
      </c>
      <c r="AA70" s="28" t="str">
        <f>MID(VLOOKUP($A70,Seqs!$A:$B,2,FALSE),VLOOKUP($A70,'SegEnds_NonXtal_Prot#'!$A:$AL,22,FALSE)+6,1)</f>
        <v>L</v>
      </c>
      <c r="AB70" s="50" t="str">
        <f>MID(VLOOKUP($A70,Seqs!$A:$B,2,FALSE),VLOOKUP($A70,'SegEnds_NonXtal_Prot#'!$A:$AL,22,FALSE)+7,1)</f>
        <v>T</v>
      </c>
      <c r="AC70" s="50" t="str">
        <f>MID(VLOOKUP($A70,Seqs!$A:$B,2,FALSE),VLOOKUP($A70,'SegEnds_NonXtal_Prot#'!$A:$AL,22,FALSE)+8,1)</f>
        <v>I</v>
      </c>
      <c r="AD70" s="50" t="str">
        <f>MID(VLOOKUP($A70,Seqs!$A:$B,2,FALSE),VLOOKUP($A70,'SegEnds_NonXtal_Prot#'!$A:$AL,22,FALSE)+9,1)</f>
        <v>P</v>
      </c>
      <c r="AE70" s="50" t="str">
        <f>MID(VLOOKUP($A70,Seqs!$A:$B,2,FALSE),VLOOKUP($A70,'SegEnds_NonXtal_Prot#'!$A:$AL,22,FALSE)+10,1)</f>
        <v>S</v>
      </c>
      <c r="AF70" s="28" t="str">
        <f>MID(VLOOKUP($A70,Seqs!$A:$B,2,FALSE),VLOOKUP($A70,'SegEnds_NonXtal_Prot#'!$A:$AL,28,FALSE)-4,1)</f>
        <v>G</v>
      </c>
      <c r="AG70" s="50" t="str">
        <f>MID(VLOOKUP($A70,Seqs!$A:$B,2,FALSE),VLOOKUP($A70,'SegEnds_NonXtal_Prot#'!$A:$AL,28,FALSE),1)</f>
        <v>P</v>
      </c>
    </row>
    <row r="71" spans="1:33" s="2" customFormat="1" x14ac:dyDescent="0.2">
      <c r="A71" s="2" t="s">
        <v>181</v>
      </c>
      <c r="B71" s="2" t="str">
        <f>LOWER(VLOOKUP(A71,Xtal_Templ!A:B,2,FALSE))</f>
        <v>agtr1_human</v>
      </c>
      <c r="C71" s="2" t="str">
        <f>VLOOKUP(A71,Classification!A:D,2,FALSE)</f>
        <v>A</v>
      </c>
      <c r="D71" s="2" t="str">
        <f>IF(ISERROR(MATCH(A71,'SegEnds_Xtal_Prot#'!B:B, 0)), "NoXtal", "Xtal")</f>
        <v>NoXtal</v>
      </c>
      <c r="G71" s="4"/>
      <c r="M71" s="2" t="s">
        <v>14</v>
      </c>
      <c r="Q71" s="2" t="s">
        <v>9</v>
      </c>
      <c r="S71" s="4" t="s">
        <v>12</v>
      </c>
      <c r="U71" s="28" t="str">
        <f>MID(VLOOKUP($A71,Seqs!$A:$B,2,FALSE),VLOOKUP($A71,'SegEnds_NonXtal_Prot#'!A:AL,10,FALSE),1)</f>
        <v>D</v>
      </c>
      <c r="V71" s="50" t="str">
        <f>MID(VLOOKUP($A71,Seqs!$A:$B,2,FALSE),VLOOKUP($A71,'SegEnds_NonXtal_Prot#'!A:AL,10,FALSE)+6,1)</f>
        <v>F</v>
      </c>
      <c r="W71" s="50" t="str">
        <f>MID(VLOOKUP($A71,Seqs!$A:$B,2,FALSE),VLOOKUP($A71,'SegEnds_NonXtal_Prot#'!A:AL,10,FALSE)+7,1)</f>
        <v>L</v>
      </c>
      <c r="X71" s="50" t="str">
        <f>MID(VLOOKUP($A71,Seqs!$A:$B,2,FALSE),VLOOKUP($A71,'SegEnds_NonXtal_Prot#'!A:AL,10,FALSE)+8,1)</f>
        <v>P</v>
      </c>
      <c r="Y71" s="50" t="str">
        <f>MID(VLOOKUP($A71,Seqs!$A:$B,2,FALSE),VLOOKUP($A71,'SegEnds_NonXtal_Prot#'!A:AL,10,FALSE)+9,1)</f>
        <v>I</v>
      </c>
      <c r="Z71" s="50" t="str">
        <f>MID(VLOOKUP($A71,Seqs!$A:$B,2,FALSE),VLOOKUP($A71,'SegEnds_NonXtal_Prot#'!A:AL,10,FALSE)+10,1)</f>
        <v>H</v>
      </c>
      <c r="AA71" s="28" t="str">
        <f>MID(VLOOKUP($A71,Seqs!$A:$B,2,FALSE),VLOOKUP($A71,'SegEnds_NonXtal_Prot#'!$A:$AL,22,FALSE)+6,1)</f>
        <v>L</v>
      </c>
      <c r="AB71" s="50" t="str">
        <f>MID(VLOOKUP($A71,Seqs!$A:$B,2,FALSE),VLOOKUP($A71,'SegEnds_NonXtal_Prot#'!$A:$AL,22,FALSE)+7,1)</f>
        <v>S</v>
      </c>
      <c r="AC71" s="50" t="str">
        <f>MID(VLOOKUP($A71,Seqs!$A:$B,2,FALSE),VLOOKUP($A71,'SegEnds_NonXtal_Prot#'!$A:$AL,22,FALSE)+8,1)</f>
        <v>S</v>
      </c>
      <c r="AD71" s="50" t="str">
        <f>MID(VLOOKUP($A71,Seqs!$A:$B,2,FALSE),VLOOKUP($A71,'SegEnds_NonXtal_Prot#'!$A:$AL,22,FALSE)+9,1)</f>
        <v>P</v>
      </c>
      <c r="AE71" s="50" t="str">
        <f>MID(VLOOKUP($A71,Seqs!$A:$B,2,FALSE),VLOOKUP($A71,'SegEnds_NonXtal_Prot#'!$A:$AL,22,FALSE)+10,1)</f>
        <v>S</v>
      </c>
      <c r="AF71" s="28" t="str">
        <f>MID(VLOOKUP($A71,Seqs!$A:$B,2,FALSE),VLOOKUP($A71,'SegEnds_NonXtal_Prot#'!$A:$AL,28,FALSE)-4,1)</f>
        <v>G</v>
      </c>
      <c r="AG71" s="50" t="str">
        <f>MID(VLOOKUP($A71,Seqs!$A:$B,2,FALSE),VLOOKUP($A71,'SegEnds_NonXtal_Prot#'!$A:$AL,28,FALSE),1)</f>
        <v>P</v>
      </c>
    </row>
    <row r="72" spans="1:33" s="2" customFormat="1" x14ac:dyDescent="0.2">
      <c r="A72" s="2" t="s">
        <v>233</v>
      </c>
      <c r="B72" s="2" t="str">
        <f>LOWER(VLOOKUP(A72,Xtal_Templ!A:B,2,FALSE))</f>
        <v>apj_human</v>
      </c>
      <c r="C72" s="2" t="str">
        <f>VLOOKUP(A72,Classification!A:D,2,FALSE)</f>
        <v>A</v>
      </c>
      <c r="D72" s="2" t="str">
        <f>IF(ISERROR(MATCH(A72,'SegEnds_Xtal_Prot#'!B:B, 0)), "NoXtal", "Xtal")</f>
        <v>NoXtal</v>
      </c>
      <c r="G72" s="4"/>
      <c r="M72" s="2" t="s">
        <v>14</v>
      </c>
      <c r="Q72" s="2" t="s">
        <v>9</v>
      </c>
      <c r="S72" s="4" t="s">
        <v>12</v>
      </c>
      <c r="U72" s="28" t="str">
        <f>MID(VLOOKUP($A72,Seqs!$A:$B,2,FALSE),VLOOKUP($A72,'SegEnds_NonXtal_Prot#'!A:AL,10,FALSE),1)</f>
        <v>D</v>
      </c>
      <c r="V72" s="50" t="str">
        <f>MID(VLOOKUP($A72,Seqs!$A:$B,2,FALSE),VLOOKUP($A72,'SegEnds_NonXtal_Prot#'!A:AL,10,FALSE)+6,1)</f>
        <v>S</v>
      </c>
      <c r="W72" s="50" t="str">
        <f>MID(VLOOKUP($A72,Seqs!$A:$B,2,FALSE),VLOOKUP($A72,'SegEnds_NonXtal_Prot#'!A:AL,10,FALSE)+7,1)</f>
        <v>L</v>
      </c>
      <c r="X72" s="50" t="str">
        <f>MID(VLOOKUP($A72,Seqs!$A:$B,2,FALSE),VLOOKUP($A72,'SegEnds_NonXtal_Prot#'!A:AL,10,FALSE)+8,1)</f>
        <v>P</v>
      </c>
      <c r="Y72" s="50" t="str">
        <f>MID(VLOOKUP($A72,Seqs!$A:$B,2,FALSE),VLOOKUP($A72,'SegEnds_NonXtal_Prot#'!A:AL,10,FALSE)+9,1)</f>
        <v>V</v>
      </c>
      <c r="Z72" s="50" t="str">
        <f>MID(VLOOKUP($A72,Seqs!$A:$B,2,FALSE),VLOOKUP($A72,'SegEnds_NonXtal_Prot#'!A:AL,10,FALSE)+10,1)</f>
        <v>W</v>
      </c>
      <c r="AA72" s="28" t="str">
        <f>MID(VLOOKUP($A72,Seqs!$A:$B,2,FALSE),VLOOKUP($A72,'SegEnds_NonXtal_Prot#'!$A:$AL,22,FALSE)+6,1)</f>
        <v>I</v>
      </c>
      <c r="AB72" s="50" t="str">
        <f>MID(VLOOKUP($A72,Seqs!$A:$B,2,FALSE),VLOOKUP($A72,'SegEnds_NonXtal_Prot#'!$A:$AL,22,FALSE)+7,1)</f>
        <v>P</v>
      </c>
      <c r="AC72" s="50" t="str">
        <f>MID(VLOOKUP($A72,Seqs!$A:$B,2,FALSE),VLOOKUP($A72,'SegEnds_NonXtal_Prot#'!$A:$AL,22,FALSE)+8,1)</f>
        <v>L</v>
      </c>
      <c r="AD72" s="50" t="str">
        <f>MID(VLOOKUP($A72,Seqs!$A:$B,2,FALSE),VLOOKUP($A72,'SegEnds_NonXtal_Prot#'!$A:$AL,22,FALSE)+9,1)</f>
        <v>P</v>
      </c>
      <c r="AE72" s="50" t="str">
        <f>MID(VLOOKUP($A72,Seqs!$A:$B,2,FALSE),VLOOKUP($A72,'SegEnds_NonXtal_Prot#'!$A:$AL,22,FALSE)+10,1)</f>
        <v>E</v>
      </c>
      <c r="AF72" s="28" t="str">
        <f>MID(VLOOKUP($A72,Seqs!$A:$B,2,FALSE),VLOOKUP($A72,'SegEnds_NonXtal_Prot#'!$A:$AL,28,FALSE)-4,1)</f>
        <v>G</v>
      </c>
      <c r="AG72" s="50" t="str">
        <f>MID(VLOOKUP($A72,Seqs!$A:$B,2,FALSE),VLOOKUP($A72,'SegEnds_NonXtal_Prot#'!$A:$AL,28,FALSE),1)</f>
        <v>P</v>
      </c>
    </row>
    <row r="73" spans="1:33" s="2" customFormat="1" x14ac:dyDescent="0.2">
      <c r="A73" s="2" t="s">
        <v>236</v>
      </c>
      <c r="B73" s="2" t="str">
        <f>LOWER(VLOOKUP(A73,Xtal_Templ!A:B,2,FALSE))</f>
        <v>ccr5_human</v>
      </c>
      <c r="C73" s="2" t="str">
        <f>VLOOKUP(A73,Classification!A:D,2,FALSE)</f>
        <v>A</v>
      </c>
      <c r="D73" s="2" t="str">
        <f>IF(ISERROR(MATCH(A73,'SegEnds_Xtal_Prot#'!B:B, 0)), "NoXtal", "Xtal")</f>
        <v>NoXtal</v>
      </c>
      <c r="G73" s="4"/>
      <c r="Q73" s="2" t="s">
        <v>9</v>
      </c>
      <c r="S73" s="4" t="s">
        <v>12</v>
      </c>
      <c r="U73" s="28" t="str">
        <f>MID(VLOOKUP($A73,Seqs!$A:$B,2,FALSE),VLOOKUP($A73,'SegEnds_NonXtal_Prot#'!A:AL,10,FALSE),1)</f>
        <v>D</v>
      </c>
      <c r="V73" s="50" t="str">
        <f>MID(VLOOKUP($A73,Seqs!$A:$B,2,FALSE),VLOOKUP($A73,'SegEnds_NonXtal_Prot#'!A:AL,10,FALSE)+6,1)</f>
        <v>D</v>
      </c>
      <c r="W73" s="50" t="str">
        <f>MID(VLOOKUP($A73,Seqs!$A:$B,2,FALSE),VLOOKUP($A73,'SegEnds_NonXtal_Prot#'!A:AL,10,FALSE)+7,1)</f>
        <v>S</v>
      </c>
      <c r="X73" s="50" t="str">
        <f>MID(VLOOKUP($A73,Seqs!$A:$B,2,FALSE),VLOOKUP($A73,'SegEnds_NonXtal_Prot#'!A:AL,10,FALSE)+8,1)</f>
        <v>L</v>
      </c>
      <c r="Y73" s="50" t="str">
        <f>MID(VLOOKUP($A73,Seqs!$A:$B,2,FALSE),VLOOKUP($A73,'SegEnds_NonXtal_Prot#'!A:AL,10,FALSE)+9,1)</f>
        <v>I</v>
      </c>
      <c r="Z73" s="50" t="str">
        <f>MID(VLOOKUP($A73,Seqs!$A:$B,2,FALSE),VLOOKUP($A73,'SegEnds_NonXtal_Prot#'!A:AL,10,FALSE)+10,1)</f>
        <v>E</v>
      </c>
      <c r="AA73" s="28" t="str">
        <f>MID(VLOOKUP($A73,Seqs!$A:$B,2,FALSE),VLOOKUP($A73,'SegEnds_NonXtal_Prot#'!$A:$AL,22,FALSE)+6,1)</f>
        <v>A</v>
      </c>
      <c r="AB73" s="50" t="str">
        <f>MID(VLOOKUP($A73,Seqs!$A:$B,2,FALSE),VLOOKUP($A73,'SegEnds_NonXtal_Prot#'!$A:$AL,22,FALSE)+7,1)</f>
        <v>T</v>
      </c>
      <c r="AC73" s="50" t="str">
        <f>MID(VLOOKUP($A73,Seqs!$A:$B,2,FALSE),VLOOKUP($A73,'SegEnds_NonXtal_Prot#'!$A:$AL,22,FALSE)+8,1)</f>
        <v>L</v>
      </c>
      <c r="AD73" s="50" t="str">
        <f>MID(VLOOKUP($A73,Seqs!$A:$B,2,FALSE),VLOOKUP($A73,'SegEnds_NonXtal_Prot#'!$A:$AL,22,FALSE)+9,1)</f>
        <v>V</v>
      </c>
      <c r="AE73" s="50" t="str">
        <f>MID(VLOOKUP($A73,Seqs!$A:$B,2,FALSE),VLOOKUP($A73,'SegEnds_NonXtal_Prot#'!$A:$AL,22,FALSE)+10,1)</f>
        <v>P</v>
      </c>
      <c r="AF73" s="28" t="str">
        <f>MID(VLOOKUP($A73,Seqs!$A:$B,2,FALSE),VLOOKUP($A73,'SegEnds_NonXtal_Prot#'!$A:$AL,28,FALSE)-4,1)</f>
        <v>G</v>
      </c>
      <c r="AG73" s="50" t="str">
        <f>MID(VLOOKUP($A73,Seqs!$A:$B,2,FALSE),VLOOKUP($A73,'SegEnds_NonXtal_Prot#'!$A:$AL,28,FALSE),1)</f>
        <v>P</v>
      </c>
    </row>
    <row r="74" spans="1:33" s="2" customFormat="1" x14ac:dyDescent="0.2">
      <c r="A74" s="2" t="s">
        <v>237</v>
      </c>
      <c r="B74" s="2" t="str">
        <f>LOWER(VLOOKUP(A74,Xtal_Templ!A:B,2,FALSE))</f>
        <v>agtr1_human</v>
      </c>
      <c r="C74" s="2" t="str">
        <f>VLOOKUP(A74,Classification!A:D,2,FALSE)</f>
        <v>A</v>
      </c>
      <c r="D74" s="2" t="str">
        <f>IF(ISERROR(MATCH(A74,'SegEnds_Xtal_Prot#'!B:B, 0)), "NoXtal", "Xtal")</f>
        <v>NoXtal</v>
      </c>
      <c r="G74" s="4"/>
      <c r="Q74" s="2" t="s">
        <v>9</v>
      </c>
      <c r="S74" s="4" t="s">
        <v>12</v>
      </c>
      <c r="U74" s="28" t="str">
        <f>MID(VLOOKUP($A74,Seqs!$A:$B,2,FALSE),VLOOKUP($A74,'SegEnds_NonXtal_Prot#'!A:AL,10,FALSE),1)</f>
        <v>D</v>
      </c>
      <c r="V74" s="50" t="str">
        <f>MID(VLOOKUP($A74,Seqs!$A:$B,2,FALSE),VLOOKUP($A74,'SegEnds_NonXtal_Prot#'!A:AL,10,FALSE)+6,1)</f>
        <v>F</v>
      </c>
      <c r="W74" s="50" t="str">
        <f>MID(VLOOKUP($A74,Seqs!$A:$B,2,FALSE),VLOOKUP($A74,'SegEnds_NonXtal_Prot#'!A:AL,10,FALSE)+7,1)</f>
        <v>L</v>
      </c>
      <c r="X74" s="50" t="str">
        <f>MID(VLOOKUP($A74,Seqs!$A:$B,2,FALSE),VLOOKUP($A74,'SegEnds_NonXtal_Prot#'!A:AL,10,FALSE)+8,1)</f>
        <v>P</v>
      </c>
      <c r="Y74" s="50" t="str">
        <f>MID(VLOOKUP($A74,Seqs!$A:$B,2,FALSE),VLOOKUP($A74,'SegEnds_NonXtal_Prot#'!A:AL,10,FALSE)+9,1)</f>
        <v>L</v>
      </c>
      <c r="Z74" s="50" t="str">
        <f>MID(VLOOKUP($A74,Seqs!$A:$B,2,FALSE),VLOOKUP($A74,'SegEnds_NonXtal_Prot#'!A:AL,10,FALSE)+10,1)</f>
        <v>Y</v>
      </c>
      <c r="AA74" s="28" t="str">
        <f>MID(VLOOKUP($A74,Seqs!$A:$B,2,FALSE),VLOOKUP($A74,'SegEnds_NonXtal_Prot#'!$A:$AL,22,FALSE)+6,1)</f>
        <v>I</v>
      </c>
      <c r="AB74" s="50" t="str">
        <f>MID(VLOOKUP($A74,Seqs!$A:$B,2,FALSE),VLOOKUP($A74,'SegEnds_NonXtal_Prot#'!$A:$AL,22,FALSE)+7,1)</f>
        <v>G</v>
      </c>
      <c r="AC74" s="50" t="str">
        <f>MID(VLOOKUP($A74,Seqs!$A:$B,2,FALSE),VLOOKUP($A74,'SegEnds_NonXtal_Prot#'!$A:$AL,22,FALSE)+8,1)</f>
        <v>G</v>
      </c>
      <c r="AD74" s="50" t="str">
        <f>MID(VLOOKUP($A74,Seqs!$A:$B,2,FALSE),VLOOKUP($A74,'SegEnds_NonXtal_Prot#'!$A:$AL,22,FALSE)+9,1)</f>
        <v>P</v>
      </c>
      <c r="AE74" s="50" t="str">
        <f>MID(VLOOKUP($A74,Seqs!$A:$B,2,FALSE),VLOOKUP($A74,'SegEnds_NonXtal_Prot#'!$A:$AL,22,FALSE)+10,1)</f>
        <v>A</v>
      </c>
      <c r="AF74" s="28" t="str">
        <f>MID(VLOOKUP($A74,Seqs!$A:$B,2,FALSE),VLOOKUP($A74,'SegEnds_NonXtal_Prot#'!$A:$AL,28,FALSE)-4,1)</f>
        <v>G</v>
      </c>
      <c r="AG74" s="50" t="str">
        <f>MID(VLOOKUP($A74,Seqs!$A:$B,2,FALSE),VLOOKUP($A74,'SegEnds_NonXtal_Prot#'!$A:$AL,28,FALSE),1)</f>
        <v>P</v>
      </c>
    </row>
    <row r="75" spans="1:33" s="2" customFormat="1" x14ac:dyDescent="0.2">
      <c r="A75" s="2" t="s">
        <v>239</v>
      </c>
      <c r="B75" s="2" t="str">
        <f>LOWER(VLOOKUP(A75,Xtal_Templ!A:B,2,FALSE))</f>
        <v>agtr1_human</v>
      </c>
      <c r="C75" s="2" t="str">
        <f>VLOOKUP(A75,Classification!A:D,2,FALSE)</f>
        <v>A</v>
      </c>
      <c r="D75" s="2" t="str">
        <f>IF(ISERROR(MATCH(A75,'SegEnds_Xtal_Prot#'!B:B, 0)), "NoXtal", "Xtal")</f>
        <v>NoXtal</v>
      </c>
      <c r="G75" s="4"/>
      <c r="Q75" s="2" t="s">
        <v>9</v>
      </c>
      <c r="S75" s="4" t="s">
        <v>12</v>
      </c>
      <c r="U75" s="28" t="str">
        <f>MID(VLOOKUP($A75,Seqs!$A:$B,2,FALSE),VLOOKUP($A75,'SegEnds_NonXtal_Prot#'!A:AL,10,FALSE),1)</f>
        <v>D</v>
      </c>
      <c r="V75" s="50" t="str">
        <f>MID(VLOOKUP($A75,Seqs!$A:$B,2,FALSE),VLOOKUP($A75,'SegEnds_NonXtal_Prot#'!A:AL,10,FALSE)+6,1)</f>
        <v>T</v>
      </c>
      <c r="W75" s="50" t="str">
        <f>MID(VLOOKUP($A75,Seqs!$A:$B,2,FALSE),VLOOKUP($A75,'SegEnds_NonXtal_Prot#'!A:AL,10,FALSE)+7,1)</f>
        <v>L</v>
      </c>
      <c r="X75" s="50" t="str">
        <f>MID(VLOOKUP($A75,Seqs!$A:$B,2,FALSE),VLOOKUP($A75,'SegEnds_NonXtal_Prot#'!A:AL,10,FALSE)+8,1)</f>
        <v>P</v>
      </c>
      <c r="Y75" s="50" t="str">
        <f>MID(VLOOKUP($A75,Seqs!$A:$B,2,FALSE),VLOOKUP($A75,'SegEnds_NonXtal_Prot#'!A:AL,10,FALSE)+9,1)</f>
        <v>L</v>
      </c>
      <c r="Z75" s="50" t="str">
        <f>MID(VLOOKUP($A75,Seqs!$A:$B,2,FALSE),VLOOKUP($A75,'SegEnds_NonXtal_Prot#'!A:AL,10,FALSE)+10,1)</f>
        <v>W</v>
      </c>
      <c r="AA75" s="28" t="str">
        <f>MID(VLOOKUP($A75,Seqs!$A:$B,2,FALSE),VLOOKUP($A75,'SegEnds_NonXtal_Prot#'!$A:$AL,22,FALSE)+6,1)</f>
        <v>L</v>
      </c>
      <c r="AB75" s="50" t="str">
        <f>MID(VLOOKUP($A75,Seqs!$A:$B,2,FALSE),VLOOKUP($A75,'SegEnds_NonXtal_Prot#'!$A:$AL,22,FALSE)+7,1)</f>
        <v>G</v>
      </c>
      <c r="AC75" s="50" t="str">
        <f>MID(VLOOKUP($A75,Seqs!$A:$B,2,FALSE),VLOOKUP($A75,'SegEnds_NonXtal_Prot#'!$A:$AL,22,FALSE)+8,1)</f>
        <v>L</v>
      </c>
      <c r="AD75" s="50" t="str">
        <f>MID(VLOOKUP($A75,Seqs!$A:$B,2,FALSE),VLOOKUP($A75,'SegEnds_NonXtal_Prot#'!$A:$AL,22,FALSE)+9,1)</f>
        <v>P</v>
      </c>
      <c r="AE75" s="50" t="str">
        <f>MID(VLOOKUP($A75,Seqs!$A:$B,2,FALSE),VLOOKUP($A75,'SegEnds_NonXtal_Prot#'!$A:$AL,22,FALSE)+10,1)</f>
        <v>T</v>
      </c>
      <c r="AF75" s="28" t="str">
        <f>MID(VLOOKUP($A75,Seqs!$A:$B,2,FALSE),VLOOKUP($A75,'SegEnds_NonXtal_Prot#'!$A:$AL,28,FALSE)-4,1)</f>
        <v>T</v>
      </c>
      <c r="AG75" s="50" t="str">
        <f>MID(VLOOKUP($A75,Seqs!$A:$B,2,FALSE),VLOOKUP($A75,'SegEnds_NonXtal_Prot#'!$A:$AL,28,FALSE),1)</f>
        <v>P</v>
      </c>
    </row>
    <row r="76" spans="1:33" s="2" customFormat="1" x14ac:dyDescent="0.2">
      <c r="A76" s="2" t="s">
        <v>246</v>
      </c>
      <c r="B76" s="2" t="str">
        <f>LOWER(VLOOKUP(A76,Xtal_Templ!A:B,2,FALSE))</f>
        <v>agtr1_human</v>
      </c>
      <c r="C76" s="2" t="str">
        <f>VLOOKUP(A76,Classification!A:D,2,FALSE)</f>
        <v>A</v>
      </c>
      <c r="D76" s="2" t="str">
        <f>IF(ISERROR(MATCH(A76,'SegEnds_Xtal_Prot#'!B:B, 0)), "NoXtal", "Xtal")</f>
        <v>NoXtal</v>
      </c>
      <c r="G76" s="4"/>
      <c r="Q76" s="2" t="s">
        <v>9</v>
      </c>
      <c r="S76" s="4" t="s">
        <v>12</v>
      </c>
      <c r="U76" s="28" t="str">
        <f>MID(VLOOKUP($A76,Seqs!$A:$B,2,FALSE),VLOOKUP($A76,'SegEnds_NonXtal_Prot#'!A:AL,10,FALSE),1)</f>
        <v>D</v>
      </c>
      <c r="V76" s="50" t="str">
        <f>MID(VLOOKUP($A76,Seqs!$A:$B,2,FALSE),VLOOKUP($A76,'SegEnds_NonXtal_Prot#'!A:AL,10,FALSE)+6,1)</f>
        <v>T</v>
      </c>
      <c r="W76" s="50" t="str">
        <f>MID(VLOOKUP($A76,Seqs!$A:$B,2,FALSE),VLOOKUP($A76,'SegEnds_NonXtal_Prot#'!A:AL,10,FALSE)+7,1)</f>
        <v>L</v>
      </c>
      <c r="X76" s="50" t="str">
        <f>MID(VLOOKUP($A76,Seqs!$A:$B,2,FALSE),VLOOKUP($A76,'SegEnds_NonXtal_Prot#'!A:AL,10,FALSE)+8,1)</f>
        <v>P</v>
      </c>
      <c r="Y76" s="50" t="str">
        <f>MID(VLOOKUP($A76,Seqs!$A:$B,2,FALSE),VLOOKUP($A76,'SegEnds_NonXtal_Prot#'!A:AL,10,FALSE)+9,1)</f>
        <v>L</v>
      </c>
      <c r="Z76" s="50" t="str">
        <f>MID(VLOOKUP($A76,Seqs!$A:$B,2,FALSE),VLOOKUP($A76,'SegEnds_NonXtal_Prot#'!A:AL,10,FALSE)+10,1)</f>
        <v>W</v>
      </c>
      <c r="AA76" s="28" t="str">
        <f>MID(VLOOKUP($A76,Seqs!$A:$B,2,FALSE),VLOOKUP($A76,'SegEnds_NonXtal_Prot#'!$A:$AL,22,FALSE)+6,1)</f>
        <v>A</v>
      </c>
      <c r="AB76" s="50" t="str">
        <f>MID(VLOOKUP($A76,Seqs!$A:$B,2,FALSE),VLOOKUP($A76,'SegEnds_NonXtal_Prot#'!$A:$AL,22,FALSE)+7,1)</f>
        <v>G</v>
      </c>
      <c r="AC76" s="50" t="str">
        <f>MID(VLOOKUP($A76,Seqs!$A:$B,2,FALSE),VLOOKUP($A76,'SegEnds_NonXtal_Prot#'!$A:$AL,22,FALSE)+8,1)</f>
        <v>L</v>
      </c>
      <c r="AD76" s="50" t="str">
        <f>MID(VLOOKUP($A76,Seqs!$A:$B,2,FALSE),VLOOKUP($A76,'SegEnds_NonXtal_Prot#'!$A:$AL,22,FALSE)+9,1)</f>
        <v>P</v>
      </c>
      <c r="AE76" s="50" t="str">
        <f>MID(VLOOKUP($A76,Seqs!$A:$B,2,FALSE),VLOOKUP($A76,'SegEnds_NonXtal_Prot#'!$A:$AL,22,FALSE)+10,1)</f>
        <v>S</v>
      </c>
      <c r="AF76" s="28" t="str">
        <f>MID(VLOOKUP($A76,Seqs!$A:$B,2,FALSE),VLOOKUP($A76,'SegEnds_NonXtal_Prot#'!$A:$AL,28,FALSE)-4,1)</f>
        <v>T</v>
      </c>
      <c r="AG76" s="50" t="str">
        <f>MID(VLOOKUP($A76,Seqs!$A:$B,2,FALSE),VLOOKUP($A76,'SegEnds_NonXtal_Prot#'!$A:$AL,28,FALSE),1)</f>
        <v>P</v>
      </c>
    </row>
    <row r="77" spans="1:33" s="2" customFormat="1" x14ac:dyDescent="0.2">
      <c r="A77" s="2" t="s">
        <v>252</v>
      </c>
      <c r="B77" s="2" t="str">
        <f>LOWER(VLOOKUP(A77,Xtal_Templ!A:B,2,FALSE))</f>
        <v>agtr1_human</v>
      </c>
      <c r="C77" s="2" t="str">
        <f>VLOOKUP(A77,Classification!A:D,2,FALSE)</f>
        <v>A</v>
      </c>
      <c r="D77" s="2" t="str">
        <f>IF(ISERROR(MATCH(A77,'SegEnds_Xtal_Prot#'!B:B, 0)), "NoXtal", "Xtal")</f>
        <v>NoXtal</v>
      </c>
      <c r="G77" s="4"/>
      <c r="M77" s="2" t="s">
        <v>14</v>
      </c>
      <c r="Q77" s="2" t="s">
        <v>9</v>
      </c>
      <c r="S77" s="4" t="s">
        <v>12</v>
      </c>
      <c r="U77" s="28" t="str">
        <f>MID(VLOOKUP($A77,Seqs!$A:$B,2,FALSE),VLOOKUP($A77,'SegEnds_NonXtal_Prot#'!A:AL,10,FALSE),1)</f>
        <v>Y</v>
      </c>
      <c r="V77" s="50" t="str">
        <f>MID(VLOOKUP($A77,Seqs!$A:$B,2,FALSE),VLOOKUP($A77,'SegEnds_NonXtal_Prot#'!A:AL,10,FALSE)+6,1)</f>
        <v>I</v>
      </c>
      <c r="W77" s="50" t="str">
        <f>MID(VLOOKUP($A77,Seqs!$A:$B,2,FALSE),VLOOKUP($A77,'SegEnds_NonXtal_Prot#'!A:AL,10,FALSE)+7,1)</f>
        <v>L</v>
      </c>
      <c r="X77" s="50" t="str">
        <f>MID(VLOOKUP($A77,Seqs!$A:$B,2,FALSE),VLOOKUP($A77,'SegEnds_NonXtal_Prot#'!A:AL,10,FALSE)+8,1)</f>
        <v>P</v>
      </c>
      <c r="Y77" s="50" t="str">
        <f>MID(VLOOKUP($A77,Seqs!$A:$B,2,FALSE),VLOOKUP($A77,'SegEnds_NonXtal_Prot#'!A:AL,10,FALSE)+9,1)</f>
        <v>F</v>
      </c>
      <c r="Z77" s="50" t="str">
        <f>MID(VLOOKUP($A77,Seqs!$A:$B,2,FALSE),VLOOKUP($A77,'SegEnds_NonXtal_Prot#'!A:AL,10,FALSE)+10,1)</f>
        <v>M</v>
      </c>
      <c r="AA77" s="28" t="str">
        <f>MID(VLOOKUP($A77,Seqs!$A:$B,2,FALSE),VLOOKUP($A77,'SegEnds_NonXtal_Prot#'!$A:$AL,22,FALSE)+6,1)</f>
        <v>L</v>
      </c>
      <c r="AB77" s="50" t="str">
        <f>MID(VLOOKUP($A77,Seqs!$A:$B,2,FALSE),VLOOKUP($A77,'SegEnds_NonXtal_Prot#'!$A:$AL,22,FALSE)+7,1)</f>
        <v>S</v>
      </c>
      <c r="AC77" s="50" t="str">
        <f>MID(VLOOKUP($A77,Seqs!$A:$B,2,FALSE),VLOOKUP($A77,'SegEnds_NonXtal_Prot#'!$A:$AL,22,FALSE)+8,1)</f>
        <v>I</v>
      </c>
      <c r="AD77" s="50" t="str">
        <f>MID(VLOOKUP($A77,Seqs!$A:$B,2,FALSE),VLOOKUP($A77,'SegEnds_NonXtal_Prot#'!$A:$AL,22,FALSE)+9,1)</f>
        <v>P</v>
      </c>
      <c r="AE77" s="50" t="str">
        <f>MID(VLOOKUP($A77,Seqs!$A:$B,2,FALSE),VLOOKUP($A77,'SegEnds_NonXtal_Prot#'!$A:$AL,22,FALSE)+10,1)</f>
        <v>Y</v>
      </c>
      <c r="AF77" s="28" t="str">
        <f>MID(VLOOKUP($A77,Seqs!$A:$B,2,FALSE),VLOOKUP($A77,'SegEnds_NonXtal_Prot#'!$A:$AL,28,FALSE)-4,1)</f>
        <v>G</v>
      </c>
      <c r="AG77" s="50" t="str">
        <f>MID(VLOOKUP($A77,Seqs!$A:$B,2,FALSE),VLOOKUP($A77,'SegEnds_NonXtal_Prot#'!$A:$AL,28,FALSE),1)</f>
        <v>P</v>
      </c>
    </row>
    <row r="78" spans="1:33" s="2" customFormat="1" x14ac:dyDescent="0.2">
      <c r="A78" s="2" t="s">
        <v>283</v>
      </c>
      <c r="B78" s="2" t="str">
        <f>LOWER(VLOOKUP(A78,Xtal_Templ!A:B,2,FALSE))</f>
        <v>agtr1_human</v>
      </c>
      <c r="C78" s="2" t="str">
        <f>VLOOKUP(A78,Classification!A:D,2,FALSE)</f>
        <v>A</v>
      </c>
      <c r="D78" s="2" t="str">
        <f>IF(ISERROR(MATCH(A78,'SegEnds_Xtal_Prot#'!B:B, 0)), "NoXtal", "Xtal")</f>
        <v>NoXtal</v>
      </c>
      <c r="G78" s="4"/>
      <c r="S78" s="4" t="s">
        <v>12</v>
      </c>
      <c r="U78" s="28" t="str">
        <f>MID(VLOOKUP($A78,Seqs!$A:$B,2,FALSE),VLOOKUP($A78,'SegEnds_NonXtal_Prot#'!A:AL,10,FALSE),1)</f>
        <v>N</v>
      </c>
      <c r="V78" s="50" t="str">
        <f>MID(VLOOKUP($A78,Seqs!$A:$B,2,FALSE),VLOOKUP($A78,'SegEnds_NonXtal_Prot#'!A:AL,10,FALSE)+6,1)</f>
        <v>Y</v>
      </c>
      <c r="W78" s="50" t="str">
        <f>MID(VLOOKUP($A78,Seqs!$A:$B,2,FALSE),VLOOKUP($A78,'SegEnds_NonXtal_Prot#'!A:AL,10,FALSE)+7,1)</f>
        <v>T</v>
      </c>
      <c r="X78" s="50" t="str">
        <f>MID(VLOOKUP($A78,Seqs!$A:$B,2,FALSE),VLOOKUP($A78,'SegEnds_NonXtal_Prot#'!A:AL,10,FALSE)+8,1)</f>
        <v>G</v>
      </c>
      <c r="Y78" s="50" t="str">
        <f>MID(VLOOKUP($A78,Seqs!$A:$B,2,FALSE),VLOOKUP($A78,'SegEnds_NonXtal_Prot#'!A:AL,10,FALSE)+9,1)</f>
        <v>I</v>
      </c>
      <c r="Z78" s="50" t="str">
        <f>MID(VLOOKUP($A78,Seqs!$A:$B,2,FALSE),VLOOKUP($A78,'SegEnds_NonXtal_Prot#'!A:AL,10,FALSE)+10,1)</f>
        <v>L</v>
      </c>
      <c r="AA78" s="28" t="str">
        <f>MID(VLOOKUP($A78,Seqs!$A:$B,2,FALSE),VLOOKUP($A78,'SegEnds_NonXtal_Prot#'!$A:$AL,22,FALSE)+6,1)</f>
        <v>A</v>
      </c>
      <c r="AB78" s="50" t="str">
        <f>MID(VLOOKUP($A78,Seqs!$A:$B,2,FALSE),VLOOKUP($A78,'SegEnds_NonXtal_Prot#'!$A:$AL,22,FALSE)+7,1)</f>
        <v>G</v>
      </c>
      <c r="AC78" s="50" t="str">
        <f>MID(VLOOKUP($A78,Seqs!$A:$B,2,FALSE),VLOOKUP($A78,'SegEnds_NonXtal_Prot#'!$A:$AL,22,FALSE)+8,1)</f>
        <v>C</v>
      </c>
      <c r="AD78" s="50" t="str">
        <f>MID(VLOOKUP($A78,Seqs!$A:$B,2,FALSE),VLOOKUP($A78,'SegEnds_NonXtal_Prot#'!$A:$AL,22,FALSE)+9,1)</f>
        <v>F</v>
      </c>
      <c r="AE78" s="50" t="str">
        <f>MID(VLOOKUP($A78,Seqs!$A:$B,2,FALSE),VLOOKUP($A78,'SegEnds_NonXtal_Prot#'!$A:$AL,22,FALSE)+10,1)</f>
        <v>P</v>
      </c>
      <c r="AF78" s="28" t="str">
        <f>MID(VLOOKUP($A78,Seqs!$A:$B,2,FALSE),VLOOKUP($A78,'SegEnds_NonXtal_Prot#'!$A:$AL,28,FALSE)-4,1)</f>
        <v>L</v>
      </c>
      <c r="AG78" s="50" t="str">
        <f>MID(VLOOKUP($A78,Seqs!$A:$B,2,FALSE),VLOOKUP($A78,'SegEnds_NonXtal_Prot#'!$A:$AL,28,FALSE),1)</f>
        <v>A</v>
      </c>
    </row>
    <row r="79" spans="1:33" s="2" customFormat="1" x14ac:dyDescent="0.2">
      <c r="A79" s="2" t="s">
        <v>292</v>
      </c>
      <c r="B79" s="2" t="str">
        <f>LOWER(VLOOKUP(A79,Xtal_Templ!A:B,2,FALSE))</f>
        <v>agtr1_human</v>
      </c>
      <c r="C79" s="2" t="str">
        <f>VLOOKUP(A79,Classification!A:D,2,FALSE)</f>
        <v>A</v>
      </c>
      <c r="D79" s="2" t="str">
        <f>IF(ISERROR(MATCH(A79,'SegEnds_Xtal_Prot#'!B:B, 0)), "NoXtal", "Xtal")</f>
        <v>NoXtal</v>
      </c>
      <c r="G79" s="4"/>
      <c r="M79" s="2" t="s">
        <v>14</v>
      </c>
      <c r="Q79" s="2" t="s">
        <v>9</v>
      </c>
      <c r="S79" s="4" t="s">
        <v>12</v>
      </c>
      <c r="U79" s="28" t="str">
        <f>MID(VLOOKUP($A79,Seqs!$A:$B,2,FALSE),VLOOKUP($A79,'SegEnds_NonXtal_Prot#'!A:AL,10,FALSE),1)</f>
        <v>D</v>
      </c>
      <c r="V79" s="50" t="str">
        <f>MID(VLOOKUP($A79,Seqs!$A:$B,2,FALSE),VLOOKUP($A79,'SegEnds_NonXtal_Prot#'!A:AL,10,FALSE)+6,1)</f>
        <v>T</v>
      </c>
      <c r="W79" s="50" t="str">
        <f>MID(VLOOKUP($A79,Seqs!$A:$B,2,FALSE),VLOOKUP($A79,'SegEnds_NonXtal_Prot#'!A:AL,10,FALSE)+7,1)</f>
        <v>A</v>
      </c>
      <c r="X79" s="50" t="str">
        <f>MID(VLOOKUP($A79,Seqs!$A:$B,2,FALSE),VLOOKUP($A79,'SegEnds_NonXtal_Prot#'!A:AL,10,FALSE)+8,1)</f>
        <v>P</v>
      </c>
      <c r="Y79" s="50" t="str">
        <f>MID(VLOOKUP($A79,Seqs!$A:$B,2,FALSE),VLOOKUP($A79,'SegEnds_NonXtal_Prot#'!A:AL,10,FALSE)+9,1)</f>
        <v>F</v>
      </c>
      <c r="Z79" s="50" t="str">
        <f>MID(VLOOKUP($A79,Seqs!$A:$B,2,FALSE),VLOOKUP($A79,'SegEnds_NonXtal_Prot#'!A:AL,10,FALSE)+10,1)</f>
        <v>F</v>
      </c>
      <c r="AA79" s="28" t="str">
        <f>MID(VLOOKUP($A79,Seqs!$A:$B,2,FALSE),VLOOKUP($A79,'SegEnds_NonXtal_Prot#'!$A:$AL,22,FALSE)+6,1)</f>
        <v>L</v>
      </c>
      <c r="AB79" s="50" t="str">
        <f>MID(VLOOKUP($A79,Seqs!$A:$B,2,FALSE),VLOOKUP($A79,'SegEnds_NonXtal_Prot#'!$A:$AL,22,FALSE)+7,1)</f>
        <v>A</v>
      </c>
      <c r="AC79" s="50" t="str">
        <f>MID(VLOOKUP($A79,Seqs!$A:$B,2,FALSE),VLOOKUP($A79,'SegEnds_NonXtal_Prot#'!$A:$AL,22,FALSE)+8,1)</f>
        <v>T</v>
      </c>
      <c r="AD79" s="50" t="str">
        <f>MID(VLOOKUP($A79,Seqs!$A:$B,2,FALSE),VLOOKUP($A79,'SegEnds_NonXtal_Prot#'!$A:$AL,22,FALSE)+9,1)</f>
        <v>P</v>
      </c>
      <c r="AE79" s="50" t="str">
        <f>MID(VLOOKUP($A79,Seqs!$A:$B,2,FALSE),VLOOKUP($A79,'SegEnds_NonXtal_Prot#'!$A:$AL,22,FALSE)+10,1)</f>
        <v>V</v>
      </c>
      <c r="AF79" s="28" t="str">
        <f>MID(VLOOKUP($A79,Seqs!$A:$B,2,FALSE),VLOOKUP($A79,'SegEnds_NonXtal_Prot#'!$A:$AL,28,FALSE)-4,1)</f>
        <v>G</v>
      </c>
      <c r="AG79" s="50" t="str">
        <f>MID(VLOOKUP($A79,Seqs!$A:$B,2,FALSE),VLOOKUP($A79,'SegEnds_NonXtal_Prot#'!$A:$AL,28,FALSE),1)</f>
        <v>P</v>
      </c>
    </row>
    <row r="80" spans="1:33" s="2" customFormat="1" x14ac:dyDescent="0.2">
      <c r="A80" s="2" t="s">
        <v>304</v>
      </c>
      <c r="B80" s="2" t="str">
        <f>LOWER(VLOOKUP(A80,Xtal_Templ!A:B,2,FALSE))</f>
        <v>agtr1_human</v>
      </c>
      <c r="C80" s="2" t="str">
        <f>VLOOKUP(A80,Classification!A:D,2,FALSE)</f>
        <v>A</v>
      </c>
      <c r="D80" s="2" t="str">
        <f>IF(ISERROR(MATCH(A80,'SegEnds_Xtal_Prot#'!B:B, 0)), "NoXtal", "Xtal")</f>
        <v>NoXtal</v>
      </c>
      <c r="G80" s="4"/>
      <c r="S80" s="4" t="s">
        <v>12</v>
      </c>
      <c r="U80" s="28" t="str">
        <f>MID(VLOOKUP($A80,Seqs!$A:$B,2,FALSE),VLOOKUP($A80,'SegEnds_NonXtal_Prot#'!A:AL,10,FALSE),1)</f>
        <v>D</v>
      </c>
      <c r="V80" s="50" t="str">
        <f>MID(VLOOKUP($A80,Seqs!$A:$B,2,FALSE),VLOOKUP($A80,'SegEnds_NonXtal_Prot#'!A:AL,10,FALSE)+6,1)</f>
        <v>C</v>
      </c>
      <c r="W80" s="50" t="str">
        <f>MID(VLOOKUP($A80,Seqs!$A:$B,2,FALSE),VLOOKUP($A80,'SegEnds_NonXtal_Prot#'!A:AL,10,FALSE)+7,1)</f>
        <v>R</v>
      </c>
      <c r="X80" s="50" t="str">
        <f>MID(VLOOKUP($A80,Seqs!$A:$B,2,FALSE),VLOOKUP($A80,'SegEnds_NonXtal_Prot#'!A:AL,10,FALSE)+8,1)</f>
        <v>V</v>
      </c>
      <c r="Y80" s="50" t="str">
        <f>MID(VLOOKUP($A80,Seqs!$A:$B,2,FALSE),VLOOKUP($A80,'SegEnds_NonXtal_Prot#'!A:AL,10,FALSE)+9,1)</f>
        <v>G</v>
      </c>
      <c r="Z80" s="50" t="str">
        <f>MID(VLOOKUP($A80,Seqs!$A:$B,2,FALSE),VLOOKUP($A80,'SegEnds_NonXtal_Prot#'!A:AL,10,FALSE)+10,1)</f>
        <v>F</v>
      </c>
      <c r="AA80" s="28" t="str">
        <f>MID(VLOOKUP($A80,Seqs!$A:$B,2,FALSE),VLOOKUP($A80,'SegEnds_NonXtal_Prot#'!$A:$AL,22,FALSE)+6,1)</f>
        <v>A</v>
      </c>
      <c r="AB80" s="50" t="str">
        <f>MID(VLOOKUP($A80,Seqs!$A:$B,2,FALSE),VLOOKUP($A80,'SegEnds_NonXtal_Prot#'!$A:$AL,22,FALSE)+7,1)</f>
        <v>V</v>
      </c>
      <c r="AC80" s="50" t="str">
        <f>MID(VLOOKUP($A80,Seqs!$A:$B,2,FALSE),VLOOKUP($A80,'SegEnds_NonXtal_Prot#'!$A:$AL,22,FALSE)+8,1)</f>
        <v>P</v>
      </c>
      <c r="AD80" s="50" t="str">
        <f>MID(VLOOKUP($A80,Seqs!$A:$B,2,FALSE),VLOOKUP($A80,'SegEnds_NonXtal_Prot#'!$A:$AL,22,FALSE)+9,1)</f>
        <v>L</v>
      </c>
      <c r="AE80" s="50" t="str">
        <f>MID(VLOOKUP($A80,Seqs!$A:$B,2,FALSE),VLOOKUP($A80,'SegEnds_NonXtal_Prot#'!$A:$AL,22,FALSE)+10,1)</f>
        <v>P</v>
      </c>
      <c r="AF80" s="28" t="str">
        <f>MID(VLOOKUP($A80,Seqs!$A:$B,2,FALSE),VLOOKUP($A80,'SegEnds_NonXtal_Prot#'!$A:$AL,28,FALSE)-4,1)</f>
        <v>L</v>
      </c>
      <c r="AG80" s="50" t="str">
        <f>MID(VLOOKUP($A80,Seqs!$A:$B,2,FALSE),VLOOKUP($A80,'SegEnds_NonXtal_Prot#'!$A:$AL,28,FALSE),1)</f>
        <v>R</v>
      </c>
    </row>
    <row r="81" spans="1:33" s="2" customFormat="1" x14ac:dyDescent="0.2">
      <c r="A81" s="2" t="s">
        <v>306</v>
      </c>
      <c r="B81" s="2" t="str">
        <f>LOWER(VLOOKUP(A81,Xtal_Templ!A:B,2,FALSE))</f>
        <v>agtr1_human</v>
      </c>
      <c r="C81" s="2" t="str">
        <f>VLOOKUP(A81,Classification!A:D,2,FALSE)</f>
        <v>A</v>
      </c>
      <c r="D81" s="2" t="str">
        <f>IF(ISERROR(MATCH(A81,'SegEnds_Xtal_Prot#'!B:B, 0)), "NoXtal", "Xtal")</f>
        <v>NoXtal</v>
      </c>
      <c r="G81" s="4"/>
      <c r="S81" s="4" t="s">
        <v>12</v>
      </c>
      <c r="U81" s="28" t="str">
        <f>MID(VLOOKUP($A81,Seqs!$A:$B,2,FALSE),VLOOKUP($A81,'SegEnds_NonXtal_Prot#'!A:AL,10,FALSE),1)</f>
        <v>D</v>
      </c>
      <c r="V81" s="50" t="str">
        <f>MID(VLOOKUP($A81,Seqs!$A:$B,2,FALSE),VLOOKUP($A81,'SegEnds_NonXtal_Prot#'!A:AL,10,FALSE)+6,1)</f>
        <v>F</v>
      </c>
      <c r="W81" s="50" t="str">
        <f>MID(VLOOKUP($A81,Seqs!$A:$B,2,FALSE),VLOOKUP($A81,'SegEnds_NonXtal_Prot#'!A:AL,10,FALSE)+7,1)</f>
        <v>Q</v>
      </c>
      <c r="X81" s="50" t="str">
        <f>MID(VLOOKUP($A81,Seqs!$A:$B,2,FALSE),VLOOKUP($A81,'SegEnds_NonXtal_Prot#'!A:AL,10,FALSE)+8,1)</f>
        <v>I</v>
      </c>
      <c r="Y81" s="50" t="str">
        <f>MID(VLOOKUP($A81,Seqs!$A:$B,2,FALSE),VLOOKUP($A81,'SegEnds_NonXtal_Prot#'!A:AL,10,FALSE)+9,1)</f>
        <v>I</v>
      </c>
      <c r="Z81" s="50" t="str">
        <f>MID(VLOOKUP($A81,Seqs!$A:$B,2,FALSE),VLOOKUP($A81,'SegEnds_NonXtal_Prot#'!A:AL,10,FALSE)+10,1)</f>
        <v>N</v>
      </c>
      <c r="AA81" s="28" t="str">
        <f>MID(VLOOKUP($A81,Seqs!$A:$B,2,FALSE),VLOOKUP($A81,'SegEnds_NonXtal_Prot#'!$A:$AL,22,FALSE)+6,1)</f>
        <v>L</v>
      </c>
      <c r="AB81" s="50" t="str">
        <f>MID(VLOOKUP($A81,Seqs!$A:$B,2,FALSE),VLOOKUP($A81,'SegEnds_NonXtal_Prot#'!$A:$AL,22,FALSE)+7,1)</f>
        <v>S</v>
      </c>
      <c r="AC81" s="50" t="str">
        <f>MID(VLOOKUP($A81,Seqs!$A:$B,2,FALSE),VLOOKUP($A81,'SegEnds_NonXtal_Prot#'!$A:$AL,22,FALSE)+8,1)</f>
        <v>I</v>
      </c>
      <c r="AD81" s="50" t="str">
        <f>MID(VLOOKUP($A81,Seqs!$A:$B,2,FALSE),VLOOKUP($A81,'SegEnds_NonXtal_Prot#'!$A:$AL,22,FALSE)+9,1)</f>
        <v>L</v>
      </c>
      <c r="AE81" s="50" t="str">
        <f>MID(VLOOKUP($A81,Seqs!$A:$B,2,FALSE),VLOOKUP($A81,'SegEnds_NonXtal_Prot#'!$A:$AL,22,FALSE)+10,1)</f>
        <v>E</v>
      </c>
      <c r="AF81" s="28" t="str">
        <f>MID(VLOOKUP($A81,Seqs!$A:$B,2,FALSE),VLOOKUP($A81,'SegEnds_NonXtal_Prot#'!$A:$AL,28,FALSE)-4,1)</f>
        <v>I</v>
      </c>
      <c r="AG81" s="50" t="str">
        <f>MID(VLOOKUP($A81,Seqs!$A:$B,2,FALSE),VLOOKUP($A81,'SegEnds_NonXtal_Prot#'!$A:$AL,28,FALSE),1)</f>
        <v>M</v>
      </c>
    </row>
    <row r="82" spans="1:33" s="2" customFormat="1" x14ac:dyDescent="0.2">
      <c r="A82" s="2" t="s">
        <v>331</v>
      </c>
      <c r="B82" s="2" t="str">
        <f>LOWER(VLOOKUP(A82,Xtal_Templ!A:B,2,FALSE))</f>
        <v>agtr1_human</v>
      </c>
      <c r="C82" s="2" t="str">
        <f>VLOOKUP(A82,Classification!A:D,2,FALSE)</f>
        <v>A</v>
      </c>
      <c r="D82" s="2" t="str">
        <f>IF(ISERROR(MATCH(A82,'SegEnds_Xtal_Prot#'!B:B, 0)), "NoXtal", "Xtal")</f>
        <v>NoXtal</v>
      </c>
      <c r="G82" s="4"/>
      <c r="Q82" s="2" t="s">
        <v>9</v>
      </c>
      <c r="S82" s="4" t="s">
        <v>12</v>
      </c>
      <c r="U82" s="28" t="str">
        <f>MID(VLOOKUP($A82,Seqs!$A:$B,2,FALSE),VLOOKUP($A82,'SegEnds_NonXtal_Prot#'!A:AL,10,FALSE),1)</f>
        <v>D</v>
      </c>
      <c r="V82" s="50" t="str">
        <f>MID(VLOOKUP($A82,Seqs!$A:$B,2,FALSE),VLOOKUP($A82,'SegEnds_NonXtal_Prot#'!A:AL,10,FALSE)+6,1)</f>
        <v>S</v>
      </c>
      <c r="W82" s="50" t="str">
        <f>MID(VLOOKUP($A82,Seqs!$A:$B,2,FALSE),VLOOKUP($A82,'SegEnds_NonXtal_Prot#'!A:AL,10,FALSE)+7,1)</f>
        <v>L</v>
      </c>
      <c r="X82" s="50" t="str">
        <f>MID(VLOOKUP($A82,Seqs!$A:$B,2,FALSE),VLOOKUP($A82,'SegEnds_NonXtal_Prot#'!A:AL,10,FALSE)+8,1)</f>
        <v>P</v>
      </c>
      <c r="Y82" s="50" t="str">
        <f>MID(VLOOKUP($A82,Seqs!$A:$B,2,FALSE),VLOOKUP($A82,'SegEnds_NonXtal_Prot#'!A:AL,10,FALSE)+9,1)</f>
        <v>F</v>
      </c>
      <c r="Z82" s="50" t="str">
        <f>MID(VLOOKUP($A82,Seqs!$A:$B,2,FALSE),VLOOKUP($A82,'SegEnds_NonXtal_Prot#'!A:AL,10,FALSE)+10,1)</f>
        <v>W</v>
      </c>
      <c r="AA82" s="28" t="str">
        <f>MID(VLOOKUP($A82,Seqs!$A:$B,2,FALSE),VLOOKUP($A82,'SegEnds_NonXtal_Prot#'!$A:$AL,22,FALSE)+6,1)</f>
        <v>T</v>
      </c>
      <c r="AB82" s="50" t="str">
        <f>MID(VLOOKUP($A82,Seqs!$A:$B,2,FALSE),VLOOKUP($A82,'SegEnds_NonXtal_Prot#'!$A:$AL,22,FALSE)+7,1)</f>
        <v>S</v>
      </c>
      <c r="AC82" s="50" t="str">
        <f>MID(VLOOKUP($A82,Seqs!$A:$B,2,FALSE),VLOOKUP($A82,'SegEnds_NonXtal_Prot#'!$A:$AL,22,FALSE)+8,1)</f>
        <v>I</v>
      </c>
      <c r="AD82" s="50" t="str">
        <f>MID(VLOOKUP($A82,Seqs!$A:$B,2,FALSE),VLOOKUP($A82,'SegEnds_NonXtal_Prot#'!$A:$AL,22,FALSE)+9,1)</f>
        <v>Y</v>
      </c>
      <c r="AE82" s="50" t="str">
        <f>MID(VLOOKUP($A82,Seqs!$A:$B,2,FALSE),VLOOKUP($A82,'SegEnds_NonXtal_Prot#'!$A:$AL,22,FALSE)+10,1)</f>
        <v>F</v>
      </c>
      <c r="AF82" s="28" t="str">
        <f>MID(VLOOKUP($A82,Seqs!$A:$B,2,FALSE),VLOOKUP($A82,'SegEnds_NonXtal_Prot#'!$A:$AL,28,FALSE)-4,1)</f>
        <v>G</v>
      </c>
      <c r="AG82" s="50" t="str">
        <f>MID(VLOOKUP($A82,Seqs!$A:$B,2,FALSE),VLOOKUP($A82,'SegEnds_NonXtal_Prot#'!$A:$AL,28,FALSE),1)</f>
        <v>P</v>
      </c>
    </row>
    <row r="83" spans="1:33" s="2" customFormat="1" x14ac:dyDescent="0.2">
      <c r="A83" s="2" t="s">
        <v>373</v>
      </c>
      <c r="B83" s="2" t="str">
        <f>LOWER(VLOOKUP(A83,Xtal_Templ!A:B,2,FALSE))</f>
        <v>agtr1_human</v>
      </c>
      <c r="C83" s="2" t="str">
        <f>VLOOKUP(A83,Classification!A:D,2,FALSE)</f>
        <v>A</v>
      </c>
      <c r="D83" s="2" t="str">
        <f>IF(ISERROR(MATCH(A83,'SegEnds_Xtal_Prot#'!B:B, 0)), "NoXtal", "Xtal")</f>
        <v>NoXtal</v>
      </c>
      <c r="G83" s="4"/>
      <c r="M83" s="2" t="s">
        <v>14</v>
      </c>
      <c r="Q83" s="2" t="s">
        <v>9</v>
      </c>
      <c r="S83" s="4" t="s">
        <v>12</v>
      </c>
      <c r="U83" s="28" t="str">
        <f>MID(VLOOKUP($A83,Seqs!$A:$B,2,FALSE),VLOOKUP($A83,'SegEnds_NonXtal_Prot#'!A:AL,10,FALSE),1)</f>
        <v>D</v>
      </c>
      <c r="V83" s="50" t="str">
        <f>MID(VLOOKUP($A83,Seqs!$A:$B,2,FALSE),VLOOKUP($A83,'SegEnds_NonXtal_Prot#'!A:AL,10,FALSE)+6,1)</f>
        <v>T</v>
      </c>
      <c r="W83" s="50" t="str">
        <f>MID(VLOOKUP($A83,Seqs!$A:$B,2,FALSE),VLOOKUP($A83,'SegEnds_NonXtal_Prot#'!A:AL,10,FALSE)+7,1)</f>
        <v>L</v>
      </c>
      <c r="X83" s="50" t="str">
        <f>MID(VLOOKUP($A83,Seqs!$A:$B,2,FALSE),VLOOKUP($A83,'SegEnds_NonXtal_Prot#'!A:AL,10,FALSE)+8,1)</f>
        <v>P</v>
      </c>
      <c r="Y83" s="50" t="str">
        <f>MID(VLOOKUP($A83,Seqs!$A:$B,2,FALSE),VLOOKUP($A83,'SegEnds_NonXtal_Prot#'!A:AL,10,FALSE)+9,1)</f>
        <v>F</v>
      </c>
      <c r="Z83" s="50" t="str">
        <f>MID(VLOOKUP($A83,Seqs!$A:$B,2,FALSE),VLOOKUP($A83,'SegEnds_NonXtal_Prot#'!A:AL,10,FALSE)+10,1)</f>
        <v>W</v>
      </c>
      <c r="AA83" s="28" t="str">
        <f>MID(VLOOKUP($A83,Seqs!$A:$B,2,FALSE),VLOOKUP($A83,'SegEnds_NonXtal_Prot#'!$A:$AL,22,FALSE)+6,1)</f>
        <v>A</v>
      </c>
      <c r="AB83" s="50" t="str">
        <f>MID(VLOOKUP($A83,Seqs!$A:$B,2,FALSE),VLOOKUP($A83,'SegEnds_NonXtal_Prot#'!$A:$AL,22,FALSE)+7,1)</f>
        <v>S</v>
      </c>
      <c r="AC83" s="50" t="str">
        <f>MID(VLOOKUP($A83,Seqs!$A:$B,2,FALSE),VLOOKUP($A83,'SegEnds_NonXtal_Prot#'!$A:$AL,22,FALSE)+8,1)</f>
        <v>L</v>
      </c>
      <c r="AD83" s="50" t="str">
        <f>MID(VLOOKUP($A83,Seqs!$A:$B,2,FALSE),VLOOKUP($A83,'SegEnds_NonXtal_Prot#'!$A:$AL,22,FALSE)+9,1)</f>
        <v>P</v>
      </c>
      <c r="AE83" s="50" t="str">
        <f>MID(VLOOKUP($A83,Seqs!$A:$B,2,FALSE),VLOOKUP($A83,'SegEnds_NonXtal_Prot#'!$A:$AL,22,FALSE)+10,1)</f>
        <v>S</v>
      </c>
      <c r="AF83" s="28" t="str">
        <f>MID(VLOOKUP($A83,Seqs!$A:$B,2,FALSE),VLOOKUP($A83,'SegEnds_NonXtal_Prot#'!$A:$AL,28,FALSE)-4,1)</f>
        <v>G</v>
      </c>
      <c r="AG83" s="50" t="str">
        <f>MID(VLOOKUP($A83,Seqs!$A:$B,2,FALSE),VLOOKUP($A83,'SegEnds_NonXtal_Prot#'!$A:$AL,28,FALSE),1)</f>
        <v>P</v>
      </c>
    </row>
    <row r="84" spans="1:33" s="2" customFormat="1" x14ac:dyDescent="0.2">
      <c r="A84" s="2" t="s">
        <v>374</v>
      </c>
      <c r="B84" s="2" t="str">
        <f>LOWER(VLOOKUP(A84,Xtal_Templ!A:B,2,FALSE))</f>
        <v>agtr1_human</v>
      </c>
      <c r="C84" s="2" t="str">
        <f>VLOOKUP(A84,Classification!A:D,2,FALSE)</f>
        <v>A</v>
      </c>
      <c r="D84" s="2" t="str">
        <f>IF(ISERROR(MATCH(A84,'SegEnds_Xtal_Prot#'!B:B, 0)), "NoXtal", "Xtal")</f>
        <v>NoXtal</v>
      </c>
      <c r="G84" s="4"/>
      <c r="M84" s="2" t="s">
        <v>14</v>
      </c>
      <c r="Q84" s="2" t="s">
        <v>9</v>
      </c>
      <c r="S84" s="4" t="s">
        <v>12</v>
      </c>
      <c r="U84" s="28" t="str">
        <f>MID(VLOOKUP($A84,Seqs!$A:$B,2,FALSE),VLOOKUP($A84,'SegEnds_NonXtal_Prot#'!A:AL,10,FALSE),1)</f>
        <v>D</v>
      </c>
      <c r="V84" s="50" t="str">
        <f>MID(VLOOKUP($A84,Seqs!$A:$B,2,FALSE),VLOOKUP($A84,'SegEnds_NonXtal_Prot#'!A:AL,10,FALSE)+6,1)</f>
        <v>T</v>
      </c>
      <c r="W84" s="50" t="str">
        <f>MID(VLOOKUP($A84,Seqs!$A:$B,2,FALSE),VLOOKUP($A84,'SegEnds_NonXtal_Prot#'!A:AL,10,FALSE)+7,1)</f>
        <v>L</v>
      </c>
      <c r="X84" s="50" t="str">
        <f>MID(VLOOKUP($A84,Seqs!$A:$B,2,FALSE),VLOOKUP($A84,'SegEnds_NonXtal_Prot#'!A:AL,10,FALSE)+8,1)</f>
        <v>P</v>
      </c>
      <c r="Y84" s="50" t="str">
        <f>MID(VLOOKUP($A84,Seqs!$A:$B,2,FALSE),VLOOKUP($A84,'SegEnds_NonXtal_Prot#'!A:AL,10,FALSE)+9,1)</f>
        <v>F</v>
      </c>
      <c r="Z84" s="50" t="str">
        <f>MID(VLOOKUP($A84,Seqs!$A:$B,2,FALSE),VLOOKUP($A84,'SegEnds_NonXtal_Prot#'!A:AL,10,FALSE)+10,1)</f>
        <v>W</v>
      </c>
      <c r="AA84" s="28" t="str">
        <f>MID(VLOOKUP($A84,Seqs!$A:$B,2,FALSE),VLOOKUP($A84,'SegEnds_NonXtal_Prot#'!$A:$AL,22,FALSE)+6,1)</f>
        <v>V</v>
      </c>
      <c r="AB84" s="50" t="str">
        <f>MID(VLOOKUP($A84,Seqs!$A:$B,2,FALSE),VLOOKUP($A84,'SegEnds_NonXtal_Prot#'!$A:$AL,22,FALSE)+7,1)</f>
        <v>T</v>
      </c>
      <c r="AC84" s="50" t="str">
        <f>MID(VLOOKUP($A84,Seqs!$A:$B,2,FALSE),VLOOKUP($A84,'SegEnds_NonXtal_Prot#'!$A:$AL,22,FALSE)+8,1)</f>
        <v>V</v>
      </c>
      <c r="AD84" s="50" t="str">
        <f>MID(VLOOKUP($A84,Seqs!$A:$B,2,FALSE),VLOOKUP($A84,'SegEnds_NonXtal_Prot#'!$A:$AL,22,FALSE)+9,1)</f>
        <v>P</v>
      </c>
      <c r="AE84" s="50" t="str">
        <f>MID(VLOOKUP($A84,Seqs!$A:$B,2,FALSE),VLOOKUP($A84,'SegEnds_NonXtal_Prot#'!$A:$AL,22,FALSE)+10,1)</f>
        <v>T</v>
      </c>
      <c r="AF84" s="28" t="str">
        <f>MID(VLOOKUP($A84,Seqs!$A:$B,2,FALSE),VLOOKUP($A84,'SegEnds_NonXtal_Prot#'!$A:$AL,28,FALSE)-4,1)</f>
        <v>A</v>
      </c>
      <c r="AG84" s="50" t="str">
        <f>MID(VLOOKUP($A84,Seqs!$A:$B,2,FALSE),VLOOKUP($A84,'SegEnds_NonXtal_Prot#'!$A:$AL,28,FALSE),1)</f>
        <v>P</v>
      </c>
    </row>
    <row r="85" spans="1:33" s="2" customFormat="1" x14ac:dyDescent="0.2">
      <c r="A85" s="2" t="s">
        <v>170</v>
      </c>
      <c r="B85" s="2" t="str">
        <f>LOWER(VLOOKUP(A85,Xtal_Templ!A:B,2,FALSE))</f>
        <v>ccr2_human</v>
      </c>
      <c r="C85" s="2" t="str">
        <f>VLOOKUP(A85,Classification!A:D,2,FALSE)</f>
        <v>A</v>
      </c>
      <c r="D85" s="2" t="str">
        <f>IF(ISERROR(MATCH(A85,'SegEnds_Xtal_Prot#'!B:B, 0)), "NoXtal", "Xtal")</f>
        <v>Xtal</v>
      </c>
      <c r="G85" s="4"/>
      <c r="M85" s="2" t="s">
        <v>14</v>
      </c>
      <c r="Q85" s="2" t="s">
        <v>9</v>
      </c>
      <c r="S85" s="4" t="s">
        <v>12</v>
      </c>
      <c r="U85" s="28" t="str">
        <f>MID(VLOOKUP($A85,Seqs!$A:$B,2,FALSE),VLOOKUP($A85,'SegEnds_NonXtal_Prot#'!A:AL,10,FALSE),1)</f>
        <v>D</v>
      </c>
      <c r="V85" s="50" t="str">
        <f>MID(VLOOKUP($A85,Seqs!$A:$B,2,FALSE),VLOOKUP($A85,'SegEnds_NonXtal_Prot#'!A:AL,10,FALSE)+6,1)</f>
        <v>T</v>
      </c>
      <c r="W85" s="50" t="str">
        <f>MID(VLOOKUP($A85,Seqs!$A:$B,2,FALSE),VLOOKUP($A85,'SegEnds_NonXtal_Prot#'!A:AL,10,FALSE)+7,1)</f>
        <v>L</v>
      </c>
      <c r="X85" s="50" t="str">
        <f>MID(VLOOKUP($A85,Seqs!$A:$B,2,FALSE),VLOOKUP($A85,'SegEnds_NonXtal_Prot#'!A:AL,10,FALSE)+8,1)</f>
        <v>P</v>
      </c>
      <c r="Y85" s="50" t="str">
        <f>MID(VLOOKUP($A85,Seqs!$A:$B,2,FALSE),VLOOKUP($A85,'SegEnds_NonXtal_Prot#'!A:AL,10,FALSE)+9,1)</f>
        <v>L</v>
      </c>
      <c r="Z85" s="50" t="str">
        <f>MID(VLOOKUP($A85,Seqs!$A:$B,2,FALSE),VLOOKUP($A85,'SegEnds_NonXtal_Prot#'!A:AL,10,FALSE)+10,1)</f>
        <v>W</v>
      </c>
      <c r="AA85" s="28" t="str">
        <f>MID(VLOOKUP($A85,Seqs!$A:$B,2,FALSE),VLOOKUP($A85,'SegEnds_NonXtal_Prot#'!$A:$AL,22,FALSE)+6,1)</f>
        <v>A</v>
      </c>
      <c r="AB85" s="50" t="str">
        <f>MID(VLOOKUP($A85,Seqs!$A:$B,2,FALSE),VLOOKUP($A85,'SegEnds_NonXtal_Prot#'!$A:$AL,22,FALSE)+7,1)</f>
        <v>S</v>
      </c>
      <c r="AC85" s="50" t="str">
        <f>MID(VLOOKUP($A85,Seqs!$A:$B,2,FALSE),VLOOKUP($A85,'SegEnds_NonXtal_Prot#'!$A:$AL,22,FALSE)+8,1)</f>
        <v>V</v>
      </c>
      <c r="AD85" s="50" t="str">
        <f>MID(VLOOKUP($A85,Seqs!$A:$B,2,FALSE),VLOOKUP($A85,'SegEnds_NonXtal_Prot#'!$A:$AL,22,FALSE)+9,1)</f>
        <v>P</v>
      </c>
      <c r="AE85" s="50" t="str">
        <f>MID(VLOOKUP($A85,Seqs!$A:$B,2,FALSE),VLOOKUP($A85,'SegEnds_NonXtal_Prot#'!$A:$AL,22,FALSE)+10,1)</f>
        <v>G</v>
      </c>
      <c r="AF85" s="28" t="str">
        <f>MID(VLOOKUP($A85,Seqs!$A:$B,2,FALSE),VLOOKUP($A85,'SegEnds_NonXtal_Prot#'!$A:$AL,28,FALSE)-4,1)</f>
        <v>G</v>
      </c>
      <c r="AG85" s="50" t="str">
        <f>MID(VLOOKUP($A85,Seqs!$A:$B,2,FALSE),VLOOKUP($A85,'SegEnds_NonXtal_Prot#'!$A:$AL,28,FALSE),1)</f>
        <v>P</v>
      </c>
    </row>
    <row r="86" spans="1:33" s="2" customFormat="1" x14ac:dyDescent="0.2">
      <c r="A86" s="2" t="s">
        <v>142</v>
      </c>
      <c r="B86" s="2" t="str">
        <f>LOWER(VLOOKUP(A86,Xtal_Templ!A:B,2,FALSE))</f>
        <v>ccr9_human</v>
      </c>
      <c r="C86" s="2" t="str">
        <f>VLOOKUP(A86,Classification!A:D,2,FALSE)</f>
        <v>A</v>
      </c>
      <c r="D86" s="2" t="str">
        <f>IF(ISERROR(MATCH(A86,'SegEnds_Xtal_Prot#'!B:B, 0)), "NoXtal", "Xtal")</f>
        <v>NoXtal</v>
      </c>
      <c r="G86" s="4"/>
      <c r="M86" s="2" t="s">
        <v>14</v>
      </c>
      <c r="S86" s="4" t="s">
        <v>12</v>
      </c>
      <c r="U86" s="28" t="str">
        <f>MID(VLOOKUP($A86,Seqs!$A:$B,2,FALSE),VLOOKUP($A86,'SegEnds_NonXtal_Prot#'!A:AL,10,FALSE),1)</f>
        <v>S</v>
      </c>
      <c r="V86" s="50" t="str">
        <f>MID(VLOOKUP($A86,Seqs!$A:$B,2,FALSE),VLOOKUP($A86,'SegEnds_NonXtal_Prot#'!A:AL,10,FALSE)+6,1)</f>
        <v>V</v>
      </c>
      <c r="W86" s="50" t="str">
        <f>MID(VLOOKUP($A86,Seqs!$A:$B,2,FALSE),VLOOKUP($A86,'SegEnds_NonXtal_Prot#'!A:AL,10,FALSE)+7,1)</f>
        <v>V</v>
      </c>
      <c r="X86" s="50" t="str">
        <f>MID(VLOOKUP($A86,Seqs!$A:$B,2,FALSE),VLOOKUP($A86,'SegEnds_NonXtal_Prot#'!A:AL,10,FALSE)+8,1)</f>
        <v>P</v>
      </c>
      <c r="Y86" s="50" t="str">
        <f>MID(VLOOKUP($A86,Seqs!$A:$B,2,FALSE),VLOOKUP($A86,'SegEnds_NonXtal_Prot#'!A:AL,10,FALSE)+9,1)</f>
        <v>V</v>
      </c>
      <c r="Z86" s="50" t="str">
        <f>MID(VLOOKUP($A86,Seqs!$A:$B,2,FALSE),VLOOKUP($A86,'SegEnds_NonXtal_Prot#'!A:AL,10,FALSE)+10,1)</f>
        <v>L</v>
      </c>
      <c r="AA86" s="28" t="str">
        <f>MID(VLOOKUP($A86,Seqs!$A:$B,2,FALSE),VLOOKUP($A86,'SegEnds_NonXtal_Prot#'!$A:$AL,22,FALSE)+6,1)</f>
        <v>L</v>
      </c>
      <c r="AB86" s="50" t="str">
        <f>MID(VLOOKUP($A86,Seqs!$A:$B,2,FALSE),VLOOKUP($A86,'SegEnds_NonXtal_Prot#'!$A:$AL,22,FALSE)+7,1)</f>
        <v>T</v>
      </c>
      <c r="AC86" s="50" t="str">
        <f>MID(VLOOKUP($A86,Seqs!$A:$B,2,FALSE),VLOOKUP($A86,'SegEnds_NonXtal_Prot#'!$A:$AL,22,FALSE)+8,1)</f>
        <v>L</v>
      </c>
      <c r="AD86" s="50" t="str">
        <f>MID(VLOOKUP($A86,Seqs!$A:$B,2,FALSE),VLOOKUP($A86,'SegEnds_NonXtal_Prot#'!$A:$AL,22,FALSE)+9,1)</f>
        <v>P</v>
      </c>
      <c r="AE86" s="50" t="str">
        <f>MID(VLOOKUP($A86,Seqs!$A:$B,2,FALSE),VLOOKUP($A86,'SegEnds_NonXtal_Prot#'!$A:$AL,22,FALSE)+10,1)</f>
        <v>V</v>
      </c>
      <c r="AF86" s="28" t="str">
        <f>MID(VLOOKUP($A86,Seqs!$A:$B,2,FALSE),VLOOKUP($A86,'SegEnds_NonXtal_Prot#'!$A:$AL,28,FALSE)-4,1)</f>
        <v>C</v>
      </c>
      <c r="AG86" s="50" t="str">
        <f>MID(VLOOKUP($A86,Seqs!$A:$B,2,FALSE),VLOOKUP($A86,'SegEnds_NonXtal_Prot#'!$A:$AL,28,FALSE),1)</f>
        <v>F</v>
      </c>
    </row>
    <row r="87" spans="1:33" s="2" customFormat="1" x14ac:dyDescent="0.2">
      <c r="A87" s="2" t="s">
        <v>143</v>
      </c>
      <c r="B87" s="2" t="str">
        <f>LOWER(VLOOKUP(A87,Xtal_Templ!A:B,2,FALSE))</f>
        <v>ccr5_human</v>
      </c>
      <c r="C87" s="2" t="str">
        <f>VLOOKUP(A87,Classification!A:D,2,FALSE)</f>
        <v>A</v>
      </c>
      <c r="D87" s="2" t="str">
        <f>IF(ISERROR(MATCH(A87,'SegEnds_Xtal_Prot#'!B:B, 0)), "NoXtal", "Xtal")</f>
        <v>NoXtal</v>
      </c>
      <c r="G87" s="4"/>
      <c r="M87" s="2" t="s">
        <v>14</v>
      </c>
      <c r="Q87" s="2" t="s">
        <v>9</v>
      </c>
      <c r="S87" s="4" t="s">
        <v>12</v>
      </c>
      <c r="U87" s="28" t="str">
        <f>MID(VLOOKUP($A87,Seqs!$A:$B,2,FALSE),VLOOKUP($A87,'SegEnds_NonXtal_Prot#'!A:AL,10,FALSE),1)</f>
        <v>N</v>
      </c>
      <c r="V87" s="50" t="str">
        <f>MID(VLOOKUP($A87,Seqs!$A:$B,2,FALSE),VLOOKUP($A87,'SegEnds_NonXtal_Prot#'!A:AL,10,FALSE)+6,1)</f>
        <v>T</v>
      </c>
      <c r="W87" s="50" t="str">
        <f>MID(VLOOKUP($A87,Seqs!$A:$B,2,FALSE),VLOOKUP($A87,'SegEnds_NonXtal_Prot#'!A:AL,10,FALSE)+7,1)</f>
        <v>L</v>
      </c>
      <c r="X87" s="50" t="str">
        <f>MID(VLOOKUP($A87,Seqs!$A:$B,2,FALSE),VLOOKUP($A87,'SegEnds_NonXtal_Prot#'!A:AL,10,FALSE)+8,1)</f>
        <v>P</v>
      </c>
      <c r="Y87" s="50" t="str">
        <f>MID(VLOOKUP($A87,Seqs!$A:$B,2,FALSE),VLOOKUP($A87,'SegEnds_NonXtal_Prot#'!A:AL,10,FALSE)+9,1)</f>
        <v>F</v>
      </c>
      <c r="Z87" s="50" t="str">
        <f>MID(VLOOKUP($A87,Seqs!$A:$B,2,FALSE),VLOOKUP($A87,'SegEnds_NonXtal_Prot#'!A:AL,10,FALSE)+10,1)</f>
        <v>W</v>
      </c>
      <c r="AA87" s="28" t="str">
        <f>MID(VLOOKUP($A87,Seqs!$A:$B,2,FALSE),VLOOKUP($A87,'SegEnds_NonXtal_Prot#'!$A:$AL,22,FALSE)+6,1)</f>
        <v>V</v>
      </c>
      <c r="AB87" s="50" t="str">
        <f>MID(VLOOKUP($A87,Seqs!$A:$B,2,FALSE),VLOOKUP($A87,'SegEnds_NonXtal_Prot#'!$A:$AL,22,FALSE)+7,1)</f>
        <v>S</v>
      </c>
      <c r="AC87" s="50" t="str">
        <f>MID(VLOOKUP($A87,Seqs!$A:$B,2,FALSE),VLOOKUP($A87,'SegEnds_NonXtal_Prot#'!$A:$AL,22,FALSE)+8,1)</f>
        <v>I</v>
      </c>
      <c r="AD87" s="50" t="str">
        <f>MID(VLOOKUP($A87,Seqs!$A:$B,2,FALSE),VLOOKUP($A87,'SegEnds_NonXtal_Prot#'!$A:$AL,22,FALSE)+9,1)</f>
        <v>P</v>
      </c>
      <c r="AE87" s="50" t="str">
        <f>MID(VLOOKUP($A87,Seqs!$A:$B,2,FALSE),VLOOKUP($A87,'SegEnds_NonXtal_Prot#'!$A:$AL,22,FALSE)+10,1)</f>
        <v>D</v>
      </c>
      <c r="AF87" s="28" t="str">
        <f>MID(VLOOKUP($A87,Seqs!$A:$B,2,FALSE),VLOOKUP($A87,'SegEnds_NonXtal_Prot#'!$A:$AL,28,FALSE)-4,1)</f>
        <v>G</v>
      </c>
      <c r="AG87" s="50" t="str">
        <f>MID(VLOOKUP($A87,Seqs!$A:$B,2,FALSE),VLOOKUP($A87,'SegEnds_NonXtal_Prot#'!$A:$AL,28,FALSE),1)</f>
        <v>P</v>
      </c>
    </row>
    <row r="88" spans="1:33" s="2" customFormat="1" x14ac:dyDescent="0.2">
      <c r="A88" s="2" t="s">
        <v>145</v>
      </c>
      <c r="B88" s="2" t="str">
        <f>LOWER(VLOOKUP(A88,Xtal_Templ!A:B,2,FALSE))</f>
        <v>ccr9_human</v>
      </c>
      <c r="C88" s="2" t="str">
        <f>VLOOKUP(A88,Classification!A:D,2,FALSE)</f>
        <v>A</v>
      </c>
      <c r="D88" s="2" t="str">
        <f>IF(ISERROR(MATCH(A88,'SegEnds_Xtal_Prot#'!B:B, 0)), "NoXtal", "Xtal")</f>
        <v>NoXtal</v>
      </c>
      <c r="G88" s="4"/>
      <c r="M88" s="2" t="s">
        <v>14</v>
      </c>
      <c r="Q88" s="2" t="s">
        <v>9</v>
      </c>
      <c r="S88" s="4" t="s">
        <v>12</v>
      </c>
      <c r="U88" s="28" t="str">
        <f>MID(VLOOKUP($A88,Seqs!$A:$B,2,FALSE),VLOOKUP($A88,'SegEnds_NonXtal_Prot#'!A:AL,10,FALSE),1)</f>
        <v>D</v>
      </c>
      <c r="V88" s="50" t="str">
        <f>MID(VLOOKUP($A88,Seqs!$A:$B,2,FALSE),VLOOKUP($A88,'SegEnds_NonXtal_Prot#'!A:AL,10,FALSE)+6,1)</f>
        <v>T</v>
      </c>
      <c r="W88" s="50" t="str">
        <f>MID(VLOOKUP($A88,Seqs!$A:$B,2,FALSE),VLOOKUP($A88,'SegEnds_NonXtal_Prot#'!A:AL,10,FALSE)+7,1)</f>
        <v>L</v>
      </c>
      <c r="X88" s="50" t="str">
        <f>MID(VLOOKUP($A88,Seqs!$A:$B,2,FALSE),VLOOKUP($A88,'SegEnds_NonXtal_Prot#'!A:AL,10,FALSE)+8,1)</f>
        <v>P</v>
      </c>
      <c r="Y88" s="50" t="str">
        <f>MID(VLOOKUP($A88,Seqs!$A:$B,2,FALSE),VLOOKUP($A88,'SegEnds_NonXtal_Prot#'!A:AL,10,FALSE)+9,1)</f>
        <v>F</v>
      </c>
      <c r="Z88" s="50" t="str">
        <f>MID(VLOOKUP($A88,Seqs!$A:$B,2,FALSE),VLOOKUP($A88,'SegEnds_NonXtal_Prot#'!A:AL,10,FALSE)+10,1)</f>
        <v>W</v>
      </c>
      <c r="AA88" s="28" t="str">
        <f>MID(VLOOKUP($A88,Seqs!$A:$B,2,FALSE),VLOOKUP($A88,'SegEnds_NonXtal_Prot#'!$A:$AL,22,FALSE)+6,1)</f>
        <v>L</v>
      </c>
      <c r="AB88" s="50" t="str">
        <f>MID(VLOOKUP($A88,Seqs!$A:$B,2,FALSE),VLOOKUP($A88,'SegEnds_NonXtal_Prot#'!$A:$AL,22,FALSE)+7,1)</f>
        <v>S</v>
      </c>
      <c r="AC88" s="50" t="str">
        <f>MID(VLOOKUP($A88,Seqs!$A:$B,2,FALSE),VLOOKUP($A88,'SegEnds_NonXtal_Prot#'!$A:$AL,22,FALSE)+8,1)</f>
        <v>I</v>
      </c>
      <c r="AD88" s="50" t="str">
        <f>MID(VLOOKUP($A88,Seqs!$A:$B,2,FALSE),VLOOKUP($A88,'SegEnds_NonXtal_Prot#'!$A:$AL,22,FALSE)+9,1)</f>
        <v>P</v>
      </c>
      <c r="AE88" s="50" t="str">
        <f>MID(VLOOKUP($A88,Seqs!$A:$B,2,FALSE),VLOOKUP($A88,'SegEnds_NonXtal_Prot#'!$A:$AL,22,FALSE)+10,1)</f>
        <v>Q</v>
      </c>
      <c r="AF88" s="28" t="str">
        <f>MID(VLOOKUP($A88,Seqs!$A:$B,2,FALSE),VLOOKUP($A88,'SegEnds_NonXtal_Prot#'!$A:$AL,28,FALSE)-4,1)</f>
        <v>G</v>
      </c>
      <c r="AG88" s="50" t="str">
        <f>MID(VLOOKUP($A88,Seqs!$A:$B,2,FALSE),VLOOKUP($A88,'SegEnds_NonXtal_Prot#'!$A:$AL,28,FALSE),1)</f>
        <v>P</v>
      </c>
    </row>
    <row r="89" spans="1:33" s="2" customFormat="1" x14ac:dyDescent="0.2">
      <c r="A89" s="2" t="s">
        <v>168</v>
      </c>
      <c r="B89" s="2" t="str">
        <f>LOWER(VLOOKUP(A89,Xtal_Templ!A:B,2,FALSE))</f>
        <v>ccr5_human</v>
      </c>
      <c r="C89" s="2" t="str">
        <f>VLOOKUP(A89,Classification!A:D,2,FALSE)</f>
        <v>A</v>
      </c>
      <c r="D89" s="2" t="str">
        <f>IF(ISERROR(MATCH(A89,'SegEnds_Xtal_Prot#'!B:B, 0)), "NoXtal", "Xtal")</f>
        <v>NoXtal</v>
      </c>
      <c r="G89" s="4"/>
      <c r="M89" s="2" t="s">
        <v>14</v>
      </c>
      <c r="Q89" s="2" t="s">
        <v>9</v>
      </c>
      <c r="S89" s="4" t="s">
        <v>12</v>
      </c>
      <c r="U89" s="28" t="str">
        <f>MID(VLOOKUP($A89,Seqs!$A:$B,2,FALSE),VLOOKUP($A89,'SegEnds_NonXtal_Prot#'!A:AL,10,FALSE),1)</f>
        <v>D</v>
      </c>
      <c r="V89" s="50" t="str">
        <f>MID(VLOOKUP($A89,Seqs!$A:$B,2,FALSE),VLOOKUP($A89,'SegEnds_NonXtal_Prot#'!A:AL,10,FALSE)+6,1)</f>
        <v>T</v>
      </c>
      <c r="W89" s="50" t="str">
        <f>MID(VLOOKUP($A89,Seqs!$A:$B,2,FALSE),VLOOKUP($A89,'SegEnds_NonXtal_Prot#'!A:AL,10,FALSE)+7,1)</f>
        <v>L</v>
      </c>
      <c r="X89" s="50" t="str">
        <f>MID(VLOOKUP($A89,Seqs!$A:$B,2,FALSE),VLOOKUP($A89,'SegEnds_NonXtal_Prot#'!A:AL,10,FALSE)+8,1)</f>
        <v>P</v>
      </c>
      <c r="Y89" s="50" t="str">
        <f>MID(VLOOKUP($A89,Seqs!$A:$B,2,FALSE),VLOOKUP($A89,'SegEnds_NonXtal_Prot#'!A:AL,10,FALSE)+9,1)</f>
        <v>F</v>
      </c>
      <c r="Z89" s="50" t="str">
        <f>MID(VLOOKUP($A89,Seqs!$A:$B,2,FALSE),VLOOKUP($A89,'SegEnds_NonXtal_Prot#'!A:AL,10,FALSE)+10,1)</f>
        <v>W</v>
      </c>
      <c r="AA89" s="28" t="str">
        <f>MID(VLOOKUP($A89,Seqs!$A:$B,2,FALSE),VLOOKUP($A89,'SegEnds_NonXtal_Prot#'!$A:$AL,22,FALSE)+6,1)</f>
        <v>A</v>
      </c>
      <c r="AB89" s="50" t="str">
        <f>MID(VLOOKUP($A89,Seqs!$A:$B,2,FALSE),VLOOKUP($A89,'SegEnds_NonXtal_Prot#'!$A:$AL,22,FALSE)+7,1)</f>
        <v>S</v>
      </c>
      <c r="AC89" s="50" t="str">
        <f>MID(VLOOKUP($A89,Seqs!$A:$B,2,FALSE),VLOOKUP($A89,'SegEnds_NonXtal_Prot#'!$A:$AL,22,FALSE)+8,1)</f>
        <v>M</v>
      </c>
      <c r="AD89" s="50" t="str">
        <f>MID(VLOOKUP($A89,Seqs!$A:$B,2,FALSE),VLOOKUP($A89,'SegEnds_NonXtal_Prot#'!$A:$AL,22,FALSE)+9,1)</f>
        <v>P</v>
      </c>
      <c r="AE89" s="50" t="str">
        <f>MID(VLOOKUP($A89,Seqs!$A:$B,2,FALSE),VLOOKUP($A89,'SegEnds_NonXtal_Prot#'!$A:$AL,22,FALSE)+10,1)</f>
        <v>G</v>
      </c>
      <c r="AF89" s="28" t="str">
        <f>MID(VLOOKUP($A89,Seqs!$A:$B,2,FALSE),VLOOKUP($A89,'SegEnds_NonXtal_Prot#'!$A:$AL,28,FALSE)-4,1)</f>
        <v>G</v>
      </c>
      <c r="AG89" s="50" t="str">
        <f>MID(VLOOKUP($A89,Seqs!$A:$B,2,FALSE),VLOOKUP($A89,'SegEnds_NonXtal_Prot#'!$A:$AL,28,FALSE),1)</f>
        <v>P</v>
      </c>
    </row>
    <row r="90" spans="1:33" s="2" customFormat="1" x14ac:dyDescent="0.2">
      <c r="A90" s="2" t="s">
        <v>169</v>
      </c>
      <c r="B90" s="2" t="str">
        <f>LOWER(VLOOKUP(A90,Xtal_Templ!A:B,2,FALSE))</f>
        <v>ccr9_human</v>
      </c>
      <c r="C90" s="2" t="str">
        <f>VLOOKUP(A90,Classification!A:D,2,FALSE)</f>
        <v>A</v>
      </c>
      <c r="D90" s="2" t="str">
        <f>IF(ISERROR(MATCH(A90,'SegEnds_Xtal_Prot#'!B:B, 0)), "NoXtal", "Xtal")</f>
        <v>NoXtal</v>
      </c>
      <c r="G90" s="4"/>
      <c r="M90" s="2" t="s">
        <v>14</v>
      </c>
      <c r="Q90" s="2" t="s">
        <v>9</v>
      </c>
      <c r="S90" s="4" t="s">
        <v>12</v>
      </c>
      <c r="U90" s="28" t="str">
        <f>MID(VLOOKUP($A90,Seqs!$A:$B,2,FALSE),VLOOKUP($A90,'SegEnds_NonXtal_Prot#'!A:AL,10,FALSE),1)</f>
        <v>D</v>
      </c>
      <c r="V90" s="50" t="str">
        <f>MID(VLOOKUP($A90,Seqs!$A:$B,2,FALSE),VLOOKUP($A90,'SegEnds_NonXtal_Prot#'!A:AL,10,FALSE)+6,1)</f>
        <v>T</v>
      </c>
      <c r="W90" s="50" t="str">
        <f>MID(VLOOKUP($A90,Seqs!$A:$B,2,FALSE),VLOOKUP($A90,'SegEnds_NonXtal_Prot#'!A:AL,10,FALSE)+7,1)</f>
        <v>L</v>
      </c>
      <c r="X90" s="50" t="str">
        <f>MID(VLOOKUP($A90,Seqs!$A:$B,2,FALSE),VLOOKUP($A90,'SegEnds_NonXtal_Prot#'!A:AL,10,FALSE)+8,1)</f>
        <v>P</v>
      </c>
      <c r="Y90" s="50" t="str">
        <f>MID(VLOOKUP($A90,Seqs!$A:$B,2,FALSE),VLOOKUP($A90,'SegEnds_NonXtal_Prot#'!A:AL,10,FALSE)+9,1)</f>
        <v>F</v>
      </c>
      <c r="Z90" s="50" t="str">
        <f>MID(VLOOKUP($A90,Seqs!$A:$B,2,FALSE),VLOOKUP($A90,'SegEnds_NonXtal_Prot#'!A:AL,10,FALSE)+10,1)</f>
        <v>A</v>
      </c>
      <c r="AA90" s="28" t="str">
        <f>MID(VLOOKUP($A90,Seqs!$A:$B,2,FALSE),VLOOKUP($A90,'SegEnds_NonXtal_Prot#'!$A:$AL,22,FALSE)+6,1)</f>
        <v>L</v>
      </c>
      <c r="AB90" s="50" t="str">
        <f>MID(VLOOKUP($A90,Seqs!$A:$B,2,FALSE),VLOOKUP($A90,'SegEnds_NonXtal_Prot#'!$A:$AL,22,FALSE)+7,1)</f>
        <v>A</v>
      </c>
      <c r="AC90" s="50" t="str">
        <f>MID(VLOOKUP($A90,Seqs!$A:$B,2,FALSE),VLOOKUP($A90,'SegEnds_NonXtal_Prot#'!$A:$AL,22,FALSE)+8,1)</f>
        <v>L</v>
      </c>
      <c r="AD90" s="50" t="str">
        <f>MID(VLOOKUP($A90,Seqs!$A:$B,2,FALSE),VLOOKUP($A90,'SegEnds_NonXtal_Prot#'!$A:$AL,22,FALSE)+9,1)</f>
        <v>P</v>
      </c>
      <c r="AE90" s="50" t="str">
        <f>MID(VLOOKUP($A90,Seqs!$A:$B,2,FALSE),VLOOKUP($A90,'SegEnds_NonXtal_Prot#'!$A:$AL,22,FALSE)+10,1)</f>
        <v>A</v>
      </c>
      <c r="AF90" s="28" t="str">
        <f>MID(VLOOKUP($A90,Seqs!$A:$B,2,FALSE),VLOOKUP($A90,'SegEnds_NonXtal_Prot#'!$A:$AL,28,FALSE)-4,1)</f>
        <v>G</v>
      </c>
      <c r="AG90" s="50" t="str">
        <f>MID(VLOOKUP($A90,Seqs!$A:$B,2,FALSE),VLOOKUP($A90,'SegEnds_NonXtal_Prot#'!$A:$AL,28,FALSE),1)</f>
        <v>P</v>
      </c>
    </row>
    <row r="91" spans="1:33" s="2" customFormat="1" x14ac:dyDescent="0.2">
      <c r="A91" s="2" t="s">
        <v>171</v>
      </c>
      <c r="B91" s="2" t="str">
        <f>LOWER(VLOOKUP(A91,Xtal_Templ!A:B,2,FALSE))</f>
        <v>ccr5_human</v>
      </c>
      <c r="C91" s="2" t="str">
        <f>VLOOKUP(A91,Classification!A:D,2,FALSE)</f>
        <v>A</v>
      </c>
      <c r="D91" s="2" t="str">
        <f>IF(ISERROR(MATCH(A91,'SegEnds_Xtal_Prot#'!B:B, 0)), "NoXtal", "Xtal")</f>
        <v>NoXtal</v>
      </c>
      <c r="G91" s="4"/>
      <c r="M91" s="2" t="s">
        <v>14</v>
      </c>
      <c r="Q91" s="2" t="s">
        <v>9</v>
      </c>
      <c r="S91" s="4" t="s">
        <v>12</v>
      </c>
      <c r="U91" s="28" t="str">
        <f>MID(VLOOKUP($A91,Seqs!$A:$B,2,FALSE),VLOOKUP($A91,'SegEnds_NonXtal_Prot#'!A:AL,10,FALSE),1)</f>
        <v>D</v>
      </c>
      <c r="V91" s="50" t="str">
        <f>MID(VLOOKUP($A91,Seqs!$A:$B,2,FALSE),VLOOKUP($A91,'SegEnds_NonXtal_Prot#'!A:AL,10,FALSE)+6,1)</f>
        <v>T</v>
      </c>
      <c r="W91" s="50" t="str">
        <f>MID(VLOOKUP($A91,Seqs!$A:$B,2,FALSE),VLOOKUP($A91,'SegEnds_NonXtal_Prot#'!A:AL,10,FALSE)+7,1)</f>
        <v>L</v>
      </c>
      <c r="X91" s="50" t="str">
        <f>MID(VLOOKUP($A91,Seqs!$A:$B,2,FALSE),VLOOKUP($A91,'SegEnds_NonXtal_Prot#'!A:AL,10,FALSE)+8,1)</f>
        <v>P</v>
      </c>
      <c r="Y91" s="50" t="str">
        <f>MID(VLOOKUP($A91,Seqs!$A:$B,2,FALSE),VLOOKUP($A91,'SegEnds_NonXtal_Prot#'!A:AL,10,FALSE)+9,1)</f>
        <v>F</v>
      </c>
      <c r="Z91" s="50" t="str">
        <f>MID(VLOOKUP($A91,Seqs!$A:$B,2,FALSE),VLOOKUP($A91,'SegEnds_NonXtal_Prot#'!A:AL,10,FALSE)+10,1)</f>
        <v>W</v>
      </c>
      <c r="AA91" s="28" t="str">
        <f>MID(VLOOKUP($A91,Seqs!$A:$B,2,FALSE),VLOOKUP($A91,'SegEnds_NonXtal_Prot#'!$A:$AL,22,FALSE)+6,1)</f>
        <v>A</v>
      </c>
      <c r="AB91" s="50" t="str">
        <f>MID(VLOOKUP($A91,Seqs!$A:$B,2,FALSE),VLOOKUP($A91,'SegEnds_NonXtal_Prot#'!$A:$AL,22,FALSE)+7,1)</f>
        <v>A</v>
      </c>
      <c r="AC91" s="50" t="str">
        <f>MID(VLOOKUP($A91,Seqs!$A:$B,2,FALSE),VLOOKUP($A91,'SegEnds_NonXtal_Prot#'!$A:$AL,22,FALSE)+8,1)</f>
        <v>L</v>
      </c>
      <c r="AD91" s="50" t="str">
        <f>MID(VLOOKUP($A91,Seqs!$A:$B,2,FALSE),VLOOKUP($A91,'SegEnds_NonXtal_Prot#'!$A:$AL,22,FALSE)+9,1)</f>
        <v>P</v>
      </c>
      <c r="AE91" s="50" t="str">
        <f>MID(VLOOKUP($A91,Seqs!$A:$B,2,FALSE),VLOOKUP($A91,'SegEnds_NonXtal_Prot#'!$A:$AL,22,FALSE)+10,1)</f>
        <v>E</v>
      </c>
      <c r="AF91" s="28" t="str">
        <f>MID(VLOOKUP($A91,Seqs!$A:$B,2,FALSE),VLOOKUP($A91,'SegEnds_NonXtal_Prot#'!$A:$AL,28,FALSE)-4,1)</f>
        <v>C</v>
      </c>
      <c r="AG91" s="50" t="str">
        <f>MID(VLOOKUP($A91,Seqs!$A:$B,2,FALSE),VLOOKUP($A91,'SegEnds_NonXtal_Prot#'!$A:$AL,28,FALSE),1)</f>
        <v>P</v>
      </c>
    </row>
    <row r="92" spans="1:33" s="2" customFormat="1" x14ac:dyDescent="0.2">
      <c r="A92" s="2" t="s">
        <v>172</v>
      </c>
      <c r="B92" s="2" t="str">
        <f>LOWER(VLOOKUP(A92,Xtal_Templ!A:B,2,FALSE))</f>
        <v>ccr5_human</v>
      </c>
      <c r="C92" s="2" t="str">
        <f>VLOOKUP(A92,Classification!A:D,2,FALSE)</f>
        <v>A</v>
      </c>
      <c r="D92" s="2" t="str">
        <f>IF(ISERROR(MATCH(A92,'SegEnds_Xtal_Prot#'!B:B, 0)), "NoXtal", "Xtal")</f>
        <v>NoXtal</v>
      </c>
      <c r="G92" s="4"/>
      <c r="M92" s="2" t="s">
        <v>14</v>
      </c>
      <c r="Q92" s="2" t="s">
        <v>9</v>
      </c>
      <c r="S92" s="4" t="s">
        <v>12</v>
      </c>
      <c r="U92" s="28" t="str">
        <f>MID(VLOOKUP($A92,Seqs!$A:$B,2,FALSE),VLOOKUP($A92,'SegEnds_NonXtal_Prot#'!A:AL,10,FALSE),1)</f>
        <v>D</v>
      </c>
      <c r="V92" s="50" t="str">
        <f>MID(VLOOKUP($A92,Seqs!$A:$B,2,FALSE),VLOOKUP($A92,'SegEnds_NonXtal_Prot#'!A:AL,10,FALSE)+6,1)</f>
        <v>S</v>
      </c>
      <c r="W92" s="50" t="str">
        <f>MID(VLOOKUP($A92,Seqs!$A:$B,2,FALSE),VLOOKUP($A92,'SegEnds_NonXtal_Prot#'!A:AL,10,FALSE)+7,1)</f>
        <v>L</v>
      </c>
      <c r="X92" s="50" t="str">
        <f>MID(VLOOKUP($A92,Seqs!$A:$B,2,FALSE),VLOOKUP($A92,'SegEnds_NonXtal_Prot#'!A:AL,10,FALSE)+8,1)</f>
        <v>P</v>
      </c>
      <c r="Y92" s="50" t="str">
        <f>MID(VLOOKUP($A92,Seqs!$A:$B,2,FALSE),VLOOKUP($A92,'SegEnds_NonXtal_Prot#'!A:AL,10,FALSE)+9,1)</f>
        <v>F</v>
      </c>
      <c r="Z92" s="50" t="str">
        <f>MID(VLOOKUP($A92,Seqs!$A:$B,2,FALSE),VLOOKUP($A92,'SegEnds_NonXtal_Prot#'!A:AL,10,FALSE)+10,1)</f>
        <v>W</v>
      </c>
      <c r="AA92" s="28" t="str">
        <f>MID(VLOOKUP($A92,Seqs!$A:$B,2,FALSE),VLOOKUP($A92,'SegEnds_NonXtal_Prot#'!$A:$AL,22,FALSE)+6,1)</f>
        <v>A</v>
      </c>
      <c r="AB92" s="50" t="str">
        <f>MID(VLOOKUP($A92,Seqs!$A:$B,2,FALSE),VLOOKUP($A92,'SegEnds_NonXtal_Prot#'!$A:$AL,22,FALSE)+7,1)</f>
        <v>S</v>
      </c>
      <c r="AC92" s="50" t="str">
        <f>MID(VLOOKUP($A92,Seqs!$A:$B,2,FALSE),VLOOKUP($A92,'SegEnds_NonXtal_Prot#'!$A:$AL,22,FALSE)+8,1)</f>
        <v>L</v>
      </c>
      <c r="AD92" s="50" t="str">
        <f>MID(VLOOKUP($A92,Seqs!$A:$B,2,FALSE),VLOOKUP($A92,'SegEnds_NonXtal_Prot#'!$A:$AL,22,FALSE)+9,1)</f>
        <v>P</v>
      </c>
      <c r="AE92" s="50" t="str">
        <f>MID(VLOOKUP($A92,Seqs!$A:$B,2,FALSE),VLOOKUP($A92,'SegEnds_NonXtal_Prot#'!$A:$AL,22,FALSE)+10,1)</f>
        <v>G</v>
      </c>
      <c r="AF92" s="28" t="str">
        <f>MID(VLOOKUP($A92,Seqs!$A:$B,2,FALSE),VLOOKUP($A92,'SegEnds_NonXtal_Prot#'!$A:$AL,28,FALSE)-4,1)</f>
        <v>G</v>
      </c>
      <c r="AG92" s="50" t="str">
        <f>MID(VLOOKUP($A92,Seqs!$A:$B,2,FALSE),VLOOKUP($A92,'SegEnds_NonXtal_Prot#'!$A:$AL,28,FALSE),1)</f>
        <v>P</v>
      </c>
    </row>
    <row r="93" spans="1:33" s="2" customFormat="1" x14ac:dyDescent="0.2">
      <c r="A93" s="2" t="s">
        <v>173</v>
      </c>
      <c r="B93" s="2" t="str">
        <f>LOWER(VLOOKUP(A93,Xtal_Templ!A:B,2,FALSE))</f>
        <v>ccr5_human</v>
      </c>
      <c r="C93" s="2" t="str">
        <f>VLOOKUP(A93,Classification!A:D,2,FALSE)</f>
        <v>A</v>
      </c>
      <c r="D93" s="2" t="str">
        <f>IF(ISERROR(MATCH(A93,'SegEnds_Xtal_Prot#'!B:B, 0)), "NoXtal", "Xtal")</f>
        <v>Xtal</v>
      </c>
      <c r="G93" s="4"/>
      <c r="M93" s="2" t="s">
        <v>14</v>
      </c>
      <c r="Q93" s="2" t="s">
        <v>9</v>
      </c>
      <c r="S93" s="4" t="s">
        <v>12</v>
      </c>
      <c r="U93" s="28" t="str">
        <f>MID(VLOOKUP($A93,Seqs!$A:$B,2,FALSE),VLOOKUP($A93,'SegEnds_NonXtal_Prot#'!A:AL,10,FALSE),1)</f>
        <v>D</v>
      </c>
      <c r="V93" s="50" t="str">
        <f>MID(VLOOKUP($A93,Seqs!$A:$B,2,FALSE),VLOOKUP($A93,'SegEnds_NonXtal_Prot#'!A:AL,10,FALSE)+6,1)</f>
        <v>T</v>
      </c>
      <c r="W93" s="50" t="str">
        <f>MID(VLOOKUP($A93,Seqs!$A:$B,2,FALSE),VLOOKUP($A93,'SegEnds_NonXtal_Prot#'!A:AL,10,FALSE)+7,1)</f>
        <v>V</v>
      </c>
      <c r="X93" s="50" t="str">
        <f>MID(VLOOKUP($A93,Seqs!$A:$B,2,FALSE),VLOOKUP($A93,'SegEnds_NonXtal_Prot#'!A:AL,10,FALSE)+8,1)</f>
        <v>P</v>
      </c>
      <c r="Y93" s="50" t="str">
        <f>MID(VLOOKUP($A93,Seqs!$A:$B,2,FALSE),VLOOKUP($A93,'SegEnds_NonXtal_Prot#'!A:AL,10,FALSE)+9,1)</f>
        <v>F</v>
      </c>
      <c r="Z93" s="50" t="str">
        <f>MID(VLOOKUP($A93,Seqs!$A:$B,2,FALSE),VLOOKUP($A93,'SegEnds_NonXtal_Prot#'!A:AL,10,FALSE)+10,1)</f>
        <v>W</v>
      </c>
      <c r="AA93" s="28" t="str">
        <f>MID(VLOOKUP($A93,Seqs!$A:$B,2,FALSE),VLOOKUP($A93,'SegEnds_NonXtal_Prot#'!$A:$AL,22,FALSE)+6,1)</f>
        <v>A</v>
      </c>
      <c r="AB93" s="50" t="str">
        <f>MID(VLOOKUP($A93,Seqs!$A:$B,2,FALSE),VLOOKUP($A93,'SegEnds_NonXtal_Prot#'!$A:$AL,22,FALSE)+7,1)</f>
        <v>S</v>
      </c>
      <c r="AC93" s="50" t="str">
        <f>MID(VLOOKUP($A93,Seqs!$A:$B,2,FALSE),VLOOKUP($A93,'SegEnds_NonXtal_Prot#'!$A:$AL,22,FALSE)+8,1)</f>
        <v>L</v>
      </c>
      <c r="AD93" s="50" t="str">
        <f>MID(VLOOKUP($A93,Seqs!$A:$B,2,FALSE),VLOOKUP($A93,'SegEnds_NonXtal_Prot#'!$A:$AL,22,FALSE)+9,1)</f>
        <v>P</v>
      </c>
      <c r="AE93" s="50" t="str">
        <f>MID(VLOOKUP($A93,Seqs!$A:$B,2,FALSE),VLOOKUP($A93,'SegEnds_NonXtal_Prot#'!$A:$AL,22,FALSE)+10,1)</f>
        <v>G</v>
      </c>
      <c r="AF93" s="28" t="str">
        <f>MID(VLOOKUP($A93,Seqs!$A:$B,2,FALSE),VLOOKUP($A93,'SegEnds_NonXtal_Prot#'!$A:$AL,28,FALSE)-4,1)</f>
        <v>G</v>
      </c>
      <c r="AG93" s="50" t="str">
        <f>MID(VLOOKUP($A93,Seqs!$A:$B,2,FALSE),VLOOKUP($A93,'SegEnds_NonXtal_Prot#'!$A:$AL,28,FALSE),1)</f>
        <v>P</v>
      </c>
    </row>
    <row r="94" spans="1:33" s="2" customFormat="1" x14ac:dyDescent="0.2">
      <c r="A94" s="2" t="s">
        <v>174</v>
      </c>
      <c r="B94" s="2" t="str">
        <f>LOWER(VLOOKUP(A94,Xtal_Templ!A:B,2,FALSE))</f>
        <v>ccr9_human</v>
      </c>
      <c r="C94" s="2" t="str">
        <f>VLOOKUP(A94,Classification!A:D,2,FALSE)</f>
        <v>A</v>
      </c>
      <c r="D94" s="2" t="str">
        <f>IF(ISERROR(MATCH(A94,'SegEnds_Xtal_Prot#'!B:B, 0)), "NoXtal", "Xtal")</f>
        <v>NoXtal</v>
      </c>
      <c r="G94" s="4"/>
      <c r="Q94" s="2" t="s">
        <v>9</v>
      </c>
      <c r="S94" s="4" t="s">
        <v>12</v>
      </c>
      <c r="U94" s="28" t="str">
        <f>MID(VLOOKUP($A94,Seqs!$A:$B,2,FALSE),VLOOKUP($A94,'SegEnds_NonXtal_Prot#'!A:AL,10,FALSE),1)</f>
        <v>D</v>
      </c>
      <c r="V94" s="50" t="str">
        <f>MID(VLOOKUP($A94,Seqs!$A:$B,2,FALSE),VLOOKUP($A94,'SegEnds_NonXtal_Prot#'!A:AL,10,FALSE)+6,1)</f>
        <v>T</v>
      </c>
      <c r="W94" s="50" t="str">
        <f>MID(VLOOKUP($A94,Seqs!$A:$B,2,FALSE),VLOOKUP($A94,'SegEnds_NonXtal_Prot#'!A:AL,10,FALSE)+7,1)</f>
        <v>L</v>
      </c>
      <c r="X94" s="50" t="str">
        <f>MID(VLOOKUP($A94,Seqs!$A:$B,2,FALSE),VLOOKUP($A94,'SegEnds_NonXtal_Prot#'!A:AL,10,FALSE)+8,1)</f>
        <v>P</v>
      </c>
      <c r="Y94" s="50" t="str">
        <f>MID(VLOOKUP($A94,Seqs!$A:$B,2,FALSE),VLOOKUP($A94,'SegEnds_NonXtal_Prot#'!A:AL,10,FALSE)+9,1)</f>
        <v>F</v>
      </c>
      <c r="Z94" s="50" t="str">
        <f>MID(VLOOKUP($A94,Seqs!$A:$B,2,FALSE),VLOOKUP($A94,'SegEnds_NonXtal_Prot#'!A:AL,10,FALSE)+10,1)</f>
        <v>W</v>
      </c>
      <c r="AA94" s="28" t="str">
        <f>MID(VLOOKUP($A94,Seqs!$A:$B,2,FALSE),VLOOKUP($A94,'SegEnds_NonXtal_Prot#'!$A:$AL,22,FALSE)+6,1)</f>
        <v>I</v>
      </c>
      <c r="AB94" s="50" t="str">
        <f>MID(VLOOKUP($A94,Seqs!$A:$B,2,FALSE),VLOOKUP($A94,'SegEnds_NonXtal_Prot#'!$A:$AL,22,FALSE)+7,1)</f>
        <v>S</v>
      </c>
      <c r="AC94" s="50" t="str">
        <f>MID(VLOOKUP($A94,Seqs!$A:$B,2,FALSE),VLOOKUP($A94,'SegEnds_NonXtal_Prot#'!$A:$AL,22,FALSE)+8,1)</f>
        <v>S</v>
      </c>
      <c r="AD94" s="50" t="str">
        <f>MID(VLOOKUP($A94,Seqs!$A:$B,2,FALSE),VLOOKUP($A94,'SegEnds_NonXtal_Prot#'!$A:$AL,22,FALSE)+9,1)</f>
        <v>S</v>
      </c>
      <c r="AE94" s="50" t="str">
        <f>MID(VLOOKUP($A94,Seqs!$A:$B,2,FALSE),VLOOKUP($A94,'SegEnds_NonXtal_Prot#'!$A:$AL,22,FALSE)+10,1)</f>
        <v>T</v>
      </c>
      <c r="AF94" s="28" t="str">
        <f>MID(VLOOKUP($A94,Seqs!$A:$B,2,FALSE),VLOOKUP($A94,'SegEnds_NonXtal_Prot#'!$A:$AL,28,FALSE)-4,1)</f>
        <v>G</v>
      </c>
      <c r="AG94" s="50" t="str">
        <f>MID(VLOOKUP($A94,Seqs!$A:$B,2,FALSE),VLOOKUP($A94,'SegEnds_NonXtal_Prot#'!$A:$AL,28,FALSE),1)</f>
        <v>P</v>
      </c>
    </row>
    <row r="95" spans="1:33" s="2" customFormat="1" x14ac:dyDescent="0.2">
      <c r="A95" s="2" t="s">
        <v>175</v>
      </c>
      <c r="B95" s="2" t="str">
        <f>LOWER(VLOOKUP(A95,Xtal_Templ!A:B,2,FALSE))</f>
        <v>ccr9_human</v>
      </c>
      <c r="C95" s="2" t="str">
        <f>VLOOKUP(A95,Classification!A:D,2,FALSE)</f>
        <v>A</v>
      </c>
      <c r="D95" s="2" t="str">
        <f>IF(ISERROR(MATCH(A95,'SegEnds_Xtal_Prot#'!B:B, 0)), "NoXtal", "Xtal")</f>
        <v>NoXtal</v>
      </c>
      <c r="G95" s="4"/>
      <c r="M95" s="2" t="s">
        <v>14</v>
      </c>
      <c r="Q95" s="2" t="s">
        <v>9</v>
      </c>
      <c r="S95" s="4" t="s">
        <v>12</v>
      </c>
      <c r="U95" s="28" t="str">
        <f>MID(VLOOKUP($A95,Seqs!$A:$B,2,FALSE),VLOOKUP($A95,'SegEnds_NonXtal_Prot#'!A:AL,10,FALSE),1)</f>
        <v>D</v>
      </c>
      <c r="V95" s="50" t="str">
        <f>MID(VLOOKUP($A95,Seqs!$A:$B,2,FALSE),VLOOKUP($A95,'SegEnds_NonXtal_Prot#'!A:AL,10,FALSE)+6,1)</f>
        <v>T</v>
      </c>
      <c r="W95" s="50" t="str">
        <f>MID(VLOOKUP($A95,Seqs!$A:$B,2,FALSE),VLOOKUP($A95,'SegEnds_NonXtal_Prot#'!A:AL,10,FALSE)+7,1)</f>
        <v>L</v>
      </c>
      <c r="X95" s="50" t="str">
        <f>MID(VLOOKUP($A95,Seqs!$A:$B,2,FALSE),VLOOKUP($A95,'SegEnds_NonXtal_Prot#'!A:AL,10,FALSE)+8,1)</f>
        <v>P</v>
      </c>
      <c r="Y95" s="50" t="str">
        <f>MID(VLOOKUP($A95,Seqs!$A:$B,2,FALSE),VLOOKUP($A95,'SegEnds_NonXtal_Prot#'!A:AL,10,FALSE)+9,1)</f>
        <v>F</v>
      </c>
      <c r="Z95" s="50" t="str">
        <f>MID(VLOOKUP($A95,Seqs!$A:$B,2,FALSE),VLOOKUP($A95,'SegEnds_NonXtal_Prot#'!A:AL,10,FALSE)+10,1)</f>
        <v>W</v>
      </c>
      <c r="AA95" s="28" t="str">
        <f>MID(VLOOKUP($A95,Seqs!$A:$B,2,FALSE),VLOOKUP($A95,'SegEnds_NonXtal_Prot#'!$A:$AL,22,FALSE)+6,1)</f>
        <v>L</v>
      </c>
      <c r="AB95" s="50" t="str">
        <f>MID(VLOOKUP($A95,Seqs!$A:$B,2,FALSE),VLOOKUP($A95,'SegEnds_NonXtal_Prot#'!$A:$AL,22,FALSE)+7,1)</f>
        <v>S</v>
      </c>
      <c r="AC95" s="50" t="str">
        <f>MID(VLOOKUP($A95,Seqs!$A:$B,2,FALSE),VLOOKUP($A95,'SegEnds_NonXtal_Prot#'!$A:$AL,22,FALSE)+8,1)</f>
        <v>I</v>
      </c>
      <c r="AD95" s="50" t="str">
        <f>MID(VLOOKUP($A95,Seqs!$A:$B,2,FALSE),VLOOKUP($A95,'SegEnds_NonXtal_Prot#'!$A:$AL,22,FALSE)+9,1)</f>
        <v>P</v>
      </c>
      <c r="AE95" s="50" t="str">
        <f>MID(VLOOKUP($A95,Seqs!$A:$B,2,FALSE),VLOOKUP($A95,'SegEnds_NonXtal_Prot#'!$A:$AL,22,FALSE)+10,1)</f>
        <v>E</v>
      </c>
      <c r="AF95" s="28" t="str">
        <f>MID(VLOOKUP($A95,Seqs!$A:$B,2,FALSE),VLOOKUP($A95,'SegEnds_NonXtal_Prot#'!$A:$AL,28,FALSE)-4,1)</f>
        <v>G</v>
      </c>
      <c r="AG95" s="50" t="str">
        <f>MID(VLOOKUP($A95,Seqs!$A:$B,2,FALSE),VLOOKUP($A95,'SegEnds_NonXtal_Prot#'!$A:$AL,28,FALSE),1)</f>
        <v>P</v>
      </c>
    </row>
    <row r="96" spans="1:33" s="2" customFormat="1" x14ac:dyDescent="0.2">
      <c r="A96" s="2" t="s">
        <v>176</v>
      </c>
      <c r="B96" s="2" t="str">
        <f>LOWER(VLOOKUP(A96,Xtal_Templ!A:B,2,FALSE))</f>
        <v>ccr5_human</v>
      </c>
      <c r="C96" s="2" t="str">
        <f>VLOOKUP(A96,Classification!A:D,2,FALSE)</f>
        <v>A</v>
      </c>
      <c r="D96" s="2" t="str">
        <f>IF(ISERROR(MATCH(A96,'SegEnds_Xtal_Prot#'!B:B, 0)), "NoXtal", "Xtal")</f>
        <v>NoXtal</v>
      </c>
      <c r="G96" s="4"/>
      <c r="M96" s="2" t="s">
        <v>14</v>
      </c>
      <c r="Q96" s="2" t="s">
        <v>9</v>
      </c>
      <c r="S96" s="4" t="s">
        <v>12</v>
      </c>
      <c r="U96" s="28" t="str">
        <f>MID(VLOOKUP($A96,Seqs!$A:$B,2,FALSE),VLOOKUP($A96,'SegEnds_NonXtal_Prot#'!A:AL,10,FALSE),1)</f>
        <v>D</v>
      </c>
      <c r="V96" s="50" t="str">
        <f>MID(VLOOKUP($A96,Seqs!$A:$B,2,FALSE),VLOOKUP($A96,'SegEnds_NonXtal_Prot#'!A:AL,10,FALSE)+6,1)</f>
        <v>S</v>
      </c>
      <c r="W96" s="50" t="str">
        <f>MID(VLOOKUP($A96,Seqs!$A:$B,2,FALSE),VLOOKUP($A96,'SegEnds_NonXtal_Prot#'!A:AL,10,FALSE)+7,1)</f>
        <v>F</v>
      </c>
      <c r="X96" s="50" t="str">
        <f>MID(VLOOKUP($A96,Seqs!$A:$B,2,FALSE),VLOOKUP($A96,'SegEnds_NonXtal_Prot#'!A:AL,10,FALSE)+8,1)</f>
        <v>P</v>
      </c>
      <c r="Y96" s="50" t="str">
        <f>MID(VLOOKUP($A96,Seqs!$A:$B,2,FALSE),VLOOKUP($A96,'SegEnds_NonXtal_Prot#'!A:AL,10,FALSE)+9,1)</f>
        <v>F</v>
      </c>
      <c r="Z96" s="50" t="str">
        <f>MID(VLOOKUP($A96,Seqs!$A:$B,2,FALSE),VLOOKUP($A96,'SegEnds_NonXtal_Prot#'!A:AL,10,FALSE)+10,1)</f>
        <v>Q</v>
      </c>
      <c r="AA96" s="28" t="str">
        <f>MID(VLOOKUP($A96,Seqs!$A:$B,2,FALSE),VLOOKUP($A96,'SegEnds_NonXtal_Prot#'!$A:$AL,22,FALSE)+6,1)</f>
        <v>A</v>
      </c>
      <c r="AB96" s="50" t="str">
        <f>MID(VLOOKUP($A96,Seqs!$A:$B,2,FALSE),VLOOKUP($A96,'SegEnds_NonXtal_Prot#'!$A:$AL,22,FALSE)+7,1)</f>
        <v>T</v>
      </c>
      <c r="AC96" s="50" t="str">
        <f>MID(VLOOKUP($A96,Seqs!$A:$B,2,FALSE),VLOOKUP($A96,'SegEnds_NonXtal_Prot#'!$A:$AL,22,FALSE)+8,1)</f>
        <v>I</v>
      </c>
      <c r="AD96" s="50" t="str">
        <f>MID(VLOOKUP($A96,Seqs!$A:$B,2,FALSE),VLOOKUP($A96,'SegEnds_NonXtal_Prot#'!$A:$AL,22,FALSE)+9,1)</f>
        <v>P</v>
      </c>
      <c r="AE96" s="50" t="str">
        <f>MID(VLOOKUP($A96,Seqs!$A:$B,2,FALSE),VLOOKUP($A96,'SegEnds_NonXtal_Prot#'!$A:$AL,22,FALSE)+10,1)</f>
        <v>L</v>
      </c>
      <c r="AF96" s="28" t="str">
        <f>MID(VLOOKUP($A96,Seqs!$A:$B,2,FALSE),VLOOKUP($A96,'SegEnds_NonXtal_Prot#'!$A:$AL,28,FALSE)-4,1)</f>
        <v>G</v>
      </c>
      <c r="AG96" s="50" t="str">
        <f>MID(VLOOKUP($A96,Seqs!$A:$B,2,FALSE),VLOOKUP($A96,'SegEnds_NonXtal_Prot#'!$A:$AL,28,FALSE),1)</f>
        <v>P</v>
      </c>
    </row>
    <row r="97" spans="1:33" s="2" customFormat="1" x14ac:dyDescent="0.2">
      <c r="A97" s="2" t="s">
        <v>178</v>
      </c>
      <c r="B97" s="2" t="str">
        <f>LOWER(VLOOKUP(A97,Xtal_Templ!A:B,2,FALSE))</f>
        <v>ccr5_human</v>
      </c>
      <c r="C97" s="2" t="str">
        <f>VLOOKUP(A97,Classification!A:D,2,FALSE)</f>
        <v>A</v>
      </c>
      <c r="D97" s="2" t="str">
        <f>IF(ISERROR(MATCH(A97,'SegEnds_Xtal_Prot#'!B:B, 0)), "NoXtal", "Xtal")</f>
        <v>NoXtal</v>
      </c>
      <c r="G97" s="4"/>
      <c r="M97" s="2" t="s">
        <v>14</v>
      </c>
      <c r="Q97" s="2" t="s">
        <v>9</v>
      </c>
      <c r="S97" s="4" t="s">
        <v>12</v>
      </c>
      <c r="U97" s="28" t="str">
        <f>MID(VLOOKUP($A97,Seqs!$A:$B,2,FALSE),VLOOKUP($A97,'SegEnds_NonXtal_Prot#'!A:AL,10,FALSE),1)</f>
        <v>N</v>
      </c>
      <c r="V97" s="50" t="str">
        <f>MID(VLOOKUP($A97,Seqs!$A:$B,2,FALSE),VLOOKUP($A97,'SegEnds_NonXtal_Prot#'!A:AL,10,FALSE)+6,1)</f>
        <v>T</v>
      </c>
      <c r="W97" s="50" t="str">
        <f>MID(VLOOKUP($A97,Seqs!$A:$B,2,FALSE),VLOOKUP($A97,'SegEnds_NonXtal_Prot#'!A:AL,10,FALSE)+7,1)</f>
        <v>L</v>
      </c>
      <c r="X97" s="50" t="str">
        <f>MID(VLOOKUP($A97,Seqs!$A:$B,2,FALSE),VLOOKUP($A97,'SegEnds_NonXtal_Prot#'!A:AL,10,FALSE)+8,1)</f>
        <v>P</v>
      </c>
      <c r="Y97" s="50" t="str">
        <f>MID(VLOOKUP($A97,Seqs!$A:$B,2,FALSE),VLOOKUP($A97,'SegEnds_NonXtal_Prot#'!A:AL,10,FALSE)+9,1)</f>
        <v>F</v>
      </c>
      <c r="Z97" s="50" t="str">
        <f>MID(VLOOKUP($A97,Seqs!$A:$B,2,FALSE),VLOOKUP($A97,'SegEnds_NonXtal_Prot#'!A:AL,10,FALSE)+10,1)</f>
        <v>W</v>
      </c>
      <c r="AA97" s="28" t="str">
        <f>MID(VLOOKUP($A97,Seqs!$A:$B,2,FALSE),VLOOKUP($A97,'SegEnds_NonXtal_Prot#'!$A:$AL,22,FALSE)+6,1)</f>
        <v>A</v>
      </c>
      <c r="AB97" s="50" t="str">
        <f>MID(VLOOKUP($A97,Seqs!$A:$B,2,FALSE),VLOOKUP($A97,'SegEnds_NonXtal_Prot#'!$A:$AL,22,FALSE)+7,1)</f>
        <v>T</v>
      </c>
      <c r="AC97" s="50" t="str">
        <f>MID(VLOOKUP($A97,Seqs!$A:$B,2,FALSE),VLOOKUP($A97,'SegEnds_NonXtal_Prot#'!$A:$AL,22,FALSE)+8,1)</f>
        <v>L</v>
      </c>
      <c r="AD97" s="50" t="str">
        <f>MID(VLOOKUP($A97,Seqs!$A:$B,2,FALSE),VLOOKUP($A97,'SegEnds_NonXtal_Prot#'!$A:$AL,22,FALSE)+9,1)</f>
        <v>P</v>
      </c>
      <c r="AE97" s="50" t="str">
        <f>MID(VLOOKUP($A97,Seqs!$A:$B,2,FALSE),VLOOKUP($A97,'SegEnds_NonXtal_Prot#'!$A:$AL,22,FALSE)+10,1)</f>
        <v>E</v>
      </c>
      <c r="AF97" s="28" t="str">
        <f>MID(VLOOKUP($A97,Seqs!$A:$B,2,FALSE),VLOOKUP($A97,'SegEnds_NonXtal_Prot#'!$A:$AL,28,FALSE)-4,1)</f>
        <v>V</v>
      </c>
      <c r="AG97" s="50" t="str">
        <f>MID(VLOOKUP($A97,Seqs!$A:$B,2,FALSE),VLOOKUP($A97,'SegEnds_NonXtal_Prot#'!$A:$AL,28,FALSE),1)</f>
        <v>P</v>
      </c>
    </row>
    <row r="98" spans="1:33" s="2" customFormat="1" x14ac:dyDescent="0.2">
      <c r="A98" s="2" t="s">
        <v>184</v>
      </c>
      <c r="B98" s="2" t="str">
        <f>LOWER(VLOOKUP(A98,Xtal_Templ!A:B,2,FALSE))</f>
        <v>ccr5_human</v>
      </c>
      <c r="C98" s="2" t="str">
        <f>VLOOKUP(A98,Classification!A:D,2,FALSE)</f>
        <v>A</v>
      </c>
      <c r="D98" s="2" t="str">
        <f>IF(ISERROR(MATCH(A98,'SegEnds_Xtal_Prot#'!B:B, 0)), "NoXtal", "Xtal")</f>
        <v>NoXtal</v>
      </c>
      <c r="G98" s="4"/>
      <c r="M98" s="2" t="s">
        <v>14</v>
      </c>
      <c r="Q98" s="2" t="s">
        <v>9</v>
      </c>
      <c r="S98" s="4" t="s">
        <v>12</v>
      </c>
      <c r="U98" s="28" t="str">
        <f>MID(VLOOKUP($A98,Seqs!$A:$B,2,FALSE),VLOOKUP($A98,'SegEnds_NonXtal_Prot#'!A:AL,10,FALSE),1)</f>
        <v>D</v>
      </c>
      <c r="V98" s="50" t="str">
        <f>MID(VLOOKUP($A98,Seqs!$A:$B,2,FALSE),VLOOKUP($A98,'SegEnds_NonXtal_Prot#'!A:AL,10,FALSE)+6,1)</f>
        <v>T</v>
      </c>
      <c r="W98" s="50" t="str">
        <f>MID(VLOOKUP($A98,Seqs!$A:$B,2,FALSE),VLOOKUP($A98,'SegEnds_NonXtal_Prot#'!A:AL,10,FALSE)+7,1)</f>
        <v>L</v>
      </c>
      <c r="X98" s="50" t="str">
        <f>MID(VLOOKUP($A98,Seqs!$A:$B,2,FALSE),VLOOKUP($A98,'SegEnds_NonXtal_Prot#'!A:AL,10,FALSE)+8,1)</f>
        <v>P</v>
      </c>
      <c r="Y98" s="50" t="str">
        <f>MID(VLOOKUP($A98,Seqs!$A:$B,2,FALSE),VLOOKUP($A98,'SegEnds_NonXtal_Prot#'!A:AL,10,FALSE)+9,1)</f>
        <v>F</v>
      </c>
      <c r="Z98" s="50" t="str">
        <f>MID(VLOOKUP($A98,Seqs!$A:$B,2,FALSE),VLOOKUP($A98,'SegEnds_NonXtal_Prot#'!A:AL,10,FALSE)+10,1)</f>
        <v>W</v>
      </c>
      <c r="AA98" s="28" t="str">
        <f>MID(VLOOKUP($A98,Seqs!$A:$B,2,FALSE),VLOOKUP($A98,'SegEnds_NonXtal_Prot#'!$A:$AL,22,FALSE)+6,1)</f>
        <v>V</v>
      </c>
      <c r="AB98" s="50" t="str">
        <f>MID(VLOOKUP($A98,Seqs!$A:$B,2,FALSE),VLOOKUP($A98,'SegEnds_NonXtal_Prot#'!$A:$AL,22,FALSE)+7,1)</f>
        <v>A</v>
      </c>
      <c r="AC98" s="50" t="str">
        <f>MID(VLOOKUP($A98,Seqs!$A:$B,2,FALSE),VLOOKUP($A98,'SegEnds_NonXtal_Prot#'!$A:$AL,22,FALSE)+8,1)</f>
        <v>A</v>
      </c>
      <c r="AD98" s="50" t="str">
        <f>MID(VLOOKUP($A98,Seqs!$A:$B,2,FALSE),VLOOKUP($A98,'SegEnds_NonXtal_Prot#'!$A:$AL,22,FALSE)+9,1)</f>
        <v>P</v>
      </c>
      <c r="AE98" s="50" t="str">
        <f>MID(VLOOKUP($A98,Seqs!$A:$B,2,FALSE),VLOOKUP($A98,'SegEnds_NonXtal_Prot#'!$A:$AL,22,FALSE)+10,1)</f>
        <v>Q</v>
      </c>
      <c r="AF98" s="28" t="str">
        <f>MID(VLOOKUP($A98,Seqs!$A:$B,2,FALSE),VLOOKUP($A98,'SegEnds_NonXtal_Prot#'!$A:$AL,28,FALSE)-4,1)</f>
        <v>G</v>
      </c>
      <c r="AG98" s="50" t="str">
        <f>MID(VLOOKUP($A98,Seqs!$A:$B,2,FALSE),VLOOKUP($A98,'SegEnds_NonXtal_Prot#'!$A:$AL,28,FALSE),1)</f>
        <v>P</v>
      </c>
    </row>
    <row r="99" spans="1:33" s="2" customFormat="1" x14ac:dyDescent="0.2">
      <c r="A99" s="2" t="s">
        <v>185</v>
      </c>
      <c r="B99" s="2" t="str">
        <f>LOWER(VLOOKUP(A99,Xtal_Templ!A:B,2,FALSE))</f>
        <v>ccr2_human</v>
      </c>
      <c r="C99" s="2" t="str">
        <f>VLOOKUP(A99,Classification!A:D,2,FALSE)</f>
        <v>A</v>
      </c>
      <c r="D99" s="2" t="str">
        <f>IF(ISERROR(MATCH(A99,'SegEnds_Xtal_Prot#'!B:B, 0)), "NoXtal", "Xtal")</f>
        <v>NoXtal</v>
      </c>
      <c r="G99" s="4"/>
      <c r="M99" s="2" t="s">
        <v>14</v>
      </c>
      <c r="Q99" s="2" t="s">
        <v>9</v>
      </c>
      <c r="S99" s="4" t="s">
        <v>12</v>
      </c>
      <c r="U99" s="28" t="str">
        <f>MID(VLOOKUP($A99,Seqs!$A:$B,2,FALSE),VLOOKUP($A99,'SegEnds_NonXtal_Prot#'!A:AL,10,FALSE),1)</f>
        <v>D</v>
      </c>
      <c r="V99" s="50" t="str">
        <f>MID(VLOOKUP($A99,Seqs!$A:$B,2,FALSE),VLOOKUP($A99,'SegEnds_NonXtal_Prot#'!A:AL,10,FALSE)+6,1)</f>
        <v>T</v>
      </c>
      <c r="W99" s="50" t="str">
        <f>MID(VLOOKUP($A99,Seqs!$A:$B,2,FALSE),VLOOKUP($A99,'SegEnds_NonXtal_Prot#'!A:AL,10,FALSE)+7,1)</f>
        <v>L</v>
      </c>
      <c r="X99" s="50" t="str">
        <f>MID(VLOOKUP($A99,Seqs!$A:$B,2,FALSE),VLOOKUP($A99,'SegEnds_NonXtal_Prot#'!A:AL,10,FALSE)+8,1)</f>
        <v>P</v>
      </c>
      <c r="Y99" s="50" t="str">
        <f>MID(VLOOKUP($A99,Seqs!$A:$B,2,FALSE),VLOOKUP($A99,'SegEnds_NonXtal_Prot#'!A:AL,10,FALSE)+9,1)</f>
        <v>I</v>
      </c>
      <c r="Z99" s="50" t="str">
        <f>MID(VLOOKUP($A99,Seqs!$A:$B,2,FALSE),VLOOKUP($A99,'SegEnds_NonXtal_Prot#'!A:AL,10,FALSE)+10,1)</f>
        <v>W</v>
      </c>
      <c r="AA99" s="28" t="str">
        <f>MID(VLOOKUP($A99,Seqs!$A:$B,2,FALSE),VLOOKUP($A99,'SegEnds_NonXtal_Prot#'!$A:$AL,22,FALSE)+6,1)</f>
        <v>L</v>
      </c>
      <c r="AB99" s="50" t="str">
        <f>MID(VLOOKUP($A99,Seqs!$A:$B,2,FALSE),VLOOKUP($A99,'SegEnds_NonXtal_Prot#'!$A:$AL,22,FALSE)+7,1)</f>
        <v>S</v>
      </c>
      <c r="AC99" s="50" t="str">
        <f>MID(VLOOKUP($A99,Seqs!$A:$B,2,FALSE),VLOOKUP($A99,'SegEnds_NonXtal_Prot#'!$A:$AL,22,FALSE)+8,1)</f>
        <v>L</v>
      </c>
      <c r="AD99" s="50" t="str">
        <f>MID(VLOOKUP($A99,Seqs!$A:$B,2,FALSE),VLOOKUP($A99,'SegEnds_NonXtal_Prot#'!$A:$AL,22,FALSE)+9,1)</f>
        <v>P</v>
      </c>
      <c r="AE99" s="50" t="str">
        <f>MID(VLOOKUP($A99,Seqs!$A:$B,2,FALSE),VLOOKUP($A99,'SegEnds_NonXtal_Prot#'!$A:$AL,22,FALSE)+10,1)</f>
        <v>F</v>
      </c>
      <c r="AF99" s="28" t="str">
        <f>MID(VLOOKUP($A99,Seqs!$A:$B,2,FALSE),VLOOKUP($A99,'SegEnds_NonXtal_Prot#'!$A:$AL,28,FALSE)-4,1)</f>
        <v>G</v>
      </c>
      <c r="AG99" s="50" t="str">
        <f>MID(VLOOKUP($A99,Seqs!$A:$B,2,FALSE),VLOOKUP($A99,'SegEnds_NonXtal_Prot#'!$A:$AL,28,FALSE),1)</f>
        <v>P</v>
      </c>
    </row>
    <row r="100" spans="1:33" s="2" customFormat="1" x14ac:dyDescent="0.2">
      <c r="A100" s="2" t="s">
        <v>186</v>
      </c>
      <c r="B100" s="2" t="str">
        <f>LOWER(VLOOKUP(A100,Xtal_Templ!A:B,2,FALSE))</f>
        <v>ccr9_human</v>
      </c>
      <c r="C100" s="2" t="str">
        <f>VLOOKUP(A100,Classification!A:D,2,FALSE)</f>
        <v>A</v>
      </c>
      <c r="D100" s="2" t="str">
        <f>IF(ISERROR(MATCH(A100,'SegEnds_Xtal_Prot#'!B:B, 0)), "NoXtal", "Xtal")</f>
        <v>NoXtal</v>
      </c>
      <c r="G100" s="4"/>
      <c r="M100" s="2" t="s">
        <v>14</v>
      </c>
      <c r="Q100" s="2" t="s">
        <v>9</v>
      </c>
      <c r="S100" s="4" t="s">
        <v>12</v>
      </c>
      <c r="U100" s="28" t="str">
        <f>MID(VLOOKUP($A100,Seqs!$A:$B,2,FALSE),VLOOKUP($A100,'SegEnds_NonXtal_Prot#'!A:AL,10,FALSE),1)</f>
        <v>D</v>
      </c>
      <c r="V100" s="50" t="str">
        <f>MID(VLOOKUP($A100,Seqs!$A:$B,2,FALSE),VLOOKUP($A100,'SegEnds_NonXtal_Prot#'!A:AL,10,FALSE)+6,1)</f>
        <v>T</v>
      </c>
      <c r="W100" s="50" t="str">
        <f>MID(VLOOKUP($A100,Seqs!$A:$B,2,FALSE),VLOOKUP($A100,'SegEnds_NonXtal_Prot#'!A:AL,10,FALSE)+7,1)</f>
        <v>L</v>
      </c>
      <c r="X100" s="50" t="str">
        <f>MID(VLOOKUP($A100,Seqs!$A:$B,2,FALSE),VLOOKUP($A100,'SegEnds_NonXtal_Prot#'!A:AL,10,FALSE)+8,1)</f>
        <v>P</v>
      </c>
      <c r="Y100" s="50" t="str">
        <f>MID(VLOOKUP($A100,Seqs!$A:$B,2,FALSE),VLOOKUP($A100,'SegEnds_NonXtal_Prot#'!A:AL,10,FALSE)+9,1)</f>
        <v>I</v>
      </c>
      <c r="Z100" s="50" t="str">
        <f>MID(VLOOKUP($A100,Seqs!$A:$B,2,FALSE),VLOOKUP($A100,'SegEnds_NonXtal_Prot#'!A:AL,10,FALSE)+10,1)</f>
        <v>W</v>
      </c>
      <c r="AA100" s="28" t="str">
        <f>MID(VLOOKUP($A100,Seqs!$A:$B,2,FALSE),VLOOKUP($A100,'SegEnds_NonXtal_Prot#'!$A:$AL,22,FALSE)+6,1)</f>
        <v>L</v>
      </c>
      <c r="AB100" s="50" t="str">
        <f>MID(VLOOKUP($A100,Seqs!$A:$B,2,FALSE),VLOOKUP($A100,'SegEnds_NonXtal_Prot#'!$A:$AL,22,FALSE)+7,1)</f>
        <v>A</v>
      </c>
      <c r="AC100" s="50" t="str">
        <f>MID(VLOOKUP($A100,Seqs!$A:$B,2,FALSE),VLOOKUP($A100,'SegEnds_NonXtal_Prot#'!$A:$AL,22,FALSE)+8,1)</f>
        <v>L</v>
      </c>
      <c r="AD100" s="50" t="str">
        <f>MID(VLOOKUP($A100,Seqs!$A:$B,2,FALSE),VLOOKUP($A100,'SegEnds_NonXtal_Prot#'!$A:$AL,22,FALSE)+9,1)</f>
        <v>P</v>
      </c>
      <c r="AE100" s="50" t="str">
        <f>MID(VLOOKUP($A100,Seqs!$A:$B,2,FALSE),VLOOKUP($A100,'SegEnds_NonXtal_Prot#'!$A:$AL,22,FALSE)+10,1)</f>
        <v>V</v>
      </c>
      <c r="AF100" s="28" t="str">
        <f>MID(VLOOKUP($A100,Seqs!$A:$B,2,FALSE),VLOOKUP($A100,'SegEnds_NonXtal_Prot#'!$A:$AL,28,FALSE)-4,1)</f>
        <v>G</v>
      </c>
      <c r="AG100" s="50" t="str">
        <f>MID(VLOOKUP($A100,Seqs!$A:$B,2,FALSE),VLOOKUP($A100,'SegEnds_NonXtal_Prot#'!$A:$AL,28,FALSE),1)</f>
        <v>P</v>
      </c>
    </row>
    <row r="101" spans="1:33" s="2" customFormat="1" x14ac:dyDescent="0.2">
      <c r="A101" s="2" t="s">
        <v>189</v>
      </c>
      <c r="B101" s="2" t="str">
        <f>LOWER(VLOOKUP(A101,Xtal_Templ!A:B,2,FALSE))</f>
        <v>ccr9_human</v>
      </c>
      <c r="C101" s="2" t="str">
        <f>VLOOKUP(A101,Classification!A:D,2,FALSE)</f>
        <v>A</v>
      </c>
      <c r="D101" s="2" t="str">
        <f>IF(ISERROR(MATCH(A101,'SegEnds_Xtal_Prot#'!B:B, 0)), "NoXtal", "Xtal")</f>
        <v>NoXtal</v>
      </c>
      <c r="G101" s="4"/>
      <c r="M101" s="2" t="s">
        <v>14</v>
      </c>
      <c r="Q101" s="2" t="s">
        <v>9</v>
      </c>
      <c r="S101" s="4" t="s">
        <v>12</v>
      </c>
      <c r="U101" s="28" t="str">
        <f>MID(VLOOKUP($A101,Seqs!$A:$B,2,FALSE),VLOOKUP($A101,'SegEnds_NonXtal_Prot#'!A:AL,10,FALSE),1)</f>
        <v>D</v>
      </c>
      <c r="V101" s="50" t="str">
        <f>MID(VLOOKUP($A101,Seqs!$A:$B,2,FALSE),VLOOKUP($A101,'SegEnds_NonXtal_Prot#'!A:AL,10,FALSE)+6,1)</f>
        <v>T</v>
      </c>
      <c r="W101" s="50" t="str">
        <f>MID(VLOOKUP($A101,Seqs!$A:$B,2,FALSE),VLOOKUP($A101,'SegEnds_NonXtal_Prot#'!A:AL,10,FALSE)+7,1)</f>
        <v>L</v>
      </c>
      <c r="X101" s="50" t="str">
        <f>MID(VLOOKUP($A101,Seqs!$A:$B,2,FALSE),VLOOKUP($A101,'SegEnds_NonXtal_Prot#'!A:AL,10,FALSE)+8,1)</f>
        <v>P</v>
      </c>
      <c r="Y101" s="50" t="str">
        <f>MID(VLOOKUP($A101,Seqs!$A:$B,2,FALSE),VLOOKUP($A101,'SegEnds_NonXtal_Prot#'!A:AL,10,FALSE)+9,1)</f>
        <v>F</v>
      </c>
      <c r="Z101" s="50" t="str">
        <f>MID(VLOOKUP($A101,Seqs!$A:$B,2,FALSE),VLOOKUP($A101,'SegEnds_NonXtal_Prot#'!A:AL,10,FALSE)+10,1)</f>
        <v>W</v>
      </c>
      <c r="AA101" s="28" t="str">
        <f>MID(VLOOKUP($A101,Seqs!$A:$B,2,FALSE),VLOOKUP($A101,'SegEnds_NonXtal_Prot#'!$A:$AL,22,FALSE)+6,1)</f>
        <v>V</v>
      </c>
      <c r="AB101" s="50" t="str">
        <f>MID(VLOOKUP($A101,Seqs!$A:$B,2,FALSE),VLOOKUP($A101,'SegEnds_NonXtal_Prot#'!$A:$AL,22,FALSE)+7,1)</f>
        <v>S</v>
      </c>
      <c r="AC101" s="50" t="str">
        <f>MID(VLOOKUP($A101,Seqs!$A:$B,2,FALSE),VLOOKUP($A101,'SegEnds_NonXtal_Prot#'!$A:$AL,22,FALSE)+8,1)</f>
        <v>L</v>
      </c>
      <c r="AD101" s="50" t="str">
        <f>MID(VLOOKUP($A101,Seqs!$A:$B,2,FALSE),VLOOKUP($A101,'SegEnds_NonXtal_Prot#'!$A:$AL,22,FALSE)+9,1)</f>
        <v>P</v>
      </c>
      <c r="AE101" s="50" t="str">
        <f>MID(VLOOKUP($A101,Seqs!$A:$B,2,FALSE),VLOOKUP($A101,'SegEnds_NonXtal_Prot#'!$A:$AL,22,FALSE)+10,1)</f>
        <v>Q</v>
      </c>
      <c r="AF101" s="28" t="str">
        <f>MID(VLOOKUP($A101,Seqs!$A:$B,2,FALSE),VLOOKUP($A101,'SegEnds_NonXtal_Prot#'!$A:$AL,28,FALSE)-4,1)</f>
        <v>G</v>
      </c>
      <c r="AG101" s="50" t="str">
        <f>MID(VLOOKUP($A101,Seqs!$A:$B,2,FALSE),VLOOKUP($A101,'SegEnds_NonXtal_Prot#'!$A:$AL,28,FALSE),1)</f>
        <v>P</v>
      </c>
    </row>
    <row r="102" spans="1:33" s="2" customFormat="1" x14ac:dyDescent="0.2">
      <c r="A102" s="2" t="s">
        <v>400</v>
      </c>
      <c r="B102" s="2" t="str">
        <f>LOWER(VLOOKUP(A102,Xtal_Templ!A:B,2,FALSE))</f>
        <v>ccr5_human</v>
      </c>
      <c r="C102" s="2" t="str">
        <f>VLOOKUP(A102,Classification!A:D,2,FALSE)</f>
        <v>A</v>
      </c>
      <c r="D102" s="2" t="str">
        <f>IF(ISERROR(MATCH(A102,'SegEnds_Xtal_Prot#'!B:B, 0)), "NoXtal", "Xtal")</f>
        <v>NoXtal</v>
      </c>
      <c r="G102" s="4"/>
      <c r="S102" s="4" t="s">
        <v>12</v>
      </c>
      <c r="U102" s="28" t="str">
        <f>MID(VLOOKUP($A102,Seqs!$A:$B,2,FALSE),VLOOKUP($A102,'SegEnds_NonXtal_Prot#'!A:AL,10,FALSE),1)</f>
        <v>D</v>
      </c>
      <c r="V102" s="50" t="str">
        <f>MID(VLOOKUP($A102,Seqs!$A:$B,2,FALSE),VLOOKUP($A102,'SegEnds_NonXtal_Prot#'!A:AL,10,FALSE)+6,1)</f>
        <v>L</v>
      </c>
      <c r="W102" s="50" t="str">
        <f>MID(VLOOKUP($A102,Seqs!$A:$B,2,FALSE),VLOOKUP($A102,'SegEnds_NonXtal_Prot#'!A:AL,10,FALSE)+7,1)</f>
        <v>L</v>
      </c>
      <c r="X102" s="50" t="str">
        <f>MID(VLOOKUP($A102,Seqs!$A:$B,2,FALSE),VLOOKUP($A102,'SegEnds_NonXtal_Prot#'!A:AL,10,FALSE)+8,1)</f>
        <v>P</v>
      </c>
      <c r="Y102" s="50" t="str">
        <f>MID(VLOOKUP($A102,Seqs!$A:$B,2,FALSE),VLOOKUP($A102,'SegEnds_NonXtal_Prot#'!A:AL,10,FALSE)+9,1)</f>
        <v>V</v>
      </c>
      <c r="Z102" s="50" t="str">
        <f>MID(VLOOKUP($A102,Seqs!$A:$B,2,FALSE),VLOOKUP($A102,'SegEnds_NonXtal_Prot#'!A:AL,10,FALSE)+10,1)</f>
        <v>W</v>
      </c>
      <c r="AA102" s="28" t="str">
        <f>MID(VLOOKUP($A102,Seqs!$A:$B,2,FALSE),VLOOKUP($A102,'SegEnds_NonXtal_Prot#'!$A:$AL,22,FALSE)+6,1)</f>
        <v>S</v>
      </c>
      <c r="AB102" s="50" t="str">
        <f>MID(VLOOKUP($A102,Seqs!$A:$B,2,FALSE),VLOOKUP($A102,'SegEnds_NonXtal_Prot#'!$A:$AL,22,FALSE)+7,1)</f>
        <v>S</v>
      </c>
      <c r="AC102" s="50" t="str">
        <f>MID(VLOOKUP($A102,Seqs!$A:$B,2,FALSE),VLOOKUP($A102,'SegEnds_NonXtal_Prot#'!$A:$AL,22,FALSE)+8,1)</f>
        <v>I</v>
      </c>
      <c r="AD102" s="50" t="str">
        <f>MID(VLOOKUP($A102,Seqs!$A:$B,2,FALSE),VLOOKUP($A102,'SegEnds_NonXtal_Prot#'!$A:$AL,22,FALSE)+9,1)</f>
        <v>L</v>
      </c>
      <c r="AE102" s="50" t="str">
        <f>MID(VLOOKUP($A102,Seqs!$A:$B,2,FALSE),VLOOKUP($A102,'SegEnds_NonXtal_Prot#'!$A:$AL,22,FALSE)+10,1)</f>
        <v>D</v>
      </c>
      <c r="AF102" s="28" t="str">
        <f>MID(VLOOKUP($A102,Seqs!$A:$B,2,FALSE),VLOOKUP($A102,'SegEnds_NonXtal_Prot#'!$A:$AL,28,FALSE)-4,1)</f>
        <v>F</v>
      </c>
      <c r="AG102" s="50" t="str">
        <f>MID(VLOOKUP($A102,Seqs!$A:$B,2,FALSE),VLOOKUP($A102,'SegEnds_NonXtal_Prot#'!$A:$AL,28,FALSE),1)</f>
        <v>S</v>
      </c>
    </row>
    <row r="103" spans="1:33" s="2" customFormat="1" x14ac:dyDescent="0.2">
      <c r="A103" s="41" t="s">
        <v>177</v>
      </c>
      <c r="B103" s="41" t="str">
        <f>LOWER(VLOOKUP(A103,Xtal_Templ!A:B,2,FALSE))</f>
        <v>ccr9_human</v>
      </c>
      <c r="C103" s="41" t="str">
        <f>VLOOKUP(A103,Classification!A:D,2,FALSE)</f>
        <v>A</v>
      </c>
      <c r="D103" s="41" t="str">
        <f>IF(ISERROR(MATCH(A103,'SegEnds_Xtal_Prot#'!B:B, 0)), "NoXtal", "Xtal")</f>
        <v>Xtal</v>
      </c>
      <c r="E103" s="41"/>
      <c r="F103" s="41"/>
      <c r="G103" s="11"/>
      <c r="H103" s="41"/>
      <c r="I103" s="41"/>
      <c r="J103" s="41"/>
      <c r="K103" s="41"/>
      <c r="L103" s="41"/>
      <c r="M103" s="41" t="s">
        <v>14</v>
      </c>
      <c r="N103" s="41"/>
      <c r="O103" s="41"/>
      <c r="P103" s="41"/>
      <c r="Q103" s="41" t="s">
        <v>9</v>
      </c>
      <c r="R103" s="41"/>
      <c r="S103" s="11" t="s">
        <v>12</v>
      </c>
      <c r="T103" s="41"/>
      <c r="U103" s="59" t="str">
        <f>MID(VLOOKUP($A103,Seqs!$A:$B,2,FALSE),VLOOKUP($A103,'SegEnds_NonXtal_Prot#'!A:AL,10,FALSE),1)</f>
        <v>D</v>
      </c>
      <c r="V103" s="52" t="str">
        <f>MID(VLOOKUP($A103,Seqs!$A:$B,2,FALSE),VLOOKUP($A103,'SegEnds_NonXtal_Prot#'!A:AL,10,FALSE)+6,1)</f>
        <v>T</v>
      </c>
      <c r="W103" s="52" t="str">
        <f>MID(VLOOKUP($A103,Seqs!$A:$B,2,FALSE),VLOOKUP($A103,'SegEnds_NonXtal_Prot#'!A:AL,10,FALSE)+7,1)</f>
        <v>L</v>
      </c>
      <c r="X103" s="52" t="str">
        <f>MID(VLOOKUP($A103,Seqs!$A:$B,2,FALSE),VLOOKUP($A103,'SegEnds_NonXtal_Prot#'!A:AL,10,FALSE)+8,1)</f>
        <v>P</v>
      </c>
      <c r="Y103" s="50" t="str">
        <f>MID(VLOOKUP($A103,Seqs!$A:$B,2,FALSE),VLOOKUP($A103,'SegEnds_NonXtal_Prot#'!A:AL,10,FALSE)+9,1)</f>
        <v>F</v>
      </c>
      <c r="Z103" s="50" t="str">
        <f>MID(VLOOKUP($A103,Seqs!$A:$B,2,FALSE),VLOOKUP($A103,'SegEnds_NonXtal_Prot#'!A:AL,10,FALSE)+10,1)</f>
        <v>W</v>
      </c>
      <c r="AA103" s="59" t="str">
        <f>MID(VLOOKUP($A103,Seqs!$A:$B,2,FALSE),VLOOKUP($A103,'SegEnds_NonXtal_Prot#'!$A:$AL,22,FALSE)+6,1)</f>
        <v>L</v>
      </c>
      <c r="AB103" s="52" t="str">
        <f>MID(VLOOKUP($A103,Seqs!$A:$B,2,FALSE),VLOOKUP($A103,'SegEnds_NonXtal_Prot#'!$A:$AL,22,FALSE)+7,1)</f>
        <v>C</v>
      </c>
      <c r="AC103" s="52" t="str">
        <f>MID(VLOOKUP($A103,Seqs!$A:$B,2,FALSE),VLOOKUP($A103,'SegEnds_NonXtal_Prot#'!$A:$AL,22,FALSE)+8,1)</f>
        <v>I</v>
      </c>
      <c r="AD103" s="52" t="str">
        <f>MID(VLOOKUP($A103,Seqs!$A:$B,2,FALSE),VLOOKUP($A103,'SegEnds_NonXtal_Prot#'!$A:$AL,22,FALSE)+9,1)</f>
        <v>P</v>
      </c>
      <c r="AE103" s="52" t="str">
        <f>MID(VLOOKUP($A103,Seqs!$A:$B,2,FALSE),VLOOKUP($A103,'SegEnds_NonXtal_Prot#'!$A:$AL,22,FALSE)+10,1)</f>
        <v>E</v>
      </c>
      <c r="AF103" s="59" t="str">
        <f>MID(VLOOKUP($A103,Seqs!$A:$B,2,FALSE),VLOOKUP($A103,'SegEnds_NonXtal_Prot#'!$A:$AL,28,FALSE)-4,1)</f>
        <v>G</v>
      </c>
      <c r="AG103" s="52" t="str">
        <f>MID(VLOOKUP($A103,Seqs!$A:$B,2,FALSE),VLOOKUP($A103,'SegEnds_NonXtal_Prot#'!$A:$AL,28,FALSE),1)</f>
        <v>P</v>
      </c>
    </row>
    <row r="104" spans="1:33" s="2" customFormat="1" x14ac:dyDescent="0.2">
      <c r="A104" s="2" t="s">
        <v>182</v>
      </c>
      <c r="B104" s="2" t="str">
        <f>LOWER(VLOOKUP(A104,Xtal_Templ!A:B,2,FALSE))</f>
        <v>cnr1_human</v>
      </c>
      <c r="C104" s="2" t="str">
        <f>VLOOKUP(A104,Classification!A:D,2,FALSE)</f>
        <v>A</v>
      </c>
      <c r="D104" s="2" t="str">
        <f>IF(ISERROR(MATCH(A104,'SegEnds_Xtal_Prot#'!B:B, 0)), "NoXtal", "Xtal")</f>
        <v>Xtal</v>
      </c>
      <c r="G104" s="4"/>
      <c r="S104" s="4" t="s">
        <v>12</v>
      </c>
      <c r="U104" s="28" t="str">
        <f>MID(VLOOKUP($A104,Seqs!$A:$B,2,FALSE),VLOOKUP($A104,'SegEnds_NonXtal_Prot#'!A:AL,10,FALSE),1)</f>
        <v>D</v>
      </c>
      <c r="V104" s="50" t="str">
        <f>MID(VLOOKUP($A104,Seqs!$A:$B,2,FALSE),VLOOKUP($A104,'SegEnds_NonXtal_Prot#'!A:AL,10,FALSE)+6,1)</f>
        <v>I</v>
      </c>
      <c r="W104" s="50" t="str">
        <f>MID(VLOOKUP($A104,Seqs!$A:$B,2,FALSE),VLOOKUP($A104,'SegEnds_NonXtal_Prot#'!A:AL,10,FALSE)+7,1)</f>
        <v>F</v>
      </c>
      <c r="X104" s="50" t="str">
        <f>MID(VLOOKUP($A104,Seqs!$A:$B,2,FALSE),VLOOKUP($A104,'SegEnds_NonXtal_Prot#'!A:AL,10,FALSE)+8,1)</f>
        <v>V</v>
      </c>
      <c r="Y104" s="50" t="str">
        <f>MID(VLOOKUP($A104,Seqs!$A:$B,2,FALSE),VLOOKUP($A104,'SegEnds_NonXtal_Prot#'!A:AL,10,FALSE)+9,1)</f>
        <v>Y</v>
      </c>
      <c r="Z104" s="50" t="str">
        <f>MID(VLOOKUP($A104,Seqs!$A:$B,2,FALSE),VLOOKUP($A104,'SegEnds_NonXtal_Prot#'!A:AL,10,FALSE)+10,1)</f>
        <v>S</v>
      </c>
      <c r="AA104" s="28" t="str">
        <f>MID(VLOOKUP($A104,Seqs!$A:$B,2,FALSE),VLOOKUP($A104,'SegEnds_NonXtal_Prot#'!$A:$AL,22,FALSE)+6,1)</f>
        <v>I</v>
      </c>
      <c r="AB104" s="50" t="str">
        <f>MID(VLOOKUP($A104,Seqs!$A:$B,2,FALSE),VLOOKUP($A104,'SegEnds_NonXtal_Prot#'!$A:$AL,22,FALSE)+7,1)</f>
        <v>A</v>
      </c>
      <c r="AC104" s="50" t="str">
        <f>MID(VLOOKUP($A104,Seqs!$A:$B,2,FALSE),VLOOKUP($A104,'SegEnds_NonXtal_Prot#'!$A:$AL,22,FALSE)+8,1)</f>
        <v>V</v>
      </c>
      <c r="AD104" s="50" t="str">
        <f>MID(VLOOKUP($A104,Seqs!$A:$B,2,FALSE),VLOOKUP($A104,'SegEnds_NonXtal_Prot#'!$A:$AL,22,FALSE)+9,1)</f>
        <v>L</v>
      </c>
      <c r="AE104" s="50" t="str">
        <f>MID(VLOOKUP($A104,Seqs!$A:$B,2,FALSE),VLOOKUP($A104,'SegEnds_NonXtal_Prot#'!$A:$AL,22,FALSE)+10,1)</f>
        <v>P</v>
      </c>
      <c r="AF104" s="28" t="str">
        <f>MID(VLOOKUP($A104,Seqs!$A:$B,2,FALSE),VLOOKUP($A104,'SegEnds_NonXtal_Prot#'!$A:$AL,28,FALSE)-4,1)</f>
        <v>V</v>
      </c>
      <c r="AG104" s="50" t="str">
        <f>MID(VLOOKUP($A104,Seqs!$A:$B,2,FALSE),VLOOKUP($A104,'SegEnds_NonXtal_Prot#'!$A:$AL,28,FALSE),1)</f>
        <v>L</v>
      </c>
    </row>
    <row r="105" spans="1:33" s="2" customFormat="1" ht="17" customHeight="1" x14ac:dyDescent="0.2">
      <c r="A105" s="2" t="s">
        <v>183</v>
      </c>
      <c r="B105" s="2" t="str">
        <f>LOWER(VLOOKUP(A105,Xtal_Templ!A:B,2,FALSE))</f>
        <v>cnr1_human</v>
      </c>
      <c r="C105" s="2" t="str">
        <f>VLOOKUP(A105,Classification!A:D,2,FALSE)</f>
        <v>A</v>
      </c>
      <c r="D105" s="2" t="str">
        <f>IF(ISERROR(MATCH(A105,'SegEnds_Xtal_Prot#'!B:B, 0)), "NoXtal", "Xtal")</f>
        <v>NoXtal</v>
      </c>
      <c r="G105" s="4"/>
      <c r="S105" s="4" t="s">
        <v>12</v>
      </c>
      <c r="U105" s="28" t="str">
        <f>MID(VLOOKUP($A105,Seqs!$A:$B,2,FALSE),VLOOKUP($A105,'SegEnds_NonXtal_Prot#'!A:AL,10,FALSE),1)</f>
        <v>D</v>
      </c>
      <c r="V105" s="50" t="str">
        <f>MID(VLOOKUP($A105,Seqs!$A:$B,2,FALSE),VLOOKUP($A105,'SegEnds_NonXtal_Prot#'!A:AL,10,FALSE)+6,1)</f>
        <v>V</v>
      </c>
      <c r="W105" s="50" t="str">
        <f>MID(VLOOKUP($A105,Seqs!$A:$B,2,FALSE),VLOOKUP($A105,'SegEnds_NonXtal_Prot#'!A:AL,10,FALSE)+7,1)</f>
        <v>F</v>
      </c>
      <c r="X105" s="50" t="str">
        <f>MID(VLOOKUP($A105,Seqs!$A:$B,2,FALSE),VLOOKUP($A105,'SegEnds_NonXtal_Prot#'!A:AL,10,FALSE)+8,1)</f>
        <v>A</v>
      </c>
      <c r="Y105" s="50" t="str">
        <f>MID(VLOOKUP($A105,Seqs!$A:$B,2,FALSE),VLOOKUP($A105,'SegEnds_NonXtal_Prot#'!A:AL,10,FALSE)+9,1)</f>
        <v>C</v>
      </c>
      <c r="Z105" s="50" t="str">
        <f>MID(VLOOKUP($A105,Seqs!$A:$B,2,FALSE),VLOOKUP($A105,'SegEnds_NonXtal_Prot#'!A:AL,10,FALSE)+10,1)</f>
        <v>S</v>
      </c>
      <c r="AA105" s="28" t="str">
        <f>MID(VLOOKUP($A105,Seqs!$A:$B,2,FALSE),VLOOKUP($A105,'SegEnds_NonXtal_Prot#'!$A:$AL,22,FALSE)+6,1)</f>
        <v>V</v>
      </c>
      <c r="AB105" s="50" t="str">
        <f>MID(VLOOKUP($A105,Seqs!$A:$B,2,FALSE),VLOOKUP($A105,'SegEnds_NonXtal_Prot#'!$A:$AL,22,FALSE)+7,1)</f>
        <v>S</v>
      </c>
      <c r="AC105" s="50" t="str">
        <f>MID(VLOOKUP($A105,Seqs!$A:$B,2,FALSE),VLOOKUP($A105,'SegEnds_NonXtal_Prot#'!$A:$AL,22,FALSE)+8,1)</f>
        <v>Y</v>
      </c>
      <c r="AD105" s="50" t="str">
        <f>MID(VLOOKUP($A105,Seqs!$A:$B,2,FALSE),VLOOKUP($A105,'SegEnds_NonXtal_Prot#'!$A:$AL,22,FALSE)+9,1)</f>
        <v>L</v>
      </c>
      <c r="AE105" s="50" t="str">
        <f>MID(VLOOKUP($A105,Seqs!$A:$B,2,FALSE),VLOOKUP($A105,'SegEnds_NonXtal_Prot#'!$A:$AL,22,FALSE)+10,1)</f>
        <v>P</v>
      </c>
      <c r="AF105" s="28" t="str">
        <f>MID(VLOOKUP($A105,Seqs!$A:$B,2,FALSE),VLOOKUP($A105,'SegEnds_NonXtal_Prot#'!$A:$AL,28,FALSE)-4,1)</f>
        <v>F</v>
      </c>
      <c r="AG105" s="50" t="str">
        <f>MID(VLOOKUP($A105,Seqs!$A:$B,2,FALSE),VLOOKUP($A105,'SegEnds_NonXtal_Prot#'!$A:$AL,28,FALSE),1)</f>
        <v>L</v>
      </c>
    </row>
    <row r="106" spans="1:33" s="2" customFormat="1" x14ac:dyDescent="0.2">
      <c r="A106" s="2" t="s">
        <v>166</v>
      </c>
      <c r="B106" s="2" t="str">
        <f>LOWER(VLOOKUP(A106,Xtal_Templ!A:B,2,FALSE))</f>
        <v>agtr1_human</v>
      </c>
      <c r="C106" s="2" t="str">
        <f>VLOOKUP(A106,Classification!A:D,2,FALSE)</f>
        <v>A</v>
      </c>
      <c r="D106" s="2" t="str">
        <f>IF(ISERROR(MATCH(A106,'SegEnds_Xtal_Prot#'!B:B, 0)), "NoXtal", "Xtal")</f>
        <v>NoXtal</v>
      </c>
      <c r="G106" s="4"/>
      <c r="M106" s="2" t="s">
        <v>14</v>
      </c>
      <c r="Q106" s="2" t="s">
        <v>9</v>
      </c>
      <c r="S106" s="4" t="s">
        <v>12</v>
      </c>
      <c r="U106" s="28" t="str">
        <f>MID(VLOOKUP($A106,Seqs!$A:$B,2,FALSE),VLOOKUP($A106,'SegEnds_NonXtal_Prot#'!A:AL,10,FALSE),1)</f>
        <v>D</v>
      </c>
      <c r="V106" s="50" t="str">
        <f>MID(VLOOKUP($A106,Seqs!$A:$B,2,FALSE),VLOOKUP($A106,'SegEnds_NonXtal_Prot#'!A:AL,10,FALSE)+6,1)</f>
        <v>S</v>
      </c>
      <c r="W106" s="50" t="str">
        <f>MID(VLOOKUP($A106,Seqs!$A:$B,2,FALSE),VLOOKUP($A106,'SegEnds_NonXtal_Prot#'!A:AL,10,FALSE)+7,1)</f>
        <v>L</v>
      </c>
      <c r="X106" s="50" t="str">
        <f>MID(VLOOKUP($A106,Seqs!$A:$B,2,FALSE),VLOOKUP($A106,'SegEnds_NonXtal_Prot#'!A:AL,10,FALSE)+8,1)</f>
        <v>P</v>
      </c>
      <c r="Y106" s="50" t="str">
        <f>MID(VLOOKUP($A106,Seqs!$A:$B,2,FALSE),VLOOKUP($A106,'SegEnds_NonXtal_Prot#'!A:AL,10,FALSE)+9,1)</f>
        <v>I</v>
      </c>
      <c r="Z106" s="50" t="str">
        <f>MID(VLOOKUP($A106,Seqs!$A:$B,2,FALSE),VLOOKUP($A106,'SegEnds_NonXtal_Prot#'!A:AL,10,FALSE)+10,1)</f>
        <v>L</v>
      </c>
      <c r="AA106" s="28" t="str">
        <f>MID(VLOOKUP($A106,Seqs!$A:$B,2,FALSE),VLOOKUP($A106,'SegEnds_NonXtal_Prot#'!$A:$AL,22,FALSE)+6,1)</f>
        <v>L</v>
      </c>
      <c r="AB106" s="50" t="str">
        <f>MID(VLOOKUP($A106,Seqs!$A:$B,2,FALSE),VLOOKUP($A106,'SegEnds_NonXtal_Prot#'!$A:$AL,22,FALSE)+7,1)</f>
        <v>T</v>
      </c>
      <c r="AC106" s="50" t="str">
        <f>MID(VLOOKUP($A106,Seqs!$A:$B,2,FALSE),VLOOKUP($A106,'SegEnds_NonXtal_Prot#'!$A:$AL,22,FALSE)+8,1)</f>
        <v>V</v>
      </c>
      <c r="AD106" s="50" t="str">
        <f>MID(VLOOKUP($A106,Seqs!$A:$B,2,FALSE),VLOOKUP($A106,'SegEnds_NonXtal_Prot#'!$A:$AL,22,FALSE)+9,1)</f>
        <v>P</v>
      </c>
      <c r="AE106" s="50" t="str">
        <f>MID(VLOOKUP($A106,Seqs!$A:$B,2,FALSE),VLOOKUP($A106,'SegEnds_NonXtal_Prot#'!$A:$AL,22,FALSE)+10,1)</f>
        <v>S</v>
      </c>
      <c r="AF106" s="28" t="str">
        <f>MID(VLOOKUP($A106,Seqs!$A:$B,2,FALSE),VLOOKUP($A106,'SegEnds_NonXtal_Prot#'!$A:$AL,28,FALSE)-4,1)</f>
        <v>G</v>
      </c>
      <c r="AG106" s="50" t="str">
        <f>MID(VLOOKUP($A106,Seqs!$A:$B,2,FALSE),VLOOKUP($A106,'SegEnds_NonXtal_Prot#'!$A:$AL,28,FALSE),1)</f>
        <v>P</v>
      </c>
    </row>
    <row r="107" spans="1:33" s="2" customFormat="1" x14ac:dyDescent="0.2">
      <c r="A107" s="2" t="s">
        <v>187</v>
      </c>
      <c r="B107" s="2" t="str">
        <f>LOWER(VLOOKUP(A107,Xtal_Templ!A:B,2,FALSE))</f>
        <v>cxcr4_human</v>
      </c>
      <c r="C107" s="2" t="str">
        <f>VLOOKUP(A107,Classification!A:D,2,FALSE)</f>
        <v>A</v>
      </c>
      <c r="D107" s="2" t="str">
        <f>IF(ISERROR(MATCH(A107,'SegEnds_Xtal_Prot#'!B:B, 0)), "NoXtal", "Xtal")</f>
        <v>NoXtal</v>
      </c>
      <c r="G107" s="4"/>
      <c r="M107" s="2" t="s">
        <v>14</v>
      </c>
      <c r="Q107" s="2" t="s">
        <v>9</v>
      </c>
      <c r="S107" s="4" t="s">
        <v>12</v>
      </c>
      <c r="U107" s="28" t="str">
        <f>MID(VLOOKUP($A107,Seqs!$A:$B,2,FALSE),VLOOKUP($A107,'SegEnds_NonXtal_Prot#'!A:AL,10,FALSE),1)</f>
        <v>D</v>
      </c>
      <c r="V107" s="50" t="str">
        <f>MID(VLOOKUP($A107,Seqs!$A:$B,2,FALSE),VLOOKUP($A107,'SegEnds_NonXtal_Prot#'!A:AL,10,FALSE)+6,1)</f>
        <v>T</v>
      </c>
      <c r="W107" s="50" t="str">
        <f>MID(VLOOKUP($A107,Seqs!$A:$B,2,FALSE),VLOOKUP($A107,'SegEnds_NonXtal_Prot#'!A:AL,10,FALSE)+7,1)</f>
        <v>L</v>
      </c>
      <c r="X107" s="50" t="str">
        <f>MID(VLOOKUP($A107,Seqs!$A:$B,2,FALSE),VLOOKUP($A107,'SegEnds_NonXtal_Prot#'!A:AL,10,FALSE)+8,1)</f>
        <v>P</v>
      </c>
      <c r="Y107" s="50" t="str">
        <f>MID(VLOOKUP($A107,Seqs!$A:$B,2,FALSE),VLOOKUP($A107,'SegEnds_NonXtal_Prot#'!A:AL,10,FALSE)+9,1)</f>
        <v>L</v>
      </c>
      <c r="Z107" s="50" t="str">
        <f>MID(VLOOKUP($A107,Seqs!$A:$B,2,FALSE),VLOOKUP($A107,'SegEnds_NonXtal_Prot#'!A:AL,10,FALSE)+10,1)</f>
        <v>W</v>
      </c>
      <c r="AA107" s="28" t="str">
        <f>MID(VLOOKUP($A107,Seqs!$A:$B,2,FALSE),VLOOKUP($A107,'SegEnds_NonXtal_Prot#'!$A:$AL,22,FALSE)+6,1)</f>
        <v>F</v>
      </c>
      <c r="AB107" s="50" t="str">
        <f>MID(VLOOKUP($A107,Seqs!$A:$B,2,FALSE),VLOOKUP($A107,'SegEnds_NonXtal_Prot#'!$A:$AL,22,FALSE)+7,1)</f>
        <v>A</v>
      </c>
      <c r="AC107" s="50" t="str">
        <f>MID(VLOOKUP($A107,Seqs!$A:$B,2,FALSE),VLOOKUP($A107,'SegEnds_NonXtal_Prot#'!$A:$AL,22,FALSE)+8,1)</f>
        <v>L</v>
      </c>
      <c r="AD107" s="50" t="str">
        <f>MID(VLOOKUP($A107,Seqs!$A:$B,2,FALSE),VLOOKUP($A107,'SegEnds_NonXtal_Prot#'!$A:$AL,22,FALSE)+9,1)</f>
        <v>P</v>
      </c>
      <c r="AE107" s="50" t="str">
        <f>MID(VLOOKUP($A107,Seqs!$A:$B,2,FALSE),VLOOKUP($A107,'SegEnds_NonXtal_Prot#'!$A:$AL,22,FALSE)+10,1)</f>
        <v>D</v>
      </c>
      <c r="AF107" s="28" t="str">
        <f>MID(VLOOKUP($A107,Seqs!$A:$B,2,FALSE),VLOOKUP($A107,'SegEnds_NonXtal_Prot#'!$A:$AL,28,FALSE)-4,1)</f>
        <v>G</v>
      </c>
      <c r="AG107" s="50" t="str">
        <f>MID(VLOOKUP($A107,Seqs!$A:$B,2,FALSE),VLOOKUP($A107,'SegEnds_NonXtal_Prot#'!$A:$AL,28,FALSE),1)</f>
        <v>P</v>
      </c>
    </row>
    <row r="108" spans="1:33" s="2" customFormat="1" x14ac:dyDescent="0.2">
      <c r="A108" s="2" t="s">
        <v>1172</v>
      </c>
      <c r="B108" s="2" t="str">
        <f>LOWER(VLOOKUP(A108,Xtal_Templ!A:B,2,FALSE))</f>
        <v>cxcr4_human</v>
      </c>
      <c r="C108" s="2" t="str">
        <f>VLOOKUP(A108,Classification!A:D,2,FALSE)</f>
        <v>A</v>
      </c>
      <c r="D108" s="2" t="str">
        <f>IF(ISERROR(MATCH(A108,'SegEnds_Xtal_Prot#'!B:B, 0)), "NoXtal", "Xtal")</f>
        <v>Xtal</v>
      </c>
      <c r="G108" s="4"/>
      <c r="M108" s="2" t="s">
        <v>14</v>
      </c>
      <c r="Q108" s="2" t="s">
        <v>9</v>
      </c>
      <c r="S108" s="4" t="s">
        <v>12</v>
      </c>
      <c r="U108" s="28" t="str">
        <f>MID(VLOOKUP($A108,Seqs!$A:$B,2,FALSE),VLOOKUP($A108,'SegEnds_NonXtal_Prot#'!A:AL,10,FALSE),1)</f>
        <v>D</v>
      </c>
      <c r="V108" s="50" t="str">
        <f>MID(VLOOKUP($A108,Seqs!$A:$B,2,FALSE),VLOOKUP($A108,'SegEnds_NonXtal_Prot#'!A:AL,10,FALSE)+6,1)</f>
        <v>T</v>
      </c>
      <c r="W108" s="50" t="str">
        <f>MID(VLOOKUP($A108,Seqs!$A:$B,2,FALSE),VLOOKUP($A108,'SegEnds_NonXtal_Prot#'!A:AL,10,FALSE)+7,1)</f>
        <v>L</v>
      </c>
      <c r="X108" s="50" t="str">
        <f>MID(VLOOKUP($A108,Seqs!$A:$B,2,FALSE),VLOOKUP($A108,'SegEnds_NonXtal_Prot#'!A:AL,10,FALSE)+8,1)</f>
        <v>P</v>
      </c>
      <c r="Y108" s="50" t="str">
        <f>MID(VLOOKUP($A108,Seqs!$A:$B,2,FALSE),VLOOKUP($A108,'SegEnds_NonXtal_Prot#'!A:AL,10,FALSE)+9,1)</f>
        <v>F</v>
      </c>
      <c r="Z108" s="50" t="str">
        <f>MID(VLOOKUP($A108,Seqs!$A:$B,2,FALSE),VLOOKUP($A108,'SegEnds_NonXtal_Prot#'!A:AL,10,FALSE)+10,1)</f>
        <v>W</v>
      </c>
      <c r="AA108" s="28" t="str">
        <f>MID(VLOOKUP($A108,Seqs!$A:$B,2,FALSE),VLOOKUP($A108,'SegEnds_NonXtal_Prot#'!$A:$AL,22,FALSE)+6,1)</f>
        <v>L</v>
      </c>
      <c r="AB108" s="50" t="str">
        <f>MID(VLOOKUP($A108,Seqs!$A:$B,2,FALSE),VLOOKUP($A108,'SegEnds_NonXtal_Prot#'!$A:$AL,22,FALSE)+7,1)</f>
        <v>T</v>
      </c>
      <c r="AC108" s="50" t="str">
        <f>MID(VLOOKUP($A108,Seqs!$A:$B,2,FALSE),VLOOKUP($A108,'SegEnds_NonXtal_Prot#'!$A:$AL,22,FALSE)+8,1)</f>
        <v>I</v>
      </c>
      <c r="AD108" s="50" t="str">
        <f>MID(VLOOKUP($A108,Seqs!$A:$B,2,FALSE),VLOOKUP($A108,'SegEnds_NonXtal_Prot#'!$A:$AL,22,FALSE)+9,1)</f>
        <v>P</v>
      </c>
      <c r="AE108" s="50" t="str">
        <f>MID(VLOOKUP($A108,Seqs!$A:$B,2,FALSE),VLOOKUP($A108,'SegEnds_NonXtal_Prot#'!$A:$AL,22,FALSE)+10,1)</f>
        <v>D</v>
      </c>
      <c r="AF108" s="28" t="str">
        <f>MID(VLOOKUP($A108,Seqs!$A:$B,2,FALSE),VLOOKUP($A108,'SegEnds_NonXtal_Prot#'!$A:$AL,28,FALSE)-4,1)</f>
        <v>G</v>
      </c>
      <c r="AG108" s="50" t="str">
        <f>MID(VLOOKUP($A108,Seqs!$A:$B,2,FALSE),VLOOKUP($A108,'SegEnds_NonXtal_Prot#'!$A:$AL,28,FALSE),1)</f>
        <v>P</v>
      </c>
    </row>
    <row r="109" spans="1:33" s="2" customFormat="1" x14ac:dyDescent="0.2">
      <c r="A109" s="2" t="s">
        <v>188</v>
      </c>
      <c r="B109" s="2" t="str">
        <f>LOWER(VLOOKUP(A109,Xtal_Templ!A:B,2,FALSE))</f>
        <v>cxcr4_human</v>
      </c>
      <c r="C109" s="2" t="str">
        <f>VLOOKUP(A109,Classification!A:D,2,FALSE)</f>
        <v>A</v>
      </c>
      <c r="D109" s="2" t="str">
        <f>IF(ISERROR(MATCH(A109,'SegEnds_Xtal_Prot#'!B:B, 0)), "NoXtal", "Xtal")</f>
        <v>NoXtal</v>
      </c>
      <c r="G109" s="4"/>
      <c r="M109" s="2" t="s">
        <v>14</v>
      </c>
      <c r="Q109" s="2" t="s">
        <v>9</v>
      </c>
      <c r="S109" s="4" t="s">
        <v>12</v>
      </c>
      <c r="U109" s="28" t="str">
        <f>MID(VLOOKUP($A109,Seqs!$A:$B,2,FALSE),VLOOKUP($A109,'SegEnds_NonXtal_Prot#'!A:AL,10,FALSE),1)</f>
        <v>D</v>
      </c>
      <c r="V109" s="50" t="str">
        <f>MID(VLOOKUP($A109,Seqs!$A:$B,2,FALSE),VLOOKUP($A109,'SegEnds_NonXtal_Prot#'!A:AL,10,FALSE)+6,1)</f>
        <v>I</v>
      </c>
      <c r="W109" s="50" t="str">
        <f>MID(VLOOKUP($A109,Seqs!$A:$B,2,FALSE),VLOOKUP($A109,'SegEnds_NonXtal_Prot#'!A:AL,10,FALSE)+7,1)</f>
        <v>L</v>
      </c>
      <c r="X109" s="50" t="str">
        <f>MID(VLOOKUP($A109,Seqs!$A:$B,2,FALSE),VLOOKUP($A109,'SegEnds_NonXtal_Prot#'!A:AL,10,FALSE)+8,1)</f>
        <v>P</v>
      </c>
      <c r="Y109" s="50" t="str">
        <f>MID(VLOOKUP($A109,Seqs!$A:$B,2,FALSE),VLOOKUP($A109,'SegEnds_NonXtal_Prot#'!A:AL,10,FALSE)+9,1)</f>
        <v>F</v>
      </c>
      <c r="Z109" s="50" t="str">
        <f>MID(VLOOKUP($A109,Seqs!$A:$B,2,FALSE),VLOOKUP($A109,'SegEnds_NonXtal_Prot#'!A:AL,10,FALSE)+10,1)</f>
        <v>A</v>
      </c>
      <c r="AA109" s="28" t="str">
        <f>MID(VLOOKUP($A109,Seqs!$A:$B,2,FALSE),VLOOKUP($A109,'SegEnds_NonXtal_Prot#'!$A:$AL,22,FALSE)+6,1)</f>
        <v>L</v>
      </c>
      <c r="AB109" s="50" t="str">
        <f>MID(VLOOKUP($A109,Seqs!$A:$B,2,FALSE),VLOOKUP($A109,'SegEnds_NonXtal_Prot#'!$A:$AL,22,FALSE)+7,1)</f>
        <v>A</v>
      </c>
      <c r="AC109" s="50" t="str">
        <f>MID(VLOOKUP($A109,Seqs!$A:$B,2,FALSE),VLOOKUP($A109,'SegEnds_NonXtal_Prot#'!$A:$AL,22,FALSE)+8,1)</f>
        <v>L</v>
      </c>
      <c r="AD109" s="50" t="str">
        <f>MID(VLOOKUP($A109,Seqs!$A:$B,2,FALSE),VLOOKUP($A109,'SegEnds_NonXtal_Prot#'!$A:$AL,22,FALSE)+9,1)</f>
        <v>P</v>
      </c>
      <c r="AE109" s="50" t="str">
        <f>MID(VLOOKUP($A109,Seqs!$A:$B,2,FALSE),VLOOKUP($A109,'SegEnds_NonXtal_Prot#'!$A:$AL,22,FALSE)+10,1)</f>
        <v>E</v>
      </c>
      <c r="AF109" s="28" t="str">
        <f>MID(VLOOKUP($A109,Seqs!$A:$B,2,FALSE),VLOOKUP($A109,'SegEnds_NonXtal_Prot#'!$A:$AL,28,FALSE)-4,1)</f>
        <v>G</v>
      </c>
      <c r="AG109" s="50" t="str">
        <f>MID(VLOOKUP($A109,Seqs!$A:$B,2,FALSE),VLOOKUP($A109,'SegEnds_NonXtal_Prot#'!$A:$AL,28,FALSE),1)</f>
        <v>P</v>
      </c>
    </row>
    <row r="110" spans="1:33" s="2" customFormat="1" x14ac:dyDescent="0.2">
      <c r="A110" s="2" t="s">
        <v>201</v>
      </c>
      <c r="B110" s="2" t="str">
        <f>LOWER(VLOOKUP(A110,Xtal_Templ!A:B,2,FALSE))</f>
        <v>agtr1_human</v>
      </c>
      <c r="C110" s="2" t="str">
        <f>VLOOKUP(A110,Classification!A:D,2,FALSE)</f>
        <v>A</v>
      </c>
      <c r="D110" s="2" t="str">
        <f>IF(ISERROR(MATCH(A110,'SegEnds_Xtal_Prot#'!B:B, 0)), "NoXtal", "Xtal")</f>
        <v>NoXtal</v>
      </c>
      <c r="G110" s="4"/>
      <c r="M110" s="2" t="s">
        <v>14</v>
      </c>
      <c r="Q110" s="2" t="s">
        <v>9</v>
      </c>
      <c r="S110" s="4" t="s">
        <v>12</v>
      </c>
      <c r="U110" s="28" t="str">
        <f>MID(VLOOKUP($A110,Seqs!$A:$B,2,FALSE),VLOOKUP($A110,'SegEnds_NonXtal_Prot#'!A:AL,10,FALSE),1)</f>
        <v>D</v>
      </c>
      <c r="V110" s="50" t="str">
        <f>MID(VLOOKUP($A110,Seqs!$A:$B,2,FALSE),VLOOKUP($A110,'SegEnds_NonXtal_Prot#'!A:AL,10,FALSE)+6,1)</f>
        <v>T</v>
      </c>
      <c r="W110" s="50" t="str">
        <f>MID(VLOOKUP($A110,Seqs!$A:$B,2,FALSE),VLOOKUP($A110,'SegEnds_NonXtal_Prot#'!A:AL,10,FALSE)+7,1)</f>
        <v>L</v>
      </c>
      <c r="X110" s="50" t="str">
        <f>MID(VLOOKUP($A110,Seqs!$A:$B,2,FALSE),VLOOKUP($A110,'SegEnds_NonXtal_Prot#'!A:AL,10,FALSE)+8,1)</f>
        <v>P</v>
      </c>
      <c r="Y110" s="50" t="str">
        <f>MID(VLOOKUP($A110,Seqs!$A:$B,2,FALSE),VLOOKUP($A110,'SegEnds_NonXtal_Prot#'!A:AL,10,FALSE)+9,1)</f>
        <v>F</v>
      </c>
      <c r="Z110" s="50" t="str">
        <f>MID(VLOOKUP($A110,Seqs!$A:$B,2,FALSE),VLOOKUP($A110,'SegEnds_NonXtal_Prot#'!A:AL,10,FALSE)+10,1)</f>
        <v>F</v>
      </c>
      <c r="AA110" s="28" t="str">
        <f>MID(VLOOKUP($A110,Seqs!$A:$B,2,FALSE),VLOOKUP($A110,'SegEnds_NonXtal_Prot#'!$A:$AL,22,FALSE)+6,1)</f>
        <v>L</v>
      </c>
      <c r="AB110" s="50" t="str">
        <f>MID(VLOOKUP($A110,Seqs!$A:$B,2,FALSE),VLOOKUP($A110,'SegEnds_NonXtal_Prot#'!$A:$AL,22,FALSE)+7,1)</f>
        <v>T</v>
      </c>
      <c r="AC110" s="50" t="str">
        <f>MID(VLOOKUP($A110,Seqs!$A:$B,2,FALSE),VLOOKUP($A110,'SegEnds_NonXtal_Prot#'!$A:$AL,22,FALSE)+8,1)</f>
        <v>L</v>
      </c>
      <c r="AD110" s="50" t="str">
        <f>MID(VLOOKUP($A110,Seqs!$A:$B,2,FALSE),VLOOKUP($A110,'SegEnds_NonXtal_Prot#'!$A:$AL,22,FALSE)+9,1)</f>
        <v>P</v>
      </c>
      <c r="AE110" s="50" t="str">
        <f>MID(VLOOKUP($A110,Seqs!$A:$B,2,FALSE),VLOOKUP($A110,'SegEnds_NonXtal_Prot#'!$A:$AL,22,FALSE)+10,1)</f>
        <v>V</v>
      </c>
      <c r="AF110" s="28" t="str">
        <f>MID(VLOOKUP($A110,Seqs!$A:$B,2,FALSE),VLOOKUP($A110,'SegEnds_NonXtal_Prot#'!$A:$AL,28,FALSE)-4,1)</f>
        <v>G</v>
      </c>
      <c r="AG110" s="50" t="str">
        <f>MID(VLOOKUP($A110,Seqs!$A:$B,2,FALSE),VLOOKUP($A110,'SegEnds_NonXtal_Prot#'!$A:$AL,28,FALSE),1)</f>
        <v>P</v>
      </c>
    </row>
    <row r="111" spans="1:33" s="2" customFormat="1" x14ac:dyDescent="0.2">
      <c r="A111" s="2" t="s">
        <v>202</v>
      </c>
      <c r="B111" s="2" t="str">
        <f>LOWER(VLOOKUP(A111,Xtal_Templ!A:B,2,FALSE))</f>
        <v>cxcr4_human</v>
      </c>
      <c r="C111" s="2" t="str">
        <f>VLOOKUP(A111,Classification!A:D,2,FALSE)</f>
        <v>A</v>
      </c>
      <c r="D111" s="2" t="str">
        <f>IF(ISERROR(MATCH(A111,'SegEnds_Xtal_Prot#'!B:B, 0)), "NoXtal", "Xtal")</f>
        <v>NoXtal</v>
      </c>
      <c r="G111" s="4"/>
      <c r="M111" s="2" t="s">
        <v>14</v>
      </c>
      <c r="Q111" s="2" t="s">
        <v>9</v>
      </c>
      <c r="S111" s="4" t="s">
        <v>12</v>
      </c>
      <c r="U111" s="28" t="str">
        <f>MID(VLOOKUP($A111,Seqs!$A:$B,2,FALSE),VLOOKUP($A111,'SegEnds_NonXtal_Prot#'!A:AL,10,FALSE),1)</f>
        <v>D</v>
      </c>
      <c r="V111" s="50" t="str">
        <f>MID(VLOOKUP($A111,Seqs!$A:$B,2,FALSE),VLOOKUP($A111,'SegEnds_NonXtal_Prot#'!A:AL,10,FALSE)+6,1)</f>
        <v>T</v>
      </c>
      <c r="W111" s="50" t="str">
        <f>MID(VLOOKUP($A111,Seqs!$A:$B,2,FALSE),VLOOKUP($A111,'SegEnds_NonXtal_Prot#'!A:AL,10,FALSE)+7,1)</f>
        <v>L</v>
      </c>
      <c r="X111" s="50" t="str">
        <f>MID(VLOOKUP($A111,Seqs!$A:$B,2,FALSE),VLOOKUP($A111,'SegEnds_NonXtal_Prot#'!A:AL,10,FALSE)+8,1)</f>
        <v>P</v>
      </c>
      <c r="Y111" s="50" t="str">
        <f>MID(VLOOKUP($A111,Seqs!$A:$B,2,FALSE),VLOOKUP($A111,'SegEnds_NonXtal_Prot#'!A:AL,10,FALSE)+9,1)</f>
        <v>F</v>
      </c>
      <c r="Z111" s="50" t="str">
        <f>MID(VLOOKUP($A111,Seqs!$A:$B,2,FALSE),VLOOKUP($A111,'SegEnds_NonXtal_Prot#'!A:AL,10,FALSE)+10,1)</f>
        <v>L</v>
      </c>
      <c r="AA111" s="28" t="str">
        <f>MID(VLOOKUP($A111,Seqs!$A:$B,2,FALSE),VLOOKUP($A111,'SegEnds_NonXtal_Prot#'!$A:$AL,22,FALSE)+6,1)</f>
        <v>L</v>
      </c>
      <c r="AB111" s="50" t="str">
        <f>MID(VLOOKUP($A111,Seqs!$A:$B,2,FALSE),VLOOKUP($A111,'SegEnds_NonXtal_Prot#'!$A:$AL,22,FALSE)+7,1)</f>
        <v>T</v>
      </c>
      <c r="AC111" s="50" t="str">
        <f>MID(VLOOKUP($A111,Seqs!$A:$B,2,FALSE),VLOOKUP($A111,'SegEnds_NonXtal_Prot#'!$A:$AL,22,FALSE)+8,1)</f>
        <v>L</v>
      </c>
      <c r="AD111" s="50" t="str">
        <f>MID(VLOOKUP($A111,Seqs!$A:$B,2,FALSE),VLOOKUP($A111,'SegEnds_NonXtal_Prot#'!$A:$AL,22,FALSE)+9,1)</f>
        <v>P</v>
      </c>
      <c r="AE111" s="50" t="str">
        <f>MID(VLOOKUP($A111,Seqs!$A:$B,2,FALSE),VLOOKUP($A111,'SegEnds_NonXtal_Prot#'!$A:$AL,22,FALSE)+10,1)</f>
        <v>V</v>
      </c>
      <c r="AF111" s="28" t="str">
        <f>MID(VLOOKUP($A111,Seqs!$A:$B,2,FALSE),VLOOKUP($A111,'SegEnds_NonXtal_Prot#'!$A:$AL,28,FALSE)-4,1)</f>
        <v>G</v>
      </c>
      <c r="AG111" s="50" t="str">
        <f>MID(VLOOKUP($A111,Seqs!$A:$B,2,FALSE),VLOOKUP($A111,'SegEnds_NonXtal_Prot#'!$A:$AL,28,FALSE),1)</f>
        <v>P</v>
      </c>
    </row>
    <row r="112" spans="1:33" s="2" customFormat="1" x14ac:dyDescent="0.2">
      <c r="A112" s="2" t="s">
        <v>203</v>
      </c>
      <c r="B112" s="2" t="str">
        <f>LOWER(VLOOKUP(A112,Xtal_Templ!A:B,2,FALSE))</f>
        <v>cxcr4_human</v>
      </c>
      <c r="C112" s="2" t="str">
        <f>VLOOKUP(A112,Classification!A:D,2,FALSE)</f>
        <v>A</v>
      </c>
      <c r="D112" s="2" t="str">
        <f>IF(ISERROR(MATCH(A112,'SegEnds_Xtal_Prot#'!B:B, 0)), "NoXtal", "Xtal")</f>
        <v>NoXtal</v>
      </c>
      <c r="G112" s="4"/>
      <c r="M112" s="2" t="s">
        <v>14</v>
      </c>
      <c r="Q112" s="2" t="s">
        <v>9</v>
      </c>
      <c r="S112" s="4" t="s">
        <v>12</v>
      </c>
      <c r="U112" s="28" t="str">
        <f>MID(VLOOKUP($A112,Seqs!$A:$B,2,FALSE),VLOOKUP($A112,'SegEnds_NonXtal_Prot#'!A:AL,10,FALSE),1)</f>
        <v>D</v>
      </c>
      <c r="V112" s="50" t="str">
        <f>MID(VLOOKUP($A112,Seqs!$A:$B,2,FALSE),VLOOKUP($A112,'SegEnds_NonXtal_Prot#'!A:AL,10,FALSE)+6,1)</f>
        <v>I</v>
      </c>
      <c r="W112" s="50" t="str">
        <f>MID(VLOOKUP($A112,Seqs!$A:$B,2,FALSE),VLOOKUP($A112,'SegEnds_NonXtal_Prot#'!A:AL,10,FALSE)+7,1)</f>
        <v>L</v>
      </c>
      <c r="X112" s="50" t="str">
        <f>MID(VLOOKUP($A112,Seqs!$A:$B,2,FALSE),VLOOKUP($A112,'SegEnds_NonXtal_Prot#'!A:AL,10,FALSE)+8,1)</f>
        <v>P</v>
      </c>
      <c r="Y112" s="50" t="str">
        <f>MID(VLOOKUP($A112,Seqs!$A:$B,2,FALSE),VLOOKUP($A112,'SegEnds_NonXtal_Prot#'!A:AL,10,FALSE)+9,1)</f>
        <v>F</v>
      </c>
      <c r="Z112" s="50" t="str">
        <f>MID(VLOOKUP($A112,Seqs!$A:$B,2,FALSE),VLOOKUP($A112,'SegEnds_NonXtal_Prot#'!A:AL,10,FALSE)+10,1)</f>
        <v>R</v>
      </c>
      <c r="AA112" s="28" t="str">
        <f>MID(VLOOKUP($A112,Seqs!$A:$B,2,FALSE),VLOOKUP($A112,'SegEnds_NonXtal_Prot#'!$A:$AL,22,FALSE)+6,1)</f>
        <v>L</v>
      </c>
      <c r="AB112" s="50" t="str">
        <f>MID(VLOOKUP($A112,Seqs!$A:$B,2,FALSE),VLOOKUP($A112,'SegEnds_NonXtal_Prot#'!$A:$AL,22,FALSE)+7,1)</f>
        <v>T</v>
      </c>
      <c r="AC112" s="50" t="str">
        <f>MID(VLOOKUP($A112,Seqs!$A:$B,2,FALSE),VLOOKUP($A112,'SegEnds_NonXtal_Prot#'!$A:$AL,22,FALSE)+8,1)</f>
        <v>L</v>
      </c>
      <c r="AD112" s="50" t="str">
        <f>MID(VLOOKUP($A112,Seqs!$A:$B,2,FALSE),VLOOKUP($A112,'SegEnds_NonXtal_Prot#'!$A:$AL,22,FALSE)+9,1)</f>
        <v>P</v>
      </c>
      <c r="AE112" s="50" t="str">
        <f>MID(VLOOKUP($A112,Seqs!$A:$B,2,FALSE),VLOOKUP($A112,'SegEnds_NonXtal_Prot#'!$A:$AL,22,FALSE)+10,1)</f>
        <v>N</v>
      </c>
      <c r="AF112" s="28" t="str">
        <f>MID(VLOOKUP($A112,Seqs!$A:$B,2,FALSE),VLOOKUP($A112,'SegEnds_NonXtal_Prot#'!$A:$AL,28,FALSE)-4,1)</f>
        <v>G</v>
      </c>
      <c r="AG112" s="50" t="str">
        <f>MID(VLOOKUP($A112,Seqs!$A:$B,2,FALSE),VLOOKUP($A112,'SegEnds_NonXtal_Prot#'!$A:$AL,28,FALSE),1)</f>
        <v>P</v>
      </c>
    </row>
    <row r="113" spans="1:33" s="2" customFormat="1" x14ac:dyDescent="0.2">
      <c r="A113" s="2" t="s">
        <v>293</v>
      </c>
      <c r="B113" s="2" t="str">
        <f>LOWER(VLOOKUP(A113,Xtal_Templ!A:B,2,FALSE))</f>
        <v>ntr1_rat</v>
      </c>
      <c r="C113" s="2" t="str">
        <f>VLOOKUP(A113,Classification!A:D,2,FALSE)</f>
        <v>A</v>
      </c>
      <c r="D113" s="2" t="str">
        <f>IF(ISERROR(MATCH(A113,'SegEnds_Xtal_Prot#'!B:B, 0)), "NoXtal", "Xtal")</f>
        <v>NoXtal</v>
      </c>
      <c r="G113" s="4"/>
      <c r="M113" s="2" t="s">
        <v>14</v>
      </c>
      <c r="Q113" s="2" t="s">
        <v>9</v>
      </c>
      <c r="S113" s="4" t="s">
        <v>12</v>
      </c>
      <c r="U113" s="28" t="str">
        <f>MID(VLOOKUP($A113,Seqs!$A:$B,2,FALSE),VLOOKUP($A113,'SegEnds_NonXtal_Prot#'!A:AL,10,FALSE),1)</f>
        <v>D</v>
      </c>
      <c r="V113" s="50" t="str">
        <f>MID(VLOOKUP($A113,Seqs!$A:$B,2,FALSE),VLOOKUP($A113,'SegEnds_NonXtal_Prot#'!A:AL,10,FALSE)+6,1)</f>
        <v>L</v>
      </c>
      <c r="W113" s="50" t="str">
        <f>MID(VLOOKUP($A113,Seqs!$A:$B,2,FALSE),VLOOKUP($A113,'SegEnds_NonXtal_Prot#'!A:AL,10,FALSE)+7,1)</f>
        <v>T</v>
      </c>
      <c r="X113" s="50" t="str">
        <f>MID(VLOOKUP($A113,Seqs!$A:$B,2,FALSE),VLOOKUP($A113,'SegEnds_NonXtal_Prot#'!A:AL,10,FALSE)+8,1)</f>
        <v>P</v>
      </c>
      <c r="Y113" s="50" t="str">
        <f>MID(VLOOKUP($A113,Seqs!$A:$B,2,FALSE),VLOOKUP($A113,'SegEnds_NonXtal_Prot#'!A:AL,10,FALSE)+9,1)</f>
        <v>L</v>
      </c>
      <c r="Z113" s="50" t="str">
        <f>MID(VLOOKUP($A113,Seqs!$A:$B,2,FALSE),VLOOKUP($A113,'SegEnds_NonXtal_Prot#'!A:AL,10,FALSE)+10,1)</f>
        <v>F</v>
      </c>
      <c r="AA113" s="28" t="str">
        <f>MID(VLOOKUP($A113,Seqs!$A:$B,2,FALSE),VLOOKUP($A113,'SegEnds_NonXtal_Prot#'!$A:$AL,22,FALSE)+6,1)</f>
        <v>L</v>
      </c>
      <c r="AB113" s="50" t="str">
        <f>MID(VLOOKUP($A113,Seqs!$A:$B,2,FALSE),VLOOKUP($A113,'SegEnds_NonXtal_Prot#'!$A:$AL,22,FALSE)+7,1)</f>
        <v>A</v>
      </c>
      <c r="AC113" s="50" t="str">
        <f>MID(VLOOKUP($A113,Seqs!$A:$B,2,FALSE),VLOOKUP($A113,'SegEnds_NonXtal_Prot#'!$A:$AL,22,FALSE)+8,1)</f>
        <v>V</v>
      </c>
      <c r="AD113" s="50" t="str">
        <f>MID(VLOOKUP($A113,Seqs!$A:$B,2,FALSE),VLOOKUP($A113,'SegEnds_NonXtal_Prot#'!$A:$AL,22,FALSE)+9,1)</f>
        <v>P</v>
      </c>
      <c r="AE113" s="50" t="str">
        <f>MID(VLOOKUP($A113,Seqs!$A:$B,2,FALSE),VLOOKUP($A113,'SegEnds_NonXtal_Prot#'!$A:$AL,22,FALSE)+10,1)</f>
        <v>A</v>
      </c>
      <c r="AF113" s="28" t="str">
        <f>MID(VLOOKUP($A113,Seqs!$A:$B,2,FALSE),VLOOKUP($A113,'SegEnds_NonXtal_Prot#'!$A:$AL,28,FALSE)-4,1)</f>
        <v>A</v>
      </c>
      <c r="AG113" s="50" t="str">
        <f>MID(VLOOKUP($A113,Seqs!$A:$B,2,FALSE),VLOOKUP($A113,'SegEnds_NonXtal_Prot#'!$A:$AL,28,FALSE),1)</f>
        <v>P</v>
      </c>
    </row>
    <row r="114" spans="1:33" s="2" customFormat="1" x14ac:dyDescent="0.2">
      <c r="A114" s="2" t="s">
        <v>156</v>
      </c>
      <c r="B114" s="2" t="str">
        <f>LOWER(VLOOKUP(A114,Xtal_Templ!A:B,2,FALSE))</f>
        <v>drd3_human</v>
      </c>
      <c r="C114" s="2" t="str">
        <f>VLOOKUP(A114,Classification!A:D,2,FALSE)</f>
        <v>A</v>
      </c>
      <c r="D114" s="2" t="str">
        <f>IF(ISERROR(MATCH(A114,'SegEnds_Xtal_Prot#'!B:B, 0)), "NoXtal", "Xtal")</f>
        <v>NoXtal</v>
      </c>
      <c r="F114" s="2" t="s">
        <v>5</v>
      </c>
      <c r="G114" s="4"/>
      <c r="Q114" s="2" t="s">
        <v>9</v>
      </c>
      <c r="S114" s="4" t="s">
        <v>12</v>
      </c>
      <c r="U114" s="28" t="str">
        <f>MID(VLOOKUP($A114,Seqs!$A:$B,2,FALSE),VLOOKUP($A114,'SegEnds_NonXtal_Prot#'!A:AL,10,FALSE),1)</f>
        <v>D</v>
      </c>
      <c r="V114" s="50" t="str">
        <f>MID(VLOOKUP($A114,Seqs!$A:$B,2,FALSE),VLOOKUP($A114,'SegEnds_NonXtal_Prot#'!A:AL,10,FALSE)+6,1)</f>
        <v>L</v>
      </c>
      <c r="W114" s="50" t="str">
        <f>MID(VLOOKUP($A114,Seqs!$A:$B,2,FALSE),VLOOKUP($A114,'SegEnds_NonXtal_Prot#'!A:AL,10,FALSE)+7,1)</f>
        <v>I</v>
      </c>
      <c r="X114" s="50" t="str">
        <f>MID(VLOOKUP($A114,Seqs!$A:$B,2,FALSE),VLOOKUP($A114,'SegEnds_NonXtal_Prot#'!A:AL,10,FALSE)+8,1)</f>
        <v>I</v>
      </c>
      <c r="Y114" s="50" t="str">
        <f>MID(VLOOKUP($A114,Seqs!$A:$B,2,FALSE),VLOOKUP($A114,'SegEnds_NonXtal_Prot#'!A:AL,10,FALSE)+9,1)</f>
        <v>P</v>
      </c>
      <c r="Z114" s="50" t="str">
        <f>MID(VLOOKUP($A114,Seqs!$A:$B,2,FALSE),VLOOKUP($A114,'SegEnds_NonXtal_Prot#'!A:AL,10,FALSE)+10,1)</f>
        <v>F</v>
      </c>
      <c r="AA114" s="28" t="str">
        <f>MID(VLOOKUP($A114,Seqs!$A:$B,2,FALSE),VLOOKUP($A114,'SegEnds_NonXtal_Prot#'!$A:$AL,22,FALSE)+6,1)</f>
        <v>I</v>
      </c>
      <c r="AB114" s="50" t="str">
        <f>MID(VLOOKUP($A114,Seqs!$A:$B,2,FALSE),VLOOKUP($A114,'SegEnds_NonXtal_Prot#'!$A:$AL,22,FALSE)+7,1)</f>
        <v>S</v>
      </c>
      <c r="AC114" s="50" t="str">
        <f>MID(VLOOKUP($A114,Seqs!$A:$B,2,FALSE),VLOOKUP($A114,'SegEnds_NonXtal_Prot#'!$A:$AL,22,FALSE)+8,1)</f>
        <v>L</v>
      </c>
      <c r="AD114" s="50" t="str">
        <f>MID(VLOOKUP($A114,Seqs!$A:$B,2,FALSE),VLOOKUP($A114,'SegEnds_NonXtal_Prot#'!$A:$AL,22,FALSE)+9,1)</f>
        <v>P</v>
      </c>
      <c r="AE114" s="50" t="str">
        <f>MID(VLOOKUP($A114,Seqs!$A:$B,2,FALSE),VLOOKUP($A114,'SegEnds_NonXtal_Prot#'!$A:$AL,22,FALSE)+10,1)</f>
        <v>P</v>
      </c>
      <c r="AF114" s="28" t="str">
        <f>MID(VLOOKUP($A114,Seqs!$A:$B,2,FALSE),VLOOKUP($A114,'SegEnds_NonXtal_Prot#'!$A:$AL,28,FALSE)-4,1)</f>
        <v>S</v>
      </c>
      <c r="AG114" s="50" t="str">
        <f>MID(VLOOKUP($A114,Seqs!$A:$B,2,FALSE),VLOOKUP($A114,'SegEnds_NonXtal_Prot#'!$A:$AL,28,FALSE),1)</f>
        <v>P</v>
      </c>
    </row>
    <row r="115" spans="1:33" s="2" customFormat="1" x14ac:dyDescent="0.2">
      <c r="A115" s="2" t="s">
        <v>191</v>
      </c>
      <c r="B115" s="2" t="str">
        <f>LOWER(VLOOKUP(A115,Xtal_Templ!A:B,2,FALSE))</f>
        <v>drd3_human</v>
      </c>
      <c r="C115" s="2" t="str">
        <f>VLOOKUP(A115,Classification!A:D,2,FALSE)</f>
        <v>A</v>
      </c>
      <c r="D115" s="2" t="str">
        <f>IF(ISERROR(MATCH(A115,'SegEnds_Xtal_Prot#'!B:B, 0)), "NoXtal", "Xtal")</f>
        <v>NoXtal</v>
      </c>
      <c r="F115" s="2" t="s">
        <v>5</v>
      </c>
      <c r="G115" s="4"/>
      <c r="M115" s="2" t="s">
        <v>14</v>
      </c>
      <c r="Q115" s="2" t="s">
        <v>9</v>
      </c>
      <c r="S115" s="4" t="s">
        <v>12</v>
      </c>
      <c r="U115" s="28" t="str">
        <f>MID(VLOOKUP($A115,Seqs!$A:$B,2,FALSE),VLOOKUP($A115,'SegEnds_NonXtal_Prot#'!A:AL,10,FALSE),1)</f>
        <v>D</v>
      </c>
      <c r="V115" s="50" t="str">
        <f>MID(VLOOKUP($A115,Seqs!$A:$B,2,FALSE),VLOOKUP($A115,'SegEnds_NonXtal_Prot#'!A:AL,10,FALSE)+6,1)</f>
        <v>L</v>
      </c>
      <c r="W115" s="50" t="str">
        <f>MID(VLOOKUP($A115,Seqs!$A:$B,2,FALSE),VLOOKUP($A115,'SegEnds_NonXtal_Prot#'!A:AL,10,FALSE)+7,1)</f>
        <v>V</v>
      </c>
      <c r="X115" s="50" t="str">
        <f>MID(VLOOKUP($A115,Seqs!$A:$B,2,FALSE),VLOOKUP($A115,'SegEnds_NonXtal_Prot#'!A:AL,10,FALSE)+8,1)</f>
        <v>M</v>
      </c>
      <c r="Y115" s="50" t="str">
        <f>MID(VLOOKUP($A115,Seqs!$A:$B,2,FALSE),VLOOKUP($A115,'SegEnds_NonXtal_Prot#'!A:AL,10,FALSE)+9,1)</f>
        <v>P</v>
      </c>
      <c r="Z115" s="50" t="str">
        <f>MID(VLOOKUP($A115,Seqs!$A:$B,2,FALSE),VLOOKUP($A115,'SegEnds_NonXtal_Prot#'!A:AL,10,FALSE)+10,1)</f>
        <v>W</v>
      </c>
      <c r="AA115" s="28" t="str">
        <f>MID(VLOOKUP($A115,Seqs!$A:$B,2,FALSE),VLOOKUP($A115,'SegEnds_NonXtal_Prot#'!$A:$AL,22,FALSE)+6,1)</f>
        <v>I</v>
      </c>
      <c r="AB115" s="50" t="str">
        <f>MID(VLOOKUP($A115,Seqs!$A:$B,2,FALSE),VLOOKUP($A115,'SegEnds_NonXtal_Prot#'!$A:$AL,22,FALSE)+7,1)</f>
        <v>S</v>
      </c>
      <c r="AC115" s="50" t="str">
        <f>MID(VLOOKUP($A115,Seqs!$A:$B,2,FALSE),VLOOKUP($A115,'SegEnds_NonXtal_Prot#'!$A:$AL,22,FALSE)+8,1)</f>
        <v>C</v>
      </c>
      <c r="AD115" s="50" t="str">
        <f>MID(VLOOKUP($A115,Seqs!$A:$B,2,FALSE),VLOOKUP($A115,'SegEnds_NonXtal_Prot#'!$A:$AL,22,FALSE)+9,1)</f>
        <v>P</v>
      </c>
      <c r="AE115" s="50" t="str">
        <f>MID(VLOOKUP($A115,Seqs!$A:$B,2,FALSE),VLOOKUP($A115,'SegEnds_NonXtal_Prot#'!$A:$AL,22,FALSE)+10,1)</f>
        <v>L</v>
      </c>
      <c r="AF115" s="28" t="str">
        <f>MID(VLOOKUP($A115,Seqs!$A:$B,2,FALSE),VLOOKUP($A115,'SegEnds_NonXtal_Prot#'!$A:$AL,28,FALSE)-4,1)</f>
        <v>S</v>
      </c>
      <c r="AG115" s="50" t="str">
        <f>MID(VLOOKUP($A115,Seqs!$A:$B,2,FALSE),VLOOKUP($A115,'SegEnds_NonXtal_Prot#'!$A:$AL,28,FALSE),1)</f>
        <v>P</v>
      </c>
    </row>
    <row r="116" spans="1:33" s="2" customFormat="1" x14ac:dyDescent="0.2">
      <c r="A116" s="2" t="s">
        <v>192</v>
      </c>
      <c r="B116" s="2" t="str">
        <f>LOWER(VLOOKUP(A116,Xtal_Templ!A:B,2,FALSE))</f>
        <v>drd3_human</v>
      </c>
      <c r="C116" s="2" t="str">
        <f>VLOOKUP(A116,Classification!A:D,2,FALSE)</f>
        <v>A</v>
      </c>
      <c r="D116" s="2" t="str">
        <f>IF(ISERROR(MATCH(A116,'SegEnds_Xtal_Prot#'!B:B, 0)), "NoXtal", "Xtal")</f>
        <v>Xtal</v>
      </c>
      <c r="F116" s="2" t="s">
        <v>5</v>
      </c>
      <c r="G116" s="4"/>
      <c r="M116" s="2" t="s">
        <v>14</v>
      </c>
      <c r="Q116" s="2" t="s">
        <v>9</v>
      </c>
      <c r="S116" s="4" t="s">
        <v>12</v>
      </c>
      <c r="U116" s="28" t="str">
        <f>MID(VLOOKUP($A116,Seqs!$A:$B,2,FALSE),VLOOKUP($A116,'SegEnds_NonXtal_Prot#'!A:AL,10,FALSE),1)</f>
        <v>D</v>
      </c>
      <c r="V116" s="50" t="str">
        <f>MID(VLOOKUP($A116,Seqs!$A:$B,2,FALSE),VLOOKUP($A116,'SegEnds_NonXtal_Prot#'!A:AL,10,FALSE)+6,1)</f>
        <v>L</v>
      </c>
      <c r="W116" s="50" t="str">
        <f>MID(VLOOKUP($A116,Seqs!$A:$B,2,FALSE),VLOOKUP($A116,'SegEnds_NonXtal_Prot#'!A:AL,10,FALSE)+7,1)</f>
        <v>V</v>
      </c>
      <c r="X116" s="50" t="str">
        <f>MID(VLOOKUP($A116,Seqs!$A:$B,2,FALSE),VLOOKUP($A116,'SegEnds_NonXtal_Prot#'!A:AL,10,FALSE)+8,1)</f>
        <v>M</v>
      </c>
      <c r="Y116" s="50" t="str">
        <f>MID(VLOOKUP($A116,Seqs!$A:$B,2,FALSE),VLOOKUP($A116,'SegEnds_NonXtal_Prot#'!A:AL,10,FALSE)+9,1)</f>
        <v>P</v>
      </c>
      <c r="Z116" s="50" t="str">
        <f>MID(VLOOKUP($A116,Seqs!$A:$B,2,FALSE),VLOOKUP($A116,'SegEnds_NonXtal_Prot#'!A:AL,10,FALSE)+10,1)</f>
        <v>W</v>
      </c>
      <c r="AA116" s="28" t="str">
        <f>MID(VLOOKUP($A116,Seqs!$A:$B,2,FALSE),VLOOKUP($A116,'SegEnds_NonXtal_Prot#'!$A:$AL,22,FALSE)+6,1)</f>
        <v>V</v>
      </c>
      <c r="AB116" s="50" t="str">
        <f>MID(VLOOKUP($A116,Seqs!$A:$B,2,FALSE),VLOOKUP($A116,'SegEnds_NonXtal_Prot#'!$A:$AL,22,FALSE)+7,1)</f>
        <v>S</v>
      </c>
      <c r="AC116" s="50" t="str">
        <f>MID(VLOOKUP($A116,Seqs!$A:$B,2,FALSE),VLOOKUP($A116,'SegEnds_NonXtal_Prot#'!$A:$AL,22,FALSE)+8,1)</f>
        <v>C</v>
      </c>
      <c r="AD116" s="50" t="str">
        <f>MID(VLOOKUP($A116,Seqs!$A:$B,2,FALSE),VLOOKUP($A116,'SegEnds_NonXtal_Prot#'!$A:$AL,22,FALSE)+9,1)</f>
        <v>P</v>
      </c>
      <c r="AE116" s="50" t="str">
        <f>MID(VLOOKUP($A116,Seqs!$A:$B,2,FALSE),VLOOKUP($A116,'SegEnds_NonXtal_Prot#'!$A:$AL,22,FALSE)+10,1)</f>
        <v>L</v>
      </c>
      <c r="AF116" s="28" t="str">
        <f>MID(VLOOKUP($A116,Seqs!$A:$B,2,FALSE),VLOOKUP($A116,'SegEnds_NonXtal_Prot#'!$A:$AL,28,FALSE)-4,1)</f>
        <v>S</v>
      </c>
      <c r="AG116" s="50" t="str">
        <f>MID(VLOOKUP($A116,Seqs!$A:$B,2,FALSE),VLOOKUP($A116,'SegEnds_NonXtal_Prot#'!$A:$AL,28,FALSE),1)</f>
        <v>P</v>
      </c>
    </row>
    <row r="117" spans="1:33" s="2" customFormat="1" x14ac:dyDescent="0.2">
      <c r="A117" s="2" t="s">
        <v>193</v>
      </c>
      <c r="B117" s="2" t="str">
        <f>LOWER(VLOOKUP(A117,Xtal_Templ!A:B,2,FALSE))</f>
        <v>drd3_human</v>
      </c>
      <c r="C117" s="2" t="str">
        <f>VLOOKUP(A117,Classification!A:D,2,FALSE)</f>
        <v>A</v>
      </c>
      <c r="D117" s="2" t="str">
        <f>IF(ISERROR(MATCH(A117,'SegEnds_Xtal_Prot#'!B:B, 0)), "NoXtal", "Xtal")</f>
        <v>NoXtal</v>
      </c>
      <c r="F117" s="2" t="s">
        <v>5</v>
      </c>
      <c r="G117" s="4"/>
      <c r="M117" s="2" t="s">
        <v>14</v>
      </c>
      <c r="Q117" s="2" t="s">
        <v>9</v>
      </c>
      <c r="S117" s="4" t="s">
        <v>12</v>
      </c>
      <c r="U117" s="28" t="str">
        <f>MID(VLOOKUP($A117,Seqs!$A:$B,2,FALSE),VLOOKUP($A117,'SegEnds_NonXtal_Prot#'!A:AL,10,FALSE),1)</f>
        <v>D</v>
      </c>
      <c r="V117" s="50" t="str">
        <f>MID(VLOOKUP($A117,Seqs!$A:$B,2,FALSE),VLOOKUP($A117,'SegEnds_NonXtal_Prot#'!A:AL,10,FALSE)+6,1)</f>
        <v>L</v>
      </c>
      <c r="W117" s="50" t="str">
        <f>MID(VLOOKUP($A117,Seqs!$A:$B,2,FALSE),VLOOKUP($A117,'SegEnds_NonXtal_Prot#'!A:AL,10,FALSE)+7,1)</f>
        <v>V</v>
      </c>
      <c r="X117" s="50" t="str">
        <f>MID(VLOOKUP($A117,Seqs!$A:$B,2,FALSE),VLOOKUP($A117,'SegEnds_NonXtal_Prot#'!A:AL,10,FALSE)+8,1)</f>
        <v>L</v>
      </c>
      <c r="Y117" s="50" t="str">
        <f>MID(VLOOKUP($A117,Seqs!$A:$B,2,FALSE),VLOOKUP($A117,'SegEnds_NonXtal_Prot#'!A:AL,10,FALSE)+9,1)</f>
        <v>P</v>
      </c>
      <c r="Z117" s="50" t="str">
        <f>MID(VLOOKUP($A117,Seqs!$A:$B,2,FALSE),VLOOKUP($A117,'SegEnds_NonXtal_Prot#'!A:AL,10,FALSE)+10,1)</f>
        <v>L</v>
      </c>
      <c r="AA117" s="28" t="str">
        <f>MID(VLOOKUP($A117,Seqs!$A:$B,2,FALSE),VLOOKUP($A117,'SegEnds_NonXtal_Prot#'!$A:$AL,22,FALSE)+6,1)</f>
        <v>V</v>
      </c>
      <c r="AB117" s="50" t="str">
        <f>MID(VLOOKUP($A117,Seqs!$A:$B,2,FALSE),VLOOKUP($A117,'SegEnds_NonXtal_Prot#'!$A:$AL,22,FALSE)+7,1)</f>
        <v>A</v>
      </c>
      <c r="AC117" s="50" t="str">
        <f>MID(VLOOKUP($A117,Seqs!$A:$B,2,FALSE),VLOOKUP($A117,'SegEnds_NonXtal_Prot#'!$A:$AL,22,FALSE)+8,1)</f>
        <v>A</v>
      </c>
      <c r="AD117" s="50" t="str">
        <f>MID(VLOOKUP($A117,Seqs!$A:$B,2,FALSE),VLOOKUP($A117,'SegEnds_NonXtal_Prot#'!$A:$AL,22,FALSE)+9,1)</f>
        <v>P</v>
      </c>
      <c r="AE117" s="50" t="str">
        <f>MID(VLOOKUP($A117,Seqs!$A:$B,2,FALSE),VLOOKUP($A117,'SegEnds_NonXtal_Prot#'!$A:$AL,22,FALSE)+10,1)</f>
        <v>V</v>
      </c>
      <c r="AF117" s="28" t="str">
        <f>MID(VLOOKUP($A117,Seqs!$A:$B,2,FALSE),VLOOKUP($A117,'SegEnds_NonXtal_Prot#'!$A:$AL,28,FALSE)-4,1)</f>
        <v>S</v>
      </c>
      <c r="AG117" s="50" t="str">
        <f>MID(VLOOKUP($A117,Seqs!$A:$B,2,FALSE),VLOOKUP($A117,'SegEnds_NonXtal_Prot#'!$A:$AL,28,FALSE),1)</f>
        <v>P</v>
      </c>
    </row>
    <row r="118" spans="1:33" s="2" customFormat="1" x14ac:dyDescent="0.2">
      <c r="A118" s="2" t="s">
        <v>263</v>
      </c>
      <c r="B118" s="2" t="str">
        <f>LOWER(VLOOKUP(A118,Xtal_Templ!A:B,2,FALSE))</f>
        <v>ox2r_human</v>
      </c>
      <c r="C118" s="2" t="str">
        <f>VLOOKUP(A118,Classification!A:D,2,FALSE)</f>
        <v>A</v>
      </c>
      <c r="D118" s="2" t="str">
        <f>IF(ISERROR(MATCH(A118,'SegEnds_Xtal_Prot#'!B:B, 0)), "NoXtal", "Xtal")</f>
        <v>NoXtal</v>
      </c>
      <c r="F118" s="2" t="s">
        <v>5</v>
      </c>
      <c r="G118" s="4"/>
      <c r="Q118" s="2" t="s">
        <v>9</v>
      </c>
      <c r="S118" s="4" t="s">
        <v>12</v>
      </c>
      <c r="U118" s="28" t="str">
        <f>MID(VLOOKUP($A118,Seqs!$A:$B,2,FALSE),VLOOKUP($A118,'SegEnds_NonXtal_Prot#'!A:AL,10,FALSE),1)</f>
        <v>D</v>
      </c>
      <c r="V118" s="50" t="str">
        <f>MID(VLOOKUP($A118,Seqs!$A:$B,2,FALSE),VLOOKUP($A118,'SegEnds_NonXtal_Prot#'!A:AL,10,FALSE)+6,1)</f>
        <v>T</v>
      </c>
      <c r="W118" s="50" t="str">
        <f>MID(VLOOKUP($A118,Seqs!$A:$B,2,FALSE),VLOOKUP($A118,'SegEnds_NonXtal_Prot#'!A:AL,10,FALSE)+7,1)</f>
        <v>L</v>
      </c>
      <c r="X118" s="50" t="str">
        <f>MID(VLOOKUP($A118,Seqs!$A:$B,2,FALSE),VLOOKUP($A118,'SegEnds_NonXtal_Prot#'!A:AL,10,FALSE)+8,1)</f>
        <v>M</v>
      </c>
      <c r="Y118" s="50" t="str">
        <f>MID(VLOOKUP($A118,Seqs!$A:$B,2,FALSE),VLOOKUP($A118,'SegEnds_NonXtal_Prot#'!A:AL,10,FALSE)+9,1)</f>
        <v>P</v>
      </c>
      <c r="Z118" s="50" t="str">
        <f>MID(VLOOKUP($A118,Seqs!$A:$B,2,FALSE),VLOOKUP($A118,'SegEnds_NonXtal_Prot#'!A:AL,10,FALSE)+10,1)</f>
        <v>L</v>
      </c>
      <c r="AA118" s="28" t="str">
        <f>MID(VLOOKUP($A118,Seqs!$A:$B,2,FALSE),VLOOKUP($A118,'SegEnds_NonXtal_Prot#'!$A:$AL,22,FALSE)+6,1)</f>
        <v>M</v>
      </c>
      <c r="AB118" s="50" t="str">
        <f>MID(VLOOKUP($A118,Seqs!$A:$B,2,FALSE),VLOOKUP($A118,'SegEnds_NonXtal_Prot#'!$A:$AL,22,FALSE)+7,1)</f>
        <v>A</v>
      </c>
      <c r="AC118" s="50" t="str">
        <f>MID(VLOOKUP($A118,Seqs!$A:$B,2,FALSE),VLOOKUP($A118,'SegEnds_NonXtal_Prot#'!$A:$AL,22,FALSE)+8,1)</f>
        <v>S</v>
      </c>
      <c r="AD118" s="50" t="str">
        <f>MID(VLOOKUP($A118,Seqs!$A:$B,2,FALSE),VLOOKUP($A118,'SegEnds_NonXtal_Prot#'!$A:$AL,22,FALSE)+9,1)</f>
        <v>V</v>
      </c>
      <c r="AE118" s="50" t="str">
        <f>MID(VLOOKUP($A118,Seqs!$A:$B,2,FALSE),VLOOKUP($A118,'SegEnds_NonXtal_Prot#'!$A:$AL,22,FALSE)+10,1)</f>
        <v>P</v>
      </c>
      <c r="AF118" s="28" t="str">
        <f>MID(VLOOKUP($A118,Seqs!$A:$B,2,FALSE),VLOOKUP($A118,'SegEnds_NonXtal_Prot#'!$A:$AL,28,FALSE)-4,1)</f>
        <v>Y</v>
      </c>
      <c r="AG118" s="50" t="str">
        <f>MID(VLOOKUP($A118,Seqs!$A:$B,2,FALSE),VLOOKUP($A118,'SegEnds_NonXtal_Prot#'!$A:$AL,28,FALSE),1)</f>
        <v>P</v>
      </c>
    </row>
    <row r="119" spans="1:33" s="2" customFormat="1" x14ac:dyDescent="0.2">
      <c r="A119" s="2" t="s">
        <v>264</v>
      </c>
      <c r="B119" s="2" t="str">
        <f>LOWER(VLOOKUP(A119,Xtal_Templ!A:B,2,FALSE))</f>
        <v>drd3_human</v>
      </c>
      <c r="C119" s="2" t="str">
        <f>VLOOKUP(A119,Classification!A:D,2,FALSE)</f>
        <v>A</v>
      </c>
      <c r="D119" s="2" t="str">
        <f>IF(ISERROR(MATCH(A119,'SegEnds_Xtal_Prot#'!B:B, 0)), "NoXtal", "Xtal")</f>
        <v>NoXtal</v>
      </c>
      <c r="F119" s="2" t="s">
        <v>5</v>
      </c>
      <c r="G119" s="4"/>
      <c r="Q119" s="2" t="s">
        <v>9</v>
      </c>
      <c r="S119" s="4" t="s">
        <v>12</v>
      </c>
      <c r="U119" s="28" t="str">
        <f>MID(VLOOKUP($A119,Seqs!$A:$B,2,FALSE),VLOOKUP($A119,'SegEnds_NonXtal_Prot#'!A:AL,10,FALSE),1)</f>
        <v>D</v>
      </c>
      <c r="V119" s="50" t="str">
        <f>MID(VLOOKUP($A119,Seqs!$A:$B,2,FALSE),VLOOKUP($A119,'SegEnds_NonXtal_Prot#'!A:AL,10,FALSE)+6,1)</f>
        <v>S</v>
      </c>
      <c r="W119" s="50" t="str">
        <f>MID(VLOOKUP($A119,Seqs!$A:$B,2,FALSE),VLOOKUP($A119,'SegEnds_NonXtal_Prot#'!A:AL,10,FALSE)+7,1)</f>
        <v>I</v>
      </c>
      <c r="X119" s="50" t="str">
        <f>MID(VLOOKUP($A119,Seqs!$A:$B,2,FALSE),VLOOKUP($A119,'SegEnds_NonXtal_Prot#'!A:AL,10,FALSE)+8,1)</f>
        <v>M</v>
      </c>
      <c r="Y119" s="50" t="str">
        <f>MID(VLOOKUP($A119,Seqs!$A:$B,2,FALSE),VLOOKUP($A119,'SegEnds_NonXtal_Prot#'!A:AL,10,FALSE)+9,1)</f>
        <v>P</v>
      </c>
      <c r="Z119" s="50" t="str">
        <f>MID(VLOOKUP($A119,Seqs!$A:$B,2,FALSE),VLOOKUP($A119,'SegEnds_NonXtal_Prot#'!A:AL,10,FALSE)+10,1)</f>
        <v>L</v>
      </c>
      <c r="AA119" s="28" t="str">
        <f>MID(VLOOKUP($A119,Seqs!$A:$B,2,FALSE),VLOOKUP($A119,'SegEnds_NonXtal_Prot#'!$A:$AL,22,FALSE)+6,1)</f>
        <v>L</v>
      </c>
      <c r="AB119" s="50" t="str">
        <f>MID(VLOOKUP($A119,Seqs!$A:$B,2,FALSE),VLOOKUP($A119,'SegEnds_NonXtal_Prot#'!$A:$AL,22,FALSE)+7,1)</f>
        <v>G</v>
      </c>
      <c r="AC119" s="50" t="str">
        <f>MID(VLOOKUP($A119,Seqs!$A:$B,2,FALSE),VLOOKUP($A119,'SegEnds_NonXtal_Prot#'!$A:$AL,22,FALSE)+8,1)</f>
        <v>A</v>
      </c>
      <c r="AD119" s="50" t="str">
        <f>MID(VLOOKUP($A119,Seqs!$A:$B,2,FALSE),VLOOKUP($A119,'SegEnds_NonXtal_Prot#'!$A:$AL,22,FALSE)+9,1)</f>
        <v>L</v>
      </c>
      <c r="AE119" s="50" t="str">
        <f>MID(VLOOKUP($A119,Seqs!$A:$B,2,FALSE),VLOOKUP($A119,'SegEnds_NonXtal_Prot#'!$A:$AL,22,FALSE)+10,1)</f>
        <v>S</v>
      </c>
      <c r="AF119" s="28" t="str">
        <f>MID(VLOOKUP($A119,Seqs!$A:$B,2,FALSE),VLOOKUP($A119,'SegEnds_NonXtal_Prot#'!$A:$AL,28,FALSE)-4,1)</f>
        <v>A</v>
      </c>
      <c r="AG119" s="50" t="str">
        <f>MID(VLOOKUP($A119,Seqs!$A:$B,2,FALSE),VLOOKUP($A119,'SegEnds_NonXtal_Prot#'!$A:$AL,28,FALSE),1)</f>
        <v>P</v>
      </c>
    </row>
    <row r="120" spans="1:33" s="2" customFormat="1" x14ac:dyDescent="0.2">
      <c r="A120" s="2" t="s">
        <v>266</v>
      </c>
      <c r="B120" s="2" t="str">
        <f>LOWER(VLOOKUP(A120,Xtal_Templ!A:B,2,FALSE))</f>
        <v>adrb2_human</v>
      </c>
      <c r="C120" s="2" t="str">
        <f>VLOOKUP(A120,Classification!A:D,2,FALSE)</f>
        <v>A</v>
      </c>
      <c r="D120" s="2" t="str">
        <f>IF(ISERROR(MATCH(A120,'SegEnds_Xtal_Prot#'!B:B, 0)), "NoXtal", "Xtal")</f>
        <v>NoXtal</v>
      </c>
      <c r="F120" s="2" t="s">
        <v>5</v>
      </c>
      <c r="G120" s="4"/>
      <c r="S120" s="4" t="s">
        <v>12</v>
      </c>
      <c r="U120" s="28" t="str">
        <f>MID(VLOOKUP($A120,Seqs!$A:$B,2,FALSE),VLOOKUP($A120,'SegEnds_NonXtal_Prot#'!A:AL,10,FALSE),1)</f>
        <v>D</v>
      </c>
      <c r="V120" s="50" t="str">
        <f>MID(VLOOKUP($A120,Seqs!$A:$B,2,FALSE),VLOOKUP($A120,'SegEnds_NonXtal_Prot#'!A:AL,10,FALSE)+6,1)</f>
        <v>V</v>
      </c>
      <c r="W120" s="50" t="str">
        <f>MID(VLOOKUP($A120,Seqs!$A:$B,2,FALSE),VLOOKUP($A120,'SegEnds_NonXtal_Prot#'!A:AL,10,FALSE)+7,1)</f>
        <v>T</v>
      </c>
      <c r="X120" s="50" t="str">
        <f>MID(VLOOKUP($A120,Seqs!$A:$B,2,FALSE),VLOOKUP($A120,'SegEnds_NonXtal_Prot#'!A:AL,10,FALSE)+8,1)</f>
        <v>A</v>
      </c>
      <c r="Y120" s="50" t="str">
        <f>MID(VLOOKUP($A120,Seqs!$A:$B,2,FALSE),VLOOKUP($A120,'SegEnds_NonXtal_Prot#'!A:AL,10,FALSE)+9,1)</f>
        <v>P</v>
      </c>
      <c r="Z120" s="50" t="str">
        <f>MID(VLOOKUP($A120,Seqs!$A:$B,2,FALSE),VLOOKUP($A120,'SegEnds_NonXtal_Prot#'!A:AL,10,FALSE)+10,1)</f>
        <v>M</v>
      </c>
      <c r="AA120" s="28" t="str">
        <f>MID(VLOOKUP($A120,Seqs!$A:$B,2,FALSE),VLOOKUP($A120,'SegEnds_NonXtal_Prot#'!$A:$AL,22,FALSE)+6,1)</f>
        <v>L</v>
      </c>
      <c r="AB120" s="50" t="str">
        <f>MID(VLOOKUP($A120,Seqs!$A:$B,2,FALSE),VLOOKUP($A120,'SegEnds_NonXtal_Prot#'!$A:$AL,22,FALSE)+7,1)</f>
        <v>A</v>
      </c>
      <c r="AC120" s="50" t="str">
        <f>MID(VLOOKUP($A120,Seqs!$A:$B,2,FALSE),VLOOKUP($A120,'SegEnds_NonXtal_Prot#'!$A:$AL,22,FALSE)+8,1)</f>
        <v>T</v>
      </c>
      <c r="AD120" s="50" t="str">
        <f>MID(VLOOKUP($A120,Seqs!$A:$B,2,FALSE),VLOOKUP($A120,'SegEnds_NonXtal_Prot#'!$A:$AL,22,FALSE)+9,1)</f>
        <v>L</v>
      </c>
      <c r="AE120" s="50" t="str">
        <f>MID(VLOOKUP($A120,Seqs!$A:$B,2,FALSE),VLOOKUP($A120,'SegEnds_NonXtal_Prot#'!$A:$AL,22,FALSE)+10,1)</f>
        <v>A</v>
      </c>
      <c r="AF120" s="28" t="str">
        <f>MID(VLOOKUP($A120,Seqs!$A:$B,2,FALSE),VLOOKUP($A120,'SegEnds_NonXtal_Prot#'!$A:$AL,28,FALSE)-4,1)</f>
        <v>D</v>
      </c>
      <c r="AG120" s="50" t="str">
        <f>MID(VLOOKUP($A120,Seqs!$A:$B,2,FALSE),VLOOKUP($A120,'SegEnds_NonXtal_Prot#'!$A:$AL,28,FALSE),1)</f>
        <v>C</v>
      </c>
    </row>
    <row r="121" spans="1:33" s="2" customFormat="1" x14ac:dyDescent="0.2">
      <c r="A121" s="2" t="s">
        <v>273</v>
      </c>
      <c r="B121" s="2" t="str">
        <f>LOWER(VLOOKUP(A121,Xtal_Templ!A:B,2,FALSE))</f>
        <v>ox1r_human</v>
      </c>
      <c r="C121" s="2" t="str">
        <f>VLOOKUP(A121,Classification!A:D,2,FALSE)</f>
        <v>A</v>
      </c>
      <c r="D121" s="2" t="str">
        <f>IF(ISERROR(MATCH(A121,'SegEnds_Xtal_Prot#'!B:B, 0)), "NoXtal", "Xtal")</f>
        <v>NoXtal</v>
      </c>
      <c r="F121" s="2" t="s">
        <v>5</v>
      </c>
      <c r="G121" s="4"/>
      <c r="Q121" s="2" t="s">
        <v>9</v>
      </c>
      <c r="S121" s="4" t="s">
        <v>12</v>
      </c>
      <c r="U121" s="28" t="str">
        <f>MID(VLOOKUP($A121,Seqs!$A:$B,2,FALSE),VLOOKUP($A121,'SegEnds_NonXtal_Prot#'!A:AL,10,FALSE),1)</f>
        <v>D</v>
      </c>
      <c r="V121" s="50" t="str">
        <f>MID(VLOOKUP($A121,Seqs!$A:$B,2,FALSE),VLOOKUP($A121,'SegEnds_NonXtal_Prot#'!A:AL,10,FALSE)+6,1)</f>
        <v>L</v>
      </c>
      <c r="W121" s="50" t="str">
        <f>MID(VLOOKUP($A121,Seqs!$A:$B,2,FALSE),VLOOKUP($A121,'SegEnds_NonXtal_Prot#'!A:AL,10,FALSE)+7,1)</f>
        <v>W</v>
      </c>
      <c r="X121" s="50" t="str">
        <f>MID(VLOOKUP($A121,Seqs!$A:$B,2,FALSE),VLOOKUP($A121,'SegEnds_NonXtal_Prot#'!A:AL,10,FALSE)+8,1)</f>
        <v>M</v>
      </c>
      <c r="Y121" s="50" t="str">
        <f>MID(VLOOKUP($A121,Seqs!$A:$B,2,FALSE),VLOOKUP($A121,'SegEnds_NonXtal_Prot#'!A:AL,10,FALSE)+9,1)</f>
        <v>P</v>
      </c>
      <c r="Z121" s="50" t="str">
        <f>MID(VLOOKUP($A121,Seqs!$A:$B,2,FALSE),VLOOKUP($A121,'SegEnds_NonXtal_Prot#'!A:AL,10,FALSE)+10,1)</f>
        <v>Q</v>
      </c>
      <c r="AA121" s="28" t="str">
        <f>MID(VLOOKUP($A121,Seqs!$A:$B,2,FALSE),VLOOKUP($A121,'SegEnds_NonXtal_Prot#'!$A:$AL,22,FALSE)+6,1)</f>
        <v>L</v>
      </c>
      <c r="AB121" s="50" t="str">
        <f>MID(VLOOKUP($A121,Seqs!$A:$B,2,FALSE),VLOOKUP($A121,'SegEnds_NonXtal_Prot#'!$A:$AL,22,FALSE)+7,1)</f>
        <v>V</v>
      </c>
      <c r="AC121" s="50" t="str">
        <f>MID(VLOOKUP($A121,Seqs!$A:$B,2,FALSE),VLOOKUP($A121,'SegEnds_NonXtal_Prot#'!$A:$AL,22,FALSE)+8,1)</f>
        <v>L</v>
      </c>
      <c r="AD121" s="50" t="str">
        <f>MID(VLOOKUP($A121,Seqs!$A:$B,2,FALSE),VLOOKUP($A121,'SegEnds_NonXtal_Prot#'!$A:$AL,22,FALSE)+9,1)</f>
        <v>L</v>
      </c>
      <c r="AE121" s="50" t="str">
        <f>MID(VLOOKUP($A121,Seqs!$A:$B,2,FALSE),VLOOKUP($A121,'SegEnds_NonXtal_Prot#'!$A:$AL,22,FALSE)+10,1)</f>
        <v>L</v>
      </c>
      <c r="AF121" s="28" t="str">
        <f>MID(VLOOKUP($A121,Seqs!$A:$B,2,FALSE),VLOOKUP($A121,'SegEnds_NonXtal_Prot#'!$A:$AL,28,FALSE)-4,1)</f>
        <v>L</v>
      </c>
      <c r="AG121" s="50" t="str">
        <f>MID(VLOOKUP($A121,Seqs!$A:$B,2,FALSE),VLOOKUP($A121,'SegEnds_NonXtal_Prot#'!$A:$AL,28,FALSE),1)</f>
        <v>P</v>
      </c>
    </row>
    <row r="122" spans="1:33" s="2" customFormat="1" x14ac:dyDescent="0.2">
      <c r="A122" s="2" t="s">
        <v>366</v>
      </c>
      <c r="B122" s="2" t="str">
        <f>LOWER(VLOOKUP(A122,Xtal_Templ!A:B,2,FALSE))</f>
        <v>agtr2_human</v>
      </c>
      <c r="C122" s="2" t="str">
        <f>VLOOKUP(A122,Classification!A:D,2,FALSE)</f>
        <v>A</v>
      </c>
      <c r="D122" s="2" t="str">
        <f>IF(ISERROR(MATCH(A122,'SegEnds_Xtal_Prot#'!B:B, 0)), "NoXtal", "Xtal")</f>
        <v>NoXtal</v>
      </c>
      <c r="F122" s="2" t="s">
        <v>5</v>
      </c>
      <c r="G122" s="4"/>
      <c r="S122" s="4" t="s">
        <v>12</v>
      </c>
      <c r="U122" s="28" t="str">
        <f>MID(VLOOKUP($A122,Seqs!$A:$B,2,FALSE),VLOOKUP($A122,'SegEnds_NonXtal_Prot#'!A:AL,10,FALSE),1)</f>
        <v>D</v>
      </c>
      <c r="V122" s="50" t="str">
        <f>MID(VLOOKUP($A122,Seqs!$A:$B,2,FALSE),VLOOKUP($A122,'SegEnds_NonXtal_Prot#'!A:AL,10,FALSE)+6,1)</f>
        <v>F</v>
      </c>
      <c r="W122" s="50" t="str">
        <f>MID(VLOOKUP($A122,Seqs!$A:$B,2,FALSE),VLOOKUP($A122,'SegEnds_NonXtal_Prot#'!A:AL,10,FALSE)+7,1)</f>
        <v>L</v>
      </c>
      <c r="X122" s="50" t="str">
        <f>MID(VLOOKUP($A122,Seqs!$A:$B,2,FALSE),VLOOKUP($A122,'SegEnds_NonXtal_Prot#'!A:AL,10,FALSE)+8,1)</f>
        <v>S</v>
      </c>
      <c r="Y122" s="50" t="str">
        <f>MID(VLOOKUP($A122,Seqs!$A:$B,2,FALSE),VLOOKUP($A122,'SegEnds_NonXtal_Prot#'!A:AL,10,FALSE)+9,1)</f>
        <v>P</v>
      </c>
      <c r="Z122" s="50" t="str">
        <f>MID(VLOOKUP($A122,Seqs!$A:$B,2,FALSE),VLOOKUP($A122,'SegEnds_NonXtal_Prot#'!A:AL,10,FALSE)+10,1)</f>
        <v>A</v>
      </c>
      <c r="AA122" s="28" t="str">
        <f>MID(VLOOKUP($A122,Seqs!$A:$B,2,FALSE),VLOOKUP($A122,'SegEnds_NonXtal_Prot#'!$A:$AL,22,FALSE)+6,1)</f>
        <v>F</v>
      </c>
      <c r="AB122" s="50" t="str">
        <f>MID(VLOOKUP($A122,Seqs!$A:$B,2,FALSE),VLOOKUP($A122,'SegEnds_NonXtal_Prot#'!$A:$AL,22,FALSE)+7,1)</f>
        <v>C</v>
      </c>
      <c r="AC122" s="50" t="str">
        <f>MID(VLOOKUP($A122,Seqs!$A:$B,2,FALSE),VLOOKUP($A122,'SegEnds_NonXtal_Prot#'!$A:$AL,22,FALSE)+8,1)</f>
        <v>A</v>
      </c>
      <c r="AD122" s="50" t="str">
        <f>MID(VLOOKUP($A122,Seqs!$A:$B,2,FALSE),VLOOKUP($A122,'SegEnds_NonXtal_Prot#'!$A:$AL,22,FALSE)+9,1)</f>
        <v>L</v>
      </c>
      <c r="AE122" s="50" t="str">
        <f>MID(VLOOKUP($A122,Seqs!$A:$B,2,FALSE),VLOOKUP($A122,'SegEnds_NonXtal_Prot#'!$A:$AL,22,FALSE)+10,1)</f>
        <v>P</v>
      </c>
      <c r="AF122" s="28" t="str">
        <f>MID(VLOOKUP($A122,Seqs!$A:$B,2,FALSE),VLOOKUP($A122,'SegEnds_NonXtal_Prot#'!$A:$AL,28,FALSE)-4,1)</f>
        <v>A</v>
      </c>
      <c r="AG122" s="50" t="str">
        <f>MID(VLOOKUP($A122,Seqs!$A:$B,2,FALSE),VLOOKUP($A122,'SegEnds_NonXtal_Prot#'!$A:$AL,28,FALSE),1)</f>
        <v>A</v>
      </c>
    </row>
    <row r="123" spans="1:33" s="2" customFormat="1" x14ac:dyDescent="0.2">
      <c r="A123" s="2" t="s">
        <v>195</v>
      </c>
      <c r="B123" s="2" t="str">
        <f>LOWER(VLOOKUP(A123,Xtal_Templ!A:B,2,FALSE))</f>
        <v>ednrb_human</v>
      </c>
      <c r="C123" s="2" t="str">
        <f>VLOOKUP(A123,Classification!A:D,2,FALSE)</f>
        <v>A</v>
      </c>
      <c r="D123" s="2" t="str">
        <f>IF(ISERROR(MATCH(A123,'SegEnds_Xtal_Prot#'!B:B, 0)), "NoXtal", "Xtal")</f>
        <v>NoXtal</v>
      </c>
      <c r="F123" s="2" t="s">
        <v>5</v>
      </c>
      <c r="G123" s="4"/>
      <c r="M123" s="2" t="s">
        <v>14</v>
      </c>
      <c r="Q123" s="2" t="s">
        <v>9</v>
      </c>
      <c r="S123" s="4" t="s">
        <v>12</v>
      </c>
      <c r="U123" s="28" t="str">
        <f>MID(VLOOKUP($A123,Seqs!$A:$B,2,FALSE),VLOOKUP($A123,'SegEnds_NonXtal_Prot#'!A:AL,10,FALSE),1)</f>
        <v>D</v>
      </c>
      <c r="V123" s="50" t="str">
        <f>MID(VLOOKUP($A123,Seqs!$A:$B,2,FALSE),VLOOKUP($A123,'SegEnds_NonXtal_Prot#'!A:AL,10,FALSE)+6,1)</f>
        <v>I</v>
      </c>
      <c r="W123" s="50" t="str">
        <f>MID(VLOOKUP($A123,Seqs!$A:$B,2,FALSE),VLOOKUP($A123,'SegEnds_NonXtal_Prot#'!A:AL,10,FALSE)+7,1)</f>
        <v>D</v>
      </c>
      <c r="X123" s="50" t="str">
        <f>MID(VLOOKUP($A123,Seqs!$A:$B,2,FALSE),VLOOKUP($A123,'SegEnds_NonXtal_Prot#'!A:AL,10,FALSE)+8,1)</f>
        <v>L</v>
      </c>
      <c r="Y123" s="50" t="str">
        <f>MID(VLOOKUP($A123,Seqs!$A:$B,2,FALSE),VLOOKUP($A123,'SegEnds_NonXtal_Prot#'!A:AL,10,FALSE)+9,1)</f>
        <v>P</v>
      </c>
      <c r="Z123" s="50" t="str">
        <f>MID(VLOOKUP($A123,Seqs!$A:$B,2,FALSE),VLOOKUP($A123,'SegEnds_NonXtal_Prot#'!A:AL,10,FALSE)+10,1)</f>
        <v>I</v>
      </c>
      <c r="AA123" s="28" t="str">
        <f>MID(VLOOKUP($A123,Seqs!$A:$B,2,FALSE),VLOOKUP($A123,'SegEnds_NonXtal_Prot#'!$A:$AL,22,FALSE)+6,1)</f>
        <v>L</v>
      </c>
      <c r="AB123" s="50" t="str">
        <f>MID(VLOOKUP($A123,Seqs!$A:$B,2,FALSE),VLOOKUP($A123,'SegEnds_NonXtal_Prot#'!$A:$AL,22,FALSE)+7,1)</f>
        <v>A</v>
      </c>
      <c r="AC123" s="50" t="str">
        <f>MID(VLOOKUP($A123,Seqs!$A:$B,2,FALSE),VLOOKUP($A123,'SegEnds_NonXtal_Prot#'!$A:$AL,22,FALSE)+8,1)</f>
        <v>I</v>
      </c>
      <c r="AD123" s="50" t="str">
        <f>MID(VLOOKUP($A123,Seqs!$A:$B,2,FALSE),VLOOKUP($A123,'SegEnds_NonXtal_Prot#'!$A:$AL,22,FALSE)+9,1)</f>
        <v>P</v>
      </c>
      <c r="AE123" s="50" t="str">
        <f>MID(VLOOKUP($A123,Seqs!$A:$B,2,FALSE),VLOOKUP($A123,'SegEnds_NonXtal_Prot#'!$A:$AL,22,FALSE)+10,1)</f>
        <v>E</v>
      </c>
      <c r="AF123" s="28" t="str">
        <f>MID(VLOOKUP($A123,Seqs!$A:$B,2,FALSE),VLOOKUP($A123,'SegEnds_NonXtal_Prot#'!$A:$AL,28,FALSE)-4,1)</f>
        <v>Y</v>
      </c>
      <c r="AG123" s="50" t="str">
        <f>MID(VLOOKUP($A123,Seqs!$A:$B,2,FALSE),VLOOKUP($A123,'SegEnds_NonXtal_Prot#'!$A:$AL,28,FALSE),1)</f>
        <v>P</v>
      </c>
    </row>
    <row r="124" spans="1:33" s="2" customFormat="1" x14ac:dyDescent="0.2">
      <c r="A124" s="2" t="s">
        <v>196</v>
      </c>
      <c r="B124" s="2" t="str">
        <f>LOWER(VLOOKUP(A124,Xtal_Templ!A:B,2,FALSE))</f>
        <v>ednrb_human</v>
      </c>
      <c r="C124" s="2" t="str">
        <f>VLOOKUP(A124,Classification!A:D,2,FALSE)</f>
        <v>A</v>
      </c>
      <c r="D124" s="2" t="str">
        <f>IF(ISERROR(MATCH(A124,'SegEnds_Xtal_Prot#'!B:B, 0)), "NoXtal", "Xtal")</f>
        <v>Xtal</v>
      </c>
      <c r="F124" s="2" t="s">
        <v>5</v>
      </c>
      <c r="G124" s="4"/>
      <c r="M124" s="2" t="s">
        <v>14</v>
      </c>
      <c r="Q124" s="2" t="s">
        <v>9</v>
      </c>
      <c r="S124" s="4" t="s">
        <v>12</v>
      </c>
      <c r="U124" s="28" t="str">
        <f>MID(VLOOKUP($A124,Seqs!$A:$B,2,FALSE),VLOOKUP($A124,'SegEnds_NonXtal_Prot#'!A:AL,10,FALSE),1)</f>
        <v>D</v>
      </c>
      <c r="V124" s="50" t="str">
        <f>MID(VLOOKUP($A124,Seqs!$A:$B,2,FALSE),VLOOKUP($A124,'SegEnds_NonXtal_Prot#'!A:AL,10,FALSE)+6,1)</f>
        <v>I</v>
      </c>
      <c r="W124" s="50" t="str">
        <f>MID(VLOOKUP($A124,Seqs!$A:$B,2,FALSE),VLOOKUP($A124,'SegEnds_NonXtal_Prot#'!A:AL,10,FALSE)+7,1)</f>
        <v>D</v>
      </c>
      <c r="X124" s="50" t="str">
        <f>MID(VLOOKUP($A124,Seqs!$A:$B,2,FALSE),VLOOKUP($A124,'SegEnds_NonXtal_Prot#'!A:AL,10,FALSE)+8,1)</f>
        <v>I</v>
      </c>
      <c r="Y124" s="50" t="str">
        <f>MID(VLOOKUP($A124,Seqs!$A:$B,2,FALSE),VLOOKUP($A124,'SegEnds_NonXtal_Prot#'!A:AL,10,FALSE)+9,1)</f>
        <v>P</v>
      </c>
      <c r="Z124" s="50" t="str">
        <f>MID(VLOOKUP($A124,Seqs!$A:$B,2,FALSE),VLOOKUP($A124,'SegEnds_NonXtal_Prot#'!A:AL,10,FALSE)+10,1)</f>
        <v>I</v>
      </c>
      <c r="AA124" s="28" t="str">
        <f>MID(VLOOKUP($A124,Seqs!$A:$B,2,FALSE),VLOOKUP($A124,'SegEnds_NonXtal_Prot#'!$A:$AL,22,FALSE)+6,1)</f>
        <v>L</v>
      </c>
      <c r="AB124" s="50" t="str">
        <f>MID(VLOOKUP($A124,Seqs!$A:$B,2,FALSE),VLOOKUP($A124,'SegEnds_NonXtal_Prot#'!$A:$AL,22,FALSE)+7,1)</f>
        <v>A</v>
      </c>
      <c r="AC124" s="50" t="str">
        <f>MID(VLOOKUP($A124,Seqs!$A:$B,2,FALSE),VLOOKUP($A124,'SegEnds_NonXtal_Prot#'!$A:$AL,22,FALSE)+8,1)</f>
        <v>V</v>
      </c>
      <c r="AD124" s="50" t="str">
        <f>MID(VLOOKUP($A124,Seqs!$A:$B,2,FALSE),VLOOKUP($A124,'SegEnds_NonXtal_Prot#'!$A:$AL,22,FALSE)+9,1)</f>
        <v>P</v>
      </c>
      <c r="AE124" s="50" t="str">
        <f>MID(VLOOKUP($A124,Seqs!$A:$B,2,FALSE),VLOOKUP($A124,'SegEnds_NonXtal_Prot#'!$A:$AL,22,FALSE)+10,1)</f>
        <v>E</v>
      </c>
      <c r="AF124" s="28" t="str">
        <f>MID(VLOOKUP($A124,Seqs!$A:$B,2,FALSE),VLOOKUP($A124,'SegEnds_NonXtal_Prot#'!$A:$AL,28,FALSE)-4,1)</f>
        <v>Y</v>
      </c>
      <c r="AG124" s="50" t="str">
        <f>MID(VLOOKUP($A124,Seqs!$A:$B,2,FALSE),VLOOKUP($A124,'SegEnds_NonXtal_Prot#'!$A:$AL,28,FALSE),1)</f>
        <v>P</v>
      </c>
    </row>
    <row r="125" spans="1:33" s="2" customFormat="1" x14ac:dyDescent="0.2">
      <c r="A125" s="2" t="s">
        <v>197</v>
      </c>
      <c r="B125" s="2" t="str">
        <f>LOWER(VLOOKUP(A125,Xtal_Templ!A:B,2,FALSE))</f>
        <v>ednrb_human</v>
      </c>
      <c r="C125" s="2" t="str">
        <f>VLOOKUP(A125,Classification!A:D,2,FALSE)</f>
        <v>A</v>
      </c>
      <c r="D125" s="2" t="str">
        <f>IF(ISERROR(MATCH(A125,'SegEnds_Xtal_Prot#'!B:B, 0)), "NoXtal", "Xtal")</f>
        <v>NoXtal</v>
      </c>
      <c r="F125" s="2" t="s">
        <v>5</v>
      </c>
      <c r="G125" s="4"/>
      <c r="M125" s="2" t="s">
        <v>14</v>
      </c>
      <c r="Q125" s="2" t="s">
        <v>9</v>
      </c>
      <c r="S125" s="4" t="s">
        <v>12</v>
      </c>
      <c r="U125" s="28" t="str">
        <f>MID(VLOOKUP($A125,Seqs!$A:$B,2,FALSE),VLOOKUP($A125,'SegEnds_NonXtal_Prot#'!A:AL,10,FALSE),1)</f>
        <v>D</v>
      </c>
      <c r="V125" s="50" t="str">
        <f>MID(VLOOKUP($A125,Seqs!$A:$B,2,FALSE),VLOOKUP($A125,'SegEnds_NonXtal_Prot#'!A:AL,10,FALSE)+6,1)</f>
        <v>F</v>
      </c>
      <c r="W125" s="50" t="str">
        <f>MID(VLOOKUP($A125,Seqs!$A:$B,2,FALSE),VLOOKUP($A125,'SegEnds_NonXtal_Prot#'!A:AL,10,FALSE)+7,1)</f>
        <v>C</v>
      </c>
      <c r="X125" s="50" t="str">
        <f>MID(VLOOKUP($A125,Seqs!$A:$B,2,FALSE),VLOOKUP($A125,'SegEnds_NonXtal_Prot#'!A:AL,10,FALSE)+8,1)</f>
        <v>L</v>
      </c>
      <c r="Y125" s="50" t="str">
        <f>MID(VLOOKUP($A125,Seqs!$A:$B,2,FALSE),VLOOKUP($A125,'SegEnds_NonXtal_Prot#'!A:AL,10,FALSE)+9,1)</f>
        <v>P</v>
      </c>
      <c r="Z125" s="50" t="str">
        <f>MID(VLOOKUP($A125,Seqs!$A:$B,2,FALSE),VLOOKUP($A125,'SegEnds_NonXtal_Prot#'!A:AL,10,FALSE)+10,1)</f>
        <v>I</v>
      </c>
      <c r="AA125" s="28" t="str">
        <f>MID(VLOOKUP($A125,Seqs!$A:$B,2,FALSE),VLOOKUP($A125,'SegEnds_NonXtal_Prot#'!$A:$AL,22,FALSE)+6,1)</f>
        <v>L</v>
      </c>
      <c r="AB125" s="50" t="str">
        <f>MID(VLOOKUP($A125,Seqs!$A:$B,2,FALSE),VLOOKUP($A125,'SegEnds_NonXtal_Prot#'!$A:$AL,22,FALSE)+7,1)</f>
        <v>A</v>
      </c>
      <c r="AC125" s="50" t="str">
        <f>MID(VLOOKUP($A125,Seqs!$A:$B,2,FALSE),VLOOKUP($A125,'SegEnds_NonXtal_Prot#'!$A:$AL,22,FALSE)+8,1)</f>
        <v>V</v>
      </c>
      <c r="AD125" s="50" t="str">
        <f>MID(VLOOKUP($A125,Seqs!$A:$B,2,FALSE),VLOOKUP($A125,'SegEnds_NonXtal_Prot#'!$A:$AL,22,FALSE)+9,1)</f>
        <v>P</v>
      </c>
      <c r="AE125" s="50" t="str">
        <f>MID(VLOOKUP($A125,Seqs!$A:$B,2,FALSE),VLOOKUP($A125,'SegEnds_NonXtal_Prot#'!$A:$AL,22,FALSE)+10,1)</f>
        <v>E</v>
      </c>
      <c r="AF125" s="28" t="str">
        <f>MID(VLOOKUP($A125,Seqs!$A:$B,2,FALSE),VLOOKUP($A125,'SegEnds_NonXtal_Prot#'!$A:$AL,28,FALSE)-4,1)</f>
        <v>Y</v>
      </c>
      <c r="AG125" s="50" t="str">
        <f>MID(VLOOKUP($A125,Seqs!$A:$B,2,FALSE),VLOOKUP($A125,'SegEnds_NonXtal_Prot#'!$A:$AL,28,FALSE),1)</f>
        <v>P</v>
      </c>
    </row>
    <row r="126" spans="1:33" s="2" customFormat="1" x14ac:dyDescent="0.2">
      <c r="A126" s="2" t="s">
        <v>255</v>
      </c>
      <c r="B126" s="2" t="str">
        <f>LOWER(VLOOKUP(A126,Xtal_Templ!A:B,2,FALSE))</f>
        <v>ednrb_human</v>
      </c>
      <c r="C126" s="2" t="str">
        <f>VLOOKUP(A126,Classification!A:D,2,FALSE)</f>
        <v>A</v>
      </c>
      <c r="D126" s="2" t="str">
        <f>IF(ISERROR(MATCH(A126,'SegEnds_Xtal_Prot#'!B:B, 0)), "NoXtal", "Xtal")</f>
        <v>NoXtal</v>
      </c>
      <c r="F126" s="2" t="s">
        <v>5</v>
      </c>
      <c r="G126" s="4"/>
      <c r="M126" s="2" t="s">
        <v>14</v>
      </c>
      <c r="Q126" s="2" t="s">
        <v>9</v>
      </c>
      <c r="S126" s="4" t="s">
        <v>12</v>
      </c>
      <c r="U126" s="28" t="str">
        <f>MID(VLOOKUP($A126,Seqs!$A:$B,2,FALSE),VLOOKUP($A126,'SegEnds_NonXtal_Prot#'!A:AL,10,FALSE),1)</f>
        <v>D</v>
      </c>
      <c r="V126" s="50" t="str">
        <f>MID(VLOOKUP($A126,Seqs!$A:$B,2,FALSE),VLOOKUP($A126,'SegEnds_NonXtal_Prot#'!A:AL,10,FALSE)+6,1)</f>
        <v>F</v>
      </c>
      <c r="W126" s="50" t="str">
        <f>MID(VLOOKUP($A126,Seqs!$A:$B,2,FALSE),VLOOKUP($A126,'SegEnds_NonXtal_Prot#'!A:AL,10,FALSE)+7,1)</f>
        <v>C</v>
      </c>
      <c r="X126" s="50" t="str">
        <f>MID(VLOOKUP($A126,Seqs!$A:$B,2,FALSE),VLOOKUP($A126,'SegEnds_NonXtal_Prot#'!A:AL,10,FALSE)+8,1)</f>
        <v>L</v>
      </c>
      <c r="Y126" s="50" t="str">
        <f>MID(VLOOKUP($A126,Seqs!$A:$B,2,FALSE),VLOOKUP($A126,'SegEnds_NonXtal_Prot#'!A:AL,10,FALSE)+9,1)</f>
        <v>P</v>
      </c>
      <c r="Z126" s="50" t="str">
        <f>MID(VLOOKUP($A126,Seqs!$A:$B,2,FALSE),VLOOKUP($A126,'SegEnds_NonXtal_Prot#'!A:AL,10,FALSE)+10,1)</f>
        <v>L</v>
      </c>
      <c r="AA126" s="28" t="str">
        <f>MID(VLOOKUP($A126,Seqs!$A:$B,2,FALSE),VLOOKUP($A126,'SegEnds_NonXtal_Prot#'!$A:$AL,22,FALSE)+6,1)</f>
        <v>L</v>
      </c>
      <c r="AB126" s="50" t="str">
        <f>MID(VLOOKUP($A126,Seqs!$A:$B,2,FALSE),VLOOKUP($A126,'SegEnds_NonXtal_Prot#'!$A:$AL,22,FALSE)+7,1)</f>
        <v>A</v>
      </c>
      <c r="AC126" s="50" t="str">
        <f>MID(VLOOKUP($A126,Seqs!$A:$B,2,FALSE),VLOOKUP($A126,'SegEnds_NonXtal_Prot#'!$A:$AL,22,FALSE)+8,1)</f>
        <v>L</v>
      </c>
      <c r="AD126" s="50" t="str">
        <f>MID(VLOOKUP($A126,Seqs!$A:$B,2,FALSE),VLOOKUP($A126,'SegEnds_NonXtal_Prot#'!$A:$AL,22,FALSE)+9,1)</f>
        <v>P</v>
      </c>
      <c r="AE126" s="50" t="str">
        <f>MID(VLOOKUP($A126,Seqs!$A:$B,2,FALSE),VLOOKUP($A126,'SegEnds_NonXtal_Prot#'!$A:$AL,22,FALSE)+10,1)</f>
        <v>E</v>
      </c>
      <c r="AF126" s="28" t="str">
        <f>MID(VLOOKUP($A126,Seqs!$A:$B,2,FALSE),VLOOKUP($A126,'SegEnds_NonXtal_Prot#'!$A:$AL,28,FALSE)-4,1)</f>
        <v>Y</v>
      </c>
      <c r="AG126" s="50" t="str">
        <f>MID(VLOOKUP($A126,Seqs!$A:$B,2,FALSE),VLOOKUP($A126,'SegEnds_NonXtal_Prot#'!$A:$AL,28,FALSE),1)</f>
        <v>P</v>
      </c>
    </row>
    <row r="127" spans="1:33" s="2" customFormat="1" x14ac:dyDescent="0.2">
      <c r="A127" s="2" t="s">
        <v>274</v>
      </c>
      <c r="B127" s="2" t="str">
        <f>LOWER(VLOOKUP(A127,Xtal_Templ!A:B,2,FALSE))</f>
        <v>ednrb_human</v>
      </c>
      <c r="C127" s="2" t="str">
        <f>VLOOKUP(A127,Classification!A:D,2,FALSE)</f>
        <v>A</v>
      </c>
      <c r="D127" s="2" t="str">
        <f>IF(ISERROR(MATCH(A127,'SegEnds_Xtal_Prot#'!B:B, 0)), "NoXtal", "Xtal")</f>
        <v>NoXtal</v>
      </c>
      <c r="F127" s="2" t="s">
        <v>5</v>
      </c>
      <c r="G127" s="4"/>
      <c r="M127" s="2" t="s">
        <v>14</v>
      </c>
      <c r="S127" s="4" t="s">
        <v>12</v>
      </c>
      <c r="U127" s="28" t="str">
        <f>MID(VLOOKUP($A127,Seqs!$A:$B,2,FALSE),VLOOKUP($A127,'SegEnds_NonXtal_Prot#'!A:AL,10,FALSE),1)</f>
        <v>D</v>
      </c>
      <c r="V127" s="50" t="str">
        <f>MID(VLOOKUP($A127,Seqs!$A:$B,2,FALSE),VLOOKUP($A127,'SegEnds_NonXtal_Prot#'!A:AL,10,FALSE)+6,1)</f>
        <v>T</v>
      </c>
      <c r="W127" s="50" t="str">
        <f>MID(VLOOKUP($A127,Seqs!$A:$B,2,FALSE),VLOOKUP($A127,'SegEnds_NonXtal_Prot#'!A:AL,10,FALSE)+7,1)</f>
        <v>C</v>
      </c>
      <c r="X127" s="50" t="str">
        <f>MID(VLOOKUP($A127,Seqs!$A:$B,2,FALSE),VLOOKUP($A127,'SegEnds_NonXtal_Prot#'!A:AL,10,FALSE)+8,1)</f>
        <v>A</v>
      </c>
      <c r="Y127" s="50" t="str">
        <f>MID(VLOOKUP($A127,Seqs!$A:$B,2,FALSE),VLOOKUP($A127,'SegEnds_NonXtal_Prot#'!A:AL,10,FALSE)+9,1)</f>
        <v>P</v>
      </c>
      <c r="Z127" s="50" t="str">
        <f>MID(VLOOKUP($A127,Seqs!$A:$B,2,FALSE),VLOOKUP($A127,'SegEnds_NonXtal_Prot#'!A:AL,10,FALSE)+10,1)</f>
        <v>V</v>
      </c>
      <c r="AA127" s="28" t="str">
        <f>MID(VLOOKUP($A127,Seqs!$A:$B,2,FALSE),VLOOKUP($A127,'SegEnds_NonXtal_Prot#'!$A:$AL,22,FALSE)+6,1)</f>
        <v>L</v>
      </c>
      <c r="AB127" s="50" t="str">
        <f>MID(VLOOKUP($A127,Seqs!$A:$B,2,FALSE),VLOOKUP($A127,'SegEnds_NonXtal_Prot#'!$A:$AL,22,FALSE)+7,1)</f>
        <v>A</v>
      </c>
      <c r="AC127" s="50" t="str">
        <f>MID(VLOOKUP($A127,Seqs!$A:$B,2,FALSE),VLOOKUP($A127,'SegEnds_NonXtal_Prot#'!$A:$AL,22,FALSE)+8,1)</f>
        <v>I</v>
      </c>
      <c r="AD127" s="50" t="str">
        <f>MID(VLOOKUP($A127,Seqs!$A:$B,2,FALSE),VLOOKUP($A127,'SegEnds_NonXtal_Prot#'!$A:$AL,22,FALSE)+9,1)</f>
        <v>P</v>
      </c>
      <c r="AE127" s="50" t="str">
        <f>MID(VLOOKUP($A127,Seqs!$A:$B,2,FALSE),VLOOKUP($A127,'SegEnds_NonXtal_Prot#'!$A:$AL,22,FALSE)+10,1)</f>
        <v>E</v>
      </c>
      <c r="AF127" s="28" t="str">
        <f>MID(VLOOKUP($A127,Seqs!$A:$B,2,FALSE),VLOOKUP($A127,'SegEnds_NonXtal_Prot#'!$A:$AL,28,FALSE)-4,1)</f>
        <v>F</v>
      </c>
      <c r="AG127" s="50" t="str">
        <f>MID(VLOOKUP($A127,Seqs!$A:$B,2,FALSE),VLOOKUP($A127,'SegEnds_NonXtal_Prot#'!$A:$AL,28,FALSE),1)</f>
        <v>P</v>
      </c>
    </row>
    <row r="128" spans="1:33" s="2" customFormat="1" x14ac:dyDescent="0.2">
      <c r="A128" s="2" t="s">
        <v>317</v>
      </c>
      <c r="B128" s="2" t="str">
        <f>LOWER(VLOOKUP(A128,Xtal_Templ!A:B,2,FALSE))</f>
        <v>ednrb_human</v>
      </c>
      <c r="C128" s="2" t="str">
        <f>VLOOKUP(A128,Classification!A:D,2,FALSE)</f>
        <v>A</v>
      </c>
      <c r="D128" s="2" t="str">
        <f>IF(ISERROR(MATCH(A128,'SegEnds_Xtal_Prot#'!B:B, 0)), "NoXtal", "Xtal")</f>
        <v>NoXtal</v>
      </c>
      <c r="F128" s="2" t="s">
        <v>5</v>
      </c>
      <c r="G128" s="4"/>
      <c r="M128" s="2" t="s">
        <v>14</v>
      </c>
      <c r="Q128" s="2" t="s">
        <v>9</v>
      </c>
      <c r="S128" s="4" t="s">
        <v>12</v>
      </c>
      <c r="U128" s="28" t="str">
        <f>MID(VLOOKUP($A128,Seqs!$A:$B,2,FALSE),VLOOKUP($A128,'SegEnds_NonXtal_Prot#'!A:AL,10,FALSE),1)</f>
        <v>D</v>
      </c>
      <c r="V128" s="50" t="str">
        <f>MID(VLOOKUP($A128,Seqs!$A:$B,2,FALSE),VLOOKUP($A128,'SegEnds_NonXtal_Prot#'!A:AL,10,FALSE)+6,1)</f>
        <v>T</v>
      </c>
      <c r="W128" s="50" t="str">
        <f>MID(VLOOKUP($A128,Seqs!$A:$B,2,FALSE),VLOOKUP($A128,'SegEnds_NonXtal_Prot#'!A:AL,10,FALSE)+7,1)</f>
        <v>C</v>
      </c>
      <c r="X128" s="50" t="str">
        <f>MID(VLOOKUP($A128,Seqs!$A:$B,2,FALSE),VLOOKUP($A128,'SegEnds_NonXtal_Prot#'!A:AL,10,FALSE)+8,1)</f>
        <v>V</v>
      </c>
      <c r="Y128" s="50" t="str">
        <f>MID(VLOOKUP($A128,Seqs!$A:$B,2,FALSE),VLOOKUP($A128,'SegEnds_NonXtal_Prot#'!A:AL,10,FALSE)+9,1)</f>
        <v>P</v>
      </c>
      <c r="Z128" s="50" t="str">
        <f>MID(VLOOKUP($A128,Seqs!$A:$B,2,FALSE),VLOOKUP($A128,'SegEnds_NonXtal_Prot#'!A:AL,10,FALSE)+10,1)</f>
        <v>V</v>
      </c>
      <c r="AA128" s="28" t="str">
        <f>MID(VLOOKUP($A128,Seqs!$A:$B,2,FALSE),VLOOKUP($A128,'SegEnds_NonXtal_Prot#'!$A:$AL,22,FALSE)+6,1)</f>
        <v>L</v>
      </c>
      <c r="AB128" s="50" t="str">
        <f>MID(VLOOKUP($A128,Seqs!$A:$B,2,FALSE),VLOOKUP($A128,'SegEnds_NonXtal_Prot#'!$A:$AL,22,FALSE)+7,1)</f>
        <v>A</v>
      </c>
      <c r="AC128" s="50" t="str">
        <f>MID(VLOOKUP($A128,Seqs!$A:$B,2,FALSE),VLOOKUP($A128,'SegEnds_NonXtal_Prot#'!$A:$AL,22,FALSE)+8,1)</f>
        <v>V</v>
      </c>
      <c r="AD128" s="50" t="str">
        <f>MID(VLOOKUP($A128,Seqs!$A:$B,2,FALSE),VLOOKUP($A128,'SegEnds_NonXtal_Prot#'!$A:$AL,22,FALSE)+9,1)</f>
        <v>P</v>
      </c>
      <c r="AE128" s="50" t="str">
        <f>MID(VLOOKUP($A128,Seqs!$A:$B,2,FALSE),VLOOKUP($A128,'SegEnds_NonXtal_Prot#'!$A:$AL,22,FALSE)+10,1)</f>
        <v>E</v>
      </c>
      <c r="AF128" s="28" t="str">
        <f>MID(VLOOKUP($A128,Seqs!$A:$B,2,FALSE),VLOOKUP($A128,'SegEnds_NonXtal_Prot#'!$A:$AL,28,FALSE)-4,1)</f>
        <v>Y</v>
      </c>
      <c r="AG128" s="50" t="str">
        <f>MID(VLOOKUP($A128,Seqs!$A:$B,2,FALSE),VLOOKUP($A128,'SegEnds_NonXtal_Prot#'!$A:$AL,28,FALSE),1)</f>
        <v>P</v>
      </c>
    </row>
    <row r="129" spans="1:33" s="2" customFormat="1" x14ac:dyDescent="0.2">
      <c r="A129" s="2" t="s">
        <v>1173</v>
      </c>
      <c r="B129" s="2" t="str">
        <f>LOWER(VLOOKUP(A129,Xtal_Templ!A:B,2,FALSE))</f>
        <v>ffar1_human</v>
      </c>
      <c r="C129" s="2" t="str">
        <f>VLOOKUP(A129,Classification!A:D,2,FALSE)</f>
        <v>A</v>
      </c>
      <c r="D129" s="2" t="str">
        <f>IF(ISERROR(MATCH(A129,'SegEnds_Xtal_Prot#'!B:B, 0)), "NoXtal", "Xtal")</f>
        <v>Xtal</v>
      </c>
      <c r="G129" s="4"/>
      <c r="Q129" s="2" t="s">
        <v>9</v>
      </c>
      <c r="R129" s="2" t="s">
        <v>1328</v>
      </c>
      <c r="S129" s="4" t="s">
        <v>12</v>
      </c>
      <c r="U129" s="28" t="str">
        <f>MID(VLOOKUP($A129,Seqs!$A:$B,2,FALSE),VLOOKUP($A129,'SegEnds_NonXtal_Prot#'!A:AL,10,FALSE),1)</f>
        <v>D</v>
      </c>
      <c r="V129" s="50" t="str">
        <f>MID(VLOOKUP($A129,Seqs!$A:$B,2,FALSE),VLOOKUP($A129,'SegEnds_NonXtal_Prot#'!A:AL,10,FALSE)+6,1)</f>
        <v>S</v>
      </c>
      <c r="W129" s="50" t="str">
        <f>MID(VLOOKUP($A129,Seqs!$A:$B,2,FALSE),VLOOKUP($A129,'SegEnds_NonXtal_Prot#'!A:AL,10,FALSE)+7,1)</f>
        <v>L</v>
      </c>
      <c r="X129" s="50" t="str">
        <f>MID(VLOOKUP($A129,Seqs!$A:$B,2,FALSE),VLOOKUP($A129,'SegEnds_NonXtal_Prot#'!A:AL,10,FALSE)+8,1)</f>
        <v>P</v>
      </c>
      <c r="Y129" s="50" t="str">
        <f>MID(VLOOKUP($A129,Seqs!$A:$B,2,FALSE),VLOOKUP($A129,'SegEnds_NonXtal_Prot#'!A:AL,10,FALSE)+9,1)</f>
        <v>L</v>
      </c>
      <c r="Z129" s="50" t="str">
        <f>MID(VLOOKUP($A129,Seqs!$A:$B,2,FALSE),VLOOKUP($A129,'SegEnds_NonXtal_Prot#'!A:AL,10,FALSE)+10,1)</f>
        <v>K</v>
      </c>
      <c r="AA129" s="28" t="str">
        <f>MID(VLOOKUP($A129,Seqs!$A:$B,2,FALSE),VLOOKUP($A129,'SegEnds_NonXtal_Prot#'!$A:$AL,22,FALSE)+6,1)</f>
        <v>H</v>
      </c>
      <c r="AB129" s="50" t="str">
        <f>MID(VLOOKUP($A129,Seqs!$A:$B,2,FALSE),VLOOKUP($A129,'SegEnds_NonXtal_Prot#'!$A:$AL,22,FALSE)+7,1)</f>
        <v>L</v>
      </c>
      <c r="AC129" s="50" t="str">
        <f>MID(VLOOKUP($A129,Seqs!$A:$B,2,FALSE),VLOOKUP($A129,'SegEnds_NonXtal_Prot#'!$A:$AL,22,FALSE)+8,1)</f>
        <v>G</v>
      </c>
      <c r="AD129" s="50" t="str">
        <f>MID(VLOOKUP($A129,Seqs!$A:$B,2,FALSE),VLOOKUP($A129,'SegEnds_NonXtal_Prot#'!$A:$AL,22,FALSE)+9,1)</f>
        <v>L</v>
      </c>
      <c r="AE129" s="50" t="str">
        <f>MID(VLOOKUP($A129,Seqs!$A:$B,2,FALSE),VLOOKUP($A129,'SegEnds_NonXtal_Prot#'!$A:$AL,22,FALSE)+10,1)</f>
        <v>V</v>
      </c>
      <c r="AF129" s="28" t="str">
        <f>MID(VLOOKUP($A129,Seqs!$A:$B,2,FALSE),VLOOKUP($A129,'SegEnds_NonXtal_Prot#'!$A:$AL,28,FALSE)-4,1)</f>
        <v>L</v>
      </c>
      <c r="AG129" s="50" t="str">
        <f>MID(VLOOKUP($A129,Seqs!$A:$B,2,FALSE),VLOOKUP($A129,'SegEnds_NonXtal_Prot#'!$A:$AL,28,FALSE),1)</f>
        <v>P</v>
      </c>
    </row>
    <row r="130" spans="1:33" s="2" customFormat="1" x14ac:dyDescent="0.2">
      <c r="A130" s="2" t="s">
        <v>198</v>
      </c>
      <c r="B130" s="2" t="str">
        <f>LOWER(VLOOKUP(A130,Xtal_Templ!A:B,2,FALSE))</f>
        <v>par2_human</v>
      </c>
      <c r="C130" s="2" t="str">
        <f>VLOOKUP(A130,Classification!A:D,2,FALSE)</f>
        <v>A</v>
      </c>
      <c r="D130" s="2" t="str">
        <f>IF(ISERROR(MATCH(A130,'SegEnds_Xtal_Prot#'!B:B, 0)), "NoXtal", "Xtal")</f>
        <v>NoXtal</v>
      </c>
      <c r="G130" s="4"/>
      <c r="Q130" s="2" t="s">
        <v>9</v>
      </c>
      <c r="R130" s="2" t="s">
        <v>1328</v>
      </c>
      <c r="S130" s="4" t="s">
        <v>12</v>
      </c>
      <c r="U130" s="28" t="str">
        <f>MID(VLOOKUP($A130,Seqs!$A:$B,2,FALSE),VLOOKUP($A130,'SegEnds_NonXtal_Prot#'!A:AL,10,FALSE),1)</f>
        <v>D</v>
      </c>
      <c r="V130" s="50" t="str">
        <f>MID(VLOOKUP($A130,Seqs!$A:$B,2,FALSE),VLOOKUP($A130,'SegEnds_NonXtal_Prot#'!A:AL,10,FALSE)+6,1)</f>
        <v>L</v>
      </c>
      <c r="W130" s="50" t="str">
        <f>MID(VLOOKUP($A130,Seqs!$A:$B,2,FALSE),VLOOKUP($A130,'SegEnds_NonXtal_Prot#'!A:AL,10,FALSE)+7,1)</f>
        <v>L</v>
      </c>
      <c r="X130" s="50" t="str">
        <f>MID(VLOOKUP($A130,Seqs!$A:$B,2,FALSE),VLOOKUP($A130,'SegEnds_NonXtal_Prot#'!A:AL,10,FALSE)+8,1)</f>
        <v>P</v>
      </c>
      <c r="Y130" s="50" t="str">
        <f>MID(VLOOKUP($A130,Seqs!$A:$B,2,FALSE),VLOOKUP($A130,'SegEnds_NonXtal_Prot#'!A:AL,10,FALSE)+9,1)</f>
        <v>F</v>
      </c>
      <c r="Z130" s="50" t="str">
        <f>MID(VLOOKUP($A130,Seqs!$A:$B,2,FALSE),VLOOKUP($A130,'SegEnds_NonXtal_Prot#'!A:AL,10,FALSE)+10,1)</f>
        <v>K</v>
      </c>
      <c r="AA130" s="28" t="str">
        <f>MID(VLOOKUP($A130,Seqs!$A:$B,2,FALSE),VLOOKUP($A130,'SegEnds_NonXtal_Prot#'!$A:$AL,22,FALSE)+6,1)</f>
        <v>H</v>
      </c>
      <c r="AB130" s="50" t="str">
        <f>MID(VLOOKUP($A130,Seqs!$A:$B,2,FALSE),VLOOKUP($A130,'SegEnds_NonXtal_Prot#'!$A:$AL,22,FALSE)+7,1)</f>
        <v>C</v>
      </c>
      <c r="AC130" s="50" t="str">
        <f>MID(VLOOKUP($A130,Seqs!$A:$B,2,FALSE),VLOOKUP($A130,'SegEnds_NonXtal_Prot#'!$A:$AL,22,FALSE)+8,1)</f>
        <v>T</v>
      </c>
      <c r="AD130" s="50" t="str">
        <f>MID(VLOOKUP($A130,Seqs!$A:$B,2,FALSE),VLOOKUP($A130,'SegEnds_NonXtal_Prot#'!$A:$AL,22,FALSE)+9,1)</f>
        <v>I</v>
      </c>
      <c r="AE130" s="50" t="str">
        <f>MID(VLOOKUP($A130,Seqs!$A:$B,2,FALSE),VLOOKUP($A130,'SegEnds_NonXtal_Prot#'!$A:$AL,22,FALSE)+10,1)</f>
        <v>V</v>
      </c>
      <c r="AF130" s="28" t="str">
        <f>MID(VLOOKUP($A130,Seqs!$A:$B,2,FALSE),VLOOKUP($A130,'SegEnds_NonXtal_Prot#'!$A:$AL,28,FALSE)-4,1)</f>
        <v>L</v>
      </c>
      <c r="AG130" s="50" t="str">
        <f>MID(VLOOKUP($A130,Seqs!$A:$B,2,FALSE),VLOOKUP($A130,'SegEnds_NonXtal_Prot#'!$A:$AL,28,FALSE),1)</f>
        <v>P</v>
      </c>
    </row>
    <row r="131" spans="1:33" s="2" customFormat="1" x14ac:dyDescent="0.2">
      <c r="A131" s="2" t="s">
        <v>219</v>
      </c>
      <c r="B131" s="2" t="str">
        <f>LOWER(VLOOKUP(A131,Xtal_Templ!A:B,2,FALSE))</f>
        <v>agtr1_human</v>
      </c>
      <c r="C131" s="2" t="str">
        <f>VLOOKUP(A131,Classification!A:D,2,FALSE)</f>
        <v>A</v>
      </c>
      <c r="D131" s="2" t="str">
        <f>IF(ISERROR(MATCH(A131,'SegEnds_Xtal_Prot#'!B:B, 0)), "NoXtal", "Xtal")</f>
        <v>NoXtal</v>
      </c>
      <c r="F131" s="2" t="s">
        <v>5</v>
      </c>
      <c r="G131" s="4"/>
      <c r="Q131" s="2" t="s">
        <v>9</v>
      </c>
      <c r="S131" s="4" t="s">
        <v>12</v>
      </c>
      <c r="U131" s="28" t="str">
        <f>MID(VLOOKUP($A131,Seqs!$A:$B,2,FALSE),VLOOKUP($A131,'SegEnds_NonXtal_Prot#'!A:AL,10,FALSE),1)</f>
        <v>A</v>
      </c>
      <c r="V131" s="50" t="str">
        <f>MID(VLOOKUP($A131,Seqs!$A:$B,2,FALSE),VLOOKUP($A131,'SegEnds_NonXtal_Prot#'!A:AL,10,FALSE)+6,1)</f>
        <v>L</v>
      </c>
      <c r="W131" s="50" t="str">
        <f>MID(VLOOKUP($A131,Seqs!$A:$B,2,FALSE),VLOOKUP($A131,'SegEnds_NonXtal_Prot#'!A:AL,10,FALSE)+7,1)</f>
        <v>L</v>
      </c>
      <c r="X131" s="50" t="str">
        <f>MID(VLOOKUP($A131,Seqs!$A:$B,2,FALSE),VLOOKUP($A131,'SegEnds_NonXtal_Prot#'!A:AL,10,FALSE)+8,1)</f>
        <v>G</v>
      </c>
      <c r="Y131" s="50" t="str">
        <f>MID(VLOOKUP($A131,Seqs!$A:$B,2,FALSE),VLOOKUP($A131,'SegEnds_NonXtal_Prot#'!A:AL,10,FALSE)+9,1)</f>
        <v>P</v>
      </c>
      <c r="Z131" s="50" t="str">
        <f>MID(VLOOKUP($A131,Seqs!$A:$B,2,FALSE),VLOOKUP($A131,'SegEnds_NonXtal_Prot#'!A:AL,10,FALSE)+10,1)</f>
        <v>P</v>
      </c>
      <c r="AA131" s="28" t="str">
        <f>MID(VLOOKUP($A131,Seqs!$A:$B,2,FALSE),VLOOKUP($A131,'SegEnds_NonXtal_Prot#'!$A:$AL,22,FALSE)+6,1)</f>
        <v>T</v>
      </c>
      <c r="AB131" s="50" t="str">
        <f>MID(VLOOKUP($A131,Seqs!$A:$B,2,FALSE),VLOOKUP($A131,'SegEnds_NonXtal_Prot#'!$A:$AL,22,FALSE)+7,1)</f>
        <v>S</v>
      </c>
      <c r="AC131" s="50" t="str">
        <f>MID(VLOOKUP($A131,Seqs!$A:$B,2,FALSE),VLOOKUP($A131,'SegEnds_NonXtal_Prot#'!$A:$AL,22,FALSE)+8,1)</f>
        <v>F</v>
      </c>
      <c r="AD131" s="50" t="str">
        <f>MID(VLOOKUP($A131,Seqs!$A:$B,2,FALSE),VLOOKUP($A131,'SegEnds_NonXtal_Prot#'!$A:$AL,22,FALSE)+9,1)</f>
        <v>S</v>
      </c>
      <c r="AE131" s="50" t="str">
        <f>MID(VLOOKUP($A131,Seqs!$A:$B,2,FALSE),VLOOKUP($A131,'SegEnds_NonXtal_Prot#'!$A:$AL,22,FALSE)+10,1)</f>
        <v>S</v>
      </c>
      <c r="AF131" s="28" t="str">
        <f>MID(VLOOKUP($A131,Seqs!$A:$B,2,FALSE),VLOOKUP($A131,'SegEnds_NonXtal_Prot#'!$A:$AL,28,FALSE)-4,1)</f>
        <v>G</v>
      </c>
      <c r="AG131" s="50" t="str">
        <f>MID(VLOOKUP($A131,Seqs!$A:$B,2,FALSE),VLOOKUP($A131,'SegEnds_NonXtal_Prot#'!$A:$AL,28,FALSE),1)</f>
        <v>P</v>
      </c>
    </row>
    <row r="132" spans="1:33" s="2" customFormat="1" x14ac:dyDescent="0.2">
      <c r="A132" s="2" t="s">
        <v>226</v>
      </c>
      <c r="B132" s="2" t="str">
        <f>LOWER(VLOOKUP(A132,Xtal_Templ!A:B,2,FALSE))</f>
        <v>par1_human</v>
      </c>
      <c r="C132" s="2" t="str">
        <f>VLOOKUP(A132,Classification!A:D,2,FALSE)</f>
        <v>A</v>
      </c>
      <c r="D132" s="2" t="str">
        <f>IF(ISERROR(MATCH(A132,'SegEnds_Xtal_Prot#'!B:B, 0)), "NoXtal", "Xtal")</f>
        <v>NoXtal</v>
      </c>
      <c r="G132" s="4"/>
      <c r="S132" s="4" t="s">
        <v>12</v>
      </c>
      <c r="U132" s="28" t="str">
        <f>MID(VLOOKUP($A132,Seqs!$A:$B,2,FALSE),VLOOKUP($A132,'SegEnds_NonXtal_Prot#'!A:AL,10,FALSE),1)</f>
        <v>D</v>
      </c>
      <c r="V132" s="50" t="str">
        <f>MID(VLOOKUP($A132,Seqs!$A:$B,2,FALSE),VLOOKUP($A132,'SegEnds_NonXtal_Prot#'!A:AL,10,FALSE)+6,1)</f>
        <v>N</v>
      </c>
      <c r="W132" s="50" t="str">
        <f>MID(VLOOKUP($A132,Seqs!$A:$B,2,FALSE),VLOOKUP($A132,'SegEnds_NonXtal_Prot#'!A:AL,10,FALSE)+7,1)</f>
        <v>I</v>
      </c>
      <c r="X132" s="50" t="str">
        <f>MID(VLOOKUP($A132,Seqs!$A:$B,2,FALSE),VLOOKUP($A132,'SegEnds_NonXtal_Prot#'!A:AL,10,FALSE)+8,1)</f>
        <v>S</v>
      </c>
      <c r="Y132" s="50" t="str">
        <f>MID(VLOOKUP($A132,Seqs!$A:$B,2,FALSE),VLOOKUP($A132,'SegEnds_NonXtal_Prot#'!A:AL,10,FALSE)+9,1)</f>
        <v>I</v>
      </c>
      <c r="Z132" s="50" t="str">
        <f>MID(VLOOKUP($A132,Seqs!$A:$B,2,FALSE),VLOOKUP($A132,'SegEnds_NonXtal_Prot#'!A:AL,10,FALSE)+10,1)</f>
        <v>I</v>
      </c>
      <c r="AA132" s="28" t="str">
        <f>MID(VLOOKUP($A132,Seqs!$A:$B,2,FALSE),VLOOKUP($A132,'SegEnds_NonXtal_Prot#'!$A:$AL,22,FALSE)+6,1)</f>
        <v>Y</v>
      </c>
      <c r="AB132" s="50" t="str">
        <f>MID(VLOOKUP($A132,Seqs!$A:$B,2,FALSE),VLOOKUP($A132,'SegEnds_NonXtal_Prot#'!$A:$AL,22,FALSE)+7,1)</f>
        <v>V</v>
      </c>
      <c r="AC132" s="50" t="str">
        <f>MID(VLOOKUP($A132,Seqs!$A:$B,2,FALSE),VLOOKUP($A132,'SegEnds_NonXtal_Prot#'!$A:$AL,22,FALSE)+8,1)</f>
        <v>L</v>
      </c>
      <c r="AD132" s="50" t="str">
        <f>MID(VLOOKUP($A132,Seqs!$A:$B,2,FALSE),VLOOKUP($A132,'SegEnds_NonXtal_Prot#'!$A:$AL,22,FALSE)+9,1)</f>
        <v>G</v>
      </c>
      <c r="AE132" s="50" t="str">
        <f>MID(VLOOKUP($A132,Seqs!$A:$B,2,FALSE),VLOOKUP($A132,'SegEnds_NonXtal_Prot#'!$A:$AL,22,FALSE)+10,1)</f>
        <v>D</v>
      </c>
      <c r="AF132" s="28" t="str">
        <f>MID(VLOOKUP($A132,Seqs!$A:$B,2,FALSE),VLOOKUP($A132,'SegEnds_NonXtal_Prot#'!$A:$AL,28,FALSE)-4,1)</f>
        <v>I</v>
      </c>
      <c r="AG132" s="50" t="str">
        <f>MID(VLOOKUP($A132,Seqs!$A:$B,2,FALSE),VLOOKUP($A132,'SegEnds_NonXtal_Prot#'!$A:$AL,28,FALSE),1)</f>
        <v>A</v>
      </c>
    </row>
    <row r="133" spans="1:33" s="2" customFormat="1" x14ac:dyDescent="0.2">
      <c r="A133" s="2" t="s">
        <v>245</v>
      </c>
      <c r="B133" s="2" t="str">
        <f>LOWER(VLOOKUP(A133,Xtal_Templ!A:B,2,FALSE))</f>
        <v>hrh1_human</v>
      </c>
      <c r="C133" s="2" t="str">
        <f>VLOOKUP(A133,Classification!A:D,2,FALSE)</f>
        <v>A</v>
      </c>
      <c r="D133" s="2" t="str">
        <f>IF(ISERROR(MATCH(A133,'SegEnds_Xtal_Prot#'!B:B, 0)), "NoXtal", "Xtal")</f>
        <v>NoXtal</v>
      </c>
      <c r="F133" s="2" t="s">
        <v>5</v>
      </c>
      <c r="G133" s="4"/>
      <c r="S133" s="4" t="s">
        <v>12</v>
      </c>
      <c r="U133" s="28" t="str">
        <f>MID(VLOOKUP($A133,Seqs!$A:$B,2,FALSE),VLOOKUP($A133,'SegEnds_NonXtal_Prot#'!A:AL,10,FALSE),1)</f>
        <v>D</v>
      </c>
      <c r="V133" s="50" t="str">
        <f>MID(VLOOKUP($A133,Seqs!$A:$B,2,FALSE),VLOOKUP($A133,'SegEnds_NonXtal_Prot#'!A:AL,10,FALSE)+6,1)</f>
        <v>G</v>
      </c>
      <c r="W133" s="50" t="str">
        <f>MID(VLOOKUP($A133,Seqs!$A:$B,2,FALSE),VLOOKUP($A133,'SegEnds_NonXtal_Prot#'!A:AL,10,FALSE)+7,1)</f>
        <v>C</v>
      </c>
      <c r="X133" s="50" t="str">
        <f>MID(VLOOKUP($A133,Seqs!$A:$B,2,FALSE),VLOOKUP($A133,'SegEnds_NonXtal_Prot#'!A:AL,10,FALSE)+8,1)</f>
        <v>I</v>
      </c>
      <c r="Y133" s="50" t="str">
        <f>MID(VLOOKUP($A133,Seqs!$A:$B,2,FALSE),VLOOKUP($A133,'SegEnds_NonXtal_Prot#'!A:AL,10,FALSE)+9,1)</f>
        <v>P</v>
      </c>
      <c r="Z133" s="50" t="str">
        <f>MID(VLOOKUP($A133,Seqs!$A:$B,2,FALSE),VLOOKUP($A133,'SegEnds_NonXtal_Prot#'!A:AL,10,FALSE)+10,1)</f>
        <v>L</v>
      </c>
      <c r="AA133" s="28" t="str">
        <f>MID(VLOOKUP($A133,Seqs!$A:$B,2,FALSE),VLOOKUP($A133,'SegEnds_NonXtal_Prot#'!$A:$AL,22,FALSE)+6,1)</f>
        <v>S</v>
      </c>
      <c r="AB133" s="50" t="str">
        <f>MID(VLOOKUP($A133,Seqs!$A:$B,2,FALSE),VLOOKUP($A133,'SegEnds_NonXtal_Prot#'!$A:$AL,22,FALSE)+7,1)</f>
        <v>F</v>
      </c>
      <c r="AC133" s="50" t="str">
        <f>MID(VLOOKUP($A133,Seqs!$A:$B,2,FALSE),VLOOKUP($A133,'SegEnds_NonXtal_Prot#'!$A:$AL,22,FALSE)+8,1)</f>
        <v>L</v>
      </c>
      <c r="AD133" s="50" t="str">
        <f>MID(VLOOKUP($A133,Seqs!$A:$B,2,FALSE),VLOOKUP($A133,'SegEnds_NonXtal_Prot#'!$A:$AL,22,FALSE)+9,1)</f>
        <v>I</v>
      </c>
      <c r="AE133" s="50" t="str">
        <f>MID(VLOOKUP($A133,Seqs!$A:$B,2,FALSE),VLOOKUP($A133,'SegEnds_NonXtal_Prot#'!$A:$AL,22,FALSE)+10,1)</f>
        <v>P</v>
      </c>
      <c r="AF133" s="28" t="str">
        <f>MID(VLOOKUP($A133,Seqs!$A:$B,2,FALSE),VLOOKUP($A133,'SegEnds_NonXtal_Prot#'!$A:$AL,28,FALSE)-4,1)</f>
        <v>I</v>
      </c>
      <c r="AG133" s="50" t="str">
        <f>MID(VLOOKUP($A133,Seqs!$A:$B,2,FALSE),VLOOKUP($A133,'SegEnds_NonXtal_Prot#'!$A:$AL,28,FALSE),1)</f>
        <v>T</v>
      </c>
    </row>
    <row r="134" spans="1:33" s="2" customFormat="1" x14ac:dyDescent="0.2">
      <c r="A134" s="2" t="s">
        <v>278</v>
      </c>
      <c r="B134" s="2" t="str">
        <f>LOWER(VLOOKUP(A134,Xtal_Templ!A:B,2,FALSE))</f>
        <v>hrh1_human</v>
      </c>
      <c r="C134" s="2" t="str">
        <f>VLOOKUP(A134,Classification!A:D,2,FALSE)</f>
        <v>A</v>
      </c>
      <c r="D134" s="2" t="str">
        <f>IF(ISERROR(MATCH(A134,'SegEnds_Xtal_Prot#'!B:B, 0)), "NoXtal", "Xtal")</f>
        <v>Xtal</v>
      </c>
      <c r="F134" s="2" t="s">
        <v>5</v>
      </c>
      <c r="G134" s="4"/>
      <c r="K134" s="2" t="s">
        <v>20</v>
      </c>
      <c r="Q134" s="2" t="s">
        <v>9</v>
      </c>
      <c r="S134" s="4" t="s">
        <v>12</v>
      </c>
      <c r="U134" s="28" t="str">
        <f>MID(VLOOKUP($A134,Seqs!$A:$B,2,FALSE),VLOOKUP($A134,'SegEnds_NonXtal_Prot#'!A:AL,10,FALSE),1)</f>
        <v>D</v>
      </c>
      <c r="V134" s="50" t="str">
        <f>MID(VLOOKUP($A134,Seqs!$A:$B,2,FALSE),VLOOKUP($A134,'SegEnds_NonXtal_Prot#'!A:AL,10,FALSE)+6,1)</f>
        <v>V</v>
      </c>
      <c r="W134" s="50" t="str">
        <f>MID(VLOOKUP($A134,Seqs!$A:$B,2,FALSE),VLOOKUP($A134,'SegEnds_NonXtal_Prot#'!A:AL,10,FALSE)+7,1)</f>
        <v>V</v>
      </c>
      <c r="X134" s="50" t="str">
        <f>MID(VLOOKUP($A134,Seqs!$A:$B,2,FALSE),VLOOKUP($A134,'SegEnds_NonXtal_Prot#'!A:AL,10,FALSE)+8,1)</f>
        <v>M</v>
      </c>
      <c r="Y134" s="50" t="str">
        <f>MID(VLOOKUP($A134,Seqs!$A:$B,2,FALSE),VLOOKUP($A134,'SegEnds_NonXtal_Prot#'!A:AL,10,FALSE)+9,1)</f>
        <v>P</v>
      </c>
      <c r="Z134" s="50" t="str">
        <f>MID(VLOOKUP($A134,Seqs!$A:$B,2,FALSE),VLOOKUP($A134,'SegEnds_NonXtal_Prot#'!A:AL,10,FALSE)+10,1)</f>
        <v>M</v>
      </c>
      <c r="AA134" s="28" t="str">
        <f>MID(VLOOKUP($A134,Seqs!$A:$B,2,FALSE),VLOOKUP($A134,'SegEnds_NonXtal_Prot#'!$A:$AL,22,FALSE)+6,1)</f>
        <v>W</v>
      </c>
      <c r="AB134" s="50" t="str">
        <f>MID(VLOOKUP($A134,Seqs!$A:$B,2,FALSE),VLOOKUP($A134,'SegEnds_NonXtal_Prot#'!$A:$AL,22,FALSE)+7,1)</f>
        <v>V</v>
      </c>
      <c r="AC134" s="50" t="str">
        <f>MID(VLOOKUP($A134,Seqs!$A:$B,2,FALSE),VLOOKUP($A134,'SegEnds_NonXtal_Prot#'!$A:$AL,22,FALSE)+8,1)</f>
        <v>I</v>
      </c>
      <c r="AD134" s="50" t="str">
        <f>MID(VLOOKUP($A134,Seqs!$A:$B,2,FALSE),VLOOKUP($A134,'SegEnds_NonXtal_Prot#'!$A:$AL,22,FALSE)+9,1)</f>
        <v>P</v>
      </c>
      <c r="AE134" s="50" t="str">
        <f>MID(VLOOKUP($A134,Seqs!$A:$B,2,FALSE),VLOOKUP($A134,'SegEnds_NonXtal_Prot#'!$A:$AL,22,FALSE)+10,1)</f>
        <v>I</v>
      </c>
      <c r="AF134" s="28" t="str">
        <f>MID(VLOOKUP($A134,Seqs!$A:$B,2,FALSE),VLOOKUP($A134,'SegEnds_NonXtal_Prot#'!$A:$AL,28,FALSE)-4,1)</f>
        <v>N</v>
      </c>
      <c r="AG134" s="50" t="str">
        <f>MID(VLOOKUP($A134,Seqs!$A:$B,2,FALSE),VLOOKUP($A134,'SegEnds_NonXtal_Prot#'!$A:$AL,28,FALSE),1)</f>
        <v>P</v>
      </c>
    </row>
    <row r="135" spans="1:33" s="2" customFormat="1" x14ac:dyDescent="0.2">
      <c r="A135" s="2" t="s">
        <v>249</v>
      </c>
      <c r="B135" s="2" t="str">
        <f>LOWER(VLOOKUP(A135,Xtal_Templ!A:B,2,FALSE))</f>
        <v>s1pr1_human</v>
      </c>
      <c r="C135" s="2" t="str">
        <f>VLOOKUP(A135,Classification!A:D,2,FALSE)</f>
        <v>A</v>
      </c>
      <c r="D135" s="2" t="str">
        <f>IF(ISERROR(MATCH(A135,'SegEnds_Xtal_Prot#'!B:B, 0)), "NoXtal", "Xtal")</f>
        <v>NoXtal</v>
      </c>
      <c r="G135" s="4"/>
      <c r="S135" s="4" t="s">
        <v>12</v>
      </c>
      <c r="U135" s="28" t="str">
        <f>MID(VLOOKUP($A135,Seqs!$A:$B,2,FALSE),VLOOKUP($A135,'SegEnds_NonXtal_Prot#'!A:AL,10,FALSE),1)</f>
        <v>D</v>
      </c>
      <c r="V135" s="50" t="str">
        <f>MID(VLOOKUP($A135,Seqs!$A:$B,2,FALSE),VLOOKUP($A135,'SegEnds_NonXtal_Prot#'!A:AL,10,FALSE)+6,1)</f>
        <v>G</v>
      </c>
      <c r="W135" s="50" t="str">
        <f>MID(VLOOKUP($A135,Seqs!$A:$B,2,FALSE),VLOOKUP($A135,'SegEnds_NonXtal_Prot#'!A:AL,10,FALSE)+7,1)</f>
        <v>L</v>
      </c>
      <c r="X135" s="50" t="str">
        <f>MID(VLOOKUP($A135,Seqs!$A:$B,2,FALSE),VLOOKUP($A135,'SegEnds_NonXtal_Prot#'!A:AL,10,FALSE)+8,1)</f>
        <v>V</v>
      </c>
      <c r="Y135" s="50" t="str">
        <f>MID(VLOOKUP($A135,Seqs!$A:$B,2,FALSE),VLOOKUP($A135,'SegEnds_NonXtal_Prot#'!A:AL,10,FALSE)+9,1)</f>
        <v>L</v>
      </c>
      <c r="Z135" s="50" t="str">
        <f>MID(VLOOKUP($A135,Seqs!$A:$B,2,FALSE),VLOOKUP($A135,'SegEnds_NonXtal_Prot#'!A:AL,10,FALSE)+10,1)</f>
        <v>H</v>
      </c>
      <c r="AA135" s="28" t="str">
        <f>MID(VLOOKUP($A135,Seqs!$A:$B,2,FALSE),VLOOKUP($A135,'SegEnds_NonXtal_Prot#'!$A:$AL,22,FALSE)+6,1)</f>
        <v>L</v>
      </c>
      <c r="AB135" s="50" t="str">
        <f>MID(VLOOKUP($A135,Seqs!$A:$B,2,FALSE),VLOOKUP($A135,'SegEnds_NonXtal_Prot#'!$A:$AL,22,FALSE)+7,1)</f>
        <v>G</v>
      </c>
      <c r="AC135" s="50" t="str">
        <f>MID(VLOOKUP($A135,Seqs!$A:$B,2,FALSE),VLOOKUP($A135,'SegEnds_NonXtal_Prot#'!$A:$AL,22,FALSE)+8,1)</f>
        <v>L</v>
      </c>
      <c r="AD135" s="50" t="str">
        <f>MID(VLOOKUP($A135,Seqs!$A:$B,2,FALSE),VLOOKUP($A135,'SegEnds_NonXtal_Prot#'!$A:$AL,22,FALSE)+9,1)</f>
        <v>L</v>
      </c>
      <c r="AE135" s="50" t="str">
        <f>MID(VLOOKUP($A135,Seqs!$A:$B,2,FALSE),VLOOKUP($A135,'SegEnds_NonXtal_Prot#'!$A:$AL,22,FALSE)+10,1)</f>
        <v>P</v>
      </c>
      <c r="AF135" s="28" t="str">
        <f>MID(VLOOKUP($A135,Seqs!$A:$B,2,FALSE),VLOOKUP($A135,'SegEnds_NonXtal_Prot#'!$A:$AL,28,FALSE)-4,1)</f>
        <v>A</v>
      </c>
      <c r="AG135" s="50" t="str">
        <f>MID(VLOOKUP($A135,Seqs!$A:$B,2,FALSE),VLOOKUP($A135,'SegEnds_NonXtal_Prot#'!$A:$AL,28,FALSE),1)</f>
        <v>V</v>
      </c>
    </row>
    <row r="136" spans="1:33" s="2" customFormat="1" x14ac:dyDescent="0.2">
      <c r="A136" s="2" t="s">
        <v>103</v>
      </c>
      <c r="B136" s="2" t="str">
        <f>LOWER(VLOOKUP(A136,Xtal_Templ!A:B,2,FALSE))</f>
        <v>lpar1_human</v>
      </c>
      <c r="C136" s="2" t="str">
        <f>VLOOKUP(A136,Classification!A:D,2,FALSE)</f>
        <v>A</v>
      </c>
      <c r="D136" s="2" t="str">
        <f>IF(ISERROR(MATCH(A136,'SegEnds_Xtal_Prot#'!B:B, 0)), "NoXtal", "Xtal")</f>
        <v>Xtal</v>
      </c>
      <c r="G136" s="4"/>
      <c r="H136" s="2" t="s">
        <v>21</v>
      </c>
      <c r="S136" s="4" t="s">
        <v>12</v>
      </c>
      <c r="U136" s="28" t="str">
        <f>MID(VLOOKUP($A136,Seqs!$A:$B,2,FALSE),VLOOKUP($A136,'SegEnds_NonXtal_Prot#'!A:AL,10,FALSE),1)</f>
        <v>D</v>
      </c>
      <c r="V136" s="50" t="str">
        <f>MID(VLOOKUP($A136,Seqs!$A:$B,2,FALSE),VLOOKUP($A136,'SegEnds_NonXtal_Prot#'!A:AL,10,FALSE)+6,1)</f>
        <v>A</v>
      </c>
      <c r="W136" s="50" t="str">
        <f>MID(VLOOKUP($A136,Seqs!$A:$B,2,FALSE),VLOOKUP($A136,'SegEnds_NonXtal_Prot#'!A:AL,10,FALSE)+7,1)</f>
        <v>Y</v>
      </c>
      <c r="X136" s="50" t="str">
        <f>MID(VLOOKUP($A136,Seqs!$A:$B,2,FALSE),VLOOKUP($A136,'SegEnds_NonXtal_Prot#'!A:AL,10,FALSE)+8,1)</f>
        <v>F</v>
      </c>
      <c r="Y136" s="50" t="str">
        <f>MID(VLOOKUP($A136,Seqs!$A:$B,2,FALSE),VLOOKUP($A136,'SegEnds_NonXtal_Prot#'!A:AL,10,FALSE)+9,1)</f>
        <v>Y</v>
      </c>
      <c r="Z136" s="50" t="str">
        <f>MID(VLOOKUP($A136,Seqs!$A:$B,2,FALSE),VLOOKUP($A136,'SegEnds_NonXtal_Prot#'!A:AL,10,FALSE)+10,1)</f>
        <v>L</v>
      </c>
      <c r="AA136" s="28" t="str">
        <f>MID(VLOOKUP($A136,Seqs!$A:$B,2,FALSE),VLOOKUP($A136,'SegEnds_NonXtal_Prot#'!$A:$AL,22,FALSE)+6,1)</f>
        <v>M</v>
      </c>
      <c r="AB136" s="50" t="str">
        <f>MID(VLOOKUP($A136,Seqs!$A:$B,2,FALSE),VLOOKUP($A136,'SegEnds_NonXtal_Prot#'!$A:$AL,22,FALSE)+7,1)</f>
        <v>G</v>
      </c>
      <c r="AC136" s="50" t="str">
        <f>MID(VLOOKUP($A136,Seqs!$A:$B,2,FALSE),VLOOKUP($A136,'SegEnds_NonXtal_Prot#'!$A:$AL,22,FALSE)+8,1)</f>
        <v>A</v>
      </c>
      <c r="AD136" s="50" t="str">
        <f>MID(VLOOKUP($A136,Seqs!$A:$B,2,FALSE),VLOOKUP($A136,'SegEnds_NonXtal_Prot#'!$A:$AL,22,FALSE)+9,1)</f>
        <v>I</v>
      </c>
      <c r="AE136" s="50" t="str">
        <f>MID(VLOOKUP($A136,Seqs!$A:$B,2,FALSE),VLOOKUP($A136,'SegEnds_NonXtal_Prot#'!$A:$AL,22,FALSE)+10,1)</f>
        <v>P</v>
      </c>
      <c r="AF136" s="28" t="str">
        <f>MID(VLOOKUP($A136,Seqs!$A:$B,2,FALSE),VLOOKUP($A136,'SegEnds_NonXtal_Prot#'!$A:$AL,28,FALSE)-4,1)</f>
        <v>F</v>
      </c>
      <c r="AG136" s="50" t="str">
        <f>MID(VLOOKUP($A136,Seqs!$A:$B,2,FALSE),VLOOKUP($A136,'SegEnds_NonXtal_Prot#'!$A:$AL,28,FALSE),1)</f>
        <v>T</v>
      </c>
    </row>
    <row r="137" spans="1:33" s="2" customFormat="1" x14ac:dyDescent="0.2">
      <c r="A137" s="2" t="s">
        <v>286</v>
      </c>
      <c r="B137" s="2" t="str">
        <f>LOWER(VLOOKUP(A137,Xtal_Templ!A:B,2,FALSE))</f>
        <v>lpar1_human</v>
      </c>
      <c r="C137" s="2" t="str">
        <f>VLOOKUP(A137,Classification!A:D,2,FALSE)</f>
        <v>A</v>
      </c>
      <c r="D137" s="2" t="str">
        <f>IF(ISERROR(MATCH(A137,'SegEnds_Xtal_Prot#'!B:B, 0)), "NoXtal", "Xtal")</f>
        <v>NoXtal</v>
      </c>
      <c r="G137" s="4"/>
      <c r="H137" s="2" t="s">
        <v>21</v>
      </c>
      <c r="S137" s="4" t="s">
        <v>12</v>
      </c>
      <c r="U137" s="28" t="str">
        <f>MID(VLOOKUP($A137,Seqs!$A:$B,2,FALSE),VLOOKUP($A137,'SegEnds_NonXtal_Prot#'!A:AL,10,FALSE),1)</f>
        <v>D</v>
      </c>
      <c r="V137" s="50" t="str">
        <f>MID(VLOOKUP($A137,Seqs!$A:$B,2,FALSE),VLOOKUP($A137,'SegEnds_NonXtal_Prot#'!A:AL,10,FALSE)+6,1)</f>
        <v>A</v>
      </c>
      <c r="W137" s="50" t="str">
        <f>MID(VLOOKUP($A137,Seqs!$A:$B,2,FALSE),VLOOKUP($A137,'SegEnds_NonXtal_Prot#'!A:AL,10,FALSE)+7,1)</f>
        <v>Y</v>
      </c>
      <c r="X137" s="50" t="str">
        <f>MID(VLOOKUP($A137,Seqs!$A:$B,2,FALSE),VLOOKUP($A137,'SegEnds_NonXtal_Prot#'!A:AL,10,FALSE)+8,1)</f>
        <v>L</v>
      </c>
      <c r="Y137" s="50" t="str">
        <f>MID(VLOOKUP($A137,Seqs!$A:$B,2,FALSE),VLOOKUP($A137,'SegEnds_NonXtal_Prot#'!A:AL,10,FALSE)+9,1)</f>
        <v>F</v>
      </c>
      <c r="Z137" s="50" t="str">
        <f>MID(VLOOKUP($A137,Seqs!$A:$B,2,FALSE),VLOOKUP($A137,'SegEnds_NonXtal_Prot#'!A:AL,10,FALSE)+10,1)</f>
        <v>L</v>
      </c>
      <c r="AA137" s="28" t="str">
        <f>MID(VLOOKUP($A137,Seqs!$A:$B,2,FALSE),VLOOKUP($A137,'SegEnds_NonXtal_Prot#'!$A:$AL,22,FALSE)+6,1)</f>
        <v>L</v>
      </c>
      <c r="AB137" s="50" t="str">
        <f>MID(VLOOKUP($A137,Seqs!$A:$B,2,FALSE),VLOOKUP($A137,'SegEnds_NonXtal_Prot#'!$A:$AL,22,FALSE)+7,1)</f>
        <v>G</v>
      </c>
      <c r="AC137" s="50" t="str">
        <f>MID(VLOOKUP($A137,Seqs!$A:$B,2,FALSE),VLOOKUP($A137,'SegEnds_NonXtal_Prot#'!$A:$AL,22,FALSE)+8,1)</f>
        <v>L</v>
      </c>
      <c r="AD137" s="50" t="str">
        <f>MID(VLOOKUP($A137,Seqs!$A:$B,2,FALSE),VLOOKUP($A137,'SegEnds_NonXtal_Prot#'!$A:$AL,22,FALSE)+9,1)</f>
        <v>L</v>
      </c>
      <c r="AE137" s="50" t="str">
        <f>MID(VLOOKUP($A137,Seqs!$A:$B,2,FALSE),VLOOKUP($A137,'SegEnds_NonXtal_Prot#'!$A:$AL,22,FALSE)+10,1)</f>
        <v>P</v>
      </c>
      <c r="AF137" s="28" t="str">
        <f>MID(VLOOKUP($A137,Seqs!$A:$B,2,FALSE),VLOOKUP($A137,'SegEnds_NonXtal_Prot#'!$A:$AL,28,FALSE)-4,1)</f>
        <v>S</v>
      </c>
      <c r="AG137" s="50" t="str">
        <f>MID(VLOOKUP($A137,Seqs!$A:$B,2,FALSE),VLOOKUP($A137,'SegEnds_NonXtal_Prot#'!$A:$AL,28,FALSE),1)</f>
        <v>V</v>
      </c>
    </row>
    <row r="138" spans="1:33" s="2" customFormat="1" x14ac:dyDescent="0.2">
      <c r="A138" s="2" t="s">
        <v>287</v>
      </c>
      <c r="B138" s="2" t="str">
        <f>LOWER(VLOOKUP(A138,Xtal_Templ!A:B,2,FALSE))</f>
        <v>lpar1_human</v>
      </c>
      <c r="C138" s="2" t="str">
        <f>VLOOKUP(A138,Classification!A:D,2,FALSE)</f>
        <v>A</v>
      </c>
      <c r="D138" s="2" t="str">
        <f>IF(ISERROR(MATCH(A138,'SegEnds_Xtal_Prot#'!B:B, 0)), "NoXtal", "Xtal")</f>
        <v>NoXtal</v>
      </c>
      <c r="G138" s="4"/>
      <c r="H138" s="2" t="s">
        <v>21</v>
      </c>
      <c r="S138" s="4" t="s">
        <v>12</v>
      </c>
      <c r="U138" s="28" t="str">
        <f>MID(VLOOKUP($A138,Seqs!$A:$B,2,FALSE),VLOOKUP($A138,'SegEnds_NonXtal_Prot#'!A:AL,10,FALSE),1)</f>
        <v>D</v>
      </c>
      <c r="V138" s="50" t="str">
        <f>MID(VLOOKUP($A138,Seqs!$A:$B,2,FALSE),VLOOKUP($A138,'SegEnds_NonXtal_Prot#'!A:AL,10,FALSE)+6,1)</f>
        <v>A</v>
      </c>
      <c r="W138" s="50" t="str">
        <f>MID(VLOOKUP($A138,Seqs!$A:$B,2,FALSE),VLOOKUP($A138,'SegEnds_NonXtal_Prot#'!A:AL,10,FALSE)+7,1)</f>
        <v>Y</v>
      </c>
      <c r="X138" s="50" t="str">
        <f>MID(VLOOKUP($A138,Seqs!$A:$B,2,FALSE),VLOOKUP($A138,'SegEnds_NonXtal_Prot#'!A:AL,10,FALSE)+8,1)</f>
        <v>V</v>
      </c>
      <c r="Y138" s="50" t="str">
        <f>MID(VLOOKUP($A138,Seqs!$A:$B,2,FALSE),VLOOKUP($A138,'SegEnds_NonXtal_Prot#'!A:AL,10,FALSE)+9,1)</f>
        <v>F</v>
      </c>
      <c r="Z138" s="50" t="str">
        <f>MID(VLOOKUP($A138,Seqs!$A:$B,2,FALSE),VLOOKUP($A138,'SegEnds_NonXtal_Prot#'!A:AL,10,FALSE)+10,1)</f>
        <v>L</v>
      </c>
      <c r="AA138" s="28" t="str">
        <f>MID(VLOOKUP($A138,Seqs!$A:$B,2,FALSE),VLOOKUP($A138,'SegEnds_NonXtal_Prot#'!$A:$AL,22,FALSE)+6,1)</f>
        <v>M</v>
      </c>
      <c r="AB138" s="50" t="str">
        <f>MID(VLOOKUP($A138,Seqs!$A:$B,2,FALSE),VLOOKUP($A138,'SegEnds_NonXtal_Prot#'!$A:$AL,22,FALSE)+7,1)</f>
        <v>G</v>
      </c>
      <c r="AC138" s="50" t="str">
        <f>MID(VLOOKUP($A138,Seqs!$A:$B,2,FALSE),VLOOKUP($A138,'SegEnds_NonXtal_Prot#'!$A:$AL,22,FALSE)+8,1)</f>
        <v>A</v>
      </c>
      <c r="AD138" s="50" t="str">
        <f>MID(VLOOKUP($A138,Seqs!$A:$B,2,FALSE),VLOOKUP($A138,'SegEnds_NonXtal_Prot#'!$A:$AL,22,FALSE)+9,1)</f>
        <v>V</v>
      </c>
      <c r="AE138" s="50" t="str">
        <f>MID(VLOOKUP($A138,Seqs!$A:$B,2,FALSE),VLOOKUP($A138,'SegEnds_NonXtal_Prot#'!$A:$AL,22,FALSE)+10,1)</f>
        <v>P</v>
      </c>
      <c r="AF138" s="28" t="str">
        <f>MID(VLOOKUP($A138,Seqs!$A:$B,2,FALSE),VLOOKUP($A138,'SegEnds_NonXtal_Prot#'!$A:$AL,28,FALSE)-4,1)</f>
        <v>S</v>
      </c>
      <c r="AG138" s="50" t="str">
        <f>MID(VLOOKUP($A138,Seqs!$A:$B,2,FALSE),VLOOKUP($A138,'SegEnds_NonXtal_Prot#'!$A:$AL,28,FALSE),1)</f>
        <v>A</v>
      </c>
    </row>
    <row r="139" spans="1:33" s="2" customFormat="1" x14ac:dyDescent="0.2">
      <c r="A139" s="2" t="s">
        <v>209</v>
      </c>
      <c r="B139" s="2" t="str">
        <f>LOWER(VLOOKUP(A139,Xtal_Templ!A:B,2,FALSE))</f>
        <v>ntr1_rat</v>
      </c>
      <c r="C139" s="2" t="str">
        <f>VLOOKUP(A139,Classification!A:D,2,FALSE)</f>
        <v>A</v>
      </c>
      <c r="D139" s="2" t="str">
        <f>IF(ISERROR(MATCH(A139,'SegEnds_Xtal_Prot#'!B:B, 0)), "NoXtal", "Xtal")</f>
        <v>NoXtal</v>
      </c>
      <c r="G139" s="4"/>
      <c r="M139" s="2" t="s">
        <v>14</v>
      </c>
      <c r="S139" s="4" t="s">
        <v>12</v>
      </c>
      <c r="U139" s="28" t="str">
        <f>MID(VLOOKUP($A139,Seqs!$A:$B,2,FALSE),VLOOKUP($A139,'SegEnds_NonXtal_Prot#'!A:AL,10,FALSE),1)</f>
        <v>D</v>
      </c>
      <c r="V139" s="50" t="str">
        <f>MID(VLOOKUP($A139,Seqs!$A:$B,2,FALSE),VLOOKUP($A139,'SegEnds_NonXtal_Prot#'!A:AL,10,FALSE)+6,1)</f>
        <v>C</v>
      </c>
      <c r="W139" s="50" t="str">
        <f>MID(VLOOKUP($A139,Seqs!$A:$B,2,FALSE),VLOOKUP($A139,'SegEnds_NonXtal_Prot#'!A:AL,10,FALSE)+7,1)</f>
        <v>M</v>
      </c>
      <c r="X139" s="50" t="str">
        <f>MID(VLOOKUP($A139,Seqs!$A:$B,2,FALSE),VLOOKUP($A139,'SegEnds_NonXtal_Prot#'!A:AL,10,FALSE)+8,1)</f>
        <v>P</v>
      </c>
      <c r="Y139" s="50" t="str">
        <f>MID(VLOOKUP($A139,Seqs!$A:$B,2,FALSE),VLOOKUP($A139,'SegEnds_NonXtal_Prot#'!A:AL,10,FALSE)+9,1)</f>
        <v>L</v>
      </c>
      <c r="Z139" s="50" t="str">
        <f>MID(VLOOKUP($A139,Seqs!$A:$B,2,FALSE),VLOOKUP($A139,'SegEnds_NonXtal_Prot#'!A:AL,10,FALSE)+10,1)</f>
        <v>D</v>
      </c>
      <c r="AA139" s="28" t="str">
        <f>MID(VLOOKUP($A139,Seqs!$A:$B,2,FALSE),VLOOKUP($A139,'SegEnds_NonXtal_Prot#'!$A:$AL,22,FALSE)+6,1)</f>
        <v>S</v>
      </c>
      <c r="AB139" s="50" t="str">
        <f>MID(VLOOKUP($A139,Seqs!$A:$B,2,FALSE),VLOOKUP($A139,'SegEnds_NonXtal_Prot#'!$A:$AL,22,FALSE)+7,1)</f>
        <v>A</v>
      </c>
      <c r="AC139" s="50" t="str">
        <f>MID(VLOOKUP($A139,Seqs!$A:$B,2,FALSE),VLOOKUP($A139,'SegEnds_NonXtal_Prot#'!$A:$AL,22,FALSE)+8,1)</f>
        <v>G</v>
      </c>
      <c r="AD139" s="50" t="str">
        <f>MID(VLOOKUP($A139,Seqs!$A:$B,2,FALSE),VLOOKUP($A139,'SegEnds_NonXtal_Prot#'!$A:$AL,22,FALSE)+9,1)</f>
        <v>P</v>
      </c>
      <c r="AE139" s="50" t="str">
        <f>MID(VLOOKUP($A139,Seqs!$A:$B,2,FALSE),VLOOKUP($A139,'SegEnds_NonXtal_Prot#'!$A:$AL,22,FALSE)+10,1)</f>
        <v>I</v>
      </c>
      <c r="AF139" s="28" t="str">
        <f>MID(VLOOKUP($A139,Seqs!$A:$B,2,FALSE),VLOOKUP($A139,'SegEnds_NonXtal_Prot#'!$A:$AL,28,FALSE)-4,1)</f>
        <v>F</v>
      </c>
      <c r="AG139" s="50" t="str">
        <f>MID(VLOOKUP($A139,Seqs!$A:$B,2,FALSE),VLOOKUP($A139,'SegEnds_NonXtal_Prot#'!$A:$AL,28,FALSE),1)</f>
        <v>P</v>
      </c>
    </row>
    <row r="140" spans="1:33" s="2" customFormat="1" x14ac:dyDescent="0.2">
      <c r="A140" s="2" t="s">
        <v>216</v>
      </c>
      <c r="B140" s="2" t="str">
        <f>LOWER(VLOOKUP(A140,Xtal_Templ!A:B,2,FALSE))</f>
        <v>ntr1_rat</v>
      </c>
      <c r="C140" s="2" t="str">
        <f>VLOOKUP(A140,Classification!A:D,2,FALSE)</f>
        <v>A</v>
      </c>
      <c r="D140" s="2" t="str">
        <f>IF(ISERROR(MATCH(A140,'SegEnds_Xtal_Prot#'!B:B, 0)), "NoXtal", "Xtal")</f>
        <v>NoXtal</v>
      </c>
      <c r="G140" s="4"/>
      <c r="Q140" s="2" t="s">
        <v>9</v>
      </c>
      <c r="S140" s="4" t="s">
        <v>12</v>
      </c>
      <c r="U140" s="28" t="str">
        <f>MID(VLOOKUP($A140,Seqs!$A:$B,2,FALSE),VLOOKUP($A140,'SegEnds_NonXtal_Prot#'!A:AL,10,FALSE),1)</f>
        <v>D</v>
      </c>
      <c r="V140" s="50" t="str">
        <f>MID(VLOOKUP($A140,Seqs!$A:$B,2,FALSE),VLOOKUP($A140,'SegEnds_NonXtal_Prot#'!A:AL,10,FALSE)+6,1)</f>
        <v>F</v>
      </c>
      <c r="W140" s="50" t="str">
        <f>MID(VLOOKUP($A140,Seqs!$A:$B,2,FALSE),VLOOKUP($A140,'SegEnds_NonXtal_Prot#'!A:AL,10,FALSE)+7,1)</f>
        <v>I</v>
      </c>
      <c r="X140" s="50" t="str">
        <f>MID(VLOOKUP($A140,Seqs!$A:$B,2,FALSE),VLOOKUP($A140,'SegEnds_NonXtal_Prot#'!A:AL,10,FALSE)+8,1)</f>
        <v>V</v>
      </c>
      <c r="Y140" s="50" t="str">
        <f>MID(VLOOKUP($A140,Seqs!$A:$B,2,FALSE),VLOOKUP($A140,'SegEnds_NonXtal_Prot#'!A:AL,10,FALSE)+9,1)</f>
        <v>F</v>
      </c>
      <c r="Z140" s="50" t="str">
        <f>MID(VLOOKUP($A140,Seqs!$A:$B,2,FALSE),VLOOKUP($A140,'SegEnds_NonXtal_Prot#'!A:AL,10,FALSE)+10,1)</f>
        <v>V</v>
      </c>
      <c r="AA140" s="28" t="str">
        <f>MID(VLOOKUP($A140,Seqs!$A:$B,2,FALSE),VLOOKUP($A140,'SegEnds_NonXtal_Prot#'!$A:$AL,22,FALSE)+6,1)</f>
        <v>L</v>
      </c>
      <c r="AB140" s="50" t="str">
        <f>MID(VLOOKUP($A140,Seqs!$A:$B,2,FALSE),VLOOKUP($A140,'SegEnds_NonXtal_Prot#'!$A:$AL,22,FALSE)+7,1)</f>
        <v>T</v>
      </c>
      <c r="AC140" s="50" t="str">
        <f>MID(VLOOKUP($A140,Seqs!$A:$B,2,FALSE),VLOOKUP($A140,'SegEnds_NonXtal_Prot#'!$A:$AL,22,FALSE)+8,1)</f>
        <v>S</v>
      </c>
      <c r="AD140" s="50" t="str">
        <f>MID(VLOOKUP($A140,Seqs!$A:$B,2,FALSE),VLOOKUP($A140,'SegEnds_NonXtal_Prot#'!$A:$AL,22,FALSE)+9,1)</f>
        <v>I</v>
      </c>
      <c r="AE140" s="50" t="str">
        <f>MID(VLOOKUP($A140,Seqs!$A:$B,2,FALSE),VLOOKUP($A140,'SegEnds_NonXtal_Prot#'!$A:$AL,22,FALSE)+10,1)</f>
        <v>P</v>
      </c>
      <c r="AF140" s="28" t="str">
        <f>MID(VLOOKUP($A140,Seqs!$A:$B,2,FALSE),VLOOKUP($A140,'SegEnds_NonXtal_Prot#'!$A:$AL,28,FALSE)-4,1)</f>
        <v>V</v>
      </c>
      <c r="AG140" s="50" t="str">
        <f>MID(VLOOKUP($A140,Seqs!$A:$B,2,FALSE),VLOOKUP($A140,'SegEnds_NonXtal_Prot#'!$A:$AL,28,FALSE),1)</f>
        <v>P</v>
      </c>
    </row>
    <row r="141" spans="1:33" s="2" customFormat="1" x14ac:dyDescent="0.2">
      <c r="A141" s="2" t="s">
        <v>224</v>
      </c>
      <c r="B141" s="2" t="str">
        <f>LOWER(VLOOKUP(A141,Xtal_Templ!A:B,2,FALSE))</f>
        <v>ntr1_rat</v>
      </c>
      <c r="C141" s="2" t="str">
        <f>VLOOKUP(A141,Classification!A:D,2,FALSE)</f>
        <v>A</v>
      </c>
      <c r="D141" s="2" t="str">
        <f>IF(ISERROR(MATCH(A141,'SegEnds_Xtal_Prot#'!B:B, 0)), "NoXtal", "Xtal")</f>
        <v>NoXtal</v>
      </c>
      <c r="G141" s="4"/>
      <c r="M141" s="2" t="s">
        <v>14</v>
      </c>
      <c r="Q141" s="2" t="s">
        <v>9</v>
      </c>
      <c r="S141" s="4" t="s">
        <v>12</v>
      </c>
      <c r="U141" s="28" t="str">
        <f>MID(VLOOKUP($A141,Seqs!$A:$B,2,FALSE),VLOOKUP($A141,'SegEnds_NonXtal_Prot#'!A:AL,10,FALSE),1)</f>
        <v>D</v>
      </c>
      <c r="V141" s="50" t="str">
        <f>MID(VLOOKUP($A141,Seqs!$A:$B,2,FALSE),VLOOKUP($A141,'SegEnds_NonXtal_Prot#'!A:AL,10,FALSE)+6,1)</f>
        <v>A</v>
      </c>
      <c r="W141" s="50" t="str">
        <f>MID(VLOOKUP($A141,Seqs!$A:$B,2,FALSE),VLOOKUP($A141,'SegEnds_NonXtal_Prot#'!A:AL,10,FALSE)+7,1)</f>
        <v>A</v>
      </c>
      <c r="X141" s="50" t="str">
        <f>MID(VLOOKUP($A141,Seqs!$A:$B,2,FALSE),VLOOKUP($A141,'SegEnds_NonXtal_Prot#'!A:AL,10,FALSE)+8,1)</f>
        <v>A</v>
      </c>
      <c r="Y141" s="50" t="str">
        <f>MID(VLOOKUP($A141,Seqs!$A:$B,2,FALSE),VLOOKUP($A141,'SegEnds_NonXtal_Prot#'!A:AL,10,FALSE)+9,1)</f>
        <v>F</v>
      </c>
      <c r="Z141" s="50" t="str">
        <f>MID(VLOOKUP($A141,Seqs!$A:$B,2,FALSE),VLOOKUP($A141,'SegEnds_NonXtal_Prot#'!A:AL,10,FALSE)+10,1)</f>
        <v>Q</v>
      </c>
      <c r="AA141" s="28" t="str">
        <f>MID(VLOOKUP($A141,Seqs!$A:$B,2,FALSE),VLOOKUP($A141,'SegEnds_NonXtal_Prot#'!$A:$AL,22,FALSE)+6,1)</f>
        <v>F</v>
      </c>
      <c r="AB141" s="50" t="str">
        <f>MID(VLOOKUP($A141,Seqs!$A:$B,2,FALSE),VLOOKUP($A141,'SegEnds_NonXtal_Prot#'!$A:$AL,22,FALSE)+7,1)</f>
        <v>S</v>
      </c>
      <c r="AC141" s="50" t="str">
        <f>MID(VLOOKUP($A141,Seqs!$A:$B,2,FALSE),VLOOKUP($A141,'SegEnds_NonXtal_Prot#'!$A:$AL,22,FALSE)+8,1)</f>
        <v>V</v>
      </c>
      <c r="AD141" s="50" t="str">
        <f>MID(VLOOKUP($A141,Seqs!$A:$B,2,FALSE),VLOOKUP($A141,'SegEnds_NonXtal_Prot#'!$A:$AL,22,FALSE)+9,1)</f>
        <v>P</v>
      </c>
      <c r="AE141" s="50" t="str">
        <f>MID(VLOOKUP($A141,Seqs!$A:$B,2,FALSE),VLOOKUP($A141,'SegEnds_NonXtal_Prot#'!$A:$AL,22,FALSE)+10,1)</f>
        <v>W</v>
      </c>
      <c r="AF141" s="28" t="str">
        <f>MID(VLOOKUP($A141,Seqs!$A:$B,2,FALSE),VLOOKUP($A141,'SegEnds_NonXtal_Prot#'!$A:$AL,28,FALSE)-4,1)</f>
        <v>G</v>
      </c>
      <c r="AG141" s="50" t="str">
        <f>MID(VLOOKUP($A141,Seqs!$A:$B,2,FALSE),VLOOKUP($A141,'SegEnds_NonXtal_Prot#'!$A:$AL,28,FALSE),1)</f>
        <v>P</v>
      </c>
    </row>
    <row r="142" spans="1:33" s="2" customFormat="1" x14ac:dyDescent="0.2">
      <c r="A142" s="2" t="s">
        <v>256</v>
      </c>
      <c r="B142" s="2" t="str">
        <f>LOWER(VLOOKUP(A142,Xtal_Templ!A:B,2,FALSE))</f>
        <v>ntr1_rat</v>
      </c>
      <c r="C142" s="2" t="str">
        <f>VLOOKUP(A142,Classification!A:D,2,FALSE)</f>
        <v>A</v>
      </c>
      <c r="D142" s="2" t="str">
        <f>IF(ISERROR(MATCH(A142,'SegEnds_Xtal_Prot#'!B:B, 0)), "NoXtal", "Xtal")</f>
        <v>NoXtal</v>
      </c>
      <c r="F142" s="2" t="s">
        <v>5</v>
      </c>
      <c r="G142" s="4"/>
      <c r="M142" s="2" t="s">
        <v>14</v>
      </c>
      <c r="S142" s="4" t="s">
        <v>12</v>
      </c>
      <c r="U142" s="28" t="str">
        <f>MID(VLOOKUP($A142,Seqs!$A:$B,2,FALSE),VLOOKUP($A142,'SegEnds_NonXtal_Prot#'!A:AL,10,FALSE),1)</f>
        <v>D</v>
      </c>
      <c r="V142" s="50" t="str">
        <f>MID(VLOOKUP($A142,Seqs!$A:$B,2,FALSE),VLOOKUP($A142,'SegEnds_NonXtal_Prot#'!A:AL,10,FALSE)+6,1)</f>
        <v>I</v>
      </c>
      <c r="W142" s="50" t="str">
        <f>MID(VLOOKUP($A142,Seqs!$A:$B,2,FALSE),VLOOKUP($A142,'SegEnds_NonXtal_Prot#'!A:AL,10,FALSE)+7,1)</f>
        <v>G</v>
      </c>
      <c r="X142" s="50" t="str">
        <f>MID(VLOOKUP($A142,Seqs!$A:$B,2,FALSE),VLOOKUP($A142,'SegEnds_NonXtal_Prot#'!A:AL,10,FALSE)+8,1)</f>
        <v>M</v>
      </c>
      <c r="Y142" s="50" t="str">
        <f>MID(VLOOKUP($A142,Seqs!$A:$B,2,FALSE),VLOOKUP($A142,'SegEnds_NonXtal_Prot#'!A:AL,10,FALSE)+9,1)</f>
        <v>P</v>
      </c>
      <c r="Z142" s="50" t="str">
        <f>MID(VLOOKUP($A142,Seqs!$A:$B,2,FALSE),VLOOKUP($A142,'SegEnds_NonXtal_Prot#'!A:AL,10,FALSE)+10,1)</f>
        <v>M</v>
      </c>
      <c r="AA142" s="28" t="str">
        <f>MID(VLOOKUP($A142,Seqs!$A:$B,2,FALSE),VLOOKUP($A142,'SegEnds_NonXtal_Prot#'!$A:$AL,22,FALSE)+6,1)</f>
        <v>V</v>
      </c>
      <c r="AB142" s="50" t="str">
        <f>MID(VLOOKUP($A142,Seqs!$A:$B,2,FALSE),VLOOKUP($A142,'SegEnds_NonXtal_Prot#'!$A:$AL,22,FALSE)+7,1)</f>
        <v>A</v>
      </c>
      <c r="AC142" s="50" t="str">
        <f>MID(VLOOKUP($A142,Seqs!$A:$B,2,FALSE),VLOOKUP($A142,'SegEnds_NonXtal_Prot#'!$A:$AL,22,FALSE)+8,1)</f>
        <v>L</v>
      </c>
      <c r="AD142" s="50" t="str">
        <f>MID(VLOOKUP($A142,Seqs!$A:$B,2,FALSE),VLOOKUP($A142,'SegEnds_NonXtal_Prot#'!$A:$AL,22,FALSE)+9,1)</f>
        <v>P</v>
      </c>
      <c r="AE142" s="50" t="str">
        <f>MID(VLOOKUP($A142,Seqs!$A:$B,2,FALSE),VLOOKUP($A142,'SegEnds_NonXtal_Prot#'!$A:$AL,22,FALSE)+10,1)</f>
        <v>L</v>
      </c>
      <c r="AF142" s="28" t="str">
        <f>MID(VLOOKUP($A142,Seqs!$A:$B,2,FALSE),VLOOKUP($A142,'SegEnds_NonXtal_Prot#'!$A:$AL,28,FALSE)-4,1)</f>
        <v>A</v>
      </c>
      <c r="AG142" s="50" t="str">
        <f>MID(VLOOKUP($A142,Seqs!$A:$B,2,FALSE),VLOOKUP($A142,'SegEnds_NonXtal_Prot#'!$A:$AL,28,FALSE),1)</f>
        <v>Y</v>
      </c>
    </row>
    <row r="143" spans="1:33" s="2" customFormat="1" x14ac:dyDescent="0.2">
      <c r="A143" s="2" t="s">
        <v>310</v>
      </c>
      <c r="B143" s="2" t="str">
        <f>LOWER(VLOOKUP(A143,Xtal_Templ!A:B,2,FALSE))</f>
        <v>ntr1_rat</v>
      </c>
      <c r="C143" s="2" t="str">
        <f>VLOOKUP(A143,Classification!A:D,2,FALSE)</f>
        <v>A</v>
      </c>
      <c r="D143" s="2" t="str">
        <f>IF(ISERROR(MATCH(A143,'SegEnds_Xtal_Prot#'!B:B, 0)), "NoXtal", "Xtal")</f>
        <v>NoXtal</v>
      </c>
      <c r="G143" s="4"/>
      <c r="M143" s="2" t="s">
        <v>14</v>
      </c>
      <c r="Q143" s="2" t="s">
        <v>9</v>
      </c>
      <c r="S143" s="4" t="s">
        <v>12</v>
      </c>
      <c r="U143" s="28" t="str">
        <f>MID(VLOOKUP($A143,Seqs!$A:$B,2,FALSE),VLOOKUP($A143,'SegEnds_NonXtal_Prot#'!A:AL,10,FALSE),1)</f>
        <v>D</v>
      </c>
      <c r="V143" s="50" t="str">
        <f>MID(VLOOKUP($A143,Seqs!$A:$B,2,FALSE),VLOOKUP($A143,'SegEnds_NonXtal_Prot#'!A:AL,10,FALSE)+6,1)</f>
        <v>G</v>
      </c>
      <c r="W143" s="50" t="str">
        <f>MID(VLOOKUP($A143,Seqs!$A:$B,2,FALSE),VLOOKUP($A143,'SegEnds_NonXtal_Prot#'!A:AL,10,FALSE)+7,1)</f>
        <v>L</v>
      </c>
      <c r="X143" s="50" t="str">
        <f>MID(VLOOKUP($A143,Seqs!$A:$B,2,FALSE),VLOOKUP($A143,'SegEnds_NonXtal_Prot#'!A:AL,10,FALSE)+8,1)</f>
        <v>P</v>
      </c>
      <c r="Y143" s="50" t="str">
        <f>MID(VLOOKUP($A143,Seqs!$A:$B,2,FALSE),VLOOKUP($A143,'SegEnds_NonXtal_Prot#'!A:AL,10,FALSE)+9,1)</f>
        <v>F</v>
      </c>
      <c r="Z143" s="50" t="str">
        <f>MID(VLOOKUP($A143,Seqs!$A:$B,2,FALSE),VLOOKUP($A143,'SegEnds_NonXtal_Prot#'!A:AL,10,FALSE)+10,1)</f>
        <v>D</v>
      </c>
      <c r="AA143" s="28" t="str">
        <f>MID(VLOOKUP($A143,Seqs!$A:$B,2,FALSE),VLOOKUP($A143,'SegEnds_NonXtal_Prot#'!$A:$AL,22,FALSE)+6,1)</f>
        <v>S</v>
      </c>
      <c r="AB143" s="50" t="str">
        <f>MID(VLOOKUP($A143,Seqs!$A:$B,2,FALSE),VLOOKUP($A143,'SegEnds_NonXtal_Prot#'!$A:$AL,22,FALSE)+7,1)</f>
        <v>A</v>
      </c>
      <c r="AC143" s="50" t="str">
        <f>MID(VLOOKUP($A143,Seqs!$A:$B,2,FALSE),VLOOKUP($A143,'SegEnds_NonXtal_Prot#'!$A:$AL,22,FALSE)+8,1)</f>
        <v>G</v>
      </c>
      <c r="AD143" s="50" t="str">
        <f>MID(VLOOKUP($A143,Seqs!$A:$B,2,FALSE),VLOOKUP($A143,'SegEnds_NonXtal_Prot#'!$A:$AL,22,FALSE)+9,1)</f>
        <v>P</v>
      </c>
      <c r="AE143" s="50" t="str">
        <f>MID(VLOOKUP($A143,Seqs!$A:$B,2,FALSE),VLOOKUP($A143,'SegEnds_NonXtal_Prot#'!$A:$AL,22,FALSE)+10,1)</f>
        <v>F</v>
      </c>
      <c r="AF143" s="28" t="str">
        <f>MID(VLOOKUP($A143,Seqs!$A:$B,2,FALSE),VLOOKUP($A143,'SegEnds_NonXtal_Prot#'!$A:$AL,28,FALSE)-4,1)</f>
        <v>Y</v>
      </c>
      <c r="AG143" s="50" t="str">
        <f>MID(VLOOKUP($A143,Seqs!$A:$B,2,FALSE),VLOOKUP($A143,'SegEnds_NonXtal_Prot#'!$A:$AL,28,FALSE),1)</f>
        <v>P</v>
      </c>
    </row>
    <row r="144" spans="1:33" s="2" customFormat="1" x14ac:dyDescent="0.2">
      <c r="A144" s="2" t="s">
        <v>318</v>
      </c>
      <c r="B144" s="2" t="str">
        <f>LOWER(VLOOKUP(A144,Xtal_Templ!A:B,2,FALSE))</f>
        <v>ntr1_rat</v>
      </c>
      <c r="C144" s="2" t="str">
        <f>VLOOKUP(A144,Classification!A:D,2,FALSE)</f>
        <v>A</v>
      </c>
      <c r="D144" s="2" t="str">
        <f>IF(ISERROR(MATCH(A144,'SegEnds_Xtal_Prot#'!B:B, 0)), "NoXtal", "Xtal")</f>
        <v>NoXtal</v>
      </c>
      <c r="F144" s="2" t="s">
        <v>5</v>
      </c>
      <c r="G144" s="4"/>
      <c r="M144" s="2" t="s">
        <v>14</v>
      </c>
      <c r="S144" s="4" t="s">
        <v>12</v>
      </c>
      <c r="U144" s="28" t="str">
        <f>MID(VLOOKUP($A144,Seqs!$A:$B,2,FALSE),VLOOKUP($A144,'SegEnds_NonXtal_Prot#'!A:AL,10,FALSE),1)</f>
        <v>D</v>
      </c>
      <c r="V144" s="50" t="str">
        <f>MID(VLOOKUP($A144,Seqs!$A:$B,2,FALSE),VLOOKUP($A144,'SegEnds_NonXtal_Prot#'!A:AL,10,FALSE)+6,1)</f>
        <v>V</v>
      </c>
      <c r="W144" s="50" t="str">
        <f>MID(VLOOKUP($A144,Seqs!$A:$B,2,FALSE),VLOOKUP($A144,'SegEnds_NonXtal_Prot#'!A:AL,10,FALSE)+7,1)</f>
        <v>G</v>
      </c>
      <c r="X144" s="50" t="str">
        <f>MID(VLOOKUP($A144,Seqs!$A:$B,2,FALSE),VLOOKUP($A144,'SegEnds_NonXtal_Prot#'!A:AL,10,FALSE)+8,1)</f>
        <v>L</v>
      </c>
      <c r="Y144" s="50" t="str">
        <f>MID(VLOOKUP($A144,Seqs!$A:$B,2,FALSE),VLOOKUP($A144,'SegEnds_NonXtal_Prot#'!A:AL,10,FALSE)+9,1)</f>
        <v>P</v>
      </c>
      <c r="Z144" s="50" t="str">
        <f>MID(VLOOKUP($A144,Seqs!$A:$B,2,FALSE),VLOOKUP($A144,'SegEnds_NonXtal_Prot#'!A:AL,10,FALSE)+10,1)</f>
        <v>L</v>
      </c>
      <c r="AA144" s="28" t="str">
        <f>MID(VLOOKUP($A144,Seqs!$A:$B,2,FALSE),VLOOKUP($A144,'SegEnds_NonXtal_Prot#'!$A:$AL,22,FALSE)+6,1)</f>
        <v>C</v>
      </c>
      <c r="AB144" s="50" t="str">
        <f>MID(VLOOKUP($A144,Seqs!$A:$B,2,FALSE),VLOOKUP($A144,'SegEnds_NonXtal_Prot#'!$A:$AL,22,FALSE)+7,1)</f>
        <v>S</v>
      </c>
      <c r="AC144" s="50" t="str">
        <f>MID(VLOOKUP($A144,Seqs!$A:$B,2,FALSE),VLOOKUP($A144,'SegEnds_NonXtal_Prot#'!$A:$AL,22,FALSE)+8,1)</f>
        <v>L</v>
      </c>
      <c r="AD144" s="50" t="str">
        <f>MID(VLOOKUP($A144,Seqs!$A:$B,2,FALSE),VLOOKUP($A144,'SegEnds_NonXtal_Prot#'!$A:$AL,22,FALSE)+9,1)</f>
        <v>P</v>
      </c>
      <c r="AE144" s="50" t="str">
        <f>MID(VLOOKUP($A144,Seqs!$A:$B,2,FALSE),VLOOKUP($A144,'SegEnds_NonXtal_Prot#'!$A:$AL,22,FALSE)+10,1)</f>
        <v>N</v>
      </c>
      <c r="AF144" s="28" t="str">
        <f>MID(VLOOKUP($A144,Seqs!$A:$B,2,FALSE),VLOOKUP($A144,'SegEnds_NonXtal_Prot#'!$A:$AL,28,FALSE)-4,1)</f>
        <v>F</v>
      </c>
      <c r="AG144" s="50" t="str">
        <f>MID(VLOOKUP($A144,Seqs!$A:$B,2,FALSE),VLOOKUP($A144,'SegEnds_NonXtal_Prot#'!$A:$AL,28,FALSE),1)</f>
        <v>P</v>
      </c>
    </row>
    <row r="145" spans="1:33" s="2" customFormat="1" x14ac:dyDescent="0.2">
      <c r="A145" s="2" t="s">
        <v>319</v>
      </c>
      <c r="B145" s="2" t="str">
        <f>LOWER(VLOOKUP(A145,Xtal_Templ!A:B,2,FALSE))</f>
        <v>ntr1_rat</v>
      </c>
      <c r="C145" s="2" t="str">
        <f>VLOOKUP(A145,Classification!A:D,2,FALSE)</f>
        <v>A</v>
      </c>
      <c r="D145" s="2" t="str">
        <f>IF(ISERROR(MATCH(A145,'SegEnds_Xtal_Prot#'!B:B, 0)), "NoXtal", "Xtal")</f>
        <v>NoXtal</v>
      </c>
      <c r="F145" s="2" t="s">
        <v>5</v>
      </c>
      <c r="G145" s="4"/>
      <c r="M145" s="2" t="s">
        <v>14</v>
      </c>
      <c r="S145" s="4" t="s">
        <v>12</v>
      </c>
      <c r="U145" s="28" t="str">
        <f>MID(VLOOKUP($A145,Seqs!$A:$B,2,FALSE),VLOOKUP($A145,'SegEnds_NonXtal_Prot#'!A:AL,10,FALSE),1)</f>
        <v>D</v>
      </c>
      <c r="V145" s="50" t="str">
        <f>MID(VLOOKUP($A145,Seqs!$A:$B,2,FALSE),VLOOKUP($A145,'SegEnds_NonXtal_Prot#'!A:AL,10,FALSE)+6,1)</f>
        <v>L</v>
      </c>
      <c r="W145" s="50" t="str">
        <f>MID(VLOOKUP($A145,Seqs!$A:$B,2,FALSE),VLOOKUP($A145,'SegEnds_NonXtal_Prot#'!A:AL,10,FALSE)+7,1)</f>
        <v>G</v>
      </c>
      <c r="X145" s="50" t="str">
        <f>MID(VLOOKUP($A145,Seqs!$A:$B,2,FALSE),VLOOKUP($A145,'SegEnds_NonXtal_Prot#'!A:AL,10,FALSE)+8,1)</f>
        <v>M</v>
      </c>
      <c r="Y145" s="50" t="str">
        <f>MID(VLOOKUP($A145,Seqs!$A:$B,2,FALSE),VLOOKUP($A145,'SegEnds_NonXtal_Prot#'!A:AL,10,FALSE)+9,1)</f>
        <v>P</v>
      </c>
      <c r="Z145" s="50" t="str">
        <f>MID(VLOOKUP($A145,Seqs!$A:$B,2,FALSE),VLOOKUP($A145,'SegEnds_NonXtal_Prot#'!A:AL,10,FALSE)+10,1)</f>
        <v>L</v>
      </c>
      <c r="AA145" s="28" t="str">
        <f>MID(VLOOKUP($A145,Seqs!$A:$B,2,FALSE),VLOOKUP($A145,'SegEnds_NonXtal_Prot#'!$A:$AL,22,FALSE)+6,1)</f>
        <v>F</v>
      </c>
      <c r="AB145" s="50" t="str">
        <f>MID(VLOOKUP($A145,Seqs!$A:$B,2,FALSE),VLOOKUP($A145,'SegEnds_NonXtal_Prot#'!$A:$AL,22,FALSE)+7,1)</f>
        <v>S</v>
      </c>
      <c r="AC145" s="50" t="str">
        <f>MID(VLOOKUP($A145,Seqs!$A:$B,2,FALSE),VLOOKUP($A145,'SegEnds_NonXtal_Prot#'!$A:$AL,22,FALSE)+8,1)</f>
        <v>L</v>
      </c>
      <c r="AD145" s="50" t="str">
        <f>MID(VLOOKUP($A145,Seqs!$A:$B,2,FALSE),VLOOKUP($A145,'SegEnds_NonXtal_Prot#'!$A:$AL,22,FALSE)+9,1)</f>
        <v>P</v>
      </c>
      <c r="AE145" s="50" t="str">
        <f>MID(VLOOKUP($A145,Seqs!$A:$B,2,FALSE),VLOOKUP($A145,'SegEnds_NonXtal_Prot#'!$A:$AL,22,FALSE)+10,1)</f>
        <v>N</v>
      </c>
      <c r="AF145" s="28" t="str">
        <f>MID(VLOOKUP($A145,Seqs!$A:$B,2,FALSE),VLOOKUP($A145,'SegEnds_NonXtal_Prot#'!$A:$AL,28,FALSE)-4,1)</f>
        <v>F</v>
      </c>
      <c r="AG145" s="50" t="str">
        <f>MID(VLOOKUP($A145,Seqs!$A:$B,2,FALSE),VLOOKUP($A145,'SegEnds_NonXtal_Prot#'!$A:$AL,28,FALSE),1)</f>
        <v>P</v>
      </c>
    </row>
    <row r="146" spans="1:33" s="2" customFormat="1" x14ac:dyDescent="0.2">
      <c r="A146" s="2" t="s">
        <v>127</v>
      </c>
      <c r="B146" s="2" t="str">
        <f>LOWER(VLOOKUP(A146,Xtal_Templ!A:B,2,FALSE))</f>
        <v>ntr1_rat</v>
      </c>
      <c r="C146" s="2" t="str">
        <f>VLOOKUP(A146,Classification!A:D,2,FALSE)</f>
        <v>A</v>
      </c>
      <c r="D146" s="2" t="str">
        <f>IF(ISERROR(MATCH(A146,'SegEnds_Xtal_Prot#'!B:B, 0)), "NoXtal", "Xtal")</f>
        <v>NoXtal</v>
      </c>
      <c r="F146" s="2" t="s">
        <v>5</v>
      </c>
      <c r="G146" s="4"/>
      <c r="M146" s="2" t="s">
        <v>14</v>
      </c>
      <c r="Q146" s="2" t="s">
        <v>9</v>
      </c>
      <c r="S146" s="4" t="s">
        <v>12</v>
      </c>
      <c r="U146" s="28" t="str">
        <f>MID(VLOOKUP($A146,Seqs!$A:$B,2,FALSE),VLOOKUP($A146,'SegEnds_NonXtal_Prot#'!A:AL,10,FALSE),1)</f>
        <v>D</v>
      </c>
      <c r="V146" s="50" t="str">
        <f>MID(VLOOKUP($A146,Seqs!$A:$B,2,FALSE),VLOOKUP($A146,'SegEnds_NonXtal_Prot#'!A:AL,10,FALSE)+6,1)</f>
        <v>L</v>
      </c>
      <c r="W146" s="50" t="str">
        <f>MID(VLOOKUP($A146,Seqs!$A:$B,2,FALSE),VLOOKUP($A146,'SegEnds_NonXtal_Prot#'!A:AL,10,FALSE)+7,1)</f>
        <v>A</v>
      </c>
      <c r="X146" s="50" t="str">
        <f>MID(VLOOKUP($A146,Seqs!$A:$B,2,FALSE),VLOOKUP($A146,'SegEnds_NonXtal_Prot#'!A:AL,10,FALSE)+8,1)</f>
        <v>M</v>
      </c>
      <c r="Y146" s="50" t="str">
        <f>MID(VLOOKUP($A146,Seqs!$A:$B,2,FALSE),VLOOKUP($A146,'SegEnds_NonXtal_Prot#'!A:AL,10,FALSE)+9,1)</f>
        <v>P</v>
      </c>
      <c r="Z146" s="50" t="str">
        <f>MID(VLOOKUP($A146,Seqs!$A:$B,2,FALSE),VLOOKUP($A146,'SegEnds_NonXtal_Prot#'!A:AL,10,FALSE)+10,1)</f>
        <v>V</v>
      </c>
      <c r="AA146" s="28" t="str">
        <f>MID(VLOOKUP($A146,Seqs!$A:$B,2,FALSE),VLOOKUP($A146,'SegEnds_NonXtal_Prot#'!$A:$AL,22,FALSE)+6,1)</f>
        <v>L</v>
      </c>
      <c r="AB146" s="50" t="str">
        <f>MID(VLOOKUP($A146,Seqs!$A:$B,2,FALSE),VLOOKUP($A146,'SegEnds_NonXtal_Prot#'!$A:$AL,22,FALSE)+7,1)</f>
        <v>A</v>
      </c>
      <c r="AC146" s="50" t="str">
        <f>MID(VLOOKUP($A146,Seqs!$A:$B,2,FALSE),VLOOKUP($A146,'SegEnds_NonXtal_Prot#'!$A:$AL,22,FALSE)+8,1)</f>
        <v>V</v>
      </c>
      <c r="AD146" s="50" t="str">
        <f>MID(VLOOKUP($A146,Seqs!$A:$B,2,FALSE),VLOOKUP($A146,'SegEnds_NonXtal_Prot#'!$A:$AL,22,FALSE)+9,1)</f>
        <v>P</v>
      </c>
      <c r="AE146" s="50" t="str">
        <f>MID(VLOOKUP($A146,Seqs!$A:$B,2,FALSE),VLOOKUP($A146,'SegEnds_NonXtal_Prot#'!$A:$AL,22,FALSE)+10,1)</f>
        <v>M</v>
      </c>
      <c r="AF146" s="28" t="str">
        <f>MID(VLOOKUP($A146,Seqs!$A:$B,2,FALSE),VLOOKUP($A146,'SegEnds_NonXtal_Prot#'!$A:$AL,28,FALSE)-4,1)</f>
        <v>S</v>
      </c>
      <c r="AG146" s="50" t="str">
        <f>MID(VLOOKUP($A146,Seqs!$A:$B,2,FALSE),VLOOKUP($A146,'SegEnds_NonXtal_Prot#'!$A:$AL,28,FALSE),1)</f>
        <v>P</v>
      </c>
    </row>
    <row r="147" spans="1:33" s="2" customFormat="1" x14ac:dyDescent="0.2">
      <c r="A147" s="2" t="s">
        <v>914</v>
      </c>
      <c r="B147" s="2" t="str">
        <f>LOWER(VLOOKUP(A147,Xtal_Templ!A:B,2,FALSE))</f>
        <v>ntr1_rat</v>
      </c>
      <c r="C147" s="2" t="str">
        <f>VLOOKUP(A147,Classification!A:D,2,FALSE)</f>
        <v>A</v>
      </c>
      <c r="D147" s="2" t="str">
        <f>IF(ISERROR(MATCH(A147,'SegEnds_Xtal_Prot#'!B:B, 0)), "NoXtal", "Xtal")</f>
        <v>Xtal</v>
      </c>
      <c r="F147" s="2" t="s">
        <v>5</v>
      </c>
      <c r="G147" s="4"/>
      <c r="M147" s="2" t="s">
        <v>14</v>
      </c>
      <c r="Q147" s="2" t="s">
        <v>9</v>
      </c>
      <c r="S147" s="4" t="s">
        <v>12</v>
      </c>
      <c r="U147" s="28" t="str">
        <f>MID(VLOOKUP($A147,Seqs!$A:$B,2,FALSE),VLOOKUP($A147,'SegEnds_NonXtal_Prot#'!A:AL,10,FALSE),1)</f>
        <v>D</v>
      </c>
      <c r="V147" s="50" t="str">
        <f>MID(VLOOKUP($A147,Seqs!$A:$B,2,FALSE),VLOOKUP($A147,'SegEnds_NonXtal_Prot#'!A:AL,10,FALSE)+6,1)</f>
        <v>L</v>
      </c>
      <c r="W147" s="50" t="str">
        <f>MID(VLOOKUP($A147,Seqs!$A:$B,2,FALSE),VLOOKUP($A147,'SegEnds_NonXtal_Prot#'!A:AL,10,FALSE)+7,1)</f>
        <v>A</v>
      </c>
      <c r="X147" s="50" t="str">
        <f>MID(VLOOKUP($A147,Seqs!$A:$B,2,FALSE),VLOOKUP($A147,'SegEnds_NonXtal_Prot#'!A:AL,10,FALSE)+8,1)</f>
        <v>M</v>
      </c>
      <c r="Y147" s="50" t="str">
        <f>MID(VLOOKUP($A147,Seqs!$A:$B,2,FALSE),VLOOKUP($A147,'SegEnds_NonXtal_Prot#'!A:AL,10,FALSE)+9,1)</f>
        <v>P</v>
      </c>
      <c r="Z147" s="50" t="str">
        <f>MID(VLOOKUP($A147,Seqs!$A:$B,2,FALSE),VLOOKUP($A147,'SegEnds_NonXtal_Prot#'!A:AL,10,FALSE)+10,1)</f>
        <v>V</v>
      </c>
      <c r="AA147" s="28" t="str">
        <f>MID(VLOOKUP($A147,Seqs!$A:$B,2,FALSE),VLOOKUP($A147,'SegEnds_NonXtal_Prot#'!$A:$AL,22,FALSE)+6,1)</f>
        <v>L</v>
      </c>
      <c r="AB147" s="50" t="str">
        <f>MID(VLOOKUP($A147,Seqs!$A:$B,2,FALSE),VLOOKUP($A147,'SegEnds_NonXtal_Prot#'!$A:$AL,22,FALSE)+7,1)</f>
        <v>A</v>
      </c>
      <c r="AC147" s="50" t="str">
        <f>MID(VLOOKUP($A147,Seqs!$A:$B,2,FALSE),VLOOKUP($A147,'SegEnds_NonXtal_Prot#'!$A:$AL,22,FALSE)+8,1)</f>
        <v>I</v>
      </c>
      <c r="AD147" s="50" t="str">
        <f>MID(VLOOKUP($A147,Seqs!$A:$B,2,FALSE),VLOOKUP($A147,'SegEnds_NonXtal_Prot#'!$A:$AL,22,FALSE)+9,1)</f>
        <v>P</v>
      </c>
      <c r="AE147" s="50" t="str">
        <f>MID(VLOOKUP($A147,Seqs!$A:$B,2,FALSE),VLOOKUP($A147,'SegEnds_NonXtal_Prot#'!$A:$AL,22,FALSE)+10,1)</f>
        <v>M</v>
      </c>
      <c r="AF147" s="28" t="str">
        <f>MID(VLOOKUP($A147,Seqs!$A:$B,2,FALSE),VLOOKUP($A147,'SegEnds_NonXtal_Prot#'!$A:$AL,28,FALSE)-4,1)</f>
        <v>S</v>
      </c>
      <c r="AG147" s="50" t="str">
        <f>MID(VLOOKUP($A147,Seqs!$A:$B,2,FALSE),VLOOKUP($A147,'SegEnds_NonXtal_Prot#'!$A:$AL,28,FALSE),1)</f>
        <v>P</v>
      </c>
    </row>
    <row r="148" spans="1:33" s="2" customFormat="1" x14ac:dyDescent="0.2">
      <c r="A148" s="2" t="s">
        <v>330</v>
      </c>
      <c r="B148" s="2" t="str">
        <f>LOWER(VLOOKUP(A148,Xtal_Templ!A:B,2,FALSE))</f>
        <v>ntr1_rat</v>
      </c>
      <c r="C148" s="2" t="str">
        <f>VLOOKUP(A148,Classification!A:D,2,FALSE)</f>
        <v>A</v>
      </c>
      <c r="D148" s="2" t="str">
        <f>IF(ISERROR(MATCH(A148,'SegEnds_Xtal_Prot#'!B:B, 0)), "NoXtal", "Xtal")</f>
        <v>NoXtal</v>
      </c>
      <c r="F148" s="2" t="s">
        <v>5</v>
      </c>
      <c r="G148" s="4"/>
      <c r="M148" s="2" t="s">
        <v>14</v>
      </c>
      <c r="Q148" s="2" t="s">
        <v>9</v>
      </c>
      <c r="S148" s="4" t="s">
        <v>12</v>
      </c>
      <c r="U148" s="28" t="str">
        <f>MID(VLOOKUP($A148,Seqs!$A:$B,2,FALSE),VLOOKUP($A148,'SegEnds_NonXtal_Prot#'!A:AL,10,FALSE),1)</f>
        <v>G</v>
      </c>
      <c r="V148" s="50" t="str">
        <f>MID(VLOOKUP($A148,Seqs!$A:$B,2,FALSE),VLOOKUP($A148,'SegEnds_NonXtal_Prot#'!A:AL,10,FALSE)+6,1)</f>
        <v>V</v>
      </c>
      <c r="W148" s="50" t="str">
        <f>MID(VLOOKUP($A148,Seqs!$A:$B,2,FALSE),VLOOKUP($A148,'SegEnds_NonXtal_Prot#'!A:AL,10,FALSE)+7,1)</f>
        <v>G</v>
      </c>
      <c r="X148" s="50" t="str">
        <f>MID(VLOOKUP($A148,Seqs!$A:$B,2,FALSE),VLOOKUP($A148,'SegEnds_NonXtal_Prot#'!A:AL,10,FALSE)+8,1)</f>
        <v>V</v>
      </c>
      <c r="Y148" s="50" t="str">
        <f>MID(VLOOKUP($A148,Seqs!$A:$B,2,FALSE),VLOOKUP($A148,'SegEnds_NonXtal_Prot#'!A:AL,10,FALSE)+9,1)</f>
        <v>P</v>
      </c>
      <c r="Z148" s="50" t="str">
        <f>MID(VLOOKUP($A148,Seqs!$A:$B,2,FALSE),VLOOKUP($A148,'SegEnds_NonXtal_Prot#'!A:AL,10,FALSE)+10,1)</f>
        <v>V</v>
      </c>
      <c r="AA148" s="28" t="str">
        <f>MID(VLOOKUP($A148,Seqs!$A:$B,2,FALSE),VLOOKUP($A148,'SegEnds_NonXtal_Prot#'!$A:$AL,22,FALSE)+6,1)</f>
        <v>L</v>
      </c>
      <c r="AB148" s="50" t="str">
        <f>MID(VLOOKUP($A148,Seqs!$A:$B,2,FALSE),VLOOKUP($A148,'SegEnds_NonXtal_Prot#'!$A:$AL,22,FALSE)+7,1)</f>
        <v>A</v>
      </c>
      <c r="AC148" s="50" t="str">
        <f>MID(VLOOKUP($A148,Seqs!$A:$B,2,FALSE),VLOOKUP($A148,'SegEnds_NonXtal_Prot#'!$A:$AL,22,FALSE)+8,1)</f>
        <v>L</v>
      </c>
      <c r="AD148" s="50" t="str">
        <f>MID(VLOOKUP($A148,Seqs!$A:$B,2,FALSE),VLOOKUP($A148,'SegEnds_NonXtal_Prot#'!$A:$AL,22,FALSE)+9,1)</f>
        <v>P</v>
      </c>
      <c r="AE148" s="50" t="str">
        <f>MID(VLOOKUP($A148,Seqs!$A:$B,2,FALSE),VLOOKUP($A148,'SegEnds_NonXtal_Prot#'!$A:$AL,22,FALSE)+10,1)</f>
        <v>M</v>
      </c>
      <c r="AF148" s="28" t="str">
        <f>MID(VLOOKUP($A148,Seqs!$A:$B,2,FALSE),VLOOKUP($A148,'SegEnds_NonXtal_Prot#'!$A:$AL,28,FALSE)-4,1)</f>
        <v>S</v>
      </c>
      <c r="AG148" s="50" t="str">
        <f>MID(VLOOKUP($A148,Seqs!$A:$B,2,FALSE),VLOOKUP($A148,'SegEnds_NonXtal_Prot#'!$A:$AL,28,FALSE),1)</f>
        <v>P</v>
      </c>
    </row>
    <row r="149" spans="1:33" s="2" customFormat="1" x14ac:dyDescent="0.2">
      <c r="A149" s="2" t="s">
        <v>362</v>
      </c>
      <c r="B149" s="2" t="str">
        <f>LOWER(VLOOKUP(A149,Xtal_Templ!A:B,2,FALSE))</f>
        <v>ntr1_rat</v>
      </c>
      <c r="C149" s="2" t="str">
        <f>VLOOKUP(A149,Classification!A:D,2,FALSE)</f>
        <v>A</v>
      </c>
      <c r="D149" s="2" t="str">
        <f>IF(ISERROR(MATCH(A149,'SegEnds_Xtal_Prot#'!B:B, 0)), "NoXtal", "Xtal")</f>
        <v>NoXtal</v>
      </c>
      <c r="F149" s="2" t="s">
        <v>5</v>
      </c>
      <c r="G149" s="4"/>
      <c r="S149" s="4" t="s">
        <v>12</v>
      </c>
      <c r="U149" s="28" t="str">
        <f>MID(VLOOKUP($A149,Seqs!$A:$B,2,FALSE),VLOOKUP($A149,'SegEnds_NonXtal_Prot#'!A:AL,10,FALSE),1)</f>
        <v>D</v>
      </c>
      <c r="V149" s="50" t="str">
        <f>MID(VLOOKUP($A149,Seqs!$A:$B,2,FALSE),VLOOKUP($A149,'SegEnds_NonXtal_Prot#'!A:AL,10,FALSE)+6,1)</f>
        <v>L</v>
      </c>
      <c r="W149" s="50" t="str">
        <f>MID(VLOOKUP($A149,Seqs!$A:$B,2,FALSE),VLOOKUP($A149,'SegEnds_NonXtal_Prot#'!A:AL,10,FALSE)+7,1)</f>
        <v>I</v>
      </c>
      <c r="X149" s="50" t="str">
        <f>MID(VLOOKUP($A149,Seqs!$A:$B,2,FALSE),VLOOKUP($A149,'SegEnds_NonXtal_Prot#'!A:AL,10,FALSE)+8,1)</f>
        <v>S</v>
      </c>
      <c r="Y149" s="50" t="str">
        <f>MID(VLOOKUP($A149,Seqs!$A:$B,2,FALSE),VLOOKUP($A149,'SegEnds_NonXtal_Prot#'!A:AL,10,FALSE)+9,1)</f>
        <v>P</v>
      </c>
      <c r="Z149" s="50" t="str">
        <f>MID(VLOOKUP($A149,Seqs!$A:$B,2,FALSE),VLOOKUP($A149,'SegEnds_NonXtal_Prot#'!A:AL,10,FALSE)+10,1)</f>
        <v>V</v>
      </c>
      <c r="AA149" s="28" t="str">
        <f>MID(VLOOKUP($A149,Seqs!$A:$B,2,FALSE),VLOOKUP($A149,'SegEnds_NonXtal_Prot#'!$A:$AL,22,FALSE)+6,1)</f>
        <v>F</v>
      </c>
      <c r="AB149" s="50" t="str">
        <f>MID(VLOOKUP($A149,Seqs!$A:$B,2,FALSE),VLOOKUP($A149,'SegEnds_NonXtal_Prot#'!$A:$AL,22,FALSE)+7,1)</f>
        <v>C</v>
      </c>
      <c r="AC149" s="50" t="str">
        <f>MID(VLOOKUP($A149,Seqs!$A:$B,2,FALSE),VLOOKUP($A149,'SegEnds_NonXtal_Prot#'!$A:$AL,22,FALSE)+8,1)</f>
        <v>S</v>
      </c>
      <c r="AD149" s="50" t="str">
        <f>MID(VLOOKUP($A149,Seqs!$A:$B,2,FALSE),VLOOKUP($A149,'SegEnds_NonXtal_Prot#'!$A:$AL,22,FALSE)+9,1)</f>
        <v>L</v>
      </c>
      <c r="AE149" s="50" t="str">
        <f>MID(VLOOKUP($A149,Seqs!$A:$B,2,FALSE),VLOOKUP($A149,'SegEnds_NonXtal_Prot#'!$A:$AL,22,FALSE)+10,1)</f>
        <v>P</v>
      </c>
      <c r="AF149" s="28" t="str">
        <f>MID(VLOOKUP($A149,Seqs!$A:$B,2,FALSE),VLOOKUP($A149,'SegEnds_NonXtal_Prot#'!$A:$AL,28,FALSE)-4,1)</f>
        <v>L</v>
      </c>
      <c r="AG149" s="50" t="str">
        <f>MID(VLOOKUP($A149,Seqs!$A:$B,2,FALSE),VLOOKUP($A149,'SegEnds_NonXtal_Prot#'!$A:$AL,28,FALSE),1)</f>
        <v>V</v>
      </c>
    </row>
    <row r="150" spans="1:33" s="2" customFormat="1" x14ac:dyDescent="0.2">
      <c r="A150" s="2" t="s">
        <v>335</v>
      </c>
      <c r="B150" s="2" t="str">
        <f>LOWER(VLOOKUP(A150,Xtal_Templ!A:B,2,FALSE))</f>
        <v>oprd_human</v>
      </c>
      <c r="C150" s="2" t="str">
        <f>VLOOKUP(A150,Classification!A:D,2,FALSE)</f>
        <v>A</v>
      </c>
      <c r="D150" s="2" t="str">
        <f>IF(ISERROR(MATCH(A150,'SegEnds_Xtal_Prot#'!B:B, 0)), "NoXtal", "Xtal")</f>
        <v>Xtal</v>
      </c>
      <c r="G150" s="4"/>
      <c r="Q150" s="2" t="s">
        <v>9</v>
      </c>
      <c r="S150" s="4" t="s">
        <v>12</v>
      </c>
      <c r="U150" s="28" t="str">
        <f>MID(VLOOKUP($A150,Seqs!$A:$B,2,FALSE),VLOOKUP($A150,'SegEnds_NonXtal_Prot#'!A:AL,10,FALSE),1)</f>
        <v>D</v>
      </c>
      <c r="V150" s="50" t="str">
        <f>MID(VLOOKUP($A150,Seqs!$A:$B,2,FALSE),VLOOKUP($A150,'SegEnds_NonXtal_Prot#'!A:AL,10,FALSE)+6,1)</f>
        <v>T</v>
      </c>
      <c r="W150" s="50" t="str">
        <f>MID(VLOOKUP($A150,Seqs!$A:$B,2,FALSE),VLOOKUP($A150,'SegEnds_NonXtal_Prot#'!A:AL,10,FALSE)+7,1)</f>
        <v>L</v>
      </c>
      <c r="X150" s="50" t="str">
        <f>MID(VLOOKUP($A150,Seqs!$A:$B,2,FALSE),VLOOKUP($A150,'SegEnds_NonXtal_Prot#'!A:AL,10,FALSE)+8,1)</f>
        <v>P</v>
      </c>
      <c r="Y150" s="50" t="str">
        <f>MID(VLOOKUP($A150,Seqs!$A:$B,2,FALSE),VLOOKUP($A150,'SegEnds_NonXtal_Prot#'!A:AL,10,FALSE)+9,1)</f>
        <v>F</v>
      </c>
      <c r="Z150" s="50" t="str">
        <f>MID(VLOOKUP($A150,Seqs!$A:$B,2,FALSE),VLOOKUP($A150,'SegEnds_NonXtal_Prot#'!A:AL,10,FALSE)+10,1)</f>
        <v>Q</v>
      </c>
      <c r="AA150" s="28" t="str">
        <f>MID(VLOOKUP($A150,Seqs!$A:$B,2,FALSE),VLOOKUP($A150,'SegEnds_NonXtal_Prot#'!$A:$AL,22,FALSE)+6,1)</f>
        <v>V</v>
      </c>
      <c r="AB150" s="50" t="str">
        <f>MID(VLOOKUP($A150,Seqs!$A:$B,2,FALSE),VLOOKUP($A150,'SegEnds_NonXtal_Prot#'!$A:$AL,22,FALSE)+7,1)</f>
        <v>G</v>
      </c>
      <c r="AC150" s="50" t="str">
        <f>MID(VLOOKUP($A150,Seqs!$A:$B,2,FALSE),VLOOKUP($A150,'SegEnds_NonXtal_Prot#'!$A:$AL,22,FALSE)+8,1)</f>
        <v>V</v>
      </c>
      <c r="AD150" s="50" t="str">
        <f>MID(VLOOKUP($A150,Seqs!$A:$B,2,FALSE),VLOOKUP($A150,'SegEnds_NonXtal_Prot#'!$A:$AL,22,FALSE)+9,1)</f>
        <v>P</v>
      </c>
      <c r="AE150" s="50" t="str">
        <f>MID(VLOOKUP($A150,Seqs!$A:$B,2,FALSE),VLOOKUP($A150,'SegEnds_NonXtal_Prot#'!$A:$AL,22,FALSE)+10,1)</f>
        <v>I</v>
      </c>
      <c r="AF150" s="28" t="str">
        <f>MID(VLOOKUP($A150,Seqs!$A:$B,2,FALSE),VLOOKUP($A150,'SegEnds_NonXtal_Prot#'!$A:$AL,28,FALSE)-4,1)</f>
        <v>A</v>
      </c>
      <c r="AG150" s="50" t="str">
        <f>MID(VLOOKUP($A150,Seqs!$A:$B,2,FALSE),VLOOKUP($A150,'SegEnds_NonXtal_Prot#'!$A:$AL,28,FALSE),1)</f>
        <v>P</v>
      </c>
    </row>
    <row r="151" spans="1:33" s="2" customFormat="1" x14ac:dyDescent="0.2">
      <c r="A151" s="2" t="s">
        <v>268</v>
      </c>
      <c r="B151" s="2" t="str">
        <f>LOWER(VLOOKUP(A151,Xtal_Templ!A:B,2,FALSE))</f>
        <v>oprm_mouse</v>
      </c>
      <c r="C151" s="2" t="str">
        <f>VLOOKUP(A151,Classification!A:D,2,FALSE)</f>
        <v>A</v>
      </c>
      <c r="D151" s="2" t="str">
        <f>IF(ISERROR(MATCH(A151,'SegEnds_Xtal_Prot#'!B:B, 0)), "NoXtal", "Xtal")</f>
        <v>NoXtal</v>
      </c>
      <c r="G151" s="4"/>
      <c r="M151" s="2" t="s">
        <v>14</v>
      </c>
      <c r="S151" s="4" t="s">
        <v>12</v>
      </c>
      <c r="U151" s="28" t="str">
        <f>MID(VLOOKUP($A151,Seqs!$A:$B,2,FALSE),VLOOKUP($A151,'SegEnds_NonXtal_Prot#'!A:AL,10,FALSE),1)</f>
        <v>N</v>
      </c>
      <c r="V151" s="50" t="str">
        <f>MID(VLOOKUP($A151,Seqs!$A:$B,2,FALSE),VLOOKUP($A151,'SegEnds_NonXtal_Prot#'!A:AL,10,FALSE)+6,1)</f>
        <v>A</v>
      </c>
      <c r="W151" s="50" t="str">
        <f>MID(VLOOKUP($A151,Seqs!$A:$B,2,FALSE),VLOOKUP($A151,'SegEnds_NonXtal_Prot#'!A:AL,10,FALSE)+7,1)</f>
        <v>M</v>
      </c>
      <c r="X151" s="50" t="str">
        <f>MID(VLOOKUP($A151,Seqs!$A:$B,2,FALSE),VLOOKUP($A151,'SegEnds_NonXtal_Prot#'!A:AL,10,FALSE)+8,1)</f>
        <v>P</v>
      </c>
      <c r="Y151" s="50" t="str">
        <f>MID(VLOOKUP($A151,Seqs!$A:$B,2,FALSE),VLOOKUP($A151,'SegEnds_NonXtal_Prot#'!A:AL,10,FALSE)+9,1)</f>
        <v>F</v>
      </c>
      <c r="Z151" s="50" t="str">
        <f>MID(VLOOKUP($A151,Seqs!$A:$B,2,FALSE),VLOOKUP($A151,'SegEnds_NonXtal_Prot#'!A:AL,10,FALSE)+10,1)</f>
        <v>M</v>
      </c>
      <c r="AA151" s="28" t="str">
        <f>MID(VLOOKUP($A151,Seqs!$A:$B,2,FALSE),VLOOKUP($A151,'SegEnds_NonXtal_Prot#'!$A:$AL,22,FALSE)+6,1)</f>
        <v>I</v>
      </c>
      <c r="AB151" s="50" t="str">
        <f>MID(VLOOKUP($A151,Seqs!$A:$B,2,FALSE),VLOOKUP($A151,'SegEnds_NonXtal_Prot#'!$A:$AL,22,FALSE)+7,1)</f>
        <v>I</v>
      </c>
      <c r="AC151" s="50" t="str">
        <f>MID(VLOOKUP($A151,Seqs!$A:$B,2,FALSE),VLOOKUP($A151,'SegEnds_NonXtal_Prot#'!$A:$AL,22,FALSE)+8,1)</f>
        <v>I</v>
      </c>
      <c r="AD151" s="50" t="str">
        <f>MID(VLOOKUP($A151,Seqs!$A:$B,2,FALSE),VLOOKUP($A151,'SegEnds_NonXtal_Prot#'!$A:$AL,22,FALSE)+9,1)</f>
        <v>P</v>
      </c>
      <c r="AE151" s="50" t="str">
        <f>MID(VLOOKUP($A151,Seqs!$A:$B,2,FALSE),VLOOKUP($A151,'SegEnds_NonXtal_Prot#'!$A:$AL,22,FALSE)+10,1)</f>
        <v>V</v>
      </c>
      <c r="AF151" s="28" t="str">
        <f>MID(VLOOKUP($A151,Seqs!$A:$B,2,FALSE),VLOOKUP($A151,'SegEnds_NonXtal_Prot#'!$A:$AL,28,FALSE)-4,1)</f>
        <v>F</v>
      </c>
      <c r="AG151" s="50" t="str">
        <f>MID(VLOOKUP($A151,Seqs!$A:$B,2,FALSE),VLOOKUP($A151,'SegEnds_NonXtal_Prot#'!$A:$AL,28,FALSE),1)</f>
        <v>S</v>
      </c>
    </row>
    <row r="152" spans="1:33" s="2" customFormat="1" x14ac:dyDescent="0.2">
      <c r="A152" s="2" t="s">
        <v>300</v>
      </c>
      <c r="B152" s="2" t="str">
        <f>LOWER(VLOOKUP(A152,Xtal_Templ!A:B,2,FALSE))</f>
        <v>oprd_human</v>
      </c>
      <c r="C152" s="2" t="str">
        <f>VLOOKUP(A152,Classification!A:D,2,FALSE)</f>
        <v>A</v>
      </c>
      <c r="D152" s="2" t="str">
        <f>IF(ISERROR(MATCH(A152,'SegEnds_Xtal_Prot#'!B:B, 0)), "NoXtal", "Xtal")</f>
        <v>NoXtal</v>
      </c>
      <c r="G152" s="4"/>
      <c r="M152" s="2" t="s">
        <v>14</v>
      </c>
      <c r="Q152" s="2" t="s">
        <v>9</v>
      </c>
      <c r="S152" s="4" t="s">
        <v>12</v>
      </c>
      <c r="U152" s="28" t="str">
        <f>MID(VLOOKUP($A152,Seqs!$A:$B,2,FALSE),VLOOKUP($A152,'SegEnds_NonXtal_Prot#'!A:AL,10,FALSE),1)</f>
        <v>D</v>
      </c>
      <c r="V152" s="50" t="str">
        <f>MID(VLOOKUP($A152,Seqs!$A:$B,2,FALSE),VLOOKUP($A152,'SegEnds_NonXtal_Prot#'!A:AL,10,FALSE)+6,1)</f>
        <v>G</v>
      </c>
      <c r="W152" s="50" t="str">
        <f>MID(VLOOKUP($A152,Seqs!$A:$B,2,FALSE),VLOOKUP($A152,'SegEnds_NonXtal_Prot#'!A:AL,10,FALSE)+7,1)</f>
        <v>M</v>
      </c>
      <c r="X152" s="50" t="str">
        <f>MID(VLOOKUP($A152,Seqs!$A:$B,2,FALSE),VLOOKUP($A152,'SegEnds_NonXtal_Prot#'!A:AL,10,FALSE)+8,1)</f>
        <v>P</v>
      </c>
      <c r="Y152" s="50" t="str">
        <f>MID(VLOOKUP($A152,Seqs!$A:$B,2,FALSE),VLOOKUP($A152,'SegEnds_NonXtal_Prot#'!A:AL,10,FALSE)+9,1)</f>
        <v>F</v>
      </c>
      <c r="Z152" s="50" t="str">
        <f>MID(VLOOKUP($A152,Seqs!$A:$B,2,FALSE),VLOOKUP($A152,'SegEnds_NonXtal_Prot#'!A:AL,10,FALSE)+10,1)</f>
        <v>L</v>
      </c>
      <c r="AA152" s="28" t="str">
        <f>MID(VLOOKUP($A152,Seqs!$A:$B,2,FALSE),VLOOKUP($A152,'SegEnds_NonXtal_Prot#'!$A:$AL,22,FALSE)+6,1)</f>
        <v>L</v>
      </c>
      <c r="AB152" s="50" t="str">
        <f>MID(VLOOKUP($A152,Seqs!$A:$B,2,FALSE),VLOOKUP($A152,'SegEnds_NonXtal_Prot#'!$A:$AL,22,FALSE)+7,1)</f>
        <v>A</v>
      </c>
      <c r="AC152" s="50" t="str">
        <f>MID(VLOOKUP($A152,Seqs!$A:$B,2,FALSE),VLOOKUP($A152,'SegEnds_NonXtal_Prot#'!$A:$AL,22,FALSE)+8,1)</f>
        <v>L</v>
      </c>
      <c r="AD152" s="50" t="str">
        <f>MID(VLOOKUP($A152,Seqs!$A:$B,2,FALSE),VLOOKUP($A152,'SegEnds_NonXtal_Prot#'!$A:$AL,22,FALSE)+9,1)</f>
        <v>P</v>
      </c>
      <c r="AE152" s="50" t="str">
        <f>MID(VLOOKUP($A152,Seqs!$A:$B,2,FALSE),VLOOKUP($A152,'SegEnds_NonXtal_Prot#'!$A:$AL,22,FALSE)+10,1)</f>
        <v>V</v>
      </c>
      <c r="AF152" s="28" t="str">
        <f>MID(VLOOKUP($A152,Seqs!$A:$B,2,FALSE),VLOOKUP($A152,'SegEnds_NonXtal_Prot#'!$A:$AL,28,FALSE)-4,1)</f>
        <v>T</v>
      </c>
      <c r="AG152" s="50" t="str">
        <f>MID(VLOOKUP($A152,Seqs!$A:$B,2,FALSE),VLOOKUP($A152,'SegEnds_NonXtal_Prot#'!$A:$AL,28,FALSE),1)</f>
        <v>P</v>
      </c>
    </row>
    <row r="153" spans="1:33" s="2" customFormat="1" x14ac:dyDescent="0.2">
      <c r="A153" s="2" t="s">
        <v>321</v>
      </c>
      <c r="B153" s="2" t="str">
        <f>LOWER(VLOOKUP(A153,Xtal_Templ!A:B,2,FALSE))</f>
        <v>oprd_human</v>
      </c>
      <c r="C153" s="2" t="str">
        <f>VLOOKUP(A153,Classification!A:D,2,FALSE)</f>
        <v>A</v>
      </c>
      <c r="D153" s="2" t="str">
        <f>IF(ISERROR(MATCH(A153,'SegEnds_Xtal_Prot#'!B:B, 0)), "NoXtal", "Xtal")</f>
        <v>NoXtal</v>
      </c>
      <c r="G153" s="4"/>
      <c r="M153" s="2" t="s">
        <v>14</v>
      </c>
      <c r="Q153" s="2" t="s">
        <v>9</v>
      </c>
      <c r="S153" s="4" t="s">
        <v>12</v>
      </c>
      <c r="U153" s="28" t="str">
        <f>MID(VLOOKUP($A153,Seqs!$A:$B,2,FALSE),VLOOKUP($A153,'SegEnds_NonXtal_Prot#'!A:AL,10,FALSE),1)</f>
        <v>D</v>
      </c>
      <c r="V153" s="50" t="str">
        <f>MID(VLOOKUP($A153,Seqs!$A:$B,2,FALSE),VLOOKUP($A153,'SegEnds_NonXtal_Prot#'!A:AL,10,FALSE)+6,1)</f>
        <v>V</v>
      </c>
      <c r="W153" s="50" t="str">
        <f>MID(VLOOKUP($A153,Seqs!$A:$B,2,FALSE),VLOOKUP($A153,'SegEnds_NonXtal_Prot#'!A:AL,10,FALSE)+7,1)</f>
        <v>L</v>
      </c>
      <c r="X153" s="50" t="str">
        <f>MID(VLOOKUP($A153,Seqs!$A:$B,2,FALSE),VLOOKUP($A153,'SegEnds_NonXtal_Prot#'!A:AL,10,FALSE)+8,1)</f>
        <v>P</v>
      </c>
      <c r="Y153" s="50" t="str">
        <f>MID(VLOOKUP($A153,Seqs!$A:$B,2,FALSE),VLOOKUP($A153,'SegEnds_NonXtal_Prot#'!A:AL,10,FALSE)+9,1)</f>
        <v>V</v>
      </c>
      <c r="Z153" s="50" t="str">
        <f>MID(VLOOKUP($A153,Seqs!$A:$B,2,FALSE),VLOOKUP($A153,'SegEnds_NonXtal_Prot#'!A:AL,10,FALSE)+10,1)</f>
        <v>N</v>
      </c>
      <c r="AA153" s="28" t="str">
        <f>MID(VLOOKUP($A153,Seqs!$A:$B,2,FALSE),VLOOKUP($A153,'SegEnds_NonXtal_Prot#'!$A:$AL,22,FALSE)+6,1)</f>
        <v>L</v>
      </c>
      <c r="AB153" s="50" t="str">
        <f>MID(VLOOKUP($A153,Seqs!$A:$B,2,FALSE),VLOOKUP($A153,'SegEnds_NonXtal_Prot#'!$A:$AL,22,FALSE)+7,1)</f>
        <v>V</v>
      </c>
      <c r="AC153" s="50" t="str">
        <f>MID(VLOOKUP($A153,Seqs!$A:$B,2,FALSE),VLOOKUP($A153,'SegEnds_NonXtal_Prot#'!$A:$AL,22,FALSE)+8,1)</f>
        <v>L</v>
      </c>
      <c r="AD153" s="50" t="str">
        <f>MID(VLOOKUP($A153,Seqs!$A:$B,2,FALSE),VLOOKUP($A153,'SegEnds_NonXtal_Prot#'!$A:$AL,22,FALSE)+9,1)</f>
        <v>P</v>
      </c>
      <c r="AE153" s="50" t="str">
        <f>MID(VLOOKUP($A153,Seqs!$A:$B,2,FALSE),VLOOKUP($A153,'SegEnds_NonXtal_Prot#'!$A:$AL,22,FALSE)+10,1)</f>
        <v>F</v>
      </c>
      <c r="AF153" s="28" t="str">
        <f>MID(VLOOKUP($A153,Seqs!$A:$B,2,FALSE),VLOOKUP($A153,'SegEnds_NonXtal_Prot#'!$A:$AL,28,FALSE)-4,1)</f>
        <v>G</v>
      </c>
      <c r="AG153" s="50" t="str">
        <f>MID(VLOOKUP($A153,Seqs!$A:$B,2,FALSE),VLOOKUP($A153,'SegEnds_NonXtal_Prot#'!$A:$AL,28,FALSE),1)</f>
        <v>P</v>
      </c>
    </row>
    <row r="154" spans="1:33" s="2" customFormat="1" x14ac:dyDescent="0.2">
      <c r="A154" s="2" t="s">
        <v>916</v>
      </c>
      <c r="B154" s="2" t="str">
        <f>LOWER(VLOOKUP(A154,Xtal_Templ!A:B,2,FALSE))</f>
        <v>oprd_human</v>
      </c>
      <c r="C154" s="2" t="str">
        <f>VLOOKUP(A154,Classification!A:D,2,FALSE)</f>
        <v>A</v>
      </c>
      <c r="D154" s="2" t="str">
        <f>IF(ISERROR(MATCH(A154,'SegEnds_Xtal_Prot#'!B:B, 0)), "NoXtal", "Xtal")</f>
        <v>Xtal</v>
      </c>
      <c r="G154" s="4"/>
      <c r="Q154" s="2" t="s">
        <v>9</v>
      </c>
      <c r="S154" s="4" t="s">
        <v>12</v>
      </c>
      <c r="U154" s="28" t="str">
        <f>MID(VLOOKUP($A154,Seqs!$A:$B,2,FALSE),VLOOKUP($A154,'SegEnds_NonXtal_Prot#'!A:AL,10,FALSE),1)</f>
        <v>D</v>
      </c>
      <c r="V154" s="50" t="str">
        <f>MID(VLOOKUP($A154,Seqs!$A:$B,2,FALSE),VLOOKUP($A154,'SegEnds_NonXtal_Prot#'!A:AL,10,FALSE)+6,1)</f>
        <v>T</v>
      </c>
      <c r="W154" s="50" t="str">
        <f>MID(VLOOKUP($A154,Seqs!$A:$B,2,FALSE),VLOOKUP($A154,'SegEnds_NonXtal_Prot#'!A:AL,10,FALSE)+7,1)</f>
        <v>L</v>
      </c>
      <c r="X154" s="50" t="str">
        <f>MID(VLOOKUP($A154,Seqs!$A:$B,2,FALSE),VLOOKUP($A154,'SegEnds_NonXtal_Prot#'!A:AL,10,FALSE)+8,1)</f>
        <v>P</v>
      </c>
      <c r="Y154" s="50" t="str">
        <f>MID(VLOOKUP($A154,Seqs!$A:$B,2,FALSE),VLOOKUP($A154,'SegEnds_NonXtal_Prot#'!A:AL,10,FALSE)+9,1)</f>
        <v>F</v>
      </c>
      <c r="Z154" s="50" t="str">
        <f>MID(VLOOKUP($A154,Seqs!$A:$B,2,FALSE),VLOOKUP($A154,'SegEnds_NonXtal_Prot#'!A:AL,10,FALSE)+10,1)</f>
        <v>Q</v>
      </c>
      <c r="AA154" s="28" t="str">
        <f>MID(VLOOKUP($A154,Seqs!$A:$B,2,FALSE),VLOOKUP($A154,'SegEnds_NonXtal_Prot#'!$A:$AL,22,FALSE)+6,1)</f>
        <v>V</v>
      </c>
      <c r="AB154" s="50" t="str">
        <f>MID(VLOOKUP($A154,Seqs!$A:$B,2,FALSE),VLOOKUP($A154,'SegEnds_NonXtal_Prot#'!$A:$AL,22,FALSE)+7,1)</f>
        <v>G</v>
      </c>
      <c r="AC154" s="50" t="str">
        <f>MID(VLOOKUP($A154,Seqs!$A:$B,2,FALSE),VLOOKUP($A154,'SegEnds_NonXtal_Prot#'!$A:$AL,22,FALSE)+8,1)</f>
        <v>V</v>
      </c>
      <c r="AD154" s="50" t="str">
        <f>MID(VLOOKUP($A154,Seqs!$A:$B,2,FALSE),VLOOKUP($A154,'SegEnds_NonXtal_Prot#'!$A:$AL,22,FALSE)+9,1)</f>
        <v>P</v>
      </c>
      <c r="AE154" s="50" t="str">
        <f>MID(VLOOKUP($A154,Seqs!$A:$B,2,FALSE),VLOOKUP($A154,'SegEnds_NonXtal_Prot#'!$A:$AL,22,FALSE)+10,1)</f>
        <v>I</v>
      </c>
      <c r="AF154" s="28" t="str">
        <f>MID(VLOOKUP($A154,Seqs!$A:$B,2,FALSE),VLOOKUP($A154,'SegEnds_NonXtal_Prot#'!$A:$AL,28,FALSE)-4,1)</f>
        <v>A</v>
      </c>
      <c r="AG154" s="50" t="str">
        <f>MID(VLOOKUP($A154,Seqs!$A:$B,2,FALSE),VLOOKUP($A154,'SegEnds_NonXtal_Prot#'!$A:$AL,28,FALSE),1)</f>
        <v>P</v>
      </c>
    </row>
    <row r="155" spans="1:33" s="2" customFormat="1" x14ac:dyDescent="0.2">
      <c r="A155" s="2" t="s">
        <v>360</v>
      </c>
      <c r="B155" s="2" t="str">
        <f>LOWER(VLOOKUP(A155,Xtal_Templ!A:B,2,FALSE))</f>
        <v>agtr2_human</v>
      </c>
      <c r="C155" s="2" t="str">
        <f>VLOOKUP(A155,Classification!A:D,2,FALSE)</f>
        <v>A</v>
      </c>
      <c r="D155" s="2" t="str">
        <f>IF(ISERROR(MATCH(A155,'SegEnds_Xtal_Prot#'!B:B, 0)), "NoXtal", "Xtal")</f>
        <v>NoXtal</v>
      </c>
      <c r="G155" s="4"/>
      <c r="M155" s="2" t="s">
        <v>14</v>
      </c>
      <c r="Q155" s="2" t="s">
        <v>9</v>
      </c>
      <c r="S155" s="4" t="s">
        <v>12</v>
      </c>
      <c r="U155" s="28" t="str">
        <f>MID(VLOOKUP($A155,Seqs!$A:$B,2,FALSE),VLOOKUP($A155,'SegEnds_NonXtal_Prot#'!A:AL,10,FALSE),1)</f>
        <v>D</v>
      </c>
      <c r="V155" s="50" t="str">
        <f>MID(VLOOKUP($A155,Seqs!$A:$B,2,FALSE),VLOOKUP($A155,'SegEnds_NonXtal_Prot#'!A:AL,10,FALSE)+6,1)</f>
        <v>S</v>
      </c>
      <c r="W155" s="50" t="str">
        <f>MID(VLOOKUP($A155,Seqs!$A:$B,2,FALSE),VLOOKUP($A155,'SegEnds_NonXtal_Prot#'!A:AL,10,FALSE)+7,1)</f>
        <v>L</v>
      </c>
      <c r="X155" s="50" t="str">
        <f>MID(VLOOKUP($A155,Seqs!$A:$B,2,FALSE),VLOOKUP($A155,'SegEnds_NonXtal_Prot#'!A:AL,10,FALSE)+8,1)</f>
        <v>P</v>
      </c>
      <c r="Y155" s="50" t="str">
        <f>MID(VLOOKUP($A155,Seqs!$A:$B,2,FALSE),VLOOKUP($A155,'SegEnds_NonXtal_Prot#'!A:AL,10,FALSE)+9,1)</f>
        <v>F</v>
      </c>
      <c r="Z155" s="50" t="str">
        <f>MID(VLOOKUP($A155,Seqs!$A:$B,2,FALSE),VLOOKUP($A155,'SegEnds_NonXtal_Prot#'!A:AL,10,FALSE)+10,1)</f>
        <v>F</v>
      </c>
      <c r="AA155" s="28" t="str">
        <f>MID(VLOOKUP($A155,Seqs!$A:$B,2,FALSE),VLOOKUP($A155,'SegEnds_NonXtal_Prot#'!$A:$AL,22,FALSE)+6,1)</f>
        <v>N</v>
      </c>
      <c r="AB155" s="50" t="str">
        <f>MID(VLOOKUP($A155,Seqs!$A:$B,2,FALSE),VLOOKUP($A155,'SegEnds_NonXtal_Prot#'!$A:$AL,22,FALSE)+7,1)</f>
        <v>T</v>
      </c>
      <c r="AC155" s="50" t="str">
        <f>MID(VLOOKUP($A155,Seqs!$A:$B,2,FALSE),VLOOKUP($A155,'SegEnds_NonXtal_Prot#'!$A:$AL,22,FALSE)+8,1)</f>
        <v>V</v>
      </c>
      <c r="AD155" s="50" t="str">
        <f>MID(VLOOKUP($A155,Seqs!$A:$B,2,FALSE),VLOOKUP($A155,'SegEnds_NonXtal_Prot#'!$A:$AL,22,FALSE)+9,1)</f>
        <v>P</v>
      </c>
      <c r="AE155" s="50" t="str">
        <f>MID(VLOOKUP($A155,Seqs!$A:$B,2,FALSE),VLOOKUP($A155,'SegEnds_NonXtal_Prot#'!$A:$AL,22,FALSE)+10,1)</f>
        <v>Y</v>
      </c>
      <c r="AF155" s="28" t="str">
        <f>MID(VLOOKUP($A155,Seqs!$A:$B,2,FALSE),VLOOKUP($A155,'SegEnds_NonXtal_Prot#'!$A:$AL,28,FALSE)-4,1)</f>
        <v>A</v>
      </c>
      <c r="AG155" s="50" t="str">
        <f>MID(VLOOKUP($A155,Seqs!$A:$B,2,FALSE),VLOOKUP($A155,'SegEnds_NonXtal_Prot#'!$A:$AL,28,FALSE),1)</f>
        <v>P</v>
      </c>
    </row>
    <row r="156" spans="1:33" s="2" customFormat="1" x14ac:dyDescent="0.2">
      <c r="A156" s="2" t="s">
        <v>384</v>
      </c>
      <c r="B156" s="2" t="str">
        <f>LOWER(VLOOKUP(A156,Xtal_Templ!A:B,2,FALSE))</f>
        <v>oprd_human</v>
      </c>
      <c r="C156" s="2" t="str">
        <f>VLOOKUP(A156,Classification!A:D,2,FALSE)</f>
        <v>A</v>
      </c>
      <c r="D156" s="2" t="str">
        <f>IF(ISERROR(MATCH(A156,'SegEnds_Xtal_Prot#'!B:B, 0)), "NoXtal", "Xtal")</f>
        <v>NoXtal</v>
      </c>
      <c r="G156" s="4"/>
      <c r="M156" s="2" t="s">
        <v>14</v>
      </c>
      <c r="Q156" s="2" t="s">
        <v>9</v>
      </c>
      <c r="S156" s="4" t="s">
        <v>12</v>
      </c>
      <c r="U156" s="28" t="str">
        <f>MID(VLOOKUP($A156,Seqs!$A:$B,2,FALSE),VLOOKUP($A156,'SegEnds_NonXtal_Prot#'!A:AL,10,FALSE),1)</f>
        <v>D</v>
      </c>
      <c r="V156" s="50" t="str">
        <f>MID(VLOOKUP($A156,Seqs!$A:$B,2,FALSE),VLOOKUP($A156,'SegEnds_NonXtal_Prot#'!A:AL,10,FALSE)+6,1)</f>
        <v>S</v>
      </c>
      <c r="W156" s="50" t="str">
        <f>MID(VLOOKUP($A156,Seqs!$A:$B,2,FALSE),VLOOKUP($A156,'SegEnds_NonXtal_Prot#'!A:AL,10,FALSE)+7,1)</f>
        <v>V</v>
      </c>
      <c r="X156" s="50" t="str">
        <f>MID(VLOOKUP($A156,Seqs!$A:$B,2,FALSE),VLOOKUP($A156,'SegEnds_NonXtal_Prot#'!A:AL,10,FALSE)+8,1)</f>
        <v>P</v>
      </c>
      <c r="Y156" s="50" t="str">
        <f>MID(VLOOKUP($A156,Seqs!$A:$B,2,FALSE),VLOOKUP($A156,'SegEnds_NonXtal_Prot#'!A:AL,10,FALSE)+9,1)</f>
        <v>F</v>
      </c>
      <c r="Z156" s="50" t="str">
        <f>MID(VLOOKUP($A156,Seqs!$A:$B,2,FALSE),VLOOKUP($A156,'SegEnds_NonXtal_Prot#'!A:AL,10,FALSE)+10,1)</f>
        <v>V</v>
      </c>
      <c r="AA156" s="28" t="str">
        <f>MID(VLOOKUP($A156,Seqs!$A:$B,2,FALSE),VLOOKUP($A156,'SegEnds_NonXtal_Prot#'!$A:$AL,22,FALSE)+6,1)</f>
        <v>V</v>
      </c>
      <c r="AB156" s="50" t="str">
        <f>MID(VLOOKUP($A156,Seqs!$A:$B,2,FALSE),VLOOKUP($A156,'SegEnds_NonXtal_Prot#'!$A:$AL,22,FALSE)+7,1)</f>
        <v>T</v>
      </c>
      <c r="AC156" s="50" t="str">
        <f>MID(VLOOKUP($A156,Seqs!$A:$B,2,FALSE),VLOOKUP($A156,'SegEnds_NonXtal_Prot#'!$A:$AL,22,FALSE)+8,1)</f>
        <v>L</v>
      </c>
      <c r="AD156" s="50" t="str">
        <f>MID(VLOOKUP($A156,Seqs!$A:$B,2,FALSE),VLOOKUP($A156,'SegEnds_NonXtal_Prot#'!$A:$AL,22,FALSE)+9,1)</f>
        <v>P</v>
      </c>
      <c r="AE156" s="50" t="str">
        <f>MID(VLOOKUP($A156,Seqs!$A:$B,2,FALSE),VLOOKUP($A156,'SegEnds_NonXtal_Prot#'!$A:$AL,22,FALSE)+10,1)</f>
        <v>I</v>
      </c>
      <c r="AF156" s="28" t="str">
        <f>MID(VLOOKUP($A156,Seqs!$A:$B,2,FALSE),VLOOKUP($A156,'SegEnds_NonXtal_Prot#'!$A:$AL,28,FALSE)-4,1)</f>
        <v>G</v>
      </c>
      <c r="AG156" s="50" t="str">
        <f>MID(VLOOKUP($A156,Seqs!$A:$B,2,FALSE),VLOOKUP($A156,'SegEnds_NonXtal_Prot#'!$A:$AL,28,FALSE),1)</f>
        <v>P</v>
      </c>
    </row>
    <row r="157" spans="1:33" s="2" customFormat="1" x14ac:dyDescent="0.2">
      <c r="A157" s="2" t="s">
        <v>164</v>
      </c>
      <c r="B157" s="2" t="str">
        <f>LOWER(VLOOKUP(A157,Xtal_Templ!A:B,2,FALSE))</f>
        <v>agtr1_human</v>
      </c>
      <c r="C157" s="2" t="str">
        <f>VLOOKUP(A157,Classification!A:D,2,FALSE)</f>
        <v>A</v>
      </c>
      <c r="D157" s="2" t="str">
        <f>IF(ISERROR(MATCH(A157,'SegEnds_Xtal_Prot#'!B:B, 0)), "NoXtal", "Xtal")</f>
        <v>NoXtal</v>
      </c>
      <c r="G157" s="4"/>
      <c r="M157" s="2" t="s">
        <v>14</v>
      </c>
      <c r="Q157" s="2" t="s">
        <v>9</v>
      </c>
      <c r="S157" s="4" t="s">
        <v>12</v>
      </c>
      <c r="U157" s="28" t="str">
        <f>MID(VLOOKUP($A157,Seqs!$A:$B,2,FALSE),VLOOKUP($A157,'SegEnds_NonXtal_Prot#'!A:AL,10,FALSE),1)</f>
        <v>D</v>
      </c>
      <c r="V157" s="50" t="str">
        <f>MID(VLOOKUP($A157,Seqs!$A:$B,2,FALSE),VLOOKUP($A157,'SegEnds_NonXtal_Prot#'!A:AL,10,FALSE)+6,1)</f>
        <v>S</v>
      </c>
      <c r="W157" s="50" t="str">
        <f>MID(VLOOKUP($A157,Seqs!$A:$B,2,FALSE),VLOOKUP($A157,'SegEnds_NonXtal_Prot#'!A:AL,10,FALSE)+7,1)</f>
        <v>L</v>
      </c>
      <c r="X157" s="50" t="str">
        <f>MID(VLOOKUP($A157,Seqs!$A:$B,2,FALSE),VLOOKUP($A157,'SegEnds_NonXtal_Prot#'!A:AL,10,FALSE)+8,1)</f>
        <v>P</v>
      </c>
      <c r="Y157" s="50" t="str">
        <f>MID(VLOOKUP($A157,Seqs!$A:$B,2,FALSE),VLOOKUP($A157,'SegEnds_NonXtal_Prot#'!A:AL,10,FALSE)+9,1)</f>
        <v>F</v>
      </c>
      <c r="Z157" s="50" t="str">
        <f>MID(VLOOKUP($A157,Seqs!$A:$B,2,FALSE),VLOOKUP($A157,'SegEnds_NonXtal_Prot#'!A:AL,10,FALSE)+10,1)</f>
        <v>S</v>
      </c>
      <c r="AA157" s="28" t="str">
        <f>MID(VLOOKUP($A157,Seqs!$A:$B,2,FALSE),VLOOKUP($A157,'SegEnds_NonXtal_Prot#'!$A:$AL,22,FALSE)+6,1)</f>
        <v>M</v>
      </c>
      <c r="AB157" s="50" t="str">
        <f>MID(VLOOKUP($A157,Seqs!$A:$B,2,FALSE),VLOOKUP($A157,'SegEnds_NonXtal_Prot#'!$A:$AL,22,FALSE)+7,1)</f>
        <v>C</v>
      </c>
      <c r="AC157" s="50" t="str">
        <f>MID(VLOOKUP($A157,Seqs!$A:$B,2,FALSE),VLOOKUP($A157,'SegEnds_NonXtal_Prot#'!$A:$AL,22,FALSE)+8,1)</f>
        <v>I</v>
      </c>
      <c r="AD157" s="50" t="str">
        <f>MID(VLOOKUP($A157,Seqs!$A:$B,2,FALSE),VLOOKUP($A157,'SegEnds_NonXtal_Prot#'!$A:$AL,22,FALSE)+9,1)</f>
        <v>P</v>
      </c>
      <c r="AE157" s="50" t="str">
        <f>MID(VLOOKUP($A157,Seqs!$A:$B,2,FALSE),VLOOKUP($A157,'SegEnds_NonXtal_Prot#'!$A:$AL,22,FALSE)+10,1)</f>
        <v>V</v>
      </c>
      <c r="AF157" s="28" t="str">
        <f>MID(VLOOKUP($A157,Seqs!$A:$B,2,FALSE),VLOOKUP($A157,'SegEnds_NonXtal_Prot#'!$A:$AL,28,FALSE)-4,1)</f>
        <v>G</v>
      </c>
      <c r="AG157" s="50" t="str">
        <f>MID(VLOOKUP($A157,Seqs!$A:$B,2,FALSE),VLOOKUP($A157,'SegEnds_NonXtal_Prot#'!$A:$AL,28,FALSE),1)</f>
        <v>P</v>
      </c>
    </row>
    <row r="158" spans="1:33" s="2" customFormat="1" x14ac:dyDescent="0.2">
      <c r="A158" s="2" t="s">
        <v>200</v>
      </c>
      <c r="B158" s="2" t="str">
        <f>LOWER(VLOOKUP(A158,Xtal_Templ!A:B,2,FALSE))</f>
        <v>ox2r_human</v>
      </c>
      <c r="C158" s="2" t="str">
        <f>VLOOKUP(A158,Classification!A:D,2,FALSE)</f>
        <v>A</v>
      </c>
      <c r="D158" s="2" t="str">
        <f>IF(ISERROR(MATCH(A158,'SegEnds_Xtal_Prot#'!B:B, 0)), "NoXtal", "Xtal")</f>
        <v>NoXtal</v>
      </c>
      <c r="G158" s="4"/>
      <c r="M158" s="2" t="s">
        <v>14</v>
      </c>
      <c r="Q158" s="2" t="s">
        <v>9</v>
      </c>
      <c r="R158" s="2" t="s">
        <v>1328</v>
      </c>
      <c r="S158" s="4" t="s">
        <v>12</v>
      </c>
      <c r="U158" s="28" t="str">
        <f>MID(VLOOKUP($A158,Seqs!$A:$B,2,FALSE),VLOOKUP($A158,'SegEnds_NonXtal_Prot#'!A:AL,10,FALSE),1)</f>
        <v>D</v>
      </c>
      <c r="V158" s="50" t="str">
        <f>MID(VLOOKUP($A158,Seqs!$A:$B,2,FALSE),VLOOKUP($A158,'SegEnds_NonXtal_Prot#'!A:AL,10,FALSE)+6,1)</f>
        <v>A</v>
      </c>
      <c r="W158" s="50" t="str">
        <f>MID(VLOOKUP($A158,Seqs!$A:$B,2,FALSE),VLOOKUP($A158,'SegEnds_NonXtal_Prot#'!A:AL,10,FALSE)+7,1)</f>
        <v>I</v>
      </c>
      <c r="X158" s="50" t="str">
        <f>MID(VLOOKUP($A158,Seqs!$A:$B,2,FALSE),VLOOKUP($A158,'SegEnds_NonXtal_Prot#'!A:AL,10,FALSE)+8,1)</f>
        <v>P</v>
      </c>
      <c r="Y158" s="50" t="str">
        <f>MID(VLOOKUP($A158,Seqs!$A:$B,2,FALSE),VLOOKUP($A158,'SegEnds_NonXtal_Prot#'!A:AL,10,FALSE)+9,1)</f>
        <v>L</v>
      </c>
      <c r="Z158" s="50" t="str">
        <f>MID(VLOOKUP($A158,Seqs!$A:$B,2,FALSE),VLOOKUP($A158,'SegEnds_NonXtal_Prot#'!A:AL,10,FALSE)+10,1)</f>
        <v>V</v>
      </c>
      <c r="AA158" s="28" t="str">
        <f>MID(VLOOKUP($A158,Seqs!$A:$B,2,FALSE),VLOOKUP($A158,'SegEnds_NonXtal_Prot#'!$A:$AL,22,FALSE)+6,1)</f>
        <v>A</v>
      </c>
      <c r="AB158" s="50" t="str">
        <f>MID(VLOOKUP($A158,Seqs!$A:$B,2,FALSE),VLOOKUP($A158,'SegEnds_NonXtal_Prot#'!$A:$AL,22,FALSE)+7,1)</f>
        <v>A</v>
      </c>
      <c r="AC158" s="50" t="str">
        <f>MID(VLOOKUP($A158,Seqs!$A:$B,2,FALSE),VLOOKUP($A158,'SegEnds_NonXtal_Prot#'!$A:$AL,22,FALSE)+8,1)</f>
        <v>L</v>
      </c>
      <c r="AD158" s="50" t="str">
        <f>MID(VLOOKUP($A158,Seqs!$A:$B,2,FALSE),VLOOKUP($A158,'SegEnds_NonXtal_Prot#'!$A:$AL,22,FALSE)+9,1)</f>
        <v>P</v>
      </c>
      <c r="AE158" s="50" t="str">
        <f>MID(VLOOKUP($A158,Seqs!$A:$B,2,FALSE),VLOOKUP($A158,'SegEnds_NonXtal_Prot#'!$A:$AL,22,FALSE)+10,1)</f>
        <v>L</v>
      </c>
      <c r="AF158" s="28" t="str">
        <f>MID(VLOOKUP($A158,Seqs!$A:$B,2,FALSE),VLOOKUP($A158,'SegEnds_NonXtal_Prot#'!$A:$AL,28,FALSE)-4,1)</f>
        <v>N</v>
      </c>
      <c r="AG158" s="50" t="str">
        <f>MID(VLOOKUP($A158,Seqs!$A:$B,2,FALSE),VLOOKUP($A158,'SegEnds_NonXtal_Prot#'!$A:$AL,28,FALSE),1)</f>
        <v>P</v>
      </c>
    </row>
    <row r="159" spans="1:33" s="2" customFormat="1" x14ac:dyDescent="0.2">
      <c r="A159" s="2" t="s">
        <v>251</v>
      </c>
      <c r="B159" s="2" t="str">
        <f>LOWER(VLOOKUP(A159,Xtal_Templ!A:B,2,FALSE))</f>
        <v>oprk_human</v>
      </c>
      <c r="C159" s="2" t="str">
        <f>VLOOKUP(A159,Classification!A:D,2,FALSE)</f>
        <v>A</v>
      </c>
      <c r="D159" s="2" t="str">
        <f>IF(ISERROR(MATCH(A159,'SegEnds_Xtal_Prot#'!B:B, 0)), "NoXtal", "Xtal")</f>
        <v>NoXtal</v>
      </c>
      <c r="G159" s="4"/>
      <c r="Q159" s="2" t="s">
        <v>9</v>
      </c>
      <c r="S159" s="4" t="s">
        <v>12</v>
      </c>
      <c r="U159" s="28" t="str">
        <f>MID(VLOOKUP($A159,Seqs!$A:$B,2,FALSE),VLOOKUP($A159,'SegEnds_NonXtal_Prot#'!A:AL,10,FALSE),1)</f>
        <v>D</v>
      </c>
      <c r="V159" s="50" t="str">
        <f>MID(VLOOKUP($A159,Seqs!$A:$B,2,FALSE),VLOOKUP($A159,'SegEnds_NonXtal_Prot#'!A:AL,10,FALSE)+6,1)</f>
        <v>S</v>
      </c>
      <c r="W159" s="50" t="str">
        <f>MID(VLOOKUP($A159,Seqs!$A:$B,2,FALSE),VLOOKUP($A159,'SegEnds_NonXtal_Prot#'!A:AL,10,FALSE)+7,1)</f>
        <v>L</v>
      </c>
      <c r="X159" s="50" t="str">
        <f>MID(VLOOKUP($A159,Seqs!$A:$B,2,FALSE),VLOOKUP($A159,'SegEnds_NonXtal_Prot#'!A:AL,10,FALSE)+8,1)</f>
        <v>P</v>
      </c>
      <c r="Y159" s="50" t="str">
        <f>MID(VLOOKUP($A159,Seqs!$A:$B,2,FALSE),VLOOKUP($A159,'SegEnds_NonXtal_Prot#'!A:AL,10,FALSE)+9,1)</f>
        <v>I</v>
      </c>
      <c r="Z159" s="50" t="str">
        <f>MID(VLOOKUP($A159,Seqs!$A:$B,2,FALSE),VLOOKUP($A159,'SegEnds_NonXtal_Prot#'!A:AL,10,FALSE)+10,1)</f>
        <v>A</v>
      </c>
      <c r="AA159" s="28" t="str">
        <f>MID(VLOOKUP($A159,Seqs!$A:$B,2,FALSE),VLOOKUP($A159,'SegEnds_NonXtal_Prot#'!$A:$AL,22,FALSE)+6,1)</f>
        <v>L</v>
      </c>
      <c r="AB159" s="50" t="str">
        <f>MID(VLOOKUP($A159,Seqs!$A:$B,2,FALSE),VLOOKUP($A159,'SegEnds_NonXtal_Prot#'!$A:$AL,22,FALSE)+7,1)</f>
        <v>C</v>
      </c>
      <c r="AC159" s="50" t="str">
        <f>MID(VLOOKUP($A159,Seqs!$A:$B,2,FALSE),VLOOKUP($A159,'SegEnds_NonXtal_Prot#'!$A:$AL,22,FALSE)+8,1)</f>
        <v>S</v>
      </c>
      <c r="AD159" s="50" t="str">
        <f>MID(VLOOKUP($A159,Seqs!$A:$B,2,FALSE),VLOOKUP($A159,'SegEnds_NonXtal_Prot#'!$A:$AL,22,FALSE)+9,1)</f>
        <v>A</v>
      </c>
      <c r="AE159" s="50" t="str">
        <f>MID(VLOOKUP($A159,Seqs!$A:$B,2,FALSE),VLOOKUP($A159,'SegEnds_NonXtal_Prot#'!$A:$AL,22,FALSE)+10,1)</f>
        <v>H</v>
      </c>
      <c r="AF159" s="28" t="str">
        <f>MID(VLOOKUP($A159,Seqs!$A:$B,2,FALSE),VLOOKUP($A159,'SegEnds_NonXtal_Prot#'!$A:$AL,28,FALSE)-4,1)</f>
        <v>G</v>
      </c>
      <c r="AG159" s="50" t="str">
        <f>MID(VLOOKUP($A159,Seqs!$A:$B,2,FALSE),VLOOKUP($A159,'SegEnds_NonXtal_Prot#'!$A:$AL,28,FALSE),1)</f>
        <v>P</v>
      </c>
    </row>
    <row r="160" spans="1:33" s="2" customFormat="1" x14ac:dyDescent="0.2">
      <c r="A160" s="2" t="s">
        <v>308</v>
      </c>
      <c r="B160" s="2" t="str">
        <f>LOWER(VLOOKUP(A160,Xtal_Templ!A:B,2,FALSE))</f>
        <v>oprm_mouse</v>
      </c>
      <c r="C160" s="2" t="str">
        <f>VLOOKUP(A160,Classification!A:D,2,FALSE)</f>
        <v>A</v>
      </c>
      <c r="D160" s="2" t="str">
        <f>IF(ISERROR(MATCH(A160,'SegEnds_Xtal_Prot#'!B:B, 0)), "NoXtal", "Xtal")</f>
        <v>NoXtal</v>
      </c>
      <c r="G160" s="4"/>
      <c r="S160" s="4" t="s">
        <v>12</v>
      </c>
      <c r="U160" s="28" t="str">
        <f>MID(VLOOKUP($A160,Seqs!$A:$B,2,FALSE),VLOOKUP($A160,'SegEnds_NonXtal_Prot#'!A:AL,10,FALSE),1)</f>
        <v>D</v>
      </c>
      <c r="V160" s="50" t="str">
        <f>MID(VLOOKUP($A160,Seqs!$A:$B,2,FALSE),VLOOKUP($A160,'SegEnds_NonXtal_Prot#'!A:AL,10,FALSE)+6,1)</f>
        <v>F</v>
      </c>
      <c r="W160" s="50" t="str">
        <f>MID(VLOOKUP($A160,Seqs!$A:$B,2,FALSE),VLOOKUP($A160,'SegEnds_NonXtal_Prot#'!A:AL,10,FALSE)+7,1)</f>
        <v>Q</v>
      </c>
      <c r="X160" s="50" t="str">
        <f>MID(VLOOKUP($A160,Seqs!$A:$B,2,FALSE),VLOOKUP($A160,'SegEnds_NonXtal_Prot#'!A:AL,10,FALSE)+8,1)</f>
        <v>I</v>
      </c>
      <c r="Y160" s="50" t="str">
        <f>MID(VLOOKUP($A160,Seqs!$A:$B,2,FALSE),VLOOKUP($A160,'SegEnds_NonXtal_Prot#'!A:AL,10,FALSE)+9,1)</f>
        <v>I</v>
      </c>
      <c r="Z160" s="50" t="str">
        <f>MID(VLOOKUP($A160,Seqs!$A:$B,2,FALSE),VLOOKUP($A160,'SegEnds_NonXtal_Prot#'!A:AL,10,FALSE)+10,1)</f>
        <v>R</v>
      </c>
      <c r="AA160" s="28" t="str">
        <f>MID(VLOOKUP($A160,Seqs!$A:$B,2,FALSE),VLOOKUP($A160,'SegEnds_NonXtal_Prot#'!$A:$AL,22,FALSE)+6,1)</f>
        <v>F</v>
      </c>
      <c r="AB160" s="50" t="str">
        <f>MID(VLOOKUP($A160,Seqs!$A:$B,2,FALSE),VLOOKUP($A160,'SegEnds_NonXtal_Prot#'!$A:$AL,22,FALSE)+7,1)</f>
        <v>S</v>
      </c>
      <c r="AC160" s="50" t="str">
        <f>MID(VLOOKUP($A160,Seqs!$A:$B,2,FALSE),VLOOKUP($A160,'SegEnds_NonXtal_Prot#'!$A:$AL,22,FALSE)+8,1)</f>
        <v>M</v>
      </c>
      <c r="AD160" s="50" t="str">
        <f>MID(VLOOKUP($A160,Seqs!$A:$B,2,FALSE),VLOOKUP($A160,'SegEnds_NonXtal_Prot#'!$A:$AL,22,FALSE)+9,1)</f>
        <v>L</v>
      </c>
      <c r="AE160" s="50" t="str">
        <f>MID(VLOOKUP($A160,Seqs!$A:$B,2,FALSE),VLOOKUP($A160,'SegEnds_NonXtal_Prot#'!$A:$AL,22,FALSE)+10,1)</f>
        <v>E</v>
      </c>
      <c r="AF160" s="28" t="str">
        <f>MID(VLOOKUP($A160,Seqs!$A:$B,2,FALSE),VLOOKUP($A160,'SegEnds_NonXtal_Prot#'!$A:$AL,28,FALSE)-4,1)</f>
        <v>I</v>
      </c>
      <c r="AG160" s="50" t="str">
        <f>MID(VLOOKUP($A160,Seqs!$A:$B,2,FALSE),VLOOKUP($A160,'SegEnds_NonXtal_Prot#'!$A:$AL,28,FALSE),1)</f>
        <v>V</v>
      </c>
    </row>
    <row r="161" spans="1:33" s="2" customFormat="1" x14ac:dyDescent="0.2">
      <c r="A161" s="2" t="s">
        <v>336</v>
      </c>
      <c r="B161" s="2" t="str">
        <f>LOWER(VLOOKUP(A161,Xtal_Templ!A:B,2,FALSE))</f>
        <v>oprk_human</v>
      </c>
      <c r="C161" s="2" t="str">
        <f>VLOOKUP(A161,Classification!A:D,2,FALSE)</f>
        <v>A</v>
      </c>
      <c r="D161" s="2" t="str">
        <f>IF(ISERROR(MATCH(A161,'SegEnds_Xtal_Prot#'!B:B, 0)), "NoXtal", "Xtal")</f>
        <v>Xtal</v>
      </c>
      <c r="G161" s="4"/>
      <c r="Q161" s="2" t="s">
        <v>9</v>
      </c>
      <c r="S161" s="4" t="s">
        <v>12</v>
      </c>
      <c r="U161" s="28" t="str">
        <f>MID(VLOOKUP($A161,Seqs!$A:$B,2,FALSE),VLOOKUP($A161,'SegEnds_NonXtal_Prot#'!A:AL,10,FALSE),1)</f>
        <v>D</v>
      </c>
      <c r="V161" s="50" t="str">
        <f>MID(VLOOKUP($A161,Seqs!$A:$B,2,FALSE),VLOOKUP($A161,'SegEnds_NonXtal_Prot#'!A:AL,10,FALSE)+6,1)</f>
        <v>T</v>
      </c>
      <c r="W161" s="50" t="str">
        <f>MID(VLOOKUP($A161,Seqs!$A:$B,2,FALSE),VLOOKUP($A161,'SegEnds_NonXtal_Prot#'!A:AL,10,FALSE)+7,1)</f>
        <v>M</v>
      </c>
      <c r="X161" s="50" t="str">
        <f>MID(VLOOKUP($A161,Seqs!$A:$B,2,FALSE),VLOOKUP($A161,'SegEnds_NonXtal_Prot#'!A:AL,10,FALSE)+8,1)</f>
        <v>P</v>
      </c>
      <c r="Y161" s="50" t="str">
        <f>MID(VLOOKUP($A161,Seqs!$A:$B,2,FALSE),VLOOKUP($A161,'SegEnds_NonXtal_Prot#'!A:AL,10,FALSE)+9,1)</f>
        <v>F</v>
      </c>
      <c r="Z161" s="50" t="str">
        <f>MID(VLOOKUP($A161,Seqs!$A:$B,2,FALSE),VLOOKUP($A161,'SegEnds_NonXtal_Prot#'!A:AL,10,FALSE)+10,1)</f>
        <v>Q</v>
      </c>
      <c r="AA161" s="28" t="str">
        <f>MID(VLOOKUP($A161,Seqs!$A:$B,2,FALSE),VLOOKUP($A161,'SegEnds_NonXtal_Prot#'!$A:$AL,22,FALSE)+6,1)</f>
        <v>V</v>
      </c>
      <c r="AB161" s="50" t="str">
        <f>MID(VLOOKUP($A161,Seqs!$A:$B,2,FALSE),VLOOKUP($A161,'SegEnds_NonXtal_Prot#'!$A:$AL,22,FALSE)+7,1)</f>
        <v>G</v>
      </c>
      <c r="AC161" s="50" t="str">
        <f>MID(VLOOKUP($A161,Seqs!$A:$B,2,FALSE),VLOOKUP($A161,'SegEnds_NonXtal_Prot#'!$A:$AL,22,FALSE)+8,1)</f>
        <v>I</v>
      </c>
      <c r="AD161" s="50" t="str">
        <f>MID(VLOOKUP($A161,Seqs!$A:$B,2,FALSE),VLOOKUP($A161,'SegEnds_NonXtal_Prot#'!$A:$AL,22,FALSE)+9,1)</f>
        <v>S</v>
      </c>
      <c r="AE161" s="50" t="str">
        <f>MID(VLOOKUP($A161,Seqs!$A:$B,2,FALSE),VLOOKUP($A161,'SegEnds_NonXtal_Prot#'!$A:$AL,22,FALSE)+10,1)</f>
        <v>A</v>
      </c>
      <c r="AF161" s="28" t="str">
        <f>MID(VLOOKUP($A161,Seqs!$A:$B,2,FALSE),VLOOKUP($A161,'SegEnds_NonXtal_Prot#'!$A:$AL,28,FALSE)-4,1)</f>
        <v>A</v>
      </c>
      <c r="AG161" s="50" t="str">
        <f>MID(VLOOKUP($A161,Seqs!$A:$B,2,FALSE),VLOOKUP($A161,'SegEnds_NonXtal_Prot#'!$A:$AL,28,FALSE),1)</f>
        <v>P</v>
      </c>
    </row>
    <row r="162" spans="1:33" s="2" customFormat="1" x14ac:dyDescent="0.2">
      <c r="A162" s="2" t="s">
        <v>342</v>
      </c>
      <c r="B162" s="2" t="str">
        <f>LOWER(VLOOKUP(A162,Xtal_Templ!A:B,2,FALSE))</f>
        <v>oprk_human</v>
      </c>
      <c r="C162" s="2" t="str">
        <f>VLOOKUP(A162,Classification!A:D,2,FALSE)</f>
        <v>A</v>
      </c>
      <c r="D162" s="2" t="str">
        <f>IF(ISERROR(MATCH(A162,'SegEnds_Xtal_Prot#'!B:B, 0)), "NoXtal", "Xtal")</f>
        <v>NoXtal</v>
      </c>
      <c r="G162" s="4"/>
      <c r="Q162" s="2" t="s">
        <v>9</v>
      </c>
      <c r="S162" s="4" t="s">
        <v>12</v>
      </c>
      <c r="U162" s="28" t="str">
        <f>MID(VLOOKUP($A162,Seqs!$A:$B,2,FALSE),VLOOKUP($A162,'SegEnds_NonXtal_Prot#'!A:AL,10,FALSE),1)</f>
        <v>D</v>
      </c>
      <c r="V162" s="50" t="str">
        <f>MID(VLOOKUP($A162,Seqs!$A:$B,2,FALSE),VLOOKUP($A162,'SegEnds_NonXtal_Prot#'!A:AL,10,FALSE)+6,1)</f>
        <v>N</v>
      </c>
      <c r="W162" s="50" t="str">
        <f>MID(VLOOKUP($A162,Seqs!$A:$B,2,FALSE),VLOOKUP($A162,'SegEnds_NonXtal_Prot#'!A:AL,10,FALSE)+7,1)</f>
        <v>L</v>
      </c>
      <c r="X162" s="50" t="str">
        <f>MID(VLOOKUP($A162,Seqs!$A:$B,2,FALSE),VLOOKUP($A162,'SegEnds_NonXtal_Prot#'!A:AL,10,FALSE)+8,1)</f>
        <v>P</v>
      </c>
      <c r="Y162" s="50" t="str">
        <f>MID(VLOOKUP($A162,Seqs!$A:$B,2,FALSE),VLOOKUP($A162,'SegEnds_NonXtal_Prot#'!A:AL,10,FALSE)+9,1)</f>
        <v>L</v>
      </c>
      <c r="Z162" s="50" t="str">
        <f>MID(VLOOKUP($A162,Seqs!$A:$B,2,FALSE),VLOOKUP($A162,'SegEnds_NonXtal_Prot#'!A:AL,10,FALSE)+10,1)</f>
        <v>R</v>
      </c>
      <c r="AA162" s="28" t="str">
        <f>MID(VLOOKUP($A162,Seqs!$A:$B,2,FALSE),VLOOKUP($A162,'SegEnds_NonXtal_Prot#'!$A:$AL,22,FALSE)+6,1)</f>
        <v>L</v>
      </c>
      <c r="AB162" s="50" t="str">
        <f>MID(VLOOKUP($A162,Seqs!$A:$B,2,FALSE),VLOOKUP($A162,'SegEnds_NonXtal_Prot#'!$A:$AL,22,FALSE)+7,1)</f>
        <v>N</v>
      </c>
      <c r="AC162" s="50" t="str">
        <f>MID(VLOOKUP($A162,Seqs!$A:$B,2,FALSE),VLOOKUP($A162,'SegEnds_NonXtal_Prot#'!$A:$AL,22,FALSE)+8,1)</f>
        <v>G</v>
      </c>
      <c r="AD162" s="50" t="str">
        <f>MID(VLOOKUP($A162,Seqs!$A:$B,2,FALSE),VLOOKUP($A162,'SegEnds_NonXtal_Prot#'!$A:$AL,22,FALSE)+9,1)</f>
        <v>H</v>
      </c>
      <c r="AE162" s="50" t="str">
        <f>MID(VLOOKUP($A162,Seqs!$A:$B,2,FALSE),VLOOKUP($A162,'SegEnds_NonXtal_Prot#'!$A:$AL,22,FALSE)+10,1)</f>
        <v>L</v>
      </c>
      <c r="AF162" s="28" t="str">
        <f>MID(VLOOKUP($A162,Seqs!$A:$B,2,FALSE),VLOOKUP($A162,'SegEnds_NonXtal_Prot#'!$A:$AL,28,FALSE)-4,1)</f>
        <v>E</v>
      </c>
      <c r="AG162" s="50" t="str">
        <f>MID(VLOOKUP($A162,Seqs!$A:$B,2,FALSE),VLOOKUP($A162,'SegEnds_NonXtal_Prot#'!$A:$AL,28,FALSE),1)</f>
        <v>P</v>
      </c>
    </row>
    <row r="163" spans="1:33" s="2" customFormat="1" x14ac:dyDescent="0.2">
      <c r="A163" s="2" t="s">
        <v>205</v>
      </c>
      <c r="B163" s="2" t="str">
        <f>LOWER(VLOOKUP(A163,Xtal_Templ!A:B,2,FALSE))</f>
        <v>oprk_human</v>
      </c>
      <c r="C163" s="2" t="str">
        <f>VLOOKUP(A163,Classification!A:D,2,FALSE)</f>
        <v>A</v>
      </c>
      <c r="D163" s="2" t="str">
        <f>IF(ISERROR(MATCH(A163,'SegEnds_Xtal_Prot#'!B:B, 0)), "NoXtal", "Xtal")</f>
        <v>NoXtal</v>
      </c>
      <c r="F163" s="2" t="s">
        <v>5</v>
      </c>
      <c r="G163" s="4"/>
      <c r="M163" s="2" t="s">
        <v>14</v>
      </c>
      <c r="Q163" s="2" t="s">
        <v>9</v>
      </c>
      <c r="S163" s="4" t="s">
        <v>12</v>
      </c>
      <c r="U163" s="28" t="str">
        <f>MID(VLOOKUP($A163,Seqs!$A:$B,2,FALSE),VLOOKUP($A163,'SegEnds_NonXtal_Prot#'!A:AL,10,FALSE),1)</f>
        <v>D</v>
      </c>
      <c r="V163" s="50" t="str">
        <f>MID(VLOOKUP($A163,Seqs!$A:$B,2,FALSE),VLOOKUP($A163,'SegEnds_NonXtal_Prot#'!A:AL,10,FALSE)+6,1)</f>
        <v>F</v>
      </c>
      <c r="W163" s="50" t="str">
        <f>MID(VLOOKUP($A163,Seqs!$A:$B,2,FALSE),VLOOKUP($A163,'SegEnds_NonXtal_Prot#'!A:AL,10,FALSE)+7,1)</f>
        <v>C</v>
      </c>
      <c r="X163" s="50" t="str">
        <f>MID(VLOOKUP($A163,Seqs!$A:$B,2,FALSE),VLOOKUP($A163,'SegEnds_NonXtal_Prot#'!A:AL,10,FALSE)+8,1)</f>
        <v>I</v>
      </c>
      <c r="Y163" s="50" t="str">
        <f>MID(VLOOKUP($A163,Seqs!$A:$B,2,FALSE),VLOOKUP($A163,'SegEnds_NonXtal_Prot#'!A:AL,10,FALSE)+9,1)</f>
        <v>P</v>
      </c>
      <c r="Z163" s="50" t="str">
        <f>MID(VLOOKUP($A163,Seqs!$A:$B,2,FALSE),VLOOKUP($A163,'SegEnds_NonXtal_Prot#'!A:AL,10,FALSE)+10,1)</f>
        <v>F</v>
      </c>
      <c r="AA163" s="28" t="str">
        <f>MID(VLOOKUP($A163,Seqs!$A:$B,2,FALSE),VLOOKUP($A163,'SegEnds_NonXtal_Prot#'!$A:$AL,22,FALSE)+6,1)</f>
        <v>M</v>
      </c>
      <c r="AB163" s="50" t="str">
        <f>MID(VLOOKUP($A163,Seqs!$A:$B,2,FALSE),VLOOKUP($A163,'SegEnds_NonXtal_Prot#'!$A:$AL,22,FALSE)+7,1)</f>
        <v>A</v>
      </c>
      <c r="AC163" s="50" t="str">
        <f>MID(VLOOKUP($A163,Seqs!$A:$B,2,FALSE),VLOOKUP($A163,'SegEnds_NonXtal_Prot#'!$A:$AL,22,FALSE)+8,1)</f>
        <v>S</v>
      </c>
      <c r="AD163" s="50" t="str">
        <f>MID(VLOOKUP($A163,Seqs!$A:$B,2,FALSE),VLOOKUP($A163,'SegEnds_NonXtal_Prot#'!$A:$AL,22,FALSE)+9,1)</f>
        <v>P</v>
      </c>
      <c r="AE163" s="50" t="str">
        <f>MID(VLOOKUP($A163,Seqs!$A:$B,2,FALSE),VLOOKUP($A163,'SegEnds_NonXtal_Prot#'!$A:$AL,22,FALSE)+10,1)</f>
        <v>V</v>
      </c>
      <c r="AF163" s="28" t="str">
        <f>MID(VLOOKUP($A163,Seqs!$A:$B,2,FALSE),VLOOKUP($A163,'SegEnds_NonXtal_Prot#'!$A:$AL,28,FALSE)-4,1)</f>
        <v>G</v>
      </c>
      <c r="AG163" s="50" t="str">
        <f>MID(VLOOKUP($A163,Seqs!$A:$B,2,FALSE),VLOOKUP($A163,'SegEnds_NonXtal_Prot#'!$A:$AL,28,FALSE),1)</f>
        <v>P</v>
      </c>
    </row>
    <row r="164" spans="1:33" s="2" customFormat="1" x14ac:dyDescent="0.2">
      <c r="A164" s="2" t="s">
        <v>206</v>
      </c>
      <c r="B164" s="2" t="str">
        <f>LOWER(VLOOKUP(A164,Xtal_Templ!A:B,2,FALSE))</f>
        <v>oprk_human</v>
      </c>
      <c r="C164" s="2" t="str">
        <f>VLOOKUP(A164,Classification!A:D,2,FALSE)</f>
        <v>A</v>
      </c>
      <c r="D164" s="2" t="str">
        <f>IF(ISERROR(MATCH(A164,'SegEnds_Xtal_Prot#'!B:B, 0)), "NoXtal", "Xtal")</f>
        <v>NoXtal</v>
      </c>
      <c r="F164" s="2" t="s">
        <v>5</v>
      </c>
      <c r="G164" s="4"/>
      <c r="M164" s="2" t="s">
        <v>14</v>
      </c>
      <c r="Q164" s="2" t="s">
        <v>9</v>
      </c>
      <c r="S164" s="4" t="s">
        <v>12</v>
      </c>
      <c r="U164" s="28" t="str">
        <f>MID(VLOOKUP($A164,Seqs!$A:$B,2,FALSE),VLOOKUP($A164,'SegEnds_NonXtal_Prot#'!A:AL,10,FALSE),1)</f>
        <v>D</v>
      </c>
      <c r="V164" s="50" t="str">
        <f>MID(VLOOKUP($A164,Seqs!$A:$B,2,FALSE),VLOOKUP($A164,'SegEnds_NonXtal_Prot#'!A:AL,10,FALSE)+6,1)</f>
        <v>C</v>
      </c>
      <c r="W164" s="50" t="str">
        <f>MID(VLOOKUP($A164,Seqs!$A:$B,2,FALSE),VLOOKUP($A164,'SegEnds_NonXtal_Prot#'!A:AL,10,FALSE)+7,1)</f>
        <v>C</v>
      </c>
      <c r="X164" s="50" t="str">
        <f>MID(VLOOKUP($A164,Seqs!$A:$B,2,FALSE),VLOOKUP($A164,'SegEnds_NonXtal_Prot#'!A:AL,10,FALSE)+8,1)</f>
        <v>V</v>
      </c>
      <c r="Y164" s="50" t="str">
        <f>MID(VLOOKUP($A164,Seqs!$A:$B,2,FALSE),VLOOKUP($A164,'SegEnds_NonXtal_Prot#'!A:AL,10,FALSE)+9,1)</f>
        <v>P</v>
      </c>
      <c r="Z164" s="50" t="str">
        <f>MID(VLOOKUP($A164,Seqs!$A:$B,2,FALSE),VLOOKUP($A164,'SegEnds_NonXtal_Prot#'!A:AL,10,FALSE)+10,1)</f>
        <v>F</v>
      </c>
      <c r="AA164" s="28" t="str">
        <f>MID(VLOOKUP($A164,Seqs!$A:$B,2,FALSE),VLOOKUP($A164,'SegEnds_NonXtal_Prot#'!$A:$AL,22,FALSE)+6,1)</f>
        <v>F</v>
      </c>
      <c r="AB164" s="50" t="str">
        <f>MID(VLOOKUP($A164,Seqs!$A:$B,2,FALSE),VLOOKUP($A164,'SegEnds_NonXtal_Prot#'!$A:$AL,22,FALSE)+7,1)</f>
        <v>S</v>
      </c>
      <c r="AC164" s="50" t="str">
        <f>MID(VLOOKUP($A164,Seqs!$A:$B,2,FALSE),VLOOKUP($A164,'SegEnds_NonXtal_Prot#'!$A:$AL,22,FALSE)+8,1)</f>
        <v>G</v>
      </c>
      <c r="AD164" s="50" t="str">
        <f>MID(VLOOKUP($A164,Seqs!$A:$B,2,FALSE),VLOOKUP($A164,'SegEnds_NonXtal_Prot#'!$A:$AL,22,FALSE)+9,1)</f>
        <v>P</v>
      </c>
      <c r="AE164" s="50" t="str">
        <f>MID(VLOOKUP($A164,Seqs!$A:$B,2,FALSE),VLOOKUP($A164,'SegEnds_NonXtal_Prot#'!$A:$AL,22,FALSE)+10,1)</f>
        <v>Y</v>
      </c>
      <c r="AF164" s="28" t="str">
        <f>MID(VLOOKUP($A164,Seqs!$A:$B,2,FALSE),VLOOKUP($A164,'SegEnds_NonXtal_Prot#'!$A:$AL,28,FALSE)-4,1)</f>
        <v>S</v>
      </c>
      <c r="AG164" s="50" t="str">
        <f>MID(VLOOKUP($A164,Seqs!$A:$B,2,FALSE),VLOOKUP($A164,'SegEnds_NonXtal_Prot#'!$A:$AL,28,FALSE),1)</f>
        <v>P</v>
      </c>
    </row>
    <row r="165" spans="1:33" s="2" customFormat="1" x14ac:dyDescent="0.2">
      <c r="A165" s="2" t="s">
        <v>207</v>
      </c>
      <c r="B165" s="2" t="str">
        <f>LOWER(VLOOKUP(A165,Xtal_Templ!A:B,2,FALSE))</f>
        <v>oprk_human</v>
      </c>
      <c r="C165" s="2" t="str">
        <f>VLOOKUP(A165,Classification!A:D,2,FALSE)</f>
        <v>A</v>
      </c>
      <c r="D165" s="2" t="str">
        <f>IF(ISERROR(MATCH(A165,'SegEnds_Xtal_Prot#'!B:B, 0)), "NoXtal", "Xtal")</f>
        <v>NoXtal</v>
      </c>
      <c r="F165" s="2" t="s">
        <v>5</v>
      </c>
      <c r="G165" s="4"/>
      <c r="M165" s="2" t="s">
        <v>14</v>
      </c>
      <c r="Q165" s="2" t="s">
        <v>9</v>
      </c>
      <c r="S165" s="4" t="s">
        <v>12</v>
      </c>
      <c r="U165" s="28" t="str">
        <f>MID(VLOOKUP($A165,Seqs!$A:$B,2,FALSE),VLOOKUP($A165,'SegEnds_NonXtal_Prot#'!A:AL,10,FALSE),1)</f>
        <v>D</v>
      </c>
      <c r="V165" s="50" t="str">
        <f>MID(VLOOKUP($A165,Seqs!$A:$B,2,FALSE),VLOOKUP($A165,'SegEnds_NonXtal_Prot#'!A:AL,10,FALSE)+6,1)</f>
        <v>C</v>
      </c>
      <c r="W165" s="50" t="str">
        <f>MID(VLOOKUP($A165,Seqs!$A:$B,2,FALSE),VLOOKUP($A165,'SegEnds_NonXtal_Prot#'!A:AL,10,FALSE)+7,1)</f>
        <v>C</v>
      </c>
      <c r="X165" s="50" t="str">
        <f>MID(VLOOKUP($A165,Seqs!$A:$B,2,FALSE),VLOOKUP($A165,'SegEnds_NonXtal_Prot#'!A:AL,10,FALSE)+8,1)</f>
        <v>V</v>
      </c>
      <c r="Y165" s="50" t="str">
        <f>MID(VLOOKUP($A165,Seqs!$A:$B,2,FALSE),VLOOKUP($A165,'SegEnds_NonXtal_Prot#'!A:AL,10,FALSE)+9,1)</f>
        <v>P</v>
      </c>
      <c r="Z165" s="50" t="str">
        <f>MID(VLOOKUP($A165,Seqs!$A:$B,2,FALSE),VLOOKUP($A165,'SegEnds_NonXtal_Prot#'!A:AL,10,FALSE)+10,1)</f>
        <v>F</v>
      </c>
      <c r="AA165" s="28" t="str">
        <f>MID(VLOOKUP($A165,Seqs!$A:$B,2,FALSE),VLOOKUP($A165,'SegEnds_NonXtal_Prot#'!$A:$AL,22,FALSE)+6,1)</f>
        <v>F</v>
      </c>
      <c r="AB165" s="50" t="str">
        <f>MID(VLOOKUP($A165,Seqs!$A:$B,2,FALSE),VLOOKUP($A165,'SegEnds_NonXtal_Prot#'!$A:$AL,22,FALSE)+7,1)</f>
        <v>S</v>
      </c>
      <c r="AC165" s="50" t="str">
        <f>MID(VLOOKUP($A165,Seqs!$A:$B,2,FALSE),VLOOKUP($A165,'SegEnds_NonXtal_Prot#'!$A:$AL,22,FALSE)+8,1)</f>
        <v>A</v>
      </c>
      <c r="AD165" s="50" t="str">
        <f>MID(VLOOKUP($A165,Seqs!$A:$B,2,FALSE),VLOOKUP($A165,'SegEnds_NonXtal_Prot#'!$A:$AL,22,FALSE)+9,1)</f>
        <v>P</v>
      </c>
      <c r="AE165" s="50" t="str">
        <f>MID(VLOOKUP($A165,Seqs!$A:$B,2,FALSE),VLOOKUP($A165,'SegEnds_NonXtal_Prot#'!$A:$AL,22,FALSE)+10,1)</f>
        <v>Y</v>
      </c>
      <c r="AF165" s="28" t="str">
        <f>MID(VLOOKUP($A165,Seqs!$A:$B,2,FALSE),VLOOKUP($A165,'SegEnds_NonXtal_Prot#'!$A:$AL,28,FALSE)-4,1)</f>
        <v>G</v>
      </c>
      <c r="AG165" s="50" t="str">
        <f>MID(VLOOKUP($A165,Seqs!$A:$B,2,FALSE),VLOOKUP($A165,'SegEnds_NonXtal_Prot#'!$A:$AL,28,FALSE),1)</f>
        <v>P</v>
      </c>
    </row>
    <row r="166" spans="1:33" s="2" customFormat="1" x14ac:dyDescent="0.2">
      <c r="A166" s="2" t="s">
        <v>210</v>
      </c>
      <c r="B166" s="2" t="str">
        <f>LOWER(VLOOKUP(A166,Xtal_Templ!A:B,2,FALSE))</f>
        <v>apj_human</v>
      </c>
      <c r="C166" s="2" t="str">
        <f>VLOOKUP(A166,Classification!A:D,2,FALSE)</f>
        <v>A</v>
      </c>
      <c r="D166" s="2" t="str">
        <f>IF(ISERROR(MATCH(A166,'SegEnds_Xtal_Prot#'!B:B, 0)), "NoXtal", "Xtal")</f>
        <v>NoXtal</v>
      </c>
      <c r="F166" s="109" t="s">
        <v>5</v>
      </c>
      <c r="M166" s="2" t="s">
        <v>14</v>
      </c>
      <c r="Q166" s="2" t="s">
        <v>9</v>
      </c>
      <c r="S166" s="4" t="s">
        <v>12</v>
      </c>
      <c r="U166" s="28" t="str">
        <f>MID(VLOOKUP($A166,Seqs!$A:$B,2,FALSE),VLOOKUP($A166,'SegEnds_NonXtal_Prot#'!A:AL,10,FALSE),1)</f>
        <v>N</v>
      </c>
      <c r="V166" s="50" t="str">
        <f>MID(VLOOKUP($A166,Seqs!$A:$B,2,FALSE),VLOOKUP($A166,'SegEnds_NonXtal_Prot#'!A:AL,10,FALSE)+6,1)</f>
        <v>I</v>
      </c>
      <c r="W166" s="50" t="str">
        <f>MID(VLOOKUP($A166,Seqs!$A:$B,2,FALSE),VLOOKUP($A166,'SegEnds_NonXtal_Prot#'!A:AL,10,FALSE)+7,1)</f>
        <v>V</v>
      </c>
      <c r="X166" s="50" t="str">
        <f>MID(VLOOKUP($A166,Seqs!$A:$B,2,FALSE),VLOOKUP($A166,'SegEnds_NonXtal_Prot#'!A:AL,10,FALSE)+8,1)</f>
        <v>M</v>
      </c>
      <c r="Y166" s="50" t="str">
        <f>MID(VLOOKUP($A166,Seqs!$A:$B,2,FALSE),VLOOKUP($A166,'SegEnds_NonXtal_Prot#'!A:AL,10,FALSE)+9,1)</f>
        <v>P</v>
      </c>
      <c r="Z166" s="50" t="str">
        <f>MID(VLOOKUP($A166,Seqs!$A:$B,2,FALSE),VLOOKUP($A166,'SegEnds_NonXtal_Prot#'!A:AL,10,FALSE)+10,1)</f>
        <v>L</v>
      </c>
      <c r="AA166" s="28" t="str">
        <f>MID(VLOOKUP($A166,Seqs!$A:$B,2,FALSE),VLOOKUP($A166,'SegEnds_NonXtal_Prot#'!$A:$AL,22,FALSE)+6,1)</f>
        <v>F</v>
      </c>
      <c r="AB166" s="50" t="str">
        <f>MID(VLOOKUP($A166,Seqs!$A:$B,2,FALSE),VLOOKUP($A166,'SegEnds_NonXtal_Prot#'!$A:$AL,22,FALSE)+7,1)</f>
        <v>A</v>
      </c>
      <c r="AC166" s="50" t="str">
        <f>MID(VLOOKUP($A166,Seqs!$A:$B,2,FALSE),VLOOKUP($A166,'SegEnds_NonXtal_Prot#'!$A:$AL,22,FALSE)+8,1)</f>
        <v>G</v>
      </c>
      <c r="AD166" s="50" t="str">
        <f>MID(VLOOKUP($A166,Seqs!$A:$B,2,FALSE),VLOOKUP($A166,'SegEnds_NonXtal_Prot#'!$A:$AL,22,FALSE)+9,1)</f>
        <v>P</v>
      </c>
      <c r="AE166" s="50" t="str">
        <f>MID(VLOOKUP($A166,Seqs!$A:$B,2,FALSE),VLOOKUP($A166,'SegEnds_NonXtal_Prot#'!$A:$AL,22,FALSE)+10,1)</f>
        <v>Q</v>
      </c>
      <c r="AF166" s="28" t="str">
        <f>MID(VLOOKUP($A166,Seqs!$A:$B,2,FALSE),VLOOKUP($A166,'SegEnds_NonXtal_Prot#'!$A:$AL,28,FALSE)-4,1)</f>
        <v>L</v>
      </c>
      <c r="AG166" s="50" t="str">
        <f>MID(VLOOKUP($A166,Seqs!$A:$B,2,FALSE),VLOOKUP($A166,'SegEnds_NonXtal_Prot#'!$A:$AL,28,FALSE),1)</f>
        <v>P</v>
      </c>
    </row>
    <row r="167" spans="1:33" s="2" customFormat="1" x14ac:dyDescent="0.2">
      <c r="A167" s="2" t="s">
        <v>337</v>
      </c>
      <c r="B167" s="2" t="str">
        <f>LOWER(VLOOKUP(A167,Xtal_Templ!A:B,2,FALSE))</f>
        <v>oprm_mouse</v>
      </c>
      <c r="C167" s="2" t="str">
        <f>VLOOKUP(A167,Classification!A:D,2,FALSE)</f>
        <v>A</v>
      </c>
      <c r="D167" s="2" t="str">
        <f>IF(ISERROR(MATCH(A167,'SegEnds_Xtal_Prot#'!B:B, 0)), "NoXtal", "Xtal")</f>
        <v>NoXtal</v>
      </c>
      <c r="G167" s="4"/>
      <c r="Q167" s="2" t="s">
        <v>9</v>
      </c>
      <c r="S167" s="4" t="s">
        <v>12</v>
      </c>
      <c r="U167" s="28" t="str">
        <f>MID(VLOOKUP($A167,Seqs!$A:$B,2,FALSE),VLOOKUP($A167,'SegEnds_NonXtal_Prot#'!A:AL,10,FALSE),1)</f>
        <v>D</v>
      </c>
      <c r="V167" s="50" t="str">
        <f>MID(VLOOKUP($A167,Seqs!$A:$B,2,FALSE),VLOOKUP($A167,'SegEnds_NonXtal_Prot#'!A:AL,10,FALSE)+6,1)</f>
        <v>T</v>
      </c>
      <c r="W167" s="50" t="str">
        <f>MID(VLOOKUP($A167,Seqs!$A:$B,2,FALSE),VLOOKUP($A167,'SegEnds_NonXtal_Prot#'!A:AL,10,FALSE)+7,1)</f>
        <v>L</v>
      </c>
      <c r="X167" s="50" t="str">
        <f>MID(VLOOKUP($A167,Seqs!$A:$B,2,FALSE),VLOOKUP($A167,'SegEnds_NonXtal_Prot#'!A:AL,10,FALSE)+8,1)</f>
        <v>P</v>
      </c>
      <c r="Y167" s="50" t="str">
        <f>MID(VLOOKUP($A167,Seqs!$A:$B,2,FALSE),VLOOKUP($A167,'SegEnds_NonXtal_Prot#'!A:AL,10,FALSE)+9,1)</f>
        <v>F</v>
      </c>
      <c r="Z167" s="50" t="str">
        <f>MID(VLOOKUP($A167,Seqs!$A:$B,2,FALSE),VLOOKUP($A167,'SegEnds_NonXtal_Prot#'!A:AL,10,FALSE)+10,1)</f>
        <v>Q</v>
      </c>
      <c r="AA167" s="28" t="str">
        <f>MID(VLOOKUP($A167,Seqs!$A:$B,2,FALSE),VLOOKUP($A167,'SegEnds_NonXtal_Prot#'!$A:$AL,22,FALSE)+6,1)</f>
        <v>I</v>
      </c>
      <c r="AB167" s="50" t="str">
        <f>MID(VLOOKUP($A167,Seqs!$A:$B,2,FALSE),VLOOKUP($A167,'SegEnds_NonXtal_Prot#'!$A:$AL,22,FALSE)+7,1)</f>
        <v>G</v>
      </c>
      <c r="AC167" s="50" t="str">
        <f>MID(VLOOKUP($A167,Seqs!$A:$B,2,FALSE),VLOOKUP($A167,'SegEnds_NonXtal_Prot#'!$A:$AL,22,FALSE)+8,1)</f>
        <v>L</v>
      </c>
      <c r="AD167" s="50" t="str">
        <f>MID(VLOOKUP($A167,Seqs!$A:$B,2,FALSE),VLOOKUP($A167,'SegEnds_NonXtal_Prot#'!$A:$AL,22,FALSE)+9,1)</f>
        <v>P</v>
      </c>
      <c r="AE167" s="50" t="str">
        <f>MID(VLOOKUP($A167,Seqs!$A:$B,2,FALSE),VLOOKUP($A167,'SegEnds_NonXtal_Prot#'!$A:$AL,22,FALSE)+10,1)</f>
        <v>V</v>
      </c>
      <c r="AF167" s="28" t="str">
        <f>MID(VLOOKUP($A167,Seqs!$A:$B,2,FALSE),VLOOKUP($A167,'SegEnds_NonXtal_Prot#'!$A:$AL,28,FALSE)-4,1)</f>
        <v>A</v>
      </c>
      <c r="AG167" s="50" t="str">
        <f>MID(VLOOKUP($A167,Seqs!$A:$B,2,FALSE),VLOOKUP($A167,'SegEnds_NonXtal_Prot#'!$A:$AL,28,FALSE),1)</f>
        <v>P</v>
      </c>
    </row>
    <row r="168" spans="1:33" s="2" customFormat="1" x14ac:dyDescent="0.2">
      <c r="A168" s="2" t="s">
        <v>918</v>
      </c>
      <c r="B168" s="2" t="str">
        <f>LOWER(VLOOKUP(A168,Xtal_Templ!A:B,2,FALSE))</f>
        <v>oprm_mouse</v>
      </c>
      <c r="C168" s="2" t="str">
        <f>VLOOKUP(A168,Classification!A:D,2,FALSE)</f>
        <v>A</v>
      </c>
      <c r="D168" s="2" t="str">
        <f>IF(ISERROR(MATCH(A168,'SegEnds_Xtal_Prot#'!B:B, 0)), "NoXtal", "Xtal")</f>
        <v>Xtal</v>
      </c>
      <c r="G168" s="4"/>
      <c r="Q168" s="2" t="s">
        <v>9</v>
      </c>
      <c r="S168" s="4" t="s">
        <v>12</v>
      </c>
      <c r="U168" s="28" t="str">
        <f>MID(VLOOKUP($A168,Seqs!$A:$B,2,FALSE),VLOOKUP($A168,'SegEnds_NonXtal_Prot#'!A:AL,10,FALSE),1)</f>
        <v>D</v>
      </c>
      <c r="V168" s="50" t="str">
        <f>MID(VLOOKUP($A168,Seqs!$A:$B,2,FALSE),VLOOKUP($A168,'SegEnds_NonXtal_Prot#'!A:AL,10,FALSE)+6,1)</f>
        <v>T</v>
      </c>
      <c r="W168" s="50" t="str">
        <f>MID(VLOOKUP($A168,Seqs!$A:$B,2,FALSE),VLOOKUP($A168,'SegEnds_NonXtal_Prot#'!A:AL,10,FALSE)+7,1)</f>
        <v>L</v>
      </c>
      <c r="X168" s="50" t="str">
        <f>MID(VLOOKUP($A168,Seqs!$A:$B,2,FALSE),VLOOKUP($A168,'SegEnds_NonXtal_Prot#'!A:AL,10,FALSE)+8,1)</f>
        <v>P</v>
      </c>
      <c r="Y168" s="50" t="str">
        <f>MID(VLOOKUP($A168,Seqs!$A:$B,2,FALSE),VLOOKUP($A168,'SegEnds_NonXtal_Prot#'!A:AL,10,FALSE)+9,1)</f>
        <v>F</v>
      </c>
      <c r="Z168" s="50" t="str">
        <f>MID(VLOOKUP($A168,Seqs!$A:$B,2,FALSE),VLOOKUP($A168,'SegEnds_NonXtal_Prot#'!A:AL,10,FALSE)+10,1)</f>
        <v>Q</v>
      </c>
      <c r="AA168" s="28" t="str">
        <f>MID(VLOOKUP($A168,Seqs!$A:$B,2,FALSE),VLOOKUP($A168,'SegEnds_NonXtal_Prot#'!$A:$AL,22,FALSE)+6,1)</f>
        <v>I</v>
      </c>
      <c r="AB168" s="50" t="str">
        <f>MID(VLOOKUP($A168,Seqs!$A:$B,2,FALSE),VLOOKUP($A168,'SegEnds_NonXtal_Prot#'!$A:$AL,22,FALSE)+7,1)</f>
        <v>G</v>
      </c>
      <c r="AC168" s="50" t="str">
        <f>MID(VLOOKUP($A168,Seqs!$A:$B,2,FALSE),VLOOKUP($A168,'SegEnds_NonXtal_Prot#'!$A:$AL,22,FALSE)+8,1)</f>
        <v>L</v>
      </c>
      <c r="AD168" s="50" t="str">
        <f>MID(VLOOKUP($A168,Seqs!$A:$B,2,FALSE),VLOOKUP($A168,'SegEnds_NonXtal_Prot#'!$A:$AL,22,FALSE)+9,1)</f>
        <v>P</v>
      </c>
      <c r="AE168" s="50" t="str">
        <f>MID(VLOOKUP($A168,Seqs!$A:$B,2,FALSE),VLOOKUP($A168,'SegEnds_NonXtal_Prot#'!$A:$AL,22,FALSE)+10,1)</f>
        <v>V</v>
      </c>
      <c r="AF168" s="28" t="str">
        <f>MID(VLOOKUP($A168,Seqs!$A:$B,2,FALSE),VLOOKUP($A168,'SegEnds_NonXtal_Prot#'!$A:$AL,28,FALSE)-4,1)</f>
        <v>A</v>
      </c>
      <c r="AG168" s="50" t="str">
        <f>MID(VLOOKUP($A168,Seqs!$A:$B,2,FALSE),VLOOKUP($A168,'SegEnds_NonXtal_Prot#'!$A:$AL,28,FALSE),1)</f>
        <v>P</v>
      </c>
    </row>
    <row r="169" spans="1:33" s="2" customFormat="1" x14ac:dyDescent="0.2">
      <c r="A169" s="2" t="s">
        <v>381</v>
      </c>
      <c r="B169" s="2" t="str">
        <f>LOWER(VLOOKUP(A169,Xtal_Templ!A:B,2,FALSE))</f>
        <v>oprk_human</v>
      </c>
      <c r="C169" s="2" t="str">
        <f>VLOOKUP(A169,Classification!A:D,2,FALSE)</f>
        <v>A</v>
      </c>
      <c r="D169" s="2" t="str">
        <f>IF(ISERROR(MATCH(A169,'SegEnds_Xtal_Prot#'!B:B, 0)), "NoXtal", "Xtal")</f>
        <v>NoXtal</v>
      </c>
      <c r="G169" s="4"/>
      <c r="M169" s="2" t="s">
        <v>14</v>
      </c>
      <c r="Q169" s="2" t="s">
        <v>9</v>
      </c>
      <c r="S169" s="4" t="s">
        <v>12</v>
      </c>
      <c r="U169" s="28" t="str">
        <f>MID(VLOOKUP($A169,Seqs!$A:$B,2,FALSE),VLOOKUP($A169,'SegEnds_NonXtal_Prot#'!A:AL,10,FALSE),1)</f>
        <v>D</v>
      </c>
      <c r="V169" s="50" t="str">
        <f>MID(VLOOKUP($A169,Seqs!$A:$B,2,FALSE),VLOOKUP($A169,'SegEnds_NonXtal_Prot#'!A:AL,10,FALSE)+6,1)</f>
        <v>S</v>
      </c>
      <c r="W169" s="50" t="str">
        <f>MID(VLOOKUP($A169,Seqs!$A:$B,2,FALSE),VLOOKUP($A169,'SegEnds_NonXtal_Prot#'!A:AL,10,FALSE)+7,1)</f>
        <v>V</v>
      </c>
      <c r="X169" s="50" t="str">
        <f>MID(VLOOKUP($A169,Seqs!$A:$B,2,FALSE),VLOOKUP($A169,'SegEnds_NonXtal_Prot#'!A:AL,10,FALSE)+8,1)</f>
        <v>P</v>
      </c>
      <c r="Y169" s="50" t="str">
        <f>MID(VLOOKUP($A169,Seqs!$A:$B,2,FALSE),VLOOKUP($A169,'SegEnds_NonXtal_Prot#'!A:AL,10,FALSE)+9,1)</f>
        <v>F</v>
      </c>
      <c r="Z169" s="50" t="str">
        <f>MID(VLOOKUP($A169,Seqs!$A:$B,2,FALSE),VLOOKUP($A169,'SegEnds_NonXtal_Prot#'!A:AL,10,FALSE)+10,1)</f>
        <v>L</v>
      </c>
      <c r="AA169" s="28" t="str">
        <f>MID(VLOOKUP($A169,Seqs!$A:$B,2,FALSE),VLOOKUP($A169,'SegEnds_NonXtal_Prot#'!$A:$AL,22,FALSE)+6,1)</f>
        <v>V</v>
      </c>
      <c r="AB169" s="50" t="str">
        <f>MID(VLOOKUP($A169,Seqs!$A:$B,2,FALSE),VLOOKUP($A169,'SegEnds_NonXtal_Prot#'!$A:$AL,22,FALSE)+7,1)</f>
        <v>I</v>
      </c>
      <c r="AC169" s="50" t="str">
        <f>MID(VLOOKUP($A169,Seqs!$A:$B,2,FALSE),VLOOKUP($A169,'SegEnds_NonXtal_Prot#'!$A:$AL,22,FALSE)+8,1)</f>
        <v>L</v>
      </c>
      <c r="AD169" s="50" t="str">
        <f>MID(VLOOKUP($A169,Seqs!$A:$B,2,FALSE),VLOOKUP($A169,'SegEnds_NonXtal_Prot#'!$A:$AL,22,FALSE)+9,1)</f>
        <v>P</v>
      </c>
      <c r="AE169" s="50" t="str">
        <f>MID(VLOOKUP($A169,Seqs!$A:$B,2,FALSE),VLOOKUP($A169,'SegEnds_NonXtal_Prot#'!$A:$AL,22,FALSE)+10,1)</f>
        <v>I</v>
      </c>
      <c r="AF169" s="28" t="str">
        <f>MID(VLOOKUP($A169,Seqs!$A:$B,2,FALSE),VLOOKUP($A169,'SegEnds_NonXtal_Prot#'!$A:$AL,28,FALSE)-4,1)</f>
        <v>G</v>
      </c>
      <c r="AG169" s="50" t="str">
        <f>MID(VLOOKUP($A169,Seqs!$A:$B,2,FALSE),VLOOKUP($A169,'SegEnds_NonXtal_Prot#'!$A:$AL,28,FALSE),1)</f>
        <v>P</v>
      </c>
    </row>
    <row r="170" spans="1:33" s="2" customFormat="1" x14ac:dyDescent="0.2">
      <c r="A170" s="2" t="s">
        <v>382</v>
      </c>
      <c r="B170" s="2" t="str">
        <f>LOWER(VLOOKUP(A170,Xtal_Templ!A:B,2,FALSE))</f>
        <v>oprk_human</v>
      </c>
      <c r="C170" s="2" t="str">
        <f>VLOOKUP(A170,Classification!A:D,2,FALSE)</f>
        <v>A</v>
      </c>
      <c r="D170" s="2" t="str">
        <f>IF(ISERROR(MATCH(A170,'SegEnds_Xtal_Prot#'!B:B, 0)), "NoXtal", "Xtal")</f>
        <v>NoXtal</v>
      </c>
      <c r="G170" s="4"/>
      <c r="M170" s="2" t="s">
        <v>14</v>
      </c>
      <c r="Q170" s="2" t="s">
        <v>9</v>
      </c>
      <c r="S170" s="4" t="s">
        <v>12</v>
      </c>
      <c r="U170" s="28" t="str">
        <f>MID(VLOOKUP($A170,Seqs!$A:$B,2,FALSE),VLOOKUP($A170,'SegEnds_NonXtal_Prot#'!A:AL,10,FALSE),1)</f>
        <v>D</v>
      </c>
      <c r="V170" s="50" t="str">
        <f>MID(VLOOKUP($A170,Seqs!$A:$B,2,FALSE),VLOOKUP($A170,'SegEnds_NonXtal_Prot#'!A:AL,10,FALSE)+6,1)</f>
        <v>G</v>
      </c>
      <c r="W170" s="50" t="str">
        <f>MID(VLOOKUP($A170,Seqs!$A:$B,2,FALSE),VLOOKUP($A170,'SegEnds_NonXtal_Prot#'!A:AL,10,FALSE)+7,1)</f>
        <v>L</v>
      </c>
      <c r="X170" s="50" t="str">
        <f>MID(VLOOKUP($A170,Seqs!$A:$B,2,FALSE),VLOOKUP($A170,'SegEnds_NonXtal_Prot#'!A:AL,10,FALSE)+8,1)</f>
        <v>P</v>
      </c>
      <c r="Y170" s="50" t="str">
        <f>MID(VLOOKUP($A170,Seqs!$A:$B,2,FALSE),VLOOKUP($A170,'SegEnds_NonXtal_Prot#'!A:AL,10,FALSE)+9,1)</f>
        <v>F</v>
      </c>
      <c r="Z170" s="50" t="str">
        <f>MID(VLOOKUP($A170,Seqs!$A:$B,2,FALSE),VLOOKUP($A170,'SegEnds_NonXtal_Prot#'!A:AL,10,FALSE)+10,1)</f>
        <v>L</v>
      </c>
      <c r="AA170" s="28" t="str">
        <f>MID(VLOOKUP($A170,Seqs!$A:$B,2,FALSE),VLOOKUP($A170,'SegEnds_NonXtal_Prot#'!$A:$AL,22,FALSE)+6,1)</f>
        <v>V</v>
      </c>
      <c r="AB170" s="50" t="str">
        <f>MID(VLOOKUP($A170,Seqs!$A:$B,2,FALSE),VLOOKUP($A170,'SegEnds_NonXtal_Prot#'!$A:$AL,22,FALSE)+7,1)</f>
        <v>I</v>
      </c>
      <c r="AC170" s="50" t="str">
        <f>MID(VLOOKUP($A170,Seqs!$A:$B,2,FALSE),VLOOKUP($A170,'SegEnds_NonXtal_Prot#'!$A:$AL,22,FALSE)+8,1)</f>
        <v>L</v>
      </c>
      <c r="AD170" s="50" t="str">
        <f>MID(VLOOKUP($A170,Seqs!$A:$B,2,FALSE),VLOOKUP($A170,'SegEnds_NonXtal_Prot#'!$A:$AL,22,FALSE)+9,1)</f>
        <v>P</v>
      </c>
      <c r="AE170" s="50" t="str">
        <f>MID(VLOOKUP($A170,Seqs!$A:$B,2,FALSE),VLOOKUP($A170,'SegEnds_NonXtal_Prot#'!$A:$AL,22,FALSE)+10,1)</f>
        <v>I</v>
      </c>
      <c r="AF170" s="28" t="str">
        <f>MID(VLOOKUP($A170,Seqs!$A:$B,2,FALSE),VLOOKUP($A170,'SegEnds_NonXtal_Prot#'!$A:$AL,28,FALSE)-4,1)</f>
        <v>G</v>
      </c>
      <c r="AG170" s="50" t="str">
        <f>MID(VLOOKUP($A170,Seqs!$A:$B,2,FALSE),VLOOKUP($A170,'SegEnds_NonXtal_Prot#'!$A:$AL,28,FALSE),1)</f>
        <v>P</v>
      </c>
    </row>
    <row r="171" spans="1:33" s="2" customFormat="1" x14ac:dyDescent="0.2">
      <c r="A171" s="2" t="s">
        <v>385</v>
      </c>
      <c r="B171" s="2" t="str">
        <f>LOWER(VLOOKUP(A171,Xtal_Templ!A:B,2,FALSE))</f>
        <v>oprk_human</v>
      </c>
      <c r="C171" s="2" t="str">
        <f>VLOOKUP(A171,Classification!A:D,2,FALSE)</f>
        <v>A</v>
      </c>
      <c r="D171" s="2" t="str">
        <f>IF(ISERROR(MATCH(A171,'SegEnds_Xtal_Prot#'!B:B, 0)), "NoXtal", "Xtal")</f>
        <v>NoXtal</v>
      </c>
      <c r="G171" s="4"/>
      <c r="M171" s="2" t="s">
        <v>14</v>
      </c>
      <c r="Q171" s="2" t="s">
        <v>9</v>
      </c>
      <c r="S171" s="4" t="s">
        <v>12</v>
      </c>
      <c r="U171" s="28" t="str">
        <f>MID(VLOOKUP($A171,Seqs!$A:$B,2,FALSE),VLOOKUP($A171,'SegEnds_NonXtal_Prot#'!A:AL,10,FALSE),1)</f>
        <v>D</v>
      </c>
      <c r="V171" s="50" t="str">
        <f>MID(VLOOKUP($A171,Seqs!$A:$B,2,FALSE),VLOOKUP($A171,'SegEnds_NonXtal_Prot#'!A:AL,10,FALSE)+6,1)</f>
        <v>G</v>
      </c>
      <c r="W171" s="50" t="str">
        <f>MID(VLOOKUP($A171,Seqs!$A:$B,2,FALSE),VLOOKUP($A171,'SegEnds_NonXtal_Prot#'!A:AL,10,FALSE)+7,1)</f>
        <v>L</v>
      </c>
      <c r="X171" s="50" t="str">
        <f>MID(VLOOKUP($A171,Seqs!$A:$B,2,FALSE),VLOOKUP($A171,'SegEnds_NonXtal_Prot#'!A:AL,10,FALSE)+8,1)</f>
        <v>P</v>
      </c>
      <c r="Y171" s="50" t="str">
        <f>MID(VLOOKUP($A171,Seqs!$A:$B,2,FALSE),VLOOKUP($A171,'SegEnds_NonXtal_Prot#'!A:AL,10,FALSE)+9,1)</f>
        <v>F</v>
      </c>
      <c r="Z171" s="50" t="str">
        <f>MID(VLOOKUP($A171,Seqs!$A:$B,2,FALSE),VLOOKUP($A171,'SegEnds_NonXtal_Prot#'!A:AL,10,FALSE)+10,1)</f>
        <v>L</v>
      </c>
      <c r="AA171" s="28" t="str">
        <f>MID(VLOOKUP($A171,Seqs!$A:$B,2,FALSE),VLOOKUP($A171,'SegEnds_NonXtal_Prot#'!$A:$AL,22,FALSE)+6,1)</f>
        <v>M</v>
      </c>
      <c r="AB171" s="50" t="str">
        <f>MID(VLOOKUP($A171,Seqs!$A:$B,2,FALSE),VLOOKUP($A171,'SegEnds_NonXtal_Prot#'!$A:$AL,22,FALSE)+7,1)</f>
        <v>S</v>
      </c>
      <c r="AC171" s="50" t="str">
        <f>MID(VLOOKUP($A171,Seqs!$A:$B,2,FALSE),VLOOKUP($A171,'SegEnds_NonXtal_Prot#'!$A:$AL,22,FALSE)+8,1)</f>
        <v>L</v>
      </c>
      <c r="AD171" s="50" t="str">
        <f>MID(VLOOKUP($A171,Seqs!$A:$B,2,FALSE),VLOOKUP($A171,'SegEnds_NonXtal_Prot#'!$A:$AL,22,FALSE)+9,1)</f>
        <v>P</v>
      </c>
      <c r="AE171" s="50" t="str">
        <f>MID(VLOOKUP($A171,Seqs!$A:$B,2,FALSE),VLOOKUP($A171,'SegEnds_NonXtal_Prot#'!$A:$AL,22,FALSE)+10,1)</f>
        <v>L</v>
      </c>
      <c r="AF171" s="28" t="str">
        <f>MID(VLOOKUP($A171,Seqs!$A:$B,2,FALSE),VLOOKUP($A171,'SegEnds_NonXtal_Prot#'!$A:$AL,28,FALSE)-4,1)</f>
        <v>G</v>
      </c>
      <c r="AG171" s="50" t="str">
        <f>MID(VLOOKUP($A171,Seqs!$A:$B,2,FALSE),VLOOKUP($A171,'SegEnds_NonXtal_Prot#'!$A:$AL,28,FALSE),1)</f>
        <v>P</v>
      </c>
    </row>
    <row r="172" spans="1:33" s="2" customFormat="1" x14ac:dyDescent="0.2">
      <c r="A172" s="2" t="s">
        <v>397</v>
      </c>
      <c r="B172" s="2" t="str">
        <f>LOWER(VLOOKUP(A172,Xtal_Templ!A:B,2,FALSE))</f>
        <v>ox2r_human</v>
      </c>
      <c r="C172" s="2" t="str">
        <f>VLOOKUP(A172,Classification!A:D,2,FALSE)</f>
        <v>A</v>
      </c>
      <c r="D172" s="2" t="str">
        <f>IF(ISERROR(MATCH(A172,'SegEnds_Xtal_Prot#'!B:B, 0)), "NoXtal", "Xtal")</f>
        <v>NoXtal</v>
      </c>
      <c r="G172" s="4"/>
      <c r="M172" s="2" t="s">
        <v>14</v>
      </c>
      <c r="Q172" s="2" t="s">
        <v>9</v>
      </c>
      <c r="S172" s="4" t="s">
        <v>12</v>
      </c>
      <c r="U172" s="28" t="str">
        <f>MID(VLOOKUP($A172,Seqs!$A:$B,2,FALSE),VLOOKUP($A172,'SegEnds_NonXtal_Prot#'!A:AL,10,FALSE),1)</f>
        <v>D</v>
      </c>
      <c r="V172" s="50" t="str">
        <f>MID(VLOOKUP($A172,Seqs!$A:$B,2,FALSE),VLOOKUP($A172,'SegEnds_NonXtal_Prot#'!A:AL,10,FALSE)+6,1)</f>
        <v>F</v>
      </c>
      <c r="W172" s="50" t="str">
        <f>MID(VLOOKUP($A172,Seqs!$A:$B,2,FALSE),VLOOKUP($A172,'SegEnds_NonXtal_Prot#'!A:AL,10,FALSE)+7,1)</f>
        <v>Q</v>
      </c>
      <c r="X172" s="50" t="str">
        <f>MID(VLOOKUP($A172,Seqs!$A:$B,2,FALSE),VLOOKUP($A172,'SegEnds_NonXtal_Prot#'!A:AL,10,FALSE)+8,1)</f>
        <v>V</v>
      </c>
      <c r="Y172" s="50" t="str">
        <f>MID(VLOOKUP($A172,Seqs!$A:$B,2,FALSE),VLOOKUP($A172,'SegEnds_NonXtal_Prot#'!A:AL,10,FALSE)+9,1)</f>
        <v>L</v>
      </c>
      <c r="Z172" s="50" t="str">
        <f>MID(VLOOKUP($A172,Seqs!$A:$B,2,FALSE),VLOOKUP($A172,'SegEnds_NonXtal_Prot#'!A:AL,10,FALSE)+10,1)</f>
        <v>P</v>
      </c>
      <c r="AA172" s="28" t="str">
        <f>MID(VLOOKUP($A172,Seqs!$A:$B,2,FALSE),VLOOKUP($A172,'SegEnds_NonXtal_Prot#'!$A:$AL,22,FALSE)+6,1)</f>
        <v>L</v>
      </c>
      <c r="AB172" s="50" t="str">
        <f>MID(VLOOKUP($A172,Seqs!$A:$B,2,FALSE),VLOOKUP($A172,'SegEnds_NonXtal_Prot#'!$A:$AL,22,FALSE)+7,1)</f>
        <v>S</v>
      </c>
      <c r="AC172" s="50" t="str">
        <f>MID(VLOOKUP($A172,Seqs!$A:$B,2,FALSE),VLOOKUP($A172,'SegEnds_NonXtal_Prot#'!$A:$AL,22,FALSE)+8,1)</f>
        <v>T</v>
      </c>
      <c r="AD172" s="50" t="str">
        <f>MID(VLOOKUP($A172,Seqs!$A:$B,2,FALSE),VLOOKUP($A172,'SegEnds_NonXtal_Prot#'!$A:$AL,22,FALSE)+9,1)</f>
        <v>P</v>
      </c>
      <c r="AE172" s="50" t="str">
        <f>MID(VLOOKUP($A172,Seqs!$A:$B,2,FALSE),VLOOKUP($A172,'SegEnds_NonXtal_Prot#'!$A:$AL,22,FALSE)+10,1)</f>
        <v>Q</v>
      </c>
      <c r="AF172" s="28" t="str">
        <f>MID(VLOOKUP($A172,Seqs!$A:$B,2,FALSE),VLOOKUP($A172,'SegEnds_NonXtal_Prot#'!$A:$AL,28,FALSE)-4,1)</f>
        <v>I</v>
      </c>
      <c r="AG172" s="50" t="str">
        <f>MID(VLOOKUP($A172,Seqs!$A:$B,2,FALSE),VLOOKUP($A172,'SegEnds_NonXtal_Prot#'!$A:$AL,28,FALSE),1)</f>
        <v>P</v>
      </c>
    </row>
    <row r="173" spans="1:33" s="2" customFormat="1" x14ac:dyDescent="0.2">
      <c r="A173" s="2" t="s">
        <v>217</v>
      </c>
      <c r="B173" s="2" t="str">
        <f>LOWER(VLOOKUP(A173,Xtal_Templ!A:B,2,FALSE))</f>
        <v>hrh1_human</v>
      </c>
      <c r="C173" s="2" t="str">
        <f>VLOOKUP(A173,Classification!A:D,2,FALSE)</f>
        <v>A</v>
      </c>
      <c r="D173" s="2" t="str">
        <f>IF(ISERROR(MATCH(A173,'SegEnds_Xtal_Prot#'!B:B, 0)), "NoXtal", "Xtal")</f>
        <v>NoXtal</v>
      </c>
      <c r="G173" s="4"/>
      <c r="M173" s="2" t="s">
        <v>14</v>
      </c>
      <c r="S173" s="4" t="s">
        <v>12</v>
      </c>
      <c r="U173" s="28" t="str">
        <f>MID(VLOOKUP($A173,Seqs!$A:$B,2,FALSE),VLOOKUP($A173,'SegEnds_NonXtal_Prot#'!A:AL,10,FALSE),1)</f>
        <v>H</v>
      </c>
      <c r="V173" s="50" t="str">
        <f>MID(VLOOKUP($A173,Seqs!$A:$B,2,FALSE),VLOOKUP($A173,'SegEnds_NonXtal_Prot#'!A:AL,10,FALSE)+6,1)</f>
        <v>T</v>
      </c>
      <c r="W173" s="50" t="str">
        <f>MID(VLOOKUP($A173,Seqs!$A:$B,2,FALSE),VLOOKUP($A173,'SegEnds_NonXtal_Prot#'!A:AL,10,FALSE)+7,1)</f>
        <v>V</v>
      </c>
      <c r="X173" s="50" t="str">
        <f>MID(VLOOKUP($A173,Seqs!$A:$B,2,FALSE),VLOOKUP($A173,'SegEnds_NonXtal_Prot#'!A:AL,10,FALSE)+8,1)</f>
        <v>P</v>
      </c>
      <c r="Y173" s="50" t="str">
        <f>MID(VLOOKUP($A173,Seqs!$A:$B,2,FALSE),VLOOKUP($A173,'SegEnds_NonXtal_Prot#'!A:AL,10,FALSE)+9,1)</f>
        <v>F</v>
      </c>
      <c r="Z173" s="50" t="str">
        <f>MID(VLOOKUP($A173,Seqs!$A:$B,2,FALSE),VLOOKUP($A173,'SegEnds_NonXtal_Prot#'!A:AL,10,FALSE)+10,1)</f>
        <v>R</v>
      </c>
      <c r="AA173" s="28" t="str">
        <f>MID(VLOOKUP($A173,Seqs!$A:$B,2,FALSE),VLOOKUP($A173,'SegEnds_NonXtal_Prot#'!$A:$AL,22,FALSE)+6,1)</f>
        <v>I</v>
      </c>
      <c r="AB173" s="50" t="str">
        <f>MID(VLOOKUP($A173,Seqs!$A:$B,2,FALSE),VLOOKUP($A173,'SegEnds_NonXtal_Prot#'!$A:$AL,22,FALSE)+7,1)</f>
        <v>V</v>
      </c>
      <c r="AC173" s="50" t="str">
        <f>MID(VLOOKUP($A173,Seqs!$A:$B,2,FALSE),VLOOKUP($A173,'SegEnds_NonXtal_Prot#'!$A:$AL,22,FALSE)+8,1)</f>
        <v>V</v>
      </c>
      <c r="AD173" s="50" t="str">
        <f>MID(VLOOKUP($A173,Seqs!$A:$B,2,FALSE),VLOOKUP($A173,'SegEnds_NonXtal_Prot#'!$A:$AL,22,FALSE)+9,1)</f>
        <v>P</v>
      </c>
      <c r="AE173" s="50" t="str">
        <f>MID(VLOOKUP($A173,Seqs!$A:$B,2,FALSE),VLOOKUP($A173,'SegEnds_NonXtal_Prot#'!$A:$AL,22,FALSE)+10,1)</f>
        <v>L</v>
      </c>
      <c r="AF173" s="28" t="str">
        <f>MID(VLOOKUP($A173,Seqs!$A:$B,2,FALSE),VLOOKUP($A173,'SegEnds_NonXtal_Prot#'!$A:$AL,28,FALSE)-4,1)</f>
        <v>V</v>
      </c>
      <c r="AG173" s="50" t="str">
        <f>MID(VLOOKUP($A173,Seqs!$A:$B,2,FALSE),VLOOKUP($A173,'SegEnds_NonXtal_Prot#'!$A:$AL,28,FALSE),1)</f>
        <v>L</v>
      </c>
    </row>
    <row r="174" spans="1:33" s="2" customFormat="1" x14ac:dyDescent="0.2">
      <c r="A174" s="2" t="s">
        <v>218</v>
      </c>
      <c r="B174" s="2" t="str">
        <f>LOWER(VLOOKUP(A174,Xtal_Templ!A:B,2,FALSE))</f>
        <v>5ht2b_human</v>
      </c>
      <c r="C174" s="2" t="str">
        <f>VLOOKUP(A174,Classification!A:D,2,FALSE)</f>
        <v>A</v>
      </c>
      <c r="D174" s="2" t="str">
        <f>IF(ISERROR(MATCH(A174,'SegEnds_Xtal_Prot#'!B:B, 0)), "NoXtal", "Xtal")</f>
        <v>NoXtal</v>
      </c>
      <c r="G174" s="4"/>
      <c r="Q174" s="2" t="s">
        <v>9</v>
      </c>
      <c r="S174" s="4" t="s">
        <v>12</v>
      </c>
      <c r="U174" s="28" t="str">
        <f>MID(VLOOKUP($A174,Seqs!$A:$B,2,FALSE),VLOOKUP($A174,'SegEnds_NonXtal_Prot#'!A:AL,10,FALSE),1)</f>
        <v>D</v>
      </c>
      <c r="V174" s="50" t="str">
        <f>MID(VLOOKUP($A174,Seqs!$A:$B,2,FALSE),VLOOKUP($A174,'SegEnds_NonXtal_Prot#'!A:AL,10,FALSE)+6,1)</f>
        <v>V</v>
      </c>
      <c r="W174" s="50" t="str">
        <f>MID(VLOOKUP($A174,Seqs!$A:$B,2,FALSE),VLOOKUP($A174,'SegEnds_NonXtal_Prot#'!A:AL,10,FALSE)+7,1)</f>
        <v>I</v>
      </c>
      <c r="X174" s="50" t="str">
        <f>MID(VLOOKUP($A174,Seqs!$A:$B,2,FALSE),VLOOKUP($A174,'SegEnds_NonXtal_Prot#'!A:AL,10,FALSE)+8,1)</f>
        <v>V</v>
      </c>
      <c r="Y174" s="50" t="str">
        <f>MID(VLOOKUP($A174,Seqs!$A:$B,2,FALSE),VLOOKUP($A174,'SegEnds_NonXtal_Prot#'!A:AL,10,FALSE)+9,1)</f>
        <v>F</v>
      </c>
      <c r="Z174" s="50" t="str">
        <f>MID(VLOOKUP($A174,Seqs!$A:$B,2,FALSE),VLOOKUP($A174,'SegEnds_NonXtal_Prot#'!A:AL,10,FALSE)+10,1)</f>
        <v>A</v>
      </c>
      <c r="AA174" s="28" t="str">
        <f>MID(VLOOKUP($A174,Seqs!$A:$B,2,FALSE),VLOOKUP($A174,'SegEnds_NonXtal_Prot#'!$A:$AL,22,FALSE)+6,1)</f>
        <v>L</v>
      </c>
      <c r="AB174" s="50" t="str">
        <f>MID(VLOOKUP($A174,Seqs!$A:$B,2,FALSE),VLOOKUP($A174,'SegEnds_NonXtal_Prot#'!$A:$AL,22,FALSE)+7,1)</f>
        <v>T</v>
      </c>
      <c r="AC174" s="50" t="str">
        <f>MID(VLOOKUP($A174,Seqs!$A:$B,2,FALSE),VLOOKUP($A174,'SegEnds_NonXtal_Prot#'!$A:$AL,22,FALSE)+8,1)</f>
        <v>G</v>
      </c>
      <c r="AD174" s="50" t="str">
        <f>MID(VLOOKUP($A174,Seqs!$A:$B,2,FALSE),VLOOKUP($A174,'SegEnds_NonXtal_Prot#'!$A:$AL,22,FALSE)+9,1)</f>
        <v>I</v>
      </c>
      <c r="AE174" s="50" t="str">
        <f>MID(VLOOKUP($A174,Seqs!$A:$B,2,FALSE),VLOOKUP($A174,'SegEnds_NonXtal_Prot#'!$A:$AL,22,FALSE)+10,1)</f>
        <v>P</v>
      </c>
      <c r="AF174" s="28" t="str">
        <f>MID(VLOOKUP($A174,Seqs!$A:$B,2,FALSE),VLOOKUP($A174,'SegEnds_NonXtal_Prot#'!$A:$AL,28,FALSE)-4,1)</f>
        <v>V</v>
      </c>
      <c r="AG174" s="50" t="str">
        <f>MID(VLOOKUP($A174,Seqs!$A:$B,2,FALSE),VLOOKUP($A174,'SegEnds_NonXtal_Prot#'!$A:$AL,28,FALSE),1)</f>
        <v>P</v>
      </c>
    </row>
    <row r="175" spans="1:33" s="2" customFormat="1" x14ac:dyDescent="0.2">
      <c r="A175" s="2" t="s">
        <v>282</v>
      </c>
      <c r="B175" s="2" t="str">
        <f>LOWER(VLOOKUP(A175,Xtal_Templ!A:B,2,FALSE))</f>
        <v>oprk_human</v>
      </c>
      <c r="C175" s="2" t="str">
        <f>VLOOKUP(A175,Classification!A:D,2,FALSE)</f>
        <v>A</v>
      </c>
      <c r="D175" s="2" t="str">
        <f>IF(ISERROR(MATCH(A175,'SegEnds_Xtal_Prot#'!B:B, 0)), "NoXtal", "Xtal")</f>
        <v>NoXtal</v>
      </c>
      <c r="F175" s="2" t="s">
        <v>5</v>
      </c>
      <c r="G175" s="4"/>
      <c r="M175" s="2" t="s">
        <v>14</v>
      </c>
      <c r="Q175" s="2" t="s">
        <v>9</v>
      </c>
      <c r="S175" s="4" t="s">
        <v>12</v>
      </c>
      <c r="U175" s="28" t="str">
        <f>MID(VLOOKUP($A175,Seqs!$A:$B,2,FALSE),VLOOKUP($A175,'SegEnds_NonXtal_Prot#'!A:AL,10,FALSE),1)</f>
        <v>D</v>
      </c>
      <c r="V175" s="50" t="str">
        <f>MID(VLOOKUP($A175,Seqs!$A:$B,2,FALSE),VLOOKUP($A175,'SegEnds_NonXtal_Prot#'!A:AL,10,FALSE)+6,1)</f>
        <v>C</v>
      </c>
      <c r="W175" s="50" t="str">
        <f>MID(VLOOKUP($A175,Seqs!$A:$B,2,FALSE),VLOOKUP($A175,'SegEnds_NonXtal_Prot#'!A:AL,10,FALSE)+7,1)</f>
        <v>C</v>
      </c>
      <c r="X175" s="50" t="str">
        <f>MID(VLOOKUP($A175,Seqs!$A:$B,2,FALSE),VLOOKUP($A175,'SegEnds_NonXtal_Prot#'!A:AL,10,FALSE)+8,1)</f>
        <v>V</v>
      </c>
      <c r="Y175" s="50" t="str">
        <f>MID(VLOOKUP($A175,Seqs!$A:$B,2,FALSE),VLOOKUP($A175,'SegEnds_NonXtal_Prot#'!A:AL,10,FALSE)+9,1)</f>
        <v>P</v>
      </c>
      <c r="Z175" s="50" t="str">
        <f>MID(VLOOKUP($A175,Seqs!$A:$B,2,FALSE),VLOOKUP($A175,'SegEnds_NonXtal_Prot#'!A:AL,10,FALSE)+10,1)</f>
        <v>F</v>
      </c>
      <c r="AA175" s="28" t="str">
        <f>MID(VLOOKUP($A175,Seqs!$A:$B,2,FALSE),VLOOKUP($A175,'SegEnds_NonXtal_Prot#'!$A:$AL,22,FALSE)+6,1)</f>
        <v>V</v>
      </c>
      <c r="AB175" s="50" t="str">
        <f>MID(VLOOKUP($A175,Seqs!$A:$B,2,FALSE),VLOOKUP($A175,'SegEnds_NonXtal_Prot#'!$A:$AL,22,FALSE)+7,1)</f>
        <v>S</v>
      </c>
      <c r="AC175" s="50" t="str">
        <f>MID(VLOOKUP($A175,Seqs!$A:$B,2,FALSE),VLOOKUP($A175,'SegEnds_NonXtal_Prot#'!$A:$AL,22,FALSE)+8,1)</f>
        <v>A</v>
      </c>
      <c r="AD175" s="50" t="str">
        <f>MID(VLOOKUP($A175,Seqs!$A:$B,2,FALSE),VLOOKUP($A175,'SegEnds_NonXtal_Prot#'!$A:$AL,22,FALSE)+9,1)</f>
        <v>P</v>
      </c>
      <c r="AE175" s="50" t="str">
        <f>MID(VLOOKUP($A175,Seqs!$A:$B,2,FALSE),VLOOKUP($A175,'SegEnds_NonXtal_Prot#'!$A:$AL,22,FALSE)+10,1)</f>
        <v>V</v>
      </c>
      <c r="AF175" s="28" t="str">
        <f>MID(VLOOKUP($A175,Seqs!$A:$B,2,FALSE),VLOOKUP($A175,'SegEnds_NonXtal_Prot#'!$A:$AL,28,FALSE)-4,1)</f>
        <v>L</v>
      </c>
      <c r="AG175" s="50" t="str">
        <f>MID(VLOOKUP($A175,Seqs!$A:$B,2,FALSE),VLOOKUP($A175,'SegEnds_NonXtal_Prot#'!$A:$AL,28,FALSE),1)</f>
        <v>P</v>
      </c>
    </row>
    <row r="176" spans="1:33" s="2" customFormat="1" x14ac:dyDescent="0.2">
      <c r="A176" s="2" t="s">
        <v>299</v>
      </c>
      <c r="B176" s="2" t="str">
        <f>LOWER(VLOOKUP(A176,Xtal_Templ!A:B,2,FALSE))</f>
        <v>oprk_human</v>
      </c>
      <c r="C176" s="2" t="str">
        <f>VLOOKUP(A176,Classification!A:D,2,FALSE)</f>
        <v>A</v>
      </c>
      <c r="D176" s="2" t="str">
        <f>IF(ISERROR(MATCH(A176,'SegEnds_Xtal_Prot#'!B:B, 0)), "NoXtal", "Xtal")</f>
        <v>NoXtal</v>
      </c>
      <c r="G176" s="4"/>
      <c r="M176" s="2" t="s">
        <v>14</v>
      </c>
      <c r="Q176" s="2" t="s">
        <v>9</v>
      </c>
      <c r="S176" s="4" t="s">
        <v>12</v>
      </c>
      <c r="U176" s="28" t="str">
        <f>MID(VLOOKUP($A176,Seqs!$A:$B,2,FALSE),VLOOKUP($A176,'SegEnds_NonXtal_Prot#'!A:AL,10,FALSE),1)</f>
        <v>D</v>
      </c>
      <c r="V176" s="50" t="str">
        <f>MID(VLOOKUP($A176,Seqs!$A:$B,2,FALSE),VLOOKUP($A176,'SegEnds_NonXtal_Prot#'!A:AL,10,FALSE)+6,1)</f>
        <v>G</v>
      </c>
      <c r="W176" s="50" t="str">
        <f>MID(VLOOKUP($A176,Seqs!$A:$B,2,FALSE),VLOOKUP($A176,'SegEnds_NonXtal_Prot#'!A:AL,10,FALSE)+7,1)</f>
        <v>M</v>
      </c>
      <c r="X176" s="50" t="str">
        <f>MID(VLOOKUP($A176,Seqs!$A:$B,2,FALSE),VLOOKUP($A176,'SegEnds_NonXtal_Prot#'!A:AL,10,FALSE)+8,1)</f>
        <v>P</v>
      </c>
      <c r="Y176" s="50" t="str">
        <f>MID(VLOOKUP($A176,Seqs!$A:$B,2,FALSE),VLOOKUP($A176,'SegEnds_NonXtal_Prot#'!A:AL,10,FALSE)+9,1)</f>
        <v>F</v>
      </c>
      <c r="Z176" s="50" t="str">
        <f>MID(VLOOKUP($A176,Seqs!$A:$B,2,FALSE),VLOOKUP($A176,'SegEnds_NonXtal_Prot#'!A:AL,10,FALSE)+10,1)</f>
        <v>M</v>
      </c>
      <c r="AA176" s="28" t="str">
        <f>MID(VLOOKUP($A176,Seqs!$A:$B,2,FALSE),VLOOKUP($A176,'SegEnds_NonXtal_Prot#'!$A:$AL,22,FALSE)+6,1)</f>
        <v>S</v>
      </c>
      <c r="AB176" s="50" t="str">
        <f>MID(VLOOKUP($A176,Seqs!$A:$B,2,FALSE),VLOOKUP($A176,'SegEnds_NonXtal_Prot#'!$A:$AL,22,FALSE)+7,1)</f>
        <v>I</v>
      </c>
      <c r="AC176" s="50" t="str">
        <f>MID(VLOOKUP($A176,Seqs!$A:$B,2,FALSE),VLOOKUP($A176,'SegEnds_NonXtal_Prot#'!$A:$AL,22,FALSE)+8,1)</f>
        <v>T</v>
      </c>
      <c r="AD176" s="50" t="str">
        <f>MID(VLOOKUP($A176,Seqs!$A:$B,2,FALSE),VLOOKUP($A176,'SegEnds_NonXtal_Prot#'!$A:$AL,22,FALSE)+9,1)</f>
        <v>P</v>
      </c>
      <c r="AE176" s="50" t="str">
        <f>MID(VLOOKUP($A176,Seqs!$A:$B,2,FALSE),VLOOKUP($A176,'SegEnds_NonXtal_Prot#'!$A:$AL,22,FALSE)+10,1)</f>
        <v>V</v>
      </c>
      <c r="AF176" s="28" t="str">
        <f>MID(VLOOKUP($A176,Seqs!$A:$B,2,FALSE),VLOOKUP($A176,'SegEnds_NonXtal_Prot#'!$A:$AL,28,FALSE)-4,1)</f>
        <v>A</v>
      </c>
      <c r="AG176" s="50" t="str">
        <f>MID(VLOOKUP($A176,Seqs!$A:$B,2,FALSE),VLOOKUP($A176,'SegEnds_NonXtal_Prot#'!$A:$AL,28,FALSE),1)</f>
        <v>P</v>
      </c>
    </row>
    <row r="177" spans="1:33" s="2" customFormat="1" x14ac:dyDescent="0.2">
      <c r="A177" s="2" t="s">
        <v>320</v>
      </c>
      <c r="B177" s="2" t="str">
        <f>LOWER(VLOOKUP(A177,Xtal_Templ!A:B,2,FALSE))</f>
        <v>oprk_human</v>
      </c>
      <c r="C177" s="2" t="str">
        <f>VLOOKUP(A177,Classification!A:D,2,FALSE)</f>
        <v>A</v>
      </c>
      <c r="D177" s="2" t="str">
        <f>IF(ISERROR(MATCH(A177,'SegEnds_Xtal_Prot#'!B:B, 0)), "NoXtal", "Xtal")</f>
        <v>NoXtal</v>
      </c>
      <c r="G177" s="4"/>
      <c r="M177" s="2" t="s">
        <v>14</v>
      </c>
      <c r="Q177" s="2" t="s">
        <v>9</v>
      </c>
      <c r="S177" s="4" t="s">
        <v>12</v>
      </c>
      <c r="U177" s="28" t="str">
        <f>MID(VLOOKUP($A177,Seqs!$A:$B,2,FALSE),VLOOKUP($A177,'SegEnds_NonXtal_Prot#'!A:AL,10,FALSE),1)</f>
        <v>D</v>
      </c>
      <c r="V177" s="50" t="str">
        <f>MID(VLOOKUP($A177,Seqs!$A:$B,2,FALSE),VLOOKUP($A177,'SegEnds_NonXtal_Prot#'!A:AL,10,FALSE)+6,1)</f>
        <v>V</v>
      </c>
      <c r="W177" s="50" t="str">
        <f>MID(VLOOKUP($A177,Seqs!$A:$B,2,FALSE),VLOOKUP($A177,'SegEnds_NonXtal_Prot#'!A:AL,10,FALSE)+7,1)</f>
        <v>L</v>
      </c>
      <c r="X177" s="50" t="str">
        <f>MID(VLOOKUP($A177,Seqs!$A:$B,2,FALSE),VLOOKUP($A177,'SegEnds_NonXtal_Prot#'!A:AL,10,FALSE)+8,1)</f>
        <v>P</v>
      </c>
      <c r="Y177" s="50" t="str">
        <f>MID(VLOOKUP($A177,Seqs!$A:$B,2,FALSE),VLOOKUP($A177,'SegEnds_NonXtal_Prot#'!A:AL,10,FALSE)+9,1)</f>
        <v>I</v>
      </c>
      <c r="Z177" s="50" t="str">
        <f>MID(VLOOKUP($A177,Seqs!$A:$B,2,FALSE),VLOOKUP($A177,'SegEnds_NonXtal_Prot#'!A:AL,10,FALSE)+10,1)</f>
        <v>N</v>
      </c>
      <c r="AA177" s="28" t="str">
        <f>MID(VLOOKUP($A177,Seqs!$A:$B,2,FALSE),VLOOKUP($A177,'SegEnds_NonXtal_Prot#'!$A:$AL,22,FALSE)+6,1)</f>
        <v>V</v>
      </c>
      <c r="AB177" s="50" t="str">
        <f>MID(VLOOKUP($A177,Seqs!$A:$B,2,FALSE),VLOOKUP($A177,'SegEnds_NonXtal_Prot#'!$A:$AL,22,FALSE)+7,1)</f>
        <v>V</v>
      </c>
      <c r="AC177" s="50" t="str">
        <f>MID(VLOOKUP($A177,Seqs!$A:$B,2,FALSE),VLOOKUP($A177,'SegEnds_NonXtal_Prot#'!$A:$AL,22,FALSE)+8,1)</f>
        <v>L</v>
      </c>
      <c r="AD177" s="50" t="str">
        <f>MID(VLOOKUP($A177,Seqs!$A:$B,2,FALSE),VLOOKUP($A177,'SegEnds_NonXtal_Prot#'!$A:$AL,22,FALSE)+9,1)</f>
        <v>P</v>
      </c>
      <c r="AE177" s="50" t="str">
        <f>MID(VLOOKUP($A177,Seqs!$A:$B,2,FALSE),VLOOKUP($A177,'SegEnds_NonXtal_Prot#'!$A:$AL,22,FALSE)+10,1)</f>
        <v>F</v>
      </c>
      <c r="AF177" s="28" t="str">
        <f>MID(VLOOKUP($A177,Seqs!$A:$B,2,FALSE),VLOOKUP($A177,'SegEnds_NonXtal_Prot#'!$A:$AL,28,FALSE)-4,1)</f>
        <v>G</v>
      </c>
      <c r="AG177" s="50" t="str">
        <f>MID(VLOOKUP($A177,Seqs!$A:$B,2,FALSE),VLOOKUP($A177,'SegEnds_NonXtal_Prot#'!$A:$AL,28,FALSE),1)</f>
        <v>P</v>
      </c>
    </row>
    <row r="178" spans="1:33" s="2" customFormat="1" x14ac:dyDescent="0.2">
      <c r="A178" s="2" t="s">
        <v>1174</v>
      </c>
      <c r="B178" s="2" t="str">
        <f>LOWER(VLOOKUP(A178,Xtal_Templ!A:B,2,FALSE))</f>
        <v>oprx_human</v>
      </c>
      <c r="C178" s="2" t="str">
        <f>VLOOKUP(A178,Classification!A:D,2,FALSE)</f>
        <v>A</v>
      </c>
      <c r="D178" s="2" t="str">
        <f>IF(ISERROR(MATCH(A178,'SegEnds_Xtal_Prot#'!B:B, 0)), "NoXtal", "Xtal")</f>
        <v>Xtal</v>
      </c>
      <c r="G178" s="4"/>
      <c r="Q178" s="2" t="s">
        <v>9</v>
      </c>
      <c r="S178" s="4" t="s">
        <v>12</v>
      </c>
      <c r="U178" s="28" t="str">
        <f>MID(VLOOKUP($A178,Seqs!$A:$B,2,FALSE),VLOOKUP($A178,'SegEnds_NonXtal_Prot#'!A:AL,10,FALSE),1)</f>
        <v>D</v>
      </c>
      <c r="V178" s="50" t="str">
        <f>MID(VLOOKUP($A178,Seqs!$A:$B,2,FALSE),VLOOKUP($A178,'SegEnds_NonXtal_Prot#'!A:AL,10,FALSE)+6,1)</f>
        <v>T</v>
      </c>
      <c r="W178" s="50" t="str">
        <f>MID(VLOOKUP($A178,Seqs!$A:$B,2,FALSE),VLOOKUP($A178,'SegEnds_NonXtal_Prot#'!A:AL,10,FALSE)+7,1)</f>
        <v>L</v>
      </c>
      <c r="X178" s="50" t="str">
        <f>MID(VLOOKUP($A178,Seqs!$A:$B,2,FALSE),VLOOKUP($A178,'SegEnds_NonXtal_Prot#'!A:AL,10,FALSE)+8,1)</f>
        <v>P</v>
      </c>
      <c r="Y178" s="50" t="str">
        <f>MID(VLOOKUP($A178,Seqs!$A:$B,2,FALSE),VLOOKUP($A178,'SegEnds_NonXtal_Prot#'!A:AL,10,FALSE)+9,1)</f>
        <v>F</v>
      </c>
      <c r="Z178" s="50" t="str">
        <f>MID(VLOOKUP($A178,Seqs!$A:$B,2,FALSE),VLOOKUP($A178,'SegEnds_NonXtal_Prot#'!A:AL,10,FALSE)+10,1)</f>
        <v>Q</v>
      </c>
      <c r="AA178" s="28" t="str">
        <f>MID(VLOOKUP($A178,Seqs!$A:$B,2,FALSE),VLOOKUP($A178,'SegEnds_NonXtal_Prot#'!$A:$AL,22,FALSE)+6,1)</f>
        <v>V</v>
      </c>
      <c r="AB178" s="50" t="str">
        <f>MID(VLOOKUP($A178,Seqs!$A:$B,2,FALSE),VLOOKUP($A178,'SegEnds_NonXtal_Prot#'!$A:$AL,22,FALSE)+7,1)</f>
        <v>G</v>
      </c>
      <c r="AC178" s="50" t="str">
        <f>MID(VLOOKUP($A178,Seqs!$A:$B,2,FALSE),VLOOKUP($A178,'SegEnds_NonXtal_Prot#'!$A:$AL,22,FALSE)+8,1)</f>
        <v>V</v>
      </c>
      <c r="AD178" s="50" t="str">
        <f>MID(VLOOKUP($A178,Seqs!$A:$B,2,FALSE),VLOOKUP($A178,'SegEnds_NonXtal_Prot#'!$A:$AL,22,FALSE)+9,1)</f>
        <v>P</v>
      </c>
      <c r="AE178" s="50" t="str">
        <f>MID(VLOOKUP($A178,Seqs!$A:$B,2,FALSE),VLOOKUP($A178,'SegEnds_NonXtal_Prot#'!$A:$AL,22,FALSE)+10,1)</f>
        <v>V</v>
      </c>
      <c r="AF178" s="28" t="str">
        <f>MID(VLOOKUP($A178,Seqs!$A:$B,2,FALSE),VLOOKUP($A178,'SegEnds_NonXtal_Prot#'!$A:$AL,28,FALSE)-4,1)</f>
        <v>S</v>
      </c>
      <c r="AG178" s="50" t="str">
        <f>MID(VLOOKUP($A178,Seqs!$A:$B,2,FALSE),VLOOKUP($A178,'SegEnds_NonXtal_Prot#'!$A:$AL,28,FALSE),1)</f>
        <v>P</v>
      </c>
    </row>
    <row r="179" spans="1:33" s="2" customFormat="1" x14ac:dyDescent="0.2">
      <c r="A179" s="2" t="s">
        <v>383</v>
      </c>
      <c r="B179" s="2" t="str">
        <f>LOWER(VLOOKUP(A179,Xtal_Templ!A:B,2,FALSE))</f>
        <v>oprk_human</v>
      </c>
      <c r="C179" s="2" t="str">
        <f>VLOOKUP(A179,Classification!A:D,2,FALSE)</f>
        <v>A</v>
      </c>
      <c r="D179" s="2" t="str">
        <f>IF(ISERROR(MATCH(A179,'SegEnds_Xtal_Prot#'!B:B, 0)), "NoXtal", "Xtal")</f>
        <v>NoXtal</v>
      </c>
      <c r="G179" s="4"/>
      <c r="M179" s="2" t="s">
        <v>14</v>
      </c>
      <c r="Q179" s="2" t="s">
        <v>9</v>
      </c>
      <c r="S179" s="4" t="s">
        <v>12</v>
      </c>
      <c r="U179" s="28" t="str">
        <f>MID(VLOOKUP($A179,Seqs!$A:$B,2,FALSE),VLOOKUP($A179,'SegEnds_NonXtal_Prot#'!A:AL,10,FALSE),1)</f>
        <v>D</v>
      </c>
      <c r="V179" s="50" t="str">
        <f>MID(VLOOKUP($A179,Seqs!$A:$B,2,FALSE),VLOOKUP($A179,'SegEnds_NonXtal_Prot#'!A:AL,10,FALSE)+6,1)</f>
        <v>G</v>
      </c>
      <c r="W179" s="50" t="str">
        <f>MID(VLOOKUP($A179,Seqs!$A:$B,2,FALSE),VLOOKUP($A179,'SegEnds_NonXtal_Prot#'!A:AL,10,FALSE)+7,1)</f>
        <v>L</v>
      </c>
      <c r="X179" s="50" t="str">
        <f>MID(VLOOKUP($A179,Seqs!$A:$B,2,FALSE),VLOOKUP($A179,'SegEnds_NonXtal_Prot#'!A:AL,10,FALSE)+8,1)</f>
        <v>P</v>
      </c>
      <c r="Y179" s="50" t="str">
        <f>MID(VLOOKUP($A179,Seqs!$A:$B,2,FALSE),VLOOKUP($A179,'SegEnds_NonXtal_Prot#'!A:AL,10,FALSE)+9,1)</f>
        <v>F</v>
      </c>
      <c r="Z179" s="50" t="str">
        <f>MID(VLOOKUP($A179,Seqs!$A:$B,2,FALSE),VLOOKUP($A179,'SegEnds_NonXtal_Prot#'!A:AL,10,FALSE)+10,1)</f>
        <v>L</v>
      </c>
      <c r="AA179" s="28" t="str">
        <f>MID(VLOOKUP($A179,Seqs!$A:$B,2,FALSE),VLOOKUP($A179,'SegEnds_NonXtal_Prot#'!$A:$AL,22,FALSE)+6,1)</f>
        <v>V</v>
      </c>
      <c r="AB179" s="50" t="str">
        <f>MID(VLOOKUP($A179,Seqs!$A:$B,2,FALSE),VLOOKUP($A179,'SegEnds_NonXtal_Prot#'!$A:$AL,22,FALSE)+7,1)</f>
        <v>V</v>
      </c>
      <c r="AC179" s="50" t="str">
        <f>MID(VLOOKUP($A179,Seqs!$A:$B,2,FALSE),VLOOKUP($A179,'SegEnds_NonXtal_Prot#'!$A:$AL,22,FALSE)+8,1)</f>
        <v>L</v>
      </c>
      <c r="AD179" s="50" t="str">
        <f>MID(VLOOKUP($A179,Seqs!$A:$B,2,FALSE),VLOOKUP($A179,'SegEnds_NonXtal_Prot#'!$A:$AL,22,FALSE)+9,1)</f>
        <v>P</v>
      </c>
      <c r="AE179" s="50" t="str">
        <f>MID(VLOOKUP($A179,Seqs!$A:$B,2,FALSE),VLOOKUP($A179,'SegEnds_NonXtal_Prot#'!$A:$AL,22,FALSE)+10,1)</f>
        <v>V</v>
      </c>
      <c r="AF179" s="28" t="str">
        <f>MID(VLOOKUP($A179,Seqs!$A:$B,2,FALSE),VLOOKUP($A179,'SegEnds_NonXtal_Prot#'!$A:$AL,28,FALSE)-4,1)</f>
        <v>G</v>
      </c>
      <c r="AG179" s="50" t="str">
        <f>MID(VLOOKUP($A179,Seqs!$A:$B,2,FALSE),VLOOKUP($A179,'SegEnds_NonXtal_Prot#'!$A:$AL,28,FALSE),1)</f>
        <v>P</v>
      </c>
    </row>
    <row r="180" spans="1:33" s="2" customFormat="1" x14ac:dyDescent="0.2">
      <c r="A180" s="2" t="s">
        <v>394</v>
      </c>
      <c r="B180" s="2" t="str">
        <f>LOWER(VLOOKUP(A180,Xtal_Templ!A:B,2,FALSE))</f>
        <v>oprx_human</v>
      </c>
      <c r="C180" s="2" t="str">
        <f>VLOOKUP(A180,Classification!A:D,2,FALSE)</f>
        <v>A</v>
      </c>
      <c r="D180" s="2" t="str">
        <f>IF(ISERROR(MATCH(A180,'SegEnds_Xtal_Prot#'!B:B, 0)), "NoXtal", "Xtal")</f>
        <v>NoXtal</v>
      </c>
      <c r="G180" s="4"/>
      <c r="S180" s="4" t="s">
        <v>12</v>
      </c>
      <c r="U180" s="28" t="str">
        <f>MID(VLOOKUP($A180,Seqs!$A:$B,2,FALSE),VLOOKUP($A180,'SegEnds_NonXtal_Prot#'!A:AL,10,FALSE),1)</f>
        <v>D</v>
      </c>
      <c r="V180" s="50" t="str">
        <f>MID(VLOOKUP($A180,Seqs!$A:$B,2,FALSE),VLOOKUP($A180,'SegEnds_NonXtal_Prot#'!A:AL,10,FALSE)+6,1)</f>
        <v>A</v>
      </c>
      <c r="W180" s="50" t="str">
        <f>MID(VLOOKUP($A180,Seqs!$A:$B,2,FALSE),VLOOKUP($A180,'SegEnds_NonXtal_Prot#'!A:AL,10,FALSE)+7,1)</f>
        <v>A</v>
      </c>
      <c r="X180" s="50" t="str">
        <f>MID(VLOOKUP($A180,Seqs!$A:$B,2,FALSE),VLOOKUP($A180,'SegEnds_NonXtal_Prot#'!A:AL,10,FALSE)+8,1)</f>
        <v>G</v>
      </c>
      <c r="Y180" s="50" t="str">
        <f>MID(VLOOKUP($A180,Seqs!$A:$B,2,FALSE),VLOOKUP($A180,'SegEnds_NonXtal_Prot#'!A:AL,10,FALSE)+9,1)</f>
        <v>L</v>
      </c>
      <c r="Z180" s="50" t="str">
        <f>MID(VLOOKUP($A180,Seqs!$A:$B,2,FALSE),VLOOKUP($A180,'SegEnds_NonXtal_Prot#'!A:AL,10,FALSE)+10,1)</f>
        <v>P</v>
      </c>
      <c r="AA180" s="28" t="str">
        <f>MID(VLOOKUP($A180,Seqs!$A:$B,2,FALSE),VLOOKUP($A180,'SegEnds_NonXtal_Prot#'!$A:$AL,22,FALSE)+6,1)</f>
        <v>Y</v>
      </c>
      <c r="AB180" s="50" t="str">
        <f>MID(VLOOKUP($A180,Seqs!$A:$B,2,FALSE),VLOOKUP($A180,'SegEnds_NonXtal_Prot#'!$A:$AL,22,FALSE)+7,1)</f>
        <v>C</v>
      </c>
      <c r="AC180" s="50" t="str">
        <f>MID(VLOOKUP($A180,Seqs!$A:$B,2,FALSE),VLOOKUP($A180,'SegEnds_NonXtal_Prot#'!$A:$AL,22,FALSE)+8,1)</f>
        <v>M</v>
      </c>
      <c r="AD180" s="50" t="str">
        <f>MID(VLOOKUP($A180,Seqs!$A:$B,2,FALSE),VLOOKUP($A180,'SegEnds_NonXtal_Prot#'!$A:$AL,22,FALSE)+9,1)</f>
        <v>L</v>
      </c>
      <c r="AE180" s="50" t="str">
        <f>MID(VLOOKUP($A180,Seqs!$A:$B,2,FALSE),VLOOKUP($A180,'SegEnds_NonXtal_Prot#'!$A:$AL,22,FALSE)+10,1)</f>
        <v>W</v>
      </c>
      <c r="AF180" s="28" t="str">
        <f>MID(VLOOKUP($A180,Seqs!$A:$B,2,FALSE),VLOOKUP($A180,'SegEnds_NonXtal_Prot#'!$A:$AL,28,FALSE)-4,1)</f>
        <v>F</v>
      </c>
      <c r="AG180" s="50" t="str">
        <f>MID(VLOOKUP($A180,Seqs!$A:$B,2,FALSE),VLOOKUP($A180,'SegEnds_NonXtal_Prot#'!$A:$AL,28,FALSE),1)</f>
        <v>P</v>
      </c>
    </row>
    <row r="181" spans="1:33" s="2" customFormat="1" x14ac:dyDescent="0.2">
      <c r="A181" s="2" t="s">
        <v>396</v>
      </c>
      <c r="B181" s="2" t="str">
        <f>LOWER(VLOOKUP(A181,Xtal_Templ!A:B,2,FALSE))</f>
        <v>adrb2_human</v>
      </c>
      <c r="C181" s="2" t="str">
        <f>VLOOKUP(A181,Classification!A:D,2,FALSE)</f>
        <v>A</v>
      </c>
      <c r="D181" s="2" t="str">
        <f>IF(ISERROR(MATCH(A181,'SegEnds_Xtal_Prot#'!B:B, 0)), "NoXtal", "Xtal")</f>
        <v>NoXtal</v>
      </c>
      <c r="G181" s="4"/>
      <c r="M181" s="2" t="s">
        <v>14</v>
      </c>
      <c r="Q181" s="2" t="s">
        <v>9</v>
      </c>
      <c r="S181" s="4" t="s">
        <v>12</v>
      </c>
      <c r="U181" s="28" t="str">
        <f>MID(VLOOKUP($A181,Seqs!$A:$B,2,FALSE),VLOOKUP($A181,'SegEnds_NonXtal_Prot#'!A:AL,10,FALSE),1)</f>
        <v>D</v>
      </c>
      <c r="V181" s="50" t="str">
        <f>MID(VLOOKUP($A181,Seqs!$A:$B,2,FALSE),VLOOKUP($A181,'SegEnds_NonXtal_Prot#'!A:AL,10,FALSE)+6,1)</f>
        <v>S</v>
      </c>
      <c r="W181" s="50" t="str">
        <f>MID(VLOOKUP($A181,Seqs!$A:$B,2,FALSE),VLOOKUP($A181,'SegEnds_NonXtal_Prot#'!A:AL,10,FALSE)+7,1)</f>
        <v>I</v>
      </c>
      <c r="X181" s="50" t="str">
        <f>MID(VLOOKUP($A181,Seqs!$A:$B,2,FALSE),VLOOKUP($A181,'SegEnds_NonXtal_Prot#'!A:AL,10,FALSE)+8,1)</f>
        <v>P</v>
      </c>
      <c r="Y181" s="50" t="str">
        <f>MID(VLOOKUP($A181,Seqs!$A:$B,2,FALSE),VLOOKUP($A181,'SegEnds_NonXtal_Prot#'!A:AL,10,FALSE)+9,1)</f>
        <v>F</v>
      </c>
      <c r="Z181" s="50" t="str">
        <f>MID(VLOOKUP($A181,Seqs!$A:$B,2,FALSE),VLOOKUP($A181,'SegEnds_NonXtal_Prot#'!A:AL,10,FALSE)+10,1)</f>
        <v>I</v>
      </c>
      <c r="AA181" s="28" t="str">
        <f>MID(VLOOKUP($A181,Seqs!$A:$B,2,FALSE),VLOOKUP($A181,'SegEnds_NonXtal_Prot#'!$A:$AL,22,FALSE)+6,1)</f>
        <v>L</v>
      </c>
      <c r="AB181" s="50" t="str">
        <f>MID(VLOOKUP($A181,Seqs!$A:$B,2,FALSE),VLOOKUP($A181,'SegEnds_NonXtal_Prot#'!$A:$AL,22,FALSE)+7,1)</f>
        <v>T</v>
      </c>
      <c r="AC181" s="50" t="str">
        <f>MID(VLOOKUP($A181,Seqs!$A:$B,2,FALSE),VLOOKUP($A181,'SegEnds_NonXtal_Prot#'!$A:$AL,22,FALSE)+8,1)</f>
        <v>L</v>
      </c>
      <c r="AD181" s="50" t="str">
        <f>MID(VLOOKUP($A181,Seqs!$A:$B,2,FALSE),VLOOKUP($A181,'SegEnds_NonXtal_Prot#'!$A:$AL,22,FALSE)+9,1)</f>
        <v>P</v>
      </c>
      <c r="AE181" s="50" t="str">
        <f>MID(VLOOKUP($A181,Seqs!$A:$B,2,FALSE),VLOOKUP($A181,'SegEnds_NonXtal_Prot#'!$A:$AL,22,FALSE)+10,1)</f>
        <v>V</v>
      </c>
      <c r="AF181" s="28" t="str">
        <f>MID(VLOOKUP($A181,Seqs!$A:$B,2,FALSE),VLOOKUP($A181,'SegEnds_NonXtal_Prot#'!$A:$AL,28,FALSE)-4,1)</f>
        <v>S</v>
      </c>
      <c r="AG181" s="50" t="str">
        <f>MID(VLOOKUP($A181,Seqs!$A:$B,2,FALSE),VLOOKUP($A181,'SegEnds_NonXtal_Prot#'!$A:$AL,28,FALSE),1)</f>
        <v>P</v>
      </c>
    </row>
    <row r="182" spans="1:33" s="2" customFormat="1" x14ac:dyDescent="0.2">
      <c r="A182" s="2" t="s">
        <v>398</v>
      </c>
      <c r="B182" s="2" t="str">
        <f>LOWER(VLOOKUP(A182,Xtal_Templ!A:B,2,FALSE))</f>
        <v>s1pr1_human</v>
      </c>
      <c r="C182" s="2" t="str">
        <f>VLOOKUP(A182,Classification!A:D,2,FALSE)</f>
        <v>A</v>
      </c>
      <c r="D182" s="2" t="str">
        <f>IF(ISERROR(MATCH(A182,'SegEnds_Xtal_Prot#'!B:B, 0)), "NoXtal", "Xtal")</f>
        <v>NoXtal</v>
      </c>
      <c r="G182" s="4"/>
      <c r="M182" s="2" t="s">
        <v>14</v>
      </c>
      <c r="Q182" s="2" t="s">
        <v>9</v>
      </c>
      <c r="S182" s="4" t="s">
        <v>12</v>
      </c>
      <c r="U182" s="28" t="str">
        <f>MID(VLOOKUP($A182,Seqs!$A:$B,2,FALSE),VLOOKUP($A182,'SegEnds_NonXtal_Prot#'!A:AL,10,FALSE),1)</f>
        <v>D</v>
      </c>
      <c r="V182" s="50" t="str">
        <f>MID(VLOOKUP($A182,Seqs!$A:$B,2,FALSE),VLOOKUP($A182,'SegEnds_NonXtal_Prot#'!A:AL,10,FALSE)+6,1)</f>
        <v>F</v>
      </c>
      <c r="W182" s="50" t="str">
        <f>MID(VLOOKUP($A182,Seqs!$A:$B,2,FALSE),VLOOKUP($A182,'SegEnds_NonXtal_Prot#'!A:AL,10,FALSE)+7,1)</f>
        <v>Q</v>
      </c>
      <c r="X182" s="50" t="str">
        <f>MID(VLOOKUP($A182,Seqs!$A:$B,2,FALSE),VLOOKUP($A182,'SegEnds_NonXtal_Prot#'!A:AL,10,FALSE)+8,1)</f>
        <v>V</v>
      </c>
      <c r="Y182" s="50" t="str">
        <f>MID(VLOOKUP($A182,Seqs!$A:$B,2,FALSE),VLOOKUP($A182,'SegEnds_NonXtal_Prot#'!A:AL,10,FALSE)+9,1)</f>
        <v>L</v>
      </c>
      <c r="Z182" s="50" t="str">
        <f>MID(VLOOKUP($A182,Seqs!$A:$B,2,FALSE),VLOOKUP($A182,'SegEnds_NonXtal_Prot#'!A:AL,10,FALSE)+10,1)</f>
        <v>P</v>
      </c>
      <c r="AA182" s="28" t="str">
        <f>MID(VLOOKUP($A182,Seqs!$A:$B,2,FALSE),VLOOKUP($A182,'SegEnds_NonXtal_Prot#'!$A:$AL,22,FALSE)+6,1)</f>
        <v>F</v>
      </c>
      <c r="AB182" s="50" t="str">
        <f>MID(VLOOKUP($A182,Seqs!$A:$B,2,FALSE),VLOOKUP($A182,'SegEnds_NonXtal_Prot#'!$A:$AL,22,FALSE)+7,1)</f>
        <v>S</v>
      </c>
      <c r="AC182" s="50" t="str">
        <f>MID(VLOOKUP($A182,Seqs!$A:$B,2,FALSE),VLOOKUP($A182,'SegEnds_NonXtal_Prot#'!$A:$AL,22,FALSE)+8,1)</f>
        <v>L</v>
      </c>
      <c r="AD182" s="50" t="str">
        <f>MID(VLOOKUP($A182,Seqs!$A:$B,2,FALSE),VLOOKUP($A182,'SegEnds_NonXtal_Prot#'!$A:$AL,22,FALSE)+9,1)</f>
        <v>P</v>
      </c>
      <c r="AE182" s="50" t="str">
        <f>MID(VLOOKUP($A182,Seqs!$A:$B,2,FALSE),VLOOKUP($A182,'SegEnds_NonXtal_Prot#'!$A:$AL,22,FALSE)+10,1)</f>
        <v>Q</v>
      </c>
      <c r="AF182" s="28" t="str">
        <f>MID(VLOOKUP($A182,Seqs!$A:$B,2,FALSE),VLOOKUP($A182,'SegEnds_NonXtal_Prot#'!$A:$AL,28,FALSE)-4,1)</f>
        <v>I</v>
      </c>
      <c r="AG182" s="50" t="str">
        <f>MID(VLOOKUP($A182,Seqs!$A:$B,2,FALSE),VLOOKUP($A182,'SegEnds_NonXtal_Prot#'!$A:$AL,28,FALSE),1)</f>
        <v>P</v>
      </c>
    </row>
    <row r="183" spans="1:33" s="2" customFormat="1" x14ac:dyDescent="0.2">
      <c r="A183" s="2" t="s">
        <v>399</v>
      </c>
      <c r="B183" s="2" t="str">
        <f>LOWER(VLOOKUP(A183,Xtal_Templ!A:B,2,FALSE))</f>
        <v>ntr1_rat</v>
      </c>
      <c r="C183" s="2" t="str">
        <f>VLOOKUP(A183,Classification!A:D,2,FALSE)</f>
        <v>A</v>
      </c>
      <c r="D183" s="2" t="str">
        <f>IF(ISERROR(MATCH(A183,'SegEnds_Xtal_Prot#'!B:B, 0)), "NoXtal", "Xtal")</f>
        <v>NoXtal</v>
      </c>
      <c r="G183" s="4"/>
      <c r="M183" s="2" t="s">
        <v>14</v>
      </c>
      <c r="Q183" s="2" t="s">
        <v>9</v>
      </c>
      <c r="S183" s="4" t="s">
        <v>12</v>
      </c>
      <c r="U183" s="28" t="str">
        <f>MID(VLOOKUP($A183,Seqs!$A:$B,2,FALSE),VLOOKUP($A183,'SegEnds_NonXtal_Prot#'!A:AL,10,FALSE),1)</f>
        <v>D</v>
      </c>
      <c r="V183" s="50" t="str">
        <f>MID(VLOOKUP($A183,Seqs!$A:$B,2,FALSE),VLOOKUP($A183,'SegEnds_NonXtal_Prot#'!A:AL,10,FALSE)+6,1)</f>
        <v>F</v>
      </c>
      <c r="W183" s="50" t="str">
        <f>MID(VLOOKUP($A183,Seqs!$A:$B,2,FALSE),VLOOKUP($A183,'SegEnds_NonXtal_Prot#'!A:AL,10,FALSE)+7,1)</f>
        <v>Q</v>
      </c>
      <c r="X183" s="50" t="str">
        <f>MID(VLOOKUP($A183,Seqs!$A:$B,2,FALSE),VLOOKUP($A183,'SegEnds_NonXtal_Prot#'!A:AL,10,FALSE)+8,1)</f>
        <v>V</v>
      </c>
      <c r="Y183" s="50" t="str">
        <f>MID(VLOOKUP($A183,Seqs!$A:$B,2,FALSE),VLOOKUP($A183,'SegEnds_NonXtal_Prot#'!A:AL,10,FALSE)+9,1)</f>
        <v>L</v>
      </c>
      <c r="Z183" s="50" t="str">
        <f>MID(VLOOKUP($A183,Seqs!$A:$B,2,FALSE),VLOOKUP($A183,'SegEnds_NonXtal_Prot#'!A:AL,10,FALSE)+10,1)</f>
        <v>P</v>
      </c>
      <c r="AA183" s="28" t="str">
        <f>MID(VLOOKUP($A183,Seqs!$A:$B,2,FALSE),VLOOKUP($A183,'SegEnds_NonXtal_Prot#'!$A:$AL,22,FALSE)+6,1)</f>
        <v>L</v>
      </c>
      <c r="AB183" s="50" t="str">
        <f>MID(VLOOKUP($A183,Seqs!$A:$B,2,FALSE),VLOOKUP($A183,'SegEnds_NonXtal_Prot#'!$A:$AL,22,FALSE)+7,1)</f>
        <v>S</v>
      </c>
      <c r="AC183" s="50" t="str">
        <f>MID(VLOOKUP($A183,Seqs!$A:$B,2,FALSE),VLOOKUP($A183,'SegEnds_NonXtal_Prot#'!$A:$AL,22,FALSE)+8,1)</f>
        <v>L</v>
      </c>
      <c r="AD183" s="50" t="str">
        <f>MID(VLOOKUP($A183,Seqs!$A:$B,2,FALSE),VLOOKUP($A183,'SegEnds_NonXtal_Prot#'!$A:$AL,22,FALSE)+9,1)</f>
        <v>P</v>
      </c>
      <c r="AE183" s="50" t="str">
        <f>MID(VLOOKUP($A183,Seqs!$A:$B,2,FALSE),VLOOKUP($A183,'SegEnds_NonXtal_Prot#'!$A:$AL,22,FALSE)+10,1)</f>
        <v>Q</v>
      </c>
      <c r="AF183" s="28" t="str">
        <f>MID(VLOOKUP($A183,Seqs!$A:$B,2,FALSE),VLOOKUP($A183,'SegEnds_NonXtal_Prot#'!$A:$AL,28,FALSE)-4,1)</f>
        <v>V</v>
      </c>
      <c r="AG183" s="50" t="str">
        <f>MID(VLOOKUP($A183,Seqs!$A:$B,2,FALSE),VLOOKUP($A183,'SegEnds_NonXtal_Prot#'!$A:$AL,28,FALSE),1)</f>
        <v>P</v>
      </c>
    </row>
    <row r="184" spans="1:33" s="2" customFormat="1" x14ac:dyDescent="0.2">
      <c r="A184" s="2" t="s">
        <v>332</v>
      </c>
      <c r="B184" s="2" t="str">
        <f>LOWER(VLOOKUP(A184,Xtal_Templ!A:B,2,FALSE))</f>
        <v>opsd_bovin</v>
      </c>
      <c r="C184" s="2" t="str">
        <f>VLOOKUP(A184,Classification!A:D,2,FALSE)</f>
        <v>A</v>
      </c>
      <c r="D184" s="2" t="str">
        <f>IF(ISERROR(MATCH(A184,'SegEnds_Xtal_Prot#'!B:B, 0)), "NoXtal", "Xtal")</f>
        <v>NoXtal</v>
      </c>
      <c r="F184" s="2" t="s">
        <v>5</v>
      </c>
      <c r="G184" s="4"/>
      <c r="Q184" s="2" t="s">
        <v>9</v>
      </c>
      <c r="S184" s="4" t="s">
        <v>12</v>
      </c>
      <c r="U184" s="28" t="str">
        <f>MID(VLOOKUP($A184,Seqs!$A:$B,2,FALSE),VLOOKUP($A184,'SegEnds_NonXtal_Prot#'!A:AL,10,FALSE),1)</f>
        <v>D</v>
      </c>
      <c r="V184" s="50" t="str">
        <f>MID(VLOOKUP($A184,Seqs!$A:$B,2,FALSE),VLOOKUP($A184,'SegEnds_NonXtal_Prot#'!A:AL,10,FALSE)+6,1)</f>
        <v>F</v>
      </c>
      <c r="W184" s="50" t="str">
        <f>MID(VLOOKUP($A184,Seqs!$A:$B,2,FALSE),VLOOKUP($A184,'SegEnds_NonXtal_Prot#'!A:AL,10,FALSE)+7,1)</f>
        <v>G</v>
      </c>
      <c r="X184" s="50" t="str">
        <f>MID(VLOOKUP($A184,Seqs!$A:$B,2,FALSE),VLOOKUP($A184,'SegEnds_NonXtal_Prot#'!A:AL,10,FALSE)+8,1)</f>
        <v>V</v>
      </c>
      <c r="Y184" s="50" t="str">
        <f>MID(VLOOKUP($A184,Seqs!$A:$B,2,FALSE),VLOOKUP($A184,'SegEnds_NonXtal_Prot#'!A:AL,10,FALSE)+9,1)</f>
        <v>T</v>
      </c>
      <c r="Z184" s="50" t="str">
        <f>MID(VLOOKUP($A184,Seqs!$A:$B,2,FALSE),VLOOKUP($A184,'SegEnds_NonXtal_Prot#'!A:AL,10,FALSE)+10,1)</f>
        <v>F</v>
      </c>
      <c r="AA184" s="28" t="str">
        <f>MID(VLOOKUP($A184,Seqs!$A:$B,2,FALSE),VLOOKUP($A184,'SegEnds_NonXtal_Prot#'!$A:$AL,22,FALSE)+6,1)</f>
        <v>W</v>
      </c>
      <c r="AB184" s="50" t="str">
        <f>MID(VLOOKUP($A184,Seqs!$A:$B,2,FALSE),VLOOKUP($A184,'SegEnds_NonXtal_Prot#'!$A:$AL,22,FALSE)+7,1)</f>
        <v>A</v>
      </c>
      <c r="AC184" s="50" t="str">
        <f>MID(VLOOKUP($A184,Seqs!$A:$B,2,FALSE),VLOOKUP($A184,'SegEnds_NonXtal_Prot#'!$A:$AL,22,FALSE)+8,1)</f>
        <v>G</v>
      </c>
      <c r="AD184" s="50" t="str">
        <f>MID(VLOOKUP($A184,Seqs!$A:$B,2,FALSE),VLOOKUP($A184,'SegEnds_NonXtal_Prot#'!$A:$AL,22,FALSE)+9,1)</f>
        <v>A</v>
      </c>
      <c r="AE184" s="50" t="str">
        <f>MID(VLOOKUP($A184,Seqs!$A:$B,2,FALSE),VLOOKUP($A184,'SegEnds_NonXtal_Prot#'!$A:$AL,22,FALSE)+10,1)</f>
        <v>P</v>
      </c>
      <c r="AF184" s="28" t="str">
        <f>MID(VLOOKUP($A184,Seqs!$A:$B,2,FALSE),VLOOKUP($A184,'SegEnds_NonXtal_Prot#'!$A:$AL,28,FALSE)-4,1)</f>
        <v>C</v>
      </c>
      <c r="AG184" s="50" t="str">
        <f>MID(VLOOKUP($A184,Seqs!$A:$B,2,FALSE),VLOOKUP($A184,'SegEnds_NonXtal_Prot#'!$A:$AL,28,FALSE),1)</f>
        <v>P</v>
      </c>
    </row>
    <row r="185" spans="1:33" s="2" customFormat="1" x14ac:dyDescent="0.2">
      <c r="A185" s="2" t="s">
        <v>333</v>
      </c>
      <c r="B185" s="2" t="s">
        <v>920</v>
      </c>
      <c r="C185" s="2" t="str">
        <f>VLOOKUP(A185,Classification!A:D,2,FALSE)</f>
        <v>A</v>
      </c>
      <c r="D185" s="2" t="str">
        <f>IF(ISERROR(MATCH(A185,'SegEnds_Xtal_Prot#'!B:B, 0)), "NoXtal", "Xtal")</f>
        <v>NoXtal</v>
      </c>
      <c r="F185" s="2" t="s">
        <v>5</v>
      </c>
      <c r="G185" s="4"/>
      <c r="Q185" s="2" t="s">
        <v>9</v>
      </c>
      <c r="S185" s="4" t="s">
        <v>12</v>
      </c>
      <c r="U185" s="28" t="str">
        <f>MID(VLOOKUP($A185,Seqs!$A:$B,2,FALSE),VLOOKUP($A185,'SegEnds_NonXtal_Prot#'!A:AL,10,FALSE),1)</f>
        <v>D</v>
      </c>
      <c r="V185" s="50" t="str">
        <f>MID(VLOOKUP($A185,Seqs!$A:$B,2,FALSE),VLOOKUP($A185,'SegEnds_NonXtal_Prot#'!A:AL,10,FALSE)+6,1)</f>
        <v>T</v>
      </c>
      <c r="W185" s="50" t="str">
        <f>MID(VLOOKUP($A185,Seqs!$A:$B,2,FALSE),VLOOKUP($A185,'SegEnds_NonXtal_Prot#'!A:AL,10,FALSE)+7,1)</f>
        <v>Q</v>
      </c>
      <c r="X185" s="50" t="str">
        <f>MID(VLOOKUP($A185,Seqs!$A:$B,2,FALSE),VLOOKUP($A185,'SegEnds_NonXtal_Prot#'!A:AL,10,FALSE)+8,1)</f>
        <v>A</v>
      </c>
      <c r="Y185" s="50" t="str">
        <f>MID(VLOOKUP($A185,Seqs!$A:$B,2,FALSE),VLOOKUP($A185,'SegEnds_NonXtal_Prot#'!A:AL,10,FALSE)+9,1)</f>
        <v>P</v>
      </c>
      <c r="Z185" s="50" t="str">
        <f>MID(VLOOKUP($A185,Seqs!$A:$B,2,FALSE),VLOOKUP($A185,'SegEnds_NonXtal_Prot#'!A:AL,10,FALSE)+10,1)</f>
        <v>V</v>
      </c>
      <c r="AA185" s="28" t="str">
        <f>MID(VLOOKUP($A185,Seqs!$A:$B,2,FALSE),VLOOKUP($A185,'SegEnds_NonXtal_Prot#'!$A:$AL,22,FALSE)+6,1)</f>
        <v>W</v>
      </c>
      <c r="AB185" s="50" t="str">
        <f>MID(VLOOKUP($A185,Seqs!$A:$B,2,FALSE),VLOOKUP($A185,'SegEnds_NonXtal_Prot#'!$A:$AL,22,FALSE)+7,1)</f>
        <v>S</v>
      </c>
      <c r="AC185" s="50" t="str">
        <f>MID(VLOOKUP($A185,Seqs!$A:$B,2,FALSE),VLOOKUP($A185,'SegEnds_NonXtal_Prot#'!$A:$AL,22,FALSE)+8,1)</f>
        <v>L</v>
      </c>
      <c r="AD185" s="50" t="str">
        <f>MID(VLOOKUP($A185,Seqs!$A:$B,2,FALSE),VLOOKUP($A185,'SegEnds_NonXtal_Prot#'!$A:$AL,22,FALSE)+9,1)</f>
        <v>P</v>
      </c>
      <c r="AE185" s="50" t="str">
        <f>MID(VLOOKUP($A185,Seqs!$A:$B,2,FALSE),VLOOKUP($A185,'SegEnds_NonXtal_Prot#'!$A:$AL,22,FALSE)+10,1)</f>
        <v>P</v>
      </c>
      <c r="AF185" s="28" t="str">
        <f>MID(VLOOKUP($A185,Seqs!$A:$B,2,FALSE),VLOOKUP($A185,'SegEnds_NonXtal_Prot#'!$A:$AL,28,FALSE)-4,1)</f>
        <v>V</v>
      </c>
      <c r="AG185" s="50" t="str">
        <f>MID(VLOOKUP($A185,Seqs!$A:$B,2,FALSE),VLOOKUP($A185,'SegEnds_NonXtal_Prot#'!$A:$AL,28,FALSE),1)</f>
        <v>P</v>
      </c>
    </row>
    <row r="186" spans="1:33" s="2" customFormat="1" x14ac:dyDescent="0.2">
      <c r="A186" s="2" t="s">
        <v>334</v>
      </c>
      <c r="B186" s="2" t="s">
        <v>920</v>
      </c>
      <c r="C186" s="2" t="str">
        <f>VLOOKUP(A186,Classification!A:D,2,FALSE)</f>
        <v>A</v>
      </c>
      <c r="D186" s="2" t="str">
        <f>IF(ISERROR(MATCH(A186,'SegEnds_Xtal_Prot#'!B:B, 0)), "NoXtal", "Xtal")</f>
        <v>NoXtal</v>
      </c>
      <c r="F186" s="2" t="s">
        <v>5</v>
      </c>
      <c r="G186" s="4"/>
      <c r="Q186" s="2" t="s">
        <v>9</v>
      </c>
      <c r="S186" s="4" t="s">
        <v>12</v>
      </c>
      <c r="U186" s="28" t="str">
        <f>MID(VLOOKUP($A186,Seqs!$A:$B,2,FALSE),VLOOKUP($A186,'SegEnds_NonXtal_Prot#'!A:AL,10,FALSE),1)</f>
        <v>D</v>
      </c>
      <c r="V186" s="50" t="str">
        <f>MID(VLOOKUP($A186,Seqs!$A:$B,2,FALSE),VLOOKUP($A186,'SegEnds_NonXtal_Prot#'!A:AL,10,FALSE)+6,1)</f>
        <v>V</v>
      </c>
      <c r="W186" s="50" t="str">
        <f>MID(VLOOKUP($A186,Seqs!$A:$B,2,FALSE),VLOOKUP($A186,'SegEnds_NonXtal_Prot#'!A:AL,10,FALSE)+7,1)</f>
        <v>G</v>
      </c>
      <c r="X186" s="50" t="str">
        <f>MID(VLOOKUP($A186,Seqs!$A:$B,2,FALSE),VLOOKUP($A186,'SegEnds_NonXtal_Prot#'!A:AL,10,FALSE)+8,1)</f>
        <v>K</v>
      </c>
      <c r="Y186" s="50" t="str">
        <f>MID(VLOOKUP($A186,Seqs!$A:$B,2,FALSE),VLOOKUP($A186,'SegEnds_NonXtal_Prot#'!A:AL,10,FALSE)+9,1)</f>
        <v>P</v>
      </c>
      <c r="Z186" s="50" t="str">
        <f>MID(VLOOKUP($A186,Seqs!$A:$B,2,FALSE),VLOOKUP($A186,'SegEnds_NonXtal_Prot#'!A:AL,10,FALSE)+10,1)</f>
        <v>F</v>
      </c>
      <c r="AA186" s="28" t="str">
        <f>MID(VLOOKUP($A186,Seqs!$A:$B,2,FALSE),VLOOKUP($A186,'SegEnds_NonXtal_Prot#'!$A:$AL,22,FALSE)+6,1)</f>
        <v>W</v>
      </c>
      <c r="AB186" s="50" t="str">
        <f>MID(VLOOKUP($A186,Seqs!$A:$B,2,FALSE),VLOOKUP($A186,'SegEnds_NonXtal_Prot#'!$A:$AL,22,FALSE)+7,1)</f>
        <v>T</v>
      </c>
      <c r="AC186" s="50" t="str">
        <f>MID(VLOOKUP($A186,Seqs!$A:$B,2,FALSE),VLOOKUP($A186,'SegEnds_NonXtal_Prot#'!$A:$AL,22,FALSE)+8,1)</f>
        <v>T</v>
      </c>
      <c r="AD186" s="50" t="str">
        <f>MID(VLOOKUP($A186,Seqs!$A:$B,2,FALSE),VLOOKUP($A186,'SegEnds_NonXtal_Prot#'!$A:$AL,22,FALSE)+9,1)</f>
        <v>M</v>
      </c>
      <c r="AE186" s="50" t="str">
        <f>MID(VLOOKUP($A186,Seqs!$A:$B,2,FALSE),VLOOKUP($A186,'SegEnds_NonXtal_Prot#'!$A:$AL,22,FALSE)+10,1)</f>
        <v>P</v>
      </c>
      <c r="AF186" s="28" t="str">
        <f>MID(VLOOKUP($A186,Seqs!$A:$B,2,FALSE),VLOOKUP($A186,'SegEnds_NonXtal_Prot#'!$A:$AL,28,FALSE)-4,1)</f>
        <v>C</v>
      </c>
      <c r="AG186" s="50" t="str">
        <f>MID(VLOOKUP($A186,Seqs!$A:$B,2,FALSE),VLOOKUP($A186,'SegEnds_NonXtal_Prot#'!$A:$AL,28,FALSE),1)</f>
        <v>P</v>
      </c>
    </row>
    <row r="187" spans="1:33" s="2" customFormat="1" x14ac:dyDescent="0.2">
      <c r="A187" s="2" t="s">
        <v>920</v>
      </c>
      <c r="B187" s="2" t="str">
        <f>LOWER(VLOOKUP(A187,Xtal_Templ!A:B,2,FALSE))</f>
        <v>opsd_bovin</v>
      </c>
      <c r="C187" s="2" t="str">
        <f>VLOOKUP(A187,Classification!A:D,2,FALSE)</f>
        <v>A</v>
      </c>
      <c r="D187" s="2" t="str">
        <f>IF(ISERROR(MATCH(A187,'SegEnds_Xtal_Prot#'!B:B, 0)), "NoXtal", "Xtal")</f>
        <v>Xtal</v>
      </c>
      <c r="F187" s="2" t="s">
        <v>5</v>
      </c>
      <c r="G187" s="4"/>
      <c r="Q187" s="2" t="s">
        <v>9</v>
      </c>
      <c r="S187" s="4" t="s">
        <v>12</v>
      </c>
      <c r="U187" s="28" t="str">
        <f>MID(VLOOKUP($A187,Seqs!$A:$B,2,FALSE),VLOOKUP($A187,'SegEnds_NonXtal_Prot#'!A:AL,10,FALSE),1)</f>
        <v>D</v>
      </c>
      <c r="V187" s="50" t="str">
        <f>MID(VLOOKUP($A187,Seqs!$A:$B,2,FALSE),VLOOKUP($A187,'SegEnds_NonXtal_Prot#'!A:AL,10,FALSE)+6,1)</f>
        <v>G</v>
      </c>
      <c r="W187" s="50" t="str">
        <f>MID(VLOOKUP($A187,Seqs!$A:$B,2,FALSE),VLOOKUP($A187,'SegEnds_NonXtal_Prot#'!A:AL,10,FALSE)+7,1)</f>
        <v>G</v>
      </c>
      <c r="X187" s="50" t="str">
        <f>MID(VLOOKUP($A187,Seqs!$A:$B,2,FALSE),VLOOKUP($A187,'SegEnds_NonXtal_Prot#'!A:AL,10,FALSE)+8,1)</f>
        <v>F</v>
      </c>
      <c r="Y187" s="50" t="str">
        <f>MID(VLOOKUP($A187,Seqs!$A:$B,2,FALSE),VLOOKUP($A187,'SegEnds_NonXtal_Prot#'!A:AL,10,FALSE)+9,1)</f>
        <v>T</v>
      </c>
      <c r="Z187" s="50" t="str">
        <f>MID(VLOOKUP($A187,Seqs!$A:$B,2,FALSE),VLOOKUP($A187,'SegEnds_NonXtal_Prot#'!A:AL,10,FALSE)+10,1)</f>
        <v>T</v>
      </c>
      <c r="AA187" s="28" t="str">
        <f>MID(VLOOKUP($A187,Seqs!$A:$B,2,FALSE),VLOOKUP($A187,'SegEnds_NonXtal_Prot#'!$A:$AL,22,FALSE)+6,1)</f>
        <v>C</v>
      </c>
      <c r="AB187" s="50" t="str">
        <f>MID(VLOOKUP($A187,Seqs!$A:$B,2,FALSE),VLOOKUP($A187,'SegEnds_NonXtal_Prot#'!$A:$AL,22,FALSE)+7,1)</f>
        <v>A</v>
      </c>
      <c r="AC187" s="50" t="str">
        <f>MID(VLOOKUP($A187,Seqs!$A:$B,2,FALSE),VLOOKUP($A187,'SegEnds_NonXtal_Prot#'!$A:$AL,22,FALSE)+8,1)</f>
        <v>A</v>
      </c>
      <c r="AD187" s="50" t="str">
        <f>MID(VLOOKUP($A187,Seqs!$A:$B,2,FALSE),VLOOKUP($A187,'SegEnds_NonXtal_Prot#'!$A:$AL,22,FALSE)+9,1)</f>
        <v>P</v>
      </c>
      <c r="AE187" s="50" t="str">
        <f>MID(VLOOKUP($A187,Seqs!$A:$B,2,FALSE),VLOOKUP($A187,'SegEnds_NonXtal_Prot#'!$A:$AL,22,FALSE)+10,1)</f>
        <v>P</v>
      </c>
      <c r="AF187" s="28" t="str">
        <f>MID(VLOOKUP($A187,Seqs!$A:$B,2,FALSE),VLOOKUP($A187,'SegEnds_NonXtal_Prot#'!$A:$AL,28,FALSE)-4,1)</f>
        <v>H</v>
      </c>
      <c r="AG187" s="50" t="str">
        <f>MID(VLOOKUP($A187,Seqs!$A:$B,2,FALSE),VLOOKUP($A187,'SegEnds_NonXtal_Prot#'!$A:$AL,28,FALSE),1)</f>
        <v>P</v>
      </c>
    </row>
    <row r="188" spans="1:33" s="2" customFormat="1" x14ac:dyDescent="0.2">
      <c r="A188" s="2" t="s">
        <v>285</v>
      </c>
      <c r="B188" s="2" t="str">
        <f>LOWER(VLOOKUP(A188,Xtal_Templ!A:B,2,FALSE))</f>
        <v>adrb2_human</v>
      </c>
      <c r="C188" s="2" t="str">
        <f>VLOOKUP(A188,Classification!A:D,2,FALSE)</f>
        <v>A</v>
      </c>
      <c r="D188" s="2" t="str">
        <f>IF(ISERROR(MATCH(A188,'SegEnds_Xtal_Prot#'!B:B, 0)), "NoXtal", "Xtal")</f>
        <v>NoXtal</v>
      </c>
      <c r="G188" s="4"/>
      <c r="S188" s="4" t="s">
        <v>12</v>
      </c>
      <c r="U188" s="28" t="str">
        <f>MID(VLOOKUP($A188,Seqs!$A:$B,2,FALSE),VLOOKUP($A188,'SegEnds_NonXtal_Prot#'!A:AL,10,FALSE),1)</f>
        <v>N</v>
      </c>
      <c r="V188" s="50" t="str">
        <f>MID(VLOOKUP($A188,Seqs!$A:$B,2,FALSE),VLOOKUP($A188,'SegEnds_NonXtal_Prot#'!A:AL,10,FALSE)+6,1)</f>
        <v>S</v>
      </c>
      <c r="W188" s="50" t="str">
        <f>MID(VLOOKUP($A188,Seqs!$A:$B,2,FALSE),VLOOKUP($A188,'SegEnds_NonXtal_Prot#'!A:AL,10,FALSE)+7,1)</f>
        <v>C</v>
      </c>
      <c r="X188" s="50" t="str">
        <f>MID(VLOOKUP($A188,Seqs!$A:$B,2,FALSE),VLOOKUP($A188,'SegEnds_NonXtal_Prot#'!A:AL,10,FALSE)+8,1)</f>
        <v>G</v>
      </c>
      <c r="Y188" s="50" t="str">
        <f>MID(VLOOKUP($A188,Seqs!$A:$B,2,FALSE),VLOOKUP($A188,'SegEnds_NonXtal_Prot#'!A:AL,10,FALSE)+9,1)</f>
        <v>L</v>
      </c>
      <c r="Z188" s="50" t="str">
        <f>MID(VLOOKUP($A188,Seqs!$A:$B,2,FALSE),VLOOKUP($A188,'SegEnds_NonXtal_Prot#'!A:AL,10,FALSE)+10,1)</f>
        <v>L</v>
      </c>
      <c r="AA188" s="28" t="str">
        <f>MID(VLOOKUP($A188,Seqs!$A:$B,2,FALSE),VLOOKUP($A188,'SegEnds_NonXtal_Prot#'!$A:$AL,22,FALSE)+6,1)</f>
        <v>A</v>
      </c>
      <c r="AB188" s="50" t="str">
        <f>MID(VLOOKUP($A188,Seqs!$A:$B,2,FALSE),VLOOKUP($A188,'SegEnds_NonXtal_Prot#'!$A:$AL,22,FALSE)+7,1)</f>
        <v>A</v>
      </c>
      <c r="AC188" s="50" t="str">
        <f>MID(VLOOKUP($A188,Seqs!$A:$B,2,FALSE),VLOOKUP($A188,'SegEnds_NonXtal_Prot#'!$A:$AL,22,FALSE)+8,1)</f>
        <v>A</v>
      </c>
      <c r="AD188" s="50" t="str">
        <f>MID(VLOOKUP($A188,Seqs!$A:$B,2,FALSE),VLOOKUP($A188,'SegEnds_NonXtal_Prot#'!$A:$AL,22,FALSE)+9,1)</f>
        <v>L</v>
      </c>
      <c r="AE188" s="50" t="str">
        <f>MID(VLOOKUP($A188,Seqs!$A:$B,2,FALSE),VLOOKUP($A188,'SegEnds_NonXtal_Prot#'!$A:$AL,22,FALSE)+10,1)</f>
        <v>P</v>
      </c>
      <c r="AF188" s="28" t="str">
        <f>MID(VLOOKUP($A188,Seqs!$A:$B,2,FALSE),VLOOKUP($A188,'SegEnds_NonXtal_Prot#'!$A:$AL,28,FALSE)-4,1)</f>
        <v>M</v>
      </c>
      <c r="AG188" s="50" t="str">
        <f>MID(VLOOKUP($A188,Seqs!$A:$B,2,FALSE),VLOOKUP($A188,'SegEnds_NonXtal_Prot#'!$A:$AL,28,FALSE),1)</f>
        <v>C</v>
      </c>
    </row>
    <row r="189" spans="1:33" s="2" customFormat="1" x14ac:dyDescent="0.2">
      <c r="A189" s="2" t="s">
        <v>338</v>
      </c>
      <c r="B189" s="2" t="str">
        <f>LOWER(VLOOKUP(A189,Xtal_Templ!A:B,2,FALSE))</f>
        <v>opsd_human</v>
      </c>
      <c r="C189" s="2" t="str">
        <f>VLOOKUP(A189,Classification!A:D,2,FALSE)</f>
        <v>A</v>
      </c>
      <c r="D189" s="2" t="str">
        <f>IF(ISERROR(MATCH(A189,'SegEnds_Xtal_Prot#'!B:B, 0)), "NoXtal", "Xtal")</f>
        <v>NoXtal</v>
      </c>
      <c r="G189" s="4"/>
      <c r="Q189" s="2" t="s">
        <v>9</v>
      </c>
      <c r="S189" s="4" t="s">
        <v>12</v>
      </c>
      <c r="U189" s="28" t="str">
        <f>MID(VLOOKUP($A189,Seqs!$A:$B,2,FALSE),VLOOKUP($A189,'SegEnds_NonXtal_Prot#'!A:AL,10,FALSE),1)</f>
        <v>G</v>
      </c>
      <c r="V189" s="50" t="str">
        <f>MID(VLOOKUP($A189,Seqs!$A:$B,2,FALSE),VLOOKUP($A189,'SegEnds_NonXtal_Prot#'!A:AL,10,FALSE)+6,1)</f>
        <v>F</v>
      </c>
      <c r="W189" s="50" t="str">
        <f>MID(VLOOKUP($A189,Seqs!$A:$B,2,FALSE),VLOOKUP($A189,'SegEnds_NonXtal_Prot#'!A:AL,10,FALSE)+7,1)</f>
        <v>S</v>
      </c>
      <c r="X189" s="50" t="str">
        <f>MID(VLOOKUP($A189,Seqs!$A:$B,2,FALSE),VLOOKUP($A189,'SegEnds_NonXtal_Prot#'!A:AL,10,FALSE)+8,1)</f>
        <v>V</v>
      </c>
      <c r="Y189" s="50" t="str">
        <f>MID(VLOOKUP($A189,Seqs!$A:$B,2,FALSE),VLOOKUP($A189,'SegEnds_NonXtal_Prot#'!A:AL,10,FALSE)+9,1)</f>
        <v>F</v>
      </c>
      <c r="Z189" s="50" t="str">
        <f>MID(VLOOKUP($A189,Seqs!$A:$B,2,FALSE),VLOOKUP($A189,'SegEnds_NonXtal_Prot#'!A:AL,10,FALSE)+10,1)</f>
        <v>P</v>
      </c>
      <c r="AA189" s="28" t="str">
        <f>MID(VLOOKUP($A189,Seqs!$A:$B,2,FALSE),VLOOKUP($A189,'SegEnds_NonXtal_Prot#'!$A:$AL,22,FALSE)+6,1)</f>
        <v>V</v>
      </c>
      <c r="AB189" s="50" t="str">
        <f>MID(VLOOKUP($A189,Seqs!$A:$B,2,FALSE),VLOOKUP($A189,'SegEnds_NonXtal_Prot#'!$A:$AL,22,FALSE)+7,1)</f>
        <v>S</v>
      </c>
      <c r="AC189" s="50" t="str">
        <f>MID(VLOOKUP($A189,Seqs!$A:$B,2,FALSE),VLOOKUP($A189,'SegEnds_NonXtal_Prot#'!$A:$AL,22,FALSE)+8,1)</f>
        <v>I</v>
      </c>
      <c r="AD189" s="50" t="str">
        <f>MID(VLOOKUP($A189,Seqs!$A:$B,2,FALSE),VLOOKUP($A189,'SegEnds_NonXtal_Prot#'!$A:$AL,22,FALSE)+9,1)</f>
        <v>P</v>
      </c>
      <c r="AE189" s="50" t="str">
        <f>MID(VLOOKUP($A189,Seqs!$A:$B,2,FALSE),VLOOKUP($A189,'SegEnds_NonXtal_Prot#'!$A:$AL,22,FALSE)+10,1)</f>
        <v>P</v>
      </c>
      <c r="AF189" s="28" t="str">
        <f>MID(VLOOKUP($A189,Seqs!$A:$B,2,FALSE),VLOOKUP($A189,'SegEnds_NonXtal_Prot#'!$A:$AL,28,FALSE)-4,1)</f>
        <v>C</v>
      </c>
      <c r="AG189" s="50" t="str">
        <f>MID(VLOOKUP($A189,Seqs!$A:$B,2,FALSE),VLOOKUP($A189,'SegEnds_NonXtal_Prot#'!$A:$AL,28,FALSE),1)</f>
        <v>P</v>
      </c>
    </row>
    <row r="190" spans="1:33" s="2" customFormat="1" x14ac:dyDescent="0.2">
      <c r="A190" s="2" t="s">
        <v>339</v>
      </c>
      <c r="B190" s="2" t="str">
        <f>LOWER(VLOOKUP(A190,Xtal_Templ!A:B,2,FALSE))</f>
        <v>opsd_human</v>
      </c>
      <c r="C190" s="2" t="str">
        <f>VLOOKUP(A190,Classification!A:D,2,FALSE)</f>
        <v>A</v>
      </c>
      <c r="D190" s="2" t="str">
        <f>IF(ISERROR(MATCH(A190,'SegEnds_Xtal_Prot#'!B:B, 0)), "NoXtal", "Xtal")</f>
        <v>Xtal</v>
      </c>
      <c r="F190" s="2" t="s">
        <v>5</v>
      </c>
      <c r="G190" s="4"/>
      <c r="Q190" s="2" t="s">
        <v>9</v>
      </c>
      <c r="S190" s="4" t="s">
        <v>12</v>
      </c>
      <c r="U190" s="28" t="str">
        <f>MID(VLOOKUP($A190,Seqs!$A:$B,2,FALSE),VLOOKUP($A190,'SegEnds_NonXtal_Prot#'!A:AL,10,FALSE),1)</f>
        <v>D</v>
      </c>
      <c r="V190" s="50" t="str">
        <f>MID(VLOOKUP($A190,Seqs!$A:$B,2,FALSE),VLOOKUP($A190,'SegEnds_NonXtal_Prot#'!A:AL,10,FALSE)+6,1)</f>
        <v>G</v>
      </c>
      <c r="W190" s="50" t="str">
        <f>MID(VLOOKUP($A190,Seqs!$A:$B,2,FALSE),VLOOKUP($A190,'SegEnds_NonXtal_Prot#'!A:AL,10,FALSE)+7,1)</f>
        <v>G</v>
      </c>
      <c r="X190" s="50" t="str">
        <f>MID(VLOOKUP($A190,Seqs!$A:$B,2,FALSE),VLOOKUP($A190,'SegEnds_NonXtal_Prot#'!A:AL,10,FALSE)+8,1)</f>
        <v>F</v>
      </c>
      <c r="Y190" s="50" t="str">
        <f>MID(VLOOKUP($A190,Seqs!$A:$B,2,FALSE),VLOOKUP($A190,'SegEnds_NonXtal_Prot#'!A:AL,10,FALSE)+9,1)</f>
        <v>T</v>
      </c>
      <c r="Z190" s="50" t="str">
        <f>MID(VLOOKUP($A190,Seqs!$A:$B,2,FALSE),VLOOKUP($A190,'SegEnds_NonXtal_Prot#'!A:AL,10,FALSE)+10,1)</f>
        <v>S</v>
      </c>
      <c r="AA190" s="28" t="str">
        <f>MID(VLOOKUP($A190,Seqs!$A:$B,2,FALSE),VLOOKUP($A190,'SegEnds_NonXtal_Prot#'!$A:$AL,22,FALSE)+6,1)</f>
        <v>C</v>
      </c>
      <c r="AB190" s="50" t="str">
        <f>MID(VLOOKUP($A190,Seqs!$A:$B,2,FALSE),VLOOKUP($A190,'SegEnds_NonXtal_Prot#'!$A:$AL,22,FALSE)+7,1)</f>
        <v>A</v>
      </c>
      <c r="AC190" s="50" t="str">
        <f>MID(VLOOKUP($A190,Seqs!$A:$B,2,FALSE),VLOOKUP($A190,'SegEnds_NonXtal_Prot#'!$A:$AL,22,FALSE)+8,1)</f>
        <v>A</v>
      </c>
      <c r="AD190" s="50" t="str">
        <f>MID(VLOOKUP($A190,Seqs!$A:$B,2,FALSE),VLOOKUP($A190,'SegEnds_NonXtal_Prot#'!$A:$AL,22,FALSE)+9,1)</f>
        <v>P</v>
      </c>
      <c r="AE190" s="50" t="str">
        <f>MID(VLOOKUP($A190,Seqs!$A:$B,2,FALSE),VLOOKUP($A190,'SegEnds_NonXtal_Prot#'!$A:$AL,22,FALSE)+10,1)</f>
        <v>P</v>
      </c>
      <c r="AF190" s="28" t="str">
        <f>MID(VLOOKUP($A190,Seqs!$A:$B,2,FALSE),VLOOKUP($A190,'SegEnds_NonXtal_Prot#'!$A:$AL,28,FALSE)-4,1)</f>
        <v>H</v>
      </c>
      <c r="AG190" s="50" t="str">
        <f>MID(VLOOKUP($A190,Seqs!$A:$B,2,FALSE),VLOOKUP($A190,'SegEnds_NonXtal_Prot#'!$A:$AL,28,FALSE),1)</f>
        <v>P</v>
      </c>
    </row>
    <row r="191" spans="1:33" s="2" customFormat="1" x14ac:dyDescent="0.2">
      <c r="A191" s="2" t="s">
        <v>340</v>
      </c>
      <c r="B191" s="2" t="str">
        <f>LOWER(VLOOKUP(A191,Xtal_Templ!A:B,2,FALSE))</f>
        <v>opsd_human</v>
      </c>
      <c r="C191" s="2" t="str">
        <f>VLOOKUP(A191,Classification!A:D,2,FALSE)</f>
        <v>A</v>
      </c>
      <c r="D191" s="2" t="str">
        <f>IF(ISERROR(MATCH(A191,'SegEnds_Xtal_Prot#'!B:B, 0)), "NoXtal", "Xtal")</f>
        <v>NoXtal</v>
      </c>
      <c r="G191" s="4"/>
      <c r="Q191" s="2" t="s">
        <v>9</v>
      </c>
      <c r="S191" s="4" t="s">
        <v>12</v>
      </c>
      <c r="U191" s="28" t="str">
        <f>MID(VLOOKUP($A191,Seqs!$A:$B,2,FALSE),VLOOKUP($A191,'SegEnds_NonXtal_Prot#'!A:AL,10,FALSE),1)</f>
        <v>D</v>
      </c>
      <c r="V191" s="50" t="str">
        <f>MID(VLOOKUP($A191,Seqs!$A:$B,2,FALSE),VLOOKUP($A191,'SegEnds_NonXtal_Prot#'!A:AL,10,FALSE)+6,1)</f>
        <v>I</v>
      </c>
      <c r="W191" s="50" t="str">
        <f>MID(VLOOKUP($A191,Seqs!$A:$B,2,FALSE),VLOOKUP($A191,'SegEnds_NonXtal_Prot#'!A:AL,10,FALSE)+7,1)</f>
        <v>A</v>
      </c>
      <c r="X191" s="50" t="str">
        <f>MID(VLOOKUP($A191,Seqs!$A:$B,2,FALSE),VLOOKUP($A191,'SegEnds_NonXtal_Prot#'!A:AL,10,FALSE)+8,1)</f>
        <v>S</v>
      </c>
      <c r="Y191" s="50" t="str">
        <f>MID(VLOOKUP($A191,Seqs!$A:$B,2,FALSE),VLOOKUP($A191,'SegEnds_NonXtal_Prot#'!A:AL,10,FALSE)+9,1)</f>
        <v>T</v>
      </c>
      <c r="Z191" s="50" t="str">
        <f>MID(VLOOKUP($A191,Seqs!$A:$B,2,FALSE),VLOOKUP($A191,'SegEnds_NonXtal_Prot#'!A:AL,10,FALSE)+10,1)</f>
        <v>I</v>
      </c>
      <c r="AA191" s="28" t="str">
        <f>MID(VLOOKUP($A191,Seqs!$A:$B,2,FALSE),VLOOKUP($A191,'SegEnds_NonXtal_Prot#'!$A:$AL,22,FALSE)+6,1)</f>
        <v>W</v>
      </c>
      <c r="AB191" s="50" t="str">
        <f>MID(VLOOKUP($A191,Seqs!$A:$B,2,FALSE),VLOOKUP($A191,'SegEnds_NonXtal_Prot#'!$A:$AL,22,FALSE)+7,1)</f>
        <v>T</v>
      </c>
      <c r="AC191" s="50" t="str">
        <f>MID(VLOOKUP($A191,Seqs!$A:$B,2,FALSE),VLOOKUP($A191,'SegEnds_NonXtal_Prot#'!$A:$AL,22,FALSE)+8,1)</f>
        <v>A</v>
      </c>
      <c r="AD191" s="50" t="str">
        <f>MID(VLOOKUP($A191,Seqs!$A:$B,2,FALSE),VLOOKUP($A191,'SegEnds_NonXtal_Prot#'!$A:$AL,22,FALSE)+9,1)</f>
        <v>P</v>
      </c>
      <c r="AE191" s="50" t="str">
        <f>MID(VLOOKUP($A191,Seqs!$A:$B,2,FALSE),VLOOKUP($A191,'SegEnds_NonXtal_Prot#'!$A:$AL,22,FALSE)+10,1)</f>
        <v>P</v>
      </c>
      <c r="AF191" s="28" t="str">
        <f>MID(VLOOKUP($A191,Seqs!$A:$B,2,FALSE),VLOOKUP($A191,'SegEnds_NonXtal_Prot#'!$A:$AL,28,FALSE)-4,1)</f>
        <v>C</v>
      </c>
      <c r="AG191" s="50" t="str">
        <f>MID(VLOOKUP($A191,Seqs!$A:$B,2,FALSE),VLOOKUP($A191,'SegEnds_NonXtal_Prot#'!$A:$AL,28,FALSE),1)</f>
        <v>P</v>
      </c>
    </row>
    <row r="192" spans="1:33" s="2" customFormat="1" x14ac:dyDescent="0.2">
      <c r="A192" s="2" t="s">
        <v>341</v>
      </c>
      <c r="B192" s="2" t="str">
        <f>LOWER(VLOOKUP(A192,Xtal_Templ!A:B,2,FALSE))</f>
        <v>opsd_bovin</v>
      </c>
      <c r="C192" s="2" t="str">
        <f>VLOOKUP(A192,Classification!A:D,2,FALSE)</f>
        <v>A</v>
      </c>
      <c r="D192" s="2" t="str">
        <f>IF(ISERROR(MATCH(A192,'SegEnds_Xtal_Prot#'!B:B, 0)), "NoXtal", "Xtal")</f>
        <v>NoXtal</v>
      </c>
      <c r="G192" s="4"/>
      <c r="Q192" s="2" t="s">
        <v>9</v>
      </c>
      <c r="S192" s="4" t="s">
        <v>12</v>
      </c>
      <c r="U192" s="28" t="str">
        <f>MID(VLOOKUP($A192,Seqs!$A:$B,2,FALSE),VLOOKUP($A192,'SegEnds_NonXtal_Prot#'!A:AL,10,FALSE),1)</f>
        <v>D</v>
      </c>
      <c r="V192" s="50" t="str">
        <f>MID(VLOOKUP($A192,Seqs!$A:$B,2,FALSE),VLOOKUP($A192,'SegEnds_NonXtal_Prot#'!A:AL,10,FALSE)+6,1)</f>
        <v>I</v>
      </c>
      <c r="W192" s="50" t="str">
        <f>MID(VLOOKUP($A192,Seqs!$A:$B,2,FALSE),VLOOKUP($A192,'SegEnds_NonXtal_Prot#'!A:AL,10,FALSE)+7,1)</f>
        <v>A</v>
      </c>
      <c r="X192" s="50" t="str">
        <f>MID(VLOOKUP($A192,Seqs!$A:$B,2,FALSE),VLOOKUP($A192,'SegEnds_NonXtal_Prot#'!A:AL,10,FALSE)+8,1)</f>
        <v>S</v>
      </c>
      <c r="Y192" s="50" t="str">
        <f>MID(VLOOKUP($A192,Seqs!$A:$B,2,FALSE),VLOOKUP($A192,'SegEnds_NonXtal_Prot#'!A:AL,10,FALSE)+9,1)</f>
        <v>T</v>
      </c>
      <c r="Z192" s="50" t="str">
        <f>MID(VLOOKUP($A192,Seqs!$A:$B,2,FALSE),VLOOKUP($A192,'SegEnds_NonXtal_Prot#'!A:AL,10,FALSE)+10,1)</f>
        <v>I</v>
      </c>
      <c r="AA192" s="28" t="str">
        <f>MID(VLOOKUP($A192,Seqs!$A:$B,2,FALSE),VLOOKUP($A192,'SegEnds_NonXtal_Prot#'!$A:$AL,22,FALSE)+6,1)</f>
        <v>W</v>
      </c>
      <c r="AB192" s="50" t="str">
        <f>MID(VLOOKUP($A192,Seqs!$A:$B,2,FALSE),VLOOKUP($A192,'SegEnds_NonXtal_Prot#'!$A:$AL,22,FALSE)+7,1)</f>
        <v>T</v>
      </c>
      <c r="AC192" s="50" t="str">
        <f>MID(VLOOKUP($A192,Seqs!$A:$B,2,FALSE),VLOOKUP($A192,'SegEnds_NonXtal_Prot#'!$A:$AL,22,FALSE)+8,1)</f>
        <v>A</v>
      </c>
      <c r="AD192" s="50" t="str">
        <f>MID(VLOOKUP($A192,Seqs!$A:$B,2,FALSE),VLOOKUP($A192,'SegEnds_NonXtal_Prot#'!$A:$AL,22,FALSE)+9,1)</f>
        <v>P</v>
      </c>
      <c r="AE192" s="50" t="str">
        <f>MID(VLOOKUP($A192,Seqs!$A:$B,2,FALSE),VLOOKUP($A192,'SegEnds_NonXtal_Prot#'!$A:$AL,22,FALSE)+10,1)</f>
        <v>P</v>
      </c>
      <c r="AF192" s="28" t="str">
        <f>MID(VLOOKUP($A192,Seqs!$A:$B,2,FALSE),VLOOKUP($A192,'SegEnds_NonXtal_Prot#'!$A:$AL,28,FALSE)-4,1)</f>
        <v>C</v>
      </c>
      <c r="AG192" s="50" t="str">
        <f>MID(VLOOKUP($A192,Seqs!$A:$B,2,FALSE),VLOOKUP($A192,'SegEnds_NonXtal_Prot#'!$A:$AL,28,FALSE),1)</f>
        <v>P</v>
      </c>
    </row>
    <row r="193" spans="1:33" s="2" customFormat="1" x14ac:dyDescent="0.2">
      <c r="A193" s="2" t="s">
        <v>922</v>
      </c>
      <c r="B193" s="2" t="str">
        <f>LOWER(VLOOKUP(A193,Xtal_Templ!A:B,2,FALSE))</f>
        <v>opsd_todpa</v>
      </c>
      <c r="C193" s="2" t="str">
        <f>VLOOKUP(A193,Classification!A:D,2,FALSE)</f>
        <v>A</v>
      </c>
      <c r="D193" s="2" t="str">
        <f>IF(ISERROR(MATCH(A193,'SegEnds_Xtal_Prot#'!B:B, 0)), "NoXtal", "Xtal")</f>
        <v>Xtal</v>
      </c>
      <c r="G193" s="4" t="s">
        <v>1370</v>
      </c>
      <c r="Q193" s="2" t="s">
        <v>9</v>
      </c>
      <c r="S193" s="4" t="s">
        <v>12</v>
      </c>
      <c r="U193" s="28" t="str">
        <f>MID(VLOOKUP($A193,Seqs!$A:$B,2,FALSE),VLOOKUP($A193,'SegEnds_NonXtal_Prot#'!A:AL,10,FALSE),1)</f>
        <v>D</v>
      </c>
      <c r="V193" s="50" t="str">
        <f>MID(VLOOKUP($A193,Seqs!$A:$B,2,FALSE),VLOOKUP($A193,'SegEnds_NonXtal_Prot#'!A:AL,10,FALSE)+6,1)</f>
        <v>V</v>
      </c>
      <c r="W193" s="50" t="str">
        <f>MID(VLOOKUP($A193,Seqs!$A:$B,2,FALSE),VLOOKUP($A193,'SegEnds_NonXtal_Prot#'!A:AL,10,FALSE)+7,1)</f>
        <v>N</v>
      </c>
      <c r="X193" s="50" t="str">
        <f>MID(VLOOKUP($A193,Seqs!$A:$B,2,FALSE),VLOOKUP($A193,'SegEnds_NonXtal_Prot#'!A:AL,10,FALSE)+8,1)</f>
        <v>G</v>
      </c>
      <c r="Y193" s="50" t="str">
        <f>MID(VLOOKUP($A193,Seqs!$A:$B,2,FALSE),VLOOKUP($A193,'SegEnds_NonXtal_Prot#'!A:AL,10,FALSE)+9,1)</f>
        <v>F</v>
      </c>
      <c r="Z193" s="50" t="str">
        <f>MID(VLOOKUP($A193,Seqs!$A:$B,2,FALSE),VLOOKUP($A193,'SegEnds_NonXtal_Prot#'!A:AL,10,FALSE)+10,1)</f>
        <v>P</v>
      </c>
      <c r="AA193" s="28" t="str">
        <f>MID(VLOOKUP($A193,Seqs!$A:$B,2,FALSE),VLOOKUP($A193,'SegEnds_NonXtal_Prot#'!$A:$AL,22,FALSE)+6,1)</f>
        <v>W</v>
      </c>
      <c r="AB193" s="50" t="str">
        <f>MID(VLOOKUP($A193,Seqs!$A:$B,2,FALSE),VLOOKUP($A193,'SegEnds_NonXtal_Prot#'!$A:$AL,22,FALSE)+7,1)</f>
        <v>A</v>
      </c>
      <c r="AC193" s="50" t="str">
        <f>MID(VLOOKUP($A193,Seqs!$A:$B,2,FALSE),VLOOKUP($A193,'SegEnds_NonXtal_Prot#'!$A:$AL,22,FALSE)+8,1)</f>
        <v>I</v>
      </c>
      <c r="AD193" s="50" t="str">
        <f>MID(VLOOKUP($A193,Seqs!$A:$B,2,FALSE),VLOOKUP($A193,'SegEnds_NonXtal_Prot#'!$A:$AL,22,FALSE)+9,1)</f>
        <v>G</v>
      </c>
      <c r="AE193" s="50" t="str">
        <f>MID(VLOOKUP($A193,Seqs!$A:$B,2,FALSE),VLOOKUP($A193,'SegEnds_NonXtal_Prot#'!$A:$AL,22,FALSE)+10,1)</f>
        <v>P</v>
      </c>
      <c r="AF193" s="28" t="str">
        <f>MID(VLOOKUP($A193,Seqs!$A:$B,2,FALSE),VLOOKUP($A193,'SegEnds_NonXtal_Prot#'!$A:$AL,28,FALSE)-4,1)</f>
        <v>G</v>
      </c>
      <c r="AG193" s="50" t="str">
        <f>MID(VLOOKUP($A193,Seqs!$A:$B,2,FALSE),VLOOKUP($A193,'SegEnds_NonXtal_Prot#'!$A:$AL,28,FALSE),1)</f>
        <v>P</v>
      </c>
    </row>
    <row r="194" spans="1:33" s="2" customFormat="1" x14ac:dyDescent="0.2">
      <c r="A194" s="2" t="s">
        <v>215</v>
      </c>
      <c r="B194" s="2" t="str">
        <f>LOWER(VLOOKUP(A194,Xtal_Templ!A:B,2,FALSE))</f>
        <v>ox1r_human</v>
      </c>
      <c r="C194" s="2" t="str">
        <f>VLOOKUP(A194,Classification!A:D,2,FALSE)</f>
        <v>A</v>
      </c>
      <c r="D194" s="2" t="str">
        <f>IF(ISERROR(MATCH(A194,'SegEnds_Xtal_Prot#'!B:B, 0)), "NoXtal", "Xtal")</f>
        <v>NoXtal</v>
      </c>
      <c r="F194" s="2" t="s">
        <v>5</v>
      </c>
      <c r="G194" s="4"/>
      <c r="M194" s="2" t="s">
        <v>14</v>
      </c>
      <c r="Q194" s="2" t="s">
        <v>9</v>
      </c>
      <c r="S194" s="4" t="s">
        <v>12</v>
      </c>
      <c r="U194" s="28" t="str">
        <f>MID(VLOOKUP($A194,Seqs!$A:$B,2,FALSE),VLOOKUP($A194,'SegEnds_NonXtal_Prot#'!A:AL,10,FALSE),1)</f>
        <v>D</v>
      </c>
      <c r="V194" s="50" t="str">
        <f>MID(VLOOKUP($A194,Seqs!$A:$B,2,FALSE),VLOOKUP($A194,'SegEnds_NonXtal_Prot#'!A:AL,10,FALSE)+6,1)</f>
        <v>L</v>
      </c>
      <c r="W194" s="50" t="str">
        <f>MID(VLOOKUP($A194,Seqs!$A:$B,2,FALSE),VLOOKUP($A194,'SegEnds_NonXtal_Prot#'!A:AL,10,FALSE)+7,1)</f>
        <v>C</v>
      </c>
      <c r="X194" s="50" t="str">
        <f>MID(VLOOKUP($A194,Seqs!$A:$B,2,FALSE),VLOOKUP($A194,'SegEnds_NonXtal_Prot#'!A:AL,10,FALSE)+8,1)</f>
        <v>L</v>
      </c>
      <c r="Y194" s="50" t="str">
        <f>MID(VLOOKUP($A194,Seqs!$A:$B,2,FALSE),VLOOKUP($A194,'SegEnds_NonXtal_Prot#'!A:AL,10,FALSE)+9,1)</f>
        <v>P</v>
      </c>
      <c r="Z194" s="50" t="str">
        <f>MID(VLOOKUP($A194,Seqs!$A:$B,2,FALSE),VLOOKUP($A194,'SegEnds_NonXtal_Prot#'!A:AL,10,FALSE)+10,1)</f>
        <v>A</v>
      </c>
      <c r="AA194" s="28" t="str">
        <f>MID(VLOOKUP($A194,Seqs!$A:$B,2,FALSE),VLOOKUP($A194,'SegEnds_NonXtal_Prot#'!$A:$AL,22,FALSE)+6,1)</f>
        <v>F</v>
      </c>
      <c r="AB194" s="50" t="str">
        <f>MID(VLOOKUP($A194,Seqs!$A:$B,2,FALSE),VLOOKUP($A194,'SegEnds_NonXtal_Prot#'!$A:$AL,22,FALSE)+7,1)</f>
        <v>S</v>
      </c>
      <c r="AC194" s="50" t="str">
        <f>MID(VLOOKUP($A194,Seqs!$A:$B,2,FALSE),VLOOKUP($A194,'SegEnds_NonXtal_Prot#'!$A:$AL,22,FALSE)+8,1)</f>
        <v>L</v>
      </c>
      <c r="AD194" s="50" t="str">
        <f>MID(VLOOKUP($A194,Seqs!$A:$B,2,FALSE),VLOOKUP($A194,'SegEnds_NonXtal_Prot#'!$A:$AL,22,FALSE)+9,1)</f>
        <v>P</v>
      </c>
      <c r="AE194" s="50" t="str">
        <f>MID(VLOOKUP($A194,Seqs!$A:$B,2,FALSE),VLOOKUP($A194,'SegEnds_NonXtal_Prot#'!$A:$AL,22,FALSE)+10,1)</f>
        <v>W</v>
      </c>
      <c r="AF194" s="28" t="str">
        <f>MID(VLOOKUP($A194,Seqs!$A:$B,2,FALSE),VLOOKUP($A194,'SegEnds_NonXtal_Prot#'!$A:$AL,28,FALSE)-4,1)</f>
        <v>C</v>
      </c>
      <c r="AG194" s="50" t="str">
        <f>MID(VLOOKUP($A194,Seqs!$A:$B,2,FALSE),VLOOKUP($A194,'SegEnds_NonXtal_Prot#'!$A:$AL,28,FALSE),1)</f>
        <v>P</v>
      </c>
    </row>
    <row r="195" spans="1:33" s="2" customFormat="1" x14ac:dyDescent="0.2">
      <c r="A195" s="2" t="s">
        <v>222</v>
      </c>
      <c r="B195" s="2" t="str">
        <f>LOWER(VLOOKUP(A195,Xtal_Templ!A:B,2,FALSE))</f>
        <v>ox2r_human</v>
      </c>
      <c r="C195" s="2" t="str">
        <f>VLOOKUP(A195,Classification!A:D,2,FALSE)</f>
        <v>A</v>
      </c>
      <c r="D195" s="2" t="str">
        <f>IF(ISERROR(MATCH(A195,'SegEnds_Xtal_Prot#'!B:B, 0)), "NoXtal", "Xtal")</f>
        <v>NoXtal</v>
      </c>
      <c r="G195" s="4"/>
      <c r="Q195" s="2" t="s">
        <v>9</v>
      </c>
      <c r="S195" s="4" t="s">
        <v>12</v>
      </c>
      <c r="U195" s="28" t="str">
        <f>MID(VLOOKUP($A195,Seqs!$A:$B,2,FALSE),VLOOKUP($A195,'SegEnds_NonXtal_Prot#'!A:AL,10,FALSE),1)</f>
        <v>D</v>
      </c>
      <c r="V195" s="50" t="str">
        <f>MID(VLOOKUP($A195,Seqs!$A:$B,2,FALSE),VLOOKUP($A195,'SegEnds_NonXtal_Prot#'!A:AL,10,FALSE)+6,1)</f>
        <v>G</v>
      </c>
      <c r="W195" s="50" t="str">
        <f>MID(VLOOKUP($A195,Seqs!$A:$B,2,FALSE),VLOOKUP($A195,'SegEnds_NonXtal_Prot#'!A:AL,10,FALSE)+7,1)</f>
        <v>T</v>
      </c>
      <c r="X195" s="50" t="str">
        <f>MID(VLOOKUP($A195,Seqs!$A:$B,2,FALSE),VLOOKUP($A195,'SegEnds_NonXtal_Prot#'!A:AL,10,FALSE)+8,1)</f>
        <v>A</v>
      </c>
      <c r="Y195" s="50" t="str">
        <f>MID(VLOOKUP($A195,Seqs!$A:$B,2,FALSE),VLOOKUP($A195,'SegEnds_NonXtal_Prot#'!A:AL,10,FALSE)+9,1)</f>
        <v>L</v>
      </c>
      <c r="Z195" s="50" t="str">
        <f>MID(VLOOKUP($A195,Seqs!$A:$B,2,FALSE),VLOOKUP($A195,'SegEnds_NonXtal_Prot#'!A:AL,10,FALSE)+10,1)</f>
        <v>S</v>
      </c>
      <c r="AA195" s="28" t="str">
        <f>MID(VLOOKUP($A195,Seqs!$A:$B,2,FALSE),VLOOKUP($A195,'SegEnds_NonXtal_Prot#'!$A:$AL,22,FALSE)+6,1)</f>
        <v>L</v>
      </c>
      <c r="AB195" s="50" t="str">
        <f>MID(VLOOKUP($A195,Seqs!$A:$B,2,FALSE),VLOOKUP($A195,'SegEnds_NonXtal_Prot#'!$A:$AL,22,FALSE)+7,1)</f>
        <v>A</v>
      </c>
      <c r="AC195" s="50" t="str">
        <f>MID(VLOOKUP($A195,Seqs!$A:$B,2,FALSE),VLOOKUP($A195,'SegEnds_NonXtal_Prot#'!$A:$AL,22,FALSE)+8,1)</f>
        <v>L</v>
      </c>
      <c r="AD195" s="50" t="str">
        <f>MID(VLOOKUP($A195,Seqs!$A:$B,2,FALSE),VLOOKUP($A195,'SegEnds_NonXtal_Prot#'!$A:$AL,22,FALSE)+9,1)</f>
        <v>P</v>
      </c>
      <c r="AE195" s="50" t="str">
        <f>MID(VLOOKUP($A195,Seqs!$A:$B,2,FALSE),VLOOKUP($A195,'SegEnds_NonXtal_Prot#'!$A:$AL,22,FALSE)+10,1)</f>
        <v>P</v>
      </c>
      <c r="AF195" s="28" t="str">
        <f>MID(VLOOKUP($A195,Seqs!$A:$B,2,FALSE),VLOOKUP($A195,'SegEnds_NonXtal_Prot#'!$A:$AL,28,FALSE)-4,1)</f>
        <v>G</v>
      </c>
      <c r="AG195" s="50" t="str">
        <f>MID(VLOOKUP($A195,Seqs!$A:$B,2,FALSE),VLOOKUP($A195,'SegEnds_NonXtal_Prot#'!$A:$AL,28,FALSE),1)</f>
        <v>P</v>
      </c>
    </row>
    <row r="196" spans="1:33" s="2" customFormat="1" x14ac:dyDescent="0.2">
      <c r="A196" s="2" t="s">
        <v>232</v>
      </c>
      <c r="B196" s="2" t="str">
        <f>LOWER(VLOOKUP(A196,Xtal_Templ!A:B,2,FALSE))</f>
        <v>ox1r_human</v>
      </c>
      <c r="C196" s="2" t="str">
        <f>VLOOKUP(A196,Classification!A:D,2,FALSE)</f>
        <v>A</v>
      </c>
      <c r="D196" s="2" t="str">
        <f>IF(ISERROR(MATCH(A196,'SegEnds_Xtal_Prot#'!B:B, 0)), "NoXtal", "Xtal")</f>
        <v>NoXtal</v>
      </c>
      <c r="F196" s="2" t="s">
        <v>5</v>
      </c>
      <c r="G196" s="4"/>
      <c r="M196" s="2" t="s">
        <v>14</v>
      </c>
      <c r="Q196" s="2" t="s">
        <v>9</v>
      </c>
      <c r="S196" s="4" t="s">
        <v>12</v>
      </c>
      <c r="U196" s="28" t="str">
        <f>MID(VLOOKUP($A196,Seqs!$A:$B,2,FALSE),VLOOKUP($A196,'SegEnds_NonXtal_Prot#'!A:AL,10,FALSE),1)</f>
        <v>G</v>
      </c>
      <c r="V196" s="50" t="str">
        <f>MID(VLOOKUP($A196,Seqs!$A:$B,2,FALSE),VLOOKUP($A196,'SegEnds_NonXtal_Prot#'!A:AL,10,FALSE)+6,1)</f>
        <v>V</v>
      </c>
      <c r="W196" s="50" t="str">
        <f>MID(VLOOKUP($A196,Seqs!$A:$B,2,FALSE),VLOOKUP($A196,'SegEnds_NonXtal_Prot#'!A:AL,10,FALSE)+7,1)</f>
        <v>C</v>
      </c>
      <c r="X196" s="50" t="str">
        <f>MID(VLOOKUP($A196,Seqs!$A:$B,2,FALSE),VLOOKUP($A196,'SegEnds_NonXtal_Prot#'!A:AL,10,FALSE)+8,1)</f>
        <v>V</v>
      </c>
      <c r="Y196" s="50" t="str">
        <f>MID(VLOOKUP($A196,Seqs!$A:$B,2,FALSE),VLOOKUP($A196,'SegEnds_NonXtal_Prot#'!A:AL,10,FALSE)+9,1)</f>
        <v>P</v>
      </c>
      <c r="Z196" s="50" t="str">
        <f>MID(VLOOKUP($A196,Seqs!$A:$B,2,FALSE),VLOOKUP($A196,'SegEnds_NonXtal_Prot#'!A:AL,10,FALSE)+10,1)</f>
        <v>F</v>
      </c>
      <c r="AA196" s="28" t="str">
        <f>MID(VLOOKUP($A196,Seqs!$A:$B,2,FALSE),VLOOKUP($A196,'SegEnds_NonXtal_Prot#'!$A:$AL,22,FALSE)+6,1)</f>
        <v>A</v>
      </c>
      <c r="AB196" s="50" t="str">
        <f>MID(VLOOKUP($A196,Seqs!$A:$B,2,FALSE),VLOOKUP($A196,'SegEnds_NonXtal_Prot#'!$A:$AL,22,FALSE)+7,1)</f>
        <v>S</v>
      </c>
      <c r="AC196" s="50" t="str">
        <f>MID(VLOOKUP($A196,Seqs!$A:$B,2,FALSE),VLOOKUP($A196,'SegEnds_NonXtal_Prot#'!$A:$AL,22,FALSE)+8,1)</f>
        <v>V</v>
      </c>
      <c r="AD196" s="50" t="str">
        <f>MID(VLOOKUP($A196,Seqs!$A:$B,2,FALSE),VLOOKUP($A196,'SegEnds_NonXtal_Prot#'!$A:$AL,22,FALSE)+9,1)</f>
        <v>P</v>
      </c>
      <c r="AE196" s="50" t="str">
        <f>MID(VLOOKUP($A196,Seqs!$A:$B,2,FALSE),VLOOKUP($A196,'SegEnds_NonXtal_Prot#'!$A:$AL,22,FALSE)+10,1)</f>
        <v>V</v>
      </c>
      <c r="AF196" s="28" t="str">
        <f>MID(VLOOKUP($A196,Seqs!$A:$B,2,FALSE),VLOOKUP($A196,'SegEnds_NonXtal_Prot#'!$A:$AL,28,FALSE)-4,1)</f>
        <v>T</v>
      </c>
      <c r="AG196" s="50" t="str">
        <f>MID(VLOOKUP($A196,Seqs!$A:$B,2,FALSE),VLOOKUP($A196,'SegEnds_NonXtal_Prot#'!$A:$AL,28,FALSE),1)</f>
        <v>P</v>
      </c>
    </row>
    <row r="197" spans="1:33" s="2" customFormat="1" x14ac:dyDescent="0.2">
      <c r="A197" s="2" t="s">
        <v>267</v>
      </c>
      <c r="B197" s="2" t="str">
        <f>LOWER(VLOOKUP(A197,Xtal_Templ!A:B,2,FALSE))</f>
        <v>ox1r_human</v>
      </c>
      <c r="C197" s="2" t="str">
        <f>VLOOKUP(A197,Classification!A:D,2,FALSE)</f>
        <v>A</v>
      </c>
      <c r="D197" s="2" t="str">
        <f>IF(ISERROR(MATCH(A197,'SegEnds_Xtal_Prot#'!B:B, 0)), "NoXtal", "Xtal")</f>
        <v>NoXtal</v>
      </c>
      <c r="F197" s="2" t="s">
        <v>5</v>
      </c>
      <c r="G197" s="4"/>
      <c r="Q197" s="2" t="s">
        <v>9</v>
      </c>
      <c r="S197" s="4" t="s">
        <v>12</v>
      </c>
      <c r="U197" s="28" t="str">
        <f>MID(VLOOKUP($A197,Seqs!$A:$B,2,FALSE),VLOOKUP($A197,'SegEnds_NonXtal_Prot#'!A:AL,10,FALSE),1)</f>
        <v>H</v>
      </c>
      <c r="V197" s="50" t="str">
        <f>MID(VLOOKUP($A197,Seqs!$A:$B,2,FALSE),VLOOKUP($A197,'SegEnds_NonXtal_Prot#'!A:AL,10,FALSE)+6,1)</f>
        <v>L</v>
      </c>
      <c r="W197" s="50" t="str">
        <f>MID(VLOOKUP($A197,Seqs!$A:$B,2,FALSE),VLOOKUP($A197,'SegEnds_NonXtal_Prot#'!A:AL,10,FALSE)+7,1)</f>
        <v>D</v>
      </c>
      <c r="X197" s="50" t="str">
        <f>MID(VLOOKUP($A197,Seqs!$A:$B,2,FALSE),VLOOKUP($A197,'SegEnds_NonXtal_Prot#'!A:AL,10,FALSE)+8,1)</f>
        <v>M</v>
      </c>
      <c r="Y197" s="50" t="str">
        <f>MID(VLOOKUP($A197,Seqs!$A:$B,2,FALSE),VLOOKUP($A197,'SegEnds_NonXtal_Prot#'!A:AL,10,FALSE)+9,1)</f>
        <v>P</v>
      </c>
      <c r="Z197" s="50" t="str">
        <f>MID(VLOOKUP($A197,Seqs!$A:$B,2,FALSE),VLOOKUP($A197,'SegEnds_NonXtal_Prot#'!A:AL,10,FALSE)+10,1)</f>
        <v>F</v>
      </c>
      <c r="AA197" s="28" t="str">
        <f>MID(VLOOKUP($A197,Seqs!$A:$B,2,FALSE),VLOOKUP($A197,'SegEnds_NonXtal_Prot#'!$A:$AL,22,FALSE)+6,1)</f>
        <v>F</v>
      </c>
      <c r="AB197" s="50" t="str">
        <f>MID(VLOOKUP($A197,Seqs!$A:$B,2,FALSE),VLOOKUP($A197,'SegEnds_NonXtal_Prot#'!$A:$AL,22,FALSE)+7,1)</f>
        <v>S</v>
      </c>
      <c r="AC197" s="50" t="str">
        <f>MID(VLOOKUP($A197,Seqs!$A:$B,2,FALSE),VLOOKUP($A197,'SegEnds_NonXtal_Prot#'!$A:$AL,22,FALSE)+8,1)</f>
        <v>G</v>
      </c>
      <c r="AD197" s="50" t="str">
        <f>MID(VLOOKUP($A197,Seqs!$A:$B,2,FALSE),VLOOKUP($A197,'SegEnds_NonXtal_Prot#'!$A:$AL,22,FALSE)+9,1)</f>
        <v>A</v>
      </c>
      <c r="AE197" s="50" t="str">
        <f>MID(VLOOKUP($A197,Seqs!$A:$B,2,FALSE),VLOOKUP($A197,'SegEnds_NonXtal_Prot#'!$A:$AL,22,FALSE)+10,1)</f>
        <v>A</v>
      </c>
      <c r="AF197" s="28" t="str">
        <f>MID(VLOOKUP($A197,Seqs!$A:$B,2,FALSE),VLOOKUP($A197,'SegEnds_NonXtal_Prot#'!$A:$AL,28,FALSE)-4,1)</f>
        <v>G</v>
      </c>
      <c r="AG197" s="50" t="str">
        <f>MID(VLOOKUP($A197,Seqs!$A:$B,2,FALSE),VLOOKUP($A197,'SegEnds_NonXtal_Prot#'!$A:$AL,28,FALSE),1)</f>
        <v>P</v>
      </c>
    </row>
    <row r="198" spans="1:33" s="2" customFormat="1" x14ac:dyDescent="0.2">
      <c r="A198" s="2" t="s">
        <v>270</v>
      </c>
      <c r="B198" s="2" t="str">
        <f>LOWER(VLOOKUP(A198,Xtal_Templ!A:B,2,FALSE))</f>
        <v>ednrb_human</v>
      </c>
      <c r="C198" s="2" t="str">
        <f>VLOOKUP(A198,Classification!A:D,2,FALSE)</f>
        <v>A</v>
      </c>
      <c r="D198" s="2" t="str">
        <f>IF(ISERROR(MATCH(A198,'SegEnds_Xtal_Prot#'!B:B, 0)), "NoXtal", "Xtal")</f>
        <v>NoXtal</v>
      </c>
      <c r="F198" s="2" t="s">
        <v>5</v>
      </c>
      <c r="G198" s="4"/>
      <c r="M198" s="2" t="s">
        <v>14</v>
      </c>
      <c r="Q198" s="2" t="s">
        <v>9</v>
      </c>
      <c r="S198" s="4" t="s">
        <v>12</v>
      </c>
      <c r="U198" s="28" t="str">
        <f>MID(VLOOKUP($A198,Seqs!$A:$B,2,FALSE),VLOOKUP($A198,'SegEnds_NonXtal_Prot#'!A:AL,10,FALSE),1)</f>
        <v>D</v>
      </c>
      <c r="V198" s="50" t="str">
        <f>MID(VLOOKUP($A198,Seqs!$A:$B,2,FALSE),VLOOKUP($A198,'SegEnds_NonXtal_Prot#'!A:AL,10,FALSE)+6,1)</f>
        <v>L</v>
      </c>
      <c r="W198" s="50" t="str">
        <f>MID(VLOOKUP($A198,Seqs!$A:$B,2,FALSE),VLOOKUP($A198,'SegEnds_NonXtal_Prot#'!A:AL,10,FALSE)+7,1)</f>
        <v>L</v>
      </c>
      <c r="X198" s="50" t="str">
        <f>MID(VLOOKUP($A198,Seqs!$A:$B,2,FALSE),VLOOKUP($A198,'SegEnds_NonXtal_Prot#'!A:AL,10,FALSE)+8,1)</f>
        <v>Q</v>
      </c>
      <c r="Y198" s="50" t="str">
        <f>MID(VLOOKUP($A198,Seqs!$A:$B,2,FALSE),VLOOKUP($A198,'SegEnds_NonXtal_Prot#'!A:AL,10,FALSE)+9,1)</f>
        <v>P</v>
      </c>
      <c r="Z198" s="50" t="str">
        <f>MID(VLOOKUP($A198,Seqs!$A:$B,2,FALSE),VLOOKUP($A198,'SegEnds_NonXtal_Prot#'!A:AL,10,FALSE)+10,1)</f>
        <v>F</v>
      </c>
      <c r="AA198" s="28" t="str">
        <f>MID(VLOOKUP($A198,Seqs!$A:$B,2,FALSE),VLOOKUP($A198,'SegEnds_NonXtal_Prot#'!$A:$AL,22,FALSE)+6,1)</f>
        <v>S</v>
      </c>
      <c r="AB198" s="50" t="str">
        <f>MID(VLOOKUP($A198,Seqs!$A:$B,2,FALSE),VLOOKUP($A198,'SegEnds_NonXtal_Prot#'!$A:$AL,22,FALSE)+7,1)</f>
        <v>F</v>
      </c>
      <c r="AC198" s="50" t="str">
        <f>MID(VLOOKUP($A198,Seqs!$A:$B,2,FALSE),VLOOKUP($A198,'SegEnds_NonXtal_Prot#'!$A:$AL,22,FALSE)+8,1)</f>
        <v>A</v>
      </c>
      <c r="AD198" s="50" t="str">
        <f>MID(VLOOKUP($A198,Seqs!$A:$B,2,FALSE),VLOOKUP($A198,'SegEnds_NonXtal_Prot#'!$A:$AL,22,FALSE)+9,1)</f>
        <v>P</v>
      </c>
      <c r="AE198" s="50" t="str">
        <f>MID(VLOOKUP($A198,Seqs!$A:$B,2,FALSE),VLOOKUP($A198,'SegEnds_NonXtal_Prot#'!$A:$AL,22,FALSE)+10,1)</f>
        <v>L</v>
      </c>
      <c r="AF198" s="28" t="str">
        <f>MID(VLOOKUP($A198,Seqs!$A:$B,2,FALSE),VLOOKUP($A198,'SegEnds_NonXtal_Prot#'!$A:$AL,28,FALSE)-4,1)</f>
        <v>D</v>
      </c>
      <c r="AG198" s="50" t="str">
        <f>MID(VLOOKUP($A198,Seqs!$A:$B,2,FALSE),VLOOKUP($A198,'SegEnds_NonXtal_Prot#'!$A:$AL,28,FALSE),1)</f>
        <v>P</v>
      </c>
    </row>
    <row r="199" spans="1:33" s="2" customFormat="1" x14ac:dyDescent="0.2">
      <c r="A199" s="2" t="s">
        <v>315</v>
      </c>
      <c r="B199" s="2" t="str">
        <f>LOWER(VLOOKUP(A199,Xtal_Templ!A:B,2,FALSE))</f>
        <v>ox1r_human</v>
      </c>
      <c r="C199" s="2" t="str">
        <f>VLOOKUP(A199,Classification!A:D,2,FALSE)</f>
        <v>A</v>
      </c>
      <c r="D199" s="2" t="str">
        <f>IF(ISERROR(MATCH(A199,'SegEnds_Xtal_Prot#'!B:B, 0)), "NoXtal", "Xtal")</f>
        <v>NoXtal</v>
      </c>
      <c r="G199" s="4"/>
      <c r="M199" s="2" t="s">
        <v>14</v>
      </c>
      <c r="Q199" s="2" t="s">
        <v>9</v>
      </c>
      <c r="S199" s="4" t="s">
        <v>12</v>
      </c>
      <c r="U199" s="28" t="str">
        <f>MID(VLOOKUP($A199,Seqs!$A:$B,2,FALSE),VLOOKUP($A199,'SegEnds_NonXtal_Prot#'!A:AL,10,FALSE),1)</f>
        <v>D</v>
      </c>
      <c r="V199" s="50" t="str">
        <f>MID(VLOOKUP($A199,Seqs!$A:$B,2,FALSE),VLOOKUP($A199,'SegEnds_NonXtal_Prot#'!A:AL,10,FALSE)+6,1)</f>
        <v>F</v>
      </c>
      <c r="W199" s="50" t="str">
        <f>MID(VLOOKUP($A199,Seqs!$A:$B,2,FALSE),VLOOKUP($A199,'SegEnds_NonXtal_Prot#'!A:AL,10,FALSE)+7,1)</f>
        <v>N</v>
      </c>
      <c r="X199" s="50" t="str">
        <f>MID(VLOOKUP($A199,Seqs!$A:$B,2,FALSE),VLOOKUP($A199,'SegEnds_NonXtal_Prot#'!A:AL,10,FALSE)+8,1)</f>
        <v>A</v>
      </c>
      <c r="Y199" s="50" t="str">
        <f>MID(VLOOKUP($A199,Seqs!$A:$B,2,FALSE),VLOOKUP($A199,'SegEnds_NonXtal_Prot#'!A:AL,10,FALSE)+9,1)</f>
        <v>A</v>
      </c>
      <c r="Z199" s="50" t="str">
        <f>MID(VLOOKUP($A199,Seqs!$A:$B,2,FALSE),VLOOKUP($A199,'SegEnds_NonXtal_Prot#'!A:AL,10,FALSE)+10,1)</f>
        <v>F</v>
      </c>
      <c r="AA199" s="28" t="str">
        <f>MID(VLOOKUP($A199,Seqs!$A:$B,2,FALSE),VLOOKUP($A199,'SegEnds_NonXtal_Prot#'!$A:$AL,22,FALSE)+6,1)</f>
        <v>L</v>
      </c>
      <c r="AB199" s="50" t="str">
        <f>MID(VLOOKUP($A199,Seqs!$A:$B,2,FALSE),VLOOKUP($A199,'SegEnds_NonXtal_Prot#'!$A:$AL,22,FALSE)+7,1)</f>
        <v>A</v>
      </c>
      <c r="AC199" s="50" t="str">
        <f>MID(VLOOKUP($A199,Seqs!$A:$B,2,FALSE),VLOOKUP($A199,'SegEnds_NonXtal_Prot#'!$A:$AL,22,FALSE)+8,1)</f>
        <v>S</v>
      </c>
      <c r="AD199" s="50" t="str">
        <f>MID(VLOOKUP($A199,Seqs!$A:$B,2,FALSE),VLOOKUP($A199,'SegEnds_NonXtal_Prot#'!$A:$AL,22,FALSE)+9,1)</f>
        <v>P</v>
      </c>
      <c r="AE199" s="50" t="str">
        <f>MID(VLOOKUP($A199,Seqs!$A:$B,2,FALSE),VLOOKUP($A199,'SegEnds_NonXtal_Prot#'!$A:$AL,22,FALSE)+10,1)</f>
        <v>Q</v>
      </c>
      <c r="AF199" s="28" t="str">
        <f>MID(VLOOKUP($A199,Seqs!$A:$B,2,FALSE),VLOOKUP($A199,'SegEnds_NonXtal_Prot#'!$A:$AL,28,FALSE)-4,1)</f>
        <v>I</v>
      </c>
      <c r="AG199" s="50" t="str">
        <f>MID(VLOOKUP($A199,Seqs!$A:$B,2,FALSE),VLOOKUP($A199,'SegEnds_NonXtal_Prot#'!$A:$AL,28,FALSE),1)</f>
        <v>P</v>
      </c>
    </row>
    <row r="200" spans="1:33" s="2" customFormat="1" x14ac:dyDescent="0.2">
      <c r="A200" s="2" t="s">
        <v>323</v>
      </c>
      <c r="B200" s="2" t="str">
        <f>LOWER(VLOOKUP(A200,Xtal_Templ!A:B,2,FALSE))</f>
        <v>ox2r_human</v>
      </c>
      <c r="C200" s="2" t="str">
        <f>VLOOKUP(A200,Classification!A:D,2,FALSE)</f>
        <v>A</v>
      </c>
      <c r="D200" s="2" t="str">
        <f>IF(ISERROR(MATCH(A200,'SegEnds_Xtal_Prot#'!B:B, 0)), "NoXtal", "Xtal")</f>
        <v>NoXtal</v>
      </c>
      <c r="F200" s="2" t="s">
        <v>5</v>
      </c>
      <c r="G200" s="4"/>
      <c r="M200" s="2" t="s">
        <v>14</v>
      </c>
      <c r="Q200" s="2" t="s">
        <v>9</v>
      </c>
      <c r="S200" s="4" t="s">
        <v>12</v>
      </c>
      <c r="U200" s="28" t="str">
        <f>MID(VLOOKUP($A200,Seqs!$A:$B,2,FALSE),VLOOKUP($A200,'SegEnds_NonXtal_Prot#'!A:AL,10,FALSE),1)</f>
        <v>D</v>
      </c>
      <c r="V200" s="50" t="str">
        <f>MID(VLOOKUP($A200,Seqs!$A:$B,2,FALSE),VLOOKUP($A200,'SegEnds_NonXtal_Prot#'!A:AL,10,FALSE)+6,1)</f>
        <v>F</v>
      </c>
      <c r="W200" s="50" t="str">
        <f>MID(VLOOKUP($A200,Seqs!$A:$B,2,FALSE),VLOOKUP($A200,'SegEnds_NonXtal_Prot#'!A:AL,10,FALSE)+7,1)</f>
        <v>C</v>
      </c>
      <c r="X200" s="50" t="str">
        <f>MID(VLOOKUP($A200,Seqs!$A:$B,2,FALSE),VLOOKUP($A200,'SegEnds_NonXtal_Prot#'!A:AL,10,FALSE)+8,1)</f>
        <v>M</v>
      </c>
      <c r="Y200" s="50" t="str">
        <f>MID(VLOOKUP($A200,Seqs!$A:$B,2,FALSE),VLOOKUP($A200,'SegEnds_NonXtal_Prot#'!A:AL,10,FALSE)+9,1)</f>
        <v>P</v>
      </c>
      <c r="Z200" s="50" t="str">
        <f>MID(VLOOKUP($A200,Seqs!$A:$B,2,FALSE),VLOOKUP($A200,'SegEnds_NonXtal_Prot#'!A:AL,10,FALSE)+10,1)</f>
        <v>I</v>
      </c>
      <c r="AA200" s="28" t="str">
        <f>MID(VLOOKUP($A200,Seqs!$A:$B,2,FALSE),VLOOKUP($A200,'SegEnds_NonXtal_Prot#'!$A:$AL,22,FALSE)+6,1)</f>
        <v>I</v>
      </c>
      <c r="AB200" s="50" t="str">
        <f>MID(VLOOKUP($A200,Seqs!$A:$B,2,FALSE),VLOOKUP($A200,'SegEnds_NonXtal_Prot#'!$A:$AL,22,FALSE)+7,1)</f>
        <v>M</v>
      </c>
      <c r="AC200" s="50" t="str">
        <f>MID(VLOOKUP($A200,Seqs!$A:$B,2,FALSE),VLOOKUP($A200,'SegEnds_NonXtal_Prot#'!$A:$AL,22,FALSE)+8,1)</f>
        <v>S</v>
      </c>
      <c r="AD200" s="50" t="str">
        <f>MID(VLOOKUP($A200,Seqs!$A:$B,2,FALSE),VLOOKUP($A200,'SegEnds_NonXtal_Prot#'!$A:$AL,22,FALSE)+9,1)</f>
        <v>P</v>
      </c>
      <c r="AE200" s="50" t="str">
        <f>MID(VLOOKUP($A200,Seqs!$A:$B,2,FALSE),VLOOKUP($A200,'SegEnds_NonXtal_Prot#'!$A:$AL,22,FALSE)+10,1)</f>
        <v>S</v>
      </c>
      <c r="AF200" s="28" t="str">
        <f>MID(VLOOKUP($A200,Seqs!$A:$B,2,FALSE),VLOOKUP($A200,'SegEnds_NonXtal_Prot#'!$A:$AL,28,FALSE)-4,1)</f>
        <v>I</v>
      </c>
      <c r="AG200" s="50" t="str">
        <f>MID(VLOOKUP($A200,Seqs!$A:$B,2,FALSE),VLOOKUP($A200,'SegEnds_NonXtal_Prot#'!$A:$AL,28,FALSE),1)</f>
        <v>P</v>
      </c>
    </row>
    <row r="201" spans="1:33" s="2" customFormat="1" x14ac:dyDescent="0.2">
      <c r="A201" s="2" t="s">
        <v>326</v>
      </c>
      <c r="B201" s="2" t="str">
        <f>LOWER(VLOOKUP(A201,Xtal_Templ!A:B,2,FALSE))</f>
        <v>ox1r_human</v>
      </c>
      <c r="C201" s="2" t="str">
        <f>VLOOKUP(A201,Classification!A:D,2,FALSE)</f>
        <v>A</v>
      </c>
      <c r="D201" s="2" t="str">
        <f>IF(ISERROR(MATCH(A201,'SegEnds_Xtal_Prot#'!B:B, 0)), "NoXtal", "Xtal")</f>
        <v>NoXtal</v>
      </c>
      <c r="F201" s="2" t="s">
        <v>5</v>
      </c>
      <c r="G201" s="4"/>
      <c r="M201" s="2" t="s">
        <v>14</v>
      </c>
      <c r="Q201" s="2" t="s">
        <v>9</v>
      </c>
      <c r="S201" s="4" t="s">
        <v>12</v>
      </c>
      <c r="U201" s="28" t="str">
        <f>MID(VLOOKUP($A201,Seqs!$A:$B,2,FALSE),VLOOKUP($A201,'SegEnds_NonXtal_Prot#'!A:AL,10,FALSE),1)</f>
        <v>D</v>
      </c>
      <c r="V201" s="50" t="str">
        <f>MID(VLOOKUP($A201,Seqs!$A:$B,2,FALSE),VLOOKUP($A201,'SegEnds_NonXtal_Prot#'!A:AL,10,FALSE)+6,1)</f>
        <v>L</v>
      </c>
      <c r="W201" s="50" t="str">
        <f>MID(VLOOKUP($A201,Seqs!$A:$B,2,FALSE),VLOOKUP($A201,'SegEnds_NonXtal_Prot#'!A:AL,10,FALSE)+7,1)</f>
        <v>C</v>
      </c>
      <c r="X201" s="50" t="str">
        <f>MID(VLOOKUP($A201,Seqs!$A:$B,2,FALSE),VLOOKUP($A201,'SegEnds_NonXtal_Prot#'!A:AL,10,FALSE)+8,1)</f>
        <v>L</v>
      </c>
      <c r="Y201" s="50" t="str">
        <f>MID(VLOOKUP($A201,Seqs!$A:$B,2,FALSE),VLOOKUP($A201,'SegEnds_NonXtal_Prot#'!A:AL,10,FALSE)+9,1)</f>
        <v>P</v>
      </c>
      <c r="Z201" s="50" t="str">
        <f>MID(VLOOKUP($A201,Seqs!$A:$B,2,FALSE),VLOOKUP($A201,'SegEnds_NonXtal_Prot#'!A:AL,10,FALSE)+10,1)</f>
        <v>F</v>
      </c>
      <c r="AA201" s="28" t="str">
        <f>MID(VLOOKUP($A201,Seqs!$A:$B,2,FALSE),VLOOKUP($A201,'SegEnds_NonXtal_Prot#'!$A:$AL,22,FALSE)+6,1)</f>
        <v>L</v>
      </c>
      <c r="AB201" s="50" t="str">
        <f>MID(VLOOKUP($A201,Seqs!$A:$B,2,FALSE),VLOOKUP($A201,'SegEnds_NonXtal_Prot#'!$A:$AL,22,FALSE)+7,1)</f>
        <v>A</v>
      </c>
      <c r="AC201" s="50" t="str">
        <f>MID(VLOOKUP($A201,Seqs!$A:$B,2,FALSE),VLOOKUP($A201,'SegEnds_NonXtal_Prot#'!$A:$AL,22,FALSE)+8,1)</f>
        <v>S</v>
      </c>
      <c r="AD201" s="50" t="str">
        <f>MID(VLOOKUP($A201,Seqs!$A:$B,2,FALSE),VLOOKUP($A201,'SegEnds_NonXtal_Prot#'!$A:$AL,22,FALSE)+9,1)</f>
        <v>P</v>
      </c>
      <c r="AE201" s="50" t="str">
        <f>MID(VLOOKUP($A201,Seqs!$A:$B,2,FALSE),VLOOKUP($A201,'SegEnds_NonXtal_Prot#'!$A:$AL,22,FALSE)+10,1)</f>
        <v>L</v>
      </c>
      <c r="AF201" s="28" t="str">
        <f>MID(VLOOKUP($A201,Seqs!$A:$B,2,FALSE),VLOOKUP($A201,'SegEnds_NonXtal_Prot#'!$A:$AL,28,FALSE)-4,1)</f>
        <v>L</v>
      </c>
      <c r="AG201" s="50" t="str">
        <f>MID(VLOOKUP($A201,Seqs!$A:$B,2,FALSE),VLOOKUP($A201,'SegEnds_NonXtal_Prot#'!$A:$AL,28,FALSE),1)</f>
        <v>P</v>
      </c>
    </row>
    <row r="202" spans="1:33" s="2" customFormat="1" x14ac:dyDescent="0.2">
      <c r="A202" s="2" t="s">
        <v>1175</v>
      </c>
      <c r="B202" s="2" t="str">
        <f>LOWER(VLOOKUP(A202,Xtal_Templ!A:B,2,FALSE))</f>
        <v>ox1r_human</v>
      </c>
      <c r="C202" s="2" t="str">
        <f>VLOOKUP(A202,Classification!A:D,2,FALSE)</f>
        <v>A</v>
      </c>
      <c r="D202" s="2" t="str">
        <f>IF(ISERROR(MATCH(A202,'SegEnds_Xtal_Prot#'!B:B, 0)), "NoXtal", "Xtal")</f>
        <v>Xtal</v>
      </c>
      <c r="F202" s="2" t="s">
        <v>5</v>
      </c>
      <c r="G202" s="4"/>
      <c r="M202" s="2" t="s">
        <v>14</v>
      </c>
      <c r="Q202" s="2" t="s">
        <v>9</v>
      </c>
      <c r="S202" s="4" t="s">
        <v>12</v>
      </c>
      <c r="U202" s="28" t="str">
        <f>MID(VLOOKUP($A202,Seqs!$A:$B,2,FALSE),VLOOKUP($A202,'SegEnds_NonXtal_Prot#'!A:AL,10,FALSE),1)</f>
        <v>D</v>
      </c>
      <c r="V202" s="50" t="str">
        <f>MID(VLOOKUP($A202,Seqs!$A:$B,2,FALSE),VLOOKUP($A202,'SegEnds_NonXtal_Prot#'!A:AL,10,FALSE)+6,1)</f>
        <v>I</v>
      </c>
      <c r="W202" s="50" t="str">
        <f>MID(VLOOKUP($A202,Seqs!$A:$B,2,FALSE),VLOOKUP($A202,'SegEnds_NonXtal_Prot#'!A:AL,10,FALSE)+7,1)</f>
        <v>C</v>
      </c>
      <c r="X202" s="50" t="str">
        <f>MID(VLOOKUP($A202,Seqs!$A:$B,2,FALSE),VLOOKUP($A202,'SegEnds_NonXtal_Prot#'!A:AL,10,FALSE)+8,1)</f>
        <v>L</v>
      </c>
      <c r="Y202" s="50" t="str">
        <f>MID(VLOOKUP($A202,Seqs!$A:$B,2,FALSE),VLOOKUP($A202,'SegEnds_NonXtal_Prot#'!A:AL,10,FALSE)+9,1)</f>
        <v>P</v>
      </c>
      <c r="Z202" s="50" t="str">
        <f>MID(VLOOKUP($A202,Seqs!$A:$B,2,FALSE),VLOOKUP($A202,'SegEnds_NonXtal_Prot#'!A:AL,10,FALSE)+10,1)</f>
        <v>A</v>
      </c>
      <c r="AA202" s="28" t="str">
        <f>MID(VLOOKUP($A202,Seqs!$A:$B,2,FALSE),VLOOKUP($A202,'SegEnds_NonXtal_Prot#'!$A:$AL,22,FALSE)+6,1)</f>
        <v>I</v>
      </c>
      <c r="AB202" s="50" t="str">
        <f>MID(VLOOKUP($A202,Seqs!$A:$B,2,FALSE),VLOOKUP($A202,'SegEnds_NonXtal_Prot#'!$A:$AL,22,FALSE)+7,1)</f>
        <v>M</v>
      </c>
      <c r="AC202" s="50" t="str">
        <f>MID(VLOOKUP($A202,Seqs!$A:$B,2,FALSE),VLOOKUP($A202,'SegEnds_NonXtal_Prot#'!$A:$AL,22,FALSE)+8,1)</f>
        <v>V</v>
      </c>
      <c r="AD202" s="50" t="str">
        <f>MID(VLOOKUP($A202,Seqs!$A:$B,2,FALSE),VLOOKUP($A202,'SegEnds_NonXtal_Prot#'!$A:$AL,22,FALSE)+9,1)</f>
        <v>P</v>
      </c>
      <c r="AE202" s="50" t="str">
        <f>MID(VLOOKUP($A202,Seqs!$A:$B,2,FALSE),VLOOKUP($A202,'SegEnds_NonXtal_Prot#'!$A:$AL,22,FALSE)+10,1)</f>
        <v>Q</v>
      </c>
      <c r="AF202" s="28" t="str">
        <f>MID(VLOOKUP($A202,Seqs!$A:$B,2,FALSE),VLOOKUP($A202,'SegEnds_NonXtal_Prot#'!$A:$AL,28,FALSE)-4,1)</f>
        <v>T</v>
      </c>
      <c r="AG202" s="50" t="str">
        <f>MID(VLOOKUP($A202,Seqs!$A:$B,2,FALSE),VLOOKUP($A202,'SegEnds_NonXtal_Prot#'!$A:$AL,28,FALSE),1)</f>
        <v>P</v>
      </c>
    </row>
    <row r="203" spans="1:33" s="2" customFormat="1" x14ac:dyDescent="0.2">
      <c r="A203" s="2" t="s">
        <v>344</v>
      </c>
      <c r="B203" s="2" t="str">
        <f>LOWER(VLOOKUP(A203,Xtal_Templ!A:B,2,FALSE))</f>
        <v>ox1r_human</v>
      </c>
      <c r="C203" s="2" t="str">
        <f>VLOOKUP(A203,Classification!A:D,2,FALSE)</f>
        <v>A</v>
      </c>
      <c r="D203" s="2" t="str">
        <f>IF(ISERROR(MATCH(A203,'SegEnds_Xtal_Prot#'!B:B, 0)), "NoXtal", "Xtal")</f>
        <v>NoXtal</v>
      </c>
      <c r="G203" s="4"/>
      <c r="M203" s="2" t="s">
        <v>14</v>
      </c>
      <c r="Q203" s="2" t="s">
        <v>9</v>
      </c>
      <c r="S203" s="4" t="s">
        <v>12</v>
      </c>
      <c r="U203" s="28" t="str">
        <f>MID(VLOOKUP($A203,Seqs!$A:$B,2,FALSE),VLOOKUP($A203,'SegEnds_NonXtal_Prot#'!A:AL,10,FALSE),1)</f>
        <v>D</v>
      </c>
      <c r="V203" s="50" t="str">
        <f>MID(VLOOKUP($A203,Seqs!$A:$B,2,FALSE),VLOOKUP($A203,'SegEnds_NonXtal_Prot#'!A:AL,10,FALSE)+6,1)</f>
        <v>F</v>
      </c>
      <c r="W203" s="50" t="str">
        <f>MID(VLOOKUP($A203,Seqs!$A:$B,2,FALSE),VLOOKUP($A203,'SegEnds_NonXtal_Prot#'!A:AL,10,FALSE)+7,1)</f>
        <v>Q</v>
      </c>
      <c r="X203" s="50" t="str">
        <f>MID(VLOOKUP($A203,Seqs!$A:$B,2,FALSE),VLOOKUP($A203,'SegEnds_NonXtal_Prot#'!A:AL,10,FALSE)+8,1)</f>
        <v>V</v>
      </c>
      <c r="Y203" s="50" t="str">
        <f>MID(VLOOKUP($A203,Seqs!$A:$B,2,FALSE),VLOOKUP($A203,'SegEnds_NonXtal_Prot#'!A:AL,10,FALSE)+9,1)</f>
        <v>L</v>
      </c>
      <c r="Z203" s="50" t="str">
        <f>MID(VLOOKUP($A203,Seqs!$A:$B,2,FALSE),VLOOKUP($A203,'SegEnds_NonXtal_Prot#'!A:AL,10,FALSE)+10,1)</f>
        <v>P</v>
      </c>
      <c r="AA203" s="28" t="str">
        <f>MID(VLOOKUP($A203,Seqs!$A:$B,2,FALSE),VLOOKUP($A203,'SegEnds_NonXtal_Prot#'!$A:$AL,22,FALSE)+6,1)</f>
        <v>A</v>
      </c>
      <c r="AB203" s="50" t="str">
        <f>MID(VLOOKUP($A203,Seqs!$A:$B,2,FALSE),VLOOKUP($A203,'SegEnds_NonXtal_Prot#'!$A:$AL,22,FALSE)+7,1)</f>
        <v>S</v>
      </c>
      <c r="AC203" s="50" t="str">
        <f>MID(VLOOKUP($A203,Seqs!$A:$B,2,FALSE),VLOOKUP($A203,'SegEnds_NonXtal_Prot#'!$A:$AL,22,FALSE)+8,1)</f>
        <v>A</v>
      </c>
      <c r="AD203" s="50" t="str">
        <f>MID(VLOOKUP($A203,Seqs!$A:$B,2,FALSE),VLOOKUP($A203,'SegEnds_NonXtal_Prot#'!$A:$AL,22,FALSE)+9,1)</f>
        <v>P</v>
      </c>
      <c r="AE203" s="50" t="str">
        <f>MID(VLOOKUP($A203,Seqs!$A:$B,2,FALSE),VLOOKUP($A203,'SegEnds_NonXtal_Prot#'!$A:$AL,22,FALSE)+10,1)</f>
        <v>Q</v>
      </c>
      <c r="AF203" s="28" t="str">
        <f>MID(VLOOKUP($A203,Seqs!$A:$B,2,FALSE),VLOOKUP($A203,'SegEnds_NonXtal_Prot#'!$A:$AL,28,FALSE)-4,1)</f>
        <v>V</v>
      </c>
      <c r="AG203" s="50" t="str">
        <f>MID(VLOOKUP($A203,Seqs!$A:$B,2,FALSE),VLOOKUP($A203,'SegEnds_NonXtal_Prot#'!$A:$AL,28,FALSE),1)</f>
        <v>P</v>
      </c>
    </row>
    <row r="204" spans="1:33" s="2" customFormat="1" x14ac:dyDescent="0.2">
      <c r="A204" s="2" t="s">
        <v>163</v>
      </c>
      <c r="B204" s="2" t="str">
        <f>LOWER(VLOOKUP(A204,Xtal_Templ!A:B,2,FALSE))</f>
        <v>ednrb_human</v>
      </c>
      <c r="C204" s="2" t="str">
        <f>VLOOKUP(A204,Classification!A:D,2,FALSE)</f>
        <v>A</v>
      </c>
      <c r="D204" s="2" t="str">
        <f>IF(ISERROR(MATCH(A204,'SegEnds_Xtal_Prot#'!B:B, 0)), "NoXtal", "Xtal")</f>
        <v>NoXtal</v>
      </c>
      <c r="F204" s="2" t="s">
        <v>5</v>
      </c>
      <c r="G204" s="4"/>
      <c r="M204" s="2" t="s">
        <v>14</v>
      </c>
      <c r="S204" s="4" t="s">
        <v>12</v>
      </c>
      <c r="U204" s="28" t="str">
        <f>MID(VLOOKUP($A204,Seqs!$A:$B,2,FALSE),VLOOKUP($A204,'SegEnds_NonXtal_Prot#'!A:AL,10,FALSE),1)</f>
        <v>D</v>
      </c>
      <c r="V204" s="50" t="str">
        <f>MID(VLOOKUP($A204,Seqs!$A:$B,2,FALSE),VLOOKUP($A204,'SegEnds_NonXtal_Prot#'!A:AL,10,FALSE)+6,1)</f>
        <v>T</v>
      </c>
      <c r="W204" s="50" t="str">
        <f>MID(VLOOKUP($A204,Seqs!$A:$B,2,FALSE),VLOOKUP($A204,'SegEnds_NonXtal_Prot#'!A:AL,10,FALSE)+7,1)</f>
        <v>C</v>
      </c>
      <c r="X204" s="50" t="str">
        <f>MID(VLOOKUP($A204,Seqs!$A:$B,2,FALSE),VLOOKUP($A204,'SegEnds_NonXtal_Prot#'!A:AL,10,FALSE)+8,1)</f>
        <v>V</v>
      </c>
      <c r="Y204" s="50" t="str">
        <f>MID(VLOOKUP($A204,Seqs!$A:$B,2,FALSE),VLOOKUP($A204,'SegEnds_NonXtal_Prot#'!A:AL,10,FALSE)+9,1)</f>
        <v>P</v>
      </c>
      <c r="Z204" s="50" t="str">
        <f>MID(VLOOKUP($A204,Seqs!$A:$B,2,FALSE),VLOOKUP($A204,'SegEnds_NonXtal_Prot#'!A:AL,10,FALSE)+10,1)</f>
        <v>V</v>
      </c>
      <c r="AA204" s="28" t="str">
        <f>MID(VLOOKUP($A204,Seqs!$A:$B,2,FALSE),VLOOKUP($A204,'SegEnds_NonXtal_Prot#'!$A:$AL,22,FALSE)+6,1)</f>
        <v>F</v>
      </c>
      <c r="AB204" s="50" t="str">
        <f>MID(VLOOKUP($A204,Seqs!$A:$B,2,FALSE),VLOOKUP($A204,'SegEnds_NonXtal_Prot#'!$A:$AL,22,FALSE)+7,1)</f>
        <v>A</v>
      </c>
      <c r="AC204" s="50" t="str">
        <f>MID(VLOOKUP($A204,Seqs!$A:$B,2,FALSE),VLOOKUP($A204,'SegEnds_NonXtal_Prot#'!$A:$AL,22,FALSE)+8,1)</f>
        <v>L</v>
      </c>
      <c r="AD204" s="50" t="str">
        <f>MID(VLOOKUP($A204,Seqs!$A:$B,2,FALSE),VLOOKUP($A204,'SegEnds_NonXtal_Prot#'!$A:$AL,22,FALSE)+9,1)</f>
        <v>P</v>
      </c>
      <c r="AE204" s="50" t="str">
        <f>MID(VLOOKUP($A204,Seqs!$A:$B,2,FALSE),VLOOKUP($A204,'SegEnds_NonXtal_Prot#'!$A:$AL,22,FALSE)+10,1)</f>
        <v>E</v>
      </c>
      <c r="AF204" s="28" t="str">
        <f>MID(VLOOKUP($A204,Seqs!$A:$B,2,FALSE),VLOOKUP($A204,'SegEnds_NonXtal_Prot#'!$A:$AL,28,FALSE)-4,1)</f>
        <v>F</v>
      </c>
      <c r="AG204" s="50" t="str">
        <f>MID(VLOOKUP($A204,Seqs!$A:$B,2,FALSE),VLOOKUP($A204,'SegEnds_NonXtal_Prot#'!$A:$AL,28,FALSE),1)</f>
        <v>P</v>
      </c>
    </row>
    <row r="205" spans="1:33" s="2" customFormat="1" x14ac:dyDescent="0.2">
      <c r="A205" s="2" t="s">
        <v>167</v>
      </c>
      <c r="B205" s="2" t="str">
        <f>LOWER(VLOOKUP(A205,Xtal_Templ!A:B,2,FALSE))</f>
        <v>ox2r_human</v>
      </c>
      <c r="C205" s="2" t="str">
        <f>VLOOKUP(A205,Classification!A:D,2,FALSE)</f>
        <v>A</v>
      </c>
      <c r="D205" s="2" t="str">
        <f>IF(ISERROR(MATCH(A205,'SegEnds_Xtal_Prot#'!B:B, 0)), "NoXtal", "Xtal")</f>
        <v>NoXtal</v>
      </c>
      <c r="F205" s="2" t="s">
        <v>5</v>
      </c>
      <c r="G205" s="4"/>
      <c r="M205" s="2" t="s">
        <v>14</v>
      </c>
      <c r="Q205" s="2" t="s">
        <v>9</v>
      </c>
      <c r="S205" s="4" t="s">
        <v>12</v>
      </c>
      <c r="U205" s="28" t="str">
        <f>MID(VLOOKUP($A205,Seqs!$A:$B,2,FALSE),VLOOKUP($A205,'SegEnds_NonXtal_Prot#'!A:AL,10,FALSE),1)</f>
        <v>D</v>
      </c>
      <c r="V205" s="50" t="str">
        <f>MID(VLOOKUP($A205,Seqs!$A:$B,2,FALSE),VLOOKUP($A205,'SegEnds_NonXtal_Prot#'!A:AL,10,FALSE)+6,1)</f>
        <v>F</v>
      </c>
      <c r="W205" s="50" t="str">
        <f>MID(VLOOKUP($A205,Seqs!$A:$B,2,FALSE),VLOOKUP($A205,'SegEnds_NonXtal_Prot#'!A:AL,10,FALSE)+7,1)</f>
        <v>C</v>
      </c>
      <c r="X205" s="50" t="str">
        <f>MID(VLOOKUP($A205,Seqs!$A:$B,2,FALSE),VLOOKUP($A205,'SegEnds_NonXtal_Prot#'!A:AL,10,FALSE)+8,1)</f>
        <v>M</v>
      </c>
      <c r="Y205" s="50" t="str">
        <f>MID(VLOOKUP($A205,Seqs!$A:$B,2,FALSE),VLOOKUP($A205,'SegEnds_NonXtal_Prot#'!A:AL,10,FALSE)+9,1)</f>
        <v>P</v>
      </c>
      <c r="Z205" s="50" t="str">
        <f>MID(VLOOKUP($A205,Seqs!$A:$B,2,FALSE),VLOOKUP($A205,'SegEnds_NonXtal_Prot#'!A:AL,10,FALSE)+10,1)</f>
        <v>F</v>
      </c>
      <c r="AA205" s="28" t="str">
        <f>MID(VLOOKUP($A205,Seqs!$A:$B,2,FALSE),VLOOKUP($A205,'SegEnds_NonXtal_Prot#'!$A:$AL,22,FALSE)+6,1)</f>
        <v>I</v>
      </c>
      <c r="AB205" s="50" t="str">
        <f>MID(VLOOKUP($A205,Seqs!$A:$B,2,FALSE),VLOOKUP($A205,'SegEnds_NonXtal_Prot#'!$A:$AL,22,FALSE)+7,1)</f>
        <v>M</v>
      </c>
      <c r="AC205" s="50" t="str">
        <f>MID(VLOOKUP($A205,Seqs!$A:$B,2,FALSE),VLOOKUP($A205,'SegEnds_NonXtal_Prot#'!$A:$AL,22,FALSE)+8,1)</f>
        <v>T</v>
      </c>
      <c r="AD205" s="50" t="str">
        <f>MID(VLOOKUP($A205,Seqs!$A:$B,2,FALSE),VLOOKUP($A205,'SegEnds_NonXtal_Prot#'!$A:$AL,22,FALSE)+9,1)</f>
        <v>P</v>
      </c>
      <c r="AE205" s="50" t="str">
        <f>MID(VLOOKUP($A205,Seqs!$A:$B,2,FALSE),VLOOKUP($A205,'SegEnds_NonXtal_Prot#'!$A:$AL,22,FALSE)+10,1)</f>
        <v>Y</v>
      </c>
      <c r="AF205" s="28" t="str">
        <f>MID(VLOOKUP($A205,Seqs!$A:$B,2,FALSE),VLOOKUP($A205,'SegEnds_NonXtal_Prot#'!$A:$AL,28,FALSE)-4,1)</f>
        <v>L</v>
      </c>
      <c r="AG205" s="50" t="str">
        <f>MID(VLOOKUP($A205,Seqs!$A:$B,2,FALSE),VLOOKUP($A205,'SegEnds_NonXtal_Prot#'!$A:$AL,28,FALSE),1)</f>
        <v>P</v>
      </c>
    </row>
    <row r="206" spans="1:33" s="2" customFormat="1" x14ac:dyDescent="0.2">
      <c r="A206" s="2" t="s">
        <v>208</v>
      </c>
      <c r="B206" s="2" t="str">
        <f>LOWER(VLOOKUP(A206,Xtal_Templ!A:B,2,FALSE))</f>
        <v>ox2r_human</v>
      </c>
      <c r="C206" s="2" t="str">
        <f>VLOOKUP(A206,Classification!A:D,2,FALSE)</f>
        <v>A</v>
      </c>
      <c r="D206" s="2" t="str">
        <f>IF(ISERROR(MATCH(A206,'SegEnds_Xtal_Prot#'!B:B, 0)), "NoXtal", "Xtal")</f>
        <v>NoXtal</v>
      </c>
      <c r="F206" s="2" t="s">
        <v>5</v>
      </c>
      <c r="G206" s="4"/>
      <c r="M206" s="2" t="s">
        <v>14</v>
      </c>
      <c r="Q206" s="2" t="s">
        <v>9</v>
      </c>
      <c r="S206" s="4" t="s">
        <v>12</v>
      </c>
      <c r="U206" s="28" t="str">
        <f>MID(VLOOKUP($A206,Seqs!$A:$B,2,FALSE),VLOOKUP($A206,'SegEnds_NonXtal_Prot#'!A:AL,10,FALSE),1)</f>
        <v>D</v>
      </c>
      <c r="V206" s="50" t="str">
        <f>MID(VLOOKUP($A206,Seqs!$A:$B,2,FALSE),VLOOKUP($A206,'SegEnds_NonXtal_Prot#'!A:AL,10,FALSE)+6,1)</f>
        <v>A</v>
      </c>
      <c r="W206" s="50" t="str">
        <f>MID(VLOOKUP($A206,Seqs!$A:$B,2,FALSE),VLOOKUP($A206,'SegEnds_NonXtal_Prot#'!A:AL,10,FALSE)+7,1)</f>
        <v>C</v>
      </c>
      <c r="X206" s="50" t="str">
        <f>MID(VLOOKUP($A206,Seqs!$A:$B,2,FALSE),VLOOKUP($A206,'SegEnds_NonXtal_Prot#'!A:AL,10,FALSE)+8,1)</f>
        <v>M</v>
      </c>
      <c r="Y206" s="50" t="str">
        <f>MID(VLOOKUP($A206,Seqs!$A:$B,2,FALSE),VLOOKUP($A206,'SegEnds_NonXtal_Prot#'!A:AL,10,FALSE)+9,1)</f>
        <v>P</v>
      </c>
      <c r="Z206" s="50" t="str">
        <f>MID(VLOOKUP($A206,Seqs!$A:$B,2,FALSE),VLOOKUP($A206,'SegEnds_NonXtal_Prot#'!A:AL,10,FALSE)+10,1)</f>
        <v>F</v>
      </c>
      <c r="AA206" s="28" t="str">
        <f>MID(VLOOKUP($A206,Seqs!$A:$B,2,FALSE),VLOOKUP($A206,'SegEnds_NonXtal_Prot#'!$A:$AL,22,FALSE)+6,1)</f>
        <v>L</v>
      </c>
      <c r="AB206" s="50" t="str">
        <f>MID(VLOOKUP($A206,Seqs!$A:$B,2,FALSE),VLOOKUP($A206,'SegEnds_NonXtal_Prot#'!$A:$AL,22,FALSE)+7,1)</f>
        <v>M</v>
      </c>
      <c r="AC206" s="50" t="str">
        <f>MID(VLOOKUP($A206,Seqs!$A:$B,2,FALSE),VLOOKUP($A206,'SegEnds_NonXtal_Prot#'!$A:$AL,22,FALSE)+8,1)</f>
        <v>V</v>
      </c>
      <c r="AD206" s="50" t="str">
        <f>MID(VLOOKUP($A206,Seqs!$A:$B,2,FALSE),VLOOKUP($A206,'SegEnds_NonXtal_Prot#'!$A:$AL,22,FALSE)+9,1)</f>
        <v>P</v>
      </c>
      <c r="AE206" s="50" t="str">
        <f>MID(VLOOKUP($A206,Seqs!$A:$B,2,FALSE),VLOOKUP($A206,'SegEnds_NonXtal_Prot#'!$A:$AL,22,FALSE)+10,1)</f>
        <v>Y</v>
      </c>
      <c r="AF206" s="28" t="str">
        <f>MID(VLOOKUP($A206,Seqs!$A:$B,2,FALSE),VLOOKUP($A206,'SegEnds_NonXtal_Prot#'!$A:$AL,28,FALSE)-4,1)</f>
        <v>L</v>
      </c>
      <c r="AG206" s="50" t="str">
        <f>MID(VLOOKUP($A206,Seqs!$A:$B,2,FALSE),VLOOKUP($A206,'SegEnds_NonXtal_Prot#'!$A:$AL,28,FALSE),1)</f>
        <v>P</v>
      </c>
    </row>
    <row r="207" spans="1:33" s="2" customFormat="1" x14ac:dyDescent="0.2">
      <c r="A207" s="2" t="s">
        <v>223</v>
      </c>
      <c r="B207" s="2" t="str">
        <f>LOWER(VLOOKUP(A207,Xtal_Templ!A:B,2,FALSE))</f>
        <v>agtr2_human</v>
      </c>
      <c r="C207" s="2" t="str">
        <f>VLOOKUP(A207,Classification!A:D,2,FALSE)</f>
        <v>A</v>
      </c>
      <c r="D207" s="2" t="str">
        <f>IF(ISERROR(MATCH(A207,'SegEnds_Xtal_Prot#'!B:B, 0)), "NoXtal", "Xtal")</f>
        <v>NoXtal</v>
      </c>
      <c r="F207" s="2" t="s">
        <v>5</v>
      </c>
      <c r="G207" s="4"/>
      <c r="M207" s="2" t="s">
        <v>14</v>
      </c>
      <c r="Q207" s="2" t="s">
        <v>9</v>
      </c>
      <c r="S207" s="4" t="s">
        <v>12</v>
      </c>
      <c r="U207" s="28" t="str">
        <f>MID(VLOOKUP($A207,Seqs!$A:$B,2,FALSE),VLOOKUP($A207,'SegEnds_NonXtal_Prot#'!A:AL,10,FALSE),1)</f>
        <v>D</v>
      </c>
      <c r="V207" s="50" t="str">
        <f>MID(VLOOKUP($A207,Seqs!$A:$B,2,FALSE),VLOOKUP($A207,'SegEnds_NonXtal_Prot#'!A:AL,10,FALSE)+6,1)</f>
        <v>F</v>
      </c>
      <c r="W207" s="50" t="str">
        <f>MID(VLOOKUP($A207,Seqs!$A:$B,2,FALSE),VLOOKUP($A207,'SegEnds_NonXtal_Prot#'!A:AL,10,FALSE)+7,1)</f>
        <v>S</v>
      </c>
      <c r="X207" s="50" t="str">
        <f>MID(VLOOKUP($A207,Seqs!$A:$B,2,FALSE),VLOOKUP($A207,'SegEnds_NonXtal_Prot#'!A:AL,10,FALSE)+8,1)</f>
        <v>A</v>
      </c>
      <c r="Y207" s="50" t="str">
        <f>MID(VLOOKUP($A207,Seqs!$A:$B,2,FALSE),VLOOKUP($A207,'SegEnds_NonXtal_Prot#'!A:AL,10,FALSE)+9,1)</f>
        <v>P</v>
      </c>
      <c r="Z207" s="50" t="str">
        <f>MID(VLOOKUP($A207,Seqs!$A:$B,2,FALSE),VLOOKUP($A207,'SegEnds_NonXtal_Prot#'!A:AL,10,FALSE)+10,1)</f>
        <v>I</v>
      </c>
      <c r="AA207" s="28" t="str">
        <f>MID(VLOOKUP($A207,Seqs!$A:$B,2,FALSE),VLOOKUP($A207,'SegEnds_NonXtal_Prot#'!$A:$AL,22,FALSE)+6,1)</f>
        <v>L</v>
      </c>
      <c r="AB207" s="50" t="str">
        <f>MID(VLOOKUP($A207,Seqs!$A:$B,2,FALSE),VLOOKUP($A207,'SegEnds_NonXtal_Prot#'!$A:$AL,22,FALSE)+7,1)</f>
        <v>P</v>
      </c>
      <c r="AC207" s="50" t="str">
        <f>MID(VLOOKUP($A207,Seqs!$A:$B,2,FALSE),VLOOKUP($A207,'SegEnds_NonXtal_Prot#'!$A:$AL,22,FALSE)+8,1)</f>
        <v>L</v>
      </c>
      <c r="AD207" s="50" t="str">
        <f>MID(VLOOKUP($A207,Seqs!$A:$B,2,FALSE),VLOOKUP($A207,'SegEnds_NonXtal_Prot#'!$A:$AL,22,FALSE)+9,1)</f>
        <v>P</v>
      </c>
      <c r="AE207" s="50" t="str">
        <f>MID(VLOOKUP($A207,Seqs!$A:$B,2,FALSE),VLOOKUP($A207,'SegEnds_NonXtal_Prot#'!$A:$AL,22,FALSE)+10,1)</f>
        <v>E</v>
      </c>
      <c r="AF207" s="28" t="str">
        <f>MID(VLOOKUP($A207,Seqs!$A:$B,2,FALSE),VLOOKUP($A207,'SegEnds_NonXtal_Prot#'!$A:$AL,28,FALSE)-4,1)</f>
        <v>A</v>
      </c>
      <c r="AG207" s="50" t="str">
        <f>MID(VLOOKUP($A207,Seqs!$A:$B,2,FALSE),VLOOKUP($A207,'SegEnds_NonXtal_Prot#'!$A:$AL,28,FALSE),1)</f>
        <v>P</v>
      </c>
    </row>
    <row r="208" spans="1:33" s="2" customFormat="1" x14ac:dyDescent="0.2">
      <c r="A208" s="2" t="s">
        <v>225</v>
      </c>
      <c r="B208" s="2" t="str">
        <f>LOWER(VLOOKUP(A208,Xtal_Templ!A:B,2,FALSE))</f>
        <v>ox2r_human</v>
      </c>
      <c r="C208" s="2" t="str">
        <f>VLOOKUP(A208,Classification!A:D,2,FALSE)</f>
        <v>A</v>
      </c>
      <c r="D208" s="2" t="str">
        <f>IF(ISERROR(MATCH(A208,'SegEnds_Xtal_Prot#'!B:B, 0)), "NoXtal", "Xtal")</f>
        <v>NoXtal</v>
      </c>
      <c r="G208" s="4"/>
      <c r="S208" s="4" t="s">
        <v>12</v>
      </c>
      <c r="U208" s="28" t="str">
        <f>MID(VLOOKUP($A208,Seqs!$A:$B,2,FALSE),VLOOKUP($A208,'SegEnds_NonXtal_Prot#'!A:AL,10,FALSE),1)</f>
        <v>T</v>
      </c>
      <c r="V208" s="50" t="str">
        <f>MID(VLOOKUP($A208,Seqs!$A:$B,2,FALSE),VLOOKUP($A208,'SegEnds_NonXtal_Prot#'!A:AL,10,FALSE)+6,1)</f>
        <v>A</v>
      </c>
      <c r="W208" s="50" t="str">
        <f>MID(VLOOKUP($A208,Seqs!$A:$B,2,FALSE),VLOOKUP($A208,'SegEnds_NonXtal_Prot#'!A:AL,10,FALSE)+7,1)</f>
        <v>V</v>
      </c>
      <c r="X208" s="50" t="str">
        <f>MID(VLOOKUP($A208,Seqs!$A:$B,2,FALSE),VLOOKUP($A208,'SegEnds_NonXtal_Prot#'!A:AL,10,FALSE)+8,1)</f>
        <v>P</v>
      </c>
      <c r="Y208" s="50" t="str">
        <f>MID(VLOOKUP($A208,Seqs!$A:$B,2,FALSE),VLOOKUP($A208,'SegEnds_NonXtal_Prot#'!A:AL,10,FALSE)+9,1)</f>
        <v>I</v>
      </c>
      <c r="Z208" s="50" t="str">
        <f>MID(VLOOKUP($A208,Seqs!$A:$B,2,FALSE),VLOOKUP($A208,'SegEnds_NonXtal_Prot#'!A:AL,10,FALSE)+10,1)</f>
        <v>A</v>
      </c>
      <c r="AA208" s="28" t="str">
        <f>MID(VLOOKUP($A208,Seqs!$A:$B,2,FALSE),VLOOKUP($A208,'SegEnds_NonXtal_Prot#'!$A:$AL,22,FALSE)+6,1)</f>
        <v>L</v>
      </c>
      <c r="AB208" s="50" t="str">
        <f>MID(VLOOKUP($A208,Seqs!$A:$B,2,FALSE),VLOOKUP($A208,'SegEnds_NonXtal_Prot#'!$A:$AL,22,FALSE)+7,1)</f>
        <v>S</v>
      </c>
      <c r="AC208" s="50" t="str">
        <f>MID(VLOOKUP($A208,Seqs!$A:$B,2,FALSE),VLOOKUP($A208,'SegEnds_NonXtal_Prot#'!$A:$AL,22,FALSE)+8,1)</f>
        <v>A</v>
      </c>
      <c r="AD208" s="50" t="str">
        <f>MID(VLOOKUP($A208,Seqs!$A:$B,2,FALSE),VLOOKUP($A208,'SegEnds_NonXtal_Prot#'!$A:$AL,22,FALSE)+9,1)</f>
        <v>L</v>
      </c>
      <c r="AE208" s="50" t="str">
        <f>MID(VLOOKUP($A208,Seqs!$A:$B,2,FALSE),VLOOKUP($A208,'SegEnds_NonXtal_Prot#'!$A:$AL,22,FALSE)+10,1)</f>
        <v>P</v>
      </c>
      <c r="AF208" s="28" t="str">
        <f>MID(VLOOKUP($A208,Seqs!$A:$B,2,FALSE),VLOOKUP($A208,'SegEnds_NonXtal_Prot#'!$A:$AL,28,FALSE)-4,1)</f>
        <v>V</v>
      </c>
      <c r="AG208" s="50" t="str">
        <f>MID(VLOOKUP($A208,Seqs!$A:$B,2,FALSE),VLOOKUP($A208,'SegEnds_NonXtal_Prot#'!$A:$AL,28,FALSE),1)</f>
        <v>V</v>
      </c>
    </row>
    <row r="209" spans="1:33" s="2" customFormat="1" x14ac:dyDescent="0.2">
      <c r="A209" s="2" t="s">
        <v>242</v>
      </c>
      <c r="B209" s="2" t="str">
        <f>LOWER(VLOOKUP(A209,Xtal_Templ!A:B,2,FALSE))</f>
        <v>ox2r_human</v>
      </c>
      <c r="C209" s="2" t="str">
        <f>VLOOKUP(A209,Classification!A:D,2,FALSE)</f>
        <v>A</v>
      </c>
      <c r="D209" s="2" t="str">
        <f>IF(ISERROR(MATCH(A209,'SegEnds_Xtal_Prot#'!B:B, 0)), "NoXtal", "Xtal")</f>
        <v>NoXtal</v>
      </c>
      <c r="F209" s="2" t="s">
        <v>5</v>
      </c>
      <c r="G209" s="4"/>
      <c r="M209" s="2" t="s">
        <v>14</v>
      </c>
      <c r="Q209" s="2" t="s">
        <v>9</v>
      </c>
      <c r="S209" s="4" t="s">
        <v>12</v>
      </c>
      <c r="U209" s="28" t="str">
        <f>MID(VLOOKUP($A209,Seqs!$A:$B,2,FALSE),VLOOKUP($A209,'SegEnds_NonXtal_Prot#'!A:AL,10,FALSE),1)</f>
        <v>D</v>
      </c>
      <c r="V209" s="50" t="str">
        <f>MID(VLOOKUP($A209,Seqs!$A:$B,2,FALSE),VLOOKUP($A209,'SegEnds_NonXtal_Prot#'!A:AL,10,FALSE)+6,1)</f>
        <v>A</v>
      </c>
      <c r="W209" s="50" t="str">
        <f>MID(VLOOKUP($A209,Seqs!$A:$B,2,FALSE),VLOOKUP($A209,'SegEnds_NonXtal_Prot#'!A:AL,10,FALSE)+7,1)</f>
        <v>S</v>
      </c>
      <c r="X209" s="50" t="str">
        <f>MID(VLOOKUP($A209,Seqs!$A:$B,2,FALSE),VLOOKUP($A209,'SegEnds_NonXtal_Prot#'!A:AL,10,FALSE)+8,1)</f>
        <v>T</v>
      </c>
      <c r="Y209" s="50" t="str">
        <f>MID(VLOOKUP($A209,Seqs!$A:$B,2,FALSE),VLOOKUP($A209,'SegEnds_NonXtal_Prot#'!A:AL,10,FALSE)+9,1)</f>
        <v>P</v>
      </c>
      <c r="Z209" s="50" t="str">
        <f>MID(VLOOKUP($A209,Seqs!$A:$B,2,FALSE),VLOOKUP($A209,'SegEnds_NonXtal_Prot#'!A:AL,10,FALSE)+10,1)</f>
        <v>F</v>
      </c>
      <c r="AA209" s="28" t="str">
        <f>MID(VLOOKUP($A209,Seqs!$A:$B,2,FALSE),VLOOKUP($A209,'SegEnds_NonXtal_Prot#'!$A:$AL,22,FALSE)+6,1)</f>
        <v>F</v>
      </c>
      <c r="AB209" s="50" t="str">
        <f>MID(VLOOKUP($A209,Seqs!$A:$B,2,FALSE),VLOOKUP($A209,'SegEnds_NonXtal_Prot#'!$A:$AL,22,FALSE)+7,1)</f>
        <v>V</v>
      </c>
      <c r="AC209" s="50" t="str">
        <f>MID(VLOOKUP($A209,Seqs!$A:$B,2,FALSE),VLOOKUP($A209,'SegEnds_NonXtal_Prot#'!$A:$AL,22,FALSE)+8,1)</f>
        <v>T</v>
      </c>
      <c r="AD209" s="50" t="str">
        <f>MID(VLOOKUP($A209,Seqs!$A:$B,2,FALSE),VLOOKUP($A209,'SegEnds_NonXtal_Prot#'!$A:$AL,22,FALSE)+9,1)</f>
        <v>P</v>
      </c>
      <c r="AE209" s="50" t="str">
        <f>MID(VLOOKUP($A209,Seqs!$A:$B,2,FALSE),VLOOKUP($A209,'SegEnds_NonXtal_Prot#'!$A:$AL,22,FALSE)+10,1)</f>
        <v>V</v>
      </c>
      <c r="AF209" s="28" t="str">
        <f>MID(VLOOKUP($A209,Seqs!$A:$B,2,FALSE),VLOOKUP($A209,'SegEnds_NonXtal_Prot#'!$A:$AL,28,FALSE)-4,1)</f>
        <v>G</v>
      </c>
      <c r="AG209" s="50" t="str">
        <f>MID(VLOOKUP($A209,Seqs!$A:$B,2,FALSE),VLOOKUP($A209,'SegEnds_NonXtal_Prot#'!$A:$AL,28,FALSE),1)</f>
        <v>P</v>
      </c>
    </row>
    <row r="210" spans="1:33" s="2" customFormat="1" x14ac:dyDescent="0.2">
      <c r="A210" s="2" t="s">
        <v>244</v>
      </c>
      <c r="B210" s="2" t="str">
        <f>LOWER(VLOOKUP(A210,Xtal_Templ!A:B,2,FALSE))</f>
        <v>5ht2b_human</v>
      </c>
      <c r="C210" s="2" t="str">
        <f>VLOOKUP(A210,Classification!A:D,2,FALSE)</f>
        <v>A</v>
      </c>
      <c r="D210" s="2" t="str">
        <f>IF(ISERROR(MATCH(A210,'SegEnds_Xtal_Prot#'!B:B, 0)), "NoXtal", "Xtal")</f>
        <v>NoXtal</v>
      </c>
      <c r="G210" s="4"/>
      <c r="M210" s="2" t="s">
        <v>14</v>
      </c>
      <c r="Q210" s="2" t="s">
        <v>9</v>
      </c>
      <c r="S210" s="4" t="s">
        <v>12</v>
      </c>
      <c r="U210" s="28" t="str">
        <f>MID(VLOOKUP($A210,Seqs!$A:$B,2,FALSE),VLOOKUP($A210,'SegEnds_NonXtal_Prot#'!A:AL,10,FALSE),1)</f>
        <v>D</v>
      </c>
      <c r="V210" s="50" t="str">
        <f>MID(VLOOKUP($A210,Seqs!$A:$B,2,FALSE),VLOOKUP($A210,'SegEnds_NonXtal_Prot#'!A:AL,10,FALSE)+6,1)</f>
        <v>S</v>
      </c>
      <c r="W210" s="50" t="str">
        <f>MID(VLOOKUP($A210,Seqs!$A:$B,2,FALSE),VLOOKUP($A210,'SegEnds_NonXtal_Prot#'!A:AL,10,FALSE)+7,1)</f>
        <v>C</v>
      </c>
      <c r="X210" s="50" t="str">
        <f>MID(VLOOKUP($A210,Seqs!$A:$B,2,FALSE),VLOOKUP($A210,'SegEnds_NonXtal_Prot#'!A:AL,10,FALSE)+8,1)</f>
        <v>V</v>
      </c>
      <c r="Y210" s="50" t="str">
        <f>MID(VLOOKUP($A210,Seqs!$A:$B,2,FALSE),VLOOKUP($A210,'SegEnds_NonXtal_Prot#'!A:AL,10,FALSE)+9,1)</f>
        <v>V</v>
      </c>
      <c r="Z210" s="50" t="str">
        <f>MID(VLOOKUP($A210,Seqs!$A:$B,2,FALSE),VLOOKUP($A210,'SegEnds_NonXtal_Prot#'!A:AL,10,FALSE)+10,1)</f>
        <v>P</v>
      </c>
      <c r="AA210" s="28" t="str">
        <f>MID(VLOOKUP($A210,Seqs!$A:$B,2,FALSE),VLOOKUP($A210,'SegEnds_NonXtal_Prot#'!$A:$AL,22,FALSE)+6,1)</f>
        <v>V</v>
      </c>
      <c r="AB210" s="50" t="str">
        <f>MID(VLOOKUP($A210,Seqs!$A:$B,2,FALSE),VLOOKUP($A210,'SegEnds_NonXtal_Prot#'!$A:$AL,22,FALSE)+7,1)</f>
        <v>F</v>
      </c>
      <c r="AC210" s="50" t="str">
        <f>MID(VLOOKUP($A210,Seqs!$A:$B,2,FALSE),VLOOKUP($A210,'SegEnds_NonXtal_Prot#'!$A:$AL,22,FALSE)+8,1)</f>
        <v>L</v>
      </c>
      <c r="AD210" s="50" t="str">
        <f>MID(VLOOKUP($A210,Seqs!$A:$B,2,FALSE),VLOOKUP($A210,'SegEnds_NonXtal_Prot#'!$A:$AL,22,FALSE)+9,1)</f>
        <v>P</v>
      </c>
      <c r="AE210" s="50" t="str">
        <f>MID(VLOOKUP($A210,Seqs!$A:$B,2,FALSE),VLOOKUP($A210,'SegEnds_NonXtal_Prot#'!$A:$AL,22,FALSE)+10,1)</f>
        <v>S</v>
      </c>
      <c r="AF210" s="28" t="str">
        <f>MID(VLOOKUP($A210,Seqs!$A:$B,2,FALSE),VLOOKUP($A210,'SegEnds_NonXtal_Prot#'!$A:$AL,28,FALSE)-4,1)</f>
        <v>M</v>
      </c>
      <c r="AG210" s="50" t="str">
        <f>MID(VLOOKUP($A210,Seqs!$A:$B,2,FALSE),VLOOKUP($A210,'SegEnds_NonXtal_Prot#'!$A:$AL,28,FALSE),1)</f>
        <v>P</v>
      </c>
    </row>
    <row r="211" spans="1:33" s="2" customFormat="1" x14ac:dyDescent="0.2">
      <c r="A211" s="2" t="s">
        <v>247</v>
      </c>
      <c r="B211" s="2" t="str">
        <f>LOWER(VLOOKUP(A211,Xtal_Templ!A:B,2,FALSE))</f>
        <v>ox2r_human</v>
      </c>
      <c r="C211" s="2" t="str">
        <f>VLOOKUP(A211,Classification!A:D,2,FALSE)</f>
        <v>A</v>
      </c>
      <c r="D211" s="2" t="str">
        <f>IF(ISERROR(MATCH(A211,'SegEnds_Xtal_Prot#'!B:B, 0)), "NoXtal", "Xtal")</f>
        <v>NoXtal</v>
      </c>
      <c r="F211" s="2" t="s">
        <v>5</v>
      </c>
      <c r="G211" s="4"/>
      <c r="S211" s="4" t="s">
        <v>12</v>
      </c>
      <c r="U211" s="28" t="str">
        <f>MID(VLOOKUP($A211,Seqs!$A:$B,2,FALSE),VLOOKUP($A211,'SegEnds_NonXtal_Prot#'!A:AL,10,FALSE),1)</f>
        <v>N</v>
      </c>
      <c r="V211" s="50" t="str">
        <f>MID(VLOOKUP($A211,Seqs!$A:$B,2,FALSE),VLOOKUP($A211,'SegEnds_NonXtal_Prot#'!A:AL,10,FALSE)+6,1)</f>
        <v>V</v>
      </c>
      <c r="W211" s="50" t="str">
        <f>MID(VLOOKUP($A211,Seqs!$A:$B,2,FALSE),VLOOKUP($A211,'SegEnds_NonXtal_Prot#'!A:AL,10,FALSE)+7,1)</f>
        <v>N</v>
      </c>
      <c r="X211" s="50" t="str">
        <f>MID(VLOOKUP($A211,Seqs!$A:$B,2,FALSE),VLOOKUP($A211,'SegEnds_NonXtal_Prot#'!A:AL,10,FALSE)+8,1)</f>
        <v>M</v>
      </c>
      <c r="Y211" s="50" t="str">
        <f>MID(VLOOKUP($A211,Seqs!$A:$B,2,FALSE),VLOOKUP($A211,'SegEnds_NonXtal_Prot#'!A:AL,10,FALSE)+9,1)</f>
        <v>P</v>
      </c>
      <c r="Z211" s="50" t="str">
        <f>MID(VLOOKUP($A211,Seqs!$A:$B,2,FALSE),VLOOKUP($A211,'SegEnds_NonXtal_Prot#'!A:AL,10,FALSE)+10,1)</f>
        <v>L</v>
      </c>
      <c r="AA211" s="28" t="str">
        <f>MID(VLOOKUP($A211,Seqs!$A:$B,2,FALSE),VLOOKUP($A211,'SegEnds_NonXtal_Prot#'!$A:$AL,22,FALSE)+6,1)</f>
        <v>F</v>
      </c>
      <c r="AB211" s="50" t="str">
        <f>MID(VLOOKUP($A211,Seqs!$A:$B,2,FALSE),VLOOKUP($A211,'SegEnds_NonXtal_Prot#'!$A:$AL,22,FALSE)+7,1)</f>
        <v>P</v>
      </c>
      <c r="AC211" s="50" t="str">
        <f>MID(VLOOKUP($A211,Seqs!$A:$B,2,FALSE),VLOOKUP($A211,'SegEnds_NonXtal_Prot#'!$A:$AL,22,FALSE)+8,1)</f>
        <v>A</v>
      </c>
      <c r="AD211" s="50" t="str">
        <f>MID(VLOOKUP($A211,Seqs!$A:$B,2,FALSE),VLOOKUP($A211,'SegEnds_NonXtal_Prot#'!$A:$AL,22,FALSE)+9,1)</f>
        <v>A</v>
      </c>
      <c r="AE211" s="50" t="str">
        <f>MID(VLOOKUP($A211,Seqs!$A:$B,2,FALSE),VLOOKUP($A211,'SegEnds_NonXtal_Prot#'!$A:$AL,22,FALSE)+10,1)</f>
        <v>A</v>
      </c>
      <c r="AF211" s="28" t="str">
        <f>MID(VLOOKUP($A211,Seqs!$A:$B,2,FALSE),VLOOKUP($A211,'SegEnds_NonXtal_Prot#'!$A:$AL,28,FALSE)-4,1)</f>
        <v>S</v>
      </c>
      <c r="AG211" s="50" t="str">
        <f>MID(VLOOKUP($A211,Seqs!$A:$B,2,FALSE),VLOOKUP($A211,'SegEnds_NonXtal_Prot#'!$A:$AL,28,FALSE),1)</f>
        <v>S</v>
      </c>
    </row>
    <row r="212" spans="1:33" s="2" customFormat="1" x14ac:dyDescent="0.2">
      <c r="A212" s="2" t="s">
        <v>260</v>
      </c>
      <c r="B212" s="2" t="str">
        <f>LOWER(VLOOKUP(A212,Xtal_Templ!A:B,2,FALSE))</f>
        <v>5ht2b_human</v>
      </c>
      <c r="C212" s="2" t="str">
        <f>VLOOKUP(A212,Classification!A:D,2,FALSE)</f>
        <v>A</v>
      </c>
      <c r="D212" s="2" t="str">
        <f>IF(ISERROR(MATCH(A212,'SegEnds_Xtal_Prot#'!B:B, 0)), "NoXtal", "Xtal")</f>
        <v>NoXtal</v>
      </c>
      <c r="G212" s="4"/>
      <c r="M212" s="2" t="s">
        <v>14</v>
      </c>
      <c r="Q212" s="2" t="s">
        <v>9</v>
      </c>
      <c r="S212" s="4" t="s">
        <v>12</v>
      </c>
      <c r="U212" s="28" t="str">
        <f>MID(VLOOKUP($A212,Seqs!$A:$B,2,FALSE),VLOOKUP($A212,'SegEnds_NonXtal_Prot#'!A:AL,10,FALSE),1)</f>
        <v>D</v>
      </c>
      <c r="V212" s="50" t="str">
        <f>MID(VLOOKUP($A212,Seqs!$A:$B,2,FALSE),VLOOKUP($A212,'SegEnds_NonXtal_Prot#'!A:AL,10,FALSE)+6,1)</f>
        <v>S</v>
      </c>
      <c r="W212" s="50" t="str">
        <f>MID(VLOOKUP($A212,Seqs!$A:$B,2,FALSE),VLOOKUP($A212,'SegEnds_NonXtal_Prot#'!A:AL,10,FALSE)+7,1)</f>
        <v>C</v>
      </c>
      <c r="X212" s="50" t="str">
        <f>MID(VLOOKUP($A212,Seqs!$A:$B,2,FALSE),VLOOKUP($A212,'SegEnds_NonXtal_Prot#'!A:AL,10,FALSE)+8,1)</f>
        <v>L</v>
      </c>
      <c r="Y212" s="50" t="str">
        <f>MID(VLOOKUP($A212,Seqs!$A:$B,2,FALSE),VLOOKUP($A212,'SegEnds_NonXtal_Prot#'!A:AL,10,FALSE)+9,1)</f>
        <v>V</v>
      </c>
      <c r="Z212" s="50" t="str">
        <f>MID(VLOOKUP($A212,Seqs!$A:$B,2,FALSE),VLOOKUP($A212,'SegEnds_NonXtal_Prot#'!A:AL,10,FALSE)+10,1)</f>
        <v>P</v>
      </c>
      <c r="AA212" s="28" t="str">
        <f>MID(VLOOKUP($A212,Seqs!$A:$B,2,FALSE),VLOOKUP($A212,'SegEnds_NonXtal_Prot#'!$A:$AL,22,FALSE)+6,1)</f>
        <v>I</v>
      </c>
      <c r="AB212" s="50" t="str">
        <f>MID(VLOOKUP($A212,Seqs!$A:$B,2,FALSE),VLOOKUP($A212,'SegEnds_NonXtal_Prot#'!$A:$AL,22,FALSE)+7,1)</f>
        <v>F</v>
      </c>
      <c r="AC212" s="50" t="str">
        <f>MID(VLOOKUP($A212,Seqs!$A:$B,2,FALSE),VLOOKUP($A212,'SegEnds_NonXtal_Prot#'!$A:$AL,22,FALSE)+8,1)</f>
        <v>L</v>
      </c>
      <c r="AD212" s="50" t="str">
        <f>MID(VLOOKUP($A212,Seqs!$A:$B,2,FALSE),VLOOKUP($A212,'SegEnds_NonXtal_Prot#'!$A:$AL,22,FALSE)+9,1)</f>
        <v>P</v>
      </c>
      <c r="AE212" s="50" t="str">
        <f>MID(VLOOKUP($A212,Seqs!$A:$B,2,FALSE),VLOOKUP($A212,'SegEnds_NonXtal_Prot#'!$A:$AL,22,FALSE)+10,1)</f>
        <v>S</v>
      </c>
      <c r="AF212" s="28" t="str">
        <f>MID(VLOOKUP($A212,Seqs!$A:$B,2,FALSE),VLOOKUP($A212,'SegEnds_NonXtal_Prot#'!$A:$AL,28,FALSE)-4,1)</f>
        <v>L</v>
      </c>
      <c r="AG212" s="50" t="str">
        <f>MID(VLOOKUP($A212,Seqs!$A:$B,2,FALSE),VLOOKUP($A212,'SegEnds_NonXtal_Prot#'!$A:$AL,28,FALSE),1)</f>
        <v>P</v>
      </c>
    </row>
    <row r="213" spans="1:33" s="2" customFormat="1" x14ac:dyDescent="0.2">
      <c r="A213" s="2" t="s">
        <v>269</v>
      </c>
      <c r="B213" s="2" t="str">
        <f>LOWER(VLOOKUP(A213,Xtal_Templ!A:B,2,FALSE))</f>
        <v>ox2r_human</v>
      </c>
      <c r="C213" s="2" t="str">
        <f>VLOOKUP(A213,Classification!A:D,2,FALSE)</f>
        <v>A</v>
      </c>
      <c r="D213" s="2" t="str">
        <f>IF(ISERROR(MATCH(A213,'SegEnds_Xtal_Prot#'!B:B, 0)), "NoXtal", "Xtal")</f>
        <v>NoXtal</v>
      </c>
      <c r="F213" s="2" t="s">
        <v>5</v>
      </c>
      <c r="G213" s="4"/>
      <c r="M213" s="2" t="s">
        <v>14</v>
      </c>
      <c r="Q213" s="2" t="s">
        <v>9</v>
      </c>
      <c r="S213" s="4" t="s">
        <v>12</v>
      </c>
      <c r="U213" s="28" t="str">
        <f>MID(VLOOKUP($A213,Seqs!$A:$B,2,FALSE),VLOOKUP($A213,'SegEnds_NonXtal_Prot#'!A:AL,10,FALSE),1)</f>
        <v>D</v>
      </c>
      <c r="V213" s="50" t="str">
        <f>MID(VLOOKUP($A213,Seqs!$A:$B,2,FALSE),VLOOKUP($A213,'SegEnds_NonXtal_Prot#'!A:AL,10,FALSE)+6,1)</f>
        <v>L</v>
      </c>
      <c r="W213" s="50" t="str">
        <f>MID(VLOOKUP($A213,Seqs!$A:$B,2,FALSE),VLOOKUP($A213,'SegEnds_NonXtal_Prot#'!A:AL,10,FALSE)+7,1)</f>
        <v>N</v>
      </c>
      <c r="X213" s="50" t="str">
        <f>MID(VLOOKUP($A213,Seqs!$A:$B,2,FALSE),VLOOKUP($A213,'SegEnds_NonXtal_Prot#'!A:AL,10,FALSE)+8,1)</f>
        <v>T</v>
      </c>
      <c r="Y213" s="50" t="str">
        <f>MID(VLOOKUP($A213,Seqs!$A:$B,2,FALSE),VLOOKUP($A213,'SegEnds_NonXtal_Prot#'!A:AL,10,FALSE)+9,1)</f>
        <v>P</v>
      </c>
      <c r="Z213" s="50" t="str">
        <f>MID(VLOOKUP($A213,Seqs!$A:$B,2,FALSE),VLOOKUP($A213,'SegEnds_NonXtal_Prot#'!A:AL,10,FALSE)+10,1)</f>
        <v>F</v>
      </c>
      <c r="AA213" s="28" t="str">
        <f>MID(VLOOKUP($A213,Seqs!$A:$B,2,FALSE),VLOOKUP($A213,'SegEnds_NonXtal_Prot#'!$A:$AL,22,FALSE)+6,1)</f>
        <v>F</v>
      </c>
      <c r="AB213" s="50" t="str">
        <f>MID(VLOOKUP($A213,Seqs!$A:$B,2,FALSE),VLOOKUP($A213,'SegEnds_NonXtal_Prot#'!$A:$AL,22,FALSE)+7,1)</f>
        <v>S</v>
      </c>
      <c r="AC213" s="50" t="str">
        <f>MID(VLOOKUP($A213,Seqs!$A:$B,2,FALSE),VLOOKUP($A213,'SegEnds_NonXtal_Prot#'!$A:$AL,22,FALSE)+8,1)</f>
        <v>L</v>
      </c>
      <c r="AD213" s="50" t="str">
        <f>MID(VLOOKUP($A213,Seqs!$A:$B,2,FALSE),VLOOKUP($A213,'SegEnds_NonXtal_Prot#'!$A:$AL,22,FALSE)+9,1)</f>
        <v>P</v>
      </c>
      <c r="AE213" s="50" t="str">
        <f>MID(VLOOKUP($A213,Seqs!$A:$B,2,FALSE),VLOOKUP($A213,'SegEnds_NonXtal_Prot#'!$A:$AL,22,FALSE)+10,1)</f>
        <v>H</v>
      </c>
      <c r="AF213" s="28" t="str">
        <f>MID(VLOOKUP($A213,Seqs!$A:$B,2,FALSE),VLOOKUP($A213,'SegEnds_NonXtal_Prot#'!$A:$AL,28,FALSE)-4,1)</f>
        <v>L</v>
      </c>
      <c r="AG213" s="50" t="str">
        <f>MID(VLOOKUP($A213,Seqs!$A:$B,2,FALSE),VLOOKUP($A213,'SegEnds_NonXtal_Prot#'!$A:$AL,28,FALSE),1)</f>
        <v>P</v>
      </c>
    </row>
    <row r="214" spans="1:33" s="2" customFormat="1" x14ac:dyDescent="0.2">
      <c r="A214" s="2" t="s">
        <v>312</v>
      </c>
      <c r="B214" s="2" t="str">
        <f>LOWER(VLOOKUP(A214,Xtal_Templ!A:B,2,FALSE))</f>
        <v>ox2r_human</v>
      </c>
      <c r="C214" s="2" t="str">
        <f>VLOOKUP(A214,Classification!A:D,2,FALSE)</f>
        <v>A</v>
      </c>
      <c r="D214" s="2" t="str">
        <f>IF(ISERROR(MATCH(A214,'SegEnds_Xtal_Prot#'!B:B, 0)), "NoXtal", "Xtal")</f>
        <v>NoXtal</v>
      </c>
      <c r="G214" s="4"/>
      <c r="M214" s="2" t="s">
        <v>14</v>
      </c>
      <c r="Q214" s="2" t="s">
        <v>9</v>
      </c>
      <c r="S214" s="4" t="s">
        <v>12</v>
      </c>
      <c r="U214" s="28" t="str">
        <f>MID(VLOOKUP($A214,Seqs!$A:$B,2,FALSE),VLOOKUP($A214,'SegEnds_NonXtal_Prot#'!A:AL,10,FALSE),1)</f>
        <v>D</v>
      </c>
      <c r="V214" s="50" t="str">
        <f>MID(VLOOKUP($A214,Seqs!$A:$B,2,FALSE),VLOOKUP($A214,'SegEnds_NonXtal_Prot#'!A:AL,10,FALSE)+6,1)</f>
        <v>Y</v>
      </c>
      <c r="W214" s="50" t="str">
        <f>MID(VLOOKUP($A214,Seqs!$A:$B,2,FALSE),VLOOKUP($A214,'SegEnds_NonXtal_Prot#'!A:AL,10,FALSE)+7,1)</f>
        <v>P</v>
      </c>
      <c r="X214" s="50" t="str">
        <f>MID(VLOOKUP($A214,Seqs!$A:$B,2,FALSE),VLOOKUP($A214,'SegEnds_NonXtal_Prot#'!A:AL,10,FALSE)+8,1)</f>
        <v>Y</v>
      </c>
      <c r="Y214" s="50" t="str">
        <f>MID(VLOOKUP($A214,Seqs!$A:$B,2,FALSE),VLOOKUP($A214,'SegEnds_NonXtal_Prot#'!A:AL,10,FALSE)+9,1)</f>
        <v>P</v>
      </c>
      <c r="Z214" s="50" t="str">
        <f>MID(VLOOKUP($A214,Seqs!$A:$B,2,FALSE),VLOOKUP($A214,'SegEnds_NonXtal_Prot#'!A:AL,10,FALSE)+10,1)</f>
        <v>L</v>
      </c>
      <c r="AA214" s="28" t="str">
        <f>MID(VLOOKUP($A214,Seqs!$A:$B,2,FALSE),VLOOKUP($A214,'SegEnds_NonXtal_Prot#'!$A:$AL,22,FALSE)+6,1)</f>
        <v>A</v>
      </c>
      <c r="AB214" s="50" t="str">
        <f>MID(VLOOKUP($A214,Seqs!$A:$B,2,FALSE),VLOOKUP($A214,'SegEnds_NonXtal_Prot#'!$A:$AL,22,FALSE)+7,1)</f>
        <v>L</v>
      </c>
      <c r="AC214" s="50" t="str">
        <f>MID(VLOOKUP($A214,Seqs!$A:$B,2,FALSE),VLOOKUP($A214,'SegEnds_NonXtal_Prot#'!$A:$AL,22,FALSE)+8,1)</f>
        <v>L</v>
      </c>
      <c r="AD214" s="50" t="str">
        <f>MID(VLOOKUP($A214,Seqs!$A:$B,2,FALSE),VLOOKUP($A214,'SegEnds_NonXtal_Prot#'!$A:$AL,22,FALSE)+9,1)</f>
        <v>P</v>
      </c>
      <c r="AE214" s="50" t="str">
        <f>MID(VLOOKUP($A214,Seqs!$A:$B,2,FALSE),VLOOKUP($A214,'SegEnds_NonXtal_Prot#'!$A:$AL,22,FALSE)+10,1)</f>
        <v>N</v>
      </c>
      <c r="AF214" s="28" t="str">
        <f>MID(VLOOKUP($A214,Seqs!$A:$B,2,FALSE),VLOOKUP($A214,'SegEnds_NonXtal_Prot#'!$A:$AL,28,FALSE)-4,1)</f>
        <v>H</v>
      </c>
      <c r="AG214" s="50" t="str">
        <f>MID(VLOOKUP($A214,Seqs!$A:$B,2,FALSE),VLOOKUP($A214,'SegEnds_NonXtal_Prot#'!$A:$AL,28,FALSE),1)</f>
        <v>P</v>
      </c>
    </row>
    <row r="215" spans="1:33" s="2" customFormat="1" x14ac:dyDescent="0.2">
      <c r="A215" s="2" t="s">
        <v>313</v>
      </c>
      <c r="B215" s="2" t="str">
        <f>LOWER(VLOOKUP(A215,Xtal_Templ!A:B,2,FALSE))</f>
        <v>ox2r_human</v>
      </c>
      <c r="C215" s="2" t="str">
        <f>VLOOKUP(A215,Classification!A:D,2,FALSE)</f>
        <v>A</v>
      </c>
      <c r="D215" s="2" t="str">
        <f>IF(ISERROR(MATCH(A215,'SegEnds_Xtal_Prot#'!B:B, 0)), "NoXtal", "Xtal")</f>
        <v>NoXtal</v>
      </c>
      <c r="G215" s="4"/>
      <c r="M215" s="2" t="s">
        <v>14</v>
      </c>
      <c r="Q215" s="2" t="s">
        <v>9</v>
      </c>
      <c r="S215" s="4" t="s">
        <v>12</v>
      </c>
      <c r="U215" s="28" t="str">
        <f>MID(VLOOKUP($A215,Seqs!$A:$B,2,FALSE),VLOOKUP($A215,'SegEnds_NonXtal_Prot#'!A:AL,10,FALSE),1)</f>
        <v>D</v>
      </c>
      <c r="V215" s="50" t="str">
        <f>MID(VLOOKUP($A215,Seqs!$A:$B,2,FALSE),VLOOKUP($A215,'SegEnds_NonXtal_Prot#'!A:AL,10,FALSE)+6,1)</f>
        <v>Y</v>
      </c>
      <c r="W215" s="50" t="str">
        <f>MID(VLOOKUP($A215,Seqs!$A:$B,2,FALSE),VLOOKUP($A215,'SegEnds_NonXtal_Prot#'!A:AL,10,FALSE)+7,1)</f>
        <v>P</v>
      </c>
      <c r="X215" s="50" t="str">
        <f>MID(VLOOKUP($A215,Seqs!$A:$B,2,FALSE),VLOOKUP($A215,'SegEnds_NonXtal_Prot#'!A:AL,10,FALSE)+8,1)</f>
        <v>Y</v>
      </c>
      <c r="Y215" s="50" t="str">
        <f>MID(VLOOKUP($A215,Seqs!$A:$B,2,FALSE),VLOOKUP($A215,'SegEnds_NonXtal_Prot#'!A:AL,10,FALSE)+9,1)</f>
        <v>P</v>
      </c>
      <c r="Z215" s="50" t="str">
        <f>MID(VLOOKUP($A215,Seqs!$A:$B,2,FALSE),VLOOKUP($A215,'SegEnds_NonXtal_Prot#'!A:AL,10,FALSE)+10,1)</f>
        <v>L</v>
      </c>
      <c r="AA215" s="28" t="str">
        <f>MID(VLOOKUP($A215,Seqs!$A:$B,2,FALSE),VLOOKUP($A215,'SegEnds_NonXtal_Prot#'!$A:$AL,22,FALSE)+6,1)</f>
        <v>A</v>
      </c>
      <c r="AB215" s="50" t="str">
        <f>MID(VLOOKUP($A215,Seqs!$A:$B,2,FALSE),VLOOKUP($A215,'SegEnds_NonXtal_Prot#'!$A:$AL,22,FALSE)+7,1)</f>
        <v>V</v>
      </c>
      <c r="AC215" s="50" t="str">
        <f>MID(VLOOKUP($A215,Seqs!$A:$B,2,FALSE),VLOOKUP($A215,'SegEnds_NonXtal_Prot#'!$A:$AL,22,FALSE)+8,1)</f>
        <v>L</v>
      </c>
      <c r="AD215" s="50" t="str">
        <f>MID(VLOOKUP($A215,Seqs!$A:$B,2,FALSE),VLOOKUP($A215,'SegEnds_NonXtal_Prot#'!$A:$AL,22,FALSE)+9,1)</f>
        <v>P</v>
      </c>
      <c r="AE215" s="50" t="str">
        <f>MID(VLOOKUP($A215,Seqs!$A:$B,2,FALSE),VLOOKUP($A215,'SegEnds_NonXtal_Prot#'!$A:$AL,22,FALSE)+10,1)</f>
        <v>N</v>
      </c>
      <c r="AF215" s="28" t="str">
        <f>MID(VLOOKUP($A215,Seqs!$A:$B,2,FALSE),VLOOKUP($A215,'SegEnds_NonXtal_Prot#'!$A:$AL,28,FALSE)-4,1)</f>
        <v>H</v>
      </c>
      <c r="AG215" s="50" t="str">
        <f>MID(VLOOKUP($A215,Seqs!$A:$B,2,FALSE),VLOOKUP($A215,'SegEnds_NonXtal_Prot#'!$A:$AL,28,FALSE),1)</f>
        <v>P</v>
      </c>
    </row>
    <row r="216" spans="1:33" s="2" customFormat="1" x14ac:dyDescent="0.2">
      <c r="A216" s="2" t="s">
        <v>314</v>
      </c>
      <c r="B216" s="2" t="str">
        <f>LOWER(VLOOKUP(A216,Xtal_Templ!A:B,2,FALSE))</f>
        <v>ox2r_human</v>
      </c>
      <c r="C216" s="2" t="str">
        <f>VLOOKUP(A216,Classification!A:D,2,FALSE)</f>
        <v>A</v>
      </c>
      <c r="D216" s="2" t="str">
        <f>IF(ISERROR(MATCH(A216,'SegEnds_Xtal_Prot#'!B:B, 0)), "NoXtal", "Xtal")</f>
        <v>NoXtal</v>
      </c>
      <c r="M216" s="2" t="s">
        <v>14</v>
      </c>
      <c r="Q216" s="2" t="s">
        <v>9</v>
      </c>
      <c r="S216" s="4" t="s">
        <v>12</v>
      </c>
      <c r="U216" s="28" t="str">
        <f>MID(VLOOKUP($A216,Seqs!$A:$B,2,FALSE),VLOOKUP($A216,'SegEnds_NonXtal_Prot#'!A:AL,10,FALSE),1)</f>
        <v>E</v>
      </c>
      <c r="V216" s="50" t="str">
        <f>MID(VLOOKUP($A216,Seqs!$A:$B,2,FALSE),VLOOKUP($A216,'SegEnds_NonXtal_Prot#'!A:AL,10,FALSE)+6,1)</f>
        <v>F</v>
      </c>
      <c r="W216" s="50" t="str">
        <f>MID(VLOOKUP($A216,Seqs!$A:$B,2,FALSE),VLOOKUP($A216,'SegEnds_NonXtal_Prot#'!A:AL,10,FALSE)+7,1)</f>
        <v>N</v>
      </c>
      <c r="X216" s="50" t="str">
        <f>MID(VLOOKUP($A216,Seqs!$A:$B,2,FALSE),VLOOKUP($A216,'SegEnds_NonXtal_Prot#'!A:AL,10,FALSE)+8,1)</f>
        <v>T</v>
      </c>
      <c r="Y216" s="50" t="str">
        <f>MID(VLOOKUP($A216,Seqs!$A:$B,2,FALSE),VLOOKUP($A216,'SegEnds_NonXtal_Prot#'!A:AL,10,FALSE)+9,1)</f>
        <v>V</v>
      </c>
      <c r="Z216" s="50" t="str">
        <f>MID(VLOOKUP($A216,Seqs!$A:$B,2,FALSE),VLOOKUP($A216,'SegEnds_NonXtal_Prot#'!A:AL,10,FALSE)+10,1)</f>
        <v>V</v>
      </c>
      <c r="AA216" s="28" t="str">
        <f>MID(VLOOKUP($A216,Seqs!$A:$B,2,FALSE),VLOOKUP($A216,'SegEnds_NonXtal_Prot#'!$A:$AL,22,FALSE)+6,1)</f>
        <v>L</v>
      </c>
      <c r="AB216" s="50" t="str">
        <f>MID(VLOOKUP($A216,Seqs!$A:$B,2,FALSE),VLOOKUP($A216,'SegEnds_NonXtal_Prot#'!$A:$AL,22,FALSE)+7,1)</f>
        <v>A</v>
      </c>
      <c r="AC216" s="50" t="str">
        <f>MID(VLOOKUP($A216,Seqs!$A:$B,2,FALSE),VLOOKUP($A216,'SegEnds_NonXtal_Prot#'!$A:$AL,22,FALSE)+8,1)</f>
        <v>F</v>
      </c>
      <c r="AD216" s="50" t="str">
        <f>MID(VLOOKUP($A216,Seqs!$A:$B,2,FALSE),VLOOKUP($A216,'SegEnds_NonXtal_Prot#'!$A:$AL,22,FALSE)+9,1)</f>
        <v>P</v>
      </c>
      <c r="AE216" s="50" t="str">
        <f>MID(VLOOKUP($A216,Seqs!$A:$B,2,FALSE),VLOOKUP($A216,'SegEnds_NonXtal_Prot#'!$A:$AL,22,FALSE)+10,1)</f>
        <v>Q</v>
      </c>
      <c r="AF216" s="28" t="str">
        <f>MID(VLOOKUP($A216,Seqs!$A:$B,2,FALSE),VLOOKUP($A216,'SegEnds_NonXtal_Prot#'!$A:$AL,28,FALSE)-4,1)</f>
        <v>I</v>
      </c>
      <c r="AG216" s="50" t="str">
        <f>MID(VLOOKUP($A216,Seqs!$A:$B,2,FALSE),VLOOKUP($A216,'SegEnds_NonXtal_Prot#'!$A:$AL,28,FALSE),1)</f>
        <v>P</v>
      </c>
    </row>
    <row r="217" spans="1:33" s="2" customFormat="1" x14ac:dyDescent="0.2">
      <c r="A217" s="2" t="s">
        <v>316</v>
      </c>
      <c r="B217" s="2" t="str">
        <f>LOWER(VLOOKUP(A217,Xtal_Templ!A:B,2,FALSE))</f>
        <v>ox2r_human</v>
      </c>
      <c r="C217" s="2" t="str">
        <f>VLOOKUP(A217,Classification!A:D,2,FALSE)</f>
        <v>A</v>
      </c>
      <c r="D217" s="2" t="str">
        <f>IF(ISERROR(MATCH(A217,'SegEnds_Xtal_Prot#'!B:B, 0)), "NoXtal", "Xtal")</f>
        <v>NoXtal</v>
      </c>
      <c r="G217" s="4"/>
      <c r="M217" s="2" t="s">
        <v>14</v>
      </c>
      <c r="Q217" s="2" t="s">
        <v>9</v>
      </c>
      <c r="S217" s="4" t="s">
        <v>12</v>
      </c>
      <c r="U217" s="28" t="str">
        <f>MID(VLOOKUP($A217,Seqs!$A:$B,2,FALSE),VLOOKUP($A217,'SegEnds_NonXtal_Prot#'!A:AL,10,FALSE),1)</f>
        <v>D</v>
      </c>
      <c r="V217" s="50" t="str">
        <f>MID(VLOOKUP($A217,Seqs!$A:$B,2,FALSE),VLOOKUP($A217,'SegEnds_NonXtal_Prot#'!A:AL,10,FALSE)+6,1)</f>
        <v>F</v>
      </c>
      <c r="W217" s="50" t="str">
        <f>MID(VLOOKUP($A217,Seqs!$A:$B,2,FALSE),VLOOKUP($A217,'SegEnds_NonXtal_Prot#'!A:AL,10,FALSE)+7,1)</f>
        <v>N</v>
      </c>
      <c r="X217" s="50" t="str">
        <f>MID(VLOOKUP($A217,Seqs!$A:$B,2,FALSE),VLOOKUP($A217,'SegEnds_NonXtal_Prot#'!A:AL,10,FALSE)+8,1)</f>
        <v>T</v>
      </c>
      <c r="Y217" s="50" t="str">
        <f>MID(VLOOKUP($A217,Seqs!$A:$B,2,FALSE),VLOOKUP($A217,'SegEnds_NonXtal_Prot#'!A:AL,10,FALSE)+9,1)</f>
        <v>L</v>
      </c>
      <c r="Z217" s="50" t="str">
        <f>MID(VLOOKUP($A217,Seqs!$A:$B,2,FALSE),VLOOKUP($A217,'SegEnds_NonXtal_Prot#'!A:AL,10,FALSE)+10,1)</f>
        <v>V</v>
      </c>
      <c r="AA217" s="28" t="str">
        <f>MID(VLOOKUP($A217,Seqs!$A:$B,2,FALSE),VLOOKUP($A217,'SegEnds_NonXtal_Prot#'!$A:$AL,22,FALSE)+6,1)</f>
        <v>L</v>
      </c>
      <c r="AB217" s="50" t="str">
        <f>MID(VLOOKUP($A217,Seqs!$A:$B,2,FALSE),VLOOKUP($A217,'SegEnds_NonXtal_Prot#'!$A:$AL,22,FALSE)+7,1)</f>
        <v>A</v>
      </c>
      <c r="AC217" s="50" t="str">
        <f>MID(VLOOKUP($A217,Seqs!$A:$B,2,FALSE),VLOOKUP($A217,'SegEnds_NonXtal_Prot#'!$A:$AL,22,FALSE)+8,1)</f>
        <v>F</v>
      </c>
      <c r="AD217" s="50" t="str">
        <f>MID(VLOOKUP($A217,Seqs!$A:$B,2,FALSE),VLOOKUP($A217,'SegEnds_NonXtal_Prot#'!$A:$AL,22,FALSE)+9,1)</f>
        <v>P</v>
      </c>
      <c r="AE217" s="50" t="str">
        <f>MID(VLOOKUP($A217,Seqs!$A:$B,2,FALSE),VLOOKUP($A217,'SegEnds_NonXtal_Prot#'!$A:$AL,22,FALSE)+10,1)</f>
        <v>Q</v>
      </c>
      <c r="AF217" s="28" t="str">
        <f>MID(VLOOKUP($A217,Seqs!$A:$B,2,FALSE),VLOOKUP($A217,'SegEnds_NonXtal_Prot#'!$A:$AL,28,FALSE)-4,1)</f>
        <v>V</v>
      </c>
      <c r="AG217" s="50" t="str">
        <f>MID(VLOOKUP($A217,Seqs!$A:$B,2,FALSE),VLOOKUP($A217,'SegEnds_NonXtal_Prot#'!$A:$AL,28,FALSE),1)</f>
        <v>P</v>
      </c>
    </row>
    <row r="218" spans="1:33" s="2" customFormat="1" x14ac:dyDescent="0.2">
      <c r="A218" s="2" t="s">
        <v>322</v>
      </c>
      <c r="B218" s="2" t="str">
        <f>LOWER(VLOOKUP(A218,Xtal_Templ!A:B,2,FALSE))</f>
        <v>ox1r_human</v>
      </c>
      <c r="C218" s="2" t="str">
        <f>VLOOKUP(A218,Classification!A:D,2,FALSE)</f>
        <v>A</v>
      </c>
      <c r="D218" s="2" t="str">
        <f>IF(ISERROR(MATCH(A218,'SegEnds_Xtal_Prot#'!B:B, 0)), "NoXtal", "Xtal")</f>
        <v>NoXtal</v>
      </c>
      <c r="F218" s="2" t="s">
        <v>5</v>
      </c>
      <c r="G218" s="4"/>
      <c r="M218" s="2" t="s">
        <v>14</v>
      </c>
      <c r="Q218" s="2" t="s">
        <v>9</v>
      </c>
      <c r="S218" s="4" t="s">
        <v>12</v>
      </c>
      <c r="U218" s="28" t="str">
        <f>MID(VLOOKUP($A218,Seqs!$A:$B,2,FALSE),VLOOKUP($A218,'SegEnds_NonXtal_Prot#'!A:AL,10,FALSE),1)</f>
        <v>D</v>
      </c>
      <c r="V218" s="50" t="str">
        <f>MID(VLOOKUP($A218,Seqs!$A:$B,2,FALSE),VLOOKUP($A218,'SegEnds_NonXtal_Prot#'!A:AL,10,FALSE)+6,1)</f>
        <v>F</v>
      </c>
      <c r="W218" s="50" t="str">
        <f>MID(VLOOKUP($A218,Seqs!$A:$B,2,FALSE),VLOOKUP($A218,'SegEnds_NonXtal_Prot#'!A:AL,10,FALSE)+7,1)</f>
        <v>C</v>
      </c>
      <c r="X218" s="50" t="str">
        <f>MID(VLOOKUP($A218,Seqs!$A:$B,2,FALSE),VLOOKUP($A218,'SegEnds_NonXtal_Prot#'!A:AL,10,FALSE)+8,1)</f>
        <v>M</v>
      </c>
      <c r="Y218" s="50" t="str">
        <f>MID(VLOOKUP($A218,Seqs!$A:$B,2,FALSE),VLOOKUP($A218,'SegEnds_NonXtal_Prot#'!A:AL,10,FALSE)+9,1)</f>
        <v>P</v>
      </c>
      <c r="Z218" s="50" t="str">
        <f>MID(VLOOKUP($A218,Seqs!$A:$B,2,FALSE),VLOOKUP($A218,'SegEnds_NonXtal_Prot#'!A:AL,10,FALSE)+10,1)</f>
        <v>T</v>
      </c>
      <c r="AA218" s="28" t="str">
        <f>MID(VLOOKUP($A218,Seqs!$A:$B,2,FALSE),VLOOKUP($A218,'SegEnds_NonXtal_Prot#'!$A:$AL,22,FALSE)+6,1)</f>
        <v>I</v>
      </c>
      <c r="AB218" s="50" t="str">
        <f>MID(VLOOKUP($A218,Seqs!$A:$B,2,FALSE),VLOOKUP($A218,'SegEnds_NonXtal_Prot#'!$A:$AL,22,FALSE)+7,1)</f>
        <v>M</v>
      </c>
      <c r="AC218" s="50" t="str">
        <f>MID(VLOOKUP($A218,Seqs!$A:$B,2,FALSE),VLOOKUP($A218,'SegEnds_NonXtal_Prot#'!$A:$AL,22,FALSE)+8,1)</f>
        <v>C</v>
      </c>
      <c r="AD218" s="50" t="str">
        <f>MID(VLOOKUP($A218,Seqs!$A:$B,2,FALSE),VLOOKUP($A218,'SegEnds_NonXtal_Prot#'!$A:$AL,22,FALSE)+9,1)</f>
        <v>P</v>
      </c>
      <c r="AE218" s="50" t="str">
        <f>MID(VLOOKUP($A218,Seqs!$A:$B,2,FALSE),VLOOKUP($A218,'SegEnds_NonXtal_Prot#'!$A:$AL,22,FALSE)+10,1)</f>
        <v>S</v>
      </c>
      <c r="AF218" s="28" t="str">
        <f>MID(VLOOKUP($A218,Seqs!$A:$B,2,FALSE),VLOOKUP($A218,'SegEnds_NonXtal_Prot#'!$A:$AL,28,FALSE)-4,1)</f>
        <v>I</v>
      </c>
      <c r="AG218" s="50" t="str">
        <f>MID(VLOOKUP($A218,Seqs!$A:$B,2,FALSE),VLOOKUP($A218,'SegEnds_NonXtal_Prot#'!$A:$AL,28,FALSE),1)</f>
        <v>P</v>
      </c>
    </row>
    <row r="219" spans="1:33" s="2" customFormat="1" x14ac:dyDescent="0.2">
      <c r="A219" s="2" t="s">
        <v>324</v>
      </c>
      <c r="B219" s="2" t="str">
        <f>LOWER(VLOOKUP(A219,Xtal_Templ!A:B,2,FALSE))</f>
        <v>hrh1_human</v>
      </c>
      <c r="C219" s="2" t="str">
        <f>VLOOKUP(A219,Classification!A:D,2,FALSE)</f>
        <v>A</v>
      </c>
      <c r="D219" s="2" t="str">
        <f>IF(ISERROR(MATCH(A219,'SegEnds_Xtal_Prot#'!B:B, 0)), "NoXtal", "Xtal")</f>
        <v>NoXtal</v>
      </c>
      <c r="G219" s="4"/>
      <c r="M219" s="2" t="s">
        <v>14</v>
      </c>
      <c r="Q219" s="2" t="s">
        <v>9</v>
      </c>
      <c r="S219" s="4" t="s">
        <v>12</v>
      </c>
      <c r="U219" s="28" t="str">
        <f>MID(VLOOKUP($A219,Seqs!$A:$B,2,FALSE),VLOOKUP($A219,'SegEnds_NonXtal_Prot#'!A:AL,10,FALSE),1)</f>
        <v>D</v>
      </c>
      <c r="V219" s="50" t="str">
        <f>MID(VLOOKUP($A219,Seqs!$A:$B,2,FALSE),VLOOKUP($A219,'SegEnds_NonXtal_Prot#'!A:AL,10,FALSE)+6,1)</f>
        <v>V</v>
      </c>
      <c r="W219" s="50" t="str">
        <f>MID(VLOOKUP($A219,Seqs!$A:$B,2,FALSE),VLOOKUP($A219,'SegEnds_NonXtal_Prot#'!A:AL,10,FALSE)+7,1)</f>
        <v>N</v>
      </c>
      <c r="X219" s="50" t="str">
        <f>MID(VLOOKUP($A219,Seqs!$A:$B,2,FALSE),VLOOKUP($A219,'SegEnds_NonXtal_Prot#'!A:AL,10,FALSE)+8,1)</f>
        <v>I</v>
      </c>
      <c r="Y219" s="50" t="str">
        <f>MID(VLOOKUP($A219,Seqs!$A:$B,2,FALSE),VLOOKUP($A219,'SegEnds_NonXtal_Prot#'!A:AL,10,FALSE)+9,1)</f>
        <v>L</v>
      </c>
      <c r="Z219" s="50" t="str">
        <f>MID(VLOOKUP($A219,Seqs!$A:$B,2,FALSE),VLOOKUP($A219,'SegEnds_NonXtal_Prot#'!A:AL,10,FALSE)+10,1)</f>
        <v>T</v>
      </c>
      <c r="AA219" s="28" t="str">
        <f>MID(VLOOKUP($A219,Seqs!$A:$B,2,FALSE),VLOOKUP($A219,'SegEnds_NonXtal_Prot#'!$A:$AL,22,FALSE)+6,1)</f>
        <v>F</v>
      </c>
      <c r="AB219" s="50" t="str">
        <f>MID(VLOOKUP($A219,Seqs!$A:$B,2,FALSE),VLOOKUP($A219,'SegEnds_NonXtal_Prot#'!$A:$AL,22,FALSE)+7,1)</f>
        <v>S</v>
      </c>
      <c r="AC219" s="50" t="str">
        <f>MID(VLOOKUP($A219,Seqs!$A:$B,2,FALSE),VLOOKUP($A219,'SegEnds_NonXtal_Prot#'!$A:$AL,22,FALSE)+8,1)</f>
        <v>I</v>
      </c>
      <c r="AD219" s="50" t="str">
        <f>MID(VLOOKUP($A219,Seqs!$A:$B,2,FALSE),VLOOKUP($A219,'SegEnds_NonXtal_Prot#'!$A:$AL,22,FALSE)+9,1)</f>
        <v>P</v>
      </c>
      <c r="AE219" s="50" t="str">
        <f>MID(VLOOKUP($A219,Seqs!$A:$B,2,FALSE),VLOOKUP($A219,'SegEnds_NonXtal_Prot#'!$A:$AL,22,FALSE)+10,1)</f>
        <v>T</v>
      </c>
      <c r="AF219" s="28" t="str">
        <f>MID(VLOOKUP($A219,Seqs!$A:$B,2,FALSE),VLOOKUP($A219,'SegEnds_NonXtal_Prot#'!$A:$AL,28,FALSE)-4,1)</f>
        <v>V</v>
      </c>
      <c r="AG219" s="50" t="str">
        <f>MID(VLOOKUP($A219,Seqs!$A:$B,2,FALSE),VLOOKUP($A219,'SegEnds_NonXtal_Prot#'!$A:$AL,28,FALSE),1)</f>
        <v>P</v>
      </c>
    </row>
    <row r="220" spans="1:33" s="2" customFormat="1" x14ac:dyDescent="0.2">
      <c r="A220" s="2" t="s">
        <v>325</v>
      </c>
      <c r="B220" s="2" t="str">
        <f>LOWER(VLOOKUP(A220,Xtal_Templ!A:B,2,FALSE))</f>
        <v>ox1r_human</v>
      </c>
      <c r="C220" s="2" t="str">
        <f>VLOOKUP(A220,Classification!A:D,2,FALSE)</f>
        <v>A</v>
      </c>
      <c r="D220" s="2" t="str">
        <f>IF(ISERROR(MATCH(A220,'SegEnds_Xtal_Prot#'!B:B, 0)), "NoXtal", "Xtal")</f>
        <v>NoXtal</v>
      </c>
      <c r="F220" s="2" t="s">
        <v>5</v>
      </c>
      <c r="G220" s="4"/>
      <c r="M220" s="2" t="s">
        <v>14</v>
      </c>
      <c r="Q220" s="2" t="s">
        <v>9</v>
      </c>
      <c r="S220" s="4" t="s">
        <v>12</v>
      </c>
      <c r="U220" s="28" t="str">
        <f>MID(VLOOKUP($A220,Seqs!$A:$B,2,FALSE),VLOOKUP($A220,'SegEnds_NonXtal_Prot#'!A:AL,10,FALSE),1)</f>
        <v>D</v>
      </c>
      <c r="V220" s="50" t="str">
        <f>MID(VLOOKUP($A220,Seqs!$A:$B,2,FALSE),VLOOKUP($A220,'SegEnds_NonXtal_Prot#'!A:AL,10,FALSE)+6,1)</f>
        <v>M</v>
      </c>
      <c r="W220" s="50" t="str">
        <f>MID(VLOOKUP($A220,Seqs!$A:$B,2,FALSE),VLOOKUP($A220,'SegEnds_NonXtal_Prot#'!A:AL,10,FALSE)+7,1)</f>
        <v>C</v>
      </c>
      <c r="X220" s="50" t="str">
        <f>MID(VLOOKUP($A220,Seqs!$A:$B,2,FALSE),VLOOKUP($A220,'SegEnds_NonXtal_Prot#'!A:AL,10,FALSE)+8,1)</f>
        <v>L</v>
      </c>
      <c r="Y220" s="50" t="str">
        <f>MID(VLOOKUP($A220,Seqs!$A:$B,2,FALSE),VLOOKUP($A220,'SegEnds_NonXtal_Prot#'!A:AL,10,FALSE)+9,1)</f>
        <v>P</v>
      </c>
      <c r="Z220" s="50" t="str">
        <f>MID(VLOOKUP($A220,Seqs!$A:$B,2,FALSE),VLOOKUP($A220,'SegEnds_NonXtal_Prot#'!A:AL,10,FALSE)+10,1)</f>
        <v>F</v>
      </c>
      <c r="AA220" s="28" t="str">
        <f>MID(VLOOKUP($A220,Seqs!$A:$B,2,FALSE),VLOOKUP($A220,'SegEnds_NonXtal_Prot#'!$A:$AL,22,FALSE)+6,1)</f>
        <v>S</v>
      </c>
      <c r="AB220" s="50" t="str">
        <f>MID(VLOOKUP($A220,Seqs!$A:$B,2,FALSE),VLOOKUP($A220,'SegEnds_NonXtal_Prot#'!$A:$AL,22,FALSE)+7,1)</f>
        <v>S</v>
      </c>
      <c r="AC220" s="50" t="str">
        <f>MID(VLOOKUP($A220,Seqs!$A:$B,2,FALSE),VLOOKUP($A220,'SegEnds_NonXtal_Prot#'!$A:$AL,22,FALSE)+8,1)</f>
        <v>L</v>
      </c>
      <c r="AD220" s="50" t="str">
        <f>MID(VLOOKUP($A220,Seqs!$A:$B,2,FALSE),VLOOKUP($A220,'SegEnds_NonXtal_Prot#'!$A:$AL,22,FALSE)+9,1)</f>
        <v>P</v>
      </c>
      <c r="AE220" s="50" t="str">
        <f>MID(VLOOKUP($A220,Seqs!$A:$B,2,FALSE),VLOOKUP($A220,'SegEnds_NonXtal_Prot#'!$A:$AL,22,FALSE)+10,1)</f>
        <v>F</v>
      </c>
      <c r="AF220" s="28" t="str">
        <f>MID(VLOOKUP($A220,Seqs!$A:$B,2,FALSE),VLOOKUP($A220,'SegEnds_NonXtal_Prot#'!$A:$AL,28,FALSE)-4,1)</f>
        <v>Q</v>
      </c>
      <c r="AG220" s="50" t="str">
        <f>MID(VLOOKUP($A220,Seqs!$A:$B,2,FALSE),VLOOKUP($A220,'SegEnds_NonXtal_Prot#'!$A:$AL,28,FALSE),1)</f>
        <v>P</v>
      </c>
    </row>
    <row r="221" spans="1:33" s="2" customFormat="1" x14ac:dyDescent="0.2">
      <c r="A221" s="2" t="s">
        <v>327</v>
      </c>
      <c r="B221" s="2" t="str">
        <f>LOWER(VLOOKUP(A221,Xtal_Templ!A:B,2,FALSE))</f>
        <v>ox2r_human</v>
      </c>
      <c r="C221" s="2" t="str">
        <f>VLOOKUP(A221,Classification!A:D,2,FALSE)</f>
        <v>A</v>
      </c>
      <c r="D221" s="2" t="str">
        <f>IF(ISERROR(MATCH(A221,'SegEnds_Xtal_Prot#'!B:B, 0)), "NoXtal", "Xtal")</f>
        <v>NoXtal</v>
      </c>
      <c r="F221" s="2" t="s">
        <v>5</v>
      </c>
      <c r="G221" s="4"/>
      <c r="M221" s="2" t="s">
        <v>14</v>
      </c>
      <c r="Q221" s="2" t="s">
        <v>9</v>
      </c>
      <c r="S221" s="4" t="s">
        <v>12</v>
      </c>
      <c r="U221" s="28" t="str">
        <f>MID(VLOOKUP($A221,Seqs!$A:$B,2,FALSE),VLOOKUP($A221,'SegEnds_NonXtal_Prot#'!A:AL,10,FALSE),1)</f>
        <v>D</v>
      </c>
      <c r="V221" s="50" t="str">
        <f>MID(VLOOKUP($A221,Seqs!$A:$B,2,FALSE),VLOOKUP($A221,'SegEnds_NonXtal_Prot#'!A:AL,10,FALSE)+6,1)</f>
        <v>L</v>
      </c>
      <c r="W221" s="50" t="str">
        <f>MID(VLOOKUP($A221,Seqs!$A:$B,2,FALSE),VLOOKUP($A221,'SegEnds_NonXtal_Prot#'!A:AL,10,FALSE)+7,1)</f>
        <v>C</v>
      </c>
      <c r="X221" s="50" t="str">
        <f>MID(VLOOKUP($A221,Seqs!$A:$B,2,FALSE),VLOOKUP($A221,'SegEnds_NonXtal_Prot#'!A:AL,10,FALSE)+8,1)</f>
        <v>Q</v>
      </c>
      <c r="Y221" s="50" t="str">
        <f>MID(VLOOKUP($A221,Seqs!$A:$B,2,FALSE),VLOOKUP($A221,'SegEnds_NonXtal_Prot#'!A:AL,10,FALSE)+9,1)</f>
        <v>P</v>
      </c>
      <c r="Z221" s="50" t="str">
        <f>MID(VLOOKUP($A221,Seqs!$A:$B,2,FALSE),VLOOKUP($A221,'SegEnds_NonXtal_Prot#'!A:AL,10,FALSE)+10,1)</f>
        <v>L</v>
      </c>
      <c r="AA221" s="28" t="str">
        <f>MID(VLOOKUP($A221,Seqs!$A:$B,2,FALSE),VLOOKUP($A221,'SegEnds_NonXtal_Prot#'!$A:$AL,22,FALSE)+6,1)</f>
        <v>L</v>
      </c>
      <c r="AB221" s="50" t="str">
        <f>MID(VLOOKUP($A221,Seqs!$A:$B,2,FALSE),VLOOKUP($A221,'SegEnds_NonXtal_Prot#'!$A:$AL,22,FALSE)+7,1)</f>
        <v>S</v>
      </c>
      <c r="AC221" s="50" t="str">
        <f>MID(VLOOKUP($A221,Seqs!$A:$B,2,FALSE),VLOOKUP($A221,'SegEnds_NonXtal_Prot#'!$A:$AL,22,FALSE)+8,1)</f>
        <v>L</v>
      </c>
      <c r="AD221" s="50" t="str">
        <f>MID(VLOOKUP($A221,Seqs!$A:$B,2,FALSE),VLOOKUP($A221,'SegEnds_NonXtal_Prot#'!$A:$AL,22,FALSE)+9,1)</f>
        <v>P</v>
      </c>
      <c r="AE221" s="50" t="str">
        <f>MID(VLOOKUP($A221,Seqs!$A:$B,2,FALSE),VLOOKUP($A221,'SegEnds_NonXtal_Prot#'!$A:$AL,22,FALSE)+10,1)</f>
        <v>F</v>
      </c>
      <c r="AF221" s="28" t="str">
        <f>MID(VLOOKUP($A221,Seqs!$A:$B,2,FALSE),VLOOKUP($A221,'SegEnds_NonXtal_Prot#'!$A:$AL,28,FALSE)-4,1)</f>
        <v>Q</v>
      </c>
      <c r="AG221" s="50" t="str">
        <f>MID(VLOOKUP($A221,Seqs!$A:$B,2,FALSE),VLOOKUP($A221,'SegEnds_NonXtal_Prot#'!$A:$AL,28,FALSE),1)</f>
        <v>P</v>
      </c>
    </row>
    <row r="222" spans="1:33" s="2" customFormat="1" x14ac:dyDescent="0.2">
      <c r="A222" s="2" t="s">
        <v>328</v>
      </c>
      <c r="B222" s="2" t="str">
        <f>LOWER(VLOOKUP(A222,Xtal_Templ!A:B,2,FALSE))</f>
        <v>ox2r_human</v>
      </c>
      <c r="C222" s="2" t="str">
        <f>VLOOKUP(A222,Classification!A:D,2,FALSE)</f>
        <v>A</v>
      </c>
      <c r="D222" s="2" t="str">
        <f>IF(ISERROR(MATCH(A222,'SegEnds_Xtal_Prot#'!B:B, 0)), "NoXtal", "Xtal")</f>
        <v>NoXtal</v>
      </c>
      <c r="F222" s="2" t="s">
        <v>5</v>
      </c>
      <c r="G222" s="4"/>
      <c r="M222" s="2" t="s">
        <v>14</v>
      </c>
      <c r="Q222" s="2" t="s">
        <v>9</v>
      </c>
      <c r="S222" s="4" t="s">
        <v>12</v>
      </c>
      <c r="U222" s="28" t="str">
        <f>MID(VLOOKUP($A222,Seqs!$A:$B,2,FALSE),VLOOKUP($A222,'SegEnds_NonXtal_Prot#'!A:AL,10,FALSE),1)</f>
        <v>D</v>
      </c>
      <c r="V222" s="50" t="str">
        <f>MID(VLOOKUP($A222,Seqs!$A:$B,2,FALSE),VLOOKUP($A222,'SegEnds_NonXtal_Prot#'!A:AL,10,FALSE)+6,1)</f>
        <v>F</v>
      </c>
      <c r="W222" s="50" t="str">
        <f>MID(VLOOKUP($A222,Seqs!$A:$B,2,FALSE),VLOOKUP($A222,'SegEnds_NonXtal_Prot#'!A:AL,10,FALSE)+7,1)</f>
        <v>C</v>
      </c>
      <c r="X222" s="50" t="str">
        <f>MID(VLOOKUP($A222,Seqs!$A:$B,2,FALSE),VLOOKUP($A222,'SegEnds_NonXtal_Prot#'!A:AL,10,FALSE)+8,1)</f>
        <v>S</v>
      </c>
      <c r="Y222" s="50" t="str">
        <f>MID(VLOOKUP($A222,Seqs!$A:$B,2,FALSE),VLOOKUP($A222,'SegEnds_NonXtal_Prot#'!A:AL,10,FALSE)+9,1)</f>
        <v>P</v>
      </c>
      <c r="Z222" s="50" t="str">
        <f>MID(VLOOKUP($A222,Seqs!$A:$B,2,FALSE),VLOOKUP($A222,'SegEnds_NonXtal_Prot#'!A:AL,10,FALSE)+10,1)</f>
        <v>F</v>
      </c>
      <c r="AA222" s="28" t="str">
        <f>MID(VLOOKUP($A222,Seqs!$A:$B,2,FALSE),VLOOKUP($A222,'SegEnds_NonXtal_Prot#'!$A:$AL,22,FALSE)+6,1)</f>
        <v>I</v>
      </c>
      <c r="AB222" s="50" t="str">
        <f>MID(VLOOKUP($A222,Seqs!$A:$B,2,FALSE),VLOOKUP($A222,'SegEnds_NonXtal_Prot#'!$A:$AL,22,FALSE)+7,1)</f>
        <v>C</v>
      </c>
      <c r="AC222" s="50" t="str">
        <f>MID(VLOOKUP($A222,Seqs!$A:$B,2,FALSE),VLOOKUP($A222,'SegEnds_NonXtal_Prot#'!$A:$AL,22,FALSE)+8,1)</f>
        <v>S</v>
      </c>
      <c r="AD222" s="50" t="str">
        <f>MID(VLOOKUP($A222,Seqs!$A:$B,2,FALSE),VLOOKUP($A222,'SegEnds_NonXtal_Prot#'!$A:$AL,22,FALSE)+9,1)</f>
        <v>P</v>
      </c>
      <c r="AE222" s="50" t="str">
        <f>MID(VLOOKUP($A222,Seqs!$A:$B,2,FALSE),VLOOKUP($A222,'SegEnds_NonXtal_Prot#'!$A:$AL,22,FALSE)+10,1)</f>
        <v>L</v>
      </c>
      <c r="AF222" s="28" t="str">
        <f>MID(VLOOKUP($A222,Seqs!$A:$B,2,FALSE),VLOOKUP($A222,'SegEnds_NonXtal_Prot#'!$A:$AL,28,FALSE)-4,1)</f>
        <v>Q</v>
      </c>
      <c r="AG222" s="50" t="str">
        <f>MID(VLOOKUP($A222,Seqs!$A:$B,2,FALSE),VLOOKUP($A222,'SegEnds_NonXtal_Prot#'!$A:$AL,28,FALSE),1)</f>
        <v>P</v>
      </c>
    </row>
    <row r="223" spans="1:33" s="2" customFormat="1" x14ac:dyDescent="0.2">
      <c r="A223" s="2" t="s">
        <v>329</v>
      </c>
      <c r="B223" s="2" t="str">
        <f>LOWER(VLOOKUP(A223,Xtal_Templ!A:B,2,FALSE))</f>
        <v>ox2r_human</v>
      </c>
      <c r="C223" s="2" t="str">
        <f>VLOOKUP(A223,Classification!A:D,2,FALSE)</f>
        <v>A</v>
      </c>
      <c r="D223" s="2" t="str">
        <f>IF(ISERROR(MATCH(A223,'SegEnds_Xtal_Prot#'!B:B, 0)), "NoXtal", "Xtal")</f>
        <v>NoXtal</v>
      </c>
      <c r="G223" s="4"/>
      <c r="M223" s="2" t="s">
        <v>14</v>
      </c>
      <c r="Q223" s="2" t="s">
        <v>9</v>
      </c>
      <c r="S223" s="4" t="s">
        <v>12</v>
      </c>
      <c r="U223" s="28" t="str">
        <f>MID(VLOOKUP($A223,Seqs!$A:$B,2,FALSE),VLOOKUP($A223,'SegEnds_NonXtal_Prot#'!A:AL,10,FALSE),1)</f>
        <v>D</v>
      </c>
      <c r="V223" s="50" t="str">
        <f>MID(VLOOKUP($A223,Seqs!$A:$B,2,FALSE),VLOOKUP($A223,'SegEnds_NonXtal_Prot#'!A:AL,10,FALSE)+6,1)</f>
        <v>M</v>
      </c>
      <c r="W223" s="50" t="str">
        <f>MID(VLOOKUP($A223,Seqs!$A:$B,2,FALSE),VLOOKUP($A223,'SegEnds_NonXtal_Prot#'!A:AL,10,FALSE)+7,1)</f>
        <v>C</v>
      </c>
      <c r="X223" s="50" t="str">
        <f>MID(VLOOKUP($A223,Seqs!$A:$B,2,FALSE),VLOOKUP($A223,'SegEnds_NonXtal_Prot#'!A:AL,10,FALSE)+8,1)</f>
        <v>I</v>
      </c>
      <c r="Y223" s="50" t="str">
        <f>MID(VLOOKUP($A223,Seqs!$A:$B,2,FALSE),VLOOKUP($A223,'SegEnds_NonXtal_Prot#'!A:AL,10,FALSE)+9,1)</f>
        <v>H</v>
      </c>
      <c r="Z223" s="50" t="str">
        <f>MID(VLOOKUP($A223,Seqs!$A:$B,2,FALSE),VLOOKUP($A223,'SegEnds_NonXtal_Prot#'!A:AL,10,FALSE)+10,1)</f>
        <v>F</v>
      </c>
      <c r="AA223" s="28" t="str">
        <f>MID(VLOOKUP($A223,Seqs!$A:$B,2,FALSE),VLOOKUP($A223,'SegEnds_NonXtal_Prot#'!$A:$AL,22,FALSE)+6,1)</f>
        <v>L</v>
      </c>
      <c r="AB223" s="50" t="str">
        <f>MID(VLOOKUP($A223,Seqs!$A:$B,2,FALSE),VLOOKUP($A223,'SegEnds_NonXtal_Prot#'!$A:$AL,22,FALSE)+7,1)</f>
        <v>S</v>
      </c>
      <c r="AC223" s="50" t="str">
        <f>MID(VLOOKUP($A223,Seqs!$A:$B,2,FALSE),VLOOKUP($A223,'SegEnds_NonXtal_Prot#'!$A:$AL,22,FALSE)+8,1)</f>
        <v>I</v>
      </c>
      <c r="AD223" s="50" t="str">
        <f>MID(VLOOKUP($A223,Seqs!$A:$B,2,FALSE),VLOOKUP($A223,'SegEnds_NonXtal_Prot#'!$A:$AL,22,FALSE)+9,1)</f>
        <v>P</v>
      </c>
      <c r="AE223" s="50" t="str">
        <f>MID(VLOOKUP($A223,Seqs!$A:$B,2,FALSE),VLOOKUP($A223,'SegEnds_NonXtal_Prot#'!$A:$AL,22,FALSE)+10,1)</f>
        <v>F</v>
      </c>
      <c r="AF223" s="28" t="str">
        <f>MID(VLOOKUP($A223,Seqs!$A:$B,2,FALSE),VLOOKUP($A223,'SegEnds_NonXtal_Prot#'!$A:$AL,28,FALSE)-4,1)</f>
        <v>Q</v>
      </c>
      <c r="AG223" s="50" t="str">
        <f>MID(VLOOKUP($A223,Seqs!$A:$B,2,FALSE),VLOOKUP($A223,'SegEnds_NonXtal_Prot#'!$A:$AL,28,FALSE),1)</f>
        <v>P</v>
      </c>
    </row>
    <row r="224" spans="1:33" s="2" customFormat="1" x14ac:dyDescent="0.2">
      <c r="A224" s="2" t="s">
        <v>1176</v>
      </c>
      <c r="B224" s="2" t="str">
        <f>LOWER(VLOOKUP(A224,Xtal_Templ!A:B,2,FALSE))</f>
        <v>ox2r_human</v>
      </c>
      <c r="C224" s="2" t="str">
        <f>VLOOKUP(A224,Classification!A:D,2,FALSE)</f>
        <v>A</v>
      </c>
      <c r="D224" s="2" t="str">
        <f>IF(ISERROR(MATCH(A224,'SegEnds_Xtal_Prot#'!B:B, 0)), "NoXtal", "Xtal")</f>
        <v>Xtal</v>
      </c>
      <c r="F224" s="2" t="s">
        <v>5</v>
      </c>
      <c r="G224" s="4"/>
      <c r="M224" s="2" t="s">
        <v>14</v>
      </c>
      <c r="Q224" s="2" t="s">
        <v>9</v>
      </c>
      <c r="S224" s="4" t="s">
        <v>12</v>
      </c>
      <c r="U224" s="28" t="str">
        <f>MID(VLOOKUP($A224,Seqs!$A:$B,2,FALSE),VLOOKUP($A224,'SegEnds_NonXtal_Prot#'!A:AL,10,FALSE),1)</f>
        <v>D</v>
      </c>
      <c r="V224" s="50" t="str">
        <f>MID(VLOOKUP($A224,Seqs!$A:$B,2,FALSE),VLOOKUP($A224,'SegEnds_NonXtal_Prot#'!A:AL,10,FALSE)+6,1)</f>
        <v>T</v>
      </c>
      <c r="W224" s="50" t="str">
        <f>MID(VLOOKUP($A224,Seqs!$A:$B,2,FALSE),VLOOKUP($A224,'SegEnds_NonXtal_Prot#'!A:AL,10,FALSE)+7,1)</f>
        <v>C</v>
      </c>
      <c r="X224" s="50" t="str">
        <f>MID(VLOOKUP($A224,Seqs!$A:$B,2,FALSE),VLOOKUP($A224,'SegEnds_NonXtal_Prot#'!A:AL,10,FALSE)+8,1)</f>
        <v>L</v>
      </c>
      <c r="Y224" s="50" t="str">
        <f>MID(VLOOKUP($A224,Seqs!$A:$B,2,FALSE),VLOOKUP($A224,'SegEnds_NonXtal_Prot#'!A:AL,10,FALSE)+9,1)</f>
        <v>P</v>
      </c>
      <c r="Z224" s="50" t="str">
        <f>MID(VLOOKUP($A224,Seqs!$A:$B,2,FALSE),VLOOKUP($A224,'SegEnds_NonXtal_Prot#'!A:AL,10,FALSE)+10,1)</f>
        <v>A</v>
      </c>
      <c r="AA224" s="28" t="str">
        <f>MID(VLOOKUP($A224,Seqs!$A:$B,2,FALSE),VLOOKUP($A224,'SegEnds_NonXtal_Prot#'!$A:$AL,22,FALSE)+6,1)</f>
        <v>I</v>
      </c>
      <c r="AB224" s="50" t="str">
        <f>MID(VLOOKUP($A224,Seqs!$A:$B,2,FALSE),VLOOKUP($A224,'SegEnds_NonXtal_Prot#'!$A:$AL,22,FALSE)+7,1)</f>
        <v>M</v>
      </c>
      <c r="AC224" s="50" t="str">
        <f>MID(VLOOKUP($A224,Seqs!$A:$B,2,FALSE),VLOOKUP($A224,'SegEnds_NonXtal_Prot#'!$A:$AL,22,FALSE)+8,1)</f>
        <v>I</v>
      </c>
      <c r="AD224" s="50" t="str">
        <f>MID(VLOOKUP($A224,Seqs!$A:$B,2,FALSE),VLOOKUP($A224,'SegEnds_NonXtal_Prot#'!$A:$AL,22,FALSE)+9,1)</f>
        <v>P</v>
      </c>
      <c r="AE224" s="50" t="str">
        <f>MID(VLOOKUP($A224,Seqs!$A:$B,2,FALSE),VLOOKUP($A224,'SegEnds_NonXtal_Prot#'!$A:$AL,22,FALSE)+10,1)</f>
        <v>Q</v>
      </c>
      <c r="AF224" s="28" t="str">
        <f>MID(VLOOKUP($A224,Seqs!$A:$B,2,FALSE),VLOOKUP($A224,'SegEnds_NonXtal_Prot#'!$A:$AL,28,FALSE)-4,1)</f>
        <v>T</v>
      </c>
      <c r="AG224" s="50" t="str">
        <f>MID(VLOOKUP($A224,Seqs!$A:$B,2,FALSE),VLOOKUP($A224,'SegEnds_NonXtal_Prot#'!$A:$AL,28,FALSE),1)</f>
        <v>P</v>
      </c>
    </row>
    <row r="225" spans="1:33" s="2" customFormat="1" x14ac:dyDescent="0.2">
      <c r="A225" s="2" t="s">
        <v>359</v>
      </c>
      <c r="B225" s="2" t="str">
        <f>LOWER(VLOOKUP(A225,Xtal_Templ!A:B,2,FALSE))</f>
        <v>ntr1_rat</v>
      </c>
      <c r="C225" s="2" t="str">
        <f>VLOOKUP(A225,Classification!A:D,2,FALSE)</f>
        <v>A</v>
      </c>
      <c r="D225" s="2" t="str">
        <f>IF(ISERROR(MATCH(A225,'SegEnds_Xtal_Prot#'!B:B, 0)), "NoXtal", "Xtal")</f>
        <v>NoXtal</v>
      </c>
      <c r="F225" s="2" t="s">
        <v>5</v>
      </c>
      <c r="G225" s="4"/>
      <c r="S225" s="4" t="s">
        <v>12</v>
      </c>
      <c r="U225" s="28" t="str">
        <f>MID(VLOOKUP($A225,Seqs!$A:$B,2,FALSE),VLOOKUP($A225,'SegEnds_NonXtal_Prot#'!A:AL,10,FALSE),1)</f>
        <v>D</v>
      </c>
      <c r="V225" s="50" t="str">
        <f>MID(VLOOKUP($A225,Seqs!$A:$B,2,FALSE),VLOOKUP($A225,'SegEnds_NonXtal_Prot#'!A:AL,10,FALSE)+6,1)</f>
        <v>L</v>
      </c>
      <c r="W225" s="50" t="str">
        <f>MID(VLOOKUP($A225,Seqs!$A:$B,2,FALSE),VLOOKUP($A225,'SegEnds_NonXtal_Prot#'!A:AL,10,FALSE)+7,1)</f>
        <v>L</v>
      </c>
      <c r="X225" s="50" t="str">
        <f>MID(VLOOKUP($A225,Seqs!$A:$B,2,FALSE),VLOOKUP($A225,'SegEnds_NonXtal_Prot#'!A:AL,10,FALSE)+8,1)</f>
        <v>S</v>
      </c>
      <c r="Y225" s="50" t="str">
        <f>MID(VLOOKUP($A225,Seqs!$A:$B,2,FALSE),VLOOKUP($A225,'SegEnds_NonXtal_Prot#'!A:AL,10,FALSE)+9,1)</f>
        <v>P</v>
      </c>
      <c r="Z225" s="50" t="str">
        <f>MID(VLOOKUP($A225,Seqs!$A:$B,2,FALSE),VLOOKUP($A225,'SegEnds_NonXtal_Prot#'!A:AL,10,FALSE)+10,1)</f>
        <v>V</v>
      </c>
      <c r="AA225" s="28" t="str">
        <f>MID(VLOOKUP($A225,Seqs!$A:$B,2,FALSE),VLOOKUP($A225,'SegEnds_NonXtal_Prot#'!$A:$AL,22,FALSE)+6,1)</f>
        <v>F</v>
      </c>
      <c r="AB225" s="50" t="str">
        <f>MID(VLOOKUP($A225,Seqs!$A:$B,2,FALSE),VLOOKUP($A225,'SegEnds_NonXtal_Prot#'!$A:$AL,22,FALSE)+7,1)</f>
        <v>C</v>
      </c>
      <c r="AC225" s="50" t="str">
        <f>MID(VLOOKUP($A225,Seqs!$A:$B,2,FALSE),VLOOKUP($A225,'SegEnds_NonXtal_Prot#'!$A:$AL,22,FALSE)+8,1)</f>
        <v>A</v>
      </c>
      <c r="AD225" s="50" t="str">
        <f>MID(VLOOKUP($A225,Seqs!$A:$B,2,FALSE),VLOOKUP($A225,'SegEnds_NonXtal_Prot#'!$A:$AL,22,FALSE)+9,1)</f>
        <v>L</v>
      </c>
      <c r="AE225" s="50" t="str">
        <f>MID(VLOOKUP($A225,Seqs!$A:$B,2,FALSE),VLOOKUP($A225,'SegEnds_NonXtal_Prot#'!$A:$AL,22,FALSE)+10,1)</f>
        <v>P</v>
      </c>
      <c r="AF225" s="28" t="str">
        <f>MID(VLOOKUP($A225,Seqs!$A:$B,2,FALSE),VLOOKUP($A225,'SegEnds_NonXtal_Prot#'!$A:$AL,28,FALSE)-4,1)</f>
        <v>A</v>
      </c>
      <c r="AG225" s="50" t="str">
        <f>MID(VLOOKUP($A225,Seqs!$A:$B,2,FALSE),VLOOKUP($A225,'SegEnds_NonXtal_Prot#'!$A:$AL,28,FALSE),1)</f>
        <v>L</v>
      </c>
    </row>
    <row r="226" spans="1:33" s="2" customFormat="1" x14ac:dyDescent="0.2">
      <c r="A226" s="2" t="s">
        <v>367</v>
      </c>
      <c r="B226" s="2" t="str">
        <f>LOWER(VLOOKUP(A226,Xtal_Templ!A:B,2,FALSE))</f>
        <v>ox1r_human</v>
      </c>
      <c r="C226" s="2" t="str">
        <f>VLOOKUP(A226,Classification!A:D,2,FALSE)</f>
        <v>A</v>
      </c>
      <c r="D226" s="2" t="str">
        <f>IF(ISERROR(MATCH(A226,'SegEnds_Xtal_Prot#'!B:B, 0)), "NoXtal", "Xtal")</f>
        <v>NoXtal</v>
      </c>
      <c r="F226" s="2" t="s">
        <v>5</v>
      </c>
      <c r="G226" s="4"/>
      <c r="M226" s="2" t="s">
        <v>14</v>
      </c>
      <c r="Q226" s="2" t="s">
        <v>9</v>
      </c>
      <c r="S226" s="4" t="s">
        <v>12</v>
      </c>
      <c r="U226" s="28" t="str">
        <f>MID(VLOOKUP($A226,Seqs!$A:$B,2,FALSE),VLOOKUP($A226,'SegEnds_NonXtal_Prot#'!A:AL,10,FALSE),1)</f>
        <v>D</v>
      </c>
      <c r="V226" s="50" t="str">
        <f>MID(VLOOKUP($A226,Seqs!$A:$B,2,FALSE),VLOOKUP($A226,'SegEnds_NonXtal_Prot#'!A:AL,10,FALSE)+6,1)</f>
        <v>V</v>
      </c>
      <c r="W226" s="50" t="str">
        <f>MID(VLOOKUP($A226,Seqs!$A:$B,2,FALSE),VLOOKUP($A226,'SegEnds_NonXtal_Prot#'!A:AL,10,FALSE)+7,1)</f>
        <v>C</v>
      </c>
      <c r="X226" s="50" t="str">
        <f>MID(VLOOKUP($A226,Seqs!$A:$B,2,FALSE),VLOOKUP($A226,'SegEnds_NonXtal_Prot#'!A:AL,10,FALSE)+8,1)</f>
        <v>C</v>
      </c>
      <c r="Y226" s="50" t="str">
        <f>MID(VLOOKUP($A226,Seqs!$A:$B,2,FALSE),VLOOKUP($A226,'SegEnds_NonXtal_Prot#'!A:AL,10,FALSE)+9,1)</f>
        <v>P</v>
      </c>
      <c r="Z226" s="50" t="str">
        <f>MID(VLOOKUP($A226,Seqs!$A:$B,2,FALSE),VLOOKUP($A226,'SegEnds_NonXtal_Prot#'!A:AL,10,FALSE)+10,1)</f>
        <v>F</v>
      </c>
      <c r="AA226" s="28" t="str">
        <f>MID(VLOOKUP($A226,Seqs!$A:$B,2,FALSE),VLOOKUP($A226,'SegEnds_NonXtal_Prot#'!$A:$AL,22,FALSE)+6,1)</f>
        <v>I</v>
      </c>
      <c r="AB226" s="50" t="str">
        <f>MID(VLOOKUP($A226,Seqs!$A:$B,2,FALSE),VLOOKUP($A226,'SegEnds_NonXtal_Prot#'!$A:$AL,22,FALSE)+7,1)</f>
        <v>A</v>
      </c>
      <c r="AC226" s="50" t="str">
        <f>MID(VLOOKUP($A226,Seqs!$A:$B,2,FALSE),VLOOKUP($A226,'SegEnds_NonXtal_Prot#'!$A:$AL,22,FALSE)+8,1)</f>
        <v>I</v>
      </c>
      <c r="AD226" s="50" t="str">
        <f>MID(VLOOKUP($A226,Seqs!$A:$B,2,FALSE),VLOOKUP($A226,'SegEnds_NonXtal_Prot#'!$A:$AL,22,FALSE)+9,1)</f>
        <v>P</v>
      </c>
      <c r="AE226" s="50" t="str">
        <f>MID(VLOOKUP($A226,Seqs!$A:$B,2,FALSE),VLOOKUP($A226,'SegEnds_NonXtal_Prot#'!$A:$AL,22,FALSE)+10,1)</f>
        <v>S</v>
      </c>
      <c r="AF226" s="28" t="str">
        <f>MID(VLOOKUP($A226,Seqs!$A:$B,2,FALSE),VLOOKUP($A226,'SegEnds_NonXtal_Prot#'!$A:$AL,28,FALSE)-4,1)</f>
        <v>E</v>
      </c>
      <c r="AG226" s="50" t="str">
        <f>MID(VLOOKUP($A226,Seqs!$A:$B,2,FALSE),VLOOKUP($A226,'SegEnds_NonXtal_Prot#'!$A:$AL,28,FALSE),1)</f>
        <v>P</v>
      </c>
    </row>
    <row r="227" spans="1:33" s="2" customFormat="1" x14ac:dyDescent="0.2">
      <c r="A227" s="2" t="s">
        <v>368</v>
      </c>
      <c r="B227" s="2" t="str">
        <f>LOWER(VLOOKUP(A227,Xtal_Templ!A:B,2,FALSE))</f>
        <v>ox2r_human</v>
      </c>
      <c r="C227" s="2" t="str">
        <f>VLOOKUP(A227,Classification!A:D,2,FALSE)</f>
        <v>A</v>
      </c>
      <c r="D227" s="2" t="str">
        <f>IF(ISERROR(MATCH(A227,'SegEnds_Xtal_Prot#'!B:B, 0)), "NoXtal", "Xtal")</f>
        <v>NoXtal</v>
      </c>
      <c r="F227" s="2" t="s">
        <v>5</v>
      </c>
      <c r="G227" s="4"/>
      <c r="M227" s="2" t="s">
        <v>14</v>
      </c>
      <c r="Q227" s="2" t="s">
        <v>9</v>
      </c>
      <c r="S227" s="4" t="s">
        <v>12</v>
      </c>
      <c r="U227" s="28" t="str">
        <f>MID(VLOOKUP($A227,Seqs!$A:$B,2,FALSE),VLOOKUP($A227,'SegEnds_NonXtal_Prot#'!A:AL,10,FALSE),1)</f>
        <v>D</v>
      </c>
      <c r="V227" s="50" t="str">
        <f>MID(VLOOKUP($A227,Seqs!$A:$B,2,FALSE),VLOOKUP($A227,'SegEnds_NonXtal_Prot#'!A:AL,10,FALSE)+6,1)</f>
        <v>I</v>
      </c>
      <c r="W227" s="50" t="str">
        <f>MID(VLOOKUP($A227,Seqs!$A:$B,2,FALSE),VLOOKUP($A227,'SegEnds_NonXtal_Prot#'!A:AL,10,FALSE)+7,1)</f>
        <v>C</v>
      </c>
      <c r="X227" s="50" t="str">
        <f>MID(VLOOKUP($A227,Seqs!$A:$B,2,FALSE),VLOOKUP($A227,'SegEnds_NonXtal_Prot#'!A:AL,10,FALSE)+8,1)</f>
        <v>C</v>
      </c>
      <c r="Y227" s="50" t="str">
        <f>MID(VLOOKUP($A227,Seqs!$A:$B,2,FALSE),VLOOKUP($A227,'SegEnds_NonXtal_Prot#'!A:AL,10,FALSE)+9,1)</f>
        <v>P</v>
      </c>
      <c r="Z227" s="50" t="str">
        <f>MID(VLOOKUP($A227,Seqs!$A:$B,2,FALSE),VLOOKUP($A227,'SegEnds_NonXtal_Prot#'!A:AL,10,FALSE)+10,1)</f>
        <v>F</v>
      </c>
      <c r="AA227" s="28" t="str">
        <f>MID(VLOOKUP($A227,Seqs!$A:$B,2,FALSE),VLOOKUP($A227,'SegEnds_NonXtal_Prot#'!$A:$AL,22,FALSE)+6,1)</f>
        <v>I</v>
      </c>
      <c r="AB227" s="50" t="str">
        <f>MID(VLOOKUP($A227,Seqs!$A:$B,2,FALSE),VLOOKUP($A227,'SegEnds_NonXtal_Prot#'!$A:$AL,22,FALSE)+7,1)</f>
        <v>A</v>
      </c>
      <c r="AC227" s="50" t="str">
        <f>MID(VLOOKUP($A227,Seqs!$A:$B,2,FALSE),VLOOKUP($A227,'SegEnds_NonXtal_Prot#'!$A:$AL,22,FALSE)+8,1)</f>
        <v>I</v>
      </c>
      <c r="AD227" s="50" t="str">
        <f>MID(VLOOKUP($A227,Seqs!$A:$B,2,FALSE),VLOOKUP($A227,'SegEnds_NonXtal_Prot#'!$A:$AL,22,FALSE)+9,1)</f>
        <v>P</v>
      </c>
      <c r="AE227" s="50" t="str">
        <f>MID(VLOOKUP($A227,Seqs!$A:$B,2,FALSE),VLOOKUP($A227,'SegEnds_NonXtal_Prot#'!$A:$AL,22,FALSE)+10,1)</f>
        <v>S</v>
      </c>
      <c r="AF227" s="28" t="str">
        <f>MID(VLOOKUP($A227,Seqs!$A:$B,2,FALSE),VLOOKUP($A227,'SegEnds_NonXtal_Prot#'!$A:$AL,28,FALSE)-4,1)</f>
        <v>E</v>
      </c>
      <c r="AG227" s="50" t="str">
        <f>MID(VLOOKUP($A227,Seqs!$A:$B,2,FALSE),VLOOKUP($A227,'SegEnds_NonXtal_Prot#'!$A:$AL,28,FALSE),1)</f>
        <v>P</v>
      </c>
    </row>
    <row r="228" spans="1:33" s="2" customFormat="1" x14ac:dyDescent="0.2">
      <c r="A228" s="2" t="s">
        <v>369</v>
      </c>
      <c r="B228" s="2" t="str">
        <f>LOWER(VLOOKUP(A228,Xtal_Templ!A:B,2,FALSE))</f>
        <v>ox2r_human</v>
      </c>
      <c r="C228" s="2" t="str">
        <f>VLOOKUP(A228,Classification!A:D,2,FALSE)</f>
        <v>A</v>
      </c>
      <c r="D228" s="2" t="str">
        <f>IF(ISERROR(MATCH(A228,'SegEnds_Xtal_Prot#'!B:B, 0)), "NoXtal", "Xtal")</f>
        <v>NoXtal</v>
      </c>
      <c r="F228" s="2" t="s">
        <v>5</v>
      </c>
      <c r="G228" s="4"/>
      <c r="M228" s="2" t="s">
        <v>14</v>
      </c>
      <c r="Q228" s="2" t="s">
        <v>9</v>
      </c>
      <c r="S228" s="4" t="s">
        <v>12</v>
      </c>
      <c r="U228" s="28" t="str">
        <f>MID(VLOOKUP($A228,Seqs!$A:$B,2,FALSE),VLOOKUP($A228,'SegEnds_NonXtal_Prot#'!A:AL,10,FALSE),1)</f>
        <v>D</v>
      </c>
      <c r="V228" s="50" t="str">
        <f>MID(VLOOKUP($A228,Seqs!$A:$B,2,FALSE),VLOOKUP($A228,'SegEnds_NonXtal_Prot#'!A:AL,10,FALSE)+6,1)</f>
        <v>A</v>
      </c>
      <c r="W228" s="50" t="str">
        <f>MID(VLOOKUP($A228,Seqs!$A:$B,2,FALSE),VLOOKUP($A228,'SegEnds_NonXtal_Prot#'!A:AL,10,FALSE)+7,1)</f>
        <v>C</v>
      </c>
      <c r="X228" s="50" t="str">
        <f>MID(VLOOKUP($A228,Seqs!$A:$B,2,FALSE),VLOOKUP($A228,'SegEnds_NonXtal_Prot#'!A:AL,10,FALSE)+8,1)</f>
        <v>V</v>
      </c>
      <c r="Y228" s="50" t="str">
        <f>MID(VLOOKUP($A228,Seqs!$A:$B,2,FALSE),VLOOKUP($A228,'SegEnds_NonXtal_Prot#'!A:AL,10,FALSE)+9,1)</f>
        <v>P</v>
      </c>
      <c r="Z228" s="50" t="str">
        <f>MID(VLOOKUP($A228,Seqs!$A:$B,2,FALSE),VLOOKUP($A228,'SegEnds_NonXtal_Prot#'!A:AL,10,FALSE)+10,1)</f>
        <v>L</v>
      </c>
      <c r="AA228" s="28" t="str">
        <f>MID(VLOOKUP($A228,Seqs!$A:$B,2,FALSE),VLOOKUP($A228,'SegEnds_NonXtal_Prot#'!$A:$AL,22,FALSE)+6,1)</f>
        <v>L</v>
      </c>
      <c r="AB228" s="50" t="str">
        <f>MID(VLOOKUP($A228,Seqs!$A:$B,2,FALSE),VLOOKUP($A228,'SegEnds_NonXtal_Prot#'!$A:$AL,22,FALSE)+7,1)</f>
        <v>A</v>
      </c>
      <c r="AC228" s="50" t="str">
        <f>MID(VLOOKUP($A228,Seqs!$A:$B,2,FALSE),VLOOKUP($A228,'SegEnds_NonXtal_Prot#'!$A:$AL,22,FALSE)+8,1)</f>
        <v>L</v>
      </c>
      <c r="AD228" s="50" t="str">
        <f>MID(VLOOKUP($A228,Seqs!$A:$B,2,FALSE),VLOOKUP($A228,'SegEnds_NonXtal_Prot#'!$A:$AL,22,FALSE)+9,1)</f>
        <v>P</v>
      </c>
      <c r="AE228" s="50" t="str">
        <f>MID(VLOOKUP($A228,Seqs!$A:$B,2,FALSE),VLOOKUP($A228,'SegEnds_NonXtal_Prot#'!$A:$AL,22,FALSE)+10,1)</f>
        <v>A</v>
      </c>
      <c r="AF228" s="28" t="str">
        <f>MID(VLOOKUP($A228,Seqs!$A:$B,2,FALSE),VLOOKUP($A228,'SegEnds_NonXtal_Prot#'!$A:$AL,28,FALSE)-4,1)</f>
        <v>T</v>
      </c>
      <c r="AG228" s="50" t="str">
        <f>MID(VLOOKUP($A228,Seqs!$A:$B,2,FALSE),VLOOKUP($A228,'SegEnds_NonXtal_Prot#'!$A:$AL,28,FALSE),1)</f>
        <v>P</v>
      </c>
    </row>
    <row r="229" spans="1:33" s="2" customFormat="1" x14ac:dyDescent="0.2">
      <c r="A229" s="2" t="s">
        <v>372</v>
      </c>
      <c r="B229" s="2" t="str">
        <f>LOWER(VLOOKUP(A229,Xtal_Templ!A:B,2,FALSE))</f>
        <v>ox2r_human</v>
      </c>
      <c r="C229" s="2" t="str">
        <f>VLOOKUP(A229,Classification!A:D,2,FALSE)</f>
        <v>A</v>
      </c>
      <c r="D229" s="2" t="str">
        <f>IF(ISERROR(MATCH(A229,'SegEnds_Xtal_Prot#'!B:B, 0)), "NoXtal", "Xtal")</f>
        <v>NoXtal</v>
      </c>
      <c r="F229" s="2" t="s">
        <v>5</v>
      </c>
      <c r="G229" s="4"/>
      <c r="Q229" s="2" t="s">
        <v>9</v>
      </c>
      <c r="S229" s="4" t="s">
        <v>12</v>
      </c>
      <c r="U229" s="28" t="str">
        <f>MID(VLOOKUP($A229,Seqs!$A:$B,2,FALSE),VLOOKUP($A229,'SegEnds_NonXtal_Prot#'!A:AL,10,FALSE),1)</f>
        <v>D</v>
      </c>
      <c r="V229" s="50" t="str">
        <f>MID(VLOOKUP($A229,Seqs!$A:$B,2,FALSE),VLOOKUP($A229,'SegEnds_NonXtal_Prot#'!A:AL,10,FALSE)+6,1)</f>
        <v>F</v>
      </c>
      <c r="W229" s="50" t="str">
        <f>MID(VLOOKUP($A229,Seqs!$A:$B,2,FALSE),VLOOKUP($A229,'SegEnds_NonXtal_Prot#'!A:AL,10,FALSE)+7,1)</f>
        <v>C</v>
      </c>
      <c r="X229" s="50" t="str">
        <f>MID(VLOOKUP($A229,Seqs!$A:$B,2,FALSE),VLOOKUP($A229,'SegEnds_NonXtal_Prot#'!A:AL,10,FALSE)+8,1)</f>
        <v>I</v>
      </c>
      <c r="Y229" s="50" t="str">
        <f>MID(VLOOKUP($A229,Seqs!$A:$B,2,FALSE),VLOOKUP($A229,'SegEnds_NonXtal_Prot#'!A:AL,10,FALSE)+9,1)</f>
        <v>P</v>
      </c>
      <c r="Z229" s="50" t="str">
        <f>MID(VLOOKUP($A229,Seqs!$A:$B,2,FALSE),VLOOKUP($A229,'SegEnds_NonXtal_Prot#'!A:AL,10,FALSE)+10,1)</f>
        <v>V</v>
      </c>
      <c r="AA229" s="28" t="str">
        <f>MID(VLOOKUP($A229,Seqs!$A:$B,2,FALSE),VLOOKUP($A229,'SegEnds_NonXtal_Prot#'!$A:$AL,22,FALSE)+6,1)</f>
        <v>V</v>
      </c>
      <c r="AB229" s="50" t="str">
        <f>MID(VLOOKUP($A229,Seqs!$A:$B,2,FALSE),VLOOKUP($A229,'SegEnds_NonXtal_Prot#'!$A:$AL,22,FALSE)+7,1)</f>
        <v>G</v>
      </c>
      <c r="AC229" s="50" t="str">
        <f>MID(VLOOKUP($A229,Seqs!$A:$B,2,FALSE),VLOOKUP($A229,'SegEnds_NonXtal_Prot#'!$A:$AL,22,FALSE)+8,1)</f>
        <v>S</v>
      </c>
      <c r="AD229" s="50" t="str">
        <f>MID(VLOOKUP($A229,Seqs!$A:$B,2,FALSE),VLOOKUP($A229,'SegEnds_NonXtal_Prot#'!$A:$AL,22,FALSE)+9,1)</f>
        <v>P</v>
      </c>
      <c r="AE229" s="50" t="str">
        <f>MID(VLOOKUP($A229,Seqs!$A:$B,2,FALSE),VLOOKUP($A229,'SegEnds_NonXtal_Prot#'!$A:$AL,22,FALSE)+10,1)</f>
        <v>M</v>
      </c>
      <c r="AF229" s="28" t="str">
        <f>MID(VLOOKUP($A229,Seqs!$A:$B,2,FALSE),VLOOKUP($A229,'SegEnds_NonXtal_Prot#'!$A:$AL,28,FALSE)-4,1)</f>
        <v>L</v>
      </c>
      <c r="AG229" s="50" t="str">
        <f>MID(VLOOKUP($A229,Seqs!$A:$B,2,FALSE),VLOOKUP($A229,'SegEnds_NonXtal_Prot#'!$A:$AL,28,FALSE),1)</f>
        <v>P</v>
      </c>
    </row>
    <row r="230" spans="1:33" s="2" customFormat="1" x14ac:dyDescent="0.2">
      <c r="A230" s="2" t="s">
        <v>179</v>
      </c>
      <c r="B230" s="2" t="str">
        <f>LOWER(VLOOKUP(A230,Xtal_Templ!A:B,2,FALSE))</f>
        <v>p2ry1_human</v>
      </c>
      <c r="C230" s="2" t="str">
        <f>VLOOKUP(A230,Classification!A:D,2,FALSE)</f>
        <v>A</v>
      </c>
      <c r="D230" s="2" t="str">
        <f>IF(ISERROR(MATCH(A230,'SegEnds_Xtal_Prot#'!B:B, 0)), "NoXtal", "Xtal")</f>
        <v>NoXtal</v>
      </c>
      <c r="G230" s="4"/>
      <c r="M230" s="2" t="s">
        <v>14</v>
      </c>
      <c r="Q230" s="2" t="s">
        <v>9</v>
      </c>
      <c r="S230" s="4" t="s">
        <v>12</v>
      </c>
      <c r="U230" s="28" t="str">
        <f>MID(VLOOKUP($A230,Seqs!$A:$B,2,FALSE),VLOOKUP($A230,'SegEnds_NonXtal_Prot#'!A:AL,10,FALSE),1)</f>
        <v>D</v>
      </c>
      <c r="V230" s="50" t="str">
        <f>MID(VLOOKUP($A230,Seqs!$A:$B,2,FALSE),VLOOKUP($A230,'SegEnds_NonXtal_Prot#'!A:AL,10,FALSE)+6,1)</f>
        <v>T</v>
      </c>
      <c r="W230" s="50" t="str">
        <f>MID(VLOOKUP($A230,Seqs!$A:$B,2,FALSE),VLOOKUP($A230,'SegEnds_NonXtal_Prot#'!A:AL,10,FALSE)+7,1)</f>
        <v>L</v>
      </c>
      <c r="X230" s="50" t="str">
        <f>MID(VLOOKUP($A230,Seqs!$A:$B,2,FALSE),VLOOKUP($A230,'SegEnds_NonXtal_Prot#'!A:AL,10,FALSE)+8,1)</f>
        <v>P</v>
      </c>
      <c r="Y230" s="50" t="str">
        <f>MID(VLOOKUP($A230,Seqs!$A:$B,2,FALSE),VLOOKUP($A230,'SegEnds_NonXtal_Prot#'!A:AL,10,FALSE)+9,1)</f>
        <v>L</v>
      </c>
      <c r="Z230" s="50" t="str">
        <f>MID(VLOOKUP($A230,Seqs!$A:$B,2,FALSE),VLOOKUP($A230,'SegEnds_NonXtal_Prot#'!A:AL,10,FALSE)+10,1)</f>
        <v>R</v>
      </c>
      <c r="AA230" s="28" t="str">
        <f>MID(VLOOKUP($A230,Seqs!$A:$B,2,FALSE),VLOOKUP($A230,'SegEnds_NonXtal_Prot#'!$A:$AL,22,FALSE)+6,1)</f>
        <v>T</v>
      </c>
      <c r="AB230" s="50" t="str">
        <f>MID(VLOOKUP($A230,Seqs!$A:$B,2,FALSE),VLOOKUP($A230,'SegEnds_NonXtal_Prot#'!$A:$AL,22,FALSE)+7,1)</f>
        <v>S</v>
      </c>
      <c r="AC230" s="50" t="str">
        <f>MID(VLOOKUP($A230,Seqs!$A:$B,2,FALSE),VLOOKUP($A230,'SegEnds_NonXtal_Prot#'!$A:$AL,22,FALSE)+8,1)</f>
        <v>S</v>
      </c>
      <c r="AD230" s="50" t="str">
        <f>MID(VLOOKUP($A230,Seqs!$A:$B,2,FALSE),VLOOKUP($A230,'SegEnds_NonXtal_Prot#'!$A:$AL,22,FALSE)+9,1)</f>
        <v>P</v>
      </c>
      <c r="AE230" s="50" t="str">
        <f>MID(VLOOKUP($A230,Seqs!$A:$B,2,FALSE),VLOOKUP($A230,'SegEnds_NonXtal_Prot#'!$A:$AL,22,FALSE)+10,1)</f>
        <v>F</v>
      </c>
      <c r="AF230" s="28" t="str">
        <f>MID(VLOOKUP($A230,Seqs!$A:$B,2,FALSE),VLOOKUP($A230,'SegEnds_NonXtal_Prot#'!$A:$AL,28,FALSE)-4,1)</f>
        <v>G</v>
      </c>
      <c r="AG230" s="50" t="str">
        <f>MID(VLOOKUP($A230,Seqs!$A:$B,2,FALSE),VLOOKUP($A230,'SegEnds_NonXtal_Prot#'!$A:$AL,28,FALSE),1)</f>
        <v>P</v>
      </c>
    </row>
    <row r="231" spans="1:33" s="2" customFormat="1" x14ac:dyDescent="0.2">
      <c r="A231" s="2" t="s">
        <v>180</v>
      </c>
      <c r="B231" s="2" t="str">
        <f>LOWER(VLOOKUP(A231,Xtal_Templ!A:B,2,FALSE))</f>
        <v>p2ry1_human</v>
      </c>
      <c r="C231" s="2" t="str">
        <f>VLOOKUP(A231,Classification!A:D,2,FALSE)</f>
        <v>A</v>
      </c>
      <c r="D231" s="2" t="str">
        <f>IF(ISERROR(MATCH(A231,'SegEnds_Xtal_Prot#'!B:B, 0)), "NoXtal", "Xtal")</f>
        <v>NoXtal</v>
      </c>
      <c r="G231" s="4"/>
      <c r="Q231" s="2" t="s">
        <v>9</v>
      </c>
      <c r="S231" s="4" t="s">
        <v>12</v>
      </c>
      <c r="U231" s="28" t="str">
        <f>MID(VLOOKUP($A231,Seqs!$A:$B,2,FALSE),VLOOKUP($A231,'SegEnds_NonXtal_Prot#'!A:AL,10,FALSE),1)</f>
        <v>D</v>
      </c>
      <c r="V231" s="50" t="str">
        <f>MID(VLOOKUP($A231,Seqs!$A:$B,2,FALSE),VLOOKUP($A231,'SegEnds_NonXtal_Prot#'!A:AL,10,FALSE)+6,1)</f>
        <v>T</v>
      </c>
      <c r="W231" s="50" t="str">
        <f>MID(VLOOKUP($A231,Seqs!$A:$B,2,FALSE),VLOOKUP($A231,'SegEnds_NonXtal_Prot#'!A:AL,10,FALSE)+7,1)</f>
        <v>L</v>
      </c>
      <c r="X231" s="50" t="str">
        <f>MID(VLOOKUP($A231,Seqs!$A:$B,2,FALSE),VLOOKUP($A231,'SegEnds_NonXtal_Prot#'!A:AL,10,FALSE)+8,1)</f>
        <v>P</v>
      </c>
      <c r="Y231" s="50" t="str">
        <f>MID(VLOOKUP($A231,Seqs!$A:$B,2,FALSE),VLOOKUP($A231,'SegEnds_NonXtal_Prot#'!A:AL,10,FALSE)+9,1)</f>
        <v>F</v>
      </c>
      <c r="Z231" s="50" t="str">
        <f>MID(VLOOKUP($A231,Seqs!$A:$B,2,FALSE),VLOOKUP($A231,'SegEnds_NonXtal_Prot#'!A:AL,10,FALSE)+10,1)</f>
        <v>R</v>
      </c>
      <c r="AA231" s="28" t="str">
        <f>MID(VLOOKUP($A231,Seqs!$A:$B,2,FALSE),VLOOKUP($A231,'SegEnds_NonXtal_Prot#'!$A:$AL,22,FALSE)+6,1)</f>
        <v>S</v>
      </c>
      <c r="AB231" s="50" t="str">
        <f>MID(VLOOKUP($A231,Seqs!$A:$B,2,FALSE),VLOOKUP($A231,'SegEnds_NonXtal_Prot#'!$A:$AL,22,FALSE)+7,1)</f>
        <v>S</v>
      </c>
      <c r="AC231" s="50" t="str">
        <f>MID(VLOOKUP($A231,Seqs!$A:$B,2,FALSE),VLOOKUP($A231,'SegEnds_NonXtal_Prot#'!$A:$AL,22,FALSE)+8,1)</f>
        <v>I</v>
      </c>
      <c r="AD231" s="50" t="str">
        <f>MID(VLOOKUP($A231,Seqs!$A:$B,2,FALSE),VLOOKUP($A231,'SegEnds_NonXtal_Prot#'!$A:$AL,22,FALSE)+9,1)</f>
        <v>M</v>
      </c>
      <c r="AE231" s="50" t="str">
        <f>MID(VLOOKUP($A231,Seqs!$A:$B,2,FALSE),VLOOKUP($A231,'SegEnds_NonXtal_Prot#'!$A:$AL,22,FALSE)+10,1)</f>
        <v>L</v>
      </c>
      <c r="AF231" s="28" t="str">
        <f>MID(VLOOKUP($A231,Seqs!$A:$B,2,FALSE),VLOOKUP($A231,'SegEnds_NonXtal_Prot#'!$A:$AL,28,FALSE)-4,1)</f>
        <v>G</v>
      </c>
      <c r="AG231" s="50" t="str">
        <f>MID(VLOOKUP($A231,Seqs!$A:$B,2,FALSE),VLOOKUP($A231,'SegEnds_NonXtal_Prot#'!$A:$AL,28,FALSE),1)</f>
        <v>P</v>
      </c>
    </row>
    <row r="232" spans="1:33" s="2" customFormat="1" x14ac:dyDescent="0.2">
      <c r="A232" s="2" t="s">
        <v>214</v>
      </c>
      <c r="B232" s="2" t="str">
        <f>LOWER(VLOOKUP(A232,Xtal_Templ!A:B,2,FALSE))</f>
        <v>p2ry1_human</v>
      </c>
      <c r="C232" s="2" t="str">
        <f>VLOOKUP(A232,Classification!A:D,2,FALSE)</f>
        <v>A</v>
      </c>
      <c r="D232" s="2" t="str">
        <f>IF(ISERROR(MATCH(A232,'SegEnds_Xtal_Prot#'!B:B, 0)), "NoXtal", "Xtal")</f>
        <v>NoXtal</v>
      </c>
      <c r="G232" s="4"/>
      <c r="M232" s="2" t="s">
        <v>14</v>
      </c>
      <c r="Q232" s="2" t="s">
        <v>9</v>
      </c>
      <c r="S232" s="4" t="s">
        <v>12</v>
      </c>
      <c r="U232" s="28" t="str">
        <f>MID(VLOOKUP($A232,Seqs!$A:$B,2,FALSE),VLOOKUP($A232,'SegEnds_NonXtal_Prot#'!A:AL,10,FALSE),1)</f>
        <v>E</v>
      </c>
      <c r="V232" s="50" t="str">
        <f>MID(VLOOKUP($A232,Seqs!$A:$B,2,FALSE),VLOOKUP($A232,'SegEnds_NonXtal_Prot#'!A:AL,10,FALSE)+6,1)</f>
        <v>T</v>
      </c>
      <c r="W232" s="50" t="str">
        <f>MID(VLOOKUP($A232,Seqs!$A:$B,2,FALSE),VLOOKUP($A232,'SegEnds_NonXtal_Prot#'!A:AL,10,FALSE)+7,1)</f>
        <v>L</v>
      </c>
      <c r="X232" s="50" t="str">
        <f>MID(VLOOKUP($A232,Seqs!$A:$B,2,FALSE),VLOOKUP($A232,'SegEnds_NonXtal_Prot#'!A:AL,10,FALSE)+8,1)</f>
        <v>P</v>
      </c>
      <c r="Y232" s="50" t="str">
        <f>MID(VLOOKUP($A232,Seqs!$A:$B,2,FALSE),VLOOKUP($A232,'SegEnds_NonXtal_Prot#'!A:AL,10,FALSE)+9,1)</f>
        <v>L</v>
      </c>
      <c r="Z232" s="50" t="str">
        <f>MID(VLOOKUP($A232,Seqs!$A:$B,2,FALSE),VLOOKUP($A232,'SegEnds_NonXtal_Prot#'!A:AL,10,FALSE)+10,1)</f>
        <v>W</v>
      </c>
      <c r="AA232" s="28" t="str">
        <f>MID(VLOOKUP($A232,Seqs!$A:$B,2,FALSE),VLOOKUP($A232,'SegEnds_NonXtal_Prot#'!$A:$AL,22,FALSE)+6,1)</f>
        <v>V</v>
      </c>
      <c r="AB232" s="50" t="str">
        <f>MID(VLOOKUP($A232,Seqs!$A:$B,2,FALSE),VLOOKUP($A232,'SegEnds_NonXtal_Prot#'!$A:$AL,22,FALSE)+7,1)</f>
        <v>H</v>
      </c>
      <c r="AC232" s="50" t="str">
        <f>MID(VLOOKUP($A232,Seqs!$A:$B,2,FALSE),VLOOKUP($A232,'SegEnds_NonXtal_Prot#'!$A:$AL,22,FALSE)+8,1)</f>
        <v>Y</v>
      </c>
      <c r="AD232" s="50" t="str">
        <f>MID(VLOOKUP($A232,Seqs!$A:$B,2,FALSE),VLOOKUP($A232,'SegEnds_NonXtal_Prot#'!$A:$AL,22,FALSE)+9,1)</f>
        <v>P</v>
      </c>
      <c r="AE232" s="50" t="str">
        <f>MID(VLOOKUP($A232,Seqs!$A:$B,2,FALSE),VLOOKUP($A232,'SegEnds_NonXtal_Prot#'!$A:$AL,22,FALSE)+10,1)</f>
        <v>V</v>
      </c>
      <c r="AF232" s="28" t="str">
        <f>MID(VLOOKUP($A232,Seqs!$A:$B,2,FALSE),VLOOKUP($A232,'SegEnds_NonXtal_Prot#'!$A:$AL,28,FALSE)-4,1)</f>
        <v>G</v>
      </c>
      <c r="AG232" s="50" t="str">
        <f>MID(VLOOKUP($A232,Seqs!$A:$B,2,FALSE),VLOOKUP($A232,'SegEnds_NonXtal_Prot#'!$A:$AL,28,FALSE),1)</f>
        <v>P</v>
      </c>
    </row>
    <row r="233" spans="1:33" s="2" customFormat="1" x14ac:dyDescent="0.2">
      <c r="A233" s="2" t="s">
        <v>231</v>
      </c>
      <c r="B233" s="2" t="str">
        <f>LOWER(VLOOKUP(A233,Xtal_Templ!A:B,2,FALSE))</f>
        <v>p2ry1_human</v>
      </c>
      <c r="C233" s="2" t="str">
        <f>VLOOKUP(A233,Classification!A:D,2,FALSE)</f>
        <v>A</v>
      </c>
      <c r="D233" s="2" t="str">
        <f>IF(ISERROR(MATCH(A233,'SegEnds_Xtal_Prot#'!B:B, 0)), "NoXtal", "Xtal")</f>
        <v>NoXtal</v>
      </c>
      <c r="G233" s="4"/>
      <c r="Q233" s="2" t="s">
        <v>9</v>
      </c>
      <c r="S233" s="4" t="s">
        <v>12</v>
      </c>
      <c r="U233" s="28" t="str">
        <f>MID(VLOOKUP($A233,Seqs!$A:$B,2,FALSE),VLOOKUP($A233,'SegEnds_NonXtal_Prot#'!A:AL,10,FALSE),1)</f>
        <v>D</v>
      </c>
      <c r="V233" s="50" t="str">
        <f>MID(VLOOKUP($A233,Seqs!$A:$B,2,FALSE),VLOOKUP($A233,'SegEnds_NonXtal_Prot#'!A:AL,10,FALSE)+6,1)</f>
        <v>S</v>
      </c>
      <c r="W233" s="50" t="str">
        <f>MID(VLOOKUP($A233,Seqs!$A:$B,2,FALSE),VLOOKUP($A233,'SegEnds_NonXtal_Prot#'!A:AL,10,FALSE)+7,1)</f>
        <v>L</v>
      </c>
      <c r="X233" s="50" t="str">
        <f>MID(VLOOKUP($A233,Seqs!$A:$B,2,FALSE),VLOOKUP($A233,'SegEnds_NonXtal_Prot#'!A:AL,10,FALSE)+8,1)</f>
        <v>P</v>
      </c>
      <c r="Y233" s="50" t="str">
        <f>MID(VLOOKUP($A233,Seqs!$A:$B,2,FALSE),VLOOKUP($A233,'SegEnds_NonXtal_Prot#'!A:AL,10,FALSE)+9,1)</f>
        <v>L</v>
      </c>
      <c r="Z233" s="50" t="str">
        <f>MID(VLOOKUP($A233,Seqs!$A:$B,2,FALSE),VLOOKUP($A233,'SegEnds_NonXtal_Prot#'!A:AL,10,FALSE)+10,1)</f>
        <v>R</v>
      </c>
      <c r="AA233" s="28" t="str">
        <f>MID(VLOOKUP($A233,Seqs!$A:$B,2,FALSE),VLOOKUP($A233,'SegEnds_NonXtal_Prot#'!$A:$AL,22,FALSE)+6,1)</f>
        <v>A</v>
      </c>
      <c r="AB233" s="50" t="str">
        <f>MID(VLOOKUP($A233,Seqs!$A:$B,2,FALSE),VLOOKUP($A233,'SegEnds_NonXtal_Prot#'!$A:$AL,22,FALSE)+7,1)</f>
        <v>C</v>
      </c>
      <c r="AC233" s="50" t="str">
        <f>MID(VLOOKUP($A233,Seqs!$A:$B,2,FALSE),VLOOKUP($A233,'SegEnds_NonXtal_Prot#'!$A:$AL,22,FALSE)+8,1)</f>
        <v>V</v>
      </c>
      <c r="AD233" s="50" t="str">
        <f>MID(VLOOKUP($A233,Seqs!$A:$B,2,FALSE),VLOOKUP($A233,'SegEnds_NonXtal_Prot#'!$A:$AL,22,FALSE)+9,1)</f>
        <v>L</v>
      </c>
      <c r="AE233" s="50" t="str">
        <f>MID(VLOOKUP($A233,Seqs!$A:$B,2,FALSE),VLOOKUP($A233,'SegEnds_NonXtal_Prot#'!$A:$AL,22,FALSE)+10,1)</f>
        <v>F</v>
      </c>
      <c r="AF233" s="28" t="str">
        <f>MID(VLOOKUP($A233,Seqs!$A:$B,2,FALSE),VLOOKUP($A233,'SegEnds_NonXtal_Prot#'!$A:$AL,28,FALSE)-4,1)</f>
        <v>G</v>
      </c>
      <c r="AG233" s="50" t="str">
        <f>MID(VLOOKUP($A233,Seqs!$A:$B,2,FALSE),VLOOKUP($A233,'SegEnds_NonXtal_Prot#'!$A:$AL,28,FALSE),1)</f>
        <v>P</v>
      </c>
    </row>
    <row r="234" spans="1:33" s="2" customFormat="1" x14ac:dyDescent="0.2">
      <c r="A234" s="2" t="s">
        <v>240</v>
      </c>
      <c r="B234" s="2" t="str">
        <f>LOWER(VLOOKUP(A234,Xtal_Templ!A:B,2,FALSE))</f>
        <v>apj_human</v>
      </c>
      <c r="C234" s="2" t="str">
        <f>VLOOKUP(A234,Classification!A:D,2,FALSE)</f>
        <v>A</v>
      </c>
      <c r="D234" s="2" t="str">
        <f>IF(ISERROR(MATCH(A234,'SegEnds_Xtal_Prot#'!B:B, 0)), "NoXtal", "Xtal")</f>
        <v>NoXtal</v>
      </c>
      <c r="G234" s="4"/>
      <c r="M234" s="2" t="s">
        <v>14</v>
      </c>
      <c r="Q234" s="2" t="s">
        <v>9</v>
      </c>
      <c r="S234" s="4" t="s">
        <v>12</v>
      </c>
      <c r="U234" s="28" t="str">
        <f>MID(VLOOKUP($A234,Seqs!$A:$B,2,FALSE),VLOOKUP($A234,'SegEnds_NonXtal_Prot#'!A:AL,10,FALSE),1)</f>
        <v>D</v>
      </c>
      <c r="V234" s="50" t="str">
        <f>MID(VLOOKUP($A234,Seqs!$A:$B,2,FALSE),VLOOKUP($A234,'SegEnds_NonXtal_Prot#'!A:AL,10,FALSE)+6,1)</f>
        <v>V</v>
      </c>
      <c r="W234" s="50" t="str">
        <f>MID(VLOOKUP($A234,Seqs!$A:$B,2,FALSE),VLOOKUP($A234,'SegEnds_NonXtal_Prot#'!A:AL,10,FALSE)+7,1)</f>
        <v>L</v>
      </c>
      <c r="X234" s="50" t="str">
        <f>MID(VLOOKUP($A234,Seqs!$A:$B,2,FALSE),VLOOKUP($A234,'SegEnds_NonXtal_Prot#'!A:AL,10,FALSE)+8,1)</f>
        <v>P</v>
      </c>
      <c r="Y234" s="50" t="str">
        <f>MID(VLOOKUP($A234,Seqs!$A:$B,2,FALSE),VLOOKUP($A234,'SegEnds_NonXtal_Prot#'!A:AL,10,FALSE)+9,1)</f>
        <v>T</v>
      </c>
      <c r="Z234" s="50" t="str">
        <f>MID(VLOOKUP($A234,Seqs!$A:$B,2,FALSE),VLOOKUP($A234,'SegEnds_NonXtal_Prot#'!A:AL,10,FALSE)+10,1)</f>
        <v>R</v>
      </c>
      <c r="AA234" s="28" t="str">
        <f>MID(VLOOKUP($A234,Seqs!$A:$B,2,FALSE),VLOOKUP($A234,'SegEnds_NonXtal_Prot#'!$A:$AL,22,FALSE)+6,1)</f>
        <v>A</v>
      </c>
      <c r="AB234" s="50" t="str">
        <f>MID(VLOOKUP($A234,Seqs!$A:$B,2,FALSE),VLOOKUP($A234,'SegEnds_NonXtal_Prot#'!$A:$AL,22,FALSE)+7,1)</f>
        <v>M</v>
      </c>
      <c r="AC234" s="50" t="str">
        <f>MID(VLOOKUP($A234,Seqs!$A:$B,2,FALSE),VLOOKUP($A234,'SegEnds_NonXtal_Prot#'!$A:$AL,22,FALSE)+8,1)</f>
        <v>A</v>
      </c>
      <c r="AD234" s="50" t="str">
        <f>MID(VLOOKUP($A234,Seqs!$A:$B,2,FALSE),VLOOKUP($A234,'SegEnds_NonXtal_Prot#'!$A:$AL,22,FALSE)+9,1)</f>
        <v>P</v>
      </c>
      <c r="AE234" s="50" t="str">
        <f>MID(VLOOKUP($A234,Seqs!$A:$B,2,FALSE),VLOOKUP($A234,'SegEnds_NonXtal_Prot#'!$A:$AL,22,FALSE)+10,1)</f>
        <v>L</v>
      </c>
      <c r="AF234" s="28" t="str">
        <f>MID(VLOOKUP($A234,Seqs!$A:$B,2,FALSE),VLOOKUP($A234,'SegEnds_NonXtal_Prot#'!$A:$AL,28,FALSE)-4,1)</f>
        <v>A</v>
      </c>
      <c r="AG234" s="50" t="str">
        <f>MID(VLOOKUP($A234,Seqs!$A:$B,2,FALSE),VLOOKUP($A234,'SegEnds_NonXtal_Prot#'!$A:$AL,28,FALSE),1)</f>
        <v>P</v>
      </c>
    </row>
    <row r="235" spans="1:33" s="2" customFormat="1" x14ac:dyDescent="0.2">
      <c r="A235" s="2" t="s">
        <v>241</v>
      </c>
      <c r="B235" s="2" t="str">
        <f>LOWER(VLOOKUP(A235,Xtal_Templ!A:B,2,FALSE))</f>
        <v>oprk_human</v>
      </c>
      <c r="C235" s="2" t="str">
        <f>VLOOKUP(A235,Classification!A:D,2,FALSE)</f>
        <v>A</v>
      </c>
      <c r="D235" s="2" t="str">
        <f>IF(ISERROR(MATCH(A235,'SegEnds_Xtal_Prot#'!B:B, 0)), "NoXtal", "Xtal")</f>
        <v>NoXtal</v>
      </c>
      <c r="G235" s="4"/>
      <c r="M235" s="2" t="s">
        <v>14</v>
      </c>
      <c r="S235" s="4" t="s">
        <v>12</v>
      </c>
      <c r="U235" s="28" t="str">
        <f>MID(VLOOKUP($A235,Seqs!$A:$B,2,FALSE),VLOOKUP($A235,'SegEnds_NonXtal_Prot#'!A:AL,10,FALSE),1)</f>
        <v>D</v>
      </c>
      <c r="V235" s="50" t="str">
        <f>MID(VLOOKUP($A235,Seqs!$A:$B,2,FALSE),VLOOKUP($A235,'SegEnds_NonXtal_Prot#'!A:AL,10,FALSE)+6,1)</f>
        <v>T</v>
      </c>
      <c r="W235" s="50" t="str">
        <f>MID(VLOOKUP($A235,Seqs!$A:$B,2,FALSE),VLOOKUP($A235,'SegEnds_NonXtal_Prot#'!A:AL,10,FALSE)+7,1)</f>
        <v>L</v>
      </c>
      <c r="X235" s="50" t="str">
        <f>MID(VLOOKUP($A235,Seqs!$A:$B,2,FALSE),VLOOKUP($A235,'SegEnds_NonXtal_Prot#'!A:AL,10,FALSE)+8,1)</f>
        <v>P</v>
      </c>
      <c r="Y235" s="50" t="str">
        <f>MID(VLOOKUP($A235,Seqs!$A:$B,2,FALSE),VLOOKUP($A235,'SegEnds_NonXtal_Prot#'!A:AL,10,FALSE)+9,1)</f>
        <v>F</v>
      </c>
      <c r="Z235" s="50" t="str">
        <f>MID(VLOOKUP($A235,Seqs!$A:$B,2,FALSE),VLOOKUP($A235,'SegEnds_NonXtal_Prot#'!A:AL,10,FALSE)+10,1)</f>
        <v>R</v>
      </c>
      <c r="AA235" s="28" t="str">
        <f>MID(VLOOKUP($A235,Seqs!$A:$B,2,FALSE),VLOOKUP($A235,'SegEnds_NonXtal_Prot#'!$A:$AL,22,FALSE)+6,1)</f>
        <v>T</v>
      </c>
      <c r="AB235" s="50" t="str">
        <f>MID(VLOOKUP($A235,Seqs!$A:$B,2,FALSE),VLOOKUP($A235,'SegEnds_NonXtal_Prot#'!$A:$AL,22,FALSE)+7,1)</f>
        <v>T</v>
      </c>
      <c r="AC235" s="50" t="str">
        <f>MID(VLOOKUP($A235,Seqs!$A:$B,2,FALSE),VLOOKUP($A235,'SegEnds_NonXtal_Prot#'!$A:$AL,22,FALSE)+8,1)</f>
        <v>T</v>
      </c>
      <c r="AD235" s="50" t="str">
        <f>MID(VLOOKUP($A235,Seqs!$A:$B,2,FALSE),VLOOKUP($A235,'SegEnds_NonXtal_Prot#'!$A:$AL,22,FALSE)+9,1)</f>
        <v>P</v>
      </c>
      <c r="AE235" s="50" t="str">
        <f>MID(VLOOKUP($A235,Seqs!$A:$B,2,FALSE),VLOOKUP($A235,'SegEnds_NonXtal_Prot#'!$A:$AL,22,FALSE)+10,1)</f>
        <v>L</v>
      </c>
      <c r="AF235" s="28" t="str">
        <f>MID(VLOOKUP($A235,Seqs!$A:$B,2,FALSE),VLOOKUP($A235,'SegEnds_NonXtal_Prot#'!$A:$AL,28,FALSE)-4,1)</f>
        <v>F</v>
      </c>
      <c r="AG235" s="50" t="str">
        <f>MID(VLOOKUP($A235,Seqs!$A:$B,2,FALSE),VLOOKUP($A235,'SegEnds_NonXtal_Prot#'!$A:$AL,28,FALSE),1)</f>
        <v>P</v>
      </c>
    </row>
    <row r="236" spans="1:33" s="2" customFormat="1" x14ac:dyDescent="0.2">
      <c r="A236" s="2" t="s">
        <v>250</v>
      </c>
      <c r="B236" s="2" t="str">
        <f>LOWER(VLOOKUP(A236,Xtal_Templ!A:B,2,FALSE))</f>
        <v>oprd_human</v>
      </c>
      <c r="C236" s="2" t="str">
        <f>VLOOKUP(A236,Classification!A:D,2,FALSE)</f>
        <v>A</v>
      </c>
      <c r="D236" s="2" t="str">
        <f>IF(ISERROR(MATCH(A236,'SegEnds_Xtal_Prot#'!B:B, 0)), "NoXtal", "Xtal")</f>
        <v>NoXtal</v>
      </c>
      <c r="G236" s="4"/>
      <c r="M236" s="2" t="s">
        <v>14</v>
      </c>
      <c r="Q236" s="2" t="s">
        <v>9</v>
      </c>
      <c r="S236" s="4" t="s">
        <v>12</v>
      </c>
      <c r="U236" s="28" t="str">
        <f>MID(VLOOKUP($A236,Seqs!$A:$B,2,FALSE),VLOOKUP($A236,'SegEnds_NonXtal_Prot#'!A:AL,10,FALSE),1)</f>
        <v>D</v>
      </c>
      <c r="V236" s="50" t="str">
        <f>MID(VLOOKUP($A236,Seqs!$A:$B,2,FALSE),VLOOKUP($A236,'SegEnds_NonXtal_Prot#'!A:AL,10,FALSE)+6,1)</f>
        <v>C</v>
      </c>
      <c r="W236" s="50" t="str">
        <f>MID(VLOOKUP($A236,Seqs!$A:$B,2,FALSE),VLOOKUP($A236,'SegEnds_NonXtal_Prot#'!A:AL,10,FALSE)+7,1)</f>
        <v>L</v>
      </c>
      <c r="X236" s="50" t="str">
        <f>MID(VLOOKUP($A236,Seqs!$A:$B,2,FALSE),VLOOKUP($A236,'SegEnds_NonXtal_Prot#'!A:AL,10,FALSE)+8,1)</f>
        <v>P</v>
      </c>
      <c r="Y236" s="50" t="str">
        <f>MID(VLOOKUP($A236,Seqs!$A:$B,2,FALSE),VLOOKUP($A236,'SegEnds_NonXtal_Prot#'!A:AL,10,FALSE)+9,1)</f>
        <v>F</v>
      </c>
      <c r="Z236" s="50" t="str">
        <f>MID(VLOOKUP($A236,Seqs!$A:$B,2,FALSE),VLOOKUP($A236,'SegEnds_NonXtal_Prot#'!A:AL,10,FALSE)+10,1)</f>
        <v>L</v>
      </c>
      <c r="AA236" s="28" t="str">
        <f>MID(VLOOKUP($A236,Seqs!$A:$B,2,FALSE),VLOOKUP($A236,'SegEnds_NonXtal_Prot#'!$A:$AL,22,FALSE)+6,1)</f>
        <v>L</v>
      </c>
      <c r="AB236" s="50" t="str">
        <f>MID(VLOOKUP($A236,Seqs!$A:$B,2,FALSE),VLOOKUP($A236,'SegEnds_NonXtal_Prot#'!$A:$AL,22,FALSE)+7,1)</f>
        <v>T</v>
      </c>
      <c r="AC236" s="50" t="str">
        <f>MID(VLOOKUP($A236,Seqs!$A:$B,2,FALSE),VLOOKUP($A236,'SegEnds_NonXtal_Prot#'!$A:$AL,22,FALSE)+8,1)</f>
        <v>C</v>
      </c>
      <c r="AD236" s="50" t="str">
        <f>MID(VLOOKUP($A236,Seqs!$A:$B,2,FALSE),VLOOKUP($A236,'SegEnds_NonXtal_Prot#'!$A:$AL,22,FALSE)+9,1)</f>
        <v>P</v>
      </c>
      <c r="AE236" s="50" t="str">
        <f>MID(VLOOKUP($A236,Seqs!$A:$B,2,FALSE),VLOOKUP($A236,'SegEnds_NonXtal_Prot#'!$A:$AL,22,FALSE)+10,1)</f>
        <v>G</v>
      </c>
      <c r="AF236" s="28" t="str">
        <f>MID(VLOOKUP($A236,Seqs!$A:$B,2,FALSE),VLOOKUP($A236,'SegEnds_NonXtal_Prot#'!$A:$AL,28,FALSE)-4,1)</f>
        <v>Q</v>
      </c>
      <c r="AG236" s="50" t="str">
        <f>MID(VLOOKUP($A236,Seqs!$A:$B,2,FALSE),VLOOKUP($A236,'SegEnds_NonXtal_Prot#'!$A:$AL,28,FALSE),1)</f>
        <v>P</v>
      </c>
    </row>
    <row r="237" spans="1:33" s="2" customFormat="1" x14ac:dyDescent="0.2">
      <c r="A237" s="2" t="s">
        <v>257</v>
      </c>
      <c r="B237" s="2" t="str">
        <f>LOWER(VLOOKUP(A237,Xtal_Templ!A:B,2,FALSE))</f>
        <v>par2_human</v>
      </c>
      <c r="C237" s="2" t="str">
        <f>VLOOKUP(A237,Classification!A:D,2,FALSE)</f>
        <v>A</v>
      </c>
      <c r="D237" s="2" t="str">
        <f>IF(ISERROR(MATCH(A237,'SegEnds_Xtal_Prot#'!B:B, 0)), "NoXtal", "Xtal")</f>
        <v>NoXtal</v>
      </c>
      <c r="G237" s="4"/>
      <c r="Q237" s="2" t="s">
        <v>9</v>
      </c>
      <c r="S237" s="4" t="s">
        <v>12</v>
      </c>
      <c r="U237" s="28" t="str">
        <f>MID(VLOOKUP($A237,Seqs!$A:$B,2,FALSE),VLOOKUP($A237,'SegEnds_NonXtal_Prot#'!A:AL,10,FALSE),1)</f>
        <v>D</v>
      </c>
      <c r="V237" s="50" t="str">
        <f>MID(VLOOKUP($A237,Seqs!$A:$B,2,FALSE),VLOOKUP($A237,'SegEnds_NonXtal_Prot#'!A:AL,10,FALSE)+6,1)</f>
        <v>T</v>
      </c>
      <c r="W237" s="50" t="str">
        <f>MID(VLOOKUP($A237,Seqs!$A:$B,2,FALSE),VLOOKUP($A237,'SegEnds_NonXtal_Prot#'!A:AL,10,FALSE)+7,1)</f>
        <v>L</v>
      </c>
      <c r="X237" s="50" t="str">
        <f>MID(VLOOKUP($A237,Seqs!$A:$B,2,FALSE),VLOOKUP($A237,'SegEnds_NonXtal_Prot#'!A:AL,10,FALSE)+8,1)</f>
        <v>P</v>
      </c>
      <c r="Y237" s="50" t="str">
        <f>MID(VLOOKUP($A237,Seqs!$A:$B,2,FALSE),VLOOKUP($A237,'SegEnds_NonXtal_Prot#'!A:AL,10,FALSE)+9,1)</f>
        <v>L</v>
      </c>
      <c r="Z237" s="50" t="str">
        <f>MID(VLOOKUP($A237,Seqs!$A:$B,2,FALSE),VLOOKUP($A237,'SegEnds_NonXtal_Prot#'!A:AL,10,FALSE)+10,1)</f>
        <v>W</v>
      </c>
      <c r="AA237" s="28" t="str">
        <f>MID(VLOOKUP($A237,Seqs!$A:$B,2,FALSE),VLOOKUP($A237,'SegEnds_NonXtal_Prot#'!$A:$AL,22,FALSE)+6,1)</f>
        <v>A</v>
      </c>
      <c r="AB237" s="50" t="str">
        <f>MID(VLOOKUP($A237,Seqs!$A:$B,2,FALSE),VLOOKUP($A237,'SegEnds_NonXtal_Prot#'!$A:$AL,22,FALSE)+7,1)</f>
        <v>N</v>
      </c>
      <c r="AC237" s="50" t="str">
        <f>MID(VLOOKUP($A237,Seqs!$A:$B,2,FALSE),VLOOKUP($A237,'SegEnds_NonXtal_Prot#'!$A:$AL,22,FALSE)+8,1)</f>
        <v>S</v>
      </c>
      <c r="AD237" s="50" t="str">
        <f>MID(VLOOKUP($A237,Seqs!$A:$B,2,FALSE),VLOOKUP($A237,'SegEnds_NonXtal_Prot#'!$A:$AL,22,FALSE)+9,1)</f>
        <v>A</v>
      </c>
      <c r="AE237" s="50" t="str">
        <f>MID(VLOOKUP($A237,Seqs!$A:$B,2,FALSE),VLOOKUP($A237,'SegEnds_NonXtal_Prot#'!$A:$AL,22,FALSE)+10,1)</f>
        <v>P</v>
      </c>
      <c r="AF237" s="28" t="str">
        <f>MID(VLOOKUP($A237,Seqs!$A:$B,2,FALSE),VLOOKUP($A237,'SegEnds_NonXtal_Prot#'!$A:$AL,28,FALSE)-4,1)</f>
        <v>G</v>
      </c>
      <c r="AG237" s="50" t="str">
        <f>MID(VLOOKUP($A237,Seqs!$A:$B,2,FALSE),VLOOKUP($A237,'SegEnds_NonXtal_Prot#'!$A:$AL,28,FALSE),1)</f>
        <v>P</v>
      </c>
    </row>
    <row r="238" spans="1:33" s="2" customFormat="1" x14ac:dyDescent="0.2">
      <c r="A238" s="2" t="s">
        <v>275</v>
      </c>
      <c r="B238" s="2" t="str">
        <f>LOWER(VLOOKUP(A238,Xtal_Templ!A:B,2,FALSE))</f>
        <v>p2ry1_human</v>
      </c>
      <c r="C238" s="2" t="str">
        <f>VLOOKUP(A238,Classification!A:D,2,FALSE)</f>
        <v>A</v>
      </c>
      <c r="D238" s="2" t="str">
        <f>IF(ISERROR(MATCH(A238,'SegEnds_Xtal_Prot#'!B:B, 0)), "NoXtal", "Xtal")</f>
        <v>NoXtal</v>
      </c>
      <c r="G238" s="4"/>
      <c r="Q238" s="2" t="s">
        <v>9</v>
      </c>
      <c r="S238" s="4" t="s">
        <v>12</v>
      </c>
      <c r="U238" s="28" t="str">
        <f>MID(VLOOKUP($A238,Seqs!$A:$B,2,FALSE),VLOOKUP($A238,'SegEnds_NonXtal_Prot#'!A:AL,10,FALSE),1)</f>
        <v>D</v>
      </c>
      <c r="V238" s="50" t="str">
        <f>MID(VLOOKUP($A238,Seqs!$A:$B,2,FALSE),VLOOKUP($A238,'SegEnds_NonXtal_Prot#'!A:AL,10,FALSE)+6,1)</f>
        <v>C</v>
      </c>
      <c r="W238" s="50" t="str">
        <f>MID(VLOOKUP($A238,Seqs!$A:$B,2,FALSE),VLOOKUP($A238,'SegEnds_NonXtal_Prot#'!A:AL,10,FALSE)+7,1)</f>
        <v>L</v>
      </c>
      <c r="X238" s="50" t="str">
        <f>MID(VLOOKUP($A238,Seqs!$A:$B,2,FALSE),VLOOKUP($A238,'SegEnds_NonXtal_Prot#'!A:AL,10,FALSE)+8,1)</f>
        <v>P</v>
      </c>
      <c r="Y238" s="50" t="str">
        <f>MID(VLOOKUP($A238,Seqs!$A:$B,2,FALSE),VLOOKUP($A238,'SegEnds_NonXtal_Prot#'!A:AL,10,FALSE)+9,1)</f>
        <v>F</v>
      </c>
      <c r="Z238" s="50" t="str">
        <f>MID(VLOOKUP($A238,Seqs!$A:$B,2,FALSE),VLOOKUP($A238,'SegEnds_NonXtal_Prot#'!A:AL,10,FALSE)+10,1)</f>
        <v>R</v>
      </c>
      <c r="AA238" s="28" t="str">
        <f>MID(VLOOKUP($A238,Seqs!$A:$B,2,FALSE),VLOOKUP($A238,'SegEnds_NonXtal_Prot#'!$A:$AL,22,FALSE)+6,1)</f>
        <v>G</v>
      </c>
      <c r="AB238" s="50" t="str">
        <f>MID(VLOOKUP($A238,Seqs!$A:$B,2,FALSE),VLOOKUP($A238,'SegEnds_NonXtal_Prot#'!$A:$AL,22,FALSE)+7,1)</f>
        <v>T</v>
      </c>
      <c r="AC238" s="50" t="str">
        <f>MID(VLOOKUP($A238,Seqs!$A:$B,2,FALSE),VLOOKUP($A238,'SegEnds_NonXtal_Prot#'!$A:$AL,22,FALSE)+8,1)</f>
        <v>V</v>
      </c>
      <c r="AD238" s="50" t="str">
        <f>MID(VLOOKUP($A238,Seqs!$A:$B,2,FALSE),VLOOKUP($A238,'SegEnds_NonXtal_Prot#'!$A:$AL,22,FALSE)+9,1)</f>
        <v>Y</v>
      </c>
      <c r="AE238" s="50" t="str">
        <f>MID(VLOOKUP($A238,Seqs!$A:$B,2,FALSE),VLOOKUP($A238,'SegEnds_NonXtal_Prot#'!$A:$AL,22,FALSE)+10,1)</f>
        <v>L</v>
      </c>
      <c r="AF238" s="28" t="str">
        <f>MID(VLOOKUP($A238,Seqs!$A:$B,2,FALSE),VLOOKUP($A238,'SegEnds_NonXtal_Prot#'!$A:$AL,28,FALSE)-4,1)</f>
        <v>E</v>
      </c>
      <c r="AG238" s="50" t="str">
        <f>MID(VLOOKUP($A238,Seqs!$A:$B,2,FALSE),VLOOKUP($A238,'SegEnds_NonXtal_Prot#'!$A:$AL,28,FALSE),1)</f>
        <v>P</v>
      </c>
    </row>
    <row r="239" spans="1:33" s="2" customFormat="1" x14ac:dyDescent="0.2">
      <c r="A239" s="2" t="s">
        <v>276</v>
      </c>
      <c r="B239" s="2" t="str">
        <f>LOWER(VLOOKUP(A239,Xtal_Templ!A:B,2,FALSE))</f>
        <v>oprk_human</v>
      </c>
      <c r="C239" s="2" t="str">
        <f>VLOOKUP(A239,Classification!A:D,2,FALSE)</f>
        <v>A</v>
      </c>
      <c r="D239" s="2" t="str">
        <f>IF(ISERROR(MATCH(A239,'SegEnds_Xtal_Prot#'!B:B, 0)), "NoXtal", "Xtal")</f>
        <v>NoXtal</v>
      </c>
      <c r="G239" s="4"/>
      <c r="Q239" s="2" t="s">
        <v>9</v>
      </c>
      <c r="S239" s="4" t="s">
        <v>12</v>
      </c>
      <c r="U239" s="28" t="str">
        <f>MID(VLOOKUP($A239,Seqs!$A:$B,2,FALSE),VLOOKUP($A239,'SegEnds_NonXtal_Prot#'!A:AL,10,FALSE),1)</f>
        <v>D</v>
      </c>
      <c r="V239" s="50" t="str">
        <f>MID(VLOOKUP($A239,Seqs!$A:$B,2,FALSE),VLOOKUP($A239,'SegEnds_NonXtal_Prot#'!A:AL,10,FALSE)+6,1)</f>
        <v>C</v>
      </c>
      <c r="W239" s="50" t="str">
        <f>MID(VLOOKUP($A239,Seqs!$A:$B,2,FALSE),VLOOKUP($A239,'SegEnds_NonXtal_Prot#'!A:AL,10,FALSE)+7,1)</f>
        <v>L</v>
      </c>
      <c r="X239" s="50" t="str">
        <f>MID(VLOOKUP($A239,Seqs!$A:$B,2,FALSE),VLOOKUP($A239,'SegEnds_NonXtal_Prot#'!A:AL,10,FALSE)+8,1)</f>
        <v>P</v>
      </c>
      <c r="Y239" s="50" t="str">
        <f>MID(VLOOKUP($A239,Seqs!$A:$B,2,FALSE),VLOOKUP($A239,'SegEnds_NonXtal_Prot#'!A:AL,10,FALSE)+9,1)</f>
        <v>F</v>
      </c>
      <c r="Z239" s="50" t="str">
        <f>MID(VLOOKUP($A239,Seqs!$A:$B,2,FALSE),VLOOKUP($A239,'SegEnds_NonXtal_Prot#'!A:AL,10,FALSE)+10,1)</f>
        <v>L</v>
      </c>
      <c r="AA239" s="28" t="str">
        <f>MID(VLOOKUP($A239,Seqs!$A:$B,2,FALSE),VLOOKUP($A239,'SegEnds_NonXtal_Prot#'!$A:$AL,22,FALSE)+6,1)</f>
        <v>L</v>
      </c>
      <c r="AB239" s="50" t="str">
        <f>MID(VLOOKUP($A239,Seqs!$A:$B,2,FALSE),VLOOKUP($A239,'SegEnds_NonXtal_Prot#'!$A:$AL,22,FALSE)+7,1)</f>
        <v>T</v>
      </c>
      <c r="AC239" s="50" t="str">
        <f>MID(VLOOKUP($A239,Seqs!$A:$B,2,FALSE),VLOOKUP($A239,'SegEnds_NonXtal_Prot#'!$A:$AL,22,FALSE)+8,1)</f>
        <v>V</v>
      </c>
      <c r="AD239" s="50" t="str">
        <f>MID(VLOOKUP($A239,Seqs!$A:$B,2,FALSE),VLOOKUP($A239,'SegEnds_NonXtal_Prot#'!$A:$AL,22,FALSE)+9,1)</f>
        <v>H</v>
      </c>
      <c r="AE239" s="50" t="str">
        <f>MID(VLOOKUP($A239,Seqs!$A:$B,2,FALSE),VLOOKUP($A239,'SegEnds_NonXtal_Prot#'!$A:$AL,22,FALSE)+10,1)</f>
        <v>L</v>
      </c>
      <c r="AF239" s="28" t="str">
        <f>MID(VLOOKUP($A239,Seqs!$A:$B,2,FALSE),VLOOKUP($A239,'SegEnds_NonXtal_Prot#'!$A:$AL,28,FALSE)-4,1)</f>
        <v>E</v>
      </c>
      <c r="AG239" s="50" t="str">
        <f>MID(VLOOKUP($A239,Seqs!$A:$B,2,FALSE),VLOOKUP($A239,'SegEnds_NonXtal_Prot#'!$A:$AL,28,FALSE),1)</f>
        <v>P</v>
      </c>
    </row>
    <row r="240" spans="1:33" s="2" customFormat="1" x14ac:dyDescent="0.2">
      <c r="A240" s="2" t="s">
        <v>277</v>
      </c>
      <c r="B240" s="2" t="str">
        <f>LOWER(VLOOKUP(A240,Xtal_Templ!A:B,2,FALSE))</f>
        <v>p2ry1_human</v>
      </c>
      <c r="C240" s="2" t="str">
        <f>VLOOKUP(A240,Classification!A:D,2,FALSE)</f>
        <v>A</v>
      </c>
      <c r="D240" s="2" t="str">
        <f>IF(ISERROR(MATCH(A240,'SegEnds_Xtal_Prot#'!B:B, 0)), "NoXtal", "Xtal")</f>
        <v>NoXtal</v>
      </c>
      <c r="G240" s="4"/>
      <c r="Q240" s="2" t="s">
        <v>9</v>
      </c>
      <c r="S240" s="4" t="s">
        <v>12</v>
      </c>
      <c r="U240" s="28" t="str">
        <f>MID(VLOOKUP($A240,Seqs!$A:$B,2,FALSE),VLOOKUP($A240,'SegEnds_NonXtal_Prot#'!A:AL,10,FALSE),1)</f>
        <v>D</v>
      </c>
      <c r="V240" s="50" t="str">
        <f>MID(VLOOKUP($A240,Seqs!$A:$B,2,FALSE),VLOOKUP($A240,'SegEnds_NonXtal_Prot#'!A:AL,10,FALSE)+6,1)</f>
        <v>C</v>
      </c>
      <c r="W240" s="50" t="str">
        <f>MID(VLOOKUP($A240,Seqs!$A:$B,2,FALSE),VLOOKUP($A240,'SegEnds_NonXtal_Prot#'!A:AL,10,FALSE)+7,1)</f>
        <v>L</v>
      </c>
      <c r="X240" s="50" t="str">
        <f>MID(VLOOKUP($A240,Seqs!$A:$B,2,FALSE),VLOOKUP($A240,'SegEnds_NonXtal_Prot#'!A:AL,10,FALSE)+8,1)</f>
        <v>P</v>
      </c>
      <c r="Y240" s="50" t="str">
        <f>MID(VLOOKUP($A240,Seqs!$A:$B,2,FALSE),VLOOKUP($A240,'SegEnds_NonXtal_Prot#'!A:AL,10,FALSE)+9,1)</f>
        <v>F</v>
      </c>
      <c r="Z240" s="50" t="str">
        <f>MID(VLOOKUP($A240,Seqs!$A:$B,2,FALSE),VLOOKUP($A240,'SegEnds_NonXtal_Prot#'!A:AL,10,FALSE)+10,1)</f>
        <v>V</v>
      </c>
      <c r="AA240" s="28" t="str">
        <f>MID(VLOOKUP($A240,Seqs!$A:$B,2,FALSE),VLOOKUP($A240,'SegEnds_NonXtal_Prot#'!$A:$AL,22,FALSE)+6,1)</f>
        <v>L</v>
      </c>
      <c r="AB240" s="50" t="str">
        <f>MID(VLOOKUP($A240,Seqs!$A:$B,2,FALSE),VLOOKUP($A240,'SegEnds_NonXtal_Prot#'!$A:$AL,22,FALSE)+7,1)</f>
        <v>T</v>
      </c>
      <c r="AC240" s="50" t="str">
        <f>MID(VLOOKUP($A240,Seqs!$A:$B,2,FALSE),VLOOKUP($A240,'SegEnds_NonXtal_Prot#'!$A:$AL,22,FALSE)+8,1)</f>
        <v>V</v>
      </c>
      <c r="AD240" s="50" t="str">
        <f>MID(VLOOKUP($A240,Seqs!$A:$B,2,FALSE),VLOOKUP($A240,'SegEnds_NonXtal_Prot#'!$A:$AL,22,FALSE)+9,1)</f>
        <v>H</v>
      </c>
      <c r="AE240" s="50" t="str">
        <f>MID(VLOOKUP($A240,Seqs!$A:$B,2,FALSE),VLOOKUP($A240,'SegEnds_NonXtal_Prot#'!$A:$AL,22,FALSE)+10,1)</f>
        <v>L</v>
      </c>
      <c r="AF240" s="28" t="str">
        <f>MID(VLOOKUP($A240,Seqs!$A:$B,2,FALSE),VLOOKUP($A240,'SegEnds_NonXtal_Prot#'!$A:$AL,28,FALSE)-4,1)</f>
        <v>E</v>
      </c>
      <c r="AG240" s="50" t="str">
        <f>MID(VLOOKUP($A240,Seqs!$A:$B,2,FALSE),VLOOKUP($A240,'SegEnds_NonXtal_Prot#'!$A:$AL,28,FALSE),1)</f>
        <v>P</v>
      </c>
    </row>
    <row r="241" spans="1:33" s="2" customFormat="1" x14ac:dyDescent="0.2">
      <c r="A241" s="2" t="s">
        <v>288</v>
      </c>
      <c r="B241" s="2" t="str">
        <f>LOWER(VLOOKUP(A241,Xtal_Templ!A:B,2,FALSE))</f>
        <v>oprk_human</v>
      </c>
      <c r="C241" s="2" t="str">
        <f>VLOOKUP(A241,Classification!A:D,2,FALSE)</f>
        <v>A</v>
      </c>
      <c r="D241" s="2" t="str">
        <f>IF(ISERROR(MATCH(A241,'SegEnds_Xtal_Prot#'!B:B, 0)), "NoXtal", "Xtal")</f>
        <v>NoXtal</v>
      </c>
      <c r="G241" s="4"/>
      <c r="Q241" s="2" t="s">
        <v>9</v>
      </c>
      <c r="S241" s="4" t="s">
        <v>12</v>
      </c>
      <c r="U241" s="28" t="str">
        <f>MID(VLOOKUP($A241,Seqs!$A:$B,2,FALSE),VLOOKUP($A241,'SegEnds_NonXtal_Prot#'!A:AL,10,FALSE),1)</f>
        <v>D</v>
      </c>
      <c r="V241" s="50" t="str">
        <f>MID(VLOOKUP($A241,Seqs!$A:$B,2,FALSE),VLOOKUP($A241,'SegEnds_NonXtal_Prot#'!A:AL,10,FALSE)+6,1)</f>
        <v>T</v>
      </c>
      <c r="W241" s="50" t="str">
        <f>MID(VLOOKUP($A241,Seqs!$A:$B,2,FALSE),VLOOKUP($A241,'SegEnds_NonXtal_Prot#'!A:AL,10,FALSE)+7,1)</f>
        <v>L</v>
      </c>
      <c r="X241" s="50" t="str">
        <f>MID(VLOOKUP($A241,Seqs!$A:$B,2,FALSE),VLOOKUP($A241,'SegEnds_NonXtal_Prot#'!A:AL,10,FALSE)+8,1)</f>
        <v>P</v>
      </c>
      <c r="Y241" s="50" t="str">
        <f>MID(VLOOKUP($A241,Seqs!$A:$B,2,FALSE),VLOOKUP($A241,'SegEnds_NonXtal_Prot#'!A:AL,10,FALSE)+9,1)</f>
        <v>F</v>
      </c>
      <c r="Z241" s="50" t="str">
        <f>MID(VLOOKUP($A241,Seqs!$A:$B,2,FALSE),VLOOKUP($A241,'SegEnds_NonXtal_Prot#'!A:AL,10,FALSE)+10,1)</f>
        <v>K</v>
      </c>
      <c r="AA241" s="28" t="str">
        <f>MID(VLOOKUP($A241,Seqs!$A:$B,2,FALSE),VLOOKUP($A241,'SegEnds_NonXtal_Prot#'!$A:$AL,22,FALSE)+6,1)</f>
        <v>G</v>
      </c>
      <c r="AB241" s="50" t="str">
        <f>MID(VLOOKUP($A241,Seqs!$A:$B,2,FALSE),VLOOKUP($A241,'SegEnds_NonXtal_Prot#'!$A:$AL,22,FALSE)+7,1)</f>
        <v>G</v>
      </c>
      <c r="AC241" s="50" t="str">
        <f>MID(VLOOKUP($A241,Seqs!$A:$B,2,FALSE),VLOOKUP($A241,'SegEnds_NonXtal_Prot#'!$A:$AL,22,FALSE)+8,1)</f>
        <v>I</v>
      </c>
      <c r="AD241" s="50" t="str">
        <f>MID(VLOOKUP($A241,Seqs!$A:$B,2,FALSE),VLOOKUP($A241,'SegEnds_NonXtal_Prot#'!$A:$AL,22,FALSE)+9,1)</f>
        <v>S</v>
      </c>
      <c r="AE241" s="50" t="str">
        <f>MID(VLOOKUP($A241,Seqs!$A:$B,2,FALSE),VLOOKUP($A241,'SegEnds_NonXtal_Prot#'!$A:$AL,22,FALSE)+10,1)</f>
        <v>A</v>
      </c>
      <c r="AF241" s="28" t="str">
        <f>MID(VLOOKUP($A241,Seqs!$A:$B,2,FALSE),VLOOKUP($A241,'SegEnds_NonXtal_Prot#'!$A:$AL,28,FALSE)-4,1)</f>
        <v>G</v>
      </c>
      <c r="AG241" s="50" t="str">
        <f>MID(VLOOKUP($A241,Seqs!$A:$B,2,FALSE),VLOOKUP($A241,'SegEnds_NonXtal_Prot#'!$A:$AL,28,FALSE),1)</f>
        <v>P</v>
      </c>
    </row>
    <row r="242" spans="1:33" s="2" customFormat="1" x14ac:dyDescent="0.2">
      <c r="A242" s="2" t="s">
        <v>289</v>
      </c>
      <c r="B242" s="2" t="str">
        <f>LOWER(VLOOKUP(A242,Xtal_Templ!A:B,2,FALSE))</f>
        <v>par2_human</v>
      </c>
      <c r="C242" s="2" t="str">
        <f>VLOOKUP(A242,Classification!A:D,2,FALSE)</f>
        <v>A</v>
      </c>
      <c r="D242" s="2" t="str">
        <f>IF(ISERROR(MATCH(A242,'SegEnds_Xtal_Prot#'!B:B, 0)), "NoXtal", "Xtal")</f>
        <v>NoXtal</v>
      </c>
      <c r="G242" s="4"/>
      <c r="M242" s="2" t="s">
        <v>14</v>
      </c>
      <c r="Q242" s="2" t="s">
        <v>9</v>
      </c>
      <c r="S242" s="4" t="s">
        <v>12</v>
      </c>
      <c r="U242" s="28" t="str">
        <f>MID(VLOOKUP($A242,Seqs!$A:$B,2,FALSE),VLOOKUP($A242,'SegEnds_NonXtal_Prot#'!A:AL,10,FALSE),1)</f>
        <v>D</v>
      </c>
      <c r="V242" s="50" t="str">
        <f>MID(VLOOKUP($A242,Seqs!$A:$B,2,FALSE),VLOOKUP($A242,'SegEnds_NonXtal_Prot#'!A:AL,10,FALSE)+6,1)</f>
        <v>S</v>
      </c>
      <c r="W242" s="50" t="str">
        <f>MID(VLOOKUP($A242,Seqs!$A:$B,2,FALSE),VLOOKUP($A242,'SegEnds_NonXtal_Prot#'!A:AL,10,FALSE)+7,1)</f>
        <v>L</v>
      </c>
      <c r="X242" s="50" t="str">
        <f>MID(VLOOKUP($A242,Seqs!$A:$B,2,FALSE),VLOOKUP($A242,'SegEnds_NonXtal_Prot#'!A:AL,10,FALSE)+8,1)</f>
        <v>P</v>
      </c>
      <c r="Y242" s="50" t="str">
        <f>MID(VLOOKUP($A242,Seqs!$A:$B,2,FALSE),VLOOKUP($A242,'SegEnds_NonXtal_Prot#'!A:AL,10,FALSE)+9,1)</f>
        <v>V</v>
      </c>
      <c r="Z242" s="50" t="str">
        <f>MID(VLOOKUP($A242,Seqs!$A:$B,2,FALSE),VLOOKUP($A242,'SegEnds_NonXtal_Prot#'!A:AL,10,FALSE)+10,1)</f>
        <v>R</v>
      </c>
      <c r="AA242" s="28" t="str">
        <f>MID(VLOOKUP($A242,Seqs!$A:$B,2,FALSE),VLOOKUP($A242,'SegEnds_NonXtal_Prot#'!$A:$AL,22,FALSE)+6,1)</f>
        <v>F</v>
      </c>
      <c r="AB242" s="50" t="str">
        <f>MID(VLOOKUP($A242,Seqs!$A:$B,2,FALSE),VLOOKUP($A242,'SegEnds_NonXtal_Prot#'!$A:$AL,22,FALSE)+7,1)</f>
        <v>A</v>
      </c>
      <c r="AC242" s="50" t="str">
        <f>MID(VLOOKUP($A242,Seqs!$A:$B,2,FALSE),VLOOKUP($A242,'SegEnds_NonXtal_Prot#'!$A:$AL,22,FALSE)+8,1)</f>
        <v>V</v>
      </c>
      <c r="AD242" s="50" t="str">
        <f>MID(VLOOKUP($A242,Seqs!$A:$B,2,FALSE),VLOOKUP($A242,'SegEnds_NonXtal_Prot#'!$A:$AL,22,FALSE)+9,1)</f>
        <v>P</v>
      </c>
      <c r="AE242" s="50" t="str">
        <f>MID(VLOOKUP($A242,Seqs!$A:$B,2,FALSE),VLOOKUP($A242,'SegEnds_NonXtal_Prot#'!$A:$AL,22,FALSE)+10,1)</f>
        <v>A</v>
      </c>
      <c r="AF242" s="28" t="str">
        <f>MID(VLOOKUP($A242,Seqs!$A:$B,2,FALSE),VLOOKUP($A242,'SegEnds_NonXtal_Prot#'!$A:$AL,28,FALSE)-4,1)</f>
        <v>G</v>
      </c>
      <c r="AG242" s="50" t="str">
        <f>MID(VLOOKUP($A242,Seqs!$A:$B,2,FALSE),VLOOKUP($A242,'SegEnds_NonXtal_Prot#'!$A:$AL,28,FALSE),1)</f>
        <v>P</v>
      </c>
    </row>
    <row r="243" spans="1:33" s="2" customFormat="1" x14ac:dyDescent="0.2">
      <c r="A243" s="2" t="s">
        <v>290</v>
      </c>
      <c r="B243" s="2" t="str">
        <f>LOWER(VLOOKUP(A243,Xtal_Templ!A:B,2,FALSE))</f>
        <v>agtr1_human</v>
      </c>
      <c r="C243" s="2" t="str">
        <f>VLOOKUP(A243,Classification!A:D,2,FALSE)</f>
        <v>A</v>
      </c>
      <c r="D243" s="2" t="str">
        <f>IF(ISERROR(MATCH(A243,'SegEnds_Xtal_Prot#'!B:B, 0)), "NoXtal", "Xtal")</f>
        <v>NoXtal</v>
      </c>
      <c r="G243" s="4"/>
      <c r="M243" s="2" t="s">
        <v>14</v>
      </c>
      <c r="Q243" s="2" t="s">
        <v>9</v>
      </c>
      <c r="S243" s="4" t="s">
        <v>12</v>
      </c>
      <c r="U243" s="28" t="str">
        <f>MID(VLOOKUP($A243,Seqs!$A:$B,2,FALSE),VLOOKUP($A243,'SegEnds_NonXtal_Prot#'!A:AL,10,FALSE),1)</f>
        <v>D</v>
      </c>
      <c r="V243" s="50" t="str">
        <f>MID(VLOOKUP($A243,Seqs!$A:$B,2,FALSE),VLOOKUP($A243,'SegEnds_NonXtal_Prot#'!A:AL,10,FALSE)+6,1)</f>
        <v>T</v>
      </c>
      <c r="W243" s="50" t="str">
        <f>MID(VLOOKUP($A243,Seqs!$A:$B,2,FALSE),VLOOKUP($A243,'SegEnds_NonXtal_Prot#'!A:AL,10,FALSE)+7,1)</f>
        <v>L</v>
      </c>
      <c r="X243" s="50" t="str">
        <f>MID(VLOOKUP($A243,Seqs!$A:$B,2,FALSE),VLOOKUP($A243,'SegEnds_NonXtal_Prot#'!A:AL,10,FALSE)+8,1)</f>
        <v>P</v>
      </c>
      <c r="Y243" s="50" t="str">
        <f>MID(VLOOKUP($A243,Seqs!$A:$B,2,FALSE),VLOOKUP($A243,'SegEnds_NonXtal_Prot#'!A:AL,10,FALSE)+9,1)</f>
        <v>F</v>
      </c>
      <c r="Z243" s="50" t="str">
        <f>MID(VLOOKUP($A243,Seqs!$A:$B,2,FALSE),VLOOKUP($A243,'SegEnds_NonXtal_Prot#'!A:AL,10,FALSE)+10,1)</f>
        <v>R</v>
      </c>
      <c r="AA243" s="28" t="str">
        <f>MID(VLOOKUP($A243,Seqs!$A:$B,2,FALSE),VLOOKUP($A243,'SegEnds_NonXtal_Prot#'!$A:$AL,22,FALSE)+6,1)</f>
        <v>G</v>
      </c>
      <c r="AB243" s="50" t="str">
        <f>MID(VLOOKUP($A243,Seqs!$A:$B,2,FALSE),VLOOKUP($A243,'SegEnds_NonXtal_Prot#'!$A:$AL,22,FALSE)+7,1)</f>
        <v>S</v>
      </c>
      <c r="AC243" s="50" t="str">
        <f>MID(VLOOKUP($A243,Seqs!$A:$B,2,FALSE),VLOOKUP($A243,'SegEnds_NonXtal_Prot#'!$A:$AL,22,FALSE)+8,1)</f>
        <v>A</v>
      </c>
      <c r="AD243" s="50" t="str">
        <f>MID(VLOOKUP($A243,Seqs!$A:$B,2,FALSE),VLOOKUP($A243,'SegEnds_NonXtal_Prot#'!$A:$AL,22,FALSE)+9,1)</f>
        <v>P</v>
      </c>
      <c r="AE243" s="50" t="str">
        <f>MID(VLOOKUP($A243,Seqs!$A:$B,2,FALSE),VLOOKUP($A243,'SegEnds_NonXtal_Prot#'!$A:$AL,22,FALSE)+10,1)</f>
        <v>A</v>
      </c>
      <c r="AF243" s="28" t="str">
        <f>MID(VLOOKUP($A243,Seqs!$A:$B,2,FALSE),VLOOKUP($A243,'SegEnds_NonXtal_Prot#'!$A:$AL,28,FALSE)-4,1)</f>
        <v>G</v>
      </c>
      <c r="AG243" s="50" t="str">
        <f>MID(VLOOKUP($A243,Seqs!$A:$B,2,FALSE),VLOOKUP($A243,'SegEnds_NonXtal_Prot#'!$A:$AL,28,FALSE),1)</f>
        <v>P</v>
      </c>
    </row>
    <row r="244" spans="1:33" s="2" customFormat="1" x14ac:dyDescent="0.2">
      <c r="A244" s="2" t="s">
        <v>294</v>
      </c>
      <c r="B244" s="2" t="str">
        <f>LOWER(VLOOKUP(A244,Xtal_Templ!A:B,2,FALSE))</f>
        <v>agtr1_human</v>
      </c>
      <c r="C244" s="2" t="str">
        <f>VLOOKUP(A244,Classification!A:D,2,FALSE)</f>
        <v>A</v>
      </c>
      <c r="D244" s="2" t="str">
        <f>IF(ISERROR(MATCH(A244,'SegEnds_Xtal_Prot#'!B:B, 0)), "NoXtal", "Xtal")</f>
        <v>NoXtal</v>
      </c>
      <c r="G244" s="4"/>
      <c r="Q244" s="2" t="s">
        <v>9</v>
      </c>
      <c r="S244" s="4" t="s">
        <v>12</v>
      </c>
      <c r="U244" s="28" t="str">
        <f>MID(VLOOKUP($A244,Seqs!$A:$B,2,FALSE),VLOOKUP($A244,'SegEnds_NonXtal_Prot#'!A:AL,10,FALSE),1)</f>
        <v>D</v>
      </c>
      <c r="V244" s="50" t="str">
        <f>MID(VLOOKUP($A244,Seqs!$A:$B,2,FALSE),VLOOKUP($A244,'SegEnds_NonXtal_Prot#'!A:AL,10,FALSE)+6,1)</f>
        <v>C</v>
      </c>
      <c r="W244" s="50" t="str">
        <f>MID(VLOOKUP($A244,Seqs!$A:$B,2,FALSE),VLOOKUP($A244,'SegEnds_NonXtal_Prot#'!A:AL,10,FALSE)+7,1)</f>
        <v>I</v>
      </c>
      <c r="X244" s="50" t="str">
        <f>MID(VLOOKUP($A244,Seqs!$A:$B,2,FALSE),VLOOKUP($A244,'SegEnds_NonXtal_Prot#'!A:AL,10,FALSE)+8,1)</f>
        <v>F</v>
      </c>
      <c r="Y244" s="50" t="str">
        <f>MID(VLOOKUP($A244,Seqs!$A:$B,2,FALSE),VLOOKUP($A244,'SegEnds_NonXtal_Prot#'!A:AL,10,FALSE)+9,1)</f>
        <v>I</v>
      </c>
      <c r="Z244" s="50" t="str">
        <f>MID(VLOOKUP($A244,Seqs!$A:$B,2,FALSE),VLOOKUP($A244,'SegEnds_NonXtal_Prot#'!A:AL,10,FALSE)+10,1)</f>
        <v>L</v>
      </c>
      <c r="AA244" s="28" t="str">
        <f>MID(VLOOKUP($A244,Seqs!$A:$B,2,FALSE),VLOOKUP($A244,'SegEnds_NonXtal_Prot#'!$A:$AL,22,FALSE)+6,1)</f>
        <v>V</v>
      </c>
      <c r="AB244" s="50" t="str">
        <f>MID(VLOOKUP($A244,Seqs!$A:$B,2,FALSE),VLOOKUP($A244,'SegEnds_NonXtal_Prot#'!$A:$AL,22,FALSE)+7,1)</f>
        <v>T</v>
      </c>
      <c r="AC244" s="50" t="str">
        <f>MID(VLOOKUP($A244,Seqs!$A:$B,2,FALSE),VLOOKUP($A244,'SegEnds_NonXtal_Prot#'!$A:$AL,22,FALSE)+8,1)</f>
        <v>T</v>
      </c>
      <c r="AD244" s="50" t="str">
        <f>MID(VLOOKUP($A244,Seqs!$A:$B,2,FALSE),VLOOKUP($A244,'SegEnds_NonXtal_Prot#'!$A:$AL,22,FALSE)+9,1)</f>
        <v>M</v>
      </c>
      <c r="AE244" s="50" t="str">
        <f>MID(VLOOKUP($A244,Seqs!$A:$B,2,FALSE),VLOOKUP($A244,'SegEnds_NonXtal_Prot#'!$A:$AL,22,FALSE)+10,1)</f>
        <v>E</v>
      </c>
      <c r="AF244" s="28" t="str">
        <f>MID(VLOOKUP($A244,Seqs!$A:$B,2,FALSE),VLOOKUP($A244,'SegEnds_NonXtal_Prot#'!$A:$AL,28,FALSE)-4,1)</f>
        <v>L</v>
      </c>
      <c r="AG244" s="50" t="str">
        <f>MID(VLOOKUP($A244,Seqs!$A:$B,2,FALSE),VLOOKUP($A244,'SegEnds_NonXtal_Prot#'!$A:$AL,28,FALSE),1)</f>
        <v>P</v>
      </c>
    </row>
    <row r="245" spans="1:33" s="2" customFormat="1" x14ac:dyDescent="0.2">
      <c r="A245" s="2" t="s">
        <v>295</v>
      </c>
      <c r="B245" s="2" t="str">
        <f>LOWER(VLOOKUP(A245,Xtal_Templ!A:B,2,FALSE))</f>
        <v>ccr9_human</v>
      </c>
      <c r="C245" s="2" t="str">
        <f>VLOOKUP(A245,Classification!A:D,2,FALSE)</f>
        <v>A</v>
      </c>
      <c r="D245" s="2" t="str">
        <f>IF(ISERROR(MATCH(A245,'SegEnds_Xtal_Prot#'!B:B, 0)), "NoXtal", "Xtal")</f>
        <v>NoXtal</v>
      </c>
      <c r="G245" s="4"/>
      <c r="S245" s="4" t="s">
        <v>12</v>
      </c>
      <c r="U245" s="28" t="str">
        <f>MID(VLOOKUP($A245,Seqs!$A:$B,2,FALSE),VLOOKUP($A245,'SegEnds_NonXtal_Prot#'!A:AL,10,FALSE),1)</f>
        <v>D</v>
      </c>
      <c r="V245" s="50" t="str">
        <f>MID(VLOOKUP($A245,Seqs!$A:$B,2,FALSE),VLOOKUP($A245,'SegEnds_NonXtal_Prot#'!A:AL,10,FALSE)+6,1)</f>
        <v>C</v>
      </c>
      <c r="W245" s="50" t="str">
        <f>MID(VLOOKUP($A245,Seqs!$A:$B,2,FALSE),VLOOKUP($A245,'SegEnds_NonXtal_Prot#'!A:AL,10,FALSE)+7,1)</f>
        <v>S</v>
      </c>
      <c r="X245" s="50" t="str">
        <f>MID(VLOOKUP($A245,Seqs!$A:$B,2,FALSE),VLOOKUP($A245,'SegEnds_NonXtal_Prot#'!A:AL,10,FALSE)+8,1)</f>
        <v>A</v>
      </c>
      <c r="Y245" s="50" t="str">
        <f>MID(VLOOKUP($A245,Seqs!$A:$B,2,FALSE),VLOOKUP($A245,'SegEnds_NonXtal_Prot#'!A:AL,10,FALSE)+9,1)</f>
        <v>V</v>
      </c>
      <c r="Z245" s="50" t="str">
        <f>MID(VLOOKUP($A245,Seqs!$A:$B,2,FALSE),VLOOKUP($A245,'SegEnds_NonXtal_Prot#'!A:AL,10,FALSE)+10,1)</f>
        <v>G</v>
      </c>
      <c r="AA245" s="28" t="str">
        <f>MID(VLOOKUP($A245,Seqs!$A:$B,2,FALSE),VLOOKUP($A245,'SegEnds_NonXtal_Prot#'!$A:$AL,22,FALSE)+6,1)</f>
        <v>I</v>
      </c>
      <c r="AB245" s="50" t="str">
        <f>MID(VLOOKUP($A245,Seqs!$A:$B,2,FALSE),VLOOKUP($A245,'SegEnds_NonXtal_Prot#'!$A:$AL,22,FALSE)+7,1)</f>
        <v>N</v>
      </c>
      <c r="AC245" s="50" t="str">
        <f>MID(VLOOKUP($A245,Seqs!$A:$B,2,FALSE),VLOOKUP($A245,'SegEnds_NonXtal_Prot#'!$A:$AL,22,FALSE)+8,1)</f>
        <v>I</v>
      </c>
      <c r="AD245" s="50" t="str">
        <f>MID(VLOOKUP($A245,Seqs!$A:$B,2,FALSE),VLOOKUP($A245,'SegEnds_NonXtal_Prot#'!$A:$AL,22,FALSE)+9,1)</f>
        <v>V</v>
      </c>
      <c r="AE245" s="50" t="str">
        <f>MID(VLOOKUP($A245,Seqs!$A:$B,2,FALSE),VLOOKUP($A245,'SegEnds_NonXtal_Prot#'!$A:$AL,22,FALSE)+10,1)</f>
        <v>K</v>
      </c>
      <c r="AF245" s="28" t="str">
        <f>MID(VLOOKUP($A245,Seqs!$A:$B,2,FALSE),VLOOKUP($A245,'SegEnds_NonXtal_Prot#'!$A:$AL,28,FALSE)-4,1)</f>
        <v>A</v>
      </c>
      <c r="AG245" s="50" t="str">
        <f>MID(VLOOKUP($A245,Seqs!$A:$B,2,FALSE),VLOOKUP($A245,'SegEnds_NonXtal_Prot#'!$A:$AL,28,FALSE),1)</f>
        <v>L</v>
      </c>
    </row>
    <row r="246" spans="1:33" s="2" customFormat="1" x14ac:dyDescent="0.2">
      <c r="A246" s="2" t="s">
        <v>301</v>
      </c>
      <c r="B246" s="2" t="str">
        <f>LOWER(VLOOKUP(A246,Xtal_Templ!A:B,2,FALSE))</f>
        <v>agtr1_human</v>
      </c>
      <c r="C246" s="2" t="str">
        <f>VLOOKUP(A246,Classification!A:D,2,FALSE)</f>
        <v>A</v>
      </c>
      <c r="D246" s="2" t="str">
        <f>IF(ISERROR(MATCH(A246,'SegEnds_Xtal_Prot#'!B:B, 0)), "NoXtal", "Xtal")</f>
        <v>NoXtal</v>
      </c>
      <c r="G246" s="4"/>
      <c r="Q246" s="2" t="s">
        <v>9</v>
      </c>
      <c r="S246" s="4" t="s">
        <v>12</v>
      </c>
      <c r="U246" s="28" t="str">
        <f>MID(VLOOKUP($A246,Seqs!$A:$B,2,FALSE),VLOOKUP($A246,'SegEnds_NonXtal_Prot#'!A:AL,10,FALSE),1)</f>
        <v>D</v>
      </c>
      <c r="V246" s="50" t="str">
        <f>MID(VLOOKUP($A246,Seqs!$A:$B,2,FALSE),VLOOKUP($A246,'SegEnds_NonXtal_Prot#'!A:AL,10,FALSE)+6,1)</f>
        <v>S</v>
      </c>
      <c r="W246" s="50" t="str">
        <f>MID(VLOOKUP($A246,Seqs!$A:$B,2,FALSE),VLOOKUP($A246,'SegEnds_NonXtal_Prot#'!A:AL,10,FALSE)+7,1)</f>
        <v>M</v>
      </c>
      <c r="X246" s="50" t="str">
        <f>MID(VLOOKUP($A246,Seqs!$A:$B,2,FALSE),VLOOKUP($A246,'SegEnds_NonXtal_Prot#'!A:AL,10,FALSE)+8,1)</f>
        <v>A</v>
      </c>
      <c r="Y246" s="50" t="str">
        <f>MID(VLOOKUP($A246,Seqs!$A:$B,2,FALSE),VLOOKUP($A246,'SegEnds_NonXtal_Prot#'!A:AL,10,FALSE)+9,1)</f>
        <v>S</v>
      </c>
      <c r="Z246" s="50" t="str">
        <f>MID(VLOOKUP($A246,Seqs!$A:$B,2,FALSE),VLOOKUP($A246,'SegEnds_NonXtal_Prot#'!A:AL,10,FALSE)+10,1)</f>
        <v>T</v>
      </c>
      <c r="AA246" s="28" t="str">
        <f>MID(VLOOKUP($A246,Seqs!$A:$B,2,FALSE),VLOOKUP($A246,'SegEnds_NonXtal_Prot#'!$A:$AL,22,FALSE)+6,1)</f>
        <v>M</v>
      </c>
      <c r="AB246" s="50" t="str">
        <f>MID(VLOOKUP($A246,Seqs!$A:$B,2,FALSE),VLOOKUP($A246,'SegEnds_NonXtal_Prot#'!$A:$AL,22,FALSE)+7,1)</f>
        <v>N</v>
      </c>
      <c r="AC246" s="50" t="str">
        <f>MID(VLOOKUP($A246,Seqs!$A:$B,2,FALSE),VLOOKUP($A246,'SegEnds_NonXtal_Prot#'!$A:$AL,22,FALSE)+8,1)</f>
        <v>G</v>
      </c>
      <c r="AD246" s="50" t="str">
        <f>MID(VLOOKUP($A246,Seqs!$A:$B,2,FALSE),VLOOKUP($A246,'SegEnds_NonXtal_Prot#'!$A:$AL,22,FALSE)+9,1)</f>
        <v>L</v>
      </c>
      <c r="AE246" s="50" t="str">
        <f>MID(VLOOKUP($A246,Seqs!$A:$B,2,FALSE),VLOOKUP($A246,'SegEnds_NonXtal_Prot#'!$A:$AL,22,FALSE)+10,1)</f>
        <v>T</v>
      </c>
      <c r="AF246" s="28" t="str">
        <f>MID(VLOOKUP($A246,Seqs!$A:$B,2,FALSE),VLOOKUP($A246,'SegEnds_NonXtal_Prot#'!$A:$AL,28,FALSE)-4,1)</f>
        <v>G</v>
      </c>
      <c r="AG246" s="50" t="str">
        <f>MID(VLOOKUP($A246,Seqs!$A:$B,2,FALSE),VLOOKUP($A246,'SegEnds_NonXtal_Prot#'!$A:$AL,28,FALSE),1)</f>
        <v>P</v>
      </c>
    </row>
    <row r="247" spans="1:33" s="2" customFormat="1" x14ac:dyDescent="0.2">
      <c r="A247" s="2" t="s">
        <v>303</v>
      </c>
      <c r="B247" s="2" t="str">
        <f>LOWER(VLOOKUP(A247,Xtal_Templ!A:B,2,FALSE))</f>
        <v>agtr1_human</v>
      </c>
      <c r="C247" s="2" t="str">
        <f>VLOOKUP(A247,Classification!A:D,2,FALSE)</f>
        <v>A</v>
      </c>
      <c r="D247" s="2" t="str">
        <f>IF(ISERROR(MATCH(A247,'SegEnds_Xtal_Prot#'!B:B, 0)), "NoXtal", "Xtal")</f>
        <v>NoXtal</v>
      </c>
      <c r="G247" s="4"/>
      <c r="Q247" s="2" t="s">
        <v>9</v>
      </c>
      <c r="S247" s="4" t="s">
        <v>12</v>
      </c>
      <c r="U247" s="28" t="str">
        <f>MID(VLOOKUP($A247,Seqs!$A:$B,2,FALSE),VLOOKUP($A247,'SegEnds_NonXtal_Prot#'!A:AL,10,FALSE),1)</f>
        <v>D</v>
      </c>
      <c r="V247" s="50" t="str">
        <f>MID(VLOOKUP($A247,Seqs!$A:$B,2,FALSE),VLOOKUP($A247,'SegEnds_NonXtal_Prot#'!A:AL,10,FALSE)+6,1)</f>
        <v>S</v>
      </c>
      <c r="W247" s="50" t="str">
        <f>MID(VLOOKUP($A247,Seqs!$A:$B,2,FALSE),VLOOKUP($A247,'SegEnds_NonXtal_Prot#'!A:AL,10,FALSE)+7,1)</f>
        <v>K</v>
      </c>
      <c r="X247" s="50" t="str">
        <f>MID(VLOOKUP($A247,Seqs!$A:$B,2,FALSE),VLOOKUP($A247,'SegEnds_NonXtal_Prot#'!A:AL,10,FALSE)+8,1)</f>
        <v>A</v>
      </c>
      <c r="Y247" s="50" t="str">
        <f>MID(VLOOKUP($A247,Seqs!$A:$B,2,FALSE),VLOOKUP($A247,'SegEnds_NonXtal_Prot#'!A:AL,10,FALSE)+9,1)</f>
        <v>V</v>
      </c>
      <c r="Z247" s="50" t="str">
        <f>MID(VLOOKUP($A247,Seqs!$A:$B,2,FALSE),VLOOKUP($A247,'SegEnds_NonXtal_Prot#'!A:AL,10,FALSE)+10,1)</f>
        <v>F</v>
      </c>
      <c r="AA247" s="28" t="str">
        <f>MID(VLOOKUP($A247,Seqs!$A:$B,2,FALSE),VLOOKUP($A247,'SegEnds_NonXtal_Prot#'!$A:$AL,22,FALSE)+6,1)</f>
        <v>V</v>
      </c>
      <c r="AB247" s="50" t="str">
        <f>MID(VLOOKUP($A247,Seqs!$A:$B,2,FALSE),VLOOKUP($A247,'SegEnds_NonXtal_Prot#'!$A:$AL,22,FALSE)+7,1)</f>
        <v>T</v>
      </c>
      <c r="AC247" s="50" t="str">
        <f>MID(VLOOKUP($A247,Seqs!$A:$B,2,FALSE),VLOOKUP($A247,'SegEnds_NonXtal_Prot#'!$A:$AL,22,FALSE)+8,1)</f>
        <v>C</v>
      </c>
      <c r="AD247" s="50" t="str">
        <f>MID(VLOOKUP($A247,Seqs!$A:$B,2,FALSE),VLOOKUP($A247,'SegEnds_NonXtal_Prot#'!$A:$AL,22,FALSE)+9,1)</f>
        <v>L</v>
      </c>
      <c r="AE247" s="50" t="str">
        <f>MID(VLOOKUP($A247,Seqs!$A:$B,2,FALSE),VLOOKUP($A247,'SegEnds_NonXtal_Prot#'!$A:$AL,22,FALSE)+10,1)</f>
        <v>H</v>
      </c>
      <c r="AF247" s="28" t="str">
        <f>MID(VLOOKUP($A247,Seqs!$A:$B,2,FALSE),VLOOKUP($A247,'SegEnds_NonXtal_Prot#'!$A:$AL,28,FALSE)-4,1)</f>
        <v>L</v>
      </c>
      <c r="AG247" s="50" t="str">
        <f>MID(VLOOKUP($A247,Seqs!$A:$B,2,FALSE),VLOOKUP($A247,'SegEnds_NonXtal_Prot#'!$A:$AL,28,FALSE),1)</f>
        <v>P</v>
      </c>
    </row>
    <row r="248" spans="1:33" s="2" customFormat="1" x14ac:dyDescent="0.2">
      <c r="A248" s="2" t="s">
        <v>305</v>
      </c>
      <c r="B248" s="2" t="str">
        <f>LOWER(VLOOKUP(A248,Xtal_Templ!A:B,2,FALSE))</f>
        <v>agtr1_human</v>
      </c>
      <c r="C248" s="2" t="str">
        <f>VLOOKUP(A248,Classification!A:D,2,FALSE)</f>
        <v>A</v>
      </c>
      <c r="D248" s="2" t="str">
        <f>IF(ISERROR(MATCH(A248,'SegEnds_Xtal_Prot#'!B:B, 0)), "NoXtal", "Xtal")</f>
        <v>NoXtal</v>
      </c>
      <c r="G248" s="4"/>
      <c r="S248" s="4" t="s">
        <v>12</v>
      </c>
      <c r="U248" s="28" t="str">
        <f>MID(VLOOKUP($A248,Seqs!$A:$B,2,FALSE),VLOOKUP($A248,'SegEnds_NonXtal_Prot#'!A:AL,10,FALSE),1)</f>
        <v>D</v>
      </c>
      <c r="V248" s="50" t="str">
        <f>MID(VLOOKUP($A248,Seqs!$A:$B,2,FALSE),VLOOKUP($A248,'SegEnds_NonXtal_Prot#'!A:AL,10,FALSE)+6,1)</f>
        <v>G</v>
      </c>
      <c r="W248" s="50" t="str">
        <f>MID(VLOOKUP($A248,Seqs!$A:$B,2,FALSE),VLOOKUP($A248,'SegEnds_NonXtal_Prot#'!A:AL,10,FALSE)+7,1)</f>
        <v>R</v>
      </c>
      <c r="X248" s="50" t="str">
        <f>MID(VLOOKUP($A248,Seqs!$A:$B,2,FALSE),VLOOKUP($A248,'SegEnds_NonXtal_Prot#'!A:AL,10,FALSE)+8,1)</f>
        <v>L</v>
      </c>
      <c r="Y248" s="50" t="str">
        <f>MID(VLOOKUP($A248,Seqs!$A:$B,2,FALSE),VLOOKUP($A248,'SegEnds_NonXtal_Prot#'!A:AL,10,FALSE)+9,1)</f>
        <v>I</v>
      </c>
      <c r="Z248" s="50" t="str">
        <f>MID(VLOOKUP($A248,Seqs!$A:$B,2,FALSE),VLOOKUP($A248,'SegEnds_NonXtal_Prot#'!A:AL,10,FALSE)+10,1)</f>
        <v>Y</v>
      </c>
      <c r="AA248" s="28" t="str">
        <f>MID(VLOOKUP($A248,Seqs!$A:$B,2,FALSE),VLOOKUP($A248,'SegEnds_NonXtal_Prot#'!$A:$AL,22,FALSE)+6,1)</f>
        <v>R</v>
      </c>
      <c r="AB248" s="50" t="str">
        <f>MID(VLOOKUP($A248,Seqs!$A:$B,2,FALSE),VLOOKUP($A248,'SegEnds_NonXtal_Prot#'!$A:$AL,22,FALSE)+7,1)</f>
        <v>S</v>
      </c>
      <c r="AC248" s="50" t="str">
        <f>MID(VLOOKUP($A248,Seqs!$A:$B,2,FALSE),VLOOKUP($A248,'SegEnds_NonXtal_Prot#'!$A:$AL,22,FALSE)+8,1)</f>
        <v>I</v>
      </c>
      <c r="AD248" s="50" t="str">
        <f>MID(VLOOKUP($A248,Seqs!$A:$B,2,FALSE),VLOOKUP($A248,'SegEnds_NonXtal_Prot#'!$A:$AL,22,FALSE)+9,1)</f>
        <v>L</v>
      </c>
      <c r="AE248" s="50" t="str">
        <f>MID(VLOOKUP($A248,Seqs!$A:$B,2,FALSE),VLOOKUP($A248,'SegEnds_NonXtal_Prot#'!$A:$AL,22,FALSE)+10,1)</f>
        <v>E</v>
      </c>
      <c r="AF248" s="28" t="str">
        <f>MID(VLOOKUP($A248,Seqs!$A:$B,2,FALSE),VLOOKUP($A248,'SegEnds_NonXtal_Prot#'!$A:$AL,28,FALSE)-4,1)</f>
        <v>I</v>
      </c>
      <c r="AG248" s="50" t="str">
        <f>MID(VLOOKUP($A248,Seqs!$A:$B,2,FALSE),VLOOKUP($A248,'SegEnds_NonXtal_Prot#'!$A:$AL,28,FALSE),1)</f>
        <v>V</v>
      </c>
    </row>
    <row r="249" spans="1:33" s="2" customFormat="1" x14ac:dyDescent="0.2">
      <c r="A249" s="2" t="s">
        <v>343</v>
      </c>
      <c r="B249" s="2" t="str">
        <f>LOWER(VLOOKUP(A249,Xtal_Templ!A:B,2,FALSE))</f>
        <v>p2ry1_human</v>
      </c>
      <c r="C249" s="2" t="str">
        <f>VLOOKUP(A249,Classification!A:D,2,FALSE)</f>
        <v>A</v>
      </c>
      <c r="D249" s="2" t="str">
        <f>IF(ISERROR(MATCH(A249,'SegEnds_Xtal_Prot#'!B:B, 0)), "NoXtal", "Xtal")</f>
        <v>NoXtal</v>
      </c>
      <c r="G249" s="4"/>
      <c r="M249" s="2" t="s">
        <v>14</v>
      </c>
      <c r="Q249" s="2" t="s">
        <v>9</v>
      </c>
      <c r="S249" s="4" t="s">
        <v>12</v>
      </c>
      <c r="U249" s="28" t="str">
        <f>MID(VLOOKUP($A249,Seqs!$A:$B,2,FALSE),VLOOKUP($A249,'SegEnds_NonXtal_Prot#'!A:AL,10,FALSE),1)</f>
        <v>D</v>
      </c>
      <c r="V249" s="50" t="str">
        <f>MID(VLOOKUP($A249,Seqs!$A:$B,2,FALSE),VLOOKUP($A249,'SegEnds_NonXtal_Prot#'!A:AL,10,FALSE)+6,1)</f>
        <v>S</v>
      </c>
      <c r="W249" s="50" t="str">
        <f>MID(VLOOKUP($A249,Seqs!$A:$B,2,FALSE),VLOOKUP($A249,'SegEnds_NonXtal_Prot#'!A:AL,10,FALSE)+7,1)</f>
        <v>L</v>
      </c>
      <c r="X249" s="50" t="str">
        <f>MID(VLOOKUP($A249,Seqs!$A:$B,2,FALSE),VLOOKUP($A249,'SegEnds_NonXtal_Prot#'!A:AL,10,FALSE)+8,1)</f>
        <v>P</v>
      </c>
      <c r="Y249" s="50" t="str">
        <f>MID(VLOOKUP($A249,Seqs!$A:$B,2,FALSE),VLOOKUP($A249,'SegEnds_NonXtal_Prot#'!A:AL,10,FALSE)+9,1)</f>
        <v>F</v>
      </c>
      <c r="Z249" s="50" t="str">
        <f>MID(VLOOKUP($A249,Seqs!$A:$B,2,FALSE),VLOOKUP($A249,'SegEnds_NonXtal_Prot#'!A:AL,10,FALSE)+10,1)</f>
        <v>L</v>
      </c>
      <c r="AA249" s="28" t="str">
        <f>MID(VLOOKUP($A249,Seqs!$A:$B,2,FALSE),VLOOKUP($A249,'SegEnds_NonXtal_Prot#'!$A:$AL,22,FALSE)+6,1)</f>
        <v>A</v>
      </c>
      <c r="AB249" s="50" t="str">
        <f>MID(VLOOKUP($A249,Seqs!$A:$B,2,FALSE),VLOOKUP($A249,'SegEnds_NonXtal_Prot#'!$A:$AL,22,FALSE)+7,1)</f>
        <v>V</v>
      </c>
      <c r="AC249" s="50" t="str">
        <f>MID(VLOOKUP($A249,Seqs!$A:$B,2,FALSE),VLOOKUP($A249,'SegEnds_NonXtal_Prot#'!$A:$AL,22,FALSE)+8,1)</f>
        <v>I</v>
      </c>
      <c r="AD249" s="50" t="str">
        <f>MID(VLOOKUP($A249,Seqs!$A:$B,2,FALSE),VLOOKUP($A249,'SegEnds_NonXtal_Prot#'!$A:$AL,22,FALSE)+9,1)</f>
        <v>P</v>
      </c>
      <c r="AE249" s="50" t="str">
        <f>MID(VLOOKUP($A249,Seqs!$A:$B,2,FALSE),VLOOKUP($A249,'SegEnds_NonXtal_Prot#'!$A:$AL,22,FALSE)+10,1)</f>
        <v>M</v>
      </c>
      <c r="AF249" s="28" t="str">
        <f>MID(VLOOKUP($A249,Seqs!$A:$B,2,FALSE),VLOOKUP($A249,'SegEnds_NonXtal_Prot#'!$A:$AL,28,FALSE)-4,1)</f>
        <v>T</v>
      </c>
      <c r="AG249" s="50" t="str">
        <f>MID(VLOOKUP($A249,Seqs!$A:$B,2,FALSE),VLOOKUP($A249,'SegEnds_NonXtal_Prot#'!$A:$AL,28,FALSE),1)</f>
        <v>P</v>
      </c>
    </row>
    <row r="250" spans="1:33" s="2" customFormat="1" x14ac:dyDescent="0.2">
      <c r="A250" s="2" t="s">
        <v>345</v>
      </c>
      <c r="B250" s="2" t="str">
        <f>LOWER(VLOOKUP(A250,Xtal_Templ!A:B,2,FALSE))</f>
        <v>p2ry1_human</v>
      </c>
      <c r="C250" s="2" t="str">
        <f>VLOOKUP(A250,Classification!A:D,2,FALSE)</f>
        <v>A</v>
      </c>
      <c r="D250" s="2" t="str">
        <f>IF(ISERROR(MATCH(A250,'SegEnds_Xtal_Prot#'!B:B, 0)), "NoXtal", "Xtal")</f>
        <v>Xtal</v>
      </c>
      <c r="G250" s="4"/>
      <c r="Q250" s="2" t="s">
        <v>9</v>
      </c>
      <c r="R250" s="2" t="s">
        <v>1328</v>
      </c>
      <c r="S250" s="4" t="s">
        <v>12</v>
      </c>
      <c r="U250" s="28" t="str">
        <f>MID(VLOOKUP($A250,Seqs!$A:$B,2,FALSE),VLOOKUP($A250,'SegEnds_NonXtal_Prot#'!A:AL,10,FALSE),1)</f>
        <v>D</v>
      </c>
      <c r="V250" s="50" t="str">
        <f>MID(VLOOKUP($A250,Seqs!$A:$B,2,FALSE),VLOOKUP($A250,'SegEnds_NonXtal_Prot#'!A:AL,10,FALSE)+6,1)</f>
        <v>T</v>
      </c>
      <c r="W250" s="50" t="str">
        <f>MID(VLOOKUP($A250,Seqs!$A:$B,2,FALSE),VLOOKUP($A250,'SegEnds_NonXtal_Prot#'!A:AL,10,FALSE)+7,1)</f>
        <v>L</v>
      </c>
      <c r="X250" s="50" t="str">
        <f>MID(VLOOKUP($A250,Seqs!$A:$B,2,FALSE),VLOOKUP($A250,'SegEnds_NonXtal_Prot#'!A:AL,10,FALSE)+8,1)</f>
        <v>P</v>
      </c>
      <c r="Y250" s="50" t="str">
        <f>MID(VLOOKUP($A250,Seqs!$A:$B,2,FALSE),VLOOKUP($A250,'SegEnds_NonXtal_Prot#'!A:AL,10,FALSE)+9,1)</f>
        <v>A</v>
      </c>
      <c r="Z250" s="50" t="str">
        <f>MID(VLOOKUP($A250,Seqs!$A:$B,2,FALSE),VLOOKUP($A250,'SegEnds_NonXtal_Prot#'!A:AL,10,FALSE)+10,1)</f>
        <v>L</v>
      </c>
      <c r="AA250" s="28" t="str">
        <f>MID(VLOOKUP($A250,Seqs!$A:$B,2,FALSE),VLOOKUP($A250,'SegEnds_NonXtal_Prot#'!$A:$AL,22,FALSE)+6,1)</f>
        <v>A</v>
      </c>
      <c r="AB250" s="50" t="str">
        <f>MID(VLOOKUP($A250,Seqs!$A:$B,2,FALSE),VLOOKUP($A250,'SegEnds_NonXtal_Prot#'!$A:$AL,22,FALSE)+7,1)</f>
        <v>I</v>
      </c>
      <c r="AC250" s="50" t="str">
        <f>MID(VLOOKUP($A250,Seqs!$A:$B,2,FALSE),VLOOKUP($A250,'SegEnds_NonXtal_Prot#'!$A:$AL,22,FALSE)+8,1)</f>
        <v>S</v>
      </c>
      <c r="AD250" s="50" t="str">
        <f>MID(VLOOKUP($A250,Seqs!$A:$B,2,FALSE),VLOOKUP($A250,'SegEnds_NonXtal_Prot#'!$A:$AL,22,FALSE)+9,1)</f>
        <v>P</v>
      </c>
      <c r="AE250" s="50" t="str">
        <f>MID(VLOOKUP($A250,Seqs!$A:$B,2,FALSE),VLOOKUP($A250,'SegEnds_NonXtal_Prot#'!$A:$AL,22,FALSE)+10,1)</f>
        <v>I</v>
      </c>
      <c r="AF250" s="28" t="str">
        <f>MID(VLOOKUP($A250,Seqs!$A:$B,2,FALSE),VLOOKUP($A250,'SegEnds_NonXtal_Prot#'!$A:$AL,28,FALSE)-4,1)</f>
        <v>M</v>
      </c>
      <c r="AG250" s="50" t="str">
        <f>MID(VLOOKUP($A250,Seqs!$A:$B,2,FALSE),VLOOKUP($A250,'SegEnds_NonXtal_Prot#'!$A:$AL,28,FALSE),1)</f>
        <v>P</v>
      </c>
    </row>
    <row r="251" spans="1:33" s="2" customFormat="1" x14ac:dyDescent="0.2">
      <c r="A251" s="2" t="s">
        <v>346</v>
      </c>
      <c r="B251" s="2" t="str">
        <f>LOWER(VLOOKUP(A251,Xtal_Templ!A:B,2,FALSE))</f>
        <v>p2ry1_human</v>
      </c>
      <c r="C251" s="2" t="str">
        <f>VLOOKUP(A251,Classification!A:D,2,FALSE)</f>
        <v>A</v>
      </c>
      <c r="D251" s="2" t="str">
        <f>IF(ISERROR(MATCH(A251,'SegEnds_Xtal_Prot#'!B:B, 0)), "NoXtal", "Xtal")</f>
        <v>NoXtal</v>
      </c>
      <c r="G251" s="4"/>
      <c r="Q251" s="2" t="s">
        <v>9</v>
      </c>
      <c r="R251" s="2" t="s">
        <v>1328</v>
      </c>
      <c r="S251" s="4" t="s">
        <v>12</v>
      </c>
      <c r="U251" s="28" t="str">
        <f>MID(VLOOKUP($A251,Seqs!$A:$B,2,FALSE),VLOOKUP($A251,'SegEnds_NonXtal_Prot#'!A:AL,10,FALSE),1)</f>
        <v>D</v>
      </c>
      <c r="V251" s="50" t="str">
        <f>MID(VLOOKUP($A251,Seqs!$A:$B,2,FALSE),VLOOKUP($A251,'SegEnds_NonXtal_Prot#'!A:AL,10,FALSE)+6,1)</f>
        <v>S</v>
      </c>
      <c r="W251" s="50" t="str">
        <f>MID(VLOOKUP($A251,Seqs!$A:$B,2,FALSE),VLOOKUP($A251,'SegEnds_NonXtal_Prot#'!A:AL,10,FALSE)+7,1)</f>
        <v>L</v>
      </c>
      <c r="X251" s="50" t="str">
        <f>MID(VLOOKUP($A251,Seqs!$A:$B,2,FALSE),VLOOKUP($A251,'SegEnds_NonXtal_Prot#'!A:AL,10,FALSE)+8,1)</f>
        <v>P</v>
      </c>
      <c r="Y251" s="50" t="str">
        <f>MID(VLOOKUP($A251,Seqs!$A:$B,2,FALSE),VLOOKUP($A251,'SegEnds_NonXtal_Prot#'!A:AL,10,FALSE)+9,1)</f>
        <v>L</v>
      </c>
      <c r="Z251" s="50" t="str">
        <f>MID(VLOOKUP($A251,Seqs!$A:$B,2,FALSE),VLOOKUP($A251,'SegEnds_NonXtal_Prot#'!A:AL,10,FALSE)+10,1)</f>
        <v>L</v>
      </c>
      <c r="AA251" s="28" t="str">
        <f>MID(VLOOKUP($A251,Seqs!$A:$B,2,FALSE),VLOOKUP($A251,'SegEnds_NonXtal_Prot#'!$A:$AL,22,FALSE)+6,1)</f>
        <v>C</v>
      </c>
      <c r="AB251" s="50" t="str">
        <f>MID(VLOOKUP($A251,Seqs!$A:$B,2,FALSE),VLOOKUP($A251,'SegEnds_NonXtal_Prot#'!$A:$AL,22,FALSE)+7,1)</f>
        <v>Q</v>
      </c>
      <c r="AC251" s="50" t="str">
        <f>MID(VLOOKUP($A251,Seqs!$A:$B,2,FALSE),VLOOKUP($A251,'SegEnds_NonXtal_Prot#'!$A:$AL,22,FALSE)+8,1)</f>
        <v>A</v>
      </c>
      <c r="AD251" s="50" t="str">
        <f>MID(VLOOKUP($A251,Seqs!$A:$B,2,FALSE),VLOOKUP($A251,'SegEnds_NonXtal_Prot#'!$A:$AL,22,FALSE)+9,1)</f>
        <v>P</v>
      </c>
      <c r="AE251" s="50" t="str">
        <f>MID(VLOOKUP($A251,Seqs!$A:$B,2,FALSE),VLOOKUP($A251,'SegEnds_NonXtal_Prot#'!$A:$AL,22,FALSE)+10,1)</f>
        <v>V</v>
      </c>
      <c r="AF251" s="28" t="str">
        <f>MID(VLOOKUP($A251,Seqs!$A:$B,2,FALSE),VLOOKUP($A251,'SegEnds_NonXtal_Prot#'!$A:$AL,28,FALSE)-4,1)</f>
        <v>L</v>
      </c>
      <c r="AG251" s="50" t="str">
        <f>MID(VLOOKUP($A251,Seqs!$A:$B,2,FALSE),VLOOKUP($A251,'SegEnds_NonXtal_Prot#'!$A:$AL,28,FALSE),1)</f>
        <v>P</v>
      </c>
    </row>
    <row r="252" spans="1:33" s="2" customFormat="1" x14ac:dyDescent="0.2">
      <c r="A252" s="2" t="s">
        <v>347</v>
      </c>
      <c r="B252" s="2" t="str">
        <f>LOWER(VLOOKUP(A252,Xtal_Templ!A:B,2,FALSE))</f>
        <v>p2ry1_human</v>
      </c>
      <c r="C252" s="2" t="str">
        <f>VLOOKUP(A252,Classification!A:D,2,FALSE)</f>
        <v>A</v>
      </c>
      <c r="D252" s="2" t="str">
        <f>IF(ISERROR(MATCH(A252,'SegEnds_Xtal_Prot#'!B:B, 0)), "NoXtal", "Xtal")</f>
        <v>NoXtal</v>
      </c>
      <c r="G252" s="4"/>
      <c r="Q252" s="2" t="s">
        <v>9</v>
      </c>
      <c r="R252" s="2" t="s">
        <v>1328</v>
      </c>
      <c r="S252" s="4" t="s">
        <v>12</v>
      </c>
      <c r="U252" s="28" t="str">
        <f>MID(VLOOKUP($A252,Seqs!$A:$B,2,FALSE),VLOOKUP($A252,'SegEnds_NonXtal_Prot#'!A:AL,10,FALSE),1)</f>
        <v>D</v>
      </c>
      <c r="V252" s="50" t="str">
        <f>MID(VLOOKUP($A252,Seqs!$A:$B,2,FALSE),VLOOKUP($A252,'SegEnds_NonXtal_Prot#'!A:AL,10,FALSE)+6,1)</f>
        <v>S</v>
      </c>
      <c r="W252" s="50" t="str">
        <f>MID(VLOOKUP($A252,Seqs!$A:$B,2,FALSE),VLOOKUP($A252,'SegEnds_NonXtal_Prot#'!A:AL,10,FALSE)+7,1)</f>
        <v>L</v>
      </c>
      <c r="X252" s="50" t="str">
        <f>MID(VLOOKUP($A252,Seqs!$A:$B,2,FALSE),VLOOKUP($A252,'SegEnds_NonXtal_Prot#'!A:AL,10,FALSE)+8,1)</f>
        <v>P</v>
      </c>
      <c r="Y252" s="50" t="str">
        <f>MID(VLOOKUP($A252,Seqs!$A:$B,2,FALSE),VLOOKUP($A252,'SegEnds_NonXtal_Prot#'!A:AL,10,FALSE)+9,1)</f>
        <v>T</v>
      </c>
      <c r="Z252" s="50" t="str">
        <f>MID(VLOOKUP($A252,Seqs!$A:$B,2,FALSE),VLOOKUP($A252,'SegEnds_NonXtal_Prot#'!A:AL,10,FALSE)+10,1)</f>
        <v>L</v>
      </c>
      <c r="AA252" s="28" t="str">
        <f>MID(VLOOKUP($A252,Seqs!$A:$B,2,FALSE),VLOOKUP($A252,'SegEnds_NonXtal_Prot#'!$A:$AL,22,FALSE)+6,1)</f>
        <v>C</v>
      </c>
      <c r="AB252" s="50" t="str">
        <f>MID(VLOOKUP($A252,Seqs!$A:$B,2,FALSE),VLOOKUP($A252,'SegEnds_NonXtal_Prot#'!$A:$AL,22,FALSE)+7,1)</f>
        <v>L</v>
      </c>
      <c r="AC252" s="50" t="str">
        <f>MID(VLOOKUP($A252,Seqs!$A:$B,2,FALSE),VLOOKUP($A252,'SegEnds_NonXtal_Prot#'!$A:$AL,22,FALSE)+8,1)</f>
        <v>V</v>
      </c>
      <c r="AD252" s="50" t="str">
        <f>MID(VLOOKUP($A252,Seqs!$A:$B,2,FALSE),VLOOKUP($A252,'SegEnds_NonXtal_Prot#'!$A:$AL,22,FALSE)+9,1)</f>
        <v>P</v>
      </c>
      <c r="AE252" s="50" t="str">
        <f>MID(VLOOKUP($A252,Seqs!$A:$B,2,FALSE),VLOOKUP($A252,'SegEnds_NonXtal_Prot#'!$A:$AL,22,FALSE)+10,1)</f>
        <v>N</v>
      </c>
      <c r="AF252" s="28" t="str">
        <f>MID(VLOOKUP($A252,Seqs!$A:$B,2,FALSE),VLOOKUP($A252,'SegEnds_NonXtal_Prot#'!$A:$AL,28,FALSE)-4,1)</f>
        <v>L</v>
      </c>
      <c r="AG252" s="50" t="str">
        <f>MID(VLOOKUP($A252,Seqs!$A:$B,2,FALSE),VLOOKUP($A252,'SegEnds_NonXtal_Prot#'!$A:$AL,28,FALSE),1)</f>
        <v>P</v>
      </c>
    </row>
    <row r="253" spans="1:33" s="2" customFormat="1" x14ac:dyDescent="0.2">
      <c r="A253" s="2" t="s">
        <v>348</v>
      </c>
      <c r="B253" s="2" t="str">
        <f>LOWER(VLOOKUP(A253,Xtal_Templ!A:B,2,FALSE))</f>
        <v>p2ry1_human</v>
      </c>
      <c r="C253" s="2" t="str">
        <f>VLOOKUP(A253,Classification!A:D,2,FALSE)</f>
        <v>A</v>
      </c>
      <c r="D253" s="2" t="str">
        <f>IF(ISERROR(MATCH(A253,'SegEnds_Xtal_Prot#'!B:B, 0)), "NoXtal", "Xtal")</f>
        <v>NoXtal</v>
      </c>
      <c r="G253" s="4"/>
      <c r="Q253" s="2" t="s">
        <v>9</v>
      </c>
      <c r="R253" s="2" t="s">
        <v>1328</v>
      </c>
      <c r="S253" s="4" t="s">
        <v>12</v>
      </c>
      <c r="U253" s="28" t="str">
        <f>MID(VLOOKUP($A253,Seqs!$A:$B,2,FALSE),VLOOKUP($A253,'SegEnds_NonXtal_Prot#'!A:AL,10,FALSE),1)</f>
        <v>D</v>
      </c>
      <c r="V253" s="50" t="str">
        <f>MID(VLOOKUP($A253,Seqs!$A:$B,2,FALSE),VLOOKUP($A253,'SegEnds_NonXtal_Prot#'!A:AL,10,FALSE)+6,1)</f>
        <v>S</v>
      </c>
      <c r="W253" s="50" t="str">
        <f>MID(VLOOKUP($A253,Seqs!$A:$B,2,FALSE),VLOOKUP($A253,'SegEnds_NonXtal_Prot#'!A:AL,10,FALSE)+7,1)</f>
        <v>L</v>
      </c>
      <c r="X253" s="50" t="str">
        <f>MID(VLOOKUP($A253,Seqs!$A:$B,2,FALSE),VLOOKUP($A253,'SegEnds_NonXtal_Prot#'!A:AL,10,FALSE)+8,1)</f>
        <v>P</v>
      </c>
      <c r="Y253" s="50" t="str">
        <f>MID(VLOOKUP($A253,Seqs!$A:$B,2,FALSE),VLOOKUP($A253,'SegEnds_NonXtal_Prot#'!A:AL,10,FALSE)+9,1)</f>
        <v>L</v>
      </c>
      <c r="Z253" s="50" t="str">
        <f>MID(VLOOKUP($A253,Seqs!$A:$B,2,FALSE),VLOOKUP($A253,'SegEnds_NonXtal_Prot#'!A:AL,10,FALSE)+10,1)</f>
        <v>L</v>
      </c>
      <c r="AA253" s="28" t="str">
        <f>MID(VLOOKUP($A253,Seqs!$A:$B,2,FALSE),VLOOKUP($A253,'SegEnds_NonXtal_Prot#'!$A:$AL,22,FALSE)+6,1)</f>
        <v>Q</v>
      </c>
      <c r="AB253" s="50" t="str">
        <f>MID(VLOOKUP($A253,Seqs!$A:$B,2,FALSE),VLOOKUP($A253,'SegEnds_NonXtal_Prot#'!$A:$AL,22,FALSE)+7,1)</f>
        <v>C</v>
      </c>
      <c r="AC253" s="50" t="str">
        <f>MID(VLOOKUP($A253,Seqs!$A:$B,2,FALSE),VLOOKUP($A253,'SegEnds_NonXtal_Prot#'!$A:$AL,22,FALSE)+8,1)</f>
        <v>L</v>
      </c>
      <c r="AD253" s="50" t="str">
        <f>MID(VLOOKUP($A253,Seqs!$A:$B,2,FALSE),VLOOKUP($A253,'SegEnds_NonXtal_Prot#'!$A:$AL,22,FALSE)+9,1)</f>
        <v>P</v>
      </c>
      <c r="AE253" s="50" t="str">
        <f>MID(VLOOKUP($A253,Seqs!$A:$B,2,FALSE),VLOOKUP($A253,'SegEnds_NonXtal_Prot#'!$A:$AL,22,FALSE)+10,1)</f>
        <v>T</v>
      </c>
      <c r="AF253" s="28" t="str">
        <f>MID(VLOOKUP($A253,Seqs!$A:$B,2,FALSE),VLOOKUP($A253,'SegEnds_NonXtal_Prot#'!$A:$AL,28,FALSE)-4,1)</f>
        <v>G</v>
      </c>
      <c r="AG253" s="50" t="str">
        <f>MID(VLOOKUP($A253,Seqs!$A:$B,2,FALSE),VLOOKUP($A253,'SegEnds_NonXtal_Prot#'!$A:$AL,28,FALSE),1)</f>
        <v>P</v>
      </c>
    </row>
    <row r="254" spans="1:33" s="2" customFormat="1" x14ac:dyDescent="0.2">
      <c r="A254" s="2" t="s">
        <v>350</v>
      </c>
      <c r="B254" s="2" t="str">
        <f>LOWER(VLOOKUP(A254,Xtal_Templ!A:B,2,FALSE))</f>
        <v>p2ry1_human</v>
      </c>
      <c r="C254" s="2" t="str">
        <f>VLOOKUP(A254,Classification!A:D,2,FALSE)</f>
        <v>A</v>
      </c>
      <c r="D254" s="2" t="str">
        <f>IF(ISERROR(MATCH(A254,'SegEnds_Xtal_Prot#'!B:B, 0)), "NoXtal", "Xtal")</f>
        <v>NoXtal</v>
      </c>
      <c r="G254" s="4"/>
      <c r="Q254" s="2" t="s">
        <v>9</v>
      </c>
      <c r="R254" s="2" t="s">
        <v>1328</v>
      </c>
      <c r="S254" s="4" t="s">
        <v>12</v>
      </c>
      <c r="U254" s="28" t="str">
        <f>MID(VLOOKUP($A254,Seqs!$A:$B,2,FALSE),VLOOKUP($A254,'SegEnds_NonXtal_Prot#'!A:AL,10,FALSE),1)</f>
        <v>D</v>
      </c>
      <c r="V254" s="50" t="str">
        <f>MID(VLOOKUP($A254,Seqs!$A:$B,2,FALSE),VLOOKUP($A254,'SegEnds_NonXtal_Prot#'!A:AL,10,FALSE)+6,1)</f>
        <v>S</v>
      </c>
      <c r="W254" s="50" t="str">
        <f>MID(VLOOKUP($A254,Seqs!$A:$B,2,FALSE),VLOOKUP($A254,'SegEnds_NonXtal_Prot#'!A:AL,10,FALSE)+7,1)</f>
        <v>L</v>
      </c>
      <c r="X254" s="50" t="str">
        <f>MID(VLOOKUP($A254,Seqs!$A:$B,2,FALSE),VLOOKUP($A254,'SegEnds_NonXtal_Prot#'!A:AL,10,FALSE)+8,1)</f>
        <v>P</v>
      </c>
      <c r="Y254" s="50" t="str">
        <f>MID(VLOOKUP($A254,Seqs!$A:$B,2,FALSE),VLOOKUP($A254,'SegEnds_NonXtal_Prot#'!A:AL,10,FALSE)+9,1)</f>
        <v>L</v>
      </c>
      <c r="Z254" s="50" t="str">
        <f>MID(VLOOKUP($A254,Seqs!$A:$B,2,FALSE),VLOOKUP($A254,'SegEnds_NonXtal_Prot#'!A:AL,10,FALSE)+10,1)</f>
        <v>R</v>
      </c>
      <c r="AA254" s="28" t="str">
        <f>MID(VLOOKUP($A254,Seqs!$A:$B,2,FALSE),VLOOKUP($A254,'SegEnds_NonXtal_Prot#'!$A:$AL,22,FALSE)+6,1)</f>
        <v>A</v>
      </c>
      <c r="AB254" s="50" t="str">
        <f>MID(VLOOKUP($A254,Seqs!$A:$B,2,FALSE),VLOOKUP($A254,'SegEnds_NonXtal_Prot#'!$A:$AL,22,FALSE)+7,1)</f>
        <v>C</v>
      </c>
      <c r="AC254" s="50" t="str">
        <f>MID(VLOOKUP($A254,Seqs!$A:$B,2,FALSE),VLOOKUP($A254,'SegEnds_NonXtal_Prot#'!$A:$AL,22,FALSE)+8,1)</f>
        <v>L</v>
      </c>
      <c r="AD254" s="50" t="str">
        <f>MID(VLOOKUP($A254,Seqs!$A:$B,2,FALSE),VLOOKUP($A254,'SegEnds_NonXtal_Prot#'!$A:$AL,22,FALSE)+9,1)</f>
        <v>P</v>
      </c>
      <c r="AE254" s="50" t="str">
        <f>MID(VLOOKUP($A254,Seqs!$A:$B,2,FALSE),VLOOKUP($A254,'SegEnds_NonXtal_Prot#'!$A:$AL,22,FALSE)+10,1)</f>
        <v>F</v>
      </c>
      <c r="AF254" s="28" t="str">
        <f>MID(VLOOKUP($A254,Seqs!$A:$B,2,FALSE),VLOOKUP($A254,'SegEnds_NonXtal_Prot#'!$A:$AL,28,FALSE)-4,1)</f>
        <v>G</v>
      </c>
      <c r="AG254" s="50" t="str">
        <f>MID(VLOOKUP($A254,Seqs!$A:$B,2,FALSE),VLOOKUP($A254,'SegEnds_NonXtal_Prot#'!$A:$AL,28,FALSE),1)</f>
        <v>P</v>
      </c>
    </row>
    <row r="255" spans="1:33" s="2" customFormat="1" x14ac:dyDescent="0.2">
      <c r="A255" s="2" t="s">
        <v>351</v>
      </c>
      <c r="B255" s="2" t="str">
        <f>LOWER(VLOOKUP(A255,Xtal_Templ!A:B,2,FALSE))</f>
        <v>p2ry1_human</v>
      </c>
      <c r="C255" s="2" t="str">
        <f>VLOOKUP(A255,Classification!A:D,2,FALSE)</f>
        <v>A</v>
      </c>
      <c r="D255" s="2" t="str">
        <f>IF(ISERROR(MATCH(A255,'SegEnds_Xtal_Prot#'!B:B, 0)), "NoXtal", "Xtal")</f>
        <v>NoXtal</v>
      </c>
      <c r="G255" s="4"/>
      <c r="Q255" s="2" t="s">
        <v>9</v>
      </c>
      <c r="R255" s="2" t="s">
        <v>1328</v>
      </c>
      <c r="S255" s="4" t="s">
        <v>12</v>
      </c>
      <c r="U255" s="28" t="str">
        <f>MID(VLOOKUP($A255,Seqs!$A:$B,2,FALSE),VLOOKUP($A255,'SegEnds_NonXtal_Prot#'!A:AL,10,FALSE),1)</f>
        <v>D</v>
      </c>
      <c r="V255" s="50" t="str">
        <f>MID(VLOOKUP($A255,Seqs!$A:$B,2,FALSE),VLOOKUP($A255,'SegEnds_NonXtal_Prot#'!A:AL,10,FALSE)+6,1)</f>
        <v>T</v>
      </c>
      <c r="W255" s="50" t="str">
        <f>MID(VLOOKUP($A255,Seqs!$A:$B,2,FALSE),VLOOKUP($A255,'SegEnds_NonXtal_Prot#'!A:AL,10,FALSE)+7,1)</f>
        <v>L</v>
      </c>
      <c r="X255" s="50" t="str">
        <f>MID(VLOOKUP($A255,Seqs!$A:$B,2,FALSE),VLOOKUP($A255,'SegEnds_NonXtal_Prot#'!A:AL,10,FALSE)+8,1)</f>
        <v>P</v>
      </c>
      <c r="Y255" s="50" t="str">
        <f>MID(VLOOKUP($A255,Seqs!$A:$B,2,FALSE),VLOOKUP($A255,'SegEnds_NonXtal_Prot#'!A:AL,10,FALSE)+9,1)</f>
        <v>P</v>
      </c>
      <c r="Z255" s="50" t="str">
        <f>MID(VLOOKUP($A255,Seqs!$A:$B,2,FALSE),VLOOKUP($A255,'SegEnds_NonXtal_Prot#'!A:AL,10,FALSE)+10,1)</f>
        <v>L</v>
      </c>
      <c r="AA255" s="28" t="str">
        <f>MID(VLOOKUP($A255,Seqs!$A:$B,2,FALSE),VLOOKUP($A255,'SegEnds_NonXtal_Prot#'!$A:$AL,22,FALSE)+6,1)</f>
        <v>L</v>
      </c>
      <c r="AB255" s="50" t="str">
        <f>MID(VLOOKUP($A255,Seqs!$A:$B,2,FALSE),VLOOKUP($A255,'SegEnds_NonXtal_Prot#'!$A:$AL,22,FALSE)+7,1)</f>
        <v>A</v>
      </c>
      <c r="AC255" s="50" t="str">
        <f>MID(VLOOKUP($A255,Seqs!$A:$B,2,FALSE),VLOOKUP($A255,'SegEnds_NonXtal_Prot#'!$A:$AL,22,FALSE)+8,1)</f>
        <v>M</v>
      </c>
      <c r="AD255" s="50" t="str">
        <f>MID(VLOOKUP($A255,Seqs!$A:$B,2,FALSE),VLOOKUP($A255,'SegEnds_NonXtal_Prot#'!$A:$AL,22,FALSE)+9,1)</f>
        <v>P</v>
      </c>
      <c r="AE255" s="50" t="str">
        <f>MID(VLOOKUP($A255,Seqs!$A:$B,2,FALSE),VLOOKUP($A255,'SegEnds_NonXtal_Prot#'!$A:$AL,22,FALSE)+10,1)</f>
        <v>T</v>
      </c>
      <c r="AF255" s="28" t="str">
        <f>MID(VLOOKUP($A255,Seqs!$A:$B,2,FALSE),VLOOKUP($A255,'SegEnds_NonXtal_Prot#'!$A:$AL,28,FALSE)-4,1)</f>
        <v>G</v>
      </c>
      <c r="AG255" s="50" t="str">
        <f>MID(VLOOKUP($A255,Seqs!$A:$B,2,FALSE),VLOOKUP($A255,'SegEnds_NonXtal_Prot#'!$A:$AL,28,FALSE),1)</f>
        <v>P</v>
      </c>
    </row>
    <row r="256" spans="1:33" s="2" customFormat="1" x14ac:dyDescent="0.2">
      <c r="A256" s="2" t="s">
        <v>370</v>
      </c>
      <c r="B256" s="2" t="str">
        <f>LOWER(VLOOKUP(A256,Xtal_Templ!A:B,2,FALSE))</f>
        <v>p2ry1_human</v>
      </c>
      <c r="C256" s="2" t="str">
        <f>VLOOKUP(A256,Classification!A:D,2,FALSE)</f>
        <v>A</v>
      </c>
      <c r="D256" s="2" t="str">
        <f>IF(ISERROR(MATCH(A256,'SegEnds_Xtal_Prot#'!B:B, 0)), "NoXtal", "Xtal")</f>
        <v>NoXtal</v>
      </c>
      <c r="G256" s="4"/>
      <c r="Q256" s="2" t="s">
        <v>9</v>
      </c>
      <c r="S256" s="4" t="s">
        <v>12</v>
      </c>
      <c r="U256" s="28" t="str">
        <f>MID(VLOOKUP($A256,Seqs!$A:$B,2,FALSE),VLOOKUP($A256,'SegEnds_NonXtal_Prot#'!A:AL,10,FALSE),1)</f>
        <v>D</v>
      </c>
      <c r="V256" s="50" t="str">
        <f>MID(VLOOKUP($A256,Seqs!$A:$B,2,FALSE),VLOOKUP($A256,'SegEnds_NonXtal_Prot#'!A:AL,10,FALSE)+6,1)</f>
        <v>T</v>
      </c>
      <c r="W256" s="50" t="str">
        <f>MID(VLOOKUP($A256,Seqs!$A:$B,2,FALSE),VLOOKUP($A256,'SegEnds_NonXtal_Prot#'!A:AL,10,FALSE)+7,1)</f>
        <v>L</v>
      </c>
      <c r="X256" s="50" t="str">
        <f>MID(VLOOKUP($A256,Seqs!$A:$B,2,FALSE),VLOOKUP($A256,'SegEnds_NonXtal_Prot#'!A:AL,10,FALSE)+8,1)</f>
        <v>P</v>
      </c>
      <c r="Y256" s="50" t="str">
        <f>MID(VLOOKUP($A256,Seqs!$A:$B,2,FALSE),VLOOKUP($A256,'SegEnds_NonXtal_Prot#'!A:AL,10,FALSE)+9,1)</f>
        <v>L</v>
      </c>
      <c r="Z256" s="50" t="str">
        <f>MID(VLOOKUP($A256,Seqs!$A:$B,2,FALSE),VLOOKUP($A256,'SegEnds_NonXtal_Prot#'!A:AL,10,FALSE)+10,1)</f>
        <v>W</v>
      </c>
      <c r="AA256" s="28" t="str">
        <f>MID(VLOOKUP($A256,Seqs!$A:$B,2,FALSE),VLOOKUP($A256,'SegEnds_NonXtal_Prot#'!$A:$AL,22,FALSE)+6,1)</f>
        <v>F</v>
      </c>
      <c r="AB256" s="50" t="str">
        <f>MID(VLOOKUP($A256,Seqs!$A:$B,2,FALSE),VLOOKUP($A256,'SegEnds_NonXtal_Prot#'!$A:$AL,22,FALSE)+7,1)</f>
        <v>N</v>
      </c>
      <c r="AC256" s="50" t="str">
        <f>MID(VLOOKUP($A256,Seqs!$A:$B,2,FALSE),VLOOKUP($A256,'SegEnds_NonXtal_Prot#'!$A:$AL,22,FALSE)+8,1)</f>
        <v>A</v>
      </c>
      <c r="AD256" s="50" t="str">
        <f>MID(VLOOKUP($A256,Seqs!$A:$B,2,FALSE),VLOOKUP($A256,'SegEnds_NonXtal_Prot#'!$A:$AL,22,FALSE)+9,1)</f>
        <v>V</v>
      </c>
      <c r="AE256" s="50" t="str">
        <f>MID(VLOOKUP($A256,Seqs!$A:$B,2,FALSE),VLOOKUP($A256,'SegEnds_NonXtal_Prot#'!$A:$AL,22,FALSE)+10,1)</f>
        <v>M</v>
      </c>
      <c r="AF256" s="28" t="str">
        <f>MID(VLOOKUP($A256,Seqs!$A:$B,2,FALSE),VLOOKUP($A256,'SegEnds_NonXtal_Prot#'!$A:$AL,28,FALSE)-4,1)</f>
        <v>G</v>
      </c>
      <c r="AG256" s="50" t="str">
        <f>MID(VLOOKUP($A256,Seqs!$A:$B,2,FALSE),VLOOKUP($A256,'SegEnds_NonXtal_Prot#'!$A:$AL,28,FALSE),1)</f>
        <v>P</v>
      </c>
    </row>
    <row r="257" spans="1:33" s="2" customFormat="1" x14ac:dyDescent="0.2">
      <c r="A257" s="2" t="s">
        <v>386</v>
      </c>
      <c r="B257" s="2" t="str">
        <f>LOWER(VLOOKUP(A257,Xtal_Templ!A:B,2,FALSE))</f>
        <v>p2ry1_human</v>
      </c>
      <c r="C257" s="2" t="str">
        <f>VLOOKUP(A257,Classification!A:D,2,FALSE)</f>
        <v>A</v>
      </c>
      <c r="D257" s="2" t="str">
        <f>IF(ISERROR(MATCH(A257,'SegEnds_Xtal_Prot#'!B:B, 0)), "NoXtal", "Xtal")</f>
        <v>NoXtal</v>
      </c>
      <c r="G257" s="4"/>
      <c r="M257" s="2" t="s">
        <v>14</v>
      </c>
      <c r="Q257" s="2" t="s">
        <v>9</v>
      </c>
      <c r="S257" s="4" t="s">
        <v>12</v>
      </c>
      <c r="U257" s="28" t="str">
        <f>MID(VLOOKUP($A257,Seqs!$A:$B,2,FALSE),VLOOKUP($A257,'SegEnds_NonXtal_Prot#'!A:AL,10,FALSE),1)</f>
        <v>D</v>
      </c>
      <c r="V257" s="50" t="str">
        <f>MID(VLOOKUP($A257,Seqs!$A:$B,2,FALSE),VLOOKUP($A257,'SegEnds_NonXtal_Prot#'!A:AL,10,FALSE)+6,1)</f>
        <v>T</v>
      </c>
      <c r="W257" s="50" t="str">
        <f>MID(VLOOKUP($A257,Seqs!$A:$B,2,FALSE),VLOOKUP($A257,'SegEnds_NonXtal_Prot#'!A:AL,10,FALSE)+7,1)</f>
        <v>L</v>
      </c>
      <c r="X257" s="50" t="str">
        <f>MID(VLOOKUP($A257,Seqs!$A:$B,2,FALSE),VLOOKUP($A257,'SegEnds_NonXtal_Prot#'!A:AL,10,FALSE)+8,1)</f>
        <v>P</v>
      </c>
      <c r="Y257" s="50" t="str">
        <f>MID(VLOOKUP($A257,Seqs!$A:$B,2,FALSE),VLOOKUP($A257,'SegEnds_NonXtal_Prot#'!A:AL,10,FALSE)+9,1)</f>
        <v>M</v>
      </c>
      <c r="Z257" s="50" t="str">
        <f>MID(VLOOKUP($A257,Seqs!$A:$B,2,FALSE),VLOOKUP($A257,'SegEnds_NonXtal_Prot#'!A:AL,10,FALSE)+10,1)</f>
        <v>L</v>
      </c>
      <c r="AA257" s="28" t="str">
        <f>MID(VLOOKUP($A257,Seqs!$A:$B,2,FALSE),VLOOKUP($A257,'SegEnds_NonXtal_Prot#'!$A:$AL,22,FALSE)+6,1)</f>
        <v>E</v>
      </c>
      <c r="AB257" s="50" t="str">
        <f>MID(VLOOKUP($A257,Seqs!$A:$B,2,FALSE),VLOOKUP($A257,'SegEnds_NonXtal_Prot#'!$A:$AL,22,FALSE)+7,1)</f>
        <v>L</v>
      </c>
      <c r="AC257" s="50" t="str">
        <f>MID(VLOOKUP($A257,Seqs!$A:$B,2,FALSE),VLOOKUP($A257,'SegEnds_NonXtal_Prot#'!$A:$AL,22,FALSE)+8,1)</f>
        <v>L</v>
      </c>
      <c r="AD257" s="50" t="str">
        <f>MID(VLOOKUP($A257,Seqs!$A:$B,2,FALSE),VLOOKUP($A257,'SegEnds_NonXtal_Prot#'!$A:$AL,22,FALSE)+9,1)</f>
        <v>P</v>
      </c>
      <c r="AE257" s="50" t="str">
        <f>MID(VLOOKUP($A257,Seqs!$A:$B,2,FALSE),VLOOKUP($A257,'SegEnds_NonXtal_Prot#'!$A:$AL,22,FALSE)+10,1)</f>
        <v>I</v>
      </c>
      <c r="AF257" s="28" t="str">
        <f>MID(VLOOKUP($A257,Seqs!$A:$B,2,FALSE),VLOOKUP($A257,'SegEnds_NonXtal_Prot#'!$A:$AL,28,FALSE)-4,1)</f>
        <v>G</v>
      </c>
      <c r="AG257" s="50" t="str">
        <f>MID(VLOOKUP($A257,Seqs!$A:$B,2,FALSE),VLOOKUP($A257,'SegEnds_NonXtal_Prot#'!$A:$AL,28,FALSE),1)</f>
        <v>P</v>
      </c>
    </row>
    <row r="258" spans="1:33" s="2" customFormat="1" x14ac:dyDescent="0.2">
      <c r="A258" s="2" t="s">
        <v>229</v>
      </c>
      <c r="B258" s="2" t="str">
        <f>LOWER(VLOOKUP(A258,Xtal_Templ!A:B,2,FALSE))</f>
        <v>p2y12_human</v>
      </c>
      <c r="C258" s="2" t="str">
        <f>VLOOKUP(A258,Classification!A:D,2,FALSE)</f>
        <v>A</v>
      </c>
      <c r="D258" s="2" t="str">
        <f>IF(ISERROR(MATCH(A258,'SegEnds_Xtal_Prot#'!B:B, 0)), "NoXtal", "Xtal")</f>
        <v>NoXtal</v>
      </c>
      <c r="G258" s="4"/>
      <c r="M258" s="2" t="s">
        <v>14</v>
      </c>
      <c r="S258" s="4" t="s">
        <v>12</v>
      </c>
      <c r="U258" s="28" t="str">
        <f>MID(VLOOKUP($A258,Seqs!$A:$B,2,FALSE),VLOOKUP($A258,'SegEnds_NonXtal_Prot#'!A:AL,10,FALSE),1)</f>
        <v>D</v>
      </c>
      <c r="V258" s="50" t="str">
        <f>MID(VLOOKUP($A258,Seqs!$A:$B,2,FALSE),VLOOKUP($A258,'SegEnds_NonXtal_Prot#'!A:AL,10,FALSE)+6,1)</f>
        <v>A</v>
      </c>
      <c r="W258" s="50" t="str">
        <f>MID(VLOOKUP($A258,Seqs!$A:$B,2,FALSE),VLOOKUP($A258,'SegEnds_NonXtal_Prot#'!A:AL,10,FALSE)+7,1)</f>
        <v>L</v>
      </c>
      <c r="X258" s="50" t="str">
        <f>MID(VLOOKUP($A258,Seqs!$A:$B,2,FALSE),VLOOKUP($A258,'SegEnds_NonXtal_Prot#'!A:AL,10,FALSE)+8,1)</f>
        <v>P</v>
      </c>
      <c r="Y258" s="50" t="str">
        <f>MID(VLOOKUP($A258,Seqs!$A:$B,2,FALSE),VLOOKUP($A258,'SegEnds_NonXtal_Prot#'!A:AL,10,FALSE)+9,1)</f>
        <v>V</v>
      </c>
      <c r="Z258" s="50" t="str">
        <f>MID(VLOOKUP($A258,Seqs!$A:$B,2,FALSE),VLOOKUP($A258,'SegEnds_NonXtal_Prot#'!A:AL,10,FALSE)+10,1)</f>
        <v>K</v>
      </c>
      <c r="AA258" s="28" t="str">
        <f>MID(VLOOKUP($A258,Seqs!$A:$B,2,FALSE),VLOOKUP($A258,'SegEnds_NonXtal_Prot#'!$A:$AL,22,FALSE)+6,1)</f>
        <v>I</v>
      </c>
      <c r="AB258" s="50" t="str">
        <f>MID(VLOOKUP($A258,Seqs!$A:$B,2,FALSE),VLOOKUP($A258,'SegEnds_NonXtal_Prot#'!$A:$AL,22,FALSE)+7,1)</f>
        <v>M</v>
      </c>
      <c r="AC258" s="50" t="str">
        <f>MID(VLOOKUP($A258,Seqs!$A:$B,2,FALSE),VLOOKUP($A258,'SegEnds_NonXtal_Prot#'!$A:$AL,22,FALSE)+8,1)</f>
        <v>V</v>
      </c>
      <c r="AD258" s="50" t="str">
        <f>MID(VLOOKUP($A258,Seqs!$A:$B,2,FALSE),VLOOKUP($A258,'SegEnds_NonXtal_Prot#'!$A:$AL,22,FALSE)+9,1)</f>
        <v>P</v>
      </c>
      <c r="AE258" s="50" t="str">
        <f>MID(VLOOKUP($A258,Seqs!$A:$B,2,FALSE),VLOOKUP($A258,'SegEnds_NonXtal_Prot#'!$A:$AL,22,FALSE)+10,1)</f>
        <v>N</v>
      </c>
      <c r="AF258" s="28" t="str">
        <f>MID(VLOOKUP($A258,Seqs!$A:$B,2,FALSE),VLOOKUP($A258,'SegEnds_NonXtal_Prot#'!$A:$AL,28,FALSE)-4,1)</f>
        <v>I</v>
      </c>
      <c r="AG258" s="50" t="str">
        <f>MID(VLOOKUP($A258,Seqs!$A:$B,2,FALSE),VLOOKUP($A258,'SegEnds_NonXtal_Prot#'!$A:$AL,28,FALSE),1)</f>
        <v>F</v>
      </c>
    </row>
    <row r="259" spans="1:33" s="2" customFormat="1" x14ac:dyDescent="0.2">
      <c r="A259" s="2" t="s">
        <v>234</v>
      </c>
      <c r="B259" s="2" t="str">
        <f>LOWER(VLOOKUP(A259,Xtal_Templ!A:B,2,FALSE))</f>
        <v>oprk_human</v>
      </c>
      <c r="C259" s="2" t="str">
        <f>VLOOKUP(A259,Classification!A:D,2,FALSE)</f>
        <v>A</v>
      </c>
      <c r="D259" s="2" t="str">
        <f>IF(ISERROR(MATCH(A259,'SegEnds_Xtal_Prot#'!B:B, 0)), "NoXtal", "Xtal")</f>
        <v>NoXtal</v>
      </c>
      <c r="G259" s="4"/>
      <c r="M259" s="2" t="s">
        <v>14</v>
      </c>
      <c r="Q259" s="2" t="s">
        <v>9</v>
      </c>
      <c r="S259" s="4" t="s">
        <v>12</v>
      </c>
      <c r="U259" s="28" t="str">
        <f>MID(VLOOKUP($A259,Seqs!$A:$B,2,FALSE),VLOOKUP($A259,'SegEnds_NonXtal_Prot#'!A:AL,10,FALSE),1)</f>
        <v>D</v>
      </c>
      <c r="V259" s="50" t="str">
        <f>MID(VLOOKUP($A259,Seqs!$A:$B,2,FALSE),VLOOKUP($A259,'SegEnds_NonXtal_Prot#'!A:AL,10,FALSE)+6,1)</f>
        <v>A</v>
      </c>
      <c r="W259" s="50" t="str">
        <f>MID(VLOOKUP($A259,Seqs!$A:$B,2,FALSE),VLOOKUP($A259,'SegEnds_NonXtal_Prot#'!A:AL,10,FALSE)+7,1)</f>
        <v>L</v>
      </c>
      <c r="X259" s="50" t="str">
        <f>MID(VLOOKUP($A259,Seqs!$A:$B,2,FALSE),VLOOKUP($A259,'SegEnds_NonXtal_Prot#'!A:AL,10,FALSE)+8,1)</f>
        <v>P</v>
      </c>
      <c r="Y259" s="50" t="str">
        <f>MID(VLOOKUP($A259,Seqs!$A:$B,2,FALSE),VLOOKUP($A259,'SegEnds_NonXtal_Prot#'!A:AL,10,FALSE)+9,1)</f>
        <v>T</v>
      </c>
      <c r="Z259" s="50" t="str">
        <f>MID(VLOOKUP($A259,Seqs!$A:$B,2,FALSE),VLOOKUP($A259,'SegEnds_NonXtal_Prot#'!A:AL,10,FALSE)+10,1)</f>
        <v>R</v>
      </c>
      <c r="AA259" s="28" t="str">
        <f>MID(VLOOKUP($A259,Seqs!$A:$B,2,FALSE),VLOOKUP($A259,'SegEnds_NonXtal_Prot#'!$A:$AL,22,FALSE)+6,1)</f>
        <v>Q</v>
      </c>
      <c r="AB259" s="50" t="str">
        <f>MID(VLOOKUP($A259,Seqs!$A:$B,2,FALSE),VLOOKUP($A259,'SegEnds_NonXtal_Prot#'!$A:$AL,22,FALSE)+7,1)</f>
        <v>T</v>
      </c>
      <c r="AC259" s="50" t="str">
        <f>MID(VLOOKUP($A259,Seqs!$A:$B,2,FALSE),VLOOKUP($A259,'SegEnds_NonXtal_Prot#'!$A:$AL,22,FALSE)+8,1)</f>
        <v>L</v>
      </c>
      <c r="AD259" s="50" t="str">
        <f>MID(VLOOKUP($A259,Seqs!$A:$B,2,FALSE),VLOOKUP($A259,'SegEnds_NonXtal_Prot#'!$A:$AL,22,FALSE)+9,1)</f>
        <v>P</v>
      </c>
      <c r="AE259" s="50" t="str">
        <f>MID(VLOOKUP($A259,Seqs!$A:$B,2,FALSE),VLOOKUP($A259,'SegEnds_NonXtal_Prot#'!$A:$AL,22,FALSE)+10,1)</f>
        <v>L</v>
      </c>
      <c r="AF259" s="28" t="str">
        <f>MID(VLOOKUP($A259,Seqs!$A:$B,2,FALSE),VLOOKUP($A259,'SegEnds_NonXtal_Prot#'!$A:$AL,28,FALSE)-4,1)</f>
        <v>G</v>
      </c>
      <c r="AG259" s="50" t="str">
        <f>MID(VLOOKUP($A259,Seqs!$A:$B,2,FALSE),VLOOKUP($A259,'SegEnds_NonXtal_Prot#'!$A:$AL,28,FALSE),1)</f>
        <v>P</v>
      </c>
    </row>
    <row r="260" spans="1:33" s="2" customFormat="1" x14ac:dyDescent="0.2">
      <c r="A260" s="2" t="s">
        <v>253</v>
      </c>
      <c r="B260" s="2" t="str">
        <f>LOWER(VLOOKUP(A260,Xtal_Templ!A:B,2,FALSE))</f>
        <v>par1_human</v>
      </c>
      <c r="C260" s="2" t="str">
        <f>VLOOKUP(A260,Classification!A:D,2,FALSE)</f>
        <v>A</v>
      </c>
      <c r="D260" s="2" t="str">
        <f>IF(ISERROR(MATCH(A260,'SegEnds_Xtal_Prot#'!B:B, 0)), "NoXtal", "Xtal")</f>
        <v>NoXtal</v>
      </c>
      <c r="G260" s="4"/>
      <c r="S260" s="4" t="s">
        <v>12</v>
      </c>
      <c r="U260" s="28" t="str">
        <f>MID(VLOOKUP($A260,Seqs!$A:$B,2,FALSE),VLOOKUP($A260,'SegEnds_NonXtal_Prot#'!A:AL,10,FALSE),1)</f>
        <v>D</v>
      </c>
      <c r="V260" s="50" t="str">
        <f>MID(VLOOKUP($A260,Seqs!$A:$B,2,FALSE),VLOOKUP($A260,'SegEnds_NonXtal_Prot#'!A:AL,10,FALSE)+6,1)</f>
        <v>C</v>
      </c>
      <c r="W260" s="50" t="str">
        <f>MID(VLOOKUP($A260,Seqs!$A:$B,2,FALSE),VLOOKUP($A260,'SegEnds_NonXtal_Prot#'!A:AL,10,FALSE)+7,1)</f>
        <v>L</v>
      </c>
      <c r="X260" s="50" t="str">
        <f>MID(VLOOKUP($A260,Seqs!$A:$B,2,FALSE),VLOOKUP($A260,'SegEnds_NonXtal_Prot#'!A:AL,10,FALSE)+8,1)</f>
        <v>P</v>
      </c>
      <c r="Y260" s="50" t="str">
        <f>MID(VLOOKUP($A260,Seqs!$A:$B,2,FALSE),VLOOKUP($A260,'SegEnds_NonXtal_Prot#'!A:AL,10,FALSE)+9,1)</f>
        <v>F</v>
      </c>
      <c r="Z260" s="50" t="str">
        <f>MID(VLOOKUP($A260,Seqs!$A:$B,2,FALSE),VLOOKUP($A260,'SegEnds_NonXtal_Prot#'!A:AL,10,FALSE)+10,1)</f>
        <v>R</v>
      </c>
      <c r="AA260" s="28" t="str">
        <f>MID(VLOOKUP($A260,Seqs!$A:$B,2,FALSE),VLOOKUP($A260,'SegEnds_NonXtal_Prot#'!$A:$AL,22,FALSE)+6,1)</f>
        <v>G</v>
      </c>
      <c r="AB260" s="50" t="str">
        <f>MID(VLOOKUP($A260,Seqs!$A:$B,2,FALSE),VLOOKUP($A260,'SegEnds_NonXtal_Prot#'!$A:$AL,22,FALSE)+7,1)</f>
        <v>F</v>
      </c>
      <c r="AC260" s="50" t="str">
        <f>MID(VLOOKUP($A260,Seqs!$A:$B,2,FALSE),VLOOKUP($A260,'SegEnds_NonXtal_Prot#'!$A:$AL,22,FALSE)+8,1)</f>
        <v>L</v>
      </c>
      <c r="AD260" s="50" t="str">
        <f>MID(VLOOKUP($A260,Seqs!$A:$B,2,FALSE),VLOOKUP($A260,'SegEnds_NonXtal_Prot#'!$A:$AL,22,FALSE)+9,1)</f>
        <v>T</v>
      </c>
      <c r="AE260" s="50" t="str">
        <f>MID(VLOOKUP($A260,Seqs!$A:$B,2,FALSE),VLOOKUP($A260,'SegEnds_NonXtal_Prot#'!$A:$AL,22,FALSE)+10,1)</f>
        <v>M</v>
      </c>
      <c r="AF260" s="28" t="str">
        <f>MID(VLOOKUP($A260,Seqs!$A:$B,2,FALSE),VLOOKUP($A260,'SegEnds_NonXtal_Prot#'!$A:$AL,28,FALSE)-4,1)</f>
        <v>M</v>
      </c>
      <c r="AG260" s="50" t="str">
        <f>MID(VLOOKUP($A260,Seqs!$A:$B,2,FALSE),VLOOKUP($A260,'SegEnds_NonXtal_Prot#'!$A:$AL,28,FALSE),1)</f>
        <v>I</v>
      </c>
    </row>
    <row r="261" spans="1:33" s="2" customFormat="1" x14ac:dyDescent="0.2">
      <c r="A261" s="2" t="s">
        <v>272</v>
      </c>
      <c r="B261" s="2" t="str">
        <f>LOWER(VLOOKUP(A261,Xtal_Templ!A:B,2,FALSE))</f>
        <v>p2y12_human</v>
      </c>
      <c r="C261" s="2" t="str">
        <f>VLOOKUP(A261,Classification!A:D,2,FALSE)</f>
        <v>A</v>
      </c>
      <c r="D261" s="2" t="str">
        <f>IF(ISERROR(MATCH(A261,'SegEnds_Xtal_Prot#'!B:B, 0)), "NoXtal", "Xtal")</f>
        <v>NoXtal</v>
      </c>
      <c r="G261" s="4"/>
      <c r="M261" s="2" t="s">
        <v>14</v>
      </c>
      <c r="S261" s="4" t="s">
        <v>12</v>
      </c>
      <c r="U261" s="28" t="str">
        <f>MID(VLOOKUP($A261,Seqs!$A:$B,2,FALSE),VLOOKUP($A261,'SegEnds_NonXtal_Prot#'!A:AL,10,FALSE),1)</f>
        <v>D</v>
      </c>
      <c r="V261" s="50" t="str">
        <f>MID(VLOOKUP($A261,Seqs!$A:$B,2,FALSE),VLOOKUP($A261,'SegEnds_NonXtal_Prot#'!A:AL,10,FALSE)+6,1)</f>
        <v>T</v>
      </c>
      <c r="W261" s="50" t="str">
        <f>MID(VLOOKUP($A261,Seqs!$A:$B,2,FALSE),VLOOKUP($A261,'SegEnds_NonXtal_Prot#'!A:AL,10,FALSE)+7,1)</f>
        <v>F</v>
      </c>
      <c r="X261" s="50" t="str">
        <f>MID(VLOOKUP($A261,Seqs!$A:$B,2,FALSE),VLOOKUP($A261,'SegEnds_NonXtal_Prot#'!A:AL,10,FALSE)+8,1)</f>
        <v>P</v>
      </c>
      <c r="Y261" s="50" t="str">
        <f>MID(VLOOKUP($A261,Seqs!$A:$B,2,FALSE),VLOOKUP($A261,'SegEnds_NonXtal_Prot#'!A:AL,10,FALSE)+9,1)</f>
        <v>F</v>
      </c>
      <c r="Z261" s="50" t="str">
        <f>MID(VLOOKUP($A261,Seqs!$A:$B,2,FALSE),VLOOKUP($A261,'SegEnds_NonXtal_Prot#'!A:AL,10,FALSE)+10,1)</f>
        <v>R</v>
      </c>
      <c r="AA261" s="28" t="str">
        <f>MID(VLOOKUP($A261,Seqs!$A:$B,2,FALSE),VLOOKUP($A261,'SegEnds_NonXtal_Prot#'!$A:$AL,22,FALSE)+6,1)</f>
        <v>L</v>
      </c>
      <c r="AB261" s="50" t="str">
        <f>MID(VLOOKUP($A261,Seqs!$A:$B,2,FALSE),VLOOKUP($A261,'SegEnds_NonXtal_Prot#'!$A:$AL,22,FALSE)+7,1)</f>
        <v>S</v>
      </c>
      <c r="AC261" s="50" t="str">
        <f>MID(VLOOKUP($A261,Seqs!$A:$B,2,FALSE),VLOOKUP($A261,'SegEnds_NonXtal_Prot#'!$A:$AL,22,FALSE)+8,1)</f>
        <v>L</v>
      </c>
      <c r="AD261" s="50" t="str">
        <f>MID(VLOOKUP($A261,Seqs!$A:$B,2,FALSE),VLOOKUP($A261,'SegEnds_NonXtal_Prot#'!$A:$AL,22,FALSE)+9,1)</f>
        <v>P</v>
      </c>
      <c r="AE261" s="50" t="str">
        <f>MID(VLOOKUP($A261,Seqs!$A:$B,2,FALSE),VLOOKUP($A261,'SegEnds_NonXtal_Prot#'!$A:$AL,22,FALSE)+10,1)</f>
        <v>N</v>
      </c>
      <c r="AF261" s="28" t="str">
        <f>MID(VLOOKUP($A261,Seqs!$A:$B,2,FALSE),VLOOKUP($A261,'SegEnds_NonXtal_Prot#'!$A:$AL,28,FALSE)-4,1)</f>
        <v>L</v>
      </c>
      <c r="AG261" s="50" t="str">
        <f>MID(VLOOKUP($A261,Seqs!$A:$B,2,FALSE),VLOOKUP($A261,'SegEnds_NonXtal_Prot#'!$A:$AL,28,FALSE),1)</f>
        <v>V</v>
      </c>
    </row>
    <row r="262" spans="1:33" s="2" customFormat="1" x14ac:dyDescent="0.2">
      <c r="A262" s="2" t="s">
        <v>307</v>
      </c>
      <c r="B262" s="2" t="str">
        <f>LOWER(VLOOKUP(A262,Xtal_Templ!A:B,2,FALSE))</f>
        <v>agtr1_human</v>
      </c>
      <c r="C262" s="2" t="str">
        <f>VLOOKUP(A262,Classification!A:D,2,FALSE)</f>
        <v>A</v>
      </c>
      <c r="D262" s="2" t="str">
        <f>IF(ISERROR(MATCH(A262,'SegEnds_Xtal_Prot#'!B:B, 0)), "NoXtal", "Xtal")</f>
        <v>NoXtal</v>
      </c>
      <c r="G262" s="4"/>
      <c r="S262" s="4" t="s">
        <v>12</v>
      </c>
      <c r="U262" s="28" t="str">
        <f>MID(VLOOKUP($A262,Seqs!$A:$B,2,FALSE),VLOOKUP($A262,'SegEnds_NonXtal_Prot#'!A:AL,10,FALSE),1)</f>
        <v>D</v>
      </c>
      <c r="V262" s="50" t="str">
        <f>MID(VLOOKUP($A262,Seqs!$A:$B,2,FALSE),VLOOKUP($A262,'SegEnds_NonXtal_Prot#'!A:AL,10,FALSE)+6,1)</f>
        <v>G</v>
      </c>
      <c r="W262" s="50" t="str">
        <f>MID(VLOOKUP($A262,Seqs!$A:$B,2,FALSE),VLOOKUP($A262,'SegEnds_NonXtal_Prot#'!A:AL,10,FALSE)+7,1)</f>
        <v>H</v>
      </c>
      <c r="X262" s="50" t="str">
        <f>MID(VLOOKUP($A262,Seqs!$A:$B,2,FALSE),VLOOKUP($A262,'SegEnds_NonXtal_Prot#'!A:AL,10,FALSE)+8,1)</f>
        <v>I</v>
      </c>
      <c r="Y262" s="50" t="str">
        <f>MID(VLOOKUP($A262,Seqs!$A:$B,2,FALSE),VLOOKUP($A262,'SegEnds_NonXtal_Prot#'!A:AL,10,FALSE)+9,1)</f>
        <v>I</v>
      </c>
      <c r="Z262" s="50" t="str">
        <f>MID(VLOOKUP($A262,Seqs!$A:$B,2,FALSE),VLOOKUP($A262,'SegEnds_NonXtal_Prot#'!A:AL,10,FALSE)+10,1)</f>
        <v>C</v>
      </c>
      <c r="AA262" s="28" t="str">
        <f>MID(VLOOKUP($A262,Seqs!$A:$B,2,FALSE),VLOOKUP($A262,'SegEnds_NonXtal_Prot#'!$A:$AL,22,FALSE)+6,1)</f>
        <v>R</v>
      </c>
      <c r="AB262" s="50" t="str">
        <f>MID(VLOOKUP($A262,Seqs!$A:$B,2,FALSE),VLOOKUP($A262,'SegEnds_NonXtal_Prot#'!$A:$AL,22,FALSE)+7,1)</f>
        <v>S</v>
      </c>
      <c r="AC262" s="50" t="str">
        <f>MID(VLOOKUP($A262,Seqs!$A:$B,2,FALSE),VLOOKUP($A262,'SegEnds_NonXtal_Prot#'!$A:$AL,22,FALSE)+8,1)</f>
        <v>I</v>
      </c>
      <c r="AD262" s="50" t="str">
        <f>MID(VLOOKUP($A262,Seqs!$A:$B,2,FALSE),VLOOKUP($A262,'SegEnds_NonXtal_Prot#'!$A:$AL,22,FALSE)+9,1)</f>
        <v>L</v>
      </c>
      <c r="AE262" s="50" t="str">
        <f>MID(VLOOKUP($A262,Seqs!$A:$B,2,FALSE),VLOOKUP($A262,'SegEnds_NonXtal_Prot#'!$A:$AL,22,FALSE)+10,1)</f>
        <v>E</v>
      </c>
      <c r="AF262" s="28" t="str">
        <f>MID(VLOOKUP($A262,Seqs!$A:$B,2,FALSE),VLOOKUP($A262,'SegEnds_NonXtal_Prot#'!$A:$AL,28,FALSE)-4,1)</f>
        <v>V</v>
      </c>
      <c r="AG262" s="50" t="str">
        <f>MID(VLOOKUP($A262,Seqs!$A:$B,2,FALSE),VLOOKUP($A262,'SegEnds_NonXtal_Prot#'!$A:$AL,28,FALSE),1)</f>
        <v>V</v>
      </c>
    </row>
    <row r="263" spans="1:33" s="2" customFormat="1" x14ac:dyDescent="0.2">
      <c r="A263" s="2" t="s">
        <v>352</v>
      </c>
      <c r="B263" s="2" t="str">
        <f>LOWER(VLOOKUP(A263,Xtal_Templ!A:B,2,FALSE))</f>
        <v>p2y12_human</v>
      </c>
      <c r="C263" s="2" t="str">
        <f>VLOOKUP(A263,Classification!A:D,2,FALSE)</f>
        <v>A</v>
      </c>
      <c r="D263" s="2" t="str">
        <f>IF(ISERROR(MATCH(A263,'SegEnds_Xtal_Prot#'!B:B, 0)), "NoXtal", "Xtal")</f>
        <v>Xtal</v>
      </c>
      <c r="G263" s="4"/>
      <c r="R263" s="2" t="s">
        <v>1328</v>
      </c>
      <c r="S263" s="4" t="s">
        <v>12</v>
      </c>
      <c r="U263" s="28" t="str">
        <f>MID(VLOOKUP($A263,Seqs!$A:$B,2,FALSE),VLOOKUP($A263,'SegEnds_NonXtal_Prot#'!A:AL,10,FALSE),1)</f>
        <v>D</v>
      </c>
      <c r="V263" s="50" t="str">
        <f>MID(VLOOKUP($A263,Seqs!$A:$B,2,FALSE),VLOOKUP($A263,'SegEnds_NonXtal_Prot#'!A:AL,10,FALSE)+6,1)</f>
        <v>T</v>
      </c>
      <c r="W263" s="50" t="str">
        <f>MID(VLOOKUP($A263,Seqs!$A:$B,2,FALSE),VLOOKUP($A263,'SegEnds_NonXtal_Prot#'!A:AL,10,FALSE)+7,1)</f>
        <v>F</v>
      </c>
      <c r="X263" s="50" t="str">
        <f>MID(VLOOKUP($A263,Seqs!$A:$B,2,FALSE),VLOOKUP($A263,'SegEnds_NonXtal_Prot#'!A:AL,10,FALSE)+8,1)</f>
        <v>P</v>
      </c>
      <c r="Y263" s="50" t="str">
        <f>MID(VLOOKUP($A263,Seqs!$A:$B,2,FALSE),VLOOKUP($A263,'SegEnds_NonXtal_Prot#'!A:AL,10,FALSE)+9,1)</f>
        <v>F</v>
      </c>
      <c r="Z263" s="50" t="str">
        <f>MID(VLOOKUP($A263,Seqs!$A:$B,2,FALSE),VLOOKUP($A263,'SegEnds_NonXtal_Prot#'!A:AL,10,FALSE)+10,1)</f>
        <v>K</v>
      </c>
      <c r="AA263" s="28" t="str">
        <f>MID(VLOOKUP($A263,Seqs!$A:$B,2,FALSE),VLOOKUP($A263,'SegEnds_NonXtal_Prot#'!$A:$AL,22,FALSE)+6,1)</f>
        <v>L</v>
      </c>
      <c r="AB263" s="50" t="str">
        <f>MID(VLOOKUP($A263,Seqs!$A:$B,2,FALSE),VLOOKUP($A263,'SegEnds_NonXtal_Prot#'!$A:$AL,22,FALSE)+7,1)</f>
        <v>S</v>
      </c>
      <c r="AC263" s="50" t="str">
        <f>MID(VLOOKUP($A263,Seqs!$A:$B,2,FALSE),VLOOKUP($A263,'SegEnds_NonXtal_Prot#'!$A:$AL,22,FALSE)+8,1)</f>
        <v>L</v>
      </c>
      <c r="AD263" s="50" t="str">
        <f>MID(VLOOKUP($A263,Seqs!$A:$B,2,FALSE),VLOOKUP($A263,'SegEnds_NonXtal_Prot#'!$A:$AL,22,FALSE)+9,1)</f>
        <v>P</v>
      </c>
      <c r="AE263" s="50" t="str">
        <f>MID(VLOOKUP($A263,Seqs!$A:$B,2,FALSE),VLOOKUP($A263,'SegEnds_NonXtal_Prot#'!$A:$AL,22,FALSE)+10,1)</f>
        <v>N</v>
      </c>
      <c r="AF263" s="28" t="str">
        <f>MID(VLOOKUP($A263,Seqs!$A:$B,2,FALSE),VLOOKUP($A263,'SegEnds_NonXtal_Prot#'!$A:$AL,28,FALSE)-4,1)</f>
        <v>I</v>
      </c>
      <c r="AG263" s="50" t="str">
        <f>MID(VLOOKUP($A263,Seqs!$A:$B,2,FALSE),VLOOKUP($A263,'SegEnds_NonXtal_Prot#'!$A:$AL,28,FALSE),1)</f>
        <v>N</v>
      </c>
    </row>
    <row r="264" spans="1:33" s="2" customFormat="1" x14ac:dyDescent="0.2">
      <c r="A264" s="2" t="s">
        <v>353</v>
      </c>
      <c r="B264" s="2" t="str">
        <f>LOWER(VLOOKUP(A264,Xtal_Templ!A:B,2,FALSE))</f>
        <v>p2y12_human</v>
      </c>
      <c r="C264" s="2" t="str">
        <f>VLOOKUP(A264,Classification!A:D,2,FALSE)</f>
        <v>A</v>
      </c>
      <c r="D264" s="2" t="str">
        <f>IF(ISERROR(MATCH(A264,'SegEnds_Xtal_Prot#'!B:B, 0)), "NoXtal", "Xtal")</f>
        <v>NoXtal</v>
      </c>
      <c r="G264" s="4"/>
      <c r="R264" s="2" t="s">
        <v>1328</v>
      </c>
      <c r="S264" s="4" t="s">
        <v>12</v>
      </c>
      <c r="U264" s="28" t="str">
        <f>MID(VLOOKUP($A264,Seqs!$A:$B,2,FALSE),VLOOKUP($A264,'SegEnds_NonXtal_Prot#'!A:AL,10,FALSE),1)</f>
        <v>D</v>
      </c>
      <c r="V264" s="50" t="str">
        <f>MID(VLOOKUP($A264,Seqs!$A:$B,2,FALSE),VLOOKUP($A264,'SegEnds_NonXtal_Prot#'!A:AL,10,FALSE)+6,1)</f>
        <v>M</v>
      </c>
      <c r="W264" s="50" t="str">
        <f>MID(VLOOKUP($A264,Seqs!$A:$B,2,FALSE),VLOOKUP($A264,'SegEnds_NonXtal_Prot#'!A:AL,10,FALSE)+7,1)</f>
        <v>L</v>
      </c>
      <c r="X264" s="50" t="str">
        <f>MID(VLOOKUP($A264,Seqs!$A:$B,2,FALSE),VLOOKUP($A264,'SegEnds_NonXtal_Prot#'!A:AL,10,FALSE)+8,1)</f>
        <v>P</v>
      </c>
      <c r="Y264" s="50" t="str">
        <f>MID(VLOOKUP($A264,Seqs!$A:$B,2,FALSE),VLOOKUP($A264,'SegEnds_NonXtal_Prot#'!A:AL,10,FALSE)+9,1)</f>
        <v>F</v>
      </c>
      <c r="Z264" s="50" t="str">
        <f>MID(VLOOKUP($A264,Seqs!$A:$B,2,FALSE),VLOOKUP($A264,'SegEnds_NonXtal_Prot#'!A:AL,10,FALSE)+10,1)</f>
        <v>K</v>
      </c>
      <c r="AA264" s="28" t="str">
        <f>MID(VLOOKUP($A264,Seqs!$A:$B,2,FALSE),VLOOKUP($A264,'SegEnds_NonXtal_Prot#'!$A:$AL,22,FALSE)+6,1)</f>
        <v>I</v>
      </c>
      <c r="AB264" s="50" t="str">
        <f>MID(VLOOKUP($A264,Seqs!$A:$B,2,FALSE),VLOOKUP($A264,'SegEnds_NonXtal_Prot#'!$A:$AL,22,FALSE)+7,1)</f>
        <v>S</v>
      </c>
      <c r="AC264" s="50" t="str">
        <f>MID(VLOOKUP($A264,Seqs!$A:$B,2,FALSE),VLOOKUP($A264,'SegEnds_NonXtal_Prot#'!$A:$AL,22,FALSE)+8,1)</f>
        <v>L</v>
      </c>
      <c r="AD264" s="50" t="str">
        <f>MID(VLOOKUP($A264,Seqs!$A:$B,2,FALSE),VLOOKUP($A264,'SegEnds_NonXtal_Prot#'!$A:$AL,22,FALSE)+9,1)</f>
        <v>P</v>
      </c>
      <c r="AE264" s="50" t="str">
        <f>MID(VLOOKUP($A264,Seqs!$A:$B,2,FALSE),VLOOKUP($A264,'SegEnds_NonXtal_Prot#'!$A:$AL,22,FALSE)+10,1)</f>
        <v>N</v>
      </c>
      <c r="AF264" s="28" t="str">
        <f>MID(VLOOKUP($A264,Seqs!$A:$B,2,FALSE),VLOOKUP($A264,'SegEnds_NonXtal_Prot#'!$A:$AL,28,FALSE)-4,1)</f>
        <v>I</v>
      </c>
      <c r="AG264" s="50" t="str">
        <f>MID(VLOOKUP($A264,Seqs!$A:$B,2,FALSE),VLOOKUP($A264,'SegEnds_NonXtal_Prot#'!$A:$AL,28,FALSE),1)</f>
        <v>V</v>
      </c>
    </row>
    <row r="265" spans="1:33" s="2" customFormat="1" x14ac:dyDescent="0.2">
      <c r="A265" s="2" t="s">
        <v>354</v>
      </c>
      <c r="B265" s="2" t="str">
        <f>LOWER(VLOOKUP(A265,Xtal_Templ!A:B,2,FALSE))</f>
        <v>p2y12_human</v>
      </c>
      <c r="C265" s="2" t="str">
        <f>VLOOKUP(A265,Classification!A:D,2,FALSE)</f>
        <v>A</v>
      </c>
      <c r="D265" s="2" t="str">
        <f>IF(ISERROR(MATCH(A265,'SegEnds_Xtal_Prot#'!B:B, 0)), "NoXtal", "Xtal")</f>
        <v>NoXtal</v>
      </c>
      <c r="G265" s="4"/>
      <c r="R265" s="2" t="s">
        <v>1328</v>
      </c>
      <c r="S265" s="4" t="s">
        <v>12</v>
      </c>
      <c r="U265" s="28" t="str">
        <f>MID(VLOOKUP($A265,Seqs!$A:$B,2,FALSE),VLOOKUP($A265,'SegEnds_NonXtal_Prot#'!A:AL,10,FALSE),1)</f>
        <v>D</v>
      </c>
      <c r="V265" s="50" t="str">
        <f>MID(VLOOKUP($A265,Seqs!$A:$B,2,FALSE),VLOOKUP($A265,'SegEnds_NonXtal_Prot#'!A:AL,10,FALSE)+6,1)</f>
        <v>T</v>
      </c>
      <c r="W265" s="50" t="str">
        <f>MID(VLOOKUP($A265,Seqs!$A:$B,2,FALSE),VLOOKUP($A265,'SegEnds_NonXtal_Prot#'!A:AL,10,FALSE)+7,1)</f>
        <v>F</v>
      </c>
      <c r="X265" s="50" t="str">
        <f>MID(VLOOKUP($A265,Seqs!$A:$B,2,FALSE),VLOOKUP($A265,'SegEnds_NonXtal_Prot#'!A:AL,10,FALSE)+8,1)</f>
        <v>P</v>
      </c>
      <c r="Y265" s="50" t="str">
        <f>MID(VLOOKUP($A265,Seqs!$A:$B,2,FALSE),VLOOKUP($A265,'SegEnds_NonXtal_Prot#'!A:AL,10,FALSE)+9,1)</f>
        <v>F</v>
      </c>
      <c r="Z265" s="50" t="str">
        <f>MID(VLOOKUP($A265,Seqs!$A:$B,2,FALSE),VLOOKUP($A265,'SegEnds_NonXtal_Prot#'!A:AL,10,FALSE)+10,1)</f>
        <v>K</v>
      </c>
      <c r="AA265" s="28" t="str">
        <f>MID(VLOOKUP($A265,Seqs!$A:$B,2,FALSE),VLOOKUP($A265,'SegEnds_NonXtal_Prot#'!$A:$AL,22,FALSE)+6,1)</f>
        <v>L</v>
      </c>
      <c r="AB265" s="50" t="str">
        <f>MID(VLOOKUP($A265,Seqs!$A:$B,2,FALSE),VLOOKUP($A265,'SegEnds_NonXtal_Prot#'!$A:$AL,22,FALSE)+7,1)</f>
        <v>A</v>
      </c>
      <c r="AC265" s="50" t="str">
        <f>MID(VLOOKUP($A265,Seqs!$A:$B,2,FALSE),VLOOKUP($A265,'SegEnds_NonXtal_Prot#'!$A:$AL,22,FALSE)+8,1)</f>
        <v>V</v>
      </c>
      <c r="AD265" s="50" t="str">
        <f>MID(VLOOKUP($A265,Seqs!$A:$B,2,FALSE),VLOOKUP($A265,'SegEnds_NonXtal_Prot#'!$A:$AL,22,FALSE)+9,1)</f>
        <v>P</v>
      </c>
      <c r="AE265" s="50" t="str">
        <f>MID(VLOOKUP($A265,Seqs!$A:$B,2,FALSE),VLOOKUP($A265,'SegEnds_NonXtal_Prot#'!$A:$AL,22,FALSE)+10,1)</f>
        <v>N</v>
      </c>
      <c r="AF265" s="28" t="str">
        <f>MID(VLOOKUP($A265,Seqs!$A:$B,2,FALSE),VLOOKUP($A265,'SegEnds_NonXtal_Prot#'!$A:$AL,28,FALSE)-4,1)</f>
        <v>I</v>
      </c>
      <c r="AG265" s="50" t="str">
        <f>MID(VLOOKUP($A265,Seqs!$A:$B,2,FALSE),VLOOKUP($A265,'SegEnds_NonXtal_Prot#'!$A:$AL,28,FALSE),1)</f>
        <v>V</v>
      </c>
    </row>
    <row r="266" spans="1:33" s="2" customFormat="1" x14ac:dyDescent="0.2">
      <c r="A266" s="2" t="s">
        <v>364</v>
      </c>
      <c r="B266" s="2" t="str">
        <f>LOWER(VLOOKUP(A266,Xtal_Templ!A:B,2,FALSE))</f>
        <v>par2_human</v>
      </c>
      <c r="C266" s="2" t="str">
        <f>VLOOKUP(A266,Classification!A:D,2,FALSE)</f>
        <v>A</v>
      </c>
      <c r="D266" s="2" t="str">
        <f>IF(ISERROR(MATCH(A266,'SegEnds_Xtal_Prot#'!B:B, 0)), "NoXtal", "Xtal")</f>
        <v>NoXtal</v>
      </c>
      <c r="F266" s="2" t="s">
        <v>5</v>
      </c>
      <c r="G266" s="4"/>
      <c r="S266" s="4" t="s">
        <v>12</v>
      </c>
      <c r="U266" s="28" t="str">
        <f>MID(VLOOKUP($A266,Seqs!$A:$B,2,FALSE),VLOOKUP($A266,'SegEnds_NonXtal_Prot#'!A:AL,10,FALSE),1)</f>
        <v>D</v>
      </c>
      <c r="V266" s="50" t="str">
        <f>MID(VLOOKUP($A266,Seqs!$A:$B,2,FALSE),VLOOKUP($A266,'SegEnds_NonXtal_Prot#'!A:AL,10,FALSE)+6,1)</f>
        <v>L</v>
      </c>
      <c r="W266" s="50" t="str">
        <f>MID(VLOOKUP($A266,Seqs!$A:$B,2,FALSE),VLOOKUP($A266,'SegEnds_NonXtal_Prot#'!A:AL,10,FALSE)+7,1)</f>
        <v>V</v>
      </c>
      <c r="X266" s="50" t="str">
        <f>MID(VLOOKUP($A266,Seqs!$A:$B,2,FALSE),VLOOKUP($A266,'SegEnds_NonXtal_Prot#'!A:AL,10,FALSE)+8,1)</f>
        <v>S</v>
      </c>
      <c r="Y266" s="50" t="str">
        <f>MID(VLOOKUP($A266,Seqs!$A:$B,2,FALSE),VLOOKUP($A266,'SegEnds_NonXtal_Prot#'!A:AL,10,FALSE)+9,1)</f>
        <v>P</v>
      </c>
      <c r="Z266" s="50" t="str">
        <f>MID(VLOOKUP($A266,Seqs!$A:$B,2,FALSE),VLOOKUP($A266,'SegEnds_NonXtal_Prot#'!A:AL,10,FALSE)+10,1)</f>
        <v>V</v>
      </c>
      <c r="AA266" s="28" t="str">
        <f>MID(VLOOKUP($A266,Seqs!$A:$B,2,FALSE),VLOOKUP($A266,'SegEnds_NonXtal_Prot#'!$A:$AL,22,FALSE)+6,1)</f>
        <v>F</v>
      </c>
      <c r="AB266" s="50" t="str">
        <f>MID(VLOOKUP($A266,Seqs!$A:$B,2,FALSE),VLOOKUP($A266,'SegEnds_NonXtal_Prot#'!$A:$AL,22,FALSE)+7,1)</f>
        <v>C</v>
      </c>
      <c r="AC266" s="50" t="str">
        <f>MID(VLOOKUP($A266,Seqs!$A:$B,2,FALSE),VLOOKUP($A266,'SegEnds_NonXtal_Prot#'!$A:$AL,22,FALSE)+8,1)</f>
        <v>A</v>
      </c>
      <c r="AD266" s="50" t="str">
        <f>MID(VLOOKUP($A266,Seqs!$A:$B,2,FALSE),VLOOKUP($A266,'SegEnds_NonXtal_Prot#'!$A:$AL,22,FALSE)+9,1)</f>
        <v>L</v>
      </c>
      <c r="AE266" s="50" t="str">
        <f>MID(VLOOKUP($A266,Seqs!$A:$B,2,FALSE),VLOOKUP($A266,'SegEnds_NonXtal_Prot#'!$A:$AL,22,FALSE)+10,1)</f>
        <v>P</v>
      </c>
      <c r="AF266" s="28" t="str">
        <f>MID(VLOOKUP($A266,Seqs!$A:$B,2,FALSE),VLOOKUP($A266,'SegEnds_NonXtal_Prot#'!$A:$AL,28,FALSE)-4,1)</f>
        <v>S</v>
      </c>
      <c r="AG266" s="50" t="str">
        <f>MID(VLOOKUP($A266,Seqs!$A:$B,2,FALSE),VLOOKUP($A266,'SegEnds_NonXtal_Prot#'!$A:$AL,28,FALSE),1)</f>
        <v>L</v>
      </c>
    </row>
    <row r="267" spans="1:33" s="2" customFormat="1" x14ac:dyDescent="0.2">
      <c r="A267" s="2" t="s">
        <v>365</v>
      </c>
      <c r="B267" s="2" t="str">
        <f>LOWER(VLOOKUP(A267,Xtal_Templ!A:B,2,FALSE))</f>
        <v>lpar1_human</v>
      </c>
      <c r="C267" s="2" t="str">
        <f>VLOOKUP(A267,Classification!A:D,2,FALSE)</f>
        <v>A</v>
      </c>
      <c r="D267" s="2" t="str">
        <f>IF(ISERROR(MATCH(A267,'SegEnds_Xtal_Prot#'!B:B, 0)), "NoXtal", "Xtal")</f>
        <v>NoXtal</v>
      </c>
      <c r="G267" s="4"/>
      <c r="S267" s="4" t="s">
        <v>12</v>
      </c>
      <c r="U267" s="28" t="str">
        <f>MID(VLOOKUP($A267,Seqs!$A:$B,2,FALSE),VLOOKUP($A267,'SegEnds_NonXtal_Prot#'!A:AL,10,FALSE),1)</f>
        <v>D</v>
      </c>
      <c r="V267" s="50" t="str">
        <f>MID(VLOOKUP($A267,Seqs!$A:$B,2,FALSE),VLOOKUP($A267,'SegEnds_NonXtal_Prot#'!A:AL,10,FALSE)+6,1)</f>
        <v>I</v>
      </c>
      <c r="W267" s="50" t="str">
        <f>MID(VLOOKUP($A267,Seqs!$A:$B,2,FALSE),VLOOKUP($A267,'SegEnds_NonXtal_Prot#'!A:AL,10,FALSE)+7,1)</f>
        <v>N</v>
      </c>
      <c r="X267" s="50" t="str">
        <f>MID(VLOOKUP($A267,Seqs!$A:$B,2,FALSE),VLOOKUP($A267,'SegEnds_NonXtal_Prot#'!A:AL,10,FALSE)+8,1)</f>
        <v>G</v>
      </c>
      <c r="Y267" s="50" t="str">
        <f>MID(VLOOKUP($A267,Seqs!$A:$B,2,FALSE),VLOOKUP($A267,'SegEnds_NonXtal_Prot#'!A:AL,10,FALSE)+9,1)</f>
        <v>A</v>
      </c>
      <c r="Z267" s="50" t="str">
        <f>MID(VLOOKUP($A267,Seqs!$A:$B,2,FALSE),VLOOKUP($A267,'SegEnds_NonXtal_Prot#'!A:AL,10,FALSE)+10,1)</f>
        <v>I</v>
      </c>
      <c r="AA267" s="28" t="str">
        <f>MID(VLOOKUP($A267,Seqs!$A:$B,2,FALSE),VLOOKUP($A267,'SegEnds_NonXtal_Prot#'!$A:$AL,22,FALSE)+6,1)</f>
        <v>I</v>
      </c>
      <c r="AB267" s="50" t="str">
        <f>MID(VLOOKUP($A267,Seqs!$A:$B,2,FALSE),VLOOKUP($A267,'SegEnds_NonXtal_Prot#'!$A:$AL,22,FALSE)+7,1)</f>
        <v>A</v>
      </c>
      <c r="AC267" s="50" t="str">
        <f>MID(VLOOKUP($A267,Seqs!$A:$B,2,FALSE),VLOOKUP($A267,'SegEnds_NonXtal_Prot#'!$A:$AL,22,FALSE)+8,1)</f>
        <v>L</v>
      </c>
      <c r="AD267" s="50" t="str">
        <f>MID(VLOOKUP($A267,Seqs!$A:$B,2,FALSE),VLOOKUP($A267,'SegEnds_NonXtal_Prot#'!$A:$AL,22,FALSE)+9,1)</f>
        <v>L</v>
      </c>
      <c r="AE267" s="50" t="str">
        <f>MID(VLOOKUP($A267,Seqs!$A:$B,2,FALSE),VLOOKUP($A267,'SegEnds_NonXtal_Prot#'!$A:$AL,22,FALSE)+10,1)</f>
        <v>P</v>
      </c>
      <c r="AF267" s="28" t="str">
        <f>MID(VLOOKUP($A267,Seqs!$A:$B,2,FALSE),VLOOKUP($A267,'SegEnds_NonXtal_Prot#'!$A:$AL,28,FALSE)-4,1)</f>
        <v>L</v>
      </c>
      <c r="AG267" s="50" t="str">
        <f>MID(VLOOKUP($A267,Seqs!$A:$B,2,FALSE),VLOOKUP($A267,'SegEnds_NonXtal_Prot#'!$A:$AL,28,FALSE),1)</f>
        <v>G</v>
      </c>
    </row>
    <row r="268" spans="1:33" s="2" customFormat="1" x14ac:dyDescent="0.2">
      <c r="A268" s="2" t="s">
        <v>371</v>
      </c>
      <c r="B268" s="2" t="str">
        <f>LOWER(VLOOKUP(A268,Xtal_Templ!A:B,2,FALSE))</f>
        <v>p2y12_human</v>
      </c>
      <c r="C268" s="2" t="str">
        <f>VLOOKUP(A268,Classification!A:D,2,FALSE)</f>
        <v>A</v>
      </c>
      <c r="D268" s="2" t="str">
        <f>IF(ISERROR(MATCH(A268,'SegEnds_Xtal_Prot#'!B:B, 0)), "NoXtal", "Xtal")</f>
        <v>NoXtal</v>
      </c>
      <c r="G268" s="4"/>
      <c r="S268" s="4" t="s">
        <v>12</v>
      </c>
      <c r="U268" s="28" t="str">
        <f>MID(VLOOKUP($A268,Seqs!$A:$B,2,FALSE),VLOOKUP($A268,'SegEnds_NonXtal_Prot#'!A:AL,10,FALSE),1)</f>
        <v>D</v>
      </c>
      <c r="V268" s="50" t="str">
        <f>MID(VLOOKUP($A268,Seqs!$A:$B,2,FALSE),VLOOKUP($A268,'SegEnds_NonXtal_Prot#'!A:AL,10,FALSE)+6,1)</f>
        <v>T</v>
      </c>
      <c r="W268" s="50" t="str">
        <f>MID(VLOOKUP($A268,Seqs!$A:$B,2,FALSE),VLOOKUP($A268,'SegEnds_NonXtal_Prot#'!A:AL,10,FALSE)+7,1)</f>
        <v>L</v>
      </c>
      <c r="X268" s="50" t="str">
        <f>MID(VLOOKUP($A268,Seqs!$A:$B,2,FALSE),VLOOKUP($A268,'SegEnds_NonXtal_Prot#'!A:AL,10,FALSE)+8,1)</f>
        <v>P</v>
      </c>
      <c r="Y268" s="50" t="str">
        <f>MID(VLOOKUP($A268,Seqs!$A:$B,2,FALSE),VLOOKUP($A268,'SegEnds_NonXtal_Prot#'!A:AL,10,FALSE)+9,1)</f>
        <v>L</v>
      </c>
      <c r="Z268" s="50" t="str">
        <f>MID(VLOOKUP($A268,Seqs!$A:$B,2,FALSE),VLOOKUP($A268,'SegEnds_NonXtal_Prot#'!A:AL,10,FALSE)+10,1)</f>
        <v>W</v>
      </c>
      <c r="AA268" s="28" t="str">
        <f>MID(VLOOKUP($A268,Seqs!$A:$B,2,FALSE),VLOOKUP($A268,'SegEnds_NonXtal_Prot#'!$A:$AL,22,FALSE)+6,1)</f>
        <v>A</v>
      </c>
      <c r="AB268" s="50" t="str">
        <f>MID(VLOOKUP($A268,Seqs!$A:$B,2,FALSE),VLOOKUP($A268,'SegEnds_NonXtal_Prot#'!$A:$AL,22,FALSE)+7,1)</f>
        <v>A</v>
      </c>
      <c r="AC268" s="50" t="str">
        <f>MID(VLOOKUP($A268,Seqs!$A:$B,2,FALSE),VLOOKUP($A268,'SegEnds_NonXtal_Prot#'!$A:$AL,22,FALSE)+8,1)</f>
        <v>S</v>
      </c>
      <c r="AD268" s="50" t="str">
        <f>MID(VLOOKUP($A268,Seqs!$A:$B,2,FALSE),VLOOKUP($A268,'SegEnds_NonXtal_Prot#'!$A:$AL,22,FALSE)+9,1)</f>
        <v>Y</v>
      </c>
      <c r="AE268" s="50" t="str">
        <f>MID(VLOOKUP($A268,Seqs!$A:$B,2,FALSE),VLOOKUP($A268,'SegEnds_NonXtal_Prot#'!$A:$AL,22,FALSE)+10,1)</f>
        <v>F</v>
      </c>
      <c r="AF268" s="28" t="str">
        <f>MID(VLOOKUP($A268,Seqs!$A:$B,2,FALSE),VLOOKUP($A268,'SegEnds_NonXtal_Prot#'!$A:$AL,28,FALSE)-4,1)</f>
        <v>S</v>
      </c>
      <c r="AG268" s="50" t="str">
        <f>MID(VLOOKUP($A268,Seqs!$A:$B,2,FALSE),VLOOKUP($A268,'SegEnds_NonXtal_Prot#'!$A:$AL,28,FALSE),1)</f>
        <v>V</v>
      </c>
    </row>
    <row r="269" spans="1:33" s="2" customFormat="1" x14ac:dyDescent="0.2">
      <c r="A269" s="2" t="s">
        <v>199</v>
      </c>
      <c r="B269" s="2" t="str">
        <f>LOWER(VLOOKUP(A269,Xtal_Templ!A:B,2,FALSE))</f>
        <v>par1_human</v>
      </c>
      <c r="C269" s="2" t="str">
        <f>VLOOKUP(A269,Classification!A:D,2,FALSE)</f>
        <v>A</v>
      </c>
      <c r="D269" s="2" t="str">
        <f>IF(ISERROR(MATCH(A269,'SegEnds_Xtal_Prot#'!B:B, 0)), "NoXtal", "Xtal")</f>
        <v>NoXtal</v>
      </c>
      <c r="G269" s="4"/>
      <c r="Q269" s="2" t="s">
        <v>9</v>
      </c>
      <c r="R269" s="2" t="s">
        <v>1328</v>
      </c>
      <c r="S269" s="4" t="s">
        <v>12</v>
      </c>
      <c r="U269" s="28" t="str">
        <f>MID(VLOOKUP($A269,Seqs!$A:$B,2,FALSE),VLOOKUP($A269,'SegEnds_NonXtal_Prot#'!A:AL,10,FALSE),1)</f>
        <v>D</v>
      </c>
      <c r="V269" s="50" t="str">
        <f>MID(VLOOKUP($A269,Seqs!$A:$B,2,FALSE),VLOOKUP($A269,'SegEnds_NonXtal_Prot#'!A:AL,10,FALSE)+6,1)</f>
        <v>F</v>
      </c>
      <c r="W269" s="50" t="str">
        <f>MID(VLOOKUP($A269,Seqs!$A:$B,2,FALSE),VLOOKUP($A269,'SegEnds_NonXtal_Prot#'!A:AL,10,FALSE)+7,1)</f>
        <v>L</v>
      </c>
      <c r="X269" s="50" t="str">
        <f>MID(VLOOKUP($A269,Seqs!$A:$B,2,FALSE),VLOOKUP($A269,'SegEnds_NonXtal_Prot#'!A:AL,10,FALSE)+8,1)</f>
        <v>P</v>
      </c>
      <c r="Y269" s="50" t="str">
        <f>MID(VLOOKUP($A269,Seqs!$A:$B,2,FALSE),VLOOKUP($A269,'SegEnds_NonXtal_Prot#'!A:AL,10,FALSE)+9,1)</f>
        <v>F</v>
      </c>
      <c r="Z269" s="50" t="str">
        <f>MID(VLOOKUP($A269,Seqs!$A:$B,2,FALSE),VLOOKUP($A269,'SegEnds_NonXtal_Prot#'!A:AL,10,FALSE)+10,1)</f>
        <v>R</v>
      </c>
      <c r="AA269" s="28" t="str">
        <f>MID(VLOOKUP($A269,Seqs!$A:$B,2,FALSE),VLOOKUP($A269,'SegEnds_NonXtal_Prot#'!$A:$AL,22,FALSE)+6,1)</f>
        <v>H</v>
      </c>
      <c r="AB269" s="50" t="str">
        <f>MID(VLOOKUP($A269,Seqs!$A:$B,2,FALSE),VLOOKUP($A269,'SegEnds_NonXtal_Prot#'!$A:$AL,22,FALSE)+7,1)</f>
        <v>C</v>
      </c>
      <c r="AC269" s="50" t="str">
        <f>MID(VLOOKUP($A269,Seqs!$A:$B,2,FALSE),VLOOKUP($A269,'SegEnds_NonXtal_Prot#'!$A:$AL,22,FALSE)+8,1)</f>
        <v>S</v>
      </c>
      <c r="AD269" s="50" t="str">
        <f>MID(VLOOKUP($A269,Seqs!$A:$B,2,FALSE),VLOOKUP($A269,'SegEnds_NonXtal_Prot#'!$A:$AL,22,FALSE)+9,1)</f>
        <v>V</v>
      </c>
      <c r="AE269" s="50" t="str">
        <f>MID(VLOOKUP($A269,Seqs!$A:$B,2,FALSE),VLOOKUP($A269,'SegEnds_NonXtal_Prot#'!$A:$AL,22,FALSE)+10,1)</f>
        <v>V</v>
      </c>
      <c r="AF269" s="28" t="str">
        <f>MID(VLOOKUP($A269,Seqs!$A:$B,2,FALSE),VLOOKUP($A269,'SegEnds_NonXtal_Prot#'!$A:$AL,28,FALSE)-4,1)</f>
        <v>L</v>
      </c>
      <c r="AG269" s="50" t="str">
        <f>MID(VLOOKUP($A269,Seqs!$A:$B,2,FALSE),VLOOKUP($A269,'SegEnds_NonXtal_Prot#'!$A:$AL,28,FALSE),1)</f>
        <v>P</v>
      </c>
    </row>
    <row r="270" spans="1:33" s="2" customFormat="1" x14ac:dyDescent="0.2">
      <c r="A270" s="2" t="s">
        <v>243</v>
      </c>
      <c r="B270" s="2" t="str">
        <f>LOWER(VLOOKUP(A270,Xtal_Templ!A:B,2,FALSE))</f>
        <v>oprk_human</v>
      </c>
      <c r="C270" s="2" t="str">
        <f>VLOOKUP(A270,Classification!A:D,2,FALSE)</f>
        <v>A</v>
      </c>
      <c r="D270" s="2" t="str">
        <f>IF(ISERROR(MATCH(A270,'SegEnds_Xtal_Prot#'!B:B, 0)), "NoXtal", "Xtal")</f>
        <v>NoXtal</v>
      </c>
      <c r="G270" s="4"/>
      <c r="Q270" s="2" t="s">
        <v>9</v>
      </c>
      <c r="S270" s="4" t="s">
        <v>12</v>
      </c>
      <c r="U270" s="28" t="str">
        <f>MID(VLOOKUP($A270,Seqs!$A:$B,2,FALSE),VLOOKUP($A270,'SegEnds_NonXtal_Prot#'!A:AL,10,FALSE),1)</f>
        <v>D</v>
      </c>
      <c r="V270" s="50" t="str">
        <f>MID(VLOOKUP($A270,Seqs!$A:$B,2,FALSE),VLOOKUP($A270,'SegEnds_NonXtal_Prot#'!A:AL,10,FALSE)+6,1)</f>
        <v>S</v>
      </c>
      <c r="W270" s="50" t="str">
        <f>MID(VLOOKUP($A270,Seqs!$A:$B,2,FALSE),VLOOKUP($A270,'SegEnds_NonXtal_Prot#'!A:AL,10,FALSE)+7,1)</f>
        <v>L</v>
      </c>
      <c r="X270" s="50" t="str">
        <f>MID(VLOOKUP($A270,Seqs!$A:$B,2,FALSE),VLOOKUP($A270,'SegEnds_NonXtal_Prot#'!A:AL,10,FALSE)+8,1)</f>
        <v>P</v>
      </c>
      <c r="Y270" s="50" t="str">
        <f>MID(VLOOKUP($A270,Seqs!$A:$B,2,FALSE),VLOOKUP($A270,'SegEnds_NonXtal_Prot#'!A:AL,10,FALSE)+9,1)</f>
        <v>T</v>
      </c>
      <c r="Z270" s="50" t="str">
        <f>MID(VLOOKUP($A270,Seqs!$A:$B,2,FALSE),VLOOKUP($A270,'SegEnds_NonXtal_Prot#'!A:AL,10,FALSE)+10,1)</f>
        <v>R</v>
      </c>
      <c r="AA270" s="28" t="str">
        <f>MID(VLOOKUP($A270,Seqs!$A:$B,2,FALSE),VLOOKUP($A270,'SegEnds_NonXtal_Prot#'!$A:$AL,22,FALSE)+6,1)</f>
        <v>V</v>
      </c>
      <c r="AB270" s="50" t="str">
        <f>MID(VLOOKUP($A270,Seqs!$A:$B,2,FALSE),VLOOKUP($A270,'SegEnds_NonXtal_Prot#'!$A:$AL,22,FALSE)+7,1)</f>
        <v>T</v>
      </c>
      <c r="AC270" s="50" t="str">
        <f>MID(VLOOKUP($A270,Seqs!$A:$B,2,FALSE),VLOOKUP($A270,'SegEnds_NonXtal_Prot#'!$A:$AL,22,FALSE)+8,1)</f>
        <v>L</v>
      </c>
      <c r="AD270" s="50" t="str">
        <f>MID(VLOOKUP($A270,Seqs!$A:$B,2,FALSE),VLOOKUP($A270,'SegEnds_NonXtal_Prot#'!$A:$AL,22,FALSE)+9,1)</f>
        <v>S</v>
      </c>
      <c r="AE270" s="50" t="str">
        <f>MID(VLOOKUP($A270,Seqs!$A:$B,2,FALSE),VLOOKUP($A270,'SegEnds_NonXtal_Prot#'!$A:$AL,22,FALSE)+10,1)</f>
        <v>V</v>
      </c>
      <c r="AF270" s="28" t="str">
        <f>MID(VLOOKUP($A270,Seqs!$A:$B,2,FALSE),VLOOKUP($A270,'SegEnds_NonXtal_Prot#'!$A:$AL,28,FALSE)-4,1)</f>
        <v>E</v>
      </c>
      <c r="AG270" s="50" t="str">
        <f>MID(VLOOKUP($A270,Seqs!$A:$B,2,FALSE),VLOOKUP($A270,'SegEnds_NonXtal_Prot#'!$A:$AL,28,FALSE),1)</f>
        <v>P</v>
      </c>
    </row>
    <row r="271" spans="1:33" s="2" customFormat="1" x14ac:dyDescent="0.2">
      <c r="A271" s="2" t="s">
        <v>254</v>
      </c>
      <c r="B271" s="2" t="str">
        <f>LOWER(VLOOKUP(A271,Xtal_Templ!A:B,2,FALSE))</f>
        <v>ccr2_human</v>
      </c>
      <c r="C271" s="2" t="str">
        <f>VLOOKUP(A271,Classification!A:D,2,FALSE)</f>
        <v>A</v>
      </c>
      <c r="D271" s="2" t="str">
        <f>IF(ISERROR(MATCH(A271,'SegEnds_Xtal_Prot#'!B:B, 0)), "NoXtal", "Xtal")</f>
        <v>NoXtal</v>
      </c>
      <c r="G271" s="4"/>
      <c r="Q271" s="2" t="s">
        <v>9</v>
      </c>
      <c r="S271" s="4" t="s">
        <v>12</v>
      </c>
      <c r="U271" s="28" t="str">
        <f>MID(VLOOKUP($A271,Seqs!$A:$B,2,FALSE),VLOOKUP($A271,'SegEnds_NonXtal_Prot#'!A:AL,10,FALSE),1)</f>
        <v>D</v>
      </c>
      <c r="V271" s="50" t="str">
        <f>MID(VLOOKUP($A271,Seqs!$A:$B,2,FALSE),VLOOKUP($A271,'SegEnds_NonXtal_Prot#'!A:AL,10,FALSE)+6,1)</f>
        <v>T</v>
      </c>
      <c r="W271" s="50" t="str">
        <f>MID(VLOOKUP($A271,Seqs!$A:$B,2,FALSE),VLOOKUP($A271,'SegEnds_NonXtal_Prot#'!A:AL,10,FALSE)+7,1)</f>
        <v>L</v>
      </c>
      <c r="X271" s="50" t="str">
        <f>MID(VLOOKUP($A271,Seqs!$A:$B,2,FALSE),VLOOKUP($A271,'SegEnds_NonXtal_Prot#'!A:AL,10,FALSE)+8,1)</f>
        <v>P</v>
      </c>
      <c r="Y271" s="50" t="str">
        <f>MID(VLOOKUP($A271,Seqs!$A:$B,2,FALSE),VLOOKUP($A271,'SegEnds_NonXtal_Prot#'!A:AL,10,FALSE)+9,1)</f>
        <v>F</v>
      </c>
      <c r="Z271" s="50" t="str">
        <f>MID(VLOOKUP($A271,Seqs!$A:$B,2,FALSE),VLOOKUP($A271,'SegEnds_NonXtal_Prot#'!A:AL,10,FALSE)+10,1)</f>
        <v>V</v>
      </c>
      <c r="AA271" s="28" t="str">
        <f>MID(VLOOKUP($A271,Seqs!$A:$B,2,FALSE),VLOOKUP($A271,'SegEnds_NonXtal_Prot#'!$A:$AL,22,FALSE)+6,1)</f>
        <v>S</v>
      </c>
      <c r="AB271" s="50" t="str">
        <f>MID(VLOOKUP($A271,Seqs!$A:$B,2,FALSE),VLOOKUP($A271,'SegEnds_NonXtal_Prot#'!$A:$AL,22,FALSE)+7,1)</f>
        <v>L</v>
      </c>
      <c r="AC271" s="50" t="str">
        <f>MID(VLOOKUP($A271,Seqs!$A:$B,2,FALSE),VLOOKUP($A271,'SegEnds_NonXtal_Prot#'!$A:$AL,22,FALSE)+8,1)</f>
        <v>V</v>
      </c>
      <c r="AD271" s="50" t="str">
        <f>MID(VLOOKUP($A271,Seqs!$A:$B,2,FALSE),VLOOKUP($A271,'SegEnds_NonXtal_Prot#'!$A:$AL,22,FALSE)+9,1)</f>
        <v>A</v>
      </c>
      <c r="AE271" s="50" t="str">
        <f>MID(VLOOKUP($A271,Seqs!$A:$B,2,FALSE),VLOOKUP($A271,'SegEnds_NonXtal_Prot#'!$A:$AL,22,FALSE)+10,1)</f>
        <v>R</v>
      </c>
      <c r="AF271" s="28" t="str">
        <f>MID(VLOOKUP($A271,Seqs!$A:$B,2,FALSE),VLOOKUP($A271,'SegEnds_NonXtal_Prot#'!$A:$AL,28,FALSE)-4,1)</f>
        <v>G</v>
      </c>
      <c r="AG271" s="50" t="str">
        <f>MID(VLOOKUP($A271,Seqs!$A:$B,2,FALSE),VLOOKUP($A271,'SegEnds_NonXtal_Prot#'!$A:$AL,28,FALSE),1)</f>
        <v>P</v>
      </c>
    </row>
    <row r="272" spans="1:33" s="2" customFormat="1" x14ac:dyDescent="0.2">
      <c r="A272" s="2" t="s">
        <v>258</v>
      </c>
      <c r="B272" s="2" t="str">
        <f>LOWER(VLOOKUP(A272,Xtal_Templ!A:B,2,FALSE))</f>
        <v>par1_human</v>
      </c>
      <c r="C272" s="2" t="str">
        <f>VLOOKUP(A272,Classification!A:D,2,FALSE)</f>
        <v>A</v>
      </c>
      <c r="D272" s="2" t="str">
        <f>IF(ISERROR(MATCH(A272,'SegEnds_Xtal_Prot#'!B:B, 0)), "NoXtal", "Xtal")</f>
        <v>NoXtal</v>
      </c>
      <c r="G272" s="4"/>
      <c r="Q272" s="2" t="s">
        <v>9</v>
      </c>
      <c r="R272" s="2" t="s">
        <v>1328</v>
      </c>
      <c r="S272" s="4" t="s">
        <v>12</v>
      </c>
      <c r="U272" s="28" t="str">
        <f>MID(VLOOKUP($A272,Seqs!$A:$B,2,FALSE),VLOOKUP($A272,'SegEnds_NonXtal_Prot#'!A:AL,10,FALSE),1)</f>
        <v>D</v>
      </c>
      <c r="V272" s="50" t="str">
        <f>MID(VLOOKUP($A272,Seqs!$A:$B,2,FALSE),VLOOKUP($A272,'SegEnds_NonXtal_Prot#'!A:AL,10,FALSE)+6,1)</f>
        <v>F</v>
      </c>
      <c r="W272" s="50" t="str">
        <f>MID(VLOOKUP($A272,Seqs!$A:$B,2,FALSE),VLOOKUP($A272,'SegEnds_NonXtal_Prot#'!A:AL,10,FALSE)+7,1)</f>
        <v>L</v>
      </c>
      <c r="X272" s="50" t="str">
        <f>MID(VLOOKUP($A272,Seqs!$A:$B,2,FALSE),VLOOKUP($A272,'SegEnds_NonXtal_Prot#'!A:AL,10,FALSE)+8,1)</f>
        <v>P</v>
      </c>
      <c r="Y272" s="50" t="str">
        <f>MID(VLOOKUP($A272,Seqs!$A:$B,2,FALSE),VLOOKUP($A272,'SegEnds_NonXtal_Prot#'!A:AL,10,FALSE)+9,1)</f>
        <v>F</v>
      </c>
      <c r="Z272" s="50" t="str">
        <f>MID(VLOOKUP($A272,Seqs!$A:$B,2,FALSE),VLOOKUP($A272,'SegEnds_NonXtal_Prot#'!A:AL,10,FALSE)+10,1)</f>
        <v>R</v>
      </c>
      <c r="AA272" s="28" t="str">
        <f>MID(VLOOKUP($A272,Seqs!$A:$B,2,FALSE),VLOOKUP($A272,'SegEnds_NonXtal_Prot#'!$A:$AL,22,FALSE)+6,1)</f>
        <v>H</v>
      </c>
      <c r="AB272" s="50" t="str">
        <f>MID(VLOOKUP($A272,Seqs!$A:$B,2,FALSE),VLOOKUP($A272,'SegEnds_NonXtal_Prot#'!$A:$AL,22,FALSE)+7,1)</f>
        <v>C</v>
      </c>
      <c r="AC272" s="50" t="str">
        <f>MID(VLOOKUP($A272,Seqs!$A:$B,2,FALSE),VLOOKUP($A272,'SegEnds_NonXtal_Prot#'!$A:$AL,22,FALSE)+8,1)</f>
        <v>S</v>
      </c>
      <c r="AD272" s="50" t="str">
        <f>MID(VLOOKUP($A272,Seqs!$A:$B,2,FALSE),VLOOKUP($A272,'SegEnds_NonXtal_Prot#'!$A:$AL,22,FALSE)+9,1)</f>
        <v>V</v>
      </c>
      <c r="AE272" s="50" t="str">
        <f>MID(VLOOKUP($A272,Seqs!$A:$B,2,FALSE),VLOOKUP($A272,'SegEnds_NonXtal_Prot#'!$A:$AL,22,FALSE)+10,1)</f>
        <v>V</v>
      </c>
      <c r="AF272" s="28" t="str">
        <f>MID(VLOOKUP($A272,Seqs!$A:$B,2,FALSE),VLOOKUP($A272,'SegEnds_NonXtal_Prot#'!$A:$AL,28,FALSE)-4,1)</f>
        <v>L</v>
      </c>
      <c r="AG272" s="50" t="str">
        <f>MID(VLOOKUP($A272,Seqs!$A:$B,2,FALSE),VLOOKUP($A272,'SegEnds_NonXtal_Prot#'!$A:$AL,28,FALSE),1)</f>
        <v>P</v>
      </c>
    </row>
    <row r="273" spans="1:33" s="2" customFormat="1" x14ac:dyDescent="0.2">
      <c r="A273" s="2" t="s">
        <v>261</v>
      </c>
      <c r="B273" s="2" t="str">
        <f>LOWER(VLOOKUP(A273,Xtal_Templ!A:B,2,FALSE))</f>
        <v>oprk_human</v>
      </c>
      <c r="C273" s="2" t="str">
        <f>VLOOKUP(A273,Classification!A:D,2,FALSE)</f>
        <v>A</v>
      </c>
      <c r="D273" s="2" t="str">
        <f>IF(ISERROR(MATCH(A273,'SegEnds_Xtal_Prot#'!B:B, 0)), "NoXtal", "Xtal")</f>
        <v>NoXtal</v>
      </c>
      <c r="G273" s="4"/>
      <c r="M273" s="2" t="s">
        <v>14</v>
      </c>
      <c r="Q273" s="2" t="s">
        <v>9</v>
      </c>
      <c r="S273" s="4" t="s">
        <v>12</v>
      </c>
      <c r="U273" s="28" t="str">
        <f>MID(VLOOKUP($A273,Seqs!$A:$B,2,FALSE),VLOOKUP($A273,'SegEnds_NonXtal_Prot#'!A:AL,10,FALSE),1)</f>
        <v>D</v>
      </c>
      <c r="V273" s="50" t="str">
        <f>MID(VLOOKUP($A273,Seqs!$A:$B,2,FALSE),VLOOKUP($A273,'SegEnds_NonXtal_Prot#'!A:AL,10,FALSE)+6,1)</f>
        <v>S</v>
      </c>
      <c r="W273" s="50" t="str">
        <f>MID(VLOOKUP($A273,Seqs!$A:$B,2,FALSE),VLOOKUP($A273,'SegEnds_NonXtal_Prot#'!A:AL,10,FALSE)+7,1)</f>
        <v>L</v>
      </c>
      <c r="X273" s="50" t="str">
        <f>MID(VLOOKUP($A273,Seqs!$A:$B,2,FALSE),VLOOKUP($A273,'SegEnds_NonXtal_Prot#'!A:AL,10,FALSE)+8,1)</f>
        <v>P</v>
      </c>
      <c r="Y273" s="50" t="str">
        <f>MID(VLOOKUP($A273,Seqs!$A:$B,2,FALSE),VLOOKUP($A273,'SegEnds_NonXtal_Prot#'!A:AL,10,FALSE)+9,1)</f>
        <v>F</v>
      </c>
      <c r="Z273" s="50" t="str">
        <f>MID(VLOOKUP($A273,Seqs!$A:$B,2,FALSE),VLOOKUP($A273,'SegEnds_NonXtal_Prot#'!A:AL,10,FALSE)+10,1)</f>
        <v>K</v>
      </c>
      <c r="AA273" s="28" t="str">
        <f>MID(VLOOKUP($A273,Seqs!$A:$B,2,FALSE),VLOOKUP($A273,'SegEnds_NonXtal_Prot#'!$A:$AL,22,FALSE)+6,1)</f>
        <v>G</v>
      </c>
      <c r="AB273" s="50" t="str">
        <f>MID(VLOOKUP($A273,Seqs!$A:$B,2,FALSE),VLOOKUP($A273,'SegEnds_NonXtal_Prot#'!$A:$AL,22,FALSE)+7,1)</f>
        <v>S</v>
      </c>
      <c r="AC273" s="50" t="str">
        <f>MID(VLOOKUP($A273,Seqs!$A:$B,2,FALSE),VLOOKUP($A273,'SegEnds_NonXtal_Prot#'!$A:$AL,22,FALSE)+8,1)</f>
        <v>I</v>
      </c>
      <c r="AD273" s="50" t="str">
        <f>MID(VLOOKUP($A273,Seqs!$A:$B,2,FALSE),VLOOKUP($A273,'SegEnds_NonXtal_Prot#'!$A:$AL,22,FALSE)+9,1)</f>
        <v>P</v>
      </c>
      <c r="AE273" s="50" t="str">
        <f>MID(VLOOKUP($A273,Seqs!$A:$B,2,FALSE),VLOOKUP($A273,'SegEnds_NonXtal_Prot#'!$A:$AL,22,FALSE)+10,1)</f>
        <v>I</v>
      </c>
      <c r="AF273" s="28" t="str">
        <f>MID(VLOOKUP($A273,Seqs!$A:$B,2,FALSE),VLOOKUP($A273,'SegEnds_NonXtal_Prot#'!$A:$AL,28,FALSE)-4,1)</f>
        <v>G</v>
      </c>
      <c r="AG273" s="50" t="str">
        <f>MID(VLOOKUP($A273,Seqs!$A:$B,2,FALSE),VLOOKUP($A273,'SegEnds_NonXtal_Prot#'!$A:$AL,28,FALSE),1)</f>
        <v>P</v>
      </c>
    </row>
    <row r="274" spans="1:33" s="2" customFormat="1" x14ac:dyDescent="0.2">
      <c r="A274" s="2" t="s">
        <v>302</v>
      </c>
      <c r="B274" s="2" t="str">
        <f>LOWER(VLOOKUP(A274,Xtal_Templ!A:B,2,FALSE))</f>
        <v>cxcr4_human</v>
      </c>
      <c r="C274" s="2" t="str">
        <f>VLOOKUP(A274,Classification!A:D,2,FALSE)</f>
        <v>A</v>
      </c>
      <c r="D274" s="2" t="str">
        <f>IF(ISERROR(MATCH(A274,'SegEnds_Xtal_Prot#'!B:B, 0)), "NoXtal", "Xtal")</f>
        <v>NoXtal</v>
      </c>
      <c r="G274" s="4"/>
      <c r="S274" s="4" t="s">
        <v>12</v>
      </c>
      <c r="U274" s="28" t="str">
        <f>MID(VLOOKUP($A274,Seqs!$A:$B,2,FALSE),VLOOKUP($A274,'SegEnds_NonXtal_Prot#'!A:AL,10,FALSE),1)</f>
        <v>D</v>
      </c>
      <c r="V274" s="50" t="str">
        <f>MID(VLOOKUP($A274,Seqs!$A:$B,2,FALSE),VLOOKUP($A274,'SegEnds_NonXtal_Prot#'!A:AL,10,FALSE)+6,1)</f>
        <v>C</v>
      </c>
      <c r="W274" s="50" t="str">
        <f>MID(VLOOKUP($A274,Seqs!$A:$B,2,FALSE),VLOOKUP($A274,'SegEnds_NonXtal_Prot#'!A:AL,10,FALSE)+7,1)</f>
        <v>H</v>
      </c>
      <c r="X274" s="50" t="str">
        <f>MID(VLOOKUP($A274,Seqs!$A:$B,2,FALSE),VLOOKUP($A274,'SegEnds_NonXtal_Prot#'!A:AL,10,FALSE)+8,1)</f>
        <v>M</v>
      </c>
      <c r="Y274" s="50" t="str">
        <f>MID(VLOOKUP($A274,Seqs!$A:$B,2,FALSE),VLOOKUP($A274,'SegEnds_NonXtal_Prot#'!A:AL,10,FALSE)+9,1)</f>
        <v>V</v>
      </c>
      <c r="Z274" s="50" t="str">
        <f>MID(VLOOKUP($A274,Seqs!$A:$B,2,FALSE),VLOOKUP($A274,'SegEnds_NonXtal_Prot#'!A:AL,10,FALSE)+10,1)</f>
        <v>A</v>
      </c>
      <c r="AA274" s="28" t="str">
        <f>MID(VLOOKUP($A274,Seqs!$A:$B,2,FALSE),VLOOKUP($A274,'SegEnds_NonXtal_Prot#'!$A:$AL,22,FALSE)+6,1)</f>
        <v>L</v>
      </c>
      <c r="AB274" s="50" t="str">
        <f>MID(VLOOKUP($A274,Seqs!$A:$B,2,FALSE),VLOOKUP($A274,'SegEnds_NonXtal_Prot#'!$A:$AL,22,FALSE)+7,1)</f>
        <v>H</v>
      </c>
      <c r="AC274" s="50" t="str">
        <f>MID(VLOOKUP($A274,Seqs!$A:$B,2,FALSE),VLOOKUP($A274,'SegEnds_NonXtal_Prot#'!$A:$AL,22,FALSE)+8,1)</f>
        <v>L</v>
      </c>
      <c r="AD274" s="50" t="str">
        <f>MID(VLOOKUP($A274,Seqs!$A:$B,2,FALSE),VLOOKUP($A274,'SegEnds_NonXtal_Prot#'!$A:$AL,22,FALSE)+9,1)</f>
        <v>L</v>
      </c>
      <c r="AE274" s="50" t="str">
        <f>MID(VLOOKUP($A274,Seqs!$A:$B,2,FALSE),VLOOKUP($A274,'SegEnds_NonXtal_Prot#'!$A:$AL,22,FALSE)+10,1)</f>
        <v>L</v>
      </c>
      <c r="AF274" s="28" t="str">
        <f>MID(VLOOKUP($A274,Seqs!$A:$B,2,FALSE),VLOOKUP($A274,'SegEnds_NonXtal_Prot#'!$A:$AL,28,FALSE)-4,1)</f>
        <v>A</v>
      </c>
      <c r="AG274" s="50" t="str">
        <f>MID(VLOOKUP($A274,Seqs!$A:$B,2,FALSE),VLOOKUP($A274,'SegEnds_NonXtal_Prot#'!$A:$AL,28,FALSE),1)</f>
        <v>C</v>
      </c>
    </row>
    <row r="275" spans="1:33" s="2" customFormat="1" x14ac:dyDescent="0.2">
      <c r="A275" s="2" t="s">
        <v>349</v>
      </c>
      <c r="B275" s="2" t="str">
        <f>LOWER(VLOOKUP(A275,Xtal_Templ!A:B,2,FALSE))</f>
        <v>par1_human</v>
      </c>
      <c r="C275" s="2" t="str">
        <f>VLOOKUP(A275,Classification!A:D,2,FALSE)</f>
        <v>A</v>
      </c>
      <c r="D275" s="2" t="str">
        <f>IF(ISERROR(MATCH(A275,'SegEnds_Xtal_Prot#'!B:B, 0)), "NoXtal", "Xtal")</f>
        <v>NoXtal</v>
      </c>
      <c r="G275" s="4"/>
      <c r="Q275" s="2" t="s">
        <v>9</v>
      </c>
      <c r="R275" s="2" t="s">
        <v>1328</v>
      </c>
      <c r="S275" s="4" t="s">
        <v>12</v>
      </c>
      <c r="U275" s="28" t="str">
        <f>MID(VLOOKUP($A275,Seqs!$A:$B,2,FALSE),VLOOKUP($A275,'SegEnds_NonXtal_Prot#'!A:AL,10,FALSE),1)</f>
        <v>D</v>
      </c>
      <c r="V275" s="50" t="str">
        <f>MID(VLOOKUP($A275,Seqs!$A:$B,2,FALSE),VLOOKUP($A275,'SegEnds_NonXtal_Prot#'!A:AL,10,FALSE)+6,1)</f>
        <v>V</v>
      </c>
      <c r="W275" s="50" t="str">
        <f>MID(VLOOKUP($A275,Seqs!$A:$B,2,FALSE),VLOOKUP($A275,'SegEnds_NonXtal_Prot#'!A:AL,10,FALSE)+7,1)</f>
        <v>L</v>
      </c>
      <c r="X275" s="50" t="str">
        <f>MID(VLOOKUP($A275,Seqs!$A:$B,2,FALSE),VLOOKUP($A275,'SegEnds_NonXtal_Prot#'!A:AL,10,FALSE)+8,1)</f>
        <v>P</v>
      </c>
      <c r="Y275" s="50" t="str">
        <f>MID(VLOOKUP($A275,Seqs!$A:$B,2,FALSE),VLOOKUP($A275,'SegEnds_NonXtal_Prot#'!A:AL,10,FALSE)+9,1)</f>
        <v>F</v>
      </c>
      <c r="Z275" s="50" t="str">
        <f>MID(VLOOKUP($A275,Seqs!$A:$B,2,FALSE),VLOOKUP($A275,'SegEnds_NonXtal_Prot#'!A:AL,10,FALSE)+10,1)</f>
        <v>Q</v>
      </c>
      <c r="AA275" s="28" t="str">
        <f>MID(VLOOKUP($A275,Seqs!$A:$B,2,FALSE),VLOOKUP($A275,'SegEnds_NonXtal_Prot#'!$A:$AL,22,FALSE)+6,1)</f>
        <v>A</v>
      </c>
      <c r="AB275" s="50" t="str">
        <f>MID(VLOOKUP($A275,Seqs!$A:$B,2,FALSE),VLOOKUP($A275,'SegEnds_NonXtal_Prot#'!$A:$AL,22,FALSE)+7,1)</f>
        <v>L</v>
      </c>
      <c r="AC275" s="50" t="str">
        <f>MID(VLOOKUP($A275,Seqs!$A:$B,2,FALSE),VLOOKUP($A275,'SegEnds_NonXtal_Prot#'!$A:$AL,22,FALSE)+8,1)</f>
        <v>S</v>
      </c>
      <c r="AD275" s="50" t="str">
        <f>MID(VLOOKUP($A275,Seqs!$A:$B,2,FALSE),VLOOKUP($A275,'SegEnds_NonXtal_Prot#'!$A:$AL,22,FALSE)+9,1)</f>
        <v>P</v>
      </c>
      <c r="AE275" s="50" t="str">
        <f>MID(VLOOKUP($A275,Seqs!$A:$B,2,FALSE),VLOOKUP($A275,'SegEnds_NonXtal_Prot#'!$A:$AL,22,FALSE)+10,1)</f>
        <v>L</v>
      </c>
      <c r="AF275" s="28" t="str">
        <f>MID(VLOOKUP($A275,Seqs!$A:$B,2,FALSE),VLOOKUP($A275,'SegEnds_NonXtal_Prot#'!$A:$AL,28,FALSE)-4,1)</f>
        <v>L</v>
      </c>
      <c r="AG275" s="50" t="str">
        <f>MID(VLOOKUP($A275,Seqs!$A:$B,2,FALSE),VLOOKUP($A275,'SegEnds_NonXtal_Prot#'!$A:$AL,28,FALSE),1)</f>
        <v>P</v>
      </c>
    </row>
    <row r="276" spans="1:33" s="2" customFormat="1" x14ac:dyDescent="0.2">
      <c r="A276" s="2" t="s">
        <v>355</v>
      </c>
      <c r="B276" s="2" t="str">
        <f>LOWER(VLOOKUP(A276,Xtal_Templ!A:B,2,FALSE))</f>
        <v>par1_human</v>
      </c>
      <c r="C276" s="2" t="str">
        <f>VLOOKUP(A276,Classification!A:D,2,FALSE)</f>
        <v>A</v>
      </c>
      <c r="D276" s="2" t="str">
        <f>IF(ISERROR(MATCH(A276,'SegEnds_Xtal_Prot#'!B:B, 0)), "NoXtal", "Xtal")</f>
        <v>Xtal</v>
      </c>
      <c r="G276" s="4"/>
      <c r="M276" s="2" t="s">
        <v>14</v>
      </c>
      <c r="R276" s="2" t="s">
        <v>1328</v>
      </c>
      <c r="S276" s="4" t="s">
        <v>12</v>
      </c>
      <c r="U276" s="28" t="str">
        <f>MID(VLOOKUP($A276,Seqs!$A:$B,2,FALSE),VLOOKUP($A276,'SegEnds_NonXtal_Prot#'!A:AL,10,FALSE),1)</f>
        <v>D</v>
      </c>
      <c r="V276" s="50" t="str">
        <f>MID(VLOOKUP($A276,Seqs!$A:$B,2,FALSE),VLOOKUP($A276,'SegEnds_NonXtal_Prot#'!A:AL,10,FALSE)+6,1)</f>
        <v>V</v>
      </c>
      <c r="W276" s="50" t="str">
        <f>MID(VLOOKUP($A276,Seqs!$A:$B,2,FALSE),VLOOKUP($A276,'SegEnds_NonXtal_Prot#'!A:AL,10,FALSE)+7,1)</f>
        <v>L</v>
      </c>
      <c r="X276" s="50" t="str">
        <f>MID(VLOOKUP($A276,Seqs!$A:$B,2,FALSE),VLOOKUP($A276,'SegEnds_NonXtal_Prot#'!A:AL,10,FALSE)+8,1)</f>
        <v>P</v>
      </c>
      <c r="Y276" s="50" t="str">
        <f>MID(VLOOKUP($A276,Seqs!$A:$B,2,FALSE),VLOOKUP($A276,'SegEnds_NonXtal_Prot#'!A:AL,10,FALSE)+9,1)</f>
        <v>F</v>
      </c>
      <c r="Z276" s="50" t="str">
        <f>MID(VLOOKUP($A276,Seqs!$A:$B,2,FALSE),VLOOKUP($A276,'SegEnds_NonXtal_Prot#'!A:AL,10,FALSE)+10,1)</f>
        <v>K</v>
      </c>
      <c r="AA276" s="28" t="str">
        <f>MID(VLOOKUP($A276,Seqs!$A:$B,2,FALSE),VLOOKUP($A276,'SegEnds_NonXtal_Prot#'!$A:$AL,22,FALSE)+6,1)</f>
        <v>G</v>
      </c>
      <c r="AB276" s="50" t="str">
        <f>MID(VLOOKUP($A276,Seqs!$A:$B,2,FALSE),VLOOKUP($A276,'SegEnds_NonXtal_Prot#'!$A:$AL,22,FALSE)+7,1)</f>
        <v>V</v>
      </c>
      <c r="AC276" s="50" t="str">
        <f>MID(VLOOKUP($A276,Seqs!$A:$B,2,FALSE),VLOOKUP($A276,'SegEnds_NonXtal_Prot#'!$A:$AL,22,FALSE)+8,1)</f>
        <v>V</v>
      </c>
      <c r="AD276" s="50" t="str">
        <f>MID(VLOOKUP($A276,Seqs!$A:$B,2,FALSE),VLOOKUP($A276,'SegEnds_NonXtal_Prot#'!$A:$AL,22,FALSE)+9,1)</f>
        <v>P</v>
      </c>
      <c r="AE276" s="50" t="str">
        <f>MID(VLOOKUP($A276,Seqs!$A:$B,2,FALSE),VLOOKUP($A276,'SegEnds_NonXtal_Prot#'!$A:$AL,22,FALSE)+10,1)</f>
        <v>L</v>
      </c>
      <c r="AF276" s="28" t="str">
        <f>MID(VLOOKUP($A276,Seqs!$A:$B,2,FALSE),VLOOKUP($A276,'SegEnds_NonXtal_Prot#'!$A:$AL,28,FALSE)-4,1)</f>
        <v>F</v>
      </c>
      <c r="AG276" s="50" t="str">
        <f>MID(VLOOKUP($A276,Seqs!$A:$B,2,FALSE),VLOOKUP($A276,'SegEnds_NonXtal_Prot#'!$A:$AL,28,FALSE),1)</f>
        <v>P</v>
      </c>
    </row>
    <row r="277" spans="1:33" s="2" customFormat="1" x14ac:dyDescent="0.2">
      <c r="A277" s="2" t="s">
        <v>356</v>
      </c>
      <c r="B277" s="2" t="str">
        <f>LOWER(VLOOKUP(A277,Xtal_Templ!A:B,2,FALSE))</f>
        <v>par2_human</v>
      </c>
      <c r="C277" s="2" t="str">
        <f>VLOOKUP(A277,Classification!A:D,2,FALSE)</f>
        <v>A</v>
      </c>
      <c r="D277" s="2" t="str">
        <f>IF(ISERROR(MATCH(A277,'SegEnds_Xtal_Prot#'!B:B, 0)), "NoXtal", "Xtal")</f>
        <v>Xtal</v>
      </c>
      <c r="G277" s="4"/>
      <c r="M277" s="2" t="s">
        <v>14</v>
      </c>
      <c r="Q277" s="2" t="s">
        <v>9</v>
      </c>
      <c r="R277" s="2" t="s">
        <v>1328</v>
      </c>
      <c r="S277" s="4" t="s">
        <v>12</v>
      </c>
      <c r="U277" s="28" t="str">
        <f>MID(VLOOKUP($A277,Seqs!$A:$B,2,FALSE),VLOOKUP($A277,'SegEnds_NonXtal_Prot#'!A:AL,10,FALSE),1)</f>
        <v>D</v>
      </c>
      <c r="V277" s="50" t="str">
        <f>MID(VLOOKUP($A277,Seqs!$A:$B,2,FALSE),VLOOKUP($A277,'SegEnds_NonXtal_Prot#'!A:AL,10,FALSE)+6,1)</f>
        <v>W</v>
      </c>
      <c r="W277" s="50" t="str">
        <f>MID(VLOOKUP($A277,Seqs!$A:$B,2,FALSE),VLOOKUP($A277,'SegEnds_NonXtal_Prot#'!A:AL,10,FALSE)+7,1)</f>
        <v>F</v>
      </c>
      <c r="X277" s="50" t="str">
        <f>MID(VLOOKUP($A277,Seqs!$A:$B,2,FALSE),VLOOKUP($A277,'SegEnds_NonXtal_Prot#'!A:AL,10,FALSE)+8,1)</f>
        <v>P</v>
      </c>
      <c r="Y277" s="50" t="str">
        <f>MID(VLOOKUP($A277,Seqs!$A:$B,2,FALSE),VLOOKUP($A277,'SegEnds_NonXtal_Prot#'!A:AL,10,FALSE)+9,1)</f>
        <v>L</v>
      </c>
      <c r="Z277" s="50" t="str">
        <f>MID(VLOOKUP($A277,Seqs!$A:$B,2,FALSE),VLOOKUP($A277,'SegEnds_NonXtal_Prot#'!A:AL,10,FALSE)+10,1)</f>
        <v>K</v>
      </c>
      <c r="AA277" s="28" t="str">
        <f>MID(VLOOKUP($A277,Seqs!$A:$B,2,FALSE),VLOOKUP($A277,'SegEnds_NonXtal_Prot#'!$A:$AL,22,FALSE)+6,1)</f>
        <v>V</v>
      </c>
      <c r="AB277" s="50" t="str">
        <f>MID(VLOOKUP($A277,Seqs!$A:$B,2,FALSE),VLOOKUP($A277,'SegEnds_NonXtal_Prot#'!$A:$AL,22,FALSE)+7,1)</f>
        <v>T</v>
      </c>
      <c r="AC277" s="50" t="str">
        <f>MID(VLOOKUP($A277,Seqs!$A:$B,2,FALSE),VLOOKUP($A277,'SegEnds_NonXtal_Prot#'!$A:$AL,22,FALSE)+8,1)</f>
        <v>I</v>
      </c>
      <c r="AD277" s="50" t="str">
        <f>MID(VLOOKUP($A277,Seqs!$A:$B,2,FALSE),VLOOKUP($A277,'SegEnds_NonXtal_Prot#'!$A:$AL,22,FALSE)+9,1)</f>
        <v>P</v>
      </c>
      <c r="AE277" s="50" t="str">
        <f>MID(VLOOKUP($A277,Seqs!$A:$B,2,FALSE),VLOOKUP($A277,'SegEnds_NonXtal_Prot#'!$A:$AL,22,FALSE)+10,1)</f>
        <v>L</v>
      </c>
      <c r="AF277" s="28" t="str">
        <f>MID(VLOOKUP($A277,Seqs!$A:$B,2,FALSE),VLOOKUP($A277,'SegEnds_NonXtal_Prot#'!$A:$AL,28,FALSE)-4,1)</f>
        <v>V</v>
      </c>
      <c r="AG277" s="50" t="str">
        <f>MID(VLOOKUP($A277,Seqs!$A:$B,2,FALSE),VLOOKUP($A277,'SegEnds_NonXtal_Prot#'!$A:$AL,28,FALSE),1)</f>
        <v>P</v>
      </c>
    </row>
    <row r="278" spans="1:33" s="2" customFormat="1" x14ac:dyDescent="0.2">
      <c r="A278" s="2" t="s">
        <v>357</v>
      </c>
      <c r="B278" s="2" t="str">
        <f>LOWER(VLOOKUP(A278,Xtal_Templ!A:B,2,FALSE))</f>
        <v>par2_human</v>
      </c>
      <c r="C278" s="2" t="str">
        <f>VLOOKUP(A278,Classification!A:D,2,FALSE)</f>
        <v>A</v>
      </c>
      <c r="D278" s="2" t="str">
        <f>IF(ISERROR(MATCH(A278,'SegEnds_Xtal_Prot#'!B:B, 0)), "NoXtal", "Xtal")</f>
        <v>NoXtal</v>
      </c>
      <c r="G278" s="4"/>
      <c r="M278" s="2" t="s">
        <v>14</v>
      </c>
      <c r="Q278" s="2" t="s">
        <v>9</v>
      </c>
      <c r="R278" s="2" t="s">
        <v>1328</v>
      </c>
      <c r="S278" s="4" t="s">
        <v>12</v>
      </c>
      <c r="U278" s="28" t="str">
        <f>MID(VLOOKUP($A278,Seqs!$A:$B,2,FALSE),VLOOKUP($A278,'SegEnds_NonXtal_Prot#'!A:AL,10,FALSE),1)</f>
        <v>D</v>
      </c>
      <c r="V278" s="50" t="str">
        <f>MID(VLOOKUP($A278,Seqs!$A:$B,2,FALSE),VLOOKUP($A278,'SegEnds_NonXtal_Prot#'!A:AL,10,FALSE)+6,1)</f>
        <v>T</v>
      </c>
      <c r="W278" s="50" t="str">
        <f>MID(VLOOKUP($A278,Seqs!$A:$B,2,FALSE),VLOOKUP($A278,'SegEnds_NonXtal_Prot#'!A:AL,10,FALSE)+7,1)</f>
        <v>L</v>
      </c>
      <c r="X278" s="50" t="str">
        <f>MID(VLOOKUP($A278,Seqs!$A:$B,2,FALSE),VLOOKUP($A278,'SegEnds_NonXtal_Prot#'!A:AL,10,FALSE)+8,1)</f>
        <v>P</v>
      </c>
      <c r="Y278" s="50" t="str">
        <f>MID(VLOOKUP($A278,Seqs!$A:$B,2,FALSE),VLOOKUP($A278,'SegEnds_NonXtal_Prot#'!A:AL,10,FALSE)+9,1)</f>
        <v>F</v>
      </c>
      <c r="Z278" s="50" t="str">
        <f>MID(VLOOKUP($A278,Seqs!$A:$B,2,FALSE),VLOOKUP($A278,'SegEnds_NonXtal_Prot#'!A:AL,10,FALSE)+10,1)</f>
        <v>K</v>
      </c>
      <c r="AA278" s="28" t="str">
        <f>MID(VLOOKUP($A278,Seqs!$A:$B,2,FALSE),VLOOKUP($A278,'SegEnds_NonXtal_Prot#'!$A:$AL,22,FALSE)+6,1)</f>
        <v>Y</v>
      </c>
      <c r="AB278" s="50" t="str">
        <f>MID(VLOOKUP($A278,Seqs!$A:$B,2,FALSE),VLOOKUP($A278,'SegEnds_NonXtal_Prot#'!$A:$AL,22,FALSE)+7,1)</f>
        <v>M</v>
      </c>
      <c r="AC278" s="50" t="str">
        <f>MID(VLOOKUP($A278,Seqs!$A:$B,2,FALSE),VLOOKUP($A278,'SegEnds_NonXtal_Prot#'!$A:$AL,22,FALSE)+8,1)</f>
        <v>L</v>
      </c>
      <c r="AD278" s="50" t="str">
        <f>MID(VLOOKUP($A278,Seqs!$A:$B,2,FALSE),VLOOKUP($A278,'SegEnds_NonXtal_Prot#'!$A:$AL,22,FALSE)+9,1)</f>
        <v>P</v>
      </c>
      <c r="AE278" s="50" t="str">
        <f>MID(VLOOKUP($A278,Seqs!$A:$B,2,FALSE),VLOOKUP($A278,'SegEnds_NonXtal_Prot#'!$A:$AL,22,FALSE)+10,1)</f>
        <v>F</v>
      </c>
      <c r="AF278" s="28" t="str">
        <f>MID(VLOOKUP($A278,Seqs!$A:$B,2,FALSE),VLOOKUP($A278,'SegEnds_NonXtal_Prot#'!$A:$AL,28,FALSE)-4,1)</f>
        <v>G</v>
      </c>
      <c r="AG278" s="50" t="str">
        <f>MID(VLOOKUP($A278,Seqs!$A:$B,2,FALSE),VLOOKUP($A278,'SegEnds_NonXtal_Prot#'!$A:$AL,28,FALSE),1)</f>
        <v>P</v>
      </c>
    </row>
    <row r="279" spans="1:33" s="2" customFormat="1" x14ac:dyDescent="0.2">
      <c r="A279" s="2" t="s">
        <v>358</v>
      </c>
      <c r="B279" s="2" t="str">
        <f>LOWER(VLOOKUP(A279,Xtal_Templ!A:B,2,FALSE))</f>
        <v>par2_human</v>
      </c>
      <c r="C279" s="2" t="str">
        <f>VLOOKUP(A279,Classification!A:D,2,FALSE)</f>
        <v>A</v>
      </c>
      <c r="D279" s="2" t="str">
        <f>IF(ISERROR(MATCH(A279,'SegEnds_Xtal_Prot#'!B:B, 0)), "NoXtal", "Xtal")</f>
        <v>NoXtal</v>
      </c>
      <c r="G279" s="4"/>
      <c r="M279" s="2" t="s">
        <v>14</v>
      </c>
      <c r="Q279" s="2" t="s">
        <v>9</v>
      </c>
      <c r="R279" s="2" t="s">
        <v>1328</v>
      </c>
      <c r="S279" s="4" t="s">
        <v>12</v>
      </c>
      <c r="U279" s="28" t="str">
        <f>MID(VLOOKUP($A279,Seqs!$A:$B,2,FALSE),VLOOKUP($A279,'SegEnds_NonXtal_Prot#'!A:AL,10,FALSE),1)</f>
        <v>D</v>
      </c>
      <c r="V279" s="50" t="str">
        <f>MID(VLOOKUP($A279,Seqs!$A:$B,2,FALSE),VLOOKUP($A279,'SegEnds_NonXtal_Prot#'!A:AL,10,FALSE)+6,1)</f>
        <v>A</v>
      </c>
      <c r="W279" s="50" t="str">
        <f>MID(VLOOKUP($A279,Seqs!$A:$B,2,FALSE),VLOOKUP($A279,'SegEnds_NonXtal_Prot#'!A:AL,10,FALSE)+7,1)</f>
        <v>L</v>
      </c>
      <c r="X279" s="50" t="str">
        <f>MID(VLOOKUP($A279,Seqs!$A:$B,2,FALSE),VLOOKUP($A279,'SegEnds_NonXtal_Prot#'!A:AL,10,FALSE)+8,1)</f>
        <v>P</v>
      </c>
      <c r="Y279" s="50" t="str">
        <f>MID(VLOOKUP($A279,Seqs!$A:$B,2,FALSE),VLOOKUP($A279,'SegEnds_NonXtal_Prot#'!A:AL,10,FALSE)+9,1)</f>
        <v>P</v>
      </c>
      <c r="Z279" s="50" t="str">
        <f>MID(VLOOKUP($A279,Seqs!$A:$B,2,FALSE),VLOOKUP($A279,'SegEnds_NonXtal_Prot#'!A:AL,10,FALSE)+10,1)</f>
        <v>R</v>
      </c>
      <c r="AA279" s="28" t="str">
        <f>MID(VLOOKUP($A279,Seqs!$A:$B,2,FALSE),VLOOKUP($A279,'SegEnds_NonXtal_Prot#'!$A:$AL,22,FALSE)+6,1)</f>
        <v>L</v>
      </c>
      <c r="AB279" s="50" t="str">
        <f>MID(VLOOKUP($A279,Seqs!$A:$B,2,FALSE),VLOOKUP($A279,'SegEnds_NonXtal_Prot#'!$A:$AL,22,FALSE)+7,1)</f>
        <v>A</v>
      </c>
      <c r="AC279" s="50" t="str">
        <f>MID(VLOOKUP($A279,Seqs!$A:$B,2,FALSE),VLOOKUP($A279,'SegEnds_NonXtal_Prot#'!$A:$AL,22,FALSE)+8,1)</f>
        <v>L</v>
      </c>
      <c r="AD279" s="50" t="str">
        <f>MID(VLOOKUP($A279,Seqs!$A:$B,2,FALSE),VLOOKUP($A279,'SegEnds_NonXtal_Prot#'!$A:$AL,22,FALSE)+9,1)</f>
        <v>P</v>
      </c>
      <c r="AE279" s="50" t="str">
        <f>MID(VLOOKUP($A279,Seqs!$A:$B,2,FALSE),VLOOKUP($A279,'SegEnds_NonXtal_Prot#'!$A:$AL,22,FALSE)+10,1)</f>
        <v>L</v>
      </c>
      <c r="AF279" s="28" t="str">
        <f>MID(VLOOKUP($A279,Seqs!$A:$B,2,FALSE),VLOOKUP($A279,'SegEnds_NonXtal_Prot#'!$A:$AL,28,FALSE)-4,1)</f>
        <v>G</v>
      </c>
      <c r="AG279" s="50" t="str">
        <f>MID(VLOOKUP($A279,Seqs!$A:$B,2,FALSE),VLOOKUP($A279,'SegEnds_NonXtal_Prot#'!$A:$AL,28,FALSE),1)</f>
        <v>P</v>
      </c>
    </row>
    <row r="280" spans="1:33" s="2" customFormat="1" x14ac:dyDescent="0.2">
      <c r="A280" s="2" t="s">
        <v>151</v>
      </c>
      <c r="B280" s="2" t="str">
        <f>LOWER(VLOOKUP(A280,Xtal_Templ!A:B,2,FALSE))</f>
        <v>s1pr1_human</v>
      </c>
      <c r="C280" s="2" t="str">
        <f>VLOOKUP(A280,Classification!A:D,2,FALSE)</f>
        <v>A</v>
      </c>
      <c r="D280" s="2" t="str">
        <f>IF(ISERROR(MATCH(A280,'SegEnds_Xtal_Prot#'!B:B, 0)), "NoXtal", "Xtal")</f>
        <v>NoXtal</v>
      </c>
      <c r="G280" s="4"/>
      <c r="S280" s="4" t="s">
        <v>12</v>
      </c>
      <c r="U280" s="28" t="str">
        <f>MID(VLOOKUP($A280,Seqs!$A:$B,2,FALSE),VLOOKUP($A280,'SegEnds_NonXtal_Prot#'!A:AL,10,FALSE),1)</f>
        <v>D</v>
      </c>
      <c r="V280" s="50" t="str">
        <f>MID(VLOOKUP($A280,Seqs!$A:$B,2,FALSE),VLOOKUP($A280,'SegEnds_NonXtal_Prot#'!A:AL,10,FALSE)+6,1)</f>
        <v>Y</v>
      </c>
      <c r="W280" s="50" t="str">
        <f>MID(VLOOKUP($A280,Seqs!$A:$B,2,FALSE),VLOOKUP($A280,'SegEnds_NonXtal_Prot#'!A:AL,10,FALSE)+7,1)</f>
        <v>K</v>
      </c>
      <c r="X280" s="50" t="str">
        <f>MID(VLOOKUP($A280,Seqs!$A:$B,2,FALSE),VLOOKUP($A280,'SegEnds_NonXtal_Prot#'!A:AL,10,FALSE)+8,1)</f>
        <v>I</v>
      </c>
      <c r="Y280" s="50" t="str">
        <f>MID(VLOOKUP($A280,Seqs!$A:$B,2,FALSE),VLOOKUP($A280,'SegEnds_NonXtal_Prot#'!A:AL,10,FALSE)+9,1)</f>
        <v>L</v>
      </c>
      <c r="Z280" s="50" t="str">
        <f>MID(VLOOKUP($A280,Seqs!$A:$B,2,FALSE),VLOOKUP($A280,'SegEnds_NonXtal_Prot#'!A:AL,10,FALSE)+10,1)</f>
        <v>E</v>
      </c>
      <c r="AA280" s="28" t="str">
        <f>MID(VLOOKUP($A280,Seqs!$A:$B,2,FALSE),VLOOKUP($A280,'SegEnds_NonXtal_Prot#'!$A:$AL,22,FALSE)+6,1)</f>
        <v>T</v>
      </c>
      <c r="AB280" s="50" t="str">
        <f>MID(VLOOKUP($A280,Seqs!$A:$B,2,FALSE),VLOOKUP($A280,'SegEnds_NonXtal_Prot#'!$A:$AL,22,FALSE)+7,1)</f>
        <v>G</v>
      </c>
      <c r="AC280" s="50" t="str">
        <f>MID(VLOOKUP($A280,Seqs!$A:$B,2,FALSE),VLOOKUP($A280,'SegEnds_NonXtal_Prot#'!$A:$AL,22,FALSE)+8,1)</f>
        <v>I</v>
      </c>
      <c r="AD280" s="50" t="str">
        <f>MID(VLOOKUP($A280,Seqs!$A:$B,2,FALSE),VLOOKUP($A280,'SegEnds_NonXtal_Prot#'!$A:$AL,22,FALSE)+9,1)</f>
        <v>T</v>
      </c>
      <c r="AE280" s="50" t="str">
        <f>MID(VLOOKUP($A280,Seqs!$A:$B,2,FALSE),VLOOKUP($A280,'SegEnds_NonXtal_Prot#'!$A:$AL,22,FALSE)+10,1)</f>
        <v>M</v>
      </c>
      <c r="AF280" s="28" t="str">
        <f>MID(VLOOKUP($A280,Seqs!$A:$B,2,FALSE),VLOOKUP($A280,'SegEnds_NonXtal_Prot#'!$A:$AL,28,FALSE)-4,1)</f>
        <v>C</v>
      </c>
      <c r="AG280" s="50" t="str">
        <f>MID(VLOOKUP($A280,Seqs!$A:$B,2,FALSE),VLOOKUP($A280,'SegEnds_NonXtal_Prot#'!$A:$AL,28,FALSE),1)</f>
        <v>H</v>
      </c>
    </row>
    <row r="281" spans="1:33" s="2" customFormat="1" x14ac:dyDescent="0.2">
      <c r="A281" s="2" t="s">
        <v>213</v>
      </c>
      <c r="B281" s="2" t="str">
        <f>LOWER(VLOOKUP(A281,Xtal_Templ!A:B,2,FALSE))</f>
        <v>5ht2b_human</v>
      </c>
      <c r="C281" s="2" t="str">
        <f>VLOOKUP(A281,Classification!A:D,2,FALSE)</f>
        <v>A</v>
      </c>
      <c r="D281" s="2" t="str">
        <f>IF(ISERROR(MATCH(A281,'SegEnds_Xtal_Prot#'!B:B, 0)), "NoXtal", "Xtal")</f>
        <v>NoXtal</v>
      </c>
      <c r="G281" s="4"/>
      <c r="Q281" s="2" t="s">
        <v>9</v>
      </c>
      <c r="S281" s="4" t="s">
        <v>12</v>
      </c>
      <c r="U281" s="28" t="str">
        <f>MID(VLOOKUP($A281,Seqs!$A:$B,2,FALSE),VLOOKUP($A281,'SegEnds_NonXtal_Prot#'!A:AL,10,FALSE),1)</f>
        <v>D</v>
      </c>
      <c r="V281" s="50" t="str">
        <f>MID(VLOOKUP($A281,Seqs!$A:$B,2,FALSE),VLOOKUP($A281,'SegEnds_NonXtal_Prot#'!A:AL,10,FALSE)+6,1)</f>
        <v>A</v>
      </c>
      <c r="W281" s="50" t="str">
        <f>MID(VLOOKUP($A281,Seqs!$A:$B,2,FALSE),VLOOKUP($A281,'SegEnds_NonXtal_Prot#'!A:AL,10,FALSE)+7,1)</f>
        <v>I</v>
      </c>
      <c r="X281" s="50" t="str">
        <f>MID(VLOOKUP($A281,Seqs!$A:$B,2,FALSE),VLOOKUP($A281,'SegEnds_NonXtal_Prot#'!A:AL,10,FALSE)+8,1)</f>
        <v>S</v>
      </c>
      <c r="Y281" s="50" t="str">
        <f>MID(VLOOKUP($A281,Seqs!$A:$B,2,FALSE),VLOOKUP($A281,'SegEnds_NonXtal_Prot#'!A:AL,10,FALSE)+9,1)</f>
        <v>G</v>
      </c>
      <c r="Z281" s="50" t="str">
        <f>MID(VLOOKUP($A281,Seqs!$A:$B,2,FALSE),VLOOKUP($A281,'SegEnds_NonXtal_Prot#'!A:AL,10,FALSE)+10,1)</f>
        <v>L</v>
      </c>
      <c r="AA281" s="28" t="str">
        <f>MID(VLOOKUP($A281,Seqs!$A:$B,2,FALSE),VLOOKUP($A281,'SegEnds_NonXtal_Prot#'!$A:$AL,22,FALSE)+6,1)</f>
        <v>I</v>
      </c>
      <c r="AB281" s="50" t="str">
        <f>MID(VLOOKUP($A281,Seqs!$A:$B,2,FALSE),VLOOKUP($A281,'SegEnds_NonXtal_Prot#'!$A:$AL,22,FALSE)+7,1)</f>
        <v>G</v>
      </c>
      <c r="AC281" s="50" t="str">
        <f>MID(VLOOKUP($A281,Seqs!$A:$B,2,FALSE),VLOOKUP($A281,'SegEnds_NonXtal_Prot#'!$A:$AL,22,FALSE)+8,1)</f>
        <v>F</v>
      </c>
      <c r="AD281" s="50" t="str">
        <f>MID(VLOOKUP($A281,Seqs!$A:$B,2,FALSE),VLOOKUP($A281,'SegEnds_NonXtal_Prot#'!$A:$AL,22,FALSE)+9,1)</f>
        <v>L</v>
      </c>
      <c r="AE281" s="50" t="str">
        <f>MID(VLOOKUP($A281,Seqs!$A:$B,2,FALSE),VLOOKUP($A281,'SegEnds_NonXtal_Prot#'!$A:$AL,22,FALSE)+10,1)</f>
        <v>P</v>
      </c>
      <c r="AF281" s="28" t="str">
        <f>MID(VLOOKUP($A281,Seqs!$A:$B,2,FALSE),VLOOKUP($A281,'SegEnds_NonXtal_Prot#'!$A:$AL,28,FALSE)-4,1)</f>
        <v>V</v>
      </c>
      <c r="AG281" s="50" t="str">
        <f>MID(VLOOKUP($A281,Seqs!$A:$B,2,FALSE),VLOOKUP($A281,'SegEnds_NonXtal_Prot#'!$A:$AL,28,FALSE),1)</f>
        <v>P</v>
      </c>
    </row>
    <row r="282" spans="1:33" s="2" customFormat="1" x14ac:dyDescent="0.2">
      <c r="A282" s="2" t="s">
        <v>238</v>
      </c>
      <c r="B282" s="2" t="str">
        <f>LOWER(VLOOKUP(A282,Xtal_Templ!A:B,2,FALSE))</f>
        <v>lpar1_human</v>
      </c>
      <c r="C282" s="2" t="str">
        <f>VLOOKUP(A282,Classification!A:D,2,FALSE)</f>
        <v>A</v>
      </c>
      <c r="D282" s="2" t="str">
        <f>IF(ISERROR(MATCH(A282,'SegEnds_Xtal_Prot#'!B:B, 0)), "NoXtal", "Xtal")</f>
        <v>NoXtal</v>
      </c>
      <c r="G282" s="4"/>
      <c r="S282" s="4" t="s">
        <v>12</v>
      </c>
      <c r="U282" s="28" t="str">
        <f>MID(VLOOKUP($A282,Seqs!$A:$B,2,FALSE),VLOOKUP($A282,'SegEnds_NonXtal_Prot#'!A:AL,10,FALSE),1)</f>
        <v>D</v>
      </c>
      <c r="V282" s="50" t="str">
        <f>MID(VLOOKUP($A282,Seqs!$A:$B,2,FALSE),VLOOKUP($A282,'SegEnds_NonXtal_Prot#'!A:AL,10,FALSE)+6,1)</f>
        <v>G</v>
      </c>
      <c r="W282" s="50" t="str">
        <f>MID(VLOOKUP($A282,Seqs!$A:$B,2,FALSE),VLOOKUP($A282,'SegEnds_NonXtal_Prot#'!A:AL,10,FALSE)+7,1)</f>
        <v>L</v>
      </c>
      <c r="X282" s="50" t="str">
        <f>MID(VLOOKUP($A282,Seqs!$A:$B,2,FALSE),VLOOKUP($A282,'SegEnds_NonXtal_Prot#'!A:AL,10,FALSE)+8,1)</f>
        <v>I</v>
      </c>
      <c r="Y282" s="50" t="str">
        <f>MID(VLOOKUP($A282,Seqs!$A:$B,2,FALSE),VLOOKUP($A282,'SegEnds_NonXtal_Prot#'!A:AL,10,FALSE)+9,1)</f>
        <v>T</v>
      </c>
      <c r="Z282" s="50" t="str">
        <f>MID(VLOOKUP($A282,Seqs!$A:$B,2,FALSE),VLOOKUP($A282,'SegEnds_NonXtal_Prot#'!A:AL,10,FALSE)+10,1)</f>
        <v>N</v>
      </c>
      <c r="AA282" s="28" t="str">
        <f>MID(VLOOKUP($A282,Seqs!$A:$B,2,FALSE),VLOOKUP($A282,'SegEnds_NonXtal_Prot#'!$A:$AL,22,FALSE)+6,1)</f>
        <v>L</v>
      </c>
      <c r="AB282" s="50" t="str">
        <f>MID(VLOOKUP($A282,Seqs!$A:$B,2,FALSE),VLOOKUP($A282,'SegEnds_NonXtal_Prot#'!$A:$AL,22,FALSE)+7,1)</f>
        <v>G</v>
      </c>
      <c r="AC282" s="50" t="str">
        <f>MID(VLOOKUP($A282,Seqs!$A:$B,2,FALSE),VLOOKUP($A282,'SegEnds_NonXtal_Prot#'!$A:$AL,22,FALSE)+8,1)</f>
        <v>L</v>
      </c>
      <c r="AD282" s="50" t="str">
        <f>MID(VLOOKUP($A282,Seqs!$A:$B,2,FALSE),VLOOKUP($A282,'SegEnds_NonXtal_Prot#'!$A:$AL,22,FALSE)+9,1)</f>
        <v>L</v>
      </c>
      <c r="AE282" s="50" t="str">
        <f>MID(VLOOKUP($A282,Seqs!$A:$B,2,FALSE),VLOOKUP($A282,'SegEnds_NonXtal_Prot#'!$A:$AL,22,FALSE)+10,1)</f>
        <v>P</v>
      </c>
      <c r="AF282" s="28" t="str">
        <f>MID(VLOOKUP($A282,Seqs!$A:$B,2,FALSE),VLOOKUP($A282,'SegEnds_NonXtal_Prot#'!$A:$AL,28,FALSE)-4,1)</f>
        <v>S</v>
      </c>
      <c r="AG282" s="50" t="str">
        <f>MID(VLOOKUP($A282,Seqs!$A:$B,2,FALSE),VLOOKUP($A282,'SegEnds_NonXtal_Prot#'!$A:$AL,28,FALSE),1)</f>
        <v>M</v>
      </c>
    </row>
    <row r="283" spans="1:33" s="2" customFormat="1" x14ac:dyDescent="0.2">
      <c r="A283" s="2" t="s">
        <v>262</v>
      </c>
      <c r="B283" s="2" t="str">
        <f>LOWER(VLOOKUP(A283,Xtal_Templ!A:B,2,FALSE))</f>
        <v>s1pr1_human</v>
      </c>
      <c r="C283" s="2" t="str">
        <f>VLOOKUP(A283,Classification!A:D,2,FALSE)</f>
        <v>A</v>
      </c>
      <c r="D283" s="2" t="str">
        <f>IF(ISERROR(MATCH(A283,'SegEnds_Xtal_Prot#'!B:B, 0)), "NoXtal", "Xtal")</f>
        <v>NoXtal</v>
      </c>
      <c r="G283" s="4"/>
      <c r="S283" s="4" t="s">
        <v>12</v>
      </c>
      <c r="U283" s="28" t="str">
        <f>MID(VLOOKUP($A283,Seqs!$A:$B,2,FALSE),VLOOKUP($A283,'SegEnds_NonXtal_Prot#'!A:AL,10,FALSE),1)</f>
        <v>D</v>
      </c>
      <c r="V283" s="50" t="str">
        <f>MID(VLOOKUP($A283,Seqs!$A:$B,2,FALSE),VLOOKUP($A283,'SegEnds_NonXtal_Prot#'!A:AL,10,FALSE)+6,1)</f>
        <v>G</v>
      </c>
      <c r="W283" s="50" t="str">
        <f>MID(VLOOKUP($A283,Seqs!$A:$B,2,FALSE),VLOOKUP($A283,'SegEnds_NonXtal_Prot#'!A:AL,10,FALSE)+7,1)</f>
        <v>L</v>
      </c>
      <c r="X283" s="50" t="str">
        <f>MID(VLOOKUP($A283,Seqs!$A:$B,2,FALSE),VLOOKUP($A283,'SegEnds_NonXtal_Prot#'!A:AL,10,FALSE)+8,1)</f>
        <v>I</v>
      </c>
      <c r="Y283" s="50" t="str">
        <f>MID(VLOOKUP($A283,Seqs!$A:$B,2,FALSE),VLOOKUP($A283,'SegEnds_NonXtal_Prot#'!A:AL,10,FALSE)+9,1)</f>
        <v>L</v>
      </c>
      <c r="Z283" s="50" t="str">
        <f>MID(VLOOKUP($A283,Seqs!$A:$B,2,FALSE),VLOOKUP($A283,'SegEnds_NonXtal_Prot#'!A:AL,10,FALSE)+10,1)</f>
        <v>H</v>
      </c>
      <c r="AA283" s="28" t="str">
        <f>MID(VLOOKUP($A283,Seqs!$A:$B,2,FALSE),VLOOKUP($A283,'SegEnds_NonXtal_Prot#'!$A:$AL,22,FALSE)+6,1)</f>
        <v>L</v>
      </c>
      <c r="AB283" s="50" t="str">
        <f>MID(VLOOKUP($A283,Seqs!$A:$B,2,FALSE),VLOOKUP($A283,'SegEnds_NonXtal_Prot#'!$A:$AL,22,FALSE)+7,1)</f>
        <v>G</v>
      </c>
      <c r="AC283" s="50" t="str">
        <f>MID(VLOOKUP($A283,Seqs!$A:$B,2,FALSE),VLOOKUP($A283,'SegEnds_NonXtal_Prot#'!$A:$AL,22,FALSE)+8,1)</f>
        <v>L</v>
      </c>
      <c r="AD283" s="50" t="str">
        <f>MID(VLOOKUP($A283,Seqs!$A:$B,2,FALSE),VLOOKUP($A283,'SegEnds_NonXtal_Prot#'!$A:$AL,22,FALSE)+9,1)</f>
        <v>L</v>
      </c>
      <c r="AE283" s="50" t="str">
        <f>MID(VLOOKUP($A283,Seqs!$A:$B,2,FALSE),VLOOKUP($A283,'SegEnds_NonXtal_Prot#'!$A:$AL,22,FALSE)+10,1)</f>
        <v>P</v>
      </c>
      <c r="AF283" s="28" t="str">
        <f>MID(VLOOKUP($A283,Seqs!$A:$B,2,FALSE),VLOOKUP($A283,'SegEnds_NonXtal_Prot#'!$A:$AL,28,FALSE)-4,1)</f>
        <v>A</v>
      </c>
      <c r="AG283" s="50" t="str">
        <f>MID(VLOOKUP($A283,Seqs!$A:$B,2,FALSE),VLOOKUP($A283,'SegEnds_NonXtal_Prot#'!$A:$AL,28,FALSE),1)</f>
        <v>V</v>
      </c>
    </row>
    <row r="284" spans="1:33" s="2" customFormat="1" x14ac:dyDescent="0.2">
      <c r="A284" s="2" t="s">
        <v>296</v>
      </c>
      <c r="B284" s="2" t="str">
        <f>LOWER(VLOOKUP(A284,Xtal_Templ!A:B,2,FALSE))</f>
        <v>lpar1_human</v>
      </c>
      <c r="C284" s="2" t="str">
        <f>VLOOKUP(A284,Classification!A:D,2,FALSE)</f>
        <v>A</v>
      </c>
      <c r="D284" s="2" t="str">
        <f>IF(ISERROR(MATCH(A284,'SegEnds_Xtal_Prot#'!B:B, 0)), "NoXtal", "Xtal")</f>
        <v>NoXtal</v>
      </c>
      <c r="G284" s="4"/>
      <c r="S284" s="4" t="s">
        <v>12</v>
      </c>
      <c r="U284" s="28" t="str">
        <f>MID(VLOOKUP($A284,Seqs!$A:$B,2,FALSE),VLOOKUP($A284,'SegEnds_NonXtal_Prot#'!A:AL,10,FALSE),1)</f>
        <v>D</v>
      </c>
      <c r="V284" s="50" t="str">
        <f>MID(VLOOKUP($A284,Seqs!$A:$B,2,FALSE),VLOOKUP($A284,'SegEnds_NonXtal_Prot#'!A:AL,10,FALSE)+6,1)</f>
        <v>S</v>
      </c>
      <c r="W284" s="50" t="str">
        <f>MID(VLOOKUP($A284,Seqs!$A:$B,2,FALSE),VLOOKUP($A284,'SegEnds_NonXtal_Prot#'!A:AL,10,FALSE)+7,1)</f>
        <v>N</v>
      </c>
      <c r="X284" s="50" t="str">
        <f>MID(VLOOKUP($A284,Seqs!$A:$B,2,FALSE),VLOOKUP($A284,'SegEnds_NonXtal_Prot#'!A:AL,10,FALSE)+8,1)</f>
        <v>A</v>
      </c>
      <c r="Y284" s="50" t="str">
        <f>MID(VLOOKUP($A284,Seqs!$A:$B,2,FALSE),VLOOKUP($A284,'SegEnds_NonXtal_Prot#'!A:AL,10,FALSE)+9,1)</f>
        <v>L</v>
      </c>
      <c r="Z284" s="50" t="str">
        <f>MID(VLOOKUP($A284,Seqs!$A:$B,2,FALSE),VLOOKUP($A284,'SegEnds_NonXtal_Prot#'!A:AL,10,FALSE)+10,1)</f>
        <v>E</v>
      </c>
      <c r="AA284" s="28" t="str">
        <f>MID(VLOOKUP($A284,Seqs!$A:$B,2,FALSE),VLOOKUP($A284,'SegEnds_NonXtal_Prot#'!$A:$AL,22,FALSE)+6,1)</f>
        <v>C</v>
      </c>
      <c r="AB284" s="50" t="str">
        <f>MID(VLOOKUP($A284,Seqs!$A:$B,2,FALSE),VLOOKUP($A284,'SegEnds_NonXtal_Prot#'!$A:$AL,22,FALSE)+7,1)</f>
        <v>G</v>
      </c>
      <c r="AC284" s="50" t="str">
        <f>MID(VLOOKUP($A284,Seqs!$A:$B,2,FALSE),VLOOKUP($A284,'SegEnds_NonXtal_Prot#'!$A:$AL,22,FALSE)+8,1)</f>
        <v>V</v>
      </c>
      <c r="AD284" s="50" t="str">
        <f>MID(VLOOKUP($A284,Seqs!$A:$B,2,FALSE),VLOOKUP($A284,'SegEnds_NonXtal_Prot#'!$A:$AL,22,FALSE)+9,1)</f>
        <v>V</v>
      </c>
      <c r="AE284" s="50" t="str">
        <f>MID(VLOOKUP($A284,Seqs!$A:$B,2,FALSE),VLOOKUP($A284,'SegEnds_NonXtal_Prot#'!$A:$AL,22,FALSE)+10,1)</f>
        <v>F</v>
      </c>
      <c r="AF284" s="28" t="str">
        <f>MID(VLOOKUP($A284,Seqs!$A:$B,2,FALSE),VLOOKUP($A284,'SegEnds_NonXtal_Prot#'!$A:$AL,28,FALSE)-4,1)</f>
        <v>T</v>
      </c>
      <c r="AG284" s="50" t="str">
        <f>MID(VLOOKUP($A284,Seqs!$A:$B,2,FALSE),VLOOKUP($A284,'SegEnds_NonXtal_Prot#'!$A:$AL,28,FALSE),1)</f>
        <v>H</v>
      </c>
    </row>
    <row r="285" spans="1:33" s="2" customFormat="1" x14ac:dyDescent="0.2">
      <c r="A285" s="2" t="s">
        <v>297</v>
      </c>
      <c r="B285" s="2" t="str">
        <f>LOWER(VLOOKUP(A285,Xtal_Templ!A:B,2,FALSE))</f>
        <v>s1pr1_human</v>
      </c>
      <c r="C285" s="2" t="str">
        <f>VLOOKUP(A285,Classification!A:D,2,FALSE)</f>
        <v>A</v>
      </c>
      <c r="D285" s="2" t="str">
        <f>IF(ISERROR(MATCH(A285,'SegEnds_Xtal_Prot#'!B:B, 0)), "NoXtal", "Xtal")</f>
        <v>NoXtal</v>
      </c>
      <c r="G285" s="4"/>
      <c r="S285" s="4" t="s">
        <v>12</v>
      </c>
      <c r="U285" s="28" t="str">
        <f>MID(VLOOKUP($A285,Seqs!$A:$B,2,FALSE),VLOOKUP($A285,'SegEnds_NonXtal_Prot#'!A:AL,10,FALSE),1)</f>
        <v>D</v>
      </c>
      <c r="V285" s="50" t="str">
        <f>MID(VLOOKUP($A285,Seqs!$A:$B,2,FALSE),VLOOKUP($A285,'SegEnds_NonXtal_Prot#'!A:AL,10,FALSE)+6,1)</f>
        <v>S</v>
      </c>
      <c r="W285" s="50" t="str">
        <f>MID(VLOOKUP($A285,Seqs!$A:$B,2,FALSE),VLOOKUP($A285,'SegEnds_NonXtal_Prot#'!A:AL,10,FALSE)+7,1)</f>
        <v>N</v>
      </c>
      <c r="X285" s="50" t="str">
        <f>MID(VLOOKUP($A285,Seqs!$A:$B,2,FALSE),VLOOKUP($A285,'SegEnds_NonXtal_Prot#'!A:AL,10,FALSE)+8,1)</f>
        <v>G</v>
      </c>
      <c r="Y285" s="50" t="str">
        <f>MID(VLOOKUP($A285,Seqs!$A:$B,2,FALSE),VLOOKUP($A285,'SegEnds_NonXtal_Prot#'!A:AL,10,FALSE)+9,1)</f>
        <v>S</v>
      </c>
      <c r="Z285" s="50" t="str">
        <f>MID(VLOOKUP($A285,Seqs!$A:$B,2,FALSE),VLOOKUP($A285,'SegEnds_NonXtal_Prot#'!A:AL,10,FALSE)+10,1)</f>
        <v>E</v>
      </c>
      <c r="AA285" s="28" t="str">
        <f>MID(VLOOKUP($A285,Seqs!$A:$B,2,FALSE),VLOOKUP($A285,'SegEnds_NonXtal_Prot#'!$A:$AL,22,FALSE)+6,1)</f>
        <v>S</v>
      </c>
      <c r="AB285" s="50" t="str">
        <f>MID(VLOOKUP($A285,Seqs!$A:$B,2,FALSE),VLOOKUP($A285,'SegEnds_NonXtal_Prot#'!$A:$AL,22,FALSE)+7,1)</f>
        <v>G</v>
      </c>
      <c r="AC285" s="50" t="str">
        <f>MID(VLOOKUP($A285,Seqs!$A:$B,2,FALSE),VLOOKUP($A285,'SegEnds_NonXtal_Prot#'!$A:$AL,22,FALSE)+8,1)</f>
        <v>I</v>
      </c>
      <c r="AD285" s="50" t="str">
        <f>MID(VLOOKUP($A285,Seqs!$A:$B,2,FALSE),VLOOKUP($A285,'SegEnds_NonXtal_Prot#'!$A:$AL,22,FALSE)+9,1)</f>
        <v>L</v>
      </c>
      <c r="AE285" s="50" t="str">
        <f>MID(VLOOKUP($A285,Seqs!$A:$B,2,FALSE),VLOOKUP($A285,'SegEnds_NonXtal_Prot#'!$A:$AL,22,FALSE)+10,1)</f>
        <v>F</v>
      </c>
      <c r="AF285" s="28" t="str">
        <f>MID(VLOOKUP($A285,Seqs!$A:$B,2,FALSE),VLOOKUP($A285,'SegEnds_NonXtal_Prot#'!$A:$AL,28,FALSE)-4,1)</f>
        <v>S</v>
      </c>
      <c r="AG285" s="50" t="str">
        <f>MID(VLOOKUP($A285,Seqs!$A:$B,2,FALSE),VLOOKUP($A285,'SegEnds_NonXtal_Prot#'!$A:$AL,28,FALSE),1)</f>
        <v>H</v>
      </c>
    </row>
    <row r="286" spans="1:33" s="2" customFormat="1" x14ac:dyDescent="0.2">
      <c r="A286" s="2" t="s">
        <v>309</v>
      </c>
      <c r="B286" s="2" t="str">
        <f>LOWER(VLOOKUP(A286,Xtal_Templ!A:B,2,FALSE))</f>
        <v>s1pr1_human</v>
      </c>
      <c r="C286" s="2" t="str">
        <f>VLOOKUP(A286,Classification!A:D,2,FALSE)</f>
        <v>A</v>
      </c>
      <c r="D286" s="2" t="str">
        <f>IF(ISERROR(MATCH(A286,'SegEnds_Xtal_Prot#'!B:B, 0)), "NoXtal", "Xtal")</f>
        <v>NoXtal</v>
      </c>
      <c r="G286" s="4"/>
      <c r="S286" s="4" t="s">
        <v>12</v>
      </c>
      <c r="U286" s="28" t="str">
        <f>MID(VLOOKUP($A286,Seqs!$A:$B,2,FALSE),VLOOKUP($A286,'SegEnds_NonXtal_Prot#'!A:AL,10,FALSE),1)</f>
        <v>D</v>
      </c>
      <c r="V286" s="50" t="str">
        <f>MID(VLOOKUP($A286,Seqs!$A:$B,2,FALSE),VLOOKUP($A286,'SegEnds_NonXtal_Prot#'!A:AL,10,FALSE)+6,1)</f>
        <v>S</v>
      </c>
      <c r="W286" s="50" t="str">
        <f>MID(VLOOKUP($A286,Seqs!$A:$B,2,FALSE),VLOOKUP($A286,'SegEnds_NonXtal_Prot#'!A:AL,10,FALSE)+7,1)</f>
        <v>N</v>
      </c>
      <c r="X286" s="50" t="str">
        <f>MID(VLOOKUP($A286,Seqs!$A:$B,2,FALSE),VLOOKUP($A286,'SegEnds_NonXtal_Prot#'!A:AL,10,FALSE)+8,1)</f>
        <v>V</v>
      </c>
      <c r="Y286" s="50" t="str">
        <f>MID(VLOOKUP($A286,Seqs!$A:$B,2,FALSE),VLOOKUP($A286,'SegEnds_NonXtal_Prot#'!A:AL,10,FALSE)+9,1)</f>
        <v>L</v>
      </c>
      <c r="Z286" s="50" t="str">
        <f>MID(VLOOKUP($A286,Seqs!$A:$B,2,FALSE),VLOOKUP($A286,'SegEnds_NonXtal_Prot#'!A:AL,10,FALSE)+10,1)</f>
        <v>E</v>
      </c>
      <c r="AA286" s="28" t="str">
        <f>MID(VLOOKUP($A286,Seqs!$A:$B,2,FALSE),VLOOKUP($A286,'SegEnds_NonXtal_Prot#'!$A:$AL,22,FALSE)+6,1)</f>
        <v>F</v>
      </c>
      <c r="AB286" s="50" t="str">
        <f>MID(VLOOKUP($A286,Seqs!$A:$B,2,FALSE),VLOOKUP($A286,'SegEnds_NonXtal_Prot#'!$A:$AL,22,FALSE)+7,1)</f>
        <v>S</v>
      </c>
      <c r="AC286" s="50" t="str">
        <f>MID(VLOOKUP($A286,Seqs!$A:$B,2,FALSE),VLOOKUP($A286,'SegEnds_NonXtal_Prot#'!$A:$AL,22,FALSE)+8,1)</f>
        <v>T</v>
      </c>
      <c r="AD286" s="50" t="str">
        <f>MID(VLOOKUP($A286,Seqs!$A:$B,2,FALSE),VLOOKUP($A286,'SegEnds_NonXtal_Prot#'!$A:$AL,22,FALSE)+9,1)</f>
        <v>L</v>
      </c>
      <c r="AE286" s="50" t="str">
        <f>MID(VLOOKUP($A286,Seqs!$A:$B,2,FALSE),VLOOKUP($A286,'SegEnds_NonXtal_Prot#'!$A:$AL,22,FALSE)+10,1)</f>
        <v>F</v>
      </c>
      <c r="AF286" s="28" t="str">
        <f>MID(VLOOKUP($A286,Seqs!$A:$B,2,FALSE),VLOOKUP($A286,'SegEnds_NonXtal_Prot#'!$A:$AL,28,FALSE)-4,1)</f>
        <v>V</v>
      </c>
      <c r="AG286" s="50" t="str">
        <f>MID(VLOOKUP($A286,Seqs!$A:$B,2,FALSE),VLOOKUP($A286,'SegEnds_NonXtal_Prot#'!$A:$AL,28,FALSE),1)</f>
        <v>H</v>
      </c>
    </row>
    <row r="287" spans="1:33" s="2" customFormat="1" x14ac:dyDescent="0.2">
      <c r="A287" s="2" t="s">
        <v>363</v>
      </c>
      <c r="B287" s="2" t="str">
        <f>LOWER(VLOOKUP(A287,Xtal_Templ!A:B,2,FALSE))</f>
        <v>s1pr1_human</v>
      </c>
      <c r="C287" s="2" t="str">
        <f>VLOOKUP(A287,Classification!A:D,2,FALSE)</f>
        <v>A</v>
      </c>
      <c r="D287" s="2" t="str">
        <f>IF(ISERROR(MATCH(A287,'SegEnds_Xtal_Prot#'!B:B, 0)), "NoXtal", "Xtal")</f>
        <v>NoXtal</v>
      </c>
      <c r="F287" s="2" t="s">
        <v>5</v>
      </c>
      <c r="G287" s="4"/>
      <c r="S287" s="4" t="s">
        <v>12</v>
      </c>
      <c r="U287" s="28" t="str">
        <f>MID(VLOOKUP($A287,Seqs!$A:$B,2,FALSE),VLOOKUP($A287,'SegEnds_NonXtal_Prot#'!A:AL,10,FALSE),1)</f>
        <v>D</v>
      </c>
      <c r="V287" s="50" t="str">
        <f>MID(VLOOKUP($A287,Seqs!$A:$B,2,FALSE),VLOOKUP($A287,'SegEnds_NonXtal_Prot#'!A:AL,10,FALSE)+6,1)</f>
        <v>L</v>
      </c>
      <c r="W287" s="50" t="str">
        <f>MID(VLOOKUP($A287,Seqs!$A:$B,2,FALSE),VLOOKUP($A287,'SegEnds_NonXtal_Prot#'!A:AL,10,FALSE)+7,1)</f>
        <v>T</v>
      </c>
      <c r="X287" s="50" t="str">
        <f>MID(VLOOKUP($A287,Seqs!$A:$B,2,FALSE),VLOOKUP($A287,'SegEnds_NonXtal_Prot#'!A:AL,10,FALSE)+8,1)</f>
        <v>T</v>
      </c>
      <c r="Y287" s="50" t="str">
        <f>MID(VLOOKUP($A287,Seqs!$A:$B,2,FALSE),VLOOKUP($A287,'SegEnds_NonXtal_Prot#'!A:AL,10,FALSE)+9,1)</f>
        <v>P</v>
      </c>
      <c r="Z287" s="50" t="str">
        <f>MID(VLOOKUP($A287,Seqs!$A:$B,2,FALSE),VLOOKUP($A287,'SegEnds_NonXtal_Prot#'!A:AL,10,FALSE)+10,1)</f>
        <v>V</v>
      </c>
      <c r="AA287" s="28" t="str">
        <f>MID(VLOOKUP($A287,Seqs!$A:$B,2,FALSE),VLOOKUP($A287,'SegEnds_NonXtal_Prot#'!$A:$AL,22,FALSE)+6,1)</f>
        <v>F</v>
      </c>
      <c r="AB287" s="50" t="str">
        <f>MID(VLOOKUP($A287,Seqs!$A:$B,2,FALSE),VLOOKUP($A287,'SegEnds_NonXtal_Prot#'!$A:$AL,22,FALSE)+7,1)</f>
        <v>A</v>
      </c>
      <c r="AC287" s="50" t="str">
        <f>MID(VLOOKUP($A287,Seqs!$A:$B,2,FALSE),VLOOKUP($A287,'SegEnds_NonXtal_Prot#'!$A:$AL,22,FALSE)+8,1)</f>
        <v>L</v>
      </c>
      <c r="AD287" s="50" t="str">
        <f>MID(VLOOKUP($A287,Seqs!$A:$B,2,FALSE),VLOOKUP($A287,'SegEnds_NonXtal_Prot#'!$A:$AL,22,FALSE)+9,1)</f>
        <v>L</v>
      </c>
      <c r="AE287" s="50" t="str">
        <f>MID(VLOOKUP($A287,Seqs!$A:$B,2,FALSE),VLOOKUP($A287,'SegEnds_NonXtal_Prot#'!$A:$AL,22,FALSE)+10,1)</f>
        <v>P</v>
      </c>
      <c r="AF287" s="28" t="str">
        <f>MID(VLOOKUP($A287,Seqs!$A:$B,2,FALSE),VLOOKUP($A287,'SegEnds_NonXtal_Prot#'!$A:$AL,28,FALSE)-4,1)</f>
        <v>L</v>
      </c>
      <c r="AG287" s="50" t="str">
        <f>MID(VLOOKUP($A287,Seqs!$A:$B,2,FALSE),VLOOKUP($A287,'SegEnds_NonXtal_Prot#'!$A:$AL,28,FALSE),1)</f>
        <v>T</v>
      </c>
    </row>
    <row r="288" spans="1:33" s="2" customFormat="1" x14ac:dyDescent="0.2">
      <c r="A288" s="2" t="s">
        <v>104</v>
      </c>
      <c r="B288" s="2" t="str">
        <f>LOWER(VLOOKUP(A288,Xtal_Templ!A:B,2,FALSE))</f>
        <v>s1pr1_human</v>
      </c>
      <c r="C288" s="2" t="str">
        <f>VLOOKUP(A288,Classification!A:D,2,FALSE)</f>
        <v>A</v>
      </c>
      <c r="D288" s="2" t="str">
        <f>IF(ISERROR(MATCH(A288,'SegEnds_Xtal_Prot#'!B:B, 0)), "NoXtal", "Xtal")</f>
        <v>Xtal</v>
      </c>
      <c r="G288" s="4"/>
      <c r="H288" s="2" t="s">
        <v>21</v>
      </c>
      <c r="S288" s="4" t="s">
        <v>12</v>
      </c>
      <c r="U288" s="28" t="str">
        <f>MID(VLOOKUP($A288,Seqs!$A:$B,2,FALSE),VLOOKUP($A288,'SegEnds_NonXtal_Prot#'!A:AL,10,FALSE),1)</f>
        <v>D</v>
      </c>
      <c r="V288" s="50" t="str">
        <f>MID(VLOOKUP($A288,Seqs!$A:$B,2,FALSE),VLOOKUP($A288,'SegEnds_NonXtal_Prot#'!A:AL,10,FALSE)+6,1)</f>
        <v>A</v>
      </c>
      <c r="W288" s="50" t="str">
        <f>MID(VLOOKUP($A288,Seqs!$A:$B,2,FALSE),VLOOKUP($A288,'SegEnds_NonXtal_Prot#'!A:AL,10,FALSE)+7,1)</f>
        <v>Y</v>
      </c>
      <c r="X288" s="50" t="str">
        <f>MID(VLOOKUP($A288,Seqs!$A:$B,2,FALSE),VLOOKUP($A288,'SegEnds_NonXtal_Prot#'!A:AL,10,FALSE)+8,1)</f>
        <v>T</v>
      </c>
      <c r="Y288" s="50" t="str">
        <f>MID(VLOOKUP($A288,Seqs!$A:$B,2,FALSE),VLOOKUP($A288,'SegEnds_NonXtal_Prot#'!A:AL,10,FALSE)+9,1)</f>
        <v>A</v>
      </c>
      <c r="Z288" s="50" t="str">
        <f>MID(VLOOKUP($A288,Seqs!$A:$B,2,FALSE),VLOOKUP($A288,'SegEnds_NonXtal_Prot#'!A:AL,10,FALSE)+10,1)</f>
        <v>N</v>
      </c>
      <c r="AA288" s="28" t="str">
        <f>MID(VLOOKUP($A288,Seqs!$A:$B,2,FALSE),VLOOKUP($A288,'SegEnds_NonXtal_Prot#'!$A:$AL,22,FALSE)+6,1)</f>
        <v>L</v>
      </c>
      <c r="AB288" s="50" t="str">
        <f>MID(VLOOKUP($A288,Seqs!$A:$B,2,FALSE),VLOOKUP($A288,'SegEnds_NonXtal_Prot#'!$A:$AL,22,FALSE)+7,1)</f>
        <v>G</v>
      </c>
      <c r="AC288" s="50" t="str">
        <f>MID(VLOOKUP($A288,Seqs!$A:$B,2,FALSE),VLOOKUP($A288,'SegEnds_NonXtal_Prot#'!$A:$AL,22,FALSE)+8,1)</f>
        <v>G</v>
      </c>
      <c r="AD288" s="50" t="str">
        <f>MID(VLOOKUP($A288,Seqs!$A:$B,2,FALSE),VLOOKUP($A288,'SegEnds_NonXtal_Prot#'!$A:$AL,22,FALSE)+9,1)</f>
        <v>L</v>
      </c>
      <c r="AE288" s="50" t="str">
        <f>MID(VLOOKUP($A288,Seqs!$A:$B,2,FALSE),VLOOKUP($A288,'SegEnds_NonXtal_Prot#'!$A:$AL,22,FALSE)+10,1)</f>
        <v>P</v>
      </c>
      <c r="AF288" s="28" t="str">
        <f>MID(VLOOKUP($A288,Seqs!$A:$B,2,FALSE),VLOOKUP($A288,'SegEnds_NonXtal_Prot#'!$A:$AL,28,FALSE)-4,1)</f>
        <v>V</v>
      </c>
      <c r="AG288" s="50" t="str">
        <f>MID(VLOOKUP($A288,Seqs!$A:$B,2,FALSE),VLOOKUP($A288,'SegEnds_NonXtal_Prot#'!$A:$AL,28,FALSE),1)</f>
        <v>L</v>
      </c>
    </row>
    <row r="289" spans="1:33" s="2" customFormat="1" x14ac:dyDescent="0.2">
      <c r="A289" s="2" t="s">
        <v>377</v>
      </c>
      <c r="B289" s="2" t="str">
        <f>LOWER(VLOOKUP(A289,Xtal_Templ!A:B,2,FALSE))</f>
        <v>s1pr1_human</v>
      </c>
      <c r="C289" s="2" t="str">
        <f>VLOOKUP(A289,Classification!A:D,2,FALSE)</f>
        <v>A</v>
      </c>
      <c r="D289" s="2" t="str">
        <f>IF(ISERROR(MATCH(A289,'SegEnds_Xtal_Prot#'!B:B, 0)), "NoXtal", "Xtal")</f>
        <v>NoXtal</v>
      </c>
      <c r="G289" s="4"/>
      <c r="H289" s="2" t="s">
        <v>21</v>
      </c>
      <c r="S289" s="4" t="s">
        <v>12</v>
      </c>
      <c r="U289" s="28" t="str">
        <f>MID(VLOOKUP($A289,Seqs!$A:$B,2,FALSE),VLOOKUP($A289,'SegEnds_NonXtal_Prot#'!A:AL,10,FALSE),1)</f>
        <v>D</v>
      </c>
      <c r="V289" s="50" t="str">
        <f>MID(VLOOKUP($A289,Seqs!$A:$B,2,FALSE),VLOOKUP($A289,'SegEnds_NonXtal_Prot#'!A:AL,10,FALSE)+6,1)</f>
        <v>A</v>
      </c>
      <c r="W289" s="50" t="str">
        <f>MID(VLOOKUP($A289,Seqs!$A:$B,2,FALSE),VLOOKUP($A289,'SegEnds_NonXtal_Prot#'!A:AL,10,FALSE)+7,1)</f>
        <v>F</v>
      </c>
      <c r="X289" s="50" t="str">
        <f>MID(VLOOKUP($A289,Seqs!$A:$B,2,FALSE),VLOOKUP($A289,'SegEnds_NonXtal_Prot#'!A:AL,10,FALSE)+8,1)</f>
        <v>V</v>
      </c>
      <c r="Y289" s="50" t="str">
        <f>MID(VLOOKUP($A289,Seqs!$A:$B,2,FALSE),VLOOKUP($A289,'SegEnds_NonXtal_Prot#'!A:AL,10,FALSE)+9,1)</f>
        <v>A</v>
      </c>
      <c r="Z289" s="50" t="str">
        <f>MID(VLOOKUP($A289,Seqs!$A:$B,2,FALSE),VLOOKUP($A289,'SegEnds_NonXtal_Prot#'!A:AL,10,FALSE)+10,1)</f>
        <v>N</v>
      </c>
      <c r="AA289" s="28" t="str">
        <f>MID(VLOOKUP($A289,Seqs!$A:$B,2,FALSE),VLOOKUP($A289,'SegEnds_NonXtal_Prot#'!$A:$AL,22,FALSE)+6,1)</f>
        <v>L</v>
      </c>
      <c r="AB289" s="50" t="str">
        <f>MID(VLOOKUP($A289,Seqs!$A:$B,2,FALSE),VLOOKUP($A289,'SegEnds_NonXtal_Prot#'!$A:$AL,22,FALSE)+7,1)</f>
        <v>G</v>
      </c>
      <c r="AC289" s="50" t="str">
        <f>MID(VLOOKUP($A289,Seqs!$A:$B,2,FALSE),VLOOKUP($A289,'SegEnds_NonXtal_Prot#'!$A:$AL,22,FALSE)+8,1)</f>
        <v>G</v>
      </c>
      <c r="AD289" s="50" t="str">
        <f>MID(VLOOKUP($A289,Seqs!$A:$B,2,FALSE),VLOOKUP($A289,'SegEnds_NonXtal_Prot#'!$A:$AL,22,FALSE)+9,1)</f>
        <v>L</v>
      </c>
      <c r="AE289" s="50" t="str">
        <f>MID(VLOOKUP($A289,Seqs!$A:$B,2,FALSE),VLOOKUP($A289,'SegEnds_NonXtal_Prot#'!$A:$AL,22,FALSE)+10,1)</f>
        <v>P</v>
      </c>
      <c r="AF289" s="28" t="str">
        <f>MID(VLOOKUP($A289,Seqs!$A:$B,2,FALSE),VLOOKUP($A289,'SegEnds_NonXtal_Prot#'!$A:$AL,28,FALSE)-4,1)</f>
        <v>I</v>
      </c>
      <c r="AG289" s="50" t="str">
        <f>MID(VLOOKUP($A289,Seqs!$A:$B,2,FALSE),VLOOKUP($A289,'SegEnds_NonXtal_Prot#'!$A:$AL,28,FALSE),1)</f>
        <v>I</v>
      </c>
    </row>
    <row r="290" spans="1:33" s="2" customFormat="1" x14ac:dyDescent="0.2">
      <c r="A290" s="2" t="s">
        <v>378</v>
      </c>
      <c r="B290" s="2" t="str">
        <f>LOWER(VLOOKUP(A290,Xtal_Templ!A:B,2,FALSE))</f>
        <v>s1pr1_human</v>
      </c>
      <c r="C290" s="2" t="str">
        <f>VLOOKUP(A290,Classification!A:D,2,FALSE)</f>
        <v>A</v>
      </c>
      <c r="D290" s="2" t="str">
        <f>IF(ISERROR(MATCH(A290,'SegEnds_Xtal_Prot#'!B:B, 0)), "NoXtal", "Xtal")</f>
        <v>NoXtal</v>
      </c>
      <c r="G290" s="4"/>
      <c r="H290" s="2" t="s">
        <v>21</v>
      </c>
      <c r="S290" s="4" t="s">
        <v>12</v>
      </c>
      <c r="U290" s="28" t="str">
        <f>MID(VLOOKUP($A290,Seqs!$A:$B,2,FALSE),VLOOKUP($A290,'SegEnds_NonXtal_Prot#'!A:AL,10,FALSE),1)</f>
        <v>D</v>
      </c>
      <c r="V290" s="50" t="str">
        <f>MID(VLOOKUP($A290,Seqs!$A:$B,2,FALSE),VLOOKUP($A290,'SegEnds_NonXtal_Prot#'!A:AL,10,FALSE)+6,1)</f>
        <v>A</v>
      </c>
      <c r="W290" s="50" t="str">
        <f>MID(VLOOKUP($A290,Seqs!$A:$B,2,FALSE),VLOOKUP($A290,'SegEnds_NonXtal_Prot#'!A:AL,10,FALSE)+7,1)</f>
        <v>Y</v>
      </c>
      <c r="X290" s="50" t="str">
        <f>MID(VLOOKUP($A290,Seqs!$A:$B,2,FALSE),VLOOKUP($A290,'SegEnds_NonXtal_Prot#'!A:AL,10,FALSE)+8,1)</f>
        <v>K</v>
      </c>
      <c r="Y290" s="50" t="str">
        <f>MID(VLOOKUP($A290,Seqs!$A:$B,2,FALSE),VLOOKUP($A290,'SegEnds_NonXtal_Prot#'!A:AL,10,FALSE)+9,1)</f>
        <v>V</v>
      </c>
      <c r="Z290" s="50" t="str">
        <f>MID(VLOOKUP($A290,Seqs!$A:$B,2,FALSE),VLOOKUP($A290,'SegEnds_NonXtal_Prot#'!A:AL,10,FALSE)+10,1)</f>
        <v>N</v>
      </c>
      <c r="AA290" s="28" t="str">
        <f>MID(VLOOKUP($A290,Seqs!$A:$B,2,FALSE),VLOOKUP($A290,'SegEnds_NonXtal_Prot#'!$A:$AL,22,FALSE)+6,1)</f>
        <v>L</v>
      </c>
      <c r="AB290" s="50" t="str">
        <f>MID(VLOOKUP($A290,Seqs!$A:$B,2,FALSE),VLOOKUP($A290,'SegEnds_NonXtal_Prot#'!$A:$AL,22,FALSE)+7,1)</f>
        <v>G</v>
      </c>
      <c r="AC290" s="50" t="str">
        <f>MID(VLOOKUP($A290,Seqs!$A:$B,2,FALSE),VLOOKUP($A290,'SegEnds_NonXtal_Prot#'!$A:$AL,22,FALSE)+8,1)</f>
        <v>A</v>
      </c>
      <c r="AD290" s="50" t="str">
        <f>MID(VLOOKUP($A290,Seqs!$A:$B,2,FALSE),VLOOKUP($A290,'SegEnds_NonXtal_Prot#'!$A:$AL,22,FALSE)+9,1)</f>
        <v>L</v>
      </c>
      <c r="AE290" s="50" t="str">
        <f>MID(VLOOKUP($A290,Seqs!$A:$B,2,FALSE),VLOOKUP($A290,'SegEnds_NonXtal_Prot#'!$A:$AL,22,FALSE)+10,1)</f>
        <v>P</v>
      </c>
      <c r="AF290" s="28" t="str">
        <f>MID(VLOOKUP($A290,Seqs!$A:$B,2,FALSE),VLOOKUP($A290,'SegEnds_NonXtal_Prot#'!$A:$AL,28,FALSE)-4,1)</f>
        <v>I</v>
      </c>
      <c r="AG290" s="50" t="str">
        <f>MID(VLOOKUP($A290,Seqs!$A:$B,2,FALSE),VLOOKUP($A290,'SegEnds_NonXtal_Prot#'!$A:$AL,28,FALSE),1)</f>
        <v>I</v>
      </c>
    </row>
    <row r="291" spans="1:33" s="2" customFormat="1" x14ac:dyDescent="0.2">
      <c r="A291" s="2" t="s">
        <v>379</v>
      </c>
      <c r="B291" s="2" t="str">
        <f>LOWER(VLOOKUP(A291,Xtal_Templ!A:B,2,FALSE))</f>
        <v>s1pr1_human</v>
      </c>
      <c r="C291" s="2" t="str">
        <f>VLOOKUP(A291,Classification!A:D,2,FALSE)</f>
        <v>A</v>
      </c>
      <c r="D291" s="2" t="str">
        <f>IF(ISERROR(MATCH(A291,'SegEnds_Xtal_Prot#'!B:B, 0)), "NoXtal", "Xtal")</f>
        <v>NoXtal</v>
      </c>
      <c r="G291" s="4"/>
      <c r="H291" s="2" t="s">
        <v>21</v>
      </c>
      <c r="S291" s="4" t="s">
        <v>12</v>
      </c>
      <c r="U291" s="28" t="str">
        <f>MID(VLOOKUP($A291,Seqs!$A:$B,2,FALSE),VLOOKUP($A291,'SegEnds_NonXtal_Prot#'!A:AL,10,FALSE),1)</f>
        <v>D</v>
      </c>
      <c r="V291" s="50" t="str">
        <f>MID(VLOOKUP($A291,Seqs!$A:$B,2,FALSE),VLOOKUP($A291,'SegEnds_NonXtal_Prot#'!A:AL,10,FALSE)+6,1)</f>
        <v>A</v>
      </c>
      <c r="W291" s="50" t="str">
        <f>MID(VLOOKUP($A291,Seqs!$A:$B,2,FALSE),VLOOKUP($A291,'SegEnds_NonXtal_Prot#'!A:AL,10,FALSE)+7,1)</f>
        <v>Y</v>
      </c>
      <c r="X291" s="50" t="str">
        <f>MID(VLOOKUP($A291,Seqs!$A:$B,2,FALSE),VLOOKUP($A291,'SegEnds_NonXtal_Prot#'!A:AL,10,FALSE)+8,1)</f>
        <v>L</v>
      </c>
      <c r="Y291" s="50" t="str">
        <f>MID(VLOOKUP($A291,Seqs!$A:$B,2,FALSE),VLOOKUP($A291,'SegEnds_NonXtal_Prot#'!A:AL,10,FALSE)+9,1)</f>
        <v>A</v>
      </c>
      <c r="Z291" s="50" t="str">
        <f>MID(VLOOKUP($A291,Seqs!$A:$B,2,FALSE),VLOOKUP($A291,'SegEnds_NonXtal_Prot#'!A:AL,10,FALSE)+10,1)</f>
        <v>N</v>
      </c>
      <c r="AA291" s="28" t="str">
        <f>MID(VLOOKUP($A291,Seqs!$A:$B,2,FALSE),VLOOKUP($A291,'SegEnds_NonXtal_Prot#'!$A:$AL,22,FALSE)+6,1)</f>
        <v>L</v>
      </c>
      <c r="AB291" s="50" t="str">
        <f>MID(VLOOKUP($A291,Seqs!$A:$B,2,FALSE),VLOOKUP($A291,'SegEnds_NonXtal_Prot#'!$A:$AL,22,FALSE)+7,1)</f>
        <v>G</v>
      </c>
      <c r="AC291" s="50" t="str">
        <f>MID(VLOOKUP($A291,Seqs!$A:$B,2,FALSE),VLOOKUP($A291,'SegEnds_NonXtal_Prot#'!$A:$AL,22,FALSE)+8,1)</f>
        <v>M</v>
      </c>
      <c r="AD291" s="50" t="str">
        <f>MID(VLOOKUP($A291,Seqs!$A:$B,2,FALSE),VLOOKUP($A291,'SegEnds_NonXtal_Prot#'!$A:$AL,22,FALSE)+9,1)</f>
        <v>L</v>
      </c>
      <c r="AE291" s="50" t="str">
        <f>MID(VLOOKUP($A291,Seqs!$A:$B,2,FALSE),VLOOKUP($A291,'SegEnds_NonXtal_Prot#'!$A:$AL,22,FALSE)+10,1)</f>
        <v>P</v>
      </c>
      <c r="AF291" s="28" t="str">
        <f>MID(VLOOKUP($A291,Seqs!$A:$B,2,FALSE),VLOOKUP($A291,'SegEnds_NonXtal_Prot#'!$A:$AL,28,FALSE)-4,1)</f>
        <v>I</v>
      </c>
      <c r="AG291" s="50" t="str">
        <f>MID(VLOOKUP($A291,Seqs!$A:$B,2,FALSE),VLOOKUP($A291,'SegEnds_NonXtal_Prot#'!$A:$AL,28,FALSE),1)</f>
        <v>V</v>
      </c>
    </row>
    <row r="292" spans="1:33" s="2" customFormat="1" x14ac:dyDescent="0.2">
      <c r="A292" s="2" t="s">
        <v>380</v>
      </c>
      <c r="B292" s="2" t="str">
        <f>LOWER(VLOOKUP(A292,Xtal_Templ!A:B,2,FALSE))</f>
        <v>s1pr1_human</v>
      </c>
      <c r="C292" s="2" t="str">
        <f>VLOOKUP(A292,Classification!A:D,2,FALSE)</f>
        <v>A</v>
      </c>
      <c r="D292" s="2" t="str">
        <f>IF(ISERROR(MATCH(A292,'SegEnds_Xtal_Prot#'!B:B, 0)), "NoXtal", "Xtal")</f>
        <v>NoXtal</v>
      </c>
      <c r="G292" s="4"/>
      <c r="H292" s="2" t="s">
        <v>21</v>
      </c>
      <c r="S292" s="4" t="s">
        <v>12</v>
      </c>
      <c r="U292" s="28" t="str">
        <f>MID(VLOOKUP($A292,Seqs!$A:$B,2,FALSE),VLOOKUP($A292,'SegEnds_NonXtal_Prot#'!A:AL,10,FALSE),1)</f>
        <v>D</v>
      </c>
      <c r="V292" s="50" t="str">
        <f>MID(VLOOKUP($A292,Seqs!$A:$B,2,FALSE),VLOOKUP($A292,'SegEnds_NonXtal_Prot#'!A:AL,10,FALSE)+6,1)</f>
        <v>A</v>
      </c>
      <c r="W292" s="50" t="str">
        <f>MID(VLOOKUP($A292,Seqs!$A:$B,2,FALSE),VLOOKUP($A292,'SegEnds_NonXtal_Prot#'!A:AL,10,FALSE)+7,1)</f>
        <v>Y</v>
      </c>
      <c r="X292" s="50" t="str">
        <f>MID(VLOOKUP($A292,Seqs!$A:$B,2,FALSE),VLOOKUP($A292,'SegEnds_NonXtal_Prot#'!A:AL,10,FALSE)+8,1)</f>
        <v>A</v>
      </c>
      <c r="Y292" s="50" t="str">
        <f>MID(VLOOKUP($A292,Seqs!$A:$B,2,FALSE),VLOOKUP($A292,'SegEnds_NonXtal_Prot#'!A:AL,10,FALSE)+9,1)</f>
        <v>A</v>
      </c>
      <c r="Z292" s="50" t="str">
        <f>MID(VLOOKUP($A292,Seqs!$A:$B,2,FALSE),VLOOKUP($A292,'SegEnds_NonXtal_Prot#'!A:AL,10,FALSE)+10,1)</f>
        <v>N</v>
      </c>
      <c r="AA292" s="28" t="str">
        <f>MID(VLOOKUP($A292,Seqs!$A:$B,2,FALSE),VLOOKUP($A292,'SegEnds_NonXtal_Prot#'!$A:$AL,22,FALSE)+6,1)</f>
        <v>L</v>
      </c>
      <c r="AB292" s="50" t="str">
        <f>MID(VLOOKUP($A292,Seqs!$A:$B,2,FALSE),VLOOKUP($A292,'SegEnds_NonXtal_Prot#'!$A:$AL,22,FALSE)+7,1)</f>
        <v>G</v>
      </c>
      <c r="AC292" s="50" t="str">
        <f>MID(VLOOKUP($A292,Seqs!$A:$B,2,FALSE),VLOOKUP($A292,'SegEnds_NonXtal_Prot#'!$A:$AL,22,FALSE)+8,1)</f>
        <v>L</v>
      </c>
      <c r="AD292" s="50" t="str">
        <f>MID(VLOOKUP($A292,Seqs!$A:$B,2,FALSE),VLOOKUP($A292,'SegEnds_NonXtal_Prot#'!$A:$AL,22,FALSE)+9,1)</f>
        <v>L</v>
      </c>
      <c r="AE292" s="50" t="str">
        <f>MID(VLOOKUP($A292,Seqs!$A:$B,2,FALSE),VLOOKUP($A292,'SegEnds_NonXtal_Prot#'!$A:$AL,22,FALSE)+10,1)</f>
        <v>P</v>
      </c>
      <c r="AF292" s="28" t="str">
        <f>MID(VLOOKUP($A292,Seqs!$A:$B,2,FALSE),VLOOKUP($A292,'SegEnds_NonXtal_Prot#'!$A:$AL,28,FALSE)-4,1)</f>
        <v>A</v>
      </c>
      <c r="AG292" s="50" t="str">
        <f>MID(VLOOKUP($A292,Seqs!$A:$B,2,FALSE),VLOOKUP($A292,'SegEnds_NonXtal_Prot#'!$A:$AL,28,FALSE),1)</f>
        <v>I</v>
      </c>
    </row>
    <row r="293" spans="1:33" s="2" customFormat="1" x14ac:dyDescent="0.2">
      <c r="A293" s="2" t="s">
        <v>473</v>
      </c>
      <c r="B293" s="2" t="str">
        <f>LOWER(VLOOKUP(A293,Xtal_Templ!A:B,2,FALSE))</f>
        <v>cnr1_human</v>
      </c>
      <c r="C293" s="2" t="str">
        <f>VLOOKUP(A293,Classification!A:D,2,FALSE)</f>
        <v>A</v>
      </c>
      <c r="D293" s="2" t="str">
        <f>IF(ISERROR(MATCH(A293,'SegEnds_Xtal_Prot#'!B:B, 0)), "NoXtal", "Xtal")</f>
        <v>NoXtal</v>
      </c>
      <c r="G293" s="4"/>
      <c r="S293" s="4" t="s">
        <v>12</v>
      </c>
      <c r="U293" s="28" t="str">
        <f>MID(VLOOKUP($A293,Seqs!$A:$B,2,FALSE),VLOOKUP($A293,'SegEnds_NonXtal_Prot#'!A:AL,10,FALSE),1)</f>
        <v>D</v>
      </c>
      <c r="V293" s="50" t="str">
        <f>MID(VLOOKUP($A293,Seqs!$A:$B,2,FALSE),VLOOKUP($A293,'SegEnds_NonXtal_Prot#'!A:AL,10,FALSE)+6,1)</f>
        <v>V</v>
      </c>
      <c r="W293" s="50" t="str">
        <f>MID(VLOOKUP($A293,Seqs!$A:$B,2,FALSE),VLOOKUP($A293,'SegEnds_NonXtal_Prot#'!A:AL,10,FALSE)+7,1)</f>
        <v>T</v>
      </c>
      <c r="X293" s="50" t="str">
        <f>MID(VLOOKUP($A293,Seqs!$A:$B,2,FALSE),VLOOKUP($A293,'SegEnds_NonXtal_Prot#'!A:AL,10,FALSE)+8,1)</f>
        <v>G</v>
      </c>
      <c r="Y293" s="50" t="str">
        <f>MID(VLOOKUP($A293,Seqs!$A:$B,2,FALSE),VLOOKUP($A293,'SegEnds_NonXtal_Prot#'!A:AL,10,FALSE)+9,1)</f>
        <v>T</v>
      </c>
      <c r="Z293" s="50" t="str">
        <f>MID(VLOOKUP($A293,Seqs!$A:$B,2,FALSE),VLOOKUP($A293,'SegEnds_NonXtal_Prot#'!A:AL,10,FALSE)+10,1)</f>
        <v>I</v>
      </c>
      <c r="AA293" s="28" t="str">
        <f>MID(VLOOKUP($A293,Seqs!$A:$B,2,FALSE),VLOOKUP($A293,'SegEnds_NonXtal_Prot#'!$A:$AL,22,FALSE)+6,1)</f>
        <v>L</v>
      </c>
      <c r="AB293" s="50" t="str">
        <f>MID(VLOOKUP($A293,Seqs!$A:$B,2,FALSE),VLOOKUP($A293,'SegEnds_NonXtal_Prot#'!$A:$AL,22,FALSE)+7,1)</f>
        <v>G</v>
      </c>
      <c r="AC293" s="50" t="str">
        <f>MID(VLOOKUP($A293,Seqs!$A:$B,2,FALSE),VLOOKUP($A293,'SegEnds_NonXtal_Prot#'!$A:$AL,22,FALSE)+8,1)</f>
        <v>L</v>
      </c>
      <c r="AD293" s="50" t="str">
        <f>MID(VLOOKUP($A293,Seqs!$A:$B,2,FALSE),VLOOKUP($A293,'SegEnds_NonXtal_Prot#'!$A:$AL,22,FALSE)+9,1)</f>
        <v>L</v>
      </c>
      <c r="AE293" s="50" t="str">
        <f>MID(VLOOKUP($A293,Seqs!$A:$B,2,FALSE),VLOOKUP($A293,'SegEnds_NonXtal_Prot#'!$A:$AL,22,FALSE)+10,1)</f>
        <v>P</v>
      </c>
      <c r="AF293" s="28" t="str">
        <f>MID(VLOOKUP($A293,Seqs!$A:$B,2,FALSE),VLOOKUP($A293,'SegEnds_NonXtal_Prot#'!$A:$AL,28,FALSE)-4,1)</f>
        <v>L</v>
      </c>
      <c r="AG293" s="50" t="str">
        <f>MID(VLOOKUP($A293,Seqs!$A:$B,2,FALSE),VLOOKUP($A293,'SegEnds_NonXtal_Prot#'!$A:$AL,28,FALSE),1)</f>
        <v>S</v>
      </c>
    </row>
    <row r="294" spans="1:33" s="2" customFormat="1" x14ac:dyDescent="0.2">
      <c r="A294" s="2" t="s">
        <v>221</v>
      </c>
      <c r="B294" s="2" t="str">
        <f>LOWER(VLOOKUP(A294,Xtal_Templ!A:B,2,FALSE))</f>
        <v>s1pr1_human</v>
      </c>
      <c r="C294" s="2" t="str">
        <f>VLOOKUP(A294,Classification!A:D,2,FALSE)</f>
        <v>A</v>
      </c>
      <c r="D294" s="2" t="str">
        <f>IF(ISERROR(MATCH(A294,'SegEnds_Xtal_Prot#'!B:B, 0)), "NoXtal", "Xtal")</f>
        <v>NoXtal</v>
      </c>
      <c r="G294" s="4"/>
      <c r="Q294" s="2" t="s">
        <v>9</v>
      </c>
      <c r="S294" s="4" t="s">
        <v>12</v>
      </c>
      <c r="U294" s="28" t="str">
        <f>MID(VLOOKUP($A294,Seqs!$A:$B,2,FALSE),VLOOKUP($A294,'SegEnds_NonXtal_Prot#'!A:AL,10,FALSE),1)</f>
        <v>Q</v>
      </c>
      <c r="V294" s="50" t="str">
        <f>MID(VLOOKUP($A294,Seqs!$A:$B,2,FALSE),VLOOKUP($A294,'SegEnds_NonXtal_Prot#'!A:AL,10,FALSE)+6,1)</f>
        <v>S</v>
      </c>
      <c r="W294" s="50" t="str">
        <f>MID(VLOOKUP($A294,Seqs!$A:$B,2,FALSE),VLOOKUP($A294,'SegEnds_NonXtal_Prot#'!A:AL,10,FALSE)+7,1)</f>
        <v>M</v>
      </c>
      <c r="X294" s="50" t="str">
        <f>MID(VLOOKUP($A294,Seqs!$A:$B,2,FALSE),VLOOKUP($A294,'SegEnds_NonXtal_Prot#'!A:AL,10,FALSE)+8,1)</f>
        <v>L</v>
      </c>
      <c r="Y294" s="50" t="str">
        <f>MID(VLOOKUP($A294,Seqs!$A:$B,2,FALSE),VLOOKUP($A294,'SegEnds_NonXtal_Prot#'!A:AL,10,FALSE)+9,1)</f>
        <v>V</v>
      </c>
      <c r="Z294" s="50" t="str">
        <f>MID(VLOOKUP($A294,Seqs!$A:$B,2,FALSE),VLOOKUP($A294,'SegEnds_NonXtal_Prot#'!A:AL,10,FALSE)+10,1)</f>
        <v>A</v>
      </c>
      <c r="AA294" s="28" t="str">
        <f>MID(VLOOKUP($A294,Seqs!$A:$B,2,FALSE),VLOOKUP($A294,'SegEnds_NonXtal_Prot#'!$A:$AL,22,FALSE)+6,1)</f>
        <v>L</v>
      </c>
      <c r="AB294" s="50" t="str">
        <f>MID(VLOOKUP($A294,Seqs!$A:$B,2,FALSE),VLOOKUP($A294,'SegEnds_NonXtal_Prot#'!$A:$AL,22,FALSE)+7,1)</f>
        <v>S</v>
      </c>
      <c r="AC294" s="50" t="str">
        <f>MID(VLOOKUP($A294,Seqs!$A:$B,2,FALSE),VLOOKUP($A294,'SegEnds_NonXtal_Prot#'!$A:$AL,22,FALSE)+8,1)</f>
        <v>A</v>
      </c>
      <c r="AD294" s="50" t="str">
        <f>MID(VLOOKUP($A294,Seqs!$A:$B,2,FALSE),VLOOKUP($A294,'SegEnds_NonXtal_Prot#'!$A:$AL,22,FALSE)+9,1)</f>
        <v>L</v>
      </c>
      <c r="AE294" s="50" t="str">
        <f>MID(VLOOKUP($A294,Seqs!$A:$B,2,FALSE),VLOOKUP($A294,'SegEnds_NonXtal_Prot#'!$A:$AL,22,FALSE)+10,1)</f>
        <v>P</v>
      </c>
      <c r="AF294" s="28" t="str">
        <f>MID(VLOOKUP($A294,Seqs!$A:$B,2,FALSE),VLOOKUP($A294,'SegEnds_NonXtal_Prot#'!$A:$AL,28,FALSE)-4,1)</f>
        <v>G</v>
      </c>
      <c r="AG294" s="50" t="str">
        <f>MID(VLOOKUP($A294,Seqs!$A:$B,2,FALSE),VLOOKUP($A294,'SegEnds_NonXtal_Prot#'!$A:$AL,28,FALSE),1)</f>
        <v>P</v>
      </c>
    </row>
    <row r="295" spans="1:33" s="2" customFormat="1" x14ac:dyDescent="0.2">
      <c r="A295" s="2" t="s">
        <v>924</v>
      </c>
      <c r="B295" s="2" t="str">
        <f>LOWER(VLOOKUP(A295,Xtal_Templ!A:B,2,FALSE))</f>
        <v>us28_hcmva</v>
      </c>
      <c r="C295" s="2" t="str">
        <f>VLOOKUP(A295,Classification!A:D,2,FALSE)</f>
        <v>A</v>
      </c>
      <c r="D295" s="2" t="str">
        <f>IF(ISERROR(MATCH(A295,'SegEnds_Xtal_Prot#'!B:B, 0)), "NoXtal", "Xtal")</f>
        <v>Xtal</v>
      </c>
      <c r="G295" s="4"/>
      <c r="M295" s="2" t="s">
        <v>14</v>
      </c>
      <c r="Q295" s="2" t="s">
        <v>9</v>
      </c>
      <c r="S295" s="4" t="s">
        <v>12</v>
      </c>
      <c r="U295" s="28" t="str">
        <f>MID(VLOOKUP($A295,Seqs!$A:$B,2,FALSE),VLOOKUP($A295,'SegEnds_NonXtal_Prot#'!A:AL,10,FALSE),1)</f>
        <v>D</v>
      </c>
      <c r="V295" s="50" t="str">
        <f>MID(VLOOKUP($A295,Seqs!$A:$B,2,FALSE),VLOOKUP($A295,'SegEnds_NonXtal_Prot#'!A:AL,10,FALSE)+6,1)</f>
        <v>T</v>
      </c>
      <c r="W295" s="50" t="str">
        <f>MID(VLOOKUP($A295,Seqs!$A:$B,2,FALSE),VLOOKUP($A295,'SegEnds_NonXtal_Prot#'!A:AL,10,FALSE)+7,1)</f>
        <v>L</v>
      </c>
      <c r="X295" s="50" t="str">
        <f>MID(VLOOKUP($A295,Seqs!$A:$B,2,FALSE),VLOOKUP($A295,'SegEnds_NonXtal_Prot#'!A:AL,10,FALSE)+8,1)</f>
        <v>P</v>
      </c>
      <c r="Y295" s="50" t="str">
        <f>MID(VLOOKUP($A295,Seqs!$A:$B,2,FALSE),VLOOKUP($A295,'SegEnds_NonXtal_Prot#'!A:AL,10,FALSE)+9,1)</f>
        <v>L</v>
      </c>
      <c r="Z295" s="50" t="str">
        <f>MID(VLOOKUP($A295,Seqs!$A:$B,2,FALSE),VLOOKUP($A295,'SegEnds_NonXtal_Prot#'!A:AL,10,FALSE)+10,1)</f>
        <v>W</v>
      </c>
      <c r="AA295" s="28" t="str">
        <f>MID(VLOOKUP($A295,Seqs!$A:$B,2,FALSE),VLOOKUP($A295,'SegEnds_NonXtal_Prot#'!$A:$AL,22,FALSE)+6,1)</f>
        <v>I</v>
      </c>
      <c r="AB295" s="50" t="str">
        <f>MID(VLOOKUP($A295,Seqs!$A:$B,2,FALSE),VLOOKUP($A295,'SegEnds_NonXtal_Prot#'!$A:$AL,22,FALSE)+7,1)</f>
        <v>A</v>
      </c>
      <c r="AC295" s="50" t="str">
        <f>MID(VLOOKUP($A295,Seqs!$A:$B,2,FALSE),VLOOKUP($A295,'SegEnds_NonXtal_Prot#'!$A:$AL,22,FALSE)+8,1)</f>
        <v>I</v>
      </c>
      <c r="AD295" s="50" t="str">
        <f>MID(VLOOKUP($A295,Seqs!$A:$B,2,FALSE),VLOOKUP($A295,'SegEnds_NonXtal_Prot#'!$A:$AL,22,FALSE)+9,1)</f>
        <v>P</v>
      </c>
      <c r="AE295" s="50" t="str">
        <f>MID(VLOOKUP($A295,Seqs!$A:$B,2,FALSE),VLOOKUP($A295,'SegEnds_NonXtal_Prot#'!$A:$AL,22,FALSE)+10,1)</f>
        <v>H</v>
      </c>
      <c r="AF295" s="28" t="str">
        <f>MID(VLOOKUP($A295,Seqs!$A:$B,2,FALSE),VLOOKUP($A295,'SegEnds_NonXtal_Prot#'!$A:$AL,28,FALSE)-4,1)</f>
        <v>A</v>
      </c>
      <c r="AG295" s="50" t="str">
        <f>MID(VLOOKUP($A295,Seqs!$A:$B,2,FALSE),VLOOKUP($A295,'SegEnds_NonXtal_Prot#'!$A:$AL,28,FALSE),1)</f>
        <v>P</v>
      </c>
    </row>
    <row r="296" spans="1:33" s="2" customFormat="1" x14ac:dyDescent="0.2">
      <c r="A296" s="2" t="s">
        <v>401</v>
      </c>
      <c r="B296" s="2" t="str">
        <f>LOWER(VLOOKUP(A296,Xtal_Templ!A:B,2,FALSE))</f>
        <v>calcr_human</v>
      </c>
      <c r="C296" s="2" t="str">
        <f>VLOOKUP(A296,Classification!A:D,2,FALSE)</f>
        <v>B1</v>
      </c>
      <c r="D296" s="2" t="str">
        <f>IF(ISERROR(MATCH(A296,'SegEnds_Xtal_Prot#'!B:B, 0)), "NoXtal", "Xtal")</f>
        <v>Xtal</v>
      </c>
      <c r="G296" s="4"/>
      <c r="I296" s="109" t="s">
        <v>25</v>
      </c>
      <c r="O296" s="2" t="s">
        <v>1329</v>
      </c>
      <c r="S296" s="4" t="s">
        <v>12</v>
      </c>
      <c r="U296" s="28" t="str">
        <f>MID(VLOOKUP($A296,Seqs!$A:$B,2,FALSE),VLOOKUP($A296,'SegEnds_NonXtal_Prot#'!A:AL,10,FALSE),1)</f>
        <v>Y</v>
      </c>
      <c r="V296" s="50" t="str">
        <f>MID(VLOOKUP($A296,Seqs!$A:$B,2,FALSE),VLOOKUP($A296,'SegEnds_NonXtal_Prot#'!A:AL,10,FALSE)+6,1)</f>
        <v>I</v>
      </c>
      <c r="W296" s="50" t="str">
        <f>MID(VLOOKUP($A296,Seqs!$A:$B,2,FALSE),VLOOKUP($A296,'SegEnds_NonXtal_Prot#'!A:AL,10,FALSE)+7,1)</f>
        <v>I</v>
      </c>
      <c r="X296" s="50" t="str">
        <f>MID(VLOOKUP($A296,Seqs!$A:$B,2,FALSE),VLOOKUP($A296,'SegEnds_NonXtal_Prot#'!A:AL,10,FALSE)+8,1)</f>
        <v>I</v>
      </c>
      <c r="Y296" s="50" t="str">
        <f>MID(VLOOKUP($A296,Seqs!$A:$B,2,FALSE),VLOOKUP($A296,'SegEnds_NonXtal_Prot#'!A:AL,10,FALSE)+9,1)</f>
        <v>I</v>
      </c>
      <c r="Z296" s="50" t="str">
        <f>MID(VLOOKUP($A296,Seqs!$A:$B,2,FALSE),VLOOKUP($A296,'SegEnds_NonXtal_Prot#'!A:AL,10,FALSE)+10,1)</f>
        <v>H</v>
      </c>
      <c r="AA296" s="28" t="str">
        <f>MID(VLOOKUP($A296,Seqs!$A:$B,2,FALSE),VLOOKUP($A296,'SegEnds_NonXtal_Prot#'!$A:$AL,22,FALSE)+6,1)</f>
        <v>P</v>
      </c>
      <c r="AB296" s="50" t="str">
        <f>MID(VLOOKUP($A296,Seqs!$A:$B,2,FALSE),VLOOKUP($A296,'SegEnds_NonXtal_Prot#'!$A:$AL,22,FALSE)+7,1)</f>
        <v>T</v>
      </c>
      <c r="AC296" s="50" t="str">
        <f>MID(VLOOKUP($A296,Seqs!$A:$B,2,FALSE),VLOOKUP($A296,'SegEnds_NonXtal_Prot#'!$A:$AL,22,FALSE)+8,1)</f>
        <v>T</v>
      </c>
      <c r="AD296" s="50" t="str">
        <f>MID(VLOOKUP($A296,Seqs!$A:$B,2,FALSE),VLOOKUP($A296,'SegEnds_NonXtal_Prot#'!$A:$AL,22,FALSE)+9,1)</f>
        <v>I</v>
      </c>
      <c r="AE296" s="50" t="str">
        <f>MID(VLOOKUP($A296,Seqs!$A:$B,2,FALSE),VLOOKUP($A296,'SegEnds_NonXtal_Prot#'!$A:$AL,22,FALSE)+10,1)</f>
        <v>H</v>
      </c>
      <c r="AF296" s="28" t="str">
        <f>MID(VLOOKUP($A296,Seqs!$A:$B,2,FALSE),VLOOKUP($A296,'SegEnds_NonXtal_Prot#'!$A:$AL,28,FALSE)-4,1)</f>
        <v>P</v>
      </c>
      <c r="AG296" s="50" t="str">
        <f>MID(VLOOKUP($A296,Seqs!$A:$B,2,FALSE),VLOOKUP($A296,'SegEnds_NonXtal_Prot#'!$A:$AL,28,FALSE),1)</f>
        <v>A</v>
      </c>
    </row>
    <row r="297" spans="1:33" s="2" customFormat="1" x14ac:dyDescent="0.2">
      <c r="A297" s="2" t="s">
        <v>402</v>
      </c>
      <c r="B297" s="2" t="str">
        <f>LOWER(VLOOKUP(A297,Xtal_Templ!A:B,2,FALSE))</f>
        <v>calcr_human</v>
      </c>
      <c r="C297" s="2" t="str">
        <f>VLOOKUP(A297,Classification!A:D,2,FALSE)</f>
        <v>B1</v>
      </c>
      <c r="D297" s="2" t="str">
        <f>IF(ISERROR(MATCH(A297,'SegEnds_Xtal_Prot#'!B:B, 0)), "NoXtal", "Xtal")</f>
        <v>NoXtal</v>
      </c>
      <c r="G297" s="4"/>
      <c r="I297" s="109" t="s">
        <v>25</v>
      </c>
      <c r="O297" s="2" t="s">
        <v>1329</v>
      </c>
      <c r="S297" s="4" t="s">
        <v>12</v>
      </c>
      <c r="U297" s="28" t="str">
        <f>MID(VLOOKUP($A297,Seqs!$A:$B,2,FALSE),VLOOKUP($A297,'SegEnds_NonXtal_Prot#'!A:AL,10,FALSE),1)</f>
        <v>F</v>
      </c>
      <c r="V297" s="50" t="str">
        <f>MID(VLOOKUP($A297,Seqs!$A:$B,2,FALSE),VLOOKUP($A297,'SegEnds_NonXtal_Prot#'!A:AL,10,FALSE)+6,1)</f>
        <v>V</v>
      </c>
      <c r="W297" s="50" t="str">
        <f>MID(VLOOKUP($A297,Seqs!$A:$B,2,FALSE),VLOOKUP($A297,'SegEnds_NonXtal_Prot#'!A:AL,10,FALSE)+7,1)</f>
        <v>T</v>
      </c>
      <c r="X297" s="50" t="str">
        <f>MID(VLOOKUP($A297,Seqs!$A:$B,2,FALSE),VLOOKUP($A297,'SegEnds_NonXtal_Prot#'!A:AL,10,FALSE)+8,1)</f>
        <v>I</v>
      </c>
      <c r="Y297" s="50" t="str">
        <f>MID(VLOOKUP($A297,Seqs!$A:$B,2,FALSE),VLOOKUP($A297,'SegEnds_NonXtal_Prot#'!A:AL,10,FALSE)+9,1)</f>
        <v>I</v>
      </c>
      <c r="Z297" s="50" t="str">
        <f>MID(VLOOKUP($A297,Seqs!$A:$B,2,FALSE),VLOOKUP($A297,'SegEnds_NonXtal_Prot#'!A:AL,10,FALSE)+10,1)</f>
        <v>H</v>
      </c>
      <c r="AA297" s="28" t="str">
        <f>MID(VLOOKUP($A297,Seqs!$A:$B,2,FALSE),VLOOKUP($A297,'SegEnds_NonXtal_Prot#'!$A:$AL,22,FALSE)+6,1)</f>
        <v>P</v>
      </c>
      <c r="AB297" s="50" t="str">
        <f>MID(VLOOKUP($A297,Seqs!$A:$B,2,FALSE),VLOOKUP($A297,'SegEnds_NonXtal_Prot#'!$A:$AL,22,FALSE)+7,1)</f>
        <v>A</v>
      </c>
      <c r="AC297" s="50" t="str">
        <f>MID(VLOOKUP($A297,Seqs!$A:$B,2,FALSE),VLOOKUP($A297,'SegEnds_NonXtal_Prot#'!$A:$AL,22,FALSE)+8,1)</f>
        <v>C</v>
      </c>
      <c r="AD297" s="50" t="str">
        <f>MID(VLOOKUP($A297,Seqs!$A:$B,2,FALSE),VLOOKUP($A297,'SegEnds_NonXtal_Prot#'!$A:$AL,22,FALSE)+9,1)</f>
        <v>I</v>
      </c>
      <c r="AE297" s="50" t="str">
        <f>MID(VLOOKUP($A297,Seqs!$A:$B,2,FALSE),VLOOKUP($A297,'SegEnds_NonXtal_Prot#'!$A:$AL,22,FALSE)+10,1)</f>
        <v>H</v>
      </c>
      <c r="AF297" s="28" t="str">
        <f>MID(VLOOKUP($A297,Seqs!$A:$B,2,FALSE),VLOOKUP($A297,'SegEnds_NonXtal_Prot#'!$A:$AL,28,FALSE)-4,1)</f>
        <v>P</v>
      </c>
      <c r="AG297" s="50" t="str">
        <f>MID(VLOOKUP($A297,Seqs!$A:$B,2,FALSE),VLOOKUP($A297,'SegEnds_NonXtal_Prot#'!$A:$AL,28,FALSE),1)</f>
        <v>A</v>
      </c>
    </row>
    <row r="298" spans="1:33" s="2" customFormat="1" x14ac:dyDescent="0.2">
      <c r="A298" s="2" t="s">
        <v>38</v>
      </c>
      <c r="B298" s="2" t="str">
        <f>LOWER(VLOOKUP(A298,Xtal_Templ!A:B,2,FALSE))</f>
        <v>crfr1_human</v>
      </c>
      <c r="C298" s="2" t="str">
        <f>VLOOKUP(A298,Classification!A:D,2,FALSE)</f>
        <v>B1</v>
      </c>
      <c r="D298" s="2" t="str">
        <f>IF(ISERROR(MATCH(A298,'SegEnds_Xtal_Prot#'!B:B, 0)), "NoXtal", "Xtal")</f>
        <v>Xtal</v>
      </c>
      <c r="E298" s="50"/>
      <c r="G298" s="4"/>
      <c r="I298" s="53" t="s">
        <v>25</v>
      </c>
      <c r="J298" s="110"/>
      <c r="O298" s="2" t="s">
        <v>1329</v>
      </c>
      <c r="S298" s="4" t="s">
        <v>12</v>
      </c>
      <c r="U298" s="28" t="str">
        <f>MID(VLOOKUP($A298,Seqs!$A:$B,2,FALSE),VLOOKUP($A298,'SegEnds_NonXtal_Prot#'!A:AL,10,FALSE),1)</f>
        <v>F</v>
      </c>
      <c r="V298" s="50" t="str">
        <f>MID(VLOOKUP($A298,Seqs!$A:$B,2,FALSE),VLOOKUP($A298,'SegEnds_NonXtal_Prot#'!A:AL,10,FALSE)+6,1)</f>
        <v>T</v>
      </c>
      <c r="W298" s="50" t="str">
        <f>MID(VLOOKUP($A298,Seqs!$A:$B,2,FALSE),VLOOKUP($A298,'SegEnds_NonXtal_Prot#'!A:AL,10,FALSE)+7,1)</f>
        <v>W</v>
      </c>
      <c r="X298" s="50" t="str">
        <f>MID(VLOOKUP($A298,Seqs!$A:$B,2,FALSE),VLOOKUP($A298,'SegEnds_NonXtal_Prot#'!A:AL,10,FALSE)+8,1)</f>
        <v>F</v>
      </c>
      <c r="Y298" s="50" t="str">
        <f>MID(VLOOKUP($A298,Seqs!$A:$B,2,FALSE),VLOOKUP($A298,'SegEnds_NonXtal_Prot#'!A:AL,10,FALSE)+9,1)</f>
        <v>V</v>
      </c>
      <c r="Z298" s="50" t="str">
        <f>MID(VLOOKUP($A298,Seqs!$A:$B,2,FALSE),VLOOKUP($A298,'SegEnds_NonXtal_Prot#'!A:AL,10,FALSE)+10,1)</f>
        <v>V</v>
      </c>
      <c r="AA298" s="28" t="str">
        <f>MID(VLOOKUP($A298,Seqs!$A:$B,2,FALSE),VLOOKUP($A298,'SegEnds_NonXtal_Prot#'!$A:$AL,22,FALSE)+6,1)</f>
        <v>I</v>
      </c>
      <c r="AB298" s="50" t="str">
        <f>MID(VLOOKUP($A298,Seqs!$A:$B,2,FALSE),VLOOKUP($A298,'SegEnds_NonXtal_Prot#'!$A:$AL,22,FALSE)+7,1)</f>
        <v>I</v>
      </c>
      <c r="AC298" s="50" t="str">
        <f>MID(VLOOKUP($A298,Seqs!$A:$B,2,FALSE),VLOOKUP($A298,'SegEnds_NonXtal_Prot#'!$A:$AL,22,FALSE)+8,1)</f>
        <v>V</v>
      </c>
      <c r="AD298" s="50" t="str">
        <f>MID(VLOOKUP($A298,Seqs!$A:$B,2,FALSE),VLOOKUP($A298,'SegEnds_NonXtal_Prot#'!$A:$AL,22,FALSE)+9,1)</f>
        <v>A</v>
      </c>
      <c r="AE298" s="50" t="str">
        <f>MID(VLOOKUP($A298,Seqs!$A:$B,2,FALSE),VLOOKUP($A298,'SegEnds_NonXtal_Prot#'!$A:$AL,22,FALSE)+10,1)</f>
        <v>W</v>
      </c>
      <c r="AF298" s="28" t="str">
        <f>MID(VLOOKUP($A298,Seqs!$A:$B,2,FALSE),VLOOKUP($A298,'SegEnds_NonXtal_Prot#'!$A:$AL,28,FALSE)-4,1)</f>
        <v>P</v>
      </c>
      <c r="AG298" s="50" t="str">
        <f>MID(VLOOKUP($A298,Seqs!$A:$B,2,FALSE),VLOOKUP($A298,'SegEnds_NonXtal_Prot#'!$A:$AL,28,FALSE),1)</f>
        <v>V</v>
      </c>
    </row>
    <row r="299" spans="1:33" s="2" customFormat="1" x14ac:dyDescent="0.2">
      <c r="A299" s="2" t="s">
        <v>403</v>
      </c>
      <c r="B299" s="2" t="str">
        <f>LOWER(VLOOKUP(A299,Xtal_Templ!A:B,2,FALSE))</f>
        <v>crfr1_human</v>
      </c>
      <c r="C299" s="2" t="str">
        <f>VLOOKUP(A299,Classification!A:D,2,FALSE)</f>
        <v>B1</v>
      </c>
      <c r="D299" s="2" t="str">
        <f>IF(ISERROR(MATCH(A299,'SegEnds_Xtal_Prot#'!B:B, 0)), "NoXtal", "Xtal")</f>
        <v>NoXtal</v>
      </c>
      <c r="E299" s="50"/>
      <c r="G299" s="4"/>
      <c r="I299" s="109" t="s">
        <v>25</v>
      </c>
      <c r="O299" s="2" t="s">
        <v>1329</v>
      </c>
      <c r="S299" s="4" t="s">
        <v>12</v>
      </c>
      <c r="U299" s="28" t="str">
        <f>MID(VLOOKUP($A299,Seqs!$A:$B,2,FALSE),VLOOKUP($A299,'SegEnds_NonXtal_Prot#'!A:AL,10,FALSE),1)</f>
        <v>F</v>
      </c>
      <c r="V299" s="50" t="str">
        <f>MID(VLOOKUP($A299,Seqs!$A:$B,2,FALSE),VLOOKUP($A299,'SegEnds_NonXtal_Prot#'!A:AL,10,FALSE)+6,1)</f>
        <v>M</v>
      </c>
      <c r="W299" s="50" t="str">
        <f>MID(VLOOKUP($A299,Seqs!$A:$B,2,FALSE),VLOOKUP($A299,'SegEnds_NonXtal_Prot#'!A:AL,10,FALSE)+7,1)</f>
        <v>W</v>
      </c>
      <c r="X299" s="50" t="str">
        <f>MID(VLOOKUP($A299,Seqs!$A:$B,2,FALSE),VLOOKUP($A299,'SegEnds_NonXtal_Prot#'!A:AL,10,FALSE)+8,1)</f>
        <v>F</v>
      </c>
      <c r="Y299" s="50" t="str">
        <f>MID(VLOOKUP($A299,Seqs!$A:$B,2,FALSE),VLOOKUP($A299,'SegEnds_NonXtal_Prot#'!A:AL,10,FALSE)+9,1)</f>
        <v>L</v>
      </c>
      <c r="Z299" s="50" t="str">
        <f>MID(VLOOKUP($A299,Seqs!$A:$B,2,FALSE),VLOOKUP($A299,'SegEnds_NonXtal_Prot#'!A:AL,10,FALSE)+10,1)</f>
        <v>L</v>
      </c>
      <c r="AA299" s="28" t="str">
        <f>MID(VLOOKUP($A299,Seqs!$A:$B,2,FALSE),VLOOKUP($A299,'SegEnds_NonXtal_Prot#'!$A:$AL,22,FALSE)+6,1)</f>
        <v>I</v>
      </c>
      <c r="AB299" s="50" t="str">
        <f>MID(VLOOKUP($A299,Seqs!$A:$B,2,FALSE),VLOOKUP($A299,'SegEnds_NonXtal_Prot#'!$A:$AL,22,FALSE)+7,1)</f>
        <v>I</v>
      </c>
      <c r="AC299" s="50" t="str">
        <f>MID(VLOOKUP($A299,Seqs!$A:$B,2,FALSE),VLOOKUP($A299,'SegEnds_NonXtal_Prot#'!$A:$AL,22,FALSE)+8,1)</f>
        <v>V</v>
      </c>
      <c r="AD299" s="50" t="str">
        <f>MID(VLOOKUP($A299,Seqs!$A:$B,2,FALSE),VLOOKUP($A299,'SegEnds_NonXtal_Prot#'!$A:$AL,22,FALSE)+9,1)</f>
        <v>A</v>
      </c>
      <c r="AE299" s="50" t="str">
        <f>MID(VLOOKUP($A299,Seqs!$A:$B,2,FALSE),VLOOKUP($A299,'SegEnds_NonXtal_Prot#'!$A:$AL,22,FALSE)+10,1)</f>
        <v>W</v>
      </c>
      <c r="AF299" s="28" t="str">
        <f>MID(VLOOKUP($A299,Seqs!$A:$B,2,FALSE),VLOOKUP($A299,'SegEnds_NonXtal_Prot#'!$A:$AL,28,FALSE)-4,1)</f>
        <v>P</v>
      </c>
      <c r="AG299" s="50" t="str">
        <f>MID(VLOOKUP($A299,Seqs!$A:$B,2,FALSE),VLOOKUP($A299,'SegEnds_NonXtal_Prot#'!$A:$AL,28,FALSE),1)</f>
        <v>V</v>
      </c>
    </row>
    <row r="300" spans="1:33" s="2" customFormat="1" x14ac:dyDescent="0.2">
      <c r="A300" s="2" t="s">
        <v>404</v>
      </c>
      <c r="B300" s="2" t="str">
        <f>LOWER(VLOOKUP(A300,Xtal_Templ!A:B,2,FALSE))</f>
        <v>glr_human</v>
      </c>
      <c r="C300" s="2" t="str">
        <f>VLOOKUP(A300,Classification!A:D,2,FALSE)</f>
        <v>B1</v>
      </c>
      <c r="D300" s="2" t="str">
        <f>IF(ISERROR(MATCH(A300,'SegEnds_Xtal_Prot#'!B:B, 0)), "NoXtal", "Xtal")</f>
        <v>NoXtal</v>
      </c>
      <c r="G300" s="4"/>
      <c r="I300" s="109" t="s">
        <v>25</v>
      </c>
      <c r="O300" s="2" t="s">
        <v>1329</v>
      </c>
      <c r="S300" s="4" t="s">
        <v>12</v>
      </c>
      <c r="U300" s="28" t="str">
        <f>MID(VLOOKUP($A300,Seqs!$A:$B,2,FALSE),VLOOKUP($A300,'SegEnds_NonXtal_Prot#'!A:AL,10,FALSE),1)</f>
        <v>F</v>
      </c>
      <c r="V300" s="50" t="str">
        <f>MID(VLOOKUP($A300,Seqs!$A:$B,2,FALSE),VLOOKUP($A300,'SegEnds_NonXtal_Prot#'!A:AL,10,FALSE)+6,1)</f>
        <v>A</v>
      </c>
      <c r="W300" s="50" t="str">
        <f>MID(VLOOKUP($A300,Seqs!$A:$B,2,FALSE),VLOOKUP($A300,'SegEnds_NonXtal_Prot#'!A:AL,10,FALSE)+7,1)</f>
        <v>V</v>
      </c>
      <c r="X300" s="50" t="str">
        <f>MID(VLOOKUP($A300,Seqs!$A:$B,2,FALSE),VLOOKUP($A300,'SegEnds_NonXtal_Prot#'!A:AL,10,FALSE)+8,1)</f>
        <v>F</v>
      </c>
      <c r="Y300" s="50" t="str">
        <f>MID(VLOOKUP($A300,Seqs!$A:$B,2,FALSE),VLOOKUP($A300,'SegEnds_NonXtal_Prot#'!A:AL,10,FALSE)+9,1)</f>
        <v>L</v>
      </c>
      <c r="Z300" s="50" t="str">
        <f>MID(VLOOKUP($A300,Seqs!$A:$B,2,FALSE),VLOOKUP($A300,'SegEnds_NonXtal_Prot#'!A:AL,10,FALSE)+10,1)</f>
        <v>K</v>
      </c>
      <c r="AA300" s="28" t="str">
        <f>MID(VLOOKUP($A300,Seqs!$A:$B,2,FALSE),VLOOKUP($A300,'SegEnds_NonXtal_Prot#'!$A:$AL,22,FALSE)+6,1)</f>
        <v>F</v>
      </c>
      <c r="AB300" s="50" t="str">
        <f>MID(VLOOKUP($A300,Seqs!$A:$B,2,FALSE),VLOOKUP($A300,'SegEnds_NonXtal_Prot#'!$A:$AL,22,FALSE)+7,1)</f>
        <v>T</v>
      </c>
      <c r="AC300" s="50" t="str">
        <f>MID(VLOOKUP($A300,Seqs!$A:$B,2,FALSE),VLOOKUP($A300,'SegEnds_NonXtal_Prot#'!$A:$AL,22,FALSE)+8,1)</f>
        <v>G</v>
      </c>
      <c r="AD300" s="50" t="str">
        <f>MID(VLOOKUP($A300,Seqs!$A:$B,2,FALSE),VLOOKUP($A300,'SegEnds_NonXtal_Prot#'!$A:$AL,22,FALSE)+9,1)</f>
        <v>T</v>
      </c>
      <c r="AE300" s="50" t="str">
        <f>MID(VLOOKUP($A300,Seqs!$A:$B,2,FALSE),VLOOKUP($A300,'SegEnds_NonXtal_Prot#'!$A:$AL,22,FALSE)+10,1)</f>
        <v>W</v>
      </c>
      <c r="AF300" s="28" t="str">
        <f>MID(VLOOKUP($A300,Seqs!$A:$B,2,FALSE),VLOOKUP($A300,'SegEnds_NonXtal_Prot#'!$A:$AL,28,FALSE)-4,1)</f>
        <v>P</v>
      </c>
      <c r="AG300" s="50" t="str">
        <f>MID(VLOOKUP($A300,Seqs!$A:$B,2,FALSE),VLOOKUP($A300,'SegEnds_NonXtal_Prot#'!$A:$AL,28,FALSE),1)</f>
        <v>S</v>
      </c>
    </row>
    <row r="301" spans="1:33" s="2" customFormat="1" x14ac:dyDescent="0.2">
      <c r="A301" s="2" t="s">
        <v>405</v>
      </c>
      <c r="B301" s="2" t="str">
        <f>LOWER(VLOOKUP(A301,Xtal_Templ!A:B,2,FALSE))</f>
        <v>glr_human</v>
      </c>
      <c r="C301" s="2" t="str">
        <f>VLOOKUP(A301,Classification!A:D,2,FALSE)</f>
        <v>B1</v>
      </c>
      <c r="D301" s="2" t="str">
        <f>IF(ISERROR(MATCH(A301,'SegEnds_Xtal_Prot#'!B:B, 0)), "NoXtal", "Xtal")</f>
        <v>NoXtal</v>
      </c>
      <c r="G301" s="4"/>
      <c r="I301" s="109" t="s">
        <v>25</v>
      </c>
      <c r="O301" s="2" t="s">
        <v>1329</v>
      </c>
      <c r="S301" s="4" t="s">
        <v>12</v>
      </c>
      <c r="U301" s="28" t="str">
        <f>MID(VLOOKUP($A301,Seqs!$A:$B,2,FALSE),VLOOKUP($A301,'SegEnds_NonXtal_Prot#'!A:AL,10,FALSE),1)</f>
        <v>F</v>
      </c>
      <c r="V301" s="50" t="str">
        <f>MID(VLOOKUP($A301,Seqs!$A:$B,2,FALSE),VLOOKUP($A301,'SegEnds_NonXtal_Prot#'!A:AL,10,FALSE)+6,1)</f>
        <v>A</v>
      </c>
      <c r="W301" s="50" t="str">
        <f>MID(VLOOKUP($A301,Seqs!$A:$B,2,FALSE),VLOOKUP($A301,'SegEnds_NonXtal_Prot#'!A:AL,10,FALSE)+7,1)</f>
        <v>I</v>
      </c>
      <c r="X301" s="50" t="str">
        <f>MID(VLOOKUP($A301,Seqs!$A:$B,2,FALSE),VLOOKUP($A301,'SegEnds_NonXtal_Prot#'!A:AL,10,FALSE)+8,1)</f>
        <v>L</v>
      </c>
      <c r="Y301" s="50" t="str">
        <f>MID(VLOOKUP($A301,Seqs!$A:$B,2,FALSE),VLOOKUP($A301,'SegEnds_NonXtal_Prot#'!A:AL,10,FALSE)+9,1)</f>
        <v>S</v>
      </c>
      <c r="Z301" s="50" t="str">
        <f>MID(VLOOKUP($A301,Seqs!$A:$B,2,FALSE),VLOOKUP($A301,'SegEnds_NonXtal_Prot#'!A:AL,10,FALSE)+10,1)</f>
        <v>R</v>
      </c>
      <c r="AA301" s="28" t="str">
        <f>MID(VLOOKUP($A301,Seqs!$A:$B,2,FALSE),VLOOKUP($A301,'SegEnds_NonXtal_Prot#'!$A:$AL,22,FALSE)+6,1)</f>
        <v>F</v>
      </c>
      <c r="AB301" s="50" t="str">
        <f>MID(VLOOKUP($A301,Seqs!$A:$B,2,FALSE),VLOOKUP($A301,'SegEnds_NonXtal_Prot#'!$A:$AL,22,FALSE)+7,1)</f>
        <v>V</v>
      </c>
      <c r="AC301" s="50" t="str">
        <f>MID(VLOOKUP($A301,Seqs!$A:$B,2,FALSE),VLOOKUP($A301,'SegEnds_NonXtal_Prot#'!$A:$AL,22,FALSE)+8,1)</f>
        <v>I</v>
      </c>
      <c r="AD301" s="50" t="str">
        <f>MID(VLOOKUP($A301,Seqs!$A:$B,2,FALSE),VLOOKUP($A301,'SegEnds_NonXtal_Prot#'!$A:$AL,22,FALSE)+9,1)</f>
        <v>P</v>
      </c>
      <c r="AE301" s="50" t="str">
        <f>MID(VLOOKUP($A301,Seqs!$A:$B,2,FALSE),VLOOKUP($A301,'SegEnds_NonXtal_Prot#'!$A:$AL,22,FALSE)+10,1)</f>
        <v>W</v>
      </c>
      <c r="AF301" s="28" t="str">
        <f>MID(VLOOKUP($A301,Seqs!$A:$B,2,FALSE),VLOOKUP($A301,'SegEnds_NonXtal_Prot#'!$A:$AL,28,FALSE)-4,1)</f>
        <v>P</v>
      </c>
      <c r="AG301" s="50" t="str">
        <f>MID(VLOOKUP($A301,Seqs!$A:$B,2,FALSE),VLOOKUP($A301,'SegEnds_NonXtal_Prot#'!$A:$AL,28,FALSE),1)</f>
        <v>T</v>
      </c>
    </row>
    <row r="302" spans="1:33" s="2" customFormat="1" x14ac:dyDescent="0.2">
      <c r="A302" s="2" t="s">
        <v>406</v>
      </c>
      <c r="B302" s="2" t="str">
        <f>LOWER(VLOOKUP(A302,Xtal_Templ!A:B,2,FALSE))</f>
        <v>glp1r_human</v>
      </c>
      <c r="C302" s="2" t="str">
        <f>VLOOKUP(A302,Classification!A:D,2,FALSE)</f>
        <v>B1</v>
      </c>
      <c r="D302" s="2" t="str">
        <f>IF(ISERROR(MATCH(A302,'SegEnds_Xtal_Prot#'!B:B, 0)), "NoXtal", "Xtal")</f>
        <v>Xtal</v>
      </c>
      <c r="G302" s="4"/>
      <c r="I302" s="109" t="s">
        <v>25</v>
      </c>
      <c r="O302" s="2" t="s">
        <v>1329</v>
      </c>
      <c r="S302" s="4" t="s">
        <v>12</v>
      </c>
      <c r="U302" s="28" t="str">
        <f>MID(VLOOKUP($A302,Seqs!$A:$B,2,FALSE),VLOOKUP($A302,'SegEnds_NonXtal_Prot#'!A:AL,10,FALSE),1)</f>
        <v>F</v>
      </c>
      <c r="V302" s="50" t="str">
        <f>MID(VLOOKUP($A302,Seqs!$A:$B,2,FALSE),VLOOKUP($A302,'SegEnds_NonXtal_Prot#'!A:AL,10,FALSE)+6,1)</f>
        <v>S</v>
      </c>
      <c r="W302" s="50" t="str">
        <f>MID(VLOOKUP($A302,Seqs!$A:$B,2,FALSE),VLOOKUP($A302,'SegEnds_NonXtal_Prot#'!A:AL,10,FALSE)+7,1)</f>
        <v>V</v>
      </c>
      <c r="X302" s="50" t="str">
        <f>MID(VLOOKUP($A302,Seqs!$A:$B,2,FALSE),VLOOKUP($A302,'SegEnds_NonXtal_Prot#'!A:AL,10,FALSE)+8,1)</f>
        <v>F</v>
      </c>
      <c r="Y302" s="50" t="str">
        <f>MID(VLOOKUP($A302,Seqs!$A:$B,2,FALSE),VLOOKUP($A302,'SegEnds_NonXtal_Prot#'!A:AL,10,FALSE)+9,1)</f>
        <v>I</v>
      </c>
      <c r="Z302" s="50" t="str">
        <f>MID(VLOOKUP($A302,Seqs!$A:$B,2,FALSE),VLOOKUP($A302,'SegEnds_NonXtal_Prot#'!A:AL,10,FALSE)+10,1)</f>
        <v>K</v>
      </c>
      <c r="AA302" s="28" t="str">
        <f>MID(VLOOKUP($A302,Seqs!$A:$B,2,FALSE),VLOOKUP($A302,'SegEnds_NonXtal_Prot#'!$A:$AL,22,FALSE)+6,1)</f>
        <v>F</v>
      </c>
      <c r="AB302" s="50" t="str">
        <f>MID(VLOOKUP($A302,Seqs!$A:$B,2,FALSE),VLOOKUP($A302,'SegEnds_NonXtal_Prot#'!$A:$AL,22,FALSE)+7,1)</f>
        <v>V</v>
      </c>
      <c r="AC302" s="50" t="str">
        <f>MID(VLOOKUP($A302,Seqs!$A:$B,2,FALSE),VLOOKUP($A302,'SegEnds_NonXtal_Prot#'!$A:$AL,22,FALSE)+8,1)</f>
        <v>V</v>
      </c>
      <c r="AD302" s="50" t="str">
        <f>MID(VLOOKUP($A302,Seqs!$A:$B,2,FALSE),VLOOKUP($A302,'SegEnds_NonXtal_Prot#'!$A:$AL,22,FALSE)+9,1)</f>
        <v>P</v>
      </c>
      <c r="AE302" s="50" t="str">
        <f>MID(VLOOKUP($A302,Seqs!$A:$B,2,FALSE),VLOOKUP($A302,'SegEnds_NonXtal_Prot#'!$A:$AL,22,FALSE)+10,1)</f>
        <v>W</v>
      </c>
      <c r="AF302" s="28" t="str">
        <f>MID(VLOOKUP($A302,Seqs!$A:$B,2,FALSE),VLOOKUP($A302,'SegEnds_NonXtal_Prot#'!$A:$AL,28,FALSE)-4,1)</f>
        <v>P</v>
      </c>
      <c r="AG302" s="50" t="str">
        <f>MID(VLOOKUP($A302,Seqs!$A:$B,2,FALSE),VLOOKUP($A302,'SegEnds_NonXtal_Prot#'!$A:$AL,28,FALSE),1)</f>
        <v>A</v>
      </c>
    </row>
    <row r="303" spans="1:33" s="2" customFormat="1" x14ac:dyDescent="0.2">
      <c r="A303" s="2" t="s">
        <v>407</v>
      </c>
      <c r="B303" s="2" t="str">
        <f>LOWER(VLOOKUP(A303,Xtal_Templ!A:B,2,FALSE))</f>
        <v>glr_human</v>
      </c>
      <c r="C303" s="2" t="str">
        <f>VLOOKUP(A303,Classification!A:D,2,FALSE)</f>
        <v>B1</v>
      </c>
      <c r="D303" s="2" t="str">
        <f>IF(ISERROR(MATCH(A303,'SegEnds_Xtal_Prot#'!B:B, 0)), "NoXtal", "Xtal")</f>
        <v>NoXtal</v>
      </c>
      <c r="G303" s="4"/>
      <c r="I303" s="109" t="s">
        <v>25</v>
      </c>
      <c r="O303" s="2" t="s">
        <v>1329</v>
      </c>
      <c r="S303" s="4" t="s">
        <v>12</v>
      </c>
      <c r="U303" s="28" t="str">
        <f>MID(VLOOKUP($A303,Seqs!$A:$B,2,FALSE),VLOOKUP($A303,'SegEnds_NonXtal_Prot#'!A:AL,10,FALSE),1)</f>
        <v>F</v>
      </c>
      <c r="V303" s="50" t="str">
        <f>MID(VLOOKUP($A303,Seqs!$A:$B,2,FALSE),VLOOKUP($A303,'SegEnds_NonXtal_Prot#'!A:AL,10,FALSE)+6,1)</f>
        <v>A</v>
      </c>
      <c r="W303" s="50" t="str">
        <f>MID(VLOOKUP($A303,Seqs!$A:$B,2,FALSE),VLOOKUP($A303,'SegEnds_NonXtal_Prot#'!A:AL,10,FALSE)+7,1)</f>
        <v>V</v>
      </c>
      <c r="X303" s="50" t="str">
        <f>MID(VLOOKUP($A303,Seqs!$A:$B,2,FALSE),VLOOKUP($A303,'SegEnds_NonXtal_Prot#'!A:AL,10,FALSE)+8,1)</f>
        <v>L</v>
      </c>
      <c r="Y303" s="50" t="str">
        <f>MID(VLOOKUP($A303,Seqs!$A:$B,2,FALSE),VLOOKUP($A303,'SegEnds_NonXtal_Prot#'!A:AL,10,FALSE)+9,1)</f>
        <v>V</v>
      </c>
      <c r="Z303" s="50" t="str">
        <f>MID(VLOOKUP($A303,Seqs!$A:$B,2,FALSE),VLOOKUP($A303,'SegEnds_NonXtal_Prot#'!A:AL,10,FALSE)+10,1)</f>
        <v>K</v>
      </c>
      <c r="AA303" s="28" t="str">
        <f>MID(VLOOKUP($A303,Seqs!$A:$B,2,FALSE),VLOOKUP($A303,'SegEnds_NonXtal_Prot#'!$A:$AL,22,FALSE)+6,1)</f>
        <v>F</v>
      </c>
      <c r="AB303" s="50" t="str">
        <f>MID(VLOOKUP($A303,Seqs!$A:$B,2,FALSE),VLOOKUP($A303,'SegEnds_NonXtal_Prot#'!$A:$AL,22,FALSE)+7,1)</f>
        <v>V</v>
      </c>
      <c r="AC303" s="50" t="str">
        <f>MID(VLOOKUP($A303,Seqs!$A:$B,2,FALSE),VLOOKUP($A303,'SegEnds_NonXtal_Prot#'!$A:$AL,22,FALSE)+8,1)</f>
        <v>V</v>
      </c>
      <c r="AD303" s="50" t="str">
        <f>MID(VLOOKUP($A303,Seqs!$A:$B,2,FALSE),VLOOKUP($A303,'SegEnds_NonXtal_Prot#'!$A:$AL,22,FALSE)+9,1)</f>
        <v>P</v>
      </c>
      <c r="AE303" s="50" t="str">
        <f>MID(VLOOKUP($A303,Seqs!$A:$B,2,FALSE),VLOOKUP($A303,'SegEnds_NonXtal_Prot#'!$A:$AL,22,FALSE)+10,1)</f>
        <v>W</v>
      </c>
      <c r="AF303" s="28" t="str">
        <f>MID(VLOOKUP($A303,Seqs!$A:$B,2,FALSE),VLOOKUP($A303,'SegEnds_NonXtal_Prot#'!$A:$AL,28,FALSE)-4,1)</f>
        <v>P</v>
      </c>
      <c r="AG303" s="50" t="str">
        <f>MID(VLOOKUP($A303,Seqs!$A:$B,2,FALSE),VLOOKUP($A303,'SegEnds_NonXtal_Prot#'!$A:$AL,28,FALSE),1)</f>
        <v>C</v>
      </c>
    </row>
    <row r="304" spans="1:33" s="2" customFormat="1" x14ac:dyDescent="0.2">
      <c r="A304" s="2" t="s">
        <v>32</v>
      </c>
      <c r="B304" s="2" t="str">
        <f>LOWER(VLOOKUP(A304,Xtal_Templ!A:B,2,FALSE))</f>
        <v>glr_human</v>
      </c>
      <c r="C304" s="2" t="str">
        <f>VLOOKUP(A304,Classification!A:D,2,FALSE)</f>
        <v>B1</v>
      </c>
      <c r="D304" s="2" t="str">
        <f>IF(ISERROR(MATCH(A304,'SegEnds_Xtal_Prot#'!B:B, 0)), "NoXtal", "Xtal")</f>
        <v>Xtal</v>
      </c>
      <c r="G304" s="4"/>
      <c r="I304" s="109" t="s">
        <v>25</v>
      </c>
      <c r="O304" s="2" t="s">
        <v>1329</v>
      </c>
      <c r="S304" s="4" t="s">
        <v>12</v>
      </c>
      <c r="U304" s="28" t="str">
        <f>MID(VLOOKUP($A304,Seqs!$A:$B,2,FALSE),VLOOKUP($A304,'SegEnds_NonXtal_Prot#'!A:AL,10,FALSE),1)</f>
        <v>F</v>
      </c>
      <c r="V304" s="50" t="str">
        <f>MID(VLOOKUP($A304,Seqs!$A:$B,2,FALSE),VLOOKUP($A304,'SegEnds_NonXtal_Prot#'!A:AL,10,FALSE)+6,1)</f>
        <v>S</v>
      </c>
      <c r="W304" s="50" t="str">
        <f>MID(VLOOKUP($A304,Seqs!$A:$B,2,FALSE),VLOOKUP($A304,'SegEnds_NonXtal_Prot#'!A:AL,10,FALSE)+7,1)</f>
        <v>V</v>
      </c>
      <c r="X304" s="50" t="str">
        <f>MID(VLOOKUP($A304,Seqs!$A:$B,2,FALSE),VLOOKUP($A304,'SegEnds_NonXtal_Prot#'!A:AL,10,FALSE)+8,1)</f>
        <v>L</v>
      </c>
      <c r="Y304" s="50" t="str">
        <f>MID(VLOOKUP($A304,Seqs!$A:$B,2,FALSE),VLOOKUP($A304,'SegEnds_NonXtal_Prot#'!A:AL,10,FALSE)+9,1)</f>
        <v>V</v>
      </c>
      <c r="Z304" s="50" t="str">
        <f>MID(VLOOKUP($A304,Seqs!$A:$B,2,FALSE),VLOOKUP($A304,'SegEnds_NonXtal_Prot#'!A:AL,10,FALSE)+10,1)</f>
        <v>I</v>
      </c>
      <c r="AA304" s="28" t="str">
        <f>MID(VLOOKUP($A304,Seqs!$A:$B,2,FALSE),VLOOKUP($A304,'SegEnds_NonXtal_Prot#'!$A:$AL,22,FALSE)+6,1)</f>
        <v>F</v>
      </c>
      <c r="AB304" s="50" t="str">
        <f>MID(VLOOKUP($A304,Seqs!$A:$B,2,FALSE),VLOOKUP($A304,'SegEnds_NonXtal_Prot#'!$A:$AL,22,FALSE)+7,1)</f>
        <v>V</v>
      </c>
      <c r="AC304" s="50" t="str">
        <f>MID(VLOOKUP($A304,Seqs!$A:$B,2,FALSE),VLOOKUP($A304,'SegEnds_NonXtal_Prot#'!$A:$AL,22,FALSE)+8,1)</f>
        <v>V</v>
      </c>
      <c r="AD304" s="50" t="str">
        <f>MID(VLOOKUP($A304,Seqs!$A:$B,2,FALSE),VLOOKUP($A304,'SegEnds_NonXtal_Prot#'!$A:$AL,22,FALSE)+9,1)</f>
        <v>P</v>
      </c>
      <c r="AE304" s="50" t="str">
        <f>MID(VLOOKUP($A304,Seqs!$A:$B,2,FALSE),VLOOKUP($A304,'SegEnds_NonXtal_Prot#'!$A:$AL,22,FALSE)+10,1)</f>
        <v>W</v>
      </c>
      <c r="AF304" s="28" t="str">
        <f>MID(VLOOKUP($A304,Seqs!$A:$B,2,FALSE),VLOOKUP($A304,'SegEnds_NonXtal_Prot#'!$A:$AL,28,FALSE)-4,1)</f>
        <v>P</v>
      </c>
      <c r="AG304" s="50" t="str">
        <f>MID(VLOOKUP($A304,Seqs!$A:$B,2,FALSE),VLOOKUP($A304,'SegEnds_NonXtal_Prot#'!$A:$AL,28,FALSE),1)</f>
        <v>A</v>
      </c>
    </row>
    <row r="305" spans="1:33" s="2" customFormat="1" x14ac:dyDescent="0.2">
      <c r="A305" s="2" t="s">
        <v>408</v>
      </c>
      <c r="B305" s="2" t="str">
        <f>LOWER(VLOOKUP(A305,Xtal_Templ!A:B,2,FALSE))</f>
        <v>glr_human</v>
      </c>
      <c r="C305" s="2" t="str">
        <f>VLOOKUP(A305,Classification!A:D,2,FALSE)</f>
        <v>B1</v>
      </c>
      <c r="D305" s="2" t="str">
        <f>IF(ISERROR(MATCH(A305,'SegEnds_Xtal_Prot#'!B:B, 0)), "NoXtal", "Xtal")</f>
        <v>NoXtal</v>
      </c>
      <c r="G305" s="4"/>
      <c r="I305" s="109" t="s">
        <v>25</v>
      </c>
      <c r="O305" s="2" t="s">
        <v>1329</v>
      </c>
      <c r="S305" s="4" t="s">
        <v>12</v>
      </c>
      <c r="U305" s="28" t="str">
        <f>MID(VLOOKUP($A305,Seqs!$A:$B,2,FALSE),VLOOKUP($A305,'SegEnds_NonXtal_Prot#'!A:AL,10,FALSE),1)</f>
        <v>F</v>
      </c>
      <c r="V305" s="50" t="str">
        <f>MID(VLOOKUP($A305,Seqs!$A:$B,2,FALSE),VLOOKUP($A305,'SegEnds_NonXtal_Prot#'!A:AL,10,FALSE)+6,1)</f>
        <v>S</v>
      </c>
      <c r="W305" s="50" t="str">
        <f>MID(VLOOKUP($A305,Seqs!$A:$B,2,FALSE),VLOOKUP($A305,'SegEnds_NonXtal_Prot#'!A:AL,10,FALSE)+7,1)</f>
        <v>V</v>
      </c>
      <c r="X305" s="50" t="str">
        <f>MID(VLOOKUP($A305,Seqs!$A:$B,2,FALSE),VLOOKUP($A305,'SegEnds_NonXtal_Prot#'!A:AL,10,FALSE)+8,1)</f>
        <v>F</v>
      </c>
      <c r="Y305" s="50" t="str">
        <f>MID(VLOOKUP($A305,Seqs!$A:$B,2,FALSE),VLOOKUP($A305,'SegEnds_NonXtal_Prot#'!A:AL,10,FALSE)+9,1)</f>
        <v>I</v>
      </c>
      <c r="Z305" s="50" t="str">
        <f>MID(VLOOKUP($A305,Seqs!$A:$B,2,FALSE),VLOOKUP($A305,'SegEnds_NonXtal_Prot#'!A:AL,10,FALSE)+10,1)</f>
        <v>K</v>
      </c>
      <c r="AA305" s="28" t="str">
        <f>MID(VLOOKUP($A305,Seqs!$A:$B,2,FALSE),VLOOKUP($A305,'SegEnds_NonXtal_Prot#'!$A:$AL,22,FALSE)+6,1)</f>
        <v>C</v>
      </c>
      <c r="AB305" s="50" t="str">
        <f>MID(VLOOKUP($A305,Seqs!$A:$B,2,FALSE),VLOOKUP($A305,'SegEnds_NonXtal_Prot#'!$A:$AL,22,FALSE)+7,1)</f>
        <v>V</v>
      </c>
      <c r="AC305" s="50" t="str">
        <f>MID(VLOOKUP($A305,Seqs!$A:$B,2,FALSE),VLOOKUP($A305,'SegEnds_NonXtal_Prot#'!$A:$AL,22,FALSE)+8,1)</f>
        <v>T</v>
      </c>
      <c r="AD305" s="50" t="str">
        <f>MID(VLOOKUP($A305,Seqs!$A:$B,2,FALSE),VLOOKUP($A305,'SegEnds_NonXtal_Prot#'!$A:$AL,22,FALSE)+9,1)</f>
        <v>V</v>
      </c>
      <c r="AE305" s="50" t="str">
        <f>MID(VLOOKUP($A305,Seqs!$A:$B,2,FALSE),VLOOKUP($A305,'SegEnds_NonXtal_Prot#'!$A:$AL,22,FALSE)+10,1)</f>
        <v>W</v>
      </c>
      <c r="AF305" s="28" t="str">
        <f>MID(VLOOKUP($A305,Seqs!$A:$B,2,FALSE),VLOOKUP($A305,'SegEnds_NonXtal_Prot#'!$A:$AL,28,FALSE)-4,1)</f>
        <v>P</v>
      </c>
      <c r="AG305" s="50" t="str">
        <f>MID(VLOOKUP($A305,Seqs!$A:$B,2,FALSE),VLOOKUP($A305,'SegEnds_NonXtal_Prot#'!$A:$AL,28,FALSE),1)</f>
        <v>S</v>
      </c>
    </row>
    <row r="306" spans="1:33" s="2" customFormat="1" x14ac:dyDescent="0.2">
      <c r="A306" s="2" t="s">
        <v>409</v>
      </c>
      <c r="B306" s="2" t="str">
        <f>LOWER(VLOOKUP(A306,Xtal_Templ!A:B,2,FALSE))</f>
        <v>glp1r_human</v>
      </c>
      <c r="C306" s="2" t="str">
        <f>VLOOKUP(A306,Classification!A:D,2,FALSE)</f>
        <v>B1</v>
      </c>
      <c r="D306" s="2" t="str">
        <f>IF(ISERROR(MATCH(A306,'SegEnds_Xtal_Prot#'!B:B, 0)), "NoXtal", "Xtal")</f>
        <v>NoXtal</v>
      </c>
      <c r="G306" s="4"/>
      <c r="I306" s="109" t="s">
        <v>25</v>
      </c>
      <c r="O306" s="2" t="s">
        <v>1329</v>
      </c>
      <c r="S306" s="4" t="s">
        <v>12</v>
      </c>
      <c r="U306" s="28" t="str">
        <f>MID(VLOOKUP($A306,Seqs!$A:$B,2,FALSE),VLOOKUP($A306,'SegEnds_NonXtal_Prot#'!A:AL,10,FALSE),1)</f>
        <v>F</v>
      </c>
      <c r="V306" s="50" t="str">
        <f>MID(VLOOKUP($A306,Seqs!$A:$B,2,FALSE),VLOOKUP($A306,'SegEnds_NonXtal_Prot#'!A:AL,10,FALSE)+6,1)</f>
        <v>S</v>
      </c>
      <c r="W306" s="50" t="str">
        <f>MID(VLOOKUP($A306,Seqs!$A:$B,2,FALSE),VLOOKUP($A306,'SegEnds_NonXtal_Prot#'!A:AL,10,FALSE)+7,1)</f>
        <v>I</v>
      </c>
      <c r="X306" s="50" t="str">
        <f>MID(VLOOKUP($A306,Seqs!$A:$B,2,FALSE),VLOOKUP($A306,'SegEnds_NonXtal_Prot#'!A:AL,10,FALSE)+8,1)</f>
        <v>F</v>
      </c>
      <c r="Y306" s="50" t="str">
        <f>MID(VLOOKUP($A306,Seqs!$A:$B,2,FALSE),VLOOKUP($A306,'SegEnds_NonXtal_Prot#'!A:AL,10,FALSE)+9,1)</f>
        <v>V</v>
      </c>
      <c r="Z306" s="50" t="str">
        <f>MID(VLOOKUP($A306,Seqs!$A:$B,2,FALSE),VLOOKUP($A306,'SegEnds_NonXtal_Prot#'!A:AL,10,FALSE)+10,1)</f>
        <v>K</v>
      </c>
      <c r="AA306" s="28" t="str">
        <f>MID(VLOOKUP($A306,Seqs!$A:$B,2,FALSE),VLOOKUP($A306,'SegEnds_NonXtal_Prot#'!$A:$AL,22,FALSE)+6,1)</f>
        <v>F</v>
      </c>
      <c r="AB306" s="50" t="str">
        <f>MID(VLOOKUP($A306,Seqs!$A:$B,2,FALSE),VLOOKUP($A306,'SegEnds_NonXtal_Prot#'!$A:$AL,22,FALSE)+7,1)</f>
        <v>V</v>
      </c>
      <c r="AC306" s="50" t="str">
        <f>MID(VLOOKUP($A306,Seqs!$A:$B,2,FALSE),VLOOKUP($A306,'SegEnds_NonXtal_Prot#'!$A:$AL,22,FALSE)+8,1)</f>
        <v>A</v>
      </c>
      <c r="AD306" s="50" t="str">
        <f>MID(VLOOKUP($A306,Seqs!$A:$B,2,FALSE),VLOOKUP($A306,'SegEnds_NonXtal_Prot#'!$A:$AL,22,FALSE)+9,1)</f>
        <v>V</v>
      </c>
      <c r="AE306" s="50" t="str">
        <f>MID(VLOOKUP($A306,Seqs!$A:$B,2,FALSE),VLOOKUP($A306,'SegEnds_NonXtal_Prot#'!$A:$AL,22,FALSE)+10,1)</f>
        <v>W</v>
      </c>
      <c r="AF306" s="28" t="str">
        <f>MID(VLOOKUP($A306,Seqs!$A:$B,2,FALSE),VLOOKUP($A306,'SegEnds_NonXtal_Prot#'!$A:$AL,28,FALSE)-4,1)</f>
        <v>P</v>
      </c>
      <c r="AG306" s="50" t="str">
        <f>MID(VLOOKUP($A306,Seqs!$A:$B,2,FALSE),VLOOKUP($A306,'SegEnds_NonXtal_Prot#'!$A:$AL,28,FALSE),1)</f>
        <v>S</v>
      </c>
    </row>
    <row r="307" spans="1:33" s="2" customFormat="1" x14ac:dyDescent="0.2">
      <c r="A307" s="2" t="s">
        <v>410</v>
      </c>
      <c r="B307" s="2" t="str">
        <f>LOWER(VLOOKUP(A307,Xtal_Templ!A:B,2,FALSE))</f>
        <v>glp1r_human</v>
      </c>
      <c r="C307" s="2" t="str">
        <f>VLOOKUP(A307,Classification!A:D,2,FALSE)</f>
        <v>B1</v>
      </c>
      <c r="D307" s="2" t="str">
        <f>IF(ISERROR(MATCH(A307,'SegEnds_Xtal_Prot#'!B:B, 0)), "NoXtal", "Xtal")</f>
        <v>NoXtal</v>
      </c>
      <c r="G307" s="4"/>
      <c r="I307" s="109" t="s">
        <v>25</v>
      </c>
      <c r="O307" s="2" t="s">
        <v>1329</v>
      </c>
      <c r="S307" s="4" t="s">
        <v>12</v>
      </c>
      <c r="U307" s="28" t="str">
        <f>MID(VLOOKUP($A307,Seqs!$A:$B,2,FALSE),VLOOKUP($A307,'SegEnds_NonXtal_Prot#'!A:AL,10,FALSE),1)</f>
        <v>F</v>
      </c>
      <c r="V307" s="50" t="str">
        <f>MID(VLOOKUP($A307,Seqs!$A:$B,2,FALSE),VLOOKUP($A307,'SegEnds_NonXtal_Prot#'!A:AL,10,FALSE)+6,1)</f>
        <v>S</v>
      </c>
      <c r="W307" s="50" t="str">
        <f>MID(VLOOKUP($A307,Seqs!$A:$B,2,FALSE),VLOOKUP($A307,'SegEnds_NonXtal_Prot#'!A:AL,10,FALSE)+7,1)</f>
        <v>I</v>
      </c>
      <c r="X307" s="50" t="str">
        <f>MID(VLOOKUP($A307,Seqs!$A:$B,2,FALSE),VLOOKUP($A307,'SegEnds_NonXtal_Prot#'!A:AL,10,FALSE)+8,1)</f>
        <v>F</v>
      </c>
      <c r="Y307" s="50" t="str">
        <f>MID(VLOOKUP($A307,Seqs!$A:$B,2,FALSE),VLOOKUP($A307,'SegEnds_NonXtal_Prot#'!A:AL,10,FALSE)+9,1)</f>
        <v>V</v>
      </c>
      <c r="Z307" s="50" t="str">
        <f>MID(VLOOKUP($A307,Seqs!$A:$B,2,FALSE),VLOOKUP($A307,'SegEnds_NonXtal_Prot#'!A:AL,10,FALSE)+10,1)</f>
        <v>K</v>
      </c>
      <c r="AA307" s="28" t="str">
        <f>MID(VLOOKUP($A307,Seqs!$A:$B,2,FALSE),VLOOKUP($A307,'SegEnds_NonXtal_Prot#'!$A:$AL,22,FALSE)+6,1)</f>
        <v>F</v>
      </c>
      <c r="AB307" s="50" t="str">
        <f>MID(VLOOKUP($A307,Seqs!$A:$B,2,FALSE),VLOOKUP($A307,'SegEnds_NonXtal_Prot#'!$A:$AL,22,FALSE)+7,1)</f>
        <v>V</v>
      </c>
      <c r="AC307" s="50" t="str">
        <f>MID(VLOOKUP($A307,Seqs!$A:$B,2,FALSE),VLOOKUP($A307,'SegEnds_NonXtal_Prot#'!$A:$AL,22,FALSE)+8,1)</f>
        <v>A</v>
      </c>
      <c r="AD307" s="50" t="str">
        <f>MID(VLOOKUP($A307,Seqs!$A:$B,2,FALSE),VLOOKUP($A307,'SegEnds_NonXtal_Prot#'!$A:$AL,22,FALSE)+9,1)</f>
        <v>A</v>
      </c>
      <c r="AE307" s="50" t="str">
        <f>MID(VLOOKUP($A307,Seqs!$A:$B,2,FALSE),VLOOKUP($A307,'SegEnds_NonXtal_Prot#'!$A:$AL,22,FALSE)+10,1)</f>
        <v>W</v>
      </c>
      <c r="AF307" s="28" t="str">
        <f>MID(VLOOKUP($A307,Seqs!$A:$B,2,FALSE),VLOOKUP($A307,'SegEnds_NonXtal_Prot#'!$A:$AL,28,FALSE)-4,1)</f>
        <v>P</v>
      </c>
      <c r="AG307" s="50" t="str">
        <f>MID(VLOOKUP($A307,Seqs!$A:$B,2,FALSE),VLOOKUP($A307,'SegEnds_NonXtal_Prot#'!$A:$AL,28,FALSE),1)</f>
        <v>A</v>
      </c>
    </row>
    <row r="308" spans="1:33" s="2" customFormat="1" x14ac:dyDescent="0.2">
      <c r="A308" s="2" t="s">
        <v>411</v>
      </c>
      <c r="B308" s="2" t="str">
        <f>LOWER(VLOOKUP(A308,Xtal_Templ!A:B,2,FALSE))</f>
        <v>glp1r_human</v>
      </c>
      <c r="C308" s="2" t="str">
        <f>VLOOKUP(A308,Classification!A:D,2,FALSE)</f>
        <v>B1</v>
      </c>
      <c r="D308" s="2" t="str">
        <f>IF(ISERROR(MATCH(A308,'SegEnds_Xtal_Prot#'!B:B, 0)), "NoXtal", "Xtal")</f>
        <v>NoXtal</v>
      </c>
      <c r="G308" s="4"/>
      <c r="I308" s="109" t="s">
        <v>25</v>
      </c>
      <c r="O308" s="2" t="s">
        <v>1329</v>
      </c>
      <c r="S308" s="4" t="s">
        <v>12</v>
      </c>
      <c r="U308" s="28" t="str">
        <f>MID(VLOOKUP($A308,Seqs!$A:$B,2,FALSE),VLOOKUP($A308,'SegEnds_NonXtal_Prot#'!A:AL,10,FALSE),1)</f>
        <v>F</v>
      </c>
      <c r="V308" s="50" t="str">
        <f>MID(VLOOKUP($A308,Seqs!$A:$B,2,FALSE),VLOOKUP($A308,'SegEnds_NonXtal_Prot#'!A:AL,10,FALSE)+6,1)</f>
        <v>S</v>
      </c>
      <c r="W308" s="50" t="str">
        <f>MID(VLOOKUP($A308,Seqs!$A:$B,2,FALSE),VLOOKUP($A308,'SegEnds_NonXtal_Prot#'!A:AL,10,FALSE)+7,1)</f>
        <v>N</v>
      </c>
      <c r="X308" s="50" t="str">
        <f>MID(VLOOKUP($A308,Seqs!$A:$B,2,FALSE),VLOOKUP($A308,'SegEnds_NonXtal_Prot#'!A:AL,10,FALSE)+8,1)</f>
        <v>F</v>
      </c>
      <c r="Y308" s="50" t="str">
        <f>MID(VLOOKUP($A308,Seqs!$A:$B,2,FALSE),VLOOKUP($A308,'SegEnds_NonXtal_Prot#'!A:AL,10,FALSE)+9,1)</f>
        <v>I</v>
      </c>
      <c r="Z308" s="50" t="str">
        <f>MID(VLOOKUP($A308,Seqs!$A:$B,2,FALSE),VLOOKUP($A308,'SegEnds_NonXtal_Prot#'!A:AL,10,FALSE)+10,1)</f>
        <v>K</v>
      </c>
      <c r="AA308" s="28" t="str">
        <f>MID(VLOOKUP($A308,Seqs!$A:$B,2,FALSE),VLOOKUP($A308,'SegEnds_NonXtal_Prot#'!$A:$AL,22,FALSE)+6,1)</f>
        <v>F</v>
      </c>
      <c r="AB308" s="50" t="str">
        <f>MID(VLOOKUP($A308,Seqs!$A:$B,2,FALSE),VLOOKUP($A308,'SegEnds_NonXtal_Prot#'!$A:$AL,22,FALSE)+7,1)</f>
        <v>V</v>
      </c>
      <c r="AC308" s="50" t="str">
        <f>MID(VLOOKUP($A308,Seqs!$A:$B,2,FALSE),VLOOKUP($A308,'SegEnds_NonXtal_Prot#'!$A:$AL,22,FALSE)+8,1)</f>
        <v>A</v>
      </c>
      <c r="AD308" s="50" t="str">
        <f>MID(VLOOKUP($A308,Seqs!$A:$B,2,FALSE),VLOOKUP($A308,'SegEnds_NonXtal_Prot#'!$A:$AL,22,FALSE)+9,1)</f>
        <v>L</v>
      </c>
      <c r="AE308" s="50" t="str">
        <f>MID(VLOOKUP($A308,Seqs!$A:$B,2,FALSE),VLOOKUP($A308,'SegEnds_NonXtal_Prot#'!$A:$AL,22,FALSE)+10,1)</f>
        <v>W</v>
      </c>
      <c r="AF308" s="28" t="str">
        <f>MID(VLOOKUP($A308,Seqs!$A:$B,2,FALSE),VLOOKUP($A308,'SegEnds_NonXtal_Prot#'!$A:$AL,28,FALSE)-4,1)</f>
        <v>P</v>
      </c>
      <c r="AG308" s="50" t="str">
        <f>MID(VLOOKUP($A308,Seqs!$A:$B,2,FALSE),VLOOKUP($A308,'SegEnds_NonXtal_Prot#'!$A:$AL,28,FALSE),1)</f>
        <v>S</v>
      </c>
    </row>
    <row r="309" spans="1:33" s="2" customFormat="1" x14ac:dyDescent="0.2">
      <c r="A309" s="2" t="s">
        <v>412</v>
      </c>
      <c r="B309" s="2" t="str">
        <f>LOWER(VLOOKUP(A309,Xtal_Templ!A:B,2,FALSE))</f>
        <v>glp1r_human</v>
      </c>
      <c r="C309" s="2" t="str">
        <f>VLOOKUP(A309,Classification!A:D,2,FALSE)</f>
        <v>B1</v>
      </c>
      <c r="D309" s="2" t="str">
        <f>IF(ISERROR(MATCH(A309,'SegEnds_Xtal_Prot#'!B:B, 0)), "NoXtal", "Xtal")</f>
        <v>NoXtal</v>
      </c>
      <c r="G309" s="4"/>
      <c r="I309" s="109" t="s">
        <v>25</v>
      </c>
      <c r="O309" s="2" t="s">
        <v>1329</v>
      </c>
      <c r="S309" s="4" t="s">
        <v>12</v>
      </c>
      <c r="U309" s="28" t="str">
        <f>MID(VLOOKUP($A309,Seqs!$A:$B,2,FALSE),VLOOKUP($A309,'SegEnds_NonXtal_Prot#'!A:AL,10,FALSE),1)</f>
        <v>F</v>
      </c>
      <c r="V309" s="50" t="str">
        <f>MID(VLOOKUP($A309,Seqs!$A:$B,2,FALSE),VLOOKUP($A309,'SegEnds_NonXtal_Prot#'!A:AL,10,FALSE)+6,1)</f>
        <v>A</v>
      </c>
      <c r="W309" s="50" t="str">
        <f>MID(VLOOKUP($A309,Seqs!$A:$B,2,FALSE),VLOOKUP($A309,'SegEnds_NonXtal_Prot#'!A:AL,10,FALSE)+7,1)</f>
        <v>V</v>
      </c>
      <c r="X309" s="50" t="str">
        <f>MID(VLOOKUP($A309,Seqs!$A:$B,2,FALSE),VLOOKUP($A309,'SegEnds_NonXtal_Prot#'!A:AL,10,FALSE)+8,1)</f>
        <v>F</v>
      </c>
      <c r="Y309" s="50" t="str">
        <f>MID(VLOOKUP($A309,Seqs!$A:$B,2,FALSE),VLOOKUP($A309,'SegEnds_NonXtal_Prot#'!A:AL,10,FALSE)+9,1)</f>
        <v>I</v>
      </c>
      <c r="Z309" s="50" t="str">
        <f>MID(VLOOKUP($A309,Seqs!$A:$B,2,FALSE),VLOOKUP($A309,'SegEnds_NonXtal_Prot#'!A:AL,10,FALSE)+10,1)</f>
        <v>K</v>
      </c>
      <c r="AA309" s="28" t="str">
        <f>MID(VLOOKUP($A309,Seqs!$A:$B,2,FALSE),VLOOKUP($A309,'SegEnds_NonXtal_Prot#'!$A:$AL,22,FALSE)+6,1)</f>
        <v>F</v>
      </c>
      <c r="AB309" s="50" t="str">
        <f>MID(VLOOKUP($A309,Seqs!$A:$B,2,FALSE),VLOOKUP($A309,'SegEnds_NonXtal_Prot#'!$A:$AL,22,FALSE)+7,1)</f>
        <v>T</v>
      </c>
      <c r="AC309" s="50" t="str">
        <f>MID(VLOOKUP($A309,Seqs!$A:$B,2,FALSE),VLOOKUP($A309,'SegEnds_NonXtal_Prot#'!$A:$AL,22,FALSE)+8,1)</f>
        <v>M</v>
      </c>
      <c r="AD309" s="50" t="str">
        <f>MID(VLOOKUP($A309,Seqs!$A:$B,2,FALSE),VLOOKUP($A309,'SegEnds_NonXtal_Prot#'!$A:$AL,22,FALSE)+9,1)</f>
        <v>V</v>
      </c>
      <c r="AE309" s="50" t="str">
        <f>MID(VLOOKUP($A309,Seqs!$A:$B,2,FALSE),VLOOKUP($A309,'SegEnds_NonXtal_Prot#'!$A:$AL,22,FALSE)+10,1)</f>
        <v>W</v>
      </c>
      <c r="AF309" s="28" t="str">
        <f>MID(VLOOKUP($A309,Seqs!$A:$B,2,FALSE),VLOOKUP($A309,'SegEnds_NonXtal_Prot#'!$A:$AL,28,FALSE)-4,1)</f>
        <v>P</v>
      </c>
      <c r="AG309" s="50" t="str">
        <f>MID(VLOOKUP($A309,Seqs!$A:$B,2,FALSE),VLOOKUP($A309,'SegEnds_NonXtal_Prot#'!$A:$AL,28,FALSE),1)</f>
        <v>S</v>
      </c>
    </row>
    <row r="310" spans="1:33" s="2" customFormat="1" x14ac:dyDescent="0.2">
      <c r="A310" s="2" t="s">
        <v>413</v>
      </c>
      <c r="B310" s="2" t="str">
        <f>LOWER(VLOOKUP(A310,Xtal_Templ!A:B,2,FALSE))</f>
        <v>glr_human</v>
      </c>
      <c r="C310" s="2" t="str">
        <f>VLOOKUP(A310,Classification!A:D,2,FALSE)</f>
        <v>B1</v>
      </c>
      <c r="D310" s="2" t="str">
        <f>IF(ISERROR(MATCH(A310,'SegEnds_Xtal_Prot#'!B:B, 0)), "NoXtal", "Xtal")</f>
        <v>NoXtal</v>
      </c>
      <c r="G310" s="4"/>
      <c r="I310" s="109" t="s">
        <v>25</v>
      </c>
      <c r="O310" s="2" t="s">
        <v>1329</v>
      </c>
      <c r="S310" s="4" t="s">
        <v>12</v>
      </c>
      <c r="U310" s="28" t="str">
        <f>MID(VLOOKUP($A310,Seqs!$A:$B,2,FALSE),VLOOKUP($A310,'SegEnds_NonXtal_Prot#'!A:AL,10,FALSE),1)</f>
        <v>F</v>
      </c>
      <c r="V310" s="50" t="str">
        <f>MID(VLOOKUP($A310,Seqs!$A:$B,2,FALSE),VLOOKUP($A310,'SegEnds_NonXtal_Prot#'!A:AL,10,FALSE)+6,1)</f>
        <v>S</v>
      </c>
      <c r="W310" s="50" t="str">
        <f>MID(VLOOKUP($A310,Seqs!$A:$B,2,FALSE),VLOOKUP($A310,'SegEnds_NonXtal_Prot#'!A:AL,10,FALSE)+7,1)</f>
        <v>V</v>
      </c>
      <c r="X310" s="50" t="str">
        <f>MID(VLOOKUP($A310,Seqs!$A:$B,2,FALSE),VLOOKUP($A310,'SegEnds_NonXtal_Prot#'!A:AL,10,FALSE)+8,1)</f>
        <v>L</v>
      </c>
      <c r="Y310" s="50" t="str">
        <f>MID(VLOOKUP($A310,Seqs!$A:$B,2,FALSE),VLOOKUP($A310,'SegEnds_NonXtal_Prot#'!A:AL,10,FALSE)+9,1)</f>
        <v>V</v>
      </c>
      <c r="Z310" s="50" t="str">
        <f>MID(VLOOKUP($A310,Seqs!$A:$B,2,FALSE),VLOOKUP($A310,'SegEnds_NonXtal_Prot#'!A:AL,10,FALSE)+10,1)</f>
        <v>K</v>
      </c>
      <c r="AA310" s="28" t="str">
        <f>MID(VLOOKUP($A310,Seqs!$A:$B,2,FALSE),VLOOKUP($A310,'SegEnds_NonXtal_Prot#'!$A:$AL,22,FALSE)+6,1)</f>
        <v>C</v>
      </c>
      <c r="AB310" s="50" t="str">
        <f>MID(VLOOKUP($A310,Seqs!$A:$B,2,FALSE),VLOOKUP($A310,'SegEnds_NonXtal_Prot#'!$A:$AL,22,FALSE)+7,1)</f>
        <v>I</v>
      </c>
      <c r="AC310" s="50" t="str">
        <f>MID(VLOOKUP($A310,Seqs!$A:$B,2,FALSE),VLOOKUP($A310,'SegEnds_NonXtal_Prot#'!$A:$AL,22,FALSE)+8,1)</f>
        <v>G</v>
      </c>
      <c r="AD310" s="50" t="str">
        <f>MID(VLOOKUP($A310,Seqs!$A:$B,2,FALSE),VLOOKUP($A310,'SegEnds_NonXtal_Prot#'!$A:$AL,22,FALSE)+9,1)</f>
        <v>A</v>
      </c>
      <c r="AE310" s="50" t="str">
        <f>MID(VLOOKUP($A310,Seqs!$A:$B,2,FALSE),VLOOKUP($A310,'SegEnds_NonXtal_Prot#'!$A:$AL,22,FALSE)+10,1)</f>
        <v>W</v>
      </c>
      <c r="AF310" s="28" t="str">
        <f>MID(VLOOKUP($A310,Seqs!$A:$B,2,FALSE),VLOOKUP($A310,'SegEnds_NonXtal_Prot#'!$A:$AL,28,FALSE)-4,1)</f>
        <v>P</v>
      </c>
      <c r="AG310" s="50" t="str">
        <f>MID(VLOOKUP($A310,Seqs!$A:$B,2,FALSE),VLOOKUP($A310,'SegEnds_NonXtal_Prot#'!$A:$AL,28,FALSE),1)</f>
        <v>S</v>
      </c>
    </row>
    <row r="311" spans="1:33" s="2" customFormat="1" x14ac:dyDescent="0.2">
      <c r="A311" s="2" t="s">
        <v>1430</v>
      </c>
      <c r="B311" s="2" t="str">
        <f>LOWER(VLOOKUP(A311,Xtal_Templ!A:B,2,FALSE))</f>
        <v>g1sgd4_rabit</v>
      </c>
      <c r="C311" s="2" t="str">
        <f>VLOOKUP(A311,Classification!A:D,2,FALSE)</f>
        <v>B1</v>
      </c>
      <c r="D311" s="2" t="str">
        <f>IF(ISERROR(MATCH(A311,'SegEnds_Xtal_Prot#'!B:B, 0)), "NoXtal", "Xtal")</f>
        <v>Xtal</v>
      </c>
      <c r="G311" s="4"/>
      <c r="I311" s="109" t="s">
        <v>25</v>
      </c>
      <c r="O311" s="2" t="s">
        <v>1329</v>
      </c>
      <c r="S311" s="4" t="s">
        <v>12</v>
      </c>
      <c r="U311" s="28" t="str">
        <f>MID(VLOOKUP($A311,Seqs!$A:$B,2,FALSE),VLOOKUP($A311,'SegEnds_NonXtal_Prot#'!A:AL,10,FALSE),1)</f>
        <v>F</v>
      </c>
      <c r="V311" s="50" t="str">
        <f>MID(VLOOKUP($A311,Seqs!$A:$B,2,FALSE),VLOOKUP($A311,'SegEnds_NonXtal_Prot#'!A:AL,10,FALSE)+6,1)</f>
        <v>S</v>
      </c>
      <c r="W311" s="50" t="str">
        <f>MID(VLOOKUP($A311,Seqs!$A:$B,2,FALSE),VLOOKUP($A311,'SegEnds_NonXtal_Prot#'!A:AL,10,FALSE)+7,1)</f>
        <v>V</v>
      </c>
      <c r="X311" s="50" t="str">
        <f>MID(VLOOKUP($A311,Seqs!$A:$B,2,FALSE),VLOOKUP($A311,'SegEnds_NonXtal_Prot#'!A:AL,10,FALSE)+8,1)</f>
        <v>F</v>
      </c>
      <c r="Y311" s="50" t="str">
        <f>MID(VLOOKUP($A311,Seqs!$A:$B,2,FALSE),VLOOKUP($A311,'SegEnds_NonXtal_Prot#'!A:AL,10,FALSE)+9,1)</f>
        <v>I</v>
      </c>
      <c r="Z311" s="50" t="str">
        <f>MID(VLOOKUP($A311,Seqs!$A:$B,2,FALSE),VLOOKUP($A311,'SegEnds_NonXtal_Prot#'!A:AL,10,FALSE)+10,1)</f>
        <v>K</v>
      </c>
      <c r="AA311" s="28" t="str">
        <f>MID(VLOOKUP($A311,Seqs!$A:$B,2,FALSE),VLOOKUP($A311,'SegEnds_NonXtal_Prot#'!$A:$AL,22,FALSE)+6,1)</f>
        <v>F</v>
      </c>
      <c r="AB311" s="50" t="str">
        <f>MID(VLOOKUP($A311,Seqs!$A:$B,2,FALSE),VLOOKUP($A311,'SegEnds_NonXtal_Prot#'!$A:$AL,22,FALSE)+7,1)</f>
        <v>V</v>
      </c>
      <c r="AC311" s="50" t="str">
        <f>MID(VLOOKUP($A311,Seqs!$A:$B,2,FALSE),VLOOKUP($A311,'SegEnds_NonXtal_Prot#'!$A:$AL,22,FALSE)+8,1)</f>
        <v>I</v>
      </c>
      <c r="AD311" s="50" t="str">
        <f>MID(VLOOKUP($A311,Seqs!$A:$B,2,FALSE),VLOOKUP($A311,'SegEnds_NonXtal_Prot#'!$A:$AL,22,FALSE)+9,1)</f>
        <v>P</v>
      </c>
      <c r="AE311" s="50" t="str">
        <f>MID(VLOOKUP($A311,Seqs!$A:$B,2,FALSE),VLOOKUP($A311,'SegEnds_NonXtal_Prot#'!$A:$AL,22,FALSE)+10,1)</f>
        <v>W</v>
      </c>
      <c r="AF311" s="28" t="str">
        <f>MID(VLOOKUP($A311,Seqs!$A:$B,2,FALSE),VLOOKUP($A311,'SegEnds_NonXtal_Prot#'!$A:$AL,28,FALSE)-4,1)</f>
        <v>P</v>
      </c>
      <c r="AG311" s="50" t="str">
        <f>MID(VLOOKUP($A311,Seqs!$A:$B,2,FALSE),VLOOKUP($A311,'SegEnds_NonXtal_Prot#'!$A:$AL,28,FALSE),1)</f>
        <v>A</v>
      </c>
    </row>
    <row r="312" spans="1:33" s="2" customFormat="1" x14ac:dyDescent="0.2">
      <c r="A312" s="2" t="s">
        <v>1177</v>
      </c>
      <c r="B312" s="2" t="str">
        <f>LOWER(VLOOKUP(A312,Xtal_Templ!A:B,2,FALSE))</f>
        <v>crfr1_human</v>
      </c>
      <c r="C312" s="2" t="str">
        <f>VLOOKUP(A312,Classification!A:D,2,FALSE)</f>
        <v>B2</v>
      </c>
      <c r="D312" s="2" t="str">
        <f>IF(ISERROR(MATCH(A312,'SegEnds_Xtal_Prot#'!B:B, 0)), "NoXtal", "Xtal")</f>
        <v>NoXtal</v>
      </c>
      <c r="G312" s="4"/>
      <c r="I312" s="109" t="s">
        <v>25</v>
      </c>
      <c r="S312" s="4" t="s">
        <v>12</v>
      </c>
      <c r="U312" s="28" t="str">
        <f>MID(VLOOKUP($A312,Seqs!$A:$B,2,FALSE),VLOOKUP($A312,'SegEnds_NonXtal_Prot#'!A:AL,10,FALSE),1)</f>
        <v>F</v>
      </c>
      <c r="V312" s="50" t="str">
        <f>MID(VLOOKUP($A312,Seqs!$A:$B,2,FALSE),VLOOKUP($A312,'SegEnds_NonXtal_Prot#'!A:AL,10,FALSE)+6,1)</f>
        <v>F</v>
      </c>
      <c r="W312" s="50" t="str">
        <f>MID(VLOOKUP($A312,Seqs!$A:$B,2,FALSE),VLOOKUP($A312,'SegEnds_NonXtal_Prot#'!A:AL,10,FALSE)+7,1)</f>
        <v>T</v>
      </c>
      <c r="X312" s="50" t="str">
        <f>MID(VLOOKUP($A312,Seqs!$A:$B,2,FALSE),VLOOKUP($A312,'SegEnds_NonXtal_Prot#'!A:AL,10,FALSE)+8,1)</f>
        <v>V</v>
      </c>
      <c r="Y312" s="50" t="str">
        <f>MID(VLOOKUP($A312,Seqs!$A:$B,2,FALSE),VLOOKUP($A312,'SegEnds_NonXtal_Prot#'!A:AL,10,FALSE)+9,1)</f>
        <v>F</v>
      </c>
      <c r="Z312" s="50" t="str">
        <f>MID(VLOOKUP($A312,Seqs!$A:$B,2,FALSE),VLOOKUP($A312,'SegEnds_NonXtal_Prot#'!A:AL,10,FALSE)+10,1)</f>
        <v>A</v>
      </c>
      <c r="AA312" s="28" t="str">
        <f>MID(VLOOKUP($A312,Seqs!$A:$B,2,FALSE),VLOOKUP($A312,'SegEnds_NonXtal_Prot#'!$A:$AL,22,FALSE)+6,1)</f>
        <v>I</v>
      </c>
      <c r="AB312" s="50" t="str">
        <f>MID(VLOOKUP($A312,Seqs!$A:$B,2,FALSE),VLOOKUP($A312,'SegEnds_NonXtal_Prot#'!$A:$AL,22,FALSE)+7,1)</f>
        <v>C</v>
      </c>
      <c r="AC312" s="50" t="str">
        <f>MID(VLOOKUP($A312,Seqs!$A:$B,2,FALSE),VLOOKUP($A312,'SegEnds_NonXtal_Prot#'!$A:$AL,22,FALSE)+8,1)</f>
        <v>G</v>
      </c>
      <c r="AD312" s="50" t="str">
        <f>MID(VLOOKUP($A312,Seqs!$A:$B,2,FALSE),VLOOKUP($A312,'SegEnds_NonXtal_Prot#'!$A:$AL,22,FALSE)+9,1)</f>
        <v>V</v>
      </c>
      <c r="AE312" s="50" t="str">
        <f>MID(VLOOKUP($A312,Seqs!$A:$B,2,FALSE),VLOOKUP($A312,'SegEnds_NonXtal_Prot#'!$A:$AL,22,FALSE)+10,1)</f>
        <v>T</v>
      </c>
      <c r="AF312" s="28" t="str">
        <f>MID(VLOOKUP($A312,Seqs!$A:$B,2,FALSE),VLOOKUP($A312,'SegEnds_NonXtal_Prot#'!$A:$AL,28,FALSE)-4,1)</f>
        <v>P</v>
      </c>
      <c r="AG312" s="50" t="str">
        <f>MID(VLOOKUP($A312,Seqs!$A:$B,2,FALSE),VLOOKUP($A312,'SegEnds_NonXtal_Prot#'!$A:$AL,28,FALSE),1)</f>
        <v>I</v>
      </c>
    </row>
    <row r="313" spans="1:33" s="2" customFormat="1" x14ac:dyDescent="0.2">
      <c r="A313" s="2" t="s">
        <v>1178</v>
      </c>
      <c r="B313" s="2" t="str">
        <f>LOWER(VLOOKUP(A313,Xtal_Templ!A:B,2,FALSE))</f>
        <v>crfr1_human</v>
      </c>
      <c r="C313" s="2" t="str">
        <f>VLOOKUP(A313,Classification!A:D,2,FALSE)</f>
        <v>B2</v>
      </c>
      <c r="D313" s="2" t="str">
        <f>IF(ISERROR(MATCH(A313,'SegEnds_Xtal_Prot#'!B:B, 0)), "NoXtal", "Xtal")</f>
        <v>NoXtal</v>
      </c>
      <c r="G313" s="4"/>
      <c r="I313" s="109" t="s">
        <v>25</v>
      </c>
      <c r="S313" s="4" t="s">
        <v>12</v>
      </c>
      <c r="U313" s="28" t="str">
        <f>MID(VLOOKUP($A313,Seqs!$A:$B,2,FALSE),VLOOKUP($A313,'SegEnds_NonXtal_Prot#'!A:AL,10,FALSE),1)</f>
        <v>F</v>
      </c>
      <c r="V313" s="50" t="str">
        <f>MID(VLOOKUP($A313,Seqs!$A:$B,2,FALSE),VLOOKUP($A313,'SegEnds_NonXtal_Prot#'!A:AL,10,FALSE)+6,1)</f>
        <v>S</v>
      </c>
      <c r="W313" s="50" t="str">
        <f>MID(VLOOKUP($A313,Seqs!$A:$B,2,FALSE),VLOOKUP($A313,'SegEnds_NonXtal_Prot#'!A:AL,10,FALSE)+7,1)</f>
        <v>A</v>
      </c>
      <c r="X313" s="50" t="str">
        <f>MID(VLOOKUP($A313,Seqs!$A:$B,2,FALSE),VLOOKUP($A313,'SegEnds_NonXtal_Prot#'!A:AL,10,FALSE)+8,1)</f>
        <v>V</v>
      </c>
      <c r="Y313" s="50" t="str">
        <f>MID(VLOOKUP($A313,Seqs!$A:$B,2,FALSE),VLOOKUP($A313,'SegEnds_NonXtal_Prot#'!A:AL,10,FALSE)+9,1)</f>
        <v>F</v>
      </c>
      <c r="Z313" s="50" t="str">
        <f>MID(VLOOKUP($A313,Seqs!$A:$B,2,FALSE),VLOOKUP($A313,'SegEnds_NonXtal_Prot#'!A:AL,10,FALSE)+10,1)</f>
        <v>A</v>
      </c>
      <c r="AA313" s="28" t="str">
        <f>MID(VLOOKUP($A313,Seqs!$A:$B,2,FALSE),VLOOKUP($A313,'SegEnds_NonXtal_Prot#'!$A:$AL,22,FALSE)+6,1)</f>
        <v>I</v>
      </c>
      <c r="AB313" s="50" t="str">
        <f>MID(VLOOKUP($A313,Seqs!$A:$B,2,FALSE),VLOOKUP($A313,'SegEnds_NonXtal_Prot#'!$A:$AL,22,FALSE)+7,1)</f>
        <v>C</v>
      </c>
      <c r="AC313" s="50" t="str">
        <f>MID(VLOOKUP($A313,Seqs!$A:$B,2,FALSE),VLOOKUP($A313,'SegEnds_NonXtal_Prot#'!$A:$AL,22,FALSE)+8,1)</f>
        <v>G</v>
      </c>
      <c r="AD313" s="50" t="str">
        <f>MID(VLOOKUP($A313,Seqs!$A:$B,2,FALSE),VLOOKUP($A313,'SegEnds_NonXtal_Prot#'!$A:$AL,22,FALSE)+9,1)</f>
        <v>I</v>
      </c>
      <c r="AE313" s="50" t="str">
        <f>MID(VLOOKUP($A313,Seqs!$A:$B,2,FALSE),VLOOKUP($A313,'SegEnds_NonXtal_Prot#'!$A:$AL,22,FALSE)+10,1)</f>
        <v>T</v>
      </c>
      <c r="AF313" s="28" t="str">
        <f>MID(VLOOKUP($A313,Seqs!$A:$B,2,FALSE),VLOOKUP($A313,'SegEnds_NonXtal_Prot#'!$A:$AL,28,FALSE)-4,1)</f>
        <v>P</v>
      </c>
      <c r="AG313" s="50" t="str">
        <f>MID(VLOOKUP($A313,Seqs!$A:$B,2,FALSE),VLOOKUP($A313,'SegEnds_NonXtal_Prot#'!$A:$AL,28,FALSE),1)</f>
        <v>I</v>
      </c>
    </row>
    <row r="314" spans="1:33" s="2" customFormat="1" x14ac:dyDescent="0.2">
      <c r="A314" s="2" t="s">
        <v>1179</v>
      </c>
      <c r="B314" s="2" t="str">
        <f>LOWER(VLOOKUP(A314,Xtal_Templ!A:B,2,FALSE))</f>
        <v>crfr1_human</v>
      </c>
      <c r="C314" s="2" t="str">
        <f>VLOOKUP(A314,Classification!A:D,2,FALSE)</f>
        <v>B2</v>
      </c>
      <c r="D314" s="2" t="str">
        <f>IF(ISERROR(MATCH(A314,'SegEnds_Xtal_Prot#'!B:B, 0)), "NoXtal", "Xtal")</f>
        <v>NoXtal</v>
      </c>
      <c r="G314" s="4"/>
      <c r="I314" s="109" t="s">
        <v>25</v>
      </c>
      <c r="S314" s="4" t="s">
        <v>12</v>
      </c>
      <c r="U314" s="28" t="str">
        <f>MID(VLOOKUP($A314,Seqs!$A:$B,2,FALSE),VLOOKUP($A314,'SegEnds_NonXtal_Prot#'!A:AL,10,FALSE),1)</f>
        <v>F</v>
      </c>
      <c r="V314" s="50" t="str">
        <f>MID(VLOOKUP($A314,Seqs!$A:$B,2,FALSE),VLOOKUP($A314,'SegEnds_NonXtal_Prot#'!A:AL,10,FALSE)+6,1)</f>
        <v>C</v>
      </c>
      <c r="W314" s="50" t="str">
        <f>MID(VLOOKUP($A314,Seqs!$A:$B,2,FALSE),VLOOKUP($A314,'SegEnds_NonXtal_Prot#'!A:AL,10,FALSE)+7,1)</f>
        <v>V</v>
      </c>
      <c r="X314" s="50" t="str">
        <f>MID(VLOOKUP($A314,Seqs!$A:$B,2,FALSE),VLOOKUP($A314,'SegEnds_NonXtal_Prot#'!A:AL,10,FALSE)+8,1)</f>
        <v>V</v>
      </c>
      <c r="Y314" s="50" t="str">
        <f>MID(VLOOKUP($A314,Seqs!$A:$B,2,FALSE),VLOOKUP($A314,'SegEnds_NonXtal_Prot#'!A:AL,10,FALSE)+9,1)</f>
        <v>F</v>
      </c>
      <c r="Z314" s="50" t="str">
        <f>MID(VLOOKUP($A314,Seqs!$A:$B,2,FALSE),VLOOKUP($A314,'SegEnds_NonXtal_Prot#'!A:AL,10,FALSE)+10,1)</f>
        <v>V</v>
      </c>
      <c r="AA314" s="28" t="str">
        <f>MID(VLOOKUP($A314,Seqs!$A:$B,2,FALSE),VLOOKUP($A314,'SegEnds_NonXtal_Prot#'!$A:$AL,22,FALSE)+6,1)</f>
        <v>V</v>
      </c>
      <c r="AB314" s="50" t="str">
        <f>MID(VLOOKUP($A314,Seqs!$A:$B,2,FALSE),VLOOKUP($A314,'SegEnds_NonXtal_Prot#'!$A:$AL,22,FALSE)+7,1)</f>
        <v>C</v>
      </c>
      <c r="AC314" s="50" t="str">
        <f>MID(VLOOKUP($A314,Seqs!$A:$B,2,FALSE),VLOOKUP($A314,'SegEnds_NonXtal_Prot#'!$A:$AL,22,FALSE)+8,1)</f>
        <v>G</v>
      </c>
      <c r="AD314" s="50" t="str">
        <f>MID(VLOOKUP($A314,Seqs!$A:$B,2,FALSE),VLOOKUP($A314,'SegEnds_NonXtal_Prot#'!$A:$AL,22,FALSE)+9,1)</f>
        <v>I</v>
      </c>
      <c r="AE314" s="50" t="str">
        <f>MID(VLOOKUP($A314,Seqs!$A:$B,2,FALSE),VLOOKUP($A314,'SegEnds_NonXtal_Prot#'!$A:$AL,22,FALSE)+10,1)</f>
        <v>T</v>
      </c>
      <c r="AF314" s="28" t="str">
        <f>MID(VLOOKUP($A314,Seqs!$A:$B,2,FALSE),VLOOKUP($A314,'SegEnds_NonXtal_Prot#'!$A:$AL,28,FALSE)-4,1)</f>
        <v>P</v>
      </c>
      <c r="AG314" s="50" t="str">
        <f>MID(VLOOKUP($A314,Seqs!$A:$B,2,FALSE),VLOOKUP($A314,'SegEnds_NonXtal_Prot#'!$A:$AL,28,FALSE),1)</f>
        <v>I</v>
      </c>
    </row>
    <row r="315" spans="1:33" s="2" customFormat="1" x14ac:dyDescent="0.2">
      <c r="A315" s="2" t="s">
        <v>1180</v>
      </c>
      <c r="B315" s="2" t="str">
        <f>LOWER(VLOOKUP(A315,Xtal_Templ!A:B,2,FALSE))</f>
        <v>crfr1_human</v>
      </c>
      <c r="C315" s="2" t="str">
        <f>VLOOKUP(A315,Classification!A:D,2,FALSE)</f>
        <v>B2</v>
      </c>
      <c r="D315" s="2" t="str">
        <f>IF(ISERROR(MATCH(A315,'SegEnds_Xtal_Prot#'!B:B, 0)), "NoXtal", "Xtal")</f>
        <v>NoXtal</v>
      </c>
      <c r="G315" s="4"/>
      <c r="I315" s="109" t="s">
        <v>25</v>
      </c>
      <c r="S315" s="4" t="s">
        <v>12</v>
      </c>
      <c r="U315" s="28" t="str">
        <f>MID(VLOOKUP($A315,Seqs!$A:$B,2,FALSE),VLOOKUP($A315,'SegEnds_NonXtal_Prot#'!A:AL,10,FALSE),1)</f>
        <v>I</v>
      </c>
      <c r="V315" s="50" t="str">
        <f>MID(VLOOKUP($A315,Seqs!$A:$B,2,FALSE),VLOOKUP($A315,'SegEnds_NonXtal_Prot#'!A:AL,10,FALSE)+6,1)</f>
        <v>L</v>
      </c>
      <c r="W315" s="50" t="str">
        <f>MID(VLOOKUP($A315,Seqs!$A:$B,2,FALSE),VLOOKUP($A315,'SegEnds_NonXtal_Prot#'!A:AL,10,FALSE)+7,1)</f>
        <v>I</v>
      </c>
      <c r="X315" s="50" t="str">
        <f>MID(VLOOKUP($A315,Seqs!$A:$B,2,FALSE),VLOOKUP($A315,'SegEnds_NonXtal_Prot#'!A:AL,10,FALSE)+8,1)</f>
        <v>L</v>
      </c>
      <c r="Y315" s="50" t="str">
        <f>MID(VLOOKUP($A315,Seqs!$A:$B,2,FALSE),VLOOKUP($A315,'SegEnds_NonXtal_Prot#'!A:AL,10,FALSE)+9,1)</f>
        <v>V</v>
      </c>
      <c r="Z315" s="50" t="str">
        <f>MID(VLOOKUP($A315,Seqs!$A:$B,2,FALSE),VLOOKUP($A315,'SegEnds_NonXtal_Prot#'!A:AL,10,FALSE)+10,1)</f>
        <v>G</v>
      </c>
      <c r="AA315" s="28" t="str">
        <f>MID(VLOOKUP($A315,Seqs!$A:$B,2,FALSE),VLOOKUP($A315,'SegEnds_NonXtal_Prot#'!$A:$AL,22,FALSE)+6,1)</f>
        <v>V</v>
      </c>
      <c r="AB315" s="50" t="str">
        <f>MID(VLOOKUP($A315,Seqs!$A:$B,2,FALSE),VLOOKUP($A315,'SegEnds_NonXtal_Prot#'!$A:$AL,22,FALSE)+7,1)</f>
        <v>V</v>
      </c>
      <c r="AC315" s="50" t="str">
        <f>MID(VLOOKUP($A315,Seqs!$A:$B,2,FALSE),VLOOKUP($A315,'SegEnds_NonXtal_Prot#'!$A:$AL,22,FALSE)+8,1)</f>
        <v>A</v>
      </c>
      <c r="AD315" s="50" t="str">
        <f>MID(VLOOKUP($A315,Seqs!$A:$B,2,FALSE),VLOOKUP($A315,'SegEnds_NonXtal_Prot#'!$A:$AL,22,FALSE)+9,1)</f>
        <v>V</v>
      </c>
      <c r="AE315" s="50" t="str">
        <f>MID(VLOOKUP($A315,Seqs!$A:$B,2,FALSE),VLOOKUP($A315,'SegEnds_NonXtal_Prot#'!$A:$AL,22,FALSE)+10,1)</f>
        <v>S</v>
      </c>
      <c r="AF315" s="28" t="str">
        <f>MID(VLOOKUP($A315,Seqs!$A:$B,2,FALSE),VLOOKUP($A315,'SegEnds_NonXtal_Prot#'!$A:$AL,28,FALSE)-4,1)</f>
        <v>P</v>
      </c>
      <c r="AG315" s="50" t="str">
        <f>MID(VLOOKUP($A315,Seqs!$A:$B,2,FALSE),VLOOKUP($A315,'SegEnds_NonXtal_Prot#'!$A:$AL,28,FALSE),1)</f>
        <v>I</v>
      </c>
    </row>
    <row r="316" spans="1:33" s="2" customFormat="1" x14ac:dyDescent="0.2">
      <c r="A316" s="2" t="s">
        <v>1181</v>
      </c>
      <c r="B316" s="2" t="str">
        <f>LOWER(VLOOKUP(A316,Xtal_Templ!A:B,2,FALSE))</f>
        <v>crfr1_human</v>
      </c>
      <c r="C316" s="2" t="str">
        <f>VLOOKUP(A316,Classification!A:D,2,FALSE)</f>
        <v>B2</v>
      </c>
      <c r="D316" s="2" t="str">
        <f>IF(ISERROR(MATCH(A316,'SegEnds_Xtal_Prot#'!B:B, 0)), "NoXtal", "Xtal")</f>
        <v>NoXtal</v>
      </c>
      <c r="G316" s="4"/>
      <c r="I316" s="109" t="s">
        <v>25</v>
      </c>
      <c r="S316" s="4" t="s">
        <v>12</v>
      </c>
      <c r="U316" s="28" t="str">
        <f>MID(VLOOKUP($A316,Seqs!$A:$B,2,FALSE),VLOOKUP($A316,'SegEnds_NonXtal_Prot#'!A:AL,10,FALSE),1)</f>
        <v>I</v>
      </c>
      <c r="V316" s="50" t="str">
        <f>MID(VLOOKUP($A316,Seqs!$A:$B,2,FALSE),VLOOKUP($A316,'SegEnds_NonXtal_Prot#'!A:AL,10,FALSE)+6,1)</f>
        <v>L</v>
      </c>
      <c r="W316" s="50" t="str">
        <f>MID(VLOOKUP($A316,Seqs!$A:$B,2,FALSE),VLOOKUP($A316,'SegEnds_NonXtal_Prot#'!A:AL,10,FALSE)+7,1)</f>
        <v>I</v>
      </c>
      <c r="X316" s="50" t="str">
        <f>MID(VLOOKUP($A316,Seqs!$A:$B,2,FALSE),VLOOKUP($A316,'SegEnds_NonXtal_Prot#'!A:AL,10,FALSE)+8,1)</f>
        <v>L</v>
      </c>
      <c r="Y316" s="50" t="str">
        <f>MID(VLOOKUP($A316,Seqs!$A:$B,2,FALSE),VLOOKUP($A316,'SegEnds_NonXtal_Prot#'!A:AL,10,FALSE)+9,1)</f>
        <v>V</v>
      </c>
      <c r="Z316" s="50" t="str">
        <f>MID(VLOOKUP($A316,Seqs!$A:$B,2,FALSE),VLOOKUP($A316,'SegEnds_NonXtal_Prot#'!A:AL,10,FALSE)+10,1)</f>
        <v>G</v>
      </c>
      <c r="AA316" s="28" t="str">
        <f>MID(VLOOKUP($A316,Seqs!$A:$B,2,FALSE),VLOOKUP($A316,'SegEnds_NonXtal_Prot#'!$A:$AL,22,FALSE)+6,1)</f>
        <v>V</v>
      </c>
      <c r="AB316" s="50" t="str">
        <f>MID(VLOOKUP($A316,Seqs!$A:$B,2,FALSE),VLOOKUP($A316,'SegEnds_NonXtal_Prot#'!$A:$AL,22,FALSE)+7,1)</f>
        <v>V</v>
      </c>
      <c r="AC316" s="50" t="str">
        <f>MID(VLOOKUP($A316,Seqs!$A:$B,2,FALSE),VLOOKUP($A316,'SegEnds_NonXtal_Prot#'!$A:$AL,22,FALSE)+8,1)</f>
        <v>A</v>
      </c>
      <c r="AD316" s="50" t="str">
        <f>MID(VLOOKUP($A316,Seqs!$A:$B,2,FALSE),VLOOKUP($A316,'SegEnds_NonXtal_Prot#'!$A:$AL,22,FALSE)+9,1)</f>
        <v>T</v>
      </c>
      <c r="AE316" s="50" t="str">
        <f>MID(VLOOKUP($A316,Seqs!$A:$B,2,FALSE),VLOOKUP($A316,'SegEnds_NonXtal_Prot#'!$A:$AL,22,FALSE)+10,1)</f>
        <v>S</v>
      </c>
      <c r="AF316" s="28" t="str">
        <f>MID(VLOOKUP($A316,Seqs!$A:$B,2,FALSE),VLOOKUP($A316,'SegEnds_NonXtal_Prot#'!$A:$AL,28,FALSE)-4,1)</f>
        <v>P</v>
      </c>
      <c r="AG316" s="50" t="str">
        <f>MID(VLOOKUP($A316,Seqs!$A:$B,2,FALSE),VLOOKUP($A316,'SegEnds_NonXtal_Prot#'!$A:$AL,28,FALSE),1)</f>
        <v>V</v>
      </c>
    </row>
    <row r="317" spans="1:33" s="2" customFormat="1" x14ac:dyDescent="0.2">
      <c r="A317" s="2" t="s">
        <v>1182</v>
      </c>
      <c r="B317" s="2" t="str">
        <f>LOWER(VLOOKUP(A317,Xtal_Templ!A:B,2,FALSE))</f>
        <v>crfr1_human</v>
      </c>
      <c r="C317" s="2" t="str">
        <f>VLOOKUP(A317,Classification!A:D,2,FALSE)</f>
        <v>B2</v>
      </c>
      <c r="D317" s="2" t="str">
        <f>IF(ISERROR(MATCH(A317,'SegEnds_Xtal_Prot#'!B:B, 0)), "NoXtal", "Xtal")</f>
        <v>NoXtal</v>
      </c>
      <c r="G317" s="4"/>
      <c r="I317" s="109" t="s">
        <v>25</v>
      </c>
      <c r="S317" s="4" t="s">
        <v>12</v>
      </c>
      <c r="U317" s="28" t="str">
        <f>MID(VLOOKUP($A317,Seqs!$A:$B,2,FALSE),VLOOKUP($A317,'SegEnds_NonXtal_Prot#'!A:AL,10,FALSE),1)</f>
        <v>V</v>
      </c>
      <c r="V317" s="50" t="str">
        <f>MID(VLOOKUP($A317,Seqs!$A:$B,2,FALSE),VLOOKUP($A317,'SegEnds_NonXtal_Prot#'!A:AL,10,FALSE)+6,1)</f>
        <v>L</v>
      </c>
      <c r="W317" s="50" t="str">
        <f>MID(VLOOKUP($A317,Seqs!$A:$B,2,FALSE),VLOOKUP($A317,'SegEnds_NonXtal_Prot#'!A:AL,10,FALSE)+7,1)</f>
        <v>L</v>
      </c>
      <c r="X317" s="50" t="str">
        <f>MID(VLOOKUP($A317,Seqs!$A:$B,2,FALSE),VLOOKUP($A317,'SegEnds_NonXtal_Prot#'!A:AL,10,FALSE)+8,1)</f>
        <v>L</v>
      </c>
      <c r="Y317" s="50" t="str">
        <f>MID(VLOOKUP($A317,Seqs!$A:$B,2,FALSE),VLOOKUP($A317,'SegEnds_NonXtal_Prot#'!A:AL,10,FALSE)+9,1)</f>
        <v>I</v>
      </c>
      <c r="Z317" s="50" t="str">
        <f>MID(VLOOKUP($A317,Seqs!$A:$B,2,FALSE),VLOOKUP($A317,'SegEnds_NonXtal_Prot#'!A:AL,10,FALSE)+10,1)</f>
        <v>S</v>
      </c>
      <c r="AA317" s="28" t="str">
        <f>MID(VLOOKUP($A317,Seqs!$A:$B,2,FALSE),VLOOKUP($A317,'SegEnds_NonXtal_Prot#'!$A:$AL,22,FALSE)+6,1)</f>
        <v>I</v>
      </c>
      <c r="AB317" s="50" t="str">
        <f>MID(VLOOKUP($A317,Seqs!$A:$B,2,FALSE),VLOOKUP($A317,'SegEnds_NonXtal_Prot#'!$A:$AL,22,FALSE)+7,1)</f>
        <v>C</v>
      </c>
      <c r="AC317" s="50" t="str">
        <f>MID(VLOOKUP($A317,Seqs!$A:$B,2,FALSE),VLOOKUP($A317,'SegEnds_NonXtal_Prot#'!$A:$AL,22,FALSE)+8,1)</f>
        <v>I</v>
      </c>
      <c r="AD317" s="50" t="str">
        <f>MID(VLOOKUP($A317,Seqs!$A:$B,2,FALSE),VLOOKUP($A317,'SegEnds_NonXtal_Prot#'!$A:$AL,22,FALSE)+9,1)</f>
        <v>I</v>
      </c>
      <c r="AE317" s="50" t="str">
        <f>MID(VLOOKUP($A317,Seqs!$A:$B,2,FALSE),VLOOKUP($A317,'SegEnds_NonXtal_Prot#'!$A:$AL,22,FALSE)+10,1)</f>
        <v>S</v>
      </c>
      <c r="AF317" s="28" t="str">
        <f>MID(VLOOKUP($A317,Seqs!$A:$B,2,FALSE),VLOOKUP($A317,'SegEnds_NonXtal_Prot#'!$A:$AL,28,FALSE)-4,1)</f>
        <v>P</v>
      </c>
      <c r="AG317" s="50" t="str">
        <f>MID(VLOOKUP($A317,Seqs!$A:$B,2,FALSE),VLOOKUP($A317,'SegEnds_NonXtal_Prot#'!$A:$AL,28,FALSE),1)</f>
        <v>V</v>
      </c>
    </row>
    <row r="318" spans="1:33" s="2" customFormat="1" x14ac:dyDescent="0.2">
      <c r="A318" s="2" t="s">
        <v>1183</v>
      </c>
      <c r="B318" s="2" t="str">
        <f>LOWER(VLOOKUP(A318,Xtal_Templ!A:B,2,FALSE))</f>
        <v>crfr1_human</v>
      </c>
      <c r="C318" s="2" t="str">
        <f>VLOOKUP(A318,Classification!A:D,2,FALSE)</f>
        <v>B2</v>
      </c>
      <c r="D318" s="2" t="str">
        <f>IF(ISERROR(MATCH(A318,'SegEnds_Xtal_Prot#'!B:B, 0)), "NoXtal", "Xtal")</f>
        <v>NoXtal</v>
      </c>
      <c r="G318" s="4"/>
      <c r="I318" s="109" t="s">
        <v>25</v>
      </c>
      <c r="S318" s="4" t="s">
        <v>12</v>
      </c>
      <c r="U318" s="28" t="str">
        <f>MID(VLOOKUP($A318,Seqs!$A:$B,2,FALSE),VLOOKUP($A318,'SegEnds_NonXtal_Prot#'!A:AL,10,FALSE),1)</f>
        <v>L</v>
      </c>
      <c r="V318" s="50" t="str">
        <f>MID(VLOOKUP($A318,Seqs!$A:$B,2,FALSE),VLOOKUP($A318,'SegEnds_NonXtal_Prot#'!A:AL,10,FALSE)+6,1)</f>
        <v>F</v>
      </c>
      <c r="W318" s="50" t="str">
        <f>MID(VLOOKUP($A318,Seqs!$A:$B,2,FALSE),VLOOKUP($A318,'SegEnds_NonXtal_Prot#'!A:AL,10,FALSE)+7,1)</f>
        <v>L</v>
      </c>
      <c r="X318" s="50" t="str">
        <f>MID(VLOOKUP($A318,Seqs!$A:$B,2,FALSE),VLOOKUP($A318,'SegEnds_NonXtal_Prot#'!A:AL,10,FALSE)+8,1)</f>
        <v>M</v>
      </c>
      <c r="Y318" s="50" t="str">
        <f>MID(VLOOKUP($A318,Seqs!$A:$B,2,FALSE),VLOOKUP($A318,'SegEnds_NonXtal_Prot#'!A:AL,10,FALSE)+9,1)</f>
        <v>T</v>
      </c>
      <c r="Z318" s="50" t="str">
        <f>MID(VLOOKUP($A318,Seqs!$A:$B,2,FALSE),VLOOKUP($A318,'SegEnds_NonXtal_Prot#'!A:AL,10,FALSE)+10,1)</f>
        <v>S</v>
      </c>
      <c r="AA318" s="28" t="str">
        <f>MID(VLOOKUP($A318,Seqs!$A:$B,2,FALSE),VLOOKUP($A318,'SegEnds_NonXtal_Prot#'!$A:$AL,22,FALSE)+6,1)</f>
        <v>I</v>
      </c>
      <c r="AB318" s="50" t="str">
        <f>MID(VLOOKUP($A318,Seqs!$A:$B,2,FALSE),VLOOKUP($A318,'SegEnds_NonXtal_Prot#'!$A:$AL,22,FALSE)+7,1)</f>
        <v>V</v>
      </c>
      <c r="AC318" s="50" t="str">
        <f>MID(VLOOKUP($A318,Seqs!$A:$B,2,FALSE),VLOOKUP($A318,'SegEnds_NonXtal_Prot#'!$A:$AL,22,FALSE)+8,1)</f>
        <v>A</v>
      </c>
      <c r="AD318" s="50" t="str">
        <f>MID(VLOOKUP($A318,Seqs!$A:$B,2,FALSE),VLOOKUP($A318,'SegEnds_NonXtal_Prot#'!$A:$AL,22,FALSE)+9,1)</f>
        <v>V</v>
      </c>
      <c r="AE318" s="50" t="str">
        <f>MID(VLOOKUP($A318,Seqs!$A:$B,2,FALSE),VLOOKUP($A318,'SegEnds_NonXtal_Prot#'!$A:$AL,22,FALSE)+10,1)</f>
        <v>T</v>
      </c>
      <c r="AF318" s="28" t="str">
        <f>MID(VLOOKUP($A318,Seqs!$A:$B,2,FALSE),VLOOKUP($A318,'SegEnds_NonXtal_Prot#'!$A:$AL,28,FALSE)-4,1)</f>
        <v>P</v>
      </c>
      <c r="AG318" s="50" t="str">
        <f>MID(VLOOKUP($A318,Seqs!$A:$B,2,FALSE),VLOOKUP($A318,'SegEnds_NonXtal_Prot#'!$A:$AL,28,FALSE),1)</f>
        <v>V</v>
      </c>
    </row>
    <row r="319" spans="1:33" s="2" customFormat="1" x14ac:dyDescent="0.2">
      <c r="A319" s="2" t="s">
        <v>1184</v>
      </c>
      <c r="B319" s="2" t="str">
        <f>LOWER(VLOOKUP(A319,Xtal_Templ!A:B,2,FALSE))</f>
        <v>calcr_human</v>
      </c>
      <c r="C319" s="2" t="str">
        <f>VLOOKUP(A319,Classification!A:D,2,FALSE)</f>
        <v>B2</v>
      </c>
      <c r="D319" s="2" t="str">
        <f>IF(ISERROR(MATCH(A319,'SegEnds_Xtal_Prot#'!B:B, 0)), "NoXtal", "Xtal")</f>
        <v>NoXtal</v>
      </c>
      <c r="G319" s="4"/>
      <c r="I319" s="109" t="s">
        <v>25</v>
      </c>
      <c r="S319" s="4" t="s">
        <v>12</v>
      </c>
      <c r="U319" s="28" t="str">
        <f>MID(VLOOKUP($A319,Seqs!$A:$B,2,FALSE),VLOOKUP($A319,'SegEnds_NonXtal_Prot#'!A:AL,10,FALSE),1)</f>
        <v>L</v>
      </c>
      <c r="V319" s="50" t="str">
        <f>MID(VLOOKUP($A319,Seqs!$A:$B,2,FALSE),VLOOKUP($A319,'SegEnds_NonXtal_Prot#'!A:AL,10,FALSE)+6,1)</f>
        <v>L</v>
      </c>
      <c r="W319" s="50" t="str">
        <f>MID(VLOOKUP($A319,Seqs!$A:$B,2,FALSE),VLOOKUP($A319,'SegEnds_NonXtal_Prot#'!A:AL,10,FALSE)+7,1)</f>
        <v>F</v>
      </c>
      <c r="X319" s="50" t="str">
        <f>MID(VLOOKUP($A319,Seqs!$A:$B,2,FALSE),VLOOKUP($A319,'SegEnds_NonXtal_Prot#'!A:AL,10,FALSE)+8,1)</f>
        <v>L</v>
      </c>
      <c r="Y319" s="50" t="str">
        <f>MID(VLOOKUP($A319,Seqs!$A:$B,2,FALSE),VLOOKUP($A319,'SegEnds_NonXtal_Prot#'!A:AL,10,FALSE)+9,1)</f>
        <v>A</v>
      </c>
      <c r="Z319" s="50" t="str">
        <f>MID(VLOOKUP($A319,Seqs!$A:$B,2,FALSE),VLOOKUP($A319,'SegEnds_NonXtal_Prot#'!A:AL,10,FALSE)+10,1)</f>
        <v>G</v>
      </c>
      <c r="AA319" s="28" t="str">
        <f>MID(VLOOKUP($A319,Seqs!$A:$B,2,FALSE),VLOOKUP($A319,'SegEnds_NonXtal_Prot#'!$A:$AL,22,FALSE)+6,1)</f>
        <v>V</v>
      </c>
      <c r="AB319" s="50" t="str">
        <f>MID(VLOOKUP($A319,Seqs!$A:$B,2,FALSE),VLOOKUP($A319,'SegEnds_NonXtal_Prot#'!$A:$AL,22,FALSE)+7,1)</f>
        <v>V</v>
      </c>
      <c r="AC319" s="50" t="str">
        <f>MID(VLOOKUP($A319,Seqs!$A:$B,2,FALSE),VLOOKUP($A319,'SegEnds_NonXtal_Prot#'!$A:$AL,22,FALSE)+8,1)</f>
        <v>V</v>
      </c>
      <c r="AD319" s="50" t="str">
        <f>MID(VLOOKUP($A319,Seqs!$A:$B,2,FALSE),VLOOKUP($A319,'SegEnds_NonXtal_Prot#'!$A:$AL,22,FALSE)+9,1)</f>
        <v>I</v>
      </c>
      <c r="AE319" s="50" t="str">
        <f>MID(VLOOKUP($A319,Seqs!$A:$B,2,FALSE),VLOOKUP($A319,'SegEnds_NonXtal_Prot#'!$A:$AL,22,FALSE)+10,1)</f>
        <v>S</v>
      </c>
      <c r="AF319" s="28" t="str">
        <f>MID(VLOOKUP($A319,Seqs!$A:$B,2,FALSE),VLOOKUP($A319,'SegEnds_NonXtal_Prot#'!$A:$AL,28,FALSE)-4,1)</f>
        <v>P</v>
      </c>
      <c r="AG319" s="50" t="str">
        <f>MID(VLOOKUP($A319,Seqs!$A:$B,2,FALSE),VLOOKUP($A319,'SegEnds_NonXtal_Prot#'!$A:$AL,28,FALSE),1)</f>
        <v>V</v>
      </c>
    </row>
    <row r="320" spans="1:33" s="2" customFormat="1" x14ac:dyDescent="0.2">
      <c r="A320" s="2" t="s">
        <v>1185</v>
      </c>
      <c r="B320" s="2" t="str">
        <f>LOWER(VLOOKUP(A320,Xtal_Templ!A:B,2,FALSE))</f>
        <v>glp1r_human</v>
      </c>
      <c r="C320" s="2" t="str">
        <f>VLOOKUP(A320,Classification!A:D,2,FALSE)</f>
        <v>B2</v>
      </c>
      <c r="D320" s="2" t="str">
        <f>IF(ISERROR(MATCH(A320,'SegEnds_Xtal_Prot#'!B:B, 0)), "NoXtal", "Xtal")</f>
        <v>NoXtal</v>
      </c>
      <c r="G320" s="4"/>
      <c r="I320" s="109" t="s">
        <v>25</v>
      </c>
      <c r="S320" s="4" t="s">
        <v>12</v>
      </c>
      <c r="U320" s="28" t="str">
        <f>MID(VLOOKUP($A320,Seqs!$A:$B,2,FALSE),VLOOKUP($A320,'SegEnds_NonXtal_Prot#'!A:AL,10,FALSE),1)</f>
        <v>L</v>
      </c>
      <c r="V320" s="50" t="str">
        <f>MID(VLOOKUP($A320,Seqs!$A:$B,2,FALSE),VLOOKUP($A320,'SegEnds_NonXtal_Prot#'!A:AL,10,FALSE)+6,1)</f>
        <v>L</v>
      </c>
      <c r="W320" s="50" t="str">
        <f>MID(VLOOKUP($A320,Seqs!$A:$B,2,FALSE),VLOOKUP($A320,'SegEnds_NonXtal_Prot#'!A:AL,10,FALSE)+7,1)</f>
        <v>F</v>
      </c>
      <c r="X320" s="50" t="str">
        <f>MID(VLOOKUP($A320,Seqs!$A:$B,2,FALSE),VLOOKUP($A320,'SegEnds_NonXtal_Prot#'!A:AL,10,FALSE)+8,1)</f>
        <v>L</v>
      </c>
      <c r="Y320" s="50" t="str">
        <f>MID(VLOOKUP($A320,Seqs!$A:$B,2,FALSE),VLOOKUP($A320,'SegEnds_NonXtal_Prot#'!A:AL,10,FALSE)+9,1)</f>
        <v>V</v>
      </c>
      <c r="Z320" s="50" t="str">
        <f>MID(VLOOKUP($A320,Seqs!$A:$B,2,FALSE),VLOOKUP($A320,'SegEnds_NonXtal_Prot#'!A:AL,10,FALSE)+10,1)</f>
        <v>A</v>
      </c>
      <c r="AA320" s="28" t="str">
        <f>MID(VLOOKUP($A320,Seqs!$A:$B,2,FALSE),VLOOKUP($A320,'SegEnds_NonXtal_Prot#'!$A:$AL,22,FALSE)+6,1)</f>
        <v>T</v>
      </c>
      <c r="AB320" s="50" t="str">
        <f>MID(VLOOKUP($A320,Seqs!$A:$B,2,FALSE),VLOOKUP($A320,'SegEnds_NonXtal_Prot#'!$A:$AL,22,FALSE)+7,1)</f>
        <v>V</v>
      </c>
      <c r="AC320" s="50" t="str">
        <f>MID(VLOOKUP($A320,Seqs!$A:$B,2,FALSE),VLOOKUP($A320,'SegEnds_NonXtal_Prot#'!$A:$AL,22,FALSE)+8,1)</f>
        <v>A</v>
      </c>
      <c r="AD320" s="50" t="str">
        <f>MID(VLOOKUP($A320,Seqs!$A:$B,2,FALSE),VLOOKUP($A320,'SegEnds_NonXtal_Prot#'!$A:$AL,22,FALSE)+9,1)</f>
        <v>I</v>
      </c>
      <c r="AE320" s="50" t="str">
        <f>MID(VLOOKUP($A320,Seqs!$A:$B,2,FALSE),VLOOKUP($A320,'SegEnds_NonXtal_Prot#'!$A:$AL,22,FALSE)+10,1)</f>
        <v>S</v>
      </c>
      <c r="AF320" s="28" t="str">
        <f>MID(VLOOKUP($A320,Seqs!$A:$B,2,FALSE),VLOOKUP($A320,'SegEnds_NonXtal_Prot#'!$A:$AL,28,FALSE)-4,1)</f>
        <v>P</v>
      </c>
      <c r="AG320" s="50" t="str">
        <f>MID(VLOOKUP($A320,Seqs!$A:$B,2,FALSE),VLOOKUP($A320,'SegEnds_NonXtal_Prot#'!$A:$AL,28,FALSE),1)</f>
        <v>I</v>
      </c>
    </row>
    <row r="321" spans="1:33" s="2" customFormat="1" x14ac:dyDescent="0.2">
      <c r="A321" s="2" t="s">
        <v>1186</v>
      </c>
      <c r="B321" s="2" t="str">
        <f>LOWER(VLOOKUP(A321,Xtal_Templ!A:B,2,FALSE))</f>
        <v>crfr1_human</v>
      </c>
      <c r="C321" s="2" t="str">
        <f>VLOOKUP(A321,Classification!A:D,2,FALSE)</f>
        <v>B2</v>
      </c>
      <c r="D321" s="2" t="str">
        <f>IF(ISERROR(MATCH(A321,'SegEnds_Xtal_Prot#'!B:B, 0)), "NoXtal", "Xtal")</f>
        <v>NoXtal</v>
      </c>
      <c r="G321" s="4"/>
      <c r="I321" s="109" t="s">
        <v>25</v>
      </c>
      <c r="S321" s="4" t="s">
        <v>12</v>
      </c>
      <c r="U321" s="28" t="str">
        <f>MID(VLOOKUP($A321,Seqs!$A:$B,2,FALSE),VLOOKUP($A321,'SegEnds_NonXtal_Prot#'!A:AL,10,FALSE),1)</f>
        <v>L</v>
      </c>
      <c r="V321" s="50" t="str">
        <f>MID(VLOOKUP($A321,Seqs!$A:$B,2,FALSE),VLOOKUP($A321,'SegEnds_NonXtal_Prot#'!A:AL,10,FALSE)+6,1)</f>
        <v>L</v>
      </c>
      <c r="W321" s="50" t="str">
        <f>MID(VLOOKUP($A321,Seqs!$A:$B,2,FALSE),VLOOKUP($A321,'SegEnds_NonXtal_Prot#'!A:AL,10,FALSE)+7,1)</f>
        <v>F</v>
      </c>
      <c r="X321" s="50" t="str">
        <f>MID(VLOOKUP($A321,Seqs!$A:$B,2,FALSE),VLOOKUP($A321,'SegEnds_NonXtal_Prot#'!A:AL,10,FALSE)+8,1)</f>
        <v>L</v>
      </c>
      <c r="Y321" s="50" t="str">
        <f>MID(VLOOKUP($A321,Seqs!$A:$B,2,FALSE),VLOOKUP($A321,'SegEnds_NonXtal_Prot#'!A:AL,10,FALSE)+9,1)</f>
        <v>V</v>
      </c>
      <c r="Z321" s="50" t="str">
        <f>MID(VLOOKUP($A321,Seqs!$A:$B,2,FALSE),VLOOKUP($A321,'SegEnds_NonXtal_Prot#'!A:AL,10,FALSE)+10,1)</f>
        <v>G</v>
      </c>
      <c r="AA321" s="28" t="str">
        <f>MID(VLOOKUP($A321,Seqs!$A:$B,2,FALSE),VLOOKUP($A321,'SegEnds_NonXtal_Prot#'!$A:$AL,22,FALSE)+6,1)</f>
        <v>T</v>
      </c>
      <c r="AB321" s="50" t="str">
        <f>MID(VLOOKUP($A321,Seqs!$A:$B,2,FALSE),VLOOKUP($A321,'SegEnds_NonXtal_Prot#'!$A:$AL,22,FALSE)+7,1)</f>
        <v>V</v>
      </c>
      <c r="AC321" s="50" t="str">
        <f>MID(VLOOKUP($A321,Seqs!$A:$B,2,FALSE),VLOOKUP($A321,'SegEnds_NonXtal_Prot#'!$A:$AL,22,FALSE)+8,1)</f>
        <v>A</v>
      </c>
      <c r="AD321" s="50" t="str">
        <f>MID(VLOOKUP($A321,Seqs!$A:$B,2,FALSE),VLOOKUP($A321,'SegEnds_NonXtal_Prot#'!$A:$AL,22,FALSE)+9,1)</f>
        <v>I</v>
      </c>
      <c r="AE321" s="50" t="str">
        <f>MID(VLOOKUP($A321,Seqs!$A:$B,2,FALSE),VLOOKUP($A321,'SegEnds_NonXtal_Prot#'!$A:$AL,22,FALSE)+10,1)</f>
        <v>S</v>
      </c>
      <c r="AF321" s="28" t="str">
        <f>MID(VLOOKUP($A321,Seqs!$A:$B,2,FALSE),VLOOKUP($A321,'SegEnds_NonXtal_Prot#'!$A:$AL,28,FALSE)-4,1)</f>
        <v>P</v>
      </c>
      <c r="AG321" s="50" t="str">
        <f>MID(VLOOKUP($A321,Seqs!$A:$B,2,FALSE),VLOOKUP($A321,'SegEnds_NonXtal_Prot#'!$A:$AL,28,FALSE),1)</f>
        <v>I</v>
      </c>
    </row>
    <row r="322" spans="1:33" s="2" customFormat="1" x14ac:dyDescent="0.2">
      <c r="A322" s="2" t="s">
        <v>1187</v>
      </c>
      <c r="B322" s="2" t="str">
        <f>LOWER(VLOOKUP(A322,Xtal_Templ!A:B,2,FALSE))</f>
        <v>glp1r_human</v>
      </c>
      <c r="C322" s="2" t="str">
        <f>VLOOKUP(A322,Classification!A:D,2,FALSE)</f>
        <v>B2</v>
      </c>
      <c r="D322" s="2" t="str">
        <f>IF(ISERROR(MATCH(A322,'SegEnds_Xtal_Prot#'!B:B, 0)), "NoXtal", "Xtal")</f>
        <v>NoXtal</v>
      </c>
      <c r="G322" s="4"/>
      <c r="I322" s="109" t="s">
        <v>25</v>
      </c>
      <c r="S322" s="4" t="s">
        <v>12</v>
      </c>
      <c r="U322" s="28" t="str">
        <f>MID(VLOOKUP($A322,Seqs!$A:$B,2,FALSE),VLOOKUP($A322,'SegEnds_NonXtal_Prot#'!A:AL,10,FALSE),1)</f>
        <v>L</v>
      </c>
      <c r="V322" s="50" t="str">
        <f>MID(VLOOKUP($A322,Seqs!$A:$B,2,FALSE),VLOOKUP($A322,'SegEnds_NonXtal_Prot#'!A:AL,10,FALSE)+6,1)</f>
        <v>L</v>
      </c>
      <c r="W322" s="50" t="str">
        <f>MID(VLOOKUP($A322,Seqs!$A:$B,2,FALSE),VLOOKUP($A322,'SegEnds_NonXtal_Prot#'!A:AL,10,FALSE)+7,1)</f>
        <v>F</v>
      </c>
      <c r="X322" s="50" t="str">
        <f>MID(VLOOKUP($A322,Seqs!$A:$B,2,FALSE),VLOOKUP($A322,'SegEnds_NonXtal_Prot#'!A:AL,10,FALSE)+8,1)</f>
        <v>L</v>
      </c>
      <c r="Y322" s="50" t="str">
        <f>MID(VLOOKUP($A322,Seqs!$A:$B,2,FALSE),VLOOKUP($A322,'SegEnds_NonXtal_Prot#'!A:AL,10,FALSE)+9,1)</f>
        <v>T</v>
      </c>
      <c r="Z322" s="50" t="str">
        <f>MID(VLOOKUP($A322,Seqs!$A:$B,2,FALSE),VLOOKUP($A322,'SegEnds_NonXtal_Prot#'!A:AL,10,FALSE)+10,1)</f>
        <v>G</v>
      </c>
      <c r="AA322" s="28" t="str">
        <f>MID(VLOOKUP($A322,Seqs!$A:$B,2,FALSE),VLOOKUP($A322,'SegEnds_NonXtal_Prot#'!$A:$AL,22,FALSE)+6,1)</f>
        <v>I</v>
      </c>
      <c r="AB322" s="50" t="str">
        <f>MID(VLOOKUP($A322,Seqs!$A:$B,2,FALSE),VLOOKUP($A322,'SegEnds_NonXtal_Prot#'!$A:$AL,22,FALSE)+7,1)</f>
        <v>I</v>
      </c>
      <c r="AC322" s="50" t="str">
        <f>MID(VLOOKUP($A322,Seqs!$A:$B,2,FALSE),VLOOKUP($A322,'SegEnds_NonXtal_Prot#'!$A:$AL,22,FALSE)+8,1)</f>
        <v>A</v>
      </c>
      <c r="AD322" s="50" t="str">
        <f>MID(VLOOKUP($A322,Seqs!$A:$B,2,FALSE),VLOOKUP($A322,'SegEnds_NonXtal_Prot#'!$A:$AL,22,FALSE)+9,1)</f>
        <v>V</v>
      </c>
      <c r="AE322" s="50" t="str">
        <f>MID(VLOOKUP($A322,Seqs!$A:$B,2,FALSE),VLOOKUP($A322,'SegEnds_NonXtal_Prot#'!$A:$AL,22,FALSE)+10,1)</f>
        <v>S</v>
      </c>
      <c r="AF322" s="28" t="str">
        <f>MID(VLOOKUP($A322,Seqs!$A:$B,2,FALSE),VLOOKUP($A322,'SegEnds_NonXtal_Prot#'!$A:$AL,28,FALSE)-4,1)</f>
        <v>P</v>
      </c>
      <c r="AG322" s="50" t="str">
        <f>MID(VLOOKUP($A322,Seqs!$A:$B,2,FALSE),VLOOKUP($A322,'SegEnds_NonXtal_Prot#'!$A:$AL,28,FALSE),1)</f>
        <v>I</v>
      </c>
    </row>
    <row r="323" spans="1:33" s="2" customFormat="1" x14ac:dyDescent="0.2">
      <c r="A323" s="2" t="s">
        <v>1188</v>
      </c>
      <c r="B323" s="2" t="str">
        <f>LOWER(VLOOKUP(A323,Xtal_Templ!A:B,2,FALSE))</f>
        <v>crfr1_human</v>
      </c>
      <c r="C323" s="2" t="str">
        <f>VLOOKUP(A323,Classification!A:D,2,FALSE)</f>
        <v>B2</v>
      </c>
      <c r="D323" s="2" t="str">
        <f>IF(ISERROR(MATCH(A323,'SegEnds_Xtal_Prot#'!B:B, 0)), "NoXtal", "Xtal")</f>
        <v>NoXtal</v>
      </c>
      <c r="G323" s="4"/>
      <c r="I323" s="109" t="s">
        <v>25</v>
      </c>
      <c r="S323" s="4" t="s">
        <v>12</v>
      </c>
      <c r="U323" s="28" t="str">
        <f>MID(VLOOKUP($A323,Seqs!$A:$B,2,FALSE),VLOOKUP($A323,'SegEnds_NonXtal_Prot#'!A:AL,10,FALSE),1)</f>
        <v>A</v>
      </c>
      <c r="V323" s="50" t="str">
        <f>MID(VLOOKUP($A323,Seqs!$A:$B,2,FALSE),VLOOKUP($A323,'SegEnds_NonXtal_Prot#'!A:AL,10,FALSE)+6,1)</f>
        <v>A</v>
      </c>
      <c r="W323" s="50" t="str">
        <f>MID(VLOOKUP($A323,Seqs!$A:$B,2,FALSE),VLOOKUP($A323,'SegEnds_NonXtal_Prot#'!A:AL,10,FALSE)+7,1)</f>
        <v>D</v>
      </c>
      <c r="X323" s="50" t="str">
        <f>MID(VLOOKUP($A323,Seqs!$A:$B,2,FALSE),VLOOKUP($A323,'SegEnds_NonXtal_Prot#'!A:AL,10,FALSE)+8,1)</f>
        <v>V</v>
      </c>
      <c r="Y323" s="50" t="str">
        <f>MID(VLOOKUP($A323,Seqs!$A:$B,2,FALSE),VLOOKUP($A323,'SegEnds_NonXtal_Prot#'!A:AL,10,FALSE)+9,1)</f>
        <v>W</v>
      </c>
      <c r="Z323" s="50" t="str">
        <f>MID(VLOOKUP($A323,Seqs!$A:$B,2,FALSE),VLOOKUP($A323,'SegEnds_NonXtal_Prot#'!A:AL,10,FALSE)+10,1)</f>
        <v>F</v>
      </c>
      <c r="AA323" s="28" t="str">
        <f>MID(VLOOKUP($A323,Seqs!$A:$B,2,FALSE),VLOOKUP($A323,'SegEnds_NonXtal_Prot#'!$A:$AL,22,FALSE)+6,1)</f>
        <v>I</v>
      </c>
      <c r="AB323" s="50" t="str">
        <f>MID(VLOOKUP($A323,Seqs!$A:$B,2,FALSE),VLOOKUP($A323,'SegEnds_NonXtal_Prot#'!$A:$AL,22,FALSE)+7,1)</f>
        <v>S</v>
      </c>
      <c r="AC323" s="50" t="str">
        <f>MID(VLOOKUP($A323,Seqs!$A:$B,2,FALSE),VLOOKUP($A323,'SegEnds_NonXtal_Prot#'!$A:$AL,22,FALSE)+8,1)</f>
        <v>V</v>
      </c>
      <c r="AD323" s="50" t="str">
        <f>MID(VLOOKUP($A323,Seqs!$A:$B,2,FALSE),VLOOKUP($A323,'SegEnds_NonXtal_Prot#'!$A:$AL,22,FALSE)+9,1)</f>
        <v>I</v>
      </c>
      <c r="AE323" s="50" t="str">
        <f>MID(VLOOKUP($A323,Seqs!$A:$B,2,FALSE),VLOOKUP($A323,'SegEnds_NonXtal_Prot#'!$A:$AL,22,FALSE)+10,1)</f>
        <v>T</v>
      </c>
      <c r="AF323" s="28" t="str">
        <f>MID(VLOOKUP($A323,Seqs!$A:$B,2,FALSE),VLOOKUP($A323,'SegEnds_NonXtal_Prot#'!$A:$AL,28,FALSE)-4,1)</f>
        <v>P</v>
      </c>
      <c r="AG323" s="50" t="str">
        <f>MID(VLOOKUP($A323,Seqs!$A:$B,2,FALSE),VLOOKUP($A323,'SegEnds_NonXtal_Prot#'!$A:$AL,28,FALSE),1)</f>
        <v>I</v>
      </c>
    </row>
    <row r="324" spans="1:33" s="2" customFormat="1" x14ac:dyDescent="0.2">
      <c r="A324" s="2" t="s">
        <v>1189</v>
      </c>
      <c r="B324" s="2" t="str">
        <f>LOWER(VLOOKUP(A324,Xtal_Templ!A:B,2,FALSE))</f>
        <v>calcr_human</v>
      </c>
      <c r="C324" s="2" t="str">
        <f>VLOOKUP(A324,Classification!A:D,2,FALSE)</f>
        <v>B2</v>
      </c>
      <c r="D324" s="2" t="str">
        <f>IF(ISERROR(MATCH(A324,'SegEnds_Xtal_Prot#'!B:B, 0)), "NoXtal", "Xtal")</f>
        <v>NoXtal</v>
      </c>
      <c r="G324" s="4"/>
      <c r="I324" s="109" t="s">
        <v>25</v>
      </c>
      <c r="S324" s="4" t="s">
        <v>12</v>
      </c>
      <c r="U324" s="28" t="str">
        <f>MID(VLOOKUP($A324,Seqs!$A:$B,2,FALSE),VLOOKUP($A324,'SegEnds_NonXtal_Prot#'!A:AL,10,FALSE),1)</f>
        <v>A</v>
      </c>
      <c r="V324" s="50" t="str">
        <f>MID(VLOOKUP($A324,Seqs!$A:$B,2,FALSE),VLOOKUP($A324,'SegEnds_NonXtal_Prot#'!A:AL,10,FALSE)+6,1)</f>
        <v>A</v>
      </c>
      <c r="W324" s="50" t="str">
        <f>MID(VLOOKUP($A324,Seqs!$A:$B,2,FALSE),VLOOKUP($A324,'SegEnds_NonXtal_Prot#'!A:AL,10,FALSE)+7,1)</f>
        <v>D</v>
      </c>
      <c r="X324" s="50" t="str">
        <f>MID(VLOOKUP($A324,Seqs!$A:$B,2,FALSE),VLOOKUP($A324,'SegEnds_NonXtal_Prot#'!A:AL,10,FALSE)+8,1)</f>
        <v>V</v>
      </c>
      <c r="Y324" s="50" t="str">
        <f>MID(VLOOKUP($A324,Seqs!$A:$B,2,FALSE),VLOOKUP($A324,'SegEnds_NonXtal_Prot#'!A:AL,10,FALSE)+9,1)</f>
        <v>W</v>
      </c>
      <c r="Z324" s="50" t="str">
        <f>MID(VLOOKUP($A324,Seqs!$A:$B,2,FALSE),VLOOKUP($A324,'SegEnds_NonXtal_Prot#'!A:AL,10,FALSE)+10,1)</f>
        <v>F</v>
      </c>
      <c r="AA324" s="28" t="str">
        <f>MID(VLOOKUP($A324,Seqs!$A:$B,2,FALSE),VLOOKUP($A324,'SegEnds_NonXtal_Prot#'!$A:$AL,22,FALSE)+6,1)</f>
        <v>I</v>
      </c>
      <c r="AB324" s="50" t="str">
        <f>MID(VLOOKUP($A324,Seqs!$A:$B,2,FALSE),VLOOKUP($A324,'SegEnds_NonXtal_Prot#'!$A:$AL,22,FALSE)+7,1)</f>
        <v>A</v>
      </c>
      <c r="AC324" s="50" t="str">
        <f>MID(VLOOKUP($A324,Seqs!$A:$B,2,FALSE),VLOOKUP($A324,'SegEnds_NonXtal_Prot#'!$A:$AL,22,FALSE)+8,1)</f>
        <v>A</v>
      </c>
      <c r="AD324" s="50" t="str">
        <f>MID(VLOOKUP($A324,Seqs!$A:$B,2,FALSE),VLOOKUP($A324,'SegEnds_NonXtal_Prot#'!$A:$AL,22,FALSE)+9,1)</f>
        <v>I</v>
      </c>
      <c r="AE324" s="50" t="str">
        <f>MID(VLOOKUP($A324,Seqs!$A:$B,2,FALSE),VLOOKUP($A324,'SegEnds_NonXtal_Prot#'!$A:$AL,22,FALSE)+10,1)</f>
        <v>T</v>
      </c>
      <c r="AF324" s="28" t="str">
        <f>MID(VLOOKUP($A324,Seqs!$A:$B,2,FALSE),VLOOKUP($A324,'SegEnds_NonXtal_Prot#'!$A:$AL,28,FALSE)-4,1)</f>
        <v>P</v>
      </c>
      <c r="AG324" s="50" t="str">
        <f>MID(VLOOKUP($A324,Seqs!$A:$B,2,FALSE),VLOOKUP($A324,'SegEnds_NonXtal_Prot#'!$A:$AL,28,FALSE),1)</f>
        <v>I</v>
      </c>
    </row>
    <row r="325" spans="1:33" s="2" customFormat="1" x14ac:dyDescent="0.2">
      <c r="A325" s="2" t="s">
        <v>1190</v>
      </c>
      <c r="B325" s="2" t="str">
        <f>LOWER(VLOOKUP(A325,Xtal_Templ!A:B,2,FALSE))</f>
        <v>crfr1_human</v>
      </c>
      <c r="C325" s="2" t="str">
        <f>VLOOKUP(A325,Classification!A:D,2,FALSE)</f>
        <v>B2</v>
      </c>
      <c r="D325" s="2" t="str">
        <f>IF(ISERROR(MATCH(A325,'SegEnds_Xtal_Prot#'!B:B, 0)), "NoXtal", "Xtal")</f>
        <v>NoXtal</v>
      </c>
      <c r="G325" s="4"/>
      <c r="I325" s="109" t="s">
        <v>25</v>
      </c>
      <c r="S325" s="4" t="s">
        <v>12</v>
      </c>
      <c r="U325" s="28" t="str">
        <f>MID(VLOOKUP($A325,Seqs!$A:$B,2,FALSE),VLOOKUP($A325,'SegEnds_NonXtal_Prot#'!A:AL,10,FALSE),1)</f>
        <v>V</v>
      </c>
      <c r="V325" s="50" t="str">
        <f>MID(VLOOKUP($A325,Seqs!$A:$B,2,FALSE),VLOOKUP($A325,'SegEnds_NonXtal_Prot#'!A:AL,10,FALSE)+6,1)</f>
        <v>A</v>
      </c>
      <c r="W325" s="50" t="str">
        <f>MID(VLOOKUP($A325,Seqs!$A:$B,2,FALSE),VLOOKUP($A325,'SegEnds_NonXtal_Prot#'!A:AL,10,FALSE)+7,1)</f>
        <v>D</v>
      </c>
      <c r="X325" s="50" t="str">
        <f>MID(VLOOKUP($A325,Seqs!$A:$B,2,FALSE),VLOOKUP($A325,'SegEnds_NonXtal_Prot#'!A:AL,10,FALSE)+8,1)</f>
        <v>T</v>
      </c>
      <c r="Y325" s="50" t="str">
        <f>MID(VLOOKUP($A325,Seqs!$A:$B,2,FALSE),VLOOKUP($A325,'SegEnds_NonXtal_Prot#'!A:AL,10,FALSE)+9,1)</f>
        <v>C</v>
      </c>
      <c r="Z325" s="50" t="str">
        <f>MID(VLOOKUP($A325,Seqs!$A:$B,2,FALSE),VLOOKUP($A325,'SegEnds_NonXtal_Prot#'!A:AL,10,FALSE)+10,1)</f>
        <v>F</v>
      </c>
      <c r="AA325" s="28" t="str">
        <f>MID(VLOOKUP($A325,Seqs!$A:$B,2,FALSE),VLOOKUP($A325,'SegEnds_NonXtal_Prot#'!$A:$AL,22,FALSE)+6,1)</f>
        <v>L</v>
      </c>
      <c r="AB325" s="50" t="str">
        <f>MID(VLOOKUP($A325,Seqs!$A:$B,2,FALSE),VLOOKUP($A325,'SegEnds_NonXtal_Prot#'!$A:$AL,22,FALSE)+7,1)</f>
        <v>A</v>
      </c>
      <c r="AC325" s="50" t="str">
        <f>MID(VLOOKUP($A325,Seqs!$A:$B,2,FALSE),VLOOKUP($A325,'SegEnds_NonXtal_Prot#'!$A:$AL,22,FALSE)+8,1)</f>
        <v>G</v>
      </c>
      <c r="AD325" s="50" t="str">
        <f>MID(VLOOKUP($A325,Seqs!$A:$B,2,FALSE),VLOOKUP($A325,'SegEnds_NonXtal_Prot#'!$A:$AL,22,FALSE)+9,1)</f>
        <v>V</v>
      </c>
      <c r="AE325" s="50" t="str">
        <f>MID(VLOOKUP($A325,Seqs!$A:$B,2,FALSE),VLOOKUP($A325,'SegEnds_NonXtal_Prot#'!$A:$AL,22,FALSE)+10,1)</f>
        <v>T</v>
      </c>
      <c r="AF325" s="28" t="str">
        <f>MID(VLOOKUP($A325,Seqs!$A:$B,2,FALSE),VLOOKUP($A325,'SegEnds_NonXtal_Prot#'!$A:$AL,28,FALSE)-4,1)</f>
        <v>P</v>
      </c>
      <c r="AG325" s="50" t="str">
        <f>MID(VLOOKUP($A325,Seqs!$A:$B,2,FALSE),VLOOKUP($A325,'SegEnds_NonXtal_Prot#'!$A:$AL,28,FALSE),1)</f>
        <v>I</v>
      </c>
    </row>
    <row r="326" spans="1:33" s="2" customFormat="1" x14ac:dyDescent="0.2">
      <c r="A326" s="2" t="s">
        <v>1191</v>
      </c>
      <c r="B326" s="2" t="str">
        <f>LOWER(VLOOKUP(A326,Xtal_Templ!A:B,2,FALSE))</f>
        <v>crfr1_human</v>
      </c>
      <c r="C326" s="2" t="str">
        <f>VLOOKUP(A326,Classification!A:D,2,FALSE)</f>
        <v>B2</v>
      </c>
      <c r="D326" s="2" t="str">
        <f>IF(ISERROR(MATCH(A326,'SegEnds_Xtal_Prot#'!B:B, 0)), "NoXtal", "Xtal")</f>
        <v>NoXtal</v>
      </c>
      <c r="G326" s="4"/>
      <c r="I326" s="109" t="s">
        <v>25</v>
      </c>
      <c r="S326" s="4" t="s">
        <v>12</v>
      </c>
      <c r="U326" s="28" t="str">
        <f>MID(VLOOKUP($A326,Seqs!$A:$B,2,FALSE),VLOOKUP($A326,'SegEnds_NonXtal_Prot#'!A:AL,10,FALSE),1)</f>
        <v>A</v>
      </c>
      <c r="V326" s="50" t="str">
        <f>MID(VLOOKUP($A326,Seqs!$A:$B,2,FALSE),VLOOKUP($A326,'SegEnds_NonXtal_Prot#'!A:AL,10,FALSE)+6,1)</f>
        <v>A</v>
      </c>
      <c r="W326" s="50" t="str">
        <f>MID(VLOOKUP($A326,Seqs!$A:$B,2,FALSE),VLOOKUP($A326,'SegEnds_NonXtal_Prot#'!A:AL,10,FALSE)+7,1)</f>
        <v>N</v>
      </c>
      <c r="X326" s="50" t="str">
        <f>MID(VLOOKUP($A326,Seqs!$A:$B,2,FALSE),VLOOKUP($A326,'SegEnds_NonXtal_Prot#'!A:AL,10,FALSE)+8,1)</f>
        <v>V</v>
      </c>
      <c r="Y326" s="50" t="str">
        <f>MID(VLOOKUP($A326,Seqs!$A:$B,2,FALSE),VLOOKUP($A326,'SegEnds_NonXtal_Prot#'!A:AL,10,FALSE)+9,1)</f>
        <v>W</v>
      </c>
      <c r="Z326" s="50" t="str">
        <f>MID(VLOOKUP($A326,Seqs!$A:$B,2,FALSE),VLOOKUP($A326,'SegEnds_NonXtal_Prot#'!A:AL,10,FALSE)+10,1)</f>
        <v>F</v>
      </c>
      <c r="AA326" s="28" t="str">
        <f>MID(VLOOKUP($A326,Seqs!$A:$B,2,FALSE),VLOOKUP($A326,'SegEnds_NonXtal_Prot#'!$A:$AL,22,FALSE)+6,1)</f>
        <v>I</v>
      </c>
      <c r="AB326" s="50" t="str">
        <f>MID(VLOOKUP($A326,Seqs!$A:$B,2,FALSE),VLOOKUP($A326,'SegEnds_NonXtal_Prot#'!$A:$AL,22,FALSE)+7,1)</f>
        <v>A</v>
      </c>
      <c r="AC326" s="50" t="str">
        <f>MID(VLOOKUP($A326,Seqs!$A:$B,2,FALSE),VLOOKUP($A326,'SegEnds_NonXtal_Prot#'!$A:$AL,22,FALSE)+8,1)</f>
        <v>V</v>
      </c>
      <c r="AD326" s="50" t="str">
        <f>MID(VLOOKUP($A326,Seqs!$A:$B,2,FALSE),VLOOKUP($A326,'SegEnds_NonXtal_Prot#'!$A:$AL,22,FALSE)+9,1)</f>
        <v>T</v>
      </c>
      <c r="AE326" s="50" t="str">
        <f>MID(VLOOKUP($A326,Seqs!$A:$B,2,FALSE),VLOOKUP($A326,'SegEnds_NonXtal_Prot#'!$A:$AL,22,FALSE)+10,1)</f>
        <v>T</v>
      </c>
      <c r="AF326" s="28" t="str">
        <f>MID(VLOOKUP($A326,Seqs!$A:$B,2,FALSE),VLOOKUP($A326,'SegEnds_NonXtal_Prot#'!$A:$AL,28,FALSE)-4,1)</f>
        <v>P</v>
      </c>
      <c r="AG326" s="50" t="str">
        <f>MID(VLOOKUP($A326,Seqs!$A:$B,2,FALSE),VLOOKUP($A326,'SegEnds_NonXtal_Prot#'!$A:$AL,28,FALSE),1)</f>
        <v>I</v>
      </c>
    </row>
    <row r="327" spans="1:33" s="2" customFormat="1" x14ac:dyDescent="0.2">
      <c r="A327" s="2" t="s">
        <v>1192</v>
      </c>
      <c r="B327" s="2" t="str">
        <f>LOWER(VLOOKUP(A327,Xtal_Templ!A:B,2,FALSE))</f>
        <v>crfr1_human</v>
      </c>
      <c r="C327" s="2" t="str">
        <f>VLOOKUP(A327,Classification!A:D,2,FALSE)</f>
        <v>B2</v>
      </c>
      <c r="D327" s="2" t="str">
        <f>IF(ISERROR(MATCH(A327,'SegEnds_Xtal_Prot#'!B:B, 0)), "NoXtal", "Xtal")</f>
        <v>NoXtal</v>
      </c>
      <c r="G327" s="4"/>
      <c r="I327" s="109" t="s">
        <v>25</v>
      </c>
      <c r="S327" s="4" t="s">
        <v>12</v>
      </c>
      <c r="U327" s="28" t="str">
        <f>MID(VLOOKUP($A327,Seqs!$A:$B,2,FALSE),VLOOKUP($A327,'SegEnds_NonXtal_Prot#'!A:AL,10,FALSE),1)</f>
        <v>A</v>
      </c>
      <c r="V327" s="50" t="str">
        <f>MID(VLOOKUP($A327,Seqs!$A:$B,2,FALSE),VLOOKUP($A327,'SegEnds_NonXtal_Prot#'!A:AL,10,FALSE)+6,1)</f>
        <v>A</v>
      </c>
      <c r="W327" s="50" t="str">
        <f>MID(VLOOKUP($A327,Seqs!$A:$B,2,FALSE),VLOOKUP($A327,'SegEnds_NonXtal_Prot#'!A:AL,10,FALSE)+7,1)</f>
        <v>N</v>
      </c>
      <c r="X327" s="50" t="str">
        <f>MID(VLOOKUP($A327,Seqs!$A:$B,2,FALSE),VLOOKUP($A327,'SegEnds_NonXtal_Prot#'!A:AL,10,FALSE)+8,1)</f>
        <v>T</v>
      </c>
      <c r="Y327" s="50" t="str">
        <f>MID(VLOOKUP($A327,Seqs!$A:$B,2,FALSE),VLOOKUP($A327,'SegEnds_NonXtal_Prot#'!A:AL,10,FALSE)+9,1)</f>
        <v>W</v>
      </c>
      <c r="Z327" s="50" t="str">
        <f>MID(VLOOKUP($A327,Seqs!$A:$B,2,FALSE),VLOOKUP($A327,'SegEnds_NonXtal_Prot#'!A:AL,10,FALSE)+10,1)</f>
        <v>F</v>
      </c>
      <c r="AA327" s="28" t="str">
        <f>MID(VLOOKUP($A327,Seqs!$A:$B,2,FALSE),VLOOKUP($A327,'SegEnds_NonXtal_Prot#'!$A:$AL,22,FALSE)+6,1)</f>
        <v>I</v>
      </c>
      <c r="AB327" s="50" t="str">
        <f>MID(VLOOKUP($A327,Seqs!$A:$B,2,FALSE),VLOOKUP($A327,'SegEnds_NonXtal_Prot#'!$A:$AL,22,FALSE)+7,1)</f>
        <v>S</v>
      </c>
      <c r="AC327" s="50" t="str">
        <f>MID(VLOOKUP($A327,Seqs!$A:$B,2,FALSE),VLOOKUP($A327,'SegEnds_NonXtal_Prot#'!$A:$AL,22,FALSE)+8,1)</f>
        <v>V</v>
      </c>
      <c r="AD327" s="50" t="str">
        <f>MID(VLOOKUP($A327,Seqs!$A:$B,2,FALSE),VLOOKUP($A327,'SegEnds_NonXtal_Prot#'!$A:$AL,22,FALSE)+9,1)</f>
        <v>I</v>
      </c>
      <c r="AE327" s="50" t="str">
        <f>MID(VLOOKUP($A327,Seqs!$A:$B,2,FALSE),VLOOKUP($A327,'SegEnds_NonXtal_Prot#'!$A:$AL,22,FALSE)+10,1)</f>
        <v>T</v>
      </c>
      <c r="AF327" s="28" t="str">
        <f>MID(VLOOKUP($A327,Seqs!$A:$B,2,FALSE),VLOOKUP($A327,'SegEnds_NonXtal_Prot#'!$A:$AL,28,FALSE)-4,1)</f>
        <v>P</v>
      </c>
      <c r="AG327" s="50" t="str">
        <f>MID(VLOOKUP($A327,Seqs!$A:$B,2,FALSE),VLOOKUP($A327,'SegEnds_NonXtal_Prot#'!$A:$AL,28,FALSE),1)</f>
        <v>I</v>
      </c>
    </row>
    <row r="328" spans="1:33" s="2" customFormat="1" x14ac:dyDescent="0.2">
      <c r="A328" s="2" t="s">
        <v>1193</v>
      </c>
      <c r="B328" s="2" t="str">
        <f>LOWER(VLOOKUP(A328,Xtal_Templ!A:B,2,FALSE))</f>
        <v>crfr1_human</v>
      </c>
      <c r="C328" s="2" t="str">
        <f>VLOOKUP(A328,Classification!A:D,2,FALSE)</f>
        <v>B2</v>
      </c>
      <c r="D328" s="2" t="str">
        <f>IF(ISERROR(MATCH(A328,'SegEnds_Xtal_Prot#'!B:B, 0)), "NoXtal", "Xtal")</f>
        <v>NoXtal</v>
      </c>
      <c r="G328" s="4"/>
      <c r="I328" s="109" t="s">
        <v>25</v>
      </c>
      <c r="S328" s="4" t="s">
        <v>12</v>
      </c>
      <c r="U328" s="28" t="str">
        <f>MID(VLOOKUP($A328,Seqs!$A:$B,2,FALSE),VLOOKUP($A328,'SegEnds_NonXtal_Prot#'!A:AL,10,FALSE),1)</f>
        <v>V</v>
      </c>
      <c r="V328" s="50" t="str">
        <f>MID(VLOOKUP($A328,Seqs!$A:$B,2,FALSE),VLOOKUP($A328,'SegEnds_NonXtal_Prot#'!A:AL,10,FALSE)+6,1)</f>
        <v>S</v>
      </c>
      <c r="W328" s="50" t="str">
        <f>MID(VLOOKUP($A328,Seqs!$A:$B,2,FALSE),VLOOKUP($A328,'SegEnds_NonXtal_Prot#'!A:AL,10,FALSE)+7,1)</f>
        <v>F</v>
      </c>
      <c r="X328" s="50" t="str">
        <f>MID(VLOOKUP($A328,Seqs!$A:$B,2,FALSE),VLOOKUP($A328,'SegEnds_NonXtal_Prot#'!A:AL,10,FALSE)+8,1)</f>
        <v>L</v>
      </c>
      <c r="Y328" s="50" t="str">
        <f>MID(VLOOKUP($A328,Seqs!$A:$B,2,FALSE),VLOOKUP($A328,'SegEnds_NonXtal_Prot#'!A:AL,10,FALSE)+9,1)</f>
        <v>L</v>
      </c>
      <c r="Z328" s="50" t="str">
        <f>MID(VLOOKUP($A328,Seqs!$A:$B,2,FALSE),VLOOKUP($A328,'SegEnds_NonXtal_Prot#'!A:AL,10,FALSE)+10,1)</f>
        <v>S</v>
      </c>
      <c r="AA328" s="28" t="str">
        <f>MID(VLOOKUP($A328,Seqs!$A:$B,2,FALSE),VLOOKUP($A328,'SegEnds_NonXtal_Prot#'!$A:$AL,22,FALSE)+6,1)</f>
        <v>L</v>
      </c>
      <c r="AB328" s="50" t="str">
        <f>MID(VLOOKUP($A328,Seqs!$A:$B,2,FALSE),VLOOKUP($A328,'SegEnds_NonXtal_Prot#'!$A:$AL,22,FALSE)+7,1)</f>
        <v>V</v>
      </c>
      <c r="AC328" s="50" t="str">
        <f>MID(VLOOKUP($A328,Seqs!$A:$B,2,FALSE),VLOOKUP($A328,'SegEnds_NonXtal_Prot#'!$A:$AL,22,FALSE)+8,1)</f>
        <v>T</v>
      </c>
      <c r="AD328" s="50" t="str">
        <f>MID(VLOOKUP($A328,Seqs!$A:$B,2,FALSE),VLOOKUP($A328,'SegEnds_NonXtal_Prot#'!$A:$AL,22,FALSE)+9,1)</f>
        <v>L</v>
      </c>
      <c r="AE328" s="50" t="str">
        <f>MID(VLOOKUP($A328,Seqs!$A:$B,2,FALSE),VLOOKUP($A328,'SegEnds_NonXtal_Prot#'!$A:$AL,22,FALSE)+10,1)</f>
        <v>V</v>
      </c>
      <c r="AF328" s="28" t="str">
        <f>MID(VLOOKUP($A328,Seqs!$A:$B,2,FALSE),VLOOKUP($A328,'SegEnds_NonXtal_Prot#'!$A:$AL,28,FALSE)-4,1)</f>
        <v>L</v>
      </c>
      <c r="AG328" s="50" t="str">
        <f>MID(VLOOKUP($A328,Seqs!$A:$B,2,FALSE),VLOOKUP($A328,'SegEnds_NonXtal_Prot#'!$A:$AL,28,FALSE),1)</f>
        <v>V</v>
      </c>
    </row>
    <row r="329" spans="1:33" s="2" customFormat="1" x14ac:dyDescent="0.2">
      <c r="A329" s="2" t="s">
        <v>1194</v>
      </c>
      <c r="B329" s="2" t="str">
        <f>LOWER(VLOOKUP(A329,Xtal_Templ!A:B,2,FALSE))</f>
        <v>crfr1_human</v>
      </c>
      <c r="C329" s="2" t="str">
        <f>VLOOKUP(A329,Classification!A:D,2,FALSE)</f>
        <v>B2</v>
      </c>
      <c r="D329" s="2" t="str">
        <f>IF(ISERROR(MATCH(A329,'SegEnds_Xtal_Prot#'!B:B, 0)), "NoXtal", "Xtal")</f>
        <v>NoXtal</v>
      </c>
      <c r="G329" s="4"/>
      <c r="I329" s="109" t="s">
        <v>25</v>
      </c>
      <c r="S329" s="4" t="s">
        <v>12</v>
      </c>
      <c r="U329" s="28" t="str">
        <f>MID(VLOOKUP($A329,Seqs!$A:$B,2,FALSE),VLOOKUP($A329,'SegEnds_NonXtal_Prot#'!A:AL,10,FALSE),1)</f>
        <v>L</v>
      </c>
      <c r="V329" s="50" t="str">
        <f>MID(VLOOKUP($A329,Seqs!$A:$B,2,FALSE),VLOOKUP($A329,'SegEnds_NonXtal_Prot#'!A:AL,10,FALSE)+6,1)</f>
        <v>V</v>
      </c>
      <c r="W329" s="50" t="str">
        <f>MID(VLOOKUP($A329,Seqs!$A:$B,2,FALSE),VLOOKUP($A329,'SegEnds_NonXtal_Prot#'!A:AL,10,FALSE)+7,1)</f>
        <v>F</v>
      </c>
      <c r="X329" s="50" t="str">
        <f>MID(VLOOKUP($A329,Seqs!$A:$B,2,FALSE),VLOOKUP($A329,'SegEnds_NonXtal_Prot#'!A:AL,10,FALSE)+8,1)</f>
        <v>L</v>
      </c>
      <c r="Y329" s="50" t="str">
        <f>MID(VLOOKUP($A329,Seqs!$A:$B,2,FALSE),VLOOKUP($A329,'SegEnds_NonXtal_Prot#'!A:AL,10,FALSE)+9,1)</f>
        <v>L</v>
      </c>
      <c r="Z329" s="50" t="str">
        <f>MID(VLOOKUP($A329,Seqs!$A:$B,2,FALSE),VLOOKUP($A329,'SegEnds_NonXtal_Prot#'!A:AL,10,FALSE)+10,1)</f>
        <v>D</v>
      </c>
      <c r="AA329" s="28" t="str">
        <f>MID(VLOOKUP($A329,Seqs!$A:$B,2,FALSE),VLOOKUP($A329,'SegEnds_NonXtal_Prot#'!$A:$AL,22,FALSE)+6,1)</f>
        <v>V</v>
      </c>
      <c r="AB329" s="50" t="str">
        <f>MID(VLOOKUP($A329,Seqs!$A:$B,2,FALSE),VLOOKUP($A329,'SegEnds_NonXtal_Prot#'!$A:$AL,22,FALSE)+7,1)</f>
        <v>V</v>
      </c>
      <c r="AC329" s="50" t="str">
        <f>MID(VLOOKUP($A329,Seqs!$A:$B,2,FALSE),VLOOKUP($A329,'SegEnds_NonXtal_Prot#'!$A:$AL,22,FALSE)+8,1)</f>
        <v>T</v>
      </c>
      <c r="AD329" s="50" t="str">
        <f>MID(VLOOKUP($A329,Seqs!$A:$B,2,FALSE),VLOOKUP($A329,'SegEnds_NonXtal_Prot#'!$A:$AL,22,FALSE)+9,1)</f>
        <v>I</v>
      </c>
      <c r="AE329" s="50" t="str">
        <f>MID(VLOOKUP($A329,Seqs!$A:$B,2,FALSE),VLOOKUP($A329,'SegEnds_NonXtal_Prot#'!$A:$AL,22,FALSE)+10,1)</f>
        <v>I</v>
      </c>
      <c r="AF329" s="28" t="str">
        <f>MID(VLOOKUP($A329,Seqs!$A:$B,2,FALSE),VLOOKUP($A329,'SegEnds_NonXtal_Prot#'!$A:$AL,28,FALSE)-4,1)</f>
        <v>Y</v>
      </c>
      <c r="AG329" s="50" t="str">
        <f>MID(VLOOKUP($A329,Seqs!$A:$B,2,FALSE),VLOOKUP($A329,'SegEnds_NonXtal_Prot#'!$A:$AL,28,FALSE),1)</f>
        <v>I</v>
      </c>
    </row>
    <row r="330" spans="1:33" s="2" customFormat="1" x14ac:dyDescent="0.2">
      <c r="A330" s="2" t="s">
        <v>1195</v>
      </c>
      <c r="B330" s="2" t="str">
        <f>LOWER(VLOOKUP(A330,Xtal_Templ!A:B,2,FALSE))</f>
        <v>crfr1_human</v>
      </c>
      <c r="C330" s="2" t="str">
        <f>VLOOKUP(A330,Classification!A:D,2,FALSE)</f>
        <v>B2</v>
      </c>
      <c r="D330" s="2" t="str">
        <f>IF(ISERROR(MATCH(A330,'SegEnds_Xtal_Prot#'!B:B, 0)), "NoXtal", "Xtal")</f>
        <v>NoXtal</v>
      </c>
      <c r="G330" s="4"/>
      <c r="I330" s="109" t="s">
        <v>25</v>
      </c>
      <c r="S330" s="4" t="s">
        <v>12</v>
      </c>
      <c r="U330" s="28" t="str">
        <f>MID(VLOOKUP($A330,Seqs!$A:$B,2,FALSE),VLOOKUP($A330,'SegEnds_NonXtal_Prot#'!A:AL,10,FALSE),1)</f>
        <v>L</v>
      </c>
      <c r="V330" s="50" t="str">
        <f>MID(VLOOKUP($A330,Seqs!$A:$B,2,FALSE),VLOOKUP($A330,'SegEnds_NonXtal_Prot#'!A:AL,10,FALSE)+6,1)</f>
        <v>A</v>
      </c>
      <c r="W330" s="50" t="str">
        <f>MID(VLOOKUP($A330,Seqs!$A:$B,2,FALSE),VLOOKUP($A330,'SegEnds_NonXtal_Prot#'!A:AL,10,FALSE)+7,1)</f>
        <v>F</v>
      </c>
      <c r="X330" s="50" t="str">
        <f>MID(VLOOKUP($A330,Seqs!$A:$B,2,FALSE),VLOOKUP($A330,'SegEnds_NonXtal_Prot#'!A:AL,10,FALSE)+8,1)</f>
        <v>L</v>
      </c>
      <c r="Y330" s="50" t="str">
        <f>MID(VLOOKUP($A330,Seqs!$A:$B,2,FALSE),VLOOKUP($A330,'SegEnds_NonXtal_Prot#'!A:AL,10,FALSE)+9,1)</f>
        <v>V</v>
      </c>
      <c r="Z330" s="50" t="str">
        <f>MID(VLOOKUP($A330,Seqs!$A:$B,2,FALSE),VLOOKUP($A330,'SegEnds_NonXtal_Prot#'!A:AL,10,FALSE)+10,1)</f>
        <v>N</v>
      </c>
      <c r="AA330" s="28" t="str">
        <f>MID(VLOOKUP($A330,Seqs!$A:$B,2,FALSE),VLOOKUP($A330,'SegEnds_NonXtal_Prot#'!$A:$AL,22,FALSE)+6,1)</f>
        <v>M</v>
      </c>
      <c r="AB330" s="50" t="str">
        <f>MID(VLOOKUP($A330,Seqs!$A:$B,2,FALSE),VLOOKUP($A330,'SegEnds_NonXtal_Prot#'!$A:$AL,22,FALSE)+7,1)</f>
        <v>V</v>
      </c>
      <c r="AC330" s="50" t="str">
        <f>MID(VLOOKUP($A330,Seqs!$A:$B,2,FALSE),VLOOKUP($A330,'SegEnds_NonXtal_Prot#'!$A:$AL,22,FALSE)+8,1)</f>
        <v>I</v>
      </c>
      <c r="AD330" s="50" t="str">
        <f>MID(VLOOKUP($A330,Seqs!$A:$B,2,FALSE),VLOOKUP($A330,'SegEnds_NonXtal_Prot#'!$A:$AL,22,FALSE)+9,1)</f>
        <v>G</v>
      </c>
      <c r="AE330" s="50" t="str">
        <f>MID(VLOOKUP($A330,Seqs!$A:$B,2,FALSE),VLOOKUP($A330,'SegEnds_NonXtal_Prot#'!$A:$AL,22,FALSE)+10,1)</f>
        <v>T</v>
      </c>
      <c r="AF330" s="28" t="str">
        <f>MID(VLOOKUP($A330,Seqs!$A:$B,2,FALSE),VLOOKUP($A330,'SegEnds_NonXtal_Prot#'!$A:$AL,28,FALSE)-4,1)</f>
        <v>T</v>
      </c>
      <c r="AG330" s="50" t="str">
        <f>MID(VLOOKUP($A330,Seqs!$A:$B,2,FALSE),VLOOKUP($A330,'SegEnds_NonXtal_Prot#'!$A:$AL,28,FALSE),1)</f>
        <v>Y</v>
      </c>
    </row>
    <row r="331" spans="1:33" s="2" customFormat="1" x14ac:dyDescent="0.2">
      <c r="A331" s="2" t="s">
        <v>1196</v>
      </c>
      <c r="B331" s="2" t="str">
        <f>LOWER(VLOOKUP(A331,Xtal_Templ!A:B,2,FALSE))</f>
        <v>crfr1_human</v>
      </c>
      <c r="C331" s="2" t="str">
        <f>VLOOKUP(A331,Classification!A:D,2,FALSE)</f>
        <v>B2</v>
      </c>
      <c r="D331" s="2" t="str">
        <f>IF(ISERROR(MATCH(A331,'SegEnds_Xtal_Prot#'!B:B, 0)), "NoXtal", "Xtal")</f>
        <v>NoXtal</v>
      </c>
      <c r="G331" s="4"/>
      <c r="I331" s="109" t="s">
        <v>25</v>
      </c>
      <c r="S331" s="4" t="s">
        <v>12</v>
      </c>
      <c r="U331" s="28" t="str">
        <f>MID(VLOOKUP($A331,Seqs!$A:$B,2,FALSE),VLOOKUP($A331,'SegEnds_NonXtal_Prot#'!A:AL,10,FALSE),1)</f>
        <v>L</v>
      </c>
      <c r="V331" s="50" t="str">
        <f>MID(VLOOKUP($A331,Seqs!$A:$B,2,FALSE),VLOOKUP($A331,'SegEnds_NonXtal_Prot#'!A:AL,10,FALSE)+6,1)</f>
        <v>V</v>
      </c>
      <c r="W331" s="50" t="str">
        <f>MID(VLOOKUP($A331,Seqs!$A:$B,2,FALSE),VLOOKUP($A331,'SegEnds_NonXtal_Prot#'!A:AL,10,FALSE)+7,1)</f>
        <v>F</v>
      </c>
      <c r="X331" s="50" t="str">
        <f>MID(VLOOKUP($A331,Seqs!$A:$B,2,FALSE),VLOOKUP($A331,'SegEnds_NonXtal_Prot#'!A:AL,10,FALSE)+8,1)</f>
        <v>L</v>
      </c>
      <c r="Y331" s="50" t="str">
        <f>MID(VLOOKUP($A331,Seqs!$A:$B,2,FALSE),VLOOKUP($A331,'SegEnds_NonXtal_Prot#'!A:AL,10,FALSE)+9,1)</f>
        <v>I</v>
      </c>
      <c r="Z331" s="50" t="str">
        <f>MID(VLOOKUP($A331,Seqs!$A:$B,2,FALSE),VLOOKUP($A331,'SegEnds_NonXtal_Prot#'!A:AL,10,FALSE)+10,1)</f>
        <v>N</v>
      </c>
      <c r="AA331" s="28" t="str">
        <f>MID(VLOOKUP($A331,Seqs!$A:$B,2,FALSE),VLOOKUP($A331,'SegEnds_NonXtal_Prot#'!$A:$AL,22,FALSE)+6,1)</f>
        <v>M</v>
      </c>
      <c r="AB331" s="50" t="str">
        <f>MID(VLOOKUP($A331,Seqs!$A:$B,2,FALSE),VLOOKUP($A331,'SegEnds_NonXtal_Prot#'!$A:$AL,22,FALSE)+7,1)</f>
        <v>V</v>
      </c>
      <c r="AC331" s="50" t="str">
        <f>MID(VLOOKUP($A331,Seqs!$A:$B,2,FALSE),VLOOKUP($A331,'SegEnds_NonXtal_Prot#'!$A:$AL,22,FALSE)+8,1)</f>
        <v>A</v>
      </c>
      <c r="AD331" s="50" t="str">
        <f>MID(VLOOKUP($A331,Seqs!$A:$B,2,FALSE),VLOOKUP($A331,'SegEnds_NonXtal_Prot#'!$A:$AL,22,FALSE)+9,1)</f>
        <v>I</v>
      </c>
      <c r="AE331" s="50" t="str">
        <f>MID(VLOOKUP($A331,Seqs!$A:$B,2,FALSE),VLOOKUP($A331,'SegEnds_NonXtal_Prot#'!$A:$AL,22,FALSE)+10,1)</f>
        <v>T</v>
      </c>
      <c r="AF331" s="28" t="str">
        <f>MID(VLOOKUP($A331,Seqs!$A:$B,2,FALSE),VLOOKUP($A331,'SegEnds_NonXtal_Prot#'!$A:$AL,28,FALSE)-4,1)</f>
        <v>Y</v>
      </c>
      <c r="AG331" s="50" t="str">
        <f>MID(VLOOKUP($A331,Seqs!$A:$B,2,FALSE),VLOOKUP($A331,'SegEnds_NonXtal_Prot#'!$A:$AL,28,FALSE),1)</f>
        <v>I</v>
      </c>
    </row>
    <row r="332" spans="1:33" s="2" customFormat="1" x14ac:dyDescent="0.2">
      <c r="A332" s="2" t="s">
        <v>1197</v>
      </c>
      <c r="B332" s="2" t="str">
        <f>LOWER(VLOOKUP(A332,Xtal_Templ!A:B,2,FALSE))</f>
        <v>glr_human</v>
      </c>
      <c r="C332" s="2" t="str">
        <f>VLOOKUP(A332,Classification!A:D,2,FALSE)</f>
        <v>B2</v>
      </c>
      <c r="D332" s="2" t="str">
        <f>IF(ISERROR(MATCH(A332,'SegEnds_Xtal_Prot#'!B:B, 0)), "NoXtal", "Xtal")</f>
        <v>NoXtal</v>
      </c>
      <c r="G332" s="4"/>
      <c r="I332" s="109" t="s">
        <v>25</v>
      </c>
      <c r="S332" s="4" t="s">
        <v>12</v>
      </c>
      <c r="U332" s="28" t="str">
        <f>MID(VLOOKUP($A332,Seqs!$A:$B,2,FALSE),VLOOKUP($A332,'SegEnds_NonXtal_Prot#'!A:AL,10,FALSE),1)</f>
        <v>V</v>
      </c>
      <c r="V332" s="50" t="str">
        <f>MID(VLOOKUP($A332,Seqs!$A:$B,2,FALSE),VLOOKUP($A332,'SegEnds_NonXtal_Prot#'!A:AL,10,FALSE)+6,1)</f>
        <v>A</v>
      </c>
      <c r="W332" s="50" t="str">
        <f>MID(VLOOKUP($A332,Seqs!$A:$B,2,FALSE),VLOOKUP($A332,'SegEnds_NonXtal_Prot#'!A:AL,10,FALSE)+7,1)</f>
        <v>F</v>
      </c>
      <c r="X332" s="50" t="str">
        <f>MID(VLOOKUP($A332,Seqs!$A:$B,2,FALSE),VLOOKUP($A332,'SegEnds_NonXtal_Prot#'!A:AL,10,FALSE)+8,1)</f>
        <v>L</v>
      </c>
      <c r="Y332" s="50" t="str">
        <f>MID(VLOOKUP($A332,Seqs!$A:$B,2,FALSE),VLOOKUP($A332,'SegEnds_NonXtal_Prot#'!A:AL,10,FALSE)+9,1)</f>
        <v>L</v>
      </c>
      <c r="Z332" s="50" t="str">
        <f>MID(VLOOKUP($A332,Seqs!$A:$B,2,FALSE),VLOOKUP($A332,'SegEnds_NonXtal_Prot#'!A:AL,10,FALSE)+10,1)</f>
        <v>S</v>
      </c>
      <c r="AA332" s="28" t="str">
        <f>MID(VLOOKUP($A332,Seqs!$A:$B,2,FALSE),VLOOKUP($A332,'SegEnds_NonXtal_Prot#'!$A:$AL,22,FALSE)+6,1)</f>
        <v>L</v>
      </c>
      <c r="AB332" s="50" t="str">
        <f>MID(VLOOKUP($A332,Seqs!$A:$B,2,FALSE),VLOOKUP($A332,'SegEnds_NonXtal_Prot#'!$A:$AL,22,FALSE)+7,1)</f>
        <v>V</v>
      </c>
      <c r="AC332" s="50" t="str">
        <f>MID(VLOOKUP($A332,Seqs!$A:$B,2,FALSE),VLOOKUP($A332,'SegEnds_NonXtal_Prot#'!$A:$AL,22,FALSE)+8,1)</f>
        <v>L</v>
      </c>
      <c r="AD332" s="50" t="str">
        <f>MID(VLOOKUP($A332,Seqs!$A:$B,2,FALSE),VLOOKUP($A332,'SegEnds_NonXtal_Prot#'!$A:$AL,22,FALSE)+9,1)</f>
        <v>L</v>
      </c>
      <c r="AE332" s="50" t="str">
        <f>MID(VLOOKUP($A332,Seqs!$A:$B,2,FALSE),VLOOKUP($A332,'SegEnds_NonXtal_Prot#'!$A:$AL,22,FALSE)+10,1)</f>
        <v>S</v>
      </c>
      <c r="AF332" s="28" t="str">
        <f>MID(VLOOKUP($A332,Seqs!$A:$B,2,FALSE),VLOOKUP($A332,'SegEnds_NonXtal_Prot#'!$A:$AL,28,FALSE)-4,1)</f>
        <v>Y</v>
      </c>
      <c r="AG332" s="50" t="str">
        <f>MID(VLOOKUP($A332,Seqs!$A:$B,2,FALSE),VLOOKUP($A332,'SegEnds_NonXtal_Prot#'!$A:$AL,28,FALSE),1)</f>
        <v>T</v>
      </c>
    </row>
    <row r="333" spans="1:33" s="2" customFormat="1" x14ac:dyDescent="0.2">
      <c r="A333" s="2" t="s">
        <v>1198</v>
      </c>
      <c r="B333" s="2" t="str">
        <f>LOWER(VLOOKUP(A333,Xtal_Templ!A:B,2,FALSE))</f>
        <v>glp1r_human</v>
      </c>
      <c r="C333" s="2" t="str">
        <f>VLOOKUP(A333,Classification!A:D,2,FALSE)</f>
        <v>B2</v>
      </c>
      <c r="D333" s="2" t="str">
        <f>IF(ISERROR(MATCH(A333,'SegEnds_Xtal_Prot#'!B:B, 0)), "NoXtal", "Xtal")</f>
        <v>NoXtal</v>
      </c>
      <c r="G333" s="4"/>
      <c r="I333" s="109" t="s">
        <v>25</v>
      </c>
      <c r="S333" s="4" t="s">
        <v>12</v>
      </c>
      <c r="U333" s="28" t="str">
        <f>MID(VLOOKUP($A333,Seqs!$A:$B,2,FALSE),VLOOKUP($A333,'SegEnds_NonXtal_Prot#'!A:AL,10,FALSE),1)</f>
        <v>M</v>
      </c>
      <c r="V333" s="50" t="str">
        <f>MID(VLOOKUP($A333,Seqs!$A:$B,2,FALSE),VLOOKUP($A333,'SegEnds_NonXtal_Prot#'!A:AL,10,FALSE)+6,1)</f>
        <v>L</v>
      </c>
      <c r="W333" s="50" t="str">
        <f>MID(VLOOKUP($A333,Seqs!$A:$B,2,FALSE),VLOOKUP($A333,'SegEnds_NonXtal_Prot#'!A:AL,10,FALSE)+7,1)</f>
        <v>F</v>
      </c>
      <c r="X333" s="50" t="str">
        <f>MID(VLOOKUP($A333,Seqs!$A:$B,2,FALSE),VLOOKUP($A333,'SegEnds_NonXtal_Prot#'!A:AL,10,FALSE)+8,1)</f>
        <v>V</v>
      </c>
      <c r="Y333" s="50" t="str">
        <f>MID(VLOOKUP($A333,Seqs!$A:$B,2,FALSE),VLOOKUP($A333,'SegEnds_NonXtal_Prot#'!A:AL,10,FALSE)+9,1)</f>
        <v>F</v>
      </c>
      <c r="Z333" s="50" t="str">
        <f>MID(VLOOKUP($A333,Seqs!$A:$B,2,FALSE),VLOOKUP($A333,'SegEnds_NonXtal_Prot#'!A:AL,10,FALSE)+10,1)</f>
        <v>G</v>
      </c>
      <c r="AA333" s="28" t="str">
        <f>MID(VLOOKUP($A333,Seqs!$A:$B,2,FALSE),VLOOKUP($A333,'SegEnds_NonXtal_Prot#'!$A:$AL,22,FALSE)+6,1)</f>
        <v>V</v>
      </c>
      <c r="AB333" s="50" t="str">
        <f>MID(VLOOKUP($A333,Seqs!$A:$B,2,FALSE),VLOOKUP($A333,'SegEnds_NonXtal_Prot#'!$A:$AL,22,FALSE)+7,1)</f>
        <v>V</v>
      </c>
      <c r="AC333" s="50" t="str">
        <f>MID(VLOOKUP($A333,Seqs!$A:$B,2,FALSE),VLOOKUP($A333,'SegEnds_NonXtal_Prot#'!$A:$AL,22,FALSE)+8,1)</f>
        <v>A</v>
      </c>
      <c r="AD333" s="50" t="str">
        <f>MID(VLOOKUP($A333,Seqs!$A:$B,2,FALSE),VLOOKUP($A333,'SegEnds_NonXtal_Prot#'!$A:$AL,22,FALSE)+9,1)</f>
        <v>I</v>
      </c>
      <c r="AE333" s="50" t="str">
        <f>MID(VLOOKUP($A333,Seqs!$A:$B,2,FALSE),VLOOKUP($A333,'SegEnds_NonXtal_Prot#'!$A:$AL,22,FALSE)+10,1)</f>
        <v>T</v>
      </c>
      <c r="AF333" s="28" t="str">
        <f>MID(VLOOKUP($A333,Seqs!$A:$B,2,FALSE),VLOOKUP($A333,'SegEnds_NonXtal_Prot#'!$A:$AL,28,FALSE)-4,1)</f>
        <v>P</v>
      </c>
      <c r="AG333" s="50" t="str">
        <f>MID(VLOOKUP($A333,Seqs!$A:$B,2,FALSE),VLOOKUP($A333,'SegEnds_NonXtal_Prot#'!$A:$AL,28,FALSE),1)</f>
        <v>I</v>
      </c>
    </row>
    <row r="334" spans="1:33" s="2" customFormat="1" x14ac:dyDescent="0.2">
      <c r="A334" s="2" t="s">
        <v>1199</v>
      </c>
      <c r="B334" s="2" t="str">
        <f>LOWER(VLOOKUP(A334,Xtal_Templ!A:B,2,FALSE))</f>
        <v>calcr_human</v>
      </c>
      <c r="C334" s="2" t="str">
        <f>VLOOKUP(A334,Classification!A:D,2,FALSE)</f>
        <v>B2</v>
      </c>
      <c r="D334" s="2" t="str">
        <f>IF(ISERROR(MATCH(A334,'SegEnds_Xtal_Prot#'!B:B, 0)), "NoXtal", "Xtal")</f>
        <v>NoXtal</v>
      </c>
      <c r="G334" s="4"/>
      <c r="I334" s="109" t="s">
        <v>25</v>
      </c>
      <c r="S334" s="4" t="s">
        <v>12</v>
      </c>
      <c r="U334" s="28" t="str">
        <f>MID(VLOOKUP($A334,Seqs!$A:$B,2,FALSE),VLOOKUP($A334,'SegEnds_NonXtal_Prot#'!A:AL,10,FALSE),1)</f>
        <v>L</v>
      </c>
      <c r="V334" s="50" t="str">
        <f>MID(VLOOKUP($A334,Seqs!$A:$B,2,FALSE),VLOOKUP($A334,'SegEnds_NonXtal_Prot#'!A:AL,10,FALSE)+6,1)</f>
        <v>L</v>
      </c>
      <c r="W334" s="50" t="str">
        <f>MID(VLOOKUP($A334,Seqs!$A:$B,2,FALSE),VLOOKUP($A334,'SegEnds_NonXtal_Prot#'!A:AL,10,FALSE)+7,1)</f>
        <v>F</v>
      </c>
      <c r="X334" s="50" t="str">
        <f>MID(VLOOKUP($A334,Seqs!$A:$B,2,FALSE),VLOOKUP($A334,'SegEnds_NonXtal_Prot#'!A:AL,10,FALSE)+8,1)</f>
        <v>L</v>
      </c>
      <c r="Y334" s="50" t="str">
        <f>MID(VLOOKUP($A334,Seqs!$A:$B,2,FALSE),VLOOKUP($A334,'SegEnds_NonXtal_Prot#'!A:AL,10,FALSE)+9,1)</f>
        <v>V</v>
      </c>
      <c r="Z334" s="50" t="str">
        <f>MID(VLOOKUP($A334,Seqs!$A:$B,2,FALSE),VLOOKUP($A334,'SegEnds_NonXtal_Prot#'!A:AL,10,FALSE)+10,1)</f>
        <v>G</v>
      </c>
      <c r="AA334" s="28" t="str">
        <f>MID(VLOOKUP($A334,Seqs!$A:$B,2,FALSE),VLOOKUP($A334,'SegEnds_NonXtal_Prot#'!$A:$AL,22,FALSE)+6,1)</f>
        <v>V</v>
      </c>
      <c r="AB334" s="50" t="str">
        <f>MID(VLOOKUP($A334,Seqs!$A:$B,2,FALSE),VLOOKUP($A334,'SegEnds_NonXtal_Prot#'!$A:$AL,22,FALSE)+7,1)</f>
        <v>V</v>
      </c>
      <c r="AC334" s="50" t="str">
        <f>MID(VLOOKUP($A334,Seqs!$A:$B,2,FALSE),VLOOKUP($A334,'SegEnds_NonXtal_Prot#'!$A:$AL,22,FALSE)+8,1)</f>
        <v>G</v>
      </c>
      <c r="AD334" s="50" t="str">
        <f>MID(VLOOKUP($A334,Seqs!$A:$B,2,FALSE),VLOOKUP($A334,'SegEnds_NonXtal_Prot#'!$A:$AL,22,FALSE)+9,1)</f>
        <v>I</v>
      </c>
      <c r="AE334" s="50" t="str">
        <f>MID(VLOOKUP($A334,Seqs!$A:$B,2,FALSE),VLOOKUP($A334,'SegEnds_NonXtal_Prot#'!$A:$AL,22,FALSE)+10,1)</f>
        <v>A</v>
      </c>
      <c r="AF334" s="28" t="str">
        <f>MID(VLOOKUP($A334,Seqs!$A:$B,2,FALSE),VLOOKUP($A334,'SegEnds_NonXtal_Prot#'!$A:$AL,28,FALSE)-4,1)</f>
        <v>P</v>
      </c>
      <c r="AG334" s="50" t="str">
        <f>MID(VLOOKUP($A334,Seqs!$A:$B,2,FALSE),VLOOKUP($A334,'SegEnds_NonXtal_Prot#'!$A:$AL,28,FALSE),1)</f>
        <v>V</v>
      </c>
    </row>
    <row r="335" spans="1:33" s="2" customFormat="1" x14ac:dyDescent="0.2">
      <c r="A335" s="2" t="s">
        <v>1200</v>
      </c>
      <c r="B335" s="2" t="str">
        <f>LOWER(VLOOKUP(A335,Xtal_Templ!A:B,2,FALSE))</f>
        <v>calcr_human</v>
      </c>
      <c r="C335" s="2" t="str">
        <f>VLOOKUP(A335,Classification!A:D,2,FALSE)</f>
        <v>B2</v>
      </c>
      <c r="D335" s="2" t="str">
        <f>IF(ISERROR(MATCH(A335,'SegEnds_Xtal_Prot#'!B:B, 0)), "NoXtal", "Xtal")</f>
        <v>NoXtal</v>
      </c>
      <c r="G335" s="4"/>
      <c r="I335" s="109" t="s">
        <v>25</v>
      </c>
      <c r="S335" s="4" t="s">
        <v>12</v>
      </c>
      <c r="U335" s="28" t="str">
        <f>MID(VLOOKUP($A335,Seqs!$A:$B,2,FALSE),VLOOKUP($A335,'SegEnds_NonXtal_Prot#'!A:AL,10,FALSE),1)</f>
        <v>L</v>
      </c>
      <c r="V335" s="50" t="str">
        <f>MID(VLOOKUP($A335,Seqs!$A:$B,2,FALSE),VLOOKUP($A335,'SegEnds_NonXtal_Prot#'!A:AL,10,FALSE)+6,1)</f>
        <v>I</v>
      </c>
      <c r="W335" s="50" t="str">
        <f>MID(VLOOKUP($A335,Seqs!$A:$B,2,FALSE),VLOOKUP($A335,'SegEnds_NonXtal_Prot#'!A:AL,10,FALSE)+7,1)</f>
        <v>F</v>
      </c>
      <c r="X335" s="50" t="str">
        <f>MID(VLOOKUP($A335,Seqs!$A:$B,2,FALSE),VLOOKUP($A335,'SegEnds_NonXtal_Prot#'!A:AL,10,FALSE)+8,1)</f>
        <v>L</v>
      </c>
      <c r="Y335" s="50" t="str">
        <f>MID(VLOOKUP($A335,Seqs!$A:$B,2,FALSE),VLOOKUP($A335,'SegEnds_NonXtal_Prot#'!A:AL,10,FALSE)+9,1)</f>
        <v>I</v>
      </c>
      <c r="Z335" s="50" t="str">
        <f>MID(VLOOKUP($A335,Seqs!$A:$B,2,FALSE),VLOOKUP($A335,'SegEnds_NonXtal_Prot#'!A:AL,10,FALSE)+10,1)</f>
        <v>G</v>
      </c>
      <c r="AA335" s="28" t="str">
        <f>MID(VLOOKUP($A335,Seqs!$A:$B,2,FALSE),VLOOKUP($A335,'SegEnds_NonXtal_Prot#'!$A:$AL,22,FALSE)+6,1)</f>
        <v>V</v>
      </c>
      <c r="AB335" s="50" t="str">
        <f>MID(VLOOKUP($A335,Seqs!$A:$B,2,FALSE),VLOOKUP($A335,'SegEnds_NonXtal_Prot#'!$A:$AL,22,FALSE)+7,1)</f>
        <v>V</v>
      </c>
      <c r="AC335" s="50" t="str">
        <f>MID(VLOOKUP($A335,Seqs!$A:$B,2,FALSE),VLOOKUP($A335,'SegEnds_NonXtal_Prot#'!$A:$AL,22,FALSE)+8,1)</f>
        <v>G</v>
      </c>
      <c r="AD335" s="50" t="str">
        <f>MID(VLOOKUP($A335,Seqs!$A:$B,2,FALSE),VLOOKUP($A335,'SegEnds_NonXtal_Prot#'!$A:$AL,22,FALSE)+9,1)</f>
        <v>V</v>
      </c>
      <c r="AE335" s="50" t="str">
        <f>MID(VLOOKUP($A335,Seqs!$A:$B,2,FALSE),VLOOKUP($A335,'SegEnds_NonXtal_Prot#'!$A:$AL,22,FALSE)+10,1)</f>
        <v>S</v>
      </c>
      <c r="AF335" s="28" t="str">
        <f>MID(VLOOKUP($A335,Seqs!$A:$B,2,FALSE),VLOOKUP($A335,'SegEnds_NonXtal_Prot#'!$A:$AL,28,FALSE)-4,1)</f>
        <v>P</v>
      </c>
      <c r="AG335" s="50" t="str">
        <f>MID(VLOOKUP($A335,Seqs!$A:$B,2,FALSE),VLOOKUP($A335,'SegEnds_NonXtal_Prot#'!$A:$AL,28,FALSE),1)</f>
        <v>I</v>
      </c>
    </row>
    <row r="336" spans="1:33" s="2" customFormat="1" x14ac:dyDescent="0.2">
      <c r="A336" s="2" t="s">
        <v>1201</v>
      </c>
      <c r="B336" s="2" t="str">
        <f>LOWER(VLOOKUP(A336,Xtal_Templ!A:B,2,FALSE))</f>
        <v>crfr1_human</v>
      </c>
      <c r="C336" s="2" t="str">
        <f>VLOOKUP(A336,Classification!A:D,2,FALSE)</f>
        <v>B2</v>
      </c>
      <c r="D336" s="2" t="str">
        <f>IF(ISERROR(MATCH(A336,'SegEnds_Xtal_Prot#'!B:B, 0)), "NoXtal", "Xtal")</f>
        <v>NoXtal</v>
      </c>
      <c r="G336" s="4"/>
      <c r="I336" s="109" t="s">
        <v>25</v>
      </c>
      <c r="S336" s="4" t="s">
        <v>12</v>
      </c>
      <c r="U336" s="28" t="str">
        <f>MID(VLOOKUP($A336,Seqs!$A:$B,2,FALSE),VLOOKUP($A336,'SegEnds_NonXtal_Prot#'!A:AL,10,FALSE),1)</f>
        <v>L</v>
      </c>
      <c r="V336" s="50" t="str">
        <f>MID(VLOOKUP($A336,Seqs!$A:$B,2,FALSE),VLOOKUP($A336,'SegEnds_NonXtal_Prot#'!A:AL,10,FALSE)+6,1)</f>
        <v>L</v>
      </c>
      <c r="W336" s="50" t="str">
        <f>MID(VLOOKUP($A336,Seqs!$A:$B,2,FALSE),VLOOKUP($A336,'SegEnds_NonXtal_Prot#'!A:AL,10,FALSE)+7,1)</f>
        <v>F</v>
      </c>
      <c r="X336" s="50" t="str">
        <f>MID(VLOOKUP($A336,Seqs!$A:$B,2,FALSE),VLOOKUP($A336,'SegEnds_NonXtal_Prot#'!A:AL,10,FALSE)+8,1)</f>
        <v>L</v>
      </c>
      <c r="Y336" s="50" t="str">
        <f>MID(VLOOKUP($A336,Seqs!$A:$B,2,FALSE),VLOOKUP($A336,'SegEnds_NonXtal_Prot#'!A:AL,10,FALSE)+9,1)</f>
        <v>I</v>
      </c>
      <c r="Z336" s="50" t="str">
        <f>MID(VLOOKUP($A336,Seqs!$A:$B,2,FALSE),VLOOKUP($A336,'SegEnds_NonXtal_Prot#'!A:AL,10,FALSE)+10,1)</f>
        <v>G</v>
      </c>
      <c r="AA336" s="28" t="str">
        <f>MID(VLOOKUP($A336,Seqs!$A:$B,2,FALSE),VLOOKUP($A336,'SegEnds_NonXtal_Prot#'!$A:$AL,22,FALSE)+6,1)</f>
        <v>I</v>
      </c>
      <c r="AB336" s="50" t="str">
        <f>MID(VLOOKUP($A336,Seqs!$A:$B,2,FALSE),VLOOKUP($A336,'SegEnds_NonXtal_Prot#'!$A:$AL,22,FALSE)+7,1)</f>
        <v>V</v>
      </c>
      <c r="AC336" s="50" t="str">
        <f>MID(VLOOKUP($A336,Seqs!$A:$B,2,FALSE),VLOOKUP($A336,'SegEnds_NonXtal_Prot#'!$A:$AL,22,FALSE)+8,1)</f>
        <v>A</v>
      </c>
      <c r="AD336" s="50" t="str">
        <f>MID(VLOOKUP($A336,Seqs!$A:$B,2,FALSE),VLOOKUP($A336,'SegEnds_NonXtal_Prot#'!$A:$AL,22,FALSE)+9,1)</f>
        <v>V</v>
      </c>
      <c r="AE336" s="50" t="str">
        <f>MID(VLOOKUP($A336,Seqs!$A:$B,2,FALSE),VLOOKUP($A336,'SegEnds_NonXtal_Prot#'!$A:$AL,22,FALSE)+10,1)</f>
        <v>S</v>
      </c>
      <c r="AF336" s="28" t="str">
        <f>MID(VLOOKUP($A336,Seqs!$A:$B,2,FALSE),VLOOKUP($A336,'SegEnds_NonXtal_Prot#'!$A:$AL,28,FALSE)-4,1)</f>
        <v>P</v>
      </c>
      <c r="AG336" s="50" t="str">
        <f>MID(VLOOKUP($A336,Seqs!$A:$B,2,FALSE),VLOOKUP($A336,'SegEnds_NonXtal_Prot#'!$A:$AL,28,FALSE),1)</f>
        <v>I</v>
      </c>
    </row>
    <row r="337" spans="1:33" s="2" customFormat="1" x14ac:dyDescent="0.2">
      <c r="A337" s="2" t="s">
        <v>1202</v>
      </c>
      <c r="B337" s="2" t="str">
        <f>LOWER(VLOOKUP(A337,Xtal_Templ!A:B,2,FALSE))</f>
        <v>crfr1_human</v>
      </c>
      <c r="C337" s="2" t="str">
        <f>VLOOKUP(A337,Classification!A:D,2,FALSE)</f>
        <v>B2</v>
      </c>
      <c r="D337" s="2" t="str">
        <f>IF(ISERROR(MATCH(A337,'SegEnds_Xtal_Prot#'!B:B, 0)), "NoXtal", "Xtal")</f>
        <v>NoXtal</v>
      </c>
      <c r="G337" s="4"/>
      <c r="I337" s="109" t="s">
        <v>25</v>
      </c>
      <c r="S337" s="4" t="s">
        <v>12</v>
      </c>
      <c r="U337" s="28" t="str">
        <f>MID(VLOOKUP($A337,Seqs!$A:$B,2,FALSE),VLOOKUP($A337,'SegEnds_NonXtal_Prot#'!A:AL,10,FALSE),1)</f>
        <v>L</v>
      </c>
      <c r="V337" s="50" t="str">
        <f>MID(VLOOKUP($A337,Seqs!$A:$B,2,FALSE),VLOOKUP($A337,'SegEnds_NonXtal_Prot#'!A:AL,10,FALSE)+6,1)</f>
        <v>V</v>
      </c>
      <c r="W337" s="50" t="str">
        <f>MID(VLOOKUP($A337,Seqs!$A:$B,2,FALSE),VLOOKUP($A337,'SegEnds_NonXtal_Prot#'!A:AL,10,FALSE)+7,1)</f>
        <v>F</v>
      </c>
      <c r="X337" s="50" t="str">
        <f>MID(VLOOKUP($A337,Seqs!$A:$B,2,FALSE),VLOOKUP($A337,'SegEnds_NonXtal_Prot#'!A:AL,10,FALSE)+8,1)</f>
        <v>L</v>
      </c>
      <c r="Y337" s="50" t="str">
        <f>MID(VLOOKUP($A337,Seqs!$A:$B,2,FALSE),VLOOKUP($A337,'SegEnds_NonXtal_Prot#'!A:AL,10,FALSE)+9,1)</f>
        <v>V</v>
      </c>
      <c r="Z337" s="50" t="str">
        <f>MID(VLOOKUP($A337,Seqs!$A:$B,2,FALSE),VLOOKUP($A337,'SegEnds_NonXtal_Prot#'!A:AL,10,FALSE)+10,1)</f>
        <v>G</v>
      </c>
      <c r="AA337" s="28" t="str">
        <f>MID(VLOOKUP($A337,Seqs!$A:$B,2,FALSE),VLOOKUP($A337,'SegEnds_NonXtal_Prot#'!$A:$AL,22,FALSE)+6,1)</f>
        <v>V</v>
      </c>
      <c r="AB337" s="50" t="str">
        <f>MID(VLOOKUP($A337,Seqs!$A:$B,2,FALSE),VLOOKUP($A337,'SegEnds_NonXtal_Prot#'!$A:$AL,22,FALSE)+7,1)</f>
        <v>V</v>
      </c>
      <c r="AC337" s="50" t="str">
        <f>MID(VLOOKUP($A337,Seqs!$A:$B,2,FALSE),VLOOKUP($A337,'SegEnds_NonXtal_Prot#'!$A:$AL,22,FALSE)+8,1)</f>
        <v>G</v>
      </c>
      <c r="AD337" s="50" t="str">
        <f>MID(VLOOKUP($A337,Seqs!$A:$B,2,FALSE),VLOOKUP($A337,'SegEnds_NonXtal_Prot#'!$A:$AL,22,FALSE)+9,1)</f>
        <v>F</v>
      </c>
      <c r="AE337" s="50" t="str">
        <f>MID(VLOOKUP($A337,Seqs!$A:$B,2,FALSE),VLOOKUP($A337,'SegEnds_NonXtal_Prot#'!$A:$AL,22,FALSE)+10,1)</f>
        <v>S</v>
      </c>
      <c r="AF337" s="28" t="str">
        <f>MID(VLOOKUP($A337,Seqs!$A:$B,2,FALSE),VLOOKUP($A337,'SegEnds_NonXtal_Prot#'!$A:$AL,28,FALSE)-4,1)</f>
        <v>P</v>
      </c>
      <c r="AG337" s="50" t="str">
        <f>MID(VLOOKUP($A337,Seqs!$A:$B,2,FALSE),VLOOKUP($A337,'SegEnds_NonXtal_Prot#'!$A:$AL,28,FALSE),1)</f>
        <v>I</v>
      </c>
    </row>
    <row r="338" spans="1:33" s="2" customFormat="1" x14ac:dyDescent="0.2">
      <c r="A338" s="2" t="s">
        <v>414</v>
      </c>
      <c r="B338" s="2" t="str">
        <f>LOWER(VLOOKUP(A338,Xtal_Templ!A:B,2,FALSE))</f>
        <v>crfr1_human</v>
      </c>
      <c r="C338" s="2" t="str">
        <f>VLOOKUP(A338,Classification!A:D,2,FALSE)</f>
        <v>B2</v>
      </c>
      <c r="D338" s="2" t="str">
        <f>IF(ISERROR(MATCH(A338,'SegEnds_Xtal_Prot#'!B:B, 0)), "NoXtal", "Xtal")</f>
        <v>NoXtal</v>
      </c>
      <c r="G338" s="4"/>
      <c r="I338" s="109" t="s">
        <v>25</v>
      </c>
      <c r="S338" s="4" t="s">
        <v>12</v>
      </c>
      <c r="U338" s="28" t="str">
        <f>MID(VLOOKUP($A338,Seqs!$A:$B,2,FALSE),VLOOKUP($A338,'SegEnds_NonXtal_Prot#'!A:AL,10,FALSE),1)</f>
        <v>I</v>
      </c>
      <c r="V338" s="50" t="str">
        <f>MID(VLOOKUP($A338,Seqs!$A:$B,2,FALSE),VLOOKUP($A338,'SegEnds_NonXtal_Prot#'!A:AL,10,FALSE)+6,1)</f>
        <v>L</v>
      </c>
      <c r="W338" s="50" t="str">
        <f>MID(VLOOKUP($A338,Seqs!$A:$B,2,FALSE),VLOOKUP($A338,'SegEnds_NonXtal_Prot#'!A:AL,10,FALSE)+7,1)</f>
        <v>I</v>
      </c>
      <c r="X338" s="50" t="str">
        <f>MID(VLOOKUP($A338,Seqs!$A:$B,2,FALSE),VLOOKUP($A338,'SegEnds_NonXtal_Prot#'!A:AL,10,FALSE)+8,1)</f>
        <v>L</v>
      </c>
      <c r="Y338" s="50" t="str">
        <f>MID(VLOOKUP($A338,Seqs!$A:$B,2,FALSE),VLOOKUP($A338,'SegEnds_NonXtal_Prot#'!A:AL,10,FALSE)+9,1)</f>
        <v>I</v>
      </c>
      <c r="Z338" s="50" t="str">
        <f>MID(VLOOKUP($A338,Seqs!$A:$B,2,FALSE),VLOOKUP($A338,'SegEnds_NonXtal_Prot#'!A:AL,10,FALSE)+10,1)</f>
        <v>G</v>
      </c>
      <c r="AA338" s="28" t="str">
        <f>MID(VLOOKUP($A338,Seqs!$A:$B,2,FALSE),VLOOKUP($A338,'SegEnds_NonXtal_Prot#'!$A:$AL,22,FALSE)+6,1)</f>
        <v>V</v>
      </c>
      <c r="AB338" s="50" t="str">
        <f>MID(VLOOKUP($A338,Seqs!$A:$B,2,FALSE),VLOOKUP($A338,'SegEnds_NonXtal_Prot#'!$A:$AL,22,FALSE)+7,1)</f>
        <v>V</v>
      </c>
      <c r="AC338" s="50" t="str">
        <f>MID(VLOOKUP($A338,Seqs!$A:$B,2,FALSE),VLOOKUP($A338,'SegEnds_NonXtal_Prot#'!$A:$AL,22,FALSE)+8,1)</f>
        <v>A</v>
      </c>
      <c r="AD338" s="50" t="str">
        <f>MID(VLOOKUP($A338,Seqs!$A:$B,2,FALSE),VLOOKUP($A338,'SegEnds_NonXtal_Prot#'!$A:$AL,22,FALSE)+9,1)</f>
        <v>I</v>
      </c>
      <c r="AE338" s="50" t="str">
        <f>MID(VLOOKUP($A338,Seqs!$A:$B,2,FALSE),VLOOKUP($A338,'SegEnds_NonXtal_Prot#'!$A:$AL,22,FALSE)+10,1)</f>
        <v>S</v>
      </c>
      <c r="AF338" s="28" t="str">
        <f>MID(VLOOKUP($A338,Seqs!$A:$B,2,FALSE),VLOOKUP($A338,'SegEnds_NonXtal_Prot#'!$A:$AL,28,FALSE)-4,1)</f>
        <v>P</v>
      </c>
      <c r="AG338" s="50" t="str">
        <f>MID(VLOOKUP($A338,Seqs!$A:$B,2,FALSE),VLOOKUP($A338,'SegEnds_NonXtal_Prot#'!$A:$AL,28,FALSE),1)</f>
        <v>V</v>
      </c>
    </row>
    <row r="339" spans="1:33" s="2" customFormat="1" x14ac:dyDescent="0.2">
      <c r="A339" s="2" t="s">
        <v>418</v>
      </c>
      <c r="B339" s="2" t="str">
        <f>LOWER(VLOOKUP(A339,Xtal_Templ!A:B,2,FALSE))</f>
        <v>calcr_human</v>
      </c>
      <c r="C339" s="2" t="str">
        <f>VLOOKUP(A339,Classification!A:D,2,FALSE)</f>
        <v>B2</v>
      </c>
      <c r="D339" s="2" t="str">
        <f>IF(ISERROR(MATCH(A339,'SegEnds_Xtal_Prot#'!B:B, 0)), "NoXtal", "Xtal")</f>
        <v>NoXtal</v>
      </c>
      <c r="G339" s="4"/>
      <c r="I339" s="109" t="s">
        <v>25</v>
      </c>
      <c r="S339" s="4" t="s">
        <v>12</v>
      </c>
      <c r="U339" s="28" t="str">
        <f>MID(VLOOKUP($A339,Seqs!$A:$B,2,FALSE),VLOOKUP($A339,'SegEnds_NonXtal_Prot#'!A:AL,10,FALSE),1)</f>
        <v>L</v>
      </c>
      <c r="V339" s="50" t="str">
        <f>MID(VLOOKUP($A339,Seqs!$A:$B,2,FALSE),VLOOKUP($A339,'SegEnds_NonXtal_Prot#'!A:AL,10,FALSE)+6,1)</f>
        <v>V</v>
      </c>
      <c r="W339" s="50" t="str">
        <f>MID(VLOOKUP($A339,Seqs!$A:$B,2,FALSE),VLOOKUP($A339,'SegEnds_NonXtal_Prot#'!A:AL,10,FALSE)+7,1)</f>
        <v>F</v>
      </c>
      <c r="X339" s="50" t="str">
        <f>MID(VLOOKUP($A339,Seqs!$A:$B,2,FALSE),VLOOKUP($A339,'SegEnds_NonXtal_Prot#'!A:AL,10,FALSE)+8,1)</f>
        <v>V</v>
      </c>
      <c r="Y339" s="50" t="str">
        <f>MID(VLOOKUP($A339,Seqs!$A:$B,2,FALSE),VLOOKUP($A339,'SegEnds_NonXtal_Prot#'!A:AL,10,FALSE)+9,1)</f>
        <v>I</v>
      </c>
      <c r="Z339" s="50" t="str">
        <f>MID(VLOOKUP($A339,Seqs!$A:$B,2,FALSE),VLOOKUP($A339,'SegEnds_NonXtal_Prot#'!A:AL,10,FALSE)+10,1)</f>
        <v>G</v>
      </c>
      <c r="AA339" s="28" t="str">
        <f>MID(VLOOKUP($A339,Seqs!$A:$B,2,FALSE),VLOOKUP($A339,'SegEnds_NonXtal_Prot#'!$A:$AL,22,FALSE)+6,1)</f>
        <v>V</v>
      </c>
      <c r="AB339" s="50" t="str">
        <f>MID(VLOOKUP($A339,Seqs!$A:$B,2,FALSE),VLOOKUP($A339,'SegEnds_NonXtal_Prot#'!$A:$AL,22,FALSE)+7,1)</f>
        <v>T</v>
      </c>
      <c r="AC339" s="50" t="str">
        <f>MID(VLOOKUP($A339,Seqs!$A:$B,2,FALSE),VLOOKUP($A339,'SegEnds_NonXtal_Prot#'!$A:$AL,22,FALSE)+8,1)</f>
        <v>G</v>
      </c>
      <c r="AD339" s="50" t="str">
        <f>MID(VLOOKUP($A339,Seqs!$A:$B,2,FALSE),VLOOKUP($A339,'SegEnds_NonXtal_Prot#'!$A:$AL,22,FALSE)+9,1)</f>
        <v>L</v>
      </c>
      <c r="AE339" s="50" t="str">
        <f>MID(VLOOKUP($A339,Seqs!$A:$B,2,FALSE),VLOOKUP($A339,'SegEnds_NonXtal_Prot#'!$A:$AL,22,FALSE)+10,1)</f>
        <v>A</v>
      </c>
      <c r="AF339" s="28" t="str">
        <f>MID(VLOOKUP($A339,Seqs!$A:$B,2,FALSE),VLOOKUP($A339,'SegEnds_NonXtal_Prot#'!$A:$AL,28,FALSE)-4,1)</f>
        <v>P</v>
      </c>
      <c r="AG339" s="50" t="str">
        <f>MID(VLOOKUP($A339,Seqs!$A:$B,2,FALSE),VLOOKUP($A339,'SegEnds_NonXtal_Prot#'!$A:$AL,28,FALSE),1)</f>
        <v>V</v>
      </c>
    </row>
    <row r="340" spans="1:33" s="2" customFormat="1" x14ac:dyDescent="0.2">
      <c r="A340" s="2" t="s">
        <v>419</v>
      </c>
      <c r="B340" s="2" t="str">
        <f>LOWER(VLOOKUP(A340,Xtal_Templ!A:B,2,FALSE))</f>
        <v>calcr_human</v>
      </c>
      <c r="C340" s="2" t="str">
        <f>VLOOKUP(A340,Classification!A:D,2,FALSE)</f>
        <v>B2</v>
      </c>
      <c r="D340" s="2" t="str">
        <f>IF(ISERROR(MATCH(A340,'SegEnds_Xtal_Prot#'!B:B, 0)), "NoXtal", "Xtal")</f>
        <v>NoXtal</v>
      </c>
      <c r="G340" s="4"/>
      <c r="I340" s="109" t="s">
        <v>25</v>
      </c>
      <c r="S340" s="4" t="s">
        <v>12</v>
      </c>
      <c r="U340" s="28" t="str">
        <f>MID(VLOOKUP($A340,Seqs!$A:$B,2,FALSE),VLOOKUP($A340,'SegEnds_NonXtal_Prot#'!A:AL,10,FALSE),1)</f>
        <v>L</v>
      </c>
      <c r="V340" s="50" t="str">
        <f>MID(VLOOKUP($A340,Seqs!$A:$B,2,FALSE),VLOOKUP($A340,'SegEnds_NonXtal_Prot#'!A:AL,10,FALSE)+6,1)</f>
        <v>V</v>
      </c>
      <c r="W340" s="50" t="str">
        <f>MID(VLOOKUP($A340,Seqs!$A:$B,2,FALSE),VLOOKUP($A340,'SegEnds_NonXtal_Prot#'!A:AL,10,FALSE)+7,1)</f>
        <v>F</v>
      </c>
      <c r="X340" s="50" t="str">
        <f>MID(VLOOKUP($A340,Seqs!$A:$B,2,FALSE),VLOOKUP($A340,'SegEnds_NonXtal_Prot#'!A:AL,10,FALSE)+8,1)</f>
        <v>L</v>
      </c>
      <c r="Y340" s="50" t="str">
        <f>MID(VLOOKUP($A340,Seqs!$A:$B,2,FALSE),VLOOKUP($A340,'SegEnds_NonXtal_Prot#'!A:AL,10,FALSE)+9,1)</f>
        <v>L</v>
      </c>
      <c r="Z340" s="50" t="str">
        <f>MID(VLOOKUP($A340,Seqs!$A:$B,2,FALSE),VLOOKUP($A340,'SegEnds_NonXtal_Prot#'!A:AL,10,FALSE)+10,1)</f>
        <v>G</v>
      </c>
      <c r="AA340" s="28" t="str">
        <f>MID(VLOOKUP($A340,Seqs!$A:$B,2,FALSE),VLOOKUP($A340,'SegEnds_NonXtal_Prot#'!$A:$AL,22,FALSE)+6,1)</f>
        <v>I</v>
      </c>
      <c r="AB340" s="50" t="str">
        <f>MID(VLOOKUP($A340,Seqs!$A:$B,2,FALSE),VLOOKUP($A340,'SegEnds_NonXtal_Prot#'!$A:$AL,22,FALSE)+7,1)</f>
        <v>T</v>
      </c>
      <c r="AC340" s="50" t="str">
        <f>MID(VLOOKUP($A340,Seqs!$A:$B,2,FALSE),VLOOKUP($A340,'SegEnds_NonXtal_Prot#'!$A:$AL,22,FALSE)+8,1)</f>
        <v>G</v>
      </c>
      <c r="AD340" s="50" t="str">
        <f>MID(VLOOKUP($A340,Seqs!$A:$B,2,FALSE),VLOOKUP($A340,'SegEnds_NonXtal_Prot#'!$A:$AL,22,FALSE)+9,1)</f>
        <v>L</v>
      </c>
      <c r="AE340" s="50" t="str">
        <f>MID(VLOOKUP($A340,Seqs!$A:$B,2,FALSE),VLOOKUP($A340,'SegEnds_NonXtal_Prot#'!$A:$AL,22,FALSE)+10,1)</f>
        <v>A</v>
      </c>
      <c r="AF340" s="28" t="str">
        <f>MID(VLOOKUP($A340,Seqs!$A:$B,2,FALSE),VLOOKUP($A340,'SegEnds_NonXtal_Prot#'!$A:$AL,28,FALSE)-4,1)</f>
        <v>P</v>
      </c>
      <c r="AG340" s="50" t="str">
        <f>MID(VLOOKUP($A340,Seqs!$A:$B,2,FALSE),VLOOKUP($A340,'SegEnds_NonXtal_Prot#'!$A:$AL,28,FALSE),1)</f>
        <v>A</v>
      </c>
    </row>
    <row r="341" spans="1:33" s="2" customFormat="1" x14ac:dyDescent="0.2">
      <c r="A341" s="2" t="s">
        <v>1423</v>
      </c>
      <c r="B341" s="2" t="str">
        <f>LOWER(VLOOKUP(A341,Xtal_Templ!A:B,2,FALSE))</f>
        <v>crfr1_human</v>
      </c>
      <c r="C341" s="2" t="str">
        <f>VLOOKUP(A341,Classification!A:D,2,FALSE)</f>
        <v>B2</v>
      </c>
      <c r="D341" s="2" t="str">
        <f>IF(ISERROR(MATCH(A341,'SegEnds_Xtal_Prot#'!B:B, 0)), "NoXtal", "Xtal")</f>
        <v>NoXtal</v>
      </c>
      <c r="G341" s="4"/>
      <c r="I341" s="109" t="s">
        <v>25</v>
      </c>
      <c r="S341" s="4" t="s">
        <v>12</v>
      </c>
      <c r="U341" s="28" t="str">
        <f>MID(VLOOKUP($A341,Seqs!$A:$B,2,FALSE),VLOOKUP($A341,'SegEnds_NonXtal_Prot#'!A:AL,10,FALSE),1)</f>
        <v>L</v>
      </c>
      <c r="V341" s="50" t="str">
        <f>MID(VLOOKUP($A341,Seqs!$A:$B,2,FALSE),VLOOKUP($A341,'SegEnds_NonXtal_Prot#'!A:AL,10,FALSE)+6,1)</f>
        <v>L</v>
      </c>
      <c r="W341" s="50" t="str">
        <f>MID(VLOOKUP($A341,Seqs!$A:$B,2,FALSE),VLOOKUP($A341,'SegEnds_NonXtal_Prot#'!A:AL,10,FALSE)+7,1)</f>
        <v>F</v>
      </c>
      <c r="X341" s="50" t="str">
        <f>MID(VLOOKUP($A341,Seqs!$A:$B,2,FALSE),VLOOKUP($A341,'SegEnds_NonXtal_Prot#'!A:AL,10,FALSE)+8,1)</f>
        <v>L</v>
      </c>
      <c r="Y341" s="50" t="str">
        <f>MID(VLOOKUP($A341,Seqs!$A:$B,2,FALSE),VLOOKUP($A341,'SegEnds_NonXtal_Prot#'!A:AL,10,FALSE)+9,1)</f>
        <v>L</v>
      </c>
      <c r="Z341" s="50" t="str">
        <f>MID(VLOOKUP($A341,Seqs!$A:$B,2,FALSE),VLOOKUP($A341,'SegEnds_NonXtal_Prot#'!A:AL,10,FALSE)+10,1)</f>
        <v>D</v>
      </c>
      <c r="AA341" s="28" t="str">
        <f>MID(VLOOKUP($A341,Seqs!$A:$B,2,FALSE),VLOOKUP($A341,'SegEnds_NonXtal_Prot#'!$A:$AL,22,FALSE)+6,1)</f>
        <v>V</v>
      </c>
      <c r="AB341" s="50" t="str">
        <f>MID(VLOOKUP($A341,Seqs!$A:$B,2,FALSE),VLOOKUP($A341,'SegEnds_NonXtal_Prot#'!$A:$AL,22,FALSE)+7,1)</f>
        <v>V</v>
      </c>
      <c r="AC341" s="50" t="str">
        <f>MID(VLOOKUP($A341,Seqs!$A:$B,2,FALSE),VLOOKUP($A341,'SegEnds_NonXtal_Prot#'!$A:$AL,22,FALSE)+8,1)</f>
        <v>S</v>
      </c>
      <c r="AD341" s="50" t="str">
        <f>MID(VLOOKUP($A341,Seqs!$A:$B,2,FALSE),VLOOKUP($A341,'SegEnds_NonXtal_Prot#'!$A:$AL,22,FALSE)+9,1)</f>
        <v>V</v>
      </c>
      <c r="AE341" s="50" t="str">
        <f>MID(VLOOKUP($A341,Seqs!$A:$B,2,FALSE),VLOOKUP($A341,'SegEnds_NonXtal_Prot#'!$A:$AL,22,FALSE)+10,1)</f>
        <v>V</v>
      </c>
      <c r="AF341" s="28" t="str">
        <f>MID(VLOOKUP($A341,Seqs!$A:$B,2,FALSE),VLOOKUP($A341,'SegEnds_NonXtal_Prot#'!$A:$AL,28,FALSE)-4,1)</f>
        <v>Y</v>
      </c>
      <c r="AG341" s="50" t="str">
        <f>MID(VLOOKUP($A341,Seqs!$A:$B,2,FALSE),VLOOKUP($A341,'SegEnds_NonXtal_Prot#'!$A:$AL,28,FALSE),1)</f>
        <v>M</v>
      </c>
    </row>
    <row r="342" spans="1:33" s="2" customFormat="1" x14ac:dyDescent="0.2">
      <c r="A342" s="2" t="s">
        <v>442</v>
      </c>
      <c r="B342" s="2" t="str">
        <f>LOWER(VLOOKUP(A342,Xtal_Templ!A:B,2,FALSE))</f>
        <v>crfr1_human</v>
      </c>
      <c r="C342" s="2" t="str">
        <f>VLOOKUP(A342,Classification!A:D,2,FALSE)</f>
        <v>B2</v>
      </c>
      <c r="D342" s="2" t="str">
        <f>IF(ISERROR(MATCH(A342,'SegEnds_Xtal_Prot#'!B:B, 0)), "NoXtal", "Xtal")</f>
        <v>NoXtal</v>
      </c>
      <c r="G342" s="4"/>
      <c r="I342" s="109" t="s">
        <v>25</v>
      </c>
      <c r="S342" s="4" t="s">
        <v>12</v>
      </c>
      <c r="U342" s="28" t="str">
        <f>MID(VLOOKUP($A342,Seqs!$A:$B,2,FALSE),VLOOKUP($A342,'SegEnds_NonXtal_Prot#'!A:AL,10,FALSE),1)</f>
        <v>S</v>
      </c>
      <c r="V342" s="50" t="str">
        <f>MID(VLOOKUP($A342,Seqs!$A:$B,2,FALSE),VLOOKUP($A342,'SegEnds_NonXtal_Prot#'!A:AL,10,FALSE)+6,1)</f>
        <v>L</v>
      </c>
      <c r="W342" s="50" t="str">
        <f>MID(VLOOKUP($A342,Seqs!$A:$B,2,FALSE),VLOOKUP($A342,'SegEnds_NonXtal_Prot#'!A:AL,10,FALSE)+7,1)</f>
        <v>F</v>
      </c>
      <c r="X342" s="50" t="str">
        <f>MID(VLOOKUP($A342,Seqs!$A:$B,2,FALSE),VLOOKUP($A342,'SegEnds_NonXtal_Prot#'!A:AL,10,FALSE)+8,1)</f>
        <v>L</v>
      </c>
      <c r="Y342" s="50" t="str">
        <f>MID(VLOOKUP($A342,Seqs!$A:$B,2,FALSE),VLOOKUP($A342,'SegEnds_NonXtal_Prot#'!A:AL,10,FALSE)+9,1)</f>
        <v>A</v>
      </c>
      <c r="Z342" s="50" t="str">
        <f>MID(VLOOKUP($A342,Seqs!$A:$B,2,FALSE),VLOOKUP($A342,'SegEnds_NonXtal_Prot#'!A:AL,10,FALSE)+10,1)</f>
        <v>S</v>
      </c>
      <c r="AA342" s="28" t="str">
        <f>MID(VLOOKUP($A342,Seqs!$A:$B,2,FALSE),VLOOKUP($A342,'SegEnds_NonXtal_Prot#'!$A:$AL,22,FALSE)+6,1)</f>
        <v>V</v>
      </c>
      <c r="AB342" s="50" t="str">
        <f>MID(VLOOKUP($A342,Seqs!$A:$B,2,FALSE),VLOOKUP($A342,'SegEnds_NonXtal_Prot#'!$A:$AL,22,FALSE)+7,1)</f>
        <v>V</v>
      </c>
      <c r="AC342" s="50" t="str">
        <f>MID(VLOOKUP($A342,Seqs!$A:$B,2,FALSE),VLOOKUP($A342,'SegEnds_NonXtal_Prot#'!$A:$AL,22,FALSE)+8,1)</f>
        <v>I</v>
      </c>
      <c r="AD342" s="50" t="str">
        <f>MID(VLOOKUP($A342,Seqs!$A:$B,2,FALSE),VLOOKUP($A342,'SegEnds_NonXtal_Prot#'!$A:$AL,22,FALSE)+9,1)</f>
        <v>L</v>
      </c>
      <c r="AE342" s="50" t="str">
        <f>MID(VLOOKUP($A342,Seqs!$A:$B,2,FALSE),VLOOKUP($A342,'SegEnds_NonXtal_Prot#'!$A:$AL,22,FALSE)+10,1)</f>
        <v>L</v>
      </c>
      <c r="AF342" s="28" t="str">
        <f>MID(VLOOKUP($A342,Seqs!$A:$B,2,FALSE),VLOOKUP($A342,'SegEnds_NonXtal_Prot#'!$A:$AL,28,FALSE)-4,1)</f>
        <v>P</v>
      </c>
      <c r="AG342" s="50" t="str">
        <f>MID(VLOOKUP($A342,Seqs!$A:$B,2,FALSE),VLOOKUP($A342,'SegEnds_NonXtal_Prot#'!$A:$AL,28,FALSE),1)</f>
        <v>L</v>
      </c>
    </row>
    <row r="343" spans="1:33" s="2" customFormat="1" x14ac:dyDescent="0.2">
      <c r="A343" s="2" t="s">
        <v>417</v>
      </c>
      <c r="B343" s="2" t="str">
        <f>LOWER(VLOOKUP(A343,Xtal_Templ!A:B,2,FALSE))</f>
        <v>glp1r_human</v>
      </c>
      <c r="C343" s="2" t="str">
        <f>VLOOKUP(A343,Classification!A:D,2,FALSE)</f>
        <v>B2</v>
      </c>
      <c r="D343" s="2" t="str">
        <f>IF(ISERROR(MATCH(A343,'SegEnds_Xtal_Prot#'!B:B, 0)), "NoXtal", "Xtal")</f>
        <v>NoXtal</v>
      </c>
      <c r="G343" s="4"/>
      <c r="I343" s="109" t="s">
        <v>25</v>
      </c>
      <c r="S343" s="4" t="s">
        <v>12</v>
      </c>
      <c r="U343" s="28" t="str">
        <f>MID(VLOOKUP($A343,Seqs!$A:$B,2,FALSE),VLOOKUP($A343,'SegEnds_NonXtal_Prot#'!A:AL,10,FALSE),1)</f>
        <v>L</v>
      </c>
      <c r="V343" s="50" t="str">
        <f>MID(VLOOKUP($A343,Seqs!$A:$B,2,FALSE),VLOOKUP($A343,'SegEnds_NonXtal_Prot#'!A:AL,10,FALSE)+6,1)</f>
        <v>I</v>
      </c>
      <c r="W343" s="50" t="str">
        <f>MID(VLOOKUP($A343,Seqs!$A:$B,2,FALSE),VLOOKUP($A343,'SegEnds_NonXtal_Prot#'!A:AL,10,FALSE)+7,1)</f>
        <v>F</v>
      </c>
      <c r="X343" s="50" t="str">
        <f>MID(VLOOKUP($A343,Seqs!$A:$B,2,FALSE),VLOOKUP($A343,'SegEnds_NonXtal_Prot#'!A:AL,10,FALSE)+8,1)</f>
        <v>L</v>
      </c>
      <c r="Y343" s="50" t="str">
        <f>MID(VLOOKUP($A343,Seqs!$A:$B,2,FALSE),VLOOKUP($A343,'SegEnds_NonXtal_Prot#'!A:AL,10,FALSE)+9,1)</f>
        <v>A</v>
      </c>
      <c r="Z343" s="50" t="str">
        <f>MID(VLOOKUP($A343,Seqs!$A:$B,2,FALSE),VLOOKUP($A343,'SegEnds_NonXtal_Prot#'!A:AL,10,FALSE)+10,1)</f>
        <v>G</v>
      </c>
      <c r="AA343" s="28" t="str">
        <f>MID(VLOOKUP($A343,Seqs!$A:$B,2,FALSE),VLOOKUP($A343,'SegEnds_NonXtal_Prot#'!$A:$AL,22,FALSE)+6,1)</f>
        <v>I</v>
      </c>
      <c r="AB343" s="50" t="str">
        <f>MID(VLOOKUP($A343,Seqs!$A:$B,2,FALSE),VLOOKUP($A343,'SegEnds_NonXtal_Prot#'!$A:$AL,22,FALSE)+7,1)</f>
        <v>V</v>
      </c>
      <c r="AC343" s="50" t="str">
        <f>MID(VLOOKUP($A343,Seqs!$A:$B,2,FALSE),VLOOKUP($A343,'SegEnds_NonXtal_Prot#'!$A:$AL,22,FALSE)+8,1)</f>
        <v>G</v>
      </c>
      <c r="AD343" s="50" t="str">
        <f>MID(VLOOKUP($A343,Seqs!$A:$B,2,FALSE),VLOOKUP($A343,'SegEnds_NonXtal_Prot#'!$A:$AL,22,FALSE)+9,1)</f>
        <v>V</v>
      </c>
      <c r="AE343" s="50" t="str">
        <f>MID(VLOOKUP($A343,Seqs!$A:$B,2,FALSE),VLOOKUP($A343,'SegEnds_NonXtal_Prot#'!$A:$AL,22,FALSE)+10,1)</f>
        <v>S</v>
      </c>
      <c r="AF343" s="28" t="str">
        <f>MID(VLOOKUP($A343,Seqs!$A:$B,2,FALSE),VLOOKUP($A343,'SegEnds_NonXtal_Prot#'!$A:$AL,28,FALSE)-4,1)</f>
        <v>P</v>
      </c>
      <c r="AG343" s="50" t="str">
        <f>MID(VLOOKUP($A343,Seqs!$A:$B,2,FALSE),VLOOKUP($A343,'SegEnds_NonXtal_Prot#'!$A:$AL,28,FALSE),1)</f>
        <v>I</v>
      </c>
    </row>
    <row r="344" spans="1:33" s="2" customFormat="1" x14ac:dyDescent="0.2">
      <c r="A344" s="2" t="s">
        <v>420</v>
      </c>
      <c r="B344" s="2" t="str">
        <f>LOWER(VLOOKUP(A344,Xtal_Templ!A:B,2,FALSE))</f>
        <v>crfr1_human</v>
      </c>
      <c r="C344" s="2" t="str">
        <f>VLOOKUP(A344,Classification!A:D,2,FALSE)</f>
        <v>B2</v>
      </c>
      <c r="D344" s="2" t="str">
        <f>IF(ISERROR(MATCH(A344,'SegEnds_Xtal_Prot#'!B:B, 0)), "NoXtal", "Xtal")</f>
        <v>NoXtal</v>
      </c>
      <c r="G344" s="4"/>
      <c r="I344" s="109" t="s">
        <v>25</v>
      </c>
      <c r="S344" s="4" t="s">
        <v>12</v>
      </c>
      <c r="U344" s="28" t="str">
        <f>MID(VLOOKUP($A344,Seqs!$A:$B,2,FALSE),VLOOKUP($A344,'SegEnds_NonXtal_Prot#'!A:AL,10,FALSE),1)</f>
        <v>L</v>
      </c>
      <c r="V344" s="50" t="str">
        <f>MID(VLOOKUP($A344,Seqs!$A:$B,2,FALSE),VLOOKUP($A344,'SegEnds_NonXtal_Prot#'!A:AL,10,FALSE)+6,1)</f>
        <v>L</v>
      </c>
      <c r="W344" s="50" t="str">
        <f>MID(VLOOKUP($A344,Seqs!$A:$B,2,FALSE),VLOOKUP($A344,'SegEnds_NonXtal_Prot#'!A:AL,10,FALSE)+7,1)</f>
        <v>F</v>
      </c>
      <c r="X344" s="50" t="str">
        <f>MID(VLOOKUP($A344,Seqs!$A:$B,2,FALSE),VLOOKUP($A344,'SegEnds_NonXtal_Prot#'!A:AL,10,FALSE)+8,1)</f>
        <v>L</v>
      </c>
      <c r="Y344" s="50" t="str">
        <f>MID(VLOOKUP($A344,Seqs!$A:$B,2,FALSE),VLOOKUP($A344,'SegEnds_NonXtal_Prot#'!A:AL,10,FALSE)+9,1)</f>
        <v>L</v>
      </c>
      <c r="Z344" s="50" t="str">
        <f>MID(VLOOKUP($A344,Seqs!$A:$B,2,FALSE),VLOOKUP($A344,'SegEnds_NonXtal_Prot#'!A:AL,10,FALSE)+10,1)</f>
        <v>G</v>
      </c>
      <c r="AA344" s="28" t="str">
        <f>MID(VLOOKUP($A344,Seqs!$A:$B,2,FALSE),VLOOKUP($A344,'SegEnds_NonXtal_Prot#'!$A:$AL,22,FALSE)+6,1)</f>
        <v>L</v>
      </c>
      <c r="AB344" s="50" t="str">
        <f>MID(VLOOKUP($A344,Seqs!$A:$B,2,FALSE),VLOOKUP($A344,'SegEnds_NonXtal_Prot#'!$A:$AL,22,FALSE)+7,1)</f>
        <v>L</v>
      </c>
      <c r="AC344" s="50" t="str">
        <f>MID(VLOOKUP($A344,Seqs!$A:$B,2,FALSE),VLOOKUP($A344,'SegEnds_NonXtal_Prot#'!$A:$AL,22,FALSE)+8,1)</f>
        <v>G</v>
      </c>
      <c r="AD344" s="50" t="str">
        <f>MID(VLOOKUP($A344,Seqs!$A:$B,2,FALSE),VLOOKUP($A344,'SegEnds_NonXtal_Prot#'!$A:$AL,22,FALSE)+9,1)</f>
        <v>L</v>
      </c>
      <c r="AE344" s="50" t="str">
        <f>MID(VLOOKUP($A344,Seqs!$A:$B,2,FALSE),VLOOKUP($A344,'SegEnds_NonXtal_Prot#'!$A:$AL,22,FALSE)+10,1)</f>
        <v>A</v>
      </c>
      <c r="AF344" s="28" t="str">
        <f>MID(VLOOKUP($A344,Seqs!$A:$B,2,FALSE),VLOOKUP($A344,'SegEnds_NonXtal_Prot#'!$A:$AL,28,FALSE)-4,1)</f>
        <v>P</v>
      </c>
      <c r="AG344" s="50" t="str">
        <f>MID(VLOOKUP($A344,Seqs!$A:$B,2,FALSE),VLOOKUP($A344,'SegEnds_NonXtal_Prot#'!$A:$AL,28,FALSE),1)</f>
        <v>V</v>
      </c>
    </row>
    <row r="345" spans="1:33" s="2" customFormat="1" x14ac:dyDescent="0.2">
      <c r="A345" s="2" t="s">
        <v>106</v>
      </c>
      <c r="B345" s="2" t="str">
        <f>LOWER(VLOOKUP(A345,Xtal_Templ!A:B,2,FALSE))</f>
        <v>grm5_human</v>
      </c>
      <c r="C345" s="2" t="str">
        <f>VLOOKUP(A345,Classification!A:D,2,FALSE)</f>
        <v>C</v>
      </c>
      <c r="D345" s="2" t="str">
        <f>IF(ISERROR(MATCH(A345,'SegEnds_Xtal_Prot#'!B:B, 0)), "NoXtal", "Xtal")</f>
        <v>NoXtal</v>
      </c>
      <c r="G345" s="4"/>
      <c r="T345" s="2" t="s">
        <v>1330</v>
      </c>
      <c r="U345" s="28" t="str">
        <f>MID(VLOOKUP($A345,Seqs!$A:$B,2,FALSE),VLOOKUP($A345,'SegEnds_NonXtal_Prot#'!A:AL,10,FALSE),1)</f>
        <v>C</v>
      </c>
      <c r="V345" s="50" t="str">
        <f>MID(VLOOKUP($A345,Seqs!$A:$B,2,FALSE),VLOOKUP($A345,'SegEnds_NonXtal_Prot#'!A:AL,10,FALSE)+6,1)</f>
        <v>A</v>
      </c>
      <c r="W345" s="50" t="str">
        <f>MID(VLOOKUP($A345,Seqs!$A:$B,2,FALSE),VLOOKUP($A345,'SegEnds_NonXtal_Prot#'!A:AL,10,FALSE)+7,1)</f>
        <v>V</v>
      </c>
      <c r="X345" s="50" t="str">
        <f>MID(VLOOKUP($A345,Seqs!$A:$B,2,FALSE),VLOOKUP($A345,'SegEnds_NonXtal_Prot#'!A:AL,10,FALSE)+8,1)</f>
        <v>F</v>
      </c>
      <c r="Y345" s="50" t="str">
        <f>MID(VLOOKUP($A345,Seqs!$A:$B,2,FALSE),VLOOKUP($A345,'SegEnds_NonXtal_Prot#'!A:AL,10,FALSE)+9,1)</f>
        <v>P</v>
      </c>
      <c r="Z345" s="50" t="str">
        <f>MID(VLOOKUP($A345,Seqs!$A:$B,2,FALSE),VLOOKUP($A345,'SegEnds_NonXtal_Prot#'!A:AL,10,FALSE)+10,1)</f>
        <v>L</v>
      </c>
      <c r="AA345" s="28" t="str">
        <f>MID(VLOOKUP($A345,Seqs!$A:$B,2,FALSE),VLOOKUP($A345,'SegEnds_NonXtal_Prot#'!$A:$AL,22,FALSE)+6,1)</f>
        <v>T</v>
      </c>
      <c r="AB345" s="50" t="str">
        <f>MID(VLOOKUP($A345,Seqs!$A:$B,2,FALSE),VLOOKUP($A345,'SegEnds_NonXtal_Prot#'!$A:$AL,22,FALSE)+7,1)</f>
        <v>L</v>
      </c>
      <c r="AC345" s="50" t="str">
        <f>MID(VLOOKUP($A345,Seqs!$A:$B,2,FALSE),VLOOKUP($A345,'SegEnds_NonXtal_Prot#'!$A:$AL,22,FALSE)+8,1)</f>
        <v>A</v>
      </c>
      <c r="AD345" s="50" t="str">
        <f>MID(VLOOKUP($A345,Seqs!$A:$B,2,FALSE),VLOOKUP($A345,'SegEnds_NonXtal_Prot#'!$A:$AL,22,FALSE)+9,1)</f>
        <v>I</v>
      </c>
      <c r="AE345" s="50" t="str">
        <f>MID(VLOOKUP($A345,Seqs!$A:$B,2,FALSE),VLOOKUP($A345,'SegEnds_NonXtal_Prot#'!$A:$AL,22,FALSE)+10,1)</f>
        <v>W</v>
      </c>
      <c r="AF345" s="28" t="str">
        <f>MID(VLOOKUP($A345,Seqs!$A:$B,2,FALSE),VLOOKUP($A345,'SegEnds_NonXtal_Prot#'!$A:$AL,28,FALSE)-4,1)</f>
        <v>Y</v>
      </c>
      <c r="AG345" s="50" t="str">
        <f>MID(VLOOKUP($A345,Seqs!$A:$B,2,FALSE),VLOOKUP($A345,'SegEnds_NonXtal_Prot#'!$A:$AL,28,FALSE),1)</f>
        <v>L</v>
      </c>
    </row>
    <row r="346" spans="1:33" s="2" customFormat="1" x14ac:dyDescent="0.2">
      <c r="A346" s="2" t="s">
        <v>108</v>
      </c>
      <c r="B346" s="2" t="str">
        <f>LOWER(VLOOKUP(A346,Xtal_Templ!A:B,2,FALSE))</f>
        <v>grm1_human</v>
      </c>
      <c r="C346" s="2" t="str">
        <f>VLOOKUP(A346,Classification!A:D,2,FALSE)</f>
        <v>C</v>
      </c>
      <c r="D346" s="2" t="str">
        <f>IF(ISERROR(MATCH(A346,'SegEnds_Xtal_Prot#'!B:B, 0)), "NoXtal", "Xtal")</f>
        <v>NoXtal</v>
      </c>
      <c r="G346" s="4"/>
      <c r="T346" s="2" t="s">
        <v>1330</v>
      </c>
      <c r="U346" s="28" t="str">
        <f>MID(VLOOKUP($A346,Seqs!$A:$B,2,FALSE),VLOOKUP($A346,'SegEnds_NonXtal_Prot#'!A:AL,10,FALSE),1)</f>
        <v>S</v>
      </c>
      <c r="V346" s="50" t="str">
        <f>MID(VLOOKUP($A346,Seqs!$A:$B,2,FALSE),VLOOKUP($A346,'SegEnds_NonXtal_Prot#'!A:AL,10,FALSE)+6,1)</f>
        <v>S</v>
      </c>
      <c r="W346" s="50" t="str">
        <f>MID(VLOOKUP($A346,Seqs!$A:$B,2,FALSE),VLOOKUP($A346,'SegEnds_NonXtal_Prot#'!A:AL,10,FALSE)+7,1)</f>
        <v>A</v>
      </c>
      <c r="X346" s="50" t="str">
        <f>MID(VLOOKUP($A346,Seqs!$A:$B,2,FALSE),VLOOKUP($A346,'SegEnds_NonXtal_Prot#'!A:AL,10,FALSE)+8,1)</f>
        <v>Y</v>
      </c>
      <c r="Y346" s="50" t="str">
        <f>MID(VLOOKUP($A346,Seqs!$A:$B,2,FALSE),VLOOKUP($A346,'SegEnds_NonXtal_Prot#'!A:AL,10,FALSE)+9,1)</f>
        <v>L</v>
      </c>
      <c r="Z346" s="50" t="str">
        <f>MID(VLOOKUP($A346,Seqs!$A:$B,2,FALSE),VLOOKUP($A346,'SegEnds_NonXtal_Prot#'!A:AL,10,FALSE)+10,1)</f>
        <v>F</v>
      </c>
      <c r="AA346" s="28" t="str">
        <f>MID(VLOOKUP($A346,Seqs!$A:$B,2,FALSE),VLOOKUP($A346,'SegEnds_NonXtal_Prot#'!$A:$AL,22,FALSE)+6,1)</f>
        <v>L</v>
      </c>
      <c r="AB346" s="50" t="str">
        <f>MID(VLOOKUP($A346,Seqs!$A:$B,2,FALSE),VLOOKUP($A346,'SegEnds_NonXtal_Prot#'!$A:$AL,22,FALSE)+7,1)</f>
        <v>L</v>
      </c>
      <c r="AC346" s="50" t="str">
        <f>MID(VLOOKUP($A346,Seqs!$A:$B,2,FALSE),VLOOKUP($A346,'SegEnds_NonXtal_Prot#'!$A:$AL,22,FALSE)+8,1)</f>
        <v>M</v>
      </c>
      <c r="AD346" s="50" t="str">
        <f>MID(VLOOKUP($A346,Seqs!$A:$B,2,FALSE),VLOOKUP($A346,'SegEnds_NonXtal_Prot#'!$A:$AL,22,FALSE)+9,1)</f>
        <v>T</v>
      </c>
      <c r="AE346" s="50" t="str">
        <f>MID(VLOOKUP($A346,Seqs!$A:$B,2,FALSE),VLOOKUP($A346,'SegEnds_NonXtal_Prot#'!$A:$AL,22,FALSE)+10,1)</f>
        <v>W</v>
      </c>
      <c r="AF346" s="28" t="str">
        <f>MID(VLOOKUP($A346,Seqs!$A:$B,2,FALSE),VLOOKUP($A346,'SegEnds_NonXtal_Prot#'!$A:$AL,28,FALSE)-4,1)</f>
        <v>C</v>
      </c>
      <c r="AG346" s="50" t="str">
        <f>MID(VLOOKUP($A346,Seqs!$A:$B,2,FALSE),VLOOKUP($A346,'SegEnds_NonXtal_Prot#'!$A:$AL,28,FALSE),1)</f>
        <v>L</v>
      </c>
    </row>
    <row r="347" spans="1:33" s="2" customFormat="1" x14ac:dyDescent="0.2">
      <c r="A347" s="2" t="s">
        <v>109</v>
      </c>
      <c r="B347" s="2" t="str">
        <f>LOWER(VLOOKUP(A347,Xtal_Templ!A:B,2,FALSE))</f>
        <v>grm1_human</v>
      </c>
      <c r="C347" s="2" t="str">
        <f>VLOOKUP(A347,Classification!A:D,2,FALSE)</f>
        <v>C</v>
      </c>
      <c r="D347" s="2" t="str">
        <f>IF(ISERROR(MATCH(A347,'SegEnds_Xtal_Prot#'!B:B, 0)), "NoXtal", "Xtal")</f>
        <v>NoXtal</v>
      </c>
      <c r="G347" s="4"/>
      <c r="T347" s="2" t="s">
        <v>1330</v>
      </c>
      <c r="U347" s="28" t="str">
        <f>MID(VLOOKUP($A347,Seqs!$A:$B,2,FALSE),VLOOKUP($A347,'SegEnds_NonXtal_Prot#'!A:AL,10,FALSE),1)</f>
        <v>S</v>
      </c>
      <c r="V347" s="50" t="str">
        <f>MID(VLOOKUP($A347,Seqs!$A:$B,2,FALSE),VLOOKUP($A347,'SegEnds_NonXtal_Prot#'!A:AL,10,FALSE)+6,1)</f>
        <v>P</v>
      </c>
      <c r="W347" s="50" t="str">
        <f>MID(VLOOKUP($A347,Seqs!$A:$B,2,FALSE),VLOOKUP($A347,'SegEnds_NonXtal_Prot#'!A:AL,10,FALSE)+7,1)</f>
        <v>V</v>
      </c>
      <c r="X347" s="50" t="str">
        <f>MID(VLOOKUP($A347,Seqs!$A:$B,2,FALSE),VLOOKUP($A347,'SegEnds_NonXtal_Prot#'!A:AL,10,FALSE)+8,1)</f>
        <v>V</v>
      </c>
      <c r="Y347" s="50" t="str">
        <f>MID(VLOOKUP($A347,Seqs!$A:$B,2,FALSE),VLOOKUP($A347,'SegEnds_NonXtal_Prot#'!A:AL,10,FALSE)+9,1)</f>
        <v>I</v>
      </c>
      <c r="Z347" s="50" t="str">
        <f>MID(VLOOKUP($A347,Seqs!$A:$B,2,FALSE),VLOOKUP($A347,'SegEnds_NonXtal_Prot#'!A:AL,10,FALSE)+10,1)</f>
        <v>L</v>
      </c>
      <c r="AA347" s="28" t="str">
        <f>MID(VLOOKUP($A347,Seqs!$A:$B,2,FALSE),VLOOKUP($A347,'SegEnds_NonXtal_Prot#'!$A:$AL,22,FALSE)+6,1)</f>
        <v>L</v>
      </c>
      <c r="AB347" s="50" t="str">
        <f>MID(VLOOKUP($A347,Seqs!$A:$B,2,FALSE),VLOOKUP($A347,'SegEnds_NonXtal_Prot#'!$A:$AL,22,FALSE)+7,1)</f>
        <v>A</v>
      </c>
      <c r="AC347" s="50" t="str">
        <f>MID(VLOOKUP($A347,Seqs!$A:$B,2,FALSE),VLOOKUP($A347,'SegEnds_NonXtal_Prot#'!$A:$AL,22,FALSE)+8,1)</f>
        <v>V</v>
      </c>
      <c r="AD347" s="50" t="str">
        <f>MID(VLOOKUP($A347,Seqs!$A:$B,2,FALSE),VLOOKUP($A347,'SegEnds_NonXtal_Prot#'!$A:$AL,22,FALSE)+9,1)</f>
        <v>I</v>
      </c>
      <c r="AE347" s="50" t="str">
        <f>MID(VLOOKUP($A347,Seqs!$A:$B,2,FALSE),VLOOKUP($A347,'SegEnds_NonXtal_Prot#'!$A:$AL,22,FALSE)+10,1)</f>
        <v>L</v>
      </c>
      <c r="AF347" s="28" t="str">
        <f>MID(VLOOKUP($A347,Seqs!$A:$B,2,FALSE),VLOOKUP($A347,'SegEnds_NonXtal_Prot#'!$A:$AL,28,FALSE)-4,1)</f>
        <v>A</v>
      </c>
      <c r="AG347" s="50" t="str">
        <f>MID(VLOOKUP($A347,Seqs!$A:$B,2,FALSE),VLOOKUP($A347,'SegEnds_NonXtal_Prot#'!$A:$AL,28,FALSE),1)</f>
        <v>F</v>
      </c>
    </row>
    <row r="348" spans="1:33" s="2" customFormat="1" x14ac:dyDescent="0.2">
      <c r="A348" s="2" t="s">
        <v>110</v>
      </c>
      <c r="B348" s="2" t="str">
        <f>LOWER(VLOOKUP(A348,Xtal_Templ!A:B,2,FALSE))</f>
        <v>grm1_human</v>
      </c>
      <c r="C348" s="2" t="str">
        <f>VLOOKUP(A348,Classification!A:D,2,FALSE)</f>
        <v>C</v>
      </c>
      <c r="D348" s="2" t="str">
        <f>IF(ISERROR(MATCH(A348,'SegEnds_Xtal_Prot#'!B:B, 0)), "NoXtal", "Xtal")</f>
        <v>NoXtal</v>
      </c>
      <c r="G348" s="4"/>
      <c r="T348" s="2" t="s">
        <v>1330</v>
      </c>
      <c r="U348" s="28" t="str">
        <f>MID(VLOOKUP($A348,Seqs!$A:$B,2,FALSE),VLOOKUP($A348,'SegEnds_NonXtal_Prot#'!A:AL,10,FALSE),1)</f>
        <v>F</v>
      </c>
      <c r="V348" s="50" t="str">
        <f>MID(VLOOKUP($A348,Seqs!$A:$B,2,FALSE),VLOOKUP($A348,'SegEnds_NonXtal_Prot#'!A:AL,10,FALSE)+6,1)</f>
        <v>P</v>
      </c>
      <c r="W348" s="50" t="str">
        <f>MID(VLOOKUP($A348,Seqs!$A:$B,2,FALSE),VLOOKUP($A348,'SegEnds_NonXtal_Prot#'!A:AL,10,FALSE)+7,1)</f>
        <v>V</v>
      </c>
      <c r="X348" s="50" t="str">
        <f>MID(VLOOKUP($A348,Seqs!$A:$B,2,FALSE),VLOOKUP($A348,'SegEnds_NonXtal_Prot#'!A:AL,10,FALSE)+8,1)</f>
        <v>F</v>
      </c>
      <c r="Y348" s="50" t="str">
        <f>MID(VLOOKUP($A348,Seqs!$A:$B,2,FALSE),VLOOKUP($A348,'SegEnds_NonXtal_Prot#'!A:AL,10,FALSE)+9,1)</f>
        <v>I</v>
      </c>
      <c r="Z348" s="50" t="str">
        <f>MID(VLOOKUP($A348,Seqs!$A:$B,2,FALSE),VLOOKUP($A348,'SegEnds_NonXtal_Prot#'!A:AL,10,FALSE)+10,1)</f>
        <v>L</v>
      </c>
      <c r="AA348" s="28" t="str">
        <f>MID(VLOOKUP($A348,Seqs!$A:$B,2,FALSE),VLOOKUP($A348,'SegEnds_NonXtal_Prot#'!$A:$AL,22,FALSE)+6,1)</f>
        <v>L</v>
      </c>
      <c r="AB348" s="50" t="str">
        <f>MID(VLOOKUP($A348,Seqs!$A:$B,2,FALSE),VLOOKUP($A348,'SegEnds_NonXtal_Prot#'!$A:$AL,22,FALSE)+7,1)</f>
        <v>G</v>
      </c>
      <c r="AC348" s="50" t="str">
        <f>MID(VLOOKUP($A348,Seqs!$A:$B,2,FALSE),VLOOKUP($A348,'SegEnds_NonXtal_Prot#'!$A:$AL,22,FALSE)+8,1)</f>
        <v>L</v>
      </c>
      <c r="AD348" s="50" t="str">
        <f>MID(VLOOKUP($A348,Seqs!$A:$B,2,FALSE),VLOOKUP($A348,'SegEnds_NonXtal_Prot#'!$A:$AL,22,FALSE)+9,1)</f>
        <v>L</v>
      </c>
      <c r="AE348" s="50" t="str">
        <f>MID(VLOOKUP($A348,Seqs!$A:$B,2,FALSE),VLOOKUP($A348,'SegEnds_NonXtal_Prot#'!$A:$AL,22,FALSE)+10,1)</f>
        <v>L</v>
      </c>
      <c r="AF348" s="28" t="str">
        <f>MID(VLOOKUP($A348,Seqs!$A:$B,2,FALSE),VLOOKUP($A348,'SegEnds_NonXtal_Prot#'!$A:$AL,28,FALSE)-4,1)</f>
        <v>A</v>
      </c>
      <c r="AG348" s="50" t="str">
        <f>MID(VLOOKUP($A348,Seqs!$A:$B,2,FALSE),VLOOKUP($A348,'SegEnds_NonXtal_Prot#'!$A:$AL,28,FALSE),1)</f>
        <v>L</v>
      </c>
    </row>
    <row r="349" spans="1:33" s="2" customFormat="1" x14ac:dyDescent="0.2">
      <c r="A349" s="2" t="s">
        <v>111</v>
      </c>
      <c r="B349" s="2" t="str">
        <f>LOWER(VLOOKUP(A349,Xtal_Templ!A:B,2,FALSE))</f>
        <v>grm1_human</v>
      </c>
      <c r="C349" s="2" t="str">
        <f>VLOOKUP(A349,Classification!A:D,2,FALSE)</f>
        <v>C</v>
      </c>
      <c r="D349" s="2" t="str">
        <f>IF(ISERROR(MATCH(A349,'SegEnds_Xtal_Prot#'!B:B, 0)), "NoXtal", "Xtal")</f>
        <v>NoXtal</v>
      </c>
      <c r="G349" s="4"/>
      <c r="T349" s="2" t="s">
        <v>1330</v>
      </c>
      <c r="U349" s="28" t="str">
        <f>MID(VLOOKUP($A349,Seqs!$A:$B,2,FALSE),VLOOKUP($A349,'SegEnds_NonXtal_Prot#'!A:AL,10,FALSE),1)</f>
        <v>T</v>
      </c>
      <c r="V349" s="50" t="str">
        <f>MID(VLOOKUP($A349,Seqs!$A:$B,2,FALSE),VLOOKUP($A349,'SegEnds_NonXtal_Prot#'!A:AL,10,FALSE)+6,1)</f>
        <v>L</v>
      </c>
      <c r="W349" s="50" t="str">
        <f>MID(VLOOKUP($A349,Seqs!$A:$B,2,FALSE),VLOOKUP($A349,'SegEnds_NonXtal_Prot#'!A:AL,10,FALSE)+7,1)</f>
        <v>T</v>
      </c>
      <c r="X349" s="50" t="str">
        <f>MID(VLOOKUP($A349,Seqs!$A:$B,2,FALSE),VLOOKUP($A349,'SegEnds_NonXtal_Prot#'!A:AL,10,FALSE)+8,1)</f>
        <v>F</v>
      </c>
      <c r="Y349" s="50" t="str">
        <f>MID(VLOOKUP($A349,Seqs!$A:$B,2,FALSE),VLOOKUP($A349,'SegEnds_NonXtal_Prot#'!A:AL,10,FALSE)+9,1)</f>
        <v>A</v>
      </c>
      <c r="Z349" s="50" t="str">
        <f>MID(VLOOKUP($A349,Seqs!$A:$B,2,FALSE),VLOOKUP($A349,'SegEnds_NonXtal_Prot#'!A:AL,10,FALSE)+10,1)</f>
        <v>F</v>
      </c>
      <c r="AA349" s="28" t="str">
        <f>MID(VLOOKUP($A349,Seqs!$A:$B,2,FALSE),VLOOKUP($A349,'SegEnds_NonXtal_Prot#'!$A:$AL,22,FALSE)+6,1)</f>
        <v>I</v>
      </c>
      <c r="AB349" s="50" t="str">
        <f>MID(VLOOKUP($A349,Seqs!$A:$B,2,FALSE),VLOOKUP($A349,'SegEnds_NonXtal_Prot#'!$A:$AL,22,FALSE)+7,1)</f>
        <v>A</v>
      </c>
      <c r="AC349" s="50" t="str">
        <f>MID(VLOOKUP($A349,Seqs!$A:$B,2,FALSE),VLOOKUP($A349,'SegEnds_NonXtal_Prot#'!$A:$AL,22,FALSE)+8,1)</f>
        <v>V</v>
      </c>
      <c r="AD349" s="50" t="str">
        <f>MID(VLOOKUP($A349,Seqs!$A:$B,2,FALSE),VLOOKUP($A349,'SegEnds_NonXtal_Prot#'!$A:$AL,22,FALSE)+9,1)</f>
        <v>E</v>
      </c>
      <c r="AE349" s="50" t="str">
        <f>MID(VLOOKUP($A349,Seqs!$A:$B,2,FALSE),VLOOKUP($A349,'SegEnds_NonXtal_Prot#'!$A:$AL,22,FALSE)+10,1)</f>
        <v>W</v>
      </c>
      <c r="AF349" s="28" t="str">
        <f>MID(VLOOKUP($A349,Seqs!$A:$B,2,FALSE),VLOOKUP($A349,'SegEnds_NonXtal_Prot#'!$A:$AL,28,FALSE)-4,1)</f>
        <v>Y</v>
      </c>
      <c r="AG349" s="50" t="str">
        <f>MID(VLOOKUP($A349,Seqs!$A:$B,2,FALSE),VLOOKUP($A349,'SegEnds_NonXtal_Prot#'!$A:$AL,28,FALSE),1)</f>
        <v>L</v>
      </c>
    </row>
    <row r="350" spans="1:33" s="2" customFormat="1" x14ac:dyDescent="0.2">
      <c r="A350" s="2" t="s">
        <v>112</v>
      </c>
      <c r="B350" s="2" t="str">
        <f>LOWER(VLOOKUP(A350,Xtal_Templ!A:B,2,FALSE))</f>
        <v>grm1_human</v>
      </c>
      <c r="C350" s="2" t="str">
        <f>VLOOKUP(A350,Classification!A:D,2,FALSE)</f>
        <v>C</v>
      </c>
      <c r="D350" s="2" t="str">
        <f>IF(ISERROR(MATCH(A350,'SegEnds_Xtal_Prot#'!B:B, 0)), "NoXtal", "Xtal")</f>
        <v>NoXtal</v>
      </c>
      <c r="G350" s="4"/>
      <c r="T350" s="2" t="s">
        <v>1330</v>
      </c>
      <c r="U350" s="28" t="str">
        <f>MID(VLOOKUP($A350,Seqs!$A:$B,2,FALSE),VLOOKUP($A350,'SegEnds_NonXtal_Prot#'!A:AL,10,FALSE),1)</f>
        <v>T</v>
      </c>
      <c r="V350" s="50" t="str">
        <f>MID(VLOOKUP($A350,Seqs!$A:$B,2,FALSE),VLOOKUP($A350,'SegEnds_NonXtal_Prot#'!A:AL,10,FALSE)+6,1)</f>
        <v>L</v>
      </c>
      <c r="W350" s="50" t="str">
        <f>MID(VLOOKUP($A350,Seqs!$A:$B,2,FALSE),VLOOKUP($A350,'SegEnds_NonXtal_Prot#'!A:AL,10,FALSE)+7,1)</f>
        <v>V</v>
      </c>
      <c r="X350" s="50" t="str">
        <f>MID(VLOOKUP($A350,Seqs!$A:$B,2,FALSE),VLOOKUP($A350,'SegEnds_NonXtal_Prot#'!A:AL,10,FALSE)+8,1)</f>
        <v>F</v>
      </c>
      <c r="Y350" s="50" t="str">
        <f>MID(VLOOKUP($A350,Seqs!$A:$B,2,FALSE),VLOOKUP($A350,'SegEnds_NonXtal_Prot#'!A:AL,10,FALSE)+9,1)</f>
        <v>A</v>
      </c>
      <c r="Z350" s="50" t="str">
        <f>MID(VLOOKUP($A350,Seqs!$A:$B,2,FALSE),VLOOKUP($A350,'SegEnds_NonXtal_Prot#'!A:AL,10,FALSE)+10,1)</f>
        <v>C</v>
      </c>
      <c r="AA350" s="28" t="str">
        <f>MID(VLOOKUP($A350,Seqs!$A:$B,2,FALSE),VLOOKUP($A350,'SegEnds_NonXtal_Prot#'!$A:$AL,22,FALSE)+6,1)</f>
        <v>I</v>
      </c>
      <c r="AB350" s="50" t="str">
        <f>MID(VLOOKUP($A350,Seqs!$A:$B,2,FALSE),VLOOKUP($A350,'SegEnds_NonXtal_Prot#'!$A:$AL,22,FALSE)+7,1)</f>
        <v>N</v>
      </c>
      <c r="AC350" s="50" t="str">
        <f>MID(VLOOKUP($A350,Seqs!$A:$B,2,FALSE),VLOOKUP($A350,'SegEnds_NonXtal_Prot#'!$A:$AL,22,FALSE)+8,1)</f>
        <v>T</v>
      </c>
      <c r="AD350" s="50" t="str">
        <f>MID(VLOOKUP($A350,Seqs!$A:$B,2,FALSE),VLOOKUP($A350,'SegEnds_NonXtal_Prot#'!$A:$AL,22,FALSE)+9,1)</f>
        <v>E</v>
      </c>
      <c r="AE350" s="50" t="str">
        <f>MID(VLOOKUP($A350,Seqs!$A:$B,2,FALSE),VLOOKUP($A350,'SegEnds_NonXtal_Prot#'!$A:$AL,22,FALSE)+10,1)</f>
        <v>W</v>
      </c>
      <c r="AF350" s="28" t="str">
        <f>MID(VLOOKUP($A350,Seqs!$A:$B,2,FALSE),VLOOKUP($A350,'SegEnds_NonXtal_Prot#'!$A:$AL,28,FALSE)-4,1)</f>
        <v>Y</v>
      </c>
      <c r="AG350" s="50" t="str">
        <f>MID(VLOOKUP($A350,Seqs!$A:$B,2,FALSE),VLOOKUP($A350,'SegEnds_NonXtal_Prot#'!$A:$AL,28,FALSE),1)</f>
        <v>L</v>
      </c>
    </row>
    <row r="351" spans="1:33" s="2" customFormat="1" x14ac:dyDescent="0.2">
      <c r="A351" s="2" t="s">
        <v>113</v>
      </c>
      <c r="B351" s="2" t="str">
        <f>LOWER(VLOOKUP(A351,Xtal_Templ!A:B,2,FALSE))</f>
        <v>grm1_human</v>
      </c>
      <c r="C351" s="2" t="str">
        <f>VLOOKUP(A351,Classification!A:D,2,FALSE)</f>
        <v>C</v>
      </c>
      <c r="D351" s="2" t="str">
        <f>IF(ISERROR(MATCH(A351,'SegEnds_Xtal_Prot#'!B:B, 0)), "NoXtal", "Xtal")</f>
        <v>NoXtal</v>
      </c>
      <c r="G351" s="4"/>
      <c r="T351" s="2" t="s">
        <v>1330</v>
      </c>
      <c r="U351" s="28" t="str">
        <f>MID(VLOOKUP($A351,Seqs!$A:$B,2,FALSE),VLOOKUP($A351,'SegEnds_NonXtal_Prot#'!A:AL,10,FALSE),1)</f>
        <v>V</v>
      </c>
      <c r="V351" s="50" t="str">
        <f>MID(VLOOKUP($A351,Seqs!$A:$B,2,FALSE),VLOOKUP($A351,'SegEnds_NonXtal_Prot#'!A:AL,10,FALSE)+6,1)</f>
        <v>L</v>
      </c>
      <c r="W351" s="50" t="str">
        <f>MID(VLOOKUP($A351,Seqs!$A:$B,2,FALSE),VLOOKUP($A351,'SegEnds_NonXtal_Prot#'!A:AL,10,FALSE)+7,1)</f>
        <v>A</v>
      </c>
      <c r="X351" s="50" t="str">
        <f>MID(VLOOKUP($A351,Seqs!$A:$B,2,FALSE),VLOOKUP($A351,'SegEnds_NonXtal_Prot#'!A:AL,10,FALSE)+8,1)</f>
        <v>F</v>
      </c>
      <c r="Y351" s="50" t="str">
        <f>MID(VLOOKUP($A351,Seqs!$A:$B,2,FALSE),VLOOKUP($A351,'SegEnds_NonXtal_Prot#'!A:AL,10,FALSE)+9,1)</f>
        <v>A</v>
      </c>
      <c r="Z351" s="50" t="str">
        <f>MID(VLOOKUP($A351,Seqs!$A:$B,2,FALSE),VLOOKUP($A351,'SegEnds_NonXtal_Prot#'!A:AL,10,FALSE)+10,1)</f>
        <v>F</v>
      </c>
      <c r="AA351" s="28" t="str">
        <f>MID(VLOOKUP($A351,Seqs!$A:$B,2,FALSE),VLOOKUP($A351,'SegEnds_NonXtal_Prot#'!$A:$AL,22,FALSE)+6,1)</f>
        <v>I</v>
      </c>
      <c r="AB351" s="50" t="str">
        <f>MID(VLOOKUP($A351,Seqs!$A:$B,2,FALSE),VLOOKUP($A351,'SegEnds_NonXtal_Prot#'!$A:$AL,22,FALSE)+7,1)</f>
        <v>A</v>
      </c>
      <c r="AC351" s="50" t="str">
        <f>MID(VLOOKUP($A351,Seqs!$A:$B,2,FALSE),VLOOKUP($A351,'SegEnds_NonXtal_Prot#'!$A:$AL,22,FALSE)+8,1)</f>
        <v>T</v>
      </c>
      <c r="AD351" s="50" t="str">
        <f>MID(VLOOKUP($A351,Seqs!$A:$B,2,FALSE),VLOOKUP($A351,'SegEnds_NonXtal_Prot#'!$A:$AL,22,FALSE)+9,1)</f>
        <v>E</v>
      </c>
      <c r="AE351" s="50" t="str">
        <f>MID(VLOOKUP($A351,Seqs!$A:$B,2,FALSE),VLOOKUP($A351,'SegEnds_NonXtal_Prot#'!$A:$AL,22,FALSE)+10,1)</f>
        <v>Y</v>
      </c>
      <c r="AF351" s="28" t="str">
        <f>MID(VLOOKUP($A351,Seqs!$A:$B,2,FALSE),VLOOKUP($A351,'SegEnds_NonXtal_Prot#'!$A:$AL,28,FALSE)-4,1)</f>
        <v>Y</v>
      </c>
      <c r="AG351" s="50" t="str">
        <f>MID(VLOOKUP($A351,Seqs!$A:$B,2,FALSE),VLOOKUP($A351,'SegEnds_NonXtal_Prot#'!$A:$AL,28,FALSE),1)</f>
        <v>L</v>
      </c>
    </row>
    <row r="352" spans="1:33" s="2" customFormat="1" x14ac:dyDescent="0.2">
      <c r="A352" s="2" t="s">
        <v>114</v>
      </c>
      <c r="B352" s="2" t="str">
        <f>LOWER(VLOOKUP(A352,Xtal_Templ!A:B,2,FALSE))</f>
        <v>grm1_human</v>
      </c>
      <c r="C352" s="2" t="str">
        <f>VLOOKUP(A352,Classification!A:D,2,FALSE)</f>
        <v>C</v>
      </c>
      <c r="D352" s="2" t="str">
        <f>IF(ISERROR(MATCH(A352,'SegEnds_Xtal_Prot#'!B:B, 0)), "NoXtal", "Xtal")</f>
        <v>NoXtal</v>
      </c>
      <c r="G352" s="4"/>
      <c r="T352" s="2" t="s">
        <v>1330</v>
      </c>
      <c r="U352" s="28" t="str">
        <f>MID(VLOOKUP($A352,Seqs!$A:$B,2,FALSE),VLOOKUP($A352,'SegEnds_NonXtal_Prot#'!A:AL,10,FALSE),1)</f>
        <v>H</v>
      </c>
      <c r="V352" s="50" t="str">
        <f>MID(VLOOKUP($A352,Seqs!$A:$B,2,FALSE),VLOOKUP($A352,'SegEnds_NonXtal_Prot#'!A:AL,10,FALSE)+6,1)</f>
        <v>S</v>
      </c>
      <c r="W352" s="50" t="str">
        <f>MID(VLOOKUP($A352,Seqs!$A:$B,2,FALSE),VLOOKUP($A352,'SegEnds_NonXtal_Prot#'!A:AL,10,FALSE)+7,1)</f>
        <v>T</v>
      </c>
      <c r="X352" s="50" t="str">
        <f>MID(VLOOKUP($A352,Seqs!$A:$B,2,FALSE),VLOOKUP($A352,'SegEnds_NonXtal_Prot#'!A:AL,10,FALSE)+8,1)</f>
        <v>S</v>
      </c>
      <c r="Y352" s="50" t="str">
        <f>MID(VLOOKUP($A352,Seqs!$A:$B,2,FALSE),VLOOKUP($A352,'SegEnds_NonXtal_Prot#'!A:AL,10,FALSE)+9,1)</f>
        <v>F</v>
      </c>
      <c r="Z352" s="50" t="str">
        <f>MID(VLOOKUP($A352,Seqs!$A:$B,2,FALSE),VLOOKUP($A352,'SegEnds_NonXtal_Prot#'!A:AL,10,FALSE)+10,1)</f>
        <v>F</v>
      </c>
      <c r="AA352" s="28" t="str">
        <f>MID(VLOOKUP($A352,Seqs!$A:$B,2,FALSE),VLOOKUP($A352,'SegEnds_NonXtal_Prot#'!$A:$AL,22,FALSE)+6,1)</f>
        <v>I</v>
      </c>
      <c r="AB352" s="50" t="str">
        <f>MID(VLOOKUP($A352,Seqs!$A:$B,2,FALSE),VLOOKUP($A352,'SegEnds_NonXtal_Prot#'!$A:$AL,22,FALSE)+7,1)</f>
        <v>C</v>
      </c>
      <c r="AC352" s="50" t="str">
        <f>MID(VLOOKUP($A352,Seqs!$A:$B,2,FALSE),VLOOKUP($A352,'SegEnds_NonXtal_Prot#'!$A:$AL,22,FALSE)+8,1)</f>
        <v>T</v>
      </c>
      <c r="AD352" s="50" t="str">
        <f>MID(VLOOKUP($A352,Seqs!$A:$B,2,FALSE),VLOOKUP($A352,'SegEnds_NonXtal_Prot#'!$A:$AL,22,FALSE)+9,1)</f>
        <v>L</v>
      </c>
      <c r="AE352" s="50" t="str">
        <f>MID(VLOOKUP($A352,Seqs!$A:$B,2,FALSE),VLOOKUP($A352,'SegEnds_NonXtal_Prot#'!$A:$AL,22,FALSE)+10,1)</f>
        <v>W</v>
      </c>
      <c r="AF352" s="28" t="str">
        <f>MID(VLOOKUP($A352,Seqs!$A:$B,2,FALSE),VLOOKUP($A352,'SegEnds_NonXtal_Prot#'!$A:$AL,28,FALSE)-4,1)</f>
        <v>Y</v>
      </c>
      <c r="AG352" s="50" t="str">
        <f>MID(VLOOKUP($A352,Seqs!$A:$B,2,FALSE),VLOOKUP($A352,'SegEnds_NonXtal_Prot#'!$A:$AL,28,FALSE),1)</f>
        <v>L</v>
      </c>
    </row>
    <row r="353" spans="1:33" s="2" customFormat="1" x14ac:dyDescent="0.2">
      <c r="A353" s="2" t="s">
        <v>40</v>
      </c>
      <c r="B353" s="2" t="str">
        <f>LOWER(VLOOKUP(A353,Xtal_Templ!A:B,2,FALSE))</f>
        <v>grm1_human</v>
      </c>
      <c r="C353" s="2" t="str">
        <f>VLOOKUP(A353,Classification!A:D,2,FALSE)</f>
        <v>C</v>
      </c>
      <c r="D353" s="2" t="str">
        <f>IF(ISERROR(MATCH(A353,'SegEnds_Xtal_Prot#'!B:B, 0)), "NoXtal", "Xtal")</f>
        <v>Xtal</v>
      </c>
      <c r="G353" s="4"/>
      <c r="T353" s="2" t="s">
        <v>1330</v>
      </c>
      <c r="U353" s="28" t="str">
        <f>MID(VLOOKUP($A353,Seqs!$A:$B,2,FALSE),VLOOKUP($A353,'SegEnds_NonXtal_Prot#'!A:AL,10,FALSE),1)</f>
        <v>I</v>
      </c>
      <c r="V353" s="50" t="str">
        <f>MID(VLOOKUP($A353,Seqs!$A:$B,2,FALSE),VLOOKUP($A353,'SegEnds_NonXtal_Prot#'!A:AL,10,FALSE)+6,1)</f>
        <v>C</v>
      </c>
      <c r="W353" s="50" t="str">
        <f>MID(VLOOKUP($A353,Seqs!$A:$B,2,FALSE),VLOOKUP($A353,'SegEnds_NonXtal_Prot#'!A:AL,10,FALSE)+7,1)</f>
        <v>P</v>
      </c>
      <c r="X353" s="50" t="str">
        <f>MID(VLOOKUP($A353,Seqs!$A:$B,2,FALSE),VLOOKUP($A353,'SegEnds_NonXtal_Prot#'!A:AL,10,FALSE)+8,1)</f>
        <v>F</v>
      </c>
      <c r="Y353" s="50" t="str">
        <f>MID(VLOOKUP($A353,Seqs!$A:$B,2,FALSE),VLOOKUP($A353,'SegEnds_NonXtal_Prot#'!A:AL,10,FALSE)+9,1)</f>
        <v>T</v>
      </c>
      <c r="Z353" s="50" t="str">
        <f>MID(VLOOKUP($A353,Seqs!$A:$B,2,FALSE),VLOOKUP($A353,'SegEnds_NonXtal_Prot#'!A:AL,10,FALSE)+10,1)</f>
        <v>L</v>
      </c>
      <c r="AA353" s="28" t="str">
        <f>MID(VLOOKUP($A353,Seqs!$A:$B,2,FALSE),VLOOKUP($A353,'SegEnds_NonXtal_Prot#'!$A:$AL,22,FALSE)+6,1)</f>
        <v>L</v>
      </c>
      <c r="AB353" s="50" t="str">
        <f>MID(VLOOKUP($A353,Seqs!$A:$B,2,FALSE),VLOOKUP($A353,'SegEnds_NonXtal_Prot#'!$A:$AL,22,FALSE)+7,1)</f>
        <v>V</v>
      </c>
      <c r="AC353" s="50" t="str">
        <f>MID(VLOOKUP($A353,Seqs!$A:$B,2,FALSE),VLOOKUP($A353,'SegEnds_NonXtal_Prot#'!$A:$AL,22,FALSE)+8,1)</f>
        <v>V</v>
      </c>
      <c r="AD353" s="50" t="str">
        <f>MID(VLOOKUP($A353,Seqs!$A:$B,2,FALSE),VLOOKUP($A353,'SegEnds_NonXtal_Prot#'!$A:$AL,22,FALSE)+9,1)</f>
        <v>T</v>
      </c>
      <c r="AE353" s="50" t="str">
        <f>MID(VLOOKUP($A353,Seqs!$A:$B,2,FALSE),VLOOKUP($A353,'SegEnds_NonXtal_Prot#'!$A:$AL,22,FALSE)+10,1)</f>
        <v>L</v>
      </c>
      <c r="AF353" s="28" t="str">
        <f>MID(VLOOKUP($A353,Seqs!$A:$B,2,FALSE),VLOOKUP($A353,'SegEnds_NonXtal_Prot#'!$A:$AL,28,FALSE)-4,1)</f>
        <v>Y</v>
      </c>
      <c r="AG353" s="50" t="str">
        <f>MID(VLOOKUP($A353,Seqs!$A:$B,2,FALSE),VLOOKUP($A353,'SegEnds_NonXtal_Prot#'!$A:$AL,28,FALSE),1)</f>
        <v>L</v>
      </c>
    </row>
    <row r="354" spans="1:33" s="2" customFormat="1" x14ac:dyDescent="0.2">
      <c r="A354" s="2" t="s">
        <v>121</v>
      </c>
      <c r="B354" s="2" t="str">
        <f>LOWER(VLOOKUP(A354,Xtal_Templ!A:B,2,FALSE))</f>
        <v>grm1_human</v>
      </c>
      <c r="C354" s="2" t="str">
        <f>VLOOKUP(A354,Classification!A:D,2,FALSE)</f>
        <v>C</v>
      </c>
      <c r="D354" s="2" t="str">
        <f>IF(ISERROR(MATCH(A354,'SegEnds_Xtal_Prot#'!B:B, 0)), "NoXtal", "Xtal")</f>
        <v>NoXtal</v>
      </c>
      <c r="G354" s="4"/>
      <c r="T354" s="2" t="s">
        <v>1330</v>
      </c>
      <c r="U354" s="28" t="str">
        <f>MID(VLOOKUP($A354,Seqs!$A:$B,2,FALSE),VLOOKUP($A354,'SegEnds_NonXtal_Prot#'!A:AL,10,FALSE),1)</f>
        <v>V</v>
      </c>
      <c r="V354" s="50" t="str">
        <f>MID(VLOOKUP($A354,Seqs!$A:$B,2,FALSE),VLOOKUP($A354,'SegEnds_NonXtal_Prot#'!A:AL,10,FALSE)+6,1)</f>
        <v>L</v>
      </c>
      <c r="W354" s="50" t="str">
        <f>MID(VLOOKUP($A354,Seqs!$A:$B,2,FALSE),VLOOKUP($A354,'SegEnds_NonXtal_Prot#'!A:AL,10,FALSE)+7,1)</f>
        <v>T</v>
      </c>
      <c r="X354" s="50" t="str">
        <f>MID(VLOOKUP($A354,Seqs!$A:$B,2,FALSE),VLOOKUP($A354,'SegEnds_NonXtal_Prot#'!A:AL,10,FALSE)+8,1)</f>
        <v>F</v>
      </c>
      <c r="Y354" s="50" t="str">
        <f>MID(VLOOKUP($A354,Seqs!$A:$B,2,FALSE),VLOOKUP($A354,'SegEnds_NonXtal_Prot#'!A:AL,10,FALSE)+9,1)</f>
        <v>A</v>
      </c>
      <c r="Z354" s="50" t="str">
        <f>MID(VLOOKUP($A354,Seqs!$A:$B,2,FALSE),VLOOKUP($A354,'SegEnds_NonXtal_Prot#'!A:AL,10,FALSE)+10,1)</f>
        <v>F</v>
      </c>
      <c r="AA354" s="28" t="str">
        <f>MID(VLOOKUP($A354,Seqs!$A:$B,2,FALSE),VLOOKUP($A354,'SegEnds_NonXtal_Prot#'!$A:$AL,22,FALSE)+6,1)</f>
        <v>I</v>
      </c>
      <c r="AB354" s="50" t="str">
        <f>MID(VLOOKUP($A354,Seqs!$A:$B,2,FALSE),VLOOKUP($A354,'SegEnds_NonXtal_Prot#'!$A:$AL,22,FALSE)+7,1)</f>
        <v>A</v>
      </c>
      <c r="AC354" s="50" t="str">
        <f>MID(VLOOKUP($A354,Seqs!$A:$B,2,FALSE),VLOOKUP($A354,'SegEnds_NonXtal_Prot#'!$A:$AL,22,FALSE)+8,1)</f>
        <v>I</v>
      </c>
      <c r="AD354" s="50" t="str">
        <f>MID(VLOOKUP($A354,Seqs!$A:$B,2,FALSE),VLOOKUP($A354,'SegEnds_NonXtal_Prot#'!$A:$AL,22,FALSE)+9,1)</f>
        <v>E</v>
      </c>
      <c r="AE354" s="50" t="str">
        <f>MID(VLOOKUP($A354,Seqs!$A:$B,2,FALSE),VLOOKUP($A354,'SegEnds_NonXtal_Prot#'!$A:$AL,22,FALSE)+10,1)</f>
        <v>Y</v>
      </c>
      <c r="AF354" s="28" t="str">
        <f>MID(VLOOKUP($A354,Seqs!$A:$B,2,FALSE),VLOOKUP($A354,'SegEnds_NonXtal_Prot#'!$A:$AL,28,FALSE)-4,1)</f>
        <v>Y</v>
      </c>
      <c r="AG354" s="50" t="str">
        <f>MID(VLOOKUP($A354,Seqs!$A:$B,2,FALSE),VLOOKUP($A354,'SegEnds_NonXtal_Prot#'!$A:$AL,28,FALSE),1)</f>
        <v>L</v>
      </c>
    </row>
    <row r="355" spans="1:33" s="2" customFormat="1" x14ac:dyDescent="0.2">
      <c r="A355" s="2" t="s">
        <v>122</v>
      </c>
      <c r="B355" s="2" t="str">
        <f>LOWER(VLOOKUP(A355,Xtal_Templ!A:B,2,FALSE))</f>
        <v>grm1_human</v>
      </c>
      <c r="C355" s="2" t="str">
        <f>VLOOKUP(A355,Classification!A:D,2,FALSE)</f>
        <v>C</v>
      </c>
      <c r="D355" s="2" t="str">
        <f>IF(ISERROR(MATCH(A355,'SegEnds_Xtal_Prot#'!B:B, 0)), "NoXtal", "Xtal")</f>
        <v>NoXtal</v>
      </c>
      <c r="G355" s="4"/>
      <c r="T355" s="2" t="s">
        <v>1330</v>
      </c>
      <c r="U355" s="28" t="str">
        <f>MID(VLOOKUP($A355,Seqs!$A:$B,2,FALSE),VLOOKUP($A355,'SegEnds_NonXtal_Prot#'!A:AL,10,FALSE),1)</f>
        <v>L</v>
      </c>
      <c r="V355" s="50" t="str">
        <f>MID(VLOOKUP($A355,Seqs!$A:$B,2,FALSE),VLOOKUP($A355,'SegEnds_NonXtal_Prot#'!A:AL,10,FALSE)+6,1)</f>
        <v>S</v>
      </c>
      <c r="W355" s="50" t="str">
        <f>MID(VLOOKUP($A355,Seqs!$A:$B,2,FALSE),VLOOKUP($A355,'SegEnds_NonXtal_Prot#'!A:AL,10,FALSE)+7,1)</f>
        <v>L</v>
      </c>
      <c r="X355" s="50" t="str">
        <f>MID(VLOOKUP($A355,Seqs!$A:$B,2,FALSE),VLOOKUP($A355,'SegEnds_NonXtal_Prot#'!A:AL,10,FALSE)+8,1)</f>
        <v>Y</v>
      </c>
      <c r="Y355" s="50" t="str">
        <f>MID(VLOOKUP($A355,Seqs!$A:$B,2,FALSE),VLOOKUP($A355,'SegEnds_NonXtal_Prot#'!A:AL,10,FALSE)+9,1)</f>
        <v>G</v>
      </c>
      <c r="Z355" s="50" t="str">
        <f>MID(VLOOKUP($A355,Seqs!$A:$B,2,FALSE),VLOOKUP($A355,'SegEnds_NonXtal_Prot#'!A:AL,10,FALSE)+10,1)</f>
        <v>F</v>
      </c>
      <c r="AA355" s="28" t="str">
        <f>MID(VLOOKUP($A355,Seqs!$A:$B,2,FALSE),VLOOKUP($A355,'SegEnds_NonXtal_Prot#'!$A:$AL,22,FALSE)+6,1)</f>
        <v>I</v>
      </c>
      <c r="AB355" s="50" t="str">
        <f>MID(VLOOKUP($A355,Seqs!$A:$B,2,FALSE),VLOOKUP($A355,'SegEnds_NonXtal_Prot#'!$A:$AL,22,FALSE)+7,1)</f>
        <v>C</v>
      </c>
      <c r="AC355" s="50" t="str">
        <f>MID(VLOOKUP($A355,Seqs!$A:$B,2,FALSE),VLOOKUP($A355,'SegEnds_NonXtal_Prot#'!$A:$AL,22,FALSE)+8,1)</f>
        <v>L</v>
      </c>
      <c r="AD355" s="50" t="str">
        <f>MID(VLOOKUP($A355,Seqs!$A:$B,2,FALSE),VLOOKUP($A355,'SegEnds_NonXtal_Prot#'!$A:$AL,22,FALSE)+9,1)</f>
        <v>T</v>
      </c>
      <c r="AE355" s="50" t="str">
        <f>MID(VLOOKUP($A355,Seqs!$A:$B,2,FALSE),VLOOKUP($A355,'SegEnds_NonXtal_Prot#'!$A:$AL,22,FALSE)+10,1)</f>
        <v>W</v>
      </c>
      <c r="AF355" s="28" t="str">
        <f>MID(VLOOKUP($A355,Seqs!$A:$B,2,FALSE),VLOOKUP($A355,'SegEnds_NonXtal_Prot#'!$A:$AL,28,FALSE)-4,1)</f>
        <v>Y</v>
      </c>
      <c r="AG355" s="50" t="str">
        <f>MID(VLOOKUP($A355,Seqs!$A:$B,2,FALSE),VLOOKUP($A355,'SegEnds_NonXtal_Prot#'!$A:$AL,28,FALSE),1)</f>
        <v>L</v>
      </c>
    </row>
    <row r="356" spans="1:33" s="2" customFormat="1" x14ac:dyDescent="0.2">
      <c r="A356" s="2" t="s">
        <v>123</v>
      </c>
      <c r="B356" s="2" t="str">
        <f>LOWER(VLOOKUP(A356,Xtal_Templ!A:B,2,FALSE))</f>
        <v>grm1_human</v>
      </c>
      <c r="C356" s="2" t="str">
        <f>VLOOKUP(A356,Classification!A:D,2,FALSE)</f>
        <v>C</v>
      </c>
      <c r="D356" s="2" t="str">
        <f>IF(ISERROR(MATCH(A356,'SegEnds_Xtal_Prot#'!B:B, 0)), "NoXtal", "Xtal")</f>
        <v>NoXtal</v>
      </c>
      <c r="G356" s="4"/>
      <c r="T356" s="2" t="s">
        <v>1330</v>
      </c>
      <c r="U356" s="28" t="str">
        <f>MID(VLOOKUP($A356,Seqs!$A:$B,2,FALSE),VLOOKUP($A356,'SegEnds_NonXtal_Prot#'!A:AL,10,FALSE),1)</f>
        <v>L</v>
      </c>
      <c r="V356" s="50" t="str">
        <f>MID(VLOOKUP($A356,Seqs!$A:$B,2,FALSE),VLOOKUP($A356,'SegEnds_NonXtal_Prot#'!A:AL,10,FALSE)+6,1)</f>
        <v>V</v>
      </c>
      <c r="W356" s="50" t="str">
        <f>MID(VLOOKUP($A356,Seqs!$A:$B,2,FALSE),VLOOKUP($A356,'SegEnds_NonXtal_Prot#'!A:AL,10,FALSE)+7,1)</f>
        <v>V</v>
      </c>
      <c r="X356" s="50" t="str">
        <f>MID(VLOOKUP($A356,Seqs!$A:$B,2,FALSE),VLOOKUP($A356,'SegEnds_NonXtal_Prot#'!A:AL,10,FALSE)+8,1)</f>
        <v>P</v>
      </c>
      <c r="Y356" s="50" t="str">
        <f>MID(VLOOKUP($A356,Seqs!$A:$B,2,FALSE),VLOOKUP($A356,'SegEnds_NonXtal_Prot#'!A:AL,10,FALSE)+9,1)</f>
        <v>V</v>
      </c>
      <c r="Z356" s="50" t="str">
        <f>MID(VLOOKUP($A356,Seqs!$A:$B,2,FALSE),VLOOKUP($A356,'SegEnds_NonXtal_Prot#'!A:AL,10,FALSE)+10,1)</f>
        <v>Y</v>
      </c>
      <c r="AA356" s="28" t="str">
        <f>MID(VLOOKUP($A356,Seqs!$A:$B,2,FALSE),VLOOKUP($A356,'SegEnds_NonXtal_Prot#'!$A:$AL,22,FALSE)+6,1)</f>
        <v>I</v>
      </c>
      <c r="AB356" s="50" t="str">
        <f>MID(VLOOKUP($A356,Seqs!$A:$B,2,FALSE),VLOOKUP($A356,'SegEnds_NonXtal_Prot#'!$A:$AL,22,FALSE)+7,1)</f>
        <v>V</v>
      </c>
      <c r="AC356" s="50" t="str">
        <f>MID(VLOOKUP($A356,Seqs!$A:$B,2,FALSE),VLOOKUP($A356,'SegEnds_NonXtal_Prot#'!$A:$AL,22,FALSE)+8,1)</f>
        <v>V</v>
      </c>
      <c r="AD356" s="50" t="str">
        <f>MID(VLOOKUP($A356,Seqs!$A:$B,2,FALSE),VLOOKUP($A356,'SegEnds_NonXtal_Prot#'!$A:$AL,22,FALSE)+9,1)</f>
        <v>I</v>
      </c>
      <c r="AE356" s="50" t="str">
        <f>MID(VLOOKUP($A356,Seqs!$A:$B,2,FALSE),VLOOKUP($A356,'SegEnds_NonXtal_Prot#'!$A:$AL,22,FALSE)+10,1)</f>
        <v>G</v>
      </c>
      <c r="AF356" s="28" t="str">
        <f>MID(VLOOKUP($A356,Seqs!$A:$B,2,FALSE),VLOOKUP($A356,'SegEnds_NonXtal_Prot#'!$A:$AL,28,FALSE)-4,1)</f>
        <v>L</v>
      </c>
      <c r="AG356" s="50" t="str">
        <f>MID(VLOOKUP($A356,Seqs!$A:$B,2,FALSE),VLOOKUP($A356,'SegEnds_NonXtal_Prot#'!$A:$AL,28,FALSE),1)</f>
        <v>L</v>
      </c>
    </row>
    <row r="357" spans="1:33" s="2" customFormat="1" x14ac:dyDescent="0.2">
      <c r="A357" s="2" t="s">
        <v>124</v>
      </c>
      <c r="B357" s="2" t="str">
        <f>LOWER(VLOOKUP(A357,Xtal_Templ!A:B,2,FALSE))</f>
        <v>grm1_human</v>
      </c>
      <c r="C357" s="2" t="str">
        <f>VLOOKUP(A357,Classification!A:D,2,FALSE)</f>
        <v>C</v>
      </c>
      <c r="D357" s="2" t="str">
        <f>IF(ISERROR(MATCH(A357,'SegEnds_Xtal_Prot#'!B:B, 0)), "NoXtal", "Xtal")</f>
        <v>NoXtal</v>
      </c>
      <c r="G357" s="4"/>
      <c r="T357" s="2" t="s">
        <v>1330</v>
      </c>
      <c r="U357" s="28" t="str">
        <f>MID(VLOOKUP($A357,Seqs!$A:$B,2,FALSE),VLOOKUP($A357,'SegEnds_NonXtal_Prot#'!A:AL,10,FALSE),1)</f>
        <v>L</v>
      </c>
      <c r="V357" s="50" t="str">
        <f>MID(VLOOKUP($A357,Seqs!$A:$B,2,FALSE),VLOOKUP($A357,'SegEnds_NonXtal_Prot#'!A:AL,10,FALSE)+6,1)</f>
        <v>S</v>
      </c>
      <c r="W357" s="50" t="str">
        <f>MID(VLOOKUP($A357,Seqs!$A:$B,2,FALSE),VLOOKUP($A357,'SegEnds_NonXtal_Prot#'!A:AL,10,FALSE)+7,1)</f>
        <v>V</v>
      </c>
      <c r="X357" s="50" t="str">
        <f>MID(VLOOKUP($A357,Seqs!$A:$B,2,FALSE),VLOOKUP($A357,'SegEnds_NonXtal_Prot#'!A:AL,10,FALSE)+8,1)</f>
        <v>L</v>
      </c>
      <c r="Y357" s="50" t="str">
        <f>MID(VLOOKUP($A357,Seqs!$A:$B,2,FALSE),VLOOKUP($A357,'SegEnds_NonXtal_Prot#'!A:AL,10,FALSE)+9,1)</f>
        <v>L</v>
      </c>
      <c r="Z357" s="50" t="str">
        <f>MID(VLOOKUP($A357,Seqs!$A:$B,2,FALSE),VLOOKUP($A357,'SegEnds_NonXtal_Prot#'!A:AL,10,FALSE)+10,1)</f>
        <v>F</v>
      </c>
      <c r="AA357" s="28" t="str">
        <f>MID(VLOOKUP($A357,Seqs!$A:$B,2,FALSE),VLOOKUP($A357,'SegEnds_NonXtal_Prot#'!$A:$AL,22,FALSE)+6,1)</f>
        <v>L</v>
      </c>
      <c r="AB357" s="50" t="str">
        <f>MID(VLOOKUP($A357,Seqs!$A:$B,2,FALSE),VLOOKUP($A357,'SegEnds_NonXtal_Prot#'!$A:$AL,22,FALSE)+7,1)</f>
        <v>C</v>
      </c>
      <c r="AC357" s="50" t="str">
        <f>MID(VLOOKUP($A357,Seqs!$A:$B,2,FALSE),VLOOKUP($A357,'SegEnds_NonXtal_Prot#'!$A:$AL,22,FALSE)+8,1)</f>
        <v>T</v>
      </c>
      <c r="AD357" s="50" t="str">
        <f>MID(VLOOKUP($A357,Seqs!$A:$B,2,FALSE),VLOOKUP($A357,'SegEnds_NonXtal_Prot#'!$A:$AL,22,FALSE)+9,1)</f>
        <v>W</v>
      </c>
      <c r="AE357" s="50" t="str">
        <f>MID(VLOOKUP($A357,Seqs!$A:$B,2,FALSE),VLOOKUP($A357,'SegEnds_NonXtal_Prot#'!$A:$AL,22,FALSE)+10,1)</f>
        <v>Y</v>
      </c>
      <c r="AF357" s="28" t="str">
        <f>MID(VLOOKUP($A357,Seqs!$A:$B,2,FALSE),VLOOKUP($A357,'SegEnds_NonXtal_Prot#'!$A:$AL,28,FALSE)-4,1)</f>
        <v>T</v>
      </c>
      <c r="AG357" s="50" t="str">
        <f>MID(VLOOKUP($A357,Seqs!$A:$B,2,FALSE),VLOOKUP($A357,'SegEnds_NonXtal_Prot#'!$A:$AL,28,FALSE),1)</f>
        <v>L</v>
      </c>
    </row>
    <row r="358" spans="1:33" s="2" customFormat="1" x14ac:dyDescent="0.2">
      <c r="A358" s="2" t="s">
        <v>105</v>
      </c>
      <c r="B358" s="2" t="str">
        <f>LOWER(VLOOKUP(A358,Xtal_Templ!A:B,2,FALSE))</f>
        <v>grm5_human</v>
      </c>
      <c r="C358" s="2" t="str">
        <f>VLOOKUP(A358,Classification!A:D,2,FALSE)</f>
        <v>C</v>
      </c>
      <c r="D358" s="2" t="str">
        <f>IF(ISERROR(MATCH(A358,'SegEnds_Xtal_Prot#'!B:B, 0)), "NoXtal", "Xtal")</f>
        <v>NoXtal</v>
      </c>
      <c r="G358" s="4"/>
      <c r="T358" s="2" t="s">
        <v>1330</v>
      </c>
      <c r="U358" s="28" t="str">
        <f>MID(VLOOKUP($A358,Seqs!$A:$B,2,FALSE),VLOOKUP($A358,'SegEnds_NonXtal_Prot#'!A:AL,10,FALSE),1)</f>
        <v>L</v>
      </c>
      <c r="V358" s="50" t="str">
        <f>MID(VLOOKUP($A358,Seqs!$A:$B,2,FALSE),VLOOKUP($A358,'SegEnds_NonXtal_Prot#'!A:AL,10,FALSE)+6,1)</f>
        <v>S</v>
      </c>
      <c r="W358" s="50" t="str">
        <f>MID(VLOOKUP($A358,Seqs!$A:$B,2,FALSE),VLOOKUP($A358,'SegEnds_NonXtal_Prot#'!A:AL,10,FALSE)+7,1)</f>
        <v>S</v>
      </c>
      <c r="X358" s="50" t="str">
        <f>MID(VLOOKUP($A358,Seqs!$A:$B,2,FALSE),VLOOKUP($A358,'SegEnds_NonXtal_Prot#'!A:AL,10,FALSE)+8,1)</f>
        <v>L</v>
      </c>
      <c r="Y358" s="50" t="str">
        <f>MID(VLOOKUP($A358,Seqs!$A:$B,2,FALSE),VLOOKUP($A358,'SegEnds_NonXtal_Prot#'!A:AL,10,FALSE)+9,1)</f>
        <v>F</v>
      </c>
      <c r="Z358" s="50" t="str">
        <f>MID(VLOOKUP($A358,Seqs!$A:$B,2,FALSE),VLOOKUP($A358,'SegEnds_NonXtal_Prot#'!A:AL,10,FALSE)+10,1)</f>
        <v>F</v>
      </c>
      <c r="AA358" s="28" t="str">
        <f>MID(VLOOKUP($A358,Seqs!$A:$B,2,FALSE),VLOOKUP($A358,'SegEnds_NonXtal_Prot#'!$A:$AL,22,FALSE)+6,1)</f>
        <v>I</v>
      </c>
      <c r="AB358" s="50" t="str">
        <f>MID(VLOOKUP($A358,Seqs!$A:$B,2,FALSE),VLOOKUP($A358,'SegEnds_NonXtal_Prot#'!$A:$AL,22,FALSE)+7,1)</f>
        <v>C</v>
      </c>
      <c r="AC358" s="50" t="str">
        <f>MID(VLOOKUP($A358,Seqs!$A:$B,2,FALSE),VLOOKUP($A358,'SegEnds_NonXtal_Prot#'!$A:$AL,22,FALSE)+8,1)</f>
        <v>V</v>
      </c>
      <c r="AD358" s="50" t="str">
        <f>MID(VLOOKUP($A358,Seqs!$A:$B,2,FALSE),VLOOKUP($A358,'SegEnds_NonXtal_Prot#'!$A:$AL,22,FALSE)+9,1)</f>
        <v>I</v>
      </c>
      <c r="AE358" s="50" t="str">
        <f>MID(VLOOKUP($A358,Seqs!$A:$B,2,FALSE),VLOOKUP($A358,'SegEnds_NonXtal_Prot#'!$A:$AL,22,FALSE)+10,1)</f>
        <v>W</v>
      </c>
      <c r="AF358" s="28" t="str">
        <f>MID(VLOOKUP($A358,Seqs!$A:$B,2,FALSE),VLOOKUP($A358,'SegEnds_NonXtal_Prot#'!$A:$AL,28,FALSE)-4,1)</f>
        <v>Y</v>
      </c>
      <c r="AG358" s="50" t="str">
        <f>MID(VLOOKUP($A358,Seqs!$A:$B,2,FALSE),VLOOKUP($A358,'SegEnds_NonXtal_Prot#'!$A:$AL,28,FALSE),1)</f>
        <v>L</v>
      </c>
    </row>
    <row r="359" spans="1:33" s="2" customFormat="1" x14ac:dyDescent="0.2">
      <c r="A359" s="2" t="s">
        <v>107</v>
      </c>
      <c r="B359" s="2" t="str">
        <f>LOWER(VLOOKUP(A359,Xtal_Templ!A:B,2,FALSE))</f>
        <v>grm5_human</v>
      </c>
      <c r="C359" s="2" t="str">
        <f>VLOOKUP(A359,Classification!A:D,2,FALSE)</f>
        <v>C</v>
      </c>
      <c r="D359" s="2" t="str">
        <f>IF(ISERROR(MATCH(A359,'SegEnds_Xtal_Prot#'!B:B, 0)), "NoXtal", "Xtal")</f>
        <v>NoXtal</v>
      </c>
      <c r="G359" s="4"/>
      <c r="T359" s="2" t="s">
        <v>1330</v>
      </c>
      <c r="U359" s="28" t="str">
        <f>MID(VLOOKUP($A359,Seqs!$A:$B,2,FALSE),VLOOKUP($A359,'SegEnds_NonXtal_Prot#'!A:AL,10,FALSE),1)</f>
        <v>G</v>
      </c>
      <c r="V359" s="50" t="str">
        <f>MID(VLOOKUP($A359,Seqs!$A:$B,2,FALSE),VLOOKUP($A359,'SegEnds_NonXtal_Prot#'!A:AL,10,FALSE)+6,1)</f>
        <v>S</v>
      </c>
      <c r="W359" s="50" t="str">
        <f>MID(VLOOKUP($A359,Seqs!$A:$B,2,FALSE),VLOOKUP($A359,'SegEnds_NonXtal_Prot#'!A:AL,10,FALSE)+7,1)</f>
        <v>I</v>
      </c>
      <c r="X359" s="50" t="str">
        <f>MID(VLOOKUP($A359,Seqs!$A:$B,2,FALSE),VLOOKUP($A359,'SegEnds_NonXtal_Prot#'!A:AL,10,FALSE)+8,1)</f>
        <v>F</v>
      </c>
      <c r="Y359" s="50" t="str">
        <f>MID(VLOOKUP($A359,Seqs!$A:$B,2,FALSE),VLOOKUP($A359,'SegEnds_NonXtal_Prot#'!A:AL,10,FALSE)+9,1)</f>
        <v>L</v>
      </c>
      <c r="Z359" s="50" t="str">
        <f>MID(VLOOKUP($A359,Seqs!$A:$B,2,FALSE),VLOOKUP($A359,'SegEnds_NonXtal_Prot#'!A:AL,10,FALSE)+10,1)</f>
        <v>F</v>
      </c>
      <c r="AA359" s="28" t="str">
        <f>MID(VLOOKUP($A359,Seqs!$A:$B,2,FALSE),VLOOKUP($A359,'SegEnds_NonXtal_Prot#'!$A:$AL,22,FALSE)+6,1)</f>
        <v>I</v>
      </c>
      <c r="AB359" s="50" t="str">
        <f>MID(VLOOKUP($A359,Seqs!$A:$B,2,FALSE),VLOOKUP($A359,'SegEnds_NonXtal_Prot#'!$A:$AL,22,FALSE)+7,1)</f>
        <v>L</v>
      </c>
      <c r="AC359" s="50" t="str">
        <f>MID(VLOOKUP($A359,Seqs!$A:$B,2,FALSE),VLOOKUP($A359,'SegEnds_NonXtal_Prot#'!$A:$AL,22,FALSE)+8,1)</f>
        <v>I</v>
      </c>
      <c r="AD359" s="50" t="str">
        <f>MID(VLOOKUP($A359,Seqs!$A:$B,2,FALSE),VLOOKUP($A359,'SegEnds_NonXtal_Prot#'!$A:$AL,22,FALSE)+9,1)</f>
        <v>C</v>
      </c>
      <c r="AE359" s="50" t="str">
        <f>MID(VLOOKUP($A359,Seqs!$A:$B,2,FALSE),VLOOKUP($A359,'SegEnds_NonXtal_Prot#'!$A:$AL,22,FALSE)+10,1)</f>
        <v>W</v>
      </c>
      <c r="AF359" s="28" t="str">
        <f>MID(VLOOKUP($A359,Seqs!$A:$B,2,FALSE),VLOOKUP($A359,'SegEnds_NonXtal_Prot#'!$A:$AL,28,FALSE)-4,1)</f>
        <v>Y</v>
      </c>
      <c r="AG359" s="50" t="str">
        <f>MID(VLOOKUP($A359,Seqs!$A:$B,2,FALSE),VLOOKUP($A359,'SegEnds_NonXtal_Prot#'!$A:$AL,28,FALSE),1)</f>
        <v>L</v>
      </c>
    </row>
    <row r="360" spans="1:33" s="2" customFormat="1" x14ac:dyDescent="0.2">
      <c r="A360" s="2" t="s">
        <v>115</v>
      </c>
      <c r="B360" s="2" t="str">
        <f>LOWER(VLOOKUP(A360,Xtal_Templ!A:B,2,FALSE))</f>
        <v>grm5_human</v>
      </c>
      <c r="C360" s="2" t="str">
        <f>VLOOKUP(A360,Classification!A:D,2,FALSE)</f>
        <v>C</v>
      </c>
      <c r="D360" s="2" t="str">
        <f>IF(ISERROR(MATCH(A360,'SegEnds_Xtal_Prot#'!B:B, 0)), "NoXtal", "Xtal")</f>
        <v>NoXtal</v>
      </c>
      <c r="G360" s="4"/>
      <c r="T360" s="2" t="s">
        <v>1330</v>
      </c>
      <c r="U360" s="28" t="str">
        <f>MID(VLOOKUP($A360,Seqs!$A:$B,2,FALSE),VLOOKUP($A360,'SegEnds_NonXtal_Prot#'!A:AL,10,FALSE),1)</f>
        <v>V</v>
      </c>
      <c r="V360" s="50" t="str">
        <f>MID(VLOOKUP($A360,Seqs!$A:$B,2,FALSE),VLOOKUP($A360,'SegEnds_NonXtal_Prot#'!A:AL,10,FALSE)+6,1)</f>
        <v>M</v>
      </c>
      <c r="W360" s="50" t="str">
        <f>MID(VLOOKUP($A360,Seqs!$A:$B,2,FALSE),VLOOKUP($A360,'SegEnds_NonXtal_Prot#'!A:AL,10,FALSE)+7,1)</f>
        <v>T</v>
      </c>
      <c r="X360" s="50" t="str">
        <f>MID(VLOOKUP($A360,Seqs!$A:$B,2,FALSE),VLOOKUP($A360,'SegEnds_NonXtal_Prot#'!A:AL,10,FALSE)+8,1)</f>
        <v>F</v>
      </c>
      <c r="Y360" s="50" t="str">
        <f>MID(VLOOKUP($A360,Seqs!$A:$B,2,FALSE),VLOOKUP($A360,'SegEnds_NonXtal_Prot#'!A:AL,10,FALSE)+9,1)</f>
        <v>I</v>
      </c>
      <c r="Z360" s="50" t="str">
        <f>MID(VLOOKUP($A360,Seqs!$A:$B,2,FALSE),VLOOKUP($A360,'SegEnds_NonXtal_Prot#'!A:AL,10,FALSE)+10,1)</f>
        <v>F</v>
      </c>
      <c r="AA360" s="28" t="str">
        <f>MID(VLOOKUP($A360,Seqs!$A:$B,2,FALSE),VLOOKUP($A360,'SegEnds_NonXtal_Prot#'!$A:$AL,22,FALSE)+6,1)</f>
        <v>I</v>
      </c>
      <c r="AB360" s="50" t="str">
        <f>MID(VLOOKUP($A360,Seqs!$A:$B,2,FALSE),VLOOKUP($A360,'SegEnds_NonXtal_Prot#'!$A:$AL,22,FALSE)+7,1)</f>
        <v>V</v>
      </c>
      <c r="AC360" s="50" t="str">
        <f>MID(VLOOKUP($A360,Seqs!$A:$B,2,FALSE),VLOOKUP($A360,'SegEnds_NonXtal_Prot#'!$A:$AL,22,FALSE)+8,1)</f>
        <v>V</v>
      </c>
      <c r="AD360" s="50" t="str">
        <f>MID(VLOOKUP($A360,Seqs!$A:$B,2,FALSE),VLOOKUP($A360,'SegEnds_NonXtal_Prot#'!$A:$AL,22,FALSE)+9,1)</f>
        <v>A</v>
      </c>
      <c r="AE360" s="50" t="str">
        <f>MID(VLOOKUP($A360,Seqs!$A:$B,2,FALSE),VLOOKUP($A360,'SegEnds_NonXtal_Prot#'!$A:$AL,22,FALSE)+10,1)</f>
        <v>W</v>
      </c>
      <c r="AF360" s="28" t="str">
        <f>MID(VLOOKUP($A360,Seqs!$A:$B,2,FALSE),VLOOKUP($A360,'SegEnds_NonXtal_Prot#'!$A:$AL,28,FALSE)-4,1)</f>
        <v>Y</v>
      </c>
      <c r="AG360" s="50" t="str">
        <f>MID(VLOOKUP($A360,Seqs!$A:$B,2,FALSE),VLOOKUP($A360,'SegEnds_NonXtal_Prot#'!$A:$AL,28,FALSE),1)</f>
        <v>L</v>
      </c>
    </row>
    <row r="361" spans="1:33" s="2" customFormat="1" x14ac:dyDescent="0.2">
      <c r="A361" s="2" t="s">
        <v>116</v>
      </c>
      <c r="B361" s="2" t="str">
        <f>LOWER(VLOOKUP(A361,Xtal_Templ!A:B,2,FALSE))</f>
        <v>grm5_human</v>
      </c>
      <c r="C361" s="2" t="str">
        <f>VLOOKUP(A361,Classification!A:D,2,FALSE)</f>
        <v>C</v>
      </c>
      <c r="D361" s="2" t="str">
        <f>IF(ISERROR(MATCH(A361,'SegEnds_Xtal_Prot#'!B:B, 0)), "NoXtal", "Xtal")</f>
        <v>NoXtal</v>
      </c>
      <c r="G361" s="4"/>
      <c r="T361" s="2" t="s">
        <v>1330</v>
      </c>
      <c r="U361" s="28" t="str">
        <f>MID(VLOOKUP($A361,Seqs!$A:$B,2,FALSE),VLOOKUP($A361,'SegEnds_NonXtal_Prot#'!A:AL,10,FALSE),1)</f>
        <v>V</v>
      </c>
      <c r="V361" s="50" t="str">
        <f>MID(VLOOKUP($A361,Seqs!$A:$B,2,FALSE),VLOOKUP($A361,'SegEnds_NonXtal_Prot#'!A:AL,10,FALSE)+6,1)</f>
        <v>M</v>
      </c>
      <c r="W361" s="50" t="str">
        <f>MID(VLOOKUP($A361,Seqs!$A:$B,2,FALSE),VLOOKUP($A361,'SegEnds_NonXtal_Prot#'!A:AL,10,FALSE)+7,1)</f>
        <v>T</v>
      </c>
      <c r="X361" s="50" t="str">
        <f>MID(VLOOKUP($A361,Seqs!$A:$B,2,FALSE),VLOOKUP($A361,'SegEnds_NonXtal_Prot#'!A:AL,10,FALSE)+8,1)</f>
        <v>F</v>
      </c>
      <c r="Y361" s="50" t="str">
        <f>MID(VLOOKUP($A361,Seqs!$A:$B,2,FALSE),VLOOKUP($A361,'SegEnds_NonXtal_Prot#'!A:AL,10,FALSE)+9,1)</f>
        <v>F</v>
      </c>
      <c r="Z361" s="50" t="str">
        <f>MID(VLOOKUP($A361,Seqs!$A:$B,2,FALSE),VLOOKUP($A361,'SegEnds_NonXtal_Prot#'!A:AL,10,FALSE)+10,1)</f>
        <v>F</v>
      </c>
      <c r="AA361" s="28" t="str">
        <f>MID(VLOOKUP($A361,Seqs!$A:$B,2,FALSE),VLOOKUP($A361,'SegEnds_NonXtal_Prot#'!$A:$AL,22,FALSE)+6,1)</f>
        <v>M</v>
      </c>
      <c r="AB361" s="50" t="str">
        <f>MID(VLOOKUP($A361,Seqs!$A:$B,2,FALSE),VLOOKUP($A361,'SegEnds_NonXtal_Prot#'!$A:$AL,22,FALSE)+7,1)</f>
        <v>V</v>
      </c>
      <c r="AC361" s="50" t="str">
        <f>MID(VLOOKUP($A361,Seqs!$A:$B,2,FALSE),VLOOKUP($A361,'SegEnds_NonXtal_Prot#'!$A:$AL,22,FALSE)+8,1)</f>
        <v>S</v>
      </c>
      <c r="AD361" s="50" t="str">
        <f>MID(VLOOKUP($A361,Seqs!$A:$B,2,FALSE),VLOOKUP($A361,'SegEnds_NonXtal_Prot#'!$A:$AL,22,FALSE)+9,1)</f>
        <v>V</v>
      </c>
      <c r="AE361" s="50" t="str">
        <f>MID(VLOOKUP($A361,Seqs!$A:$B,2,FALSE),VLOOKUP($A361,'SegEnds_NonXtal_Prot#'!$A:$AL,22,FALSE)+10,1)</f>
        <v>W</v>
      </c>
      <c r="AF361" s="28" t="str">
        <f>MID(VLOOKUP($A361,Seqs!$A:$B,2,FALSE),VLOOKUP($A361,'SegEnds_NonXtal_Prot#'!$A:$AL,28,FALSE)-4,1)</f>
        <v>Y</v>
      </c>
      <c r="AG361" s="50" t="str">
        <f>MID(VLOOKUP($A361,Seqs!$A:$B,2,FALSE),VLOOKUP($A361,'SegEnds_NonXtal_Prot#'!$A:$AL,28,FALSE),1)</f>
        <v>L</v>
      </c>
    </row>
    <row r="362" spans="1:33" s="2" customFormat="1" x14ac:dyDescent="0.2">
      <c r="A362" s="2" t="s">
        <v>117</v>
      </c>
      <c r="B362" s="2" t="str">
        <f>LOWER(VLOOKUP(A362,Xtal_Templ!A:B,2,FALSE))</f>
        <v>grm5_human</v>
      </c>
      <c r="C362" s="2" t="str">
        <f>VLOOKUP(A362,Classification!A:D,2,FALSE)</f>
        <v>C</v>
      </c>
      <c r="D362" s="2" t="str">
        <f>IF(ISERROR(MATCH(A362,'SegEnds_Xtal_Prot#'!B:B, 0)), "NoXtal", "Xtal")</f>
        <v>NoXtal</v>
      </c>
      <c r="G362" s="4"/>
      <c r="T362" s="2" t="s">
        <v>1330</v>
      </c>
      <c r="U362" s="28" t="str">
        <f>MID(VLOOKUP($A362,Seqs!$A:$B,2,FALSE),VLOOKUP($A362,'SegEnds_NonXtal_Prot#'!A:AL,10,FALSE),1)</f>
        <v>I</v>
      </c>
      <c r="V362" s="50" t="str">
        <f>MID(VLOOKUP($A362,Seqs!$A:$B,2,FALSE),VLOOKUP($A362,'SegEnds_NonXtal_Prot#'!A:AL,10,FALSE)+6,1)</f>
        <v>T</v>
      </c>
      <c r="W362" s="50" t="str">
        <f>MID(VLOOKUP($A362,Seqs!$A:$B,2,FALSE),VLOOKUP($A362,'SegEnds_NonXtal_Prot#'!A:AL,10,FALSE)+7,1)</f>
        <v>T</v>
      </c>
      <c r="X362" s="50" t="str">
        <f>MID(VLOOKUP($A362,Seqs!$A:$B,2,FALSE),VLOOKUP($A362,'SegEnds_NonXtal_Prot#'!A:AL,10,FALSE)+8,1)</f>
        <v>F</v>
      </c>
      <c r="Y362" s="50" t="str">
        <f>MID(VLOOKUP($A362,Seqs!$A:$B,2,FALSE),VLOOKUP($A362,'SegEnds_NonXtal_Prot#'!A:AL,10,FALSE)+9,1)</f>
        <v>L</v>
      </c>
      <c r="Z362" s="50" t="str">
        <f>MID(VLOOKUP($A362,Seqs!$A:$B,2,FALSE),VLOOKUP($A362,'SegEnds_NonXtal_Prot#'!A:AL,10,FALSE)+10,1)</f>
        <v>M</v>
      </c>
      <c r="AA362" s="28" t="str">
        <f>MID(VLOOKUP($A362,Seqs!$A:$B,2,FALSE),VLOOKUP($A362,'SegEnds_NonXtal_Prot#'!$A:$AL,22,FALSE)+6,1)</f>
        <v>G</v>
      </c>
      <c r="AB362" s="50" t="str">
        <f>MID(VLOOKUP($A362,Seqs!$A:$B,2,FALSE),VLOOKUP($A362,'SegEnds_NonXtal_Prot#'!$A:$AL,22,FALSE)+7,1)</f>
        <v>I</v>
      </c>
      <c r="AC362" s="50" t="str">
        <f>MID(VLOOKUP($A362,Seqs!$A:$B,2,FALSE),VLOOKUP($A362,'SegEnds_NonXtal_Prot#'!$A:$AL,22,FALSE)+8,1)</f>
        <v>C</v>
      </c>
      <c r="AD362" s="50" t="str">
        <f>MID(VLOOKUP($A362,Seqs!$A:$B,2,FALSE),VLOOKUP($A362,'SegEnds_NonXtal_Prot#'!$A:$AL,22,FALSE)+9,1)</f>
        <v>V</v>
      </c>
      <c r="AE362" s="50" t="str">
        <f>MID(VLOOKUP($A362,Seqs!$A:$B,2,FALSE),VLOOKUP($A362,'SegEnds_NonXtal_Prot#'!$A:$AL,22,FALSE)+10,1)</f>
        <v>W</v>
      </c>
      <c r="AF362" s="28" t="str">
        <f>MID(VLOOKUP($A362,Seqs!$A:$B,2,FALSE),VLOOKUP($A362,'SegEnds_NonXtal_Prot#'!$A:$AL,28,FALSE)-4,1)</f>
        <v>Y</v>
      </c>
      <c r="AG362" s="50" t="str">
        <f>MID(VLOOKUP($A362,Seqs!$A:$B,2,FALSE),VLOOKUP($A362,'SegEnds_NonXtal_Prot#'!$A:$AL,28,FALSE),1)</f>
        <v>L</v>
      </c>
    </row>
    <row r="363" spans="1:33" s="2" customFormat="1" x14ac:dyDescent="0.2">
      <c r="A363" s="2" t="s">
        <v>41</v>
      </c>
      <c r="B363" s="2" t="str">
        <f>LOWER(VLOOKUP(A363,Xtal_Templ!A:B,2,FALSE))</f>
        <v>grm5_human</v>
      </c>
      <c r="C363" s="2" t="str">
        <f>VLOOKUP(A363,Classification!A:D,2,FALSE)</f>
        <v>C</v>
      </c>
      <c r="D363" s="2" t="str">
        <f>IF(ISERROR(MATCH(A363,'SegEnds_Xtal_Prot#'!B:B, 0)), "NoXtal", "Xtal")</f>
        <v>Xtal</v>
      </c>
      <c r="G363" s="4"/>
      <c r="T363" s="2" t="s">
        <v>1330</v>
      </c>
      <c r="U363" s="28" t="str">
        <f>MID(VLOOKUP($A363,Seqs!$A:$B,2,FALSE),VLOOKUP($A363,'SegEnds_NonXtal_Prot#'!A:AL,10,FALSE),1)</f>
        <v>I</v>
      </c>
      <c r="V363" s="50" t="str">
        <f>MID(VLOOKUP($A363,Seqs!$A:$B,2,FALSE),VLOOKUP($A363,'SegEnds_NonXtal_Prot#'!A:AL,10,FALSE)+6,1)</f>
        <v>C</v>
      </c>
      <c r="W363" s="50" t="str">
        <f>MID(VLOOKUP($A363,Seqs!$A:$B,2,FALSE),VLOOKUP($A363,'SegEnds_NonXtal_Prot#'!A:AL,10,FALSE)+7,1)</f>
        <v>T</v>
      </c>
      <c r="X363" s="50" t="str">
        <f>MID(VLOOKUP($A363,Seqs!$A:$B,2,FALSE),VLOOKUP($A363,'SegEnds_NonXtal_Prot#'!A:AL,10,FALSE)+8,1)</f>
        <v>F</v>
      </c>
      <c r="Y363" s="50" t="str">
        <f>MID(VLOOKUP($A363,Seqs!$A:$B,2,FALSE),VLOOKUP($A363,'SegEnds_NonXtal_Prot#'!A:AL,10,FALSE)+9,1)</f>
        <v>C</v>
      </c>
      <c r="Z363" s="50" t="str">
        <f>MID(VLOOKUP($A363,Seqs!$A:$B,2,FALSE),VLOOKUP($A363,'SegEnds_NonXtal_Prot#'!A:AL,10,FALSE)+10,1)</f>
        <v>L</v>
      </c>
      <c r="AA363" s="28" t="str">
        <f>MID(VLOOKUP($A363,Seqs!$A:$B,2,FALSE),VLOOKUP($A363,'SegEnds_NonXtal_Prot#'!$A:$AL,22,FALSE)+6,1)</f>
        <v>I</v>
      </c>
      <c r="AB363" s="50" t="str">
        <f>MID(VLOOKUP($A363,Seqs!$A:$B,2,FALSE),VLOOKUP($A363,'SegEnds_NonXtal_Prot#'!$A:$AL,22,FALSE)+7,1)</f>
        <v>I</v>
      </c>
      <c r="AC363" s="50" t="str">
        <f>MID(VLOOKUP($A363,Seqs!$A:$B,2,FALSE),VLOOKUP($A363,'SegEnds_NonXtal_Prot#'!$A:$AL,22,FALSE)+8,1)</f>
        <v>V</v>
      </c>
      <c r="AD363" s="50" t="str">
        <f>MID(VLOOKUP($A363,Seqs!$A:$B,2,FALSE),VLOOKUP($A363,'SegEnds_NonXtal_Prot#'!$A:$AL,22,FALSE)+9,1)</f>
        <v>A</v>
      </c>
      <c r="AE363" s="50" t="str">
        <f>MID(VLOOKUP($A363,Seqs!$A:$B,2,FALSE),VLOOKUP($A363,'SegEnds_NonXtal_Prot#'!$A:$AL,22,FALSE)+10,1)</f>
        <v>L</v>
      </c>
      <c r="AF363" s="28" t="str">
        <f>MID(VLOOKUP($A363,Seqs!$A:$B,2,FALSE),VLOOKUP($A363,'SegEnds_NonXtal_Prot#'!$A:$AL,28,FALSE)-4,1)</f>
        <v>Y</v>
      </c>
      <c r="AG363" s="50" t="str">
        <f>MID(VLOOKUP($A363,Seqs!$A:$B,2,FALSE),VLOOKUP($A363,'SegEnds_NonXtal_Prot#'!$A:$AL,28,FALSE),1)</f>
        <v>L</v>
      </c>
    </row>
    <row r="364" spans="1:33" s="2" customFormat="1" x14ac:dyDescent="0.2">
      <c r="A364" s="2" t="s">
        <v>118</v>
      </c>
      <c r="B364" s="2" t="str">
        <f>LOWER(VLOOKUP(A364,Xtal_Templ!A:B,2,FALSE))</f>
        <v>grm5_human</v>
      </c>
      <c r="C364" s="2" t="str">
        <f>VLOOKUP(A364,Classification!A:D,2,FALSE)</f>
        <v>C</v>
      </c>
      <c r="D364" s="2" t="str">
        <f>IF(ISERROR(MATCH(A364,'SegEnds_Xtal_Prot#'!B:B, 0)), "NoXtal", "Xtal")</f>
        <v>NoXtal</v>
      </c>
      <c r="G364" s="4"/>
      <c r="T364" s="2" t="s">
        <v>1330</v>
      </c>
      <c r="U364" s="28" t="str">
        <f>MID(VLOOKUP($A364,Seqs!$A:$B,2,FALSE),VLOOKUP($A364,'SegEnds_NonXtal_Prot#'!A:AL,10,FALSE),1)</f>
        <v>I</v>
      </c>
      <c r="V364" s="50" t="str">
        <f>MID(VLOOKUP($A364,Seqs!$A:$B,2,FALSE),VLOOKUP($A364,'SegEnds_NonXtal_Prot#'!A:AL,10,FALSE)+6,1)</f>
        <v>I</v>
      </c>
      <c r="W364" s="50" t="str">
        <f>MID(VLOOKUP($A364,Seqs!$A:$B,2,FALSE),VLOOKUP($A364,'SegEnds_NonXtal_Prot#'!A:AL,10,FALSE)+7,1)</f>
        <v>T</v>
      </c>
      <c r="X364" s="50" t="str">
        <f>MID(VLOOKUP($A364,Seqs!$A:$B,2,FALSE),VLOOKUP($A364,'SegEnds_NonXtal_Prot#'!A:AL,10,FALSE)+8,1)</f>
        <v>F</v>
      </c>
      <c r="Y364" s="50" t="str">
        <f>MID(VLOOKUP($A364,Seqs!$A:$B,2,FALSE),VLOOKUP($A364,'SegEnds_NonXtal_Prot#'!A:AL,10,FALSE)+9,1)</f>
        <v>L</v>
      </c>
      <c r="Z364" s="50" t="str">
        <f>MID(VLOOKUP($A364,Seqs!$A:$B,2,FALSE),VLOOKUP($A364,'SegEnds_NonXtal_Prot#'!A:AL,10,FALSE)+10,1)</f>
        <v>M</v>
      </c>
      <c r="AA364" s="28" t="str">
        <f>MID(VLOOKUP($A364,Seqs!$A:$B,2,FALSE),VLOOKUP($A364,'SegEnds_NonXtal_Prot#'!$A:$AL,22,FALSE)+6,1)</f>
        <v>G</v>
      </c>
      <c r="AB364" s="50" t="str">
        <f>MID(VLOOKUP($A364,Seqs!$A:$B,2,FALSE),VLOOKUP($A364,'SegEnds_NonXtal_Prot#'!$A:$AL,22,FALSE)+7,1)</f>
        <v>M</v>
      </c>
      <c r="AC364" s="50" t="str">
        <f>MID(VLOOKUP($A364,Seqs!$A:$B,2,FALSE),VLOOKUP($A364,'SegEnds_NonXtal_Prot#'!$A:$AL,22,FALSE)+8,1)</f>
        <v>I</v>
      </c>
      <c r="AD364" s="50" t="str">
        <f>MID(VLOOKUP($A364,Seqs!$A:$B,2,FALSE),VLOOKUP($A364,'SegEnds_NonXtal_Prot#'!$A:$AL,22,FALSE)+9,1)</f>
        <v>A</v>
      </c>
      <c r="AE364" s="50" t="str">
        <f>MID(VLOOKUP($A364,Seqs!$A:$B,2,FALSE),VLOOKUP($A364,'SegEnds_NonXtal_Prot#'!$A:$AL,22,FALSE)+10,1)</f>
        <v>W</v>
      </c>
      <c r="AF364" s="28" t="str">
        <f>MID(VLOOKUP($A364,Seqs!$A:$B,2,FALSE),VLOOKUP($A364,'SegEnds_NonXtal_Prot#'!$A:$AL,28,FALSE)-4,1)</f>
        <v>Y</v>
      </c>
      <c r="AG364" s="50" t="str">
        <f>MID(VLOOKUP($A364,Seqs!$A:$B,2,FALSE),VLOOKUP($A364,'SegEnds_NonXtal_Prot#'!$A:$AL,28,FALSE),1)</f>
        <v>L</v>
      </c>
    </row>
    <row r="365" spans="1:33" s="2" customFormat="1" ht="17" customHeight="1" x14ac:dyDescent="0.2">
      <c r="A365" s="2" t="s">
        <v>119</v>
      </c>
      <c r="B365" s="2" t="str">
        <f>LOWER(VLOOKUP(A365,Xtal_Templ!A:B,2,FALSE))</f>
        <v>grm5_human</v>
      </c>
      <c r="C365" s="2" t="str">
        <f>VLOOKUP(A365,Classification!A:D,2,FALSE)</f>
        <v>C</v>
      </c>
      <c r="D365" s="2" t="str">
        <f>IF(ISERROR(MATCH(A365,'SegEnds_Xtal_Prot#'!B:B, 0)), "NoXtal", "Xtal")</f>
        <v>NoXtal</v>
      </c>
      <c r="G365" s="4"/>
      <c r="T365" s="2" t="s">
        <v>1330</v>
      </c>
      <c r="U365" s="28" t="str">
        <f>MID(VLOOKUP($A365,Seqs!$A:$B,2,FALSE),VLOOKUP($A365,'SegEnds_NonXtal_Prot#'!A:AL,10,FALSE),1)</f>
        <v>I</v>
      </c>
      <c r="V365" s="50" t="str">
        <f>MID(VLOOKUP($A365,Seqs!$A:$B,2,FALSE),VLOOKUP($A365,'SegEnds_NonXtal_Prot#'!A:AL,10,FALSE)+6,1)</f>
        <v>I</v>
      </c>
      <c r="W365" s="50" t="str">
        <f>MID(VLOOKUP($A365,Seqs!$A:$B,2,FALSE),VLOOKUP($A365,'SegEnds_NonXtal_Prot#'!A:AL,10,FALSE)+7,1)</f>
        <v>T</v>
      </c>
      <c r="X365" s="50" t="str">
        <f>MID(VLOOKUP($A365,Seqs!$A:$B,2,FALSE),VLOOKUP($A365,'SegEnds_NonXtal_Prot#'!A:AL,10,FALSE)+8,1)</f>
        <v>F</v>
      </c>
      <c r="Y365" s="50" t="str">
        <f>MID(VLOOKUP($A365,Seqs!$A:$B,2,FALSE),VLOOKUP($A365,'SegEnds_NonXtal_Prot#'!A:AL,10,FALSE)+9,1)</f>
        <v>L</v>
      </c>
      <c r="Z365" s="50" t="str">
        <f>MID(VLOOKUP($A365,Seqs!$A:$B,2,FALSE),VLOOKUP($A365,'SegEnds_NonXtal_Prot#'!A:AL,10,FALSE)+10,1)</f>
        <v>M</v>
      </c>
      <c r="AA365" s="28" t="str">
        <f>MID(VLOOKUP($A365,Seqs!$A:$B,2,FALSE),VLOOKUP($A365,'SegEnds_NonXtal_Prot#'!$A:$AL,22,FALSE)+6,1)</f>
        <v>G</v>
      </c>
      <c r="AB365" s="50" t="str">
        <f>MID(VLOOKUP($A365,Seqs!$A:$B,2,FALSE),VLOOKUP($A365,'SegEnds_NonXtal_Prot#'!$A:$AL,22,FALSE)+7,1)</f>
        <v>V</v>
      </c>
      <c r="AC365" s="50" t="str">
        <f>MID(VLOOKUP($A365,Seqs!$A:$B,2,FALSE),VLOOKUP($A365,'SegEnds_NonXtal_Prot#'!$A:$AL,22,FALSE)+8,1)</f>
        <v>F</v>
      </c>
      <c r="AD365" s="50" t="str">
        <f>MID(VLOOKUP($A365,Seqs!$A:$B,2,FALSE),VLOOKUP($A365,'SegEnds_NonXtal_Prot#'!$A:$AL,22,FALSE)+9,1)</f>
        <v>I</v>
      </c>
      <c r="AE365" s="50" t="str">
        <f>MID(VLOOKUP($A365,Seqs!$A:$B,2,FALSE),VLOOKUP($A365,'SegEnds_NonXtal_Prot#'!$A:$AL,22,FALSE)+10,1)</f>
        <v>W</v>
      </c>
      <c r="AF365" s="28" t="str">
        <f>MID(VLOOKUP($A365,Seqs!$A:$B,2,FALSE),VLOOKUP($A365,'SegEnds_NonXtal_Prot#'!$A:$AL,28,FALSE)-4,1)</f>
        <v>Y</v>
      </c>
      <c r="AG365" s="50" t="str">
        <f>MID(VLOOKUP($A365,Seqs!$A:$B,2,FALSE),VLOOKUP($A365,'SegEnds_NonXtal_Prot#'!$A:$AL,28,FALSE),1)</f>
        <v>L</v>
      </c>
    </row>
    <row r="366" spans="1:33" s="2" customFormat="1" x14ac:dyDescent="0.2">
      <c r="A366" s="2" t="s">
        <v>120</v>
      </c>
      <c r="B366" s="2" t="str">
        <f>LOWER(VLOOKUP(A366,Xtal_Templ!A:B,2,FALSE))</f>
        <v>grm5_human</v>
      </c>
      <c r="C366" s="2" t="str">
        <f>VLOOKUP(A366,Classification!A:D,2,FALSE)</f>
        <v>C</v>
      </c>
      <c r="D366" s="2" t="str">
        <f>IF(ISERROR(MATCH(A366,'SegEnds_Xtal_Prot#'!B:B, 0)), "NoXtal", "Xtal")</f>
        <v>NoXtal</v>
      </c>
      <c r="G366" s="4"/>
      <c r="T366" s="2" t="s">
        <v>1330</v>
      </c>
      <c r="U366" s="28" t="str">
        <f>MID(VLOOKUP($A366,Seqs!$A:$B,2,FALSE),VLOOKUP($A366,'SegEnds_NonXtal_Prot#'!A:AL,10,FALSE),1)</f>
        <v>I</v>
      </c>
      <c r="V366" s="50" t="str">
        <f>MID(VLOOKUP($A366,Seqs!$A:$B,2,FALSE),VLOOKUP($A366,'SegEnds_NonXtal_Prot#'!A:AL,10,FALSE)+6,1)</f>
        <v>I</v>
      </c>
      <c r="W366" s="50" t="str">
        <f>MID(VLOOKUP($A366,Seqs!$A:$B,2,FALSE),VLOOKUP($A366,'SegEnds_NonXtal_Prot#'!A:AL,10,FALSE)+7,1)</f>
        <v>T</v>
      </c>
      <c r="X366" s="50" t="str">
        <f>MID(VLOOKUP($A366,Seqs!$A:$B,2,FALSE),VLOOKUP($A366,'SegEnds_NonXtal_Prot#'!A:AL,10,FALSE)+8,1)</f>
        <v>F</v>
      </c>
      <c r="Y366" s="50" t="str">
        <f>MID(VLOOKUP($A366,Seqs!$A:$B,2,FALSE),VLOOKUP($A366,'SegEnds_NonXtal_Prot#'!A:AL,10,FALSE)+9,1)</f>
        <v>L</v>
      </c>
      <c r="Z366" s="50" t="str">
        <f>MID(VLOOKUP($A366,Seqs!$A:$B,2,FALSE),VLOOKUP($A366,'SegEnds_NonXtal_Prot#'!A:AL,10,FALSE)+10,1)</f>
        <v>M</v>
      </c>
      <c r="AA366" s="28" t="str">
        <f>MID(VLOOKUP($A366,Seqs!$A:$B,2,FALSE),VLOOKUP($A366,'SegEnds_NonXtal_Prot#'!$A:$AL,22,FALSE)+6,1)</f>
        <v>G</v>
      </c>
      <c r="AB366" s="50" t="str">
        <f>MID(VLOOKUP($A366,Seqs!$A:$B,2,FALSE),VLOOKUP($A366,'SegEnds_NonXtal_Prot#'!$A:$AL,22,FALSE)+7,1)</f>
        <v>V</v>
      </c>
      <c r="AC366" s="50" t="str">
        <f>MID(VLOOKUP($A366,Seqs!$A:$B,2,FALSE),VLOOKUP($A366,'SegEnds_NonXtal_Prot#'!$A:$AL,22,FALSE)+8,1)</f>
        <v>F</v>
      </c>
      <c r="AD366" s="50" t="str">
        <f>MID(VLOOKUP($A366,Seqs!$A:$B,2,FALSE),VLOOKUP($A366,'SegEnds_NonXtal_Prot#'!$A:$AL,22,FALSE)+9,1)</f>
        <v>V</v>
      </c>
      <c r="AE366" s="50" t="str">
        <f>MID(VLOOKUP($A366,Seqs!$A:$B,2,FALSE),VLOOKUP($A366,'SegEnds_NonXtal_Prot#'!$A:$AL,22,FALSE)+10,1)</f>
        <v>W</v>
      </c>
      <c r="AF366" s="28" t="str">
        <f>MID(VLOOKUP($A366,Seqs!$A:$B,2,FALSE),VLOOKUP($A366,'SegEnds_NonXtal_Prot#'!$A:$AL,28,FALSE)-4,1)</f>
        <v>Y</v>
      </c>
      <c r="AG366" s="50" t="str">
        <f>MID(VLOOKUP($A366,Seqs!$A:$B,2,FALSE),VLOOKUP($A366,'SegEnds_NonXtal_Prot#'!$A:$AL,28,FALSE),1)</f>
        <v>L</v>
      </c>
    </row>
    <row r="367" spans="1:33" s="2" customFormat="1" x14ac:dyDescent="0.2">
      <c r="A367" s="2" t="s">
        <v>446</v>
      </c>
      <c r="B367" s="2" t="str">
        <f>LOWER(VLOOKUP(A367,Xtal_Templ!A:B,2,FALSE))</f>
        <v>smo_human</v>
      </c>
      <c r="C367" s="2" t="str">
        <f>VLOOKUP(A367,Classification!A:D,2,FALSE)</f>
        <v>F</v>
      </c>
      <c r="D367" s="2" t="str">
        <f>IF(ISERROR(MATCH(A367,'SegEnds_Xtal_Prot#'!B:B, 0)), "NoXtal", "Xtal")</f>
        <v>NoXtal</v>
      </c>
      <c r="G367" s="4"/>
      <c r="O367" s="2" t="s">
        <v>1329</v>
      </c>
      <c r="U367" s="28" t="str">
        <f>MID(VLOOKUP($A367,Seqs!$A:$B,2,FALSE),VLOOKUP($A367,'SegEnds_NonXtal_Prot#'!A:AL,10,FALSE),1)</f>
        <v>G</v>
      </c>
      <c r="V367" s="50" t="str">
        <f>MID(VLOOKUP($A367,Seqs!$A:$B,2,FALSE),VLOOKUP($A367,'SegEnds_NonXtal_Prot#'!A:AL,10,FALSE)+6,1)</f>
        <v>A</v>
      </c>
      <c r="W367" s="50" t="str">
        <f>MID(VLOOKUP($A367,Seqs!$A:$B,2,FALSE),VLOOKUP($A367,'SegEnds_NonXtal_Prot#'!A:AL,10,FALSE)+7,1)</f>
        <v>V</v>
      </c>
      <c r="X367" s="50" t="str">
        <f>MID(VLOOKUP($A367,Seqs!$A:$B,2,FALSE),VLOOKUP($A367,'SegEnds_NonXtal_Prot#'!A:AL,10,FALSE)+8,1)</f>
        <v>A</v>
      </c>
      <c r="Y367" s="50" t="str">
        <f>MID(VLOOKUP($A367,Seqs!$A:$B,2,FALSE),VLOOKUP($A367,'SegEnds_NonXtal_Prot#'!A:AL,10,FALSE)+9,1)</f>
        <v>Y</v>
      </c>
      <c r="Z367" s="50" t="str">
        <f>MID(VLOOKUP($A367,Seqs!$A:$B,2,FALSE),VLOOKUP($A367,'SegEnds_NonXtal_Prot#'!A:AL,10,FALSE)+10,1)</f>
        <v>I</v>
      </c>
      <c r="AA367" s="28" t="str">
        <f>MID(VLOOKUP($A367,Seqs!$A:$B,2,FALSE),VLOOKUP($A367,'SegEnds_NonXtal_Prot#'!$A:$AL,22,FALSE)+6,1)</f>
        <v>K</v>
      </c>
      <c r="AB367" s="50" t="str">
        <f>MID(VLOOKUP($A367,Seqs!$A:$B,2,FALSE),VLOOKUP($A367,'SegEnds_NonXtal_Prot#'!$A:$AL,22,FALSE)+7,1)</f>
        <v>T</v>
      </c>
      <c r="AC367" s="50" t="str">
        <f>MID(VLOOKUP($A367,Seqs!$A:$B,2,FALSE),VLOOKUP($A367,'SegEnds_NonXtal_Prot#'!$A:$AL,22,FALSE)+8,1)</f>
        <v>I</v>
      </c>
      <c r="AD367" s="50" t="str">
        <f>MID(VLOOKUP($A367,Seqs!$A:$B,2,FALSE),VLOOKUP($A367,'SegEnds_NonXtal_Prot#'!$A:$AL,22,FALSE)+9,1)</f>
        <v>T</v>
      </c>
      <c r="AE367" s="50" t="str">
        <f>MID(VLOOKUP($A367,Seqs!$A:$B,2,FALSE),VLOOKUP($A367,'SegEnds_NonXtal_Prot#'!$A:$AL,22,FALSE)+10,1)</f>
        <v>I</v>
      </c>
      <c r="AF367" s="28" t="str">
        <f>MID(VLOOKUP($A367,Seqs!$A:$B,2,FALSE),VLOOKUP($A367,'SegEnds_NonXtal_Prot#'!$A:$AL,28,FALSE)-4,1)</f>
        <v>P</v>
      </c>
      <c r="AG367" s="50" t="str">
        <f>MID(VLOOKUP($A367,Seqs!$A:$B,2,FALSE),VLOOKUP($A367,'SegEnds_NonXtal_Prot#'!$A:$AL,28,FALSE),1)</f>
        <v>Y</v>
      </c>
    </row>
    <row r="368" spans="1:33" s="2" customFormat="1" x14ac:dyDescent="0.2">
      <c r="A368" s="2" t="s">
        <v>447</v>
      </c>
      <c r="B368" s="2" t="str">
        <f>LOWER(VLOOKUP(A368,Xtal_Templ!A:B,2,FALSE))</f>
        <v>smo_human</v>
      </c>
      <c r="C368" s="2" t="str">
        <f>VLOOKUP(A368,Classification!A:D,2,FALSE)</f>
        <v>F</v>
      </c>
      <c r="D368" s="2" t="str">
        <f>IF(ISERROR(MATCH(A368,'SegEnds_Xtal_Prot#'!B:B, 0)), "NoXtal", "Xtal")</f>
        <v>NoXtal</v>
      </c>
      <c r="G368" s="4"/>
      <c r="O368" s="2" t="s">
        <v>1329</v>
      </c>
      <c r="U368" s="28" t="str">
        <f>MID(VLOOKUP($A368,Seqs!$A:$B,2,FALSE),VLOOKUP($A368,'SegEnds_NonXtal_Prot#'!A:AL,10,FALSE),1)</f>
        <v>M</v>
      </c>
      <c r="V368" s="50" t="str">
        <f>MID(VLOOKUP($A368,Seqs!$A:$B,2,FALSE),VLOOKUP($A368,'SegEnds_NonXtal_Prot#'!A:AL,10,FALSE)+6,1)</f>
        <v>S</v>
      </c>
      <c r="W368" s="50" t="str">
        <f>MID(VLOOKUP($A368,Seqs!$A:$B,2,FALSE),VLOOKUP($A368,'SegEnds_NonXtal_Prot#'!A:AL,10,FALSE)+7,1)</f>
        <v>V</v>
      </c>
      <c r="X368" s="50" t="str">
        <f>MID(VLOOKUP($A368,Seqs!$A:$B,2,FALSE),VLOOKUP($A368,'SegEnds_NonXtal_Prot#'!A:AL,10,FALSE)+8,1)</f>
        <v>G</v>
      </c>
      <c r="Y368" s="50" t="str">
        <f>MID(VLOOKUP($A368,Seqs!$A:$B,2,FALSE),VLOOKUP($A368,'SegEnds_NonXtal_Prot#'!A:AL,10,FALSE)+9,1)</f>
        <v>Y</v>
      </c>
      <c r="Z368" s="50" t="str">
        <f>MID(VLOOKUP($A368,Seqs!$A:$B,2,FALSE),VLOOKUP($A368,'SegEnds_NonXtal_Prot#'!A:AL,10,FALSE)+10,1)</f>
        <v>L</v>
      </c>
      <c r="AA368" s="28" t="str">
        <f>MID(VLOOKUP($A368,Seqs!$A:$B,2,FALSE),VLOOKUP($A368,'SegEnds_NonXtal_Prot#'!$A:$AL,22,FALSE)+6,1)</f>
        <v>K</v>
      </c>
      <c r="AB368" s="50" t="str">
        <f>MID(VLOOKUP($A368,Seqs!$A:$B,2,FALSE),VLOOKUP($A368,'SegEnds_NonXtal_Prot#'!$A:$AL,22,FALSE)+7,1)</f>
        <v>T</v>
      </c>
      <c r="AC368" s="50" t="str">
        <f>MID(VLOOKUP($A368,Seqs!$A:$B,2,FALSE),VLOOKUP($A368,'SegEnds_NonXtal_Prot#'!$A:$AL,22,FALSE)+8,1)</f>
        <v>I</v>
      </c>
      <c r="AD368" s="50" t="str">
        <f>MID(VLOOKUP($A368,Seqs!$A:$B,2,FALSE),VLOOKUP($A368,'SegEnds_NonXtal_Prot#'!$A:$AL,22,FALSE)+9,1)</f>
        <v>L</v>
      </c>
      <c r="AE368" s="50" t="str">
        <f>MID(VLOOKUP($A368,Seqs!$A:$B,2,FALSE),VLOOKUP($A368,'SegEnds_NonXtal_Prot#'!$A:$AL,22,FALSE)+10,1)</f>
        <v>I</v>
      </c>
      <c r="AF368" s="28" t="str">
        <f>MID(VLOOKUP($A368,Seqs!$A:$B,2,FALSE),VLOOKUP($A368,'SegEnds_NonXtal_Prot#'!$A:$AL,28,FALSE)-4,1)</f>
        <v>P</v>
      </c>
      <c r="AG368" s="50" t="str">
        <f>MID(VLOOKUP($A368,Seqs!$A:$B,2,FALSE),VLOOKUP($A368,'SegEnds_NonXtal_Prot#'!$A:$AL,28,FALSE),1)</f>
        <v>Y</v>
      </c>
    </row>
    <row r="369" spans="1:33" s="2" customFormat="1" x14ac:dyDescent="0.2">
      <c r="A369" s="2" t="s">
        <v>448</v>
      </c>
      <c r="B369" s="2" t="str">
        <f>LOWER(VLOOKUP(A369,Xtal_Templ!A:B,2,FALSE))</f>
        <v>smo_human</v>
      </c>
      <c r="C369" s="2" t="str">
        <f>VLOOKUP(A369,Classification!A:D,2,FALSE)</f>
        <v>F</v>
      </c>
      <c r="D369" s="2" t="str">
        <f>IF(ISERROR(MATCH(A369,'SegEnds_Xtal_Prot#'!B:B, 0)), "NoXtal", "Xtal")</f>
        <v>NoXtal</v>
      </c>
      <c r="G369" s="4"/>
      <c r="O369" s="2" t="s">
        <v>1329</v>
      </c>
      <c r="U369" s="28" t="str">
        <f>MID(VLOOKUP($A369,Seqs!$A:$B,2,FALSE),VLOOKUP($A369,'SegEnds_NonXtal_Prot#'!A:AL,10,FALSE),1)</f>
        <v>G</v>
      </c>
      <c r="V369" s="50" t="str">
        <f>MID(VLOOKUP($A369,Seqs!$A:$B,2,FALSE),VLOOKUP($A369,'SegEnds_NonXtal_Prot#'!A:AL,10,FALSE)+6,1)</f>
        <v>S</v>
      </c>
      <c r="W369" s="50" t="str">
        <f>MID(VLOOKUP($A369,Seqs!$A:$B,2,FALSE),VLOOKUP($A369,'SegEnds_NonXtal_Prot#'!A:AL,10,FALSE)+7,1)</f>
        <v>V</v>
      </c>
      <c r="X369" s="50" t="str">
        <f>MID(VLOOKUP($A369,Seqs!$A:$B,2,FALSE),VLOOKUP($A369,'SegEnds_NonXtal_Prot#'!A:AL,10,FALSE)+8,1)</f>
        <v>A</v>
      </c>
      <c r="Y369" s="50" t="str">
        <f>MID(VLOOKUP($A369,Seqs!$A:$B,2,FALSE),VLOOKUP($A369,'SegEnds_NonXtal_Prot#'!A:AL,10,FALSE)+9,1)</f>
        <v>Y</v>
      </c>
      <c r="Z369" s="50" t="str">
        <f>MID(VLOOKUP($A369,Seqs!$A:$B,2,FALSE),VLOOKUP($A369,'SegEnds_NonXtal_Prot#'!A:AL,10,FALSE)+10,1)</f>
        <v>I</v>
      </c>
      <c r="AA369" s="28" t="str">
        <f>MID(VLOOKUP($A369,Seqs!$A:$B,2,FALSE),VLOOKUP($A369,'SegEnds_NonXtal_Prot#'!$A:$AL,22,FALSE)+6,1)</f>
        <v>K</v>
      </c>
      <c r="AB369" s="50" t="str">
        <f>MID(VLOOKUP($A369,Seqs!$A:$B,2,FALSE),VLOOKUP($A369,'SegEnds_NonXtal_Prot#'!$A:$AL,22,FALSE)+7,1)</f>
        <v>T</v>
      </c>
      <c r="AC369" s="50" t="str">
        <f>MID(VLOOKUP($A369,Seqs!$A:$B,2,FALSE),VLOOKUP($A369,'SegEnds_NonXtal_Prot#'!$A:$AL,22,FALSE)+8,1)</f>
        <v>I</v>
      </c>
      <c r="AD369" s="50" t="str">
        <f>MID(VLOOKUP($A369,Seqs!$A:$B,2,FALSE),VLOOKUP($A369,'SegEnds_NonXtal_Prot#'!$A:$AL,22,FALSE)+9,1)</f>
        <v>T</v>
      </c>
      <c r="AE369" s="50" t="str">
        <f>MID(VLOOKUP($A369,Seqs!$A:$B,2,FALSE),VLOOKUP($A369,'SegEnds_NonXtal_Prot#'!$A:$AL,22,FALSE)+10,1)</f>
        <v>I</v>
      </c>
      <c r="AF369" s="28" t="str">
        <f>MID(VLOOKUP($A369,Seqs!$A:$B,2,FALSE),VLOOKUP($A369,'SegEnds_NonXtal_Prot#'!$A:$AL,28,FALSE)-4,1)</f>
        <v>P</v>
      </c>
      <c r="AG369" s="50" t="str">
        <f>MID(VLOOKUP($A369,Seqs!$A:$B,2,FALSE),VLOOKUP($A369,'SegEnds_NonXtal_Prot#'!$A:$AL,28,FALSE),1)</f>
        <v>Y</v>
      </c>
    </row>
    <row r="370" spans="1:33" s="2" customFormat="1" x14ac:dyDescent="0.2">
      <c r="A370" s="2" t="s">
        <v>449</v>
      </c>
      <c r="B370" s="2" t="str">
        <f>LOWER(VLOOKUP(A370,Xtal_Templ!A:B,2,FALSE))</f>
        <v>smo_human</v>
      </c>
      <c r="C370" s="2" t="str">
        <f>VLOOKUP(A370,Classification!A:D,2,FALSE)</f>
        <v>F</v>
      </c>
      <c r="D370" s="2" t="str">
        <f>IF(ISERROR(MATCH(A370,'SegEnds_Xtal_Prot#'!B:B, 0)), "NoXtal", "Xtal")</f>
        <v>NoXtal</v>
      </c>
      <c r="G370" s="4"/>
      <c r="O370" s="2" t="s">
        <v>1329</v>
      </c>
      <c r="U370" s="28" t="str">
        <f>MID(VLOOKUP($A370,Seqs!$A:$B,2,FALSE),VLOOKUP($A370,'SegEnds_NonXtal_Prot#'!A:AL,10,FALSE),1)</f>
        <v>V</v>
      </c>
      <c r="V370" s="50" t="str">
        <f>MID(VLOOKUP($A370,Seqs!$A:$B,2,FALSE),VLOOKUP($A370,'SegEnds_NonXtal_Prot#'!A:AL,10,FALSE)+6,1)</f>
        <v>S</v>
      </c>
      <c r="W370" s="50" t="str">
        <f>MID(VLOOKUP($A370,Seqs!$A:$B,2,FALSE),VLOOKUP($A370,'SegEnds_NonXtal_Prot#'!A:AL,10,FALSE)+7,1)</f>
        <v>L</v>
      </c>
      <c r="X370" s="50" t="str">
        <f>MID(VLOOKUP($A370,Seqs!$A:$B,2,FALSE),VLOOKUP($A370,'SegEnds_NonXtal_Prot#'!A:AL,10,FALSE)+8,1)</f>
        <v>I</v>
      </c>
      <c r="Y370" s="50" t="str">
        <f>MID(VLOOKUP($A370,Seqs!$A:$B,2,FALSE),VLOOKUP($A370,'SegEnds_NonXtal_Prot#'!A:AL,10,FALSE)+9,1)</f>
        <v>F</v>
      </c>
      <c r="Z370" s="50" t="str">
        <f>MID(VLOOKUP($A370,Seqs!$A:$B,2,FALSE),VLOOKUP($A370,'SegEnds_NonXtal_Prot#'!A:AL,10,FALSE)+10,1)</f>
        <v>F</v>
      </c>
      <c r="AA370" s="28" t="str">
        <f>MID(VLOOKUP($A370,Seqs!$A:$B,2,FALSE),VLOOKUP($A370,'SegEnds_NonXtal_Prot#'!$A:$AL,22,FALSE)+6,1)</f>
        <v>L</v>
      </c>
      <c r="AB370" s="50" t="str">
        <f>MID(VLOOKUP($A370,Seqs!$A:$B,2,FALSE),VLOOKUP($A370,'SegEnds_NonXtal_Prot#'!$A:$AL,22,FALSE)+7,1)</f>
        <v>T</v>
      </c>
      <c r="AC370" s="50" t="str">
        <f>MID(VLOOKUP($A370,Seqs!$A:$B,2,FALSE),VLOOKUP($A370,'SegEnds_NonXtal_Prot#'!$A:$AL,22,FALSE)+8,1)</f>
        <v>I</v>
      </c>
      <c r="AD370" s="50" t="str">
        <f>MID(VLOOKUP($A370,Seqs!$A:$B,2,FALSE),VLOOKUP($A370,'SegEnds_NonXtal_Prot#'!$A:$AL,22,FALSE)+9,1)</f>
        <v>I</v>
      </c>
      <c r="AE370" s="50" t="str">
        <f>MID(VLOOKUP($A370,Seqs!$A:$B,2,FALSE),VLOOKUP($A370,'SegEnds_NonXtal_Prot#'!$A:$AL,22,FALSE)+10,1)</f>
        <v>L</v>
      </c>
      <c r="AF370" s="28" t="str">
        <f>MID(VLOOKUP($A370,Seqs!$A:$B,2,FALSE),VLOOKUP($A370,'SegEnds_NonXtal_Prot#'!$A:$AL,28,FALSE)-4,1)</f>
        <v>P</v>
      </c>
      <c r="AG370" s="50" t="str">
        <f>MID(VLOOKUP($A370,Seqs!$A:$B,2,FALSE),VLOOKUP($A370,'SegEnds_NonXtal_Prot#'!$A:$AL,28,FALSE),1)</f>
        <v>Y</v>
      </c>
    </row>
    <row r="371" spans="1:33" s="2" customFormat="1" x14ac:dyDescent="0.2">
      <c r="A371" s="2" t="s">
        <v>450</v>
      </c>
      <c r="B371" s="2" t="str">
        <f>LOWER(VLOOKUP(A371,Xtal_Templ!A:B,2,FALSE))</f>
        <v>smo_human</v>
      </c>
      <c r="C371" s="2" t="str">
        <f>VLOOKUP(A371,Classification!A:D,2,FALSE)</f>
        <v>F</v>
      </c>
      <c r="D371" s="2" t="str">
        <f>IF(ISERROR(MATCH(A371,'SegEnds_Xtal_Prot#'!B:B, 0)), "NoXtal", "Xtal")</f>
        <v>NoXtal</v>
      </c>
      <c r="G371" s="4"/>
      <c r="O371" s="2" t="s">
        <v>1329</v>
      </c>
      <c r="U371" s="28" t="str">
        <f>MID(VLOOKUP($A371,Seqs!$A:$B,2,FALSE),VLOOKUP($A371,'SegEnds_NonXtal_Prot#'!A:AL,10,FALSE),1)</f>
        <v>M</v>
      </c>
      <c r="V371" s="50" t="str">
        <f>MID(VLOOKUP($A371,Seqs!$A:$B,2,FALSE),VLOOKUP($A371,'SegEnds_NonXtal_Prot#'!A:AL,10,FALSE)+6,1)</f>
        <v>S</v>
      </c>
      <c r="W371" s="50" t="str">
        <f>MID(VLOOKUP($A371,Seqs!$A:$B,2,FALSE),VLOOKUP($A371,'SegEnds_NonXtal_Prot#'!A:AL,10,FALSE)+7,1)</f>
        <v>I</v>
      </c>
      <c r="X371" s="50" t="str">
        <f>MID(VLOOKUP($A371,Seqs!$A:$B,2,FALSE),VLOOKUP($A371,'SegEnds_NonXtal_Prot#'!A:AL,10,FALSE)+8,1)</f>
        <v>A</v>
      </c>
      <c r="Y371" s="50" t="str">
        <f>MID(VLOOKUP($A371,Seqs!$A:$B,2,FALSE),VLOOKUP($A371,'SegEnds_NonXtal_Prot#'!A:AL,10,FALSE)+9,1)</f>
        <v>Y</v>
      </c>
      <c r="Z371" s="50" t="str">
        <f>MID(VLOOKUP($A371,Seqs!$A:$B,2,FALSE),VLOOKUP($A371,'SegEnds_NonXtal_Prot#'!A:AL,10,FALSE)+10,1)</f>
        <v>I</v>
      </c>
      <c r="AA371" s="28" t="str">
        <f>MID(VLOOKUP($A371,Seqs!$A:$B,2,FALSE),VLOOKUP($A371,'SegEnds_NonXtal_Prot#'!$A:$AL,22,FALSE)+6,1)</f>
        <v>K</v>
      </c>
      <c r="AB371" s="50" t="str">
        <f>MID(VLOOKUP($A371,Seqs!$A:$B,2,FALSE),VLOOKUP($A371,'SegEnds_NonXtal_Prot#'!$A:$AL,22,FALSE)+7,1)</f>
        <v>T</v>
      </c>
      <c r="AC371" s="50" t="str">
        <f>MID(VLOOKUP($A371,Seqs!$A:$B,2,FALSE),VLOOKUP($A371,'SegEnds_NonXtal_Prot#'!$A:$AL,22,FALSE)+8,1)</f>
        <v>I</v>
      </c>
      <c r="AD371" s="50" t="str">
        <f>MID(VLOOKUP($A371,Seqs!$A:$B,2,FALSE),VLOOKUP($A371,'SegEnds_NonXtal_Prot#'!$A:$AL,22,FALSE)+9,1)</f>
        <v>V</v>
      </c>
      <c r="AE371" s="50" t="str">
        <f>MID(VLOOKUP($A371,Seqs!$A:$B,2,FALSE),VLOOKUP($A371,'SegEnds_NonXtal_Prot#'!$A:$AL,22,FALSE)+10,1)</f>
        <v>I</v>
      </c>
      <c r="AF371" s="28" t="str">
        <f>MID(VLOOKUP($A371,Seqs!$A:$B,2,FALSE),VLOOKUP($A371,'SegEnds_NonXtal_Prot#'!$A:$AL,28,FALSE)-4,1)</f>
        <v>P</v>
      </c>
      <c r="AG371" s="50" t="str">
        <f>MID(VLOOKUP($A371,Seqs!$A:$B,2,FALSE),VLOOKUP($A371,'SegEnds_NonXtal_Prot#'!$A:$AL,28,FALSE),1)</f>
        <v>Y</v>
      </c>
    </row>
    <row r="372" spans="1:33" s="2" customFormat="1" x14ac:dyDescent="0.2">
      <c r="A372" s="2" t="s">
        <v>451</v>
      </c>
      <c r="B372" s="2" t="str">
        <f>LOWER(VLOOKUP(A372,Xtal_Templ!A:B,2,FALSE))</f>
        <v>smo_human</v>
      </c>
      <c r="C372" s="2" t="str">
        <f>VLOOKUP(A372,Classification!A:D,2,FALSE)</f>
        <v>F</v>
      </c>
      <c r="D372" s="2" t="str">
        <f>IF(ISERROR(MATCH(A372,'SegEnds_Xtal_Prot#'!B:B, 0)), "NoXtal", "Xtal")</f>
        <v>NoXtal</v>
      </c>
      <c r="G372" s="4"/>
      <c r="O372" s="2" t="s">
        <v>1329</v>
      </c>
      <c r="U372" s="28" t="str">
        <f>MID(VLOOKUP($A372,Seqs!$A:$B,2,FALSE),VLOOKUP($A372,'SegEnds_NonXtal_Prot#'!A:AL,10,FALSE),1)</f>
        <v>A</v>
      </c>
      <c r="V372" s="50" t="str">
        <f>MID(VLOOKUP($A372,Seqs!$A:$B,2,FALSE),VLOOKUP($A372,'SegEnds_NonXtal_Prot#'!A:AL,10,FALSE)+6,1)</f>
        <v>S</v>
      </c>
      <c r="W372" s="50" t="str">
        <f>MID(VLOOKUP($A372,Seqs!$A:$B,2,FALSE),VLOOKUP($A372,'SegEnds_NonXtal_Prot#'!A:AL,10,FALSE)+7,1)</f>
        <v>L</v>
      </c>
      <c r="X372" s="50" t="str">
        <f>MID(VLOOKUP($A372,Seqs!$A:$B,2,FALSE),VLOOKUP($A372,'SegEnds_NonXtal_Prot#'!A:AL,10,FALSE)+8,1)</f>
        <v>G</v>
      </c>
      <c r="Y372" s="50" t="str">
        <f>MID(VLOOKUP($A372,Seqs!$A:$B,2,FALSE),VLOOKUP($A372,'SegEnds_NonXtal_Prot#'!A:AL,10,FALSE)+9,1)</f>
        <v>F</v>
      </c>
      <c r="Z372" s="50" t="str">
        <f>MID(VLOOKUP($A372,Seqs!$A:$B,2,FALSE),VLOOKUP($A372,'SegEnds_NonXtal_Prot#'!A:AL,10,FALSE)+10,1)</f>
        <v>L</v>
      </c>
      <c r="AA372" s="28" t="str">
        <f>MID(VLOOKUP($A372,Seqs!$A:$B,2,FALSE),VLOOKUP($A372,'SegEnds_NonXtal_Prot#'!$A:$AL,22,FALSE)+6,1)</f>
        <v>K</v>
      </c>
      <c r="AB372" s="50" t="str">
        <f>MID(VLOOKUP($A372,Seqs!$A:$B,2,FALSE),VLOOKUP($A372,'SegEnds_NonXtal_Prot#'!$A:$AL,22,FALSE)+7,1)</f>
        <v>S</v>
      </c>
      <c r="AC372" s="50" t="str">
        <f>MID(VLOOKUP($A372,Seqs!$A:$B,2,FALSE),VLOOKUP($A372,'SegEnds_NonXtal_Prot#'!$A:$AL,22,FALSE)+8,1)</f>
        <v>I</v>
      </c>
      <c r="AD372" s="50" t="str">
        <f>MID(VLOOKUP($A372,Seqs!$A:$B,2,FALSE),VLOOKUP($A372,'SegEnds_NonXtal_Prot#'!$A:$AL,22,FALSE)+9,1)</f>
        <v>T</v>
      </c>
      <c r="AE372" s="50" t="str">
        <f>MID(VLOOKUP($A372,Seqs!$A:$B,2,FALSE),VLOOKUP($A372,'SegEnds_NonXtal_Prot#'!$A:$AL,22,FALSE)+10,1)</f>
        <v>A</v>
      </c>
      <c r="AF372" s="28" t="str">
        <f>MID(VLOOKUP($A372,Seqs!$A:$B,2,FALSE),VLOOKUP($A372,'SegEnds_NonXtal_Prot#'!$A:$AL,28,FALSE)-4,1)</f>
        <v>P</v>
      </c>
      <c r="AG372" s="50" t="str">
        <f>MID(VLOOKUP($A372,Seqs!$A:$B,2,FALSE),VLOOKUP($A372,'SegEnds_NonXtal_Prot#'!$A:$AL,28,FALSE),1)</f>
        <v>Y</v>
      </c>
    </row>
    <row r="373" spans="1:33" s="2" customFormat="1" x14ac:dyDescent="0.2">
      <c r="A373" s="2" t="s">
        <v>452</v>
      </c>
      <c r="B373" s="2" t="str">
        <f>LOWER(VLOOKUP(A373,Xtal_Templ!A:B,2,FALSE))</f>
        <v>smo_human</v>
      </c>
      <c r="C373" s="2" t="str">
        <f>VLOOKUP(A373,Classification!A:D,2,FALSE)</f>
        <v>F</v>
      </c>
      <c r="D373" s="2" t="str">
        <f>IF(ISERROR(MATCH(A373,'SegEnds_Xtal_Prot#'!B:B, 0)), "NoXtal", "Xtal")</f>
        <v>NoXtal</v>
      </c>
      <c r="G373" s="4"/>
      <c r="O373" s="2" t="s">
        <v>1329</v>
      </c>
      <c r="U373" s="28" t="str">
        <f>MID(VLOOKUP($A373,Seqs!$A:$B,2,FALSE),VLOOKUP($A373,'SegEnds_NonXtal_Prot#'!A:AL,10,FALSE),1)</f>
        <v>V</v>
      </c>
      <c r="V373" s="50" t="str">
        <f>MID(VLOOKUP($A373,Seqs!$A:$B,2,FALSE),VLOOKUP($A373,'SegEnds_NonXtal_Prot#'!A:AL,10,FALSE)+6,1)</f>
        <v>S</v>
      </c>
      <c r="W373" s="50" t="str">
        <f>MID(VLOOKUP($A373,Seqs!$A:$B,2,FALSE),VLOOKUP($A373,'SegEnds_NonXtal_Prot#'!A:AL,10,FALSE)+7,1)</f>
        <v>L</v>
      </c>
      <c r="X373" s="50" t="str">
        <f>MID(VLOOKUP($A373,Seqs!$A:$B,2,FALSE),VLOOKUP($A373,'SegEnds_NonXtal_Prot#'!A:AL,10,FALSE)+8,1)</f>
        <v>M</v>
      </c>
      <c r="Y373" s="50" t="str">
        <f>MID(VLOOKUP($A373,Seqs!$A:$B,2,FALSE),VLOOKUP($A373,'SegEnds_NonXtal_Prot#'!A:AL,10,FALSE)+9,1)</f>
        <v>Y</v>
      </c>
      <c r="Z373" s="50" t="str">
        <f>MID(VLOOKUP($A373,Seqs!$A:$B,2,FALSE),VLOOKUP($A373,'SegEnds_NonXtal_Prot#'!A:AL,10,FALSE)+10,1)</f>
        <v>F</v>
      </c>
      <c r="AA373" s="28" t="str">
        <f>MID(VLOOKUP($A373,Seqs!$A:$B,2,FALSE),VLOOKUP($A373,'SegEnds_NonXtal_Prot#'!$A:$AL,22,FALSE)+6,1)</f>
        <v>L</v>
      </c>
      <c r="AB373" s="50" t="str">
        <f>MID(VLOOKUP($A373,Seqs!$A:$B,2,FALSE),VLOOKUP($A373,'SegEnds_NonXtal_Prot#'!$A:$AL,22,FALSE)+7,1)</f>
        <v>T</v>
      </c>
      <c r="AC373" s="50" t="str">
        <f>MID(VLOOKUP($A373,Seqs!$A:$B,2,FALSE),VLOOKUP($A373,'SegEnds_NonXtal_Prot#'!$A:$AL,22,FALSE)+8,1)</f>
        <v>V</v>
      </c>
      <c r="AD373" s="50" t="str">
        <f>MID(VLOOKUP($A373,Seqs!$A:$B,2,FALSE),VLOOKUP($A373,'SegEnds_NonXtal_Prot#'!$A:$AL,22,FALSE)+9,1)</f>
        <v>M</v>
      </c>
      <c r="AE373" s="50" t="str">
        <f>MID(VLOOKUP($A373,Seqs!$A:$B,2,FALSE),VLOOKUP($A373,'SegEnds_NonXtal_Prot#'!$A:$AL,22,FALSE)+10,1)</f>
        <v>L</v>
      </c>
      <c r="AF373" s="28" t="str">
        <f>MID(VLOOKUP($A373,Seqs!$A:$B,2,FALSE),VLOOKUP($A373,'SegEnds_NonXtal_Prot#'!$A:$AL,28,FALSE)-4,1)</f>
        <v>P</v>
      </c>
      <c r="AG373" s="50" t="str">
        <f>MID(VLOOKUP($A373,Seqs!$A:$B,2,FALSE),VLOOKUP($A373,'SegEnds_NonXtal_Prot#'!$A:$AL,28,FALSE),1)</f>
        <v>C</v>
      </c>
    </row>
    <row r="374" spans="1:33" s="2" customFormat="1" x14ac:dyDescent="0.2">
      <c r="A374" s="2" t="s">
        <v>453</v>
      </c>
      <c r="B374" s="2" t="str">
        <f>LOWER(VLOOKUP(A374,Xtal_Templ!A:B,2,FALSE))</f>
        <v>smo_human</v>
      </c>
      <c r="C374" s="2" t="str">
        <f>VLOOKUP(A374,Classification!A:D,2,FALSE)</f>
        <v>F</v>
      </c>
      <c r="D374" s="2" t="str">
        <f>IF(ISERROR(MATCH(A374,'SegEnds_Xtal_Prot#'!B:B, 0)), "NoXtal", "Xtal")</f>
        <v>NoXtal</v>
      </c>
      <c r="G374" s="4"/>
      <c r="O374" s="2" t="s">
        <v>1329</v>
      </c>
      <c r="U374" s="28" t="str">
        <f>MID(VLOOKUP($A374,Seqs!$A:$B,2,FALSE),VLOOKUP($A374,'SegEnds_NonXtal_Prot#'!A:AL,10,FALSE),1)</f>
        <v>G</v>
      </c>
      <c r="V374" s="50" t="str">
        <f>MID(VLOOKUP($A374,Seqs!$A:$B,2,FALSE),VLOOKUP($A374,'SegEnds_NonXtal_Prot#'!A:AL,10,FALSE)+6,1)</f>
        <v>A</v>
      </c>
      <c r="W374" s="50" t="str">
        <f>MID(VLOOKUP($A374,Seqs!$A:$B,2,FALSE),VLOOKUP($A374,'SegEnds_NonXtal_Prot#'!A:AL,10,FALSE)+7,1)</f>
        <v>V</v>
      </c>
      <c r="X374" s="50" t="str">
        <f>MID(VLOOKUP($A374,Seqs!$A:$B,2,FALSE),VLOOKUP($A374,'SegEnds_NonXtal_Prot#'!A:AL,10,FALSE)+8,1)</f>
        <v>A</v>
      </c>
      <c r="Y374" s="50" t="str">
        <f>MID(VLOOKUP($A374,Seqs!$A:$B,2,FALSE),VLOOKUP($A374,'SegEnds_NonXtal_Prot#'!A:AL,10,FALSE)+9,1)</f>
        <v>H</v>
      </c>
      <c r="Z374" s="50" t="str">
        <f>MID(VLOOKUP($A374,Seqs!$A:$B,2,FALSE),VLOOKUP($A374,'SegEnds_NonXtal_Prot#'!A:AL,10,FALSE)+10,1)</f>
        <v>V</v>
      </c>
      <c r="AA374" s="28" t="str">
        <f>MID(VLOOKUP($A374,Seqs!$A:$B,2,FALSE),VLOOKUP($A374,'SegEnds_NonXtal_Prot#'!$A:$AL,22,FALSE)+6,1)</f>
        <v>K</v>
      </c>
      <c r="AB374" s="50" t="str">
        <f>MID(VLOOKUP($A374,Seqs!$A:$B,2,FALSE),VLOOKUP($A374,'SegEnds_NonXtal_Prot#'!$A:$AL,22,FALSE)+7,1)</f>
        <v>T</v>
      </c>
      <c r="AC374" s="50" t="str">
        <f>MID(VLOOKUP($A374,Seqs!$A:$B,2,FALSE),VLOOKUP($A374,'SegEnds_NonXtal_Prot#'!$A:$AL,22,FALSE)+8,1)</f>
        <v>I</v>
      </c>
      <c r="AD374" s="50" t="str">
        <f>MID(VLOOKUP($A374,Seqs!$A:$B,2,FALSE),VLOOKUP($A374,'SegEnds_NonXtal_Prot#'!$A:$AL,22,FALSE)+9,1)</f>
        <v>T</v>
      </c>
      <c r="AE374" s="50" t="str">
        <f>MID(VLOOKUP($A374,Seqs!$A:$B,2,FALSE),VLOOKUP($A374,'SegEnds_NonXtal_Prot#'!$A:$AL,22,FALSE)+10,1)</f>
        <v>I</v>
      </c>
      <c r="AF374" s="28" t="str">
        <f>MID(VLOOKUP($A374,Seqs!$A:$B,2,FALSE),VLOOKUP($A374,'SegEnds_NonXtal_Prot#'!$A:$AL,28,FALSE)-4,1)</f>
        <v>P</v>
      </c>
      <c r="AG374" s="50" t="str">
        <f>MID(VLOOKUP($A374,Seqs!$A:$B,2,FALSE),VLOOKUP($A374,'SegEnds_NonXtal_Prot#'!$A:$AL,28,FALSE),1)</f>
        <v>Y</v>
      </c>
    </row>
    <row r="375" spans="1:33" s="2" customFormat="1" x14ac:dyDescent="0.2">
      <c r="A375" s="2" t="s">
        <v>454</v>
      </c>
      <c r="B375" s="2" t="str">
        <f>LOWER(VLOOKUP(A375,Xtal_Templ!A:B,2,FALSE))</f>
        <v>smo_human</v>
      </c>
      <c r="C375" s="2" t="str">
        <f>VLOOKUP(A375,Classification!A:D,2,FALSE)</f>
        <v>F</v>
      </c>
      <c r="D375" s="2" t="str">
        <f>IF(ISERROR(MATCH(A375,'SegEnds_Xtal_Prot#'!B:B, 0)), "NoXtal", "Xtal")</f>
        <v>NoXtal</v>
      </c>
      <c r="G375" s="4"/>
      <c r="O375" s="2" t="s">
        <v>1329</v>
      </c>
      <c r="U375" s="28" t="str">
        <f>MID(VLOOKUP($A375,Seqs!$A:$B,2,FALSE),VLOOKUP($A375,'SegEnds_NonXtal_Prot#'!A:AL,10,FALSE),1)</f>
        <v>A</v>
      </c>
      <c r="V375" s="50" t="str">
        <f>MID(VLOOKUP($A375,Seqs!$A:$B,2,FALSE),VLOOKUP($A375,'SegEnds_NonXtal_Prot#'!A:AL,10,FALSE)+6,1)</f>
        <v>S</v>
      </c>
      <c r="W375" s="50" t="str">
        <f>MID(VLOOKUP($A375,Seqs!$A:$B,2,FALSE),VLOOKUP($A375,'SegEnds_NonXtal_Prot#'!A:AL,10,FALSE)+7,1)</f>
        <v>V</v>
      </c>
      <c r="X375" s="50" t="str">
        <f>MID(VLOOKUP($A375,Seqs!$A:$B,2,FALSE),VLOOKUP($A375,'SegEnds_NonXtal_Prot#'!A:AL,10,FALSE)+8,1)</f>
        <v>G</v>
      </c>
      <c r="Y375" s="50" t="str">
        <f>MID(VLOOKUP($A375,Seqs!$A:$B,2,FALSE),VLOOKUP($A375,'SegEnds_NonXtal_Prot#'!A:AL,10,FALSE)+9,1)</f>
        <v>Y</v>
      </c>
      <c r="Z375" s="50" t="str">
        <f>MID(VLOOKUP($A375,Seqs!$A:$B,2,FALSE),VLOOKUP($A375,'SegEnds_NonXtal_Prot#'!A:AL,10,FALSE)+10,1)</f>
        <v>L</v>
      </c>
      <c r="AA375" s="28" t="str">
        <f>MID(VLOOKUP($A375,Seqs!$A:$B,2,FALSE),VLOOKUP($A375,'SegEnds_NonXtal_Prot#'!$A:$AL,22,FALSE)+6,1)</f>
        <v>K</v>
      </c>
      <c r="AB375" s="50" t="str">
        <f>MID(VLOOKUP($A375,Seqs!$A:$B,2,FALSE),VLOOKUP($A375,'SegEnds_NonXtal_Prot#'!$A:$AL,22,FALSE)+7,1)</f>
        <v>S</v>
      </c>
      <c r="AC375" s="50" t="str">
        <f>MID(VLOOKUP($A375,Seqs!$A:$B,2,FALSE),VLOOKUP($A375,'SegEnds_NonXtal_Prot#'!$A:$AL,22,FALSE)+8,1)</f>
        <v>I</v>
      </c>
      <c r="AD375" s="50" t="str">
        <f>MID(VLOOKUP($A375,Seqs!$A:$B,2,FALSE),VLOOKUP($A375,'SegEnds_NonXtal_Prot#'!$A:$AL,22,FALSE)+9,1)</f>
        <v>A</v>
      </c>
      <c r="AE375" s="50" t="str">
        <f>MID(VLOOKUP($A375,Seqs!$A:$B,2,FALSE),VLOOKUP($A375,'SegEnds_NonXtal_Prot#'!$A:$AL,22,FALSE)+10,1)</f>
        <v>V</v>
      </c>
      <c r="AF375" s="28" t="str">
        <f>MID(VLOOKUP($A375,Seqs!$A:$B,2,FALSE),VLOOKUP($A375,'SegEnds_NonXtal_Prot#'!$A:$AL,28,FALSE)-4,1)</f>
        <v>P</v>
      </c>
      <c r="AG375" s="50" t="str">
        <f>MID(VLOOKUP($A375,Seqs!$A:$B,2,FALSE),VLOOKUP($A375,'SegEnds_NonXtal_Prot#'!$A:$AL,28,FALSE),1)</f>
        <v>Y</v>
      </c>
    </row>
    <row r="376" spans="1:33" s="2" customFormat="1" x14ac:dyDescent="0.2">
      <c r="A376" s="2" t="s">
        <v>455</v>
      </c>
      <c r="B376" s="2" t="str">
        <f>LOWER(VLOOKUP(A376,Xtal_Templ!A:B,2,FALSE))</f>
        <v>smo_human</v>
      </c>
      <c r="C376" s="2" t="str">
        <f>VLOOKUP(A376,Classification!A:D,2,FALSE)</f>
        <v>F</v>
      </c>
      <c r="D376" s="2" t="str">
        <f>IF(ISERROR(MATCH(A376,'SegEnds_Xtal_Prot#'!B:B, 0)), "NoXtal", "Xtal")</f>
        <v>NoXtal</v>
      </c>
      <c r="G376" s="4"/>
      <c r="O376" s="2" t="s">
        <v>1329</v>
      </c>
      <c r="U376" s="28" t="str">
        <f>MID(VLOOKUP($A376,Seqs!$A:$B,2,FALSE),VLOOKUP($A376,'SegEnds_NonXtal_Prot#'!A:AL,10,FALSE),1)</f>
        <v>M</v>
      </c>
      <c r="V376" s="50" t="str">
        <f>MID(VLOOKUP($A376,Seqs!$A:$B,2,FALSE),VLOOKUP($A376,'SegEnds_NonXtal_Prot#'!A:AL,10,FALSE)+6,1)</f>
        <v>S</v>
      </c>
      <c r="W376" s="50" t="str">
        <f>MID(VLOOKUP($A376,Seqs!$A:$B,2,FALSE),VLOOKUP($A376,'SegEnds_NonXtal_Prot#'!A:AL,10,FALSE)+7,1)</f>
        <v>L</v>
      </c>
      <c r="X376" s="50" t="str">
        <f>MID(VLOOKUP($A376,Seqs!$A:$B,2,FALSE),VLOOKUP($A376,'SegEnds_NonXtal_Prot#'!A:AL,10,FALSE)+8,1)</f>
        <v>A</v>
      </c>
      <c r="Y376" s="50" t="str">
        <f>MID(VLOOKUP($A376,Seqs!$A:$B,2,FALSE),VLOOKUP($A376,'SegEnds_NonXtal_Prot#'!A:AL,10,FALSE)+9,1)</f>
        <v>F</v>
      </c>
      <c r="Z376" s="50" t="str">
        <f>MID(VLOOKUP($A376,Seqs!$A:$B,2,FALSE),VLOOKUP($A376,'SegEnds_NonXtal_Prot#'!A:AL,10,FALSE)+10,1)</f>
        <v>L</v>
      </c>
      <c r="AA376" s="28" t="str">
        <f>MID(VLOOKUP($A376,Seqs!$A:$B,2,FALSE),VLOOKUP($A376,'SegEnds_NonXtal_Prot#'!$A:$AL,22,FALSE)+6,1)</f>
        <v>K</v>
      </c>
      <c r="AB376" s="50" t="str">
        <f>MID(VLOOKUP($A376,Seqs!$A:$B,2,FALSE),VLOOKUP($A376,'SegEnds_NonXtal_Prot#'!$A:$AL,22,FALSE)+7,1)</f>
        <v>T</v>
      </c>
      <c r="AC376" s="50" t="str">
        <f>MID(VLOOKUP($A376,Seqs!$A:$B,2,FALSE),VLOOKUP($A376,'SegEnds_NonXtal_Prot#'!$A:$AL,22,FALSE)+8,1)</f>
        <v>I</v>
      </c>
      <c r="AD376" s="50" t="str">
        <f>MID(VLOOKUP($A376,Seqs!$A:$B,2,FALSE),VLOOKUP($A376,'SegEnds_NonXtal_Prot#'!$A:$AL,22,FALSE)+9,1)</f>
        <v>V</v>
      </c>
      <c r="AE376" s="50" t="str">
        <f>MID(VLOOKUP($A376,Seqs!$A:$B,2,FALSE),VLOOKUP($A376,'SegEnds_NonXtal_Prot#'!$A:$AL,22,FALSE)+10,1)</f>
        <v>I</v>
      </c>
      <c r="AF376" s="28" t="str">
        <f>MID(VLOOKUP($A376,Seqs!$A:$B,2,FALSE),VLOOKUP($A376,'SegEnds_NonXtal_Prot#'!$A:$AL,28,FALSE)-4,1)</f>
        <v>P</v>
      </c>
      <c r="AG376" s="50" t="str">
        <f>MID(VLOOKUP($A376,Seqs!$A:$B,2,FALSE),VLOOKUP($A376,'SegEnds_NonXtal_Prot#'!$A:$AL,28,FALSE),1)</f>
        <v>Y</v>
      </c>
    </row>
    <row r="377" spans="1:33" s="2" customFormat="1" x14ac:dyDescent="0.2">
      <c r="A377" s="2" t="s">
        <v>33</v>
      </c>
      <c r="B377" s="2" t="str">
        <f>LOWER(VLOOKUP(A377,Xtal_Templ!A:B,2,FALSE))</f>
        <v>smo_human</v>
      </c>
      <c r="C377" s="2" t="str">
        <f>VLOOKUP(A377,Classification!A:D,2,FALSE)</f>
        <v>F</v>
      </c>
      <c r="D377" s="2" t="str">
        <f>IF(ISERROR(MATCH(A377,'SegEnds_Xtal_Prot#'!B:B, 0)), "NoXtal", "Xtal")</f>
        <v>Xtal</v>
      </c>
      <c r="G377" s="4"/>
      <c r="O377" s="2" t="s">
        <v>1329</v>
      </c>
      <c r="U377" s="28" t="str">
        <f>MID(VLOOKUP($A377,Seqs!$A:$B,2,FALSE),VLOOKUP($A377,'SegEnds_NonXtal_Prot#'!A:AL,10,FALSE),1)</f>
        <v>A</v>
      </c>
      <c r="V377" s="50" t="str">
        <f>MID(VLOOKUP($A377,Seqs!$A:$B,2,FALSE),VLOOKUP($A377,'SegEnds_NonXtal_Prot#'!A:AL,10,FALSE)+6,1)</f>
        <v>S</v>
      </c>
      <c r="W377" s="50" t="str">
        <f>MID(VLOOKUP($A377,Seqs!$A:$B,2,FALSE),VLOOKUP($A377,'SegEnds_NonXtal_Prot#'!A:AL,10,FALSE)+7,1)</f>
        <v>I</v>
      </c>
      <c r="X377" s="50" t="str">
        <f>MID(VLOOKUP($A377,Seqs!$A:$B,2,FALSE),VLOOKUP($A377,'SegEnds_NonXtal_Prot#'!A:AL,10,FALSE)+8,1)</f>
        <v>G</v>
      </c>
      <c r="Y377" s="50" t="str">
        <f>MID(VLOOKUP($A377,Seqs!$A:$B,2,FALSE),VLOOKUP($A377,'SegEnds_NonXtal_Prot#'!A:AL,10,FALSE)+9,1)</f>
        <v>W</v>
      </c>
      <c r="Z377" s="50" t="str">
        <f>MID(VLOOKUP($A377,Seqs!$A:$B,2,FALSE),VLOOKUP($A377,'SegEnds_NonXtal_Prot#'!A:AL,10,FALSE)+10,1)</f>
        <v>L</v>
      </c>
      <c r="AA377" s="28" t="str">
        <f>MID(VLOOKUP($A377,Seqs!$A:$B,2,FALSE),VLOOKUP($A377,'SegEnds_NonXtal_Prot#'!$A:$AL,22,FALSE)+6,1)</f>
        <v>L</v>
      </c>
      <c r="AB377" s="50" t="str">
        <f>MID(VLOOKUP($A377,Seqs!$A:$B,2,FALSE),VLOOKUP($A377,'SegEnds_NonXtal_Prot#'!$A:$AL,22,FALSE)+7,1)</f>
        <v>T</v>
      </c>
      <c r="AC377" s="50" t="str">
        <f>MID(VLOOKUP($A377,Seqs!$A:$B,2,FALSE),VLOOKUP($A377,'SegEnds_NonXtal_Prot#'!$A:$AL,22,FALSE)+8,1)</f>
        <v>V</v>
      </c>
      <c r="AD377" s="50" t="str">
        <f>MID(VLOOKUP($A377,Seqs!$A:$B,2,FALSE),VLOOKUP($A377,'SegEnds_NonXtal_Prot#'!$A:$AL,22,FALSE)+9,1)</f>
        <v>A</v>
      </c>
      <c r="AE377" s="50" t="str">
        <f>MID(VLOOKUP($A377,Seqs!$A:$B,2,FALSE),VLOOKUP($A377,'SegEnds_NonXtal_Prot#'!$A:$AL,22,FALSE)+10,1)</f>
        <v>I</v>
      </c>
      <c r="AF377" s="28" t="str">
        <f>MID(VLOOKUP($A377,Seqs!$A:$B,2,FALSE),VLOOKUP($A377,'SegEnds_NonXtal_Prot#'!$A:$AL,28,FALSE)-4,1)</f>
        <v>P</v>
      </c>
      <c r="AG377" s="50" t="str">
        <f>MID(VLOOKUP($A377,Seqs!$A:$B,2,FALSE),VLOOKUP($A377,'SegEnds_NonXtal_Prot#'!$A:$AL,28,FALSE),1)</f>
        <v>V</v>
      </c>
    </row>
    <row r="378" spans="1:33" s="2" customFormat="1" x14ac:dyDescent="0.2">
      <c r="A378" s="2" t="s">
        <v>485</v>
      </c>
      <c r="B378" s="2" t="str">
        <f>LOWER(VLOOKUP(A378,Xtal_Templ!A:B,2,FALSE))</f>
        <v>aa2ar_human</v>
      </c>
      <c r="C378" s="2" t="str">
        <f>VLOOKUP(A378,Classification!A:D,2,FALSE)</f>
        <v>O</v>
      </c>
      <c r="D378" s="2" t="str">
        <f>IF(ISERROR(MATCH(A378,'SegEnds_Xtal_Prot#'!B:B, 0)), "NoXtal", "Xtal")</f>
        <v>NoXtal</v>
      </c>
      <c r="G378" s="4"/>
      <c r="U378" s="28" t="str">
        <f>MID(VLOOKUP($A378,Seqs!$A:$B,2,FALSE),VLOOKUP($A378,'SegEnds_NonXtal_Prot#'!A:AL,10,FALSE),1)</f>
        <v>D</v>
      </c>
      <c r="V378" s="50" t="str">
        <f>MID(VLOOKUP($A378,Seqs!$A:$B,2,FALSE),VLOOKUP($A378,'SegEnds_NonXtal_Prot#'!A:AL,10,FALSE)+6,1)</f>
        <v>G</v>
      </c>
      <c r="W378" s="50" t="str">
        <f>MID(VLOOKUP($A378,Seqs!$A:$B,2,FALSE),VLOOKUP($A378,'SegEnds_NonXtal_Prot#'!A:AL,10,FALSE)+7,1)</f>
        <v>M</v>
      </c>
      <c r="X378" s="50" t="str">
        <f>MID(VLOOKUP($A378,Seqs!$A:$B,2,FALSE),VLOOKUP($A378,'SegEnds_NonXtal_Prot#'!A:AL,10,FALSE)+8,1)</f>
        <v>V</v>
      </c>
      <c r="Y378" s="50" t="str">
        <f>MID(VLOOKUP($A378,Seqs!$A:$B,2,FALSE),VLOOKUP($A378,'SegEnds_NonXtal_Prot#'!A:AL,10,FALSE)+9,1)</f>
        <v>I</v>
      </c>
      <c r="Z378" s="50" t="str">
        <f>MID(VLOOKUP($A378,Seqs!$A:$B,2,FALSE),VLOOKUP($A378,'SegEnds_NonXtal_Prot#'!A:AL,10,FALSE)+10,1)</f>
        <v>R</v>
      </c>
      <c r="AA378" s="28" t="str">
        <f>MID(VLOOKUP($A378,Seqs!$A:$B,2,FALSE),VLOOKUP($A378,'SegEnds_NonXtal_Prot#'!$A:$AL,22,FALSE)+6,1)</f>
        <v>L</v>
      </c>
      <c r="AB378" s="50" t="str">
        <f>MID(VLOOKUP($A378,Seqs!$A:$B,2,FALSE),VLOOKUP($A378,'SegEnds_NonXtal_Prot#'!$A:$AL,22,FALSE)+7,1)</f>
        <v>C</v>
      </c>
      <c r="AC378" s="50" t="str">
        <f>MID(VLOOKUP($A378,Seqs!$A:$B,2,FALSE),VLOOKUP($A378,'SegEnds_NonXtal_Prot#'!$A:$AL,22,FALSE)+8,1)</f>
        <v>V</v>
      </c>
      <c r="AD378" s="50" t="str">
        <f>MID(VLOOKUP($A378,Seqs!$A:$B,2,FALSE),VLOOKUP($A378,'SegEnds_NonXtal_Prot#'!$A:$AL,22,FALSE)+9,1)</f>
        <v>E</v>
      </c>
      <c r="AE378" s="50" t="str">
        <f>MID(VLOOKUP($A378,Seqs!$A:$B,2,FALSE),VLOOKUP($A378,'SegEnds_NonXtal_Prot#'!$A:$AL,22,FALSE)+10,1)</f>
        <v>G</v>
      </c>
      <c r="AF378" s="28" t="str">
        <f>MID(VLOOKUP($A378,Seqs!$A:$B,2,FALSE),VLOOKUP($A378,'SegEnds_NonXtal_Prot#'!$A:$AL,28,FALSE)-4,1)</f>
        <v>T</v>
      </c>
      <c r="AG378" s="50" t="str">
        <f>MID(VLOOKUP($A378,Seqs!$A:$B,2,FALSE),VLOOKUP($A378,'SegEnds_NonXtal_Prot#'!$A:$AL,28,FALSE),1)</f>
        <v>P</v>
      </c>
    </row>
    <row r="379" spans="1:33" s="2" customFormat="1" x14ac:dyDescent="0.2">
      <c r="A379" s="2" t="s">
        <v>481</v>
      </c>
      <c r="B379" s="2" t="str">
        <f>LOWER(VLOOKUP(A379,Xtal_Templ!A:B,2,FALSE))</f>
        <v>agtr1_human</v>
      </c>
      <c r="C379" s="2" t="str">
        <f>VLOOKUP(A379,Classification!A:D,2,FALSE)</f>
        <v>O</v>
      </c>
      <c r="D379" s="2" t="str">
        <f>IF(ISERROR(MATCH(A379,'SegEnds_Xtal_Prot#'!B:B, 0)), "NoXtal", "Xtal")</f>
        <v>NoXtal</v>
      </c>
      <c r="G379" s="4"/>
      <c r="U379" s="28" t="str">
        <f>MID(VLOOKUP($A379,Seqs!$A:$B,2,FALSE),VLOOKUP($A379,'SegEnds_NonXtal_Prot#'!A:AL,10,FALSE),1)</f>
        <v>A</v>
      </c>
      <c r="V379" s="50" t="str">
        <f>MID(VLOOKUP($A379,Seqs!$A:$B,2,FALSE),VLOOKUP($A379,'SegEnds_NonXtal_Prot#'!A:AL,10,FALSE)+6,1)</f>
        <v>F</v>
      </c>
      <c r="W379" s="50" t="str">
        <f>MID(VLOOKUP($A379,Seqs!$A:$B,2,FALSE),VLOOKUP($A379,'SegEnds_NonXtal_Prot#'!A:AL,10,FALSE)+7,1)</f>
        <v>S</v>
      </c>
      <c r="X379" s="50" t="str">
        <f>MID(VLOOKUP($A379,Seqs!$A:$B,2,FALSE),VLOOKUP($A379,'SegEnds_NonXtal_Prot#'!A:AL,10,FALSE)+8,1)</f>
        <v>F</v>
      </c>
      <c r="Y379" s="50" t="str">
        <f>MID(VLOOKUP($A379,Seqs!$A:$B,2,FALSE),VLOOKUP($A379,'SegEnds_NonXtal_Prot#'!A:AL,10,FALSE)+9,1)</f>
        <v>Y</v>
      </c>
      <c r="Z379" s="50" t="str">
        <f>MID(VLOOKUP($A379,Seqs!$A:$B,2,FALSE),VLOOKUP($A379,'SegEnds_NonXtal_Prot#'!A:AL,10,FALSE)+10,1)</f>
        <v>F</v>
      </c>
      <c r="AA379" s="28" t="str">
        <f>MID(VLOOKUP($A379,Seqs!$A:$B,2,FALSE),VLOOKUP($A379,'SegEnds_NonXtal_Prot#'!$A:$AL,22,FALSE)+6,1)</f>
        <v>A</v>
      </c>
      <c r="AB379" s="50" t="str">
        <f>MID(VLOOKUP($A379,Seqs!$A:$B,2,FALSE),VLOOKUP($A379,'SegEnds_NonXtal_Prot#'!$A:$AL,22,FALSE)+7,1)</f>
        <v>A</v>
      </c>
      <c r="AC379" s="50" t="str">
        <f>MID(VLOOKUP($A379,Seqs!$A:$B,2,FALSE),VLOOKUP($A379,'SegEnds_NonXtal_Prot#'!$A:$AL,22,FALSE)+8,1)</f>
        <v>C</v>
      </c>
      <c r="AD379" s="50" t="str">
        <f>MID(VLOOKUP($A379,Seqs!$A:$B,2,FALSE),VLOOKUP($A379,'SegEnds_NonXtal_Prot#'!$A:$AL,22,FALSE)+9,1)</f>
        <v>L</v>
      </c>
      <c r="AE379" s="50" t="str">
        <f>MID(VLOOKUP($A379,Seqs!$A:$B,2,FALSE),VLOOKUP($A379,'SegEnds_NonXtal_Prot#'!$A:$AL,22,FALSE)+10,1)</f>
        <v>C</v>
      </c>
      <c r="AF379" s="28" t="str">
        <f>MID(VLOOKUP($A379,Seqs!$A:$B,2,FALSE),VLOOKUP($A379,'SegEnds_NonXtal_Prot#'!$A:$AL,28,FALSE)-4,1)</f>
        <v>L</v>
      </c>
      <c r="AG379" s="50" t="str">
        <f>MID(VLOOKUP($A379,Seqs!$A:$B,2,FALSE),VLOOKUP($A379,'SegEnds_NonXtal_Prot#'!$A:$AL,28,FALSE),1)</f>
        <v>L</v>
      </c>
    </row>
    <row r="380" spans="1:33" s="2" customFormat="1" x14ac:dyDescent="0.2">
      <c r="A380" s="2" t="s">
        <v>484</v>
      </c>
      <c r="B380" s="2" t="str">
        <f>LOWER(VLOOKUP(A380,Xtal_Templ!A:B,2,FALSE))</f>
        <v>oprk_human</v>
      </c>
      <c r="C380" s="2" t="str">
        <f>VLOOKUP(A380,Classification!A:D,2,FALSE)</f>
        <v>O</v>
      </c>
      <c r="D380" s="2" t="str">
        <f>IF(ISERROR(MATCH(A380,'SegEnds_Xtal_Prot#'!B:B, 0)), "NoXtal", "Xtal")</f>
        <v>NoXtal</v>
      </c>
      <c r="G380" s="4"/>
      <c r="U380" s="28" t="str">
        <f>MID(VLOOKUP($A380,Seqs!$A:$B,2,FALSE),VLOOKUP($A380,'SegEnds_NonXtal_Prot#'!A:AL,10,FALSE),1)</f>
        <v>A</v>
      </c>
      <c r="V380" s="50" t="str">
        <f>MID(VLOOKUP($A380,Seqs!$A:$B,2,FALSE),VLOOKUP($A380,'SegEnds_NonXtal_Prot#'!A:AL,10,FALSE)+6,1)</f>
        <v>M</v>
      </c>
      <c r="W380" s="50" t="str">
        <f>MID(VLOOKUP($A380,Seqs!$A:$B,2,FALSE),VLOOKUP($A380,'SegEnds_NonXtal_Prot#'!A:AL,10,FALSE)+7,1)</f>
        <v>T</v>
      </c>
      <c r="X380" s="50" t="str">
        <f>MID(VLOOKUP($A380,Seqs!$A:$B,2,FALSE),VLOOKUP($A380,'SegEnds_NonXtal_Prot#'!A:AL,10,FALSE)+8,1)</f>
        <v>V</v>
      </c>
      <c r="Y380" s="50" t="str">
        <f>MID(VLOOKUP($A380,Seqs!$A:$B,2,FALSE),VLOOKUP($A380,'SegEnds_NonXtal_Prot#'!A:AL,10,FALSE)+9,1)</f>
        <v>S</v>
      </c>
      <c r="Z380" s="50" t="str">
        <f>MID(VLOOKUP($A380,Seqs!$A:$B,2,FALSE),VLOOKUP($A380,'SegEnds_NonXtal_Prot#'!A:AL,10,FALSE)+10,1)</f>
        <v>T</v>
      </c>
      <c r="AA380" s="28" t="str">
        <f>MID(VLOOKUP($A380,Seqs!$A:$B,2,FALSE),VLOOKUP($A380,'SegEnds_NonXtal_Prot#'!$A:$AL,22,FALSE)+6,1)</f>
        <v>L</v>
      </c>
      <c r="AB380" s="50" t="str">
        <f>MID(VLOOKUP($A380,Seqs!$A:$B,2,FALSE),VLOOKUP($A380,'SegEnds_NonXtal_Prot#'!$A:$AL,22,FALSE)+7,1)</f>
        <v>S</v>
      </c>
      <c r="AC380" s="50" t="str">
        <f>MID(VLOOKUP($A380,Seqs!$A:$B,2,FALSE),VLOOKUP($A380,'SegEnds_NonXtal_Prot#'!$A:$AL,22,FALSE)+8,1)</f>
        <v>A</v>
      </c>
      <c r="AD380" s="50" t="str">
        <f>MID(VLOOKUP($A380,Seqs!$A:$B,2,FALSE),VLOOKUP($A380,'SegEnds_NonXtal_Prot#'!$A:$AL,22,FALSE)+9,1)</f>
        <v>E</v>
      </c>
      <c r="AE380" s="50" t="str">
        <f>MID(VLOOKUP($A380,Seqs!$A:$B,2,FALSE),VLOOKUP($A380,'SegEnds_NonXtal_Prot#'!$A:$AL,22,FALSE)+10,1)</f>
        <v>D</v>
      </c>
      <c r="AF380" s="28" t="str">
        <f>MID(VLOOKUP($A380,Seqs!$A:$B,2,FALSE),VLOOKUP($A380,'SegEnds_NonXtal_Prot#'!$A:$AL,28,FALSE)-4,1)</f>
        <v>F</v>
      </c>
      <c r="AG380" s="50" t="str">
        <f>MID(VLOOKUP($A380,Seqs!$A:$B,2,FALSE),VLOOKUP($A380,'SegEnds_NonXtal_Prot#'!$A:$AL,28,FALSE),1)</f>
        <v>S</v>
      </c>
    </row>
    <row r="381" spans="1:33" s="2" customFormat="1" x14ac:dyDescent="0.2">
      <c r="A381" s="2" t="s">
        <v>486</v>
      </c>
      <c r="B381" s="2" t="str">
        <f>LOWER(VLOOKUP(A381,Xtal_Templ!A:B,2,FALSE))</f>
        <v>5ht2b_human</v>
      </c>
      <c r="C381" s="2" t="str">
        <f>VLOOKUP(A381,Classification!A:D,2,FALSE)</f>
        <v>O</v>
      </c>
      <c r="D381" s="2" t="str">
        <f>IF(ISERROR(MATCH(A381,'SegEnds_Xtal_Prot#'!B:B, 0)), "NoXtal", "Xtal")</f>
        <v>NoXtal</v>
      </c>
      <c r="G381" s="4"/>
      <c r="U381" s="28" t="str">
        <f>MID(VLOOKUP($A381,Seqs!$A:$B,2,FALSE),VLOOKUP($A381,'SegEnds_NonXtal_Prot#'!A:AL,10,FALSE),1)</f>
        <v>D</v>
      </c>
      <c r="V381" s="50" t="str">
        <f>MID(VLOOKUP($A381,Seqs!$A:$B,2,FALSE),VLOOKUP($A381,'SegEnds_NonXtal_Prot#'!A:AL,10,FALSE)+6,1)</f>
        <v>S</v>
      </c>
      <c r="W381" s="50" t="str">
        <f>MID(VLOOKUP($A381,Seqs!$A:$B,2,FALSE),VLOOKUP($A381,'SegEnds_NonXtal_Prot#'!A:AL,10,FALSE)+7,1)</f>
        <v>Y</v>
      </c>
      <c r="X381" s="50" t="str">
        <f>MID(VLOOKUP($A381,Seqs!$A:$B,2,FALSE),VLOOKUP($A381,'SegEnds_NonXtal_Prot#'!A:AL,10,FALSE)+8,1)</f>
        <v>F</v>
      </c>
      <c r="Y381" s="50" t="str">
        <f>MID(VLOOKUP($A381,Seqs!$A:$B,2,FALSE),VLOOKUP($A381,'SegEnds_NonXtal_Prot#'!A:AL,10,FALSE)+9,1)</f>
        <v>Y</v>
      </c>
      <c r="Z381" s="50" t="str">
        <f>MID(VLOOKUP($A381,Seqs!$A:$B,2,FALSE),VLOOKUP($A381,'SegEnds_NonXtal_Prot#'!A:AL,10,FALSE)+10,1)</f>
        <v>G</v>
      </c>
      <c r="AA381" s="28" t="str">
        <f>MID(VLOOKUP($A381,Seqs!$A:$B,2,FALSE),VLOOKUP($A381,'SegEnds_NonXtal_Prot#'!$A:$AL,22,FALSE)+6,1)</f>
        <v>A</v>
      </c>
      <c r="AB381" s="50" t="str">
        <f>MID(VLOOKUP($A381,Seqs!$A:$B,2,FALSE),VLOOKUP($A381,'SegEnds_NonXtal_Prot#'!$A:$AL,22,FALSE)+7,1)</f>
        <v>L</v>
      </c>
      <c r="AC381" s="50" t="str">
        <f>MID(VLOOKUP($A381,Seqs!$A:$B,2,FALSE),VLOOKUP($A381,'SegEnds_NonXtal_Prot#'!$A:$AL,22,FALSE)+8,1)</f>
        <v>K</v>
      </c>
      <c r="AD381" s="50" t="str">
        <f>MID(VLOOKUP($A381,Seqs!$A:$B,2,FALSE),VLOOKUP($A381,'SegEnds_NonXtal_Prot#'!$A:$AL,22,FALSE)+9,1)</f>
        <v>K</v>
      </c>
      <c r="AE381" s="50" t="str">
        <f>MID(VLOOKUP($A381,Seqs!$A:$B,2,FALSE),VLOOKUP($A381,'SegEnds_NonXtal_Prot#'!$A:$AL,22,FALSE)+10,1)</f>
        <v>I</v>
      </c>
      <c r="AF381" s="28" t="str">
        <f>MID(VLOOKUP($A381,Seqs!$A:$B,2,FALSE),VLOOKUP($A381,'SegEnds_NonXtal_Prot#'!$A:$AL,28,FALSE)-4,1)</f>
        <v>D</v>
      </c>
      <c r="AG381" s="50" t="str">
        <f>MID(VLOOKUP($A381,Seqs!$A:$B,2,FALSE),VLOOKUP($A381,'SegEnds_NonXtal_Prot#'!$A:$AL,28,FALSE),1)</f>
        <v>K</v>
      </c>
    </row>
    <row r="382" spans="1:33" s="2" customFormat="1" x14ac:dyDescent="0.2">
      <c r="A382" s="2" t="s">
        <v>482</v>
      </c>
      <c r="B382" s="2" t="str">
        <f>LOWER(VLOOKUP(A382,Xtal_Templ!A:B,2,FALSE))</f>
        <v>ccr9_human</v>
      </c>
      <c r="C382" s="2" t="str">
        <f>VLOOKUP(A382,Classification!A:D,2,FALSE)</f>
        <v>O</v>
      </c>
      <c r="D382" s="2" t="str">
        <f>IF(ISERROR(MATCH(A382,'SegEnds_Xtal_Prot#'!B:B, 0)), "NoXtal", "Xtal")</f>
        <v>NoXtal</v>
      </c>
      <c r="G382" s="4"/>
      <c r="U382" s="28" t="str">
        <f>MID(VLOOKUP($A382,Seqs!$A:$B,2,FALSE),VLOOKUP($A382,'SegEnds_NonXtal_Prot#'!A:AL,10,FALSE),1)</f>
        <v>W</v>
      </c>
      <c r="V382" s="50" t="str">
        <f>MID(VLOOKUP($A382,Seqs!$A:$B,2,FALSE),VLOOKUP($A382,'SegEnds_NonXtal_Prot#'!A:AL,10,FALSE)+6,1)</f>
        <v>K</v>
      </c>
      <c r="W382" s="50" t="str">
        <f>MID(VLOOKUP($A382,Seqs!$A:$B,2,FALSE),VLOOKUP($A382,'SegEnds_NonXtal_Prot#'!A:AL,10,FALSE)+7,1)</f>
        <v>R</v>
      </c>
      <c r="X382" s="50" t="str">
        <f>MID(VLOOKUP($A382,Seqs!$A:$B,2,FALSE),VLOOKUP($A382,'SegEnds_NonXtal_Prot#'!A:AL,10,FALSE)+8,1)</f>
        <v>R</v>
      </c>
      <c r="Y382" s="50" t="str">
        <f>MID(VLOOKUP($A382,Seqs!$A:$B,2,FALSE),VLOOKUP($A382,'SegEnds_NonXtal_Prot#'!A:AL,10,FALSE)+9,1)</f>
        <v>N</v>
      </c>
      <c r="Z382" s="50" t="str">
        <f>MID(VLOOKUP($A382,Seqs!$A:$B,2,FALSE),VLOOKUP($A382,'SegEnds_NonXtal_Prot#'!A:AL,10,FALSE)+10,1)</f>
        <v>D</v>
      </c>
      <c r="AA382" s="28" t="str">
        <f>MID(VLOOKUP($A382,Seqs!$A:$B,2,FALSE),VLOOKUP($A382,'SegEnds_NonXtal_Prot#'!$A:$AL,22,FALSE)+6,1)</f>
        <v>Y</v>
      </c>
      <c r="AB382" s="50" t="str">
        <f>MID(VLOOKUP($A382,Seqs!$A:$B,2,FALSE),VLOOKUP($A382,'SegEnds_NonXtal_Prot#'!$A:$AL,22,FALSE)+7,1)</f>
        <v>G</v>
      </c>
      <c r="AC382" s="50" t="str">
        <f>MID(VLOOKUP($A382,Seqs!$A:$B,2,FALSE),VLOOKUP($A382,'SegEnds_NonXtal_Prot#'!$A:$AL,22,FALSE)+8,1)</f>
        <v>L</v>
      </c>
      <c r="AD382" s="50" t="str">
        <f>MID(VLOOKUP($A382,Seqs!$A:$B,2,FALSE),VLOOKUP($A382,'SegEnds_NonXtal_Prot#'!$A:$AL,22,FALSE)+9,1)</f>
        <v>W</v>
      </c>
      <c r="AE382" s="50" t="str">
        <f>MID(VLOOKUP($A382,Seqs!$A:$B,2,FALSE),VLOOKUP($A382,'SegEnds_NonXtal_Prot#'!$A:$AL,22,FALSE)+10,1)</f>
        <v>K</v>
      </c>
      <c r="AF382" s="28" t="str">
        <f>MID(VLOOKUP($A382,Seqs!$A:$B,2,FALSE),VLOOKUP($A382,'SegEnds_NonXtal_Prot#'!$A:$AL,28,FALSE)-4,1)</f>
        <v>A</v>
      </c>
      <c r="AG382" s="50" t="str">
        <f>MID(VLOOKUP($A382,Seqs!$A:$B,2,FALSE),VLOOKUP($A382,'SegEnds_NonXtal_Prot#'!$A:$AL,28,FALSE),1)</f>
        <v>P</v>
      </c>
    </row>
    <row r="383" spans="1:33" s="2" customFormat="1" x14ac:dyDescent="0.2">
      <c r="A383" s="2" t="s">
        <v>472</v>
      </c>
      <c r="B383" s="2" t="str">
        <f>LOWER(VLOOKUP(A383,Xtal_Templ!A:B,2,FALSE))</f>
        <v>oprk_human</v>
      </c>
      <c r="C383" s="2" t="str">
        <f>VLOOKUP(A383,Classification!A:D,2,FALSE)</f>
        <v>T</v>
      </c>
      <c r="D383" s="2" t="str">
        <f>IF(ISERROR(MATCH(A383,'SegEnds_Xtal_Prot#'!B:B, 0)), "NoXtal", "Xtal")</f>
        <v>NoXtal</v>
      </c>
      <c r="G383" s="4"/>
      <c r="U383" s="28" t="str">
        <f>MID(VLOOKUP($A383,Seqs!$A:$B,2,FALSE),VLOOKUP($A383,'SegEnds_NonXtal_Prot#'!A:AL,10,FALSE),1)</f>
        <v>R</v>
      </c>
      <c r="V383" s="50" t="str">
        <f>MID(VLOOKUP($A383,Seqs!$A:$B,2,FALSE),VLOOKUP($A383,'SegEnds_NonXtal_Prot#'!A:AL,10,FALSE)+6,1)</f>
        <v>V</v>
      </c>
      <c r="W383" s="50" t="str">
        <f>MID(VLOOKUP($A383,Seqs!$A:$B,2,FALSE),VLOOKUP($A383,'SegEnds_NonXtal_Prot#'!A:AL,10,FALSE)+7,1)</f>
        <v>V</v>
      </c>
      <c r="X383" s="50" t="str">
        <f>MID(VLOOKUP($A383,Seqs!$A:$B,2,FALSE),VLOOKUP($A383,'SegEnds_NonXtal_Prot#'!A:AL,10,FALSE)+8,1)</f>
        <v>M</v>
      </c>
      <c r="Y383" s="50" t="str">
        <f>MID(VLOOKUP($A383,Seqs!$A:$B,2,FALSE),VLOOKUP($A383,'SegEnds_NonXtal_Prot#'!A:AL,10,FALSE)+9,1)</f>
        <v>G</v>
      </c>
      <c r="Z383" s="50" t="str">
        <f>MID(VLOOKUP($A383,Seqs!$A:$B,2,FALSE),VLOOKUP($A383,'SegEnds_NonXtal_Prot#'!A:AL,10,FALSE)+10,1)</f>
        <v>K</v>
      </c>
      <c r="AA383" s="28" t="str">
        <f>MID(VLOOKUP($A383,Seqs!$A:$B,2,FALSE),VLOOKUP($A383,'SegEnds_NonXtal_Prot#'!$A:$AL,22,FALSE)+6,1)</f>
        <v>S</v>
      </c>
      <c r="AB383" s="50" t="str">
        <f>MID(VLOOKUP($A383,Seqs!$A:$B,2,FALSE),VLOOKUP($A383,'SegEnds_NonXtal_Prot#'!$A:$AL,22,FALSE)+7,1)</f>
        <v>F</v>
      </c>
      <c r="AC383" s="50" t="str">
        <f>MID(VLOOKUP($A383,Seqs!$A:$B,2,FALSE),VLOOKUP($A383,'SegEnds_NonXtal_Prot#'!$A:$AL,22,FALSE)+8,1)</f>
        <v>T</v>
      </c>
      <c r="AD383" s="50" t="str">
        <f>MID(VLOOKUP($A383,Seqs!$A:$B,2,FALSE),VLOOKUP($A383,'SegEnds_NonXtal_Prot#'!$A:$AL,22,FALSE)+9,1)</f>
        <v>T</v>
      </c>
      <c r="AE383" s="50" t="str">
        <f>MID(VLOOKUP($A383,Seqs!$A:$B,2,FALSE),VLOOKUP($A383,'SegEnds_NonXtal_Prot#'!$A:$AL,22,FALSE)+10,1)</f>
        <v>I</v>
      </c>
      <c r="AF383" s="28" t="str">
        <f>MID(VLOOKUP($A383,Seqs!$A:$B,2,FALSE),VLOOKUP($A383,'SegEnds_NonXtal_Prot#'!$A:$AL,28,FALSE)-4,1)</f>
        <v>T</v>
      </c>
      <c r="AG383" s="50" t="str">
        <f>MID(VLOOKUP($A383,Seqs!$A:$B,2,FALSE),VLOOKUP($A383,'SegEnds_NonXtal_Prot#'!$A:$AL,28,FALSE),1)</f>
        <v>P</v>
      </c>
    </row>
    <row r="384" spans="1:33" s="2" customFormat="1" x14ac:dyDescent="0.2">
      <c r="A384" s="2" t="s">
        <v>457</v>
      </c>
      <c r="B384" s="2" t="str">
        <f>LOWER(VLOOKUP(A384,Xtal_Templ!A:B,2,FALSE))</f>
        <v>apj_human</v>
      </c>
      <c r="C384" s="2" t="str">
        <f>VLOOKUP(A384,Classification!A:D,2,FALSE)</f>
        <v>T</v>
      </c>
      <c r="D384" s="2" t="str">
        <f>IF(ISERROR(MATCH(A384,'SegEnds_Xtal_Prot#'!B:B, 0)), "NoXtal", "Xtal")</f>
        <v>NoXtal</v>
      </c>
      <c r="G384" s="4"/>
      <c r="U384" s="28" t="str">
        <f>MID(VLOOKUP($A384,Seqs!$A:$B,2,FALSE),VLOOKUP($A384,'SegEnds_NonXtal_Prot#'!A:AL,10,FALSE),1)</f>
        <v>R</v>
      </c>
      <c r="V384" s="50" t="str">
        <f>MID(VLOOKUP($A384,Seqs!$A:$B,2,FALSE),VLOOKUP($A384,'SegEnds_NonXtal_Prot#'!A:AL,10,FALSE)+6,1)</f>
        <v>E</v>
      </c>
      <c r="W384" s="50" t="str">
        <f>MID(VLOOKUP($A384,Seqs!$A:$B,2,FALSE),VLOOKUP($A384,'SegEnds_NonXtal_Prot#'!A:AL,10,FALSE)+7,1)</f>
        <v>I</v>
      </c>
      <c r="X384" s="50" t="str">
        <f>MID(VLOOKUP($A384,Seqs!$A:$B,2,FALSE),VLOOKUP($A384,'SegEnds_NonXtal_Prot#'!A:AL,10,FALSE)+8,1)</f>
        <v>L</v>
      </c>
      <c r="Y384" s="50" t="str">
        <f>MID(VLOOKUP($A384,Seqs!$A:$B,2,FALSE),VLOOKUP($A384,'SegEnds_NonXtal_Prot#'!A:AL,10,FALSE)+9,1)</f>
        <v>V</v>
      </c>
      <c r="Z384" s="50" t="str">
        <f>MID(VLOOKUP($A384,Seqs!$A:$B,2,FALSE),VLOOKUP($A384,'SegEnds_NonXtal_Prot#'!A:AL,10,FALSE)+10,1)</f>
        <v>S</v>
      </c>
      <c r="AA384" s="28" t="str">
        <f>MID(VLOOKUP($A384,Seqs!$A:$B,2,FALSE),VLOOKUP($A384,'SegEnds_NonXtal_Prot#'!$A:$AL,22,FALSE)+6,1)</f>
        <v>F</v>
      </c>
      <c r="AB384" s="50" t="str">
        <f>MID(VLOOKUP($A384,Seqs!$A:$B,2,FALSE),VLOOKUP($A384,'SegEnds_NonXtal_Prot#'!$A:$AL,22,FALSE)+7,1)</f>
        <v>L</v>
      </c>
      <c r="AC384" s="50" t="str">
        <f>MID(VLOOKUP($A384,Seqs!$A:$B,2,FALSE),VLOOKUP($A384,'SegEnds_NonXtal_Prot#'!$A:$AL,22,FALSE)+8,1)</f>
        <v>N</v>
      </c>
      <c r="AD384" s="50" t="str">
        <f>MID(VLOOKUP($A384,Seqs!$A:$B,2,FALSE),VLOOKUP($A384,'SegEnds_NonXtal_Prot#'!$A:$AL,22,FALSE)+9,1)</f>
        <v>L</v>
      </c>
      <c r="AE384" s="50" t="str">
        <f>MID(VLOOKUP($A384,Seqs!$A:$B,2,FALSE),VLOOKUP($A384,'SegEnds_NonXtal_Prot#'!$A:$AL,22,FALSE)+10,1)</f>
        <v>I</v>
      </c>
      <c r="AF384" s="28" t="str">
        <f>MID(VLOOKUP($A384,Seqs!$A:$B,2,FALSE),VLOOKUP($A384,'SegEnds_NonXtal_Prot#'!$A:$AL,28,FALSE)-4,1)</f>
        <v>F</v>
      </c>
      <c r="AG384" s="50" t="str">
        <f>MID(VLOOKUP($A384,Seqs!$A:$B,2,FALSE),VLOOKUP($A384,'SegEnds_NonXtal_Prot#'!$A:$AL,28,FALSE),1)</f>
        <v>P</v>
      </c>
    </row>
    <row r="385" spans="1:33" s="2" customFormat="1" x14ac:dyDescent="0.2">
      <c r="A385" s="2" t="s">
        <v>476</v>
      </c>
      <c r="B385" s="2" t="str">
        <f>LOWER(VLOOKUP(A385,Xtal_Templ!A:B,2,FALSE))</f>
        <v>5ht1b_human</v>
      </c>
      <c r="C385" s="2" t="str">
        <f>VLOOKUP(A385,Classification!A:D,2,FALSE)</f>
        <v>T</v>
      </c>
      <c r="D385" s="2" t="str">
        <f>IF(ISERROR(MATCH(A385,'SegEnds_Xtal_Prot#'!B:B, 0)), "NoXtal", "Xtal")</f>
        <v>NoXtal</v>
      </c>
      <c r="G385" s="4"/>
      <c r="U385" s="28" t="str">
        <f>MID(VLOOKUP($A385,Seqs!$A:$B,2,FALSE),VLOOKUP($A385,'SegEnds_NonXtal_Prot#'!A:AL,10,FALSE),1)</f>
        <v>R</v>
      </c>
      <c r="V385" s="50" t="str">
        <f>MID(VLOOKUP($A385,Seqs!$A:$B,2,FALSE),VLOOKUP($A385,'SegEnds_NonXtal_Prot#'!A:AL,10,FALSE)+6,1)</f>
        <v>L</v>
      </c>
      <c r="W385" s="50" t="str">
        <f>MID(VLOOKUP($A385,Seqs!$A:$B,2,FALSE),VLOOKUP($A385,'SegEnds_NonXtal_Prot#'!A:AL,10,FALSE)+7,1)</f>
        <v>F</v>
      </c>
      <c r="X385" s="50" t="str">
        <f>MID(VLOOKUP($A385,Seqs!$A:$B,2,FALSE),VLOOKUP($A385,'SegEnds_NonXtal_Prot#'!A:AL,10,FALSE)+8,1)</f>
        <v>L</v>
      </c>
      <c r="Y385" s="50" t="str">
        <f>MID(VLOOKUP($A385,Seqs!$A:$B,2,FALSE),VLOOKUP($A385,'SegEnds_NonXtal_Prot#'!A:AL,10,FALSE)+9,1)</f>
        <v>V</v>
      </c>
      <c r="Z385" s="50" t="str">
        <f>MID(VLOOKUP($A385,Seqs!$A:$B,2,FALSE),VLOOKUP($A385,'SegEnds_NonXtal_Prot#'!A:AL,10,FALSE)+10,1)</f>
        <v>N</v>
      </c>
      <c r="AA385" s="28" t="str">
        <f>MID(VLOOKUP($A385,Seqs!$A:$B,2,FALSE),VLOOKUP($A385,'SegEnds_NonXtal_Prot#'!$A:$AL,22,FALSE)+6,1)</f>
        <v>A</v>
      </c>
      <c r="AB385" s="50" t="str">
        <f>MID(VLOOKUP($A385,Seqs!$A:$B,2,FALSE),VLOOKUP($A385,'SegEnds_NonXtal_Prot#'!$A:$AL,22,FALSE)+7,1)</f>
        <v>F</v>
      </c>
      <c r="AC385" s="50" t="str">
        <f>MID(VLOOKUP($A385,Seqs!$A:$B,2,FALSE),VLOOKUP($A385,'SegEnds_NonXtal_Prot#'!$A:$AL,22,FALSE)+8,1)</f>
        <v>T</v>
      </c>
      <c r="AD385" s="50" t="str">
        <f>MID(VLOOKUP($A385,Seqs!$A:$B,2,FALSE),VLOOKUP($A385,'SegEnds_NonXtal_Prot#'!$A:$AL,22,FALSE)+9,1)</f>
        <v>T</v>
      </c>
      <c r="AE385" s="50" t="str">
        <f>MID(VLOOKUP($A385,Seqs!$A:$B,2,FALSE),VLOOKUP($A385,'SegEnds_NonXtal_Prot#'!$A:$AL,22,FALSE)+10,1)</f>
        <v>C</v>
      </c>
      <c r="AF385" s="28" t="str">
        <f>MID(VLOOKUP($A385,Seqs!$A:$B,2,FALSE),VLOOKUP($A385,'SegEnds_NonXtal_Prot#'!$A:$AL,28,FALSE)-4,1)</f>
        <v>S</v>
      </c>
      <c r="AG385" s="50" t="str">
        <f>MID(VLOOKUP($A385,Seqs!$A:$B,2,FALSE),VLOOKUP($A385,'SegEnds_NonXtal_Prot#'!$A:$AL,28,FALSE),1)</f>
        <v>Q</v>
      </c>
    </row>
    <row r="386" spans="1:33" s="2" customFormat="1" x14ac:dyDescent="0.2">
      <c r="A386" s="2" t="s">
        <v>465</v>
      </c>
      <c r="B386" s="2" t="str">
        <f>LOWER(VLOOKUP(A386,Xtal_Templ!A:B,2,FALSE))</f>
        <v>agtr1_human</v>
      </c>
      <c r="C386" s="2" t="str">
        <f>VLOOKUP(A386,Classification!A:D,2,FALSE)</f>
        <v>T</v>
      </c>
      <c r="D386" s="2" t="str">
        <f>IF(ISERROR(MATCH(A386,'SegEnds_Xtal_Prot#'!B:B, 0)), "NoXtal", "Xtal")</f>
        <v>NoXtal</v>
      </c>
      <c r="G386" s="4"/>
      <c r="U386" s="28" t="str">
        <f>MID(VLOOKUP($A386,Seqs!$A:$B,2,FALSE),VLOOKUP($A386,'SegEnds_NonXtal_Prot#'!A:AL,10,FALSE),1)</f>
        <v>R</v>
      </c>
      <c r="V386" s="50" t="str">
        <f>MID(VLOOKUP($A386,Seqs!$A:$B,2,FALSE),VLOOKUP($A386,'SegEnds_NonXtal_Prot#'!A:AL,10,FALSE)+6,1)</f>
        <v>L</v>
      </c>
      <c r="W386" s="50" t="str">
        <f>MID(VLOOKUP($A386,Seqs!$A:$B,2,FALSE),VLOOKUP($A386,'SegEnds_NonXtal_Prot#'!A:AL,10,FALSE)+7,1)</f>
        <v>M</v>
      </c>
      <c r="X386" s="50" t="str">
        <f>MID(VLOOKUP($A386,Seqs!$A:$B,2,FALSE),VLOOKUP($A386,'SegEnds_NonXtal_Prot#'!A:AL,10,FALSE)+8,1)</f>
        <v>M</v>
      </c>
      <c r="Y386" s="50" t="str">
        <f>MID(VLOOKUP($A386,Seqs!$A:$B,2,FALSE),VLOOKUP($A386,'SegEnds_NonXtal_Prot#'!A:AL,10,FALSE)+9,1)</f>
        <v>L</v>
      </c>
      <c r="Z386" s="50" t="str">
        <f>MID(VLOOKUP($A386,Seqs!$A:$B,2,FALSE),VLOOKUP($A386,'SegEnds_NonXtal_Prot#'!A:AL,10,FALSE)+10,1)</f>
        <v>E</v>
      </c>
      <c r="AA386" s="28" t="str">
        <f>MID(VLOOKUP($A386,Seqs!$A:$B,2,FALSE),VLOOKUP($A386,'SegEnds_NonXtal_Prot#'!$A:$AL,22,FALSE)+6,1)</f>
        <v>F</v>
      </c>
      <c r="AB386" s="50" t="str">
        <f>MID(VLOOKUP($A386,Seqs!$A:$B,2,FALSE),VLOOKUP($A386,'SegEnds_NonXtal_Prot#'!$A:$AL,22,FALSE)+7,1)</f>
        <v>S</v>
      </c>
      <c r="AC386" s="50" t="str">
        <f>MID(VLOOKUP($A386,Seqs!$A:$B,2,FALSE),VLOOKUP($A386,'SegEnds_NonXtal_Prot#'!$A:$AL,22,FALSE)+8,1)</f>
        <v>H</v>
      </c>
      <c r="AD386" s="50" t="str">
        <f>MID(VLOOKUP($A386,Seqs!$A:$B,2,FALSE),VLOOKUP($A386,'SegEnds_NonXtal_Prot#'!$A:$AL,22,FALSE)+9,1)</f>
        <v>S</v>
      </c>
      <c r="AE386" s="50" t="str">
        <f>MID(VLOOKUP($A386,Seqs!$A:$B,2,FALSE),VLOOKUP($A386,'SegEnds_NonXtal_Prot#'!$A:$AL,22,FALSE)+10,1)</f>
        <v>M</v>
      </c>
      <c r="AF386" s="28" t="str">
        <f>MID(VLOOKUP($A386,Seqs!$A:$B,2,FALSE),VLOOKUP($A386,'SegEnds_NonXtal_Prot#'!$A:$AL,28,FALSE)-4,1)</f>
        <v>G</v>
      </c>
      <c r="AG386" s="50" t="str">
        <f>MID(VLOOKUP($A386,Seqs!$A:$B,2,FALSE),VLOOKUP($A386,'SegEnds_NonXtal_Prot#'!$A:$AL,28,FALSE),1)</f>
        <v>P</v>
      </c>
    </row>
    <row r="387" spans="1:33" s="2" customFormat="1" x14ac:dyDescent="0.2">
      <c r="A387" s="2" t="s">
        <v>460</v>
      </c>
      <c r="B387" s="2" t="str">
        <f>LOWER(VLOOKUP(A387,Xtal_Templ!A:B,2,FALSE))</f>
        <v>acm2_human</v>
      </c>
      <c r="C387" s="2" t="str">
        <f>VLOOKUP(A387,Classification!A:D,2,FALSE)</f>
        <v>T</v>
      </c>
      <c r="D387" s="2" t="str">
        <f>IF(ISERROR(MATCH(A387,'SegEnds_Xtal_Prot#'!B:B, 0)), "NoXtal", "Xtal")</f>
        <v>NoXtal</v>
      </c>
      <c r="G387" s="4"/>
      <c r="U387" s="28" t="str">
        <f>MID(VLOOKUP($A387,Seqs!$A:$B,2,FALSE),VLOOKUP($A387,'SegEnds_NonXtal_Prot#'!A:AL,10,FALSE),1)</f>
        <v>R</v>
      </c>
      <c r="V387" s="50" t="str">
        <f>MID(VLOOKUP($A387,Seqs!$A:$B,2,FALSE),VLOOKUP($A387,'SegEnds_NonXtal_Prot#'!A:AL,10,FALSE)+6,1)</f>
        <v>V</v>
      </c>
      <c r="W387" s="50" t="str">
        <f>MID(VLOOKUP($A387,Seqs!$A:$B,2,FALSE),VLOOKUP($A387,'SegEnds_NonXtal_Prot#'!A:AL,10,FALSE)+7,1)</f>
        <v>M</v>
      </c>
      <c r="X387" s="50" t="str">
        <f>MID(VLOOKUP($A387,Seqs!$A:$B,2,FALSE),VLOOKUP($A387,'SegEnds_NonXtal_Prot#'!A:AL,10,FALSE)+8,1)</f>
        <v>L</v>
      </c>
      <c r="Y387" s="50" t="str">
        <f>MID(VLOOKUP($A387,Seqs!$A:$B,2,FALSE),VLOOKUP($A387,'SegEnds_NonXtal_Prot#'!A:AL,10,FALSE)+9,1)</f>
        <v>F</v>
      </c>
      <c r="Z387" s="50" t="str">
        <f>MID(VLOOKUP($A387,Seqs!$A:$B,2,FALSE),VLOOKUP($A387,'SegEnds_NonXtal_Prot#'!A:AL,10,FALSE)+10,1)</f>
        <v>L</v>
      </c>
      <c r="AA387" s="28" t="str">
        <f>MID(VLOOKUP($A387,Seqs!$A:$B,2,FALSE),VLOOKUP($A387,'SegEnds_NonXtal_Prot#'!$A:$AL,22,FALSE)+6,1)</f>
        <v>I</v>
      </c>
      <c r="AB387" s="50" t="str">
        <f>MID(VLOOKUP($A387,Seqs!$A:$B,2,FALSE),VLOOKUP($A387,'SegEnds_NonXtal_Prot#'!$A:$AL,22,FALSE)+7,1)</f>
        <v>C</v>
      </c>
      <c r="AC387" s="50" t="str">
        <f>MID(VLOOKUP($A387,Seqs!$A:$B,2,FALSE),VLOOKUP($A387,'SegEnds_NonXtal_Prot#'!$A:$AL,22,FALSE)+8,1)</f>
        <v>N</v>
      </c>
      <c r="AD387" s="50" t="str">
        <f>MID(VLOOKUP($A387,Seqs!$A:$B,2,FALSE),VLOOKUP($A387,'SegEnds_NonXtal_Prot#'!$A:$AL,22,FALSE)+9,1)</f>
        <v>L</v>
      </c>
      <c r="AE387" s="50" t="str">
        <f>MID(VLOOKUP($A387,Seqs!$A:$B,2,FALSE),VLOOKUP($A387,'SegEnds_NonXtal_Prot#'!$A:$AL,22,FALSE)+10,1)</f>
        <v>A</v>
      </c>
      <c r="AF387" s="28" t="str">
        <f>MID(VLOOKUP($A387,Seqs!$A:$B,2,FALSE),VLOOKUP($A387,'SegEnds_NonXtal_Prot#'!$A:$AL,28,FALSE)-4,1)</f>
        <v>A</v>
      </c>
      <c r="AG387" s="50" t="str">
        <f>MID(VLOOKUP($A387,Seqs!$A:$B,2,FALSE),VLOOKUP($A387,'SegEnds_NonXtal_Prot#'!$A:$AL,28,FALSE),1)</f>
        <v>P</v>
      </c>
    </row>
    <row r="388" spans="1:33" s="2" customFormat="1" x14ac:dyDescent="0.2">
      <c r="A388" s="2" t="s">
        <v>461</v>
      </c>
      <c r="B388" s="2" t="str">
        <f>LOWER(VLOOKUP(A388,Xtal_Templ!A:B,2,FALSE))</f>
        <v>5ht2b_human</v>
      </c>
      <c r="C388" s="2" t="str">
        <f>VLOOKUP(A388,Classification!A:D,2,FALSE)</f>
        <v>T</v>
      </c>
      <c r="D388" s="2" t="str">
        <f>IF(ISERROR(MATCH(A388,'SegEnds_Xtal_Prot#'!B:B, 0)), "NoXtal", "Xtal")</f>
        <v>NoXtal</v>
      </c>
      <c r="G388" s="4"/>
      <c r="U388" s="28" t="str">
        <f>MID(VLOOKUP($A388,Seqs!$A:$B,2,FALSE),VLOOKUP($A388,'SegEnds_NonXtal_Prot#'!A:AL,10,FALSE),1)</f>
        <v>R</v>
      </c>
      <c r="V388" s="50" t="str">
        <f>MID(VLOOKUP($A388,Seqs!$A:$B,2,FALSE),VLOOKUP($A388,'SegEnds_NonXtal_Prot#'!A:AL,10,FALSE)+6,1)</f>
        <v>V</v>
      </c>
      <c r="W388" s="50" t="str">
        <f>MID(VLOOKUP($A388,Seqs!$A:$B,2,FALSE),VLOOKUP($A388,'SegEnds_NonXtal_Prot#'!A:AL,10,FALSE)+7,1)</f>
        <v>I</v>
      </c>
      <c r="X388" s="50" t="str">
        <f>MID(VLOOKUP($A388,Seqs!$A:$B,2,FALSE),VLOOKUP($A388,'SegEnds_NonXtal_Prot#'!A:AL,10,FALSE)+8,1)</f>
        <v>L</v>
      </c>
      <c r="Y388" s="50" t="str">
        <f>MID(VLOOKUP($A388,Seqs!$A:$B,2,FALSE),VLOOKUP($A388,'SegEnds_NonXtal_Prot#'!A:AL,10,FALSE)+9,1)</f>
        <v>L</v>
      </c>
      <c r="Z388" s="50" t="str">
        <f>MID(VLOOKUP($A388,Seqs!$A:$B,2,FALSE),VLOOKUP($A388,'SegEnds_NonXtal_Prot#'!A:AL,10,FALSE)+10,1)</f>
        <v>H</v>
      </c>
      <c r="AA388" s="28" t="str">
        <f>MID(VLOOKUP($A388,Seqs!$A:$B,2,FALSE),VLOOKUP($A388,'SegEnds_NonXtal_Prot#'!$A:$AL,22,FALSE)+6,1)</f>
        <v>V</v>
      </c>
      <c r="AB388" s="50" t="str">
        <f>MID(VLOOKUP($A388,Seqs!$A:$B,2,FALSE),VLOOKUP($A388,'SegEnds_NonXtal_Prot#'!$A:$AL,22,FALSE)+7,1)</f>
        <v>C</v>
      </c>
      <c r="AC388" s="50" t="str">
        <f>MID(VLOOKUP($A388,Seqs!$A:$B,2,FALSE),VLOOKUP($A388,'SegEnds_NonXtal_Prot#'!$A:$AL,22,FALSE)+8,1)</f>
        <v>H</v>
      </c>
      <c r="AD388" s="50" t="str">
        <f>MID(VLOOKUP($A388,Seqs!$A:$B,2,FALSE),VLOOKUP($A388,'SegEnds_NonXtal_Prot#'!$A:$AL,22,FALSE)+9,1)</f>
        <v>L</v>
      </c>
      <c r="AE388" s="50" t="str">
        <f>MID(VLOOKUP($A388,Seqs!$A:$B,2,FALSE),VLOOKUP($A388,'SegEnds_NonXtal_Prot#'!$A:$AL,22,FALSE)+10,1)</f>
        <v>V</v>
      </c>
      <c r="AF388" s="28" t="str">
        <f>MID(VLOOKUP($A388,Seqs!$A:$B,2,FALSE),VLOOKUP($A388,'SegEnds_NonXtal_Prot#'!$A:$AL,28,FALSE)-4,1)</f>
        <v>A</v>
      </c>
      <c r="AG388" s="50" t="str">
        <f>MID(VLOOKUP($A388,Seqs!$A:$B,2,FALSE),VLOOKUP($A388,'SegEnds_NonXtal_Prot#'!$A:$AL,28,FALSE),1)</f>
        <v>P</v>
      </c>
    </row>
    <row r="389" spans="1:33" s="2" customFormat="1" x14ac:dyDescent="0.2">
      <c r="A389" s="2" t="s">
        <v>462</v>
      </c>
      <c r="B389" s="2" t="str">
        <f>LOWER(VLOOKUP(A389,Xtal_Templ!A:B,2,FALSE))</f>
        <v>5ht2b_human</v>
      </c>
      <c r="C389" s="2" t="str">
        <f>VLOOKUP(A389,Classification!A:D,2,FALSE)</f>
        <v>T</v>
      </c>
      <c r="D389" s="2" t="str">
        <f>IF(ISERROR(MATCH(A389,'SegEnds_Xtal_Prot#'!B:B, 0)), "NoXtal", "Xtal")</f>
        <v>NoXtal</v>
      </c>
      <c r="G389" s="4"/>
      <c r="U389" s="28" t="str">
        <f>MID(VLOOKUP($A389,Seqs!$A:$B,2,FALSE),VLOOKUP($A389,'SegEnds_NonXtal_Prot#'!A:AL,10,FALSE),1)</f>
        <v>R</v>
      </c>
      <c r="V389" s="50" t="str">
        <f>MID(VLOOKUP($A389,Seqs!$A:$B,2,FALSE),VLOOKUP($A389,'SegEnds_NonXtal_Prot#'!A:AL,10,FALSE)+6,1)</f>
        <v>V</v>
      </c>
      <c r="W389" s="50" t="str">
        <f>MID(VLOOKUP($A389,Seqs!$A:$B,2,FALSE),VLOOKUP($A389,'SegEnds_NonXtal_Prot#'!A:AL,10,FALSE)+7,1)</f>
        <v>L</v>
      </c>
      <c r="X389" s="50" t="str">
        <f>MID(VLOOKUP($A389,Seqs!$A:$B,2,FALSE),VLOOKUP($A389,'SegEnds_NonXtal_Prot#'!A:AL,10,FALSE)+8,1)</f>
        <v>L</v>
      </c>
      <c r="Y389" s="50" t="str">
        <f>MID(VLOOKUP($A389,Seqs!$A:$B,2,FALSE),VLOOKUP($A389,'SegEnds_NonXtal_Prot#'!A:AL,10,FALSE)+9,1)</f>
        <v>L</v>
      </c>
      <c r="Z389" s="50" t="str">
        <f>MID(VLOOKUP($A389,Seqs!$A:$B,2,FALSE),VLOOKUP($A389,'SegEnds_NonXtal_Prot#'!A:AL,10,FALSE)+10,1)</f>
        <v>H</v>
      </c>
      <c r="AA389" s="28" t="str">
        <f>MID(VLOOKUP($A389,Seqs!$A:$B,2,FALSE),VLOOKUP($A389,'SegEnds_NonXtal_Prot#'!$A:$AL,22,FALSE)+6,1)</f>
        <v>V</v>
      </c>
      <c r="AB389" s="50" t="str">
        <f>MID(VLOOKUP($A389,Seqs!$A:$B,2,FALSE),VLOOKUP($A389,'SegEnds_NonXtal_Prot#'!$A:$AL,22,FALSE)+7,1)</f>
        <v>C</v>
      </c>
      <c r="AC389" s="50" t="str">
        <f>MID(VLOOKUP($A389,Seqs!$A:$B,2,FALSE),VLOOKUP($A389,'SegEnds_NonXtal_Prot#'!$A:$AL,22,FALSE)+8,1)</f>
        <v>H</v>
      </c>
      <c r="AD389" s="50" t="str">
        <f>MID(VLOOKUP($A389,Seqs!$A:$B,2,FALSE),VLOOKUP($A389,'SegEnds_NonXtal_Prot#'!$A:$AL,22,FALSE)+9,1)</f>
        <v>L</v>
      </c>
      <c r="AE389" s="50" t="str">
        <f>MID(VLOOKUP($A389,Seqs!$A:$B,2,FALSE),VLOOKUP($A389,'SegEnds_NonXtal_Prot#'!$A:$AL,22,FALSE)+10,1)</f>
        <v>F</v>
      </c>
      <c r="AF389" s="28" t="str">
        <f>MID(VLOOKUP($A389,Seqs!$A:$B,2,FALSE),VLOOKUP($A389,'SegEnds_NonXtal_Prot#'!$A:$AL,28,FALSE)-4,1)</f>
        <v>A</v>
      </c>
      <c r="AG389" s="50" t="str">
        <f>MID(VLOOKUP($A389,Seqs!$A:$B,2,FALSE),VLOOKUP($A389,'SegEnds_NonXtal_Prot#'!$A:$AL,28,FALSE),1)</f>
        <v>P</v>
      </c>
    </row>
    <row r="390" spans="1:33" s="2" customFormat="1" x14ac:dyDescent="0.2">
      <c r="A390" s="2" t="s">
        <v>463</v>
      </c>
      <c r="B390" s="2" t="str">
        <f>LOWER(VLOOKUP(A390,Xtal_Templ!A:B,2,FALSE))</f>
        <v>agtr1_human</v>
      </c>
      <c r="C390" s="2" t="str">
        <f>VLOOKUP(A390,Classification!A:D,2,FALSE)</f>
        <v>T</v>
      </c>
      <c r="D390" s="2" t="str">
        <f>IF(ISERROR(MATCH(A390,'SegEnds_Xtal_Prot#'!B:B, 0)), "NoXtal", "Xtal")</f>
        <v>NoXtal</v>
      </c>
      <c r="G390" s="4"/>
      <c r="U390" s="28" t="str">
        <f>MID(VLOOKUP($A390,Seqs!$A:$B,2,FALSE),VLOOKUP($A390,'SegEnds_NonXtal_Prot#'!A:AL,10,FALSE),1)</f>
        <v>R</v>
      </c>
      <c r="V390" s="50" t="str">
        <f>MID(VLOOKUP($A390,Seqs!$A:$B,2,FALSE),VLOOKUP($A390,'SegEnds_NonXtal_Prot#'!A:AL,10,FALSE)+6,1)</f>
        <v>V</v>
      </c>
      <c r="W390" s="50" t="str">
        <f>MID(VLOOKUP($A390,Seqs!$A:$B,2,FALSE),VLOOKUP($A390,'SegEnds_NonXtal_Prot#'!A:AL,10,FALSE)+7,1)</f>
        <v>L</v>
      </c>
      <c r="X390" s="50" t="str">
        <f>MID(VLOOKUP($A390,Seqs!$A:$B,2,FALSE),VLOOKUP($A390,'SegEnds_NonXtal_Prot#'!A:AL,10,FALSE)+8,1)</f>
        <v>L</v>
      </c>
      <c r="Y390" s="50" t="str">
        <f>MID(VLOOKUP($A390,Seqs!$A:$B,2,FALSE),VLOOKUP($A390,'SegEnds_NonXtal_Prot#'!A:AL,10,FALSE)+9,1)</f>
        <v>L</v>
      </c>
      <c r="Z390" s="50" t="str">
        <f>MID(VLOOKUP($A390,Seqs!$A:$B,2,FALSE),VLOOKUP($A390,'SegEnds_NonXtal_Prot#'!A:AL,10,FALSE)+10,1)</f>
        <v>N</v>
      </c>
      <c r="AA390" s="28" t="str">
        <f>MID(VLOOKUP($A390,Seqs!$A:$B,2,FALSE),VLOOKUP($A390,'SegEnds_NonXtal_Prot#'!$A:$AL,22,FALSE)+6,1)</f>
        <v>A</v>
      </c>
      <c r="AB390" s="50" t="str">
        <f>MID(VLOOKUP($A390,Seqs!$A:$B,2,FALSE),VLOOKUP($A390,'SegEnds_NonXtal_Prot#'!$A:$AL,22,FALSE)+7,1)</f>
        <v>C</v>
      </c>
      <c r="AC390" s="50" t="str">
        <f>MID(VLOOKUP($A390,Seqs!$A:$B,2,FALSE),VLOOKUP($A390,'SegEnds_NonXtal_Prot#'!$A:$AL,22,FALSE)+8,1)</f>
        <v>Q</v>
      </c>
      <c r="AD390" s="50" t="str">
        <f>MID(VLOOKUP($A390,Seqs!$A:$B,2,FALSE),VLOOKUP($A390,'SegEnds_NonXtal_Prot#'!$A:$AL,22,FALSE)+9,1)</f>
        <v>L</v>
      </c>
      <c r="AE390" s="50" t="str">
        <f>MID(VLOOKUP($A390,Seqs!$A:$B,2,FALSE),VLOOKUP($A390,'SegEnds_NonXtal_Prot#'!$A:$AL,22,FALSE)+10,1)</f>
        <v>F</v>
      </c>
      <c r="AF390" s="28" t="str">
        <f>MID(VLOOKUP($A390,Seqs!$A:$B,2,FALSE),VLOOKUP($A390,'SegEnds_NonXtal_Prot#'!$A:$AL,28,FALSE)-4,1)</f>
        <v>G</v>
      </c>
      <c r="AG390" s="50" t="str">
        <f>MID(VLOOKUP($A390,Seqs!$A:$B,2,FALSE),VLOOKUP($A390,'SegEnds_NonXtal_Prot#'!$A:$AL,28,FALSE),1)</f>
        <v>P</v>
      </c>
    </row>
    <row r="391" spans="1:33" s="2" customFormat="1" x14ac:dyDescent="0.2">
      <c r="A391" s="2" t="s">
        <v>464</v>
      </c>
      <c r="B391" s="2" t="str">
        <f>LOWER(VLOOKUP(A391,Xtal_Templ!A:B,2,FALSE))</f>
        <v>agtr1_human</v>
      </c>
      <c r="C391" s="2" t="str">
        <f>VLOOKUP(A391,Classification!A:D,2,FALSE)</f>
        <v>T</v>
      </c>
      <c r="D391" s="2" t="str">
        <f>IF(ISERROR(MATCH(A391,'SegEnds_Xtal_Prot#'!B:B, 0)), "NoXtal", "Xtal")</f>
        <v>NoXtal</v>
      </c>
      <c r="G391" s="4"/>
      <c r="U391" s="28" t="str">
        <f>MID(VLOOKUP($A391,Seqs!$A:$B,2,FALSE),VLOOKUP($A391,'SegEnds_NonXtal_Prot#'!A:AL,10,FALSE),1)</f>
        <v>R</v>
      </c>
      <c r="V391" s="50" t="str">
        <f>MID(VLOOKUP($A391,Seqs!$A:$B,2,FALSE),VLOOKUP($A391,'SegEnds_NonXtal_Prot#'!A:AL,10,FALSE)+6,1)</f>
        <v>L</v>
      </c>
      <c r="W391" s="50" t="str">
        <f>MID(VLOOKUP($A391,Seqs!$A:$B,2,FALSE),VLOOKUP($A391,'SegEnds_NonXtal_Prot#'!A:AL,10,FALSE)+7,1)</f>
        <v>L</v>
      </c>
      <c r="X391" s="50" t="str">
        <f>MID(VLOOKUP($A391,Seqs!$A:$B,2,FALSE),VLOOKUP($A391,'SegEnds_NonXtal_Prot#'!A:AL,10,FALSE)+8,1)</f>
        <v>F</v>
      </c>
      <c r="Y391" s="50" t="str">
        <f>MID(VLOOKUP($A391,Seqs!$A:$B,2,FALSE),VLOOKUP($A391,'SegEnds_NonXtal_Prot#'!A:AL,10,FALSE)+9,1)</f>
        <v>L</v>
      </c>
      <c r="Z391" s="50" t="str">
        <f>MID(VLOOKUP($A391,Seqs!$A:$B,2,FALSE),VLOOKUP($A391,'SegEnds_NonXtal_Prot#'!A:AL,10,FALSE)+10,1)</f>
        <v>S</v>
      </c>
      <c r="AA391" s="28" t="str">
        <f>MID(VLOOKUP($A391,Seqs!$A:$B,2,FALSE),VLOOKUP($A391,'SegEnds_NonXtal_Prot#'!$A:$AL,22,FALSE)+6,1)</f>
        <v>C</v>
      </c>
      <c r="AB391" s="50" t="str">
        <f>MID(VLOOKUP($A391,Seqs!$A:$B,2,FALSE),VLOOKUP($A391,'SegEnds_NonXtal_Prot#'!$A:$AL,22,FALSE)+7,1)</f>
        <v>I</v>
      </c>
      <c r="AC391" s="50" t="str">
        <f>MID(VLOOKUP($A391,Seqs!$A:$B,2,FALSE),VLOOKUP($A391,'SegEnds_NonXtal_Prot#'!$A:$AL,22,FALSE)+8,1)</f>
        <v>C</v>
      </c>
      <c r="AD391" s="50" t="str">
        <f>MID(VLOOKUP($A391,Seqs!$A:$B,2,FALSE),VLOOKUP($A391,'SegEnds_NonXtal_Prot#'!$A:$AL,22,FALSE)+9,1)</f>
        <v>T</v>
      </c>
      <c r="AE391" s="50" t="str">
        <f>MID(VLOOKUP($A391,Seqs!$A:$B,2,FALSE),VLOOKUP($A391,'SegEnds_NonXtal_Prot#'!$A:$AL,22,FALSE)+10,1)</f>
        <v>V</v>
      </c>
      <c r="AF391" s="28" t="str">
        <f>MID(VLOOKUP($A391,Seqs!$A:$B,2,FALSE),VLOOKUP($A391,'SegEnds_NonXtal_Prot#'!$A:$AL,28,FALSE)-4,1)</f>
        <v>W</v>
      </c>
      <c r="AG391" s="50" t="str">
        <f>MID(VLOOKUP($A391,Seqs!$A:$B,2,FALSE),VLOOKUP($A391,'SegEnds_NonXtal_Prot#'!$A:$AL,28,FALSE),1)</f>
        <v>P</v>
      </c>
    </row>
    <row r="392" spans="1:33" s="2" customFormat="1" x14ac:dyDescent="0.2">
      <c r="A392" s="2" t="s">
        <v>467</v>
      </c>
      <c r="B392" s="2" t="str">
        <f>LOWER(VLOOKUP(A392,Xtal_Templ!A:B,2,FALSE))</f>
        <v>hrh1_human</v>
      </c>
      <c r="C392" s="2" t="str">
        <f>VLOOKUP(A392,Classification!A:D,2,FALSE)</f>
        <v>T</v>
      </c>
      <c r="D392" s="2" t="str">
        <f>IF(ISERROR(MATCH(A392,'SegEnds_Xtal_Prot#'!B:B, 0)), "NoXtal", "Xtal")</f>
        <v>NoXtal</v>
      </c>
      <c r="G392" s="4"/>
      <c r="U392" s="28" t="str">
        <f>MID(VLOOKUP($A392,Seqs!$A:$B,2,FALSE),VLOOKUP($A392,'SegEnds_NonXtal_Prot#'!A:AL,10,FALSE),1)</f>
        <v>R</v>
      </c>
      <c r="V392" s="50" t="str">
        <f>MID(VLOOKUP($A392,Seqs!$A:$B,2,FALSE),VLOOKUP($A392,'SegEnds_NonXtal_Prot#'!A:AL,10,FALSE)+6,1)</f>
        <v>V</v>
      </c>
      <c r="W392" s="50" t="str">
        <f>MID(VLOOKUP($A392,Seqs!$A:$B,2,FALSE),VLOOKUP($A392,'SegEnds_NonXtal_Prot#'!A:AL,10,FALSE)+7,1)</f>
        <v>G</v>
      </c>
      <c r="X392" s="50" t="str">
        <f>MID(VLOOKUP($A392,Seqs!$A:$B,2,FALSE),VLOOKUP($A392,'SegEnds_NonXtal_Prot#'!A:AL,10,FALSE)+8,1)</f>
        <v>T</v>
      </c>
      <c r="Y392" s="50" t="str">
        <f>MID(VLOOKUP($A392,Seqs!$A:$B,2,FALSE),VLOOKUP($A392,'SegEnds_NonXtal_Prot#'!A:AL,10,FALSE)+9,1)</f>
        <v>V</v>
      </c>
      <c r="Z392" s="50" t="str">
        <f>MID(VLOOKUP($A392,Seqs!$A:$B,2,FALSE),VLOOKUP($A392,'SegEnds_NonXtal_Prot#'!A:AL,10,FALSE)+10,1)</f>
        <v>H</v>
      </c>
      <c r="AA392" s="28" t="str">
        <f>MID(VLOOKUP($A392,Seqs!$A:$B,2,FALSE),VLOOKUP($A392,'SegEnds_NonXtal_Prot#'!$A:$AL,22,FALSE)+6,1)</f>
        <v>F</v>
      </c>
      <c r="AB392" s="50" t="str">
        <f>MID(VLOOKUP($A392,Seqs!$A:$B,2,FALSE),VLOOKUP($A392,'SegEnds_NonXtal_Prot#'!$A:$AL,22,FALSE)+7,1)</f>
        <v>I</v>
      </c>
      <c r="AC392" s="50" t="str">
        <f>MID(VLOOKUP($A392,Seqs!$A:$B,2,FALSE),VLOOKUP($A392,'SegEnds_NonXtal_Prot#'!$A:$AL,22,FALSE)+8,1)</f>
        <v>I</v>
      </c>
      <c r="AD392" s="50" t="str">
        <f>MID(VLOOKUP($A392,Seqs!$A:$B,2,FALSE),VLOOKUP($A392,'SegEnds_NonXtal_Prot#'!$A:$AL,22,FALSE)+9,1)</f>
        <v>T</v>
      </c>
      <c r="AE392" s="50" t="str">
        <f>MID(VLOOKUP($A392,Seqs!$A:$B,2,FALSE),VLOOKUP($A392,'SegEnds_NonXtal_Prot#'!$A:$AL,22,FALSE)+10,1)</f>
        <v>L</v>
      </c>
      <c r="AF392" s="28" t="str">
        <f>MID(VLOOKUP($A392,Seqs!$A:$B,2,FALSE),VLOOKUP($A392,'SegEnds_NonXtal_Prot#'!$A:$AL,28,FALSE)-4,1)</f>
        <v>I</v>
      </c>
      <c r="AG392" s="50" t="str">
        <f>MID(VLOOKUP($A392,Seqs!$A:$B,2,FALSE),VLOOKUP($A392,'SegEnds_NonXtal_Prot#'!$A:$AL,28,FALSE),1)</f>
        <v>P</v>
      </c>
    </row>
    <row r="393" spans="1:33" s="2" customFormat="1" x14ac:dyDescent="0.2">
      <c r="A393" s="2" t="s">
        <v>468</v>
      </c>
      <c r="B393" s="2" t="str">
        <f>LOWER(VLOOKUP(A393,Xtal_Templ!A:B,2,FALSE))</f>
        <v>hrh1_human</v>
      </c>
      <c r="C393" s="2" t="str">
        <f>VLOOKUP(A393,Classification!A:D,2,FALSE)</f>
        <v>T</v>
      </c>
      <c r="D393" s="2" t="str">
        <f>IF(ISERROR(MATCH(A393,'SegEnds_Xtal_Prot#'!B:B, 0)), "NoXtal", "Xtal")</f>
        <v>NoXtal</v>
      </c>
      <c r="G393" s="4"/>
      <c r="U393" s="28" t="str">
        <f>MID(VLOOKUP($A393,Seqs!$A:$B,2,FALSE),VLOOKUP($A393,'SegEnds_NonXtal_Prot#'!A:AL,10,FALSE),1)</f>
        <v>T</v>
      </c>
      <c r="V393" s="50" t="str">
        <f>MID(VLOOKUP($A393,Seqs!$A:$B,2,FALSE),VLOOKUP($A393,'SegEnds_NonXtal_Prot#'!A:AL,10,FALSE)+6,1)</f>
        <v>V</v>
      </c>
      <c r="W393" s="50" t="str">
        <f>MID(VLOOKUP($A393,Seqs!$A:$B,2,FALSE),VLOOKUP($A393,'SegEnds_NonXtal_Prot#'!A:AL,10,FALSE)+7,1)</f>
        <v>I</v>
      </c>
      <c r="X393" s="50" t="str">
        <f>MID(VLOOKUP($A393,Seqs!$A:$B,2,FALSE),VLOOKUP($A393,'SegEnds_NonXtal_Prot#'!A:AL,10,FALSE)+8,1)</f>
        <v>L</v>
      </c>
      <c r="Y393" s="50" t="str">
        <f>MID(VLOOKUP($A393,Seqs!$A:$B,2,FALSE),VLOOKUP($A393,'SegEnds_NonXtal_Prot#'!A:AL,10,FALSE)+9,1)</f>
        <v>F</v>
      </c>
      <c r="Z393" s="50" t="str">
        <f>MID(VLOOKUP($A393,Seqs!$A:$B,2,FALSE),VLOOKUP($A393,'SegEnds_NonXtal_Prot#'!A:AL,10,FALSE)+10,1)</f>
        <v>D</v>
      </c>
      <c r="AA393" s="28" t="str">
        <f>MID(VLOOKUP($A393,Seqs!$A:$B,2,FALSE),VLOOKUP($A393,'SegEnds_NonXtal_Prot#'!$A:$AL,22,FALSE)+6,1)</f>
        <v>I</v>
      </c>
      <c r="AB393" s="50" t="str">
        <f>MID(VLOOKUP($A393,Seqs!$A:$B,2,FALSE),VLOOKUP($A393,'SegEnds_NonXtal_Prot#'!$A:$AL,22,FALSE)+7,1)</f>
        <v>F</v>
      </c>
      <c r="AC393" s="50" t="str">
        <f>MID(VLOOKUP($A393,Seqs!$A:$B,2,FALSE),VLOOKUP($A393,'SegEnds_NonXtal_Prot#'!$A:$AL,22,FALSE)+8,1)</f>
        <v>D</v>
      </c>
      <c r="AD393" s="50" t="str">
        <f>MID(VLOOKUP($A393,Seqs!$A:$B,2,FALSE),VLOOKUP($A393,'SegEnds_NonXtal_Prot#'!$A:$AL,22,FALSE)+9,1)</f>
        <v>S</v>
      </c>
      <c r="AE393" s="50" t="str">
        <f>MID(VLOOKUP($A393,Seqs!$A:$B,2,FALSE),VLOOKUP($A393,'SegEnds_NonXtal_Prot#'!$A:$AL,22,FALSE)+10,1)</f>
        <v>L</v>
      </c>
      <c r="AF393" s="28" t="str">
        <f>MID(VLOOKUP($A393,Seqs!$A:$B,2,FALSE),VLOOKUP($A393,'SegEnds_NonXtal_Prot#'!$A:$AL,28,FALSE)-4,1)</f>
        <v>T</v>
      </c>
      <c r="AG393" s="50" t="str">
        <f>MID(VLOOKUP($A393,Seqs!$A:$B,2,FALSE),VLOOKUP($A393,'SegEnds_NonXtal_Prot#'!$A:$AL,28,FALSE),1)</f>
        <v>P</v>
      </c>
    </row>
    <row r="394" spans="1:33" s="2" customFormat="1" x14ac:dyDescent="0.2">
      <c r="A394" s="2" t="s">
        <v>469</v>
      </c>
      <c r="B394" s="2" t="str">
        <f>LOWER(VLOOKUP(A394,Xtal_Templ!A:B,2,FALSE))</f>
        <v>agtr1_human</v>
      </c>
      <c r="C394" s="2" t="str">
        <f>VLOOKUP(A394,Classification!A:D,2,FALSE)</f>
        <v>T</v>
      </c>
      <c r="D394" s="2" t="str">
        <f>IF(ISERROR(MATCH(A394,'SegEnds_Xtal_Prot#'!B:B, 0)), "NoXtal", "Xtal")</f>
        <v>NoXtal</v>
      </c>
      <c r="G394" s="4"/>
      <c r="U394" s="28" t="str">
        <f>MID(VLOOKUP($A394,Seqs!$A:$B,2,FALSE),VLOOKUP($A394,'SegEnds_NonXtal_Prot#'!A:AL,10,FALSE),1)</f>
        <v>R</v>
      </c>
      <c r="V394" s="50" t="str">
        <f>MID(VLOOKUP($A394,Seqs!$A:$B,2,FALSE),VLOOKUP($A394,'SegEnds_NonXtal_Prot#'!A:AL,10,FALSE)+6,1)</f>
        <v>V</v>
      </c>
      <c r="W394" s="50" t="str">
        <f>MID(VLOOKUP($A394,Seqs!$A:$B,2,FALSE),VLOOKUP($A394,'SegEnds_NonXtal_Prot#'!A:AL,10,FALSE)+7,1)</f>
        <v>L</v>
      </c>
      <c r="X394" s="50" t="str">
        <f>MID(VLOOKUP($A394,Seqs!$A:$B,2,FALSE),VLOOKUP($A394,'SegEnds_NonXtal_Prot#'!A:AL,10,FALSE)+8,1)</f>
        <v>L</v>
      </c>
      <c r="Y394" s="50" t="str">
        <f>MID(VLOOKUP($A394,Seqs!$A:$B,2,FALSE),VLOOKUP($A394,'SegEnds_NonXtal_Prot#'!A:AL,10,FALSE)+9,1)</f>
        <v>L</v>
      </c>
      <c r="Z394" s="50" t="str">
        <f>MID(VLOOKUP($A394,Seqs!$A:$B,2,FALSE),VLOOKUP($A394,'SegEnds_NonXtal_Prot#'!A:AL,10,FALSE)+10,1)</f>
        <v>N</v>
      </c>
      <c r="AA394" s="28" t="str">
        <f>MID(VLOOKUP($A394,Seqs!$A:$B,2,FALSE),VLOOKUP($A394,'SegEnds_NonXtal_Prot#'!$A:$AL,22,FALSE)+6,1)</f>
        <v>A</v>
      </c>
      <c r="AB394" s="50" t="str">
        <f>MID(VLOOKUP($A394,Seqs!$A:$B,2,FALSE),VLOOKUP($A394,'SegEnds_NonXtal_Prot#'!$A:$AL,22,FALSE)+7,1)</f>
        <v>C</v>
      </c>
      <c r="AC394" s="50" t="str">
        <f>MID(VLOOKUP($A394,Seqs!$A:$B,2,FALSE),VLOOKUP($A394,'SegEnds_NonXtal_Prot#'!$A:$AL,22,FALSE)+8,1)</f>
        <v>H</v>
      </c>
      <c r="AD394" s="50" t="str">
        <f>MID(VLOOKUP($A394,Seqs!$A:$B,2,FALSE),VLOOKUP($A394,'SegEnds_NonXtal_Prot#'!$A:$AL,22,FALSE)+9,1)</f>
        <v>L</v>
      </c>
      <c r="AE394" s="50" t="str">
        <f>MID(VLOOKUP($A394,Seqs!$A:$B,2,FALSE),VLOOKUP($A394,'SegEnds_NonXtal_Prot#'!$A:$AL,22,FALSE)+10,1)</f>
        <v>F</v>
      </c>
      <c r="AF394" s="28" t="str">
        <f>MID(VLOOKUP($A394,Seqs!$A:$B,2,FALSE),VLOOKUP($A394,'SegEnds_NonXtal_Prot#'!$A:$AL,28,FALSE)-4,1)</f>
        <v>A</v>
      </c>
      <c r="AG394" s="50" t="str">
        <f>MID(VLOOKUP($A394,Seqs!$A:$B,2,FALSE),VLOOKUP($A394,'SegEnds_NonXtal_Prot#'!$A:$AL,28,FALSE),1)</f>
        <v>P</v>
      </c>
    </row>
    <row r="395" spans="1:33" s="2" customFormat="1" x14ac:dyDescent="0.2">
      <c r="A395" s="2" t="s">
        <v>930</v>
      </c>
      <c r="B395" s="2" t="str">
        <f>LOWER(VLOOKUP(A395,Xtal_Templ!A:B,2,FALSE))</f>
        <v>agtr1_human</v>
      </c>
      <c r="C395" s="2" t="str">
        <f>VLOOKUP(A395,Classification!A:D,2,FALSE)</f>
        <v>T</v>
      </c>
      <c r="D395" s="2" t="str">
        <f>IF(ISERROR(MATCH(A395,'SegEnds_Xtal_Prot#'!B:B, 0)), "NoXtal", "Xtal")</f>
        <v>NoXtal</v>
      </c>
      <c r="G395" s="4"/>
      <c r="U395" s="28" t="str">
        <f>MID(VLOOKUP($A395,Seqs!$A:$B,2,FALSE),VLOOKUP($A395,'SegEnds_NonXtal_Prot#'!A:AL,10,FALSE),1)</f>
        <v>R</v>
      </c>
      <c r="V395" s="50" t="str">
        <f>MID(VLOOKUP($A395,Seqs!$A:$B,2,FALSE),VLOOKUP($A395,'SegEnds_NonXtal_Prot#'!A:AL,10,FALSE)+6,1)</f>
        <v>V</v>
      </c>
      <c r="W395" s="50" t="str">
        <f>MID(VLOOKUP($A395,Seqs!$A:$B,2,FALSE),VLOOKUP($A395,'SegEnds_NonXtal_Prot#'!A:AL,10,FALSE)+7,1)</f>
        <v>L</v>
      </c>
      <c r="X395" s="50" t="str">
        <f>MID(VLOOKUP($A395,Seqs!$A:$B,2,FALSE),VLOOKUP($A395,'SegEnds_NonXtal_Prot#'!A:AL,10,FALSE)+8,1)</f>
        <v>L</v>
      </c>
      <c r="Y395" s="50" t="str">
        <f>MID(VLOOKUP($A395,Seqs!$A:$B,2,FALSE),VLOOKUP($A395,'SegEnds_NonXtal_Prot#'!A:AL,10,FALSE)+9,1)</f>
        <v>L</v>
      </c>
      <c r="Z395" s="50" t="str">
        <f>MID(VLOOKUP($A395,Seqs!$A:$B,2,FALSE),VLOOKUP($A395,'SegEnds_NonXtal_Prot#'!A:AL,10,FALSE)+10,1)</f>
        <v>N</v>
      </c>
      <c r="AA395" s="28" t="str">
        <f>MID(VLOOKUP($A395,Seqs!$A:$B,2,FALSE),VLOOKUP($A395,'SegEnds_NonXtal_Prot#'!$A:$AL,22,FALSE)+6,1)</f>
        <v>A</v>
      </c>
      <c r="AB395" s="50" t="str">
        <f>MID(VLOOKUP($A395,Seqs!$A:$B,2,FALSE),VLOOKUP($A395,'SegEnds_NonXtal_Prot#'!$A:$AL,22,FALSE)+7,1)</f>
        <v>C</v>
      </c>
      <c r="AC395" s="50" t="str">
        <f>MID(VLOOKUP($A395,Seqs!$A:$B,2,FALSE),VLOOKUP($A395,'SegEnds_NonXtal_Prot#'!$A:$AL,22,FALSE)+8,1)</f>
        <v>H</v>
      </c>
      <c r="AD395" s="50" t="str">
        <f>MID(VLOOKUP($A395,Seqs!$A:$B,2,FALSE),VLOOKUP($A395,'SegEnds_NonXtal_Prot#'!$A:$AL,22,FALSE)+9,1)</f>
        <v>L</v>
      </c>
      <c r="AE395" s="50" t="str">
        <f>MID(VLOOKUP($A395,Seqs!$A:$B,2,FALSE),VLOOKUP($A395,'SegEnds_NonXtal_Prot#'!$A:$AL,22,FALSE)+10,1)</f>
        <v>F</v>
      </c>
      <c r="AF395" s="28" t="str">
        <f>MID(VLOOKUP($A395,Seqs!$A:$B,2,FALSE),VLOOKUP($A395,'SegEnds_NonXtal_Prot#'!$A:$AL,28,FALSE)-4,1)</f>
        <v>A</v>
      </c>
      <c r="AG395" s="50" t="str">
        <f>MID(VLOOKUP($A395,Seqs!$A:$B,2,FALSE),VLOOKUP($A395,'SegEnds_NonXtal_Prot#'!$A:$AL,28,FALSE),1)</f>
        <v>P</v>
      </c>
    </row>
    <row r="396" spans="1:33" s="2" customFormat="1" x14ac:dyDescent="0.2">
      <c r="A396" s="2" t="s">
        <v>470</v>
      </c>
      <c r="B396" s="2" t="str">
        <f>LOWER(VLOOKUP(A396,Xtal_Templ!A:B,2,FALSE))</f>
        <v>agtr1_human</v>
      </c>
      <c r="C396" s="2" t="str">
        <f>VLOOKUP(A396,Classification!A:D,2,FALSE)</f>
        <v>T</v>
      </c>
      <c r="D396" s="2" t="str">
        <f>IF(ISERROR(MATCH(A396,'SegEnds_Xtal_Prot#'!B:B, 0)), "NoXtal", "Xtal")</f>
        <v>NoXtal</v>
      </c>
      <c r="G396" s="4"/>
      <c r="U396" s="28" t="str">
        <f>MID(VLOOKUP($A396,Seqs!$A:$B,2,FALSE),VLOOKUP($A396,'SegEnds_NonXtal_Prot#'!A:AL,10,FALSE),1)</f>
        <v>R</v>
      </c>
      <c r="V396" s="50" t="str">
        <f>MID(VLOOKUP($A396,Seqs!$A:$B,2,FALSE),VLOOKUP($A396,'SegEnds_NonXtal_Prot#'!A:AL,10,FALSE)+6,1)</f>
        <v>V</v>
      </c>
      <c r="W396" s="50" t="str">
        <f>MID(VLOOKUP($A396,Seqs!$A:$B,2,FALSE),VLOOKUP($A396,'SegEnds_NonXtal_Prot#'!A:AL,10,FALSE)+7,1)</f>
        <v>L</v>
      </c>
      <c r="X396" s="50" t="str">
        <f>MID(VLOOKUP($A396,Seqs!$A:$B,2,FALSE),VLOOKUP($A396,'SegEnds_NonXtal_Prot#'!A:AL,10,FALSE)+8,1)</f>
        <v>V</v>
      </c>
      <c r="Y396" s="50" t="str">
        <f>MID(VLOOKUP($A396,Seqs!$A:$B,2,FALSE),VLOOKUP($A396,'SegEnds_NonXtal_Prot#'!A:AL,10,FALSE)+9,1)</f>
        <v>L</v>
      </c>
      <c r="Z396" s="50" t="str">
        <f>MID(VLOOKUP($A396,Seqs!$A:$B,2,FALSE),VLOOKUP($A396,'SegEnds_NonXtal_Prot#'!A:AL,10,FALSE)+10,1)</f>
        <v>N</v>
      </c>
      <c r="AA396" s="28" t="str">
        <f>MID(VLOOKUP($A396,Seqs!$A:$B,2,FALSE),VLOOKUP($A396,'SegEnds_NonXtal_Prot#'!$A:$AL,22,FALSE)+6,1)</f>
        <v>V</v>
      </c>
      <c r="AB396" s="50" t="str">
        <f>MID(VLOOKUP($A396,Seqs!$A:$B,2,FALSE),VLOOKUP($A396,'SegEnds_NonXtal_Prot#'!$A:$AL,22,FALSE)+7,1)</f>
        <v>C</v>
      </c>
      <c r="AC396" s="50" t="str">
        <f>MID(VLOOKUP($A396,Seqs!$A:$B,2,FALSE),VLOOKUP($A396,'SegEnds_NonXtal_Prot#'!$A:$AL,22,FALSE)+8,1)</f>
        <v>H</v>
      </c>
      <c r="AD396" s="50" t="str">
        <f>MID(VLOOKUP($A396,Seqs!$A:$B,2,FALSE),VLOOKUP($A396,'SegEnds_NonXtal_Prot#'!$A:$AL,22,FALSE)+9,1)</f>
        <v>L</v>
      </c>
      <c r="AE396" s="50" t="str">
        <f>MID(VLOOKUP($A396,Seqs!$A:$B,2,FALSE),VLOOKUP($A396,'SegEnds_NonXtal_Prot#'!$A:$AL,22,FALSE)+10,1)</f>
        <v>F</v>
      </c>
      <c r="AF396" s="28" t="str">
        <f>MID(VLOOKUP($A396,Seqs!$A:$B,2,FALSE),VLOOKUP($A396,'SegEnds_NonXtal_Prot#'!$A:$AL,28,FALSE)-4,1)</f>
        <v>A</v>
      </c>
      <c r="AG396" s="50" t="str">
        <f>MID(VLOOKUP($A396,Seqs!$A:$B,2,FALSE),VLOOKUP($A396,'SegEnds_NonXtal_Prot#'!$A:$AL,28,FALSE),1)</f>
        <v>P</v>
      </c>
    </row>
    <row r="397" spans="1:33" s="2" customFormat="1" x14ac:dyDescent="0.2">
      <c r="A397" s="2" t="s">
        <v>471</v>
      </c>
      <c r="B397" s="2" t="str">
        <f>LOWER(VLOOKUP(A397,Xtal_Templ!A:B,2,FALSE))</f>
        <v>drd3_human</v>
      </c>
      <c r="C397" s="2" t="str">
        <f>VLOOKUP(A397,Classification!A:D,2,FALSE)</f>
        <v>T</v>
      </c>
      <c r="D397" s="2" t="str">
        <f>IF(ISERROR(MATCH(A397,'SegEnds_Xtal_Prot#'!B:B, 0)), "NoXtal", "Xtal")</f>
        <v>NoXtal</v>
      </c>
      <c r="G397" s="4"/>
      <c r="U397" s="28" t="str">
        <f>MID(VLOOKUP($A397,Seqs!$A:$B,2,FALSE),VLOOKUP($A397,'SegEnds_NonXtal_Prot#'!A:AL,10,FALSE),1)</f>
        <v>R</v>
      </c>
      <c r="V397" s="50" t="str">
        <f>MID(VLOOKUP($A397,Seqs!$A:$B,2,FALSE),VLOOKUP($A397,'SegEnds_NonXtal_Prot#'!A:AL,10,FALSE)+6,1)</f>
        <v>A</v>
      </c>
      <c r="W397" s="50" t="str">
        <f>MID(VLOOKUP($A397,Seqs!$A:$B,2,FALSE),VLOOKUP($A397,'SegEnds_NonXtal_Prot#'!A:AL,10,FALSE)+7,1)</f>
        <v>L</v>
      </c>
      <c r="X397" s="50" t="str">
        <f>MID(VLOOKUP($A397,Seqs!$A:$B,2,FALSE),VLOOKUP($A397,'SegEnds_NonXtal_Prot#'!A:AL,10,FALSE)+8,1)</f>
        <v>L</v>
      </c>
      <c r="Y397" s="50" t="str">
        <f>MID(VLOOKUP($A397,Seqs!$A:$B,2,FALSE),VLOOKUP($A397,'SegEnds_NonXtal_Prot#'!A:AL,10,FALSE)+9,1)</f>
        <v>L</v>
      </c>
      <c r="Z397" s="50" t="str">
        <f>MID(VLOOKUP($A397,Seqs!$A:$B,2,FALSE),VLOOKUP($A397,'SegEnds_NonXtal_Prot#'!A:AL,10,FALSE)+10,1)</f>
        <v>N</v>
      </c>
      <c r="AA397" s="28" t="str">
        <f>MID(VLOOKUP($A397,Seqs!$A:$B,2,FALSE),VLOOKUP($A397,'SegEnds_NonXtal_Prot#'!$A:$AL,22,FALSE)+6,1)</f>
        <v>V</v>
      </c>
      <c r="AB397" s="50" t="str">
        <f>MID(VLOOKUP($A397,Seqs!$A:$B,2,FALSE),VLOOKUP($A397,'SegEnds_NonXtal_Prot#'!$A:$AL,22,FALSE)+7,1)</f>
        <v>C</v>
      </c>
      <c r="AC397" s="50" t="str">
        <f>MID(VLOOKUP($A397,Seqs!$A:$B,2,FALSE),VLOOKUP($A397,'SegEnds_NonXtal_Prot#'!$A:$AL,22,FALSE)+8,1)</f>
        <v>H</v>
      </c>
      <c r="AD397" s="50" t="str">
        <f>MID(VLOOKUP($A397,Seqs!$A:$B,2,FALSE),VLOOKUP($A397,'SegEnds_NonXtal_Prot#'!$A:$AL,22,FALSE)+9,1)</f>
        <v>L</v>
      </c>
      <c r="AE397" s="50" t="str">
        <f>MID(VLOOKUP($A397,Seqs!$A:$B,2,FALSE),VLOOKUP($A397,'SegEnds_NonXtal_Prot#'!$A:$AL,22,FALSE)+10,1)</f>
        <v>L</v>
      </c>
      <c r="AF397" s="28" t="str">
        <f>MID(VLOOKUP($A397,Seqs!$A:$B,2,FALSE),VLOOKUP($A397,'SegEnds_NonXtal_Prot#'!$A:$AL,28,FALSE)-4,1)</f>
        <v>W</v>
      </c>
      <c r="AG397" s="50" t="str">
        <f>MID(VLOOKUP($A397,Seqs!$A:$B,2,FALSE),VLOOKUP($A397,'SegEnds_NonXtal_Prot#'!$A:$AL,28,FALSE),1)</f>
        <v>P</v>
      </c>
    </row>
    <row r="398" spans="1:33" s="2" customFormat="1" x14ac:dyDescent="0.2">
      <c r="A398" s="2" t="s">
        <v>475</v>
      </c>
      <c r="B398" s="2" t="str">
        <f>LOWER(VLOOKUP(A398,Xtal_Templ!A:B,2,FALSE))</f>
        <v>agtr1_human</v>
      </c>
      <c r="C398" s="2" t="str">
        <f>VLOOKUP(A398,Classification!A:D,2,FALSE)</f>
        <v>T</v>
      </c>
      <c r="D398" s="2" t="str">
        <f>IF(ISERROR(MATCH(A398,'SegEnds_Xtal_Prot#'!B:B, 0)), "NoXtal", "Xtal")</f>
        <v>NoXtal</v>
      </c>
      <c r="G398" s="4"/>
      <c r="U398" s="28" t="str">
        <f>MID(VLOOKUP($A398,Seqs!$A:$B,2,FALSE),VLOOKUP($A398,'SegEnds_NonXtal_Prot#'!A:AL,10,FALSE),1)</f>
        <v>R</v>
      </c>
      <c r="V398" s="50" t="str">
        <f>MID(VLOOKUP($A398,Seqs!$A:$B,2,FALSE),VLOOKUP($A398,'SegEnds_NonXtal_Prot#'!A:AL,10,FALSE)+6,1)</f>
        <v>I</v>
      </c>
      <c r="W398" s="50" t="str">
        <f>MID(VLOOKUP($A398,Seqs!$A:$B,2,FALSE),VLOOKUP($A398,'SegEnds_NonXtal_Prot#'!A:AL,10,FALSE)+7,1)</f>
        <v>I</v>
      </c>
      <c r="X398" s="50" t="str">
        <f>MID(VLOOKUP($A398,Seqs!$A:$B,2,FALSE),VLOOKUP($A398,'SegEnds_NonXtal_Prot#'!A:AL,10,FALSE)+8,1)</f>
        <v>L</v>
      </c>
      <c r="Y398" s="50" t="str">
        <f>MID(VLOOKUP($A398,Seqs!$A:$B,2,FALSE),VLOOKUP($A398,'SegEnds_NonXtal_Prot#'!A:AL,10,FALSE)+9,1)</f>
        <v>T</v>
      </c>
      <c r="Z398" s="50" t="str">
        <f>MID(VLOOKUP($A398,Seqs!$A:$B,2,FALSE),VLOOKUP($A398,'SegEnds_NonXtal_Prot#'!A:AL,10,FALSE)+10,1)</f>
        <v>D</v>
      </c>
      <c r="AA398" s="28" t="str">
        <f>MID(VLOOKUP($A398,Seqs!$A:$B,2,FALSE),VLOOKUP($A398,'SegEnds_NonXtal_Prot#'!$A:$AL,22,FALSE)+6,1)</f>
        <v>C</v>
      </c>
      <c r="AB398" s="50" t="str">
        <f>MID(VLOOKUP($A398,Seqs!$A:$B,2,FALSE),VLOOKUP($A398,'SegEnds_NonXtal_Prot#'!$A:$AL,22,FALSE)+7,1)</f>
        <v>G</v>
      </c>
      <c r="AC398" s="50" t="str">
        <f>MID(VLOOKUP($A398,Seqs!$A:$B,2,FALSE),VLOOKUP($A398,'SegEnds_NonXtal_Prot#'!$A:$AL,22,FALSE)+8,1)</f>
        <v>S</v>
      </c>
      <c r="AD398" s="50" t="str">
        <f>MID(VLOOKUP($A398,Seqs!$A:$B,2,FALSE),VLOOKUP($A398,'SegEnds_NonXtal_Prot#'!$A:$AL,22,FALSE)+9,1)</f>
        <v>T</v>
      </c>
      <c r="AE398" s="50" t="str">
        <f>MID(VLOOKUP($A398,Seqs!$A:$B,2,FALSE),VLOOKUP($A398,'SegEnds_NonXtal_Prot#'!$A:$AL,22,FALSE)+10,1)</f>
        <v>A</v>
      </c>
      <c r="AF398" s="28" t="str">
        <f>MID(VLOOKUP($A398,Seqs!$A:$B,2,FALSE),VLOOKUP($A398,'SegEnds_NonXtal_Prot#'!$A:$AL,28,FALSE)-4,1)</f>
        <v>W</v>
      </c>
      <c r="AG398" s="50" t="str">
        <f>MID(VLOOKUP($A398,Seqs!$A:$B,2,FALSE),VLOOKUP($A398,'SegEnds_NonXtal_Prot#'!$A:$AL,28,FALSE),1)</f>
        <v>P</v>
      </c>
    </row>
    <row r="399" spans="1:33" s="2" customFormat="1" x14ac:dyDescent="0.2">
      <c r="A399" s="2" t="s">
        <v>478</v>
      </c>
      <c r="B399" s="2" t="str">
        <f>LOWER(VLOOKUP(A399,Xtal_Templ!A:B,2,FALSE))</f>
        <v>ednrb_human</v>
      </c>
      <c r="C399" s="2" t="str">
        <f>VLOOKUP(A399,Classification!A:D,2,FALSE)</f>
        <v>T</v>
      </c>
      <c r="D399" s="2" t="str">
        <f>IF(ISERROR(MATCH(A399,'SegEnds_Xtal_Prot#'!B:B, 0)), "NoXtal", "Xtal")</f>
        <v>NoXtal</v>
      </c>
      <c r="G399" s="4"/>
      <c r="U399" s="28" t="str">
        <f>MID(VLOOKUP($A399,Seqs!$A:$B,2,FALSE),VLOOKUP($A399,'SegEnds_NonXtal_Prot#'!A:AL,10,FALSE),1)</f>
        <v>R</v>
      </c>
      <c r="V399" s="50" t="str">
        <f>MID(VLOOKUP($A399,Seqs!$A:$B,2,FALSE),VLOOKUP($A399,'SegEnds_NonXtal_Prot#'!A:AL,10,FALSE)+6,1)</f>
        <v>V</v>
      </c>
      <c r="W399" s="50" t="str">
        <f>MID(VLOOKUP($A399,Seqs!$A:$B,2,FALSE),VLOOKUP($A399,'SegEnds_NonXtal_Prot#'!A:AL,10,FALSE)+7,1)</f>
        <v>I</v>
      </c>
      <c r="X399" s="50" t="str">
        <f>MID(VLOOKUP($A399,Seqs!$A:$B,2,FALSE),VLOOKUP($A399,'SegEnds_NonXtal_Prot#'!A:AL,10,FALSE)+8,1)</f>
        <v>L</v>
      </c>
      <c r="Y399" s="50" t="str">
        <f>MID(VLOOKUP($A399,Seqs!$A:$B,2,FALSE),VLOOKUP($A399,'SegEnds_NonXtal_Prot#'!A:AL,10,FALSE)+9,1)</f>
        <v>L</v>
      </c>
      <c r="Z399" s="50" t="str">
        <f>MID(VLOOKUP($A399,Seqs!$A:$B,2,FALSE),VLOOKUP($A399,'SegEnds_NonXtal_Prot#'!A:AL,10,FALSE)+10,1)</f>
        <v>D</v>
      </c>
      <c r="AA399" s="28" t="str">
        <f>MID(VLOOKUP($A399,Seqs!$A:$B,2,FALSE),VLOOKUP($A399,'SegEnds_NonXtal_Prot#'!$A:$AL,22,FALSE)+6,1)</f>
        <v>V</v>
      </c>
      <c r="AB399" s="50" t="str">
        <f>MID(VLOOKUP($A399,Seqs!$A:$B,2,FALSE),VLOOKUP($A399,'SegEnds_NonXtal_Prot#'!$A:$AL,22,FALSE)+7,1)</f>
        <v>F</v>
      </c>
      <c r="AC399" s="50" t="str">
        <f>MID(VLOOKUP($A399,Seqs!$A:$B,2,FALSE),VLOOKUP($A399,'SegEnds_NonXtal_Prot#'!$A:$AL,22,FALSE)+8,1)</f>
        <v>I</v>
      </c>
      <c r="AD399" s="50" t="str">
        <f>MID(VLOOKUP($A399,Seqs!$A:$B,2,FALSE),VLOOKUP($A399,'SegEnds_NonXtal_Prot#'!$A:$AL,22,FALSE)+9,1)</f>
        <v>S</v>
      </c>
      <c r="AE399" s="50" t="str">
        <f>MID(VLOOKUP($A399,Seqs!$A:$B,2,FALSE),VLOOKUP($A399,'SegEnds_NonXtal_Prot#'!$A:$AL,22,FALSE)+10,1)</f>
        <v>L</v>
      </c>
      <c r="AF399" s="28" t="str">
        <f>MID(VLOOKUP($A399,Seqs!$A:$B,2,FALSE),VLOOKUP($A399,'SegEnds_NonXtal_Prot#'!$A:$AL,28,FALSE)-4,1)</f>
        <v>A</v>
      </c>
      <c r="AG399" s="50" t="str">
        <f>MID(VLOOKUP($A399,Seqs!$A:$B,2,FALSE),VLOOKUP($A399,'SegEnds_NonXtal_Prot#'!$A:$AL,28,FALSE),1)</f>
        <v>P</v>
      </c>
    </row>
    <row r="400" spans="1:33" s="2" customFormat="1" x14ac:dyDescent="0.2">
      <c r="A400" s="2" t="s">
        <v>479</v>
      </c>
      <c r="B400" s="2" t="str">
        <f>LOWER(VLOOKUP(A400,Xtal_Templ!A:B,2,FALSE))</f>
        <v>agtr1_human</v>
      </c>
      <c r="C400" s="2" t="str">
        <f>VLOOKUP(A400,Classification!A:D,2,FALSE)</f>
        <v>T</v>
      </c>
      <c r="D400" s="2" t="str">
        <f>IF(ISERROR(MATCH(A400,'SegEnds_Xtal_Prot#'!B:B, 0)), "NoXtal", "Xtal")</f>
        <v>NoXtal</v>
      </c>
      <c r="G400" s="4"/>
      <c r="U400" s="28" t="str">
        <f>MID(VLOOKUP($A400,Seqs!$A:$B,2,FALSE),VLOOKUP($A400,'SegEnds_NonXtal_Prot#'!A:AL,10,FALSE),1)</f>
        <v>R</v>
      </c>
      <c r="V400" s="50" t="str">
        <f>MID(VLOOKUP($A400,Seqs!$A:$B,2,FALSE),VLOOKUP($A400,'SegEnds_NonXtal_Prot#'!A:AL,10,FALSE)+6,1)</f>
        <v>V</v>
      </c>
      <c r="W400" s="50" t="str">
        <f>MID(VLOOKUP($A400,Seqs!$A:$B,2,FALSE),VLOOKUP($A400,'SegEnds_NonXtal_Prot#'!A:AL,10,FALSE)+7,1)</f>
        <v>M</v>
      </c>
      <c r="X400" s="50" t="str">
        <f>MID(VLOOKUP($A400,Seqs!$A:$B,2,FALSE),VLOOKUP($A400,'SegEnds_NonXtal_Prot#'!A:AL,10,FALSE)+8,1)</f>
        <v>V</v>
      </c>
      <c r="Y400" s="50" t="str">
        <f>MID(VLOOKUP($A400,Seqs!$A:$B,2,FALSE),VLOOKUP($A400,'SegEnds_NonXtal_Prot#'!A:AL,10,FALSE)+9,1)</f>
        <v>V</v>
      </c>
      <c r="Z400" s="50" t="str">
        <f>MID(VLOOKUP($A400,Seqs!$A:$B,2,FALSE),VLOOKUP($A400,'SegEnds_NonXtal_Prot#'!A:AL,10,FALSE)+10,1)</f>
        <v>N</v>
      </c>
      <c r="AA400" s="28" t="str">
        <f>MID(VLOOKUP($A400,Seqs!$A:$B,2,FALSE),VLOOKUP($A400,'SegEnds_NonXtal_Prot#'!$A:$AL,22,FALSE)+6,1)</f>
        <v>L</v>
      </c>
      <c r="AB400" s="50" t="str">
        <f>MID(VLOOKUP($A400,Seqs!$A:$B,2,FALSE),VLOOKUP($A400,'SegEnds_NonXtal_Prot#'!$A:$AL,22,FALSE)+7,1)</f>
        <v>L</v>
      </c>
      <c r="AC400" s="50" t="str">
        <f>MID(VLOOKUP($A400,Seqs!$A:$B,2,FALSE),VLOOKUP($A400,'SegEnds_NonXtal_Prot#'!$A:$AL,22,FALSE)+8,1)</f>
        <v>V</v>
      </c>
      <c r="AD400" s="50" t="str">
        <f>MID(VLOOKUP($A400,Seqs!$A:$B,2,FALSE),VLOOKUP($A400,'SegEnds_NonXtal_Prot#'!$A:$AL,22,FALSE)+9,1)</f>
        <v>S</v>
      </c>
      <c r="AE400" s="50" t="str">
        <f>MID(VLOOKUP($A400,Seqs!$A:$B,2,FALSE),VLOOKUP($A400,'SegEnds_NonXtal_Prot#'!$A:$AL,22,FALSE)+10,1)</f>
        <v>L</v>
      </c>
      <c r="AF400" s="28" t="str">
        <f>MID(VLOOKUP($A400,Seqs!$A:$B,2,FALSE),VLOOKUP($A400,'SegEnds_NonXtal_Prot#'!$A:$AL,28,FALSE)-4,1)</f>
        <v>F</v>
      </c>
      <c r="AG400" s="50" t="str">
        <f>MID(VLOOKUP($A400,Seqs!$A:$B,2,FALSE),VLOOKUP($A400,'SegEnds_NonXtal_Prot#'!$A:$AL,28,FALSE),1)</f>
        <v>P</v>
      </c>
    </row>
    <row r="401" spans="1:33" s="2" customFormat="1" x14ac:dyDescent="0.2">
      <c r="A401" s="2" t="s">
        <v>480</v>
      </c>
      <c r="B401" s="2" t="str">
        <f>LOWER(VLOOKUP(A401,Xtal_Templ!A:B,2,FALSE))</f>
        <v>agtr1_human</v>
      </c>
      <c r="C401" s="2" t="str">
        <f>VLOOKUP(A401,Classification!A:D,2,FALSE)</f>
        <v>T</v>
      </c>
      <c r="D401" s="2" t="str">
        <f>IF(ISERROR(MATCH(A401,'SegEnds_Xtal_Prot#'!B:B, 0)), "NoXtal", "Xtal")</f>
        <v>NoXtal</v>
      </c>
      <c r="G401" s="4"/>
      <c r="U401" s="28" t="str">
        <f>MID(VLOOKUP($A401,Seqs!$A:$B,2,FALSE),VLOOKUP($A401,'SegEnds_NonXtal_Prot#'!A:AL,10,FALSE),1)</f>
        <v>R</v>
      </c>
      <c r="V401" s="50" t="str">
        <f>MID(VLOOKUP($A401,Seqs!$A:$B,2,FALSE),VLOOKUP($A401,'SegEnds_NonXtal_Prot#'!A:AL,10,FALSE)+6,1)</f>
        <v>V</v>
      </c>
      <c r="W401" s="50" t="str">
        <f>MID(VLOOKUP($A401,Seqs!$A:$B,2,FALSE),VLOOKUP($A401,'SegEnds_NonXtal_Prot#'!A:AL,10,FALSE)+7,1)</f>
        <v>I</v>
      </c>
      <c r="X401" s="50" t="str">
        <f>MID(VLOOKUP($A401,Seqs!$A:$B,2,FALSE),VLOOKUP($A401,'SegEnds_NonXtal_Prot#'!A:AL,10,FALSE)+8,1)</f>
        <v>S</v>
      </c>
      <c r="Y401" s="50" t="str">
        <f>MID(VLOOKUP($A401,Seqs!$A:$B,2,FALSE),VLOOKUP($A401,'SegEnds_NonXtal_Prot#'!A:AL,10,FALSE)+9,1)</f>
        <v>L</v>
      </c>
      <c r="Z401" s="50" t="str">
        <f>MID(VLOOKUP($A401,Seqs!$A:$B,2,FALSE),VLOOKUP($A401,'SegEnds_NonXtal_Prot#'!A:AL,10,FALSE)+10,1)</f>
        <v>D</v>
      </c>
      <c r="AA401" s="28" t="str">
        <f>MID(VLOOKUP($A401,Seqs!$A:$B,2,FALSE),VLOOKUP($A401,'SegEnds_NonXtal_Prot#'!$A:$AL,22,FALSE)+6,1)</f>
        <v>L</v>
      </c>
      <c r="AB401" s="50" t="str">
        <f>MID(VLOOKUP($A401,Seqs!$A:$B,2,FALSE),VLOOKUP($A401,'SegEnds_NonXtal_Prot#'!$A:$AL,22,FALSE)+7,1)</f>
        <v>I</v>
      </c>
      <c r="AC401" s="50" t="str">
        <f>MID(VLOOKUP($A401,Seqs!$A:$B,2,FALSE),VLOOKUP($A401,'SegEnds_NonXtal_Prot#'!$A:$AL,22,FALSE)+8,1)</f>
        <v>I</v>
      </c>
      <c r="AD401" s="50" t="str">
        <f>MID(VLOOKUP($A401,Seqs!$A:$B,2,FALSE),VLOOKUP($A401,'SegEnds_NonXtal_Prot#'!$A:$AL,22,FALSE)+9,1)</f>
        <v>S</v>
      </c>
      <c r="AE401" s="50" t="str">
        <f>MID(VLOOKUP($A401,Seqs!$A:$B,2,FALSE),VLOOKUP($A401,'SegEnds_NonXtal_Prot#'!$A:$AL,22,FALSE)+10,1)</f>
        <v>V</v>
      </c>
      <c r="AF401" s="28" t="str">
        <f>MID(VLOOKUP($A401,Seqs!$A:$B,2,FALSE),VLOOKUP($A401,'SegEnds_NonXtal_Prot#'!$A:$AL,28,FALSE)-4,1)</f>
        <v>G</v>
      </c>
      <c r="AG401" s="50" t="str">
        <f>MID(VLOOKUP($A401,Seqs!$A:$B,2,FALSE),VLOOKUP($A401,'SegEnds_NonXtal_Prot#'!$A:$AL,28,FALSE),1)</f>
        <v>P</v>
      </c>
    </row>
    <row r="402" spans="1:33" s="2" customFormat="1" x14ac:dyDescent="0.2">
      <c r="A402" s="2" t="s">
        <v>466</v>
      </c>
      <c r="B402" s="2" t="str">
        <f>LOWER(VLOOKUP(A402,Xtal_Templ!A:B,2,FALSE))</f>
        <v>cxcr4_human</v>
      </c>
      <c r="C402" s="2" t="str">
        <f>VLOOKUP(A402,Classification!A:D,2,FALSE)</f>
        <v>T</v>
      </c>
      <c r="D402" s="2" t="str">
        <f>IF(ISERROR(MATCH(A402,'SegEnds_Xtal_Prot#'!B:B, 0)), "NoXtal", "Xtal")</f>
        <v>NoXtal</v>
      </c>
      <c r="G402" s="4"/>
      <c r="U402" s="28" t="str">
        <f>MID(VLOOKUP($A402,Seqs!$A:$B,2,FALSE),VLOOKUP($A402,'SegEnds_NonXtal_Prot#'!A:AL,10,FALSE),1)</f>
        <v>R</v>
      </c>
      <c r="V402" s="50" t="str">
        <f>MID(VLOOKUP($A402,Seqs!$A:$B,2,FALSE),VLOOKUP($A402,'SegEnds_NonXtal_Prot#'!A:AL,10,FALSE)+6,1)</f>
        <v>W</v>
      </c>
      <c r="W402" s="50" t="str">
        <f>MID(VLOOKUP($A402,Seqs!$A:$B,2,FALSE),VLOOKUP($A402,'SegEnds_NonXtal_Prot#'!A:AL,10,FALSE)+7,1)</f>
        <v>M</v>
      </c>
      <c r="X402" s="50" t="str">
        <f>MID(VLOOKUP($A402,Seqs!$A:$B,2,FALSE),VLOOKUP($A402,'SegEnds_NonXtal_Prot#'!A:AL,10,FALSE)+8,1)</f>
        <v>M</v>
      </c>
      <c r="Y402" s="50" t="str">
        <f>MID(VLOOKUP($A402,Seqs!$A:$B,2,FALSE),VLOOKUP($A402,'SegEnds_NonXtal_Prot#'!A:AL,10,FALSE)+9,1)</f>
        <v>L</v>
      </c>
      <c r="Z402" s="50" t="str">
        <f>MID(VLOOKUP($A402,Seqs!$A:$B,2,FALSE),VLOOKUP($A402,'SegEnds_NonXtal_Prot#'!A:AL,10,FALSE)+10,1)</f>
        <v>E</v>
      </c>
      <c r="AA402" s="28" t="str">
        <f>MID(VLOOKUP($A402,Seqs!$A:$B,2,FALSE),VLOOKUP($A402,'SegEnds_NonXtal_Prot#'!$A:$AL,22,FALSE)+6,1)</f>
        <v>L</v>
      </c>
      <c r="AB402" s="50" t="str">
        <f>MID(VLOOKUP($A402,Seqs!$A:$B,2,FALSE),VLOOKUP($A402,'SegEnds_NonXtal_Prot#'!$A:$AL,22,FALSE)+7,1)</f>
        <v>S</v>
      </c>
      <c r="AC402" s="50" t="str">
        <f>MID(VLOOKUP($A402,Seqs!$A:$B,2,FALSE),VLOOKUP($A402,'SegEnds_NonXtal_Prot#'!$A:$AL,22,FALSE)+8,1)</f>
        <v>F</v>
      </c>
      <c r="AD402" s="50" t="str">
        <f>MID(VLOOKUP($A402,Seqs!$A:$B,2,FALSE),VLOOKUP($A402,'SegEnds_NonXtal_Prot#'!$A:$AL,22,FALSE)+9,1)</f>
        <v>S</v>
      </c>
      <c r="AE402" s="50" t="str">
        <f>MID(VLOOKUP($A402,Seqs!$A:$B,2,FALSE),VLOOKUP($A402,'SegEnds_NonXtal_Prot#'!$A:$AL,22,FALSE)+10,1)</f>
        <v>F</v>
      </c>
      <c r="AF402" s="28" t="str">
        <f>MID(VLOOKUP($A402,Seqs!$A:$B,2,FALSE),VLOOKUP($A402,'SegEnds_NonXtal_Prot#'!$A:$AL,28,FALSE)-4,1)</f>
        <v>G</v>
      </c>
      <c r="AG402" s="50" t="str">
        <f>MID(VLOOKUP($A402,Seqs!$A:$B,2,FALSE),VLOOKUP($A402,'SegEnds_NonXtal_Prot#'!$A:$AL,28,FALSE),1)</f>
        <v>P</v>
      </c>
    </row>
    <row r="403" spans="1:33" s="2" customFormat="1" x14ac:dyDescent="0.2">
      <c r="A403" s="2" t="s">
        <v>474</v>
      </c>
      <c r="B403" s="2" t="str">
        <f>LOWER(VLOOKUP(A403,Xtal_Templ!A:B,2,FALSE))</f>
        <v>cxcr4_human</v>
      </c>
      <c r="C403" s="2" t="str">
        <f>VLOOKUP(A403,Classification!A:D,2,FALSE)</f>
        <v>T</v>
      </c>
      <c r="D403" s="2" t="str">
        <f>IF(ISERROR(MATCH(A403,'SegEnds_Xtal_Prot#'!B:B, 0)), "NoXtal", "Xtal")</f>
        <v>NoXtal</v>
      </c>
      <c r="G403" s="4"/>
      <c r="U403" s="28" t="str">
        <f>MID(VLOOKUP($A403,Seqs!$A:$B,2,FALSE),VLOOKUP($A403,'SegEnds_NonXtal_Prot#'!A:AL,10,FALSE),1)</f>
        <v>R</v>
      </c>
      <c r="V403" s="50" t="str">
        <f>MID(VLOOKUP($A403,Seqs!$A:$B,2,FALSE),VLOOKUP($A403,'SegEnds_NonXtal_Prot#'!A:AL,10,FALSE)+6,1)</f>
        <v>F</v>
      </c>
      <c r="W403" s="50" t="str">
        <f>MID(VLOOKUP($A403,Seqs!$A:$B,2,FALSE),VLOOKUP($A403,'SegEnds_NonXtal_Prot#'!A:AL,10,FALSE)+7,1)</f>
        <v>I</v>
      </c>
      <c r="X403" s="50" t="str">
        <f>MID(VLOOKUP($A403,Seqs!$A:$B,2,FALSE),VLOOKUP($A403,'SegEnds_NonXtal_Prot#'!A:AL,10,FALSE)+8,1)</f>
        <v>F</v>
      </c>
      <c r="Y403" s="50" t="str">
        <f>MID(VLOOKUP($A403,Seqs!$A:$B,2,FALSE),VLOOKUP($A403,'SegEnds_NonXtal_Prot#'!A:AL,10,FALSE)+9,1)</f>
        <v>Y</v>
      </c>
      <c r="Z403" s="50" t="str">
        <f>MID(VLOOKUP($A403,Seqs!$A:$B,2,FALSE),VLOOKUP($A403,'SegEnds_NonXtal_Prot#'!A:AL,10,FALSE)+10,1)</f>
        <v>V</v>
      </c>
      <c r="AA403" s="28" t="str">
        <f>MID(VLOOKUP($A403,Seqs!$A:$B,2,FALSE),VLOOKUP($A403,'SegEnds_NonXtal_Prot#'!$A:$AL,22,FALSE)+6,1)</f>
        <v>S</v>
      </c>
      <c r="AB403" s="50" t="str">
        <f>MID(VLOOKUP($A403,Seqs!$A:$B,2,FALSE),VLOOKUP($A403,'SegEnds_NonXtal_Prot#'!$A:$AL,22,FALSE)+7,1)</f>
        <v>M</v>
      </c>
      <c r="AC403" s="50" t="str">
        <f>MID(VLOOKUP($A403,Seqs!$A:$B,2,FALSE),VLOOKUP($A403,'SegEnds_NonXtal_Prot#'!$A:$AL,22,FALSE)+8,1)</f>
        <v>I</v>
      </c>
      <c r="AD403" s="50" t="str">
        <f>MID(VLOOKUP($A403,Seqs!$A:$B,2,FALSE),VLOOKUP($A403,'SegEnds_NonXtal_Prot#'!$A:$AL,22,FALSE)+9,1)</f>
        <v>C</v>
      </c>
      <c r="AE403" s="50" t="str">
        <f>MID(VLOOKUP($A403,Seqs!$A:$B,2,FALSE),VLOOKUP($A403,'SegEnds_NonXtal_Prot#'!$A:$AL,22,FALSE)+10,1)</f>
        <v>V</v>
      </c>
      <c r="AF403" s="28" t="str">
        <f>MID(VLOOKUP($A403,Seqs!$A:$B,2,FALSE),VLOOKUP($A403,'SegEnds_NonXtal_Prot#'!$A:$AL,28,FALSE)-4,1)</f>
        <v>E</v>
      </c>
      <c r="AG403" s="50" t="str">
        <f>MID(VLOOKUP($A403,Seqs!$A:$B,2,FALSE),VLOOKUP($A403,'SegEnds_NonXtal_Prot#'!$A:$AL,28,FALSE),1)</f>
        <v>P</v>
      </c>
    </row>
    <row r="404" spans="1:33" s="2" customFormat="1" x14ac:dyDescent="0.2">
      <c r="A404" s="2" t="s">
        <v>459</v>
      </c>
      <c r="B404" s="2" t="str">
        <f>LOWER(VLOOKUP(A404,Xtal_Templ!A:B,2,FALSE))</f>
        <v>cxcr4_human</v>
      </c>
      <c r="C404" s="2" t="str">
        <f>VLOOKUP(A404,Classification!A:D,2,FALSE)</f>
        <v>T</v>
      </c>
      <c r="D404" s="2" t="str">
        <f>IF(ISERROR(MATCH(A404,'SegEnds_Xtal_Prot#'!B:B, 0)), "NoXtal", "Xtal")</f>
        <v>NoXtal</v>
      </c>
      <c r="G404" s="4"/>
      <c r="U404" s="28" t="str">
        <f>MID(VLOOKUP($A404,Seqs!$A:$B,2,FALSE),VLOOKUP($A404,'SegEnds_NonXtal_Prot#'!A:AL,10,FALSE),1)</f>
        <v>R</v>
      </c>
      <c r="V404" s="50" t="str">
        <f>MID(VLOOKUP($A404,Seqs!$A:$B,2,FALSE),VLOOKUP($A404,'SegEnds_NonXtal_Prot#'!A:AL,10,FALSE)+6,1)</f>
        <v>A</v>
      </c>
      <c r="W404" s="50" t="str">
        <f>MID(VLOOKUP($A404,Seqs!$A:$B,2,FALSE),VLOOKUP($A404,'SegEnds_NonXtal_Prot#'!A:AL,10,FALSE)+7,1)</f>
        <v>S</v>
      </c>
      <c r="X404" s="50" t="str">
        <f>MID(VLOOKUP($A404,Seqs!$A:$B,2,FALSE),VLOOKUP($A404,'SegEnds_NonXtal_Prot#'!A:AL,10,FALSE)+8,1)</f>
        <v>M</v>
      </c>
      <c r="Y404" s="50" t="str">
        <f>MID(VLOOKUP($A404,Seqs!$A:$B,2,FALSE),VLOOKUP($A404,'SegEnds_NonXtal_Prot#'!A:AL,10,FALSE)+9,1)</f>
        <v>L</v>
      </c>
      <c r="Z404" s="50" t="str">
        <f>MID(VLOOKUP($A404,Seqs!$A:$B,2,FALSE),VLOOKUP($A404,'SegEnds_NonXtal_Prot#'!A:AL,10,FALSE)+10,1)</f>
        <v>N</v>
      </c>
      <c r="AA404" s="28" t="str">
        <f>MID(VLOOKUP($A404,Seqs!$A:$B,2,FALSE),VLOOKUP($A404,'SegEnds_NonXtal_Prot#'!$A:$AL,22,FALSE)+6,1)</f>
        <v>C</v>
      </c>
      <c r="AB404" s="50" t="str">
        <f>MID(VLOOKUP($A404,Seqs!$A:$B,2,FALSE),VLOOKUP($A404,'SegEnds_NonXtal_Prot#'!$A:$AL,22,FALSE)+7,1)</f>
        <v>V</v>
      </c>
      <c r="AC404" s="50" t="str">
        <f>MID(VLOOKUP($A404,Seqs!$A:$B,2,FALSE),VLOOKUP($A404,'SegEnds_NonXtal_Prot#'!$A:$AL,22,FALSE)+8,1)</f>
        <v>T</v>
      </c>
      <c r="AD404" s="50" t="str">
        <f>MID(VLOOKUP($A404,Seqs!$A:$B,2,FALSE),VLOOKUP($A404,'SegEnds_NonXtal_Prot#'!$A:$AL,22,FALSE)+9,1)</f>
        <v>I</v>
      </c>
      <c r="AE404" s="50" t="str">
        <f>MID(VLOOKUP($A404,Seqs!$A:$B,2,FALSE),VLOOKUP($A404,'SegEnds_NonXtal_Prot#'!$A:$AL,22,FALSE)+10,1)</f>
        <v>I</v>
      </c>
      <c r="AF404" s="28" t="str">
        <f>MID(VLOOKUP($A404,Seqs!$A:$B,2,FALSE),VLOOKUP($A404,'SegEnds_NonXtal_Prot#'!$A:$AL,28,FALSE)-4,1)</f>
        <v>A</v>
      </c>
      <c r="AG404" s="50" t="str">
        <f>MID(VLOOKUP($A404,Seqs!$A:$B,2,FALSE),VLOOKUP($A404,'SegEnds_NonXtal_Prot#'!$A:$AL,28,FALSE),1)</f>
        <v>P</v>
      </c>
    </row>
    <row r="405" spans="1:33" s="2" customFormat="1" x14ac:dyDescent="0.2">
      <c r="A405" s="2" t="s">
        <v>458</v>
      </c>
      <c r="B405" s="2" t="str">
        <f>LOWER(VLOOKUP(A405,Xtal_Templ!A:B,2,FALSE))</f>
        <v>apj_human</v>
      </c>
      <c r="C405" s="2" t="str">
        <f>VLOOKUP(A405,Classification!A:D,2,FALSE)</f>
        <v>T</v>
      </c>
      <c r="D405" s="2" t="str">
        <f>IF(ISERROR(MATCH(A405,'SegEnds_Xtal_Prot#'!B:B, 0)), "NoXtal", "Xtal")</f>
        <v>NoXtal</v>
      </c>
      <c r="G405" s="4"/>
      <c r="U405" s="28" t="str">
        <f>MID(VLOOKUP($A405,Seqs!$A:$B,2,FALSE),VLOOKUP($A405,'SegEnds_NonXtal_Prot#'!A:AL,10,FALSE),1)</f>
        <v>R</v>
      </c>
      <c r="V405" s="50" t="str">
        <f>MID(VLOOKUP($A405,Seqs!$A:$B,2,FALSE),VLOOKUP($A405,'SegEnds_NonXtal_Prot#'!A:AL,10,FALSE)+6,1)</f>
        <v>L</v>
      </c>
      <c r="W405" s="50" t="str">
        <f>MID(VLOOKUP($A405,Seqs!$A:$B,2,FALSE),VLOOKUP($A405,'SegEnds_NonXtal_Prot#'!A:AL,10,FALSE)+7,1)</f>
        <v>I</v>
      </c>
      <c r="X405" s="50" t="str">
        <f>MID(VLOOKUP($A405,Seqs!$A:$B,2,FALSE),VLOOKUP($A405,'SegEnds_NonXtal_Prot#'!A:AL,10,FALSE)+8,1)</f>
        <v>F</v>
      </c>
      <c r="Y405" s="50" t="str">
        <f>MID(VLOOKUP($A405,Seqs!$A:$B,2,FALSE),VLOOKUP($A405,'SegEnds_NonXtal_Prot#'!A:AL,10,FALSE)+9,1)</f>
        <v>G</v>
      </c>
      <c r="Z405" s="50" t="str">
        <f>MID(VLOOKUP($A405,Seqs!$A:$B,2,FALSE),VLOOKUP($A405,'SegEnds_NonXtal_Prot#'!A:AL,10,FALSE)+10,1)</f>
        <v>S</v>
      </c>
      <c r="AA405" s="28" t="str">
        <f>MID(VLOOKUP($A405,Seqs!$A:$B,2,FALSE),VLOOKUP($A405,'SegEnds_NonXtal_Prot#'!$A:$AL,22,FALSE)+6,1)</f>
        <v>F</v>
      </c>
      <c r="AB405" s="50" t="str">
        <f>MID(VLOOKUP($A405,Seqs!$A:$B,2,FALSE),VLOOKUP($A405,'SegEnds_NonXtal_Prot#'!$A:$AL,22,FALSE)+7,1)</f>
        <v>L</v>
      </c>
      <c r="AC405" s="50" t="str">
        <f>MID(VLOOKUP($A405,Seqs!$A:$B,2,FALSE),VLOOKUP($A405,'SegEnds_NonXtal_Prot#'!$A:$AL,22,FALSE)+8,1)</f>
        <v>N</v>
      </c>
      <c r="AD405" s="50" t="str">
        <f>MID(VLOOKUP($A405,Seqs!$A:$B,2,FALSE),VLOOKUP($A405,'SegEnds_NonXtal_Prot#'!$A:$AL,22,FALSE)+9,1)</f>
        <v>I</v>
      </c>
      <c r="AE405" s="50" t="str">
        <f>MID(VLOOKUP($A405,Seqs!$A:$B,2,FALSE),VLOOKUP($A405,'SegEnds_NonXtal_Prot#'!$A:$AL,22,FALSE)+10,1)</f>
        <v>A</v>
      </c>
      <c r="AF405" s="28" t="str">
        <f>MID(VLOOKUP($A405,Seqs!$A:$B,2,FALSE),VLOOKUP($A405,'SegEnds_NonXtal_Prot#'!$A:$AL,28,FALSE)-4,1)</f>
        <v>F</v>
      </c>
      <c r="AG405" s="50" t="str">
        <f>MID(VLOOKUP($A405,Seqs!$A:$B,2,FALSE),VLOOKUP($A405,'SegEnds_NonXtal_Prot#'!$A:$AL,28,FALSE),1)</f>
        <v>P</v>
      </c>
    </row>
    <row r="406" spans="1:33" s="2" customFormat="1" x14ac:dyDescent="0.2">
      <c r="A406" s="2" t="s">
        <v>456</v>
      </c>
      <c r="B406" s="2" t="str">
        <f>LOWER(VLOOKUP(A406,Xtal_Templ!A:B,2,FALSE))</f>
        <v>aa2ar_human</v>
      </c>
      <c r="C406" s="2" t="str">
        <f>VLOOKUP(A406,Classification!A:D,2,FALSE)</f>
        <v>T</v>
      </c>
      <c r="D406" s="2" t="str">
        <f>IF(ISERROR(MATCH(A406,'SegEnds_Xtal_Prot#'!B:B, 0)), "NoXtal", "Xtal")</f>
        <v>NoXtal</v>
      </c>
      <c r="G406" s="4"/>
      <c r="U406" s="28" t="str">
        <f>MID(VLOOKUP($A406,Seqs!$A:$B,2,FALSE),VLOOKUP($A406,'SegEnds_NonXtal_Prot#'!A:AL,10,FALSE),1)</f>
        <v>R</v>
      </c>
      <c r="V406" s="50" t="str">
        <f>MID(VLOOKUP($A406,Seqs!$A:$B,2,FALSE),VLOOKUP($A406,'SegEnds_NonXtal_Prot#'!A:AL,10,FALSE)+6,1)</f>
        <v>I</v>
      </c>
      <c r="W406" s="50" t="str">
        <f>MID(VLOOKUP($A406,Seqs!$A:$B,2,FALSE),VLOOKUP($A406,'SegEnds_NonXtal_Prot#'!A:AL,10,FALSE)+7,1)</f>
        <v>I</v>
      </c>
      <c r="X406" s="50" t="str">
        <f>MID(VLOOKUP($A406,Seqs!$A:$B,2,FALSE),VLOOKUP($A406,'SegEnds_NonXtal_Prot#'!A:AL,10,FALSE)+8,1)</f>
        <v>I</v>
      </c>
      <c r="Y406" s="50" t="str">
        <f>MID(VLOOKUP($A406,Seqs!$A:$B,2,FALSE),VLOOKUP($A406,'SegEnds_NonXtal_Prot#'!A:AL,10,FALSE)+9,1)</f>
        <v>T</v>
      </c>
      <c r="Z406" s="50" t="str">
        <f>MID(VLOOKUP($A406,Seqs!$A:$B,2,FALSE),VLOOKUP($A406,'SegEnds_NonXtal_Prot#'!A:AL,10,FALSE)+10,1)</f>
        <v>D</v>
      </c>
      <c r="AA406" s="28" t="str">
        <f>MID(VLOOKUP($A406,Seqs!$A:$B,2,FALSE),VLOOKUP($A406,'SegEnds_NonXtal_Prot#'!$A:$AL,22,FALSE)+6,1)</f>
        <v>L</v>
      </c>
      <c r="AB406" s="50" t="str">
        <f>MID(VLOOKUP($A406,Seqs!$A:$B,2,FALSE),VLOOKUP($A406,'SegEnds_NonXtal_Prot#'!$A:$AL,22,FALSE)+7,1)</f>
        <v>L</v>
      </c>
      <c r="AC406" s="50" t="str">
        <f>MID(VLOOKUP($A406,Seqs!$A:$B,2,FALSE),VLOOKUP($A406,'SegEnds_NonXtal_Prot#'!$A:$AL,22,FALSE)+8,1)</f>
        <v>N</v>
      </c>
      <c r="AD406" s="50" t="str">
        <f>MID(VLOOKUP($A406,Seqs!$A:$B,2,FALSE),VLOOKUP($A406,'SegEnds_NonXtal_Prot#'!$A:$AL,22,FALSE)+9,1)</f>
        <v>F</v>
      </c>
      <c r="AE406" s="50" t="str">
        <f>MID(VLOOKUP($A406,Seqs!$A:$B,2,FALSE),VLOOKUP($A406,'SegEnds_NonXtal_Prot#'!$A:$AL,22,FALSE)+10,1)</f>
        <v>A</v>
      </c>
      <c r="AF406" s="28" t="str">
        <f>MID(VLOOKUP($A406,Seqs!$A:$B,2,FALSE),VLOOKUP($A406,'SegEnds_NonXtal_Prot#'!$A:$AL,28,FALSE)-4,1)</f>
        <v>G</v>
      </c>
      <c r="AG406" s="50" t="str">
        <f>MID(VLOOKUP($A406,Seqs!$A:$B,2,FALSE),VLOOKUP($A406,'SegEnds_NonXtal_Prot#'!$A:$AL,28,FALSE),1)</f>
        <v>F</v>
      </c>
    </row>
    <row r="407" spans="1:33" s="2" customFormat="1" x14ac:dyDescent="0.2">
      <c r="A407" s="2" t="s">
        <v>477</v>
      </c>
      <c r="B407" s="2" t="str">
        <f>LOWER(VLOOKUP(A407,Xtal_Templ!A:B,2,FALSE))</f>
        <v>hrh1_human</v>
      </c>
      <c r="C407" s="2" t="str">
        <f>VLOOKUP(A407,Classification!A:D,2,FALSE)</f>
        <v>T</v>
      </c>
      <c r="D407" s="2" t="str">
        <f>IF(ISERROR(MATCH(A407,'SegEnds_Xtal_Prot#'!B:B, 0)), "NoXtal", "Xtal")</f>
        <v>NoXtal</v>
      </c>
      <c r="G407" s="4"/>
      <c r="U407" s="28" t="str">
        <f>MID(VLOOKUP($A407,Seqs!$A:$B,2,FALSE),VLOOKUP($A407,'SegEnds_NonXtal_Prot#'!A:AL,10,FALSE),1)</f>
        <v>R</v>
      </c>
      <c r="V407" s="50" t="str">
        <f>MID(VLOOKUP($A407,Seqs!$A:$B,2,FALSE),VLOOKUP($A407,'SegEnds_NonXtal_Prot#'!A:AL,10,FALSE)+6,1)</f>
        <v>L</v>
      </c>
      <c r="W407" s="50" t="str">
        <f>MID(VLOOKUP($A407,Seqs!$A:$B,2,FALSE),VLOOKUP($A407,'SegEnds_NonXtal_Prot#'!A:AL,10,FALSE)+7,1)</f>
        <v>I</v>
      </c>
      <c r="X407" s="50" t="str">
        <f>MID(VLOOKUP($A407,Seqs!$A:$B,2,FALSE),VLOOKUP($A407,'SegEnds_NonXtal_Prot#'!A:AL,10,FALSE)+8,1)</f>
        <v>I</v>
      </c>
      <c r="Y407" s="50" t="str">
        <f>MID(VLOOKUP($A407,Seqs!$A:$B,2,FALSE),VLOOKUP($A407,'SegEnds_NonXtal_Prot#'!A:AL,10,FALSE)+9,1)</f>
        <v>L</v>
      </c>
      <c r="Z407" s="50" t="str">
        <f>MID(VLOOKUP($A407,Seqs!$A:$B,2,FALSE),VLOOKUP($A407,'SegEnds_NonXtal_Prot#'!A:AL,10,FALSE)+10,1)</f>
        <v>D</v>
      </c>
      <c r="AA407" s="28" t="str">
        <f>MID(VLOOKUP($A407,Seqs!$A:$B,2,FALSE),VLOOKUP($A407,'SegEnds_NonXtal_Prot#'!$A:$AL,22,FALSE)+6,1)</f>
        <v>L</v>
      </c>
      <c r="AB407" s="50" t="str">
        <f>MID(VLOOKUP($A407,Seqs!$A:$B,2,FALSE),VLOOKUP($A407,'SegEnds_NonXtal_Prot#'!$A:$AL,22,FALSE)+7,1)</f>
        <v>L</v>
      </c>
      <c r="AC407" s="50" t="str">
        <f>MID(VLOOKUP($A407,Seqs!$A:$B,2,FALSE),VLOOKUP($A407,'SegEnds_NonXtal_Prot#'!$A:$AL,22,FALSE)+8,1)</f>
        <v>L</v>
      </c>
      <c r="AD407" s="50" t="str">
        <f>MID(VLOOKUP($A407,Seqs!$A:$B,2,FALSE),VLOOKUP($A407,'SegEnds_NonXtal_Prot#'!$A:$AL,22,FALSE)+9,1)</f>
        <v>T</v>
      </c>
      <c r="AE407" s="50" t="str">
        <f>MID(VLOOKUP($A407,Seqs!$A:$B,2,FALSE),VLOOKUP($A407,'SegEnds_NonXtal_Prot#'!$A:$AL,22,FALSE)+10,1)</f>
        <v>V</v>
      </c>
      <c r="AF407" s="28" t="str">
        <f>MID(VLOOKUP($A407,Seqs!$A:$B,2,FALSE),VLOOKUP($A407,'SegEnds_NonXtal_Prot#'!$A:$AL,28,FALSE)-4,1)</f>
        <v>G</v>
      </c>
      <c r="AG407" s="50" t="str">
        <f>MID(VLOOKUP($A407,Seqs!$A:$B,2,FALSE),VLOOKUP($A407,'SegEnds_NonXtal_Prot#'!$A:$AL,28,FALSE),1)</f>
        <v>P</v>
      </c>
    </row>
    <row r="408" spans="1:33" s="2" customFormat="1" x14ac:dyDescent="0.2">
      <c r="G408" s="4"/>
      <c r="U408" s="28"/>
      <c r="V408" s="50"/>
      <c r="W408" s="50"/>
      <c r="X408" s="50"/>
      <c r="Y408" s="50"/>
      <c r="Z408" s="50"/>
      <c r="AA408" s="28"/>
      <c r="AB408" s="50"/>
      <c r="AC408" s="50"/>
      <c r="AD408" s="50"/>
      <c r="AF408" s="16"/>
    </row>
    <row r="409" spans="1:33" s="2" customFormat="1" x14ac:dyDescent="0.2">
      <c r="G409" s="4"/>
      <c r="U409" s="28"/>
      <c r="V409" s="50"/>
      <c r="W409" s="50"/>
      <c r="X409" s="50"/>
      <c r="Y409" s="50"/>
      <c r="Z409" s="50"/>
      <c r="AA409" s="28"/>
      <c r="AB409" s="50"/>
      <c r="AC409" s="50"/>
      <c r="AD409" s="50"/>
      <c r="AF409" s="16"/>
    </row>
    <row r="410" spans="1:33" s="2" customFormat="1" x14ac:dyDescent="0.2">
      <c r="G410" s="4"/>
      <c r="U410" s="28"/>
      <c r="V410" s="50"/>
      <c r="W410" s="50"/>
      <c r="X410" s="50"/>
      <c r="Y410" s="50"/>
      <c r="Z410" s="50"/>
      <c r="AA410" s="28"/>
      <c r="AB410" s="50"/>
      <c r="AC410" s="50"/>
      <c r="AD410" s="50"/>
      <c r="AF410" s="16"/>
    </row>
  </sheetData>
  <sortState ref="A2:AG406">
    <sortCondition ref="C2:C406"/>
    <sortCondition ref="B2:B406"/>
    <sortCondition ref="A2:A406"/>
  </sortState>
  <customSheetViews>
    <customSheetView guid="{3E3401AF-8459-8641-BD70-AD04F80E86ED}" scale="120">
      <pane ySplit="1" topLeftCell="A7" activePane="bottomLeft" state="frozenSplit"/>
      <selection pane="bottomLeft" activeCell="A28" sqref="A1:A1048576"/>
      <pageMargins left="0.7" right="0.7" top="0.75" bottom="0.75" header="0.3" footer="0.3"/>
      <pageSetup paperSize="9" orientation="portrait" horizontalDpi="0" verticalDpi="0"/>
    </customSheetView>
  </customSheetViews>
  <conditionalFormatting sqref="AD1:AE1048576">
    <cfRule type="cellIs" dxfId="7" priority="4" operator="equal">
      <formula>"P"</formula>
    </cfRule>
  </conditionalFormatting>
  <conditionalFormatting sqref="AB1:AB1048576">
    <cfRule type="cellIs" dxfId="6" priority="2" operator="equal">
      <formula>"W"</formula>
    </cfRule>
    <cfRule type="cellIs" dxfId="5" priority="3" operator="equal">
      <formula>"G"</formula>
    </cfRule>
  </conditionalFormatting>
  <conditionalFormatting sqref="AF2:AG407">
    <cfRule type="cellIs" dxfId="4" priority="1" operator="equal">
      <formula>"P"</formula>
    </cfRule>
  </conditionalFormatting>
  <pageMargins left="0.7" right="0.7" top="0.75" bottom="0.75" header="0.3" footer="0.3"/>
  <pageSetup paperSize="9"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E409"/>
  <sheetViews>
    <sheetView workbookViewId="0">
      <pane ySplit="1" topLeftCell="A77" activePane="bottomLeft" state="frozenSplit"/>
      <selection pane="bottomLeft" activeCell="D114" sqref="D114"/>
    </sheetView>
  </sheetViews>
  <sheetFormatPr baseColWidth="10" defaultColWidth="11.1640625" defaultRowHeight="16" x14ac:dyDescent="0.2"/>
  <cols>
    <col min="1" max="1" width="11.83203125" customWidth="1"/>
    <col min="3" max="3" width="7.5" customWidth="1"/>
  </cols>
  <sheetData>
    <row r="1" spans="1:5" s="21" customFormat="1" x14ac:dyDescent="0.2">
      <c r="A1" s="21" t="s">
        <v>31</v>
      </c>
      <c r="B1" s="21" t="s">
        <v>1157</v>
      </c>
      <c r="C1" s="21" t="s">
        <v>1227</v>
      </c>
      <c r="D1" s="21" t="s">
        <v>1205</v>
      </c>
      <c r="E1" s="21" t="s">
        <v>932</v>
      </c>
    </row>
    <row r="2" spans="1:5" x14ac:dyDescent="0.2">
      <c r="A2" t="s">
        <v>468</v>
      </c>
      <c r="B2" t="s">
        <v>563</v>
      </c>
      <c r="C2" t="str">
        <f>IF(ISERROR(MATCH(A2,'SegEnds_Xtal_Prot#'!B:B, 0)), "NoXtal", "Xtal")</f>
        <v>NoXtal</v>
      </c>
      <c r="D2" t="str">
        <f t="shared" ref="D2:D65" si="0">MID(A2,FIND("_",A2)+1,LEN(A2)-FIND("_",A2))</f>
        <v>human</v>
      </c>
      <c r="E2" t="str">
        <f>VLOOKUP(A2,Classification!A:B,2,FALSE)</f>
        <v>T</v>
      </c>
    </row>
    <row r="3" spans="1:5" x14ac:dyDescent="0.2">
      <c r="A3" t="s">
        <v>469</v>
      </c>
      <c r="B3" t="s">
        <v>594</v>
      </c>
      <c r="C3" t="str">
        <f>IF(ISERROR(MATCH(A3,'SegEnds_Xtal_Prot#'!B:B, 0)), "NoXtal", "Xtal")</f>
        <v>NoXtal</v>
      </c>
      <c r="D3" t="str">
        <f t="shared" si="0"/>
        <v>human</v>
      </c>
      <c r="E3" t="str">
        <f>VLOOKUP(A3,Classification!A:B,2,FALSE)</f>
        <v>T</v>
      </c>
    </row>
    <row r="4" spans="1:5" x14ac:dyDescent="0.2">
      <c r="A4" t="s">
        <v>930</v>
      </c>
      <c r="B4" t="s">
        <v>611</v>
      </c>
      <c r="C4" t="str">
        <f>IF(ISERROR(MATCH(A4,'SegEnds_Xtal_Prot#'!B:B, 0)), "NoXtal", "Xtal")</f>
        <v>NoXtal</v>
      </c>
      <c r="D4" t="str">
        <f t="shared" si="0"/>
        <v>human</v>
      </c>
      <c r="E4" t="str">
        <f>VLOOKUP(A4,Classification!A:B,2,FALSE)</f>
        <v>T</v>
      </c>
    </row>
    <row r="5" spans="1:5" x14ac:dyDescent="0.2">
      <c r="A5" t="s">
        <v>467</v>
      </c>
      <c r="B5" t="s">
        <v>644</v>
      </c>
      <c r="C5" t="str">
        <f>IF(ISERROR(MATCH(A5,'SegEnds_Xtal_Prot#'!B:B, 0)), "NoXtal", "Xtal")</f>
        <v>NoXtal</v>
      </c>
      <c r="D5" t="str">
        <f t="shared" si="0"/>
        <v>human</v>
      </c>
      <c r="E5" t="str">
        <f>VLOOKUP(A5,Classification!A:B,2,FALSE)</f>
        <v>T</v>
      </c>
    </row>
    <row r="6" spans="1:5" x14ac:dyDescent="0.2">
      <c r="A6" t="s">
        <v>474</v>
      </c>
      <c r="B6" t="s">
        <v>697</v>
      </c>
      <c r="C6" t="str">
        <f>IF(ISERROR(MATCH(A6,'SegEnds_Xtal_Prot#'!B:B, 0)), "NoXtal", "Xtal")</f>
        <v>NoXtal</v>
      </c>
      <c r="D6" t="str">
        <f t="shared" si="0"/>
        <v>human</v>
      </c>
      <c r="E6" t="str">
        <f>VLOOKUP(A6,Classification!A:B,2,FALSE)</f>
        <v>T</v>
      </c>
    </row>
    <row r="7" spans="1:5" x14ac:dyDescent="0.2">
      <c r="A7" t="s">
        <v>475</v>
      </c>
      <c r="B7" t="s">
        <v>698</v>
      </c>
      <c r="C7" t="str">
        <f>IF(ISERROR(MATCH(A7,'SegEnds_Xtal_Prot#'!B:B, 0)), "NoXtal", "Xtal")</f>
        <v>NoXtal</v>
      </c>
      <c r="D7" t="str">
        <f t="shared" si="0"/>
        <v>human</v>
      </c>
      <c r="E7" t="str">
        <f>VLOOKUP(A7,Classification!A:B,2,FALSE)</f>
        <v>T</v>
      </c>
    </row>
    <row r="8" spans="1:5" x14ac:dyDescent="0.2">
      <c r="A8" t="s">
        <v>476</v>
      </c>
      <c r="B8" t="s">
        <v>699</v>
      </c>
      <c r="C8" t="str">
        <f>IF(ISERROR(MATCH(A8,'SegEnds_Xtal_Prot#'!B:B, 0)), "NoXtal", "Xtal")</f>
        <v>NoXtal</v>
      </c>
      <c r="D8" t="str">
        <f t="shared" si="0"/>
        <v>human</v>
      </c>
      <c r="E8" t="str">
        <f>VLOOKUP(A8,Classification!A:B,2,FALSE)</f>
        <v>T</v>
      </c>
    </row>
    <row r="9" spans="1:5" x14ac:dyDescent="0.2">
      <c r="A9" t="s">
        <v>477</v>
      </c>
      <c r="B9" t="s">
        <v>700</v>
      </c>
      <c r="C9" t="str">
        <f>IF(ISERROR(MATCH(A9,'SegEnds_Xtal_Prot#'!B:B, 0)), "NoXtal", "Xtal")</f>
        <v>NoXtal</v>
      </c>
      <c r="D9" t="str">
        <f t="shared" si="0"/>
        <v>human</v>
      </c>
      <c r="E9" t="str">
        <f>VLOOKUP(A9,Classification!A:B,2,FALSE)</f>
        <v>T</v>
      </c>
    </row>
    <row r="10" spans="1:5" x14ac:dyDescent="0.2">
      <c r="A10" t="s">
        <v>478</v>
      </c>
      <c r="B10" t="s">
        <v>701</v>
      </c>
      <c r="C10" t="str">
        <f>IF(ISERROR(MATCH(A10,'SegEnds_Xtal_Prot#'!B:B, 0)), "NoXtal", "Xtal")</f>
        <v>NoXtal</v>
      </c>
      <c r="D10" t="str">
        <f t="shared" si="0"/>
        <v>human</v>
      </c>
      <c r="E10" t="str">
        <f>VLOOKUP(A10,Classification!A:B,2,FALSE)</f>
        <v>T</v>
      </c>
    </row>
    <row r="11" spans="1:5" x14ac:dyDescent="0.2">
      <c r="A11" t="s">
        <v>479</v>
      </c>
      <c r="B11" t="s">
        <v>702</v>
      </c>
      <c r="C11" t="str">
        <f>IF(ISERROR(MATCH(A11,'SegEnds_Xtal_Prot#'!B:B, 0)), "NoXtal", "Xtal")</f>
        <v>NoXtal</v>
      </c>
      <c r="D11" t="str">
        <f t="shared" si="0"/>
        <v>human</v>
      </c>
      <c r="E11" t="str">
        <f>VLOOKUP(A11,Classification!A:B,2,FALSE)</f>
        <v>T</v>
      </c>
    </row>
    <row r="12" spans="1:5" x14ac:dyDescent="0.2">
      <c r="A12" t="s">
        <v>480</v>
      </c>
      <c r="B12" t="s">
        <v>703</v>
      </c>
      <c r="C12" t="str">
        <f>IF(ISERROR(MATCH(A12,'SegEnds_Xtal_Prot#'!B:B, 0)), "NoXtal", "Xtal")</f>
        <v>NoXtal</v>
      </c>
      <c r="D12" t="str">
        <f t="shared" si="0"/>
        <v>human</v>
      </c>
      <c r="E12" t="str">
        <f>VLOOKUP(A12,Classification!A:B,2,FALSE)</f>
        <v>T</v>
      </c>
    </row>
    <row r="13" spans="1:5" x14ac:dyDescent="0.2">
      <c r="A13" t="s">
        <v>456</v>
      </c>
      <c r="B13" t="s">
        <v>704</v>
      </c>
      <c r="C13" t="str">
        <f>IF(ISERROR(MATCH(A13,'SegEnds_Xtal_Prot#'!B:B, 0)), "NoXtal", "Xtal")</f>
        <v>NoXtal</v>
      </c>
      <c r="D13" t="str">
        <f t="shared" si="0"/>
        <v>human</v>
      </c>
      <c r="E13" t="str">
        <f>VLOOKUP(A13,Classification!A:B,2,FALSE)</f>
        <v>T</v>
      </c>
    </row>
    <row r="14" spans="1:5" x14ac:dyDescent="0.2">
      <c r="A14" t="s">
        <v>457</v>
      </c>
      <c r="B14" t="s">
        <v>705</v>
      </c>
      <c r="C14" t="str">
        <f>IF(ISERROR(MATCH(A14,'SegEnds_Xtal_Prot#'!B:B, 0)), "NoXtal", "Xtal")</f>
        <v>NoXtal</v>
      </c>
      <c r="D14" t="str">
        <f t="shared" si="0"/>
        <v>human</v>
      </c>
      <c r="E14" t="str">
        <f>VLOOKUP(A14,Classification!A:B,2,FALSE)</f>
        <v>T</v>
      </c>
    </row>
    <row r="15" spans="1:5" x14ac:dyDescent="0.2">
      <c r="A15" t="s">
        <v>458</v>
      </c>
      <c r="B15" t="s">
        <v>706</v>
      </c>
      <c r="C15" t="str">
        <f>IF(ISERROR(MATCH(A15,'SegEnds_Xtal_Prot#'!B:B, 0)), "NoXtal", "Xtal")</f>
        <v>NoXtal</v>
      </c>
      <c r="D15" t="str">
        <f t="shared" si="0"/>
        <v>human</v>
      </c>
      <c r="E15" t="str">
        <f>VLOOKUP(A15,Classification!A:B,2,FALSE)</f>
        <v>T</v>
      </c>
    </row>
    <row r="16" spans="1:5" x14ac:dyDescent="0.2">
      <c r="A16" t="s">
        <v>459</v>
      </c>
      <c r="B16" t="s">
        <v>707</v>
      </c>
      <c r="C16" t="str">
        <f>IF(ISERROR(MATCH(A16,'SegEnds_Xtal_Prot#'!B:B, 0)), "NoXtal", "Xtal")</f>
        <v>NoXtal</v>
      </c>
      <c r="D16" t="str">
        <f t="shared" si="0"/>
        <v>human</v>
      </c>
      <c r="E16" t="str">
        <f>VLOOKUP(A16,Classification!A:B,2,FALSE)</f>
        <v>T</v>
      </c>
    </row>
    <row r="17" spans="1:5" x14ac:dyDescent="0.2">
      <c r="A17" t="s">
        <v>460</v>
      </c>
      <c r="B17" t="s">
        <v>708</v>
      </c>
      <c r="C17" t="str">
        <f>IF(ISERROR(MATCH(A17,'SegEnds_Xtal_Prot#'!B:B, 0)), "NoXtal", "Xtal")</f>
        <v>NoXtal</v>
      </c>
      <c r="D17" t="str">
        <f t="shared" si="0"/>
        <v>human</v>
      </c>
      <c r="E17" t="str">
        <f>VLOOKUP(A17,Classification!A:B,2,FALSE)</f>
        <v>T</v>
      </c>
    </row>
    <row r="18" spans="1:5" x14ac:dyDescent="0.2">
      <c r="A18" t="s">
        <v>461</v>
      </c>
      <c r="B18" t="s">
        <v>709</v>
      </c>
      <c r="C18" t="str">
        <f>IF(ISERROR(MATCH(A18,'SegEnds_Xtal_Prot#'!B:B, 0)), "NoXtal", "Xtal")</f>
        <v>NoXtal</v>
      </c>
      <c r="D18" t="str">
        <f t="shared" si="0"/>
        <v>human</v>
      </c>
      <c r="E18" t="str">
        <f>VLOOKUP(A18,Classification!A:B,2,FALSE)</f>
        <v>T</v>
      </c>
    </row>
    <row r="19" spans="1:5" x14ac:dyDescent="0.2">
      <c r="A19" t="s">
        <v>462</v>
      </c>
      <c r="B19" t="s">
        <v>710</v>
      </c>
      <c r="C19" t="str">
        <f>IF(ISERROR(MATCH(A19,'SegEnds_Xtal_Prot#'!B:B, 0)), "NoXtal", "Xtal")</f>
        <v>NoXtal</v>
      </c>
      <c r="D19" t="str">
        <f t="shared" si="0"/>
        <v>human</v>
      </c>
      <c r="E19" t="str">
        <f>VLOOKUP(A19,Classification!A:B,2,FALSE)</f>
        <v>T</v>
      </c>
    </row>
    <row r="20" spans="1:5" x14ac:dyDescent="0.2">
      <c r="A20" t="s">
        <v>463</v>
      </c>
      <c r="B20" t="s">
        <v>711</v>
      </c>
      <c r="C20" t="str">
        <f>IF(ISERROR(MATCH(A20,'SegEnds_Xtal_Prot#'!B:B, 0)), "NoXtal", "Xtal")</f>
        <v>NoXtal</v>
      </c>
      <c r="D20" t="str">
        <f t="shared" si="0"/>
        <v>human</v>
      </c>
      <c r="E20" t="str">
        <f>VLOOKUP(A20,Classification!A:B,2,FALSE)</f>
        <v>T</v>
      </c>
    </row>
    <row r="21" spans="1:5" x14ac:dyDescent="0.2">
      <c r="A21" t="s">
        <v>464</v>
      </c>
      <c r="B21" t="s">
        <v>712</v>
      </c>
      <c r="C21" t="str">
        <f>IF(ISERROR(MATCH(A21,'SegEnds_Xtal_Prot#'!B:B, 0)), "NoXtal", "Xtal")</f>
        <v>NoXtal</v>
      </c>
      <c r="D21" t="str">
        <f t="shared" si="0"/>
        <v>human</v>
      </c>
      <c r="E21" t="str">
        <f>VLOOKUP(A21,Classification!A:B,2,FALSE)</f>
        <v>T</v>
      </c>
    </row>
    <row r="22" spans="1:5" x14ac:dyDescent="0.2">
      <c r="A22" t="s">
        <v>465</v>
      </c>
      <c r="B22" t="s">
        <v>713</v>
      </c>
      <c r="C22" t="str">
        <f>IF(ISERROR(MATCH(A22,'SegEnds_Xtal_Prot#'!B:B, 0)), "NoXtal", "Xtal")</f>
        <v>NoXtal</v>
      </c>
      <c r="D22" t="str">
        <f t="shared" si="0"/>
        <v>human</v>
      </c>
      <c r="E22" t="str">
        <f>VLOOKUP(A22,Classification!A:B,2,FALSE)</f>
        <v>T</v>
      </c>
    </row>
    <row r="23" spans="1:5" x14ac:dyDescent="0.2">
      <c r="A23" t="s">
        <v>466</v>
      </c>
      <c r="B23" t="s">
        <v>714</v>
      </c>
      <c r="C23" t="str">
        <f>IF(ISERROR(MATCH(A23,'SegEnds_Xtal_Prot#'!B:B, 0)), "NoXtal", "Xtal")</f>
        <v>NoXtal</v>
      </c>
      <c r="D23" t="str">
        <f t="shared" si="0"/>
        <v>human</v>
      </c>
      <c r="E23" t="str">
        <f>VLOOKUP(A23,Classification!A:B,2,FALSE)</f>
        <v>T</v>
      </c>
    </row>
    <row r="24" spans="1:5" x14ac:dyDescent="0.2">
      <c r="A24" t="s">
        <v>470</v>
      </c>
      <c r="B24" t="s">
        <v>715</v>
      </c>
      <c r="C24" t="str">
        <f>IF(ISERROR(MATCH(A24,'SegEnds_Xtal_Prot#'!B:B, 0)), "NoXtal", "Xtal")</f>
        <v>NoXtal</v>
      </c>
      <c r="D24" t="str">
        <f t="shared" si="0"/>
        <v>human</v>
      </c>
      <c r="E24" t="str">
        <f>VLOOKUP(A24,Classification!A:B,2,FALSE)</f>
        <v>T</v>
      </c>
    </row>
    <row r="25" spans="1:5" x14ac:dyDescent="0.2">
      <c r="A25" t="s">
        <v>471</v>
      </c>
      <c r="B25" t="s">
        <v>716</v>
      </c>
      <c r="C25" t="str">
        <f>IF(ISERROR(MATCH(A25,'SegEnds_Xtal_Prot#'!B:B, 0)), "NoXtal", "Xtal")</f>
        <v>NoXtal</v>
      </c>
      <c r="D25" t="str">
        <f t="shared" si="0"/>
        <v>human</v>
      </c>
      <c r="E25" t="str">
        <f>VLOOKUP(A25,Classification!A:B,2,FALSE)</f>
        <v>T</v>
      </c>
    </row>
    <row r="26" spans="1:5" x14ac:dyDescent="0.2">
      <c r="A26" t="s">
        <v>472</v>
      </c>
      <c r="B26" t="s">
        <v>717</v>
      </c>
      <c r="C26" t="str">
        <f>IF(ISERROR(MATCH(A26,'SegEnds_Xtal_Prot#'!B:B, 0)), "NoXtal", "Xtal")</f>
        <v>NoXtal</v>
      </c>
      <c r="D26" t="str">
        <f t="shared" si="0"/>
        <v>human</v>
      </c>
      <c r="E26" t="str">
        <f>VLOOKUP(A26,Classification!A:B,2,FALSE)</f>
        <v>T</v>
      </c>
    </row>
    <row r="27" spans="1:5" x14ac:dyDescent="0.2">
      <c r="A27" t="s">
        <v>482</v>
      </c>
      <c r="B27" t="s">
        <v>878</v>
      </c>
      <c r="C27" t="str">
        <f>IF(ISERROR(MATCH(A27,'SegEnds_Xtal_Prot#'!B:B, 0)), "NoXtal", "Xtal")</f>
        <v>NoXtal</v>
      </c>
      <c r="D27" t="str">
        <f t="shared" si="0"/>
        <v>human</v>
      </c>
      <c r="E27" t="str">
        <f>VLOOKUP(A27,Classification!A:B,2,FALSE)</f>
        <v>O</v>
      </c>
    </row>
    <row r="28" spans="1:5" x14ac:dyDescent="0.2">
      <c r="A28" t="s">
        <v>481</v>
      </c>
      <c r="B28" t="s">
        <v>879</v>
      </c>
      <c r="C28" t="str">
        <f>IF(ISERROR(MATCH(A28,'SegEnds_Xtal_Prot#'!B:B, 0)), "NoXtal", "Xtal")</f>
        <v>NoXtal</v>
      </c>
      <c r="D28" t="str">
        <f t="shared" si="0"/>
        <v>human</v>
      </c>
      <c r="E28" t="str">
        <f>VLOOKUP(A28,Classification!A:B,2,FALSE)</f>
        <v>O</v>
      </c>
    </row>
    <row r="29" spans="1:5" x14ac:dyDescent="0.2">
      <c r="A29" t="s">
        <v>483</v>
      </c>
      <c r="B29" t="s">
        <v>880</v>
      </c>
      <c r="C29" t="str">
        <f>IF(ISERROR(MATCH(A29,'SegEnds_Xtal_Prot#'!B:B, 0)), "NoXtal", "Xtal")</f>
        <v>NoXtal</v>
      </c>
      <c r="D29" t="str">
        <f t="shared" si="0"/>
        <v>human</v>
      </c>
      <c r="E29" t="str">
        <f>VLOOKUP(A29,Classification!A:B,2,FALSE)</f>
        <v>O</v>
      </c>
    </row>
    <row r="30" spans="1:5" x14ac:dyDescent="0.2">
      <c r="A30" t="s">
        <v>484</v>
      </c>
      <c r="B30" t="s">
        <v>881</v>
      </c>
      <c r="C30" t="str">
        <f>IF(ISERROR(MATCH(A30,'SegEnds_Xtal_Prot#'!B:B, 0)), "NoXtal", "Xtal")</f>
        <v>NoXtal</v>
      </c>
      <c r="D30" t="str">
        <f t="shared" si="0"/>
        <v>human</v>
      </c>
      <c r="E30" t="str">
        <f>VLOOKUP(A30,Classification!A:B,2,FALSE)</f>
        <v>O</v>
      </c>
    </row>
    <row r="31" spans="1:5" x14ac:dyDescent="0.2">
      <c r="A31" t="s">
        <v>485</v>
      </c>
      <c r="B31" t="s">
        <v>882</v>
      </c>
      <c r="C31" t="str">
        <f>IF(ISERROR(MATCH(A31,'SegEnds_Xtal_Prot#'!B:B, 0)), "NoXtal", "Xtal")</f>
        <v>NoXtal</v>
      </c>
      <c r="D31" t="str">
        <f t="shared" si="0"/>
        <v>human</v>
      </c>
      <c r="E31" t="str">
        <f>VLOOKUP(A31,Classification!A:B,2,FALSE)</f>
        <v>O</v>
      </c>
    </row>
    <row r="32" spans="1:5" x14ac:dyDescent="0.2">
      <c r="A32" t="s">
        <v>486</v>
      </c>
      <c r="B32" t="s">
        <v>883</v>
      </c>
      <c r="C32" t="str">
        <f>IF(ISERROR(MATCH(A32,'SegEnds_Xtal_Prot#'!B:B, 0)), "NoXtal", "Xtal")</f>
        <v>NoXtal</v>
      </c>
      <c r="D32" t="str">
        <f t="shared" si="0"/>
        <v>human</v>
      </c>
      <c r="E32" t="str">
        <f>VLOOKUP(A32,Classification!A:B,2,FALSE)</f>
        <v>O</v>
      </c>
    </row>
    <row r="33" spans="1:5" x14ac:dyDescent="0.2">
      <c r="A33" t="s">
        <v>33</v>
      </c>
      <c r="B33" t="s">
        <v>877</v>
      </c>
      <c r="C33" t="str">
        <f>IF(ISERROR(MATCH(A33,'SegEnds_Xtal_Prot#'!B:B, 0)), "NoXtal", "Xtal")</f>
        <v>Xtal</v>
      </c>
      <c r="D33" t="str">
        <f t="shared" si="0"/>
        <v>human</v>
      </c>
      <c r="E33" t="str">
        <f>VLOOKUP(A33,Classification!A:B,2,FALSE)</f>
        <v>F</v>
      </c>
    </row>
    <row r="34" spans="1:5" x14ac:dyDescent="0.2">
      <c r="A34" t="s">
        <v>446</v>
      </c>
      <c r="B34" t="s">
        <v>867</v>
      </c>
      <c r="C34" t="str">
        <f>IF(ISERROR(MATCH(A34,'SegEnds_Xtal_Prot#'!B:B, 0)), "NoXtal", "Xtal")</f>
        <v>NoXtal</v>
      </c>
      <c r="D34" t="str">
        <f t="shared" si="0"/>
        <v>human</v>
      </c>
      <c r="E34" t="str">
        <f>VLOOKUP(A34,Classification!A:B,2,FALSE)</f>
        <v>F</v>
      </c>
    </row>
    <row r="35" spans="1:5" x14ac:dyDescent="0.2">
      <c r="A35" t="s">
        <v>448</v>
      </c>
      <c r="B35" t="s">
        <v>868</v>
      </c>
      <c r="C35" t="str">
        <f>IF(ISERROR(MATCH(A35,'SegEnds_Xtal_Prot#'!B:B, 0)), "NoXtal", "Xtal")</f>
        <v>NoXtal</v>
      </c>
      <c r="D35" t="str">
        <f t="shared" si="0"/>
        <v>human</v>
      </c>
      <c r="E35" t="str">
        <f>VLOOKUP(A35,Classification!A:B,2,FALSE)</f>
        <v>F</v>
      </c>
    </row>
    <row r="36" spans="1:5" x14ac:dyDescent="0.2">
      <c r="A36" t="s">
        <v>449</v>
      </c>
      <c r="B36" t="s">
        <v>869</v>
      </c>
      <c r="C36" t="str">
        <f>IF(ISERROR(MATCH(A36,'SegEnds_Xtal_Prot#'!B:B, 0)), "NoXtal", "Xtal")</f>
        <v>NoXtal</v>
      </c>
      <c r="D36" t="str">
        <f t="shared" si="0"/>
        <v>human</v>
      </c>
      <c r="E36" t="str">
        <f>VLOOKUP(A36,Classification!A:B,2,FALSE)</f>
        <v>F</v>
      </c>
    </row>
    <row r="37" spans="1:5" x14ac:dyDescent="0.2">
      <c r="A37" t="s">
        <v>450</v>
      </c>
      <c r="B37" t="s">
        <v>870</v>
      </c>
      <c r="C37" t="str">
        <f>IF(ISERROR(MATCH(A37,'SegEnds_Xtal_Prot#'!B:B, 0)), "NoXtal", "Xtal")</f>
        <v>NoXtal</v>
      </c>
      <c r="D37" t="str">
        <f t="shared" si="0"/>
        <v>human</v>
      </c>
      <c r="E37" t="str">
        <f>VLOOKUP(A37,Classification!A:B,2,FALSE)</f>
        <v>F</v>
      </c>
    </row>
    <row r="38" spans="1:5" x14ac:dyDescent="0.2">
      <c r="A38" t="s">
        <v>451</v>
      </c>
      <c r="B38" t="s">
        <v>871</v>
      </c>
      <c r="C38" t="str">
        <f>IF(ISERROR(MATCH(A38,'SegEnds_Xtal_Prot#'!B:B, 0)), "NoXtal", "Xtal")</f>
        <v>NoXtal</v>
      </c>
      <c r="D38" t="str">
        <f t="shared" si="0"/>
        <v>human</v>
      </c>
      <c r="E38" t="str">
        <f>VLOOKUP(A38,Classification!A:B,2,FALSE)</f>
        <v>F</v>
      </c>
    </row>
    <row r="39" spans="1:5" x14ac:dyDescent="0.2">
      <c r="A39" t="s">
        <v>452</v>
      </c>
      <c r="B39" t="s">
        <v>872</v>
      </c>
      <c r="C39" t="str">
        <f>IF(ISERROR(MATCH(A39,'SegEnds_Xtal_Prot#'!B:B, 0)), "NoXtal", "Xtal")</f>
        <v>NoXtal</v>
      </c>
      <c r="D39" t="str">
        <f t="shared" si="0"/>
        <v>human</v>
      </c>
      <c r="E39" t="str">
        <f>VLOOKUP(A39,Classification!A:B,2,FALSE)</f>
        <v>F</v>
      </c>
    </row>
    <row r="40" spans="1:5" x14ac:dyDescent="0.2">
      <c r="A40" t="s">
        <v>453</v>
      </c>
      <c r="B40" t="s">
        <v>873</v>
      </c>
      <c r="C40" t="str">
        <f>IF(ISERROR(MATCH(A40,'SegEnds_Xtal_Prot#'!B:B, 0)), "NoXtal", "Xtal")</f>
        <v>NoXtal</v>
      </c>
      <c r="D40" t="str">
        <f t="shared" si="0"/>
        <v>human</v>
      </c>
      <c r="E40" t="str">
        <f>VLOOKUP(A40,Classification!A:B,2,FALSE)</f>
        <v>F</v>
      </c>
    </row>
    <row r="41" spans="1:5" x14ac:dyDescent="0.2">
      <c r="A41" t="s">
        <v>454</v>
      </c>
      <c r="B41" t="s">
        <v>874</v>
      </c>
      <c r="C41" t="str">
        <f>IF(ISERROR(MATCH(A41,'SegEnds_Xtal_Prot#'!B:B, 0)), "NoXtal", "Xtal")</f>
        <v>NoXtal</v>
      </c>
      <c r="D41" t="str">
        <f t="shared" si="0"/>
        <v>human</v>
      </c>
      <c r="E41" t="str">
        <f>VLOOKUP(A41,Classification!A:B,2,FALSE)</f>
        <v>F</v>
      </c>
    </row>
    <row r="42" spans="1:5" x14ac:dyDescent="0.2">
      <c r="A42" t="s">
        <v>455</v>
      </c>
      <c r="B42" t="s">
        <v>875</v>
      </c>
      <c r="C42" t="str">
        <f>IF(ISERROR(MATCH(A42,'SegEnds_Xtal_Prot#'!B:B, 0)), "NoXtal", "Xtal")</f>
        <v>NoXtal</v>
      </c>
      <c r="D42" t="str">
        <f t="shared" si="0"/>
        <v>human</v>
      </c>
      <c r="E42" t="str">
        <f>VLOOKUP(A42,Classification!A:B,2,FALSE)</f>
        <v>F</v>
      </c>
    </row>
    <row r="43" spans="1:5" x14ac:dyDescent="0.2">
      <c r="A43" t="s">
        <v>447</v>
      </c>
      <c r="B43" t="s">
        <v>876</v>
      </c>
      <c r="C43" t="str">
        <f>IF(ISERROR(MATCH(A43,'SegEnds_Xtal_Prot#'!B:B, 0)), "NoXtal", "Xtal")</f>
        <v>NoXtal</v>
      </c>
      <c r="D43" t="str">
        <f t="shared" si="0"/>
        <v>human</v>
      </c>
      <c r="E43" t="str">
        <f>VLOOKUP(A43,Classification!A:B,2,FALSE)</f>
        <v>F</v>
      </c>
    </row>
    <row r="44" spans="1:5" x14ac:dyDescent="0.2">
      <c r="A44" t="s">
        <v>40</v>
      </c>
      <c r="B44" t="s">
        <v>850</v>
      </c>
      <c r="C44" t="str">
        <f>IF(ISERROR(MATCH(A44,'SegEnds_Xtal_Prot#'!B:B, 0)), "NoXtal", "Xtal")</f>
        <v>Xtal</v>
      </c>
      <c r="D44" t="str">
        <f t="shared" si="0"/>
        <v>human</v>
      </c>
      <c r="E44" t="str">
        <f>VLOOKUP(A44,Classification!A:B,2,FALSE)</f>
        <v>C</v>
      </c>
    </row>
    <row r="45" spans="1:5" x14ac:dyDescent="0.2">
      <c r="A45" t="s">
        <v>41</v>
      </c>
      <c r="B45" t="s">
        <v>854</v>
      </c>
      <c r="C45" t="str">
        <f>IF(ISERROR(MATCH(A45,'SegEnds_Xtal_Prot#'!B:B, 0)), "NoXtal", "Xtal")</f>
        <v>Xtal</v>
      </c>
      <c r="D45" t="str">
        <f t="shared" si="0"/>
        <v>human</v>
      </c>
      <c r="E45" t="str">
        <f>VLOOKUP(A45,Classification!A:B,2,FALSE)</f>
        <v>C</v>
      </c>
    </row>
    <row r="46" spans="1:5" x14ac:dyDescent="0.2">
      <c r="A46" t="s">
        <v>111</v>
      </c>
      <c r="B46" t="s">
        <v>845</v>
      </c>
      <c r="C46" t="str">
        <f>IF(ISERROR(MATCH(A46,'SegEnds_Xtal_Prot#'!B:B, 0)), "NoXtal", "Xtal")</f>
        <v>NoXtal</v>
      </c>
      <c r="D46" t="str">
        <f t="shared" si="0"/>
        <v>human</v>
      </c>
      <c r="E46" t="str">
        <f>VLOOKUP(A46,Classification!A:B,2,FALSE)</f>
        <v>C</v>
      </c>
    </row>
    <row r="47" spans="1:5" x14ac:dyDescent="0.2">
      <c r="A47" t="s">
        <v>106</v>
      </c>
      <c r="B47" t="s">
        <v>846</v>
      </c>
      <c r="C47" t="str">
        <f>IF(ISERROR(MATCH(A47,'SegEnds_Xtal_Prot#'!B:B, 0)), "NoXtal", "Xtal")</f>
        <v>NoXtal</v>
      </c>
      <c r="D47" t="str">
        <f t="shared" si="0"/>
        <v>human</v>
      </c>
      <c r="E47" t="str">
        <f>VLOOKUP(A47,Classification!A:B,2,FALSE)</f>
        <v>C</v>
      </c>
    </row>
    <row r="48" spans="1:5" x14ac:dyDescent="0.2">
      <c r="A48" t="s">
        <v>105</v>
      </c>
      <c r="B48" t="s">
        <v>847</v>
      </c>
      <c r="C48" t="str">
        <f>IF(ISERROR(MATCH(A48,'SegEnds_Xtal_Prot#'!B:B, 0)), "NoXtal", "Xtal")</f>
        <v>NoXtal</v>
      </c>
      <c r="D48" t="str">
        <f t="shared" si="0"/>
        <v>human</v>
      </c>
      <c r="E48" t="str">
        <f>VLOOKUP(A48,Classification!A:B,2,FALSE)</f>
        <v>C</v>
      </c>
    </row>
    <row r="49" spans="1:5" x14ac:dyDescent="0.2">
      <c r="A49" t="s">
        <v>114</v>
      </c>
      <c r="B49" t="s">
        <v>848</v>
      </c>
      <c r="C49" t="str">
        <f>IF(ISERROR(MATCH(A49,'SegEnds_Xtal_Prot#'!B:B, 0)), "NoXtal", "Xtal")</f>
        <v>NoXtal</v>
      </c>
      <c r="D49" t="str">
        <f t="shared" si="0"/>
        <v>human</v>
      </c>
      <c r="E49" t="str">
        <f>VLOOKUP(A49,Classification!A:B,2,FALSE)</f>
        <v>C</v>
      </c>
    </row>
    <row r="50" spans="1:5" x14ac:dyDescent="0.2">
      <c r="A50" t="s">
        <v>107</v>
      </c>
      <c r="B50" t="s">
        <v>849</v>
      </c>
      <c r="C50" t="str">
        <f>IF(ISERROR(MATCH(A50,'SegEnds_Xtal_Prot#'!B:B, 0)), "NoXtal", "Xtal")</f>
        <v>NoXtal</v>
      </c>
      <c r="D50" t="str">
        <f t="shared" si="0"/>
        <v>human</v>
      </c>
      <c r="E50" t="str">
        <f>VLOOKUP(A50,Classification!A:B,2,FALSE)</f>
        <v>C</v>
      </c>
    </row>
    <row r="51" spans="1:5" x14ac:dyDescent="0.2">
      <c r="A51" t="s">
        <v>115</v>
      </c>
      <c r="B51" t="s">
        <v>851</v>
      </c>
      <c r="C51" t="str">
        <f>IF(ISERROR(MATCH(A51,'SegEnds_Xtal_Prot#'!B:B, 0)), "NoXtal", "Xtal")</f>
        <v>NoXtal</v>
      </c>
      <c r="D51" t="str">
        <f t="shared" si="0"/>
        <v>human</v>
      </c>
      <c r="E51" t="str">
        <f>VLOOKUP(A51,Classification!A:B,2,FALSE)</f>
        <v>C</v>
      </c>
    </row>
    <row r="52" spans="1:5" x14ac:dyDescent="0.2">
      <c r="A52" t="s">
        <v>116</v>
      </c>
      <c r="B52" t="s">
        <v>852</v>
      </c>
      <c r="C52" t="str">
        <f>IF(ISERROR(MATCH(A52,'SegEnds_Xtal_Prot#'!B:B, 0)), "NoXtal", "Xtal")</f>
        <v>NoXtal</v>
      </c>
      <c r="D52" t="str">
        <f t="shared" si="0"/>
        <v>human</v>
      </c>
      <c r="E52" t="str">
        <f>VLOOKUP(A52,Classification!A:B,2,FALSE)</f>
        <v>C</v>
      </c>
    </row>
    <row r="53" spans="1:5" x14ac:dyDescent="0.2">
      <c r="A53" t="s">
        <v>117</v>
      </c>
      <c r="B53" t="s">
        <v>853</v>
      </c>
      <c r="C53" t="str">
        <f>IF(ISERROR(MATCH(A53,'SegEnds_Xtal_Prot#'!B:B, 0)), "NoXtal", "Xtal")</f>
        <v>NoXtal</v>
      </c>
      <c r="D53" t="str">
        <f t="shared" si="0"/>
        <v>human</v>
      </c>
      <c r="E53" t="str">
        <f>VLOOKUP(A53,Classification!A:B,2,FALSE)</f>
        <v>C</v>
      </c>
    </row>
    <row r="54" spans="1:5" x14ac:dyDescent="0.2">
      <c r="A54" t="s">
        <v>118</v>
      </c>
      <c r="B54" t="s">
        <v>855</v>
      </c>
      <c r="C54" t="str">
        <f>IF(ISERROR(MATCH(A54,'SegEnds_Xtal_Prot#'!B:B, 0)), "NoXtal", "Xtal")</f>
        <v>NoXtal</v>
      </c>
      <c r="D54" t="str">
        <f t="shared" si="0"/>
        <v>human</v>
      </c>
      <c r="E54" t="str">
        <f>VLOOKUP(A54,Classification!A:B,2,FALSE)</f>
        <v>C</v>
      </c>
    </row>
    <row r="55" spans="1:5" x14ac:dyDescent="0.2">
      <c r="A55" t="s">
        <v>119</v>
      </c>
      <c r="B55" t="s">
        <v>856</v>
      </c>
      <c r="C55" t="str">
        <f>IF(ISERROR(MATCH(A55,'SegEnds_Xtal_Prot#'!B:B, 0)), "NoXtal", "Xtal")</f>
        <v>NoXtal</v>
      </c>
      <c r="D55" t="str">
        <f t="shared" si="0"/>
        <v>human</v>
      </c>
      <c r="E55" t="str">
        <f>VLOOKUP(A55,Classification!A:B,2,FALSE)</f>
        <v>C</v>
      </c>
    </row>
    <row r="56" spans="1:5" x14ac:dyDescent="0.2">
      <c r="A56" t="s">
        <v>120</v>
      </c>
      <c r="B56" t="s">
        <v>857</v>
      </c>
      <c r="C56" t="str">
        <f>IF(ISERROR(MATCH(A56,'SegEnds_Xtal_Prot#'!B:B, 0)), "NoXtal", "Xtal")</f>
        <v>NoXtal</v>
      </c>
      <c r="D56" t="str">
        <f t="shared" si="0"/>
        <v>human</v>
      </c>
      <c r="E56" t="str">
        <f>VLOOKUP(A56,Classification!A:B,2,FALSE)</f>
        <v>C</v>
      </c>
    </row>
    <row r="57" spans="1:5" x14ac:dyDescent="0.2">
      <c r="A57" t="s">
        <v>122</v>
      </c>
      <c r="B57" t="s">
        <v>858</v>
      </c>
      <c r="C57" t="str">
        <f>IF(ISERROR(MATCH(A57,'SegEnds_Xtal_Prot#'!B:B, 0)), "NoXtal", "Xtal")</f>
        <v>NoXtal</v>
      </c>
      <c r="D57" t="str">
        <f t="shared" si="0"/>
        <v>human</v>
      </c>
      <c r="E57" t="str">
        <f>VLOOKUP(A57,Classification!A:B,2,FALSE)</f>
        <v>C</v>
      </c>
    </row>
    <row r="58" spans="1:5" x14ac:dyDescent="0.2">
      <c r="A58" t="s">
        <v>123</v>
      </c>
      <c r="B58" t="s">
        <v>859</v>
      </c>
      <c r="C58" t="str">
        <f>IF(ISERROR(MATCH(A58,'SegEnds_Xtal_Prot#'!B:B, 0)), "NoXtal", "Xtal")</f>
        <v>NoXtal</v>
      </c>
      <c r="D58" t="str">
        <f t="shared" si="0"/>
        <v>human</v>
      </c>
      <c r="E58" t="str">
        <f>VLOOKUP(A58,Classification!A:B,2,FALSE)</f>
        <v>C</v>
      </c>
    </row>
    <row r="59" spans="1:5" x14ac:dyDescent="0.2">
      <c r="A59" t="s">
        <v>124</v>
      </c>
      <c r="B59" t="s">
        <v>860</v>
      </c>
      <c r="C59" t="str">
        <f>IF(ISERROR(MATCH(A59,'SegEnds_Xtal_Prot#'!B:B, 0)), "NoXtal", "Xtal")</f>
        <v>NoXtal</v>
      </c>
      <c r="D59" t="str">
        <f t="shared" si="0"/>
        <v>human</v>
      </c>
      <c r="E59" t="str">
        <f>VLOOKUP(A59,Classification!A:B,2,FALSE)</f>
        <v>C</v>
      </c>
    </row>
    <row r="60" spans="1:5" x14ac:dyDescent="0.2">
      <c r="A60" t="s">
        <v>108</v>
      </c>
      <c r="B60" t="s">
        <v>861</v>
      </c>
      <c r="C60" t="str">
        <f>IF(ISERROR(MATCH(A60,'SegEnds_Xtal_Prot#'!B:B, 0)), "NoXtal", "Xtal")</f>
        <v>NoXtal</v>
      </c>
      <c r="D60" t="str">
        <f t="shared" si="0"/>
        <v>human</v>
      </c>
      <c r="E60" t="str">
        <f>VLOOKUP(A60,Classification!A:B,2,FALSE)</f>
        <v>C</v>
      </c>
    </row>
    <row r="61" spans="1:5" x14ac:dyDescent="0.2">
      <c r="A61" t="s">
        <v>109</v>
      </c>
      <c r="B61" t="s">
        <v>862</v>
      </c>
      <c r="C61" t="str">
        <f>IF(ISERROR(MATCH(A61,'SegEnds_Xtal_Prot#'!B:B, 0)), "NoXtal", "Xtal")</f>
        <v>NoXtal</v>
      </c>
      <c r="D61" t="str">
        <f t="shared" si="0"/>
        <v>human</v>
      </c>
      <c r="E61" t="str">
        <f>VLOOKUP(A61,Classification!A:B,2,FALSE)</f>
        <v>C</v>
      </c>
    </row>
    <row r="62" spans="1:5" x14ac:dyDescent="0.2">
      <c r="A62" t="s">
        <v>110</v>
      </c>
      <c r="B62" t="s">
        <v>863</v>
      </c>
      <c r="C62" t="str">
        <f>IF(ISERROR(MATCH(A62,'SegEnds_Xtal_Prot#'!B:B, 0)), "NoXtal", "Xtal")</f>
        <v>NoXtal</v>
      </c>
      <c r="D62" t="str">
        <f t="shared" si="0"/>
        <v>human</v>
      </c>
      <c r="E62" t="str">
        <f>VLOOKUP(A62,Classification!A:B,2,FALSE)</f>
        <v>C</v>
      </c>
    </row>
    <row r="63" spans="1:5" x14ac:dyDescent="0.2">
      <c r="A63" t="s">
        <v>121</v>
      </c>
      <c r="B63" t="s">
        <v>864</v>
      </c>
      <c r="C63" t="str">
        <f>IF(ISERROR(MATCH(A63,'SegEnds_Xtal_Prot#'!B:B, 0)), "NoXtal", "Xtal")</f>
        <v>NoXtal</v>
      </c>
      <c r="D63" t="str">
        <f t="shared" si="0"/>
        <v>human</v>
      </c>
      <c r="E63" t="str">
        <f>VLOOKUP(A63,Classification!A:B,2,FALSE)</f>
        <v>C</v>
      </c>
    </row>
    <row r="64" spans="1:5" x14ac:dyDescent="0.2">
      <c r="A64" t="s">
        <v>112</v>
      </c>
      <c r="B64" t="s">
        <v>865</v>
      </c>
      <c r="C64" t="str">
        <f>IF(ISERROR(MATCH(A64,'SegEnds_Xtal_Prot#'!B:B, 0)), "NoXtal", "Xtal")</f>
        <v>NoXtal</v>
      </c>
      <c r="D64" t="str">
        <f t="shared" si="0"/>
        <v>human</v>
      </c>
      <c r="E64" t="str">
        <f>VLOOKUP(A64,Classification!A:B,2,FALSE)</f>
        <v>C</v>
      </c>
    </row>
    <row r="65" spans="1:5" x14ac:dyDescent="0.2">
      <c r="A65" t="s">
        <v>113</v>
      </c>
      <c r="B65" t="s">
        <v>866</v>
      </c>
      <c r="C65" t="str">
        <f>IF(ISERROR(MATCH(A65,'SegEnds_Xtal_Prot#'!B:B, 0)), "NoXtal", "Xtal")</f>
        <v>NoXtal</v>
      </c>
      <c r="D65" t="str">
        <f t="shared" si="0"/>
        <v>human</v>
      </c>
      <c r="E65" t="str">
        <f>VLOOKUP(A65,Classification!A:B,2,FALSE)</f>
        <v>C</v>
      </c>
    </row>
    <row r="66" spans="1:5" x14ac:dyDescent="0.2">
      <c r="A66" t="s">
        <v>1177</v>
      </c>
      <c r="B66" t="s">
        <v>812</v>
      </c>
      <c r="C66" t="str">
        <f>IF(ISERROR(MATCH(A66,'SegEnds_Xtal_Prot#'!B:B, 0)), "NoXtal", "Xtal")</f>
        <v>NoXtal</v>
      </c>
      <c r="D66" t="str">
        <f t="shared" ref="D66:D130" si="1">MID(A66,FIND("_",A66)+1,LEN(A66)-FIND("_",A66))</f>
        <v>human</v>
      </c>
      <c r="E66" t="str">
        <f>VLOOKUP(A66,Classification!A:B,2,FALSE)</f>
        <v>B2</v>
      </c>
    </row>
    <row r="67" spans="1:5" x14ac:dyDescent="0.2">
      <c r="A67" t="s">
        <v>1178</v>
      </c>
      <c r="B67" t="s">
        <v>813</v>
      </c>
      <c r="C67" t="str">
        <f>IF(ISERROR(MATCH(A67,'SegEnds_Xtal_Prot#'!B:B, 0)), "NoXtal", "Xtal")</f>
        <v>NoXtal</v>
      </c>
      <c r="D67" t="str">
        <f t="shared" si="1"/>
        <v>human</v>
      </c>
      <c r="E67" t="str">
        <f>VLOOKUP(A67,Classification!A:B,2,FALSE)</f>
        <v>B2</v>
      </c>
    </row>
    <row r="68" spans="1:5" x14ac:dyDescent="0.2">
      <c r="A68" t="s">
        <v>1179</v>
      </c>
      <c r="B68" t="s">
        <v>814</v>
      </c>
      <c r="C68" t="str">
        <f>IF(ISERROR(MATCH(A68,'SegEnds_Xtal_Prot#'!B:B, 0)), "NoXtal", "Xtal")</f>
        <v>NoXtal</v>
      </c>
      <c r="D68" t="str">
        <f t="shared" si="1"/>
        <v>human</v>
      </c>
      <c r="E68" t="str">
        <f>VLOOKUP(A68,Classification!A:B,2,FALSE)</f>
        <v>B2</v>
      </c>
    </row>
    <row r="69" spans="1:5" x14ac:dyDescent="0.2">
      <c r="A69" t="s">
        <v>414</v>
      </c>
      <c r="B69" t="s">
        <v>815</v>
      </c>
      <c r="C69" t="str">
        <f>IF(ISERROR(MATCH(A69,'SegEnds_Xtal_Prot#'!B:B, 0)), "NoXtal", "Xtal")</f>
        <v>NoXtal</v>
      </c>
      <c r="D69" t="str">
        <f t="shared" si="1"/>
        <v>human</v>
      </c>
      <c r="E69" t="str">
        <f>VLOOKUP(A69,Classification!A:B,2,FALSE)</f>
        <v>B2</v>
      </c>
    </row>
    <row r="70" spans="1:5" x14ac:dyDescent="0.2">
      <c r="A70" t="s">
        <v>1180</v>
      </c>
      <c r="B70" t="s">
        <v>816</v>
      </c>
      <c r="C70" t="str">
        <f>IF(ISERROR(MATCH(A70,'SegEnds_Xtal_Prot#'!B:B, 0)), "NoXtal", "Xtal")</f>
        <v>NoXtal</v>
      </c>
      <c r="D70" t="str">
        <f t="shared" si="1"/>
        <v>human</v>
      </c>
      <c r="E70" t="str">
        <f>VLOOKUP(A70,Classification!A:B,2,FALSE)</f>
        <v>B2</v>
      </c>
    </row>
    <row r="71" spans="1:5" x14ac:dyDescent="0.2">
      <c r="A71" t="s">
        <v>1181</v>
      </c>
      <c r="B71" t="s">
        <v>817</v>
      </c>
      <c r="C71" t="str">
        <f>IF(ISERROR(MATCH(A71,'SegEnds_Xtal_Prot#'!B:B, 0)), "NoXtal", "Xtal")</f>
        <v>NoXtal</v>
      </c>
      <c r="D71" t="str">
        <f t="shared" si="1"/>
        <v>human</v>
      </c>
      <c r="E71" t="str">
        <f>VLOOKUP(A71,Classification!A:B,2,FALSE)</f>
        <v>B2</v>
      </c>
    </row>
    <row r="72" spans="1:5" x14ac:dyDescent="0.2">
      <c r="A72" t="s">
        <v>418</v>
      </c>
      <c r="B72" t="s">
        <v>818</v>
      </c>
      <c r="C72" t="str">
        <f>IF(ISERROR(MATCH(A72,'SegEnds_Xtal_Prot#'!B:B, 0)), "NoXtal", "Xtal")</f>
        <v>NoXtal</v>
      </c>
      <c r="D72" t="str">
        <f t="shared" si="1"/>
        <v>human</v>
      </c>
      <c r="E72" t="str">
        <f>VLOOKUP(A72,Classification!A:B,2,FALSE)</f>
        <v>B2</v>
      </c>
    </row>
    <row r="73" spans="1:5" x14ac:dyDescent="0.2">
      <c r="A73" t="s">
        <v>419</v>
      </c>
      <c r="B73" t="s">
        <v>819</v>
      </c>
      <c r="C73" t="str">
        <f>IF(ISERROR(MATCH(A73,'SegEnds_Xtal_Prot#'!B:B, 0)), "NoXtal", "Xtal")</f>
        <v>NoXtal</v>
      </c>
      <c r="D73" t="str">
        <f t="shared" si="1"/>
        <v>human</v>
      </c>
      <c r="E73" t="str">
        <f>VLOOKUP(A73,Classification!A:B,2,FALSE)</f>
        <v>B2</v>
      </c>
    </row>
    <row r="74" spans="1:5" x14ac:dyDescent="0.2">
      <c r="A74" t="s">
        <v>420</v>
      </c>
      <c r="B74" t="s">
        <v>820</v>
      </c>
      <c r="C74" t="str">
        <f>IF(ISERROR(MATCH(A74,'SegEnds_Xtal_Prot#'!B:B, 0)), "NoXtal", "Xtal")</f>
        <v>NoXtal</v>
      </c>
      <c r="D74" t="str">
        <f t="shared" si="1"/>
        <v>human</v>
      </c>
      <c r="E74" t="str">
        <f>VLOOKUP(A74,Classification!A:B,2,FALSE)</f>
        <v>B2</v>
      </c>
    </row>
    <row r="75" spans="1:5" x14ac:dyDescent="0.2">
      <c r="A75" t="s">
        <v>1182</v>
      </c>
      <c r="B75" t="s">
        <v>821</v>
      </c>
      <c r="C75" t="str">
        <f>IF(ISERROR(MATCH(A75,'SegEnds_Xtal_Prot#'!B:B, 0)), "NoXtal", "Xtal")</f>
        <v>NoXtal</v>
      </c>
      <c r="D75" t="str">
        <f t="shared" si="1"/>
        <v>human</v>
      </c>
      <c r="E75" t="str">
        <f>VLOOKUP(A75,Classification!A:B,2,FALSE)</f>
        <v>B2</v>
      </c>
    </row>
    <row r="76" spans="1:5" x14ac:dyDescent="0.2">
      <c r="A76" t="s">
        <v>1183</v>
      </c>
      <c r="B76" t="s">
        <v>822</v>
      </c>
      <c r="C76" t="str">
        <f>IF(ISERROR(MATCH(A76,'SegEnds_Xtal_Prot#'!B:B, 0)), "NoXtal", "Xtal")</f>
        <v>NoXtal</v>
      </c>
      <c r="D76" t="str">
        <f t="shared" si="1"/>
        <v>human</v>
      </c>
      <c r="E76" t="str">
        <f>VLOOKUP(A76,Classification!A:B,2,FALSE)</f>
        <v>B2</v>
      </c>
    </row>
    <row r="77" spans="1:5" x14ac:dyDescent="0.2">
      <c r="A77" t="s">
        <v>1184</v>
      </c>
      <c r="B77" t="s">
        <v>823</v>
      </c>
      <c r="C77" t="str">
        <f>IF(ISERROR(MATCH(A77,'SegEnds_Xtal_Prot#'!B:B, 0)), "NoXtal", "Xtal")</f>
        <v>NoXtal</v>
      </c>
      <c r="D77" t="str">
        <f t="shared" si="1"/>
        <v>human</v>
      </c>
      <c r="E77" t="str">
        <f>VLOOKUP(A77,Classification!A:B,2,FALSE)</f>
        <v>B2</v>
      </c>
    </row>
    <row r="78" spans="1:5" x14ac:dyDescent="0.2">
      <c r="A78" t="s">
        <v>1185</v>
      </c>
      <c r="B78" t="s">
        <v>824</v>
      </c>
      <c r="C78" t="str">
        <f>IF(ISERROR(MATCH(A78,'SegEnds_Xtal_Prot#'!B:B, 0)), "NoXtal", "Xtal")</f>
        <v>NoXtal</v>
      </c>
      <c r="D78" t="str">
        <f t="shared" si="1"/>
        <v>human</v>
      </c>
      <c r="E78" t="str">
        <f>VLOOKUP(A78,Classification!A:B,2,FALSE)</f>
        <v>B2</v>
      </c>
    </row>
    <row r="79" spans="1:5" x14ac:dyDescent="0.2">
      <c r="A79" t="s">
        <v>1186</v>
      </c>
      <c r="B79" t="s">
        <v>825</v>
      </c>
      <c r="C79" t="str">
        <f>IF(ISERROR(MATCH(A79,'SegEnds_Xtal_Prot#'!B:B, 0)), "NoXtal", "Xtal")</f>
        <v>NoXtal</v>
      </c>
      <c r="D79" t="str">
        <f t="shared" si="1"/>
        <v>human</v>
      </c>
      <c r="E79" t="str">
        <f>VLOOKUP(A79,Classification!A:B,2,FALSE)</f>
        <v>B2</v>
      </c>
    </row>
    <row r="80" spans="1:5" x14ac:dyDescent="0.2">
      <c r="A80" t="s">
        <v>1187</v>
      </c>
      <c r="B80" t="s">
        <v>826</v>
      </c>
      <c r="C80" t="str">
        <f>IF(ISERROR(MATCH(A80,'SegEnds_Xtal_Prot#'!B:B, 0)), "NoXtal", "Xtal")</f>
        <v>NoXtal</v>
      </c>
      <c r="D80" t="str">
        <f t="shared" si="1"/>
        <v>human</v>
      </c>
      <c r="E80" t="str">
        <f>VLOOKUP(A80,Classification!A:B,2,FALSE)</f>
        <v>B2</v>
      </c>
    </row>
    <row r="81" spans="1:5" x14ac:dyDescent="0.2">
      <c r="A81" t="s">
        <v>417</v>
      </c>
      <c r="B81" t="s">
        <v>827</v>
      </c>
      <c r="C81" t="str">
        <f>IF(ISERROR(MATCH(A81,'SegEnds_Xtal_Prot#'!B:B, 0)), "NoXtal", "Xtal")</f>
        <v>NoXtal</v>
      </c>
      <c r="D81" t="str">
        <f t="shared" si="1"/>
        <v>human</v>
      </c>
      <c r="E81" t="str">
        <f>VLOOKUP(A81,Classification!A:B,2,FALSE)</f>
        <v>B2</v>
      </c>
    </row>
    <row r="82" spans="1:5" x14ac:dyDescent="0.2">
      <c r="A82" t="s">
        <v>1188</v>
      </c>
      <c r="B82" t="s">
        <v>828</v>
      </c>
      <c r="C82" t="str">
        <f>IF(ISERROR(MATCH(A82,'SegEnds_Xtal_Prot#'!B:B, 0)), "NoXtal", "Xtal")</f>
        <v>NoXtal</v>
      </c>
      <c r="D82" t="str">
        <f t="shared" si="1"/>
        <v>human</v>
      </c>
      <c r="E82" t="str">
        <f>VLOOKUP(A82,Classification!A:B,2,FALSE)</f>
        <v>B2</v>
      </c>
    </row>
    <row r="83" spans="1:5" x14ac:dyDescent="0.2">
      <c r="A83" t="s">
        <v>1189</v>
      </c>
      <c r="B83" t="s">
        <v>829</v>
      </c>
      <c r="C83" t="str">
        <f>IF(ISERROR(MATCH(A83,'SegEnds_Xtal_Prot#'!B:B, 0)), "NoXtal", "Xtal")</f>
        <v>NoXtal</v>
      </c>
      <c r="D83" t="str">
        <f t="shared" si="1"/>
        <v>human</v>
      </c>
      <c r="E83" t="str">
        <f>VLOOKUP(A83,Classification!A:B,2,FALSE)</f>
        <v>B2</v>
      </c>
    </row>
    <row r="84" spans="1:5" x14ac:dyDescent="0.2">
      <c r="A84" t="s">
        <v>1190</v>
      </c>
      <c r="B84" t="s">
        <v>830</v>
      </c>
      <c r="C84" t="str">
        <f>IF(ISERROR(MATCH(A84,'SegEnds_Xtal_Prot#'!B:B, 0)), "NoXtal", "Xtal")</f>
        <v>NoXtal</v>
      </c>
      <c r="D84" t="str">
        <f t="shared" si="1"/>
        <v>human</v>
      </c>
      <c r="E84" t="str">
        <f>VLOOKUP(A84,Classification!A:B,2,FALSE)</f>
        <v>B2</v>
      </c>
    </row>
    <row r="85" spans="1:5" x14ac:dyDescent="0.2">
      <c r="A85" t="s">
        <v>1191</v>
      </c>
      <c r="B85" t="s">
        <v>831</v>
      </c>
      <c r="C85" t="str">
        <f>IF(ISERROR(MATCH(A85,'SegEnds_Xtal_Prot#'!B:B, 0)), "NoXtal", "Xtal")</f>
        <v>NoXtal</v>
      </c>
      <c r="D85" t="str">
        <f t="shared" si="1"/>
        <v>human</v>
      </c>
      <c r="E85" t="str">
        <f>VLOOKUP(A85,Classification!A:B,2,FALSE)</f>
        <v>B2</v>
      </c>
    </row>
    <row r="86" spans="1:5" x14ac:dyDescent="0.2">
      <c r="A86" t="s">
        <v>1192</v>
      </c>
      <c r="B86" t="s">
        <v>832</v>
      </c>
      <c r="C86" t="str">
        <f>IF(ISERROR(MATCH(A86,'SegEnds_Xtal_Prot#'!B:B, 0)), "NoXtal", "Xtal")</f>
        <v>NoXtal</v>
      </c>
      <c r="D86" t="str">
        <f t="shared" si="1"/>
        <v>human</v>
      </c>
      <c r="E86" t="str">
        <f>VLOOKUP(A86,Classification!A:B,2,FALSE)</f>
        <v>B2</v>
      </c>
    </row>
    <row r="87" spans="1:5" x14ac:dyDescent="0.2">
      <c r="A87" t="s">
        <v>1193</v>
      </c>
      <c r="B87" t="s">
        <v>833</v>
      </c>
      <c r="C87" t="str">
        <f>IF(ISERROR(MATCH(A87,'SegEnds_Xtal_Prot#'!B:B, 0)), "NoXtal", "Xtal")</f>
        <v>NoXtal</v>
      </c>
      <c r="D87" t="str">
        <f t="shared" si="1"/>
        <v>human</v>
      </c>
      <c r="E87" t="str">
        <f>VLOOKUP(A87,Classification!A:B,2,FALSE)</f>
        <v>B2</v>
      </c>
    </row>
    <row r="88" spans="1:5" x14ac:dyDescent="0.2">
      <c r="A88" t="s">
        <v>1194</v>
      </c>
      <c r="B88" t="s">
        <v>834</v>
      </c>
      <c r="C88" t="str">
        <f>IF(ISERROR(MATCH(A88,'SegEnds_Xtal_Prot#'!B:B, 0)), "NoXtal", "Xtal")</f>
        <v>NoXtal</v>
      </c>
      <c r="D88" t="str">
        <f t="shared" si="1"/>
        <v>human</v>
      </c>
      <c r="E88" t="str">
        <f>VLOOKUP(A88,Classification!A:B,2,FALSE)</f>
        <v>B2</v>
      </c>
    </row>
    <row r="89" spans="1:5" x14ac:dyDescent="0.2">
      <c r="A89" t="s">
        <v>1195</v>
      </c>
      <c r="B89" t="s">
        <v>835</v>
      </c>
      <c r="C89" t="str">
        <f>IF(ISERROR(MATCH(A89,'SegEnds_Xtal_Prot#'!B:B, 0)), "NoXtal", "Xtal")</f>
        <v>NoXtal</v>
      </c>
      <c r="D89" t="str">
        <f t="shared" si="1"/>
        <v>human</v>
      </c>
      <c r="E89" t="str">
        <f>VLOOKUP(A89,Classification!A:B,2,FALSE)</f>
        <v>B2</v>
      </c>
    </row>
    <row r="90" spans="1:5" x14ac:dyDescent="0.2">
      <c r="A90" t="s">
        <v>1196</v>
      </c>
      <c r="B90" t="s">
        <v>836</v>
      </c>
      <c r="C90" t="str">
        <f>IF(ISERROR(MATCH(A90,'SegEnds_Xtal_Prot#'!B:B, 0)), "NoXtal", "Xtal")</f>
        <v>NoXtal</v>
      </c>
      <c r="D90" t="str">
        <f t="shared" si="1"/>
        <v>human</v>
      </c>
      <c r="E90" t="str">
        <f>VLOOKUP(A90,Classification!A:B,2,FALSE)</f>
        <v>B2</v>
      </c>
    </row>
    <row r="91" spans="1:5" x14ac:dyDescent="0.2">
      <c r="A91" t="s">
        <v>1197</v>
      </c>
      <c r="B91" t="s">
        <v>837</v>
      </c>
      <c r="C91" t="str">
        <f>IF(ISERROR(MATCH(A91,'SegEnds_Xtal_Prot#'!B:B, 0)), "NoXtal", "Xtal")</f>
        <v>NoXtal</v>
      </c>
      <c r="D91" t="str">
        <f t="shared" si="1"/>
        <v>human</v>
      </c>
      <c r="E91" t="str">
        <f>VLOOKUP(A91,Classification!A:B,2,FALSE)</f>
        <v>B2</v>
      </c>
    </row>
    <row r="92" spans="1:5" x14ac:dyDescent="0.2">
      <c r="A92" t="s">
        <v>1423</v>
      </c>
      <c r="B92" t="s">
        <v>838</v>
      </c>
      <c r="C92" t="str">
        <f>IF(ISERROR(MATCH(A92,'SegEnds_Xtal_Prot#'!B:B, 0)), "NoXtal", "Xtal")</f>
        <v>NoXtal</v>
      </c>
      <c r="D92" t="str">
        <f t="shared" si="1"/>
        <v>human</v>
      </c>
      <c r="E92" t="str">
        <f>VLOOKUP(A92,Classification!A:B,2,FALSE)</f>
        <v>B2</v>
      </c>
    </row>
    <row r="93" spans="1:5" x14ac:dyDescent="0.2">
      <c r="A93" t="s">
        <v>1198</v>
      </c>
      <c r="B93" t="s">
        <v>839</v>
      </c>
      <c r="C93" t="str">
        <f>IF(ISERROR(MATCH(A93,'SegEnds_Xtal_Prot#'!B:B, 0)), "NoXtal", "Xtal")</f>
        <v>NoXtal</v>
      </c>
      <c r="D93" t="str">
        <f t="shared" si="1"/>
        <v>human</v>
      </c>
      <c r="E93" t="str">
        <f>VLOOKUP(A93,Classification!A:B,2,FALSE)</f>
        <v>B2</v>
      </c>
    </row>
    <row r="94" spans="1:5" x14ac:dyDescent="0.2">
      <c r="A94" t="s">
        <v>1199</v>
      </c>
      <c r="B94" t="s">
        <v>840</v>
      </c>
      <c r="C94" t="str">
        <f>IF(ISERROR(MATCH(A94,'SegEnds_Xtal_Prot#'!B:B, 0)), "NoXtal", "Xtal")</f>
        <v>NoXtal</v>
      </c>
      <c r="D94" t="str">
        <f t="shared" si="1"/>
        <v>human</v>
      </c>
      <c r="E94" t="str">
        <f>VLOOKUP(A94,Classification!A:B,2,FALSE)</f>
        <v>B2</v>
      </c>
    </row>
    <row r="95" spans="1:5" x14ac:dyDescent="0.2">
      <c r="A95" t="s">
        <v>1200</v>
      </c>
      <c r="B95" t="s">
        <v>841</v>
      </c>
      <c r="C95" t="str">
        <f>IF(ISERROR(MATCH(A95,'SegEnds_Xtal_Prot#'!B:B, 0)), "NoXtal", "Xtal")</f>
        <v>NoXtal</v>
      </c>
      <c r="D95" t="str">
        <f t="shared" si="1"/>
        <v>human</v>
      </c>
      <c r="E95" t="str">
        <f>VLOOKUP(A95,Classification!A:B,2,FALSE)</f>
        <v>B2</v>
      </c>
    </row>
    <row r="96" spans="1:5" x14ac:dyDescent="0.2">
      <c r="A96" t="s">
        <v>1201</v>
      </c>
      <c r="B96" t="s">
        <v>842</v>
      </c>
      <c r="C96" t="str">
        <f>IF(ISERROR(MATCH(A96,'SegEnds_Xtal_Prot#'!B:B, 0)), "NoXtal", "Xtal")</f>
        <v>NoXtal</v>
      </c>
      <c r="D96" t="str">
        <f t="shared" si="1"/>
        <v>human</v>
      </c>
      <c r="E96" t="str">
        <f>VLOOKUP(A96,Classification!A:B,2,FALSE)</f>
        <v>B2</v>
      </c>
    </row>
    <row r="97" spans="1:5" x14ac:dyDescent="0.2">
      <c r="A97" t="s">
        <v>1202</v>
      </c>
      <c r="B97" t="s">
        <v>843</v>
      </c>
      <c r="C97" t="str">
        <f>IF(ISERROR(MATCH(A97,'SegEnds_Xtal_Prot#'!B:B, 0)), "NoXtal", "Xtal")</f>
        <v>NoXtal</v>
      </c>
      <c r="D97" t="str">
        <f t="shared" si="1"/>
        <v>human</v>
      </c>
      <c r="E97" t="str">
        <f>VLOOKUP(A97,Classification!A:B,2,FALSE)</f>
        <v>B2</v>
      </c>
    </row>
    <row r="98" spans="1:5" x14ac:dyDescent="0.2">
      <c r="A98" t="s">
        <v>442</v>
      </c>
      <c r="B98" t="s">
        <v>844</v>
      </c>
      <c r="C98" t="str">
        <f>IF(ISERROR(MATCH(A98,'SegEnds_Xtal_Prot#'!B:B, 0)), "NoXtal", "Xtal")</f>
        <v>NoXtal</v>
      </c>
      <c r="D98" t="str">
        <f t="shared" si="1"/>
        <v>human</v>
      </c>
      <c r="E98" t="str">
        <f>VLOOKUP(A98,Classification!A:B,2,FALSE)</f>
        <v>B2</v>
      </c>
    </row>
    <row r="99" spans="1:5" x14ac:dyDescent="0.2">
      <c r="A99" t="s">
        <v>38</v>
      </c>
      <c r="B99" t="s">
        <v>1332</v>
      </c>
      <c r="C99" t="str">
        <f>IF(ISERROR(MATCH(A99,'SegEnds_Xtal_Prot#'!B:B, 0)), "NoXtal", "Xtal")</f>
        <v>Xtal</v>
      </c>
      <c r="D99" t="str">
        <f t="shared" si="1"/>
        <v>human</v>
      </c>
      <c r="E99" t="str">
        <f>VLOOKUP(A99,Classification!A:B,2,FALSE)</f>
        <v>B1</v>
      </c>
    </row>
    <row r="100" spans="1:5" x14ac:dyDescent="0.2">
      <c r="A100" t="s">
        <v>32</v>
      </c>
      <c r="B100" t="s">
        <v>805</v>
      </c>
      <c r="C100" t="str">
        <f>IF(ISERROR(MATCH(A100,'SegEnds_Xtal_Prot#'!B:B, 0)), "NoXtal", "Xtal")</f>
        <v>Xtal</v>
      </c>
      <c r="D100" t="str">
        <f t="shared" si="1"/>
        <v>human</v>
      </c>
      <c r="E100" t="str">
        <f>VLOOKUP(A100,Classification!A:B,2,FALSE)</f>
        <v>B1</v>
      </c>
    </row>
    <row r="101" spans="1:5" x14ac:dyDescent="0.2">
      <c r="A101" t="s">
        <v>401</v>
      </c>
      <c r="B101" t="s">
        <v>1410</v>
      </c>
      <c r="C101" t="str">
        <f>IF(ISERROR(MATCH(A101,'SegEnds_Xtal_Prot#'!B:B, 0)), "NoXtal", "Xtal")</f>
        <v>Xtal</v>
      </c>
      <c r="D101" t="str">
        <f t="shared" si="1"/>
        <v>human</v>
      </c>
      <c r="E101" t="str">
        <f>VLOOKUP(A101,Classification!A:B,2,FALSE)</f>
        <v>B1</v>
      </c>
    </row>
    <row r="102" spans="1:5" x14ac:dyDescent="0.2">
      <c r="A102" t="s">
        <v>402</v>
      </c>
      <c r="B102" t="s">
        <v>799</v>
      </c>
      <c r="C102" t="str">
        <f>IF(ISERROR(MATCH(A102,'SegEnds_Xtal_Prot#'!B:B, 0)), "NoXtal", "Xtal")</f>
        <v>NoXtal</v>
      </c>
      <c r="D102" t="str">
        <f t="shared" si="1"/>
        <v>human</v>
      </c>
      <c r="E102" t="str">
        <f>VLOOKUP(A102,Classification!A:B,2,FALSE)</f>
        <v>B1</v>
      </c>
    </row>
    <row r="103" spans="1:5" x14ac:dyDescent="0.2">
      <c r="A103" t="s">
        <v>403</v>
      </c>
      <c r="B103" t="s">
        <v>800</v>
      </c>
      <c r="C103" t="str">
        <f>IF(ISERROR(MATCH(A103,'SegEnds_Xtal_Prot#'!B:B, 0)), "NoXtal", "Xtal")</f>
        <v>NoXtal</v>
      </c>
      <c r="D103" t="str">
        <f t="shared" si="1"/>
        <v>human</v>
      </c>
      <c r="E103" t="str">
        <f>VLOOKUP(A103,Classification!A:B,2,FALSE)</f>
        <v>B1</v>
      </c>
    </row>
    <row r="104" spans="1:5" x14ac:dyDescent="0.2">
      <c r="A104" t="s">
        <v>404</v>
      </c>
      <c r="B104" t="s">
        <v>801</v>
      </c>
      <c r="C104" t="str">
        <f>IF(ISERROR(MATCH(A104,'SegEnds_Xtal_Prot#'!B:B, 0)), "NoXtal", "Xtal")</f>
        <v>NoXtal</v>
      </c>
      <c r="D104" t="str">
        <f t="shared" si="1"/>
        <v>human</v>
      </c>
      <c r="E104" t="str">
        <f>VLOOKUP(A104,Classification!A:B,2,FALSE)</f>
        <v>B1</v>
      </c>
    </row>
    <row r="105" spans="1:5" x14ac:dyDescent="0.2">
      <c r="A105" t="s">
        <v>405</v>
      </c>
      <c r="B105" t="s">
        <v>802</v>
      </c>
      <c r="C105" t="str">
        <f>IF(ISERROR(MATCH(A105,'SegEnds_Xtal_Prot#'!B:B, 0)), "NoXtal", "Xtal")</f>
        <v>NoXtal</v>
      </c>
      <c r="D105" t="str">
        <f t="shared" si="1"/>
        <v>human</v>
      </c>
      <c r="E105" t="str">
        <f>VLOOKUP(A105,Classification!A:B,2,FALSE)</f>
        <v>B1</v>
      </c>
    </row>
    <row r="106" spans="1:5" x14ac:dyDescent="0.2">
      <c r="A106" t="s">
        <v>406</v>
      </c>
      <c r="B106" t="s">
        <v>803</v>
      </c>
      <c r="C106" t="str">
        <f>IF(ISERROR(MATCH(A106,'SegEnds_Xtal_Prot#'!B:B, 0)), "NoXtal", "Xtal")</f>
        <v>Xtal</v>
      </c>
      <c r="D106" t="str">
        <f t="shared" si="1"/>
        <v>human</v>
      </c>
      <c r="E106" t="str">
        <f>VLOOKUP(A106,Classification!A:B,2,FALSE)</f>
        <v>B1</v>
      </c>
    </row>
    <row r="107" spans="1:5" x14ac:dyDescent="0.2">
      <c r="A107" t="s">
        <v>407</v>
      </c>
      <c r="B107" t="s">
        <v>804</v>
      </c>
      <c r="C107" t="str">
        <f>IF(ISERROR(MATCH(A107,'SegEnds_Xtal_Prot#'!B:B, 0)), "NoXtal", "Xtal")</f>
        <v>NoXtal</v>
      </c>
      <c r="D107" t="str">
        <f t="shared" si="1"/>
        <v>human</v>
      </c>
      <c r="E107" t="str">
        <f>VLOOKUP(A107,Classification!A:B,2,FALSE)</f>
        <v>B1</v>
      </c>
    </row>
    <row r="108" spans="1:5" x14ac:dyDescent="0.2">
      <c r="A108" t="s">
        <v>411</v>
      </c>
      <c r="B108" t="s">
        <v>806</v>
      </c>
      <c r="C108" t="str">
        <f>IF(ISERROR(MATCH(A108,'SegEnds_Xtal_Prot#'!B:B, 0)), "NoXtal", "Xtal")</f>
        <v>NoXtal</v>
      </c>
      <c r="D108" t="str">
        <f t="shared" si="1"/>
        <v>human</v>
      </c>
      <c r="E108" t="str">
        <f>VLOOKUP(A108,Classification!A:B,2,FALSE)</f>
        <v>B1</v>
      </c>
    </row>
    <row r="109" spans="1:5" x14ac:dyDescent="0.2">
      <c r="A109" t="s">
        <v>409</v>
      </c>
      <c r="B109" t="s">
        <v>807</v>
      </c>
      <c r="C109" t="str">
        <f>IF(ISERROR(MATCH(A109,'SegEnds_Xtal_Prot#'!B:B, 0)), "NoXtal", "Xtal")</f>
        <v>NoXtal</v>
      </c>
      <c r="D109" t="str">
        <f t="shared" si="1"/>
        <v>human</v>
      </c>
      <c r="E109" t="str">
        <f>VLOOKUP(A109,Classification!A:B,2,FALSE)</f>
        <v>B1</v>
      </c>
    </row>
    <row r="110" spans="1:5" x14ac:dyDescent="0.2">
      <c r="A110" t="s">
        <v>410</v>
      </c>
      <c r="B110" t="s">
        <v>808</v>
      </c>
      <c r="C110" t="str">
        <f>IF(ISERROR(MATCH(A110,'SegEnds_Xtal_Prot#'!B:B, 0)), "NoXtal", "Xtal")</f>
        <v>NoXtal</v>
      </c>
      <c r="D110" t="str">
        <f t="shared" si="1"/>
        <v>human</v>
      </c>
      <c r="E110" t="str">
        <f>VLOOKUP(A110,Classification!A:B,2,FALSE)</f>
        <v>B1</v>
      </c>
    </row>
    <row r="111" spans="1:5" x14ac:dyDescent="0.2">
      <c r="A111" t="s">
        <v>408</v>
      </c>
      <c r="B111" t="s">
        <v>809</v>
      </c>
      <c r="C111" t="str">
        <f>IF(ISERROR(MATCH(A111,'SegEnds_Xtal_Prot#'!B:B, 0)), "NoXtal", "Xtal")</f>
        <v>NoXtal</v>
      </c>
      <c r="D111" t="str">
        <f t="shared" si="1"/>
        <v>human</v>
      </c>
      <c r="E111" t="str">
        <f>VLOOKUP(A111,Classification!A:B,2,FALSE)</f>
        <v>B1</v>
      </c>
    </row>
    <row r="112" spans="1:5" x14ac:dyDescent="0.2">
      <c r="A112" t="s">
        <v>412</v>
      </c>
      <c r="B112" t="s">
        <v>810</v>
      </c>
      <c r="C112" t="str">
        <f>IF(ISERROR(MATCH(A112,'SegEnds_Xtal_Prot#'!B:B, 0)), "NoXtal", "Xtal")</f>
        <v>NoXtal</v>
      </c>
      <c r="D112" t="str">
        <f t="shared" si="1"/>
        <v>human</v>
      </c>
      <c r="E112" t="str">
        <f>VLOOKUP(A112,Classification!A:B,2,FALSE)</f>
        <v>B1</v>
      </c>
    </row>
    <row r="113" spans="1:5" x14ac:dyDescent="0.2">
      <c r="A113" t="s">
        <v>413</v>
      </c>
      <c r="B113" t="s">
        <v>811</v>
      </c>
      <c r="C113" t="str">
        <f>IF(ISERROR(MATCH(A113,'SegEnds_Xtal_Prot#'!B:B, 0)), "NoXtal", "Xtal")</f>
        <v>NoXtal</v>
      </c>
      <c r="D113" t="str">
        <f t="shared" si="1"/>
        <v>human</v>
      </c>
      <c r="E113" t="str">
        <f>VLOOKUP(A113,Classification!A:B,2,FALSE)</f>
        <v>B1</v>
      </c>
    </row>
    <row r="114" spans="1:5" x14ac:dyDescent="0.2">
      <c r="A114" t="s">
        <v>1430</v>
      </c>
      <c r="B114" t="s">
        <v>1429</v>
      </c>
      <c r="C114" t="str">
        <f>IF(ISERROR(MATCH(A114,'SegEnds_Xtal_Prot#'!B:B, 0)), "NoXtal", "Xtal")</f>
        <v>Xtal</v>
      </c>
      <c r="D114" t="str">
        <f t="shared" ref="D114" si="2">MID(A114,FIND("_",A114)+1,LEN(A114)-FIND("_",A114))</f>
        <v>rabit</v>
      </c>
      <c r="E114" t="str">
        <f>VLOOKUP(A114,Classification!A:B,2,FALSE)</f>
        <v>B1</v>
      </c>
    </row>
    <row r="115" spans="1:5" x14ac:dyDescent="0.2">
      <c r="A115" t="s">
        <v>912</v>
      </c>
      <c r="B115" t="s">
        <v>913</v>
      </c>
      <c r="C115" t="str">
        <f>IF(ISERROR(MATCH(A115,'SegEnds_Xtal_Prot#'!B:B, 0)), "NoXtal", "Xtal")</f>
        <v>Xtal</v>
      </c>
      <c r="D115" t="str">
        <f t="shared" si="1"/>
        <v>melga</v>
      </c>
      <c r="E115" t="str">
        <f>VLOOKUP(A115,Classification!A:B,2,FALSE)</f>
        <v>A</v>
      </c>
    </row>
    <row r="116" spans="1:5" x14ac:dyDescent="0.2">
      <c r="A116" t="s">
        <v>916</v>
      </c>
      <c r="B116" t="s">
        <v>917</v>
      </c>
      <c r="C116" t="str">
        <f>IF(ISERROR(MATCH(A116,'SegEnds_Xtal_Prot#'!B:B, 0)), "NoXtal", "Xtal")</f>
        <v>Xtal</v>
      </c>
      <c r="D116" t="str">
        <f t="shared" si="1"/>
        <v>mouse</v>
      </c>
      <c r="E116" t="str">
        <f>VLOOKUP(A116,Classification!A:B,2,FALSE)</f>
        <v>A</v>
      </c>
    </row>
    <row r="117" spans="1:5" x14ac:dyDescent="0.2">
      <c r="A117" t="s">
        <v>918</v>
      </c>
      <c r="B117" t="s">
        <v>919</v>
      </c>
      <c r="C117" t="str">
        <f>IF(ISERROR(MATCH(A117,'SegEnds_Xtal_Prot#'!B:B, 0)), "NoXtal", "Xtal")</f>
        <v>Xtal</v>
      </c>
      <c r="D117" t="str">
        <f t="shared" si="1"/>
        <v>mouse</v>
      </c>
      <c r="E117" t="str">
        <f>VLOOKUP(A117,Classification!A:B,2,FALSE)</f>
        <v>A</v>
      </c>
    </row>
    <row r="118" spans="1:5" x14ac:dyDescent="0.2">
      <c r="A118" t="s">
        <v>910</v>
      </c>
      <c r="B118" t="s">
        <v>911</v>
      </c>
      <c r="C118" t="str">
        <f>IF(ISERROR(MATCH(A118,'SegEnds_Xtal_Prot#'!B:B, 0)), "NoXtal", "Xtal")</f>
        <v>Xtal</v>
      </c>
      <c r="D118" t="str">
        <f t="shared" si="1"/>
        <v>rat</v>
      </c>
      <c r="E118" t="str">
        <f>VLOOKUP(A118,Classification!A:B,2,FALSE)</f>
        <v>A</v>
      </c>
    </row>
    <row r="119" spans="1:5" x14ac:dyDescent="0.2">
      <c r="A119" t="s">
        <v>914</v>
      </c>
      <c r="B119" t="s">
        <v>915</v>
      </c>
      <c r="C119" t="str">
        <f>IF(ISERROR(MATCH(A119,'SegEnds_Xtal_Prot#'!B:B, 0)), "NoXtal", "Xtal")</f>
        <v>Xtal</v>
      </c>
      <c r="D119" t="str">
        <f t="shared" si="1"/>
        <v>rat</v>
      </c>
      <c r="E119" t="str">
        <f>VLOOKUP(A119,Classification!A:B,2,FALSE)</f>
        <v>A</v>
      </c>
    </row>
    <row r="120" spans="1:5" x14ac:dyDescent="0.2">
      <c r="A120" t="s">
        <v>922</v>
      </c>
      <c r="B120" t="s">
        <v>923</v>
      </c>
      <c r="C120" t="str">
        <f>IF(ISERROR(MATCH(A120,'SegEnds_Xtal_Prot#'!B:B, 0)), "NoXtal", "Xtal")</f>
        <v>Xtal</v>
      </c>
      <c r="D120" t="str">
        <f t="shared" si="1"/>
        <v>todpa</v>
      </c>
      <c r="E120" t="str">
        <f>VLOOKUP(A120,Classification!A:B,2,FALSE)</f>
        <v>A</v>
      </c>
    </row>
    <row r="121" spans="1:5" x14ac:dyDescent="0.2">
      <c r="A121" t="s">
        <v>920</v>
      </c>
      <c r="B121" t="s">
        <v>921</v>
      </c>
      <c r="C121" t="str">
        <f>IF(ISERROR(MATCH(A121,'SegEnds_Xtal_Prot#'!B:B, 0)), "NoXtal", "Xtal")</f>
        <v>Xtal</v>
      </c>
      <c r="D121" t="str">
        <f t="shared" si="1"/>
        <v>bovin</v>
      </c>
      <c r="E121" t="str">
        <f>VLOOKUP(A121,Classification!A:B,2,FALSE)</f>
        <v>A</v>
      </c>
    </row>
    <row r="122" spans="1:5" x14ac:dyDescent="0.2">
      <c r="A122" t="s">
        <v>924</v>
      </c>
      <c r="B122" t="s">
        <v>925</v>
      </c>
      <c r="C122" t="str">
        <f>IF(ISERROR(MATCH(A122,'SegEnds_Xtal_Prot#'!B:B, 0)), "NoXtal", "Xtal")</f>
        <v>Xtal</v>
      </c>
      <c r="D122" t="str">
        <f t="shared" si="1"/>
        <v>hcmva</v>
      </c>
      <c r="E122" t="str">
        <f>VLOOKUP(A122,Classification!A:B,2,FALSE)</f>
        <v>A</v>
      </c>
    </row>
    <row r="123" spans="1:5" x14ac:dyDescent="0.2">
      <c r="A123" t="s">
        <v>34</v>
      </c>
      <c r="B123" t="s">
        <v>488</v>
      </c>
      <c r="C123" t="str">
        <f>IF(ISERROR(MATCH(A123,'SegEnds_Xtal_Prot#'!B:B, 0)), "NoXtal", "Xtal")</f>
        <v>Xtal</v>
      </c>
      <c r="D123" t="str">
        <f t="shared" si="1"/>
        <v>human</v>
      </c>
      <c r="E123" t="str">
        <f>VLOOKUP(A123,Classification!A:B,2,FALSE)</f>
        <v>A</v>
      </c>
    </row>
    <row r="124" spans="1:5" x14ac:dyDescent="0.2">
      <c r="A124" t="s">
        <v>35</v>
      </c>
      <c r="B124" t="s">
        <v>493</v>
      </c>
      <c r="C124" t="str">
        <f>IF(ISERROR(MATCH(A124,'SegEnds_Xtal_Prot#'!B:B, 0)), "NoXtal", "Xtal")</f>
        <v>Xtal</v>
      </c>
      <c r="D124" t="str">
        <f t="shared" si="1"/>
        <v>human</v>
      </c>
      <c r="E124" t="str">
        <f>VLOOKUP(A124,Classification!A:B,2,FALSE)</f>
        <v>A</v>
      </c>
    </row>
    <row r="125" spans="1:5" x14ac:dyDescent="0.2">
      <c r="A125" t="s">
        <v>146</v>
      </c>
      <c r="B125" t="s">
        <v>499</v>
      </c>
      <c r="C125" t="str">
        <f>IF(ISERROR(MATCH(A125,'SegEnds_Xtal_Prot#'!B:B, 0)), "NoXtal", "Xtal")</f>
        <v>Xtal</v>
      </c>
      <c r="D125" t="str">
        <f t="shared" si="1"/>
        <v>human</v>
      </c>
      <c r="E125" t="str">
        <f>VLOOKUP(A125,Classification!A:B,2,FALSE)</f>
        <v>A</v>
      </c>
    </row>
    <row r="126" spans="1:5" x14ac:dyDescent="0.2">
      <c r="A126" t="s">
        <v>147</v>
      </c>
      <c r="B126" t="s">
        <v>500</v>
      </c>
      <c r="C126" t="str">
        <f>IF(ISERROR(MATCH(A126,'SegEnds_Xtal_Prot#'!B:B, 0)), "NoXtal", "Xtal")</f>
        <v>Xtal</v>
      </c>
      <c r="D126" t="str">
        <f t="shared" si="1"/>
        <v>human</v>
      </c>
      <c r="E126" t="str">
        <f>VLOOKUP(A126,Classification!A:B,2,FALSE)</f>
        <v>A</v>
      </c>
    </row>
    <row r="127" spans="1:5" x14ac:dyDescent="0.2">
      <c r="A127" t="s">
        <v>149</v>
      </c>
      <c r="B127" t="s">
        <v>503</v>
      </c>
      <c r="C127" t="str">
        <f>IF(ISERROR(MATCH(A127,'SegEnds_Xtal_Prot#'!B:B, 0)), "NoXtal", "Xtal")</f>
        <v>Xtal</v>
      </c>
      <c r="D127" t="str">
        <f t="shared" si="1"/>
        <v>human</v>
      </c>
      <c r="E127" t="str">
        <f>VLOOKUP(A127,Classification!A:B,2,FALSE)</f>
        <v>A</v>
      </c>
    </row>
    <row r="128" spans="1:5" x14ac:dyDescent="0.2">
      <c r="A128" t="s">
        <v>126</v>
      </c>
      <c r="B128" t="s">
        <v>512</v>
      </c>
      <c r="C128" t="str">
        <f>IF(ISERROR(MATCH(A128,'SegEnds_Xtal_Prot#'!B:B, 0)), "NoXtal", "Xtal")</f>
        <v>Xtal</v>
      </c>
      <c r="D128" t="str">
        <f t="shared" si="1"/>
        <v>human</v>
      </c>
      <c r="E128" t="str">
        <f>VLOOKUP(A128,Classification!A:B,2,FALSE)</f>
        <v>A</v>
      </c>
    </row>
    <row r="129" spans="1:5" x14ac:dyDescent="0.2">
      <c r="A129" t="s">
        <v>192</v>
      </c>
      <c r="B129" t="s">
        <v>515</v>
      </c>
      <c r="C129" t="str">
        <f>IF(ISERROR(MATCH(A129,'SegEnds_Xtal_Prot#'!B:B, 0)), "NoXtal", "Xtal")</f>
        <v>Xtal</v>
      </c>
      <c r="D129" t="str">
        <f t="shared" si="1"/>
        <v>human</v>
      </c>
      <c r="E129" t="str">
        <f>VLOOKUP(A129,Classification!A:B,2,FALSE)</f>
        <v>A</v>
      </c>
    </row>
    <row r="130" spans="1:5" x14ac:dyDescent="0.2">
      <c r="A130" t="s">
        <v>278</v>
      </c>
      <c r="B130" t="s">
        <v>518</v>
      </c>
      <c r="C130" t="str">
        <f>IF(ISERROR(MATCH(A130,'SegEnds_Xtal_Prot#'!B:B, 0)), "NoXtal", "Xtal")</f>
        <v>Xtal</v>
      </c>
      <c r="D130" t="str">
        <f t="shared" si="1"/>
        <v>human</v>
      </c>
      <c r="E130" t="str">
        <f>VLOOKUP(A130,Classification!A:B,2,FALSE)</f>
        <v>A</v>
      </c>
    </row>
    <row r="131" spans="1:5" x14ac:dyDescent="0.2">
      <c r="A131" t="s">
        <v>158</v>
      </c>
      <c r="B131" t="s">
        <v>523</v>
      </c>
      <c r="C131" t="str">
        <f>IF(ISERROR(MATCH(A131,'SegEnds_Xtal_Prot#'!B:B, 0)), "NoXtal", "Xtal")</f>
        <v>Xtal</v>
      </c>
      <c r="D131" t="str">
        <f t="shared" ref="D131:D194" si="3">MID(A131,FIND("_",A131)+1,LEN(A131)-FIND("_",A131))</f>
        <v>human</v>
      </c>
      <c r="E131" t="str">
        <f>VLOOKUP(A131,Classification!A:B,2,FALSE)</f>
        <v>A</v>
      </c>
    </row>
    <row r="132" spans="1:5" x14ac:dyDescent="0.2">
      <c r="A132" t="s">
        <v>335</v>
      </c>
      <c r="B132" t="s">
        <v>571</v>
      </c>
      <c r="C132" t="str">
        <f>IF(ISERROR(MATCH(A132,'SegEnds_Xtal_Prot#'!B:B, 0)), "NoXtal", "Xtal")</f>
        <v>Xtal</v>
      </c>
      <c r="D132" t="str">
        <f t="shared" si="3"/>
        <v>human</v>
      </c>
      <c r="E132" t="str">
        <f>VLOOKUP(A132,Classification!A:B,2,FALSE)</f>
        <v>A</v>
      </c>
    </row>
    <row r="133" spans="1:5" x14ac:dyDescent="0.2">
      <c r="A133" t="s">
        <v>336</v>
      </c>
      <c r="B133" t="s">
        <v>572</v>
      </c>
      <c r="C133" t="str">
        <f>IF(ISERROR(MATCH(A133,'SegEnds_Xtal_Prot#'!B:B, 0)), "NoXtal", "Xtal")</f>
        <v>Xtal</v>
      </c>
      <c r="D133" t="str">
        <f t="shared" si="3"/>
        <v>human</v>
      </c>
      <c r="E133" t="str">
        <f>VLOOKUP(A133,Classification!A:B,2,FALSE)</f>
        <v>A</v>
      </c>
    </row>
    <row r="134" spans="1:5" x14ac:dyDescent="0.2">
      <c r="A134" t="s">
        <v>1174</v>
      </c>
      <c r="B134" t="s">
        <v>574</v>
      </c>
      <c r="C134" t="str">
        <f>IF(ISERROR(MATCH(A134,'SegEnds_Xtal_Prot#'!B:B, 0)), "NoXtal", "Xtal")</f>
        <v>Xtal</v>
      </c>
      <c r="D134" t="str">
        <f t="shared" si="3"/>
        <v>human</v>
      </c>
      <c r="E134" t="str">
        <f>VLOOKUP(A134,Classification!A:B,2,FALSE)</f>
        <v>A</v>
      </c>
    </row>
    <row r="135" spans="1:5" x14ac:dyDescent="0.2">
      <c r="A135" t="s">
        <v>1175</v>
      </c>
      <c r="B135" t="s">
        <v>575</v>
      </c>
      <c r="C135" t="str">
        <f>IF(ISERROR(MATCH(A135,'SegEnds_Xtal_Prot#'!B:B, 0)), "NoXtal", "Xtal")</f>
        <v>Xtal</v>
      </c>
      <c r="D135" t="str">
        <f t="shared" si="3"/>
        <v>human</v>
      </c>
      <c r="E135" t="str">
        <f>VLOOKUP(A135,Classification!A:B,2,FALSE)</f>
        <v>A</v>
      </c>
    </row>
    <row r="136" spans="1:5" x14ac:dyDescent="0.2">
      <c r="A136" t="s">
        <v>1176</v>
      </c>
      <c r="B136" t="s">
        <v>576</v>
      </c>
      <c r="C136" t="str">
        <f>IF(ISERROR(MATCH(A136,'SegEnds_Xtal_Prot#'!B:B, 0)), "NoXtal", "Xtal")</f>
        <v>Xtal</v>
      </c>
      <c r="D136" t="str">
        <f t="shared" si="3"/>
        <v>human</v>
      </c>
      <c r="E136" t="str">
        <f>VLOOKUP(A136,Classification!A:B,2,FALSE)</f>
        <v>A</v>
      </c>
    </row>
    <row r="137" spans="1:5" x14ac:dyDescent="0.2">
      <c r="A137" t="s">
        <v>355</v>
      </c>
      <c r="B137" t="s">
        <v>579</v>
      </c>
      <c r="C137" t="str">
        <f>IF(ISERROR(MATCH(A137,'SegEnds_Xtal_Prot#'!B:B, 0)), "NoXtal", "Xtal")</f>
        <v>Xtal</v>
      </c>
      <c r="D137" t="str">
        <f t="shared" si="3"/>
        <v>human</v>
      </c>
      <c r="E137" t="str">
        <f>VLOOKUP(A137,Classification!A:B,2,FALSE)</f>
        <v>A</v>
      </c>
    </row>
    <row r="138" spans="1:5" x14ac:dyDescent="0.2">
      <c r="A138" t="s">
        <v>173</v>
      </c>
      <c r="B138" t="s">
        <v>607</v>
      </c>
      <c r="C138" t="str">
        <f>IF(ISERROR(MATCH(A138,'SegEnds_Xtal_Prot#'!B:B, 0)), "NoXtal", "Xtal")</f>
        <v>Xtal</v>
      </c>
      <c r="D138" t="str">
        <f t="shared" si="3"/>
        <v>human</v>
      </c>
      <c r="E138" t="str">
        <f>VLOOKUP(A138,Classification!A:B,2,FALSE)</f>
        <v>A</v>
      </c>
    </row>
    <row r="139" spans="1:5" x14ac:dyDescent="0.2">
      <c r="A139" t="s">
        <v>1172</v>
      </c>
      <c r="B139" t="s">
        <v>617</v>
      </c>
      <c r="C139" t="str">
        <f>IF(ISERROR(MATCH(A139,'SegEnds_Xtal_Prot#'!B:B, 0)), "NoXtal", "Xtal")</f>
        <v>Xtal</v>
      </c>
      <c r="D139" t="str">
        <f t="shared" si="3"/>
        <v>human</v>
      </c>
      <c r="E139" t="str">
        <f>VLOOKUP(A139,Classification!A:B,2,FALSE)</f>
        <v>A</v>
      </c>
    </row>
    <row r="140" spans="1:5" x14ac:dyDescent="0.2">
      <c r="A140" t="s">
        <v>1173</v>
      </c>
      <c r="B140" t="s">
        <v>633</v>
      </c>
      <c r="C140" t="str">
        <f>IF(ISERROR(MATCH(A140,'SegEnds_Xtal_Prot#'!B:B, 0)), "NoXtal", "Xtal")</f>
        <v>Xtal</v>
      </c>
      <c r="D140" t="str">
        <f t="shared" si="3"/>
        <v>human</v>
      </c>
      <c r="E140" t="str">
        <f>VLOOKUP(A140,Classification!A:B,2,FALSE)</f>
        <v>A</v>
      </c>
    </row>
    <row r="141" spans="1:5" x14ac:dyDescent="0.2">
      <c r="A141" t="s">
        <v>103</v>
      </c>
      <c r="B141" t="s">
        <v>643</v>
      </c>
      <c r="C141" t="str">
        <f>IF(ISERROR(MATCH(A141,'SegEnds_Xtal_Prot#'!B:B, 0)), "NoXtal", "Xtal")</f>
        <v>Xtal</v>
      </c>
      <c r="D141" t="str">
        <f t="shared" si="3"/>
        <v>human</v>
      </c>
      <c r="E141" t="str">
        <f>VLOOKUP(A141,Classification!A:B,2,FALSE)</f>
        <v>A</v>
      </c>
    </row>
    <row r="142" spans="1:5" x14ac:dyDescent="0.2">
      <c r="A142" t="s">
        <v>104</v>
      </c>
      <c r="B142" t="s">
        <v>649</v>
      </c>
      <c r="C142" t="str">
        <f>IF(ISERROR(MATCH(A142,'SegEnds_Xtal_Prot#'!B:B, 0)), "NoXtal", "Xtal")</f>
        <v>Xtal</v>
      </c>
      <c r="D142" t="str">
        <f t="shared" si="3"/>
        <v>human</v>
      </c>
      <c r="E142" t="str">
        <f>VLOOKUP(A142,Classification!A:B,2,FALSE)</f>
        <v>A</v>
      </c>
    </row>
    <row r="143" spans="1:5" x14ac:dyDescent="0.2">
      <c r="A143" t="s">
        <v>139</v>
      </c>
      <c r="B143" t="s">
        <v>672</v>
      </c>
      <c r="C143" t="str">
        <f>IF(ISERROR(MATCH(A143,'SegEnds_Xtal_Prot#'!B:B, 0)), "NoXtal", "Xtal")</f>
        <v>Xtal</v>
      </c>
      <c r="D143" t="str">
        <f t="shared" si="3"/>
        <v>human</v>
      </c>
      <c r="E143" t="str">
        <f>VLOOKUP(A143,Classification!A:B,2,FALSE)</f>
        <v>A</v>
      </c>
    </row>
    <row r="144" spans="1:5" x14ac:dyDescent="0.2">
      <c r="A144" t="s">
        <v>345</v>
      </c>
      <c r="B144" t="s">
        <v>675</v>
      </c>
      <c r="C144" t="str">
        <f>IF(ISERROR(MATCH(A144,'SegEnds_Xtal_Prot#'!B:B, 0)), "NoXtal", "Xtal")</f>
        <v>Xtal</v>
      </c>
      <c r="D144" t="str">
        <f t="shared" si="3"/>
        <v>human</v>
      </c>
      <c r="E144" t="str">
        <f>VLOOKUP(A144,Classification!A:B,2,FALSE)</f>
        <v>A</v>
      </c>
    </row>
    <row r="145" spans="1:5" x14ac:dyDescent="0.2">
      <c r="A145" t="s">
        <v>352</v>
      </c>
      <c r="B145" t="s">
        <v>680</v>
      </c>
      <c r="C145" t="str">
        <f>IF(ISERROR(MATCH(A145,'SegEnds_Xtal_Prot#'!B:B, 0)), "NoXtal", "Xtal")</f>
        <v>Xtal</v>
      </c>
      <c r="D145" t="str">
        <f t="shared" si="3"/>
        <v>human</v>
      </c>
      <c r="E145" t="str">
        <f>VLOOKUP(A145,Classification!A:B,2,FALSE)</f>
        <v>A</v>
      </c>
    </row>
    <row r="146" spans="1:5" x14ac:dyDescent="0.2">
      <c r="A146" t="s">
        <v>339</v>
      </c>
      <c r="B146" t="s">
        <v>690</v>
      </c>
      <c r="C146" t="str">
        <f>IF(ISERROR(MATCH(A146,'SegEnds_Xtal_Prot#'!B:B, 0)), "NoXtal", "Xtal")</f>
        <v>Xtal</v>
      </c>
      <c r="D146" t="str">
        <f t="shared" si="3"/>
        <v>human</v>
      </c>
      <c r="E146" t="str">
        <f>VLOOKUP(A146,Classification!A:B,2,FALSE)</f>
        <v>A</v>
      </c>
    </row>
    <row r="147" spans="1:5" x14ac:dyDescent="0.2">
      <c r="A147" t="s">
        <v>128</v>
      </c>
      <c r="B147" t="s">
        <v>487</v>
      </c>
      <c r="C147" t="str">
        <f>IF(ISERROR(MATCH(A147,'SegEnds_Xtal_Prot#'!B:B, 0)), "NoXtal", "Xtal")</f>
        <v>NoXtal</v>
      </c>
      <c r="D147" t="str">
        <f t="shared" si="3"/>
        <v>human</v>
      </c>
      <c r="E147" t="str">
        <f>VLOOKUP(A147,Classification!A:B,2,FALSE)</f>
        <v>A</v>
      </c>
    </row>
    <row r="148" spans="1:5" x14ac:dyDescent="0.2">
      <c r="A148" t="s">
        <v>129</v>
      </c>
      <c r="B148" t="s">
        <v>489</v>
      </c>
      <c r="C148" t="str">
        <f>IF(ISERROR(MATCH(A148,'SegEnds_Xtal_Prot#'!B:B, 0)), "NoXtal", "Xtal")</f>
        <v>NoXtal</v>
      </c>
      <c r="D148" t="str">
        <f t="shared" si="3"/>
        <v>human</v>
      </c>
      <c r="E148" t="str">
        <f>VLOOKUP(A148,Classification!A:B,2,FALSE)</f>
        <v>A</v>
      </c>
    </row>
    <row r="149" spans="1:5" x14ac:dyDescent="0.2">
      <c r="A149" t="s">
        <v>130</v>
      </c>
      <c r="B149" t="s">
        <v>490</v>
      </c>
      <c r="C149" t="str">
        <f>IF(ISERROR(MATCH(A149,'SegEnds_Xtal_Prot#'!B:B, 0)), "NoXtal", "Xtal")</f>
        <v>NoXtal</v>
      </c>
      <c r="D149" t="str">
        <f t="shared" si="3"/>
        <v>human</v>
      </c>
      <c r="E149" t="str">
        <f>VLOOKUP(A149,Classification!A:B,2,FALSE)</f>
        <v>A</v>
      </c>
    </row>
    <row r="150" spans="1:5" x14ac:dyDescent="0.2">
      <c r="A150" t="s">
        <v>131</v>
      </c>
      <c r="B150" t="s">
        <v>491</v>
      </c>
      <c r="C150" t="str">
        <f>IF(ISERROR(MATCH(A150,'SegEnds_Xtal_Prot#'!B:B, 0)), "NoXtal", "Xtal")</f>
        <v>NoXtal</v>
      </c>
      <c r="D150" t="str">
        <f t="shared" si="3"/>
        <v>human</v>
      </c>
      <c r="E150" t="str">
        <f>VLOOKUP(A150,Classification!A:B,2,FALSE)</f>
        <v>A</v>
      </c>
    </row>
    <row r="151" spans="1:5" x14ac:dyDescent="0.2">
      <c r="A151" t="s">
        <v>132</v>
      </c>
      <c r="B151" t="s">
        <v>492</v>
      </c>
      <c r="C151" t="str">
        <f>IF(ISERROR(MATCH(A151,'SegEnds_Xtal_Prot#'!B:B, 0)), "NoXtal", "Xtal")</f>
        <v>NoXtal</v>
      </c>
      <c r="D151" t="str">
        <f t="shared" si="3"/>
        <v>human</v>
      </c>
      <c r="E151" t="str">
        <f>VLOOKUP(A151,Classification!A:B,2,FALSE)</f>
        <v>A</v>
      </c>
    </row>
    <row r="152" spans="1:5" x14ac:dyDescent="0.2">
      <c r="A152" t="s">
        <v>133</v>
      </c>
      <c r="B152" t="s">
        <v>494</v>
      </c>
      <c r="C152" t="str">
        <f>IF(ISERROR(MATCH(A152,'SegEnds_Xtal_Prot#'!B:B, 0)), "NoXtal", "Xtal")</f>
        <v>NoXtal</v>
      </c>
      <c r="D152" t="str">
        <f t="shared" si="3"/>
        <v>human</v>
      </c>
      <c r="E152" t="str">
        <f>VLOOKUP(A152,Classification!A:B,2,FALSE)</f>
        <v>A</v>
      </c>
    </row>
    <row r="153" spans="1:5" x14ac:dyDescent="0.2">
      <c r="A153" t="s">
        <v>134</v>
      </c>
      <c r="B153" t="s">
        <v>495</v>
      </c>
      <c r="C153" t="str">
        <f>IF(ISERROR(MATCH(A153,'SegEnds_Xtal_Prot#'!B:B, 0)), "NoXtal", "Xtal")</f>
        <v>NoXtal</v>
      </c>
      <c r="D153" t="str">
        <f t="shared" si="3"/>
        <v>human</v>
      </c>
      <c r="E153" t="str">
        <f>VLOOKUP(A153,Classification!A:B,2,FALSE)</f>
        <v>A</v>
      </c>
    </row>
    <row r="154" spans="1:5" x14ac:dyDescent="0.2">
      <c r="A154" t="s">
        <v>135</v>
      </c>
      <c r="B154" t="s">
        <v>496</v>
      </c>
      <c r="C154" t="str">
        <f>IF(ISERROR(MATCH(A154,'SegEnds_Xtal_Prot#'!B:B, 0)), "NoXtal", "Xtal")</f>
        <v>NoXtal</v>
      </c>
      <c r="D154" t="str">
        <f t="shared" si="3"/>
        <v>human</v>
      </c>
      <c r="E154" t="str">
        <f>VLOOKUP(A154,Classification!A:B,2,FALSE)</f>
        <v>A</v>
      </c>
    </row>
    <row r="155" spans="1:5" x14ac:dyDescent="0.2">
      <c r="A155" t="s">
        <v>136</v>
      </c>
      <c r="B155" t="s">
        <v>497</v>
      </c>
      <c r="C155" t="str">
        <f>IF(ISERROR(MATCH(A155,'SegEnds_Xtal_Prot#'!B:B, 0)), "NoXtal", "Xtal")</f>
        <v>NoXtal</v>
      </c>
      <c r="D155" t="str">
        <f t="shared" si="3"/>
        <v>human</v>
      </c>
      <c r="E155" t="str">
        <f>VLOOKUP(A155,Classification!A:B,2,FALSE)</f>
        <v>A</v>
      </c>
    </row>
    <row r="156" spans="1:5" x14ac:dyDescent="0.2">
      <c r="A156" t="s">
        <v>137</v>
      </c>
      <c r="B156" t="s">
        <v>498</v>
      </c>
      <c r="C156" t="str">
        <f>IF(ISERROR(MATCH(A156,'SegEnds_Xtal_Prot#'!B:B, 0)), "NoXtal", "Xtal")</f>
        <v>NoXtal</v>
      </c>
      <c r="D156" t="str">
        <f t="shared" si="3"/>
        <v>human</v>
      </c>
      <c r="E156" t="str">
        <f>VLOOKUP(A156,Classification!A:B,2,FALSE)</f>
        <v>A</v>
      </c>
    </row>
    <row r="157" spans="1:5" x14ac:dyDescent="0.2">
      <c r="A157" t="s">
        <v>191</v>
      </c>
      <c r="B157" t="s">
        <v>501</v>
      </c>
      <c r="C157" t="str">
        <f>IF(ISERROR(MATCH(A157,'SegEnds_Xtal_Prot#'!B:B, 0)), "NoXtal", "Xtal")</f>
        <v>NoXtal</v>
      </c>
      <c r="D157" t="str">
        <f t="shared" si="3"/>
        <v>human</v>
      </c>
      <c r="E157" t="str">
        <f>VLOOKUP(A157,Classification!A:B,2,FALSE)</f>
        <v>A</v>
      </c>
    </row>
    <row r="158" spans="1:5" x14ac:dyDescent="0.2">
      <c r="A158" t="s">
        <v>148</v>
      </c>
      <c r="B158" t="s">
        <v>502</v>
      </c>
      <c r="C158" t="str">
        <f>IF(ISERROR(MATCH(A158,'SegEnds_Xtal_Prot#'!B:B, 0)), "NoXtal", "Xtal")</f>
        <v>NoXtal</v>
      </c>
      <c r="D158" t="str">
        <f t="shared" si="3"/>
        <v>human</v>
      </c>
      <c r="E158" t="str">
        <f>VLOOKUP(A158,Classification!A:B,2,FALSE)</f>
        <v>A</v>
      </c>
    </row>
    <row r="159" spans="1:5" x14ac:dyDescent="0.2">
      <c r="A159" t="s">
        <v>150</v>
      </c>
      <c r="B159" t="s">
        <v>504</v>
      </c>
      <c r="C159" t="str">
        <f>IF(ISERROR(MATCH(A159,'SegEnds_Xtal_Prot#'!B:B, 0)), "NoXtal", "Xtal")</f>
        <v>NoXtal</v>
      </c>
      <c r="D159" t="str">
        <f t="shared" si="3"/>
        <v>human</v>
      </c>
      <c r="E159" t="str">
        <f>VLOOKUP(A159,Classification!A:B,2,FALSE)</f>
        <v>A</v>
      </c>
    </row>
    <row r="160" spans="1:5" x14ac:dyDescent="0.2">
      <c r="A160" t="s">
        <v>152</v>
      </c>
      <c r="B160" t="s">
        <v>505</v>
      </c>
      <c r="C160" t="str">
        <f>IF(ISERROR(MATCH(A160,'SegEnds_Xtal_Prot#'!B:B, 0)), "NoXtal", "Xtal")</f>
        <v>NoXtal</v>
      </c>
      <c r="D160" t="str">
        <f t="shared" si="3"/>
        <v>human</v>
      </c>
      <c r="E160" t="str">
        <f>VLOOKUP(A160,Classification!A:B,2,FALSE)</f>
        <v>A</v>
      </c>
    </row>
    <row r="161" spans="1:5" x14ac:dyDescent="0.2">
      <c r="A161" t="s">
        <v>153</v>
      </c>
      <c r="B161" t="s">
        <v>506</v>
      </c>
      <c r="C161" t="str">
        <f>IF(ISERROR(MATCH(A161,'SegEnds_Xtal_Prot#'!B:B, 0)), "NoXtal", "Xtal")</f>
        <v>NoXtal</v>
      </c>
      <c r="D161" t="str">
        <f t="shared" si="3"/>
        <v>human</v>
      </c>
      <c r="E161" t="str">
        <f>VLOOKUP(A161,Classification!A:B,2,FALSE)</f>
        <v>A</v>
      </c>
    </row>
    <row r="162" spans="1:5" x14ac:dyDescent="0.2">
      <c r="A162" t="s">
        <v>154</v>
      </c>
      <c r="B162" t="s">
        <v>507</v>
      </c>
      <c r="C162" t="str">
        <f>IF(ISERROR(MATCH(A162,'SegEnds_Xtal_Prot#'!B:B, 0)), "NoXtal", "Xtal")</f>
        <v>NoXtal</v>
      </c>
      <c r="D162" t="str">
        <f t="shared" si="3"/>
        <v>human</v>
      </c>
      <c r="E162" t="str">
        <f>VLOOKUP(A162,Classification!A:B,2,FALSE)</f>
        <v>A</v>
      </c>
    </row>
    <row r="163" spans="1:5" x14ac:dyDescent="0.2">
      <c r="A163" t="s">
        <v>155</v>
      </c>
      <c r="B163" t="s">
        <v>508</v>
      </c>
      <c r="C163" t="str">
        <f>IF(ISERROR(MATCH(A163,'SegEnds_Xtal_Prot#'!B:B, 0)), "NoXtal", "Xtal")</f>
        <v>NoXtal</v>
      </c>
      <c r="D163" t="str">
        <f t="shared" si="3"/>
        <v>human</v>
      </c>
      <c r="E163" t="str">
        <f>VLOOKUP(A163,Classification!A:B,2,FALSE)</f>
        <v>A</v>
      </c>
    </row>
    <row r="164" spans="1:5" x14ac:dyDescent="0.2">
      <c r="A164" t="s">
        <v>156</v>
      </c>
      <c r="B164" t="s">
        <v>509</v>
      </c>
      <c r="C164" t="str">
        <f>IF(ISERROR(MATCH(A164,'SegEnds_Xtal_Prot#'!B:B, 0)), "NoXtal", "Xtal")</f>
        <v>NoXtal</v>
      </c>
      <c r="D164" t="str">
        <f t="shared" si="3"/>
        <v>human</v>
      </c>
      <c r="E164" t="str">
        <f>VLOOKUP(A164,Classification!A:B,2,FALSE)</f>
        <v>A</v>
      </c>
    </row>
    <row r="165" spans="1:5" x14ac:dyDescent="0.2">
      <c r="A165" t="s">
        <v>157</v>
      </c>
      <c r="B165" t="s">
        <v>510</v>
      </c>
      <c r="C165" t="str">
        <f>IF(ISERROR(MATCH(A165,'SegEnds_Xtal_Prot#'!B:B, 0)), "NoXtal", "Xtal")</f>
        <v>NoXtal</v>
      </c>
      <c r="D165" t="str">
        <f t="shared" si="3"/>
        <v>human</v>
      </c>
      <c r="E165" t="str">
        <f>VLOOKUP(A165,Classification!A:B,2,FALSE)</f>
        <v>A</v>
      </c>
    </row>
    <row r="166" spans="1:5" x14ac:dyDescent="0.2">
      <c r="A166" t="s">
        <v>125</v>
      </c>
      <c r="B166" t="s">
        <v>511</v>
      </c>
      <c r="C166" t="str">
        <f>IF(ISERROR(MATCH(A166,'SegEnds_Xtal_Prot#'!B:B, 0)), "NoXtal", "Xtal")</f>
        <v>NoXtal</v>
      </c>
      <c r="D166" t="str">
        <f t="shared" si="3"/>
        <v>human</v>
      </c>
      <c r="E166" t="str">
        <f>VLOOKUP(A166,Classification!A:B,2,FALSE)</f>
        <v>A</v>
      </c>
    </row>
    <row r="167" spans="1:5" x14ac:dyDescent="0.2">
      <c r="A167" t="s">
        <v>102</v>
      </c>
      <c r="B167" t="s">
        <v>513</v>
      </c>
      <c r="C167" t="str">
        <f>IF(ISERROR(MATCH(A167,'SegEnds_Xtal_Prot#'!B:B, 0)), "NoXtal", "Xtal")</f>
        <v>NoXtal</v>
      </c>
      <c r="D167" t="str">
        <f t="shared" si="3"/>
        <v>human</v>
      </c>
      <c r="E167" t="str">
        <f>VLOOKUP(A167,Classification!A:B,2,FALSE)</f>
        <v>A</v>
      </c>
    </row>
    <row r="168" spans="1:5" x14ac:dyDescent="0.2">
      <c r="A168" t="s">
        <v>190</v>
      </c>
      <c r="B168" t="s">
        <v>514</v>
      </c>
      <c r="C168" t="str">
        <f>IF(ISERROR(MATCH(A168,'SegEnds_Xtal_Prot#'!B:B, 0)), "NoXtal", "Xtal")</f>
        <v>NoXtal</v>
      </c>
      <c r="D168" t="str">
        <f t="shared" si="3"/>
        <v>human</v>
      </c>
      <c r="E168" t="str">
        <f>VLOOKUP(A168,Classification!A:B,2,FALSE)</f>
        <v>A</v>
      </c>
    </row>
    <row r="169" spans="1:5" x14ac:dyDescent="0.2">
      <c r="A169" t="s">
        <v>193</v>
      </c>
      <c r="B169" t="s">
        <v>516</v>
      </c>
      <c r="C169" t="str">
        <f>IF(ISERROR(MATCH(A169,'SegEnds_Xtal_Prot#'!B:B, 0)), "NoXtal", "Xtal")</f>
        <v>NoXtal</v>
      </c>
      <c r="D169" t="str">
        <f t="shared" si="3"/>
        <v>human</v>
      </c>
      <c r="E169" t="str">
        <f>VLOOKUP(A169,Classification!A:B,2,FALSE)</f>
        <v>A</v>
      </c>
    </row>
    <row r="170" spans="1:5" x14ac:dyDescent="0.2">
      <c r="A170" t="s">
        <v>194</v>
      </c>
      <c r="B170" t="s">
        <v>517</v>
      </c>
      <c r="C170" t="str">
        <f>IF(ISERROR(MATCH(A170,'SegEnds_Xtal_Prot#'!B:B, 0)), "NoXtal", "Xtal")</f>
        <v>NoXtal</v>
      </c>
      <c r="D170" t="str">
        <f t="shared" si="3"/>
        <v>human</v>
      </c>
      <c r="E170" t="str">
        <f>VLOOKUP(A170,Classification!A:B,2,FALSE)</f>
        <v>A</v>
      </c>
    </row>
    <row r="171" spans="1:5" x14ac:dyDescent="0.2">
      <c r="A171" t="s">
        <v>279</v>
      </c>
      <c r="B171" t="s">
        <v>519</v>
      </c>
      <c r="C171" t="str">
        <f>IF(ISERROR(MATCH(A171,'SegEnds_Xtal_Prot#'!B:B, 0)), "NoXtal", "Xtal")</f>
        <v>NoXtal</v>
      </c>
      <c r="D171" t="str">
        <f t="shared" si="3"/>
        <v>human</v>
      </c>
      <c r="E171" t="str">
        <f>VLOOKUP(A171,Classification!A:B,2,FALSE)</f>
        <v>A</v>
      </c>
    </row>
    <row r="172" spans="1:5" x14ac:dyDescent="0.2">
      <c r="A172" t="s">
        <v>280</v>
      </c>
      <c r="B172" t="s">
        <v>520</v>
      </c>
      <c r="C172" t="str">
        <f>IF(ISERROR(MATCH(A172,'SegEnds_Xtal_Prot#'!B:B, 0)), "NoXtal", "Xtal")</f>
        <v>NoXtal</v>
      </c>
      <c r="D172" t="str">
        <f t="shared" si="3"/>
        <v>human</v>
      </c>
      <c r="E172" t="str">
        <f>VLOOKUP(A172,Classification!A:B,2,FALSE)</f>
        <v>A</v>
      </c>
    </row>
    <row r="173" spans="1:5" x14ac:dyDescent="0.2">
      <c r="A173" t="s">
        <v>281</v>
      </c>
      <c r="B173" t="s">
        <v>521</v>
      </c>
      <c r="C173" t="str">
        <f>IF(ISERROR(MATCH(A173,'SegEnds_Xtal_Prot#'!B:B, 0)), "NoXtal", "Xtal")</f>
        <v>NoXtal</v>
      </c>
      <c r="D173" t="str">
        <f t="shared" si="3"/>
        <v>human</v>
      </c>
      <c r="E173" t="str">
        <f>VLOOKUP(A173,Classification!A:B,2,FALSE)</f>
        <v>A</v>
      </c>
    </row>
    <row r="174" spans="1:5" x14ac:dyDescent="0.2">
      <c r="A174" t="s">
        <v>387</v>
      </c>
      <c r="B174" t="s">
        <v>522</v>
      </c>
      <c r="C174" t="str">
        <f>IF(ISERROR(MATCH(A174,'SegEnds_Xtal_Prot#'!B:B, 0)), "NoXtal", "Xtal")</f>
        <v>NoXtal</v>
      </c>
      <c r="D174" t="str">
        <f t="shared" si="3"/>
        <v>human</v>
      </c>
      <c r="E174" t="str">
        <f>VLOOKUP(A174,Classification!A:B,2,FALSE)</f>
        <v>A</v>
      </c>
    </row>
    <row r="175" spans="1:5" x14ac:dyDescent="0.2">
      <c r="A175" t="s">
        <v>159</v>
      </c>
      <c r="B175" t="s">
        <v>524</v>
      </c>
      <c r="C175" t="str">
        <f>IF(ISERROR(MATCH(A175,'SegEnds_Xtal_Prot#'!B:B, 0)), "NoXtal", "Xtal")</f>
        <v>Xtal</v>
      </c>
      <c r="D175" t="str">
        <f t="shared" si="3"/>
        <v>human</v>
      </c>
      <c r="E175" t="str">
        <f>VLOOKUP(A175,Classification!A:B,2,FALSE)</f>
        <v>A</v>
      </c>
    </row>
    <row r="176" spans="1:5" x14ac:dyDescent="0.2">
      <c r="A176" t="s">
        <v>160</v>
      </c>
      <c r="B176" t="s">
        <v>525</v>
      </c>
      <c r="C176" t="str">
        <f>IF(ISERROR(MATCH(A176,'SegEnds_Xtal_Prot#'!B:B, 0)), "NoXtal", "Xtal")</f>
        <v>Xtal</v>
      </c>
      <c r="D176" t="str">
        <f t="shared" si="3"/>
        <v>human</v>
      </c>
      <c r="E176" t="str">
        <f>VLOOKUP(A176,Classification!A:B,2,FALSE)</f>
        <v>A</v>
      </c>
    </row>
    <row r="177" spans="1:5" x14ac:dyDescent="0.2">
      <c r="A177" t="s">
        <v>317</v>
      </c>
      <c r="B177" t="s">
        <v>526</v>
      </c>
      <c r="C177" t="str">
        <f>IF(ISERROR(MATCH(A177,'SegEnds_Xtal_Prot#'!B:B, 0)), "NoXtal", "Xtal")</f>
        <v>NoXtal</v>
      </c>
      <c r="D177" t="str">
        <f t="shared" si="3"/>
        <v>human</v>
      </c>
      <c r="E177" t="str">
        <f>VLOOKUP(A177,Classification!A:B,2,FALSE)</f>
        <v>A</v>
      </c>
    </row>
    <row r="178" spans="1:5" x14ac:dyDescent="0.2">
      <c r="A178" t="s">
        <v>274</v>
      </c>
      <c r="B178" t="s">
        <v>527</v>
      </c>
      <c r="C178" t="str">
        <f>IF(ISERROR(MATCH(A178,'SegEnds_Xtal_Prot#'!B:B, 0)), "NoXtal", "Xtal")</f>
        <v>NoXtal</v>
      </c>
      <c r="D178" t="str">
        <f t="shared" si="3"/>
        <v>human</v>
      </c>
      <c r="E178" t="str">
        <f>VLOOKUP(A178,Classification!A:B,2,FALSE)</f>
        <v>A</v>
      </c>
    </row>
    <row r="179" spans="1:5" x14ac:dyDescent="0.2">
      <c r="A179" t="s">
        <v>163</v>
      </c>
      <c r="B179" t="s">
        <v>528</v>
      </c>
      <c r="C179" t="str">
        <f>IF(ISERROR(MATCH(A179,'SegEnds_Xtal_Prot#'!B:B, 0)), "NoXtal", "Xtal")</f>
        <v>NoXtal</v>
      </c>
      <c r="D179" t="str">
        <f t="shared" si="3"/>
        <v>human</v>
      </c>
      <c r="E179" t="str">
        <f>VLOOKUP(A179,Classification!A:B,2,FALSE)</f>
        <v>A</v>
      </c>
    </row>
    <row r="180" spans="1:5" x14ac:dyDescent="0.2">
      <c r="A180" t="s">
        <v>161</v>
      </c>
      <c r="B180" t="s">
        <v>529</v>
      </c>
      <c r="C180" t="str">
        <f>IF(ISERROR(MATCH(A180,'SegEnds_Xtal_Prot#'!B:B, 0)), "NoXtal", "Xtal")</f>
        <v>NoXtal</v>
      </c>
      <c r="D180" t="str">
        <f t="shared" si="3"/>
        <v>human</v>
      </c>
      <c r="E180" t="str">
        <f>VLOOKUP(A180,Classification!A:B,2,FALSE)</f>
        <v>A</v>
      </c>
    </row>
    <row r="181" spans="1:5" x14ac:dyDescent="0.2">
      <c r="A181" t="s">
        <v>162</v>
      </c>
      <c r="B181" t="s">
        <v>530</v>
      </c>
      <c r="C181" t="str">
        <f>IF(ISERROR(MATCH(A181,'SegEnds_Xtal_Prot#'!B:B, 0)), "NoXtal", "Xtal")</f>
        <v>NoXtal</v>
      </c>
      <c r="D181" t="str">
        <f t="shared" si="3"/>
        <v>human</v>
      </c>
      <c r="E181" t="str">
        <f>VLOOKUP(A181,Classification!A:B,2,FALSE)</f>
        <v>A</v>
      </c>
    </row>
    <row r="182" spans="1:5" x14ac:dyDescent="0.2">
      <c r="A182" t="s">
        <v>167</v>
      </c>
      <c r="B182" t="s">
        <v>531</v>
      </c>
      <c r="C182" t="str">
        <f>IF(ISERROR(MATCH(A182,'SegEnds_Xtal_Prot#'!B:B, 0)), "NoXtal", "Xtal")</f>
        <v>NoXtal</v>
      </c>
      <c r="D182" t="str">
        <f t="shared" si="3"/>
        <v>human</v>
      </c>
      <c r="E182" t="str">
        <f>VLOOKUP(A182,Classification!A:B,2,FALSE)</f>
        <v>A</v>
      </c>
    </row>
    <row r="183" spans="1:5" x14ac:dyDescent="0.2">
      <c r="A183" t="s">
        <v>208</v>
      </c>
      <c r="B183" t="s">
        <v>532</v>
      </c>
      <c r="C183" t="str">
        <f>IF(ISERROR(MATCH(A183,'SegEnds_Xtal_Prot#'!B:B, 0)), "NoXtal", "Xtal")</f>
        <v>NoXtal</v>
      </c>
      <c r="D183" t="str">
        <f t="shared" si="3"/>
        <v>human</v>
      </c>
      <c r="E183" t="str">
        <f>VLOOKUP(A183,Classification!A:B,2,FALSE)</f>
        <v>A</v>
      </c>
    </row>
    <row r="184" spans="1:5" x14ac:dyDescent="0.2">
      <c r="A184" t="s">
        <v>164</v>
      </c>
      <c r="B184" t="s">
        <v>533</v>
      </c>
      <c r="C184" t="str">
        <f>IF(ISERROR(MATCH(A184,'SegEnds_Xtal_Prot#'!B:B, 0)), "NoXtal", "Xtal")</f>
        <v>NoXtal</v>
      </c>
      <c r="D184" t="str">
        <f t="shared" si="3"/>
        <v>human</v>
      </c>
      <c r="E184" t="str">
        <f>VLOOKUP(A184,Classification!A:B,2,FALSE)</f>
        <v>A</v>
      </c>
    </row>
    <row r="185" spans="1:5" x14ac:dyDescent="0.2">
      <c r="A185" t="s">
        <v>165</v>
      </c>
      <c r="B185" t="s">
        <v>534</v>
      </c>
      <c r="C185" t="str">
        <f>IF(ISERROR(MATCH(A185,'SegEnds_Xtal_Prot#'!B:B, 0)), "NoXtal", "Xtal")</f>
        <v>NoXtal</v>
      </c>
      <c r="D185" t="str">
        <f t="shared" si="3"/>
        <v>human</v>
      </c>
      <c r="E185" t="str">
        <f>VLOOKUP(A185,Classification!A:B,2,FALSE)</f>
        <v>A</v>
      </c>
    </row>
    <row r="186" spans="1:5" x14ac:dyDescent="0.2">
      <c r="A186" t="s">
        <v>166</v>
      </c>
      <c r="B186" t="s">
        <v>535</v>
      </c>
      <c r="C186" t="str">
        <f>IF(ISERROR(MATCH(A186,'SegEnds_Xtal_Prot#'!B:B, 0)), "NoXtal", "Xtal")</f>
        <v>NoXtal</v>
      </c>
      <c r="D186" t="str">
        <f t="shared" si="3"/>
        <v>human</v>
      </c>
      <c r="E186" t="str">
        <f>VLOOKUP(A186,Classification!A:B,2,FALSE)</f>
        <v>A</v>
      </c>
    </row>
    <row r="187" spans="1:5" x14ac:dyDescent="0.2">
      <c r="A187" t="s">
        <v>195</v>
      </c>
      <c r="B187" t="s">
        <v>536</v>
      </c>
      <c r="C187" t="str">
        <f>IF(ISERROR(MATCH(A187,'SegEnds_Xtal_Prot#'!B:B, 0)), "NoXtal", "Xtal")</f>
        <v>NoXtal</v>
      </c>
      <c r="D187" t="str">
        <f t="shared" si="3"/>
        <v>human</v>
      </c>
      <c r="E187" t="str">
        <f>VLOOKUP(A187,Classification!A:B,2,FALSE)</f>
        <v>A</v>
      </c>
    </row>
    <row r="188" spans="1:5" x14ac:dyDescent="0.2">
      <c r="A188" t="s">
        <v>196</v>
      </c>
      <c r="B188" t="s">
        <v>537</v>
      </c>
      <c r="C188" t="str">
        <f>IF(ISERROR(MATCH(A188,'SegEnds_Xtal_Prot#'!B:B, 0)), "NoXtal", "Xtal")</f>
        <v>Xtal</v>
      </c>
      <c r="D188" t="str">
        <f t="shared" si="3"/>
        <v>human</v>
      </c>
      <c r="E188" t="str">
        <f>VLOOKUP(A188,Classification!A:B,2,FALSE)</f>
        <v>A</v>
      </c>
    </row>
    <row r="189" spans="1:5" x14ac:dyDescent="0.2">
      <c r="A189" t="s">
        <v>201</v>
      </c>
      <c r="B189" t="s">
        <v>538</v>
      </c>
      <c r="C189" t="str">
        <f>IF(ISERROR(MATCH(A189,'SegEnds_Xtal_Prot#'!B:B, 0)), "NoXtal", "Xtal")</f>
        <v>NoXtal</v>
      </c>
      <c r="D189" t="str">
        <f t="shared" si="3"/>
        <v>human</v>
      </c>
      <c r="E189" t="str">
        <f>VLOOKUP(A189,Classification!A:B,2,FALSE)</f>
        <v>A</v>
      </c>
    </row>
    <row r="190" spans="1:5" x14ac:dyDescent="0.2">
      <c r="A190" t="s">
        <v>202</v>
      </c>
      <c r="B190" t="s">
        <v>539</v>
      </c>
      <c r="C190" t="str">
        <f>IF(ISERROR(MATCH(A190,'SegEnds_Xtal_Prot#'!B:B, 0)), "NoXtal", "Xtal")</f>
        <v>NoXtal</v>
      </c>
      <c r="D190" t="str">
        <f t="shared" si="3"/>
        <v>human</v>
      </c>
      <c r="E190" t="str">
        <f>VLOOKUP(A190,Classification!A:B,2,FALSE)</f>
        <v>A</v>
      </c>
    </row>
    <row r="191" spans="1:5" x14ac:dyDescent="0.2">
      <c r="A191" t="s">
        <v>203</v>
      </c>
      <c r="B191" t="s">
        <v>540</v>
      </c>
      <c r="C191" t="str">
        <f>IF(ISERROR(MATCH(A191,'SegEnds_Xtal_Prot#'!B:B, 0)), "NoXtal", "Xtal")</f>
        <v>NoXtal</v>
      </c>
      <c r="D191" t="str">
        <f t="shared" si="3"/>
        <v>human</v>
      </c>
      <c r="E191" t="str">
        <f>VLOOKUP(A191,Classification!A:B,2,FALSE)</f>
        <v>A</v>
      </c>
    </row>
    <row r="192" spans="1:5" x14ac:dyDescent="0.2">
      <c r="A192" t="s">
        <v>205</v>
      </c>
      <c r="B192" t="s">
        <v>541</v>
      </c>
      <c r="C192" t="str">
        <f>IF(ISERROR(MATCH(A192,'SegEnds_Xtal_Prot#'!B:B, 0)), "NoXtal", "Xtal")</f>
        <v>NoXtal</v>
      </c>
      <c r="D192" t="str">
        <f t="shared" si="3"/>
        <v>human</v>
      </c>
      <c r="E192" t="str">
        <f>VLOOKUP(A192,Classification!A:B,2,FALSE)</f>
        <v>A</v>
      </c>
    </row>
    <row r="193" spans="1:5" x14ac:dyDescent="0.2">
      <c r="A193" t="s">
        <v>206</v>
      </c>
      <c r="B193" t="s">
        <v>542</v>
      </c>
      <c r="C193" t="str">
        <f>IF(ISERROR(MATCH(A193,'SegEnds_Xtal_Prot#'!B:B, 0)), "NoXtal", "Xtal")</f>
        <v>NoXtal</v>
      </c>
      <c r="D193" t="str">
        <f t="shared" si="3"/>
        <v>human</v>
      </c>
      <c r="E193" t="str">
        <f>VLOOKUP(A193,Classification!A:B,2,FALSE)</f>
        <v>A</v>
      </c>
    </row>
    <row r="194" spans="1:5" x14ac:dyDescent="0.2">
      <c r="A194" t="s">
        <v>207</v>
      </c>
      <c r="B194" t="s">
        <v>543</v>
      </c>
      <c r="C194" t="str">
        <f>IF(ISERROR(MATCH(A194,'SegEnds_Xtal_Prot#'!B:B, 0)), "NoXtal", "Xtal")</f>
        <v>NoXtal</v>
      </c>
      <c r="D194" t="str">
        <f t="shared" si="3"/>
        <v>human</v>
      </c>
      <c r="E194" t="str">
        <f>VLOOKUP(A194,Classification!A:B,2,FALSE)</f>
        <v>A</v>
      </c>
    </row>
    <row r="195" spans="1:5" x14ac:dyDescent="0.2">
      <c r="A195" t="s">
        <v>209</v>
      </c>
      <c r="B195" t="s">
        <v>544</v>
      </c>
      <c r="C195" t="str">
        <f>IF(ISERROR(MATCH(A195,'SegEnds_Xtal_Prot#'!B:B, 0)), "NoXtal", "Xtal")</f>
        <v>NoXtal</v>
      </c>
      <c r="D195" t="str">
        <f t="shared" ref="D195:D258" si="4">MID(A195,FIND("_",A195)+1,LEN(A195)-FIND("_",A195))</f>
        <v>human</v>
      </c>
      <c r="E195" t="str">
        <f>VLOOKUP(A195,Classification!A:B,2,FALSE)</f>
        <v>A</v>
      </c>
    </row>
    <row r="196" spans="1:5" x14ac:dyDescent="0.2">
      <c r="A196" t="s">
        <v>210</v>
      </c>
      <c r="B196" t="s">
        <v>545</v>
      </c>
      <c r="C196" t="str">
        <f>IF(ISERROR(MATCH(A196,'SegEnds_Xtal_Prot#'!B:B, 0)), "NoXtal", "Xtal")</f>
        <v>NoXtal</v>
      </c>
      <c r="D196" t="str">
        <f t="shared" si="4"/>
        <v>human</v>
      </c>
      <c r="E196" t="str">
        <f>VLOOKUP(A196,Classification!A:B,2,FALSE)</f>
        <v>A</v>
      </c>
    </row>
    <row r="197" spans="1:5" x14ac:dyDescent="0.2">
      <c r="A197" t="s">
        <v>211</v>
      </c>
      <c r="B197" t="s">
        <v>546</v>
      </c>
      <c r="C197" t="str">
        <f>IF(ISERROR(MATCH(A197,'SegEnds_Xtal_Prot#'!B:B, 0)), "NoXtal", "Xtal")</f>
        <v>NoXtal</v>
      </c>
      <c r="D197" t="str">
        <f t="shared" si="4"/>
        <v>human</v>
      </c>
      <c r="E197" t="str">
        <f>VLOOKUP(A197,Classification!A:B,2,FALSE)</f>
        <v>A</v>
      </c>
    </row>
    <row r="198" spans="1:5" x14ac:dyDescent="0.2">
      <c r="A198" t="s">
        <v>282</v>
      </c>
      <c r="B198" t="s">
        <v>547</v>
      </c>
      <c r="C198" t="str">
        <f>IF(ISERROR(MATCH(A198,'SegEnds_Xtal_Prot#'!B:B, 0)), "NoXtal", "Xtal")</f>
        <v>NoXtal</v>
      </c>
      <c r="D198" t="str">
        <f t="shared" si="4"/>
        <v>human</v>
      </c>
      <c r="E198" t="str">
        <f>VLOOKUP(A198,Classification!A:B,2,FALSE)</f>
        <v>A</v>
      </c>
    </row>
    <row r="199" spans="1:5" x14ac:dyDescent="0.2">
      <c r="A199" t="s">
        <v>299</v>
      </c>
      <c r="B199" t="s">
        <v>548</v>
      </c>
      <c r="C199" t="str">
        <f>IF(ISERROR(MATCH(A199,'SegEnds_Xtal_Prot#'!B:B, 0)), "NoXtal", "Xtal")</f>
        <v>NoXtal</v>
      </c>
      <c r="D199" t="str">
        <f t="shared" si="4"/>
        <v>human</v>
      </c>
      <c r="E199" t="str">
        <f>VLOOKUP(A199,Classification!A:B,2,FALSE)</f>
        <v>A</v>
      </c>
    </row>
    <row r="200" spans="1:5" x14ac:dyDescent="0.2">
      <c r="A200" t="s">
        <v>300</v>
      </c>
      <c r="B200" t="s">
        <v>549</v>
      </c>
      <c r="C200" t="str">
        <f>IF(ISERROR(MATCH(A200,'SegEnds_Xtal_Prot#'!B:B, 0)), "NoXtal", "Xtal")</f>
        <v>NoXtal</v>
      </c>
      <c r="D200" t="str">
        <f t="shared" si="4"/>
        <v>human</v>
      </c>
      <c r="E200" t="str">
        <f>VLOOKUP(A200,Classification!A:B,2,FALSE)</f>
        <v>A</v>
      </c>
    </row>
    <row r="201" spans="1:5" x14ac:dyDescent="0.2">
      <c r="A201" t="s">
        <v>309</v>
      </c>
      <c r="B201" t="s">
        <v>550</v>
      </c>
      <c r="C201" t="str">
        <f>IF(ISERROR(MATCH(A201,'SegEnds_Xtal_Prot#'!B:B, 0)), "NoXtal", "Xtal")</f>
        <v>NoXtal</v>
      </c>
      <c r="D201" t="str">
        <f t="shared" si="4"/>
        <v>human</v>
      </c>
      <c r="E201" t="str">
        <f>VLOOKUP(A201,Classification!A:B,2,FALSE)</f>
        <v>A</v>
      </c>
    </row>
    <row r="202" spans="1:5" x14ac:dyDescent="0.2">
      <c r="A202" t="s">
        <v>151</v>
      </c>
      <c r="B202" t="s">
        <v>551</v>
      </c>
      <c r="C202" t="str">
        <f>IF(ISERROR(MATCH(A202,'SegEnds_Xtal_Prot#'!B:B, 0)), "NoXtal", "Xtal")</f>
        <v>NoXtal</v>
      </c>
      <c r="D202" t="str">
        <f t="shared" si="4"/>
        <v>human</v>
      </c>
      <c r="E202" t="str">
        <f>VLOOKUP(A202,Classification!A:B,2,FALSE)</f>
        <v>A</v>
      </c>
    </row>
    <row r="203" spans="1:5" x14ac:dyDescent="0.2">
      <c r="A203" t="s">
        <v>296</v>
      </c>
      <c r="B203" t="s">
        <v>552</v>
      </c>
      <c r="C203" t="str">
        <f>IF(ISERROR(MATCH(A203,'SegEnds_Xtal_Prot#'!B:B, 0)), "NoXtal", "Xtal")</f>
        <v>NoXtal</v>
      </c>
      <c r="D203" t="str">
        <f t="shared" si="4"/>
        <v>human</v>
      </c>
      <c r="E203" t="str">
        <f>VLOOKUP(A203,Classification!A:B,2,FALSE)</f>
        <v>A</v>
      </c>
    </row>
    <row r="204" spans="1:5" x14ac:dyDescent="0.2">
      <c r="A204" t="s">
        <v>297</v>
      </c>
      <c r="B204" t="s">
        <v>553</v>
      </c>
      <c r="C204" t="str">
        <f>IF(ISERROR(MATCH(A204,'SegEnds_Xtal_Prot#'!B:B, 0)), "NoXtal", "Xtal")</f>
        <v>NoXtal</v>
      </c>
      <c r="D204" t="str">
        <f t="shared" si="4"/>
        <v>human</v>
      </c>
      <c r="E204" t="str">
        <f>VLOOKUP(A204,Classification!A:B,2,FALSE)</f>
        <v>A</v>
      </c>
    </row>
    <row r="205" spans="1:5" x14ac:dyDescent="0.2">
      <c r="A205" t="s">
        <v>298</v>
      </c>
      <c r="B205" t="s">
        <v>554</v>
      </c>
      <c r="C205" t="str">
        <f>IF(ISERROR(MATCH(A205,'SegEnds_Xtal_Prot#'!B:B, 0)), "NoXtal", "Xtal")</f>
        <v>NoXtal</v>
      </c>
      <c r="D205" t="str">
        <f t="shared" si="4"/>
        <v>human</v>
      </c>
      <c r="E205" t="str">
        <f>VLOOKUP(A205,Classification!A:B,2,FALSE)</f>
        <v>A</v>
      </c>
    </row>
    <row r="206" spans="1:5" x14ac:dyDescent="0.2">
      <c r="A206" t="s">
        <v>310</v>
      </c>
      <c r="B206" t="s">
        <v>555</v>
      </c>
      <c r="C206" t="str">
        <f>IF(ISERROR(MATCH(A206,'SegEnds_Xtal_Prot#'!B:B, 0)), "NoXtal", "Xtal")</f>
        <v>NoXtal</v>
      </c>
      <c r="D206" t="str">
        <f t="shared" si="4"/>
        <v>human</v>
      </c>
      <c r="E206" t="str">
        <f>VLOOKUP(A206,Classification!A:B,2,FALSE)</f>
        <v>A</v>
      </c>
    </row>
    <row r="207" spans="1:5" x14ac:dyDescent="0.2">
      <c r="A207" t="s">
        <v>318</v>
      </c>
      <c r="B207" t="s">
        <v>556</v>
      </c>
      <c r="C207" t="str">
        <f>IF(ISERROR(MATCH(A207,'SegEnds_Xtal_Prot#'!B:B, 0)), "NoXtal", "Xtal")</f>
        <v>NoXtal</v>
      </c>
      <c r="D207" t="str">
        <f t="shared" si="4"/>
        <v>human</v>
      </c>
      <c r="E207" t="str">
        <f>VLOOKUP(A207,Classification!A:B,2,FALSE)</f>
        <v>A</v>
      </c>
    </row>
    <row r="208" spans="1:5" x14ac:dyDescent="0.2">
      <c r="A208" t="s">
        <v>319</v>
      </c>
      <c r="B208" t="s">
        <v>557</v>
      </c>
      <c r="C208" t="str">
        <f>IF(ISERROR(MATCH(A208,'SegEnds_Xtal_Prot#'!B:B, 0)), "NoXtal", "Xtal")</f>
        <v>NoXtal</v>
      </c>
      <c r="D208" t="str">
        <f t="shared" si="4"/>
        <v>human</v>
      </c>
      <c r="E208" t="str">
        <f>VLOOKUP(A208,Classification!A:B,2,FALSE)</f>
        <v>A</v>
      </c>
    </row>
    <row r="209" spans="1:5" x14ac:dyDescent="0.2">
      <c r="A209" t="s">
        <v>322</v>
      </c>
      <c r="B209" t="s">
        <v>558</v>
      </c>
      <c r="C209" t="str">
        <f>IF(ISERROR(MATCH(A209,'SegEnds_Xtal_Prot#'!B:B, 0)), "NoXtal", "Xtal")</f>
        <v>NoXtal</v>
      </c>
      <c r="D209" t="str">
        <f t="shared" si="4"/>
        <v>human</v>
      </c>
      <c r="E209" t="str">
        <f>VLOOKUP(A209,Classification!A:B,2,FALSE)</f>
        <v>A</v>
      </c>
    </row>
    <row r="210" spans="1:5" x14ac:dyDescent="0.2">
      <c r="A210" t="s">
        <v>323</v>
      </c>
      <c r="B210" t="s">
        <v>559</v>
      </c>
      <c r="C210" t="str">
        <f>IF(ISERROR(MATCH(A210,'SegEnds_Xtal_Prot#'!B:B, 0)), "NoXtal", "Xtal")</f>
        <v>NoXtal</v>
      </c>
      <c r="D210" t="str">
        <f t="shared" si="4"/>
        <v>human</v>
      </c>
      <c r="E210" t="str">
        <f>VLOOKUP(A210,Classification!A:B,2,FALSE)</f>
        <v>A</v>
      </c>
    </row>
    <row r="211" spans="1:5" x14ac:dyDescent="0.2">
      <c r="A211" t="s">
        <v>324</v>
      </c>
      <c r="B211" t="s">
        <v>560</v>
      </c>
      <c r="C211" t="str">
        <f>IF(ISERROR(MATCH(A211,'SegEnds_Xtal_Prot#'!B:B, 0)), "NoXtal", "Xtal")</f>
        <v>NoXtal</v>
      </c>
      <c r="D211" t="str">
        <f t="shared" si="4"/>
        <v>human</v>
      </c>
      <c r="E211" t="str">
        <f>VLOOKUP(A211,Classification!A:B,2,FALSE)</f>
        <v>A</v>
      </c>
    </row>
    <row r="212" spans="1:5" x14ac:dyDescent="0.2">
      <c r="A212" t="s">
        <v>320</v>
      </c>
      <c r="B212" t="s">
        <v>561</v>
      </c>
      <c r="C212" t="str">
        <f>IF(ISERROR(MATCH(A212,'SegEnds_Xtal_Prot#'!B:B, 0)), "NoXtal", "Xtal")</f>
        <v>NoXtal</v>
      </c>
      <c r="D212" t="str">
        <f t="shared" si="4"/>
        <v>human</v>
      </c>
      <c r="E212" t="str">
        <f>VLOOKUP(A212,Classification!A:B,2,FALSE)</f>
        <v>A</v>
      </c>
    </row>
    <row r="213" spans="1:5" x14ac:dyDescent="0.2">
      <c r="A213" t="s">
        <v>321</v>
      </c>
      <c r="B213" t="s">
        <v>562</v>
      </c>
      <c r="C213" t="str">
        <f>IF(ISERROR(MATCH(A213,'SegEnds_Xtal_Prot#'!B:B, 0)), "NoXtal", "Xtal")</f>
        <v>NoXtal</v>
      </c>
      <c r="D213" t="str">
        <f t="shared" si="4"/>
        <v>human</v>
      </c>
      <c r="E213" t="str">
        <f>VLOOKUP(A213,Classification!A:B,2,FALSE)</f>
        <v>A</v>
      </c>
    </row>
    <row r="214" spans="1:5" x14ac:dyDescent="0.2">
      <c r="A214" t="s">
        <v>325</v>
      </c>
      <c r="B214" t="s">
        <v>564</v>
      </c>
      <c r="C214" t="str">
        <f>IF(ISERROR(MATCH(A214,'SegEnds_Xtal_Prot#'!B:B, 0)), "NoXtal", "Xtal")</f>
        <v>NoXtal</v>
      </c>
      <c r="D214" t="str">
        <f t="shared" si="4"/>
        <v>human</v>
      </c>
      <c r="E214" t="str">
        <f>VLOOKUP(A214,Classification!A:B,2,FALSE)</f>
        <v>A</v>
      </c>
    </row>
    <row r="215" spans="1:5" x14ac:dyDescent="0.2">
      <c r="A215" t="s">
        <v>326</v>
      </c>
      <c r="B215" t="s">
        <v>565</v>
      </c>
      <c r="C215" t="str">
        <f>IF(ISERROR(MATCH(A215,'SegEnds_Xtal_Prot#'!B:B, 0)), "NoXtal", "Xtal")</f>
        <v>NoXtal</v>
      </c>
      <c r="D215" t="str">
        <f t="shared" si="4"/>
        <v>human</v>
      </c>
      <c r="E215" t="str">
        <f>VLOOKUP(A215,Classification!A:B,2,FALSE)</f>
        <v>A</v>
      </c>
    </row>
    <row r="216" spans="1:5" x14ac:dyDescent="0.2">
      <c r="A216" t="s">
        <v>327</v>
      </c>
      <c r="B216" t="s">
        <v>566</v>
      </c>
      <c r="C216" t="str">
        <f>IF(ISERROR(MATCH(A216,'SegEnds_Xtal_Prot#'!B:B, 0)), "NoXtal", "Xtal")</f>
        <v>NoXtal</v>
      </c>
      <c r="D216" t="str">
        <f t="shared" si="4"/>
        <v>human</v>
      </c>
      <c r="E216" t="str">
        <f>VLOOKUP(A216,Classification!A:B,2,FALSE)</f>
        <v>A</v>
      </c>
    </row>
    <row r="217" spans="1:5" x14ac:dyDescent="0.2">
      <c r="A217" t="s">
        <v>328</v>
      </c>
      <c r="B217" t="s">
        <v>567</v>
      </c>
      <c r="C217" t="str">
        <f>IF(ISERROR(MATCH(A217,'SegEnds_Xtal_Prot#'!B:B, 0)), "NoXtal", "Xtal")</f>
        <v>NoXtal</v>
      </c>
      <c r="D217" t="str">
        <f t="shared" si="4"/>
        <v>human</v>
      </c>
      <c r="E217" t="str">
        <f>VLOOKUP(A217,Classification!A:B,2,FALSE)</f>
        <v>A</v>
      </c>
    </row>
    <row r="218" spans="1:5" x14ac:dyDescent="0.2">
      <c r="A218" t="s">
        <v>329</v>
      </c>
      <c r="B218" t="s">
        <v>568</v>
      </c>
      <c r="C218" t="str">
        <f>IF(ISERROR(MATCH(A218,'SegEnds_Xtal_Prot#'!B:B, 0)), "NoXtal", "Xtal")</f>
        <v>NoXtal</v>
      </c>
      <c r="D218" t="str">
        <f t="shared" si="4"/>
        <v>human</v>
      </c>
      <c r="E218" t="str">
        <f>VLOOKUP(A218,Classification!A:B,2,FALSE)</f>
        <v>A</v>
      </c>
    </row>
    <row r="219" spans="1:5" x14ac:dyDescent="0.2">
      <c r="A219" t="s">
        <v>127</v>
      </c>
      <c r="B219" t="s">
        <v>569</v>
      </c>
      <c r="C219" t="str">
        <f>IF(ISERROR(MATCH(A219,'SegEnds_Xtal_Prot#'!B:B, 0)), "NoXtal", "Xtal")</f>
        <v>NoXtal</v>
      </c>
      <c r="D219" t="str">
        <f t="shared" si="4"/>
        <v>human</v>
      </c>
      <c r="E219" t="str">
        <f>VLOOKUP(A219,Classification!A:B,2,FALSE)</f>
        <v>A</v>
      </c>
    </row>
    <row r="220" spans="1:5" x14ac:dyDescent="0.2">
      <c r="A220" t="s">
        <v>330</v>
      </c>
      <c r="B220" t="s">
        <v>570</v>
      </c>
      <c r="C220" t="str">
        <f>IF(ISERROR(MATCH(A220,'SegEnds_Xtal_Prot#'!B:B, 0)), "NoXtal", "Xtal")</f>
        <v>NoXtal</v>
      </c>
      <c r="D220" t="str">
        <f t="shared" si="4"/>
        <v>human</v>
      </c>
      <c r="E220" t="str">
        <f>VLOOKUP(A220,Classification!A:B,2,FALSE)</f>
        <v>A</v>
      </c>
    </row>
    <row r="221" spans="1:5" x14ac:dyDescent="0.2">
      <c r="A221" t="s">
        <v>337</v>
      </c>
      <c r="B221" t="s">
        <v>573</v>
      </c>
      <c r="C221" t="str">
        <f>IF(ISERROR(MATCH(A221,'SegEnds_Xtal_Prot#'!B:B, 0)), "NoXtal", "Xtal")</f>
        <v>NoXtal</v>
      </c>
      <c r="D221" t="str">
        <f t="shared" si="4"/>
        <v>human</v>
      </c>
      <c r="E221" t="str">
        <f>VLOOKUP(A221,Classification!A:B,2,FALSE)</f>
        <v>A</v>
      </c>
    </row>
    <row r="222" spans="1:5" x14ac:dyDescent="0.2">
      <c r="A222" t="s">
        <v>372</v>
      </c>
      <c r="B222" t="s">
        <v>577</v>
      </c>
      <c r="C222" t="str">
        <f>IF(ISERROR(MATCH(A222,'SegEnds_Xtal_Prot#'!B:B, 0)), "NoXtal", "Xtal")</f>
        <v>NoXtal</v>
      </c>
      <c r="D222" t="str">
        <f t="shared" si="4"/>
        <v>human</v>
      </c>
      <c r="E222" t="str">
        <f>VLOOKUP(A222,Classification!A:B,2,FALSE)</f>
        <v>A</v>
      </c>
    </row>
    <row r="223" spans="1:5" x14ac:dyDescent="0.2">
      <c r="A223" t="s">
        <v>369</v>
      </c>
      <c r="B223" t="s">
        <v>578</v>
      </c>
      <c r="C223" t="str">
        <f>IF(ISERROR(MATCH(A223,'SegEnds_Xtal_Prot#'!B:B, 0)), "NoXtal", "Xtal")</f>
        <v>NoXtal</v>
      </c>
      <c r="D223" t="str">
        <f t="shared" si="4"/>
        <v>human</v>
      </c>
      <c r="E223" t="str">
        <f>VLOOKUP(A223,Classification!A:B,2,FALSE)</f>
        <v>A</v>
      </c>
    </row>
    <row r="224" spans="1:5" x14ac:dyDescent="0.2">
      <c r="A224" t="s">
        <v>356</v>
      </c>
      <c r="B224" t="s">
        <v>580</v>
      </c>
      <c r="C224" t="str">
        <f>IF(ISERROR(MATCH(A224,'SegEnds_Xtal_Prot#'!B:B, 0)), "NoXtal", "Xtal")</f>
        <v>Xtal</v>
      </c>
      <c r="D224" t="str">
        <f t="shared" si="4"/>
        <v>human</v>
      </c>
      <c r="E224" t="str">
        <f>VLOOKUP(A224,Classification!A:B,2,FALSE)</f>
        <v>A</v>
      </c>
    </row>
    <row r="225" spans="1:5" x14ac:dyDescent="0.2">
      <c r="A225" t="s">
        <v>357</v>
      </c>
      <c r="B225" t="s">
        <v>581</v>
      </c>
      <c r="C225" t="str">
        <f>IF(ISERROR(MATCH(A225,'SegEnds_Xtal_Prot#'!B:B, 0)), "NoXtal", "Xtal")</f>
        <v>NoXtal</v>
      </c>
      <c r="D225" t="str">
        <f t="shared" si="4"/>
        <v>human</v>
      </c>
      <c r="E225" t="str">
        <f>VLOOKUP(A225,Classification!A:B,2,FALSE)</f>
        <v>A</v>
      </c>
    </row>
    <row r="226" spans="1:5" x14ac:dyDescent="0.2">
      <c r="A226" t="s">
        <v>358</v>
      </c>
      <c r="B226" t="s">
        <v>582</v>
      </c>
      <c r="C226" t="str">
        <f>IF(ISERROR(MATCH(A226,'SegEnds_Xtal_Prot#'!B:B, 0)), "NoXtal", "Xtal")</f>
        <v>NoXtal</v>
      </c>
      <c r="D226" t="str">
        <f t="shared" si="4"/>
        <v>human</v>
      </c>
      <c r="E226" t="str">
        <f>VLOOKUP(A226,Classification!A:B,2,FALSE)</f>
        <v>A</v>
      </c>
    </row>
    <row r="227" spans="1:5" x14ac:dyDescent="0.2">
      <c r="A227" t="s">
        <v>375</v>
      </c>
      <c r="B227" t="s">
        <v>583</v>
      </c>
      <c r="C227" t="str">
        <f>IF(ISERROR(MATCH(A227,'SegEnds_Xtal_Prot#'!B:B, 0)), "NoXtal", "Xtal")</f>
        <v>NoXtal</v>
      </c>
      <c r="D227" t="str">
        <f t="shared" si="4"/>
        <v>human</v>
      </c>
      <c r="E227" t="str">
        <f>VLOOKUP(A227,Classification!A:B,2,FALSE)</f>
        <v>A</v>
      </c>
    </row>
    <row r="228" spans="1:5" x14ac:dyDescent="0.2">
      <c r="A228" t="s">
        <v>376</v>
      </c>
      <c r="B228" t="s">
        <v>584</v>
      </c>
      <c r="C228" t="str">
        <f>IF(ISERROR(MATCH(A228,'SegEnds_Xtal_Prot#'!B:B, 0)), "NoXtal", "Xtal")</f>
        <v>NoXtal</v>
      </c>
      <c r="D228" t="str">
        <f t="shared" si="4"/>
        <v>human</v>
      </c>
      <c r="E228" t="str">
        <f>VLOOKUP(A228,Classification!A:B,2,FALSE)</f>
        <v>A</v>
      </c>
    </row>
    <row r="229" spans="1:5" x14ac:dyDescent="0.2">
      <c r="A229" t="s">
        <v>373</v>
      </c>
      <c r="B229" t="s">
        <v>585</v>
      </c>
      <c r="C229" t="str">
        <f>IF(ISERROR(MATCH(A229,'SegEnds_Xtal_Prot#'!B:B, 0)), "NoXtal", "Xtal")</f>
        <v>NoXtal</v>
      </c>
      <c r="D229" t="str">
        <f t="shared" si="4"/>
        <v>human</v>
      </c>
      <c r="E229" t="str">
        <f>VLOOKUP(A229,Classification!A:B,2,FALSE)</f>
        <v>A</v>
      </c>
    </row>
    <row r="230" spans="1:5" x14ac:dyDescent="0.2">
      <c r="A230" t="s">
        <v>374</v>
      </c>
      <c r="B230" t="s">
        <v>586</v>
      </c>
      <c r="C230" t="str">
        <f>IF(ISERROR(MATCH(A230,'SegEnds_Xtal_Prot#'!B:B, 0)), "NoXtal", "Xtal")</f>
        <v>NoXtal</v>
      </c>
      <c r="D230" t="str">
        <f t="shared" si="4"/>
        <v>human</v>
      </c>
      <c r="E230" t="str">
        <f>VLOOKUP(A230,Classification!A:B,2,FALSE)</f>
        <v>A</v>
      </c>
    </row>
    <row r="231" spans="1:5" x14ac:dyDescent="0.2">
      <c r="A231" t="s">
        <v>381</v>
      </c>
      <c r="B231" t="s">
        <v>587</v>
      </c>
      <c r="C231" t="str">
        <f>IF(ISERROR(MATCH(A231,'SegEnds_Xtal_Prot#'!B:B, 0)), "NoXtal", "Xtal")</f>
        <v>NoXtal</v>
      </c>
      <c r="D231" t="str">
        <f t="shared" si="4"/>
        <v>human</v>
      </c>
      <c r="E231" t="str">
        <f>VLOOKUP(A231,Classification!A:B,2,FALSE)</f>
        <v>A</v>
      </c>
    </row>
    <row r="232" spans="1:5" x14ac:dyDescent="0.2">
      <c r="A232" t="s">
        <v>382</v>
      </c>
      <c r="B232" t="s">
        <v>588</v>
      </c>
      <c r="C232" t="str">
        <f>IF(ISERROR(MATCH(A232,'SegEnds_Xtal_Prot#'!B:B, 0)), "NoXtal", "Xtal")</f>
        <v>NoXtal</v>
      </c>
      <c r="D232" t="str">
        <f t="shared" si="4"/>
        <v>human</v>
      </c>
      <c r="E232" t="str">
        <f>VLOOKUP(A232,Classification!A:B,2,FALSE)</f>
        <v>A</v>
      </c>
    </row>
    <row r="233" spans="1:5" x14ac:dyDescent="0.2">
      <c r="A233" t="s">
        <v>383</v>
      </c>
      <c r="B233" t="s">
        <v>589</v>
      </c>
      <c r="C233" t="str">
        <f>IF(ISERROR(MATCH(A233,'SegEnds_Xtal_Prot#'!B:B, 0)), "NoXtal", "Xtal")</f>
        <v>NoXtal</v>
      </c>
      <c r="D233" t="str">
        <f t="shared" si="4"/>
        <v>human</v>
      </c>
      <c r="E233" t="str">
        <f>VLOOKUP(A233,Classification!A:B,2,FALSE)</f>
        <v>A</v>
      </c>
    </row>
    <row r="234" spans="1:5" x14ac:dyDescent="0.2">
      <c r="A234" t="s">
        <v>384</v>
      </c>
      <c r="B234" t="s">
        <v>590</v>
      </c>
      <c r="C234" t="str">
        <f>IF(ISERROR(MATCH(A234,'SegEnds_Xtal_Prot#'!B:B, 0)), "NoXtal", "Xtal")</f>
        <v>NoXtal</v>
      </c>
      <c r="D234" t="str">
        <f t="shared" si="4"/>
        <v>human</v>
      </c>
      <c r="E234" t="str">
        <f>VLOOKUP(A234,Classification!A:B,2,FALSE)</f>
        <v>A</v>
      </c>
    </row>
    <row r="235" spans="1:5" x14ac:dyDescent="0.2">
      <c r="A235" t="s">
        <v>385</v>
      </c>
      <c r="B235" t="s">
        <v>591</v>
      </c>
      <c r="C235" t="str">
        <f>IF(ISERROR(MATCH(A235,'SegEnds_Xtal_Prot#'!B:B, 0)), "NoXtal", "Xtal")</f>
        <v>NoXtal</v>
      </c>
      <c r="D235" t="str">
        <f t="shared" si="4"/>
        <v>human</v>
      </c>
      <c r="E235" t="str">
        <f>VLOOKUP(A235,Classification!A:B,2,FALSE)</f>
        <v>A</v>
      </c>
    </row>
    <row r="236" spans="1:5" x14ac:dyDescent="0.2">
      <c r="A236" t="s">
        <v>314</v>
      </c>
      <c r="B236" t="s">
        <v>592</v>
      </c>
      <c r="C236" t="str">
        <f>IF(ISERROR(MATCH(A236,'SegEnds_Xtal_Prot#'!B:B, 0)), "NoXtal", "Xtal")</f>
        <v>NoXtal</v>
      </c>
      <c r="D236" t="str">
        <f t="shared" si="4"/>
        <v>human</v>
      </c>
      <c r="E236" t="str">
        <f>VLOOKUP(A236,Classification!A:B,2,FALSE)</f>
        <v>A</v>
      </c>
    </row>
    <row r="237" spans="1:5" x14ac:dyDescent="0.2">
      <c r="A237" t="s">
        <v>315</v>
      </c>
      <c r="B237" t="s">
        <v>593</v>
      </c>
      <c r="C237" t="str">
        <f>IF(ISERROR(MATCH(A237,'SegEnds_Xtal_Prot#'!B:B, 0)), "NoXtal", "Xtal")</f>
        <v>NoXtal</v>
      </c>
      <c r="D237" t="str">
        <f t="shared" si="4"/>
        <v>human</v>
      </c>
      <c r="E237" t="str">
        <f>VLOOKUP(A237,Classification!A:B,2,FALSE)</f>
        <v>A</v>
      </c>
    </row>
    <row r="238" spans="1:5" x14ac:dyDescent="0.2">
      <c r="A238" t="s">
        <v>316</v>
      </c>
      <c r="B238" t="s">
        <v>595</v>
      </c>
      <c r="C238" t="str">
        <f>IF(ISERROR(MATCH(A238,'SegEnds_Xtal_Prot#'!B:B, 0)), "NoXtal", "Xtal")</f>
        <v>NoXtal</v>
      </c>
      <c r="D238" t="str">
        <f t="shared" si="4"/>
        <v>human</v>
      </c>
      <c r="E238" t="str">
        <f>VLOOKUP(A238,Classification!A:B,2,FALSE)</f>
        <v>A</v>
      </c>
    </row>
    <row r="239" spans="1:5" x14ac:dyDescent="0.2">
      <c r="A239" t="s">
        <v>394</v>
      </c>
      <c r="B239" t="s">
        <v>596</v>
      </c>
      <c r="C239" t="str">
        <f>IF(ISERROR(MATCH(A239,'SegEnds_Xtal_Prot#'!B:B, 0)), "NoXtal", "Xtal")</f>
        <v>NoXtal</v>
      </c>
      <c r="D239" t="str">
        <f t="shared" si="4"/>
        <v>human</v>
      </c>
      <c r="E239" t="str">
        <f>VLOOKUP(A239,Classification!A:B,2,FALSE)</f>
        <v>A</v>
      </c>
    </row>
    <row r="240" spans="1:5" x14ac:dyDescent="0.2">
      <c r="A240" t="s">
        <v>396</v>
      </c>
      <c r="B240" t="s">
        <v>597</v>
      </c>
      <c r="C240" t="str">
        <f>IF(ISERROR(MATCH(A240,'SegEnds_Xtal_Prot#'!B:B, 0)), "NoXtal", "Xtal")</f>
        <v>NoXtal</v>
      </c>
      <c r="D240" t="str">
        <f t="shared" si="4"/>
        <v>human</v>
      </c>
      <c r="E240" t="str">
        <f>VLOOKUP(A240,Classification!A:B,2,FALSE)</f>
        <v>A</v>
      </c>
    </row>
    <row r="241" spans="1:5" x14ac:dyDescent="0.2">
      <c r="A241" t="s">
        <v>397</v>
      </c>
      <c r="B241" t="s">
        <v>598</v>
      </c>
      <c r="C241" t="str">
        <f>IF(ISERROR(MATCH(A241,'SegEnds_Xtal_Prot#'!B:B, 0)), "NoXtal", "Xtal")</f>
        <v>NoXtal</v>
      </c>
      <c r="D241" t="str">
        <f t="shared" si="4"/>
        <v>human</v>
      </c>
      <c r="E241" t="str">
        <f>VLOOKUP(A241,Classification!A:B,2,FALSE)</f>
        <v>A</v>
      </c>
    </row>
    <row r="242" spans="1:5" x14ac:dyDescent="0.2">
      <c r="A242" t="s">
        <v>398</v>
      </c>
      <c r="B242" t="s">
        <v>599</v>
      </c>
      <c r="C242" t="str">
        <f>IF(ISERROR(MATCH(A242,'SegEnds_Xtal_Prot#'!B:B, 0)), "NoXtal", "Xtal")</f>
        <v>NoXtal</v>
      </c>
      <c r="D242" t="str">
        <f t="shared" si="4"/>
        <v>human</v>
      </c>
      <c r="E242" t="str">
        <f>VLOOKUP(A242,Classification!A:B,2,FALSE)</f>
        <v>A</v>
      </c>
    </row>
    <row r="243" spans="1:5" x14ac:dyDescent="0.2">
      <c r="A243" t="s">
        <v>399</v>
      </c>
      <c r="B243" t="s">
        <v>600</v>
      </c>
      <c r="C243" t="str">
        <f>IF(ISERROR(MATCH(A243,'SegEnds_Xtal_Prot#'!B:B, 0)), "NoXtal", "Xtal")</f>
        <v>NoXtal</v>
      </c>
      <c r="D243" t="str">
        <f t="shared" si="4"/>
        <v>human</v>
      </c>
      <c r="E243" t="str">
        <f>VLOOKUP(A243,Classification!A:B,2,FALSE)</f>
        <v>A</v>
      </c>
    </row>
    <row r="244" spans="1:5" x14ac:dyDescent="0.2">
      <c r="A244" t="s">
        <v>344</v>
      </c>
      <c r="B244" t="s">
        <v>601</v>
      </c>
      <c r="C244" t="str">
        <f>IF(ISERROR(MATCH(A244,'SegEnds_Xtal_Prot#'!B:B, 0)), "NoXtal", "Xtal")</f>
        <v>NoXtal</v>
      </c>
      <c r="D244" t="str">
        <f t="shared" si="4"/>
        <v>human</v>
      </c>
      <c r="E244" t="str">
        <f>VLOOKUP(A244,Classification!A:B,2,FALSE)</f>
        <v>A</v>
      </c>
    </row>
    <row r="245" spans="1:5" x14ac:dyDescent="0.2">
      <c r="A245" t="s">
        <v>181</v>
      </c>
      <c r="B245" t="s">
        <v>602</v>
      </c>
      <c r="C245" t="str">
        <f>IF(ISERROR(MATCH(A245,'SegEnds_Xtal_Prot#'!B:B, 0)), "NoXtal", "Xtal")</f>
        <v>NoXtal</v>
      </c>
      <c r="D245" t="str">
        <f t="shared" si="4"/>
        <v>human</v>
      </c>
      <c r="E245" t="str">
        <f>VLOOKUP(A245,Classification!A:B,2,FALSE)</f>
        <v>A</v>
      </c>
    </row>
    <row r="246" spans="1:5" x14ac:dyDescent="0.2">
      <c r="A246" t="s">
        <v>168</v>
      </c>
      <c r="B246" t="s">
        <v>603</v>
      </c>
      <c r="C246" t="str">
        <f>IF(ISERROR(MATCH(A246,'SegEnds_Xtal_Prot#'!B:B, 0)), "NoXtal", "Xtal")</f>
        <v>NoXtal</v>
      </c>
      <c r="D246" t="str">
        <f t="shared" si="4"/>
        <v>human</v>
      </c>
      <c r="E246" t="str">
        <f>VLOOKUP(A246,Classification!A:B,2,FALSE)</f>
        <v>A</v>
      </c>
    </row>
    <row r="247" spans="1:5" x14ac:dyDescent="0.2">
      <c r="A247" t="s">
        <v>170</v>
      </c>
      <c r="B247" t="s">
        <v>604</v>
      </c>
      <c r="C247" t="str">
        <f>IF(ISERROR(MATCH(A247,'SegEnds_Xtal_Prot#'!B:B, 0)), "NoXtal", "Xtal")</f>
        <v>Xtal</v>
      </c>
      <c r="D247" t="str">
        <f t="shared" si="4"/>
        <v>human</v>
      </c>
      <c r="E247" t="str">
        <f>VLOOKUP(A247,Classification!A:B,2,FALSE)</f>
        <v>A</v>
      </c>
    </row>
    <row r="248" spans="1:5" x14ac:dyDescent="0.2">
      <c r="A248" t="s">
        <v>171</v>
      </c>
      <c r="B248" t="s">
        <v>605</v>
      </c>
      <c r="C248" t="str">
        <f>IF(ISERROR(MATCH(A248,'SegEnds_Xtal_Prot#'!B:B, 0)), "NoXtal", "Xtal")</f>
        <v>NoXtal</v>
      </c>
      <c r="D248" t="str">
        <f t="shared" si="4"/>
        <v>human</v>
      </c>
      <c r="E248" t="str">
        <f>VLOOKUP(A248,Classification!A:B,2,FALSE)</f>
        <v>A</v>
      </c>
    </row>
    <row r="249" spans="1:5" x14ac:dyDescent="0.2">
      <c r="A249" t="s">
        <v>172</v>
      </c>
      <c r="B249" t="s">
        <v>606</v>
      </c>
      <c r="C249" t="str">
        <f>IF(ISERROR(MATCH(A249,'SegEnds_Xtal_Prot#'!B:B, 0)), "NoXtal", "Xtal")</f>
        <v>NoXtal</v>
      </c>
      <c r="D249" t="str">
        <f t="shared" si="4"/>
        <v>human</v>
      </c>
      <c r="E249" t="str">
        <f>VLOOKUP(A249,Classification!A:B,2,FALSE)</f>
        <v>A</v>
      </c>
    </row>
    <row r="250" spans="1:5" x14ac:dyDescent="0.2">
      <c r="A250" t="s">
        <v>174</v>
      </c>
      <c r="B250" t="s">
        <v>608</v>
      </c>
      <c r="C250" t="str">
        <f>IF(ISERROR(MATCH(A250,'SegEnds_Xtal_Prot#'!B:B, 0)), "NoXtal", "Xtal")</f>
        <v>NoXtal</v>
      </c>
      <c r="D250" t="str">
        <f t="shared" si="4"/>
        <v>human</v>
      </c>
      <c r="E250" t="str">
        <f>VLOOKUP(A250,Classification!A:B,2,FALSE)</f>
        <v>A</v>
      </c>
    </row>
    <row r="251" spans="1:5" x14ac:dyDescent="0.2">
      <c r="A251" t="s">
        <v>175</v>
      </c>
      <c r="B251" t="s">
        <v>609</v>
      </c>
      <c r="C251" t="str">
        <f>IF(ISERROR(MATCH(A251,'SegEnds_Xtal_Prot#'!B:B, 0)), "NoXtal", "Xtal")</f>
        <v>NoXtal</v>
      </c>
      <c r="D251" t="str">
        <f t="shared" si="4"/>
        <v>human</v>
      </c>
      <c r="E251" t="str">
        <f>VLOOKUP(A251,Classification!A:B,2,FALSE)</f>
        <v>A</v>
      </c>
    </row>
    <row r="252" spans="1:5" x14ac:dyDescent="0.2">
      <c r="A252" t="s">
        <v>176</v>
      </c>
      <c r="B252" t="s">
        <v>610</v>
      </c>
      <c r="C252" t="str">
        <f>IF(ISERROR(MATCH(A252,'SegEnds_Xtal_Prot#'!B:B, 0)), "NoXtal", "Xtal")</f>
        <v>NoXtal</v>
      </c>
      <c r="D252" t="str">
        <f t="shared" si="4"/>
        <v>human</v>
      </c>
      <c r="E252" t="str">
        <f>VLOOKUP(A252,Classification!A:B,2,FALSE)</f>
        <v>A</v>
      </c>
    </row>
    <row r="253" spans="1:5" x14ac:dyDescent="0.2">
      <c r="A253" t="s">
        <v>177</v>
      </c>
      <c r="B253" t="s">
        <v>612</v>
      </c>
      <c r="C253" t="str">
        <f>IF(ISERROR(MATCH(A253,'SegEnds_Xtal_Prot#'!B:B, 0)), "NoXtal", "Xtal")</f>
        <v>Xtal</v>
      </c>
      <c r="D253" t="str">
        <f t="shared" si="4"/>
        <v>human</v>
      </c>
      <c r="E253" t="str">
        <f>VLOOKUP(A253,Classification!A:B,2,FALSE)</f>
        <v>A</v>
      </c>
    </row>
    <row r="254" spans="1:5" x14ac:dyDescent="0.2">
      <c r="A254" t="s">
        <v>169</v>
      </c>
      <c r="B254" t="s">
        <v>613</v>
      </c>
      <c r="C254" t="str">
        <f>IF(ISERROR(MATCH(A254,'SegEnds_Xtal_Prot#'!B:B, 0)), "NoXtal", "Xtal")</f>
        <v>NoXtal</v>
      </c>
      <c r="D254" t="str">
        <f t="shared" si="4"/>
        <v>human</v>
      </c>
      <c r="E254" t="str">
        <f>VLOOKUP(A254,Classification!A:B,2,FALSE)</f>
        <v>A</v>
      </c>
    </row>
    <row r="255" spans="1:5" x14ac:dyDescent="0.2">
      <c r="A255" t="s">
        <v>185</v>
      </c>
      <c r="B255" t="s">
        <v>614</v>
      </c>
      <c r="C255" t="str">
        <f>IF(ISERROR(MATCH(A255,'SegEnds_Xtal_Prot#'!B:B, 0)), "NoXtal", "Xtal")</f>
        <v>NoXtal</v>
      </c>
      <c r="D255" t="str">
        <f t="shared" si="4"/>
        <v>human</v>
      </c>
      <c r="E255" t="str">
        <f>VLOOKUP(A255,Classification!A:B,2,FALSE)</f>
        <v>A</v>
      </c>
    </row>
    <row r="256" spans="1:5" x14ac:dyDescent="0.2">
      <c r="A256" t="s">
        <v>186</v>
      </c>
      <c r="B256" t="s">
        <v>615</v>
      </c>
      <c r="C256" t="str">
        <f>IF(ISERROR(MATCH(A256,'SegEnds_Xtal_Prot#'!B:B, 0)), "NoXtal", "Xtal")</f>
        <v>NoXtal</v>
      </c>
      <c r="D256" t="str">
        <f t="shared" si="4"/>
        <v>human</v>
      </c>
      <c r="E256" t="str">
        <f>VLOOKUP(A256,Classification!A:B,2,FALSE)</f>
        <v>A</v>
      </c>
    </row>
    <row r="257" spans="1:5" x14ac:dyDescent="0.2">
      <c r="A257" t="s">
        <v>187</v>
      </c>
      <c r="B257" t="s">
        <v>616</v>
      </c>
      <c r="C257" t="str">
        <f>IF(ISERROR(MATCH(A257,'SegEnds_Xtal_Prot#'!B:B, 0)), "NoXtal", "Xtal")</f>
        <v>NoXtal</v>
      </c>
      <c r="D257" t="str">
        <f t="shared" si="4"/>
        <v>human</v>
      </c>
      <c r="E257" t="str">
        <f>VLOOKUP(A257,Classification!A:B,2,FALSE)</f>
        <v>A</v>
      </c>
    </row>
    <row r="258" spans="1:5" x14ac:dyDescent="0.2">
      <c r="A258" t="s">
        <v>188</v>
      </c>
      <c r="B258" t="s">
        <v>618</v>
      </c>
      <c r="C258" t="str">
        <f>IF(ISERROR(MATCH(A258,'SegEnds_Xtal_Prot#'!B:B, 0)), "NoXtal", "Xtal")</f>
        <v>NoXtal</v>
      </c>
      <c r="D258" t="str">
        <f t="shared" si="4"/>
        <v>human</v>
      </c>
      <c r="E258" t="str">
        <f>VLOOKUP(A258,Classification!A:B,2,FALSE)</f>
        <v>A</v>
      </c>
    </row>
    <row r="259" spans="1:5" x14ac:dyDescent="0.2">
      <c r="A259" t="s">
        <v>189</v>
      </c>
      <c r="B259" t="s">
        <v>619</v>
      </c>
      <c r="C259" t="str">
        <f>IF(ISERROR(MATCH(A259,'SegEnds_Xtal_Prot#'!B:B, 0)), "NoXtal", "Xtal")</f>
        <v>NoXtal</v>
      </c>
      <c r="D259" t="str">
        <f t="shared" ref="D259:D322" si="5">MID(A259,FIND("_",A259)+1,LEN(A259)-FIND("_",A259))</f>
        <v>human</v>
      </c>
      <c r="E259" t="str">
        <f>VLOOKUP(A259,Classification!A:B,2,FALSE)</f>
        <v>A</v>
      </c>
    </row>
    <row r="260" spans="1:5" x14ac:dyDescent="0.2">
      <c r="A260" t="s">
        <v>184</v>
      </c>
      <c r="B260" t="s">
        <v>620</v>
      </c>
      <c r="C260" t="str">
        <f>IF(ISERROR(MATCH(A260,'SegEnds_Xtal_Prot#'!B:B, 0)), "NoXtal", "Xtal")</f>
        <v>NoXtal</v>
      </c>
      <c r="D260" t="str">
        <f t="shared" si="5"/>
        <v>human</v>
      </c>
      <c r="E260" t="str">
        <f>VLOOKUP(A260,Classification!A:B,2,FALSE)</f>
        <v>A</v>
      </c>
    </row>
    <row r="261" spans="1:5" x14ac:dyDescent="0.2">
      <c r="A261" t="s">
        <v>400</v>
      </c>
      <c r="B261" t="s">
        <v>621</v>
      </c>
      <c r="C261" t="str">
        <f>IF(ISERROR(MATCH(A261,'SegEnds_Xtal_Prot#'!B:B, 0)), "NoXtal", "Xtal")</f>
        <v>NoXtal</v>
      </c>
      <c r="D261" t="str">
        <f t="shared" si="5"/>
        <v>human</v>
      </c>
      <c r="E261" t="str">
        <f>VLOOKUP(A261,Classification!A:B,2,FALSE)</f>
        <v>A</v>
      </c>
    </row>
    <row r="262" spans="1:5" x14ac:dyDescent="0.2">
      <c r="A262" t="s">
        <v>142</v>
      </c>
      <c r="B262" t="s">
        <v>622</v>
      </c>
      <c r="C262" t="str">
        <f>IF(ISERROR(MATCH(A262,'SegEnds_Xtal_Prot#'!B:B, 0)), "NoXtal", "Xtal")</f>
        <v>NoXtal</v>
      </c>
      <c r="D262" t="str">
        <f t="shared" si="5"/>
        <v>human</v>
      </c>
      <c r="E262" t="str">
        <f>VLOOKUP(A262,Classification!A:B,2,FALSE)</f>
        <v>A</v>
      </c>
    </row>
    <row r="263" spans="1:5" x14ac:dyDescent="0.2">
      <c r="A263" t="s">
        <v>143</v>
      </c>
      <c r="B263" t="s">
        <v>623</v>
      </c>
      <c r="C263" t="str">
        <f>IF(ISERROR(MATCH(A263,'SegEnds_Xtal_Prot#'!B:B, 0)), "NoXtal", "Xtal")</f>
        <v>NoXtal</v>
      </c>
      <c r="D263" t="str">
        <f t="shared" si="5"/>
        <v>human</v>
      </c>
      <c r="E263" t="str">
        <f>VLOOKUP(A263,Classification!A:B,2,FALSE)</f>
        <v>A</v>
      </c>
    </row>
    <row r="264" spans="1:5" x14ac:dyDescent="0.2">
      <c r="A264" t="s">
        <v>144</v>
      </c>
      <c r="B264" t="s">
        <v>624</v>
      </c>
      <c r="C264" t="str">
        <f>IF(ISERROR(MATCH(A264,'SegEnds_Xtal_Prot#'!B:B, 0)), "NoXtal", "Xtal")</f>
        <v>NoXtal</v>
      </c>
      <c r="D264" t="str">
        <f t="shared" si="5"/>
        <v>human</v>
      </c>
      <c r="E264" t="str">
        <f>VLOOKUP(A264,Classification!A:B,2,FALSE)</f>
        <v>A</v>
      </c>
    </row>
    <row r="265" spans="1:5" x14ac:dyDescent="0.2">
      <c r="A265" t="s">
        <v>145</v>
      </c>
      <c r="B265" t="s">
        <v>625</v>
      </c>
      <c r="C265" t="str">
        <f>IF(ISERROR(MATCH(A265,'SegEnds_Xtal_Prot#'!B:B, 0)), "NoXtal", "Xtal")</f>
        <v>NoXtal</v>
      </c>
      <c r="D265" t="str">
        <f t="shared" si="5"/>
        <v>human</v>
      </c>
      <c r="E265" t="str">
        <f>VLOOKUP(A265,Classification!A:B,2,FALSE)</f>
        <v>A</v>
      </c>
    </row>
    <row r="266" spans="1:5" x14ac:dyDescent="0.2">
      <c r="A266" t="s">
        <v>178</v>
      </c>
      <c r="B266" t="s">
        <v>626</v>
      </c>
      <c r="C266" t="str">
        <f>IF(ISERROR(MATCH(A266,'SegEnds_Xtal_Prot#'!B:B, 0)), "NoXtal", "Xtal")</f>
        <v>NoXtal</v>
      </c>
      <c r="D266" t="str">
        <f t="shared" si="5"/>
        <v>human</v>
      </c>
      <c r="E266" t="str">
        <f>VLOOKUP(A266,Classification!A:B,2,FALSE)</f>
        <v>A</v>
      </c>
    </row>
    <row r="267" spans="1:5" x14ac:dyDescent="0.2">
      <c r="A267" t="s">
        <v>204</v>
      </c>
      <c r="B267" t="s">
        <v>627</v>
      </c>
      <c r="C267" t="str">
        <f>IF(ISERROR(MATCH(A267,'SegEnds_Xtal_Prot#'!B:B, 0)), "NoXtal", "Xtal")</f>
        <v>NoXtal</v>
      </c>
      <c r="D267" t="str">
        <f t="shared" si="5"/>
        <v>human</v>
      </c>
      <c r="E267" t="str">
        <f>VLOOKUP(A267,Classification!A:B,2,FALSE)</f>
        <v>A</v>
      </c>
    </row>
    <row r="268" spans="1:5" x14ac:dyDescent="0.2">
      <c r="A268" t="s">
        <v>286</v>
      </c>
      <c r="B268" t="s">
        <v>628</v>
      </c>
      <c r="C268" t="str">
        <f>IF(ISERROR(MATCH(A268,'SegEnds_Xtal_Prot#'!B:B, 0)), "NoXtal", "Xtal")</f>
        <v>NoXtal</v>
      </c>
      <c r="D268" t="str">
        <f t="shared" si="5"/>
        <v>human</v>
      </c>
      <c r="E268" t="str">
        <f>VLOOKUP(A268,Classification!A:B,2,FALSE)</f>
        <v>A</v>
      </c>
    </row>
    <row r="269" spans="1:5" x14ac:dyDescent="0.2">
      <c r="A269" t="s">
        <v>291</v>
      </c>
      <c r="B269" t="s">
        <v>629</v>
      </c>
      <c r="C269" t="str">
        <f>IF(ISERROR(MATCH(A269,'SegEnds_Xtal_Prot#'!B:B, 0)), "NoXtal", "Xtal")</f>
        <v>NoXtal</v>
      </c>
      <c r="D269" t="str">
        <f t="shared" si="5"/>
        <v>human</v>
      </c>
      <c r="E269" t="str">
        <f>VLOOKUP(A269,Classification!A:B,2,FALSE)</f>
        <v>A</v>
      </c>
    </row>
    <row r="270" spans="1:5" x14ac:dyDescent="0.2">
      <c r="A270" t="s">
        <v>395</v>
      </c>
      <c r="B270" t="s">
        <v>630</v>
      </c>
      <c r="C270" t="str">
        <f>IF(ISERROR(MATCH(A270,'SegEnds_Xtal_Prot#'!B:B, 0)), "NoXtal", "Xtal")</f>
        <v>NoXtal</v>
      </c>
      <c r="D270" t="str">
        <f t="shared" si="5"/>
        <v>human</v>
      </c>
      <c r="E270" t="str">
        <f>VLOOKUP(A270,Classification!A:B,2,FALSE)</f>
        <v>A</v>
      </c>
    </row>
    <row r="271" spans="1:5" x14ac:dyDescent="0.2">
      <c r="A271" t="s">
        <v>367</v>
      </c>
      <c r="B271" t="s">
        <v>631</v>
      </c>
      <c r="C271" t="str">
        <f>IF(ISERROR(MATCH(A271,'SegEnds_Xtal_Prot#'!B:B, 0)), "NoXtal", "Xtal")</f>
        <v>NoXtal</v>
      </c>
      <c r="D271" t="str">
        <f t="shared" si="5"/>
        <v>human</v>
      </c>
      <c r="E271" t="str">
        <f>VLOOKUP(A271,Classification!A:B,2,FALSE)</f>
        <v>A</v>
      </c>
    </row>
    <row r="272" spans="1:5" x14ac:dyDescent="0.2">
      <c r="A272" t="s">
        <v>368</v>
      </c>
      <c r="B272" t="s">
        <v>632</v>
      </c>
      <c r="C272" t="str">
        <f>IF(ISERROR(MATCH(A272,'SegEnds_Xtal_Prot#'!B:B, 0)), "NoXtal", "Xtal")</f>
        <v>NoXtal</v>
      </c>
      <c r="D272" t="str">
        <f t="shared" si="5"/>
        <v>human</v>
      </c>
      <c r="E272" t="str">
        <f>VLOOKUP(A272,Classification!A:B,2,FALSE)</f>
        <v>A</v>
      </c>
    </row>
    <row r="273" spans="1:5" x14ac:dyDescent="0.2">
      <c r="A273" t="s">
        <v>198</v>
      </c>
      <c r="B273" t="s">
        <v>634</v>
      </c>
      <c r="C273" t="str">
        <f>IF(ISERROR(MATCH(A273,'SegEnds_Xtal_Prot#'!B:B, 0)), "NoXtal", "Xtal")</f>
        <v>NoXtal</v>
      </c>
      <c r="D273" t="str">
        <f t="shared" si="5"/>
        <v>human</v>
      </c>
      <c r="E273" t="str">
        <f>VLOOKUP(A273,Classification!A:B,2,FALSE)</f>
        <v>A</v>
      </c>
    </row>
    <row r="274" spans="1:5" x14ac:dyDescent="0.2">
      <c r="A274" t="s">
        <v>199</v>
      </c>
      <c r="B274" t="s">
        <v>635</v>
      </c>
      <c r="C274" t="str">
        <f>IF(ISERROR(MATCH(A274,'SegEnds_Xtal_Prot#'!B:B, 0)), "NoXtal", "Xtal")</f>
        <v>NoXtal</v>
      </c>
      <c r="D274" t="str">
        <f t="shared" si="5"/>
        <v>human</v>
      </c>
      <c r="E274" t="str">
        <f>VLOOKUP(A274,Classification!A:B,2,FALSE)</f>
        <v>A</v>
      </c>
    </row>
    <row r="275" spans="1:5" x14ac:dyDescent="0.2">
      <c r="A275" t="s">
        <v>200</v>
      </c>
      <c r="B275" t="s">
        <v>636</v>
      </c>
      <c r="C275" t="str">
        <f>IF(ISERROR(MATCH(A275,'SegEnds_Xtal_Prot#'!B:B, 0)), "NoXtal", "Xtal")</f>
        <v>NoXtal</v>
      </c>
      <c r="D275" t="str">
        <f t="shared" si="5"/>
        <v>human</v>
      </c>
      <c r="E275" t="str">
        <f>VLOOKUP(A275,Classification!A:B,2,FALSE)</f>
        <v>A</v>
      </c>
    </row>
    <row r="276" spans="1:5" x14ac:dyDescent="0.2">
      <c r="A276" t="s">
        <v>258</v>
      </c>
      <c r="B276" t="s">
        <v>637</v>
      </c>
      <c r="C276" t="str">
        <f>IF(ISERROR(MATCH(A276,'SegEnds_Xtal_Prot#'!B:B, 0)), "NoXtal", "Xtal")</f>
        <v>NoXtal</v>
      </c>
      <c r="D276" t="str">
        <f t="shared" si="5"/>
        <v>human</v>
      </c>
      <c r="E276" t="str">
        <f>VLOOKUP(A276,Classification!A:B,2,FALSE)</f>
        <v>A</v>
      </c>
    </row>
    <row r="277" spans="1:5" x14ac:dyDescent="0.2">
      <c r="A277" t="s">
        <v>292</v>
      </c>
      <c r="B277" t="s">
        <v>638</v>
      </c>
      <c r="C277" t="str">
        <f>IF(ISERROR(MATCH(A277,'SegEnds_Xtal_Prot#'!B:B, 0)), "NoXtal", "Xtal")</f>
        <v>NoXtal</v>
      </c>
      <c r="D277" t="str">
        <f t="shared" si="5"/>
        <v>human</v>
      </c>
      <c r="E277" t="str">
        <f>VLOOKUP(A277,Classification!A:B,2,FALSE)</f>
        <v>A</v>
      </c>
    </row>
    <row r="278" spans="1:5" x14ac:dyDescent="0.2">
      <c r="A278" t="s">
        <v>293</v>
      </c>
      <c r="B278" t="s">
        <v>639</v>
      </c>
      <c r="C278" t="str">
        <f>IF(ISERROR(MATCH(A278,'SegEnds_Xtal_Prot#'!B:B, 0)), "NoXtal", "Xtal")</f>
        <v>NoXtal</v>
      </c>
      <c r="D278" t="str">
        <f t="shared" si="5"/>
        <v>human</v>
      </c>
      <c r="E278" t="str">
        <f>VLOOKUP(A278,Classification!A:B,2,FALSE)</f>
        <v>A</v>
      </c>
    </row>
    <row r="279" spans="1:5" x14ac:dyDescent="0.2">
      <c r="A279" t="s">
        <v>179</v>
      </c>
      <c r="B279" t="s">
        <v>640</v>
      </c>
      <c r="C279" t="str">
        <f>IF(ISERROR(MATCH(A279,'SegEnds_Xtal_Prot#'!B:B, 0)), "NoXtal", "Xtal")</f>
        <v>NoXtal</v>
      </c>
      <c r="D279" t="str">
        <f t="shared" si="5"/>
        <v>human</v>
      </c>
      <c r="E279" t="str">
        <f>VLOOKUP(A279,Classification!A:B,2,FALSE)</f>
        <v>A</v>
      </c>
    </row>
    <row r="280" spans="1:5" x14ac:dyDescent="0.2">
      <c r="A280" t="s">
        <v>180</v>
      </c>
      <c r="B280" t="s">
        <v>641</v>
      </c>
      <c r="C280" t="str">
        <f>IF(ISERROR(MATCH(A280,'SegEnds_Xtal_Prot#'!B:B, 0)), "NoXtal", "Xtal")</f>
        <v>NoXtal</v>
      </c>
      <c r="D280" t="str">
        <f t="shared" si="5"/>
        <v>human</v>
      </c>
      <c r="E280" t="str">
        <f>VLOOKUP(A280,Classification!A:B,2,FALSE)</f>
        <v>A</v>
      </c>
    </row>
    <row r="281" spans="1:5" x14ac:dyDescent="0.2">
      <c r="A281" t="s">
        <v>342</v>
      </c>
      <c r="B281" t="s">
        <v>642</v>
      </c>
      <c r="C281" t="str">
        <f>IF(ISERROR(MATCH(A281,'SegEnds_Xtal_Prot#'!B:B, 0)), "NoXtal", "Xtal")</f>
        <v>NoXtal</v>
      </c>
      <c r="D281" t="str">
        <f t="shared" si="5"/>
        <v>human</v>
      </c>
      <c r="E281" t="str">
        <f>VLOOKUP(A281,Classification!A:B,2,FALSE)</f>
        <v>A</v>
      </c>
    </row>
    <row r="282" spans="1:5" x14ac:dyDescent="0.2">
      <c r="A282" t="s">
        <v>287</v>
      </c>
      <c r="B282" t="s">
        <v>645</v>
      </c>
      <c r="C282" t="str">
        <f>IF(ISERROR(MATCH(A282,'SegEnds_Xtal_Prot#'!B:B, 0)), "NoXtal", "Xtal")</f>
        <v>NoXtal</v>
      </c>
      <c r="D282" t="str">
        <f t="shared" si="5"/>
        <v>human</v>
      </c>
      <c r="E282" t="str">
        <f>VLOOKUP(A282,Classification!A:B,2,FALSE)</f>
        <v>A</v>
      </c>
    </row>
    <row r="283" spans="1:5" x14ac:dyDescent="0.2">
      <c r="A283" t="s">
        <v>288</v>
      </c>
      <c r="B283" t="s">
        <v>646</v>
      </c>
      <c r="C283" t="str">
        <f>IF(ISERROR(MATCH(A283,'SegEnds_Xtal_Prot#'!B:B, 0)), "NoXtal", "Xtal")</f>
        <v>NoXtal</v>
      </c>
      <c r="D283" t="str">
        <f t="shared" si="5"/>
        <v>human</v>
      </c>
      <c r="E283" t="str">
        <f>VLOOKUP(A283,Classification!A:B,2,FALSE)</f>
        <v>A</v>
      </c>
    </row>
    <row r="284" spans="1:5" x14ac:dyDescent="0.2">
      <c r="A284" t="s">
        <v>289</v>
      </c>
      <c r="B284" t="s">
        <v>647</v>
      </c>
      <c r="C284" t="str">
        <f>IF(ISERROR(MATCH(A284,'SegEnds_Xtal_Prot#'!B:B, 0)), "NoXtal", "Xtal")</f>
        <v>NoXtal</v>
      </c>
      <c r="D284" t="str">
        <f t="shared" si="5"/>
        <v>human</v>
      </c>
      <c r="E284" t="str">
        <f>VLOOKUP(A284,Classification!A:B,2,FALSE)</f>
        <v>A</v>
      </c>
    </row>
    <row r="285" spans="1:5" x14ac:dyDescent="0.2">
      <c r="A285" t="s">
        <v>290</v>
      </c>
      <c r="B285" t="s">
        <v>648</v>
      </c>
      <c r="C285" t="str">
        <f>IF(ISERROR(MATCH(A285,'SegEnds_Xtal_Prot#'!B:B, 0)), "NoXtal", "Xtal")</f>
        <v>NoXtal</v>
      </c>
      <c r="D285" t="str">
        <f t="shared" si="5"/>
        <v>human</v>
      </c>
      <c r="E285" t="str">
        <f>VLOOKUP(A285,Classification!A:B,2,FALSE)</f>
        <v>A</v>
      </c>
    </row>
    <row r="286" spans="1:5" x14ac:dyDescent="0.2">
      <c r="A286" t="s">
        <v>377</v>
      </c>
      <c r="B286" t="s">
        <v>650</v>
      </c>
      <c r="C286" t="str">
        <f>IF(ISERROR(MATCH(A286,'SegEnds_Xtal_Prot#'!B:B, 0)), "NoXtal", "Xtal")</f>
        <v>NoXtal</v>
      </c>
      <c r="D286" t="str">
        <f t="shared" si="5"/>
        <v>human</v>
      </c>
      <c r="E286" t="str">
        <f>VLOOKUP(A286,Classification!A:B,2,FALSE)</f>
        <v>A</v>
      </c>
    </row>
    <row r="287" spans="1:5" x14ac:dyDescent="0.2">
      <c r="A287" t="s">
        <v>378</v>
      </c>
      <c r="B287" t="s">
        <v>651</v>
      </c>
      <c r="C287" t="str">
        <f>IF(ISERROR(MATCH(A287,'SegEnds_Xtal_Prot#'!B:B, 0)), "NoXtal", "Xtal")</f>
        <v>NoXtal</v>
      </c>
      <c r="D287" t="str">
        <f t="shared" si="5"/>
        <v>human</v>
      </c>
      <c r="E287" t="str">
        <f>VLOOKUP(A287,Classification!A:B,2,FALSE)</f>
        <v>A</v>
      </c>
    </row>
    <row r="288" spans="1:5" x14ac:dyDescent="0.2">
      <c r="A288" t="s">
        <v>379</v>
      </c>
      <c r="B288" t="s">
        <v>652</v>
      </c>
      <c r="C288" t="str">
        <f>IF(ISERROR(MATCH(A288,'SegEnds_Xtal_Prot#'!B:B, 0)), "NoXtal", "Xtal")</f>
        <v>NoXtal</v>
      </c>
      <c r="D288" t="str">
        <f t="shared" si="5"/>
        <v>human</v>
      </c>
      <c r="E288" t="str">
        <f>VLOOKUP(A288,Classification!A:B,2,FALSE)</f>
        <v>A</v>
      </c>
    </row>
    <row r="289" spans="1:5" x14ac:dyDescent="0.2">
      <c r="A289" t="s">
        <v>380</v>
      </c>
      <c r="B289" t="s">
        <v>653</v>
      </c>
      <c r="C289" t="str">
        <f>IF(ISERROR(MATCH(A289,'SegEnds_Xtal_Prot#'!B:B, 0)), "NoXtal", "Xtal")</f>
        <v>NoXtal</v>
      </c>
      <c r="D289" t="str">
        <f t="shared" si="5"/>
        <v>human</v>
      </c>
      <c r="E289" t="str">
        <f>VLOOKUP(A289,Classification!A:B,2,FALSE)</f>
        <v>A</v>
      </c>
    </row>
    <row r="290" spans="1:5" x14ac:dyDescent="0.2">
      <c r="A290" t="s">
        <v>182</v>
      </c>
      <c r="B290" t="s">
        <v>654</v>
      </c>
      <c r="C290" t="str">
        <f>IF(ISERROR(MATCH(A290,'SegEnds_Xtal_Prot#'!B:B, 0)), "NoXtal", "Xtal")</f>
        <v>Xtal</v>
      </c>
      <c r="D290" t="str">
        <f t="shared" si="5"/>
        <v>human</v>
      </c>
      <c r="E290" t="str">
        <f>VLOOKUP(A290,Classification!A:B,2,FALSE)</f>
        <v>A</v>
      </c>
    </row>
    <row r="291" spans="1:5" x14ac:dyDescent="0.2">
      <c r="A291" t="s">
        <v>183</v>
      </c>
      <c r="B291" t="s">
        <v>655</v>
      </c>
      <c r="C291" t="str">
        <f>IF(ISERROR(MATCH(A291,'SegEnds_Xtal_Prot#'!B:B, 0)), "NoXtal", "Xtal")</f>
        <v>NoXtal</v>
      </c>
      <c r="D291" t="str">
        <f t="shared" si="5"/>
        <v>human</v>
      </c>
      <c r="E291" t="str">
        <f>VLOOKUP(A291,Classification!A:B,2,FALSE)</f>
        <v>A</v>
      </c>
    </row>
    <row r="292" spans="1:5" x14ac:dyDescent="0.2">
      <c r="A292" t="s">
        <v>241</v>
      </c>
      <c r="B292" t="s">
        <v>656</v>
      </c>
      <c r="C292" t="str">
        <f>IF(ISERROR(MATCH(A292,'SegEnds_Xtal_Prot#'!B:B, 0)), "NoXtal", "Xtal")</f>
        <v>NoXtal</v>
      </c>
      <c r="D292" t="str">
        <f t="shared" si="5"/>
        <v>human</v>
      </c>
      <c r="E292" t="str">
        <f>VLOOKUP(A292,Classification!A:B,2,FALSE)</f>
        <v>A</v>
      </c>
    </row>
    <row r="293" spans="1:5" x14ac:dyDescent="0.2">
      <c r="A293" t="s">
        <v>261</v>
      </c>
      <c r="B293" t="s">
        <v>657</v>
      </c>
      <c r="C293" t="str">
        <f>IF(ISERROR(MATCH(A293,'SegEnds_Xtal_Prot#'!B:B, 0)), "NoXtal", "Xtal")</f>
        <v>NoXtal</v>
      </c>
      <c r="D293" t="str">
        <f t="shared" si="5"/>
        <v>human</v>
      </c>
      <c r="E293" t="str">
        <f>VLOOKUP(A293,Classification!A:B,2,FALSE)</f>
        <v>A</v>
      </c>
    </row>
    <row r="294" spans="1:5" x14ac:dyDescent="0.2">
      <c r="A294" t="s">
        <v>213</v>
      </c>
      <c r="B294" t="s">
        <v>658</v>
      </c>
      <c r="C294" t="str">
        <f>IF(ISERROR(MATCH(A294,'SegEnds_Xtal_Prot#'!B:B, 0)), "NoXtal", "Xtal")</f>
        <v>NoXtal</v>
      </c>
      <c r="D294" t="str">
        <f t="shared" si="5"/>
        <v>human</v>
      </c>
      <c r="E294" t="str">
        <f>VLOOKUP(A294,Classification!A:B,2,FALSE)</f>
        <v>A</v>
      </c>
    </row>
    <row r="295" spans="1:5" x14ac:dyDescent="0.2">
      <c r="A295" t="s">
        <v>371</v>
      </c>
      <c r="B295" t="s">
        <v>659</v>
      </c>
      <c r="C295" t="str">
        <f>IF(ISERROR(MATCH(A295,'SegEnds_Xtal_Prot#'!B:B, 0)), "NoXtal", "Xtal")</f>
        <v>NoXtal</v>
      </c>
      <c r="D295" t="str">
        <f t="shared" si="5"/>
        <v>human</v>
      </c>
      <c r="E295" t="str">
        <f>VLOOKUP(A295,Classification!A:B,2,FALSE)</f>
        <v>A</v>
      </c>
    </row>
    <row r="296" spans="1:5" x14ac:dyDescent="0.2">
      <c r="A296" t="s">
        <v>359</v>
      </c>
      <c r="B296" t="s">
        <v>660</v>
      </c>
      <c r="C296" t="str">
        <f>IF(ISERROR(MATCH(A296,'SegEnds_Xtal_Prot#'!B:B, 0)), "NoXtal", "Xtal")</f>
        <v>NoXtal</v>
      </c>
      <c r="D296" t="str">
        <f t="shared" si="5"/>
        <v>human</v>
      </c>
      <c r="E296" t="str">
        <f>VLOOKUP(A296,Classification!A:B,2,FALSE)</f>
        <v>A</v>
      </c>
    </row>
    <row r="297" spans="1:5" x14ac:dyDescent="0.2">
      <c r="A297" t="s">
        <v>360</v>
      </c>
      <c r="B297" t="s">
        <v>661</v>
      </c>
      <c r="C297" t="str">
        <f>IF(ISERROR(MATCH(A297,'SegEnds_Xtal_Prot#'!B:B, 0)), "NoXtal", "Xtal")</f>
        <v>NoXtal</v>
      </c>
      <c r="D297" t="str">
        <f t="shared" si="5"/>
        <v>human</v>
      </c>
      <c r="E297" t="str">
        <f>VLOOKUP(A297,Classification!A:B,2,FALSE)</f>
        <v>A</v>
      </c>
    </row>
    <row r="298" spans="1:5" x14ac:dyDescent="0.2">
      <c r="A298" t="s">
        <v>361</v>
      </c>
      <c r="B298" t="s">
        <v>662</v>
      </c>
      <c r="C298" t="str">
        <f>IF(ISERROR(MATCH(A298,'SegEnds_Xtal_Prot#'!B:B, 0)), "NoXtal", "Xtal")</f>
        <v>NoXtal</v>
      </c>
      <c r="D298" t="str">
        <f t="shared" si="5"/>
        <v>human</v>
      </c>
      <c r="E298" t="str">
        <f>VLOOKUP(A298,Classification!A:B,2,FALSE)</f>
        <v>A</v>
      </c>
    </row>
    <row r="299" spans="1:5" x14ac:dyDescent="0.2">
      <c r="A299" t="s">
        <v>362</v>
      </c>
      <c r="B299" t="s">
        <v>663</v>
      </c>
      <c r="C299" t="str">
        <f>IF(ISERROR(MATCH(A299,'SegEnds_Xtal_Prot#'!B:B, 0)), "NoXtal", "Xtal")</f>
        <v>NoXtal</v>
      </c>
      <c r="D299" t="str">
        <f t="shared" si="5"/>
        <v>human</v>
      </c>
      <c r="E299" t="str">
        <f>VLOOKUP(A299,Classification!A:B,2,FALSE)</f>
        <v>A</v>
      </c>
    </row>
    <row r="300" spans="1:5" x14ac:dyDescent="0.2">
      <c r="A300" t="s">
        <v>363</v>
      </c>
      <c r="B300" t="s">
        <v>664</v>
      </c>
      <c r="C300" t="str">
        <f>IF(ISERROR(MATCH(A300,'SegEnds_Xtal_Prot#'!B:B, 0)), "NoXtal", "Xtal")</f>
        <v>NoXtal</v>
      </c>
      <c r="D300" t="str">
        <f t="shared" si="5"/>
        <v>human</v>
      </c>
      <c r="E300" t="str">
        <f>VLOOKUP(A300,Classification!A:B,2,FALSE)</f>
        <v>A</v>
      </c>
    </row>
    <row r="301" spans="1:5" x14ac:dyDescent="0.2">
      <c r="A301" t="s">
        <v>364</v>
      </c>
      <c r="B301" t="s">
        <v>665</v>
      </c>
      <c r="C301" t="str">
        <f>IF(ISERROR(MATCH(A301,'SegEnds_Xtal_Prot#'!B:B, 0)), "NoXtal", "Xtal")</f>
        <v>NoXtal</v>
      </c>
      <c r="D301" t="str">
        <f t="shared" si="5"/>
        <v>human</v>
      </c>
      <c r="E301" t="str">
        <f>VLOOKUP(A301,Classification!A:B,2,FALSE)</f>
        <v>A</v>
      </c>
    </row>
    <row r="302" spans="1:5" x14ac:dyDescent="0.2">
      <c r="A302" t="s">
        <v>365</v>
      </c>
      <c r="B302" t="s">
        <v>666</v>
      </c>
      <c r="C302" t="str">
        <f>IF(ISERROR(MATCH(A302,'SegEnds_Xtal_Prot#'!B:B, 0)), "NoXtal", "Xtal")</f>
        <v>NoXtal</v>
      </c>
      <c r="D302" t="str">
        <f t="shared" si="5"/>
        <v>human</v>
      </c>
      <c r="E302" t="str">
        <f>VLOOKUP(A302,Classification!A:B,2,FALSE)</f>
        <v>A</v>
      </c>
    </row>
    <row r="303" spans="1:5" x14ac:dyDescent="0.2">
      <c r="A303" t="s">
        <v>366</v>
      </c>
      <c r="B303" t="s">
        <v>667</v>
      </c>
      <c r="C303" t="str">
        <f>IF(ISERROR(MATCH(A303,'SegEnds_Xtal_Prot#'!B:B, 0)), "NoXtal", "Xtal")</f>
        <v>NoXtal</v>
      </c>
      <c r="D303" t="str">
        <f t="shared" si="5"/>
        <v>human</v>
      </c>
      <c r="E303" t="str">
        <f>VLOOKUP(A303,Classification!A:B,2,FALSE)</f>
        <v>A</v>
      </c>
    </row>
    <row r="304" spans="1:5" x14ac:dyDescent="0.2">
      <c r="A304" t="s">
        <v>473</v>
      </c>
      <c r="B304" t="s">
        <v>668</v>
      </c>
      <c r="C304" t="str">
        <f>IF(ISERROR(MATCH(A304,'SegEnds_Xtal_Prot#'!B:B, 0)), "NoXtal", "Xtal")</f>
        <v>NoXtal</v>
      </c>
      <c r="D304" t="str">
        <f t="shared" si="5"/>
        <v>human</v>
      </c>
      <c r="E304" t="str">
        <f>VLOOKUP(A304,Classification!A:B,2,FALSE)</f>
        <v>A</v>
      </c>
    </row>
    <row r="305" spans="1:5" x14ac:dyDescent="0.2">
      <c r="A305" t="s">
        <v>311</v>
      </c>
      <c r="B305" t="s">
        <v>669</v>
      </c>
      <c r="C305" t="str">
        <f>IF(ISERROR(MATCH(A305,'SegEnds_Xtal_Prot#'!B:B, 0)), "NoXtal", "Xtal")</f>
        <v>NoXtal</v>
      </c>
      <c r="D305" t="str">
        <f t="shared" si="5"/>
        <v>human</v>
      </c>
      <c r="E305" t="str">
        <f>VLOOKUP(A305,Classification!A:B,2,FALSE)</f>
        <v>A</v>
      </c>
    </row>
    <row r="306" spans="1:5" x14ac:dyDescent="0.2">
      <c r="A306" t="s">
        <v>312</v>
      </c>
      <c r="B306" t="s">
        <v>670</v>
      </c>
      <c r="C306" t="str">
        <f>IF(ISERROR(MATCH(A306,'SegEnds_Xtal_Prot#'!B:B, 0)), "NoXtal", "Xtal")</f>
        <v>NoXtal</v>
      </c>
      <c r="D306" t="str">
        <f t="shared" si="5"/>
        <v>human</v>
      </c>
      <c r="E306" t="str">
        <f>VLOOKUP(A306,Classification!A:B,2,FALSE)</f>
        <v>A</v>
      </c>
    </row>
    <row r="307" spans="1:5" x14ac:dyDescent="0.2">
      <c r="A307" t="s">
        <v>138</v>
      </c>
      <c r="B307" t="s">
        <v>671</v>
      </c>
      <c r="C307" t="str">
        <f>IF(ISERROR(MATCH(A307,'SegEnds_Xtal_Prot#'!B:B, 0)), "NoXtal", "Xtal")</f>
        <v>Xtal</v>
      </c>
      <c r="D307" t="str">
        <f t="shared" si="5"/>
        <v>human</v>
      </c>
      <c r="E307" t="str">
        <f>VLOOKUP(A307,Classification!A:B,2,FALSE)</f>
        <v>A</v>
      </c>
    </row>
    <row r="308" spans="1:5" x14ac:dyDescent="0.2">
      <c r="A308" t="s">
        <v>140</v>
      </c>
      <c r="B308" t="s">
        <v>673</v>
      </c>
      <c r="C308" t="str">
        <f>IF(ISERROR(MATCH(A308,'SegEnds_Xtal_Prot#'!B:B, 0)), "NoXtal", "Xtal")</f>
        <v>NoXtal</v>
      </c>
      <c r="D308" t="str">
        <f t="shared" si="5"/>
        <v>human</v>
      </c>
      <c r="E308" t="str">
        <f>VLOOKUP(A308,Classification!A:B,2,FALSE)</f>
        <v>A</v>
      </c>
    </row>
    <row r="309" spans="1:5" x14ac:dyDescent="0.2">
      <c r="A309" t="s">
        <v>141</v>
      </c>
      <c r="B309" t="s">
        <v>674</v>
      </c>
      <c r="C309" t="str">
        <f>IF(ISERROR(MATCH(A309,'SegEnds_Xtal_Prot#'!B:B, 0)), "NoXtal", "Xtal")</f>
        <v>NoXtal</v>
      </c>
      <c r="D309" t="str">
        <f t="shared" si="5"/>
        <v>human</v>
      </c>
      <c r="E309" t="str">
        <f>VLOOKUP(A309,Classification!A:B,2,FALSE)</f>
        <v>A</v>
      </c>
    </row>
    <row r="310" spans="1:5" x14ac:dyDescent="0.2">
      <c r="A310" t="s">
        <v>346</v>
      </c>
      <c r="B310" t="s">
        <v>676</v>
      </c>
      <c r="C310" t="str">
        <f>IF(ISERROR(MATCH(A310,'SegEnds_Xtal_Prot#'!B:B, 0)), "NoXtal", "Xtal")</f>
        <v>NoXtal</v>
      </c>
      <c r="D310" t="str">
        <f t="shared" si="5"/>
        <v>human</v>
      </c>
      <c r="E310" t="str">
        <f>VLOOKUP(A310,Classification!A:B,2,FALSE)</f>
        <v>A</v>
      </c>
    </row>
    <row r="311" spans="1:5" x14ac:dyDescent="0.2">
      <c r="A311" t="s">
        <v>347</v>
      </c>
      <c r="B311" t="s">
        <v>677</v>
      </c>
      <c r="C311" t="str">
        <f>IF(ISERROR(MATCH(A311,'SegEnds_Xtal_Prot#'!B:B, 0)), "NoXtal", "Xtal")</f>
        <v>NoXtal</v>
      </c>
      <c r="D311" t="str">
        <f t="shared" si="5"/>
        <v>human</v>
      </c>
      <c r="E311" t="str">
        <f>VLOOKUP(A311,Classification!A:B,2,FALSE)</f>
        <v>A</v>
      </c>
    </row>
    <row r="312" spans="1:5" x14ac:dyDescent="0.2">
      <c r="A312" t="s">
        <v>348</v>
      </c>
      <c r="B312" t="s">
        <v>678</v>
      </c>
      <c r="C312" t="str">
        <f>IF(ISERROR(MATCH(A312,'SegEnds_Xtal_Prot#'!B:B, 0)), "NoXtal", "Xtal")</f>
        <v>NoXtal</v>
      </c>
      <c r="D312" t="str">
        <f t="shared" si="5"/>
        <v>human</v>
      </c>
      <c r="E312" t="str">
        <f>VLOOKUP(A312,Classification!A:B,2,FALSE)</f>
        <v>A</v>
      </c>
    </row>
    <row r="313" spans="1:5" x14ac:dyDescent="0.2">
      <c r="A313" t="s">
        <v>351</v>
      </c>
      <c r="B313" t="s">
        <v>679</v>
      </c>
      <c r="C313" t="str">
        <f>IF(ISERROR(MATCH(A313,'SegEnds_Xtal_Prot#'!B:B, 0)), "NoXtal", "Xtal")</f>
        <v>NoXtal</v>
      </c>
      <c r="D313" t="str">
        <f t="shared" si="5"/>
        <v>human</v>
      </c>
      <c r="E313" t="str">
        <f>VLOOKUP(A313,Classification!A:B,2,FALSE)</f>
        <v>A</v>
      </c>
    </row>
    <row r="314" spans="1:5" x14ac:dyDescent="0.2">
      <c r="A314" t="s">
        <v>353</v>
      </c>
      <c r="B314" t="s">
        <v>681</v>
      </c>
      <c r="C314" t="str">
        <f>IF(ISERROR(MATCH(A314,'SegEnds_Xtal_Prot#'!B:B, 0)), "NoXtal", "Xtal")</f>
        <v>NoXtal</v>
      </c>
      <c r="D314" t="str">
        <f t="shared" si="5"/>
        <v>human</v>
      </c>
      <c r="E314" t="str">
        <f>VLOOKUP(A314,Classification!A:B,2,FALSE)</f>
        <v>A</v>
      </c>
    </row>
    <row r="315" spans="1:5" x14ac:dyDescent="0.2">
      <c r="A315" t="s">
        <v>354</v>
      </c>
      <c r="B315" t="s">
        <v>682</v>
      </c>
      <c r="C315" t="str">
        <f>IF(ISERROR(MATCH(A315,'SegEnds_Xtal_Prot#'!B:B, 0)), "NoXtal", "Xtal")</f>
        <v>NoXtal</v>
      </c>
      <c r="D315" t="str">
        <f t="shared" si="5"/>
        <v>human</v>
      </c>
      <c r="E315" t="str">
        <f>VLOOKUP(A315,Classification!A:B,2,FALSE)</f>
        <v>A</v>
      </c>
    </row>
    <row r="316" spans="1:5" x14ac:dyDescent="0.2">
      <c r="A316" t="s">
        <v>235</v>
      </c>
      <c r="B316" t="s">
        <v>683</v>
      </c>
      <c r="C316" t="str">
        <f>IF(ISERROR(MATCH(A316,'SegEnds_Xtal_Prot#'!B:B, 0)), "NoXtal", "Xtal")</f>
        <v>NoXtal</v>
      </c>
      <c r="D316" t="str">
        <f t="shared" si="5"/>
        <v>human</v>
      </c>
      <c r="E316" t="str">
        <f>VLOOKUP(A316,Classification!A:B,2,FALSE)</f>
        <v>A</v>
      </c>
    </row>
    <row r="317" spans="1:5" x14ac:dyDescent="0.2">
      <c r="A317" t="s">
        <v>236</v>
      </c>
      <c r="B317" t="s">
        <v>684</v>
      </c>
      <c r="C317" t="str">
        <f>IF(ISERROR(MATCH(A317,'SegEnds_Xtal_Prot#'!B:B, 0)), "NoXtal", "Xtal")</f>
        <v>NoXtal</v>
      </c>
      <c r="D317" t="str">
        <f t="shared" si="5"/>
        <v>human</v>
      </c>
      <c r="E317" t="str">
        <f>VLOOKUP(A317,Classification!A:B,2,FALSE)</f>
        <v>A</v>
      </c>
    </row>
    <row r="318" spans="1:5" x14ac:dyDescent="0.2">
      <c r="A318" t="s">
        <v>275</v>
      </c>
      <c r="B318" t="s">
        <v>685</v>
      </c>
      <c r="C318" t="str">
        <f>IF(ISERROR(MATCH(A318,'SegEnds_Xtal_Prot#'!B:B, 0)), "NoXtal", "Xtal")</f>
        <v>NoXtal</v>
      </c>
      <c r="D318" t="str">
        <f t="shared" si="5"/>
        <v>human</v>
      </c>
      <c r="E318" t="str">
        <f>VLOOKUP(A318,Classification!A:B,2,FALSE)</f>
        <v>A</v>
      </c>
    </row>
    <row r="319" spans="1:5" x14ac:dyDescent="0.2">
      <c r="A319" t="s">
        <v>276</v>
      </c>
      <c r="B319" t="s">
        <v>686</v>
      </c>
      <c r="C319" t="str">
        <f>IF(ISERROR(MATCH(A319,'SegEnds_Xtal_Prot#'!B:B, 0)), "NoXtal", "Xtal")</f>
        <v>NoXtal</v>
      </c>
      <c r="D319" t="str">
        <f t="shared" si="5"/>
        <v>human</v>
      </c>
      <c r="E319" t="str">
        <f>VLOOKUP(A319,Classification!A:B,2,FALSE)</f>
        <v>A</v>
      </c>
    </row>
    <row r="320" spans="1:5" x14ac:dyDescent="0.2">
      <c r="A320" t="s">
        <v>277</v>
      </c>
      <c r="B320" t="s">
        <v>687</v>
      </c>
      <c r="C320" t="str">
        <f>IF(ISERROR(MATCH(A320,'SegEnds_Xtal_Prot#'!B:B, 0)), "NoXtal", "Xtal")</f>
        <v>NoXtal</v>
      </c>
      <c r="D320" t="str">
        <f t="shared" si="5"/>
        <v>human</v>
      </c>
      <c r="E320" t="str">
        <f>VLOOKUP(A320,Classification!A:B,2,FALSE)</f>
        <v>A</v>
      </c>
    </row>
    <row r="321" spans="1:5" x14ac:dyDescent="0.2">
      <c r="A321" t="s">
        <v>343</v>
      </c>
      <c r="B321" t="s">
        <v>688</v>
      </c>
      <c r="C321" t="str">
        <f>IF(ISERROR(MATCH(A321,'SegEnds_Xtal_Prot#'!B:B, 0)), "NoXtal", "Xtal")</f>
        <v>NoXtal</v>
      </c>
      <c r="D321" t="str">
        <f t="shared" si="5"/>
        <v>human</v>
      </c>
      <c r="E321" t="str">
        <f>VLOOKUP(A321,Classification!A:B,2,FALSE)</f>
        <v>A</v>
      </c>
    </row>
    <row r="322" spans="1:5" x14ac:dyDescent="0.2">
      <c r="A322" t="s">
        <v>386</v>
      </c>
      <c r="B322" t="s">
        <v>689</v>
      </c>
      <c r="C322" t="str">
        <f>IF(ISERROR(MATCH(A322,'SegEnds_Xtal_Prot#'!B:B, 0)), "NoXtal", "Xtal")</f>
        <v>NoXtal</v>
      </c>
      <c r="D322" t="str">
        <f t="shared" si="5"/>
        <v>human</v>
      </c>
      <c r="E322" t="str">
        <f>VLOOKUP(A322,Classification!A:B,2,FALSE)</f>
        <v>A</v>
      </c>
    </row>
    <row r="323" spans="1:5" x14ac:dyDescent="0.2">
      <c r="A323" t="s">
        <v>333</v>
      </c>
      <c r="B323" t="s">
        <v>691</v>
      </c>
      <c r="C323" t="str">
        <f>IF(ISERROR(MATCH(A323,'SegEnds_Xtal_Prot#'!B:B, 0)), "NoXtal", "Xtal")</f>
        <v>NoXtal</v>
      </c>
      <c r="D323" t="str">
        <f t="shared" ref="D323:D386" si="6">MID(A323,FIND("_",A323)+1,LEN(A323)-FIND("_",A323))</f>
        <v>human</v>
      </c>
      <c r="E323" t="str">
        <f>VLOOKUP(A323,Classification!A:B,2,FALSE)</f>
        <v>A</v>
      </c>
    </row>
    <row r="324" spans="1:5" x14ac:dyDescent="0.2">
      <c r="A324" t="s">
        <v>332</v>
      </c>
      <c r="B324" t="s">
        <v>692</v>
      </c>
      <c r="C324" t="str">
        <f>IF(ISERROR(MATCH(A324,'SegEnds_Xtal_Prot#'!B:B, 0)), "NoXtal", "Xtal")</f>
        <v>NoXtal</v>
      </c>
      <c r="D324" t="str">
        <f t="shared" si="6"/>
        <v>human</v>
      </c>
      <c r="E324" t="str">
        <f>VLOOKUP(A324,Classification!A:B,2,FALSE)</f>
        <v>A</v>
      </c>
    </row>
    <row r="325" spans="1:5" x14ac:dyDescent="0.2">
      <c r="A325" t="s">
        <v>334</v>
      </c>
      <c r="B325" t="s">
        <v>693</v>
      </c>
      <c r="C325" t="str">
        <f>IF(ISERROR(MATCH(A325,'SegEnds_Xtal_Prot#'!B:B, 0)), "NoXtal", "Xtal")</f>
        <v>NoXtal</v>
      </c>
      <c r="D325" t="str">
        <f t="shared" si="6"/>
        <v>human</v>
      </c>
      <c r="E325" t="str">
        <f>VLOOKUP(A325,Classification!A:B,2,FALSE)</f>
        <v>A</v>
      </c>
    </row>
    <row r="326" spans="1:5" x14ac:dyDescent="0.2">
      <c r="A326" t="s">
        <v>338</v>
      </c>
      <c r="B326" t="s">
        <v>694</v>
      </c>
      <c r="C326" t="str">
        <f>IF(ISERROR(MATCH(A326,'SegEnds_Xtal_Prot#'!B:B, 0)), "NoXtal", "Xtal")</f>
        <v>NoXtal</v>
      </c>
      <c r="D326" t="str">
        <f t="shared" si="6"/>
        <v>human</v>
      </c>
      <c r="E326" t="str">
        <f>VLOOKUP(A326,Classification!A:B,2,FALSE)</f>
        <v>A</v>
      </c>
    </row>
    <row r="327" spans="1:5" x14ac:dyDescent="0.2">
      <c r="A327" t="s">
        <v>340</v>
      </c>
      <c r="B327" t="s">
        <v>695</v>
      </c>
      <c r="C327" t="str">
        <f>IF(ISERROR(MATCH(A327,'SegEnds_Xtal_Prot#'!B:B, 0)), "NoXtal", "Xtal")</f>
        <v>NoXtal</v>
      </c>
      <c r="D327" t="str">
        <f t="shared" si="6"/>
        <v>human</v>
      </c>
      <c r="E327" t="str">
        <f>VLOOKUP(A327,Classification!A:B,2,FALSE)</f>
        <v>A</v>
      </c>
    </row>
    <row r="328" spans="1:5" x14ac:dyDescent="0.2">
      <c r="A328" t="s">
        <v>341</v>
      </c>
      <c r="B328" t="s">
        <v>696</v>
      </c>
      <c r="C328" t="str">
        <f>IF(ISERROR(MATCH(A328,'SegEnds_Xtal_Prot#'!B:B, 0)), "NoXtal", "Xtal")</f>
        <v>NoXtal</v>
      </c>
      <c r="D328" t="str">
        <f t="shared" si="6"/>
        <v>human</v>
      </c>
      <c r="E328" t="str">
        <f>VLOOKUP(A328,Classification!A:B,2,FALSE)</f>
        <v>A</v>
      </c>
    </row>
    <row r="329" spans="1:5" x14ac:dyDescent="0.2">
      <c r="A329" t="s">
        <v>237</v>
      </c>
      <c r="B329" t="s">
        <v>718</v>
      </c>
      <c r="C329" t="str">
        <f>IF(ISERROR(MATCH(A329,'SegEnds_Xtal_Prot#'!B:B, 0)), "NoXtal", "Xtal")</f>
        <v>NoXtal</v>
      </c>
      <c r="D329" t="str">
        <f t="shared" si="6"/>
        <v>human</v>
      </c>
      <c r="E329" t="str">
        <f>VLOOKUP(A329,Classification!A:B,2,FALSE)</f>
        <v>A</v>
      </c>
    </row>
    <row r="330" spans="1:5" x14ac:dyDescent="0.2">
      <c r="A330" t="s">
        <v>249</v>
      </c>
      <c r="B330" t="s">
        <v>719</v>
      </c>
      <c r="C330" t="str">
        <f>IF(ISERROR(MATCH(A330,'SegEnds_Xtal_Prot#'!B:B, 0)), "NoXtal", "Xtal")</f>
        <v>NoXtal</v>
      </c>
      <c r="D330" t="str">
        <f t="shared" si="6"/>
        <v>human</v>
      </c>
      <c r="E330" t="str">
        <f>VLOOKUP(A330,Classification!A:B,2,FALSE)</f>
        <v>A</v>
      </c>
    </row>
    <row r="331" spans="1:5" x14ac:dyDescent="0.2">
      <c r="A331" t="s">
        <v>257</v>
      </c>
      <c r="B331" t="s">
        <v>720</v>
      </c>
      <c r="C331" t="str">
        <f>IF(ISERROR(MATCH(A331,'SegEnds_Xtal_Prot#'!B:B, 0)), "NoXtal", "Xtal")</f>
        <v>NoXtal</v>
      </c>
      <c r="D331" t="str">
        <f t="shared" si="6"/>
        <v>human</v>
      </c>
      <c r="E331" t="str">
        <f>VLOOKUP(A331,Classification!A:B,2,FALSE)</f>
        <v>A</v>
      </c>
    </row>
    <row r="332" spans="1:5" x14ac:dyDescent="0.2">
      <c r="A332" t="s">
        <v>262</v>
      </c>
      <c r="B332" t="s">
        <v>721</v>
      </c>
      <c r="C332" t="str">
        <f>IF(ISERROR(MATCH(A332,'SegEnds_Xtal_Prot#'!B:B, 0)), "NoXtal", "Xtal")</f>
        <v>NoXtal</v>
      </c>
      <c r="D332" t="str">
        <f t="shared" si="6"/>
        <v>human</v>
      </c>
      <c r="E332" t="str">
        <f>VLOOKUP(A332,Classification!A:B,2,FALSE)</f>
        <v>A</v>
      </c>
    </row>
    <row r="333" spans="1:5" x14ac:dyDescent="0.2">
      <c r="A333" t="s">
        <v>238</v>
      </c>
      <c r="B333" t="s">
        <v>722</v>
      </c>
      <c r="C333" t="str">
        <f>IF(ISERROR(MATCH(A333,'SegEnds_Xtal_Prot#'!B:B, 0)), "NoXtal", "Xtal")</f>
        <v>NoXtal</v>
      </c>
      <c r="D333" t="str">
        <f t="shared" si="6"/>
        <v>human</v>
      </c>
      <c r="E333" t="str">
        <f>VLOOKUP(A333,Classification!A:B,2,FALSE)</f>
        <v>A</v>
      </c>
    </row>
    <row r="334" spans="1:5" x14ac:dyDescent="0.2">
      <c r="A334" t="s">
        <v>239</v>
      </c>
      <c r="B334" t="s">
        <v>723</v>
      </c>
      <c r="C334" t="str">
        <f>IF(ISERROR(MATCH(A334,'SegEnds_Xtal_Prot#'!B:B, 0)), "NoXtal", "Xtal")</f>
        <v>NoXtal</v>
      </c>
      <c r="D334" t="str">
        <f t="shared" si="6"/>
        <v>human</v>
      </c>
      <c r="E334" t="str">
        <f>VLOOKUP(A334,Classification!A:B,2,FALSE)</f>
        <v>A</v>
      </c>
    </row>
    <row r="335" spans="1:5" x14ac:dyDescent="0.2">
      <c r="A335" t="s">
        <v>240</v>
      </c>
      <c r="B335" t="s">
        <v>724</v>
      </c>
      <c r="C335" t="str">
        <f>IF(ISERROR(MATCH(A335,'SegEnds_Xtal_Prot#'!B:B, 0)), "NoXtal", "Xtal")</f>
        <v>NoXtal</v>
      </c>
      <c r="D335" t="str">
        <f t="shared" si="6"/>
        <v>human</v>
      </c>
      <c r="E335" t="str">
        <f>VLOOKUP(A335,Classification!A:B,2,FALSE)</f>
        <v>A</v>
      </c>
    </row>
    <row r="336" spans="1:5" x14ac:dyDescent="0.2">
      <c r="A336" t="s">
        <v>242</v>
      </c>
      <c r="B336" t="s">
        <v>725</v>
      </c>
      <c r="C336" t="str">
        <f>IF(ISERROR(MATCH(A336,'SegEnds_Xtal_Prot#'!B:B, 0)), "NoXtal", "Xtal")</f>
        <v>NoXtal</v>
      </c>
      <c r="D336" t="str">
        <f t="shared" si="6"/>
        <v>human</v>
      </c>
      <c r="E336" t="str">
        <f>VLOOKUP(A336,Classification!A:B,2,FALSE)</f>
        <v>A</v>
      </c>
    </row>
    <row r="337" spans="1:5" x14ac:dyDescent="0.2">
      <c r="A337" t="s">
        <v>243</v>
      </c>
      <c r="B337" t="s">
        <v>726</v>
      </c>
      <c r="C337" t="str">
        <f>IF(ISERROR(MATCH(A337,'SegEnds_Xtal_Prot#'!B:B, 0)), "NoXtal", "Xtal")</f>
        <v>NoXtal</v>
      </c>
      <c r="D337" t="str">
        <f t="shared" si="6"/>
        <v>human</v>
      </c>
      <c r="E337" t="str">
        <f>VLOOKUP(A337,Classification!A:B,2,FALSE)</f>
        <v>A</v>
      </c>
    </row>
    <row r="338" spans="1:5" x14ac:dyDescent="0.2">
      <c r="A338" t="s">
        <v>244</v>
      </c>
      <c r="B338" t="s">
        <v>727</v>
      </c>
      <c r="C338" t="str">
        <f>IF(ISERROR(MATCH(A338,'SegEnds_Xtal_Prot#'!B:B, 0)), "NoXtal", "Xtal")</f>
        <v>NoXtal</v>
      </c>
      <c r="D338" t="str">
        <f t="shared" si="6"/>
        <v>human</v>
      </c>
      <c r="E338" t="str">
        <f>VLOOKUP(A338,Classification!A:B,2,FALSE)</f>
        <v>A</v>
      </c>
    </row>
    <row r="339" spans="1:5" x14ac:dyDescent="0.2">
      <c r="A339" t="s">
        <v>245</v>
      </c>
      <c r="B339" t="s">
        <v>728</v>
      </c>
      <c r="C339" t="str">
        <f>IF(ISERROR(MATCH(A339,'SegEnds_Xtal_Prot#'!B:B, 0)), "NoXtal", "Xtal")</f>
        <v>NoXtal</v>
      </c>
      <c r="D339" t="str">
        <f t="shared" si="6"/>
        <v>human</v>
      </c>
      <c r="E339" t="str">
        <f>VLOOKUP(A339,Classification!A:B,2,FALSE)</f>
        <v>A</v>
      </c>
    </row>
    <row r="340" spans="1:5" x14ac:dyDescent="0.2">
      <c r="A340" t="s">
        <v>246</v>
      </c>
      <c r="B340" t="s">
        <v>729</v>
      </c>
      <c r="C340" t="str">
        <f>IF(ISERROR(MATCH(A340,'SegEnds_Xtal_Prot#'!B:B, 0)), "NoXtal", "Xtal")</f>
        <v>NoXtal</v>
      </c>
      <c r="D340" t="str">
        <f t="shared" si="6"/>
        <v>human</v>
      </c>
      <c r="E340" t="str">
        <f>VLOOKUP(A340,Classification!A:B,2,FALSE)</f>
        <v>A</v>
      </c>
    </row>
    <row r="341" spans="1:5" x14ac:dyDescent="0.2">
      <c r="A341" t="s">
        <v>247</v>
      </c>
      <c r="B341" t="s">
        <v>730</v>
      </c>
      <c r="C341" t="str">
        <f>IF(ISERROR(MATCH(A341,'SegEnds_Xtal_Prot#'!B:B, 0)), "NoXtal", "Xtal")</f>
        <v>NoXtal</v>
      </c>
      <c r="D341" t="str">
        <f t="shared" si="6"/>
        <v>human</v>
      </c>
      <c r="E341" t="str">
        <f>VLOOKUP(A341,Classification!A:B,2,FALSE)</f>
        <v>A</v>
      </c>
    </row>
    <row r="342" spans="1:5" x14ac:dyDescent="0.2">
      <c r="A342" t="s">
        <v>248</v>
      </c>
      <c r="B342" t="s">
        <v>731</v>
      </c>
      <c r="C342" t="str">
        <f>IF(ISERROR(MATCH(A342,'SegEnds_Xtal_Prot#'!B:B, 0)), "NoXtal", "Xtal")</f>
        <v>NoXtal</v>
      </c>
      <c r="D342" t="str">
        <f t="shared" si="6"/>
        <v>human</v>
      </c>
      <c r="E342" t="str">
        <f>VLOOKUP(A342,Classification!A:B,2,FALSE)</f>
        <v>A</v>
      </c>
    </row>
    <row r="343" spans="1:5" x14ac:dyDescent="0.2">
      <c r="A343" t="s">
        <v>250</v>
      </c>
      <c r="B343" t="s">
        <v>732</v>
      </c>
      <c r="C343" t="str">
        <f>IF(ISERROR(MATCH(A343,'SegEnds_Xtal_Prot#'!B:B, 0)), "NoXtal", "Xtal")</f>
        <v>NoXtal</v>
      </c>
      <c r="D343" t="str">
        <f t="shared" si="6"/>
        <v>human</v>
      </c>
      <c r="E343" t="str">
        <f>VLOOKUP(A343,Classification!A:B,2,FALSE)</f>
        <v>A</v>
      </c>
    </row>
    <row r="344" spans="1:5" x14ac:dyDescent="0.2">
      <c r="A344" t="s">
        <v>251</v>
      </c>
      <c r="B344" t="s">
        <v>733</v>
      </c>
      <c r="C344" t="str">
        <f>IF(ISERROR(MATCH(A344,'SegEnds_Xtal_Prot#'!B:B, 0)), "NoXtal", "Xtal")</f>
        <v>NoXtal</v>
      </c>
      <c r="D344" t="str">
        <f t="shared" si="6"/>
        <v>human</v>
      </c>
      <c r="E344" t="str">
        <f>VLOOKUP(A344,Classification!A:B,2,FALSE)</f>
        <v>A</v>
      </c>
    </row>
    <row r="345" spans="1:5" x14ac:dyDescent="0.2">
      <c r="A345" t="s">
        <v>252</v>
      </c>
      <c r="B345" t="s">
        <v>734</v>
      </c>
      <c r="C345" t="str">
        <f>IF(ISERROR(MATCH(A345,'SegEnds_Xtal_Prot#'!B:B, 0)), "NoXtal", "Xtal")</f>
        <v>NoXtal</v>
      </c>
      <c r="D345" t="str">
        <f t="shared" si="6"/>
        <v>human</v>
      </c>
      <c r="E345" t="str">
        <f>VLOOKUP(A345,Classification!A:B,2,FALSE)</f>
        <v>A</v>
      </c>
    </row>
    <row r="346" spans="1:5" x14ac:dyDescent="0.2">
      <c r="A346" t="s">
        <v>253</v>
      </c>
      <c r="B346" t="s">
        <v>735</v>
      </c>
      <c r="C346" t="str">
        <f>IF(ISERROR(MATCH(A346,'SegEnds_Xtal_Prot#'!B:B, 0)), "NoXtal", "Xtal")</f>
        <v>NoXtal</v>
      </c>
      <c r="D346" t="str">
        <f t="shared" si="6"/>
        <v>human</v>
      </c>
      <c r="E346" t="str">
        <f>VLOOKUP(A346,Classification!A:B,2,FALSE)</f>
        <v>A</v>
      </c>
    </row>
    <row r="347" spans="1:5" x14ac:dyDescent="0.2">
      <c r="A347" t="s">
        <v>254</v>
      </c>
      <c r="B347" t="s">
        <v>736</v>
      </c>
      <c r="C347" t="str">
        <f>IF(ISERROR(MATCH(A347,'SegEnds_Xtal_Prot#'!B:B, 0)), "NoXtal", "Xtal")</f>
        <v>NoXtal</v>
      </c>
      <c r="D347" t="str">
        <f t="shared" si="6"/>
        <v>human</v>
      </c>
      <c r="E347" t="str">
        <f>VLOOKUP(A347,Classification!A:B,2,FALSE)</f>
        <v>A</v>
      </c>
    </row>
    <row r="348" spans="1:5" x14ac:dyDescent="0.2">
      <c r="A348" t="s">
        <v>255</v>
      </c>
      <c r="B348" t="s">
        <v>737</v>
      </c>
      <c r="C348" t="str">
        <f>IF(ISERROR(MATCH(A348,'SegEnds_Xtal_Prot#'!B:B, 0)), "NoXtal", "Xtal")</f>
        <v>NoXtal</v>
      </c>
      <c r="D348" t="str">
        <f t="shared" si="6"/>
        <v>human</v>
      </c>
      <c r="E348" t="str">
        <f>VLOOKUP(A348,Classification!A:B,2,FALSE)</f>
        <v>A</v>
      </c>
    </row>
    <row r="349" spans="1:5" x14ac:dyDescent="0.2">
      <c r="A349" t="s">
        <v>197</v>
      </c>
      <c r="B349" t="s">
        <v>738</v>
      </c>
      <c r="C349" t="str">
        <f>IF(ISERROR(MATCH(A349,'SegEnds_Xtal_Prot#'!B:B, 0)), "NoXtal", "Xtal")</f>
        <v>NoXtal</v>
      </c>
      <c r="D349" t="str">
        <f t="shared" si="6"/>
        <v>human</v>
      </c>
      <c r="E349" t="str">
        <f>VLOOKUP(A349,Classification!A:B,2,FALSE)</f>
        <v>A</v>
      </c>
    </row>
    <row r="350" spans="1:5" x14ac:dyDescent="0.2">
      <c r="A350" t="s">
        <v>256</v>
      </c>
      <c r="B350" t="s">
        <v>739</v>
      </c>
      <c r="C350" t="str">
        <f>IF(ISERROR(MATCH(A350,'SegEnds_Xtal_Prot#'!B:B, 0)), "NoXtal", "Xtal")</f>
        <v>NoXtal</v>
      </c>
      <c r="D350" t="str">
        <f t="shared" si="6"/>
        <v>human</v>
      </c>
      <c r="E350" t="str">
        <f>VLOOKUP(A350,Classification!A:B,2,FALSE)</f>
        <v>A</v>
      </c>
    </row>
    <row r="351" spans="1:5" x14ac:dyDescent="0.2">
      <c r="A351" t="s">
        <v>259</v>
      </c>
      <c r="B351" t="s">
        <v>740</v>
      </c>
      <c r="C351" t="str">
        <f>IF(ISERROR(MATCH(A351,'SegEnds_Xtal_Prot#'!B:B, 0)), "NoXtal", "Xtal")</f>
        <v>NoXtal</v>
      </c>
      <c r="D351" t="str">
        <f t="shared" si="6"/>
        <v>human</v>
      </c>
      <c r="E351" t="str">
        <f>VLOOKUP(A351,Classification!A:B,2,FALSE)</f>
        <v>A</v>
      </c>
    </row>
    <row r="352" spans="1:5" x14ac:dyDescent="0.2">
      <c r="A352" t="s">
        <v>313</v>
      </c>
      <c r="B352" t="s">
        <v>741</v>
      </c>
      <c r="C352" t="str">
        <f>IF(ISERROR(MATCH(A352,'SegEnds_Xtal_Prot#'!B:B, 0)), "NoXtal", "Xtal")</f>
        <v>NoXtal</v>
      </c>
      <c r="D352" t="str">
        <f t="shared" si="6"/>
        <v>human</v>
      </c>
      <c r="E352" t="str">
        <f>VLOOKUP(A352,Classification!A:B,2,FALSE)</f>
        <v>A</v>
      </c>
    </row>
    <row r="353" spans="1:5" x14ac:dyDescent="0.2">
      <c r="A353" t="s">
        <v>260</v>
      </c>
      <c r="B353" t="s">
        <v>742</v>
      </c>
      <c r="C353" t="str">
        <f>IF(ISERROR(MATCH(A353,'SegEnds_Xtal_Prot#'!B:B, 0)), "NoXtal", "Xtal")</f>
        <v>NoXtal</v>
      </c>
      <c r="D353" t="str">
        <f t="shared" si="6"/>
        <v>human</v>
      </c>
      <c r="E353" t="str">
        <f>VLOOKUP(A353,Classification!A:B,2,FALSE)</f>
        <v>A</v>
      </c>
    </row>
    <row r="354" spans="1:5" x14ac:dyDescent="0.2">
      <c r="A354" t="s">
        <v>263</v>
      </c>
      <c r="B354" t="s">
        <v>743</v>
      </c>
      <c r="C354" t="str">
        <f>IF(ISERROR(MATCH(A354,'SegEnds_Xtal_Prot#'!B:B, 0)), "NoXtal", "Xtal")</f>
        <v>NoXtal</v>
      </c>
      <c r="D354" t="str">
        <f t="shared" si="6"/>
        <v>human</v>
      </c>
      <c r="E354" t="str">
        <f>VLOOKUP(A354,Classification!A:B,2,FALSE)</f>
        <v>A</v>
      </c>
    </row>
    <row r="355" spans="1:5" x14ac:dyDescent="0.2">
      <c r="A355" t="s">
        <v>264</v>
      </c>
      <c r="B355" t="s">
        <v>744</v>
      </c>
      <c r="C355" t="str">
        <f>IF(ISERROR(MATCH(A355,'SegEnds_Xtal_Prot#'!B:B, 0)), "NoXtal", "Xtal")</f>
        <v>NoXtal</v>
      </c>
      <c r="D355" t="str">
        <f t="shared" si="6"/>
        <v>human</v>
      </c>
      <c r="E355" t="str">
        <f>VLOOKUP(A355,Classification!A:B,2,FALSE)</f>
        <v>A</v>
      </c>
    </row>
    <row r="356" spans="1:5" x14ac:dyDescent="0.2">
      <c r="A356" t="s">
        <v>265</v>
      </c>
      <c r="B356" t="s">
        <v>745</v>
      </c>
      <c r="C356" t="str">
        <f>IF(ISERROR(MATCH(A356,'SegEnds_Xtal_Prot#'!B:B, 0)), "NoXtal", "Xtal")</f>
        <v>NoXtal</v>
      </c>
      <c r="D356" t="str">
        <f t="shared" si="6"/>
        <v>human</v>
      </c>
      <c r="E356" t="str">
        <f>VLOOKUP(A356,Classification!A:B,2,FALSE)</f>
        <v>A</v>
      </c>
    </row>
    <row r="357" spans="1:5" x14ac:dyDescent="0.2">
      <c r="A357" t="s">
        <v>370</v>
      </c>
      <c r="B357" t="s">
        <v>746</v>
      </c>
      <c r="C357" t="str">
        <f>IF(ISERROR(MATCH(A357,'SegEnds_Xtal_Prot#'!B:B, 0)), "NoXtal", "Xtal")</f>
        <v>NoXtal</v>
      </c>
      <c r="D357" t="str">
        <f t="shared" si="6"/>
        <v>human</v>
      </c>
      <c r="E357" t="str">
        <f>VLOOKUP(A357,Classification!A:B,2,FALSE)</f>
        <v>A</v>
      </c>
    </row>
    <row r="358" spans="1:5" x14ac:dyDescent="0.2">
      <c r="A358" t="s">
        <v>331</v>
      </c>
      <c r="B358" t="s">
        <v>747</v>
      </c>
      <c r="C358" t="str">
        <f>IF(ISERROR(MATCH(A358,'SegEnds_Xtal_Prot#'!B:B, 0)), "NoXtal", "Xtal")</f>
        <v>NoXtal</v>
      </c>
      <c r="D358" t="str">
        <f t="shared" si="6"/>
        <v>human</v>
      </c>
      <c r="E358" t="str">
        <f>VLOOKUP(A358,Classification!A:B,2,FALSE)</f>
        <v>A</v>
      </c>
    </row>
    <row r="359" spans="1:5" x14ac:dyDescent="0.2">
      <c r="A359" t="s">
        <v>266</v>
      </c>
      <c r="B359" t="s">
        <v>748</v>
      </c>
      <c r="C359" t="str">
        <f>IF(ISERROR(MATCH(A359,'SegEnds_Xtal_Prot#'!B:B, 0)), "NoXtal", "Xtal")</f>
        <v>NoXtal</v>
      </c>
      <c r="D359" t="str">
        <f t="shared" si="6"/>
        <v>human</v>
      </c>
      <c r="E359" t="str">
        <f>VLOOKUP(A359,Classification!A:B,2,FALSE)</f>
        <v>A</v>
      </c>
    </row>
    <row r="360" spans="1:5" x14ac:dyDescent="0.2">
      <c r="A360" t="s">
        <v>267</v>
      </c>
      <c r="B360" t="s">
        <v>749</v>
      </c>
      <c r="C360" t="str">
        <f>IF(ISERROR(MATCH(A360,'SegEnds_Xtal_Prot#'!B:B, 0)), "NoXtal", "Xtal")</f>
        <v>NoXtal</v>
      </c>
      <c r="D360" t="str">
        <f t="shared" si="6"/>
        <v>human</v>
      </c>
      <c r="E360" t="str">
        <f>VLOOKUP(A360,Classification!A:B,2,FALSE)</f>
        <v>A</v>
      </c>
    </row>
    <row r="361" spans="1:5" x14ac:dyDescent="0.2">
      <c r="A361" t="s">
        <v>268</v>
      </c>
      <c r="B361" t="s">
        <v>750</v>
      </c>
      <c r="C361" t="str">
        <f>IF(ISERROR(MATCH(A361,'SegEnds_Xtal_Prot#'!B:B, 0)), "NoXtal", "Xtal")</f>
        <v>NoXtal</v>
      </c>
      <c r="D361" t="str">
        <f t="shared" si="6"/>
        <v>human</v>
      </c>
      <c r="E361" t="str">
        <f>VLOOKUP(A361,Classification!A:B,2,FALSE)</f>
        <v>A</v>
      </c>
    </row>
    <row r="362" spans="1:5" x14ac:dyDescent="0.2">
      <c r="A362" t="s">
        <v>269</v>
      </c>
      <c r="B362" t="s">
        <v>751</v>
      </c>
      <c r="C362" t="str">
        <f>IF(ISERROR(MATCH(A362,'SegEnds_Xtal_Prot#'!B:B, 0)), "NoXtal", "Xtal")</f>
        <v>NoXtal</v>
      </c>
      <c r="D362" t="str">
        <f t="shared" si="6"/>
        <v>human</v>
      </c>
      <c r="E362" t="str">
        <f>VLOOKUP(A362,Classification!A:B,2,FALSE)</f>
        <v>A</v>
      </c>
    </row>
    <row r="363" spans="1:5" x14ac:dyDescent="0.2">
      <c r="A363" t="s">
        <v>270</v>
      </c>
      <c r="B363" t="s">
        <v>752</v>
      </c>
      <c r="C363" t="str">
        <f>IF(ISERROR(MATCH(A363,'SegEnds_Xtal_Prot#'!B:B, 0)), "NoXtal", "Xtal")</f>
        <v>NoXtal</v>
      </c>
      <c r="D363" t="str">
        <f t="shared" si="6"/>
        <v>human</v>
      </c>
      <c r="E363" t="str">
        <f>VLOOKUP(A363,Classification!A:B,2,FALSE)</f>
        <v>A</v>
      </c>
    </row>
    <row r="364" spans="1:5" x14ac:dyDescent="0.2">
      <c r="A364" t="s">
        <v>271</v>
      </c>
      <c r="B364" t="s">
        <v>753</v>
      </c>
      <c r="C364" t="str">
        <f>IF(ISERROR(MATCH(A364,'SegEnds_Xtal_Prot#'!B:B, 0)), "NoXtal", "Xtal")</f>
        <v>NoXtal</v>
      </c>
      <c r="D364" t="str">
        <f t="shared" si="6"/>
        <v>human</v>
      </c>
      <c r="E364" t="str">
        <f>VLOOKUP(A364,Classification!A:B,2,FALSE)</f>
        <v>A</v>
      </c>
    </row>
    <row r="365" spans="1:5" x14ac:dyDescent="0.2">
      <c r="A365" t="s">
        <v>272</v>
      </c>
      <c r="B365" t="s">
        <v>754</v>
      </c>
      <c r="C365" t="str">
        <f>IF(ISERROR(MATCH(A365,'SegEnds_Xtal_Prot#'!B:B, 0)), "NoXtal", "Xtal")</f>
        <v>NoXtal</v>
      </c>
      <c r="D365" t="str">
        <f t="shared" si="6"/>
        <v>human</v>
      </c>
      <c r="E365" t="str">
        <f>VLOOKUP(A365,Classification!A:B,2,FALSE)</f>
        <v>A</v>
      </c>
    </row>
    <row r="366" spans="1:5" x14ac:dyDescent="0.2">
      <c r="A366" t="s">
        <v>273</v>
      </c>
      <c r="B366" t="s">
        <v>755</v>
      </c>
      <c r="C366" t="str">
        <f>IF(ISERROR(MATCH(A366,'SegEnds_Xtal_Prot#'!B:B, 0)), "NoXtal", "Xtal")</f>
        <v>NoXtal</v>
      </c>
      <c r="D366" t="str">
        <f t="shared" si="6"/>
        <v>human</v>
      </c>
      <c r="E366" t="str">
        <f>VLOOKUP(A366,Classification!A:B,2,FALSE)</f>
        <v>A</v>
      </c>
    </row>
    <row r="367" spans="1:5" x14ac:dyDescent="0.2">
      <c r="A367" t="s">
        <v>212</v>
      </c>
      <c r="B367" t="s">
        <v>756</v>
      </c>
      <c r="C367" t="str">
        <f>IF(ISERROR(MATCH(A367,'SegEnds_Xtal_Prot#'!B:B, 0)), "NoXtal", "Xtal")</f>
        <v>NoXtal</v>
      </c>
      <c r="D367" t="str">
        <f t="shared" si="6"/>
        <v>human</v>
      </c>
      <c r="E367" t="str">
        <f>VLOOKUP(A367,Classification!A:B,2,FALSE)</f>
        <v>A</v>
      </c>
    </row>
    <row r="368" spans="1:5" x14ac:dyDescent="0.2">
      <c r="A368" t="s">
        <v>214</v>
      </c>
      <c r="B368" t="s">
        <v>757</v>
      </c>
      <c r="C368" t="str">
        <f>IF(ISERROR(MATCH(A368,'SegEnds_Xtal_Prot#'!B:B, 0)), "NoXtal", "Xtal")</f>
        <v>NoXtal</v>
      </c>
      <c r="D368" t="str">
        <f t="shared" si="6"/>
        <v>human</v>
      </c>
      <c r="E368" t="str">
        <f>VLOOKUP(A368,Classification!A:B,2,FALSE)</f>
        <v>A</v>
      </c>
    </row>
    <row r="369" spans="1:5" x14ac:dyDescent="0.2">
      <c r="A369" t="s">
        <v>215</v>
      </c>
      <c r="B369" t="s">
        <v>758</v>
      </c>
      <c r="C369" t="str">
        <f>IF(ISERROR(MATCH(A369,'SegEnds_Xtal_Prot#'!B:B, 0)), "NoXtal", "Xtal")</f>
        <v>NoXtal</v>
      </c>
      <c r="D369" t="str">
        <f t="shared" si="6"/>
        <v>human</v>
      </c>
      <c r="E369" t="str">
        <f>VLOOKUP(A369,Classification!A:B,2,FALSE)</f>
        <v>A</v>
      </c>
    </row>
    <row r="370" spans="1:5" x14ac:dyDescent="0.2">
      <c r="A370" t="s">
        <v>216</v>
      </c>
      <c r="B370" t="s">
        <v>759</v>
      </c>
      <c r="C370" t="str">
        <f>IF(ISERROR(MATCH(A370,'SegEnds_Xtal_Prot#'!B:B, 0)), "NoXtal", "Xtal")</f>
        <v>NoXtal</v>
      </c>
      <c r="D370" t="str">
        <f t="shared" si="6"/>
        <v>human</v>
      </c>
      <c r="E370" t="str">
        <f>VLOOKUP(A370,Classification!A:B,2,FALSE)</f>
        <v>A</v>
      </c>
    </row>
    <row r="371" spans="1:5" x14ac:dyDescent="0.2">
      <c r="A371" t="s">
        <v>217</v>
      </c>
      <c r="B371" t="s">
        <v>760</v>
      </c>
      <c r="C371" t="str">
        <f>IF(ISERROR(MATCH(A371,'SegEnds_Xtal_Prot#'!B:B, 0)), "NoXtal", "Xtal")</f>
        <v>NoXtal</v>
      </c>
      <c r="D371" t="str">
        <f t="shared" si="6"/>
        <v>human</v>
      </c>
      <c r="E371" t="str">
        <f>VLOOKUP(A371,Classification!A:B,2,FALSE)</f>
        <v>A</v>
      </c>
    </row>
    <row r="372" spans="1:5" x14ac:dyDescent="0.2">
      <c r="A372" t="s">
        <v>218</v>
      </c>
      <c r="B372" t="s">
        <v>761</v>
      </c>
      <c r="C372" t="str">
        <f>IF(ISERROR(MATCH(A372,'SegEnds_Xtal_Prot#'!B:B, 0)), "NoXtal", "Xtal")</f>
        <v>NoXtal</v>
      </c>
      <c r="D372" t="str">
        <f t="shared" si="6"/>
        <v>human</v>
      </c>
      <c r="E372" t="str">
        <f>VLOOKUP(A372,Classification!A:B,2,FALSE)</f>
        <v>A</v>
      </c>
    </row>
    <row r="373" spans="1:5" x14ac:dyDescent="0.2">
      <c r="A373" t="s">
        <v>219</v>
      </c>
      <c r="B373" t="s">
        <v>762</v>
      </c>
      <c r="C373" t="str">
        <f>IF(ISERROR(MATCH(A373,'SegEnds_Xtal_Prot#'!B:B, 0)), "NoXtal", "Xtal")</f>
        <v>NoXtal</v>
      </c>
      <c r="D373" t="str">
        <f t="shared" si="6"/>
        <v>human</v>
      </c>
      <c r="E373" t="str">
        <f>VLOOKUP(A373,Classification!A:B,2,FALSE)</f>
        <v>A</v>
      </c>
    </row>
    <row r="374" spans="1:5" x14ac:dyDescent="0.2">
      <c r="A374" t="s">
        <v>220</v>
      </c>
      <c r="B374" t="s">
        <v>763</v>
      </c>
      <c r="C374" t="str">
        <f>IF(ISERROR(MATCH(A374,'SegEnds_Xtal_Prot#'!B:B, 0)), "NoXtal", "Xtal")</f>
        <v>NoXtal</v>
      </c>
      <c r="D374" t="str">
        <f t="shared" si="6"/>
        <v>human</v>
      </c>
      <c r="E374" t="str">
        <f>VLOOKUP(A374,Classification!A:B,2,FALSE)</f>
        <v>A</v>
      </c>
    </row>
    <row r="375" spans="1:5" x14ac:dyDescent="0.2">
      <c r="A375" t="s">
        <v>221</v>
      </c>
      <c r="B375" t="s">
        <v>764</v>
      </c>
      <c r="C375" t="str">
        <f>IF(ISERROR(MATCH(A375,'SegEnds_Xtal_Prot#'!B:B, 0)), "NoXtal", "Xtal")</f>
        <v>NoXtal</v>
      </c>
      <c r="D375" t="str">
        <f t="shared" si="6"/>
        <v>human</v>
      </c>
      <c r="E375" t="str">
        <f>VLOOKUP(A375,Classification!A:B,2,FALSE)</f>
        <v>A</v>
      </c>
    </row>
    <row r="376" spans="1:5" x14ac:dyDescent="0.2">
      <c r="A376" t="s">
        <v>222</v>
      </c>
      <c r="B376" t="s">
        <v>765</v>
      </c>
      <c r="C376" t="str">
        <f>IF(ISERROR(MATCH(A376,'SegEnds_Xtal_Prot#'!B:B, 0)), "NoXtal", "Xtal")</f>
        <v>NoXtal</v>
      </c>
      <c r="D376" t="str">
        <f t="shared" si="6"/>
        <v>human</v>
      </c>
      <c r="E376" t="str">
        <f>VLOOKUP(A376,Classification!A:B,2,FALSE)</f>
        <v>A</v>
      </c>
    </row>
    <row r="377" spans="1:5" x14ac:dyDescent="0.2">
      <c r="A377" t="s">
        <v>223</v>
      </c>
      <c r="B377" t="s">
        <v>766</v>
      </c>
      <c r="C377" t="str">
        <f>IF(ISERROR(MATCH(A377,'SegEnds_Xtal_Prot#'!B:B, 0)), "NoXtal", "Xtal")</f>
        <v>NoXtal</v>
      </c>
      <c r="D377" t="str">
        <f t="shared" si="6"/>
        <v>human</v>
      </c>
      <c r="E377" t="str">
        <f>VLOOKUP(A377,Classification!A:B,2,FALSE)</f>
        <v>A</v>
      </c>
    </row>
    <row r="378" spans="1:5" x14ac:dyDescent="0.2">
      <c r="A378" t="s">
        <v>224</v>
      </c>
      <c r="B378" t="s">
        <v>767</v>
      </c>
      <c r="C378" t="str">
        <f>IF(ISERROR(MATCH(A378,'SegEnds_Xtal_Prot#'!B:B, 0)), "NoXtal", "Xtal")</f>
        <v>NoXtal</v>
      </c>
      <c r="D378" t="str">
        <f t="shared" si="6"/>
        <v>human</v>
      </c>
      <c r="E378" t="str">
        <f>VLOOKUP(A378,Classification!A:B,2,FALSE)</f>
        <v>A</v>
      </c>
    </row>
    <row r="379" spans="1:5" x14ac:dyDescent="0.2">
      <c r="A379" t="s">
        <v>225</v>
      </c>
      <c r="B379" t="s">
        <v>768</v>
      </c>
      <c r="C379" t="str">
        <f>IF(ISERROR(MATCH(A379,'SegEnds_Xtal_Prot#'!B:B, 0)), "NoXtal", "Xtal")</f>
        <v>NoXtal</v>
      </c>
      <c r="D379" t="str">
        <f t="shared" si="6"/>
        <v>human</v>
      </c>
      <c r="E379" t="str">
        <f>VLOOKUP(A379,Classification!A:B,2,FALSE)</f>
        <v>A</v>
      </c>
    </row>
    <row r="380" spans="1:5" x14ac:dyDescent="0.2">
      <c r="A380" t="s">
        <v>226</v>
      </c>
      <c r="B380" t="s">
        <v>769</v>
      </c>
      <c r="C380" t="str">
        <f>IF(ISERROR(MATCH(A380,'SegEnds_Xtal_Prot#'!B:B, 0)), "NoXtal", "Xtal")</f>
        <v>NoXtal</v>
      </c>
      <c r="D380" t="str">
        <f t="shared" si="6"/>
        <v>human</v>
      </c>
      <c r="E380" t="str">
        <f>VLOOKUP(A380,Classification!A:B,2,FALSE)</f>
        <v>A</v>
      </c>
    </row>
    <row r="381" spans="1:5" x14ac:dyDescent="0.2">
      <c r="A381" t="s">
        <v>227</v>
      </c>
      <c r="B381" t="s">
        <v>770</v>
      </c>
      <c r="C381" t="str">
        <f>IF(ISERROR(MATCH(A381,'SegEnds_Xtal_Prot#'!B:B, 0)), "NoXtal", "Xtal")</f>
        <v>NoXtal</v>
      </c>
      <c r="D381" t="str">
        <f t="shared" si="6"/>
        <v>human</v>
      </c>
      <c r="E381" t="str">
        <f>VLOOKUP(A381,Classification!A:B,2,FALSE)</f>
        <v>A</v>
      </c>
    </row>
    <row r="382" spans="1:5" x14ac:dyDescent="0.2">
      <c r="A382" t="s">
        <v>228</v>
      </c>
      <c r="B382" t="s">
        <v>771</v>
      </c>
      <c r="C382" t="str">
        <f>IF(ISERROR(MATCH(A382,'SegEnds_Xtal_Prot#'!B:B, 0)), "NoXtal", "Xtal")</f>
        <v>NoXtal</v>
      </c>
      <c r="D382" t="str">
        <f t="shared" si="6"/>
        <v>human</v>
      </c>
      <c r="E382" t="str">
        <f>VLOOKUP(A382,Classification!A:B,2,FALSE)</f>
        <v>A</v>
      </c>
    </row>
    <row r="383" spans="1:5" x14ac:dyDescent="0.2">
      <c r="A383" t="s">
        <v>229</v>
      </c>
      <c r="B383" t="s">
        <v>772</v>
      </c>
      <c r="C383" t="str">
        <f>IF(ISERROR(MATCH(A383,'SegEnds_Xtal_Prot#'!B:B, 0)), "NoXtal", "Xtal")</f>
        <v>NoXtal</v>
      </c>
      <c r="D383" t="str">
        <f t="shared" si="6"/>
        <v>human</v>
      </c>
      <c r="E383" t="str">
        <f>VLOOKUP(A383,Classification!A:B,2,FALSE)</f>
        <v>A</v>
      </c>
    </row>
    <row r="384" spans="1:5" x14ac:dyDescent="0.2">
      <c r="A384" t="s">
        <v>230</v>
      </c>
      <c r="B384" t="s">
        <v>773</v>
      </c>
      <c r="C384" t="str">
        <f>IF(ISERROR(MATCH(A384,'SegEnds_Xtal_Prot#'!B:B, 0)), "NoXtal", "Xtal")</f>
        <v>NoXtal</v>
      </c>
      <c r="D384" t="str">
        <f t="shared" si="6"/>
        <v>human</v>
      </c>
      <c r="E384" t="str">
        <f>VLOOKUP(A384,Classification!A:B,2,FALSE)</f>
        <v>A</v>
      </c>
    </row>
    <row r="385" spans="1:5" x14ac:dyDescent="0.2">
      <c r="A385" t="s">
        <v>231</v>
      </c>
      <c r="B385" t="s">
        <v>774</v>
      </c>
      <c r="C385" t="str">
        <f>IF(ISERROR(MATCH(A385,'SegEnds_Xtal_Prot#'!B:B, 0)), "NoXtal", "Xtal")</f>
        <v>NoXtal</v>
      </c>
      <c r="D385" t="str">
        <f t="shared" si="6"/>
        <v>human</v>
      </c>
      <c r="E385" t="str">
        <f>VLOOKUP(A385,Classification!A:B,2,FALSE)</f>
        <v>A</v>
      </c>
    </row>
    <row r="386" spans="1:5" x14ac:dyDescent="0.2">
      <c r="A386" t="s">
        <v>232</v>
      </c>
      <c r="B386" t="s">
        <v>775</v>
      </c>
      <c r="C386" t="str">
        <f>IF(ISERROR(MATCH(A386,'SegEnds_Xtal_Prot#'!B:B, 0)), "NoXtal", "Xtal")</f>
        <v>NoXtal</v>
      </c>
      <c r="D386" t="str">
        <f t="shared" si="6"/>
        <v>human</v>
      </c>
      <c r="E386" t="str">
        <f>VLOOKUP(A386,Classification!A:B,2,FALSE)</f>
        <v>A</v>
      </c>
    </row>
    <row r="387" spans="1:5" x14ac:dyDescent="0.2">
      <c r="A387" t="s">
        <v>233</v>
      </c>
      <c r="B387" t="s">
        <v>776</v>
      </c>
      <c r="C387" t="str">
        <f>IF(ISERROR(MATCH(A387,'SegEnds_Xtal_Prot#'!B:B, 0)), "NoXtal", "Xtal")</f>
        <v>NoXtal</v>
      </c>
      <c r="D387" t="str">
        <f t="shared" ref="D387:D409" si="7">MID(A387,FIND("_",A387)+1,LEN(A387)-FIND("_",A387))</f>
        <v>human</v>
      </c>
      <c r="E387" t="str">
        <f>VLOOKUP(A387,Classification!A:B,2,FALSE)</f>
        <v>A</v>
      </c>
    </row>
    <row r="388" spans="1:5" x14ac:dyDescent="0.2">
      <c r="A388" t="s">
        <v>234</v>
      </c>
      <c r="B388" t="s">
        <v>777</v>
      </c>
      <c r="C388" t="str">
        <f>IF(ISERROR(MATCH(A388,'SegEnds_Xtal_Prot#'!B:B, 0)), "NoXtal", "Xtal")</f>
        <v>NoXtal</v>
      </c>
      <c r="D388" t="str">
        <f t="shared" si="7"/>
        <v>human</v>
      </c>
      <c r="E388" t="str">
        <f>VLOOKUP(A388,Classification!A:B,2,FALSE)</f>
        <v>A</v>
      </c>
    </row>
    <row r="389" spans="1:5" x14ac:dyDescent="0.2">
      <c r="A389" t="s">
        <v>283</v>
      </c>
      <c r="B389" t="s">
        <v>778</v>
      </c>
      <c r="C389" t="str">
        <f>IF(ISERROR(MATCH(A389,'SegEnds_Xtal_Prot#'!B:B, 0)), "NoXtal", "Xtal")</f>
        <v>NoXtal</v>
      </c>
      <c r="D389" t="str">
        <f t="shared" si="7"/>
        <v>human</v>
      </c>
      <c r="E389" t="str">
        <f>VLOOKUP(A389,Classification!A:B,2,FALSE)</f>
        <v>A</v>
      </c>
    </row>
    <row r="390" spans="1:5" x14ac:dyDescent="0.2">
      <c r="A390" t="s">
        <v>284</v>
      </c>
      <c r="B390" t="s">
        <v>779</v>
      </c>
      <c r="C390" t="str">
        <f>IF(ISERROR(MATCH(A390,'SegEnds_Xtal_Prot#'!B:B, 0)), "NoXtal", "Xtal")</f>
        <v>NoXtal</v>
      </c>
      <c r="D390" t="str">
        <f t="shared" si="7"/>
        <v>human</v>
      </c>
      <c r="E390" t="str">
        <f>VLOOKUP(A390,Classification!A:B,2,FALSE)</f>
        <v>A</v>
      </c>
    </row>
    <row r="391" spans="1:5" x14ac:dyDescent="0.2">
      <c r="A391" t="s">
        <v>285</v>
      </c>
      <c r="B391" t="s">
        <v>780</v>
      </c>
      <c r="C391" t="str">
        <f>IF(ISERROR(MATCH(A391,'SegEnds_Xtal_Prot#'!B:B, 0)), "NoXtal", "Xtal")</f>
        <v>NoXtal</v>
      </c>
      <c r="D391" t="str">
        <f t="shared" si="7"/>
        <v>human</v>
      </c>
      <c r="E391" t="str">
        <f>VLOOKUP(A391,Classification!A:B,2,FALSE)</f>
        <v>A</v>
      </c>
    </row>
    <row r="392" spans="1:5" x14ac:dyDescent="0.2">
      <c r="A392" t="s">
        <v>294</v>
      </c>
      <c r="B392" t="s">
        <v>781</v>
      </c>
      <c r="C392" t="str">
        <f>IF(ISERROR(MATCH(A392,'SegEnds_Xtal_Prot#'!B:B, 0)), "NoXtal", "Xtal")</f>
        <v>NoXtal</v>
      </c>
      <c r="D392" t="str">
        <f t="shared" si="7"/>
        <v>human</v>
      </c>
      <c r="E392" t="str">
        <f>VLOOKUP(A392,Classification!A:B,2,FALSE)</f>
        <v>A</v>
      </c>
    </row>
    <row r="393" spans="1:5" x14ac:dyDescent="0.2">
      <c r="A393" t="s">
        <v>295</v>
      </c>
      <c r="B393" t="s">
        <v>782</v>
      </c>
      <c r="C393" t="str">
        <f>IF(ISERROR(MATCH(A393,'SegEnds_Xtal_Prot#'!B:B, 0)), "NoXtal", "Xtal")</f>
        <v>NoXtal</v>
      </c>
      <c r="D393" t="str">
        <f t="shared" si="7"/>
        <v>human</v>
      </c>
      <c r="E393" t="str">
        <f>VLOOKUP(A393,Classification!A:B,2,FALSE)</f>
        <v>A</v>
      </c>
    </row>
    <row r="394" spans="1:5" x14ac:dyDescent="0.2">
      <c r="A394" t="s">
        <v>301</v>
      </c>
      <c r="B394" t="s">
        <v>783</v>
      </c>
      <c r="C394" t="str">
        <f>IF(ISERROR(MATCH(A394,'SegEnds_Xtal_Prot#'!B:B, 0)), "NoXtal", "Xtal")</f>
        <v>NoXtal</v>
      </c>
      <c r="D394" t="str">
        <f t="shared" si="7"/>
        <v>human</v>
      </c>
      <c r="E394" t="str">
        <f>VLOOKUP(A394,Classification!A:B,2,FALSE)</f>
        <v>A</v>
      </c>
    </row>
    <row r="395" spans="1:5" x14ac:dyDescent="0.2">
      <c r="A395" t="s">
        <v>302</v>
      </c>
      <c r="B395" t="s">
        <v>784</v>
      </c>
      <c r="C395" t="str">
        <f>IF(ISERROR(MATCH(A395,'SegEnds_Xtal_Prot#'!B:B, 0)), "NoXtal", "Xtal")</f>
        <v>NoXtal</v>
      </c>
      <c r="D395" t="str">
        <f t="shared" si="7"/>
        <v>human</v>
      </c>
      <c r="E395" t="str">
        <f>VLOOKUP(A395,Classification!A:B,2,FALSE)</f>
        <v>A</v>
      </c>
    </row>
    <row r="396" spans="1:5" x14ac:dyDescent="0.2">
      <c r="A396" t="s">
        <v>303</v>
      </c>
      <c r="B396" t="s">
        <v>785</v>
      </c>
      <c r="C396" t="str">
        <f>IF(ISERROR(MATCH(A396,'SegEnds_Xtal_Prot#'!B:B, 0)), "NoXtal", "Xtal")</f>
        <v>NoXtal</v>
      </c>
      <c r="D396" t="str">
        <f t="shared" si="7"/>
        <v>human</v>
      </c>
      <c r="E396" t="str">
        <f>VLOOKUP(A396,Classification!A:B,2,FALSE)</f>
        <v>A</v>
      </c>
    </row>
    <row r="397" spans="1:5" x14ac:dyDescent="0.2">
      <c r="A397" t="s">
        <v>304</v>
      </c>
      <c r="B397" t="s">
        <v>786</v>
      </c>
      <c r="C397" t="str">
        <f>IF(ISERROR(MATCH(A397,'SegEnds_Xtal_Prot#'!B:B, 0)), "NoXtal", "Xtal")</f>
        <v>NoXtal</v>
      </c>
      <c r="D397" t="str">
        <f t="shared" si="7"/>
        <v>human</v>
      </c>
      <c r="E397" t="str">
        <f>VLOOKUP(A397,Classification!A:B,2,FALSE)</f>
        <v>A</v>
      </c>
    </row>
    <row r="398" spans="1:5" x14ac:dyDescent="0.2">
      <c r="A398" t="s">
        <v>305</v>
      </c>
      <c r="B398" t="s">
        <v>787</v>
      </c>
      <c r="C398" t="str">
        <f>IF(ISERROR(MATCH(A398,'SegEnds_Xtal_Prot#'!B:B, 0)), "NoXtal", "Xtal")</f>
        <v>NoXtal</v>
      </c>
      <c r="D398" t="str">
        <f t="shared" si="7"/>
        <v>human</v>
      </c>
      <c r="E398" t="str">
        <f>VLOOKUP(A398,Classification!A:B,2,FALSE)</f>
        <v>A</v>
      </c>
    </row>
    <row r="399" spans="1:5" x14ac:dyDescent="0.2">
      <c r="A399" t="s">
        <v>306</v>
      </c>
      <c r="B399" t="s">
        <v>788</v>
      </c>
      <c r="C399" t="str">
        <f>IF(ISERROR(MATCH(A399,'SegEnds_Xtal_Prot#'!B:B, 0)), "NoXtal", "Xtal")</f>
        <v>NoXtal</v>
      </c>
      <c r="D399" t="str">
        <f t="shared" si="7"/>
        <v>human</v>
      </c>
      <c r="E399" t="str">
        <f>VLOOKUP(A399,Classification!A:B,2,FALSE)</f>
        <v>A</v>
      </c>
    </row>
    <row r="400" spans="1:5" x14ac:dyDescent="0.2">
      <c r="A400" t="s">
        <v>307</v>
      </c>
      <c r="B400" t="s">
        <v>789</v>
      </c>
      <c r="C400" t="str">
        <f>IF(ISERROR(MATCH(A400,'SegEnds_Xtal_Prot#'!B:B, 0)), "NoXtal", "Xtal")</f>
        <v>NoXtal</v>
      </c>
      <c r="D400" t="str">
        <f t="shared" si="7"/>
        <v>human</v>
      </c>
      <c r="E400" t="str">
        <f>VLOOKUP(A400,Classification!A:B,2,FALSE)</f>
        <v>A</v>
      </c>
    </row>
    <row r="401" spans="1:5" x14ac:dyDescent="0.2">
      <c r="A401" t="s">
        <v>308</v>
      </c>
      <c r="B401" t="s">
        <v>790</v>
      </c>
      <c r="C401" t="str">
        <f>IF(ISERROR(MATCH(A401,'SegEnds_Xtal_Prot#'!B:B, 0)), "NoXtal", "Xtal")</f>
        <v>NoXtal</v>
      </c>
      <c r="D401" t="str">
        <f t="shared" si="7"/>
        <v>human</v>
      </c>
      <c r="E401" t="str">
        <f>VLOOKUP(A401,Classification!A:B,2,FALSE)</f>
        <v>A</v>
      </c>
    </row>
    <row r="402" spans="1:5" x14ac:dyDescent="0.2">
      <c r="A402" t="s">
        <v>349</v>
      </c>
      <c r="B402" t="s">
        <v>791</v>
      </c>
      <c r="C402" t="str">
        <f>IF(ISERROR(MATCH(A402,'SegEnds_Xtal_Prot#'!B:B, 0)), "NoXtal", "Xtal")</f>
        <v>NoXtal</v>
      </c>
      <c r="D402" t="str">
        <f t="shared" si="7"/>
        <v>human</v>
      </c>
      <c r="E402" t="str">
        <f>VLOOKUP(A402,Classification!A:B,2,FALSE)</f>
        <v>A</v>
      </c>
    </row>
    <row r="403" spans="1:5" x14ac:dyDescent="0.2">
      <c r="A403" t="s">
        <v>350</v>
      </c>
      <c r="B403" t="s">
        <v>792</v>
      </c>
      <c r="C403" t="str">
        <f>IF(ISERROR(MATCH(A403,'SegEnds_Xtal_Prot#'!B:B, 0)), "NoXtal", "Xtal")</f>
        <v>NoXtal</v>
      </c>
      <c r="D403" t="str">
        <f t="shared" si="7"/>
        <v>human</v>
      </c>
      <c r="E403" t="str">
        <f>VLOOKUP(A403,Classification!A:B,2,FALSE)</f>
        <v>A</v>
      </c>
    </row>
    <row r="404" spans="1:5" x14ac:dyDescent="0.2">
      <c r="A404" t="s">
        <v>388</v>
      </c>
      <c r="B404" t="s">
        <v>793</v>
      </c>
      <c r="C404" t="str">
        <f>IF(ISERROR(MATCH(A404,'SegEnds_Xtal_Prot#'!B:B, 0)), "NoXtal", "Xtal")</f>
        <v>NoXtal</v>
      </c>
      <c r="D404" t="str">
        <f t="shared" si="7"/>
        <v>human</v>
      </c>
      <c r="E404" t="str">
        <f>VLOOKUP(A404,Classification!A:B,2,FALSE)</f>
        <v>A</v>
      </c>
    </row>
    <row r="405" spans="1:5" x14ac:dyDescent="0.2">
      <c r="A405" t="s">
        <v>389</v>
      </c>
      <c r="B405" t="s">
        <v>794</v>
      </c>
      <c r="C405" t="str">
        <f>IF(ISERROR(MATCH(A405,'SegEnds_Xtal_Prot#'!B:B, 0)), "NoXtal", "Xtal")</f>
        <v>NoXtal</v>
      </c>
      <c r="D405" t="str">
        <f t="shared" si="7"/>
        <v>human</v>
      </c>
      <c r="E405" t="str">
        <f>VLOOKUP(A405,Classification!A:B,2,FALSE)</f>
        <v>A</v>
      </c>
    </row>
    <row r="406" spans="1:5" x14ac:dyDescent="0.2">
      <c r="A406" t="s">
        <v>390</v>
      </c>
      <c r="B406" t="s">
        <v>795</v>
      </c>
      <c r="C406" t="str">
        <f>IF(ISERROR(MATCH(A406,'SegEnds_Xtal_Prot#'!B:B, 0)), "NoXtal", "Xtal")</f>
        <v>NoXtal</v>
      </c>
      <c r="D406" t="str">
        <f t="shared" si="7"/>
        <v>human</v>
      </c>
      <c r="E406" t="str">
        <f>VLOOKUP(A406,Classification!A:B,2,FALSE)</f>
        <v>A</v>
      </c>
    </row>
    <row r="407" spans="1:5" x14ac:dyDescent="0.2">
      <c r="A407" t="s">
        <v>391</v>
      </c>
      <c r="B407" t="s">
        <v>796</v>
      </c>
      <c r="C407" t="str">
        <f>IF(ISERROR(MATCH(A407,'SegEnds_Xtal_Prot#'!B:B, 0)), "NoXtal", "Xtal")</f>
        <v>NoXtal</v>
      </c>
      <c r="D407" t="str">
        <f t="shared" si="7"/>
        <v>human</v>
      </c>
      <c r="E407" t="str">
        <f>VLOOKUP(A407,Classification!A:B,2,FALSE)</f>
        <v>A</v>
      </c>
    </row>
    <row r="408" spans="1:5" x14ac:dyDescent="0.2">
      <c r="A408" t="s">
        <v>392</v>
      </c>
      <c r="B408" t="s">
        <v>797</v>
      </c>
      <c r="C408" t="str">
        <f>IF(ISERROR(MATCH(A408,'SegEnds_Xtal_Prot#'!B:B, 0)), "NoXtal", "Xtal")</f>
        <v>NoXtal</v>
      </c>
      <c r="D408" t="str">
        <f t="shared" si="7"/>
        <v>human</v>
      </c>
      <c r="E408" t="str">
        <f>VLOOKUP(A408,Classification!A:B,2,FALSE)</f>
        <v>A</v>
      </c>
    </row>
    <row r="409" spans="1:5" x14ac:dyDescent="0.2">
      <c r="A409" t="s">
        <v>393</v>
      </c>
      <c r="B409" t="s">
        <v>798</v>
      </c>
      <c r="C409" t="str">
        <f>IF(ISERROR(MATCH(A409,'SegEnds_Xtal_Prot#'!B:B, 0)), "NoXtal", "Xtal")</f>
        <v>NoXtal</v>
      </c>
      <c r="D409" t="str">
        <f t="shared" si="7"/>
        <v>human</v>
      </c>
      <c r="E409" t="str">
        <f>VLOOKUP(A409,Classification!A:B,2,FALSE)</f>
        <v>A</v>
      </c>
    </row>
  </sheetData>
  <sortState ref="A2:E408">
    <sortCondition descending="1" ref="E2:E408"/>
  </sortState>
  <customSheetViews>
    <customSheetView guid="{3E3401AF-8459-8641-BD70-AD04F80E86ED}">
      <pane ySplit="1" topLeftCell="A4" activePane="bottomLeft" state="frozenSplit"/>
      <selection pane="bottomLeft" activeCell="K33" sqref="K33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406"/>
  <sheetViews>
    <sheetView zoomScale="135" zoomScaleNormal="135" zoomScalePageLayoutView="135" workbookViewId="0">
      <pane ySplit="1" topLeftCell="A2" activePane="bottomLeft" state="frozenSplit"/>
      <selection pane="bottomLeft" activeCell="S2" sqref="S2"/>
    </sheetView>
  </sheetViews>
  <sheetFormatPr baseColWidth="10" defaultColWidth="10.83203125" defaultRowHeight="16" x14ac:dyDescent="0.2"/>
  <cols>
    <col min="1" max="1" width="11.6640625" style="1" customWidth="1"/>
    <col min="2" max="2" width="14.5" style="1" customWidth="1"/>
    <col min="3" max="3" width="5.6640625" style="5" customWidth="1"/>
    <col min="4" max="4" width="2.6640625" style="4" customWidth="1"/>
    <col min="5" max="5" width="5.83203125" style="5" bestFit="1" customWidth="1"/>
    <col min="6" max="6" width="4.83203125" style="5" customWidth="1"/>
    <col min="7" max="7" width="3.83203125" style="4" customWidth="1"/>
    <col min="8" max="8" width="4.83203125" style="4" customWidth="1"/>
    <col min="9" max="9" width="4.5" style="4" customWidth="1"/>
    <col min="10" max="10" width="4.83203125" style="4" customWidth="1"/>
    <col min="11" max="11" width="3.83203125" style="4" customWidth="1"/>
    <col min="12" max="12" width="4.83203125" style="4" customWidth="1"/>
    <col min="13" max="13" width="4.5" style="4" customWidth="1"/>
    <col min="14" max="17" width="4.83203125" style="4" customWidth="1"/>
    <col min="18" max="18" width="5.1640625" style="5" bestFit="1" customWidth="1"/>
    <col min="19" max="19" width="5.1640625" style="1" customWidth="1"/>
    <col min="20" max="20" width="5.1640625" style="1" bestFit="1" customWidth="1"/>
    <col min="21" max="21" width="4.1640625" style="1" bestFit="1" customWidth="1"/>
    <col min="22" max="22" width="5.1640625" style="1" bestFit="1" customWidth="1"/>
    <col min="23" max="23" width="4.1640625" style="1" bestFit="1" customWidth="1"/>
    <col min="24" max="24" width="5.1640625" style="1" bestFit="1" customWidth="1"/>
    <col min="25" max="25" width="5.1640625" style="1" customWidth="1"/>
    <col min="26" max="29" width="5.1640625" style="1" bestFit="1" customWidth="1"/>
    <col min="30" max="30" width="5.1640625" style="5" bestFit="1" customWidth="1"/>
    <col min="31" max="31" width="5.1640625" style="1" customWidth="1"/>
    <col min="32" max="32" width="5.1640625" style="1" bestFit="1" customWidth="1"/>
    <col min="33" max="33" width="4.1640625" style="1" bestFit="1" customWidth="1"/>
    <col min="34" max="34" width="5.1640625" style="1" bestFit="1" customWidth="1"/>
    <col min="35" max="35" width="4.1640625" style="1" bestFit="1" customWidth="1"/>
    <col min="36" max="36" width="5.1640625" style="1" bestFit="1" customWidth="1"/>
    <col min="37" max="37" width="5.1640625" style="1" customWidth="1"/>
    <col min="38" max="38" width="5.6640625" style="1" bestFit="1" customWidth="1"/>
    <col min="39" max="41" width="5.1640625" style="1" bestFit="1" customWidth="1"/>
    <col min="42" max="42" width="4.6640625" style="5" bestFit="1" customWidth="1"/>
    <col min="43" max="43" width="5.1640625" style="4" bestFit="1" customWidth="1"/>
    <col min="44" max="44" width="4.6640625" style="4" bestFit="1" customWidth="1"/>
    <col min="45" max="45" width="5.6640625" style="4" bestFit="1" customWidth="1"/>
    <col min="46" max="46" width="4.6640625" style="4" bestFit="1" customWidth="1"/>
    <col min="47" max="47" width="5.1640625" style="4" bestFit="1" customWidth="1"/>
    <col min="48" max="48" width="4.6640625" style="4" bestFit="1" customWidth="1"/>
    <col min="49" max="49" width="5.6640625" style="4" bestFit="1" customWidth="1"/>
    <col min="50" max="53" width="4.6640625" style="4" bestFit="1" customWidth="1"/>
    <col min="54" max="16384" width="10.83203125" style="1"/>
  </cols>
  <sheetData>
    <row r="1" spans="1:53" s="7" customFormat="1" x14ac:dyDescent="0.2">
      <c r="A1" s="8" t="s">
        <v>31</v>
      </c>
      <c r="B1" s="8" t="s">
        <v>1226</v>
      </c>
      <c r="C1" s="31" t="s">
        <v>1227</v>
      </c>
      <c r="D1" s="30" t="s">
        <v>99</v>
      </c>
      <c r="E1" s="26" t="s">
        <v>1225</v>
      </c>
      <c r="F1" s="26" t="s">
        <v>3</v>
      </c>
      <c r="G1" s="30" t="s">
        <v>1209</v>
      </c>
      <c r="H1" s="30" t="s">
        <v>4</v>
      </c>
      <c r="I1" s="30" t="s">
        <v>1211</v>
      </c>
      <c r="J1" s="30" t="s">
        <v>6</v>
      </c>
      <c r="K1" s="30" t="s">
        <v>1210</v>
      </c>
      <c r="L1" s="30" t="s">
        <v>7</v>
      </c>
      <c r="M1" s="30" t="s">
        <v>1212</v>
      </c>
      <c r="N1" s="30" t="s">
        <v>8</v>
      </c>
      <c r="O1" s="30" t="s">
        <v>10</v>
      </c>
      <c r="P1" s="30" t="s">
        <v>11</v>
      </c>
      <c r="Q1" s="30" t="s">
        <v>1208</v>
      </c>
      <c r="R1" s="26" t="s">
        <v>1061</v>
      </c>
      <c r="S1" s="8" t="s">
        <v>1078</v>
      </c>
      <c r="T1" s="8" t="s">
        <v>1063</v>
      </c>
      <c r="U1" s="8" t="s">
        <v>1080</v>
      </c>
      <c r="V1" s="8" t="s">
        <v>1065</v>
      </c>
      <c r="W1" s="8" t="s">
        <v>1093</v>
      </c>
      <c r="X1" s="8" t="s">
        <v>1067</v>
      </c>
      <c r="Y1" s="8" t="s">
        <v>1096</v>
      </c>
      <c r="Z1" s="8" t="s">
        <v>1069</v>
      </c>
      <c r="AA1" s="8" t="s">
        <v>1071</v>
      </c>
      <c r="AB1" s="8" t="s">
        <v>1073</v>
      </c>
      <c r="AC1" s="8" t="s">
        <v>1075</v>
      </c>
      <c r="AD1" s="26" t="s">
        <v>1062</v>
      </c>
      <c r="AE1" s="8" t="s">
        <v>1079</v>
      </c>
      <c r="AF1" s="8" t="s">
        <v>1064</v>
      </c>
      <c r="AG1" s="8" t="s">
        <v>1081</v>
      </c>
      <c r="AH1" s="8" t="s">
        <v>1066</v>
      </c>
      <c r="AI1" s="8" t="s">
        <v>1094</v>
      </c>
      <c r="AJ1" s="8" t="s">
        <v>1068</v>
      </c>
      <c r="AK1" s="8" t="s">
        <v>1097</v>
      </c>
      <c r="AL1" s="8" t="s">
        <v>1070</v>
      </c>
      <c r="AM1" s="8" t="s">
        <v>1072</v>
      </c>
      <c r="AN1" s="8" t="s">
        <v>1074</v>
      </c>
      <c r="AO1" s="8" t="s">
        <v>1076</v>
      </c>
      <c r="AP1" s="26" t="s">
        <v>1213</v>
      </c>
      <c r="AQ1" s="30" t="s">
        <v>1214</v>
      </c>
      <c r="AR1" s="30" t="s">
        <v>1215</v>
      </c>
      <c r="AS1" s="30" t="s">
        <v>1216</v>
      </c>
      <c r="AT1" s="30" t="s">
        <v>1217</v>
      </c>
      <c r="AU1" s="30" t="s">
        <v>1218</v>
      </c>
      <c r="AV1" s="30" t="s">
        <v>1219</v>
      </c>
      <c r="AW1" s="30" t="s">
        <v>1220</v>
      </c>
      <c r="AX1" s="30" t="s">
        <v>1221</v>
      </c>
      <c r="AY1" s="30" t="s">
        <v>1222</v>
      </c>
      <c r="AZ1" s="30" t="s">
        <v>1223</v>
      </c>
      <c r="BA1" s="30" t="s">
        <v>1224</v>
      </c>
    </row>
    <row r="2" spans="1:53" x14ac:dyDescent="0.2">
      <c r="A2" s="1" t="str">
        <f>'SegEnds_NonXtal_Prot#'!A5</f>
        <v>gp139_human</v>
      </c>
      <c r="B2" s="1" t="str">
        <f t="shared" ref="B2:B65" si="0">F2&amp;H2&amp;J2&amp;L2&amp;N2&amp;O2&amp;P2&amp;Q2</f>
        <v>CGLGFVPVVYYSLLLCLGLPANILTVIILSQLKSSYNYLLALAAADILVLFFIVFVDFLLEDFMQMPQVPDKIIEVLEFSSIHTSIWITVPLTIDRYIAVCHSYPARTRKVIVSVYITCFLTSIPYYWWTSVHHVLIWIHCFTVYLVPCSIFFILNSIIVYKLRRKRLRGYSTGKTTAILFTITSIFATLWAPRIIMILYHLYGRWLVHIMSDIANMLALLNTAINFFLYCFISKRFRTMAAATL</v>
      </c>
      <c r="C2" s="29" t="str">
        <f>IF(ISERROR(MATCH(A2,'SegEnds_Xtal_Prot#'!B:B, 0)), "NoXtal", "Xtal")</f>
        <v>NoXtal</v>
      </c>
      <c r="D2" s="4" t="str">
        <f>VLOOKUP(A2,Classification!A:D,2,FALSE)</f>
        <v>A</v>
      </c>
      <c r="E2" s="5" t="str">
        <f>VLOOKUP(A2,Seqs!A:B,2,FALSE)</f>
        <v>MEHTHAHLAANSSLSWWSPGSACGLGFVPVVYYSLLLCLGLPANILTVIILSQLVARRQKSSYNYLLALAAADILVLFFIVFVDFLLEDFILNMQMPQVPDKIIEVLEFSSIHTSIWITVPLTIDRYIAVCHPLKYHTVSYPARTRKVIVSVYITCFLTSIPYYWWPNIWTEDYISTSVHHVLIWIHCFTVYLVPCSIFFILNSIIVYKLRRKSNFRLRGYSTGKTTAILFTITSIFATLWAPRIIMILYHLYGAPIQNRWLVHIMSDIANMLALLNTAINFFLYCFISKRFRTMAAATLKAFFKCQKQPVQFYTNHNFSITSSPWISPANSHCIKMLVYQYDKNGKPIKVSP</v>
      </c>
      <c r="F2" s="5" t="str">
        <f t="shared" ref="F2:F65" si="1">IFERROR(MID($E2,R2,(AP2+1)),"")</f>
        <v>CGLGFVPVVYYSLLLCLGLPANILTVIILSQL</v>
      </c>
      <c r="G2" s="4" t="str">
        <f t="shared" ref="G2:G65" si="2">IFERROR(MID($E2,S2,(AQ2+1)),"")</f>
        <v/>
      </c>
      <c r="H2" s="4" t="str">
        <f t="shared" ref="H2:H65" si="3">IFERROR(MID($E2,T2,(AR2+1)),"")</f>
        <v>KSSYNYLLALAAADILVLFFIVFVDFLLEDF</v>
      </c>
      <c r="I2" s="4" t="str">
        <f t="shared" ref="I2:I65" si="4">IFERROR(MID($E2,U2,(AS2+1)),"")</f>
        <v/>
      </c>
      <c r="J2" s="4" t="str">
        <f t="shared" ref="J2:J65" si="5">IFERROR(MID($E2,V2,(AT2+1)),"")</f>
        <v>MQMPQVPDKIIEVLEFSSIHTSIWITVPLTIDRYIAVCH</v>
      </c>
      <c r="K2" s="4" t="str">
        <f t="shared" ref="K2:K65" si="6">IFERROR(MID($E2,W2,(AU2+1)),"")</f>
        <v>PLKYHTV</v>
      </c>
      <c r="L2" s="4" t="str">
        <f t="shared" ref="L2:L65" si="7">IFERROR(MID($E2,X2,(AV2+1)),"")</f>
        <v>SYPARTRKVIVSVYITCFLTSIPYYWW</v>
      </c>
      <c r="M2" s="4" t="str">
        <f t="shared" ref="M2:M65" si="8">IFERROR(MID($E2,Y2,(AW2+1)),"")</f>
        <v/>
      </c>
      <c r="N2" s="4" t="str">
        <f t="shared" ref="N2:N65" si="9">IFERROR(MID($E2,Z2,(AX2+1)),"")</f>
        <v>TSVHHVLIWIHCFTVYLVPCSIFFILNSIIVYKLRRK</v>
      </c>
      <c r="O2" s="4" t="str">
        <f t="shared" ref="O2:O65" si="10">IFERROR(MID($E2,AA2,(AY2+1)),"")</f>
        <v>RLRGYSTGKTTAILFTITSIFATLWAPRIIMILYHLYG</v>
      </c>
      <c r="P2" s="4" t="str">
        <f t="shared" ref="P2:P65" si="11">IFERROR(MID($E2,AB2,(AZ2+1)),"")</f>
        <v>RWLVHIMSDIANMLALLNTAINFFLYCFI</v>
      </c>
      <c r="Q2" s="4" t="str">
        <f t="shared" ref="Q2:Q65" si="12">IFERROR(MID($E2,AC2,(BA2+1)),"")</f>
        <v>SKRFRTMAAATL</v>
      </c>
      <c r="R2" s="5">
        <f>VLOOKUP($A2,'SegEnds_NonXtal_Prot#'!$A:$AL,3,FALSE)</f>
        <v>23</v>
      </c>
      <c r="S2" s="5" t="str">
        <f>VLOOKUP($A2,'SegEnds_NonXtal_Prot#'!$A:$AL,6,FALSE)</f>
        <v>-</v>
      </c>
      <c r="T2" s="5">
        <f>VLOOKUP($A2,'SegEnds_NonXtal_Prot#'!$A:$AL,9,FALSE)</f>
        <v>60</v>
      </c>
      <c r="U2" s="5" t="str">
        <f>VLOOKUP($A2,'SegEnds_NonXtal_Prot#'!$A:$AL,12,FALSE)</f>
        <v>-</v>
      </c>
      <c r="V2" s="5">
        <f>VLOOKUP($A2,'SegEnds_NonXtal_Prot#'!$A:$AL,15,FALSE)</f>
        <v>94</v>
      </c>
      <c r="W2" s="5">
        <f>VLOOKUP($A2,'SegEnds_NonXtal_Prot#'!$A:$AL,18,FALSE)</f>
        <v>133</v>
      </c>
      <c r="X2" s="5">
        <f>VLOOKUP($A2,'SegEnds_NonXtal_Prot#'!$A:$AL,21,FALSE)</f>
        <v>140</v>
      </c>
      <c r="Y2" s="5" t="str">
        <f>VLOOKUP($A2,'SegEnds_NonXtal_Prot#'!$A:$AL,24,FALSE)</f>
        <v>-</v>
      </c>
      <c r="Z2" s="5">
        <f>VLOOKUP($A2,'SegEnds_NonXtal_Prot#'!$A:$AL,27,FALSE)</f>
        <v>177</v>
      </c>
      <c r="AA2" s="5">
        <f>VLOOKUP($A2,'SegEnds_NonXtal_Prot#'!$A:$AL,30,FALSE)</f>
        <v>217</v>
      </c>
      <c r="AB2" s="5">
        <f>VLOOKUP($A2,'SegEnds_NonXtal_Prot#'!$A:$AL,33,FALSE)</f>
        <v>260</v>
      </c>
      <c r="AC2" s="5">
        <f>VLOOKUP($A2,'SegEnds_NonXtal_Prot#'!$A:$AL,36,FALSE)</f>
        <v>289</v>
      </c>
      <c r="AD2" s="5">
        <f>VLOOKUP($A2,'SegEnds_NonXtal_Prot#'!$A:$AL,5,FALSE)</f>
        <v>54</v>
      </c>
      <c r="AE2" s="5" t="str">
        <f>VLOOKUP($A2,'SegEnds_NonXtal_Prot#'!$A:$AL,8,FALSE)</f>
        <v>-</v>
      </c>
      <c r="AF2" s="5">
        <f>VLOOKUP($A2,'SegEnds_NonXtal_Prot#'!$A:$AL,11,FALSE)</f>
        <v>90</v>
      </c>
      <c r="AG2" s="5" t="str">
        <f>VLOOKUP($A2,'SegEnds_NonXtal_Prot#'!$A:$AL,14,FALSE)</f>
        <v>-</v>
      </c>
      <c r="AH2" s="5">
        <f>VLOOKUP($A2,'SegEnds_NonXtal_Prot#'!$A:$AL,17,FALSE)</f>
        <v>132</v>
      </c>
      <c r="AI2" s="5">
        <f>VLOOKUP($A2,'SegEnds_NonXtal_Prot#'!$A:$AL,20,FALSE)</f>
        <v>139</v>
      </c>
      <c r="AJ2" s="5">
        <f>VLOOKUP($A2,'SegEnds_NonXtal_Prot#'!$A:$AL,23,FALSE)</f>
        <v>166</v>
      </c>
      <c r="AK2" s="5" t="str">
        <f>VLOOKUP($A2,'SegEnds_NonXtal_Prot#'!$A:$AL,26,FALSE)</f>
        <v>-</v>
      </c>
      <c r="AL2" s="5">
        <f>VLOOKUP($A2,'SegEnds_NonXtal_Prot#'!$A:$AL,29,FALSE)</f>
        <v>213</v>
      </c>
      <c r="AM2" s="5">
        <f>VLOOKUP($A2,'SegEnds_NonXtal_Prot#'!$A:$AL,32,FALSE)</f>
        <v>254</v>
      </c>
      <c r="AN2" s="5">
        <f>VLOOKUP($A2,'SegEnds_NonXtal_Prot#'!$A:$AL,35,FALSE)</f>
        <v>288</v>
      </c>
      <c r="AO2" s="5">
        <f>VLOOKUP($A2,'SegEnds_NonXtal_Prot#'!$A:$AL,38,FALSE)</f>
        <v>300</v>
      </c>
      <c r="AP2" s="5">
        <f t="shared" ref="AP2:AP65" si="13">IFERROR(AD2-R2,"-")</f>
        <v>31</v>
      </c>
      <c r="AQ2" s="4" t="str">
        <f t="shared" ref="AQ2:AQ65" si="14">IFERROR(AE2-S2,"-")</f>
        <v>-</v>
      </c>
      <c r="AR2" s="4">
        <f t="shared" ref="AR2:AR65" si="15">IFERROR(AF2-T2,"-")</f>
        <v>30</v>
      </c>
      <c r="AS2" s="4" t="str">
        <f t="shared" ref="AS2:AS65" si="16">IFERROR(AG2-U2,"-")</f>
        <v>-</v>
      </c>
      <c r="AT2" s="4">
        <f t="shared" ref="AT2:AT65" si="17">IFERROR(AH2-V2,"-")</f>
        <v>38</v>
      </c>
      <c r="AU2" s="4">
        <f t="shared" ref="AU2:AU65" si="18">IFERROR(AI2-W2,"-")</f>
        <v>6</v>
      </c>
      <c r="AV2" s="4">
        <f t="shared" ref="AV2:AV65" si="19">IFERROR(AJ2-X2,"-")</f>
        <v>26</v>
      </c>
      <c r="AW2" s="4" t="str">
        <f t="shared" ref="AW2:AW65" si="20">IFERROR(AK2-Y2,"-")</f>
        <v>-</v>
      </c>
      <c r="AX2" s="4">
        <f t="shared" ref="AX2:AX65" si="21">IFERROR(AL2-Z2,"-")</f>
        <v>36</v>
      </c>
      <c r="AY2" s="4">
        <f t="shared" ref="AY2:AY65" si="22">IFERROR(AM2-AA2,"-")</f>
        <v>37</v>
      </c>
      <c r="AZ2" s="4">
        <f t="shared" ref="AZ2:AZ65" si="23">IFERROR(AN2-AB2,"-")</f>
        <v>28</v>
      </c>
      <c r="BA2" s="4">
        <f t="shared" ref="BA2:BA65" si="24">IFERROR(AO2-AC2,"-")</f>
        <v>11</v>
      </c>
    </row>
    <row r="3" spans="1:53" x14ac:dyDescent="0.2">
      <c r="A3" s="1" t="str">
        <f>'SegEnds_NonXtal_Prot#'!A12</f>
        <v>opn5_human</v>
      </c>
      <c r="B3" s="1" t="str">
        <f t="shared" si="0"/>
        <v>WEADLVAGFYLTIIGILSTFGNGYVLYMSSRRPAEIMTINLAVCDLGISVVGKPFTIISCFCHGWIGCRWYGWAGFFFGCGSLITMTAVSLDRYLKICYKRKHAYICLAAIWAYASFWTTMPLVGGQVFILNILFFCLLLPTAVIVFSYVKIIAKVKSSSKEVARIHSSHVLEMKLTKVAMLICAGFLIAWIPYAVVSVWSAFGPIQLSVVPTLLAKSAAMYNPIIYQVIDYKFACCQTGGLK</v>
      </c>
      <c r="C3" s="29" t="str">
        <f>IF(ISERROR(MATCH(A3,'SegEnds_Xtal_Prot#'!B:B, 0)), "NoXtal", "Xtal")</f>
        <v>NoXtal</v>
      </c>
      <c r="D3" s="4" t="str">
        <f>VLOOKUP(A3,Classification!A:D,2,FALSE)</f>
        <v>A</v>
      </c>
      <c r="E3" s="5" t="str">
        <f>VLOOKUP(A3,Seqs!A:B,2,FALSE)</f>
        <v>MALNHTALPQDERLPHYLRDGDPFASKLSWEADLVAGFYLTIIGILSTFGNGYVLYMSSRRKKKLRPAEIMTINLAVCDLGISVVGKPFTIISCFCHRWVFGWIGCRWYGWAGFFFGCGSLITMTAVSLDRYLKICYLSYGVWLKRKHAYICLAAIWAYASFWTTMPLVGLGDYVPEPFGTSCTLDWWLAQASVGGQVFILNILFFCLLLPTAVIVFSYVKIIAKVKSSSKEVAHFDSRIHSSHVLEMKLTKVAMLICAGFLIAWIPYAVVSVWSAFGRPDSIPIQLSVVPTLLAKSAAMYNPIIYQVIDYKFACCQTGGLKATKKKSLEGFRLHTVTTVRKSSAVLEIHEEWE</v>
      </c>
      <c r="F3" s="5" t="str">
        <f t="shared" si="1"/>
        <v>WEADLVAGFYLTIIGILSTFGNGYVLYMSSRR</v>
      </c>
      <c r="G3" s="4" t="str">
        <f t="shared" si="2"/>
        <v>KKLR</v>
      </c>
      <c r="H3" s="4" t="str">
        <f t="shared" si="3"/>
        <v>PAEIMTINLAVCDLGISVVGKPFTIISCFCH</v>
      </c>
      <c r="I3" s="4" t="str">
        <f t="shared" si="4"/>
        <v>RWVF</v>
      </c>
      <c r="J3" s="4" t="str">
        <f t="shared" si="5"/>
        <v>GWIGCRWYGWAGFFFGCGSLITMTAVSLDRYLKICY</v>
      </c>
      <c r="K3" s="4" t="str">
        <f t="shared" si="6"/>
        <v>LSYGVWL</v>
      </c>
      <c r="L3" s="4" t="str">
        <f t="shared" si="7"/>
        <v>KRKHAYICLAAIWAYASFWTTMPLV</v>
      </c>
      <c r="M3" s="4" t="str">
        <f t="shared" si="8"/>
        <v>CTL</v>
      </c>
      <c r="N3" s="4" t="str">
        <f t="shared" si="9"/>
        <v>GGQVFILNILFFCLLLPTAVIVFSYVKIIAKVKSSSKEVA</v>
      </c>
      <c r="O3" s="4" t="str">
        <f t="shared" si="10"/>
        <v>RIHSSHVLEMKLTKVAMLICAGFLIAWIPYAVVSVWSAFG</v>
      </c>
      <c r="P3" s="4" t="str">
        <f t="shared" si="11"/>
        <v>PIQLSVVPTLLAKSAAMYNPIIYQVI</v>
      </c>
      <c r="Q3" s="4" t="str">
        <f t="shared" si="12"/>
        <v>DYKFACCQTGGLK</v>
      </c>
      <c r="R3" s="5">
        <f>VLOOKUP($A3,'SegEnds_NonXtal_Prot#'!$A:$AL,3,FALSE)</f>
        <v>30</v>
      </c>
      <c r="S3" s="5">
        <f>VLOOKUP($A3,'SegEnds_NonXtal_Prot#'!$A:$AL,6,FALSE)</f>
        <v>63</v>
      </c>
      <c r="T3" s="5">
        <f>VLOOKUP($A3,'SegEnds_NonXtal_Prot#'!$A:$AL,9,FALSE)</f>
        <v>67</v>
      </c>
      <c r="U3" s="5">
        <f>VLOOKUP($A3,'SegEnds_NonXtal_Prot#'!$A:$AL,12,FALSE)</f>
        <v>98</v>
      </c>
      <c r="V3" s="5">
        <f>VLOOKUP($A3,'SegEnds_NonXtal_Prot#'!$A:$AL,15,FALSE)</f>
        <v>102</v>
      </c>
      <c r="W3" s="5">
        <f>VLOOKUP($A3,'SegEnds_NonXtal_Prot#'!$A:$AL,18,FALSE)</f>
        <v>138</v>
      </c>
      <c r="X3" s="5">
        <f>VLOOKUP($A3,'SegEnds_NonXtal_Prot#'!$A:$AL,21,FALSE)</f>
        <v>145</v>
      </c>
      <c r="Y3" s="5">
        <f>VLOOKUP($A3,'SegEnds_NonXtal_Prot#'!$A:$AL,24,FALSE)</f>
        <v>183</v>
      </c>
      <c r="Z3" s="5">
        <f>VLOOKUP($A3,'SegEnds_NonXtal_Prot#'!$A:$AL,27,FALSE)</f>
        <v>195</v>
      </c>
      <c r="AA3" s="5">
        <f>VLOOKUP($A3,'SegEnds_NonXtal_Prot#'!$A:$AL,30,FALSE)</f>
        <v>239</v>
      </c>
      <c r="AB3" s="5">
        <f>VLOOKUP($A3,'SegEnds_NonXtal_Prot#'!$A:$AL,33,FALSE)</f>
        <v>284</v>
      </c>
      <c r="AC3" s="5">
        <f>VLOOKUP($A3,'SegEnds_NonXtal_Prot#'!$A:$AL,36,FALSE)</f>
        <v>310</v>
      </c>
      <c r="AD3" s="5">
        <f>VLOOKUP($A3,'SegEnds_NonXtal_Prot#'!$A:$AL,5,FALSE)</f>
        <v>61</v>
      </c>
      <c r="AE3" s="5">
        <f>VLOOKUP($A3,'SegEnds_NonXtal_Prot#'!$A:$AL,8,FALSE)</f>
        <v>66</v>
      </c>
      <c r="AF3" s="5">
        <f>VLOOKUP($A3,'SegEnds_NonXtal_Prot#'!$A:$AL,11,FALSE)</f>
        <v>97</v>
      </c>
      <c r="AG3" s="5">
        <f>VLOOKUP($A3,'SegEnds_NonXtal_Prot#'!$A:$AL,14,FALSE)</f>
        <v>101</v>
      </c>
      <c r="AH3" s="5">
        <f>VLOOKUP($A3,'SegEnds_NonXtal_Prot#'!$A:$AL,17,FALSE)</f>
        <v>137</v>
      </c>
      <c r="AI3" s="5">
        <f>VLOOKUP($A3,'SegEnds_NonXtal_Prot#'!$A:$AL,20,FALSE)</f>
        <v>144</v>
      </c>
      <c r="AJ3" s="5">
        <f>VLOOKUP($A3,'SegEnds_NonXtal_Prot#'!$A:$AL,23,FALSE)</f>
        <v>169</v>
      </c>
      <c r="AK3" s="5">
        <f>VLOOKUP($A3,'SegEnds_NonXtal_Prot#'!$A:$AL,26,FALSE)</f>
        <v>185</v>
      </c>
      <c r="AL3" s="5">
        <f>VLOOKUP($A3,'SegEnds_NonXtal_Prot#'!$A:$AL,29,FALSE)</f>
        <v>234</v>
      </c>
      <c r="AM3" s="5">
        <f>VLOOKUP($A3,'SegEnds_NonXtal_Prot#'!$A:$AL,32,FALSE)</f>
        <v>278</v>
      </c>
      <c r="AN3" s="5">
        <f>VLOOKUP($A3,'SegEnds_NonXtal_Prot#'!$A:$AL,35,FALSE)</f>
        <v>309</v>
      </c>
      <c r="AO3" s="5">
        <f>VLOOKUP($A3,'SegEnds_NonXtal_Prot#'!$A:$AL,38,FALSE)</f>
        <v>322</v>
      </c>
      <c r="AP3" s="5">
        <f t="shared" si="13"/>
        <v>31</v>
      </c>
      <c r="AQ3" s="4">
        <f t="shared" si="14"/>
        <v>3</v>
      </c>
      <c r="AR3" s="4">
        <f t="shared" si="15"/>
        <v>30</v>
      </c>
      <c r="AS3" s="4">
        <f t="shared" si="16"/>
        <v>3</v>
      </c>
      <c r="AT3" s="4">
        <f t="shared" si="17"/>
        <v>35</v>
      </c>
      <c r="AU3" s="4">
        <f t="shared" si="18"/>
        <v>6</v>
      </c>
      <c r="AV3" s="4">
        <f t="shared" si="19"/>
        <v>24</v>
      </c>
      <c r="AW3" s="4">
        <f t="shared" si="20"/>
        <v>2</v>
      </c>
      <c r="AX3" s="4">
        <f t="shared" si="21"/>
        <v>39</v>
      </c>
      <c r="AY3" s="4">
        <f t="shared" si="22"/>
        <v>39</v>
      </c>
      <c r="AZ3" s="4">
        <f t="shared" si="23"/>
        <v>25</v>
      </c>
      <c r="BA3" s="4">
        <f t="shared" si="24"/>
        <v>12</v>
      </c>
    </row>
    <row r="4" spans="1:53" x14ac:dyDescent="0.2">
      <c r="A4" s="1" t="str">
        <f>'SegEnds_NonXtal_Prot#'!A26</f>
        <v>v1ar_human</v>
      </c>
      <c r="B4" s="1" t="str">
        <f t="shared" si="0"/>
        <v>LAKLEIAVLAVTFAVAVLGNSSVLLALHRTSRMHLFIRHLSLADLAVAFFQVLPQMCWDITRGPDWLCRVVKHLQVFGMFASAYMLVVMTADRYIAVCHPARRSRLMIAAAWVLSFVLSTPQYFVFPWGSRAYVTWMTGGIFVAPVVILGTCYGFICYNIWCNVRGKTASRKSISRAKIRTVKMTFVIVTAYIVCWAPFFIIQMWSVWDTESENPTITITALLGSLNSCCNPWIYMFFSGHLLQDCVQSF</v>
      </c>
      <c r="C4" s="29" t="str">
        <f>IF(ISERROR(MATCH(A4,'SegEnds_Xtal_Prot#'!B:B, 0)), "NoXtal", "Xtal")</f>
        <v>NoXtal</v>
      </c>
      <c r="D4" s="4" t="str">
        <f>VLOOKUP(A4,Classification!A:D,2,FALSE)</f>
        <v>A</v>
      </c>
      <c r="E4" s="5" t="str">
        <f>VLOOKUP(A4,Seqs!A:B,2,FALSE)</f>
        <v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</v>
      </c>
      <c r="F4" s="5" t="str">
        <f t="shared" si="1"/>
        <v>LAKLEIAVLAVTFAVAVLGNSSVLLALHRT</v>
      </c>
      <c r="G4" s="4" t="str">
        <f t="shared" si="2"/>
        <v>PRKT</v>
      </c>
      <c r="H4" s="4" t="str">
        <f t="shared" si="3"/>
        <v>SRMHLFIRHLSLADLAVAFFQVLPQMCWDIT</v>
      </c>
      <c r="I4" s="4" t="str">
        <f t="shared" si="4"/>
        <v>YRF</v>
      </c>
      <c r="J4" s="4" t="str">
        <f t="shared" si="5"/>
        <v>RGPDWLCRVVKHLQVFGMFASAYMLVVMTADRYIAVCH</v>
      </c>
      <c r="K4" s="4" t="str">
        <f t="shared" si="6"/>
        <v>PLKTLQQ</v>
      </c>
      <c r="L4" s="4" t="str">
        <f t="shared" si="7"/>
        <v>PARRSRLMIAAAWVLSFVLSTPQYFVF</v>
      </c>
      <c r="M4" s="4" t="str">
        <f t="shared" si="8"/>
        <v>CWA</v>
      </c>
      <c r="N4" s="4" t="str">
        <f t="shared" si="9"/>
        <v>PWGSRAYVTWMTGGIFVAPVVILGTCYGFICYNIWCNVRGKTASR</v>
      </c>
      <c r="O4" s="4" t="str">
        <f t="shared" si="10"/>
        <v>KSISRAKIRTVKMTFVIVTAYIVCWAPFFIIQMWSVWD</v>
      </c>
      <c r="P4" s="4" t="str">
        <f t="shared" si="11"/>
        <v>TESENPTITITALLGSLNSCCNPWIYMFF</v>
      </c>
      <c r="Q4" s="4" t="str">
        <f t="shared" si="12"/>
        <v>SGHLLQDCVQSF</v>
      </c>
      <c r="R4" s="5">
        <f>VLOOKUP($A4,'SegEnds_NonXtal_Prot#'!$A:$AL,3,FALSE)</f>
        <v>50</v>
      </c>
      <c r="S4" s="5">
        <f>VLOOKUP($A4,'SegEnds_NonXtal_Prot#'!$A:$AL,6,FALSE)</f>
        <v>80</v>
      </c>
      <c r="T4" s="5">
        <f>VLOOKUP($A4,'SegEnds_NonXtal_Prot#'!$A:$AL,9,FALSE)</f>
        <v>84</v>
      </c>
      <c r="U4" s="5">
        <f>VLOOKUP($A4,'SegEnds_NonXtal_Prot#'!$A:$AL,12,FALSE)</f>
        <v>115</v>
      </c>
      <c r="V4" s="5">
        <f>VLOOKUP($A4,'SegEnds_NonXtal_Prot#'!$A:$AL,15,FALSE)</f>
        <v>118</v>
      </c>
      <c r="W4" s="5">
        <f>VLOOKUP($A4,'SegEnds_NonXtal_Prot#'!$A:$AL,18,FALSE)</f>
        <v>156</v>
      </c>
      <c r="X4" s="5">
        <f>VLOOKUP($A4,'SegEnds_NonXtal_Prot#'!$A:$AL,21,FALSE)</f>
        <v>163</v>
      </c>
      <c r="Y4" s="5">
        <f>VLOOKUP($A4,'SegEnds_NonXtal_Prot#'!$A:$AL,24,FALSE)</f>
        <v>203</v>
      </c>
      <c r="Z4" s="5">
        <f>VLOOKUP($A4,'SegEnds_NonXtal_Prot#'!$A:$AL,27,FALSE)</f>
        <v>210</v>
      </c>
      <c r="AA4" s="5">
        <f>VLOOKUP($A4,'SegEnds_NonXtal_Prot#'!$A:$AL,30,FALSE)</f>
        <v>280</v>
      </c>
      <c r="AB4" s="5">
        <f>VLOOKUP($A4,'SegEnds_NonXtal_Prot#'!$A:$AL,33,FALSE)</f>
        <v>323</v>
      </c>
      <c r="AC4" s="5">
        <f>VLOOKUP($A4,'SegEnds_NonXtal_Prot#'!$A:$AL,36,FALSE)</f>
        <v>352</v>
      </c>
      <c r="AD4" s="5">
        <f>VLOOKUP($A4,'SegEnds_NonXtal_Prot#'!$A:$AL,5,FALSE)</f>
        <v>79</v>
      </c>
      <c r="AE4" s="5">
        <f>VLOOKUP($A4,'SegEnds_NonXtal_Prot#'!$A:$AL,8,FALSE)</f>
        <v>83</v>
      </c>
      <c r="AF4" s="5">
        <f>VLOOKUP($A4,'SegEnds_NonXtal_Prot#'!$A:$AL,11,FALSE)</f>
        <v>114</v>
      </c>
      <c r="AG4" s="5">
        <f>VLOOKUP($A4,'SegEnds_NonXtal_Prot#'!$A:$AL,14,FALSE)</f>
        <v>117</v>
      </c>
      <c r="AH4" s="5">
        <f>VLOOKUP($A4,'SegEnds_NonXtal_Prot#'!$A:$AL,17,FALSE)</f>
        <v>155</v>
      </c>
      <c r="AI4" s="5">
        <f>VLOOKUP($A4,'SegEnds_NonXtal_Prot#'!$A:$AL,20,FALSE)</f>
        <v>162</v>
      </c>
      <c r="AJ4" s="5">
        <f>VLOOKUP($A4,'SegEnds_NonXtal_Prot#'!$A:$AL,23,FALSE)</f>
        <v>189</v>
      </c>
      <c r="AK4" s="5">
        <f>VLOOKUP($A4,'SegEnds_NonXtal_Prot#'!$A:$AL,26,FALSE)</f>
        <v>205</v>
      </c>
      <c r="AL4" s="5">
        <f>VLOOKUP($A4,'SegEnds_NonXtal_Prot#'!$A:$AL,29,FALSE)</f>
        <v>254</v>
      </c>
      <c r="AM4" s="5">
        <f>VLOOKUP($A4,'SegEnds_NonXtal_Prot#'!$A:$AL,32,FALSE)</f>
        <v>317</v>
      </c>
      <c r="AN4" s="5">
        <f>VLOOKUP($A4,'SegEnds_NonXtal_Prot#'!$A:$AL,35,FALSE)</f>
        <v>351</v>
      </c>
      <c r="AO4" s="5">
        <f>VLOOKUP($A4,'SegEnds_NonXtal_Prot#'!$A:$AL,38,FALSE)</f>
        <v>363</v>
      </c>
      <c r="AP4" s="5">
        <f t="shared" si="13"/>
        <v>29</v>
      </c>
      <c r="AQ4" s="4">
        <f t="shared" si="14"/>
        <v>3</v>
      </c>
      <c r="AR4" s="4">
        <f t="shared" si="15"/>
        <v>30</v>
      </c>
      <c r="AS4" s="4">
        <f t="shared" si="16"/>
        <v>2</v>
      </c>
      <c r="AT4" s="4">
        <f t="shared" si="17"/>
        <v>37</v>
      </c>
      <c r="AU4" s="4">
        <f t="shared" si="18"/>
        <v>6</v>
      </c>
      <c r="AV4" s="4">
        <f t="shared" si="19"/>
        <v>26</v>
      </c>
      <c r="AW4" s="4">
        <f t="shared" si="20"/>
        <v>2</v>
      </c>
      <c r="AX4" s="4">
        <f t="shared" si="21"/>
        <v>44</v>
      </c>
      <c r="AY4" s="4">
        <f t="shared" si="22"/>
        <v>37</v>
      </c>
      <c r="AZ4" s="4">
        <f t="shared" si="23"/>
        <v>28</v>
      </c>
      <c r="BA4" s="4">
        <f t="shared" si="24"/>
        <v>11</v>
      </c>
    </row>
    <row r="5" spans="1:53" x14ac:dyDescent="0.2">
      <c r="A5" s="1" t="str">
        <f>'SegEnds_NonXtal_Prot#'!A29</f>
        <v>npy6r_human</v>
      </c>
      <c r="B5" s="1" t="str">
        <f t="shared" si="0"/>
        <v>ALLLLCIAYTVVLIVGLFGNLSLIIIIFKKNFTSILIANLSLSDTLVCVMCIHFTIIYTLMGDTMCRLTSYVQSVSISVSIFSLVFTAVERYQLIVNSVTHAYWGITLIWLFSLLLSIPFFLSYKKDRLLFTTSLFLLQYFVPLGFILICYLKIVICLRRRNAKVDENEGRLNENKRINTMLISIVVTFGACWLPRISSMSSLTGI</v>
      </c>
      <c r="C5" s="29" t="str">
        <f>IF(ISERROR(MATCH(A5,'SegEnds_Xtal_Prot#'!B:B, 0)), "NoXtal", "Xtal")</f>
        <v>NoXtal</v>
      </c>
      <c r="D5" s="4" t="str">
        <f>VLOOKUP(A5,Classification!A:D,2,FALSE)</f>
        <v>A</v>
      </c>
      <c r="E5" s="5" t="str">
        <f>VLOOKUP(A5,Seqs!A:B,2,FALSE)</f>
        <v>MEVSLNHPASNTTSTKNNNSAFFYFESCQPPSPALLLLCIAYTVVLIVGLFGNLSLIIIIFKKQRKAQNFTSILIANLSLSDTLVCVMCIHFTIIYTLMDHWIFGDTMCRLTSYVQSVSISVSIFSLVFTAVERYQLIVNPRGWKPSVTHAYWGITLIWLFSLLLSIPFFLSYHLTDEPFRNLSLPTDLYTHQVACVENWPSKKDRLLFTTSLFLLQYFVPLGFILICYLKIVICLRRRNAKVDKKKENEGRLNENKRINTMLISIVVTFGACWLPRISSMSSLTGIMRC</v>
      </c>
      <c r="F5" s="5" t="str">
        <f t="shared" si="1"/>
        <v>ALLLLCIAYTVVLIVGLFGNLSLIIIIFKK</v>
      </c>
      <c r="G5" s="4" t="str">
        <f t="shared" si="2"/>
        <v>RKAQ</v>
      </c>
      <c r="H5" s="4" t="str">
        <f t="shared" si="3"/>
        <v>NFTSILIANLSLSDTLVCVMCIHFTIIYTLM</v>
      </c>
      <c r="I5" s="4" t="str">
        <f t="shared" si="4"/>
        <v>HWIF</v>
      </c>
      <c r="J5" s="4" t="str">
        <f t="shared" si="5"/>
        <v>GDTMCRLTSYVQSVSISVSIFSLVFTAVERYQLIVN</v>
      </c>
      <c r="K5" s="4" t="str">
        <f t="shared" si="6"/>
        <v/>
      </c>
      <c r="L5" s="4" t="str">
        <f t="shared" si="7"/>
        <v>SVTHAYWGITLIWLFSLLLSIPFFLSY</v>
      </c>
      <c r="M5" s="4" t="str">
        <f t="shared" si="8"/>
        <v/>
      </c>
      <c r="N5" s="4" t="str">
        <f t="shared" si="9"/>
        <v>KKDRLLFTTSLFLLQYFVPLGFILICYLKIVICLRRRNAKVD</v>
      </c>
      <c r="O5" s="4" t="str">
        <f t="shared" si="10"/>
        <v>ENEGRLNENKRINTMLISIVVTFGACWLPRISSMSSLTGI</v>
      </c>
      <c r="P5" s="4" t="str">
        <f t="shared" si="11"/>
        <v/>
      </c>
      <c r="Q5" s="4" t="str">
        <f t="shared" si="12"/>
        <v/>
      </c>
      <c r="R5" s="5">
        <f>VLOOKUP($A5,'SegEnds_NonXtal_Prot#'!$A:$AL,3,FALSE)</f>
        <v>34</v>
      </c>
      <c r="S5" s="5">
        <f>VLOOKUP($A5,'SegEnds_NonXtal_Prot#'!$A:$AL,6,FALSE)</f>
        <v>65</v>
      </c>
      <c r="T5" s="5">
        <f>VLOOKUP($A5,'SegEnds_NonXtal_Prot#'!$A:$AL,9,FALSE)</f>
        <v>69</v>
      </c>
      <c r="U5" s="5">
        <f>VLOOKUP($A5,'SegEnds_NonXtal_Prot#'!$A:$AL,12,FALSE)</f>
        <v>101</v>
      </c>
      <c r="V5" s="5">
        <f>VLOOKUP($A5,'SegEnds_NonXtal_Prot#'!$A:$AL,15,FALSE)</f>
        <v>105</v>
      </c>
      <c r="W5" s="5" t="str">
        <f>VLOOKUP($A5,'SegEnds_NonXtal_Prot#'!$A:$AL,18,FALSE)</f>
        <v>-</v>
      </c>
      <c r="X5" s="5">
        <f>VLOOKUP($A5,'SegEnds_NonXtal_Prot#'!$A:$AL,21,FALSE)</f>
        <v>147</v>
      </c>
      <c r="Y5" s="5" t="str">
        <f>VLOOKUP($A5,'SegEnds_NonXtal_Prot#'!$A:$AL,24,FALSE)</f>
        <v>-</v>
      </c>
      <c r="Z5" s="5">
        <f>VLOOKUP($A5,'SegEnds_NonXtal_Prot#'!$A:$AL,27,FALSE)</f>
        <v>203</v>
      </c>
      <c r="AA5" s="5">
        <f>VLOOKUP($A5,'SegEnds_NonXtal_Prot#'!$A:$AL,30,FALSE)</f>
        <v>248</v>
      </c>
      <c r="AB5" s="5" t="str">
        <f>VLOOKUP($A5,'SegEnds_NonXtal_Prot#'!$A:$AL,33,FALSE)</f>
        <v>-</v>
      </c>
      <c r="AC5" s="5" t="str">
        <f>VLOOKUP($A5,'SegEnds_NonXtal_Prot#'!$A:$AL,36,FALSE)</f>
        <v>-</v>
      </c>
      <c r="AD5" s="5">
        <f>VLOOKUP($A5,'SegEnds_NonXtal_Prot#'!$A:$AL,5,FALSE)</f>
        <v>63</v>
      </c>
      <c r="AE5" s="5">
        <f>VLOOKUP($A5,'SegEnds_NonXtal_Prot#'!$A:$AL,8,FALSE)</f>
        <v>68</v>
      </c>
      <c r="AF5" s="5">
        <f>VLOOKUP($A5,'SegEnds_NonXtal_Prot#'!$A:$AL,11,FALSE)</f>
        <v>99</v>
      </c>
      <c r="AG5" s="5">
        <f>VLOOKUP($A5,'SegEnds_NonXtal_Prot#'!$A:$AL,14,FALSE)</f>
        <v>104</v>
      </c>
      <c r="AH5" s="5">
        <f>VLOOKUP($A5,'SegEnds_NonXtal_Prot#'!$A:$AL,17,FALSE)</f>
        <v>140</v>
      </c>
      <c r="AI5" s="5" t="str">
        <f>VLOOKUP($A5,'SegEnds_NonXtal_Prot#'!$A:$AL,20,FALSE)</f>
        <v>-</v>
      </c>
      <c r="AJ5" s="5">
        <f>VLOOKUP($A5,'SegEnds_NonXtal_Prot#'!$A:$AL,23,FALSE)</f>
        <v>173</v>
      </c>
      <c r="AK5" s="5" t="str">
        <f>VLOOKUP($A5,'SegEnds_NonXtal_Prot#'!$A:$AL,26,FALSE)</f>
        <v>-</v>
      </c>
      <c r="AL5" s="5">
        <f>VLOOKUP($A5,'SegEnds_NonXtal_Prot#'!$A:$AL,29,FALSE)</f>
        <v>244</v>
      </c>
      <c r="AM5" s="5">
        <f>VLOOKUP($A5,'SegEnds_NonXtal_Prot#'!$A:$AL,32,FALSE)</f>
        <v>287</v>
      </c>
      <c r="AN5" s="5" t="str">
        <f>VLOOKUP($A5,'SegEnds_NonXtal_Prot#'!$A:$AL,35,FALSE)</f>
        <v>-</v>
      </c>
      <c r="AO5" s="5" t="str">
        <f>VLOOKUP($A5,'SegEnds_NonXtal_Prot#'!$A:$AL,38,FALSE)</f>
        <v>-</v>
      </c>
      <c r="AP5" s="5">
        <f t="shared" si="13"/>
        <v>29</v>
      </c>
      <c r="AQ5" s="4">
        <f t="shared" si="14"/>
        <v>3</v>
      </c>
      <c r="AR5" s="4">
        <f t="shared" si="15"/>
        <v>30</v>
      </c>
      <c r="AS5" s="4">
        <f t="shared" si="16"/>
        <v>3</v>
      </c>
      <c r="AT5" s="4">
        <f t="shared" si="17"/>
        <v>35</v>
      </c>
      <c r="AU5" s="4" t="str">
        <f t="shared" si="18"/>
        <v>-</v>
      </c>
      <c r="AV5" s="4">
        <f t="shared" si="19"/>
        <v>26</v>
      </c>
      <c r="AW5" s="4" t="str">
        <f t="shared" si="20"/>
        <v>-</v>
      </c>
      <c r="AX5" s="4">
        <f t="shared" si="21"/>
        <v>41</v>
      </c>
      <c r="AY5" s="4">
        <f t="shared" si="22"/>
        <v>39</v>
      </c>
      <c r="AZ5" s="4" t="str">
        <f t="shared" si="23"/>
        <v>-</v>
      </c>
      <c r="BA5" s="4" t="str">
        <f t="shared" si="24"/>
        <v>-</v>
      </c>
    </row>
    <row r="6" spans="1:53" x14ac:dyDescent="0.2">
      <c r="A6" s="1" t="str">
        <f>'SegEnds_NonXtal_Prot#'!A46</f>
        <v>5ht4r_human</v>
      </c>
      <c r="B6" s="1" t="str">
        <f t="shared" si="0"/>
        <v>EGFGSVEKVVLLTFLSTVILMAILGNLLVMVAVCWDKIKTNYFIVSLAFADLLVSVLVMPFGAIELVQGEVFCLVRTSLDVLLTTASIFHLCCISLDRYYAICCTPLRIALMLGGCWVIPTFISFLPIMQGNKPYAITCSVVAFYIPFLLMVLAYYRIYVTAKEHAHQIQMLQTHRMRTETKAAKTLCIIMGCFCLCWAPFFVTNIVDPFIPGQVWTAFLWLGYINSGLNPFLYAFLNKSFRRAFLIILC</v>
      </c>
      <c r="C6" s="29" t="str">
        <f>IF(ISERROR(MATCH(A6,'SegEnds_Xtal_Prot#'!B:B, 0)), "NoXtal", "Xtal")</f>
        <v>NoXtal</v>
      </c>
      <c r="D6" s="4" t="str">
        <f>VLOOKUP(A6,Classification!A:D,2,FALSE)</f>
        <v>A</v>
      </c>
      <c r="E6" s="5" t="str">
        <f>VLOOKUP(A6,Seqs!A:B,2,FALSE)</f>
        <v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v>
      </c>
      <c r="F6" s="5" t="str">
        <f t="shared" si="1"/>
        <v>EGFGSVEKVVLLTFLSTVILMAILGNLLVMVAVCWD</v>
      </c>
      <c r="G6" s="4" t="str">
        <f t="shared" si="2"/>
        <v>RQLR</v>
      </c>
      <c r="H6" s="4" t="str">
        <f t="shared" si="3"/>
        <v>KIKTNYFIVSLAFADLLVSVLVMPFGAIELVQ</v>
      </c>
      <c r="I6" s="4" t="str">
        <f t="shared" si="4"/>
        <v>IWIY</v>
      </c>
      <c r="J6" s="4" t="str">
        <f t="shared" si="5"/>
        <v>GEVFCLVRTSLDVLLTTASIFHLCCISLDRYYAICC</v>
      </c>
      <c r="K6" s="4" t="str">
        <f t="shared" si="6"/>
        <v>PLVYRNKM</v>
      </c>
      <c r="L6" s="4" t="str">
        <f t="shared" si="7"/>
        <v>TPLRIALMLGGCWVIPTFISFLPIMQG</v>
      </c>
      <c r="M6" s="4" t="str">
        <f t="shared" si="8"/>
        <v>CVF</v>
      </c>
      <c r="N6" s="4" t="str">
        <f t="shared" si="9"/>
        <v>NKPYAITCSVVAFYIPFLLMVLAYYRIYVTAKEHAHQIQMLQ</v>
      </c>
      <c r="O6" s="4" t="str">
        <f t="shared" si="10"/>
        <v>THRMRTETKAAKTLCIIMGCFCLCWAPFFVTNIVDPFI</v>
      </c>
      <c r="P6" s="4" t="str">
        <f t="shared" si="11"/>
        <v>PGQVWTAFLWLGYINSGLNPFLYAFL</v>
      </c>
      <c r="Q6" s="4" t="str">
        <f t="shared" si="12"/>
        <v>NKSFRRAFLIILC</v>
      </c>
      <c r="R6" s="5">
        <f>VLOOKUP($A6,'SegEnds_NonXtal_Prot#'!$A:$AL,3,FALSE)</f>
        <v>12</v>
      </c>
      <c r="S6" s="5">
        <f>VLOOKUP($A6,'SegEnds_NonXtal_Prot#'!$A:$AL,6,FALSE)</f>
        <v>48</v>
      </c>
      <c r="T6" s="5">
        <f>VLOOKUP($A6,'SegEnds_NonXtal_Prot#'!$A:$AL,9,FALSE)</f>
        <v>52</v>
      </c>
      <c r="U6" s="5">
        <f>VLOOKUP($A6,'SegEnds_NonXtal_Prot#'!$A:$AL,12,FALSE)</f>
        <v>85</v>
      </c>
      <c r="V6" s="5">
        <f>VLOOKUP($A6,'SegEnds_NonXtal_Prot#'!$A:$AL,15,FALSE)</f>
        <v>89</v>
      </c>
      <c r="W6" s="5">
        <f>VLOOKUP($A6,'SegEnds_NonXtal_Prot#'!$A:$AL,18,FALSE)</f>
        <v>126</v>
      </c>
      <c r="X6" s="5">
        <f>VLOOKUP($A6,'SegEnds_NonXtal_Prot#'!$A:$AL,21,FALSE)</f>
        <v>134</v>
      </c>
      <c r="Y6" s="5">
        <f>VLOOKUP($A6,'SegEnds_NonXtal_Prot#'!$A:$AL,24,FALSE)</f>
        <v>184</v>
      </c>
      <c r="Z6" s="5">
        <f>VLOOKUP($A6,'SegEnds_NonXtal_Prot#'!$A:$AL,27,FALSE)</f>
        <v>189</v>
      </c>
      <c r="AA6" s="5">
        <f>VLOOKUP($A6,'SegEnds_NonXtal_Prot#'!$A:$AL,30,FALSE)</f>
        <v>248</v>
      </c>
      <c r="AB6" s="5">
        <f>VLOOKUP($A6,'SegEnds_NonXtal_Prot#'!$A:$AL,33,FALSE)</f>
        <v>290</v>
      </c>
      <c r="AC6" s="5">
        <f>VLOOKUP($A6,'SegEnds_NonXtal_Prot#'!$A:$AL,36,FALSE)</f>
        <v>316</v>
      </c>
      <c r="AD6" s="5">
        <f>VLOOKUP($A6,'SegEnds_NonXtal_Prot#'!$A:$AL,5,FALSE)</f>
        <v>47</v>
      </c>
      <c r="AE6" s="5">
        <f>VLOOKUP($A6,'SegEnds_NonXtal_Prot#'!$A:$AL,8,FALSE)</f>
        <v>51</v>
      </c>
      <c r="AF6" s="5">
        <f>VLOOKUP($A6,'SegEnds_NonXtal_Prot#'!$A:$AL,11,FALSE)</f>
        <v>83</v>
      </c>
      <c r="AG6" s="5">
        <f>VLOOKUP($A6,'SegEnds_NonXtal_Prot#'!$A:$AL,14,FALSE)</f>
        <v>88</v>
      </c>
      <c r="AH6" s="5">
        <f>VLOOKUP($A6,'SegEnds_NonXtal_Prot#'!$A:$AL,17,FALSE)</f>
        <v>124</v>
      </c>
      <c r="AI6" s="5">
        <f>VLOOKUP($A6,'SegEnds_NonXtal_Prot#'!$A:$AL,20,FALSE)</f>
        <v>133</v>
      </c>
      <c r="AJ6" s="5">
        <f>VLOOKUP($A6,'SegEnds_NonXtal_Prot#'!$A:$AL,23,FALSE)</f>
        <v>160</v>
      </c>
      <c r="AK6" s="5">
        <f>VLOOKUP($A6,'SegEnds_NonXtal_Prot#'!$A:$AL,26,FALSE)</f>
        <v>186</v>
      </c>
      <c r="AL6" s="5">
        <f>VLOOKUP($A6,'SegEnds_NonXtal_Prot#'!$A:$AL,29,FALSE)</f>
        <v>230</v>
      </c>
      <c r="AM6" s="5">
        <f>VLOOKUP($A6,'SegEnds_NonXtal_Prot#'!$A:$AL,32,FALSE)</f>
        <v>285</v>
      </c>
      <c r="AN6" s="5">
        <f>VLOOKUP($A6,'SegEnds_NonXtal_Prot#'!$A:$AL,35,FALSE)</f>
        <v>315</v>
      </c>
      <c r="AO6" s="5">
        <f>VLOOKUP($A6,'SegEnds_NonXtal_Prot#'!$A:$AL,38,FALSE)</f>
        <v>328</v>
      </c>
      <c r="AP6" s="5">
        <f t="shared" si="13"/>
        <v>35</v>
      </c>
      <c r="AQ6" s="4">
        <f t="shared" si="14"/>
        <v>3</v>
      </c>
      <c r="AR6" s="4">
        <f t="shared" si="15"/>
        <v>31</v>
      </c>
      <c r="AS6" s="4">
        <f t="shared" si="16"/>
        <v>3</v>
      </c>
      <c r="AT6" s="4">
        <f t="shared" si="17"/>
        <v>35</v>
      </c>
      <c r="AU6" s="4">
        <f t="shared" si="18"/>
        <v>7</v>
      </c>
      <c r="AV6" s="4">
        <f t="shared" si="19"/>
        <v>26</v>
      </c>
      <c r="AW6" s="4">
        <f t="shared" si="20"/>
        <v>2</v>
      </c>
      <c r="AX6" s="4">
        <f t="shared" si="21"/>
        <v>41</v>
      </c>
      <c r="AY6" s="4">
        <f t="shared" si="22"/>
        <v>37</v>
      </c>
      <c r="AZ6" s="4">
        <f t="shared" si="23"/>
        <v>25</v>
      </c>
      <c r="BA6" s="4">
        <f t="shared" si="24"/>
        <v>12</v>
      </c>
    </row>
    <row r="7" spans="1:53" x14ac:dyDescent="0.2">
      <c r="A7" s="1" t="str">
        <f>'SegEnds_NonXtal_Prot#'!A47</f>
        <v>5ht5a_human</v>
      </c>
      <c r="B7" s="1" t="str">
        <f t="shared" si="0"/>
        <v>SVFGVLILTLLGFLVAATFAWNLLVLATILRVRVPHNLVASMAVSDVLVAALVMPLSLVHELSGRRLCQLWIACDVLCCTASIWNVTAIALDRYWSITRRKCVSNVMIALTWALSAVISLAPLLFEPSYAVFSTVGAFYLPLCVVLFVYWKIYKAAKFRVGSRKTNSTWREQKEQRAALMVGILIGVFVLCWIPFFLTELISPLCPAIWKSIFLWLGYSNSFFNPLIYTAFNKNYNSAFKNFF</v>
      </c>
      <c r="C7" s="29" t="str">
        <f>IF(ISERROR(MATCH(A7,'SegEnds_Xtal_Prot#'!B:B, 0)), "NoXtal", "Xtal")</f>
        <v>NoXtal</v>
      </c>
      <c r="D7" s="4" t="str">
        <f>VLOOKUP(A7,Classification!A:D,2,FALSE)</f>
        <v>A</v>
      </c>
      <c r="E7" s="5" t="str">
        <f>VLOOKUP(A7,Seqs!A:B,2,FALSE)</f>
        <v>MDLPVNLTSFSLSTPSPLETNHSLGKDDLRPSSPLLSVFGVLILTLLGFLVAATFAWNLLVLATILRVRTFHRVPHNLVASMAVSDVLVAALVMPLSLVHELSGRRWQLGRRLCQLWIACDVLCCTASIWNVTAIALDRYWSITRHMEYTLRTRKCVSNVMIALTWALSAVISLAPLLFGWGETYSEGSEECQVSREPSYAVFSTVGAFYLPLCVVLFVYWKIYKAAKFRVGSRKTNSVSPISEAVEVKDSAKQPQMVFTVRHATVTFQPEGDTWREQKEQRAALMVGILIGVFVLCWIPFFLTELISPLCSCDIPAIWKSIFLWLGYSNSFFNPLIYTAFNKNYNSAFKNFFSRQH</v>
      </c>
      <c r="F7" s="5" t="str">
        <f t="shared" si="1"/>
        <v>SVFGVLILTLLGFLVAATFAWNLLVLATILRV</v>
      </c>
      <c r="G7" s="4" t="str">
        <f t="shared" si="2"/>
        <v>RTFH</v>
      </c>
      <c r="H7" s="4" t="str">
        <f t="shared" si="3"/>
        <v>RVPHNLVASMAVSDVLVAALVMPLSLVHELS</v>
      </c>
      <c r="I7" s="4" t="str">
        <f t="shared" si="4"/>
        <v>RWQL</v>
      </c>
      <c r="J7" s="4" t="str">
        <f t="shared" si="5"/>
        <v>GRRLCQLWIACDVLCCTASIWNVTAIALDRYWSITR</v>
      </c>
      <c r="K7" s="4" t="str">
        <f t="shared" si="6"/>
        <v>HMEYTLRT</v>
      </c>
      <c r="L7" s="4" t="str">
        <f t="shared" si="7"/>
        <v>RKCVSNVMIALTWALSAVISLAPLLF</v>
      </c>
      <c r="M7" s="4" t="str">
        <f t="shared" si="8"/>
        <v>CQV</v>
      </c>
      <c r="N7" s="4" t="str">
        <f t="shared" si="9"/>
        <v>EPSYAVFSTVGAFYLPLCVVLFVYWKIYKAAKFRVGSRKTNS</v>
      </c>
      <c r="O7" s="4" t="str">
        <f t="shared" si="10"/>
        <v>TWREQKEQRAALMVGILIGVFVLCWIPFFLTELISPLC</v>
      </c>
      <c r="P7" s="4" t="str">
        <f t="shared" si="11"/>
        <v>PAIWKSIFLWLGYSNSFFNPLIYTAF</v>
      </c>
      <c r="Q7" s="4" t="str">
        <f t="shared" si="12"/>
        <v>NKNYNSAFKNFF</v>
      </c>
      <c r="R7" s="5">
        <f>VLOOKUP($A7,'SegEnds_NonXtal_Prot#'!$A:$AL,3,FALSE)</f>
        <v>37</v>
      </c>
      <c r="S7" s="5">
        <f>VLOOKUP($A7,'SegEnds_NonXtal_Prot#'!$A:$AL,6,FALSE)</f>
        <v>69</v>
      </c>
      <c r="T7" s="5">
        <f>VLOOKUP($A7,'SegEnds_NonXtal_Prot#'!$A:$AL,9,FALSE)</f>
        <v>73</v>
      </c>
      <c r="U7" s="5">
        <f>VLOOKUP($A7,'SegEnds_NonXtal_Prot#'!$A:$AL,12,FALSE)</f>
        <v>106</v>
      </c>
      <c r="V7" s="5">
        <f>VLOOKUP($A7,'SegEnds_NonXtal_Prot#'!$A:$AL,15,FALSE)</f>
        <v>110</v>
      </c>
      <c r="W7" s="5">
        <f>VLOOKUP($A7,'SegEnds_NonXtal_Prot#'!$A:$AL,18,FALSE)</f>
        <v>146</v>
      </c>
      <c r="X7" s="5">
        <f>VLOOKUP($A7,'SegEnds_NonXtal_Prot#'!$A:$AL,21,FALSE)</f>
        <v>154</v>
      </c>
      <c r="Y7" s="5">
        <f>VLOOKUP($A7,'SegEnds_NonXtal_Prot#'!$A:$AL,24,FALSE)</f>
        <v>192</v>
      </c>
      <c r="Z7" s="5">
        <f>VLOOKUP($A7,'SegEnds_NonXtal_Prot#'!$A:$AL,27,FALSE)</f>
        <v>197</v>
      </c>
      <c r="AA7" s="5">
        <f>VLOOKUP($A7,'SegEnds_NonXtal_Prot#'!$A:$AL,30,FALSE)</f>
        <v>274</v>
      </c>
      <c r="AB7" s="5">
        <f>VLOOKUP($A7,'SegEnds_NonXtal_Prot#'!$A:$AL,33,FALSE)</f>
        <v>316</v>
      </c>
      <c r="AC7" s="5">
        <f>VLOOKUP($A7,'SegEnds_NonXtal_Prot#'!$A:$AL,36,FALSE)</f>
        <v>342</v>
      </c>
      <c r="AD7" s="5">
        <f>VLOOKUP($A7,'SegEnds_NonXtal_Prot#'!$A:$AL,5,FALSE)</f>
        <v>68</v>
      </c>
      <c r="AE7" s="5">
        <f>VLOOKUP($A7,'SegEnds_NonXtal_Prot#'!$A:$AL,8,FALSE)</f>
        <v>72</v>
      </c>
      <c r="AF7" s="5">
        <f>VLOOKUP($A7,'SegEnds_NonXtal_Prot#'!$A:$AL,11,FALSE)</f>
        <v>103</v>
      </c>
      <c r="AG7" s="5">
        <f>VLOOKUP($A7,'SegEnds_NonXtal_Prot#'!$A:$AL,14,FALSE)</f>
        <v>109</v>
      </c>
      <c r="AH7" s="5">
        <f>VLOOKUP($A7,'SegEnds_NonXtal_Prot#'!$A:$AL,17,FALSE)</f>
        <v>145</v>
      </c>
      <c r="AI7" s="5">
        <f>VLOOKUP($A7,'SegEnds_NonXtal_Prot#'!$A:$AL,20,FALSE)</f>
        <v>153</v>
      </c>
      <c r="AJ7" s="5">
        <f>VLOOKUP($A7,'SegEnds_NonXtal_Prot#'!$A:$AL,23,FALSE)</f>
        <v>179</v>
      </c>
      <c r="AK7" s="5">
        <f>VLOOKUP($A7,'SegEnds_NonXtal_Prot#'!$A:$AL,26,FALSE)</f>
        <v>194</v>
      </c>
      <c r="AL7" s="5">
        <f>VLOOKUP($A7,'SegEnds_NonXtal_Prot#'!$A:$AL,29,FALSE)</f>
        <v>238</v>
      </c>
      <c r="AM7" s="5">
        <f>VLOOKUP($A7,'SegEnds_NonXtal_Prot#'!$A:$AL,32,FALSE)</f>
        <v>311</v>
      </c>
      <c r="AN7" s="5">
        <f>VLOOKUP($A7,'SegEnds_NonXtal_Prot#'!$A:$AL,35,FALSE)</f>
        <v>341</v>
      </c>
      <c r="AO7" s="5">
        <f>VLOOKUP($A7,'SegEnds_NonXtal_Prot#'!$A:$AL,38,FALSE)</f>
        <v>353</v>
      </c>
      <c r="AP7" s="5">
        <f t="shared" si="13"/>
        <v>31</v>
      </c>
      <c r="AQ7" s="4">
        <f t="shared" si="14"/>
        <v>3</v>
      </c>
      <c r="AR7" s="4">
        <f t="shared" si="15"/>
        <v>30</v>
      </c>
      <c r="AS7" s="4">
        <f t="shared" si="16"/>
        <v>3</v>
      </c>
      <c r="AT7" s="4">
        <f t="shared" si="17"/>
        <v>35</v>
      </c>
      <c r="AU7" s="4">
        <f t="shared" si="18"/>
        <v>7</v>
      </c>
      <c r="AV7" s="4">
        <f t="shared" si="19"/>
        <v>25</v>
      </c>
      <c r="AW7" s="4">
        <f t="shared" si="20"/>
        <v>2</v>
      </c>
      <c r="AX7" s="4">
        <f t="shared" si="21"/>
        <v>41</v>
      </c>
      <c r="AY7" s="4">
        <f t="shared" si="22"/>
        <v>37</v>
      </c>
      <c r="AZ7" s="4">
        <f t="shared" si="23"/>
        <v>25</v>
      </c>
      <c r="BA7" s="4">
        <f t="shared" si="24"/>
        <v>11</v>
      </c>
    </row>
    <row r="8" spans="1:53" x14ac:dyDescent="0.2">
      <c r="A8" s="1" t="str">
        <f>'SegEnds_NonXtal_Prot#'!A111</f>
        <v>galr2_human</v>
      </c>
      <c r="B8" s="1" t="str">
        <f t="shared" si="0"/>
        <v>PEAVIVPLLFALIFLVGTVGNTLVLAVLLRGSTTNLFILNLGVADLCFILCCVPFQATIYTGSLLCKAVHFLIFLTMHASSFTLAAVSLDRYLAIRYTPRNALAAIGLIWGLSLLFSGPYLSYYSAPRRRAMDICTFVFSYLLPVLVLGLTYARTLRYLWRAVDPVSGARRAKRKVTRMILIVAALFCLCWMPHHALILCVWFGTRATYALRILSHLVSYANSCVNPIVYALVSKHFRKGFRTICA</v>
      </c>
      <c r="C8" s="29" t="str">
        <f>IF(ISERROR(MATCH(A8,'SegEnds_Xtal_Prot#'!B:B, 0)), "NoXtal", "Xtal")</f>
        <v>NoXtal</v>
      </c>
      <c r="D8" s="4" t="str">
        <f>VLOOKUP(A8,Classification!A:D,2,FALSE)</f>
        <v>A</v>
      </c>
      <c r="E8" s="5" t="str">
        <f>VLOOKUP(A8,Seqs!A:B,2,FALSE)</f>
        <v>MNVSGCPGAGNASQAGGGGGWHPEAVIVPLLFALIFLVGTVGNTLVLAVLLRGGQAVSTTNLFILNLGVADLCFILCCVPFQATIYTLDGWVFGSLLCKAVHFLIFLTMHASSFTLAAVSLDRYLAIRYPLHSRELRTPRNALAAIGLIWGLSLLFSGPYLSYYRQSQLANLTVCHPAWSAPRRRAMDICTFVFSYLLPVLVLGLTYARTLRYLWRAVDPVAAGSGARRAKRKVTRMILIVAALFCLCWMPHHALILCVWFGQFPLTRATYALRILSHLVSYANSCVNPIVYALVSKHFRKGFRTICAGLLGRAPGRASGRVCAAARGTHSGSVLERESSDLLHMSEAAGALRPCPGASQPCILEPCPGPSWQGPKAGDSILTVDVA</v>
      </c>
      <c r="F8" s="5" t="str">
        <f t="shared" si="1"/>
        <v>PEAVIVPLLFALIFLVGTVGNTLVLAVLLRG</v>
      </c>
      <c r="G8" s="4" t="str">
        <f t="shared" si="2"/>
        <v>GQAV</v>
      </c>
      <c r="H8" s="4" t="str">
        <f t="shared" si="3"/>
        <v>STTNLFILNLGVADLCFILCCVPFQATIYT</v>
      </c>
      <c r="I8" s="4" t="str">
        <f t="shared" si="4"/>
        <v>GWVF</v>
      </c>
      <c r="J8" s="4" t="str">
        <f t="shared" si="5"/>
        <v>GSLLCKAVHFLIFLTMHASSFTLAAVSLDRYLAIRY</v>
      </c>
      <c r="K8" s="4" t="str">
        <f t="shared" si="6"/>
        <v>PLHSRELR</v>
      </c>
      <c r="L8" s="4" t="str">
        <f t="shared" si="7"/>
        <v>TPRNALAAIGLIWGLSLLFSGPYLSYY</v>
      </c>
      <c r="M8" s="4" t="str">
        <f t="shared" si="8"/>
        <v>CHP</v>
      </c>
      <c r="N8" s="4" t="str">
        <f t="shared" si="9"/>
        <v>SAPRRRAMDICTFVFSYLLPVLVLGLTYARTLRYLWRAVDPV</v>
      </c>
      <c r="O8" s="4" t="str">
        <f t="shared" si="10"/>
        <v>SGARRAKRKVTRMILIVAALFCLCWMPHHALILCVWFG</v>
      </c>
      <c r="P8" s="4" t="str">
        <f t="shared" si="11"/>
        <v>TRATYALRILSHLVSYANSCVNPIVYALV</v>
      </c>
      <c r="Q8" s="4" t="str">
        <f t="shared" si="12"/>
        <v>SKHFRKGFRTICA</v>
      </c>
      <c r="R8" s="5">
        <f>VLOOKUP($A8,'SegEnds_NonXtal_Prot#'!$A:$AL,3,FALSE)</f>
        <v>23</v>
      </c>
      <c r="S8" s="5">
        <f>VLOOKUP($A8,'SegEnds_NonXtal_Prot#'!$A:$AL,6,FALSE)</f>
        <v>54</v>
      </c>
      <c r="T8" s="5">
        <f>VLOOKUP($A8,'SegEnds_NonXtal_Prot#'!$A:$AL,9,FALSE)</f>
        <v>58</v>
      </c>
      <c r="U8" s="5">
        <f>VLOOKUP($A8,'SegEnds_NonXtal_Prot#'!$A:$AL,12,FALSE)</f>
        <v>90</v>
      </c>
      <c r="V8" s="5">
        <f>VLOOKUP($A8,'SegEnds_NonXtal_Prot#'!$A:$AL,15,FALSE)</f>
        <v>94</v>
      </c>
      <c r="W8" s="5">
        <f>VLOOKUP($A8,'SegEnds_NonXtal_Prot#'!$A:$AL,18,FALSE)</f>
        <v>130</v>
      </c>
      <c r="X8" s="5">
        <f>VLOOKUP($A8,'SegEnds_NonXtal_Prot#'!$A:$AL,21,FALSE)</f>
        <v>138</v>
      </c>
      <c r="Y8" s="5">
        <f>VLOOKUP($A8,'SegEnds_NonXtal_Prot#'!$A:$AL,24,FALSE)</f>
        <v>175</v>
      </c>
      <c r="Z8" s="5">
        <f>VLOOKUP($A8,'SegEnds_NonXtal_Prot#'!$A:$AL,27,FALSE)</f>
        <v>180</v>
      </c>
      <c r="AA8" s="5">
        <f>VLOOKUP($A8,'SegEnds_NonXtal_Prot#'!$A:$AL,30,FALSE)</f>
        <v>225</v>
      </c>
      <c r="AB8" s="5">
        <f>VLOOKUP($A8,'SegEnds_NonXtal_Prot#'!$A:$AL,33,FALSE)</f>
        <v>267</v>
      </c>
      <c r="AC8" s="5">
        <f>VLOOKUP($A8,'SegEnds_NonXtal_Prot#'!$A:$AL,36,FALSE)</f>
        <v>296</v>
      </c>
      <c r="AD8" s="5">
        <f>VLOOKUP($A8,'SegEnds_NonXtal_Prot#'!$A:$AL,5,FALSE)</f>
        <v>53</v>
      </c>
      <c r="AE8" s="5">
        <f>VLOOKUP($A8,'SegEnds_NonXtal_Prot#'!$A:$AL,8,FALSE)</f>
        <v>57</v>
      </c>
      <c r="AF8" s="5">
        <f>VLOOKUP($A8,'SegEnds_NonXtal_Prot#'!$A:$AL,11,FALSE)</f>
        <v>87</v>
      </c>
      <c r="AG8" s="5">
        <f>VLOOKUP($A8,'SegEnds_NonXtal_Prot#'!$A:$AL,14,FALSE)</f>
        <v>93</v>
      </c>
      <c r="AH8" s="5">
        <f>VLOOKUP($A8,'SegEnds_NonXtal_Prot#'!$A:$AL,17,FALSE)</f>
        <v>129</v>
      </c>
      <c r="AI8" s="5">
        <f>VLOOKUP($A8,'SegEnds_NonXtal_Prot#'!$A:$AL,20,FALSE)</f>
        <v>137</v>
      </c>
      <c r="AJ8" s="5">
        <f>VLOOKUP($A8,'SegEnds_NonXtal_Prot#'!$A:$AL,23,FALSE)</f>
        <v>164</v>
      </c>
      <c r="AK8" s="5">
        <f>VLOOKUP($A8,'SegEnds_NonXtal_Prot#'!$A:$AL,26,FALSE)</f>
        <v>177</v>
      </c>
      <c r="AL8" s="5">
        <f>VLOOKUP($A8,'SegEnds_NonXtal_Prot#'!$A:$AL,29,FALSE)</f>
        <v>221</v>
      </c>
      <c r="AM8" s="5">
        <f>VLOOKUP($A8,'SegEnds_NonXtal_Prot#'!$A:$AL,32,FALSE)</f>
        <v>262</v>
      </c>
      <c r="AN8" s="5">
        <f>VLOOKUP($A8,'SegEnds_NonXtal_Prot#'!$A:$AL,35,FALSE)</f>
        <v>295</v>
      </c>
      <c r="AO8" s="5">
        <f>VLOOKUP($A8,'SegEnds_NonXtal_Prot#'!$A:$AL,38,FALSE)</f>
        <v>308</v>
      </c>
      <c r="AP8" s="5">
        <f t="shared" si="13"/>
        <v>30</v>
      </c>
      <c r="AQ8" s="4">
        <f t="shared" si="14"/>
        <v>3</v>
      </c>
      <c r="AR8" s="4">
        <f t="shared" si="15"/>
        <v>29</v>
      </c>
      <c r="AS8" s="4">
        <f t="shared" si="16"/>
        <v>3</v>
      </c>
      <c r="AT8" s="4">
        <f t="shared" si="17"/>
        <v>35</v>
      </c>
      <c r="AU8" s="4">
        <f t="shared" si="18"/>
        <v>7</v>
      </c>
      <c r="AV8" s="4">
        <f t="shared" si="19"/>
        <v>26</v>
      </c>
      <c r="AW8" s="4">
        <f t="shared" si="20"/>
        <v>2</v>
      </c>
      <c r="AX8" s="4">
        <f t="shared" si="21"/>
        <v>41</v>
      </c>
      <c r="AY8" s="4">
        <f t="shared" si="22"/>
        <v>37</v>
      </c>
      <c r="AZ8" s="4">
        <f t="shared" si="23"/>
        <v>28</v>
      </c>
      <c r="BA8" s="4">
        <f t="shared" si="24"/>
        <v>12</v>
      </c>
    </row>
    <row r="9" spans="1:53" x14ac:dyDescent="0.2">
      <c r="A9" s="1" t="str">
        <f>'SegEnds_NonXtal_Prot#'!A121</f>
        <v>gp161_human</v>
      </c>
      <c r="B9" s="1" t="str">
        <f t="shared" si="0"/>
        <v>GGVIITQFIAIIVITIFVCLGNLVIVVTLYKKTLSNKFVFSLTLSNFLLSVLVLPFVVTSSIRGVVWCNFSALLYLLISSASMLTLGVIAIDRYYAVLYTGNRAVMALVYIWLHSLIGCLPPLFGEPGYTAFWQIWCALFPFLVMLVCYGFIFRVARVKARKVHCGTVVYSANQCKALITILVVLGAFMVTWGPYMVVIASEALWSPSLETWATWLSFASAVCHPLIYGLWNKTVRKELLGMC</v>
      </c>
      <c r="C9" s="29" t="str">
        <f>IF(ISERROR(MATCH(A9,'SegEnds_Xtal_Prot#'!B:B, 0)), "NoXtal", "Xtal")</f>
        <v>NoXtal</v>
      </c>
      <c r="D9" s="4" t="str">
        <f>VLOOKUP(A9,Classification!A:D,2,FALSE)</f>
        <v>A</v>
      </c>
      <c r="E9" s="5" t="str">
        <f>VLOOKUP(A9,Seqs!A:B,2,FALSE)</f>
        <v>MSLNSSLSCRKELSNLTEEEGGEGGVIITQFIAIIVITIFVCLGNLVIVVTLYKKSYLLTLSNKFVFSLTLSNFLLSVLVLPFVVTSSIRREWIFGVVWCNFSALLYLLISSASMLTLGVIAIDRYYAVLYPMVYPMKITGNRAVMALVYIWLHSLIGCLPPLFGWSSVEFDEFKWMCVAAWHREPGYTAFWQIWCALFPFLVMLVCYGFIFRVARVKARKVHCGTVVIVEEDAQRTGRKNSSTSTSSSGSRRNAFQGVVYSANQCKALITILVVLGAFMVTWGPYMVVIASEALWGKSSVSPSLETWATWLSFASAVCHPLIYGLWNKTVRKELLGMCFGDRYYREPFVQRQRTSRLFSISNRITDLGLSPHLTALMAGGQPLGHSSSTGDTGFSCSQDSGTDMMLLEDYTSDDNPPSHCTCPPKRRSSVTFEDEVEQIKEAAKNSILHVKAEVHKSLDSYAASLAKAIEAEAKINLFGEEALPGVLVTARTVPGGGFGGRRGSRTLVSQRLQLQSIEEGDVLAAEQR</v>
      </c>
      <c r="F9" s="5" t="str">
        <f t="shared" si="1"/>
        <v>GGVIITQFIAIIVITIFVCLGNLVIVVTLYKK</v>
      </c>
      <c r="G9" s="4" t="str">
        <f t="shared" si="2"/>
        <v>SYLL</v>
      </c>
      <c r="H9" s="4" t="str">
        <f t="shared" si="3"/>
        <v>TLSNKFVFSLTLSNFLLSVLVLPFVVTSSIR</v>
      </c>
      <c r="I9" s="4" t="str">
        <f t="shared" si="4"/>
        <v>EWIF</v>
      </c>
      <c r="J9" s="4" t="str">
        <f t="shared" si="5"/>
        <v>GVVWCNFSALLYLLISSASMLTLGVIAIDRYYAVLY</v>
      </c>
      <c r="K9" s="4" t="str">
        <f t="shared" si="6"/>
        <v>PMVYPMKI</v>
      </c>
      <c r="L9" s="4" t="str">
        <f t="shared" si="7"/>
        <v>TGNRAVMALVYIWLHSLIGCLPPLFG</v>
      </c>
      <c r="M9" s="4" t="str">
        <f t="shared" si="8"/>
        <v>CVA</v>
      </c>
      <c r="N9" s="4" t="str">
        <f t="shared" si="9"/>
        <v>EPGYTAFWQIWCALFPFLVMLVCYGFIFRVARVKARKVHCGT</v>
      </c>
      <c r="O9" s="4" t="str">
        <f t="shared" si="10"/>
        <v>VVYSANQCKALITILVVLGAFMVTWGPYMVVIASEALW</v>
      </c>
      <c r="P9" s="4" t="str">
        <f t="shared" si="11"/>
        <v>SPSLETWATWLSFASAVCHPLIYGLW</v>
      </c>
      <c r="Q9" s="4" t="str">
        <f t="shared" si="12"/>
        <v>NKTVRKELLGMC</v>
      </c>
      <c r="R9" s="5">
        <f>VLOOKUP($A9,'SegEnds_NonXtal_Prot#'!$A:$AL,3,FALSE)</f>
        <v>24</v>
      </c>
      <c r="S9" s="5">
        <f>VLOOKUP($A9,'SegEnds_NonXtal_Prot#'!$A:$AL,6,FALSE)</f>
        <v>56</v>
      </c>
      <c r="T9" s="5">
        <f>VLOOKUP($A9,'SegEnds_NonXtal_Prot#'!$A:$AL,9,FALSE)</f>
        <v>60</v>
      </c>
      <c r="U9" s="5">
        <f>VLOOKUP($A9,'SegEnds_NonXtal_Prot#'!$A:$AL,12,FALSE)</f>
        <v>92</v>
      </c>
      <c r="V9" s="5">
        <f>VLOOKUP($A9,'SegEnds_NonXtal_Prot#'!$A:$AL,15,FALSE)</f>
        <v>96</v>
      </c>
      <c r="W9" s="5">
        <f>VLOOKUP($A9,'SegEnds_NonXtal_Prot#'!$A:$AL,18,FALSE)</f>
        <v>132</v>
      </c>
      <c r="X9" s="5">
        <f>VLOOKUP($A9,'SegEnds_NonXtal_Prot#'!$A:$AL,21,FALSE)</f>
        <v>140</v>
      </c>
      <c r="Y9" s="5">
        <f>VLOOKUP($A9,'SegEnds_NonXtal_Prot#'!$A:$AL,24,FALSE)</f>
        <v>178</v>
      </c>
      <c r="Z9" s="5">
        <f>VLOOKUP($A9,'SegEnds_NonXtal_Prot#'!$A:$AL,27,FALSE)</f>
        <v>185</v>
      </c>
      <c r="AA9" s="5">
        <f>VLOOKUP($A9,'SegEnds_NonXtal_Prot#'!$A:$AL,30,FALSE)</f>
        <v>259</v>
      </c>
      <c r="AB9" s="5">
        <f>VLOOKUP($A9,'SegEnds_NonXtal_Prot#'!$A:$AL,33,FALSE)</f>
        <v>302</v>
      </c>
      <c r="AC9" s="5">
        <f>VLOOKUP($A9,'SegEnds_NonXtal_Prot#'!$A:$AL,36,FALSE)</f>
        <v>328</v>
      </c>
      <c r="AD9" s="5">
        <f>VLOOKUP($A9,'SegEnds_NonXtal_Prot#'!$A:$AL,5,FALSE)</f>
        <v>55</v>
      </c>
      <c r="AE9" s="5">
        <f>VLOOKUP($A9,'SegEnds_NonXtal_Prot#'!$A:$AL,8,FALSE)</f>
        <v>59</v>
      </c>
      <c r="AF9" s="5">
        <f>VLOOKUP($A9,'SegEnds_NonXtal_Prot#'!$A:$AL,11,FALSE)</f>
        <v>90</v>
      </c>
      <c r="AG9" s="5">
        <f>VLOOKUP($A9,'SegEnds_NonXtal_Prot#'!$A:$AL,14,FALSE)</f>
        <v>95</v>
      </c>
      <c r="AH9" s="5">
        <f>VLOOKUP($A9,'SegEnds_NonXtal_Prot#'!$A:$AL,17,FALSE)</f>
        <v>131</v>
      </c>
      <c r="AI9" s="5">
        <f>VLOOKUP($A9,'SegEnds_NonXtal_Prot#'!$A:$AL,20,FALSE)</f>
        <v>139</v>
      </c>
      <c r="AJ9" s="5">
        <f>VLOOKUP($A9,'SegEnds_NonXtal_Prot#'!$A:$AL,23,FALSE)</f>
        <v>165</v>
      </c>
      <c r="AK9" s="5">
        <f>VLOOKUP($A9,'SegEnds_NonXtal_Prot#'!$A:$AL,26,FALSE)</f>
        <v>180</v>
      </c>
      <c r="AL9" s="5">
        <f>VLOOKUP($A9,'SegEnds_NonXtal_Prot#'!$A:$AL,29,FALSE)</f>
        <v>226</v>
      </c>
      <c r="AM9" s="5">
        <f>VLOOKUP($A9,'SegEnds_NonXtal_Prot#'!$A:$AL,32,FALSE)</f>
        <v>296</v>
      </c>
      <c r="AN9" s="5">
        <f>VLOOKUP($A9,'SegEnds_NonXtal_Prot#'!$A:$AL,35,FALSE)</f>
        <v>327</v>
      </c>
      <c r="AO9" s="5">
        <f>VLOOKUP($A9,'SegEnds_NonXtal_Prot#'!$A:$AL,38,FALSE)</f>
        <v>339</v>
      </c>
      <c r="AP9" s="5">
        <f t="shared" si="13"/>
        <v>31</v>
      </c>
      <c r="AQ9" s="4">
        <f t="shared" si="14"/>
        <v>3</v>
      </c>
      <c r="AR9" s="4">
        <f t="shared" si="15"/>
        <v>30</v>
      </c>
      <c r="AS9" s="4">
        <f t="shared" si="16"/>
        <v>3</v>
      </c>
      <c r="AT9" s="4">
        <f t="shared" si="17"/>
        <v>35</v>
      </c>
      <c r="AU9" s="4">
        <f t="shared" si="18"/>
        <v>7</v>
      </c>
      <c r="AV9" s="4">
        <f t="shared" si="19"/>
        <v>25</v>
      </c>
      <c r="AW9" s="4">
        <f t="shared" si="20"/>
        <v>2</v>
      </c>
      <c r="AX9" s="4">
        <f t="shared" si="21"/>
        <v>41</v>
      </c>
      <c r="AY9" s="4">
        <f t="shared" si="22"/>
        <v>37</v>
      </c>
      <c r="AZ9" s="4">
        <f t="shared" si="23"/>
        <v>25</v>
      </c>
      <c r="BA9" s="4">
        <f t="shared" si="24"/>
        <v>11</v>
      </c>
    </row>
    <row r="10" spans="1:53" x14ac:dyDescent="0.2">
      <c r="A10" s="1" t="str">
        <f>'SegEnds_NonXtal_Prot#'!A122</f>
        <v>gp162_human</v>
      </c>
      <c r="B10" s="1" t="str">
        <f t="shared" si="0"/>
        <v>SLRSNALSWLACGLLALLANAWIILSISAKKPLELLLCFLAGTHILMAAVPLTTFAVVQLNESICKVFVSTYYTLALATCFTVASLSYHRMWMVRWAKKQALHAVMGIWMVSFILSTLPSIGWGLGFGVCFSLLLLGGIVMGLVCVAITFYQTLWARPRRARQESAKTSLQVTNLVSAIVFLYDSLTGVPILVVSFFSLKSPWMVLAVLWCSMAQTLLLPSFIWSCERYRADVRTVW</v>
      </c>
      <c r="C10" s="29" t="str">
        <f>IF(ISERROR(MATCH(A10,'SegEnds_Xtal_Prot#'!B:B, 0)), "NoXtal", "Xtal")</f>
        <v>NoXtal</v>
      </c>
      <c r="D10" s="4" t="str">
        <f>VLOOKUP(A10,Classification!A:D,2,FALSE)</f>
        <v>A</v>
      </c>
      <c r="E10" s="5" t="str">
        <f>VLOOKUP(A10,Seqs!A:B,2,FALSE)</f>
        <v>MARGGAGAEEASLRSNALSWLACGLLALLANAWIILSISAKQQKHKPLELLLCFLAGTHILMAAVPLTTFAVVQLRRQASSDYDWNESICKVFVSTYYTLALATCFTVASLSYHRMWMVRWPVNYRLSNAKKQALHAVMGIWMVSFILSTLPSIGWHNNGERYYARGCQFIVSKIGLGFGVCFSLLLLGGIVMGLVCVAITFYQTLWARPRRARQARRVGGGGGTKAGGPGALGTRPAFEVPAIVVEDARGKRRSSLDGSESAKTSLQVTNLVSAIVFLYDSLTGVPILVVSFFSLKSDSAPPWMVLAVLWCSMAQTLLLPSFIWSCERYRADVRTVWEQCVAIMSEEDGDDDGGCDDYAEGRVCKVRFDANGATGPGSRDPAQVKLLPGRHMLFPPLERVHYLQVPLSRRLSHDETNIFSTPREPGSFLHKWSSSDDIRVLPAQSRALGGPPEYLGQRHRLEDEEDEEEAEGGGLASLRQFLESGVLGSGGGPPRGPGFFREEITTFIDETPLPSPTASPGHSPRRPRPLGLSPRRLSLGSPESRAVGLPLGLSAGRRCSLTGGEESARAWGGSWGPGNPIFPQLTL</v>
      </c>
      <c r="F10" s="5" t="str">
        <f t="shared" si="1"/>
        <v>SLRSNALSWLACGLLALLANAWIILSISAK</v>
      </c>
      <c r="G10" s="4" t="str">
        <f t="shared" si="2"/>
        <v>QQKH</v>
      </c>
      <c r="H10" s="4" t="str">
        <f t="shared" si="3"/>
        <v>KPLELLLCFLAGTHILMAAVPLTTFAVVQL</v>
      </c>
      <c r="I10" s="4" t="str">
        <f t="shared" si="4"/>
        <v>DYDW</v>
      </c>
      <c r="J10" s="4" t="str">
        <f t="shared" si="5"/>
        <v>NESICKVFVSTYYTLALATCFTVASLSYHRMWMVRW</v>
      </c>
      <c r="K10" s="4" t="str">
        <f t="shared" si="6"/>
        <v>PVNYRLSN</v>
      </c>
      <c r="L10" s="4" t="str">
        <f t="shared" si="7"/>
        <v>AKKQALHAVMGIWMVSFILSTLPSIGW</v>
      </c>
      <c r="M10" s="4" t="str">
        <f t="shared" si="8"/>
        <v>CQF</v>
      </c>
      <c r="N10" s="4" t="str">
        <f t="shared" si="9"/>
        <v>GLGFGVCFSLLLLGGIVMGLVCVAITFYQTLWARPRRARQ</v>
      </c>
      <c r="O10" s="4" t="str">
        <f t="shared" si="10"/>
        <v>ESAKTSLQVTNLVSAIVFLYDSLTGVPILVVSFFSLKS</v>
      </c>
      <c r="P10" s="4" t="str">
        <f t="shared" si="11"/>
        <v>PWMVLAVLWCSMAQTLLLPSFIWS</v>
      </c>
      <c r="Q10" s="4" t="str">
        <f t="shared" si="12"/>
        <v>CERYRADVRTVW</v>
      </c>
      <c r="R10" s="5">
        <f>VLOOKUP($A10,'SegEnds_NonXtal_Prot#'!$A:$AL,3,FALSE)</f>
        <v>12</v>
      </c>
      <c r="S10" s="5">
        <f>VLOOKUP($A10,'SegEnds_NonXtal_Prot#'!$A:$AL,6,FALSE)</f>
        <v>42</v>
      </c>
      <c r="T10" s="5">
        <f>VLOOKUP($A10,'SegEnds_NonXtal_Prot#'!$A:$AL,9,FALSE)</f>
        <v>46</v>
      </c>
      <c r="U10" s="5">
        <f>VLOOKUP($A10,'SegEnds_NonXtal_Prot#'!$A:$AL,12,FALSE)</f>
        <v>82</v>
      </c>
      <c r="V10" s="5">
        <f>VLOOKUP($A10,'SegEnds_NonXtal_Prot#'!$A:$AL,15,FALSE)</f>
        <v>86</v>
      </c>
      <c r="W10" s="5">
        <f>VLOOKUP($A10,'SegEnds_NonXtal_Prot#'!$A:$AL,18,FALSE)</f>
        <v>122</v>
      </c>
      <c r="X10" s="5">
        <f>VLOOKUP($A10,'SegEnds_NonXtal_Prot#'!$A:$AL,21,FALSE)</f>
        <v>130</v>
      </c>
      <c r="Y10" s="5">
        <f>VLOOKUP($A10,'SegEnds_NonXtal_Prot#'!$A:$AL,24,FALSE)</f>
        <v>168</v>
      </c>
      <c r="Z10" s="5">
        <f>VLOOKUP($A10,'SegEnds_NonXtal_Prot#'!$A:$AL,27,FALSE)</f>
        <v>176</v>
      </c>
      <c r="AA10" s="5">
        <f>VLOOKUP($A10,'SegEnds_NonXtal_Prot#'!$A:$AL,30,FALSE)</f>
        <v>261</v>
      </c>
      <c r="AB10" s="5">
        <f>VLOOKUP($A10,'SegEnds_NonXtal_Prot#'!$A:$AL,33,FALSE)</f>
        <v>303</v>
      </c>
      <c r="AC10" s="5">
        <f>VLOOKUP($A10,'SegEnds_NonXtal_Prot#'!$A:$AL,36,FALSE)</f>
        <v>327</v>
      </c>
      <c r="AD10" s="5">
        <f>VLOOKUP($A10,'SegEnds_NonXtal_Prot#'!$A:$AL,5,FALSE)</f>
        <v>41</v>
      </c>
      <c r="AE10" s="5">
        <f>VLOOKUP($A10,'SegEnds_NonXtal_Prot#'!$A:$AL,8,FALSE)</f>
        <v>45</v>
      </c>
      <c r="AF10" s="5">
        <f>VLOOKUP($A10,'SegEnds_NonXtal_Prot#'!$A:$AL,11,FALSE)</f>
        <v>75</v>
      </c>
      <c r="AG10" s="5">
        <f>VLOOKUP($A10,'SegEnds_NonXtal_Prot#'!$A:$AL,14,FALSE)</f>
        <v>85</v>
      </c>
      <c r="AH10" s="5">
        <f>VLOOKUP($A10,'SegEnds_NonXtal_Prot#'!$A:$AL,17,FALSE)</f>
        <v>121</v>
      </c>
      <c r="AI10" s="5">
        <f>VLOOKUP($A10,'SegEnds_NonXtal_Prot#'!$A:$AL,20,FALSE)</f>
        <v>129</v>
      </c>
      <c r="AJ10" s="5">
        <f>VLOOKUP($A10,'SegEnds_NonXtal_Prot#'!$A:$AL,23,FALSE)</f>
        <v>156</v>
      </c>
      <c r="AK10" s="5">
        <f>VLOOKUP($A10,'SegEnds_NonXtal_Prot#'!$A:$AL,26,FALSE)</f>
        <v>170</v>
      </c>
      <c r="AL10" s="5">
        <f>VLOOKUP($A10,'SegEnds_NonXtal_Prot#'!$A:$AL,29,FALSE)</f>
        <v>215</v>
      </c>
      <c r="AM10" s="5">
        <f>VLOOKUP($A10,'SegEnds_NonXtal_Prot#'!$A:$AL,32,FALSE)</f>
        <v>298</v>
      </c>
      <c r="AN10" s="5">
        <f>VLOOKUP($A10,'SegEnds_NonXtal_Prot#'!$A:$AL,35,FALSE)</f>
        <v>326</v>
      </c>
      <c r="AO10" s="5">
        <f>VLOOKUP($A10,'SegEnds_NonXtal_Prot#'!$A:$AL,38,FALSE)</f>
        <v>338</v>
      </c>
      <c r="AP10" s="5">
        <f t="shared" si="13"/>
        <v>29</v>
      </c>
      <c r="AQ10" s="4">
        <f t="shared" si="14"/>
        <v>3</v>
      </c>
      <c r="AR10" s="4">
        <f t="shared" si="15"/>
        <v>29</v>
      </c>
      <c r="AS10" s="4">
        <f t="shared" si="16"/>
        <v>3</v>
      </c>
      <c r="AT10" s="4">
        <f t="shared" si="17"/>
        <v>35</v>
      </c>
      <c r="AU10" s="4">
        <f t="shared" si="18"/>
        <v>7</v>
      </c>
      <c r="AV10" s="4">
        <f t="shared" si="19"/>
        <v>26</v>
      </c>
      <c r="AW10" s="4">
        <f t="shared" si="20"/>
        <v>2</v>
      </c>
      <c r="AX10" s="4">
        <f t="shared" si="21"/>
        <v>39</v>
      </c>
      <c r="AY10" s="4">
        <f t="shared" si="22"/>
        <v>37</v>
      </c>
      <c r="AZ10" s="4">
        <f t="shared" si="23"/>
        <v>23</v>
      </c>
      <c r="BA10" s="4">
        <f t="shared" si="24"/>
        <v>11</v>
      </c>
    </row>
    <row r="11" spans="1:53" x14ac:dyDescent="0.2">
      <c r="A11" s="1" t="str">
        <f>'SegEnds_NonXtal_Prot#'!A123</f>
        <v>gp171_human</v>
      </c>
      <c r="B11" s="1" t="str">
        <f t="shared" si="0"/>
        <v>VYKDLEPFTYFFYLVFLVGIIGSCFATWAFIQKRCVSIYLINLLTADFLLTLALPVKIVVDLGWKLKIFHCQVTACLIYINMYLSIIFLAFVSIDRCLQLTHEPGFAKMISTVVWLMVLLIMVPNMMIPEFGRNWHLLTNFICVAIFLNFSAIILISNCLVIRQLYRNYPNVKKALINILLVTTGYIICFVPYHIVRIPYTLSQTEDCSTRISLFKAKEATLLLAVSNLCFDPILYYHLSKAFRSKVTET</v>
      </c>
      <c r="C11" s="29" t="str">
        <f>IF(ISERROR(MATCH(A11,'SegEnds_Xtal_Prot#'!B:B, 0)), "NoXtal", "Xtal")</f>
        <v>NoXtal</v>
      </c>
      <c r="D11" s="4" t="str">
        <f>VLOOKUP(A11,Classification!A:D,2,FALSE)</f>
        <v>A</v>
      </c>
      <c r="E11" s="5" t="str">
        <f>VLOOKUP(A11,Seqs!A:B,2,FALSE)</f>
        <v>MTNSSFFCPVYKDLEPFTYFFYLVFLVGIIGSCFATWAFIQKNTNHRCVSIYLINLLTADFLLTLALPVKIVVDLGVAPWKLKIFHCQVTACLIYINMYLSIIFLAFVSIDRCLQLTHSCKIYRIQEPGFAKMISTVVWLMVLLIMVPNMMIPIKDIKEKSNVGCMEFKKEFGRNWHLLTNFICVAIFLNFSAIILISNCLVIRQLYRNKDNENYPNVKKALINILLVTTGYIICFVPYHIVRIPYTLSQTEVITDCSTRISLFKAKEATLLLAVSNLCFDPILYYHLSKAFRSKVTETFASPKETKAQKEKLRCENNA</v>
      </c>
      <c r="F11" s="5" t="str">
        <f t="shared" si="1"/>
        <v>VYKDLEPFTYFFYLVFLVGIIGSCFATWAFIQK</v>
      </c>
      <c r="G11" s="4" t="str">
        <f t="shared" si="2"/>
        <v/>
      </c>
      <c r="H11" s="4" t="str">
        <f t="shared" si="3"/>
        <v>RCVSIYLINLLTADFLLTLALPVKIVVDLG</v>
      </c>
      <c r="I11" s="4" t="str">
        <f t="shared" si="4"/>
        <v/>
      </c>
      <c r="J11" s="4" t="str">
        <f t="shared" si="5"/>
        <v>WKLKIFHCQVTACLIYINMYLSIIFLAFVSIDRCLQLTH</v>
      </c>
      <c r="K11" s="4" t="str">
        <f t="shared" si="6"/>
        <v>SCKIYRIQ</v>
      </c>
      <c r="L11" s="4" t="str">
        <f t="shared" si="7"/>
        <v>EPGFAKMISTVVWLMVLLIMVPNMMIP</v>
      </c>
      <c r="M11" s="4" t="str">
        <f t="shared" si="8"/>
        <v>CME</v>
      </c>
      <c r="N11" s="4" t="str">
        <f t="shared" si="9"/>
        <v>EFGRNWHLLTNFICVAIFLNFSAIILISNCLVIRQLYR</v>
      </c>
      <c r="O11" s="4" t="str">
        <f t="shared" si="10"/>
        <v>NYPNVKKALINILLVTTGYIICFVPYHIVRIPYTLSQTE</v>
      </c>
      <c r="P11" s="4" t="str">
        <f t="shared" si="11"/>
        <v>DCSTRISLFKAKEATLLLAVSNLCFDPILYYHL</v>
      </c>
      <c r="Q11" s="4" t="str">
        <f t="shared" si="12"/>
        <v>SKAFRSKVTET</v>
      </c>
      <c r="R11" s="5">
        <f>VLOOKUP($A11,'SegEnds_NonXtal_Prot#'!$A:$AL,3,FALSE)</f>
        <v>10</v>
      </c>
      <c r="S11" s="5" t="str">
        <f>VLOOKUP($A11,'SegEnds_NonXtal_Prot#'!$A:$AL,6,FALSE)</f>
        <v>-</v>
      </c>
      <c r="T11" s="5">
        <f>VLOOKUP($A11,'SegEnds_NonXtal_Prot#'!$A:$AL,9,FALSE)</f>
        <v>47</v>
      </c>
      <c r="U11" s="5" t="str">
        <f>VLOOKUP($A11,'SegEnds_NonXtal_Prot#'!$A:$AL,12,FALSE)</f>
        <v>-</v>
      </c>
      <c r="V11" s="5">
        <f>VLOOKUP($A11,'SegEnds_NonXtal_Prot#'!$A:$AL,15,FALSE)</f>
        <v>80</v>
      </c>
      <c r="W11" s="5">
        <f>VLOOKUP($A11,'SegEnds_NonXtal_Prot#'!$A:$AL,18,FALSE)</f>
        <v>119</v>
      </c>
      <c r="X11" s="5">
        <f>VLOOKUP($A11,'SegEnds_NonXtal_Prot#'!$A:$AL,21,FALSE)</f>
        <v>127</v>
      </c>
      <c r="Y11" s="5">
        <f>VLOOKUP($A11,'SegEnds_NonXtal_Prot#'!$A:$AL,24,FALSE)</f>
        <v>165</v>
      </c>
      <c r="Z11" s="5">
        <f>VLOOKUP($A11,'SegEnds_NonXtal_Prot#'!$A:$AL,27,FALSE)</f>
        <v>171</v>
      </c>
      <c r="AA11" s="5">
        <f>VLOOKUP($A11,'SegEnds_NonXtal_Prot#'!$A:$AL,30,FALSE)</f>
        <v>214</v>
      </c>
      <c r="AB11" s="5">
        <f>VLOOKUP($A11,'SegEnds_NonXtal_Prot#'!$A:$AL,33,FALSE)</f>
        <v>256</v>
      </c>
      <c r="AC11" s="5">
        <f>VLOOKUP($A11,'SegEnds_NonXtal_Prot#'!$A:$AL,36,FALSE)</f>
        <v>289</v>
      </c>
      <c r="AD11" s="5">
        <f>VLOOKUP($A11,'SegEnds_NonXtal_Prot#'!$A:$AL,5,FALSE)</f>
        <v>42</v>
      </c>
      <c r="AE11" s="5" t="str">
        <f>VLOOKUP($A11,'SegEnds_NonXtal_Prot#'!$A:$AL,8,FALSE)</f>
        <v>-</v>
      </c>
      <c r="AF11" s="5">
        <f>VLOOKUP($A11,'SegEnds_NonXtal_Prot#'!$A:$AL,11,FALSE)</f>
        <v>76</v>
      </c>
      <c r="AG11" s="5" t="str">
        <f>VLOOKUP($A11,'SegEnds_NonXtal_Prot#'!$A:$AL,14,FALSE)</f>
        <v>-</v>
      </c>
      <c r="AH11" s="5">
        <f>VLOOKUP($A11,'SegEnds_NonXtal_Prot#'!$A:$AL,17,FALSE)</f>
        <v>118</v>
      </c>
      <c r="AI11" s="5">
        <f>VLOOKUP($A11,'SegEnds_NonXtal_Prot#'!$A:$AL,20,FALSE)</f>
        <v>126</v>
      </c>
      <c r="AJ11" s="5">
        <f>VLOOKUP($A11,'SegEnds_NonXtal_Prot#'!$A:$AL,23,FALSE)</f>
        <v>153</v>
      </c>
      <c r="AK11" s="5">
        <f>VLOOKUP($A11,'SegEnds_NonXtal_Prot#'!$A:$AL,26,FALSE)</f>
        <v>167</v>
      </c>
      <c r="AL11" s="5">
        <f>VLOOKUP($A11,'SegEnds_NonXtal_Prot#'!$A:$AL,29,FALSE)</f>
        <v>208</v>
      </c>
      <c r="AM11" s="5">
        <f>VLOOKUP($A11,'SegEnds_NonXtal_Prot#'!$A:$AL,32,FALSE)</f>
        <v>252</v>
      </c>
      <c r="AN11" s="5">
        <f>VLOOKUP($A11,'SegEnds_NonXtal_Prot#'!$A:$AL,35,FALSE)</f>
        <v>288</v>
      </c>
      <c r="AO11" s="5">
        <f>VLOOKUP($A11,'SegEnds_NonXtal_Prot#'!$A:$AL,38,FALSE)</f>
        <v>299</v>
      </c>
      <c r="AP11" s="5">
        <f t="shared" si="13"/>
        <v>32</v>
      </c>
      <c r="AQ11" s="4" t="str">
        <f t="shared" si="14"/>
        <v>-</v>
      </c>
      <c r="AR11" s="4">
        <f t="shared" si="15"/>
        <v>29</v>
      </c>
      <c r="AS11" s="4" t="str">
        <f t="shared" si="16"/>
        <v>-</v>
      </c>
      <c r="AT11" s="4">
        <f t="shared" si="17"/>
        <v>38</v>
      </c>
      <c r="AU11" s="4">
        <f t="shared" si="18"/>
        <v>7</v>
      </c>
      <c r="AV11" s="4">
        <f t="shared" si="19"/>
        <v>26</v>
      </c>
      <c r="AW11" s="4">
        <f t="shared" si="20"/>
        <v>2</v>
      </c>
      <c r="AX11" s="4">
        <f t="shared" si="21"/>
        <v>37</v>
      </c>
      <c r="AY11" s="4">
        <f t="shared" si="22"/>
        <v>38</v>
      </c>
      <c r="AZ11" s="4">
        <f t="shared" si="23"/>
        <v>32</v>
      </c>
      <c r="BA11" s="4">
        <f t="shared" si="24"/>
        <v>10</v>
      </c>
    </row>
    <row r="12" spans="1:53" x14ac:dyDescent="0.2">
      <c r="A12" s="1" t="str">
        <f>'SegEnds_NonXtal_Prot#'!A146</f>
        <v>gpr42_human</v>
      </c>
      <c r="B12" s="1" t="str">
        <f t="shared" si="0"/>
        <v>SGNHWFVFSVYLLTFLVGLPLNLLALVVFVGKVAVDVLLLNLTASDLLLLLFLPFRMVEAANPFILCPLSGFIFFTTIYLTALFLAAVSIERFLSVAHRLGQAGLVSVACWLLASAHCSVVYVILAILLPVRLEMAVVLFVVPLIITSYCYSRLVWILGRGRRQRRVAGLVAATLLNFLVCFGPYNVSHVVGYICVWRIYVTLLSTLNSCVDPFVYYFSSSGFQADFHELLRRL</v>
      </c>
      <c r="C12" s="29" t="str">
        <f>IF(ISERROR(MATCH(A12,'SegEnds_Xtal_Prot#'!B:B, 0)), "NoXtal", "Xtal")</f>
        <v>NoXtal</v>
      </c>
      <c r="D12" s="4" t="str">
        <f>VLOOKUP(A12,Classification!A:D,2,FALSE)</f>
        <v>A</v>
      </c>
      <c r="E12" s="5" t="str">
        <f>VLOOKUP(A12,Seqs!A:B,2,FALSE)</f>
        <v>MDTGPDQSYFSGNHWFVFSVYLLTFLVGLPLNLLALVVFVGKLRCRPVAVDVLLLNLTASDLLLLLFLPFRMVEAANGMHWPLPFILCPLSGFIFFTTIYLTALFLAAVSIERFLSVAHPLWYKTRPRLGQAGLVSVACWLLASAHCSVVYVIEFSGDISHSQGTNGTCYLEFWKDQLAILLPVRLEMAVVLFVVPLIITSYCYSRLVWILGRGGSHRRQRRVAGLVAATLLNFLVCFGPYNVSHVVGYICGESPVWRIYVTLLSTLNSCVDPFVYYFSSSGFQADFHELLRRLCGLWGQWQQESSMELKEQKGGEEQRADRPAERKTSEHSQGCGTGGQVACAEN</v>
      </c>
      <c r="F12" s="5" t="str">
        <f t="shared" si="1"/>
        <v>SGNHWFVFSVYLLTFLVGLPLNLLALVVFVGK</v>
      </c>
      <c r="G12" s="4" t="str">
        <f t="shared" si="2"/>
        <v/>
      </c>
      <c r="H12" s="4" t="str">
        <f t="shared" si="3"/>
        <v>VAVDVLLLNLTASDLLLLLFLPFRMVEAAN</v>
      </c>
      <c r="I12" s="4" t="str">
        <f t="shared" si="4"/>
        <v>HWPL</v>
      </c>
      <c r="J12" s="4" t="str">
        <f t="shared" si="5"/>
        <v>PFILCPLSGFIFFTTIYLTALFLAAVSIERFLSVAH</v>
      </c>
      <c r="K12" s="4" t="str">
        <f t="shared" si="6"/>
        <v>PLWYKTRP</v>
      </c>
      <c r="L12" s="4" t="str">
        <f t="shared" si="7"/>
        <v>RLGQAGLVSVACWLLASAHCSVVYVI</v>
      </c>
      <c r="M12" s="4" t="str">
        <f t="shared" si="8"/>
        <v>CYL</v>
      </c>
      <c r="N12" s="4" t="str">
        <f t="shared" si="9"/>
        <v>LAILLPVRLEMAVVLFVVPLIITSYCYSRLVWILGRG</v>
      </c>
      <c r="O12" s="4" t="str">
        <f t="shared" si="10"/>
        <v>RRQRRVAGLVAATLLNFLVCFGPYNVSHVVGYIC</v>
      </c>
      <c r="P12" s="4" t="str">
        <f t="shared" si="11"/>
        <v>VWRIYVTLLSTLNSCVDPFVYYFS</v>
      </c>
      <c r="Q12" s="4" t="str">
        <f t="shared" si="12"/>
        <v>SSGFQADFHELLRRL</v>
      </c>
      <c r="R12" s="5">
        <f>VLOOKUP($A12,'SegEnds_NonXtal_Prot#'!$A:$AL,3,FALSE)</f>
        <v>11</v>
      </c>
      <c r="S12" s="5" t="str">
        <f>VLOOKUP($A12,'SegEnds_NonXtal_Prot#'!$A:$AL,6,FALSE)</f>
        <v>-</v>
      </c>
      <c r="T12" s="5">
        <f>VLOOKUP($A12,'SegEnds_NonXtal_Prot#'!$A:$AL,9,FALSE)</f>
        <v>48</v>
      </c>
      <c r="U12" s="5">
        <f>VLOOKUP($A12,'SegEnds_NonXtal_Prot#'!$A:$AL,12,FALSE)</f>
        <v>80</v>
      </c>
      <c r="V12" s="5">
        <f>VLOOKUP($A12,'SegEnds_NonXtal_Prot#'!$A:$AL,15,FALSE)</f>
        <v>84</v>
      </c>
      <c r="W12" s="5">
        <f>VLOOKUP($A12,'SegEnds_NonXtal_Prot#'!$A:$AL,18,FALSE)</f>
        <v>120</v>
      </c>
      <c r="X12" s="5">
        <f>VLOOKUP($A12,'SegEnds_NonXtal_Prot#'!$A:$AL,21,FALSE)</f>
        <v>128</v>
      </c>
      <c r="Y12" s="5">
        <f>VLOOKUP($A12,'SegEnds_NonXtal_Prot#'!$A:$AL,24,FALSE)</f>
        <v>169</v>
      </c>
      <c r="Z12" s="5">
        <f>VLOOKUP($A12,'SegEnds_NonXtal_Prot#'!$A:$AL,27,FALSE)</f>
        <v>178</v>
      </c>
      <c r="AA12" s="5">
        <f>VLOOKUP($A12,'SegEnds_NonXtal_Prot#'!$A:$AL,30,FALSE)</f>
        <v>218</v>
      </c>
      <c r="AB12" s="5">
        <f>VLOOKUP($A12,'SegEnds_NonXtal_Prot#'!$A:$AL,33,FALSE)</f>
        <v>256</v>
      </c>
      <c r="AC12" s="5">
        <f>VLOOKUP($A12,'SegEnds_NonXtal_Prot#'!$A:$AL,36,FALSE)</f>
        <v>280</v>
      </c>
      <c r="AD12" s="5">
        <f>VLOOKUP($A12,'SegEnds_NonXtal_Prot#'!$A:$AL,5,FALSE)</f>
        <v>42</v>
      </c>
      <c r="AE12" s="5" t="str">
        <f>VLOOKUP($A12,'SegEnds_NonXtal_Prot#'!$A:$AL,8,FALSE)</f>
        <v>-</v>
      </c>
      <c r="AF12" s="5">
        <f>VLOOKUP($A12,'SegEnds_NonXtal_Prot#'!$A:$AL,11,FALSE)</f>
        <v>77</v>
      </c>
      <c r="AG12" s="5">
        <f>VLOOKUP($A12,'SegEnds_NonXtal_Prot#'!$A:$AL,14,FALSE)</f>
        <v>83</v>
      </c>
      <c r="AH12" s="5">
        <f>VLOOKUP($A12,'SegEnds_NonXtal_Prot#'!$A:$AL,17,FALSE)</f>
        <v>119</v>
      </c>
      <c r="AI12" s="5">
        <f>VLOOKUP($A12,'SegEnds_NonXtal_Prot#'!$A:$AL,20,FALSE)</f>
        <v>127</v>
      </c>
      <c r="AJ12" s="5">
        <f>VLOOKUP($A12,'SegEnds_NonXtal_Prot#'!$A:$AL,23,FALSE)</f>
        <v>153</v>
      </c>
      <c r="AK12" s="5">
        <f>VLOOKUP($A12,'SegEnds_NonXtal_Prot#'!$A:$AL,26,FALSE)</f>
        <v>171</v>
      </c>
      <c r="AL12" s="5">
        <f>VLOOKUP($A12,'SegEnds_NonXtal_Prot#'!$A:$AL,29,FALSE)</f>
        <v>214</v>
      </c>
      <c r="AM12" s="5">
        <f>VLOOKUP($A12,'SegEnds_NonXtal_Prot#'!$A:$AL,32,FALSE)</f>
        <v>251</v>
      </c>
      <c r="AN12" s="5">
        <f>VLOOKUP($A12,'SegEnds_NonXtal_Prot#'!$A:$AL,35,FALSE)</f>
        <v>279</v>
      </c>
      <c r="AO12" s="5">
        <f>VLOOKUP($A12,'SegEnds_NonXtal_Prot#'!$A:$AL,38,FALSE)</f>
        <v>294</v>
      </c>
      <c r="AP12" s="5">
        <f t="shared" si="13"/>
        <v>31</v>
      </c>
      <c r="AQ12" s="4" t="str">
        <f t="shared" si="14"/>
        <v>-</v>
      </c>
      <c r="AR12" s="4">
        <f t="shared" si="15"/>
        <v>29</v>
      </c>
      <c r="AS12" s="4">
        <f t="shared" si="16"/>
        <v>3</v>
      </c>
      <c r="AT12" s="4">
        <f t="shared" si="17"/>
        <v>35</v>
      </c>
      <c r="AU12" s="4">
        <f t="shared" si="18"/>
        <v>7</v>
      </c>
      <c r="AV12" s="4">
        <f t="shared" si="19"/>
        <v>25</v>
      </c>
      <c r="AW12" s="4">
        <f t="shared" si="20"/>
        <v>2</v>
      </c>
      <c r="AX12" s="4">
        <f t="shared" si="21"/>
        <v>36</v>
      </c>
      <c r="AY12" s="4">
        <f t="shared" si="22"/>
        <v>33</v>
      </c>
      <c r="AZ12" s="4">
        <f t="shared" si="23"/>
        <v>23</v>
      </c>
      <c r="BA12" s="4">
        <f t="shared" si="24"/>
        <v>14</v>
      </c>
    </row>
    <row r="13" spans="1:53" x14ac:dyDescent="0.2">
      <c r="A13" s="1" t="str">
        <f>'SegEnds_NonXtal_Prot#'!A157</f>
        <v>grpr_human</v>
      </c>
      <c r="B13" s="1" t="str">
        <f t="shared" si="0"/>
        <v>VNDDWSHPGILYVIPAVYGVIILIGLIGNITLIKIFCTVNVPNLFISSLALGDLLLLITCAPVDASRYLAGRIGCKLIPFIQLTSVGVSVFTLTALSADRYKAIVRALMKICLKAAFIWIISMLLAIPEAVFSHSNELHPKIHSMASFLVFYVIPLSIISVYYYFIAKNLIQSAYNLKKQIESRKRLAKTVLVFVGLFAFCWLPNHVIYLYRSYHSMLHFVTSICARLLAFTNSCVNPFALYLLSKSFRKQFNTQLLC</v>
      </c>
      <c r="C13" s="29" t="str">
        <f>IF(ISERROR(MATCH(A13,'SegEnds_Xtal_Prot#'!B:B, 0)), "NoXtal", "Xtal")</f>
        <v>NoXtal</v>
      </c>
      <c r="D13" s="4" t="str">
        <f>VLOOKUP(A13,Classification!A:D,2,FALSE)</f>
        <v>A</v>
      </c>
      <c r="E13" s="5" t="str">
        <f>VLOOKUP(A13,Seqs!A:B,2,FALSE)</f>
        <v>MALNDCFLLNLEVDHFMHCNISSHSADLPVNDDWSHPGILYVIPAVYGVIILIGLIGNITLIKIFCTVKSMRNVPNLFISSLALGDLLLLITCAPVDASRYLADRWLFGRIGCKLIPFIQLTSVGVSVFTLTALSADRYKAIVRPMDIQASHALMKICLKAAFIWIISMLLAIPEAVFSDLHPFHEESTNQTFISCAPYPHSNELHPKIHSMASFLVFYVIPLSIISVYYYFIAKNLIQSAYNLPVEGNIHVKKQIESRKRLAKTVLVFVGLFAFCWLPNHVIYLYRSYHYSEVDTSMLHFVTSICARLLAFTNSCVNPFALYLLSKSFRKQFNTQLLCCQPGLIIRSHSTGRSTTCMTSLKSTNPSVATFSLINGNICHERYV</v>
      </c>
      <c r="F13" s="5" t="str">
        <f t="shared" si="1"/>
        <v>VNDDWSHPGILYVIPAVYGVIILIGLIGNITLIKIFCTV</v>
      </c>
      <c r="G13" s="4" t="str">
        <f t="shared" si="2"/>
        <v>KSMR</v>
      </c>
      <c r="H13" s="4" t="str">
        <f t="shared" si="3"/>
        <v>NVPNLFISSLALGDLLLLITCAPVDASRYLA</v>
      </c>
      <c r="I13" s="4" t="str">
        <f t="shared" si="4"/>
        <v>RWLF</v>
      </c>
      <c r="J13" s="4" t="str">
        <f t="shared" si="5"/>
        <v>GRIGCKLIPFIQLTSVGVSVFTLTALSADRYKAIVR</v>
      </c>
      <c r="K13" s="4" t="str">
        <f t="shared" si="6"/>
        <v>PMDIQASH</v>
      </c>
      <c r="L13" s="4" t="str">
        <f t="shared" si="7"/>
        <v>ALMKICLKAAFIWIISMLLAIPEAVFS</v>
      </c>
      <c r="M13" s="4" t="str">
        <f t="shared" si="8"/>
        <v>CAP</v>
      </c>
      <c r="N13" s="4" t="str">
        <f t="shared" si="9"/>
        <v>HSNELHPKIHSMASFLVFYVIPLSIISVYYYFIAKNLIQSAYNL</v>
      </c>
      <c r="O13" s="4" t="str">
        <f t="shared" si="10"/>
        <v>KKQIESRKRLAKTVLVFVGLFAFCWLPNHVIYLYRSYH</v>
      </c>
      <c r="P13" s="4" t="str">
        <f t="shared" si="11"/>
        <v>SMLHFVTSICARLLAFTNSCVNPFALYLL</v>
      </c>
      <c r="Q13" s="4" t="str">
        <f t="shared" si="12"/>
        <v>SKSFRKQFNTQLLC</v>
      </c>
      <c r="R13" s="5">
        <f>VLOOKUP($A13,'SegEnds_NonXtal_Prot#'!$A:$AL,3,FALSE)</f>
        <v>30</v>
      </c>
      <c r="S13" s="5">
        <f>VLOOKUP($A13,'SegEnds_NonXtal_Prot#'!$A:$AL,6,FALSE)</f>
        <v>69</v>
      </c>
      <c r="T13" s="5">
        <f>VLOOKUP($A13,'SegEnds_NonXtal_Prot#'!$A:$AL,9,FALSE)</f>
        <v>73</v>
      </c>
      <c r="U13" s="5">
        <f>VLOOKUP($A13,'SegEnds_NonXtal_Prot#'!$A:$AL,12,FALSE)</f>
        <v>105</v>
      </c>
      <c r="V13" s="5">
        <f>VLOOKUP($A13,'SegEnds_NonXtal_Prot#'!$A:$AL,15,FALSE)</f>
        <v>109</v>
      </c>
      <c r="W13" s="5">
        <f>VLOOKUP($A13,'SegEnds_NonXtal_Prot#'!$A:$AL,18,FALSE)</f>
        <v>145</v>
      </c>
      <c r="X13" s="5">
        <f>VLOOKUP($A13,'SegEnds_NonXtal_Prot#'!$A:$AL,21,FALSE)</f>
        <v>153</v>
      </c>
      <c r="Y13" s="5">
        <f>VLOOKUP($A13,'SegEnds_NonXtal_Prot#'!$A:$AL,24,FALSE)</f>
        <v>196</v>
      </c>
      <c r="Z13" s="5">
        <f>VLOOKUP($A13,'SegEnds_NonXtal_Prot#'!$A:$AL,27,FALSE)</f>
        <v>201</v>
      </c>
      <c r="AA13" s="5">
        <f>VLOOKUP($A13,'SegEnds_NonXtal_Prot#'!$A:$AL,30,FALSE)</f>
        <v>253</v>
      </c>
      <c r="AB13" s="5">
        <f>VLOOKUP($A13,'SegEnds_NonXtal_Prot#'!$A:$AL,33,FALSE)</f>
        <v>297</v>
      </c>
      <c r="AC13" s="5">
        <f>VLOOKUP($A13,'SegEnds_NonXtal_Prot#'!$A:$AL,36,FALSE)</f>
        <v>326</v>
      </c>
      <c r="AD13" s="5">
        <f>VLOOKUP($A13,'SegEnds_NonXtal_Prot#'!$A:$AL,5,FALSE)</f>
        <v>68</v>
      </c>
      <c r="AE13" s="5">
        <f>VLOOKUP($A13,'SegEnds_NonXtal_Prot#'!$A:$AL,8,FALSE)</f>
        <v>72</v>
      </c>
      <c r="AF13" s="5">
        <f>VLOOKUP($A13,'SegEnds_NonXtal_Prot#'!$A:$AL,11,FALSE)</f>
        <v>103</v>
      </c>
      <c r="AG13" s="5">
        <f>VLOOKUP($A13,'SegEnds_NonXtal_Prot#'!$A:$AL,14,FALSE)</f>
        <v>108</v>
      </c>
      <c r="AH13" s="5">
        <f>VLOOKUP($A13,'SegEnds_NonXtal_Prot#'!$A:$AL,17,FALSE)</f>
        <v>144</v>
      </c>
      <c r="AI13" s="5">
        <f>VLOOKUP($A13,'SegEnds_NonXtal_Prot#'!$A:$AL,20,FALSE)</f>
        <v>152</v>
      </c>
      <c r="AJ13" s="5">
        <f>VLOOKUP($A13,'SegEnds_NonXtal_Prot#'!$A:$AL,23,FALSE)</f>
        <v>179</v>
      </c>
      <c r="AK13" s="5">
        <f>VLOOKUP($A13,'SegEnds_NonXtal_Prot#'!$A:$AL,26,FALSE)</f>
        <v>198</v>
      </c>
      <c r="AL13" s="5">
        <f>VLOOKUP($A13,'SegEnds_NonXtal_Prot#'!$A:$AL,29,FALSE)</f>
        <v>244</v>
      </c>
      <c r="AM13" s="5">
        <f>VLOOKUP($A13,'SegEnds_NonXtal_Prot#'!$A:$AL,32,FALSE)</f>
        <v>290</v>
      </c>
      <c r="AN13" s="5">
        <f>VLOOKUP($A13,'SegEnds_NonXtal_Prot#'!$A:$AL,35,FALSE)</f>
        <v>325</v>
      </c>
      <c r="AO13" s="5">
        <f>VLOOKUP($A13,'SegEnds_NonXtal_Prot#'!$A:$AL,38,FALSE)</f>
        <v>339</v>
      </c>
      <c r="AP13" s="5">
        <f t="shared" si="13"/>
        <v>38</v>
      </c>
      <c r="AQ13" s="4">
        <f t="shared" si="14"/>
        <v>3</v>
      </c>
      <c r="AR13" s="4">
        <f t="shared" si="15"/>
        <v>30</v>
      </c>
      <c r="AS13" s="4">
        <f t="shared" si="16"/>
        <v>3</v>
      </c>
      <c r="AT13" s="4">
        <f t="shared" si="17"/>
        <v>35</v>
      </c>
      <c r="AU13" s="4">
        <f t="shared" si="18"/>
        <v>7</v>
      </c>
      <c r="AV13" s="4">
        <f t="shared" si="19"/>
        <v>26</v>
      </c>
      <c r="AW13" s="4">
        <f t="shared" si="20"/>
        <v>2</v>
      </c>
      <c r="AX13" s="4">
        <f t="shared" si="21"/>
        <v>43</v>
      </c>
      <c r="AY13" s="4">
        <f t="shared" si="22"/>
        <v>37</v>
      </c>
      <c r="AZ13" s="4">
        <f t="shared" si="23"/>
        <v>28</v>
      </c>
      <c r="BA13" s="4">
        <f t="shared" si="24"/>
        <v>13</v>
      </c>
    </row>
    <row r="14" spans="1:53" x14ac:dyDescent="0.2">
      <c r="A14" s="1" t="str">
        <f>'SegEnds_NonXtal_Prot#'!A170</f>
        <v>lshr_human</v>
      </c>
      <c r="B14" s="1" t="str">
        <f t="shared" si="0"/>
        <v>FLRVLIWLINILAIMGNMTVLFVLLTSVPRFLMCNLSFADFCMGLYLLLIASVDSQTGSGCSTAGFFTVFASELSVYTLTVITLERWHTITYRLRHAILIMLGGWLFSSLIAMLPLVLSQVYILTILILNVVAFFIICACYIKIYFAVRNATNKDTKIAKKMAILIFTDFTCMAPISFFAISAAFKVTNSKVLLVLFYPINSCANPFLYAIFTKTFQRDFFLLLS</v>
      </c>
      <c r="C14" s="29" t="str">
        <f>IF(ISERROR(MATCH(A14,'SegEnds_Xtal_Prot#'!B:B, 0)), "NoXtal", "Xtal")</f>
        <v>NoXtal</v>
      </c>
      <c r="D14" s="4" t="str">
        <f>VLOOKUP(A14,Classification!A:D,2,FALSE)</f>
        <v>A</v>
      </c>
      <c r="E14" s="5" t="str">
        <f>VLOOKUP(A14,Seqs!A:B,2,FALSE)</f>
        <v>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PLVGVSNYMKVSICFPMDVETTLSQVYILTILILNVVAFFIICACYIKIYFAVRNPELMATNKDTKIAKKMAILIFTDFTCMAPISFFAISAAFKVPLITVTNSKVLLVLFYPINSCANPFLYAIFTKTFQRDFFLLLSKFGCCKRRAELYRRKDFSAYTSNCKNGFTGSNKPSQSTLKLSTLHCQGTALLDKTRYTEC</v>
      </c>
      <c r="F14" s="5" t="str">
        <f t="shared" si="1"/>
        <v>FLRVLIWLINILAIMGNMTVLFVLLTS</v>
      </c>
      <c r="G14" s="4" t="str">
        <f t="shared" si="2"/>
        <v>YKLT</v>
      </c>
      <c r="H14" s="4" t="str">
        <f t="shared" si="3"/>
        <v>VPRFLMCNLSFADFCMGLYLLLIASVDSQT</v>
      </c>
      <c r="I14" s="4" t="str">
        <f t="shared" si="4"/>
        <v>DWQT</v>
      </c>
      <c r="J14" s="4" t="str">
        <f t="shared" si="5"/>
        <v>GSGCSTAGFFTVFASELSVYTLTVITLERWHTITY</v>
      </c>
      <c r="K14" s="4" t="str">
        <f t="shared" si="6"/>
        <v>AIHLDQKL</v>
      </c>
      <c r="L14" s="4" t="str">
        <f t="shared" si="7"/>
        <v>RLRHAILIMLGGWLFSSLIAMLPLV</v>
      </c>
      <c r="M14" s="4" t="str">
        <f t="shared" si="8"/>
        <v>CFP</v>
      </c>
      <c r="N14" s="4" t="str">
        <f t="shared" si="9"/>
        <v>LSQVYILTILILNVVAFFIICACYIKIYFAVRN</v>
      </c>
      <c r="O14" s="4" t="str">
        <f t="shared" si="10"/>
        <v>ATNKDTKIAKKMAILIFTDFTCMAPISFFAISAAFK</v>
      </c>
      <c r="P14" s="4" t="str">
        <f t="shared" si="11"/>
        <v>VTNSKVLLVLFYPINSCANPFLYAIF</v>
      </c>
      <c r="Q14" s="4" t="str">
        <f t="shared" si="12"/>
        <v>TKTFQRDFFLLLS</v>
      </c>
      <c r="R14" s="5">
        <f>VLOOKUP($A14,'SegEnds_NonXtal_Prot#'!$A:$AL,3,FALSE)</f>
        <v>361</v>
      </c>
      <c r="S14" s="5">
        <f>VLOOKUP($A14,'SegEnds_NonXtal_Prot#'!$A:$AL,6,FALSE)</f>
        <v>389</v>
      </c>
      <c r="T14" s="5">
        <f>VLOOKUP($A14,'SegEnds_NonXtal_Prot#'!$A:$AL,9,FALSE)</f>
        <v>393</v>
      </c>
      <c r="U14" s="5">
        <f>VLOOKUP($A14,'SegEnds_NonXtal_Prot#'!$A:$AL,12,FALSE)</f>
        <v>432</v>
      </c>
      <c r="V14" s="5">
        <f>VLOOKUP($A14,'SegEnds_NonXtal_Prot#'!$A:$AL,15,FALSE)</f>
        <v>436</v>
      </c>
      <c r="W14" s="5">
        <f>VLOOKUP($A14,'SegEnds_NonXtal_Prot#'!$A:$AL,18,FALSE)</f>
        <v>471</v>
      </c>
      <c r="X14" s="5">
        <f>VLOOKUP($A14,'SegEnds_NonXtal_Prot#'!$A:$AL,21,FALSE)</f>
        <v>479</v>
      </c>
      <c r="Y14" s="5">
        <f>VLOOKUP($A14,'SegEnds_NonXtal_Prot#'!$A:$AL,24,FALSE)</f>
        <v>514</v>
      </c>
      <c r="Z14" s="5">
        <f>VLOOKUP($A14,'SegEnds_NonXtal_Prot#'!$A:$AL,27,FALSE)</f>
        <v>523</v>
      </c>
      <c r="AA14" s="5">
        <f>VLOOKUP($A14,'SegEnds_NonXtal_Prot#'!$A:$AL,30,FALSE)</f>
        <v>560</v>
      </c>
      <c r="AB14" s="5">
        <f>VLOOKUP($A14,'SegEnds_NonXtal_Prot#'!$A:$AL,33,FALSE)</f>
        <v>601</v>
      </c>
      <c r="AC14" s="5">
        <f>VLOOKUP($A14,'SegEnds_NonXtal_Prot#'!$A:$AL,36,FALSE)</f>
        <v>627</v>
      </c>
      <c r="AD14" s="5">
        <f>VLOOKUP($A14,'SegEnds_NonXtal_Prot#'!$A:$AL,5,FALSE)</f>
        <v>387</v>
      </c>
      <c r="AE14" s="5">
        <f>VLOOKUP($A14,'SegEnds_NonXtal_Prot#'!$A:$AL,8,FALSE)</f>
        <v>392</v>
      </c>
      <c r="AF14" s="5">
        <f>VLOOKUP($A14,'SegEnds_NonXtal_Prot#'!$A:$AL,11,FALSE)</f>
        <v>422</v>
      </c>
      <c r="AG14" s="5">
        <f>VLOOKUP($A14,'SegEnds_NonXtal_Prot#'!$A:$AL,14,FALSE)</f>
        <v>435</v>
      </c>
      <c r="AH14" s="5">
        <f>VLOOKUP($A14,'SegEnds_NonXtal_Prot#'!$A:$AL,17,FALSE)</f>
        <v>470</v>
      </c>
      <c r="AI14" s="5">
        <f>VLOOKUP($A14,'SegEnds_NonXtal_Prot#'!$A:$AL,20,FALSE)</f>
        <v>478</v>
      </c>
      <c r="AJ14" s="5">
        <f>VLOOKUP($A14,'SegEnds_NonXtal_Prot#'!$A:$AL,23,FALSE)</f>
        <v>503</v>
      </c>
      <c r="AK14" s="5">
        <f>VLOOKUP($A14,'SegEnds_NonXtal_Prot#'!$A:$AL,26,FALSE)</f>
        <v>516</v>
      </c>
      <c r="AL14" s="5">
        <f>VLOOKUP($A14,'SegEnds_NonXtal_Prot#'!$A:$AL,29,FALSE)</f>
        <v>555</v>
      </c>
      <c r="AM14" s="5">
        <f>VLOOKUP($A14,'SegEnds_NonXtal_Prot#'!$A:$AL,32,FALSE)</f>
        <v>595</v>
      </c>
      <c r="AN14" s="5">
        <f>VLOOKUP($A14,'SegEnds_NonXtal_Prot#'!$A:$AL,35,FALSE)</f>
        <v>626</v>
      </c>
      <c r="AO14" s="5">
        <f>VLOOKUP($A14,'SegEnds_NonXtal_Prot#'!$A:$AL,38,FALSE)</f>
        <v>639</v>
      </c>
      <c r="AP14" s="5">
        <f t="shared" si="13"/>
        <v>26</v>
      </c>
      <c r="AQ14" s="4">
        <f t="shared" si="14"/>
        <v>3</v>
      </c>
      <c r="AR14" s="4">
        <f t="shared" si="15"/>
        <v>29</v>
      </c>
      <c r="AS14" s="4">
        <f t="shared" si="16"/>
        <v>3</v>
      </c>
      <c r="AT14" s="4">
        <f t="shared" si="17"/>
        <v>34</v>
      </c>
      <c r="AU14" s="4">
        <f t="shared" si="18"/>
        <v>7</v>
      </c>
      <c r="AV14" s="4">
        <f t="shared" si="19"/>
        <v>24</v>
      </c>
      <c r="AW14" s="4">
        <f t="shared" si="20"/>
        <v>2</v>
      </c>
      <c r="AX14" s="4">
        <f t="shared" si="21"/>
        <v>32</v>
      </c>
      <c r="AY14" s="4">
        <f t="shared" si="22"/>
        <v>35</v>
      </c>
      <c r="AZ14" s="4">
        <f t="shared" si="23"/>
        <v>25</v>
      </c>
      <c r="BA14" s="4">
        <f t="shared" si="24"/>
        <v>12</v>
      </c>
    </row>
    <row r="15" spans="1:53" x14ac:dyDescent="0.2">
      <c r="A15" s="1" t="str">
        <f>'SegEnds_NonXtal_Prot#'!A178</f>
        <v>mchr1_human</v>
      </c>
      <c r="B15" s="1" t="str">
        <f t="shared" si="0"/>
        <v>YINIIMPSVFGTICLLGIIGNSTVIFAVVKKWCNNVPDIFIINLSVVDLLFLLGMPFMIHQLMGGETMCTLITAMDANSQFTSTYILTAMAIDRYLATVHKPSVATLVICLLWALSFISITPVWLYAPDTDLYWFTLYQFFLAFALPFVVITAAYVRILQRMTSSQRSIRLRTKRVTRTAIAICLVFFVCWAPYYVLQLTQLSIFVYLYNAAISLGYANSCLNPFVYIVLCETFRKRLVLSVK</v>
      </c>
      <c r="C15" s="29" t="str">
        <f>IF(ISERROR(MATCH(A15,'SegEnds_Xtal_Prot#'!B:B, 0)), "NoXtal", "Xtal")</f>
        <v>NoXtal</v>
      </c>
      <c r="D15" s="4" t="str">
        <f>VLOOKUP(A15,Classification!A:D,2,FALSE)</f>
        <v>A</v>
      </c>
      <c r="E15" s="5" t="str">
        <f>VLOOKUP(A15,Seqs!A:B,2,FALSE)</f>
        <v>MSVGAMKKGVGRAVGLGGGSGCQATEEDPLPNCGACAPGQGGRRWRLPQPAWVEGSSARLWEQATGTGWMDLEASLLPTGPNASNTSDGPDNLTSAGSPPRTGSISYINIIMPSVFGTICLLGIIGNSTVIFAVVKKSKLHWCNNVPDIFIINLSVVDLLFLLGMPFMIHQLMGNGVWHFGETMCTLITAMDANSQFTSTYILTAMAIDRYLATVHPISSTKFRKPSVATLVICLLWALSFISITPVWLYARLIPFPGGAVGCGIRLPNPDTDLYWFTLYQFFLAFALPFVVITAAYVRILQRMTSSVAPASQRSIRLRTKRVTRTAIAICLVFFVCWAPYYVLQLTQLSISRPTLTFVYLYNAAISLGYANSCLNPFVYIVLCETFRKRLVLSVKPAAQGQLRAVSNAQTADEERTESKGT</v>
      </c>
      <c r="F15" s="5" t="str">
        <f t="shared" si="1"/>
        <v>YINIIMPSVFGTICLLGIIGNSTVIFAVVKK</v>
      </c>
      <c r="G15" s="4" t="str">
        <f t="shared" si="2"/>
        <v>SKLH</v>
      </c>
      <c r="H15" s="4" t="str">
        <f t="shared" si="3"/>
        <v>WCNNVPDIFIINLSVVDLLFLLGMPFMIHQLMG</v>
      </c>
      <c r="I15" s="4" t="str">
        <f t="shared" si="4"/>
        <v>VWHF</v>
      </c>
      <c r="J15" s="4" t="str">
        <f t="shared" si="5"/>
        <v>GETMCTLITAMDANSQFTSTYILTAMAIDRYLATVH</v>
      </c>
      <c r="K15" s="4" t="str">
        <f t="shared" si="6"/>
        <v>PISSTKFR</v>
      </c>
      <c r="L15" s="4" t="str">
        <f t="shared" si="7"/>
        <v>KPSVATLVICLLWALSFISITPVWLYA</v>
      </c>
      <c r="M15" s="4" t="str">
        <f t="shared" si="8"/>
        <v>CGI</v>
      </c>
      <c r="N15" s="4" t="str">
        <f t="shared" si="9"/>
        <v>PDTDLYWFTLYQFFLAFALPFVVITAAYVRILQRMTSS</v>
      </c>
      <c r="O15" s="4" t="str">
        <f t="shared" si="10"/>
        <v>QRSIRLRTKRVTRTAIAICLVFFVCWAPYYVLQLTQLSI</v>
      </c>
      <c r="P15" s="4" t="str">
        <f t="shared" si="11"/>
        <v>FVYLYNAAISLGYANSCLNPFVYIVL</v>
      </c>
      <c r="Q15" s="4" t="str">
        <f t="shared" si="12"/>
        <v>CETFRKRLVLSVK</v>
      </c>
      <c r="R15" s="5">
        <f>VLOOKUP($A15,'SegEnds_NonXtal_Prot#'!$A:$AL,3,FALSE)</f>
        <v>107</v>
      </c>
      <c r="S15" s="5">
        <f>VLOOKUP($A15,'SegEnds_NonXtal_Prot#'!$A:$AL,6,FALSE)</f>
        <v>138</v>
      </c>
      <c r="T15" s="5">
        <f>VLOOKUP($A15,'SegEnds_NonXtal_Prot#'!$A:$AL,9,FALSE)</f>
        <v>142</v>
      </c>
      <c r="U15" s="5">
        <f>VLOOKUP($A15,'SegEnds_NonXtal_Prot#'!$A:$AL,12,FALSE)</f>
        <v>177</v>
      </c>
      <c r="V15" s="5">
        <f>VLOOKUP($A15,'SegEnds_NonXtal_Prot#'!$A:$AL,15,FALSE)</f>
        <v>181</v>
      </c>
      <c r="W15" s="5">
        <f>VLOOKUP($A15,'SegEnds_NonXtal_Prot#'!$A:$AL,18,FALSE)</f>
        <v>217</v>
      </c>
      <c r="X15" s="5">
        <f>VLOOKUP($A15,'SegEnds_NonXtal_Prot#'!$A:$AL,21,FALSE)</f>
        <v>225</v>
      </c>
      <c r="Y15" s="5">
        <f>VLOOKUP($A15,'SegEnds_NonXtal_Prot#'!$A:$AL,24,FALSE)</f>
        <v>263</v>
      </c>
      <c r="Z15" s="5">
        <f>VLOOKUP($A15,'SegEnds_NonXtal_Prot#'!$A:$AL,27,FALSE)</f>
        <v>270</v>
      </c>
      <c r="AA15" s="5">
        <f>VLOOKUP($A15,'SegEnds_NonXtal_Prot#'!$A:$AL,30,FALSE)</f>
        <v>313</v>
      </c>
      <c r="AB15" s="5">
        <f>VLOOKUP($A15,'SegEnds_NonXtal_Prot#'!$A:$AL,33,FALSE)</f>
        <v>358</v>
      </c>
      <c r="AC15" s="5">
        <f>VLOOKUP($A15,'SegEnds_NonXtal_Prot#'!$A:$AL,36,FALSE)</f>
        <v>384</v>
      </c>
      <c r="AD15" s="5">
        <f>VLOOKUP($A15,'SegEnds_NonXtal_Prot#'!$A:$AL,5,FALSE)</f>
        <v>137</v>
      </c>
      <c r="AE15" s="5">
        <f>VLOOKUP($A15,'SegEnds_NonXtal_Prot#'!$A:$AL,8,FALSE)</f>
        <v>141</v>
      </c>
      <c r="AF15" s="5">
        <f>VLOOKUP($A15,'SegEnds_NonXtal_Prot#'!$A:$AL,11,FALSE)</f>
        <v>174</v>
      </c>
      <c r="AG15" s="5">
        <f>VLOOKUP($A15,'SegEnds_NonXtal_Prot#'!$A:$AL,14,FALSE)</f>
        <v>180</v>
      </c>
      <c r="AH15" s="5">
        <f>VLOOKUP($A15,'SegEnds_NonXtal_Prot#'!$A:$AL,17,FALSE)</f>
        <v>216</v>
      </c>
      <c r="AI15" s="5">
        <f>VLOOKUP($A15,'SegEnds_NonXtal_Prot#'!$A:$AL,20,FALSE)</f>
        <v>224</v>
      </c>
      <c r="AJ15" s="5">
        <f>VLOOKUP($A15,'SegEnds_NonXtal_Prot#'!$A:$AL,23,FALSE)</f>
        <v>251</v>
      </c>
      <c r="AK15" s="5">
        <f>VLOOKUP($A15,'SegEnds_NonXtal_Prot#'!$A:$AL,26,FALSE)</f>
        <v>265</v>
      </c>
      <c r="AL15" s="5">
        <f>VLOOKUP($A15,'SegEnds_NonXtal_Prot#'!$A:$AL,29,FALSE)</f>
        <v>307</v>
      </c>
      <c r="AM15" s="5">
        <f>VLOOKUP($A15,'SegEnds_NonXtal_Prot#'!$A:$AL,32,FALSE)</f>
        <v>351</v>
      </c>
      <c r="AN15" s="5">
        <f>VLOOKUP($A15,'SegEnds_NonXtal_Prot#'!$A:$AL,35,FALSE)</f>
        <v>383</v>
      </c>
      <c r="AO15" s="5">
        <f>VLOOKUP($A15,'SegEnds_NonXtal_Prot#'!$A:$AL,38,FALSE)</f>
        <v>396</v>
      </c>
      <c r="AP15" s="5">
        <f t="shared" si="13"/>
        <v>30</v>
      </c>
      <c r="AQ15" s="4">
        <f t="shared" si="14"/>
        <v>3</v>
      </c>
      <c r="AR15" s="4">
        <f t="shared" si="15"/>
        <v>32</v>
      </c>
      <c r="AS15" s="4">
        <f t="shared" si="16"/>
        <v>3</v>
      </c>
      <c r="AT15" s="4">
        <f t="shared" si="17"/>
        <v>35</v>
      </c>
      <c r="AU15" s="4">
        <f t="shared" si="18"/>
        <v>7</v>
      </c>
      <c r="AV15" s="4">
        <f t="shared" si="19"/>
        <v>26</v>
      </c>
      <c r="AW15" s="4">
        <f t="shared" si="20"/>
        <v>2</v>
      </c>
      <c r="AX15" s="4">
        <f t="shared" si="21"/>
        <v>37</v>
      </c>
      <c r="AY15" s="4">
        <f t="shared" si="22"/>
        <v>38</v>
      </c>
      <c r="AZ15" s="4">
        <f t="shared" si="23"/>
        <v>25</v>
      </c>
      <c r="BA15" s="4">
        <f t="shared" si="24"/>
        <v>12</v>
      </c>
    </row>
    <row r="16" spans="1:53" x14ac:dyDescent="0.2">
      <c r="A16" s="1" t="str">
        <f>'SegEnds_NonXtal_Prot#'!A181</f>
        <v>mrgre_human</v>
      </c>
      <c r="B16" s="1" t="str">
        <f t="shared" si="0"/>
        <v>GAQEDVAFNLIILSLTEGLGLGGLLGNGAVLWLLSSNNPFAIYLLDVACADLIFLGCHMVAIVPDLLPGFVQTSLATLRFFCYIVGLSLLAAVSVEQCLAALFPRHLTTCVCALTWALCLLLHLLLSGACHLCRTLWLVAAVLLALLCCTMCGASLMLLLRVERGPQPRGFPGLILLTVLLFLFCGLPFGIYWLSRNLLHYFYHFSFLMAAVHCAAKPVVYFCLGSAQGRRLPLRLV</v>
      </c>
      <c r="C16" s="29" t="str">
        <f>IF(ISERROR(MATCH(A16,'SegEnds_Xtal_Prot#'!B:B, 0)), "NoXtal", "Xtal")</f>
        <v>NoXtal</v>
      </c>
      <c r="D16" s="4" t="str">
        <f>VLOOKUP(A16,Classification!A:D,2,FALSE)</f>
        <v>A</v>
      </c>
      <c r="E16" s="5" t="str">
        <f>VLOOKUP(A16,Seqs!A:B,2,FALSE)</f>
        <v>MMEPREAGQHVGAANGAQEDVAFNLIILSLTEGLGLGGLLGNGAVLWLLSSNVYRNPFAIYLLDVACADLIFLGCHMVAIVPDLLQGRLDFPGFVQTSLATLRFFCYIVGLSLLAAVSVEQCLAALFPAWYSCRRPRHLTTCVCALTWALCLLLHLLLSGACTQFFGEPSRHLCRTLWLVAAVLLALLCCTMCGASLMLLLRVERGPQRPPPRGFPGLILLTVLLFLFCGLPFGIYWLSRNLLWYIPHYFYHFSFLMAAVHCAAKPVVYFCLGSAQGRRLPLRLVLQRALGDEAELGAVRETSRRGLVDIAA</v>
      </c>
      <c r="F16" s="5" t="str">
        <f t="shared" si="1"/>
        <v>GAQEDVAFNLIILSLTEGLGLGGLLGNGAVLWLLSSN</v>
      </c>
      <c r="G16" s="4" t="str">
        <f t="shared" si="2"/>
        <v/>
      </c>
      <c r="H16" s="4" t="str">
        <f t="shared" si="3"/>
        <v>NPFAIYLLDVACADLIFLGCHMVAIVPDLL</v>
      </c>
      <c r="I16" s="4" t="str">
        <f t="shared" si="4"/>
        <v/>
      </c>
      <c r="J16" s="4" t="str">
        <f t="shared" si="5"/>
        <v>PGFVQTSLATLRFFCYIVGLSLLAAVSVEQCLAALF</v>
      </c>
      <c r="K16" s="4" t="str">
        <f t="shared" si="6"/>
        <v>PAWYSCRR</v>
      </c>
      <c r="L16" s="4" t="str">
        <f t="shared" si="7"/>
        <v>PRHLTTCVCALTWALCLLLHLLLSGAC</v>
      </c>
      <c r="M16" s="4" t="str">
        <f t="shared" si="8"/>
        <v/>
      </c>
      <c r="N16" s="4" t="str">
        <f t="shared" si="9"/>
        <v>HLCRTLWLVAAVLLALLCCTMCGASLMLLLRVERGPQ</v>
      </c>
      <c r="O16" s="4" t="str">
        <f t="shared" si="10"/>
        <v>PRGFPGLILLTVLLFLFCGLPFGIYWLSRNLL</v>
      </c>
      <c r="P16" s="4" t="str">
        <f t="shared" si="11"/>
        <v>HYFYHFSFLMAAVHCAAKPVVYFCL</v>
      </c>
      <c r="Q16" s="4" t="str">
        <f t="shared" si="12"/>
        <v>GSAQGRRLPLRLV</v>
      </c>
      <c r="R16" s="5">
        <f>VLOOKUP($A16,'SegEnds_NonXtal_Prot#'!$A:$AL,3,FALSE)</f>
        <v>16</v>
      </c>
      <c r="S16" s="5" t="str">
        <f>VLOOKUP($A16,'SegEnds_NonXtal_Prot#'!$A:$AL,6,FALSE)</f>
        <v>-</v>
      </c>
      <c r="T16" s="5">
        <f>VLOOKUP($A16,'SegEnds_NonXtal_Prot#'!$A:$AL,9,FALSE)</f>
        <v>56</v>
      </c>
      <c r="U16" s="5" t="str">
        <f>VLOOKUP($A16,'SegEnds_NonXtal_Prot#'!$A:$AL,12,FALSE)</f>
        <v>-</v>
      </c>
      <c r="V16" s="5">
        <f>VLOOKUP($A16,'SegEnds_NonXtal_Prot#'!$A:$AL,15,FALSE)</f>
        <v>92</v>
      </c>
      <c r="W16" s="5">
        <f>VLOOKUP($A16,'SegEnds_NonXtal_Prot#'!$A:$AL,18,FALSE)</f>
        <v>128</v>
      </c>
      <c r="X16" s="5">
        <f>VLOOKUP($A16,'SegEnds_NonXtal_Prot#'!$A:$AL,21,FALSE)</f>
        <v>136</v>
      </c>
      <c r="Y16" s="5" t="str">
        <f>VLOOKUP($A16,'SegEnds_NonXtal_Prot#'!$A:$AL,24,FALSE)</f>
        <v>-</v>
      </c>
      <c r="Z16" s="5">
        <f>VLOOKUP($A16,'SegEnds_NonXtal_Prot#'!$A:$AL,27,FALSE)</f>
        <v>172</v>
      </c>
      <c r="AA16" s="5">
        <f>VLOOKUP($A16,'SegEnds_NonXtal_Prot#'!$A:$AL,30,FALSE)</f>
        <v>212</v>
      </c>
      <c r="AB16" s="5">
        <f>VLOOKUP($A16,'SegEnds_NonXtal_Prot#'!$A:$AL,33,FALSE)</f>
        <v>248</v>
      </c>
      <c r="AC16" s="5">
        <f>VLOOKUP($A16,'SegEnds_NonXtal_Prot#'!$A:$AL,36,FALSE)</f>
        <v>273</v>
      </c>
      <c r="AD16" s="5">
        <f>VLOOKUP($A16,'SegEnds_NonXtal_Prot#'!$A:$AL,5,FALSE)</f>
        <v>52</v>
      </c>
      <c r="AE16" s="5" t="str">
        <f>VLOOKUP($A16,'SegEnds_NonXtal_Prot#'!$A:$AL,8,FALSE)</f>
        <v>-</v>
      </c>
      <c r="AF16" s="5">
        <f>VLOOKUP($A16,'SegEnds_NonXtal_Prot#'!$A:$AL,11,FALSE)</f>
        <v>85</v>
      </c>
      <c r="AG16" s="5" t="str">
        <f>VLOOKUP($A16,'SegEnds_NonXtal_Prot#'!$A:$AL,14,FALSE)</f>
        <v>-</v>
      </c>
      <c r="AH16" s="5">
        <f>VLOOKUP($A16,'SegEnds_NonXtal_Prot#'!$A:$AL,17,FALSE)</f>
        <v>127</v>
      </c>
      <c r="AI16" s="5">
        <f>VLOOKUP($A16,'SegEnds_NonXtal_Prot#'!$A:$AL,20,FALSE)</f>
        <v>135</v>
      </c>
      <c r="AJ16" s="5">
        <f>VLOOKUP($A16,'SegEnds_NonXtal_Prot#'!$A:$AL,23,FALSE)</f>
        <v>162</v>
      </c>
      <c r="AK16" s="5" t="str">
        <f>VLOOKUP($A16,'SegEnds_NonXtal_Prot#'!$A:$AL,26,FALSE)</f>
        <v>-</v>
      </c>
      <c r="AL16" s="5">
        <f>VLOOKUP($A16,'SegEnds_NonXtal_Prot#'!$A:$AL,29,FALSE)</f>
        <v>208</v>
      </c>
      <c r="AM16" s="5">
        <f>VLOOKUP($A16,'SegEnds_NonXtal_Prot#'!$A:$AL,32,FALSE)</f>
        <v>243</v>
      </c>
      <c r="AN16" s="5">
        <f>VLOOKUP($A16,'SegEnds_NonXtal_Prot#'!$A:$AL,35,FALSE)</f>
        <v>272</v>
      </c>
      <c r="AO16" s="5">
        <f>VLOOKUP($A16,'SegEnds_NonXtal_Prot#'!$A:$AL,38,FALSE)</f>
        <v>285</v>
      </c>
      <c r="AP16" s="5">
        <f t="shared" si="13"/>
        <v>36</v>
      </c>
      <c r="AQ16" s="4" t="str">
        <f t="shared" si="14"/>
        <v>-</v>
      </c>
      <c r="AR16" s="4">
        <f t="shared" si="15"/>
        <v>29</v>
      </c>
      <c r="AS16" s="4" t="str">
        <f t="shared" si="16"/>
        <v>-</v>
      </c>
      <c r="AT16" s="4">
        <f t="shared" si="17"/>
        <v>35</v>
      </c>
      <c r="AU16" s="4">
        <f t="shared" si="18"/>
        <v>7</v>
      </c>
      <c r="AV16" s="4">
        <f t="shared" si="19"/>
        <v>26</v>
      </c>
      <c r="AW16" s="4" t="str">
        <f t="shared" si="20"/>
        <v>-</v>
      </c>
      <c r="AX16" s="4">
        <f t="shared" si="21"/>
        <v>36</v>
      </c>
      <c r="AY16" s="4">
        <f t="shared" si="22"/>
        <v>31</v>
      </c>
      <c r="AZ16" s="4">
        <f t="shared" si="23"/>
        <v>24</v>
      </c>
      <c r="BA16" s="4">
        <f t="shared" si="24"/>
        <v>12</v>
      </c>
    </row>
    <row r="17" spans="1:53" x14ac:dyDescent="0.2">
      <c r="A17" s="1" t="str">
        <f>'SegEnds_NonXtal_Prot#'!A188</f>
        <v>mshr_human</v>
      </c>
      <c r="B17" s="1" t="str">
        <f t="shared" si="0"/>
        <v>CLEVSISDGLFLSLGLVSLVENALVVATIAKNSPMYCFICCLALSDLLVSGSNVLETAVILLLAAVLQQLDNVIDVITCSSMLSSLCFLGAIAVDRYISIFYTLPRARRAVAAIWVASVVFSTLFIAYLVVFFLAMLVLMAVLYVHMLARACQHAQGIARLHKQGFGLKGAVTLTILLGIFFLCWGPFFLHLTLIVLCCGCIFKNFNLFLALIICNAIIDPLIYAFHSQELRRTLKEVLT</v>
      </c>
      <c r="C17" s="29" t="str">
        <f>IF(ISERROR(MATCH(A17,'SegEnds_Xtal_Prot#'!B:B, 0)), "NoXtal", "Xtal")</f>
        <v>NoXtal</v>
      </c>
      <c r="D17" s="4" t="str">
        <f>VLOOKUP(A17,Classification!A:D,2,FALSE)</f>
        <v>A</v>
      </c>
      <c r="E17" s="5" t="str">
        <f>VLOOKUP(A17,Seqs!A:B,2,FALSE)</f>
        <v>MAVQGSQRRLLGSLNSTPTAIPQLGLAANQTGARCLEVSISDGLFLSLGLVSLVENALVVATIAKNRNLHSPMYCFICCLALSDLLVSGSNVLETAVILLLEAGALVARAAVLQQLDNVIDVITCSSMLSSLCFLGAIAVDRYISIFYALRYHSIVTLPRARRAVAAIWVASVVFSTLFIAYYDHVAVLLCLVVFFLAMLVLMAVLYVHMLARACQHAQGIARLHKRQRPVHQGFGLKGAVTLTILLGIFFLCWGPFFLHLTLIVLCPEHPTCGCIFKNFNLFLALIICNAIIDPLIYAFHSQELRRTLKEVLTCSW</v>
      </c>
      <c r="F17" s="5" t="str">
        <f t="shared" si="1"/>
        <v>CLEVSISDGLFLSLGLVSLVENALVVATIAKN</v>
      </c>
      <c r="G17" s="4" t="str">
        <f t="shared" si="2"/>
        <v>RNLH</v>
      </c>
      <c r="H17" s="4" t="str">
        <f t="shared" si="3"/>
        <v>SPMYCFICCLALSDLLVSGSNVLETAVILLL</v>
      </c>
      <c r="I17" s="4" t="str">
        <f t="shared" si="4"/>
        <v/>
      </c>
      <c r="J17" s="4" t="str">
        <f t="shared" si="5"/>
        <v>AAVLQQLDNVIDVITCSSMLSSLCFLGAIAVDRYISIFY</v>
      </c>
      <c r="K17" s="4" t="str">
        <f t="shared" si="6"/>
        <v>ALRYHSIV</v>
      </c>
      <c r="L17" s="4" t="str">
        <f t="shared" si="7"/>
        <v>TLPRARRAVAAIWVASVVFSTLFIAY</v>
      </c>
      <c r="M17" s="4" t="str">
        <f t="shared" si="8"/>
        <v/>
      </c>
      <c r="N17" s="4" t="str">
        <f t="shared" si="9"/>
        <v>LVVFFLAMLVLMAVLYVHMLARACQHAQGIARLHK</v>
      </c>
      <c r="O17" s="4" t="str">
        <f t="shared" si="10"/>
        <v>QGFGLKGAVTLTILLGIFFLCWGPFFLHLTLIVLC</v>
      </c>
      <c r="P17" s="4" t="str">
        <f t="shared" si="11"/>
        <v>CGCIFKNFNLFLALIICNAIIDPLIYAFH</v>
      </c>
      <c r="Q17" s="4" t="str">
        <f t="shared" si="12"/>
        <v>SQELRRTLKEVLT</v>
      </c>
      <c r="R17" s="5">
        <f>VLOOKUP($A17,'SegEnds_NonXtal_Prot#'!$A:$AL,3,FALSE)</f>
        <v>35</v>
      </c>
      <c r="S17" s="5">
        <f>VLOOKUP($A17,'SegEnds_NonXtal_Prot#'!$A:$AL,6,FALSE)</f>
        <v>67</v>
      </c>
      <c r="T17" s="5">
        <f>VLOOKUP($A17,'SegEnds_NonXtal_Prot#'!$A:$AL,9,FALSE)</f>
        <v>71</v>
      </c>
      <c r="U17" s="5" t="str">
        <f>VLOOKUP($A17,'SegEnds_NonXtal_Prot#'!$A:$AL,12,FALSE)</f>
        <v>-</v>
      </c>
      <c r="V17" s="5">
        <f>VLOOKUP($A17,'SegEnds_NonXtal_Prot#'!$A:$AL,15,FALSE)</f>
        <v>110</v>
      </c>
      <c r="W17" s="5">
        <f>VLOOKUP($A17,'SegEnds_NonXtal_Prot#'!$A:$AL,18,FALSE)</f>
        <v>149</v>
      </c>
      <c r="X17" s="5">
        <f>VLOOKUP($A17,'SegEnds_NonXtal_Prot#'!$A:$AL,21,FALSE)</f>
        <v>157</v>
      </c>
      <c r="Y17" s="5" t="str">
        <f>VLOOKUP($A17,'SegEnds_NonXtal_Prot#'!$A:$AL,24,FALSE)</f>
        <v>-</v>
      </c>
      <c r="Z17" s="5">
        <f>VLOOKUP($A17,'SegEnds_NonXtal_Prot#'!$A:$AL,27,FALSE)</f>
        <v>192</v>
      </c>
      <c r="AA17" s="5">
        <f>VLOOKUP($A17,'SegEnds_NonXtal_Prot#'!$A:$AL,30,FALSE)</f>
        <v>233</v>
      </c>
      <c r="AB17" s="5">
        <f>VLOOKUP($A17,'SegEnds_NonXtal_Prot#'!$A:$AL,33,FALSE)</f>
        <v>273</v>
      </c>
      <c r="AC17" s="5">
        <f>VLOOKUP($A17,'SegEnds_NonXtal_Prot#'!$A:$AL,36,FALSE)</f>
        <v>302</v>
      </c>
      <c r="AD17" s="5">
        <f>VLOOKUP($A17,'SegEnds_NonXtal_Prot#'!$A:$AL,5,FALSE)</f>
        <v>66</v>
      </c>
      <c r="AE17" s="5">
        <f>VLOOKUP($A17,'SegEnds_NonXtal_Prot#'!$A:$AL,8,FALSE)</f>
        <v>70</v>
      </c>
      <c r="AF17" s="5">
        <f>VLOOKUP($A17,'SegEnds_NonXtal_Prot#'!$A:$AL,11,FALSE)</f>
        <v>101</v>
      </c>
      <c r="AG17" s="5" t="str">
        <f>VLOOKUP($A17,'SegEnds_NonXtal_Prot#'!$A:$AL,14,FALSE)</f>
        <v>-</v>
      </c>
      <c r="AH17" s="5">
        <f>VLOOKUP($A17,'SegEnds_NonXtal_Prot#'!$A:$AL,17,FALSE)</f>
        <v>148</v>
      </c>
      <c r="AI17" s="5">
        <f>VLOOKUP($A17,'SegEnds_NonXtal_Prot#'!$A:$AL,20,FALSE)</f>
        <v>156</v>
      </c>
      <c r="AJ17" s="5">
        <f>VLOOKUP($A17,'SegEnds_NonXtal_Prot#'!$A:$AL,23,FALSE)</f>
        <v>182</v>
      </c>
      <c r="AK17" s="5" t="str">
        <f>VLOOKUP($A17,'SegEnds_NonXtal_Prot#'!$A:$AL,26,FALSE)</f>
        <v>-</v>
      </c>
      <c r="AL17" s="5">
        <f>VLOOKUP($A17,'SegEnds_NonXtal_Prot#'!$A:$AL,29,FALSE)</f>
        <v>226</v>
      </c>
      <c r="AM17" s="5">
        <f>VLOOKUP($A17,'SegEnds_NonXtal_Prot#'!$A:$AL,32,FALSE)</f>
        <v>267</v>
      </c>
      <c r="AN17" s="5">
        <f>VLOOKUP($A17,'SegEnds_NonXtal_Prot#'!$A:$AL,35,FALSE)</f>
        <v>301</v>
      </c>
      <c r="AO17" s="5">
        <f>VLOOKUP($A17,'SegEnds_NonXtal_Prot#'!$A:$AL,38,FALSE)</f>
        <v>314</v>
      </c>
      <c r="AP17" s="5">
        <f t="shared" si="13"/>
        <v>31</v>
      </c>
      <c r="AQ17" s="4">
        <f t="shared" si="14"/>
        <v>3</v>
      </c>
      <c r="AR17" s="4">
        <f t="shared" si="15"/>
        <v>30</v>
      </c>
      <c r="AS17" s="4" t="str">
        <f t="shared" si="16"/>
        <v>-</v>
      </c>
      <c r="AT17" s="4">
        <f t="shared" si="17"/>
        <v>38</v>
      </c>
      <c r="AU17" s="4">
        <f t="shared" si="18"/>
        <v>7</v>
      </c>
      <c r="AV17" s="4">
        <f t="shared" si="19"/>
        <v>25</v>
      </c>
      <c r="AW17" s="4" t="str">
        <f t="shared" si="20"/>
        <v>-</v>
      </c>
      <c r="AX17" s="4">
        <f t="shared" si="21"/>
        <v>34</v>
      </c>
      <c r="AY17" s="4">
        <f t="shared" si="22"/>
        <v>34</v>
      </c>
      <c r="AZ17" s="4">
        <f t="shared" si="23"/>
        <v>28</v>
      </c>
      <c r="BA17" s="4">
        <f t="shared" si="24"/>
        <v>12</v>
      </c>
    </row>
    <row r="18" spans="1:53" x14ac:dyDescent="0.2">
      <c r="A18" s="1" t="str">
        <f>'SegEnds_NonXtal_Prot#'!A198</f>
        <v>ntr2_human</v>
      </c>
      <c r="B18" s="1" t="str">
        <f t="shared" si="0"/>
        <v>LWAKVLFTALYALIWALGAAGNALSAHVVLKAGRLRHHVLSLALAGLLLLLVGVPVELYSFVWFGDLGCRGYYFVHELCAYATVLSVAGLSAERCLAVCQTPRRTRWLVALSWAASLGLALPMAVIMRTALQVFIQVNVLVSFVLPLALTAFLNGVTVSHLLALCSQVPSVRRIRSLQRSVQVLRAIVVMYVICWLPYHARRLMYCYVTDPLYNFYHYFYMVTNTLFYVSSAVTPLLYNAVSSSFRKLFLEAV</v>
      </c>
      <c r="C18" s="29" t="str">
        <f>IF(ISERROR(MATCH(A18,'SegEnds_Xtal_Prot#'!B:B, 0)), "NoXtal", "Xtal")</f>
        <v>NoXtal</v>
      </c>
      <c r="D18" s="4" t="str">
        <f>VLOOKUP(A18,Classification!A:D,2,FALSE)</f>
        <v>A</v>
      </c>
      <c r="E18" s="5" t="str">
        <f>VLOOKUP(A18,Seqs!A:B,2,FALSE)</f>
        <v>METSSPRPPRPSSNPGLSLDARLGVDTRLWAKVLFTALYALIWALGAAGNALSAHVVLKARAGRAGRLRHHVLSLALAGLLLLLVGVPVELYSFVWFHYPWVFGDLGCRGYYFVHELCAYATVLSVAGLSAERCLAVCQPLRARSLLTPRRTRWLVALSWAASLGLALPMAVIMGQKHELETADGEPEPASRVCTVLVSRTALQVFIQVNVLVSFVLPLALTAFLNGVTVSHLLALCSQVPSTSTPGSSTPSRLELLSEEGLLSFIVWKKTFIQGGQVSLVRHKDVRRIRSLQRSVQVLRAIVVMYVICWLPYHARRLMYCYVPDDAWTDPLYNFYHYFYMVTNTLFYVSSAVTPLLYNAVSSSFRKLFLEAVSSLCGEHHPMKRLPPKPQSPTLMDTASGFGDPPETRT</v>
      </c>
      <c r="F18" s="5" t="str">
        <f t="shared" si="1"/>
        <v>LWAKVLFTALYALIWALGAAGNALSAHVVLKA</v>
      </c>
      <c r="G18" s="4" t="str">
        <f t="shared" si="2"/>
        <v/>
      </c>
      <c r="H18" s="4" t="str">
        <f t="shared" si="3"/>
        <v>GRLRHHVLSLALAGLLLLLVGVPVELYSFVWF</v>
      </c>
      <c r="I18" s="4" t="str">
        <f t="shared" si="4"/>
        <v>PWVF</v>
      </c>
      <c r="J18" s="4" t="str">
        <f t="shared" si="5"/>
        <v>GDLGCRGYYFVHELCAYATVLSVAGLSAERCLAVCQ</v>
      </c>
      <c r="K18" s="4" t="str">
        <f t="shared" si="6"/>
        <v>PLRARSLL</v>
      </c>
      <c r="L18" s="4" t="str">
        <f t="shared" si="7"/>
        <v>TPRRTRWLVALSWAASLGLALPMAVIM</v>
      </c>
      <c r="M18" s="4" t="str">
        <f t="shared" si="8"/>
        <v>CTV</v>
      </c>
      <c r="N18" s="4" t="str">
        <f t="shared" si="9"/>
        <v>RTALQVFIQVNVLVSFVLPLALTAFLNGVTVSHLLALCSQVPS</v>
      </c>
      <c r="O18" s="4" t="str">
        <f t="shared" si="10"/>
        <v>VRRIRSLQRSVQVLRAIVVMYVICWLPYHARRLMYCYV</v>
      </c>
      <c r="P18" s="4" t="str">
        <f t="shared" si="11"/>
        <v>TDPLYNFYHYFYMVTNTLFYVSSAVTPLLYNAV</v>
      </c>
      <c r="Q18" s="4" t="str">
        <f t="shared" si="12"/>
        <v>SSSFRKLFLEAV</v>
      </c>
      <c r="R18" s="5">
        <f>VLOOKUP($A18,'SegEnds_NonXtal_Prot#'!$A:$AL,3,FALSE)</f>
        <v>29</v>
      </c>
      <c r="S18" s="5" t="str">
        <f>VLOOKUP($A18,'SegEnds_NonXtal_Prot#'!$A:$AL,6,FALSE)</f>
        <v>-</v>
      </c>
      <c r="T18" s="5">
        <f>VLOOKUP($A18,'SegEnds_NonXtal_Prot#'!$A:$AL,9,FALSE)</f>
        <v>66</v>
      </c>
      <c r="U18" s="5">
        <f>VLOOKUP($A18,'SegEnds_NonXtal_Prot#'!$A:$AL,12,FALSE)</f>
        <v>100</v>
      </c>
      <c r="V18" s="5">
        <f>VLOOKUP($A18,'SegEnds_NonXtal_Prot#'!$A:$AL,15,FALSE)</f>
        <v>104</v>
      </c>
      <c r="W18" s="5">
        <f>VLOOKUP($A18,'SegEnds_NonXtal_Prot#'!$A:$AL,18,FALSE)</f>
        <v>140</v>
      </c>
      <c r="X18" s="5">
        <f>VLOOKUP($A18,'SegEnds_NonXtal_Prot#'!$A:$AL,21,FALSE)</f>
        <v>148</v>
      </c>
      <c r="Y18" s="5">
        <f>VLOOKUP($A18,'SegEnds_NonXtal_Prot#'!$A:$AL,24,FALSE)</f>
        <v>194</v>
      </c>
      <c r="Z18" s="5">
        <f>VLOOKUP($A18,'SegEnds_NonXtal_Prot#'!$A:$AL,27,FALSE)</f>
        <v>200</v>
      </c>
      <c r="AA18" s="5">
        <f>VLOOKUP($A18,'SegEnds_NonXtal_Prot#'!$A:$AL,30,FALSE)</f>
        <v>286</v>
      </c>
      <c r="AB18" s="5">
        <f>VLOOKUP($A18,'SegEnds_NonXtal_Prot#'!$A:$AL,33,FALSE)</f>
        <v>329</v>
      </c>
      <c r="AC18" s="5">
        <f>VLOOKUP($A18,'SegEnds_NonXtal_Prot#'!$A:$AL,36,FALSE)</f>
        <v>362</v>
      </c>
      <c r="AD18" s="5">
        <f>VLOOKUP($A18,'SegEnds_NonXtal_Prot#'!$A:$AL,5,FALSE)</f>
        <v>60</v>
      </c>
      <c r="AE18" s="5" t="str">
        <f>VLOOKUP($A18,'SegEnds_NonXtal_Prot#'!$A:$AL,8,FALSE)</f>
        <v>-</v>
      </c>
      <c r="AF18" s="5">
        <f>VLOOKUP($A18,'SegEnds_NonXtal_Prot#'!$A:$AL,11,FALSE)</f>
        <v>97</v>
      </c>
      <c r="AG18" s="5">
        <f>VLOOKUP($A18,'SegEnds_NonXtal_Prot#'!$A:$AL,14,FALSE)</f>
        <v>103</v>
      </c>
      <c r="AH18" s="5">
        <f>VLOOKUP($A18,'SegEnds_NonXtal_Prot#'!$A:$AL,17,FALSE)</f>
        <v>139</v>
      </c>
      <c r="AI18" s="5">
        <f>VLOOKUP($A18,'SegEnds_NonXtal_Prot#'!$A:$AL,20,FALSE)</f>
        <v>147</v>
      </c>
      <c r="AJ18" s="5">
        <f>VLOOKUP($A18,'SegEnds_NonXtal_Prot#'!$A:$AL,23,FALSE)</f>
        <v>174</v>
      </c>
      <c r="AK18" s="5">
        <f>VLOOKUP($A18,'SegEnds_NonXtal_Prot#'!$A:$AL,26,FALSE)</f>
        <v>196</v>
      </c>
      <c r="AL18" s="5">
        <f>VLOOKUP($A18,'SegEnds_NonXtal_Prot#'!$A:$AL,29,FALSE)</f>
        <v>242</v>
      </c>
      <c r="AM18" s="5">
        <f>VLOOKUP($A18,'SegEnds_NonXtal_Prot#'!$A:$AL,32,FALSE)</f>
        <v>323</v>
      </c>
      <c r="AN18" s="5">
        <f>VLOOKUP($A18,'SegEnds_NonXtal_Prot#'!$A:$AL,35,FALSE)</f>
        <v>361</v>
      </c>
      <c r="AO18" s="5">
        <f>VLOOKUP($A18,'SegEnds_NonXtal_Prot#'!$A:$AL,38,FALSE)</f>
        <v>373</v>
      </c>
      <c r="AP18" s="5">
        <f t="shared" si="13"/>
        <v>31</v>
      </c>
      <c r="AQ18" s="4" t="str">
        <f t="shared" si="14"/>
        <v>-</v>
      </c>
      <c r="AR18" s="4">
        <f t="shared" si="15"/>
        <v>31</v>
      </c>
      <c r="AS18" s="4">
        <f t="shared" si="16"/>
        <v>3</v>
      </c>
      <c r="AT18" s="4">
        <f t="shared" si="17"/>
        <v>35</v>
      </c>
      <c r="AU18" s="4">
        <f t="shared" si="18"/>
        <v>7</v>
      </c>
      <c r="AV18" s="4">
        <f t="shared" si="19"/>
        <v>26</v>
      </c>
      <c r="AW18" s="4">
        <f t="shared" si="20"/>
        <v>2</v>
      </c>
      <c r="AX18" s="4">
        <f t="shared" si="21"/>
        <v>42</v>
      </c>
      <c r="AY18" s="4">
        <f t="shared" si="22"/>
        <v>37</v>
      </c>
      <c r="AZ18" s="4">
        <f t="shared" si="23"/>
        <v>32</v>
      </c>
      <c r="BA18" s="4">
        <f t="shared" si="24"/>
        <v>11</v>
      </c>
    </row>
    <row r="19" spans="1:53" x14ac:dyDescent="0.2">
      <c r="A19" s="1" t="str">
        <f>'SegEnds_NonXtal_Prot#'!A201</f>
        <v>oprd_human</v>
      </c>
      <c r="B19" s="1" t="str">
        <f t="shared" si="0"/>
        <v>GARSASSLALAIAITALYSAVCAVGLLGNVLVMFGIVRYTATNIYIFNLALADALATSTLPFQSAKYLMGELLCKAVLSIDYYNMFTSIFTLTMMSVDRYIAVCHTPAKAKLINICIWVLASGVGVPIMVMASWYWDTVTKICVFLFAFVVPILIITVCYGLMLLRLRSVSKEKDRSLRRITRMVLVVVGAFVVCWAPIHIFVIVWTLVDPLVVAALHLCIALGYANSSLNPVLYAFLDENFKRCFRQLCRK</v>
      </c>
      <c r="C19" s="29" t="str">
        <f>IF(ISERROR(MATCH(A19,'SegEnds_Xtal_Prot#'!B:B, 0)), "NoXtal", "Xtal")</f>
        <v>Xtal</v>
      </c>
      <c r="D19" s="4" t="str">
        <f>VLOOKUP(A19,Classification!A:D,2,FALSE)</f>
        <v>A</v>
      </c>
      <c r="E19" s="5" t="str">
        <f>VLOOKUP(A19,Seqs!A:B,2,FALSE)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F19" s="5" t="str">
        <f t="shared" si="1"/>
        <v>GARSASSLALAIAITALYSAVCAVGLLGNVLVMFGIVRY</v>
      </c>
      <c r="G19" s="4" t="str">
        <f t="shared" si="2"/>
        <v>TKMK</v>
      </c>
      <c r="H19" s="4" t="str">
        <f t="shared" si="3"/>
        <v>TATNIYIFNLALADALATSTLPFQSAKYLM</v>
      </c>
      <c r="I19" s="4" t="str">
        <f t="shared" si="4"/>
        <v>TWPF</v>
      </c>
      <c r="J19" s="4" t="str">
        <f t="shared" si="5"/>
        <v>GELLCKAVLSIDYYNMFTSIFTLTMMSVDRYIAVCH</v>
      </c>
      <c r="K19" s="4" t="str">
        <f t="shared" si="6"/>
        <v>PVKALDFR</v>
      </c>
      <c r="L19" s="4" t="str">
        <f t="shared" si="7"/>
        <v>TPAKAKLINICIWVLASGVGVPIMVMA</v>
      </c>
      <c r="M19" s="4" t="str">
        <f t="shared" si="8"/>
        <v>CML</v>
      </c>
      <c r="N19" s="4" t="str">
        <f t="shared" si="9"/>
        <v>SWYWDTVTKICVFLFAFVVPILIITVCYGLMLLRLRSV</v>
      </c>
      <c r="O19" s="4" t="str">
        <f t="shared" si="10"/>
        <v>SKEKDRSLRRITRMVLVVVGAFVVCWAPIHIFVIVWTLV</v>
      </c>
      <c r="P19" s="4" t="str">
        <f t="shared" si="11"/>
        <v>DPLVVAALHLCIALGYANSSLNPVLYAFL</v>
      </c>
      <c r="Q19" s="4" t="str">
        <f t="shared" si="12"/>
        <v>DENFKRCFRQLCRK</v>
      </c>
      <c r="R19" s="5">
        <f>VLOOKUP($A19,'SegEnds_NonXtal_Prot#'!$A:$AL,3,FALSE)</f>
        <v>39</v>
      </c>
      <c r="S19" s="5">
        <f>VLOOKUP($A19,'SegEnds_NonXtal_Prot#'!$A:$AL,6,FALSE)</f>
        <v>78</v>
      </c>
      <c r="T19" s="5">
        <f>VLOOKUP($A19,'SegEnds_NonXtal_Prot#'!$A:$AL,9,FALSE)</f>
        <v>82</v>
      </c>
      <c r="U19" s="5">
        <f>VLOOKUP($A19,'SegEnds_NonXtal_Prot#'!$A:$AL,12,FALSE)</f>
        <v>113</v>
      </c>
      <c r="V19" s="5">
        <f>VLOOKUP($A19,'SegEnds_NonXtal_Prot#'!$A:$AL,15,FALSE)</f>
        <v>117</v>
      </c>
      <c r="W19" s="5">
        <f>VLOOKUP($A19,'SegEnds_NonXtal_Prot#'!$A:$AL,18,FALSE)</f>
        <v>153</v>
      </c>
      <c r="X19" s="5">
        <f>VLOOKUP($A19,'SegEnds_NonXtal_Prot#'!$A:$AL,21,FALSE)</f>
        <v>161</v>
      </c>
      <c r="Y19" s="5">
        <f>VLOOKUP($A19,'SegEnds_NonXtal_Prot#'!$A:$AL,24,FALSE)</f>
        <v>198</v>
      </c>
      <c r="Z19" s="5">
        <f>VLOOKUP($A19,'SegEnds_NonXtal_Prot#'!$A:$AL,27,FALSE)</f>
        <v>206</v>
      </c>
      <c r="AA19" s="5">
        <f>VLOOKUP($A19,'SegEnds_NonXtal_Prot#'!$A:$AL,30,FALSE)</f>
        <v>249</v>
      </c>
      <c r="AB19" s="5">
        <f>VLOOKUP($A19,'SegEnds_NonXtal_Prot#'!$A:$AL,33,FALSE)</f>
        <v>293</v>
      </c>
      <c r="AC19" s="5">
        <f>VLOOKUP($A19,'SegEnds_NonXtal_Prot#'!$A:$AL,36,FALSE)</f>
        <v>322</v>
      </c>
      <c r="AD19" s="5">
        <f>VLOOKUP($A19,'SegEnds_NonXtal_Prot#'!$A:$AL,5,FALSE)</f>
        <v>77</v>
      </c>
      <c r="AE19" s="5">
        <f>VLOOKUP($A19,'SegEnds_NonXtal_Prot#'!$A:$AL,8,FALSE)</f>
        <v>81</v>
      </c>
      <c r="AF19" s="5">
        <f>VLOOKUP($A19,'SegEnds_NonXtal_Prot#'!$A:$AL,11,FALSE)</f>
        <v>111</v>
      </c>
      <c r="AG19" s="5">
        <f>VLOOKUP($A19,'SegEnds_NonXtal_Prot#'!$A:$AL,14,FALSE)</f>
        <v>116</v>
      </c>
      <c r="AH19" s="5">
        <f>VLOOKUP($A19,'SegEnds_NonXtal_Prot#'!$A:$AL,17,FALSE)</f>
        <v>152</v>
      </c>
      <c r="AI19" s="5">
        <f>VLOOKUP($A19,'SegEnds_NonXtal_Prot#'!$A:$AL,20,FALSE)</f>
        <v>160</v>
      </c>
      <c r="AJ19" s="5">
        <f>VLOOKUP($A19,'SegEnds_NonXtal_Prot#'!$A:$AL,23,FALSE)</f>
        <v>187</v>
      </c>
      <c r="AK19" s="5">
        <f>VLOOKUP($A19,'SegEnds_NonXtal_Prot#'!$A:$AL,26,FALSE)</f>
        <v>200</v>
      </c>
      <c r="AL19" s="5">
        <f>VLOOKUP($A19,'SegEnds_NonXtal_Prot#'!$A:$AL,29,FALSE)</f>
        <v>243</v>
      </c>
      <c r="AM19" s="5">
        <f>VLOOKUP($A19,'SegEnds_NonXtal_Prot#'!$A:$AL,32,FALSE)</f>
        <v>287</v>
      </c>
      <c r="AN19" s="5">
        <f>VLOOKUP($A19,'SegEnds_NonXtal_Prot#'!$A:$AL,35,FALSE)</f>
        <v>321</v>
      </c>
      <c r="AO19" s="5">
        <f>VLOOKUP($A19,'SegEnds_NonXtal_Prot#'!$A:$AL,38,FALSE)</f>
        <v>335</v>
      </c>
      <c r="AP19" s="5">
        <f t="shared" si="13"/>
        <v>38</v>
      </c>
      <c r="AQ19" s="4">
        <f t="shared" si="14"/>
        <v>3</v>
      </c>
      <c r="AR19" s="4">
        <f t="shared" si="15"/>
        <v>29</v>
      </c>
      <c r="AS19" s="4">
        <f t="shared" si="16"/>
        <v>3</v>
      </c>
      <c r="AT19" s="4">
        <f t="shared" si="17"/>
        <v>35</v>
      </c>
      <c r="AU19" s="4">
        <f t="shared" si="18"/>
        <v>7</v>
      </c>
      <c r="AV19" s="4">
        <f t="shared" si="19"/>
        <v>26</v>
      </c>
      <c r="AW19" s="4">
        <f t="shared" si="20"/>
        <v>2</v>
      </c>
      <c r="AX19" s="4">
        <f t="shared" si="21"/>
        <v>37</v>
      </c>
      <c r="AY19" s="4">
        <f t="shared" si="22"/>
        <v>38</v>
      </c>
      <c r="AZ19" s="4">
        <f t="shared" si="23"/>
        <v>28</v>
      </c>
      <c r="BA19" s="4">
        <f t="shared" si="24"/>
        <v>13</v>
      </c>
    </row>
    <row r="20" spans="1:53" x14ac:dyDescent="0.2">
      <c r="A20" s="1" t="str">
        <f>'SegEnds_NonXtal_Prot#'!A202</f>
        <v>oprd_mouse</v>
      </c>
      <c r="B20" s="1" t="str">
        <f t="shared" si="0"/>
        <v>GARSASSLALAIAITALYSAVCAVGLLGNVLVMFGIVRYTATNIYIFNLALADALATSTLPFQSAKYLMGELLCKAVLSIDYYNMFTSIFTLTMMSVDRYIAVCHTPAKAKLINICIWVLASGVGVPIMVMASWYWDTVTKICVFLFAFVVPILIITVCYGLMLLRLRSVSKEKDRSLRRITRMVLVVVGAFVVCWAPIHIFVIVWTLVDPLVVAALHLCIALGYANSSLNPVLYAFLDENFKRCFRQLCRT</v>
      </c>
      <c r="C20" s="29" t="str">
        <f>IF(ISERROR(MATCH(A20,'SegEnds_Xtal_Prot#'!B:B, 0)), "NoXtal", "Xtal")</f>
        <v>Xtal</v>
      </c>
      <c r="D20" s="4" t="str">
        <f>VLOOKUP(A20,Classification!A:D,2,FALSE)</f>
        <v>A</v>
      </c>
      <c r="E20" s="5" t="str">
        <f>VLOOKUP(A20,Seqs!A:B,2,FALSE)</f>
        <v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v>
      </c>
      <c r="F20" s="5" t="str">
        <f t="shared" si="1"/>
        <v>GARSASSLALAIAITALYSAVCAVGLLGNVLVMFGIVRY</v>
      </c>
      <c r="G20" s="4" t="str">
        <f t="shared" si="2"/>
        <v>TKLK</v>
      </c>
      <c r="H20" s="4" t="str">
        <f t="shared" si="3"/>
        <v>TATNIYIFNLALADALATSTLPFQSAKYLM</v>
      </c>
      <c r="I20" s="4" t="str">
        <f t="shared" si="4"/>
        <v>TWPF</v>
      </c>
      <c r="J20" s="4" t="str">
        <f t="shared" si="5"/>
        <v>GELLCKAVLSIDYYNMFTSIFTLTMMSVDRYIAVCH</v>
      </c>
      <c r="K20" s="4" t="str">
        <f t="shared" si="6"/>
        <v>PVKALDFR</v>
      </c>
      <c r="L20" s="4" t="str">
        <f t="shared" si="7"/>
        <v>TPAKAKLINICIWVLASGVGVPIMVMA</v>
      </c>
      <c r="M20" s="4" t="str">
        <f t="shared" si="8"/>
        <v>CML</v>
      </c>
      <c r="N20" s="4" t="str">
        <f t="shared" si="9"/>
        <v>SWYWDTVTKICVFLFAFVVPILIITVCYGLMLLRLRSV</v>
      </c>
      <c r="O20" s="4" t="str">
        <f t="shared" si="10"/>
        <v>SKEKDRSLRRITRMVLVVVGAFVVCWAPIHIFVIVWTLV</v>
      </c>
      <c r="P20" s="4" t="str">
        <f t="shared" si="11"/>
        <v>DPLVVAALHLCIALGYANSSLNPVLYAFL</v>
      </c>
      <c r="Q20" s="4" t="str">
        <f t="shared" si="12"/>
        <v>DENFKRCFRQLCRT</v>
      </c>
      <c r="R20" s="5">
        <f>VLOOKUP($A20,'SegEnds_NonXtal_Prot#'!$A:$AL,3,FALSE)</f>
        <v>39</v>
      </c>
      <c r="S20" s="5">
        <f>VLOOKUP($A20,'SegEnds_NonXtal_Prot#'!$A:$AL,6,FALSE)</f>
        <v>78</v>
      </c>
      <c r="T20" s="5">
        <f>VLOOKUP($A20,'SegEnds_NonXtal_Prot#'!$A:$AL,9,FALSE)</f>
        <v>82</v>
      </c>
      <c r="U20" s="5">
        <f>VLOOKUP($A20,'SegEnds_NonXtal_Prot#'!$A:$AL,12,FALSE)</f>
        <v>113</v>
      </c>
      <c r="V20" s="5">
        <f>VLOOKUP($A20,'SegEnds_NonXtal_Prot#'!$A:$AL,15,FALSE)</f>
        <v>117</v>
      </c>
      <c r="W20" s="5">
        <f>VLOOKUP($A20,'SegEnds_NonXtal_Prot#'!$A:$AL,18,FALSE)</f>
        <v>153</v>
      </c>
      <c r="X20" s="5">
        <f>VLOOKUP($A20,'SegEnds_NonXtal_Prot#'!$A:$AL,21,FALSE)</f>
        <v>161</v>
      </c>
      <c r="Y20" s="5">
        <f>VLOOKUP($A20,'SegEnds_NonXtal_Prot#'!$A:$AL,24,FALSE)</f>
        <v>198</v>
      </c>
      <c r="Z20" s="5">
        <f>VLOOKUP($A20,'SegEnds_NonXtal_Prot#'!$A:$AL,27,FALSE)</f>
        <v>206</v>
      </c>
      <c r="AA20" s="5">
        <f>VLOOKUP($A20,'SegEnds_NonXtal_Prot#'!$A:$AL,30,FALSE)</f>
        <v>249</v>
      </c>
      <c r="AB20" s="5">
        <f>VLOOKUP($A20,'SegEnds_NonXtal_Prot#'!$A:$AL,33,FALSE)</f>
        <v>293</v>
      </c>
      <c r="AC20" s="5">
        <f>VLOOKUP($A20,'SegEnds_NonXtal_Prot#'!$A:$AL,36,FALSE)</f>
        <v>322</v>
      </c>
      <c r="AD20" s="5">
        <f>VLOOKUP($A20,'SegEnds_NonXtal_Prot#'!$A:$AL,5,FALSE)</f>
        <v>77</v>
      </c>
      <c r="AE20" s="5">
        <f>VLOOKUP($A20,'SegEnds_NonXtal_Prot#'!$A:$AL,8,FALSE)</f>
        <v>81</v>
      </c>
      <c r="AF20" s="5">
        <f>VLOOKUP($A20,'SegEnds_NonXtal_Prot#'!$A:$AL,11,FALSE)</f>
        <v>111</v>
      </c>
      <c r="AG20" s="5">
        <f>VLOOKUP($A20,'SegEnds_NonXtal_Prot#'!$A:$AL,14,FALSE)</f>
        <v>116</v>
      </c>
      <c r="AH20" s="5">
        <f>VLOOKUP($A20,'SegEnds_NonXtal_Prot#'!$A:$AL,17,FALSE)</f>
        <v>152</v>
      </c>
      <c r="AI20" s="5">
        <f>VLOOKUP($A20,'SegEnds_NonXtal_Prot#'!$A:$AL,20,FALSE)</f>
        <v>160</v>
      </c>
      <c r="AJ20" s="5">
        <f>VLOOKUP($A20,'SegEnds_NonXtal_Prot#'!$A:$AL,23,FALSE)</f>
        <v>187</v>
      </c>
      <c r="AK20" s="5">
        <f>VLOOKUP($A20,'SegEnds_NonXtal_Prot#'!$A:$AL,26,FALSE)</f>
        <v>200</v>
      </c>
      <c r="AL20" s="5">
        <f>VLOOKUP($A20,'SegEnds_NonXtal_Prot#'!$A:$AL,29,FALSE)</f>
        <v>243</v>
      </c>
      <c r="AM20" s="5">
        <f>VLOOKUP($A20,'SegEnds_NonXtal_Prot#'!$A:$AL,32,FALSE)</f>
        <v>287</v>
      </c>
      <c r="AN20" s="5">
        <f>VLOOKUP($A20,'SegEnds_NonXtal_Prot#'!$A:$AL,35,FALSE)</f>
        <v>321</v>
      </c>
      <c r="AO20" s="5">
        <f>VLOOKUP($A20,'SegEnds_NonXtal_Prot#'!$A:$AL,38,FALSE)</f>
        <v>335</v>
      </c>
      <c r="AP20" s="5">
        <f t="shared" si="13"/>
        <v>38</v>
      </c>
      <c r="AQ20" s="4">
        <f t="shared" si="14"/>
        <v>3</v>
      </c>
      <c r="AR20" s="4">
        <f t="shared" si="15"/>
        <v>29</v>
      </c>
      <c r="AS20" s="4">
        <f t="shared" si="16"/>
        <v>3</v>
      </c>
      <c r="AT20" s="4">
        <f t="shared" si="17"/>
        <v>35</v>
      </c>
      <c r="AU20" s="4">
        <f t="shared" si="18"/>
        <v>7</v>
      </c>
      <c r="AV20" s="4">
        <f t="shared" si="19"/>
        <v>26</v>
      </c>
      <c r="AW20" s="4">
        <f t="shared" si="20"/>
        <v>2</v>
      </c>
      <c r="AX20" s="4">
        <f t="shared" si="21"/>
        <v>37</v>
      </c>
      <c r="AY20" s="4">
        <f t="shared" si="22"/>
        <v>38</v>
      </c>
      <c r="AZ20" s="4">
        <f t="shared" si="23"/>
        <v>28</v>
      </c>
      <c r="BA20" s="4">
        <f t="shared" si="24"/>
        <v>13</v>
      </c>
    </row>
    <row r="21" spans="1:53" x14ac:dyDescent="0.2">
      <c r="A21" s="1" t="str">
        <f>'SegEnds_NonXtal_Prot#'!A203</f>
        <v>oprk_human</v>
      </c>
      <c r="B21" s="1" t="str">
        <f t="shared" si="0"/>
        <v>AIPVIITAVYSVVFVVGLVGNSLVMFVIIRYTATNIYIFNLALADALVTTTMPFQSTVYLMGDVLCKIVISIDYYNMFTSIFTLTMMSVDRYIAVCHTPLKAKIINICIWLLSSSVGISAIVLGYSWWDLFMKICVFIFAFVIPVLIIIVCYTLMILRLKSVSREKDRNLRRITRLVLVVVAVFVVCWTPIHIFILVEALGSTAALSSYYFCIALGYTNSSLNPILYAFLDENFKRCFRDFCF</v>
      </c>
      <c r="C21" s="29" t="str">
        <f>IF(ISERROR(MATCH(A21,'SegEnds_Xtal_Prot#'!B:B, 0)), "NoXtal", "Xtal")</f>
        <v>Xtal</v>
      </c>
      <c r="D21" s="4" t="str">
        <f>VLOOKUP(A21,Classification!A:D,2,FALSE)</f>
        <v>A</v>
      </c>
      <c r="E21" s="5" t="str">
        <f>VLOOKUP(A21,Seqs!A:B,2,FALSE)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F21" s="5" t="str">
        <f t="shared" si="1"/>
        <v>AIPVIITAVYSVVFVVGLVGNSLVMFVIIRY</v>
      </c>
      <c r="G21" s="4" t="str">
        <f t="shared" si="2"/>
        <v>TKMK</v>
      </c>
      <c r="H21" s="4" t="str">
        <f t="shared" si="3"/>
        <v>TATNIYIFNLALADALVTTTMPFQSTVYLM</v>
      </c>
      <c r="I21" s="4" t="str">
        <f t="shared" si="4"/>
        <v>SWPF</v>
      </c>
      <c r="J21" s="4" t="str">
        <f t="shared" si="5"/>
        <v>GDVLCKIVISIDYYNMFTSIFTLTMMSVDRYIAVCH</v>
      </c>
      <c r="K21" s="4" t="str">
        <f t="shared" si="6"/>
        <v>PVKALDFR</v>
      </c>
      <c r="L21" s="4" t="str">
        <f t="shared" si="7"/>
        <v>TPLKAKIINICIWLLSSSVGISAIVLG</v>
      </c>
      <c r="M21" s="4" t="str">
        <f t="shared" si="8"/>
        <v>CSL</v>
      </c>
      <c r="N21" s="4" t="str">
        <f t="shared" si="9"/>
        <v>YSWWDLFMKICVFIFAFVIPVLIIIVCYTLMILRLKSV</v>
      </c>
      <c r="O21" s="4" t="str">
        <f t="shared" si="10"/>
        <v>SREKDRNLRRITRLVLVVVAVFVVCWTPIHIFILVEALG</v>
      </c>
      <c r="P21" s="4" t="str">
        <f t="shared" si="11"/>
        <v>STAALSSYYFCIALGYTNSSLNPILYAFL</v>
      </c>
      <c r="Q21" s="4" t="str">
        <f t="shared" si="12"/>
        <v>DENFKRCFRDFCF</v>
      </c>
      <c r="R21" s="5">
        <f>VLOOKUP($A21,'SegEnds_NonXtal_Prot#'!$A:$AL,3,FALSE)</f>
        <v>57</v>
      </c>
      <c r="S21" s="5">
        <f>VLOOKUP($A21,'SegEnds_NonXtal_Prot#'!$A:$AL,6,FALSE)</f>
        <v>88</v>
      </c>
      <c r="T21" s="5">
        <f>VLOOKUP($A21,'SegEnds_NonXtal_Prot#'!$A:$AL,9,FALSE)</f>
        <v>92</v>
      </c>
      <c r="U21" s="5">
        <f>VLOOKUP($A21,'SegEnds_NonXtal_Prot#'!$A:$AL,12,FALSE)</f>
        <v>123</v>
      </c>
      <c r="V21" s="5">
        <f>VLOOKUP($A21,'SegEnds_NonXtal_Prot#'!$A:$AL,15,FALSE)</f>
        <v>127</v>
      </c>
      <c r="W21" s="5">
        <f>VLOOKUP($A21,'SegEnds_NonXtal_Prot#'!$A:$AL,18,FALSE)</f>
        <v>163</v>
      </c>
      <c r="X21" s="5">
        <f>VLOOKUP($A21,'SegEnds_NonXtal_Prot#'!$A:$AL,21,FALSE)</f>
        <v>171</v>
      </c>
      <c r="Y21" s="5">
        <f>VLOOKUP($A21,'SegEnds_NonXtal_Prot#'!$A:$AL,24,FALSE)</f>
        <v>210</v>
      </c>
      <c r="Z21" s="5">
        <f>VLOOKUP($A21,'SegEnds_NonXtal_Prot#'!$A:$AL,27,FALSE)</f>
        <v>219</v>
      </c>
      <c r="AA21" s="5">
        <f>VLOOKUP($A21,'SegEnds_NonXtal_Prot#'!$A:$AL,30,FALSE)</f>
        <v>262</v>
      </c>
      <c r="AB21" s="5">
        <f>VLOOKUP($A21,'SegEnds_NonXtal_Prot#'!$A:$AL,33,FALSE)</f>
        <v>305</v>
      </c>
      <c r="AC21" s="5">
        <f>VLOOKUP($A21,'SegEnds_NonXtal_Prot#'!$A:$AL,36,FALSE)</f>
        <v>334</v>
      </c>
      <c r="AD21" s="5">
        <f>VLOOKUP($A21,'SegEnds_NonXtal_Prot#'!$A:$AL,5,FALSE)</f>
        <v>87</v>
      </c>
      <c r="AE21" s="5">
        <f>VLOOKUP($A21,'SegEnds_NonXtal_Prot#'!$A:$AL,8,FALSE)</f>
        <v>91</v>
      </c>
      <c r="AF21" s="5">
        <f>VLOOKUP($A21,'SegEnds_NonXtal_Prot#'!$A:$AL,11,FALSE)</f>
        <v>121</v>
      </c>
      <c r="AG21" s="5">
        <f>VLOOKUP($A21,'SegEnds_NonXtal_Prot#'!$A:$AL,14,FALSE)</f>
        <v>126</v>
      </c>
      <c r="AH21" s="5">
        <f>VLOOKUP($A21,'SegEnds_NonXtal_Prot#'!$A:$AL,17,FALSE)</f>
        <v>162</v>
      </c>
      <c r="AI21" s="5">
        <f>VLOOKUP($A21,'SegEnds_NonXtal_Prot#'!$A:$AL,20,FALSE)</f>
        <v>170</v>
      </c>
      <c r="AJ21" s="5">
        <f>VLOOKUP($A21,'SegEnds_NonXtal_Prot#'!$A:$AL,23,FALSE)</f>
        <v>197</v>
      </c>
      <c r="AK21" s="5">
        <f>VLOOKUP($A21,'SegEnds_NonXtal_Prot#'!$A:$AL,26,FALSE)</f>
        <v>212</v>
      </c>
      <c r="AL21" s="5">
        <f>VLOOKUP($A21,'SegEnds_NonXtal_Prot#'!$A:$AL,29,FALSE)</f>
        <v>256</v>
      </c>
      <c r="AM21" s="5">
        <f>VLOOKUP($A21,'SegEnds_NonXtal_Prot#'!$A:$AL,32,FALSE)</f>
        <v>300</v>
      </c>
      <c r="AN21" s="5">
        <f>VLOOKUP($A21,'SegEnds_NonXtal_Prot#'!$A:$AL,35,FALSE)</f>
        <v>333</v>
      </c>
      <c r="AO21" s="5">
        <f>VLOOKUP($A21,'SegEnds_NonXtal_Prot#'!$A:$AL,38,FALSE)</f>
        <v>346</v>
      </c>
      <c r="AP21" s="5">
        <f t="shared" si="13"/>
        <v>30</v>
      </c>
      <c r="AQ21" s="4">
        <f t="shared" si="14"/>
        <v>3</v>
      </c>
      <c r="AR21" s="4">
        <f t="shared" si="15"/>
        <v>29</v>
      </c>
      <c r="AS21" s="4">
        <f t="shared" si="16"/>
        <v>3</v>
      </c>
      <c r="AT21" s="4">
        <f t="shared" si="17"/>
        <v>35</v>
      </c>
      <c r="AU21" s="4">
        <f t="shared" si="18"/>
        <v>7</v>
      </c>
      <c r="AV21" s="4">
        <f t="shared" si="19"/>
        <v>26</v>
      </c>
      <c r="AW21" s="4">
        <f t="shared" si="20"/>
        <v>2</v>
      </c>
      <c r="AX21" s="4">
        <f t="shared" si="21"/>
        <v>37</v>
      </c>
      <c r="AY21" s="4">
        <f t="shared" si="22"/>
        <v>38</v>
      </c>
      <c r="AZ21" s="4">
        <f t="shared" si="23"/>
        <v>28</v>
      </c>
      <c r="BA21" s="4">
        <f t="shared" si="24"/>
        <v>12</v>
      </c>
    </row>
    <row r="22" spans="1:53" x14ac:dyDescent="0.2">
      <c r="A22" s="1" t="str">
        <f>'SegEnds_NonXtal_Prot#'!A212</f>
        <v>p2ry4_human</v>
      </c>
      <c r="B22" s="1" t="str">
        <f t="shared" si="0"/>
        <v>FKFILLPVSYAVVFVLGLGLNAPTLWLFIFRDATATYMFHLALSDTLYVLSLPTLIYYYAAGTEICKFVRFLFYWNLYCSVLFLTCISVHRYLGICHRPRLAGLLCLAVWLVVAGCLVPNLFFVFDHYVHFSSAVMGLLFGVPCLVTLVCYGLMARRLYQPSAQSSSRLRSLRTIAVVLTVFAVCFVPFHITRTIYYLADCRVLNIVNVVYKVTRPLASANSCLDPVLYLLTGDKYRRQLRQLCG</v>
      </c>
      <c r="C22" s="29" t="str">
        <f>IF(ISERROR(MATCH(A22,'SegEnds_Xtal_Prot#'!B:B, 0)), "NoXtal", "Xtal")</f>
        <v>NoXtal</v>
      </c>
      <c r="D22" s="4" t="str">
        <f>VLOOKUP(A22,Classification!A:D,2,FALSE)</f>
        <v>A</v>
      </c>
      <c r="E22" s="5" t="str">
        <f>VLOOKUP(A22,Seqs!A:B,2,FALSE)</f>
        <v>MASTESSLLRSLGLSPGPGSSEVELDCWFDEDFKFILLPVSYAVVFVLGLGLNAPTLWLFIFRLRPWDATATYMFHLALSDTLYVLSLPTLIYYYAAHNHWPFGTEICKFVRFLFYWNLYCSVLFLTCISVHRYLGICHPLRALRWGRPRLAGLLCLAVWLVVAGCLVPNLFFVTTSNKGTTVLCHDTTRPEEFDHYVHFSSAVMGLLFGVPCLVTLVCYGLMARRLYQPLPGSAQSSSRLRSLRTIAVVLTVFAVCFVPFHITRTIYYLARLLEADCRVLNIVNVVYKVTRPLASANSCLDPVLYLLTGDKYRRQLRQLCGGGKPQPRTAASSLALVSLPEDSSCRWAATPQDSSCSTPRADRL</v>
      </c>
      <c r="F22" s="5" t="str">
        <f t="shared" si="1"/>
        <v>FKFILLPVSYAVVFVLGLGLNAPTLWLFIFR</v>
      </c>
      <c r="G22" s="4" t="str">
        <f t="shared" si="2"/>
        <v/>
      </c>
      <c r="H22" s="4" t="str">
        <f t="shared" si="3"/>
        <v>DATATYMFHLALSDTLYVLSLPTLIYYYAA</v>
      </c>
      <c r="I22" s="4" t="str">
        <f t="shared" si="4"/>
        <v>HWPF</v>
      </c>
      <c r="J22" s="4" t="str">
        <f t="shared" si="5"/>
        <v>GTEICKFVRFLFYWNLYCSVLFLTCISVHRYLGICH</v>
      </c>
      <c r="K22" s="4" t="str">
        <f t="shared" si="6"/>
        <v>PLRALRWG</v>
      </c>
      <c r="L22" s="4" t="str">
        <f t="shared" si="7"/>
        <v>RPRLAGLLCLAVWLVVAGCLVPNLFFV</v>
      </c>
      <c r="M22" s="4" t="str">
        <f t="shared" si="8"/>
        <v>CHD</v>
      </c>
      <c r="N22" s="4" t="str">
        <f t="shared" si="9"/>
        <v>FDHYVHFSSAVMGLLFGVPCLVTLVCYGLMARRLYQP</v>
      </c>
      <c r="O22" s="4" t="str">
        <f t="shared" si="10"/>
        <v>SAQSSSRLRSLRTIAVVLTVFAVCFVPFHITRTIYYLA</v>
      </c>
      <c r="P22" s="4" t="str">
        <f t="shared" si="11"/>
        <v>DCRVLNIVNVVYKVTRPLASANSCLDPVLYLLT</v>
      </c>
      <c r="Q22" s="4" t="str">
        <f t="shared" si="12"/>
        <v>GDKYRRQLRQLCG</v>
      </c>
      <c r="R22" s="5">
        <f>VLOOKUP($A22,'SegEnds_NonXtal_Prot#'!$A:$AL,3,FALSE)</f>
        <v>33</v>
      </c>
      <c r="S22" s="5" t="str">
        <f>VLOOKUP($A22,'SegEnds_NonXtal_Prot#'!$A:$AL,6,FALSE)</f>
        <v>-</v>
      </c>
      <c r="T22" s="5">
        <f>VLOOKUP($A22,'SegEnds_NonXtal_Prot#'!$A:$AL,9,FALSE)</f>
        <v>68</v>
      </c>
      <c r="U22" s="5">
        <f>VLOOKUP($A22,'SegEnds_NonXtal_Prot#'!$A:$AL,12,FALSE)</f>
        <v>100</v>
      </c>
      <c r="V22" s="5">
        <f>VLOOKUP($A22,'SegEnds_NonXtal_Prot#'!$A:$AL,15,FALSE)</f>
        <v>104</v>
      </c>
      <c r="W22" s="5">
        <f>VLOOKUP($A22,'SegEnds_NonXtal_Prot#'!$A:$AL,18,FALSE)</f>
        <v>140</v>
      </c>
      <c r="X22" s="5">
        <f>VLOOKUP($A22,'SegEnds_NonXtal_Prot#'!$A:$AL,21,FALSE)</f>
        <v>148</v>
      </c>
      <c r="Y22" s="5">
        <f>VLOOKUP($A22,'SegEnds_NonXtal_Prot#'!$A:$AL,24,FALSE)</f>
        <v>185</v>
      </c>
      <c r="Z22" s="5">
        <f>VLOOKUP($A22,'SegEnds_NonXtal_Prot#'!$A:$AL,27,FALSE)</f>
        <v>194</v>
      </c>
      <c r="AA22" s="5">
        <f>VLOOKUP($A22,'SegEnds_NonXtal_Prot#'!$A:$AL,30,FALSE)</f>
        <v>234</v>
      </c>
      <c r="AB22" s="5">
        <f>VLOOKUP($A22,'SegEnds_NonXtal_Prot#'!$A:$AL,33,FALSE)</f>
        <v>277</v>
      </c>
      <c r="AC22" s="5">
        <f>VLOOKUP($A22,'SegEnds_NonXtal_Prot#'!$A:$AL,36,FALSE)</f>
        <v>310</v>
      </c>
      <c r="AD22" s="5">
        <f>VLOOKUP($A22,'SegEnds_NonXtal_Prot#'!$A:$AL,5,FALSE)</f>
        <v>63</v>
      </c>
      <c r="AE22" s="5" t="str">
        <f>VLOOKUP($A22,'SegEnds_NonXtal_Prot#'!$A:$AL,8,FALSE)</f>
        <v>-</v>
      </c>
      <c r="AF22" s="5">
        <f>VLOOKUP($A22,'SegEnds_NonXtal_Prot#'!$A:$AL,11,FALSE)</f>
        <v>97</v>
      </c>
      <c r="AG22" s="5">
        <f>VLOOKUP($A22,'SegEnds_NonXtal_Prot#'!$A:$AL,14,FALSE)</f>
        <v>103</v>
      </c>
      <c r="AH22" s="5">
        <f>VLOOKUP($A22,'SegEnds_NonXtal_Prot#'!$A:$AL,17,FALSE)</f>
        <v>139</v>
      </c>
      <c r="AI22" s="5">
        <f>VLOOKUP($A22,'SegEnds_NonXtal_Prot#'!$A:$AL,20,FALSE)</f>
        <v>147</v>
      </c>
      <c r="AJ22" s="5">
        <f>VLOOKUP($A22,'SegEnds_NonXtal_Prot#'!$A:$AL,23,FALSE)</f>
        <v>174</v>
      </c>
      <c r="AK22" s="5">
        <f>VLOOKUP($A22,'SegEnds_NonXtal_Prot#'!$A:$AL,26,FALSE)</f>
        <v>187</v>
      </c>
      <c r="AL22" s="5">
        <f>VLOOKUP($A22,'SegEnds_NonXtal_Prot#'!$A:$AL,29,FALSE)</f>
        <v>230</v>
      </c>
      <c r="AM22" s="5">
        <f>VLOOKUP($A22,'SegEnds_NonXtal_Prot#'!$A:$AL,32,FALSE)</f>
        <v>271</v>
      </c>
      <c r="AN22" s="5">
        <f>VLOOKUP($A22,'SegEnds_NonXtal_Prot#'!$A:$AL,35,FALSE)</f>
        <v>309</v>
      </c>
      <c r="AO22" s="5">
        <f>VLOOKUP($A22,'SegEnds_NonXtal_Prot#'!$A:$AL,38,FALSE)</f>
        <v>322</v>
      </c>
      <c r="AP22" s="5">
        <f t="shared" si="13"/>
        <v>30</v>
      </c>
      <c r="AQ22" s="4" t="str">
        <f t="shared" si="14"/>
        <v>-</v>
      </c>
      <c r="AR22" s="4">
        <f t="shared" si="15"/>
        <v>29</v>
      </c>
      <c r="AS22" s="4">
        <f t="shared" si="16"/>
        <v>3</v>
      </c>
      <c r="AT22" s="4">
        <f t="shared" si="17"/>
        <v>35</v>
      </c>
      <c r="AU22" s="4">
        <f t="shared" si="18"/>
        <v>7</v>
      </c>
      <c r="AV22" s="4">
        <f t="shared" si="19"/>
        <v>26</v>
      </c>
      <c r="AW22" s="4">
        <f t="shared" si="20"/>
        <v>2</v>
      </c>
      <c r="AX22" s="4">
        <f t="shared" si="21"/>
        <v>36</v>
      </c>
      <c r="AY22" s="4">
        <f t="shared" si="22"/>
        <v>37</v>
      </c>
      <c r="AZ22" s="4">
        <f t="shared" si="23"/>
        <v>32</v>
      </c>
      <c r="BA22" s="4">
        <f t="shared" si="24"/>
        <v>12</v>
      </c>
    </row>
    <row r="23" spans="1:53" x14ac:dyDescent="0.2">
      <c r="A23" s="1" t="str">
        <f>'SegEnds_NonXtal_Prot#'!A213</f>
        <v>p2ry8_human</v>
      </c>
      <c r="B23" s="1" t="str">
        <f t="shared" si="0"/>
        <v>PAIAVALPVVYSLVAAVSIPGNLFSLWVLCRRSPSVIFMINLSVTDLMLASVLPFQIYYHCNGVLLCNVVTVAFYANMYSSILTMTCISVERFLGVLYRRRYAVAACAGTWLLLLTALSPLARTVAMWAVFLFTIFILLFLIPFVITVACYTATILKLLRGREQRRRAVGLAAVVLLAFVTCFAPNNFVLLAHIVSGKSYYHVYKLTLCLSCLNNCLDPFVYYFASREFQLRLREYLGCR</v>
      </c>
      <c r="C23" s="29" t="str">
        <f>IF(ISERROR(MATCH(A23,'SegEnds_Xtal_Prot#'!B:B, 0)), "NoXtal", "Xtal")</f>
        <v>NoXtal</v>
      </c>
      <c r="D23" s="4" t="str">
        <f>VLOOKUP(A23,Classification!A:D,2,FALSE)</f>
        <v>A</v>
      </c>
      <c r="E23" s="5" t="str">
        <f>VLOOKUP(A23,Seqs!A:B,2,FALSE)</f>
        <v>MQVPNSTGPDNATLQMLRNPAIAVALPVVYSLVAAVSIPGNLFSLWVLCRRMGPRSPSVIFMINLSVTDLMLASVLPFQIYYHCNRHHWVFGVLLCNVVTVAFYANMYSSILTMTCISVERFLGVLYPLSSKRWRRRRYAVAACAGTWLLLLTALSPLARTDLTYPVHALGIITCFDVLKWTMLPSVAMWAVFLFTIFILLFLIPFVITVACYTATILKLLRTEEAHGREQRRRAVGLAAVVLLAFVTCFAPNNFVLLAHIVSRLFYGKSYYHVYKLTLCLSCLNNCLDPFVYYFASREFQLRLREYLGCRRVPRDTLDTRRESLFSARTTSVRSEAGAHPEGMEGATRPGLQRQESVF</v>
      </c>
      <c r="F23" s="5" t="str">
        <f t="shared" si="1"/>
        <v>PAIAVALPVVYSLVAAVSIPGNLFSLWVLCRR</v>
      </c>
      <c r="G23" s="4" t="str">
        <f t="shared" si="2"/>
        <v/>
      </c>
      <c r="H23" s="4" t="str">
        <f t="shared" si="3"/>
        <v>SPSVIFMINLSVTDLMLASVLPFQIYYHCN</v>
      </c>
      <c r="I23" s="4" t="str">
        <f t="shared" si="4"/>
        <v>HWVF</v>
      </c>
      <c r="J23" s="4" t="str">
        <f t="shared" si="5"/>
        <v>GVLLCNVVTVAFYANMYSSILTMTCISVERFLGVLY</v>
      </c>
      <c r="K23" s="4" t="str">
        <f t="shared" si="6"/>
        <v>PLSSKRWR</v>
      </c>
      <c r="L23" s="4" t="str">
        <f t="shared" si="7"/>
        <v>RRRYAVAACAGTWLLLLTALSPLART</v>
      </c>
      <c r="M23" s="4" t="str">
        <f t="shared" si="8"/>
        <v>CFD</v>
      </c>
      <c r="N23" s="4" t="str">
        <f t="shared" si="9"/>
        <v>VAMWAVFLFTIFILLFLIPFVITVACYTATILKLLR</v>
      </c>
      <c r="O23" s="4" t="str">
        <f t="shared" si="10"/>
        <v>GREQRRRAVGLAAVVLLAFVTCFAPNNFVLLAHIVS</v>
      </c>
      <c r="P23" s="4" t="str">
        <f t="shared" si="11"/>
        <v>GKSYYHVYKLTLCLSCLNNCLDPFVYYFA</v>
      </c>
      <c r="Q23" s="4" t="str">
        <f t="shared" si="12"/>
        <v>SREFQLRLREYLGCR</v>
      </c>
      <c r="R23" s="5">
        <f>VLOOKUP($A23,'SegEnds_NonXtal_Prot#'!$A:$AL,3,FALSE)</f>
        <v>20</v>
      </c>
      <c r="S23" s="5" t="str">
        <f>VLOOKUP($A23,'SegEnds_NonXtal_Prot#'!$A:$AL,6,FALSE)</f>
        <v>-</v>
      </c>
      <c r="T23" s="5">
        <f>VLOOKUP($A23,'SegEnds_NonXtal_Prot#'!$A:$AL,9,FALSE)</f>
        <v>56</v>
      </c>
      <c r="U23" s="5">
        <f>VLOOKUP($A23,'SegEnds_NonXtal_Prot#'!$A:$AL,12,FALSE)</f>
        <v>88</v>
      </c>
      <c r="V23" s="5">
        <f>VLOOKUP($A23,'SegEnds_NonXtal_Prot#'!$A:$AL,15,FALSE)</f>
        <v>92</v>
      </c>
      <c r="W23" s="5">
        <f>VLOOKUP($A23,'SegEnds_NonXtal_Prot#'!$A:$AL,18,FALSE)</f>
        <v>128</v>
      </c>
      <c r="X23" s="5">
        <f>VLOOKUP($A23,'SegEnds_NonXtal_Prot#'!$A:$AL,21,FALSE)</f>
        <v>136</v>
      </c>
      <c r="Y23" s="5">
        <f>VLOOKUP($A23,'SegEnds_NonXtal_Prot#'!$A:$AL,24,FALSE)</f>
        <v>175</v>
      </c>
      <c r="Z23" s="5">
        <f>VLOOKUP($A23,'SegEnds_NonXtal_Prot#'!$A:$AL,27,FALSE)</f>
        <v>187</v>
      </c>
      <c r="AA23" s="5">
        <f>VLOOKUP($A23,'SegEnds_NonXtal_Prot#'!$A:$AL,30,FALSE)</f>
        <v>228</v>
      </c>
      <c r="AB23" s="5">
        <f>VLOOKUP($A23,'SegEnds_NonXtal_Prot#'!$A:$AL,33,FALSE)</f>
        <v>268</v>
      </c>
      <c r="AC23" s="5">
        <f>VLOOKUP($A23,'SegEnds_NonXtal_Prot#'!$A:$AL,36,FALSE)</f>
        <v>297</v>
      </c>
      <c r="AD23" s="5">
        <f>VLOOKUP($A23,'SegEnds_NonXtal_Prot#'!$A:$AL,5,FALSE)</f>
        <v>51</v>
      </c>
      <c r="AE23" s="5" t="str">
        <f>VLOOKUP($A23,'SegEnds_NonXtal_Prot#'!$A:$AL,8,FALSE)</f>
        <v>-</v>
      </c>
      <c r="AF23" s="5">
        <f>VLOOKUP($A23,'SegEnds_NonXtal_Prot#'!$A:$AL,11,FALSE)</f>
        <v>85</v>
      </c>
      <c r="AG23" s="5">
        <f>VLOOKUP($A23,'SegEnds_NonXtal_Prot#'!$A:$AL,14,FALSE)</f>
        <v>91</v>
      </c>
      <c r="AH23" s="5">
        <f>VLOOKUP($A23,'SegEnds_NonXtal_Prot#'!$A:$AL,17,FALSE)</f>
        <v>127</v>
      </c>
      <c r="AI23" s="5">
        <f>VLOOKUP($A23,'SegEnds_NonXtal_Prot#'!$A:$AL,20,FALSE)</f>
        <v>135</v>
      </c>
      <c r="AJ23" s="5">
        <f>VLOOKUP($A23,'SegEnds_NonXtal_Prot#'!$A:$AL,23,FALSE)</f>
        <v>161</v>
      </c>
      <c r="AK23" s="5">
        <f>VLOOKUP($A23,'SegEnds_NonXtal_Prot#'!$A:$AL,26,FALSE)</f>
        <v>177</v>
      </c>
      <c r="AL23" s="5">
        <f>VLOOKUP($A23,'SegEnds_NonXtal_Prot#'!$A:$AL,29,FALSE)</f>
        <v>222</v>
      </c>
      <c r="AM23" s="5">
        <f>VLOOKUP($A23,'SegEnds_NonXtal_Prot#'!$A:$AL,32,FALSE)</f>
        <v>263</v>
      </c>
      <c r="AN23" s="5">
        <f>VLOOKUP($A23,'SegEnds_NonXtal_Prot#'!$A:$AL,35,FALSE)</f>
        <v>296</v>
      </c>
      <c r="AO23" s="5">
        <f>VLOOKUP($A23,'SegEnds_NonXtal_Prot#'!$A:$AL,38,FALSE)</f>
        <v>311</v>
      </c>
      <c r="AP23" s="5">
        <f t="shared" si="13"/>
        <v>31</v>
      </c>
      <c r="AQ23" s="4" t="str">
        <f t="shared" si="14"/>
        <v>-</v>
      </c>
      <c r="AR23" s="4">
        <f t="shared" si="15"/>
        <v>29</v>
      </c>
      <c r="AS23" s="4">
        <f t="shared" si="16"/>
        <v>3</v>
      </c>
      <c r="AT23" s="4">
        <f t="shared" si="17"/>
        <v>35</v>
      </c>
      <c r="AU23" s="4">
        <f t="shared" si="18"/>
        <v>7</v>
      </c>
      <c r="AV23" s="4">
        <f t="shared" si="19"/>
        <v>25</v>
      </c>
      <c r="AW23" s="4">
        <f t="shared" si="20"/>
        <v>2</v>
      </c>
      <c r="AX23" s="4">
        <f t="shared" si="21"/>
        <v>35</v>
      </c>
      <c r="AY23" s="4">
        <f t="shared" si="22"/>
        <v>35</v>
      </c>
      <c r="AZ23" s="4">
        <f t="shared" si="23"/>
        <v>28</v>
      </c>
      <c r="BA23" s="4">
        <f t="shared" si="24"/>
        <v>14</v>
      </c>
    </row>
    <row r="24" spans="1:53" x14ac:dyDescent="0.2">
      <c r="A24" s="1" t="str">
        <f>'SegEnds_NonXtal_Prot#'!A226</f>
        <v>pe2r4_human</v>
      </c>
      <c r="B24" s="1" t="str">
        <f t="shared" si="0"/>
        <v>SPDRLNSPVTIPAVMFIFGVVGNLVAIVVLCKSTTFYTLVCGLAVTDLLGTLLVSPVTIATYMGQPLCEYSTFILLFFSLSGLSIICAMSVERYLAINHDKRLAGLTLFAVYASNVLFCALPNMVTAHAAYSYMYAGFSSFLILATVLCNVLVCGALLRMHRQFMRRTSLRRIAGAEIQMVILLIATSLVVLICSIPLVVRVFVNQLYREVSKNPDLQAIRIASVNPILDPWIYILLRKTVLSKAIEKIKCL</v>
      </c>
      <c r="C24" s="29" t="str">
        <f>IF(ISERROR(MATCH(A24,'SegEnds_Xtal_Prot#'!B:B, 0)), "NoXtal", "Xtal")</f>
        <v>NoXtal</v>
      </c>
      <c r="D24" s="4" t="str">
        <f>VLOOKUP(A24,Classification!A:D,2,FALSE)</f>
        <v>A</v>
      </c>
      <c r="E24" s="5" t="str">
        <f>VLOOKUP(A24,Seqs!A:B,2,FALSE)</f>
        <v>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</v>
      </c>
      <c r="F24" s="5" t="str">
        <f t="shared" si="1"/>
        <v>SPDRLNSPVTIPAVMFIFGVVGNLVAIVVLCKS</v>
      </c>
      <c r="G24" s="4" t="str">
        <f t="shared" si="2"/>
        <v/>
      </c>
      <c r="H24" s="4" t="str">
        <f t="shared" si="3"/>
        <v>TTFYTLVCGLAVTDLLGTLLVSPVTIATYM</v>
      </c>
      <c r="I24" s="4" t="str">
        <f t="shared" si="4"/>
        <v/>
      </c>
      <c r="J24" s="4" t="str">
        <f t="shared" si="5"/>
        <v>GQPLCEYSTFILLFFSLSGLSIICAMSVERYLAINH</v>
      </c>
      <c r="K24" s="4" t="str">
        <f t="shared" si="6"/>
        <v>AYFYSHYV</v>
      </c>
      <c r="L24" s="4" t="str">
        <f t="shared" si="7"/>
        <v>DKRLAGLTLFAVYASNVLFCALPNM</v>
      </c>
      <c r="M24" s="4" t="str">
        <f t="shared" si="8"/>
        <v>CFI</v>
      </c>
      <c r="N24" s="4" t="str">
        <f t="shared" si="9"/>
        <v>VTAHAAYSYMYAGFSSFLILATVLCNVLVCGALLRMHRQFMRRTSL</v>
      </c>
      <c r="O24" s="4" t="str">
        <f t="shared" si="10"/>
        <v>RRIAGAEIQMVILLIATSLVVLICSIPLVVRVFVNQLY</v>
      </c>
      <c r="P24" s="4" t="str">
        <f t="shared" si="11"/>
        <v>REVSKNPDLQAIRIASVNPILDPWIYILL</v>
      </c>
      <c r="Q24" s="4" t="str">
        <f t="shared" si="12"/>
        <v>RKTVLSKAIEKIKCL</v>
      </c>
      <c r="R24" s="5">
        <f>VLOOKUP($A24,'SegEnds_NonXtal_Prot#'!$A:$AL,3,FALSE)</f>
        <v>13</v>
      </c>
      <c r="S24" s="5" t="str">
        <f>VLOOKUP($A24,'SegEnds_NonXtal_Prot#'!$A:$AL,6,FALSE)</f>
        <v>-</v>
      </c>
      <c r="T24" s="5">
        <f>VLOOKUP($A24,'SegEnds_NonXtal_Prot#'!$A:$AL,9,FALSE)</f>
        <v>52</v>
      </c>
      <c r="U24" s="5" t="str">
        <f>VLOOKUP($A24,'SegEnds_NonXtal_Prot#'!$A:$AL,12,FALSE)</f>
        <v>-</v>
      </c>
      <c r="V24" s="5">
        <f>VLOOKUP($A24,'SegEnds_NonXtal_Prot#'!$A:$AL,15,FALSE)</f>
        <v>88</v>
      </c>
      <c r="W24" s="5">
        <f>VLOOKUP($A24,'SegEnds_NonXtal_Prot#'!$A:$AL,18,FALSE)</f>
        <v>124</v>
      </c>
      <c r="X24" s="5">
        <f>VLOOKUP($A24,'SegEnds_NonXtal_Prot#'!$A:$AL,21,FALSE)</f>
        <v>132</v>
      </c>
      <c r="Y24" s="5">
        <f>VLOOKUP($A24,'SegEnds_NonXtal_Prot#'!$A:$AL,24,FALSE)</f>
        <v>170</v>
      </c>
      <c r="Z24" s="5">
        <f>VLOOKUP($A24,'SegEnds_NonXtal_Prot#'!$A:$AL,27,FALSE)</f>
        <v>178</v>
      </c>
      <c r="AA24" s="5">
        <f>VLOOKUP($A24,'SegEnds_NonXtal_Prot#'!$A:$AL,30,FALSE)</f>
        <v>261</v>
      </c>
      <c r="AB24" s="5">
        <f>VLOOKUP($A24,'SegEnds_NonXtal_Prot#'!$A:$AL,33,FALSE)</f>
        <v>304</v>
      </c>
      <c r="AC24" s="5">
        <f>VLOOKUP($A24,'SegEnds_NonXtal_Prot#'!$A:$AL,36,FALSE)</f>
        <v>333</v>
      </c>
      <c r="AD24" s="5">
        <f>VLOOKUP($A24,'SegEnds_NonXtal_Prot#'!$A:$AL,5,FALSE)</f>
        <v>45</v>
      </c>
      <c r="AE24" s="5" t="str">
        <f>VLOOKUP($A24,'SegEnds_NonXtal_Prot#'!$A:$AL,8,FALSE)</f>
        <v>-</v>
      </c>
      <c r="AF24" s="5">
        <f>VLOOKUP($A24,'SegEnds_NonXtal_Prot#'!$A:$AL,11,FALSE)</f>
        <v>81</v>
      </c>
      <c r="AG24" s="5" t="str">
        <f>VLOOKUP($A24,'SegEnds_NonXtal_Prot#'!$A:$AL,14,FALSE)</f>
        <v>-</v>
      </c>
      <c r="AH24" s="5">
        <f>VLOOKUP($A24,'SegEnds_NonXtal_Prot#'!$A:$AL,17,FALSE)</f>
        <v>123</v>
      </c>
      <c r="AI24" s="5">
        <f>VLOOKUP($A24,'SegEnds_NonXtal_Prot#'!$A:$AL,20,FALSE)</f>
        <v>131</v>
      </c>
      <c r="AJ24" s="5">
        <f>VLOOKUP($A24,'SegEnds_NonXtal_Prot#'!$A:$AL,23,FALSE)</f>
        <v>156</v>
      </c>
      <c r="AK24" s="5">
        <f>VLOOKUP($A24,'SegEnds_NonXtal_Prot#'!$A:$AL,26,FALSE)</f>
        <v>172</v>
      </c>
      <c r="AL24" s="5">
        <f>VLOOKUP($A24,'SegEnds_NonXtal_Prot#'!$A:$AL,29,FALSE)</f>
        <v>223</v>
      </c>
      <c r="AM24" s="5">
        <f>VLOOKUP($A24,'SegEnds_NonXtal_Prot#'!$A:$AL,32,FALSE)</f>
        <v>298</v>
      </c>
      <c r="AN24" s="5">
        <f>VLOOKUP($A24,'SegEnds_NonXtal_Prot#'!$A:$AL,35,FALSE)</f>
        <v>332</v>
      </c>
      <c r="AO24" s="5">
        <f>VLOOKUP($A24,'SegEnds_NonXtal_Prot#'!$A:$AL,38,FALSE)</f>
        <v>347</v>
      </c>
      <c r="AP24" s="5">
        <f t="shared" si="13"/>
        <v>32</v>
      </c>
      <c r="AQ24" s="4" t="str">
        <f t="shared" si="14"/>
        <v>-</v>
      </c>
      <c r="AR24" s="4">
        <f t="shared" si="15"/>
        <v>29</v>
      </c>
      <c r="AS24" s="4" t="str">
        <f t="shared" si="16"/>
        <v>-</v>
      </c>
      <c r="AT24" s="4">
        <f t="shared" si="17"/>
        <v>35</v>
      </c>
      <c r="AU24" s="4">
        <f t="shared" si="18"/>
        <v>7</v>
      </c>
      <c r="AV24" s="4">
        <f t="shared" si="19"/>
        <v>24</v>
      </c>
      <c r="AW24" s="4">
        <f t="shared" si="20"/>
        <v>2</v>
      </c>
      <c r="AX24" s="4">
        <f t="shared" si="21"/>
        <v>45</v>
      </c>
      <c r="AY24" s="4">
        <f t="shared" si="22"/>
        <v>37</v>
      </c>
      <c r="AZ24" s="4">
        <f t="shared" si="23"/>
        <v>28</v>
      </c>
      <c r="BA24" s="4">
        <f t="shared" si="24"/>
        <v>14</v>
      </c>
    </row>
    <row r="25" spans="1:53" x14ac:dyDescent="0.2">
      <c r="A25" s="1" t="str">
        <f>'SegEnds_NonXtal_Prot#'!A245</f>
        <v>t2r20_human</v>
      </c>
      <c r="B25" s="1" t="str">
        <f t="shared" si="0"/>
        <v>HIVFSILVVVAFILGNFANGFIALINFIAWVISSADQIIAALAVSRVGLLWVILLHWYSTVLNLKVIIFISNAWAVTNHFSIWLATSLSIFYLLKIVNRKAKSVVLVIVLGSLFFLVCHLVMKHTRNAMHLSNLTVAMLANLIPFTLTLISFLLLIYSLCKHLKKMPSTKIHIKALQTVTSFLILLAIYFLCLIISFWNKEIVLMLCQAFGIIYPSFHSFILIWGNKTLKQTFLSVLWQ</v>
      </c>
      <c r="C25" s="29" t="str">
        <f>IF(ISERROR(MATCH(A25,'SegEnds_Xtal_Prot#'!B:B, 0)), "NoXtal", "Xtal")</f>
        <v>NoXtal</v>
      </c>
      <c r="D25" s="4" t="str">
        <f>VLOOKUP(A25,Classification!A:D,2,FALSE)</f>
        <v>T</v>
      </c>
      <c r="E25" s="5" t="str">
        <f>VLOOKUP(A25,Seqs!A:B,2,FALSE)</f>
        <v>MMSFLHIVFSILVVVAFILGNFANGFIALINFIAWVKRQKISSADQIIAALAVSRVGLLWVILLHWYSTVLNPTSSNLKVIIFISNAWAVTNHFSIWLATSLSIFYLLKIVNFSRLIFHHLKRKAKSVVLVIVLGSLFFLVCHLVMKHTYINVWTEECEGNVTWKIKLRNAMHLSNLTVAMLANLIPFTLTLISFLLLIYSLCKHLKKMQLHGKGSQDPSTKIHIKALQTVTSFLILLAIYFLCLIISFWNFKMRPKEIVLMLCQAFGIIYPSFHSFILIWGNKTLKQTFLSVLWQVTCWAKGQNQSTP</v>
      </c>
      <c r="F25" s="5" t="str">
        <f t="shared" si="1"/>
        <v>HIVFSILVVVAFILGNFANGFIALINFIAWV</v>
      </c>
      <c r="G25" s="4" t="str">
        <f t="shared" si="2"/>
        <v>KRQK</v>
      </c>
      <c r="H25" s="4" t="str">
        <f t="shared" si="3"/>
        <v>ISSADQIIAALAVSRVGLLWVILLHWYSTVL</v>
      </c>
      <c r="I25" s="4" t="str">
        <f t="shared" si="4"/>
        <v/>
      </c>
      <c r="J25" s="4" t="str">
        <f t="shared" si="5"/>
        <v>NLKVIIFISNAWAVTNHFSIWLATSLSIFYLLKIVN</v>
      </c>
      <c r="K25" s="4" t="str">
        <f t="shared" si="6"/>
        <v>RLIFHHLK</v>
      </c>
      <c r="L25" s="4" t="str">
        <f t="shared" si="7"/>
        <v>RKAKSVVLVIVLGSLFFLVCHLVMKHT</v>
      </c>
      <c r="M25" s="4" t="str">
        <f t="shared" si="8"/>
        <v/>
      </c>
      <c r="N25" s="4" t="str">
        <f t="shared" si="9"/>
        <v>RNAMHLSNLTVAMLANLIPFTLTLISFLLLIYSLCKHLKKM</v>
      </c>
      <c r="O25" s="4" t="str">
        <f t="shared" si="10"/>
        <v>PSTKIHIKALQTVTSFLILLAIYFLCLIISFWN</v>
      </c>
      <c r="P25" s="4" t="str">
        <f t="shared" si="11"/>
        <v>KEIVLMLCQAFGIIYPSFHSFILIWG</v>
      </c>
      <c r="Q25" s="4" t="str">
        <f t="shared" si="12"/>
        <v>NKTLKQTFLSVLWQ</v>
      </c>
      <c r="R25" s="5">
        <f>VLOOKUP($A25,'SegEnds_NonXtal_Prot#'!$A:$AL,3,FALSE)</f>
        <v>6</v>
      </c>
      <c r="S25" s="5">
        <f>VLOOKUP($A25,'SegEnds_NonXtal_Prot#'!$A:$AL,6,FALSE)</f>
        <v>37</v>
      </c>
      <c r="T25" s="5">
        <f>VLOOKUP($A25,'SegEnds_NonXtal_Prot#'!$A:$AL,9,FALSE)</f>
        <v>41</v>
      </c>
      <c r="U25" s="5" t="str">
        <f>VLOOKUP($A25,'SegEnds_NonXtal_Prot#'!$A:$AL,12,FALSE)</f>
        <v>-</v>
      </c>
      <c r="V25" s="5">
        <f>VLOOKUP($A25,'SegEnds_NonXtal_Prot#'!$A:$AL,15,FALSE)</f>
        <v>77</v>
      </c>
      <c r="W25" s="5">
        <f>VLOOKUP($A25,'SegEnds_NonXtal_Prot#'!$A:$AL,18,FALSE)</f>
        <v>115</v>
      </c>
      <c r="X25" s="5">
        <f>VLOOKUP($A25,'SegEnds_NonXtal_Prot#'!$A:$AL,21,FALSE)</f>
        <v>123</v>
      </c>
      <c r="Y25" s="5" t="str">
        <f>VLOOKUP($A25,'SegEnds_NonXtal_Prot#'!$A:$AL,24,FALSE)</f>
        <v>-</v>
      </c>
      <c r="Z25" s="5">
        <f>VLOOKUP($A25,'SegEnds_NonXtal_Prot#'!$A:$AL,27,FALSE)</f>
        <v>169</v>
      </c>
      <c r="AA25" s="5">
        <f>VLOOKUP($A25,'SegEnds_NonXtal_Prot#'!$A:$AL,30,FALSE)</f>
        <v>219</v>
      </c>
      <c r="AB25" s="5">
        <f>VLOOKUP($A25,'SegEnds_NonXtal_Prot#'!$A:$AL,33,FALSE)</f>
        <v>257</v>
      </c>
      <c r="AC25" s="5">
        <f>VLOOKUP($A25,'SegEnds_NonXtal_Prot#'!$A:$AL,36,FALSE)</f>
        <v>283</v>
      </c>
      <c r="AD25" s="5">
        <f>VLOOKUP($A25,'SegEnds_NonXtal_Prot#'!$A:$AL,5,FALSE)</f>
        <v>36</v>
      </c>
      <c r="AE25" s="5">
        <f>VLOOKUP($A25,'SegEnds_NonXtal_Prot#'!$A:$AL,8,FALSE)</f>
        <v>40</v>
      </c>
      <c r="AF25" s="5">
        <f>VLOOKUP($A25,'SegEnds_NonXtal_Prot#'!$A:$AL,11,FALSE)</f>
        <v>71</v>
      </c>
      <c r="AG25" s="5" t="str">
        <f>VLOOKUP($A25,'SegEnds_NonXtal_Prot#'!$A:$AL,14,FALSE)</f>
        <v>-</v>
      </c>
      <c r="AH25" s="5">
        <f>VLOOKUP($A25,'SegEnds_NonXtal_Prot#'!$A:$AL,17,FALSE)</f>
        <v>112</v>
      </c>
      <c r="AI25" s="5">
        <f>VLOOKUP($A25,'SegEnds_NonXtal_Prot#'!$A:$AL,20,FALSE)</f>
        <v>122</v>
      </c>
      <c r="AJ25" s="5">
        <f>VLOOKUP($A25,'SegEnds_NonXtal_Prot#'!$A:$AL,23,FALSE)</f>
        <v>149</v>
      </c>
      <c r="AK25" s="5" t="str">
        <f>VLOOKUP($A25,'SegEnds_NonXtal_Prot#'!$A:$AL,26,FALSE)</f>
        <v>-</v>
      </c>
      <c r="AL25" s="5">
        <f>VLOOKUP($A25,'SegEnds_NonXtal_Prot#'!$A:$AL,29,FALSE)</f>
        <v>209</v>
      </c>
      <c r="AM25" s="5">
        <f>VLOOKUP($A25,'SegEnds_NonXtal_Prot#'!$A:$AL,32,FALSE)</f>
        <v>251</v>
      </c>
      <c r="AN25" s="5">
        <f>VLOOKUP($A25,'SegEnds_NonXtal_Prot#'!$A:$AL,35,FALSE)</f>
        <v>282</v>
      </c>
      <c r="AO25" s="5">
        <f>VLOOKUP($A25,'SegEnds_NonXtal_Prot#'!$A:$AL,38,FALSE)</f>
        <v>296</v>
      </c>
      <c r="AP25" s="5">
        <f t="shared" si="13"/>
        <v>30</v>
      </c>
      <c r="AQ25" s="4">
        <f t="shared" si="14"/>
        <v>3</v>
      </c>
      <c r="AR25" s="4">
        <f t="shared" si="15"/>
        <v>30</v>
      </c>
      <c r="AS25" s="4" t="str">
        <f t="shared" si="16"/>
        <v>-</v>
      </c>
      <c r="AT25" s="4">
        <f t="shared" si="17"/>
        <v>35</v>
      </c>
      <c r="AU25" s="4">
        <f t="shared" si="18"/>
        <v>7</v>
      </c>
      <c r="AV25" s="4">
        <f t="shared" si="19"/>
        <v>26</v>
      </c>
      <c r="AW25" s="4" t="str">
        <f t="shared" si="20"/>
        <v>-</v>
      </c>
      <c r="AX25" s="4">
        <f t="shared" si="21"/>
        <v>40</v>
      </c>
      <c r="AY25" s="4">
        <f t="shared" si="22"/>
        <v>32</v>
      </c>
      <c r="AZ25" s="4">
        <f t="shared" si="23"/>
        <v>25</v>
      </c>
      <c r="BA25" s="4">
        <f t="shared" si="24"/>
        <v>13</v>
      </c>
    </row>
    <row r="26" spans="1:53" x14ac:dyDescent="0.2">
      <c r="A26" s="1" t="str">
        <f>'SegEnds_NonXtal_Prot#'!A251</f>
        <v>t2r41_human</v>
      </c>
      <c r="B26" s="1" t="str">
        <f t="shared" si="0"/>
        <v>TAFFVLLFSLLSLLGIAANGFIVLVLGREWLLLPLDMILISLGASRFCLQLVGTVHNFYYSAQGGLGRQFFHLHWHFLNSATFWFCSWLSVLFCVKIANWRFPGWVPWLLLGSVLISFIITLLFTRIETYYFPSLKLVIWSIPFSVFLVSIMLLINSLRRHTQRMPSTQAHTRALKSLISFLILYALSFLSLIIDAAKQNDFYWPWQIAVYLCISVHPFILIFSNLKLRSVFSQLLLL</v>
      </c>
      <c r="C26" s="29" t="str">
        <f>IF(ISERROR(MATCH(A26,'SegEnds_Xtal_Prot#'!B:B, 0)), "NoXtal", "Xtal")</f>
        <v>NoXtal</v>
      </c>
      <c r="D26" s="4" t="str">
        <f>VLOOKUP(A26,Classification!A:D,2,FALSE)</f>
        <v>T</v>
      </c>
      <c r="E26" s="5" t="str">
        <f>VLOOKUP(A26,Seqs!A:B,2,FALSE)</f>
        <v>MQAALTAFFVLLFSLLSLLGIAANGFIVLVLGREWLRYGRLLPLDMILISLGASRFCLQLVGTVHNFYYSAQKVEYSGGLGRQFFHLHWHFLNSATFWFCSWLSVLFCVKIANITHSTFLWLKWRFPGWVPWLLLGSVLISFIITLLFFWVNYPVYQEFLIRKFSGNMTYKWNTRIETYYFPSLKLVIWSIPFSVFLVSIMLLINSLRRHTQRMQHNGHSLQDPSTQAHTRALKSLISFLILYALSFLSLIIDAAKFISMQNDFYWPWQIAVYLCISVHPFILIFSNLKLRSVFSQLLLLARGFWVA</v>
      </c>
      <c r="F26" s="5" t="str">
        <f t="shared" si="1"/>
        <v>TAFFVLLFSLLSLLGIAANGFIVLVLGREWL</v>
      </c>
      <c r="G26" s="4" t="str">
        <f t="shared" si="2"/>
        <v>RYGR</v>
      </c>
      <c r="H26" s="4" t="str">
        <f t="shared" si="3"/>
        <v>LLPLDMILISLGASRFCLQLVGTVHNFYYSAQ</v>
      </c>
      <c r="I26" s="4" t="str">
        <f t="shared" si="4"/>
        <v/>
      </c>
      <c r="J26" s="4" t="str">
        <f t="shared" si="5"/>
        <v>GGLGRQFFHLHWHFLNSATFWFCSWLSVLFCVKIAN</v>
      </c>
      <c r="K26" s="4" t="str">
        <f t="shared" si="6"/>
        <v>HSTFLWLK</v>
      </c>
      <c r="L26" s="4" t="str">
        <f t="shared" si="7"/>
        <v>WRFPGWVPWLLLGSVLISFIITLLF</v>
      </c>
      <c r="M26" s="4" t="str">
        <f t="shared" si="8"/>
        <v/>
      </c>
      <c r="N26" s="4" t="str">
        <f t="shared" si="9"/>
        <v>TRIETYYFPSLKLVIWSIPFSVFLVSIMLLINSLRRHTQRM</v>
      </c>
      <c r="O26" s="4" t="str">
        <f t="shared" si="10"/>
        <v>PSTQAHTRALKSLISFLILYALSFLSLIIDAAK</v>
      </c>
      <c r="P26" s="4" t="str">
        <f t="shared" si="11"/>
        <v>QNDFYWPWQIAVYLCISVHPFILIFS</v>
      </c>
      <c r="Q26" s="4" t="str">
        <f t="shared" si="12"/>
        <v>NLKLRSVFSQLLLL</v>
      </c>
      <c r="R26" s="5">
        <f>VLOOKUP($A26,'SegEnds_NonXtal_Prot#'!$A:$AL,3,FALSE)</f>
        <v>6</v>
      </c>
      <c r="S26" s="5">
        <f>VLOOKUP($A26,'SegEnds_NonXtal_Prot#'!$A:$AL,6,FALSE)</f>
        <v>37</v>
      </c>
      <c r="T26" s="5">
        <f>VLOOKUP($A26,'SegEnds_NonXtal_Prot#'!$A:$AL,9,FALSE)</f>
        <v>41</v>
      </c>
      <c r="U26" s="5" t="str">
        <f>VLOOKUP($A26,'SegEnds_NonXtal_Prot#'!$A:$AL,12,FALSE)</f>
        <v>-</v>
      </c>
      <c r="V26" s="5">
        <f>VLOOKUP($A26,'SegEnds_NonXtal_Prot#'!$A:$AL,15,FALSE)</f>
        <v>78</v>
      </c>
      <c r="W26" s="5">
        <f>VLOOKUP($A26,'SegEnds_NonXtal_Prot#'!$A:$AL,18,FALSE)</f>
        <v>116</v>
      </c>
      <c r="X26" s="5">
        <f>VLOOKUP($A26,'SegEnds_NonXtal_Prot#'!$A:$AL,21,FALSE)</f>
        <v>124</v>
      </c>
      <c r="Y26" s="5" t="str">
        <f>VLOOKUP($A26,'SegEnds_NonXtal_Prot#'!$A:$AL,24,FALSE)</f>
        <v>-</v>
      </c>
      <c r="Z26" s="5">
        <f>VLOOKUP($A26,'SegEnds_NonXtal_Prot#'!$A:$AL,27,FALSE)</f>
        <v>174</v>
      </c>
      <c r="AA26" s="5">
        <f>VLOOKUP($A26,'SegEnds_NonXtal_Prot#'!$A:$AL,30,FALSE)</f>
        <v>224</v>
      </c>
      <c r="AB26" s="5">
        <f>VLOOKUP($A26,'SegEnds_NonXtal_Prot#'!$A:$AL,33,FALSE)</f>
        <v>261</v>
      </c>
      <c r="AC26" s="5">
        <f>VLOOKUP($A26,'SegEnds_NonXtal_Prot#'!$A:$AL,36,FALSE)</f>
        <v>287</v>
      </c>
      <c r="AD26" s="5">
        <f>VLOOKUP($A26,'SegEnds_NonXtal_Prot#'!$A:$AL,5,FALSE)</f>
        <v>36</v>
      </c>
      <c r="AE26" s="5">
        <f>VLOOKUP($A26,'SegEnds_NonXtal_Prot#'!$A:$AL,8,FALSE)</f>
        <v>40</v>
      </c>
      <c r="AF26" s="5">
        <f>VLOOKUP($A26,'SegEnds_NonXtal_Prot#'!$A:$AL,11,FALSE)</f>
        <v>72</v>
      </c>
      <c r="AG26" s="5" t="str">
        <f>VLOOKUP($A26,'SegEnds_NonXtal_Prot#'!$A:$AL,14,FALSE)</f>
        <v>-</v>
      </c>
      <c r="AH26" s="5">
        <f>VLOOKUP($A26,'SegEnds_NonXtal_Prot#'!$A:$AL,17,FALSE)</f>
        <v>113</v>
      </c>
      <c r="AI26" s="5">
        <f>VLOOKUP($A26,'SegEnds_NonXtal_Prot#'!$A:$AL,20,FALSE)</f>
        <v>123</v>
      </c>
      <c r="AJ26" s="5">
        <f>VLOOKUP($A26,'SegEnds_NonXtal_Prot#'!$A:$AL,23,FALSE)</f>
        <v>148</v>
      </c>
      <c r="AK26" s="5" t="str">
        <f>VLOOKUP($A26,'SegEnds_NonXtal_Prot#'!$A:$AL,26,FALSE)</f>
        <v>-</v>
      </c>
      <c r="AL26" s="5">
        <f>VLOOKUP($A26,'SegEnds_NonXtal_Prot#'!$A:$AL,29,FALSE)</f>
        <v>214</v>
      </c>
      <c r="AM26" s="5">
        <f>VLOOKUP($A26,'SegEnds_NonXtal_Prot#'!$A:$AL,32,FALSE)</f>
        <v>256</v>
      </c>
      <c r="AN26" s="5">
        <f>VLOOKUP($A26,'SegEnds_NonXtal_Prot#'!$A:$AL,35,FALSE)</f>
        <v>286</v>
      </c>
      <c r="AO26" s="5">
        <f>VLOOKUP($A26,'SegEnds_NonXtal_Prot#'!$A:$AL,38,FALSE)</f>
        <v>300</v>
      </c>
      <c r="AP26" s="5">
        <f t="shared" si="13"/>
        <v>30</v>
      </c>
      <c r="AQ26" s="4">
        <f t="shared" si="14"/>
        <v>3</v>
      </c>
      <c r="AR26" s="4">
        <f t="shared" si="15"/>
        <v>31</v>
      </c>
      <c r="AS26" s="4" t="str">
        <f t="shared" si="16"/>
        <v>-</v>
      </c>
      <c r="AT26" s="4">
        <f t="shared" si="17"/>
        <v>35</v>
      </c>
      <c r="AU26" s="4">
        <f t="shared" si="18"/>
        <v>7</v>
      </c>
      <c r="AV26" s="4">
        <f t="shared" si="19"/>
        <v>24</v>
      </c>
      <c r="AW26" s="4" t="str">
        <f t="shared" si="20"/>
        <v>-</v>
      </c>
      <c r="AX26" s="4">
        <f t="shared" si="21"/>
        <v>40</v>
      </c>
      <c r="AY26" s="4">
        <f t="shared" si="22"/>
        <v>32</v>
      </c>
      <c r="AZ26" s="4">
        <f t="shared" si="23"/>
        <v>25</v>
      </c>
      <c r="BA26" s="4">
        <f t="shared" si="24"/>
        <v>13</v>
      </c>
    </row>
    <row r="27" spans="1:53" x14ac:dyDescent="0.2">
      <c r="A27" s="1" t="str">
        <f>'SegEnds_NonXtal_Prot#'!A262</f>
        <v>ta2r5_human</v>
      </c>
      <c r="B27" s="1" t="str">
        <f t="shared" si="0"/>
        <v>LGLLMLVAVVEFLIGLIGNGSLVVWSFREWIWSSYNLIILGLAGCRFLLQWLIILDLSLFPLWLRYLSIFWVLVSQASLWFATFLSVFYCKKITTQRAYNLSLWCLLGYFIINLLLTVQIFESWQYLYAFQLNSGSYLPLVVFLVSSGMLIVSLYTHHKKMVRAKAHITALKSLGCFLLLHLVYIMASPFSITSDLTSVFIWETLMAAYPSLHSLILIMGIPRVKQTCQKILWK</v>
      </c>
      <c r="C27" s="29" t="str">
        <f>IF(ISERROR(MATCH(A27,'SegEnds_Xtal_Prot#'!B:B, 0)), "NoXtal", "Xtal")</f>
        <v>NoXtal</v>
      </c>
      <c r="D27" s="4" t="str">
        <f>VLOOKUP(A27,Classification!A:D,2,FALSE)</f>
        <v>T</v>
      </c>
      <c r="E27" s="5" t="str">
        <f>VLOOKUP(A27,Seqs!A:B,2,FALSE)</f>
        <v>MLSAGLGLLMLVAVVEFLIGLIGNGSLVVWSFREWIRKFNWSSYNLIILGLAGCRFLLQWLIILDLSLFPLFQSSRWLRYLSIFWVLVSQASLWFATFLSVFYCKKITTFDRPAYLWLKQRAYNLSLWCLLGYFIINLLLTVQIGLTFYHPPQGNSSIRYPFESWQYLYAFQLNSGSYLPLVVFLVSSGMLIVSLYTHHKKMKVHSAGRRDVRAKAHITALKSLGCFLLLHLVYIMASPFSITSKTYPPDLTSVFIWETLMAAYPSLHSLILIMGIPRVKQTCQKILWKTVCARRCWGP</v>
      </c>
      <c r="F27" s="5" t="str">
        <f t="shared" si="1"/>
        <v>LGLLMLVAVVEFLIGLIGNGSLVVWSFREWI</v>
      </c>
      <c r="G27" s="4" t="str">
        <f t="shared" si="2"/>
        <v>RKFN</v>
      </c>
      <c r="H27" s="4" t="str">
        <f t="shared" si="3"/>
        <v>WSSYNLIILGLAGCRFLLQWLIILDLSLFPL</v>
      </c>
      <c r="I27" s="4" t="str">
        <f t="shared" si="4"/>
        <v/>
      </c>
      <c r="J27" s="4" t="str">
        <f t="shared" si="5"/>
        <v>WLRYLSIFWVLVSQASLWFATFLSVFYCKKITT</v>
      </c>
      <c r="K27" s="4" t="str">
        <f t="shared" si="6"/>
        <v>RPAYLWLK</v>
      </c>
      <c r="L27" s="4" t="str">
        <f t="shared" si="7"/>
        <v>QRAYNLSLWCLLGYFIINLLLTVQI</v>
      </c>
      <c r="M27" s="4" t="str">
        <f t="shared" si="8"/>
        <v/>
      </c>
      <c r="N27" s="4" t="str">
        <f t="shared" si="9"/>
        <v>FESWQYLYAFQLNSGSYLPLVVFLVSSGMLIVSLYTHHKKM</v>
      </c>
      <c r="O27" s="4" t="str">
        <f t="shared" si="10"/>
        <v>VRAKAHITALKSLGCFLLLHLVYIMASPFSITS</v>
      </c>
      <c r="P27" s="4" t="str">
        <f t="shared" si="11"/>
        <v>DLTSVFIWETLMAAYPSLHSLILIMG</v>
      </c>
      <c r="Q27" s="4" t="str">
        <f t="shared" si="12"/>
        <v>IPRVKQTCQKILWK</v>
      </c>
      <c r="R27" s="5">
        <f>VLOOKUP($A27,'SegEnds_NonXtal_Prot#'!$A:$AL,3,FALSE)</f>
        <v>6</v>
      </c>
      <c r="S27" s="5">
        <f>VLOOKUP($A27,'SegEnds_NonXtal_Prot#'!$A:$AL,6,FALSE)</f>
        <v>37</v>
      </c>
      <c r="T27" s="5">
        <f>VLOOKUP($A27,'SegEnds_NonXtal_Prot#'!$A:$AL,9,FALSE)</f>
        <v>41</v>
      </c>
      <c r="U27" s="5" t="str">
        <f>VLOOKUP($A27,'SegEnds_NonXtal_Prot#'!$A:$AL,12,FALSE)</f>
        <v>-</v>
      </c>
      <c r="V27" s="5">
        <f>VLOOKUP($A27,'SegEnds_NonXtal_Prot#'!$A:$AL,15,FALSE)</f>
        <v>77</v>
      </c>
      <c r="W27" s="5">
        <f>VLOOKUP($A27,'SegEnds_NonXtal_Prot#'!$A:$AL,18,FALSE)</f>
        <v>112</v>
      </c>
      <c r="X27" s="5">
        <f>VLOOKUP($A27,'SegEnds_NonXtal_Prot#'!$A:$AL,21,FALSE)</f>
        <v>120</v>
      </c>
      <c r="Y27" s="5" t="str">
        <f>VLOOKUP($A27,'SegEnds_NonXtal_Prot#'!$A:$AL,24,FALSE)</f>
        <v>-</v>
      </c>
      <c r="Z27" s="5">
        <f>VLOOKUP($A27,'SegEnds_NonXtal_Prot#'!$A:$AL,27,FALSE)</f>
        <v>162</v>
      </c>
      <c r="AA27" s="5">
        <f>VLOOKUP($A27,'SegEnds_NonXtal_Prot#'!$A:$AL,30,FALSE)</f>
        <v>212</v>
      </c>
      <c r="AB27" s="5">
        <f>VLOOKUP($A27,'SegEnds_NonXtal_Prot#'!$A:$AL,33,FALSE)</f>
        <v>250</v>
      </c>
      <c r="AC27" s="5">
        <f>VLOOKUP($A27,'SegEnds_NonXtal_Prot#'!$A:$AL,36,FALSE)</f>
        <v>276</v>
      </c>
      <c r="AD27" s="5">
        <f>VLOOKUP($A27,'SegEnds_NonXtal_Prot#'!$A:$AL,5,FALSE)</f>
        <v>36</v>
      </c>
      <c r="AE27" s="5">
        <f>VLOOKUP($A27,'SegEnds_NonXtal_Prot#'!$A:$AL,8,FALSE)</f>
        <v>40</v>
      </c>
      <c r="AF27" s="5">
        <f>VLOOKUP($A27,'SegEnds_NonXtal_Prot#'!$A:$AL,11,FALSE)</f>
        <v>71</v>
      </c>
      <c r="AG27" s="5" t="str">
        <f>VLOOKUP($A27,'SegEnds_NonXtal_Prot#'!$A:$AL,14,FALSE)</f>
        <v>-</v>
      </c>
      <c r="AH27" s="5">
        <f>VLOOKUP($A27,'SegEnds_NonXtal_Prot#'!$A:$AL,17,FALSE)</f>
        <v>109</v>
      </c>
      <c r="AI27" s="5">
        <f>VLOOKUP($A27,'SegEnds_NonXtal_Prot#'!$A:$AL,20,FALSE)</f>
        <v>119</v>
      </c>
      <c r="AJ27" s="5">
        <f>VLOOKUP($A27,'SegEnds_NonXtal_Prot#'!$A:$AL,23,FALSE)</f>
        <v>144</v>
      </c>
      <c r="AK27" s="5" t="str">
        <f>VLOOKUP($A27,'SegEnds_NonXtal_Prot#'!$A:$AL,26,FALSE)</f>
        <v>-</v>
      </c>
      <c r="AL27" s="5">
        <f>VLOOKUP($A27,'SegEnds_NonXtal_Prot#'!$A:$AL,29,FALSE)</f>
        <v>202</v>
      </c>
      <c r="AM27" s="5">
        <f>VLOOKUP($A27,'SegEnds_NonXtal_Prot#'!$A:$AL,32,FALSE)</f>
        <v>244</v>
      </c>
      <c r="AN27" s="5">
        <f>VLOOKUP($A27,'SegEnds_NonXtal_Prot#'!$A:$AL,35,FALSE)</f>
        <v>275</v>
      </c>
      <c r="AO27" s="5">
        <f>VLOOKUP($A27,'SegEnds_NonXtal_Prot#'!$A:$AL,38,FALSE)</f>
        <v>289</v>
      </c>
      <c r="AP27" s="5">
        <f t="shared" si="13"/>
        <v>30</v>
      </c>
      <c r="AQ27" s="4">
        <f t="shared" si="14"/>
        <v>3</v>
      </c>
      <c r="AR27" s="4">
        <f t="shared" si="15"/>
        <v>30</v>
      </c>
      <c r="AS27" s="4" t="str">
        <f t="shared" si="16"/>
        <v>-</v>
      </c>
      <c r="AT27" s="4">
        <f t="shared" si="17"/>
        <v>32</v>
      </c>
      <c r="AU27" s="4">
        <f t="shared" si="18"/>
        <v>7</v>
      </c>
      <c r="AV27" s="4">
        <f t="shared" si="19"/>
        <v>24</v>
      </c>
      <c r="AW27" s="4" t="str">
        <f t="shared" si="20"/>
        <v>-</v>
      </c>
      <c r="AX27" s="4">
        <f t="shared" si="21"/>
        <v>40</v>
      </c>
      <c r="AY27" s="4">
        <f t="shared" si="22"/>
        <v>32</v>
      </c>
      <c r="AZ27" s="4">
        <f t="shared" si="23"/>
        <v>25</v>
      </c>
      <c r="BA27" s="4">
        <f t="shared" si="24"/>
        <v>13</v>
      </c>
    </row>
    <row r="28" spans="1:53" x14ac:dyDescent="0.2">
      <c r="A28" s="1" t="str">
        <f>'SegEnds_NonXtal_Prot#'!A276</f>
        <v>xcr1_human</v>
      </c>
      <c r="B28" s="1" t="str">
        <f t="shared" si="0"/>
        <v>ENQAWVFATLATTVLYCLVFLLSLVGNSLVLWVLVKYSLTNIFILNLCLSDLVFACLLPVWISPYHWGDFLCKLLNMIFSISLYSSIFFLTIMTIHRYLSVVSTLRCRVLVTMAVWVASILSSILDTIFHWYLTSVYQHNLFFLLSLGIILFCYVEILRTLFRSRHRTVKLIFAIVVAYFLSWGPYNFTLFLQTLFRTQSCEAKQQLEYALLICRNLAFSHCCFNPVLYVFVGVKFRTHLKHVLR</v>
      </c>
      <c r="C28" s="29" t="str">
        <f>IF(ISERROR(MATCH(A28,'SegEnds_Xtal_Prot#'!B:B, 0)), "NoXtal", "Xtal")</f>
        <v>NoXtal</v>
      </c>
      <c r="D28" s="4" t="str">
        <f>VLOOKUP(A28,Classification!A:D,2,FALSE)</f>
        <v>A</v>
      </c>
      <c r="E28" s="5" t="str">
        <f>VLOOKUP(A28,Seqs!A:B,2,FALSE)</f>
        <v>MESSGNPESTTFFYYDLQSQPCENQAWVFATLATTVLYCLVFLLSLVGNSLVLWVLVKYESLESLTNIFILNLCLSDLVFACLLPVWISPYHWGWVLGDFLCKLLNMIFSISLYSSIFFLTIMTIHRYLSVVSPLSTLRVPTLRCRVLVTMAVWVASILSSILDTIFHKVLSSGCDYSELTWYLTSVYQHNLFFLLSLGIILFCYVEILRTLFRSRSKRRHRTVKLIFAIVVAYFLSWGPYNFTLFLQTLFRTQIIRSCEAKQQLEYALLICRNLAFSHCCFNPVLYVFVGVKFRTHLKHVLRQFWFCRLQAPSPASIPHSPGAFAYEGASFY</v>
      </c>
      <c r="F28" s="5" t="str">
        <f t="shared" si="1"/>
        <v>ENQAWVFATLATTVLYCLVFLLSLVGNSLVLWVLVKY</v>
      </c>
      <c r="G28" s="4" t="str">
        <f t="shared" si="2"/>
        <v>ESLE</v>
      </c>
      <c r="H28" s="4" t="str">
        <f t="shared" si="3"/>
        <v>SLTNIFILNLCLSDLVFACLLPVWISPYHW</v>
      </c>
      <c r="I28" s="4" t="str">
        <f t="shared" si="4"/>
        <v>GWVL</v>
      </c>
      <c r="J28" s="4" t="str">
        <f t="shared" si="5"/>
        <v>GDFLCKLLNMIFSISLYSSIFFLTIMTIHRYLSVVS</v>
      </c>
      <c r="K28" s="4" t="str">
        <f t="shared" si="6"/>
        <v>PLSTLRVP</v>
      </c>
      <c r="L28" s="4" t="str">
        <f t="shared" si="7"/>
        <v>TLRCRVLVTMAVWVASILSSILDTIFH</v>
      </c>
      <c r="M28" s="4" t="str">
        <f t="shared" si="8"/>
        <v>CDY</v>
      </c>
      <c r="N28" s="4" t="str">
        <f t="shared" si="9"/>
        <v>WYLTSVYQHNLFFLLSLGIILFCYVEILRTLFRS</v>
      </c>
      <c r="O28" s="4" t="str">
        <f t="shared" si="10"/>
        <v>RHRTVKLIFAIVVAYFLSWGPYNFTLFLQTLFRTQ</v>
      </c>
      <c r="P28" s="4" t="str">
        <f t="shared" si="11"/>
        <v>SCEAKQQLEYALLICRNLAFSHCCFNPVLYVFV</v>
      </c>
      <c r="Q28" s="4" t="str">
        <f t="shared" si="12"/>
        <v>GVKFRTHLKHVLR</v>
      </c>
      <c r="R28" s="5">
        <f>VLOOKUP($A28,'SegEnds_NonXtal_Prot#'!$A:$AL,3,FALSE)</f>
        <v>23</v>
      </c>
      <c r="S28" s="5">
        <f>VLOOKUP($A28,'SegEnds_NonXtal_Prot#'!$A:$AL,6,FALSE)</f>
        <v>60</v>
      </c>
      <c r="T28" s="5">
        <f>VLOOKUP($A28,'SegEnds_NonXtal_Prot#'!$A:$AL,9,FALSE)</f>
        <v>64</v>
      </c>
      <c r="U28" s="5">
        <f>VLOOKUP($A28,'SegEnds_NonXtal_Prot#'!$A:$AL,12,FALSE)</f>
        <v>94</v>
      </c>
      <c r="V28" s="5">
        <f>VLOOKUP($A28,'SegEnds_NonXtal_Prot#'!$A:$AL,15,FALSE)</f>
        <v>98</v>
      </c>
      <c r="W28" s="5">
        <f>VLOOKUP($A28,'SegEnds_NonXtal_Prot#'!$A:$AL,18,FALSE)</f>
        <v>134</v>
      </c>
      <c r="X28" s="5">
        <f>VLOOKUP($A28,'SegEnds_NonXtal_Prot#'!$A:$AL,21,FALSE)</f>
        <v>142</v>
      </c>
      <c r="Y28" s="5">
        <f>VLOOKUP($A28,'SegEnds_NonXtal_Prot#'!$A:$AL,24,FALSE)</f>
        <v>175</v>
      </c>
      <c r="Z28" s="5">
        <f>VLOOKUP($A28,'SegEnds_NonXtal_Prot#'!$A:$AL,27,FALSE)</f>
        <v>182</v>
      </c>
      <c r="AA28" s="5">
        <f>VLOOKUP($A28,'SegEnds_NonXtal_Prot#'!$A:$AL,30,FALSE)</f>
        <v>220</v>
      </c>
      <c r="AB28" s="5">
        <f>VLOOKUP($A28,'SegEnds_NonXtal_Prot#'!$A:$AL,33,FALSE)</f>
        <v>258</v>
      </c>
      <c r="AC28" s="5">
        <f>VLOOKUP($A28,'SegEnds_NonXtal_Prot#'!$A:$AL,36,FALSE)</f>
        <v>291</v>
      </c>
      <c r="AD28" s="5">
        <f>VLOOKUP($A28,'SegEnds_NonXtal_Prot#'!$A:$AL,5,FALSE)</f>
        <v>59</v>
      </c>
      <c r="AE28" s="5">
        <f>VLOOKUP($A28,'SegEnds_NonXtal_Prot#'!$A:$AL,8,FALSE)</f>
        <v>63</v>
      </c>
      <c r="AF28" s="5">
        <f>VLOOKUP($A28,'SegEnds_NonXtal_Prot#'!$A:$AL,11,FALSE)</f>
        <v>93</v>
      </c>
      <c r="AG28" s="5">
        <f>VLOOKUP($A28,'SegEnds_NonXtal_Prot#'!$A:$AL,14,FALSE)</f>
        <v>97</v>
      </c>
      <c r="AH28" s="5">
        <f>VLOOKUP($A28,'SegEnds_NonXtal_Prot#'!$A:$AL,17,FALSE)</f>
        <v>133</v>
      </c>
      <c r="AI28" s="5">
        <f>VLOOKUP($A28,'SegEnds_NonXtal_Prot#'!$A:$AL,20,FALSE)</f>
        <v>141</v>
      </c>
      <c r="AJ28" s="5">
        <f>VLOOKUP($A28,'SegEnds_NonXtal_Prot#'!$A:$AL,23,FALSE)</f>
        <v>168</v>
      </c>
      <c r="AK28" s="5">
        <f>VLOOKUP($A28,'SegEnds_NonXtal_Prot#'!$A:$AL,26,FALSE)</f>
        <v>177</v>
      </c>
      <c r="AL28" s="5">
        <f>VLOOKUP($A28,'SegEnds_NonXtal_Prot#'!$A:$AL,29,FALSE)</f>
        <v>215</v>
      </c>
      <c r="AM28" s="5">
        <f>VLOOKUP($A28,'SegEnds_NonXtal_Prot#'!$A:$AL,32,FALSE)</f>
        <v>254</v>
      </c>
      <c r="AN28" s="5">
        <f>VLOOKUP($A28,'SegEnds_NonXtal_Prot#'!$A:$AL,35,FALSE)</f>
        <v>290</v>
      </c>
      <c r="AO28" s="5">
        <f>VLOOKUP($A28,'SegEnds_NonXtal_Prot#'!$A:$AL,38,FALSE)</f>
        <v>303</v>
      </c>
      <c r="AP28" s="5">
        <f t="shared" si="13"/>
        <v>36</v>
      </c>
      <c r="AQ28" s="4">
        <f t="shared" si="14"/>
        <v>3</v>
      </c>
      <c r="AR28" s="4">
        <f t="shared" si="15"/>
        <v>29</v>
      </c>
      <c r="AS28" s="4">
        <f t="shared" si="16"/>
        <v>3</v>
      </c>
      <c r="AT28" s="4">
        <f t="shared" si="17"/>
        <v>35</v>
      </c>
      <c r="AU28" s="4">
        <f t="shared" si="18"/>
        <v>7</v>
      </c>
      <c r="AV28" s="4">
        <f t="shared" si="19"/>
        <v>26</v>
      </c>
      <c r="AW28" s="4">
        <f t="shared" si="20"/>
        <v>2</v>
      </c>
      <c r="AX28" s="4">
        <f t="shared" si="21"/>
        <v>33</v>
      </c>
      <c r="AY28" s="4">
        <f t="shared" si="22"/>
        <v>34</v>
      </c>
      <c r="AZ28" s="4">
        <f t="shared" si="23"/>
        <v>32</v>
      </c>
      <c r="BA28" s="4">
        <f t="shared" si="24"/>
        <v>12</v>
      </c>
    </row>
    <row r="29" spans="1:53" x14ac:dyDescent="0.2">
      <c r="A29" s="1" t="str">
        <f>'SegEnds_NonXtal_Prot#'!A293</f>
        <v>agrb2_human</v>
      </c>
      <c r="B29" s="1" t="str">
        <f t="shared" si="0"/>
        <v>PPKDLTLELAGSPSVPLVIGCAVSCMALLTLLAIYAAFSERSIILLNFCLSILASNILILVGQSRGVCTMTAAFLHFFFLSSFCWVLTEAWQSYLAVIGLVRKRFLCLGWGLPALVVAVSVGFTRTKGEGGLLYAFVGPAAVIVLVNMLIGIIVFNKLMARDNAMASLWSSCVVLPLLALTWMSAVLSVLFQALFAVFNSAQGFVITAVHCFLRREVQDVVKCQMGVCRA</v>
      </c>
      <c r="C29" s="29" t="str">
        <f>IF(ISERROR(MATCH(A29,'SegEnds_Xtal_Prot#'!B:B, 0)), "NoXtal", "Xtal")</f>
        <v>NoXtal</v>
      </c>
      <c r="D29" s="4" t="str">
        <f>VLOOKUP(A29,Classification!A:D,2,FALSE)</f>
        <v>B2</v>
      </c>
      <c r="E29" s="5" t="str">
        <f>VLOOKUP(A29,Seqs!A:B,2,FALSE)</f>
        <v>MENTGWMGKGHRMTPACPLLLSVILSLRLATAFDPAPSACSALASGVLYGAFSLQDLFPTIASGCSWTLENPDPTKYSLYLRFNRQEQVCAHFAPRLLPLDHYLVNFTCLRPSPEEAVAQAESEVGRPEEEEAEAAAGLELCSGSGPFTFLHFDKNFVQLCLSAEPSEAPRLLAPAALAFRFVEVLLINNNNSSQFTCGVLCRWSEECGRAAGRACGFAQPGCSCPGEAGAGSTTTTSPGPPAAHTLSNALVPGGPAPPAEADLHSGSSNDLFTTEMRYGEEPEEEPKVKTQWPRSADEPGLYMAQTGDPAAEEWSPWSVCSLTCGQGLQVRTRSCVSSPYGTLCSGPLRETRPCNNSATCPVHGVWEEWGSWSLCSRSCGRGSRSRMRTCVPPQHGGKACEGPELQTKLCSMAACPVEGQWLEWGPWGPCSTSCANGTQQRSRKCSVAGPAWATCTGALTDTRECSNLECPATDSKWGPWNAWSLCSKTCDTGWQRRFRMCQATGTQGYPCEGTGEEVKPCSEKRCPAFHEMCRDEYVMLMTWKKAAAGEIIYNKCPPNASGSASRRCLLSAQGVAYWGLPSFARCISHEYRYLYLSLREHLAKGQRMLAGEGMSQVVRSLQELLARRTYYSGDLLFSVDILRNVTDTFKRATYVPSADDVQRFFQVVSFMVDAENKEKWDDAQQVSPGSVHLLRVVEDFIHLVGDALKAFQSSLIVTDNLVISIQREPVSAVSSDITFPMRGRRGMKDWVRHSEDRLFLPKEVLSLSSPGKPATSGAAGSPGRGRGPGTVPPGPGHSHQRLLPADPDESSYFVIGAVLYRTLGLILPPPRPPLAVTSRVMTVTVRPPTQPPAEPLITVELSYIINGTTDPHCASWDYSRADASSGDWDTENCQTLETQAAHTRCQCQHLSTFAVLAQPPKDLTLELAGSPSVPLVIGCAVSCMALLTLLAIYAAFWRFIKSERSIILLNFCLSILASNILILVGQSRVLSKGVCTMTAAFLHFFFLSSFCWVLTEAWQSYLAVIGRMRTRLVRKRFLCLGWGLPALVVAVSVGFTRTKGYGTSSYCWLSLEGGLLYAFVGPAAVIVLVNMLIGIIVFNKLMARDGISDKSKKQRAGSERCPWASLLLPCSACGAVPSPLLSSASARNAMASLWSSCVVLPLLALTWMSAVLAMTDRRSVLFQALFAVFNSAQGFVITAVHCFLRREVQDVVKCQMGVCRADESEDSPDSCKNGQLQILSDFEKDVDLACQTVLFKEVNTCNPSTITGTLSRLSLDEDEEPKSCLVGPEGSLSFSPLPGNILVPMAASPGLGEPPPPQEANPVYMCGEGGLRQLDLTWLRPTEPGSEGDYMVLPRRTLSLQPGGGGGGGEDAPRARPEGTPRRAAKTVAHTEGYPSFLSVDHSGLGLGPAYGSLQNPYGMTFQPPPPTPSARQVPEPGERSRTMPRTVPGSTMKMGSLERKKLRYSDLDFEKVMHTRKRHSELYHELNQKFHTFDRYRSQSTAKREKRWSVSSGGAAERSVCTDKPSPGERPSLSQHRRHQSWSTFKSMTLGSLPPKPRERLTLHRAAAWEPTEPPDGDFQTEV</v>
      </c>
      <c r="F29" s="5" t="str">
        <f t="shared" si="1"/>
        <v>PPKDLTLELAGSPSVPLVIGCAVSCMALLTLLAIYAAF</v>
      </c>
      <c r="G29" s="4" t="str">
        <f t="shared" si="2"/>
        <v/>
      </c>
      <c r="H29" s="4" t="str">
        <f t="shared" si="3"/>
        <v>SERSIILLNFCLSILASNILILVGQSR</v>
      </c>
      <c r="I29" s="4" t="str">
        <f t="shared" si="4"/>
        <v/>
      </c>
      <c r="J29" s="4" t="str">
        <f t="shared" si="5"/>
        <v>GVCTMTAAFLHFFFLSSFCWVLTEAWQSYLAVIG</v>
      </c>
      <c r="K29" s="4" t="str">
        <f t="shared" si="6"/>
        <v/>
      </c>
      <c r="L29" s="4" t="str">
        <f t="shared" si="7"/>
        <v>LVRKRFLCLGWGLPALVVAVSVGFTRTKG</v>
      </c>
      <c r="M29" s="4" t="str">
        <f t="shared" si="8"/>
        <v>CWL</v>
      </c>
      <c r="N29" s="4" t="str">
        <f t="shared" si="9"/>
        <v>EGGLLYAFVGPAAVIVLVNMLIGIIVFNKLMARD</v>
      </c>
      <c r="O29" s="4" t="str">
        <f t="shared" si="10"/>
        <v>NAMASLWSSCVVLPLLALTWMSAVL</v>
      </c>
      <c r="P29" s="4" t="str">
        <f t="shared" si="11"/>
        <v>SVLFQALFAVFNSAQGFVITAVHCFL</v>
      </c>
      <c r="Q29" s="4" t="str">
        <f t="shared" si="12"/>
        <v>RREVQDVVKCQMGVCRA</v>
      </c>
      <c r="R29" s="5">
        <f>VLOOKUP($A29,'SegEnds_NonXtal_Prot#'!$A:$AL,3,FALSE)</f>
        <v>920</v>
      </c>
      <c r="S29" s="5" t="str">
        <f>VLOOKUP($A29,'SegEnds_NonXtal_Prot#'!$A:$AL,6,FALSE)</f>
        <v>-</v>
      </c>
      <c r="T29" s="5">
        <f>VLOOKUP($A29,'SegEnds_NonXtal_Prot#'!$A:$AL,9,FALSE)</f>
        <v>963</v>
      </c>
      <c r="U29" s="5" t="str">
        <f>VLOOKUP($A29,'SegEnds_NonXtal_Prot#'!$A:$AL,12,FALSE)</f>
        <v>-</v>
      </c>
      <c r="V29" s="5">
        <f>VLOOKUP($A29,'SegEnds_NonXtal_Prot#'!$A:$AL,15,FALSE)</f>
        <v>994</v>
      </c>
      <c r="W29" s="5" t="str">
        <f>VLOOKUP($A29,'SegEnds_NonXtal_Prot#'!$A:$AL,18,FALSE)</f>
        <v>-</v>
      </c>
      <c r="X29" s="5">
        <f>VLOOKUP($A29,'SegEnds_NonXtal_Prot#'!$A:$AL,21,FALSE)</f>
        <v>1033</v>
      </c>
      <c r="Y29" s="5">
        <f>VLOOKUP($A29,'SegEnds_NonXtal_Prot#'!$A:$AL,24,FALSE)</f>
        <v>1068</v>
      </c>
      <c r="Z29" s="5">
        <f>VLOOKUP($A29,'SegEnds_NonXtal_Prot#'!$A:$AL,27,FALSE)</f>
        <v>1073</v>
      </c>
      <c r="AA29" s="5">
        <f>VLOOKUP($A29,'SegEnds_NonXtal_Prot#'!$A:$AL,30,FALSE)</f>
        <v>1149</v>
      </c>
      <c r="AB29" s="5">
        <f>VLOOKUP($A29,'SegEnds_NonXtal_Prot#'!$A:$AL,33,FALSE)</f>
        <v>1180</v>
      </c>
      <c r="AC29" s="5">
        <f>VLOOKUP($A29,'SegEnds_NonXtal_Prot#'!$A:$AL,36,FALSE)</f>
        <v>1206</v>
      </c>
      <c r="AD29" s="5">
        <f>VLOOKUP($A29,'SegEnds_NonXtal_Prot#'!$A:$AL,5,FALSE)</f>
        <v>957</v>
      </c>
      <c r="AE29" s="5" t="str">
        <f>VLOOKUP($A29,'SegEnds_NonXtal_Prot#'!$A:$AL,8,FALSE)</f>
        <v>-</v>
      </c>
      <c r="AF29" s="5">
        <f>VLOOKUP($A29,'SegEnds_NonXtal_Prot#'!$A:$AL,11,FALSE)</f>
        <v>989</v>
      </c>
      <c r="AG29" s="5" t="str">
        <f>VLOOKUP($A29,'SegEnds_NonXtal_Prot#'!$A:$AL,14,FALSE)</f>
        <v>-</v>
      </c>
      <c r="AH29" s="5">
        <f>VLOOKUP($A29,'SegEnds_NonXtal_Prot#'!$A:$AL,17,FALSE)</f>
        <v>1027</v>
      </c>
      <c r="AI29" s="5" t="str">
        <f>VLOOKUP($A29,'SegEnds_NonXtal_Prot#'!$A:$AL,20,FALSE)</f>
        <v>-</v>
      </c>
      <c r="AJ29" s="5">
        <f>VLOOKUP($A29,'SegEnds_NonXtal_Prot#'!$A:$AL,23,FALSE)</f>
        <v>1061</v>
      </c>
      <c r="AK29" s="5">
        <f>VLOOKUP($A29,'SegEnds_NonXtal_Prot#'!$A:$AL,26,FALSE)</f>
        <v>1070</v>
      </c>
      <c r="AL29" s="5">
        <f>VLOOKUP($A29,'SegEnds_NonXtal_Prot#'!$A:$AL,29,FALSE)</f>
        <v>1106</v>
      </c>
      <c r="AM29" s="5">
        <f>VLOOKUP($A29,'SegEnds_NonXtal_Prot#'!$A:$AL,32,FALSE)</f>
        <v>1173</v>
      </c>
      <c r="AN29" s="5">
        <f>VLOOKUP($A29,'SegEnds_NonXtal_Prot#'!$A:$AL,35,FALSE)</f>
        <v>1205</v>
      </c>
      <c r="AO29" s="5">
        <f>VLOOKUP($A29,'SegEnds_NonXtal_Prot#'!$A:$AL,38,FALSE)</f>
        <v>1222</v>
      </c>
      <c r="AP29" s="5">
        <f t="shared" si="13"/>
        <v>37</v>
      </c>
      <c r="AQ29" s="4" t="str">
        <f t="shared" si="14"/>
        <v>-</v>
      </c>
      <c r="AR29" s="4">
        <f t="shared" si="15"/>
        <v>26</v>
      </c>
      <c r="AS29" s="4" t="str">
        <f t="shared" si="16"/>
        <v>-</v>
      </c>
      <c r="AT29" s="4">
        <f t="shared" si="17"/>
        <v>33</v>
      </c>
      <c r="AU29" s="4" t="str">
        <f t="shared" si="18"/>
        <v>-</v>
      </c>
      <c r="AV29" s="4">
        <f t="shared" si="19"/>
        <v>28</v>
      </c>
      <c r="AW29" s="4">
        <f t="shared" si="20"/>
        <v>2</v>
      </c>
      <c r="AX29" s="4">
        <f t="shared" si="21"/>
        <v>33</v>
      </c>
      <c r="AY29" s="4">
        <f t="shared" si="22"/>
        <v>24</v>
      </c>
      <c r="AZ29" s="4">
        <f t="shared" si="23"/>
        <v>25</v>
      </c>
      <c r="BA29" s="4">
        <f t="shared" si="24"/>
        <v>16</v>
      </c>
    </row>
    <row r="30" spans="1:53" x14ac:dyDescent="0.2">
      <c r="A30" s="1" t="str">
        <f>'SegEnds_NonXtal_Prot#'!A318</f>
        <v>calrl_human</v>
      </c>
      <c r="B30" s="1" t="str">
        <f t="shared" si="0"/>
        <v>TQCNVNTHEKVKTALNLFYLTIIGHGLSIASLLISLGIFFYFCQRITLHKNLFFSFVCNSVVTIIHLTAVNPVSCKVSQFIHLYLMGCNYFWMLCEGIYLHTLIVVHLMWYYFLGWGFPLIPACIHAIARSLYYLLYIIHGPICAALLVNLFFLLNIVRVLITKLKYMKAVRATLILVPLLGIEFVLIPWKIAEEVYDYIMHILMHFQGLLVSTIFCFFNGEVQAILRRNWNQYKIQFGNSFSNS</v>
      </c>
      <c r="C30" s="29" t="str">
        <f>IF(ISERROR(MATCH(A30,'SegEnds_Xtal_Prot#'!B:B, 0)), "NoXtal", "Xtal")</f>
        <v>NoXtal</v>
      </c>
      <c r="D30" s="4" t="str">
        <f>VLOOKUP(A30,Classification!A:D,2,FALSE)</f>
        <v>B1</v>
      </c>
      <c r="E30" s="5" t="str">
        <f>VLOOKUP(A30,Seqs!A:B,2,FALSE)</f>
        <v>MEKKCTLNFLVLLPFFMILVTAELEESPEDSIQLGVTRNKIMTAQYECYQKIMQDPIQQAEGVYCNRTWDGWLCWNDVAAGTESMQLCPDYFQDFDPSEKVTKICDQDGNWFRHPASNRTWTNYTQCNVNTHEKVKTALNLFYLTIIGHGLSIASLLISLGIFFYFKSLSCQRITLHKNLFFSFVCNSVVTIIHLTAVANNQALVATNPVSCKVSQFIHLYLMGCNYFWMLCEGIYLHTLIVVAVFAEKQHLMWYYFLGWGFPLIPACIHAIARSLYYNDNCWISSDTHLLYIIHGPICAALLVNLFFLLNIVRVLITKLKVTHQAESNLYMKAVRATLILVPLLGIEFVLIPWRPEGKIAEEVYDYIMHILMHFQGLLVSTIFCFFNGEVQAILRRNWNQYKIQFGNSFSNSEALRSASYTVSTISDGPGYSHDCPSEHLNGKSIHDIENVLLKPENLYN</v>
      </c>
      <c r="F30" s="5" t="str">
        <f t="shared" si="1"/>
        <v>TQCNVNTHEKVKTALNLFYLTIIGHGLSIASLLISLGIFFYF</v>
      </c>
      <c r="G30" s="4" t="str">
        <f t="shared" si="2"/>
        <v>KSLS</v>
      </c>
      <c r="H30" s="4" t="str">
        <f t="shared" si="3"/>
        <v>CQRITLHKNLFFSFVCNSVVTIIHLTAV</v>
      </c>
      <c r="I30" s="4" t="str">
        <f t="shared" si="4"/>
        <v/>
      </c>
      <c r="J30" s="4" t="str">
        <f t="shared" si="5"/>
        <v>NPVSCKVSQFIHLYLMGCNYFWMLCEGIYLHTLIVV</v>
      </c>
      <c r="K30" s="4" t="str">
        <f t="shared" si="6"/>
        <v/>
      </c>
      <c r="L30" s="4" t="str">
        <f t="shared" si="7"/>
        <v>HLMWYYFLGWGFPLIPACIHAIARSLYY</v>
      </c>
      <c r="M30" s="4" t="str">
        <f t="shared" si="8"/>
        <v>CWI</v>
      </c>
      <c r="N30" s="4" t="str">
        <f t="shared" si="9"/>
        <v>LLYIIHGPICAALLVNLFFLLNIVRVLITKLK</v>
      </c>
      <c r="O30" s="4" t="str">
        <f t="shared" si="10"/>
        <v>YMKAVRATLILVPLLGIEFVLIPW</v>
      </c>
      <c r="P30" s="4" t="str">
        <f t="shared" si="11"/>
        <v>KIAEEVYDYIMHILMHFQGLLVSTIFCFF</v>
      </c>
      <c r="Q30" s="4" t="str">
        <f t="shared" si="12"/>
        <v>NGEVQAILRRNWNQYKIQFGNSFSNS</v>
      </c>
      <c r="R30" s="5">
        <f>VLOOKUP($A30,'SegEnds_NonXtal_Prot#'!$A:$AL,3,FALSE)</f>
        <v>125</v>
      </c>
      <c r="S30" s="5">
        <f>VLOOKUP($A30,'SegEnds_NonXtal_Prot#'!$A:$AL,6,FALSE)</f>
        <v>167</v>
      </c>
      <c r="T30" s="5">
        <f>VLOOKUP($A30,'SegEnds_NonXtal_Prot#'!$A:$AL,9,FALSE)</f>
        <v>171</v>
      </c>
      <c r="U30" s="5" t="str">
        <f>VLOOKUP($A30,'SegEnds_NonXtal_Prot#'!$A:$AL,12,FALSE)</f>
        <v>-</v>
      </c>
      <c r="V30" s="5">
        <f>VLOOKUP($A30,'SegEnds_NonXtal_Prot#'!$A:$AL,15,FALSE)</f>
        <v>208</v>
      </c>
      <c r="W30" s="5" t="str">
        <f>VLOOKUP($A30,'SegEnds_NonXtal_Prot#'!$A:$AL,18,FALSE)</f>
        <v>-</v>
      </c>
      <c r="X30" s="5">
        <f>VLOOKUP($A30,'SegEnds_NonXtal_Prot#'!$A:$AL,21,FALSE)</f>
        <v>251</v>
      </c>
      <c r="Y30" s="5">
        <f>VLOOKUP($A30,'SegEnds_NonXtal_Prot#'!$A:$AL,24,FALSE)</f>
        <v>282</v>
      </c>
      <c r="Z30" s="5">
        <f>VLOOKUP($A30,'SegEnds_NonXtal_Prot#'!$A:$AL,27,FALSE)</f>
        <v>290</v>
      </c>
      <c r="AA30" s="5">
        <f>VLOOKUP($A30,'SegEnds_NonXtal_Prot#'!$A:$AL,30,FALSE)</f>
        <v>331</v>
      </c>
      <c r="AB30" s="5">
        <f>VLOOKUP($A30,'SegEnds_NonXtal_Prot#'!$A:$AL,33,FALSE)</f>
        <v>359</v>
      </c>
      <c r="AC30" s="5">
        <f>VLOOKUP($A30,'SegEnds_NonXtal_Prot#'!$A:$AL,36,FALSE)</f>
        <v>388</v>
      </c>
      <c r="AD30" s="5">
        <f>VLOOKUP($A30,'SegEnds_NonXtal_Prot#'!$A:$AL,5,FALSE)</f>
        <v>166</v>
      </c>
      <c r="AE30" s="5">
        <f>VLOOKUP($A30,'SegEnds_NonXtal_Prot#'!$A:$AL,8,FALSE)</f>
        <v>170</v>
      </c>
      <c r="AF30" s="5">
        <f>VLOOKUP($A30,'SegEnds_NonXtal_Prot#'!$A:$AL,11,FALSE)</f>
        <v>198</v>
      </c>
      <c r="AG30" s="5" t="str">
        <f>VLOOKUP($A30,'SegEnds_NonXtal_Prot#'!$A:$AL,14,FALSE)</f>
        <v>-</v>
      </c>
      <c r="AH30" s="5">
        <f>VLOOKUP($A30,'SegEnds_NonXtal_Prot#'!$A:$AL,17,FALSE)</f>
        <v>243</v>
      </c>
      <c r="AI30" s="5" t="str">
        <f>VLOOKUP($A30,'SegEnds_NonXtal_Prot#'!$A:$AL,20,FALSE)</f>
        <v>-</v>
      </c>
      <c r="AJ30" s="5">
        <f>VLOOKUP($A30,'SegEnds_NonXtal_Prot#'!$A:$AL,23,FALSE)</f>
        <v>278</v>
      </c>
      <c r="AK30" s="5">
        <f>VLOOKUP($A30,'SegEnds_NonXtal_Prot#'!$A:$AL,26,FALSE)</f>
        <v>284</v>
      </c>
      <c r="AL30" s="5">
        <f>VLOOKUP($A30,'SegEnds_NonXtal_Prot#'!$A:$AL,29,FALSE)</f>
        <v>321</v>
      </c>
      <c r="AM30" s="5">
        <f>VLOOKUP($A30,'SegEnds_NonXtal_Prot#'!$A:$AL,32,FALSE)</f>
        <v>354</v>
      </c>
      <c r="AN30" s="5">
        <f>VLOOKUP($A30,'SegEnds_NonXtal_Prot#'!$A:$AL,35,FALSE)</f>
        <v>387</v>
      </c>
      <c r="AO30" s="5">
        <f>VLOOKUP($A30,'SegEnds_NonXtal_Prot#'!$A:$AL,38,FALSE)</f>
        <v>413</v>
      </c>
      <c r="AP30" s="5">
        <f t="shared" si="13"/>
        <v>41</v>
      </c>
      <c r="AQ30" s="4">
        <f t="shared" si="14"/>
        <v>3</v>
      </c>
      <c r="AR30" s="4">
        <f t="shared" si="15"/>
        <v>27</v>
      </c>
      <c r="AS30" s="4" t="str">
        <f t="shared" si="16"/>
        <v>-</v>
      </c>
      <c r="AT30" s="4">
        <f t="shared" si="17"/>
        <v>35</v>
      </c>
      <c r="AU30" s="4" t="str">
        <f t="shared" si="18"/>
        <v>-</v>
      </c>
      <c r="AV30" s="4">
        <f t="shared" si="19"/>
        <v>27</v>
      </c>
      <c r="AW30" s="4">
        <f t="shared" si="20"/>
        <v>2</v>
      </c>
      <c r="AX30" s="4">
        <f t="shared" si="21"/>
        <v>31</v>
      </c>
      <c r="AY30" s="4">
        <f t="shared" si="22"/>
        <v>23</v>
      </c>
      <c r="AZ30" s="4">
        <f t="shared" si="23"/>
        <v>28</v>
      </c>
      <c r="BA30" s="4">
        <f t="shared" si="24"/>
        <v>25</v>
      </c>
    </row>
    <row r="31" spans="1:53" x14ac:dyDescent="0.2">
      <c r="A31" s="1" t="str">
        <f>'SegEnds_NonXtal_Prot#'!A324</f>
        <v>celr3_human</v>
      </c>
      <c r="B31" s="1" t="str">
        <f t="shared" si="0"/>
        <v>SPRERLEGDLELLAVFTHVVVAVSVAALVLTAAILLSLSNVRGIHANVAAALGVAELLFLLGIHRLVCTAVAILLHYFFLSTFAWLFVQGLHLYRMQVEGAMRFYHALGWGVPAVLLGLAVGLDPEGYHEPLIWSFAGPVVLVIVMNGTMFLLAARTSCSTGTSALTLRSSFLLLLLVSASWLFGLLILAFHYLHAGLCGLQGLAVLLLFCVLNADARAAWMPACLGRKA</v>
      </c>
      <c r="C31" s="29" t="str">
        <f>IF(ISERROR(MATCH(A31,'SegEnds_Xtal_Prot#'!B:B, 0)), "NoXtal", "Xtal")</f>
        <v>NoXtal</v>
      </c>
      <c r="D31" s="4" t="str">
        <f>VLOOKUP(A31,Classification!A:D,2,FALSE)</f>
        <v>B2</v>
      </c>
      <c r="E31" s="5" t="str">
        <f>VLOOKUP(A31,Seqs!A:B,2,FALSE)</f>
        <v>MMARRPPWRGLGGRSTPILLLLLLSLFPLSQEELGGGGHQGWDPGLAATTGPRAHIGGGALALCPESSGVREDGGPGLGVREPIFVGLRGRRQSARNSRGPPEQPNEELGIEHGVQPLGSRERETGQGPGSVLYWRPEVSSCGRTGPLQRGSLSPGALSSGVPGSGNSSPLPSDFLIRHHGPKPVSSQRNAGTGSRKRVGTARCCGELWATGSKGQGERATTSGAERTAPRRNCLPGASGSGPELDSAPRTARTAPASGSAPRESRTAPEPAPKRMRSRGLFRCRFLPQRPGPRPPGLPARPEARKVTSANRARFRRAANRHPQFPQYNYQTLVPENEAAGTAVLRVVAQDPDAGEAGRLVYSLAALMNSRSLELFSIDPQSGLIRTAAALDRESMERHYLRVTAQDHGSPRLSATTMVAVTVADRNDHSPVFEQAQYRETLRENVEEGYPILQLRATDGDAPPNANLRYRFVGPPAARAAAAAAFEIDPRSGLISTSGRVDREHMESYELVVEASDQGQEPGPRSATVRVHITVLDENDNAPQFSEKRYVAQVREDVRPHTVVLRVTATDRDKDANGLVHYNIISGNSRGHFAIDSLTGEIQVVAPLDFEAEREYALRIRAQDAGRPPLSNNTGLASIQVVDINDHIPIFVSTPFQVSVLENAPLGHSVIHIQAVDADHGENARLEYSLTGVAPDTPFVINSATGWVSVSGPLDRESVEHYFFGVEARDHGSPPLSASASVTVTVLDVNDNRPEFTMKEYHLRLNEDAAVGTSVVSVTAVDRDANSAISYQITGGNTRNRFAISTQGGVGLVTLALPLDYKQERYFKLVLTASDRALHDHCYVHINITDANTHRPVFQSAHYSVSVNEDRPMGSTIVVISASDDDVGENARITYLLEDNLPQFRIDADSGAITLQAPLDYEDQVTYTLAITARDNGIPQKADTTYVEVMVNDVNDNAPQFVASHYTGLVSEDAPPFTSVLQISATDRDAHANGRVQYTFQNGEDGDGDFTIEPTSGIVRTVRRLDREAVSVYELTAYAVDRGVPPLRTPVSIQVMVQDVNDNAPVFPAEEFEVRVKENSIVGSVVAQITAVDPDEGPNAHIMYQIVEGNIPELFQMDIFSGELTALIDLDYEARQEYVIVVQATSAPLVSRATVHVRLVDQNDNSPVLNNFQILFNNYVSNRSDTFPSGIIGRIPAYDPDVSDHLFYSFERGNELQLLVVNQTSGELRLSRKLDNNRPLVASMLVTVTDGLHSVTAQCVLRVVIITEELLANSLTVRLENMWQERFLSPLLGRFLEGVAAVLATPAEDVFIFNIQNDTDVGGTVLNVSFSALAPRGAGAGAAGPWFSSEELQEQLYVRRAALAARSLLDVLPFDDNVCLREPCENYMKCVSVLRFDSSAPFLASASTLFRPIQPIAGLRCRCPPGFTGDFCETELDLCYSNPCRNGGACARREGGYTCVCRPRFTGEDCELDTEAGRCVPGVCRNGGTCTDAPNGGFRCQCPAGGAFEGPRCEVAARSFPPSSFVMFRGLRQRFHLTLSLSFATVQQSGLLFYNGRLNEKHDFLALELVAGQVRLTYSTGESNTVVSPTVPGGLSDGQWHTVHLRYYNKPRTDALGGAQGPSKDKVAVLSVDDCDVAVALQFGAEIGNYSCAAAGVQTSSKKSLDLTGPLLLGGVPNLPENFPVSHKDFIGCMRDLHIDGRRVDMAAFVANNGTMAGCQAKLHFCDSGPCKNSGFCSERWGSFSCDCPVGFGGKDCQLTMAHPHHFRGNGTLSWNFGSDMAVSVPWYLGLAFRTRATQGVLMQVQAGPHSTLLCQLDRGLLSVTVTRGSGRASHLLLDQVTVSDGRWHDLRLELQEEPGGRRGHHVLMVSLDFSLFQDTMAVGSELQGLKVKQLHVGGLPPGSAEEAPQGLVGCIQGVWLGSTPSGSPALLPPSHRVNAEPGCVVTNACASGPCPPHADCRDLWQTFSCTCQPGYYGPGCVDACLLNPCQNQGSCRHLPGAPHGYTCDCVGGYFGHHCEHRMDQQCPRGWWGSPTCGPCNCDVHKGFDPNCNKTNGQCHCKEFHYRPRGSDSCLPCDCYPVGSTSRSCAPHSGQCPCRPGALGRQCNSCDSPFAEVTASGCRVLYDACPKSLRSGVWWPQTKFGVLATVPCPRGALGAAVRLCDEAQGWLEPDLFNCTSPAFRELSLLLDGLELNKTALDTMEAKKLAQRLREVTGHTDHYFSQDVRVTARLLAHLLAFESHQQGFGLTATQDAHFNENLLWAGSALLAPETGDLWAALGQRAPGGSPGSAGLVRHLEEYAATLARNMELTYLNPMGLVTPNIMLSIDRMEHPSSPRGARRYPRYHSNLFRGQDAWDPHTHVLLPSQSPRPSPSEVLPTSSSIENSTTSSVVPPPAPPEPEPGISIIILLVYRTLGGLLPAQFQAERRGARLPQNPVMNSPVVSVAVFHGRNFLRGILESPISLEFRLLQTANRSKAICVQWDPPGLAEQHGVWTARDCELVHRNGSHARCRCSRTGTFGVLMDASPRERLEGDLELLAVFTHVVVAVSVAALVLTAAILLSLRSLKSNVRGIHANVAAALGVAELLFLLGIHRTHNQLVCTAVAILLHYFFLSTFAWLFVQGLHLYRMQVEPRNVDRGAMRFYHALGWGVPAVLLGLAVGLDPEGYGNPDFCWISVHEPLIWSFAGPVVLVIVMNGTMFLLAARTSCSTGQREAKKTSALTLRSSFLLLLLVSASWLFGLLAVNHSILAFHYLHAGLCGLQGLAVLLLFCVLNADARAAWMPACLGRKAAPEEARPAPGLGPGAYNNTALFEESGLIRITLGASTVSSVSSARSGRTQDQDSQRGRSYLRDNVLVRHGSAADHTDHSLQAHAGPTDLDVAMFHRDAGADSDSDSDLSLEEERSLSIPSSESEDNGRTRGRFQRPLCRAAQSERLLTHPKDVDGNDLLSYWPALGECEAAPCALQTWGSERRLGLDTSKDAANNNQPDPALTSGDETSLGRAQRQRKGILKNRLQYPLVPQTRGAPELSWCRAATLGHRAVPAASYGRIYAGGGTGSLSQPASRYSSREQLDLLLRRQLSRERLEEAPAPVLRPLSRPGSQECMDAAPGRLEPKDRGSTLPRRQPPRDYPGAMAGRFGSRDALDLGAPREWLSTLPPPRRTRDLDPQPPPLPLSPQRQLSRDPLLPSRPLDSLSRSSNSREQLDQVPSRHPSREALGPLPQLLRAREDSVSGPSHGPSTEQLDILSSILASFNSSALSSVQSSSTPLGPHTTATPSATASVLGPSTPRSATSHSISELSPDSEVPRSEGHS</v>
      </c>
      <c r="F31" s="5" t="str">
        <f t="shared" si="1"/>
        <v>SPRERLEGDLELLAVFTHVVVAVSVAALVLTAAILLSL</v>
      </c>
      <c r="G31" s="4" t="str">
        <f t="shared" si="2"/>
        <v>RSLK</v>
      </c>
      <c r="H31" s="4" t="str">
        <f t="shared" si="3"/>
        <v>SNVRGIHANVAAALGVAELLFLLGIHR</v>
      </c>
      <c r="I31" s="4" t="str">
        <f t="shared" si="4"/>
        <v/>
      </c>
      <c r="J31" s="4" t="str">
        <f t="shared" si="5"/>
        <v>LVCTAVAILLHYFFLSTFAWLFVQGLHLYRMQVE</v>
      </c>
      <c r="K31" s="4" t="str">
        <f t="shared" si="6"/>
        <v/>
      </c>
      <c r="L31" s="4" t="str">
        <f t="shared" si="7"/>
        <v>GAMRFYHALGWGVPAVLLGLAVGLDPEGY</v>
      </c>
      <c r="M31" s="4" t="str">
        <f t="shared" si="8"/>
        <v>CWI</v>
      </c>
      <c r="N31" s="4" t="str">
        <f t="shared" si="9"/>
        <v>HEPLIWSFAGPVVLVIVMNGTMFLLAARTSCSTG</v>
      </c>
      <c r="O31" s="4" t="str">
        <f t="shared" si="10"/>
        <v>TSALTLRSSFLLLLLVSASWLFGLL</v>
      </c>
      <c r="P31" s="4" t="str">
        <f t="shared" si="11"/>
        <v>ILAFHYLHAGLCGLQGLAVLLLFCVL</v>
      </c>
      <c r="Q31" s="4" t="str">
        <f t="shared" si="12"/>
        <v>NADARAAWMPACLGRKA</v>
      </c>
      <c r="R31" s="5">
        <f>VLOOKUP($A31,'SegEnds_NonXtal_Prot#'!$A:$AL,3,FALSE)</f>
        <v>2527</v>
      </c>
      <c r="S31" s="5">
        <f>VLOOKUP($A31,'SegEnds_NonXtal_Prot#'!$A:$AL,6,FALSE)</f>
        <v>2565</v>
      </c>
      <c r="T31" s="5">
        <f>VLOOKUP($A31,'SegEnds_NonXtal_Prot#'!$A:$AL,9,FALSE)</f>
        <v>2569</v>
      </c>
      <c r="U31" s="5" t="str">
        <f>VLOOKUP($A31,'SegEnds_NonXtal_Prot#'!$A:$AL,12,FALSE)</f>
        <v>-</v>
      </c>
      <c r="V31" s="5">
        <f>VLOOKUP($A31,'SegEnds_NonXtal_Prot#'!$A:$AL,15,FALSE)</f>
        <v>2600</v>
      </c>
      <c r="W31" s="5" t="str">
        <f>VLOOKUP($A31,'SegEnds_NonXtal_Prot#'!$A:$AL,18,FALSE)</f>
        <v>-</v>
      </c>
      <c r="X31" s="5">
        <f>VLOOKUP($A31,'SegEnds_NonXtal_Prot#'!$A:$AL,21,FALSE)</f>
        <v>2640</v>
      </c>
      <c r="Y31" s="5">
        <f>VLOOKUP($A31,'SegEnds_NonXtal_Prot#'!$A:$AL,24,FALSE)</f>
        <v>2674</v>
      </c>
      <c r="Z31" s="5">
        <f>VLOOKUP($A31,'SegEnds_NonXtal_Prot#'!$A:$AL,27,FALSE)</f>
        <v>2679</v>
      </c>
      <c r="AA31" s="5">
        <f>VLOOKUP($A31,'SegEnds_NonXtal_Prot#'!$A:$AL,30,FALSE)</f>
        <v>2719</v>
      </c>
      <c r="AB31" s="5">
        <f>VLOOKUP($A31,'SegEnds_NonXtal_Prot#'!$A:$AL,33,FALSE)</f>
        <v>2749</v>
      </c>
      <c r="AC31" s="5">
        <f>VLOOKUP($A31,'SegEnds_NonXtal_Prot#'!$A:$AL,36,FALSE)</f>
        <v>2775</v>
      </c>
      <c r="AD31" s="5">
        <f>VLOOKUP($A31,'SegEnds_NonXtal_Prot#'!$A:$AL,5,FALSE)</f>
        <v>2564</v>
      </c>
      <c r="AE31" s="5">
        <f>VLOOKUP($A31,'SegEnds_NonXtal_Prot#'!$A:$AL,8,FALSE)</f>
        <v>2568</v>
      </c>
      <c r="AF31" s="5">
        <f>VLOOKUP($A31,'SegEnds_NonXtal_Prot#'!$A:$AL,11,FALSE)</f>
        <v>2595</v>
      </c>
      <c r="AG31" s="5" t="str">
        <f>VLOOKUP($A31,'SegEnds_NonXtal_Prot#'!$A:$AL,14,FALSE)</f>
        <v>-</v>
      </c>
      <c r="AH31" s="5">
        <f>VLOOKUP($A31,'SegEnds_NonXtal_Prot#'!$A:$AL,17,FALSE)</f>
        <v>2633</v>
      </c>
      <c r="AI31" s="5" t="str">
        <f>VLOOKUP($A31,'SegEnds_NonXtal_Prot#'!$A:$AL,20,FALSE)</f>
        <v>-</v>
      </c>
      <c r="AJ31" s="5">
        <f>VLOOKUP($A31,'SegEnds_NonXtal_Prot#'!$A:$AL,23,FALSE)</f>
        <v>2668</v>
      </c>
      <c r="AK31" s="5">
        <f>VLOOKUP($A31,'SegEnds_NonXtal_Prot#'!$A:$AL,26,FALSE)</f>
        <v>2676</v>
      </c>
      <c r="AL31" s="5">
        <f>VLOOKUP($A31,'SegEnds_NonXtal_Prot#'!$A:$AL,29,FALSE)</f>
        <v>2712</v>
      </c>
      <c r="AM31" s="5">
        <f>VLOOKUP($A31,'SegEnds_NonXtal_Prot#'!$A:$AL,32,FALSE)</f>
        <v>2743</v>
      </c>
      <c r="AN31" s="5">
        <f>VLOOKUP($A31,'SegEnds_NonXtal_Prot#'!$A:$AL,35,FALSE)</f>
        <v>2774</v>
      </c>
      <c r="AO31" s="5">
        <f>VLOOKUP($A31,'SegEnds_NonXtal_Prot#'!$A:$AL,38,FALSE)</f>
        <v>2791</v>
      </c>
      <c r="AP31" s="5">
        <f t="shared" si="13"/>
        <v>37</v>
      </c>
      <c r="AQ31" s="4">
        <f t="shared" si="14"/>
        <v>3</v>
      </c>
      <c r="AR31" s="4">
        <f t="shared" si="15"/>
        <v>26</v>
      </c>
      <c r="AS31" s="4" t="str">
        <f t="shared" si="16"/>
        <v>-</v>
      </c>
      <c r="AT31" s="4">
        <f t="shared" si="17"/>
        <v>33</v>
      </c>
      <c r="AU31" s="4" t="str">
        <f t="shared" si="18"/>
        <v>-</v>
      </c>
      <c r="AV31" s="4">
        <f t="shared" si="19"/>
        <v>28</v>
      </c>
      <c r="AW31" s="4">
        <f t="shared" si="20"/>
        <v>2</v>
      </c>
      <c r="AX31" s="4">
        <f t="shared" si="21"/>
        <v>33</v>
      </c>
      <c r="AY31" s="4">
        <f t="shared" si="22"/>
        <v>24</v>
      </c>
      <c r="AZ31" s="4">
        <f t="shared" si="23"/>
        <v>25</v>
      </c>
      <c r="BA31" s="4">
        <f t="shared" si="24"/>
        <v>16</v>
      </c>
    </row>
    <row r="32" spans="1:53" x14ac:dyDescent="0.2">
      <c r="A32" s="1" t="str">
        <f>'SegEnds_NonXtal_Prot#'!A344</f>
        <v>glr_human</v>
      </c>
      <c r="B32" s="1" t="str">
        <f t="shared" si="0"/>
        <v>QKEVAKMYSSFQVMYTVGYSLSLGALLLALAILGGLCTRNAIHANLFASFVLKASSVLVIDGLLRTRSDGAVAGCRVAAVFMQYGIVANYCWLLVEGLYLHNLLGLSFFSLYLGIGWGAPMLFVVPWAVVKCLFENMGFWWILRFPVFLAILINFFIFVRIVQLLVAKLRAYKFRLAKSTLTLIPLLGVHEVVFAFQGTLRSAKLFFDLFLSSFQGLLVAVLYCFLNKEVQSELRRRWHRWRLGKVLWEERN</v>
      </c>
      <c r="C32" s="29" t="str">
        <f>IF(ISERROR(MATCH(A32,'SegEnds_Xtal_Prot#'!B:B, 0)), "NoXtal", "Xtal")</f>
        <v>Xtal</v>
      </c>
      <c r="D32" s="4" t="str">
        <f>VLOOKUP(A32,Classification!A:D,2,FALSE)</f>
        <v>B1</v>
      </c>
      <c r="E32" s="5" t="str">
        <f>VLOOKUP(A32,Seqs!A:B,2,FALSE)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F32" s="5" t="str">
        <f t="shared" si="1"/>
        <v>QKEVAKMYSSFQVMYTVGYSLSLGALLLALAILGGL</v>
      </c>
      <c r="G32" s="4" t="str">
        <f t="shared" si="2"/>
        <v>SKLH</v>
      </c>
      <c r="H32" s="4" t="str">
        <f t="shared" si="3"/>
        <v>CTRNAIHANLFASFVLKASSVLVIDGLLRTR</v>
      </c>
      <c r="I32" s="4" t="str">
        <f t="shared" si="4"/>
        <v/>
      </c>
      <c r="J32" s="4" t="str">
        <f t="shared" si="5"/>
        <v>SDGAVAGCRVAAVFMQYGIVANYCWLLVEGLYLHNLLGL</v>
      </c>
      <c r="K32" s="4" t="str">
        <f t="shared" si="6"/>
        <v/>
      </c>
      <c r="L32" s="4" t="str">
        <f t="shared" si="7"/>
        <v>SFFSLYLGIGWGAPMLFVVPWAVVKCLFE</v>
      </c>
      <c r="M32" s="4" t="str">
        <f t="shared" si="8"/>
        <v>CWT</v>
      </c>
      <c r="N32" s="4" t="str">
        <f t="shared" si="9"/>
        <v>NMGFWWILRFPVFLAILINFFIFVRIVQLLVAKLRA</v>
      </c>
      <c r="O32" s="4" t="str">
        <f t="shared" si="10"/>
        <v>YKFRLAKSTLTLIPLLGVHEVVFAF</v>
      </c>
      <c r="P32" s="4" t="str">
        <f t="shared" si="11"/>
        <v>QGTLRSAKLFFDLFLSSFQGLLVAVLYCFL</v>
      </c>
      <c r="Q32" s="4" t="str">
        <f t="shared" si="12"/>
        <v>NKEVQSELRRRWHRWRLGKVLWEERN</v>
      </c>
      <c r="R32" s="5">
        <f>VLOOKUP($A32,'SegEnds_NonXtal_Prot#'!$A:$AL,3,FALSE)</f>
        <v>131</v>
      </c>
      <c r="S32" s="5">
        <f>VLOOKUP($A32,'SegEnds_NonXtal_Prot#'!$A:$AL,6,FALSE)</f>
        <v>167</v>
      </c>
      <c r="T32" s="5">
        <f>VLOOKUP($A32,'SegEnds_NonXtal_Prot#'!$A:$AL,9,FALSE)</f>
        <v>171</v>
      </c>
      <c r="U32" s="5" t="str">
        <f>VLOOKUP($A32,'SegEnds_NonXtal_Prot#'!$A:$AL,12,FALSE)</f>
        <v>-</v>
      </c>
      <c r="V32" s="5">
        <f>VLOOKUP($A32,'SegEnds_NonXtal_Prot#'!$A:$AL,15,FALSE)</f>
        <v>217</v>
      </c>
      <c r="W32" s="5" t="str">
        <f>VLOOKUP($A32,'SegEnds_NonXtal_Prot#'!$A:$AL,18,FALSE)</f>
        <v>-</v>
      </c>
      <c r="X32" s="5">
        <f>VLOOKUP($A32,'SegEnds_NonXtal_Prot#'!$A:$AL,21,FALSE)</f>
        <v>262</v>
      </c>
      <c r="Y32" s="5">
        <f>VLOOKUP($A32,'SegEnds_NonXtal_Prot#'!$A:$AL,24,FALSE)</f>
        <v>294</v>
      </c>
      <c r="Z32" s="5">
        <f>VLOOKUP($A32,'SegEnds_NonXtal_Prot#'!$A:$AL,27,FALSE)</f>
        <v>300</v>
      </c>
      <c r="AA32" s="5">
        <f>VLOOKUP($A32,'SegEnds_NonXtal_Prot#'!$A:$AL,30,FALSE)</f>
        <v>343</v>
      </c>
      <c r="AB32" s="5">
        <f>VLOOKUP($A32,'SegEnds_NonXtal_Prot#'!$A:$AL,33,FALSE)</f>
        <v>374</v>
      </c>
      <c r="AC32" s="5">
        <f>VLOOKUP($A32,'SegEnds_NonXtal_Prot#'!$A:$AL,36,FALSE)</f>
        <v>404</v>
      </c>
      <c r="AD32" s="5">
        <f>VLOOKUP($A32,'SegEnds_NonXtal_Prot#'!$A:$AL,5,FALSE)</f>
        <v>166</v>
      </c>
      <c r="AE32" s="5">
        <f>VLOOKUP($A32,'SegEnds_NonXtal_Prot#'!$A:$AL,8,FALSE)</f>
        <v>170</v>
      </c>
      <c r="AF32" s="5">
        <f>VLOOKUP($A32,'SegEnds_NonXtal_Prot#'!$A:$AL,11,FALSE)</f>
        <v>201</v>
      </c>
      <c r="AG32" s="5" t="str">
        <f>VLOOKUP($A32,'SegEnds_NonXtal_Prot#'!$A:$AL,14,FALSE)</f>
        <v>-</v>
      </c>
      <c r="AH32" s="5">
        <f>VLOOKUP($A32,'SegEnds_NonXtal_Prot#'!$A:$AL,17,FALSE)</f>
        <v>255</v>
      </c>
      <c r="AI32" s="5" t="str">
        <f>VLOOKUP($A32,'SegEnds_NonXtal_Prot#'!$A:$AL,20,FALSE)</f>
        <v>-</v>
      </c>
      <c r="AJ32" s="5">
        <f>VLOOKUP($A32,'SegEnds_NonXtal_Prot#'!$A:$AL,23,FALSE)</f>
        <v>290</v>
      </c>
      <c r="AK32" s="5">
        <f>VLOOKUP($A32,'SegEnds_NonXtal_Prot#'!$A:$AL,26,FALSE)</f>
        <v>296</v>
      </c>
      <c r="AL32" s="5">
        <f>VLOOKUP($A32,'SegEnds_NonXtal_Prot#'!$A:$AL,29,FALSE)</f>
        <v>335</v>
      </c>
      <c r="AM32" s="5">
        <f>VLOOKUP($A32,'SegEnds_NonXtal_Prot#'!$A:$AL,32,FALSE)</f>
        <v>367</v>
      </c>
      <c r="AN32" s="5">
        <f>VLOOKUP($A32,'SegEnds_NonXtal_Prot#'!$A:$AL,35,FALSE)</f>
        <v>403</v>
      </c>
      <c r="AO32" s="5">
        <f>VLOOKUP($A32,'SegEnds_NonXtal_Prot#'!$A:$AL,38,FALSE)</f>
        <v>429</v>
      </c>
      <c r="AP32" s="5">
        <f t="shared" si="13"/>
        <v>35</v>
      </c>
      <c r="AQ32" s="4">
        <f t="shared" si="14"/>
        <v>3</v>
      </c>
      <c r="AR32" s="4">
        <f t="shared" si="15"/>
        <v>30</v>
      </c>
      <c r="AS32" s="4" t="str">
        <f t="shared" si="16"/>
        <v>-</v>
      </c>
      <c r="AT32" s="4">
        <f t="shared" si="17"/>
        <v>38</v>
      </c>
      <c r="AU32" s="4" t="str">
        <f t="shared" si="18"/>
        <v>-</v>
      </c>
      <c r="AV32" s="4">
        <f t="shared" si="19"/>
        <v>28</v>
      </c>
      <c r="AW32" s="4">
        <f t="shared" si="20"/>
        <v>2</v>
      </c>
      <c r="AX32" s="4">
        <f t="shared" si="21"/>
        <v>35</v>
      </c>
      <c r="AY32" s="4">
        <f t="shared" si="22"/>
        <v>24</v>
      </c>
      <c r="AZ32" s="4">
        <f t="shared" si="23"/>
        <v>29</v>
      </c>
      <c r="BA32" s="4">
        <f t="shared" si="24"/>
        <v>25</v>
      </c>
    </row>
    <row r="33" spans="1:53" x14ac:dyDescent="0.2">
      <c r="A33" s="1" t="str">
        <f>'SegEnds_NonXtal_Prot#'!A355</f>
        <v>gp158_human</v>
      </c>
      <c r="B33" s="1" t="str">
        <f t="shared" si="0"/>
        <v>YLRLAIISFQALCMLLDFVSMLVVYHFGLILLETILFGSLLLYFPVVILYTFRCILLRWARLLGFATVYGTVTLKLHRVLKVFSRTAQRIPYMTGGRVMRMLAVILLVVFDRWDYMTAVAEFLFLLWGVYLCYAVEPRYMAVAVHNELIISAIFHTIRFVMLMLYFAHTHLTVTVTIGLLLIPKFSHSSNNPRDDIATEAYED</v>
      </c>
      <c r="C33" s="29" t="str">
        <f>IF(ISERROR(MATCH(A33,'SegEnds_Xtal_Prot#'!B:B, 0)), "NoXtal", "Xtal")</f>
        <v>NoXtal</v>
      </c>
      <c r="D33" s="4" t="str">
        <f>VLOOKUP(A33,Classification!A:D,2,FALSE)</f>
        <v>C</v>
      </c>
      <c r="E33" s="5" t="str">
        <f>VLOOKUP(A33,Seqs!A:B,2,FALSE)</f>
        <v>MGAMAYPLLLCLLLAQLGLGAVGASRDPQGRPDSPRERTPKGKPHAQQPGRASASDSSAPWSRSTDGTILAQKLAEEVPMDVASYLYTGDSHQLKRANCSGRYELAGLPGKWPALASAHPSLHRALDTLTHATNFLNVMLQSNKSREQNLQDDLDWYQALVWSLLEGEPSISRAAITFSTDSLSAPAPQVFLQATREESRILLQDLSSSAPHLANATLETEWFHGLRRKWRPHLHRRGPNQGPRGLGHSWRRKDGLGGDKSHFKWSPPYLECENGSYKPGWLVTLSSAIYGLQPNLVPEFRGVMKVDINLQKVDIDQCSSDGWFSGTHKCHLNNSECMPIKGLGFVLGAYECICKAGFYHPGVLPVNNFRRRGPDQHISGSTKDVSEEAYVCLPCREGCPFCADDSPCFVQEDKYLRLAIISFQALCMLLDFVSMLVVYHFRKAKSIRASGLILLETILFGSLLLYFPVVILYFEPSTFRCILLRWARLLGFATVYGTVTLKLHRVLKVFLSRTAQRIPYMTGGRVMRMLAVILLVVFWFLIGWTSSVCQNLEKQISLIGQGKTSDHLIFNMCLIDRWDYMTAVAEFLFLLWGVYLCYAVRTVPSAFHEPRYMAVAVHNELIISAIFHTIRFVLASRLQSDWMLMLYFAHTHLTVTVTIGLLLIPKFSHSSNNPRDDIATEAYEDELDMGRSGSYLNSSINSAWSEHSLDPEDIRDELKKLYAQLEIYKRKKMITNNPHLQKKRCSKKGLGRSIMRRITEIPETVSRQCSKEDKEGADHGTAKGTALIRKNPPESSGNTGKSKEETLKNRVFSLKKSHSTYDHVRDQTEESSSLPTESQEEETTENSTLESLSGKKLTQKLKEDSEAESTESVPLVCKSASAHNLSSEKKTGHPRTSMLQKSLSVIASAKEKTLGLAGKTQTAGVEERTKSQKPLPKDKETNRNHSNSDNTETKDPAPQNSNPAEEPRKPQKSGIMKQQRVNPTTANSDLNPGTTQMKDNFDIGEVCPWEVYDLTPGPVPSESKVQKHVSIVASEMEKNPTFSLKEKSHHKPKAAEVCQQSNQKRIDKAEVCLWESQGQSILEDEKLLISKTPVLPERAKEENGGQPRAANVCAGQSEELPPKAVASKTENENLNQIGHQEKKTSSSEENVRGSYNSSNNFQQPLTSRAEVCPWEFETPAQPNAGRSVALPASSALSANKIAGPRKEEIWDSFKV</v>
      </c>
      <c r="F33" s="5" t="str">
        <f t="shared" si="1"/>
        <v>YLRLAIISFQALCMLLDFVSMLVVYHF</v>
      </c>
      <c r="G33" s="4" t="str">
        <f t="shared" si="2"/>
        <v>AKSIRAS</v>
      </c>
      <c r="H33" s="4" t="str">
        <f t="shared" si="3"/>
        <v>GLILLETILFGSLLLYFPVVILY</v>
      </c>
      <c r="I33" s="4" t="str">
        <f t="shared" si="4"/>
        <v/>
      </c>
      <c r="J33" s="4" t="str">
        <f t="shared" si="5"/>
        <v>TFRCILLRWARLLGFATVYGTVTLKLHRVLKVF</v>
      </c>
      <c r="K33" s="4" t="str">
        <f t="shared" si="6"/>
        <v/>
      </c>
      <c r="L33" s="4" t="str">
        <f t="shared" si="7"/>
        <v>SRTAQRIPYMTGGRVMRMLAVILLVVF</v>
      </c>
      <c r="M33" s="4" t="str">
        <f t="shared" si="8"/>
        <v>CLI</v>
      </c>
      <c r="N33" s="4" t="str">
        <f t="shared" si="9"/>
        <v>DRWDYMTAVAEFLFLLWGVYLCYAV</v>
      </c>
      <c r="O33" s="4" t="str">
        <f t="shared" si="10"/>
        <v>EPRYMAVAVHNELIISAIFHTIRFV</v>
      </c>
      <c r="P33" s="4" t="str">
        <f t="shared" si="11"/>
        <v>MLMLYFAHTHLTVTVTIGLLLIPKFSHSSN</v>
      </c>
      <c r="Q33" s="4" t="str">
        <f t="shared" si="12"/>
        <v>NPRDDIATEAYED</v>
      </c>
      <c r="R33" s="5">
        <f>VLOOKUP($A33,'SegEnds_NonXtal_Prot#'!$A:$AL,3,FALSE)</f>
        <v>415</v>
      </c>
      <c r="S33" s="5">
        <f>VLOOKUP($A33,'SegEnds_NonXtal_Prot#'!$A:$AL,6,FALSE)</f>
        <v>444</v>
      </c>
      <c r="T33" s="5">
        <f>VLOOKUP($A33,'SegEnds_NonXtal_Prot#'!$A:$AL,9,FALSE)</f>
        <v>451</v>
      </c>
      <c r="U33" s="5" t="str">
        <f>VLOOKUP($A33,'SegEnds_NonXtal_Prot#'!$A:$AL,12,FALSE)</f>
        <v>-</v>
      </c>
      <c r="V33" s="5">
        <f>VLOOKUP($A33,'SegEnds_NonXtal_Prot#'!$A:$AL,15,FALSE)</f>
        <v>478</v>
      </c>
      <c r="W33" s="5" t="str">
        <f>VLOOKUP($A33,'SegEnds_NonXtal_Prot#'!$A:$AL,18,FALSE)</f>
        <v>-</v>
      </c>
      <c r="X33" s="5">
        <f>VLOOKUP($A33,'SegEnds_NonXtal_Prot#'!$A:$AL,21,FALSE)</f>
        <v>512</v>
      </c>
      <c r="Y33" s="5">
        <f>VLOOKUP($A33,'SegEnds_NonXtal_Prot#'!$A:$AL,24,FALSE)</f>
        <v>573</v>
      </c>
      <c r="Z33" s="5">
        <f>VLOOKUP($A33,'SegEnds_NonXtal_Prot#'!$A:$AL,27,FALSE)</f>
        <v>576</v>
      </c>
      <c r="AA33" s="5">
        <f>VLOOKUP($A33,'SegEnds_NonXtal_Prot#'!$A:$AL,30,FALSE)</f>
        <v>609</v>
      </c>
      <c r="AB33" s="5">
        <f>VLOOKUP($A33,'SegEnds_NonXtal_Prot#'!$A:$AL,33,FALSE)</f>
        <v>643</v>
      </c>
      <c r="AC33" s="5">
        <f>VLOOKUP($A33,'SegEnds_NonXtal_Prot#'!$A:$AL,36,FALSE)</f>
        <v>673</v>
      </c>
      <c r="AD33" s="5">
        <f>VLOOKUP($A33,'SegEnds_NonXtal_Prot#'!$A:$AL,5,FALSE)</f>
        <v>441</v>
      </c>
      <c r="AE33" s="5">
        <f>VLOOKUP($A33,'SegEnds_NonXtal_Prot#'!$A:$AL,8,FALSE)</f>
        <v>450</v>
      </c>
      <c r="AF33" s="5">
        <f>VLOOKUP($A33,'SegEnds_NonXtal_Prot#'!$A:$AL,11,FALSE)</f>
        <v>473</v>
      </c>
      <c r="AG33" s="5" t="str">
        <f>VLOOKUP($A33,'SegEnds_NonXtal_Prot#'!$A:$AL,14,FALSE)</f>
        <v>-</v>
      </c>
      <c r="AH33" s="5">
        <f>VLOOKUP($A33,'SegEnds_NonXtal_Prot#'!$A:$AL,17,FALSE)</f>
        <v>510</v>
      </c>
      <c r="AI33" s="5" t="str">
        <f>VLOOKUP($A33,'SegEnds_NonXtal_Prot#'!$A:$AL,20,FALSE)</f>
        <v>-</v>
      </c>
      <c r="AJ33" s="5">
        <f>VLOOKUP($A33,'SegEnds_NonXtal_Prot#'!$A:$AL,23,FALSE)</f>
        <v>538</v>
      </c>
      <c r="AK33" s="5">
        <f>VLOOKUP($A33,'SegEnds_NonXtal_Prot#'!$A:$AL,26,FALSE)</f>
        <v>575</v>
      </c>
      <c r="AL33" s="5">
        <f>VLOOKUP($A33,'SegEnds_NonXtal_Prot#'!$A:$AL,29,FALSE)</f>
        <v>600</v>
      </c>
      <c r="AM33" s="5">
        <f>VLOOKUP($A33,'SegEnds_NonXtal_Prot#'!$A:$AL,32,FALSE)</f>
        <v>633</v>
      </c>
      <c r="AN33" s="5">
        <f>VLOOKUP($A33,'SegEnds_NonXtal_Prot#'!$A:$AL,35,FALSE)</f>
        <v>672</v>
      </c>
      <c r="AO33" s="5">
        <f>VLOOKUP($A33,'SegEnds_NonXtal_Prot#'!$A:$AL,38,FALSE)</f>
        <v>685</v>
      </c>
      <c r="AP33" s="5">
        <f t="shared" si="13"/>
        <v>26</v>
      </c>
      <c r="AQ33" s="4">
        <f t="shared" si="14"/>
        <v>6</v>
      </c>
      <c r="AR33" s="4">
        <f t="shared" si="15"/>
        <v>22</v>
      </c>
      <c r="AS33" s="4" t="str">
        <f t="shared" si="16"/>
        <v>-</v>
      </c>
      <c r="AT33" s="4">
        <f t="shared" si="17"/>
        <v>32</v>
      </c>
      <c r="AU33" s="4" t="str">
        <f t="shared" si="18"/>
        <v>-</v>
      </c>
      <c r="AV33" s="4">
        <f t="shared" si="19"/>
        <v>26</v>
      </c>
      <c r="AW33" s="4">
        <f t="shared" si="20"/>
        <v>2</v>
      </c>
      <c r="AX33" s="4">
        <f t="shared" si="21"/>
        <v>24</v>
      </c>
      <c r="AY33" s="4">
        <f t="shared" si="22"/>
        <v>24</v>
      </c>
      <c r="AZ33" s="4">
        <f t="shared" si="23"/>
        <v>29</v>
      </c>
      <c r="BA33" s="4">
        <f t="shared" si="24"/>
        <v>12</v>
      </c>
    </row>
    <row r="34" spans="1:53" x14ac:dyDescent="0.2">
      <c r="A34" s="1" t="str">
        <f>'SegEnds_NonXtal_Prot#'!A363</f>
        <v>gpc6a_human</v>
      </c>
      <c r="B34" s="1" t="str">
        <f t="shared" si="0"/>
        <v>SLAILLLILSLLGIIFVLVVGIIFTRNGGLRVCYVILLCHFLNFASTSFFIDFTCKTRQTMFGVSFTLCISCILTKSLKILLAFCLYRPILIIFTCTGIQVVICTLWLIFAILAFGTMLGYIAILAFICFIFAFKGEAKFITFGMLIYFIAWITFIPIYATVPAVEIIVILISNYGILYCTFIPKCYVIICKQEINTKSAFLKM</v>
      </c>
      <c r="C34" s="29" t="str">
        <f>IF(ISERROR(MATCH(A34,'SegEnds_Xtal_Prot#'!B:B, 0)), "NoXtal", "Xtal")</f>
        <v>NoXtal</v>
      </c>
      <c r="D34" s="4" t="str">
        <f>VLOOKUP(A34,Classification!A:D,2,FALSE)</f>
        <v>C</v>
      </c>
      <c r="E34" s="5" t="str">
        <f>VLOOKUP(A34,Seqs!A:B,2,FALSE)</f>
        <v>MAFLIILITCFVIILATSQPCQTPDDFVAATSPGHIIIGGLFAIHEKMLSSEDSPRRPQIQECVGFEISVFLQTLAMIHSIEMINNSTLLPGVKLGYEIYDTCTEVTVAMAATLRFLSKFNCSRETVEFKCDYSSYMPRVKAVIGSGYSEITMAVSRMLNLQLMPQVGYESTAEILSDKIRFPSFLRTVPSDFHQIKAMAHLIQKSGWNWIGIITTDDDYGRLALNTFIIQAEANNVCIAFKEVLPAFLSDNTIEVRINRTLKKIILEAQVNVIVVFLRQFHVFDLFNKAIEMNINKMWIASDNWSTATKITTIPNVKKIGKVVGFAFRRGNISSFHSFLQNLHLLPSDSHKLLHEYAMHLSACAYVKDTDLSQCIFNHSQRTLAYKANKAIERNFVMRNDFLWDYAEPGLIHSIQLAVFALGYAIRDLCQARDCQNPNAFQPWELLGVLKNVTFTDGWNSFHFDAHGDLNTGYDVVLWKEINGHMTVTKMAEYDLQNDVFIIPDQETKNEFRNLKQIQSKCSKECSPGQMKKTTRSQHICCYECQNCPENHYTNQTDMPHCLLCNNKTHWAPVRSTMCFEKEVEYLNWNDSLAILLLILSLLGIIFVLVVGIIFTRNLNTPVVKSSGGLRVCYVILLCHFLNFASTSFFIGEPQDFTCKTRQTMFGVSFTLCISCILTKSLKILLAFSFDPKLQKFLKCLYRPILIIFTCTGIQVVICTLWLIFAAPTVEVNVSLPRVIILECEEGSILAFGTMLGYIAILAFICFIFAFKGKYENYNEAKFITFGMLIYFIAWITFIPIYATTFGKYVPAVEIIVILISNYGILYCTFIPKCYVIICKQEINTKSAFLKMIYSYSSHSVSSIALSPASLDSMSGNVTMTNPSSSGKSATWQKSKDLQAQAFAHICRENATSVSKTLPRKRMSSI</v>
      </c>
      <c r="F34" s="5" t="str">
        <f t="shared" si="1"/>
        <v>SLAILLLILSLLGIIFVLVVGIIFTRN</v>
      </c>
      <c r="G34" s="4" t="str">
        <f t="shared" si="2"/>
        <v>TPVVKSS</v>
      </c>
      <c r="H34" s="4" t="str">
        <f t="shared" si="3"/>
        <v>GGLRVCYVILLCHFLNFASTSFFI</v>
      </c>
      <c r="I34" s="4" t="str">
        <f t="shared" si="4"/>
        <v/>
      </c>
      <c r="J34" s="4" t="str">
        <f t="shared" si="5"/>
        <v>DFTCKTRQTMFGVSFTLCISCILTKSLKILLAF</v>
      </c>
      <c r="K34" s="4" t="str">
        <f t="shared" si="6"/>
        <v/>
      </c>
      <c r="L34" s="4" t="str">
        <f t="shared" si="7"/>
        <v>CLYRPILIIFTCTGIQVVICTLWLIFA</v>
      </c>
      <c r="M34" s="4" t="str">
        <f t="shared" si="8"/>
        <v>CEE</v>
      </c>
      <c r="N34" s="4" t="str">
        <f t="shared" si="9"/>
        <v>ILAFGTMLGYIAILAFICFIFAFKG</v>
      </c>
      <c r="O34" s="4" t="str">
        <f t="shared" si="10"/>
        <v>EAKFITFGMLIYFIAWITFIPIYAT</v>
      </c>
      <c r="P34" s="4" t="str">
        <f t="shared" si="11"/>
        <v>VPAVEIIVILISNYGILYCTFIPKCYVIIC</v>
      </c>
      <c r="Q34" s="4" t="str">
        <f t="shared" si="12"/>
        <v>KQEINTKSAFLKM</v>
      </c>
      <c r="R34" s="5">
        <f>VLOOKUP($A34,'SegEnds_NonXtal_Prot#'!$A:$AL,3,FALSE)</f>
        <v>592</v>
      </c>
      <c r="S34" s="5">
        <f>VLOOKUP($A34,'SegEnds_NonXtal_Prot#'!$A:$AL,6,FALSE)</f>
        <v>621</v>
      </c>
      <c r="T34" s="5">
        <f>VLOOKUP($A34,'SegEnds_NonXtal_Prot#'!$A:$AL,9,FALSE)</f>
        <v>628</v>
      </c>
      <c r="U34" s="5" t="str">
        <f>VLOOKUP($A34,'SegEnds_NonXtal_Prot#'!$A:$AL,12,FALSE)</f>
        <v>-</v>
      </c>
      <c r="V34" s="5">
        <f>VLOOKUP($A34,'SegEnds_NonXtal_Prot#'!$A:$AL,15,FALSE)</f>
        <v>656</v>
      </c>
      <c r="W34" s="5" t="str">
        <f>VLOOKUP($A34,'SegEnds_NonXtal_Prot#'!$A:$AL,18,FALSE)</f>
        <v>-</v>
      </c>
      <c r="X34" s="5">
        <f>VLOOKUP($A34,'SegEnds_NonXtal_Prot#'!$A:$AL,21,FALSE)</f>
        <v>700</v>
      </c>
      <c r="Y34" s="5">
        <f>VLOOKUP($A34,'SegEnds_NonXtal_Prot#'!$A:$AL,24,FALSE)</f>
        <v>744</v>
      </c>
      <c r="Z34" s="5">
        <f>VLOOKUP($A34,'SegEnds_NonXtal_Prot#'!$A:$AL,27,FALSE)</f>
        <v>749</v>
      </c>
      <c r="AA34" s="5">
        <f>VLOOKUP($A34,'SegEnds_NonXtal_Prot#'!$A:$AL,30,FALSE)</f>
        <v>780</v>
      </c>
      <c r="AB34" s="5">
        <f>VLOOKUP($A34,'SegEnds_NonXtal_Prot#'!$A:$AL,33,FALSE)</f>
        <v>810</v>
      </c>
      <c r="AC34" s="5">
        <f>VLOOKUP($A34,'SegEnds_NonXtal_Prot#'!$A:$AL,36,FALSE)</f>
        <v>840</v>
      </c>
      <c r="AD34" s="5">
        <f>VLOOKUP($A34,'SegEnds_NonXtal_Prot#'!$A:$AL,5,FALSE)</f>
        <v>618</v>
      </c>
      <c r="AE34" s="5">
        <f>VLOOKUP($A34,'SegEnds_NonXtal_Prot#'!$A:$AL,8,FALSE)</f>
        <v>627</v>
      </c>
      <c r="AF34" s="5">
        <f>VLOOKUP($A34,'SegEnds_NonXtal_Prot#'!$A:$AL,11,FALSE)</f>
        <v>651</v>
      </c>
      <c r="AG34" s="5" t="str">
        <f>VLOOKUP($A34,'SegEnds_NonXtal_Prot#'!$A:$AL,14,FALSE)</f>
        <v>-</v>
      </c>
      <c r="AH34" s="5">
        <f>VLOOKUP($A34,'SegEnds_NonXtal_Prot#'!$A:$AL,17,FALSE)</f>
        <v>688</v>
      </c>
      <c r="AI34" s="5" t="str">
        <f>VLOOKUP($A34,'SegEnds_NonXtal_Prot#'!$A:$AL,20,FALSE)</f>
        <v>-</v>
      </c>
      <c r="AJ34" s="5">
        <f>VLOOKUP($A34,'SegEnds_NonXtal_Prot#'!$A:$AL,23,FALSE)</f>
        <v>726</v>
      </c>
      <c r="AK34" s="5">
        <f>VLOOKUP($A34,'SegEnds_NonXtal_Prot#'!$A:$AL,26,FALSE)</f>
        <v>746</v>
      </c>
      <c r="AL34" s="5">
        <f>VLOOKUP($A34,'SegEnds_NonXtal_Prot#'!$A:$AL,29,FALSE)</f>
        <v>773</v>
      </c>
      <c r="AM34" s="5">
        <f>VLOOKUP($A34,'SegEnds_NonXtal_Prot#'!$A:$AL,32,FALSE)</f>
        <v>804</v>
      </c>
      <c r="AN34" s="5">
        <f>VLOOKUP($A34,'SegEnds_NonXtal_Prot#'!$A:$AL,35,FALSE)</f>
        <v>839</v>
      </c>
      <c r="AO34" s="5">
        <f>VLOOKUP($A34,'SegEnds_NonXtal_Prot#'!$A:$AL,38,FALSE)</f>
        <v>852</v>
      </c>
      <c r="AP34" s="5">
        <f t="shared" si="13"/>
        <v>26</v>
      </c>
      <c r="AQ34" s="4">
        <f t="shared" si="14"/>
        <v>6</v>
      </c>
      <c r="AR34" s="4">
        <f t="shared" si="15"/>
        <v>23</v>
      </c>
      <c r="AS34" s="4" t="str">
        <f t="shared" si="16"/>
        <v>-</v>
      </c>
      <c r="AT34" s="4">
        <f t="shared" si="17"/>
        <v>32</v>
      </c>
      <c r="AU34" s="4" t="str">
        <f t="shared" si="18"/>
        <v>-</v>
      </c>
      <c r="AV34" s="4">
        <f t="shared" si="19"/>
        <v>26</v>
      </c>
      <c r="AW34" s="4">
        <f t="shared" si="20"/>
        <v>2</v>
      </c>
      <c r="AX34" s="4">
        <f t="shared" si="21"/>
        <v>24</v>
      </c>
      <c r="AY34" s="4">
        <f t="shared" si="22"/>
        <v>24</v>
      </c>
      <c r="AZ34" s="4">
        <f t="shared" si="23"/>
        <v>29</v>
      </c>
      <c r="BA34" s="4">
        <f t="shared" si="24"/>
        <v>12</v>
      </c>
    </row>
    <row r="35" spans="1:53" x14ac:dyDescent="0.2">
      <c r="A35" s="1" t="str">
        <f>'SegEnds_NonXtal_Prot#'!A367</f>
        <v>gpr75_human</v>
      </c>
      <c r="B35" s="1" t="str">
        <f t="shared" si="0"/>
        <v>DLIHTATLVTCTFLLAVIFCLGSYGNFIVFLSFFDPTNFDFMILNLSFCDLFICGVTAPMFTFVLFFSSIPDAFCFTFHLTSSGFIIMSLKTVAVIALHRLRMVLGSFPCTVLLTLLLWATSFTLATLATLKTKGKAILSLYVVDFTFCVAVVSVSYIMIAQTLRKNAQVRKCPPNLSTAKDSKAVVTCVIIVLSVLVCCLPLGISLVQVVLSLYQFELFGFTLIFFKSGLNPFIYSRSAGLRRKVLWCLQ</v>
      </c>
      <c r="C35" s="29" t="str">
        <f>IF(ISERROR(MATCH(A35,'SegEnds_Xtal_Prot#'!B:B, 0)), "NoXtal", "Xtal")</f>
        <v>NoXtal</v>
      </c>
      <c r="D35" s="4" t="str">
        <f>VLOOKUP(A35,Classification!A:D,2,FALSE)</f>
        <v>A</v>
      </c>
      <c r="E35" s="5" t="str">
        <f>VLOOKUP(A35,Seqs!A:B,2,FALSE)</f>
        <v>MNSTGHLQDAPNATSLHVPHSQEGNSTSLQEGLQDLIHTATLVTCTFLLAVIFCLGSYGNFIVFLSFFDPAFRKFRTNFDFMILNLSFCDLFICGVTAPMFTFVLFFSSASSIPDAFCFTFHLTSSGFIIMSLKTVAVIALHRLRMVLGKQPNRTASFPCTVLLTLLLWATSFTLATLATLKTSKSHLCLPMSSLIAGKGKAILSLYVVDFTFCVAVVSVSYIMIAQTLRKNAQVRKCPPVITVDASRPQPFMGVPVQGGGDPIQCAMPALYRNQNYNKLQHVQTRGYTKSPNQLVTPAASRLQLVSAINLSTAKDSKAVVTCVIIVLSVLVCCLPLGISLVQVVLSSNGSFILYQFELFGFTLIFFKSGLNPFIYSRNSAGLRRKVLWCLQYIGLGFFCCKQKTRLRAMGKGNLEVNRNKSSHHETNSAYMLSPKPQKKFVDQACGPSHSKESMVSPKISAGHQHCGQSSSTPINTRIEPYYSIYNSSPSQEESSPCNLQPVNSFGFANSYIAMHYHTTNDLVQEYDSTSAKQIPVPSV</v>
      </c>
      <c r="F35" s="5" t="str">
        <f t="shared" si="1"/>
        <v>DLIHTATLVTCTFLLAVIFCLGSYGNFIVFLSFFDP</v>
      </c>
      <c r="G35" s="4" t="str">
        <f t="shared" si="2"/>
        <v>RKFR</v>
      </c>
      <c r="H35" s="4" t="str">
        <f t="shared" si="3"/>
        <v>TNFDFMILNLSFCDLFICGVTAPMFTFVLFF</v>
      </c>
      <c r="I35" s="4" t="str">
        <f t="shared" si="4"/>
        <v/>
      </c>
      <c r="J35" s="4" t="str">
        <f t="shared" si="5"/>
        <v>SSIPDAFCFTFHLTSSGFIIMSLKTVAVIALHRLRMVLG</v>
      </c>
      <c r="K35" s="4" t="str">
        <f t="shared" si="6"/>
        <v/>
      </c>
      <c r="L35" s="4" t="str">
        <f t="shared" si="7"/>
        <v>SFPCTVLLTLLLWATSFTLATLATLKT</v>
      </c>
      <c r="M35" s="4" t="str">
        <f t="shared" si="8"/>
        <v>CLP</v>
      </c>
      <c r="N35" s="4" t="str">
        <f t="shared" si="9"/>
        <v>KGKAILSLYVVDFTFCVAVVSVSYIMIAQTLRKNAQVRKCPP</v>
      </c>
      <c r="O35" s="4" t="str">
        <f t="shared" si="10"/>
        <v>NLSTAKDSKAVVTCVIIVLSVLVCCLPLGISLVQVVLS</v>
      </c>
      <c r="P35" s="4" t="str">
        <f t="shared" si="11"/>
        <v>LYQFELFGFTLIFFKSGLNPFIYSR</v>
      </c>
      <c r="Q35" s="4" t="str">
        <f t="shared" si="12"/>
        <v>SAGLRRKVLWCLQ</v>
      </c>
      <c r="R35" s="5">
        <f>VLOOKUP($A35,'SegEnds_NonXtal_Prot#'!$A:$AL,3,FALSE)</f>
        <v>35</v>
      </c>
      <c r="S35" s="5">
        <f>VLOOKUP($A35,'SegEnds_NonXtal_Prot#'!$A:$AL,6,FALSE)</f>
        <v>73</v>
      </c>
      <c r="T35" s="5">
        <f>VLOOKUP($A35,'SegEnds_NonXtal_Prot#'!$A:$AL,9,FALSE)</f>
        <v>77</v>
      </c>
      <c r="U35" s="5" t="str">
        <f>VLOOKUP($A35,'SegEnds_NonXtal_Prot#'!$A:$AL,12,FALSE)</f>
        <v>-</v>
      </c>
      <c r="V35" s="5">
        <f>VLOOKUP($A35,'SegEnds_NonXtal_Prot#'!$A:$AL,15,FALSE)</f>
        <v>111</v>
      </c>
      <c r="W35" s="5" t="str">
        <f>VLOOKUP($A35,'SegEnds_NonXtal_Prot#'!$A:$AL,18,FALSE)</f>
        <v>-</v>
      </c>
      <c r="X35" s="5">
        <f>VLOOKUP($A35,'SegEnds_NonXtal_Prot#'!$A:$AL,21,FALSE)</f>
        <v>157</v>
      </c>
      <c r="Y35" s="5">
        <f>VLOOKUP($A35,'SegEnds_NonXtal_Prot#'!$A:$AL,24,FALSE)</f>
        <v>189</v>
      </c>
      <c r="Z35" s="5">
        <f>VLOOKUP($A35,'SegEnds_NonXtal_Prot#'!$A:$AL,27,FALSE)</f>
        <v>199</v>
      </c>
      <c r="AA35" s="5">
        <f>VLOOKUP($A35,'SegEnds_NonXtal_Prot#'!$A:$AL,30,FALSE)</f>
        <v>310</v>
      </c>
      <c r="AB35" s="5">
        <f>VLOOKUP($A35,'SegEnds_NonXtal_Prot#'!$A:$AL,33,FALSE)</f>
        <v>354</v>
      </c>
      <c r="AC35" s="5">
        <f>VLOOKUP($A35,'SegEnds_NonXtal_Prot#'!$A:$AL,36,FALSE)</f>
        <v>380</v>
      </c>
      <c r="AD35" s="5">
        <f>VLOOKUP($A35,'SegEnds_NonXtal_Prot#'!$A:$AL,5,FALSE)</f>
        <v>70</v>
      </c>
      <c r="AE35" s="5">
        <f>VLOOKUP($A35,'SegEnds_NonXtal_Prot#'!$A:$AL,8,FALSE)</f>
        <v>76</v>
      </c>
      <c r="AF35" s="5">
        <f>VLOOKUP($A35,'SegEnds_NonXtal_Prot#'!$A:$AL,11,FALSE)</f>
        <v>107</v>
      </c>
      <c r="AG35" s="5" t="str">
        <f>VLOOKUP($A35,'SegEnds_NonXtal_Prot#'!$A:$AL,14,FALSE)</f>
        <v>-</v>
      </c>
      <c r="AH35" s="5">
        <f>VLOOKUP($A35,'SegEnds_NonXtal_Prot#'!$A:$AL,17,FALSE)</f>
        <v>149</v>
      </c>
      <c r="AI35" s="5" t="str">
        <f>VLOOKUP($A35,'SegEnds_NonXtal_Prot#'!$A:$AL,20,FALSE)</f>
        <v>-</v>
      </c>
      <c r="AJ35" s="5">
        <f>VLOOKUP($A35,'SegEnds_NonXtal_Prot#'!$A:$AL,23,FALSE)</f>
        <v>183</v>
      </c>
      <c r="AK35" s="5">
        <f>VLOOKUP($A35,'SegEnds_NonXtal_Prot#'!$A:$AL,26,FALSE)</f>
        <v>191</v>
      </c>
      <c r="AL35" s="5">
        <f>VLOOKUP($A35,'SegEnds_NonXtal_Prot#'!$A:$AL,29,FALSE)</f>
        <v>240</v>
      </c>
      <c r="AM35" s="5">
        <f>VLOOKUP($A35,'SegEnds_NonXtal_Prot#'!$A:$AL,32,FALSE)</f>
        <v>347</v>
      </c>
      <c r="AN35" s="5">
        <f>VLOOKUP($A35,'SegEnds_NonXtal_Prot#'!$A:$AL,35,FALSE)</f>
        <v>378</v>
      </c>
      <c r="AO35" s="5">
        <f>VLOOKUP($A35,'SegEnds_NonXtal_Prot#'!$A:$AL,38,FALSE)</f>
        <v>392</v>
      </c>
      <c r="AP35" s="5">
        <f t="shared" si="13"/>
        <v>35</v>
      </c>
      <c r="AQ35" s="4">
        <f t="shared" si="14"/>
        <v>3</v>
      </c>
      <c r="AR35" s="4">
        <f t="shared" si="15"/>
        <v>30</v>
      </c>
      <c r="AS35" s="4" t="str">
        <f t="shared" si="16"/>
        <v>-</v>
      </c>
      <c r="AT35" s="4">
        <f t="shared" si="17"/>
        <v>38</v>
      </c>
      <c r="AU35" s="4" t="str">
        <f t="shared" si="18"/>
        <v>-</v>
      </c>
      <c r="AV35" s="4">
        <f t="shared" si="19"/>
        <v>26</v>
      </c>
      <c r="AW35" s="4">
        <f t="shared" si="20"/>
        <v>2</v>
      </c>
      <c r="AX35" s="4">
        <f t="shared" si="21"/>
        <v>41</v>
      </c>
      <c r="AY35" s="4">
        <f t="shared" si="22"/>
        <v>37</v>
      </c>
      <c r="AZ35" s="4">
        <f t="shared" si="23"/>
        <v>24</v>
      </c>
      <c r="BA35" s="4">
        <f t="shared" si="24"/>
        <v>12</v>
      </c>
    </row>
    <row r="36" spans="1:53" x14ac:dyDescent="0.2">
      <c r="A36" s="1" t="str">
        <f>'SegEnds_NonXtal_Prot#'!A383</f>
        <v>npff1_human</v>
      </c>
      <c r="B36" s="1" t="str">
        <f t="shared" si="0"/>
        <v>AAMFIVAYALIFLLCMVGNTLVCFIVLKNTVTNMFILNLAVSDLLVGIFCMPTTLVDNLIDNATCKMSGLVQGMSVSASVFTLVAIAVERFRCIVHTLRKALVTIAVIWALALLIMCPSAVTLKGMRRVYTTVLFSHIYLAPLALIVVMYARIARKLCQAPGPAPRASRRRARVVHMLVMVALFFTLSWLPLWALLLLIDYGHLVTVYAFPFAHWLAFFNSSANPIIYGYFNENFRRGFQAAF</v>
      </c>
      <c r="C36" s="29" t="str">
        <f>IF(ISERROR(MATCH(A36,'SegEnds_Xtal_Prot#'!B:B, 0)), "NoXtal", "Xtal")</f>
        <v>NoXtal</v>
      </c>
      <c r="D36" s="4" t="str">
        <f>VLOOKUP(A36,Classification!A:D,2,FALSE)</f>
        <v>A</v>
      </c>
      <c r="E36" s="5" t="str">
        <f>VLOOKUP(A36,Seqs!A:B,2,FALSE)</f>
        <v>MEGEPSQPPNSSWPLSQNGTNTEATPATNLTFSSYYQHTSPVAAMFIVAYALIFLLCMVGNTLVCFIVLKNRHMHTVTNMFILNLAVSDLLVGIFCMPTTLVDNLITGWPFDNATCKMSGLVQGMSVSASVFTLVAIAVERFRCIVHPFREKLTLRKALVTIAVIWALALLIMCPSAVTLTVTREEHHFMVDARNRSYPLYSCWEAWPEKGMRRVYTTVLFSHIYLAPLALIVVMYARIARKLCQAPGPAPGGEEAADPRASRRRARVVHMLVMVALFFTLSWLPLWALLLLIDYGQLSAPQLHLVTVYAFPFAHWLAFFNSSANPIIYGYFNENFRRGFQAAFRARLCPRPSGSHKEAYSERPGGLLHRRVFVVVRPSDSGLPSESGPSSGAPRPGRLPLRNGRVAHHGLPREGPGCSHLPLTIPAWDI</v>
      </c>
      <c r="F36" s="5" t="str">
        <f t="shared" si="1"/>
        <v>AAMFIVAYALIFLLCMVGNTLVCFIVLKN</v>
      </c>
      <c r="G36" s="4" t="str">
        <f t="shared" si="2"/>
        <v>RHMH</v>
      </c>
      <c r="H36" s="4" t="str">
        <f t="shared" si="3"/>
        <v>TVTNMFILNLAVSDLLVGIFCMPTTLVDNLI</v>
      </c>
      <c r="I36" s="4" t="str">
        <f t="shared" si="4"/>
        <v>GWPF</v>
      </c>
      <c r="J36" s="4" t="str">
        <f t="shared" si="5"/>
        <v>DNATCKMSGLVQGMSVSASVFTLVAIAVERFRCIVH</v>
      </c>
      <c r="K36" s="4" t="str">
        <f t="shared" si="6"/>
        <v/>
      </c>
      <c r="L36" s="4" t="str">
        <f t="shared" si="7"/>
        <v>TLRKALVTIAVIWALALLIMCPSAVTL</v>
      </c>
      <c r="M36" s="4" t="str">
        <f t="shared" si="8"/>
        <v>CWE</v>
      </c>
      <c r="N36" s="4" t="str">
        <f t="shared" si="9"/>
        <v>KGMRRVYTTVLFSHIYLAPLALIVVMYARIARKLCQAPGPA</v>
      </c>
      <c r="O36" s="4" t="str">
        <f t="shared" si="10"/>
        <v>PRASRRRARVVHMLVMVALFFTLSWLPLWALLLLIDYG</v>
      </c>
      <c r="P36" s="4" t="str">
        <f t="shared" si="11"/>
        <v>HLVTVYAFPFAHWLAFFNSSANPIIYGYF</v>
      </c>
      <c r="Q36" s="4" t="str">
        <f t="shared" si="12"/>
        <v>NENFRRGFQAAF</v>
      </c>
      <c r="R36" s="5">
        <f>VLOOKUP($A36,'SegEnds_NonXtal_Prot#'!$A:$AL,3,FALSE)</f>
        <v>43</v>
      </c>
      <c r="S36" s="5">
        <f>VLOOKUP($A36,'SegEnds_NonXtal_Prot#'!$A:$AL,6,FALSE)</f>
        <v>72</v>
      </c>
      <c r="T36" s="5">
        <f>VLOOKUP($A36,'SegEnds_NonXtal_Prot#'!$A:$AL,9,FALSE)</f>
        <v>76</v>
      </c>
      <c r="U36" s="5">
        <f>VLOOKUP($A36,'SegEnds_NonXtal_Prot#'!$A:$AL,12,FALSE)</f>
        <v>108</v>
      </c>
      <c r="V36" s="5">
        <f>VLOOKUP($A36,'SegEnds_NonXtal_Prot#'!$A:$AL,15,FALSE)</f>
        <v>112</v>
      </c>
      <c r="W36" s="5" t="str">
        <f>VLOOKUP($A36,'SegEnds_NonXtal_Prot#'!$A:$AL,18,FALSE)</f>
        <v>-</v>
      </c>
      <c r="X36" s="5">
        <f>VLOOKUP($A36,'SegEnds_NonXtal_Prot#'!$A:$AL,21,FALSE)</f>
        <v>154</v>
      </c>
      <c r="Y36" s="5">
        <f>VLOOKUP($A36,'SegEnds_NonXtal_Prot#'!$A:$AL,24,FALSE)</f>
        <v>203</v>
      </c>
      <c r="Z36" s="5">
        <f>VLOOKUP($A36,'SegEnds_NonXtal_Prot#'!$A:$AL,27,FALSE)</f>
        <v>210</v>
      </c>
      <c r="AA36" s="5">
        <f>VLOOKUP($A36,'SegEnds_NonXtal_Prot#'!$A:$AL,30,FALSE)</f>
        <v>259</v>
      </c>
      <c r="AB36" s="5">
        <f>VLOOKUP($A36,'SegEnds_NonXtal_Prot#'!$A:$AL,33,FALSE)</f>
        <v>304</v>
      </c>
      <c r="AC36" s="5">
        <f>VLOOKUP($A36,'SegEnds_NonXtal_Prot#'!$A:$AL,36,FALSE)</f>
        <v>333</v>
      </c>
      <c r="AD36" s="5">
        <f>VLOOKUP($A36,'SegEnds_NonXtal_Prot#'!$A:$AL,5,FALSE)</f>
        <v>71</v>
      </c>
      <c r="AE36" s="5">
        <f>VLOOKUP($A36,'SegEnds_NonXtal_Prot#'!$A:$AL,8,FALSE)</f>
        <v>75</v>
      </c>
      <c r="AF36" s="5">
        <f>VLOOKUP($A36,'SegEnds_NonXtal_Prot#'!$A:$AL,11,FALSE)</f>
        <v>106</v>
      </c>
      <c r="AG36" s="5">
        <f>VLOOKUP($A36,'SegEnds_NonXtal_Prot#'!$A:$AL,14,FALSE)</f>
        <v>111</v>
      </c>
      <c r="AH36" s="5">
        <f>VLOOKUP($A36,'SegEnds_NonXtal_Prot#'!$A:$AL,17,FALSE)</f>
        <v>147</v>
      </c>
      <c r="AI36" s="5" t="str">
        <f>VLOOKUP($A36,'SegEnds_NonXtal_Prot#'!$A:$AL,20,FALSE)</f>
        <v>-</v>
      </c>
      <c r="AJ36" s="5">
        <f>VLOOKUP($A36,'SegEnds_NonXtal_Prot#'!$A:$AL,23,FALSE)</f>
        <v>180</v>
      </c>
      <c r="AK36" s="5">
        <f>VLOOKUP($A36,'SegEnds_NonXtal_Prot#'!$A:$AL,26,FALSE)</f>
        <v>205</v>
      </c>
      <c r="AL36" s="5">
        <f>VLOOKUP($A36,'SegEnds_NonXtal_Prot#'!$A:$AL,29,FALSE)</f>
        <v>250</v>
      </c>
      <c r="AM36" s="5">
        <f>VLOOKUP($A36,'SegEnds_NonXtal_Prot#'!$A:$AL,32,FALSE)</f>
        <v>296</v>
      </c>
      <c r="AN36" s="5">
        <f>VLOOKUP($A36,'SegEnds_NonXtal_Prot#'!$A:$AL,35,FALSE)</f>
        <v>332</v>
      </c>
      <c r="AO36" s="5">
        <f>VLOOKUP($A36,'SegEnds_NonXtal_Prot#'!$A:$AL,38,FALSE)</f>
        <v>344</v>
      </c>
      <c r="AP36" s="5">
        <f t="shared" si="13"/>
        <v>28</v>
      </c>
      <c r="AQ36" s="4">
        <f t="shared" si="14"/>
        <v>3</v>
      </c>
      <c r="AR36" s="4">
        <f t="shared" si="15"/>
        <v>30</v>
      </c>
      <c r="AS36" s="4">
        <f t="shared" si="16"/>
        <v>3</v>
      </c>
      <c r="AT36" s="4">
        <f t="shared" si="17"/>
        <v>35</v>
      </c>
      <c r="AU36" s="4" t="str">
        <f t="shared" si="18"/>
        <v>-</v>
      </c>
      <c r="AV36" s="4">
        <f t="shared" si="19"/>
        <v>26</v>
      </c>
      <c r="AW36" s="4">
        <f t="shared" si="20"/>
        <v>2</v>
      </c>
      <c r="AX36" s="4">
        <f t="shared" si="21"/>
        <v>40</v>
      </c>
      <c r="AY36" s="4">
        <f t="shared" si="22"/>
        <v>37</v>
      </c>
      <c r="AZ36" s="4">
        <f t="shared" si="23"/>
        <v>28</v>
      </c>
      <c r="BA36" s="4">
        <f t="shared" si="24"/>
        <v>11</v>
      </c>
    </row>
    <row r="37" spans="1:53" x14ac:dyDescent="0.2">
      <c r="A37" s="1" t="str">
        <f>'SegEnds_NonXtal_Prot#'!A392</f>
        <v>pkr1_human</v>
      </c>
      <c r="B37" s="1" t="str">
        <f t="shared" si="0"/>
        <v>KIVIGMALVGIMLVCGIGNFIFIAALVRYNLTNLLIANLAISDFLVAIVCCPFEMDYYVVGHVLCTSVNYLRTVSLYVSTNALLAIAIDRYLAIVHKCQTATGLIALVWTVSILIAIPSAYFTQLYYKSYFLFIFGIEFVGPVVTMTLCYARISRELWFKAVPGFQIRKRLRCRRKTVLVLMCILTAYVLCWAPFYGFTIVRDFFEKHYLTAFYIVECIAMSNSMINTLCFVTVNDTVKYFKKIML</v>
      </c>
      <c r="C37" s="29" t="str">
        <f>IF(ISERROR(MATCH(A37,'SegEnds_Xtal_Prot#'!B:B, 0)), "NoXtal", "Xtal")</f>
        <v>NoXtal</v>
      </c>
      <c r="D37" s="4" t="str">
        <f>VLOOKUP(A37,Classification!A:D,2,FALSE)</f>
        <v>A</v>
      </c>
      <c r="E37" s="5" t="str">
        <f>VLOOKUP(A37,Seqs!A:B,2,FALSE)</f>
        <v>METTMGFMDDNATNTSTSFLSVLNPHGAHATSFPFNFSYSDYDMPLDEDEDVTNSRTFFAAKIVIGMALVGIMLVCGIGNFIFIAALVRYKKLRNLTNLLIANLAISDFLVAIVCCPFEMDYYVVRQLSWEHGHVLCTSVNYLRTVSLYVSTNALLAIAIDRYLAIVHPLRPRMKCQTATGLIALVWTVSILIAIPSAYFTTETVLVIVKSQEKIFCGQIWPVDQQLYYKSYFLFIFGIEFVGPVVTMTLCYARISRELWFKAVPGFQTEQIRKRLRCRRKTVLVLMCILTAYVLCWAPFYGFTIVRDFFPTVFVKEKHYLTAFYIVECIAMSNSMINTLCFVTVKNDTVKYFKKIMLLHWKASYNGGKSSADLDLKTIGMPATEEVDCIRLK</v>
      </c>
      <c r="F37" s="5" t="str">
        <f t="shared" si="1"/>
        <v>KIVIGMALVGIMLVCGIGNFIFIAALVRY</v>
      </c>
      <c r="G37" s="4" t="str">
        <f t="shared" si="2"/>
        <v>KKLR</v>
      </c>
      <c r="H37" s="4" t="str">
        <f t="shared" si="3"/>
        <v>NLTNLLIANLAISDFLVAIVCCPFEMDYYVV</v>
      </c>
      <c r="I37" s="4" t="str">
        <f t="shared" si="4"/>
        <v>SWEH</v>
      </c>
      <c r="J37" s="4" t="str">
        <f t="shared" si="5"/>
        <v>GHVLCTSVNYLRTVSLYVSTNALLAIAIDRYLAIVH</v>
      </c>
      <c r="K37" s="4" t="str">
        <f t="shared" si="6"/>
        <v/>
      </c>
      <c r="L37" s="4" t="str">
        <f t="shared" si="7"/>
        <v>KCQTATGLIALVWTVSILIAIPSAYFT</v>
      </c>
      <c r="M37" s="4" t="str">
        <f t="shared" si="8"/>
        <v>CGQ</v>
      </c>
      <c r="N37" s="4" t="str">
        <f t="shared" si="9"/>
        <v>QLYYKSYFLFIFGIEFVGPVVTMTLCYARISRELWFKAVPGF</v>
      </c>
      <c r="O37" s="4" t="str">
        <f t="shared" si="10"/>
        <v>QIRKRLRCRRKTVLVLMCILTAYVLCWAPFYGFTIVRDFF</v>
      </c>
      <c r="P37" s="4" t="str">
        <f t="shared" si="11"/>
        <v>EKHYLTAFYIVECIAMSNSMINTLCFVTV</v>
      </c>
      <c r="Q37" s="4" t="str">
        <f t="shared" si="12"/>
        <v>NDTVKYFKKIML</v>
      </c>
      <c r="R37" s="5">
        <f>VLOOKUP($A37,'SegEnds_NonXtal_Prot#'!$A:$AL,3,FALSE)</f>
        <v>62</v>
      </c>
      <c r="S37" s="5">
        <f>VLOOKUP($A37,'SegEnds_NonXtal_Prot#'!$A:$AL,6,FALSE)</f>
        <v>91</v>
      </c>
      <c r="T37" s="5">
        <f>VLOOKUP($A37,'SegEnds_NonXtal_Prot#'!$A:$AL,9,FALSE)</f>
        <v>95</v>
      </c>
      <c r="U37" s="5">
        <f>VLOOKUP($A37,'SegEnds_NonXtal_Prot#'!$A:$AL,12,FALSE)</f>
        <v>129</v>
      </c>
      <c r="V37" s="5">
        <f>VLOOKUP($A37,'SegEnds_NonXtal_Prot#'!$A:$AL,15,FALSE)</f>
        <v>133</v>
      </c>
      <c r="W37" s="5" t="str">
        <f>VLOOKUP($A37,'SegEnds_NonXtal_Prot#'!$A:$AL,18,FALSE)</f>
        <v>-</v>
      </c>
      <c r="X37" s="5">
        <f>VLOOKUP($A37,'SegEnds_NonXtal_Prot#'!$A:$AL,21,FALSE)</f>
        <v>175</v>
      </c>
      <c r="Y37" s="5">
        <f>VLOOKUP($A37,'SegEnds_NonXtal_Prot#'!$A:$AL,24,FALSE)</f>
        <v>217</v>
      </c>
      <c r="Z37" s="5">
        <f>VLOOKUP($A37,'SegEnds_NonXtal_Prot#'!$A:$AL,27,FALSE)</f>
        <v>226</v>
      </c>
      <c r="AA37" s="5">
        <f>VLOOKUP($A37,'SegEnds_NonXtal_Prot#'!$A:$AL,30,FALSE)</f>
        <v>271</v>
      </c>
      <c r="AB37" s="5">
        <f>VLOOKUP($A37,'SegEnds_NonXtal_Prot#'!$A:$AL,33,FALSE)</f>
        <v>317</v>
      </c>
      <c r="AC37" s="5">
        <f>VLOOKUP($A37,'SegEnds_NonXtal_Prot#'!$A:$AL,36,FALSE)</f>
        <v>347</v>
      </c>
      <c r="AD37" s="5">
        <f>VLOOKUP($A37,'SegEnds_NonXtal_Prot#'!$A:$AL,5,FALSE)</f>
        <v>90</v>
      </c>
      <c r="AE37" s="5">
        <f>VLOOKUP($A37,'SegEnds_NonXtal_Prot#'!$A:$AL,8,FALSE)</f>
        <v>94</v>
      </c>
      <c r="AF37" s="5">
        <f>VLOOKUP($A37,'SegEnds_NonXtal_Prot#'!$A:$AL,11,FALSE)</f>
        <v>125</v>
      </c>
      <c r="AG37" s="5">
        <f>VLOOKUP($A37,'SegEnds_NonXtal_Prot#'!$A:$AL,14,FALSE)</f>
        <v>132</v>
      </c>
      <c r="AH37" s="5">
        <f>VLOOKUP($A37,'SegEnds_NonXtal_Prot#'!$A:$AL,17,FALSE)</f>
        <v>168</v>
      </c>
      <c r="AI37" s="5" t="str">
        <f>VLOOKUP($A37,'SegEnds_NonXtal_Prot#'!$A:$AL,20,FALSE)</f>
        <v>-</v>
      </c>
      <c r="AJ37" s="5">
        <f>VLOOKUP($A37,'SegEnds_NonXtal_Prot#'!$A:$AL,23,FALSE)</f>
        <v>201</v>
      </c>
      <c r="AK37" s="5">
        <f>VLOOKUP($A37,'SegEnds_NonXtal_Prot#'!$A:$AL,26,FALSE)</f>
        <v>219</v>
      </c>
      <c r="AL37" s="5">
        <f>VLOOKUP($A37,'SegEnds_NonXtal_Prot#'!$A:$AL,29,FALSE)</f>
        <v>267</v>
      </c>
      <c r="AM37" s="5">
        <f>VLOOKUP($A37,'SegEnds_NonXtal_Prot#'!$A:$AL,32,FALSE)</f>
        <v>310</v>
      </c>
      <c r="AN37" s="5">
        <f>VLOOKUP($A37,'SegEnds_NonXtal_Prot#'!$A:$AL,35,FALSE)</f>
        <v>345</v>
      </c>
      <c r="AO37" s="5">
        <f>VLOOKUP($A37,'SegEnds_NonXtal_Prot#'!$A:$AL,38,FALSE)</f>
        <v>358</v>
      </c>
      <c r="AP37" s="5">
        <f t="shared" si="13"/>
        <v>28</v>
      </c>
      <c r="AQ37" s="4">
        <f t="shared" si="14"/>
        <v>3</v>
      </c>
      <c r="AR37" s="4">
        <f t="shared" si="15"/>
        <v>30</v>
      </c>
      <c r="AS37" s="4">
        <f t="shared" si="16"/>
        <v>3</v>
      </c>
      <c r="AT37" s="4">
        <f t="shared" si="17"/>
        <v>35</v>
      </c>
      <c r="AU37" s="4" t="str">
        <f t="shared" si="18"/>
        <v>-</v>
      </c>
      <c r="AV37" s="4">
        <f t="shared" si="19"/>
        <v>26</v>
      </c>
      <c r="AW37" s="4">
        <f t="shared" si="20"/>
        <v>2</v>
      </c>
      <c r="AX37" s="4">
        <f t="shared" si="21"/>
        <v>41</v>
      </c>
      <c r="AY37" s="4">
        <f t="shared" si="22"/>
        <v>39</v>
      </c>
      <c r="AZ37" s="4">
        <f t="shared" si="23"/>
        <v>28</v>
      </c>
      <c r="BA37" s="4">
        <f t="shared" si="24"/>
        <v>11</v>
      </c>
    </row>
    <row r="38" spans="1:53" x14ac:dyDescent="0.2">
      <c r="A38" s="1" t="str">
        <f>'SegEnds_NonXtal_Prot#'!A398</f>
        <v>sctr_human</v>
      </c>
      <c r="B38" s="1" t="str">
        <f t="shared" si="0"/>
        <v>HSYLLKLKVMYTVGYSSSLVMLLVALGILCAFCTRNYIHMHLFVSFILRALSNFIKDAVLHRAGCKLVMVLFQYCIMANYSWLLVEGLYLHTLLAIERKYLQGFVAFGWGSPAIFVALWAIARHFLEIWWIIRGPVILSILINFILFINILRILMRKLNEVSHYKRLARSTLLLIPLFGIHYIVFAFSPEDAMEIQLFFELALGSFQGLVVAVLYCFLNGEVQLEVQKKWQQWHLREFPLHPVA</v>
      </c>
      <c r="C38" s="29" t="str">
        <f>IF(ISERROR(MATCH(A38,'SegEnds_Xtal_Prot#'!B:B, 0)), "NoXtal", "Xtal")</f>
        <v>NoXtal</v>
      </c>
      <c r="D38" s="4" t="str">
        <f>VLOOKUP(A38,Classification!A:D,2,FALSE)</f>
        <v>B1</v>
      </c>
      <c r="E38" s="5" t="str">
        <f>VLOOKUP(A38,Seqs!A:B,2,FALSE)</f>
        <v>MRPHLSPPLQQLLLPVLLACAAHSTGALPRLCDVLQVLWEEQDQCLQELSREQTGDLGTEQPVPGCEGMWDNISCWPSSVPGRMVEVECPRFLRMLTSRNGSLFRNCTQDGWSETFPRPNLACGVNVNDSSNEKRHSYLLKLKVMYTVGYSSSLVMLLVALGILCAFRRLHCTRNYIHMHLFVSFILRALSNFIKDAVLFSSDDVTYCDAHRAGCKLVMVLFQYCIMANYSWLLVEGLYLHTLLAISFFSERKYLQGFVAFGWGSPAIFVALWAIARHFLEDVGCWDINANASIWWIIRGPVILSILINFILFINILRILMRKLRTQETRGNEVSHYKRLARSTLLLIPLFGIHYIVFAFSPEDAMEIQLFFELALGSFQGLVVAVLYCFLNGEVQLEVQKKWQQWHLREFPLHPVASFSNSTKASHLEQSQGTCRTSII</v>
      </c>
      <c r="F38" s="5" t="str">
        <f t="shared" si="1"/>
        <v>HSYLLKLKVMYTVGYSSSLVMLLVALGILCAF</v>
      </c>
      <c r="G38" s="4" t="str">
        <f t="shared" si="2"/>
        <v>RRLH</v>
      </c>
      <c r="H38" s="4" t="str">
        <f t="shared" si="3"/>
        <v>CTRNYIHMHLFVSFILRALSNFIKDAVL</v>
      </c>
      <c r="I38" s="4" t="str">
        <f t="shared" si="4"/>
        <v/>
      </c>
      <c r="J38" s="4" t="str">
        <f t="shared" si="5"/>
        <v>HRAGCKLVMVLFQYCIMANYSWLLVEGLYLHTLLAI</v>
      </c>
      <c r="K38" s="4" t="str">
        <f t="shared" si="6"/>
        <v/>
      </c>
      <c r="L38" s="4" t="str">
        <f t="shared" si="7"/>
        <v>ERKYLQGFVAFGWGSPAIFVALWAIARHFLE</v>
      </c>
      <c r="M38" s="4" t="str">
        <f t="shared" si="8"/>
        <v>CWD</v>
      </c>
      <c r="N38" s="4" t="str">
        <f t="shared" si="9"/>
        <v>IWWIIRGPVILSILINFILFINILRILMRKL</v>
      </c>
      <c r="O38" s="4" t="str">
        <f t="shared" si="10"/>
        <v>NEVSHYKRLARSTLLLIPLFGIHYIVFAFSPEDA</v>
      </c>
      <c r="P38" s="4" t="str">
        <f t="shared" si="11"/>
        <v>MEIQLFFELALGSFQGLVVAVLYCFL</v>
      </c>
      <c r="Q38" s="4" t="str">
        <f t="shared" si="12"/>
        <v>NGEVQLEVQKKWQQWHLREFPLHPVA</v>
      </c>
      <c r="R38" s="5">
        <f>VLOOKUP($A38,'SegEnds_NonXtal_Prot#'!$A:$AL,3,FALSE)</f>
        <v>136</v>
      </c>
      <c r="S38" s="5">
        <f>VLOOKUP($A38,'SegEnds_NonXtal_Prot#'!$A:$AL,6,FALSE)</f>
        <v>168</v>
      </c>
      <c r="T38" s="5">
        <f>VLOOKUP($A38,'SegEnds_NonXtal_Prot#'!$A:$AL,9,FALSE)</f>
        <v>172</v>
      </c>
      <c r="U38" s="5" t="str">
        <f>VLOOKUP($A38,'SegEnds_NonXtal_Prot#'!$A:$AL,12,FALSE)</f>
        <v>-</v>
      </c>
      <c r="V38" s="5">
        <f>VLOOKUP($A38,'SegEnds_NonXtal_Prot#'!$A:$AL,15,FALSE)</f>
        <v>211</v>
      </c>
      <c r="W38" s="5" t="str">
        <f>VLOOKUP($A38,'SegEnds_NonXtal_Prot#'!$A:$AL,18,FALSE)</f>
        <v>-</v>
      </c>
      <c r="X38" s="5">
        <f>VLOOKUP($A38,'SegEnds_NonXtal_Prot#'!$A:$AL,21,FALSE)</f>
        <v>251</v>
      </c>
      <c r="Y38" s="5">
        <f>VLOOKUP($A38,'SegEnds_NonXtal_Prot#'!$A:$AL,24,FALSE)</f>
        <v>285</v>
      </c>
      <c r="Z38" s="5">
        <f>VLOOKUP($A38,'SegEnds_NonXtal_Prot#'!$A:$AL,27,FALSE)</f>
        <v>294</v>
      </c>
      <c r="AA38" s="5">
        <f>VLOOKUP($A38,'SegEnds_NonXtal_Prot#'!$A:$AL,30,FALSE)</f>
        <v>332</v>
      </c>
      <c r="AB38" s="5">
        <f>VLOOKUP($A38,'SegEnds_NonXtal_Prot#'!$A:$AL,33,FALSE)</f>
        <v>366</v>
      </c>
      <c r="AC38" s="5">
        <f>VLOOKUP($A38,'SegEnds_NonXtal_Prot#'!$A:$AL,36,FALSE)</f>
        <v>392</v>
      </c>
      <c r="AD38" s="5">
        <f>VLOOKUP($A38,'SegEnds_NonXtal_Prot#'!$A:$AL,5,FALSE)</f>
        <v>167</v>
      </c>
      <c r="AE38" s="5">
        <f>VLOOKUP($A38,'SegEnds_NonXtal_Prot#'!$A:$AL,8,FALSE)</f>
        <v>171</v>
      </c>
      <c r="AF38" s="5">
        <f>VLOOKUP($A38,'SegEnds_NonXtal_Prot#'!$A:$AL,11,FALSE)</f>
        <v>199</v>
      </c>
      <c r="AG38" s="5" t="str">
        <f>VLOOKUP($A38,'SegEnds_NonXtal_Prot#'!$A:$AL,14,FALSE)</f>
        <v>-</v>
      </c>
      <c r="AH38" s="5">
        <f>VLOOKUP($A38,'SegEnds_NonXtal_Prot#'!$A:$AL,17,FALSE)</f>
        <v>246</v>
      </c>
      <c r="AI38" s="5" t="str">
        <f>VLOOKUP($A38,'SegEnds_NonXtal_Prot#'!$A:$AL,20,FALSE)</f>
        <v>-</v>
      </c>
      <c r="AJ38" s="5">
        <f>VLOOKUP($A38,'SegEnds_NonXtal_Prot#'!$A:$AL,23,FALSE)</f>
        <v>281</v>
      </c>
      <c r="AK38" s="5">
        <f>VLOOKUP($A38,'SegEnds_NonXtal_Prot#'!$A:$AL,26,FALSE)</f>
        <v>287</v>
      </c>
      <c r="AL38" s="5">
        <f>VLOOKUP($A38,'SegEnds_NonXtal_Prot#'!$A:$AL,29,FALSE)</f>
        <v>324</v>
      </c>
      <c r="AM38" s="5">
        <f>VLOOKUP($A38,'SegEnds_NonXtal_Prot#'!$A:$AL,32,FALSE)</f>
        <v>365</v>
      </c>
      <c r="AN38" s="5">
        <f>VLOOKUP($A38,'SegEnds_NonXtal_Prot#'!$A:$AL,35,FALSE)</f>
        <v>391</v>
      </c>
      <c r="AO38" s="5">
        <f>VLOOKUP($A38,'SegEnds_NonXtal_Prot#'!$A:$AL,38,FALSE)</f>
        <v>417</v>
      </c>
      <c r="AP38" s="5">
        <f t="shared" si="13"/>
        <v>31</v>
      </c>
      <c r="AQ38" s="4">
        <f t="shared" si="14"/>
        <v>3</v>
      </c>
      <c r="AR38" s="4">
        <f t="shared" si="15"/>
        <v>27</v>
      </c>
      <c r="AS38" s="4" t="str">
        <f t="shared" si="16"/>
        <v>-</v>
      </c>
      <c r="AT38" s="4">
        <f t="shared" si="17"/>
        <v>35</v>
      </c>
      <c r="AU38" s="4" t="str">
        <f t="shared" si="18"/>
        <v>-</v>
      </c>
      <c r="AV38" s="4">
        <f t="shared" si="19"/>
        <v>30</v>
      </c>
      <c r="AW38" s="4">
        <f t="shared" si="20"/>
        <v>2</v>
      </c>
      <c r="AX38" s="4">
        <f t="shared" si="21"/>
        <v>30</v>
      </c>
      <c r="AY38" s="4">
        <f t="shared" si="22"/>
        <v>33</v>
      </c>
      <c r="AZ38" s="4">
        <f t="shared" si="23"/>
        <v>25</v>
      </c>
      <c r="BA38" s="4">
        <f t="shared" si="24"/>
        <v>25</v>
      </c>
    </row>
    <row r="39" spans="1:53" x14ac:dyDescent="0.2">
      <c r="A39" s="1" t="str">
        <f>'SegEnds_NonXtal_Prot#'!A2</f>
        <v>agtr2_human</v>
      </c>
      <c r="B39" s="1" t="str">
        <f t="shared" si="0"/>
        <v>DAIPILYYIIFVIGFLVNIVVVTLFCCQVSSIYIFNLAVADLLLLATLPLWATYYSYGPVMCKVFGSFLTLNMFASIFFITCMSVDRYQSVIYNPWQASYIVPLVWCMACLSSLPTFYFRKYAQWSAGIALMKNILGFIIPLIFIATCYFGIRKHLLKTGKNRITRDQVLKMAAAVVLAFIICWLPFHVLTFLDALAWMGSCEVIAVIDLALPFAILLGFTNSCVNPFLYCFVGNRFQQKLRSVFRVP</v>
      </c>
      <c r="C39" s="29" t="str">
        <f>IF(ISERROR(MATCH(A39,'SegEnds_Xtal_Prot#'!B:B, 0)), "NoXtal", "Xtal")</f>
        <v>Xtal</v>
      </c>
      <c r="D39" s="4" t="str">
        <f>VLOOKUP(A39,Classification!A:D,2,FALSE)</f>
        <v>A</v>
      </c>
      <c r="E39" s="5" t="str">
        <f>VLOOKUP(A39,Seqs!A:B,2,FALSE)</f>
        <v>MKGNSTLATTSKNITSGLHFGLVNISGNNESTLNCSQKPSDKHLDAIPILYYIIFVIGFLVNIVVVTLFCCQKGPKKVSSIYIFNLAVADLLLLATLPLWATYYSYRYDWLFGPVMCKVFGSFLTLNMFASIFFITCMSVDRYQSVIYPFLSQRRNPWQASYIVPLVWCMACLSSLPTFYFRDVRTIEYLGVNACIMAFPPEKYAQWSAGIALMKNILGFIIPLIFIATCYFGIRKHLLKTNSYGKNRITRDQVLKMAAAVVLAFIICWLPFHVLTFLDALAWMGVINSCEVIAVIDLALPFAILLGFTNSCVNPFLYCFVGNRFQQKLRSVFRVPITWLQGKRESMSCRKSSSLREMETFVS</v>
      </c>
      <c r="F39" s="5" t="str">
        <f t="shared" si="1"/>
        <v>DAIPILYYIIFVIGFLVNIVVVTLFCCQ</v>
      </c>
      <c r="G39" s="4" t="str">
        <f t="shared" si="2"/>
        <v/>
      </c>
      <c r="H39" s="4" t="str">
        <f t="shared" si="3"/>
        <v>VSSIYIFNLAVADLLLLATLPLWATYYSY</v>
      </c>
      <c r="I39" s="4" t="str">
        <f t="shared" si="4"/>
        <v>DWLF</v>
      </c>
      <c r="J39" s="4" t="str">
        <f t="shared" si="5"/>
        <v>GPVMCKVFGSFLTLNMFASIFFITCMSVDRYQSVIY</v>
      </c>
      <c r="K39" s="4" t="str">
        <f t="shared" si="6"/>
        <v>PFLSQRR</v>
      </c>
      <c r="L39" s="4" t="str">
        <f t="shared" si="7"/>
        <v>NPWQASYIVPLVWCMACLSSLPTFYFR</v>
      </c>
      <c r="M39" s="4" t="str">
        <f t="shared" si="8"/>
        <v>CIM</v>
      </c>
      <c r="N39" s="4" t="str">
        <f t="shared" si="9"/>
        <v>KYAQWSAGIALMKNILGFIIPLIFIATCYFGIRKHLLKT</v>
      </c>
      <c r="O39" s="4" t="str">
        <f t="shared" si="10"/>
        <v>GKNRITRDQVLKMAAAVVLAFIICWLPFHVLTFLDALAWMG</v>
      </c>
      <c r="P39" s="4" t="str">
        <f t="shared" si="11"/>
        <v>SCEVIAVIDLALPFAILLGFTNSCVNPFLYCFV</v>
      </c>
      <c r="Q39" s="4" t="str">
        <f t="shared" si="12"/>
        <v>GNRFQQKLRSVFRVP</v>
      </c>
      <c r="R39" s="5">
        <f>VLOOKUP($A39,'SegEnds_NonXtal_Prot#'!$A:$AL,3,FALSE)</f>
        <v>45</v>
      </c>
      <c r="S39" s="5" t="str">
        <f>VLOOKUP($A39,'SegEnds_NonXtal_Prot#'!$A:$AL,6,FALSE)</f>
        <v>-</v>
      </c>
      <c r="T39" s="5">
        <f>VLOOKUP($A39,'SegEnds_NonXtal_Prot#'!$A:$AL,9,FALSE)</f>
        <v>78</v>
      </c>
      <c r="U39" s="5">
        <f>VLOOKUP($A39,'SegEnds_NonXtal_Prot#'!$A:$AL,12,FALSE)</f>
        <v>109</v>
      </c>
      <c r="V39" s="5">
        <f>VLOOKUP($A39,'SegEnds_NonXtal_Prot#'!$A:$AL,15,FALSE)</f>
        <v>113</v>
      </c>
      <c r="W39" s="5">
        <f>VLOOKUP($A39,'SegEnds_NonXtal_Prot#'!$A:$AL,18,FALSE)</f>
        <v>149</v>
      </c>
      <c r="X39" s="5">
        <f>VLOOKUP($A39,'SegEnds_NonXtal_Prot#'!$A:$AL,21,FALSE)</f>
        <v>156</v>
      </c>
      <c r="Y39" s="5">
        <f>VLOOKUP($A39,'SegEnds_NonXtal_Prot#'!$A:$AL,24,FALSE)</f>
        <v>195</v>
      </c>
      <c r="Z39" s="5">
        <f>VLOOKUP($A39,'SegEnds_NonXtal_Prot#'!$A:$AL,27,FALSE)</f>
        <v>203</v>
      </c>
      <c r="AA39" s="5">
        <f>VLOOKUP($A39,'SegEnds_NonXtal_Prot#'!$A:$AL,30,FALSE)</f>
        <v>245</v>
      </c>
      <c r="AB39" s="5">
        <f>VLOOKUP($A39,'SegEnds_NonXtal_Prot#'!$A:$AL,33,FALSE)</f>
        <v>289</v>
      </c>
      <c r="AC39" s="5">
        <f>VLOOKUP($A39,'SegEnds_NonXtal_Prot#'!$A:$AL,36,FALSE)</f>
        <v>322</v>
      </c>
      <c r="AD39" s="5">
        <f>VLOOKUP($A39,'SegEnds_NonXtal_Prot#'!$A:$AL,5,FALSE)</f>
        <v>72</v>
      </c>
      <c r="AE39" s="5" t="str">
        <f>VLOOKUP($A39,'SegEnds_NonXtal_Prot#'!$A:$AL,8,FALSE)</f>
        <v>-</v>
      </c>
      <c r="AF39" s="5">
        <f>VLOOKUP($A39,'SegEnds_NonXtal_Prot#'!$A:$AL,11,FALSE)</f>
        <v>106</v>
      </c>
      <c r="AG39" s="5">
        <f>VLOOKUP($A39,'SegEnds_NonXtal_Prot#'!$A:$AL,14,FALSE)</f>
        <v>112</v>
      </c>
      <c r="AH39" s="5">
        <f>VLOOKUP($A39,'SegEnds_NonXtal_Prot#'!$A:$AL,17,FALSE)</f>
        <v>148</v>
      </c>
      <c r="AI39" s="5">
        <f>VLOOKUP($A39,'SegEnds_NonXtal_Prot#'!$A:$AL,20,FALSE)</f>
        <v>155</v>
      </c>
      <c r="AJ39" s="5">
        <f>VLOOKUP($A39,'SegEnds_NonXtal_Prot#'!$A:$AL,23,FALSE)</f>
        <v>182</v>
      </c>
      <c r="AK39" s="5">
        <f>VLOOKUP($A39,'SegEnds_NonXtal_Prot#'!$A:$AL,26,FALSE)</f>
        <v>197</v>
      </c>
      <c r="AL39" s="5">
        <f>VLOOKUP($A39,'SegEnds_NonXtal_Prot#'!$A:$AL,29,FALSE)</f>
        <v>241</v>
      </c>
      <c r="AM39" s="5">
        <f>VLOOKUP($A39,'SegEnds_NonXtal_Prot#'!$A:$AL,32,FALSE)</f>
        <v>285</v>
      </c>
      <c r="AN39" s="5">
        <f>VLOOKUP($A39,'SegEnds_NonXtal_Prot#'!$A:$AL,35,FALSE)</f>
        <v>321</v>
      </c>
      <c r="AO39" s="5">
        <f>VLOOKUP($A39,'SegEnds_NonXtal_Prot#'!$A:$AL,38,FALSE)</f>
        <v>336</v>
      </c>
      <c r="AP39" s="5">
        <f t="shared" si="13"/>
        <v>27</v>
      </c>
      <c r="AQ39" s="4" t="str">
        <f t="shared" si="14"/>
        <v>-</v>
      </c>
      <c r="AR39" s="4">
        <f t="shared" si="15"/>
        <v>28</v>
      </c>
      <c r="AS39" s="4">
        <f t="shared" si="16"/>
        <v>3</v>
      </c>
      <c r="AT39" s="4">
        <f t="shared" si="17"/>
        <v>35</v>
      </c>
      <c r="AU39" s="4">
        <f t="shared" si="18"/>
        <v>6</v>
      </c>
      <c r="AV39" s="4">
        <f t="shared" si="19"/>
        <v>26</v>
      </c>
      <c r="AW39" s="4">
        <f t="shared" si="20"/>
        <v>2</v>
      </c>
      <c r="AX39" s="4">
        <f t="shared" si="21"/>
        <v>38</v>
      </c>
      <c r="AY39" s="4">
        <f t="shared" si="22"/>
        <v>40</v>
      </c>
      <c r="AZ39" s="4">
        <f t="shared" si="23"/>
        <v>32</v>
      </c>
      <c r="BA39" s="4">
        <f t="shared" si="24"/>
        <v>14</v>
      </c>
    </row>
    <row r="40" spans="1:53" x14ac:dyDescent="0.2">
      <c r="A40" s="1" t="str">
        <f>'SegEnds_NonXtal_Prot#'!A3</f>
        <v>cxcr1_human</v>
      </c>
      <c r="B40" s="1" t="str">
        <f t="shared" si="0"/>
        <v>TETLNKYVVIIAYALVFLLSLLGNSLVMLVILYSSVTDVYLLNLALADLLFALTLPIWAASKVNGTFLCKVVSLLKEVNFYSGILLLACISVDRYLAIVHKRHLVKFVCLGCWGLSMNLSLPFFLFRTAKWRMVLRILPHTFGFIVPLFVMLFCYGFTLRTLFKAKHRAMRVIFAVVLIFLLCWLPYNLVLLADTLMRTQSCERRNNIGRALDATEILGFLHSCLNPIIYAFIGQNFRHGFLKIL</v>
      </c>
      <c r="C40" s="29" t="str">
        <f>IF(ISERROR(MATCH(A40,'SegEnds_Xtal_Prot#'!B:B, 0)), "NoXtal", "Xtal")</f>
        <v>NoXtal</v>
      </c>
      <c r="D40" s="4" t="str">
        <f>VLOOKUP(A40,Classification!A:D,2,FALSE)</f>
        <v>A</v>
      </c>
      <c r="E40" s="5" t="str">
        <f>VLOOKUP(A40,Seqs!A:B,2,FALSE)</f>
        <v>MSNITDPQMWDFDDLNFTGMPPADEDYSPCMLETETLNKYVVIIAYALVFLLSLLGNSLVMLVILYSRVGRSVTDVYLLNLALADLLFALTLPIWAASKVNGWIFGTFLCKVVSLLKEVNFYSGILLLACISVDRYLAIVHATRTLTQKRHLVKFVCLGCWGLSMNLSLPFFLFRQAYHPNNSSPVCYEVLGNDTAKWRMVLRILPHTFGFIVPLFVMLFCYGFTLRTLFKAHMGQKHRAMRVIFAVVLIFLLCWLPYNLVLLADTLMRTQVIQESCERRNNIGRALDATEILGFLHSCLNPIIYAFIGQNFRHGFLKILAMHGLVSKEFLARHRVTSYTSSSVNVSSNL</v>
      </c>
      <c r="F40" s="5" t="str">
        <f t="shared" si="1"/>
        <v>TETLNKYVVIIAYALVFLLSLLGNSLVMLVILYS</v>
      </c>
      <c r="G40" s="4" t="str">
        <f t="shared" si="2"/>
        <v>RVGR</v>
      </c>
      <c r="H40" s="4" t="str">
        <f t="shared" si="3"/>
        <v>SVTDVYLLNLALADLLFALTLPIWAASKVN</v>
      </c>
      <c r="I40" s="4" t="str">
        <f t="shared" si="4"/>
        <v>GWIF</v>
      </c>
      <c r="J40" s="4" t="str">
        <f t="shared" si="5"/>
        <v>GTFLCKVVSLLKEVNFYSGILLLACISVDRYLAIVH</v>
      </c>
      <c r="K40" s="4" t="str">
        <f t="shared" si="6"/>
        <v>ATRTLTQ</v>
      </c>
      <c r="L40" s="4" t="str">
        <f t="shared" si="7"/>
        <v>KRHLVKFVCLGCWGLSMNLSLPFFLFR</v>
      </c>
      <c r="M40" s="4" t="str">
        <f t="shared" si="8"/>
        <v>CYE</v>
      </c>
      <c r="N40" s="4" t="str">
        <f t="shared" si="9"/>
        <v>TAKWRMVLRILPHTFGFIVPLFVMLFCYGFTLRTLFKA</v>
      </c>
      <c r="O40" s="4" t="str">
        <f t="shared" si="10"/>
        <v>KHRAMRVIFAVVLIFLLCWLPYNLVLLADTLMRTQ</v>
      </c>
      <c r="P40" s="4" t="str">
        <f t="shared" si="11"/>
        <v>SCERRNNIGRALDATEILGFLHSCLNPIIYAFI</v>
      </c>
      <c r="Q40" s="4" t="str">
        <f t="shared" si="12"/>
        <v>GQNFRHGFLKIL</v>
      </c>
      <c r="R40" s="5">
        <f>VLOOKUP($A40,'SegEnds_NonXtal_Prot#'!$A:$AL,3,FALSE)</f>
        <v>34</v>
      </c>
      <c r="S40" s="5">
        <f>VLOOKUP($A40,'SegEnds_NonXtal_Prot#'!$A:$AL,6,FALSE)</f>
        <v>68</v>
      </c>
      <c r="T40" s="5">
        <f>VLOOKUP($A40,'SegEnds_NonXtal_Prot#'!$A:$AL,9,FALSE)</f>
        <v>72</v>
      </c>
      <c r="U40" s="5">
        <f>VLOOKUP($A40,'SegEnds_NonXtal_Prot#'!$A:$AL,12,FALSE)</f>
        <v>102</v>
      </c>
      <c r="V40" s="5">
        <f>VLOOKUP($A40,'SegEnds_NonXtal_Prot#'!$A:$AL,15,FALSE)</f>
        <v>106</v>
      </c>
      <c r="W40" s="5">
        <f>VLOOKUP($A40,'SegEnds_NonXtal_Prot#'!$A:$AL,18,FALSE)</f>
        <v>142</v>
      </c>
      <c r="X40" s="5">
        <f>VLOOKUP($A40,'SegEnds_NonXtal_Prot#'!$A:$AL,21,FALSE)</f>
        <v>149</v>
      </c>
      <c r="Y40" s="5">
        <f>VLOOKUP($A40,'SegEnds_NonXtal_Prot#'!$A:$AL,24,FALSE)</f>
        <v>187</v>
      </c>
      <c r="Z40" s="5">
        <f>VLOOKUP($A40,'SegEnds_NonXtal_Prot#'!$A:$AL,27,FALSE)</f>
        <v>195</v>
      </c>
      <c r="AA40" s="5">
        <f>VLOOKUP($A40,'SegEnds_NonXtal_Prot#'!$A:$AL,30,FALSE)</f>
        <v>237</v>
      </c>
      <c r="AB40" s="5">
        <f>VLOOKUP($A40,'SegEnds_NonXtal_Prot#'!$A:$AL,33,FALSE)</f>
        <v>276</v>
      </c>
      <c r="AC40" s="5">
        <f>VLOOKUP($A40,'SegEnds_NonXtal_Prot#'!$A:$AL,36,FALSE)</f>
        <v>309</v>
      </c>
      <c r="AD40" s="5">
        <f>VLOOKUP($A40,'SegEnds_NonXtal_Prot#'!$A:$AL,5,FALSE)</f>
        <v>67</v>
      </c>
      <c r="AE40" s="5">
        <f>VLOOKUP($A40,'SegEnds_NonXtal_Prot#'!$A:$AL,8,FALSE)</f>
        <v>71</v>
      </c>
      <c r="AF40" s="5">
        <f>VLOOKUP($A40,'SegEnds_NonXtal_Prot#'!$A:$AL,11,FALSE)</f>
        <v>101</v>
      </c>
      <c r="AG40" s="5">
        <f>VLOOKUP($A40,'SegEnds_NonXtal_Prot#'!$A:$AL,14,FALSE)</f>
        <v>105</v>
      </c>
      <c r="AH40" s="5">
        <f>VLOOKUP($A40,'SegEnds_NonXtal_Prot#'!$A:$AL,17,FALSE)</f>
        <v>141</v>
      </c>
      <c r="AI40" s="5">
        <f>VLOOKUP($A40,'SegEnds_NonXtal_Prot#'!$A:$AL,20,FALSE)</f>
        <v>148</v>
      </c>
      <c r="AJ40" s="5">
        <f>VLOOKUP($A40,'SegEnds_NonXtal_Prot#'!$A:$AL,23,FALSE)</f>
        <v>175</v>
      </c>
      <c r="AK40" s="5">
        <f>VLOOKUP($A40,'SegEnds_NonXtal_Prot#'!$A:$AL,26,FALSE)</f>
        <v>189</v>
      </c>
      <c r="AL40" s="5">
        <f>VLOOKUP($A40,'SegEnds_NonXtal_Prot#'!$A:$AL,29,FALSE)</f>
        <v>232</v>
      </c>
      <c r="AM40" s="5">
        <f>VLOOKUP($A40,'SegEnds_NonXtal_Prot#'!$A:$AL,32,FALSE)</f>
        <v>271</v>
      </c>
      <c r="AN40" s="5">
        <f>VLOOKUP($A40,'SegEnds_NonXtal_Prot#'!$A:$AL,35,FALSE)</f>
        <v>308</v>
      </c>
      <c r="AO40" s="5">
        <f>VLOOKUP($A40,'SegEnds_NonXtal_Prot#'!$A:$AL,38,FALSE)</f>
        <v>320</v>
      </c>
      <c r="AP40" s="5">
        <f t="shared" si="13"/>
        <v>33</v>
      </c>
      <c r="AQ40" s="4">
        <f t="shared" si="14"/>
        <v>3</v>
      </c>
      <c r="AR40" s="4">
        <f t="shared" si="15"/>
        <v>29</v>
      </c>
      <c r="AS40" s="4">
        <f t="shared" si="16"/>
        <v>3</v>
      </c>
      <c r="AT40" s="4">
        <f t="shared" si="17"/>
        <v>35</v>
      </c>
      <c r="AU40" s="4">
        <f t="shared" si="18"/>
        <v>6</v>
      </c>
      <c r="AV40" s="4">
        <f t="shared" si="19"/>
        <v>26</v>
      </c>
      <c r="AW40" s="4">
        <f t="shared" si="20"/>
        <v>2</v>
      </c>
      <c r="AX40" s="4">
        <f t="shared" si="21"/>
        <v>37</v>
      </c>
      <c r="AY40" s="4">
        <f t="shared" si="22"/>
        <v>34</v>
      </c>
      <c r="AZ40" s="4">
        <f t="shared" si="23"/>
        <v>32</v>
      </c>
      <c r="BA40" s="4">
        <f t="shared" si="24"/>
        <v>11</v>
      </c>
    </row>
    <row r="41" spans="1:53" x14ac:dyDescent="0.2">
      <c r="A41" s="1" t="str">
        <f>'SegEnds_NonXtal_Prot#'!A4</f>
        <v>cxcr2_human</v>
      </c>
      <c r="B41" s="1" t="str">
        <f t="shared" si="0"/>
        <v>SLEINKYFVVIIYALVFLLSLLGNSLVMLVILYSSVTDVYLLNLALADLLFALTLPIWAASKVNGTFLCKVVSLLKEVNFYSGILLLACISVDRYLAIVHKRYLVKFICLSIWGLSLLLALPVLLFRNWRMLLRILPQSFGFIVPLLIMLFCYGFTLRTLFKAKHRAMRVIFAVVLIFLLCWLPYNLVLLADTLMRTQTCERRNHIDRALDATEILGILHSCLNPLIYAFIGQKFRHGLLKILAIHGLISKD</v>
      </c>
      <c r="C41" s="29" t="str">
        <f>IF(ISERROR(MATCH(A41,'SegEnds_Xtal_Prot#'!B:B, 0)), "NoXtal", "Xtal")</f>
        <v>NoXtal</v>
      </c>
      <c r="D41" s="4" t="str">
        <f>VLOOKUP(A41,Classification!A:D,2,FALSE)</f>
        <v>A</v>
      </c>
      <c r="E41" s="5" t="str">
        <f>VLOOKUP(A41,Seqs!A:B,2,FALSE)</f>
        <v>MEDFNMESDSFEDFWKGEDLSNYSYSSTLPPFLLDAAPCEPESLEINKYFVVIIYALVFLLSLLGNSLVMLVILYSRVGRSVTDVYLLNLALADLLFALTLPIWAASKVNGWIFGTFLCKVVSLLKEVNFYSGILLLACISVDRYLAIVHATRTLTQKRYLVKFICLSIWGLSLLLALPVLLFRRTVYSSNVSPACYEDMGNNTANWRMLLRILPQSFGFIVPLLIMLFCYGFTLRTLFKAHMGQKHRAMRVIFAVVLIFLLCWLPYNLVLLADTLMRTQVIQETCERRNHIDRALDATEILGILHSCLNPLIYAFIGQKFRHGLLKILAIHGLISKDSLPKDSRPSFVGSSSGHTSTTL</v>
      </c>
      <c r="F41" s="5" t="str">
        <f t="shared" si="1"/>
        <v>SLEINKYFVVIIYALVFLLSLLGNSLVMLVILYS</v>
      </c>
      <c r="G41" s="4" t="str">
        <f t="shared" si="2"/>
        <v>RVGR</v>
      </c>
      <c r="H41" s="4" t="str">
        <f t="shared" si="3"/>
        <v>SVTDVYLLNLALADLLFALTLPIWAASKVN</v>
      </c>
      <c r="I41" s="4" t="str">
        <f t="shared" si="4"/>
        <v>GWIF</v>
      </c>
      <c r="J41" s="4" t="str">
        <f t="shared" si="5"/>
        <v>GTFLCKVVSLLKEVNFYSGILLLACISVDRYLAIVH</v>
      </c>
      <c r="K41" s="4" t="str">
        <f t="shared" si="6"/>
        <v>ATRTLTQ</v>
      </c>
      <c r="L41" s="4" t="str">
        <f t="shared" si="7"/>
        <v>KRYLVKFICLSIWGLSLLLALPVLLFR</v>
      </c>
      <c r="M41" s="4" t="str">
        <f t="shared" si="8"/>
        <v>CYE</v>
      </c>
      <c r="N41" s="4" t="str">
        <f t="shared" si="9"/>
        <v>NWRMLLRILPQSFGFIVPLLIMLFCYGFTLRTLFKA</v>
      </c>
      <c r="O41" s="4" t="str">
        <f t="shared" si="10"/>
        <v>KHRAMRVIFAVVLIFLLCWLPYNLVLLADTLMRTQ</v>
      </c>
      <c r="P41" s="4" t="str">
        <f t="shared" si="11"/>
        <v>TCERRNHIDRALDATEILGILHSCLNPLIYAFI</v>
      </c>
      <c r="Q41" s="4" t="str">
        <f t="shared" si="12"/>
        <v>GQKFRHGLLKILAIHGLISKD</v>
      </c>
      <c r="R41" s="5">
        <f>VLOOKUP($A41,'SegEnds_NonXtal_Prot#'!$A:$AL,3,FALSE)</f>
        <v>43</v>
      </c>
      <c r="S41" s="5">
        <f>VLOOKUP($A41,'SegEnds_NonXtal_Prot#'!$A:$AL,6,FALSE)</f>
        <v>77</v>
      </c>
      <c r="T41" s="5">
        <f>VLOOKUP($A41,'SegEnds_NonXtal_Prot#'!$A:$AL,9,FALSE)</f>
        <v>81</v>
      </c>
      <c r="U41" s="5">
        <f>VLOOKUP($A41,'SegEnds_NonXtal_Prot#'!$A:$AL,12,FALSE)</f>
        <v>111</v>
      </c>
      <c r="V41" s="5">
        <f>VLOOKUP($A41,'SegEnds_NonXtal_Prot#'!$A:$AL,15,FALSE)</f>
        <v>115</v>
      </c>
      <c r="W41" s="5">
        <f>VLOOKUP($A41,'SegEnds_NonXtal_Prot#'!$A:$AL,18,FALSE)</f>
        <v>151</v>
      </c>
      <c r="X41" s="5">
        <f>VLOOKUP($A41,'SegEnds_NonXtal_Prot#'!$A:$AL,21,FALSE)</f>
        <v>158</v>
      </c>
      <c r="Y41" s="5">
        <f>VLOOKUP($A41,'SegEnds_NonXtal_Prot#'!$A:$AL,24,FALSE)</f>
        <v>196</v>
      </c>
      <c r="Z41" s="5">
        <f>VLOOKUP($A41,'SegEnds_NonXtal_Prot#'!$A:$AL,27,FALSE)</f>
        <v>206</v>
      </c>
      <c r="AA41" s="5">
        <f>VLOOKUP($A41,'SegEnds_NonXtal_Prot#'!$A:$AL,30,FALSE)</f>
        <v>246</v>
      </c>
      <c r="AB41" s="5">
        <f>VLOOKUP($A41,'SegEnds_NonXtal_Prot#'!$A:$AL,33,FALSE)</f>
        <v>285</v>
      </c>
      <c r="AC41" s="5">
        <f>VLOOKUP($A41,'SegEnds_NonXtal_Prot#'!$A:$AL,36,FALSE)</f>
        <v>318</v>
      </c>
      <c r="AD41" s="5">
        <f>VLOOKUP($A41,'SegEnds_NonXtal_Prot#'!$A:$AL,5,FALSE)</f>
        <v>76</v>
      </c>
      <c r="AE41" s="5">
        <f>VLOOKUP($A41,'SegEnds_NonXtal_Prot#'!$A:$AL,8,FALSE)</f>
        <v>80</v>
      </c>
      <c r="AF41" s="5">
        <f>VLOOKUP($A41,'SegEnds_NonXtal_Prot#'!$A:$AL,11,FALSE)</f>
        <v>110</v>
      </c>
      <c r="AG41" s="5">
        <f>VLOOKUP($A41,'SegEnds_NonXtal_Prot#'!$A:$AL,14,FALSE)</f>
        <v>114</v>
      </c>
      <c r="AH41" s="5">
        <f>VLOOKUP($A41,'SegEnds_NonXtal_Prot#'!$A:$AL,17,FALSE)</f>
        <v>150</v>
      </c>
      <c r="AI41" s="5">
        <f>VLOOKUP($A41,'SegEnds_NonXtal_Prot#'!$A:$AL,20,FALSE)</f>
        <v>157</v>
      </c>
      <c r="AJ41" s="5">
        <f>VLOOKUP($A41,'SegEnds_NonXtal_Prot#'!$A:$AL,23,FALSE)</f>
        <v>184</v>
      </c>
      <c r="AK41" s="5">
        <f>VLOOKUP($A41,'SegEnds_NonXtal_Prot#'!$A:$AL,26,FALSE)</f>
        <v>198</v>
      </c>
      <c r="AL41" s="5">
        <f>VLOOKUP($A41,'SegEnds_NonXtal_Prot#'!$A:$AL,29,FALSE)</f>
        <v>241</v>
      </c>
      <c r="AM41" s="5">
        <f>VLOOKUP($A41,'SegEnds_NonXtal_Prot#'!$A:$AL,32,FALSE)</f>
        <v>280</v>
      </c>
      <c r="AN41" s="5">
        <f>VLOOKUP($A41,'SegEnds_NonXtal_Prot#'!$A:$AL,35,FALSE)</f>
        <v>317</v>
      </c>
      <c r="AO41" s="5">
        <f>VLOOKUP($A41,'SegEnds_NonXtal_Prot#'!$A:$AL,38,FALSE)</f>
        <v>338</v>
      </c>
      <c r="AP41" s="5">
        <f t="shared" si="13"/>
        <v>33</v>
      </c>
      <c r="AQ41" s="4">
        <f t="shared" si="14"/>
        <v>3</v>
      </c>
      <c r="AR41" s="4">
        <f t="shared" si="15"/>
        <v>29</v>
      </c>
      <c r="AS41" s="4">
        <f t="shared" si="16"/>
        <v>3</v>
      </c>
      <c r="AT41" s="4">
        <f t="shared" si="17"/>
        <v>35</v>
      </c>
      <c r="AU41" s="4">
        <f t="shared" si="18"/>
        <v>6</v>
      </c>
      <c r="AV41" s="4">
        <f t="shared" si="19"/>
        <v>26</v>
      </c>
      <c r="AW41" s="4">
        <f t="shared" si="20"/>
        <v>2</v>
      </c>
      <c r="AX41" s="4">
        <f t="shared" si="21"/>
        <v>35</v>
      </c>
      <c r="AY41" s="4">
        <f t="shared" si="22"/>
        <v>34</v>
      </c>
      <c r="AZ41" s="4">
        <f t="shared" si="23"/>
        <v>32</v>
      </c>
      <c r="BA41" s="4">
        <f t="shared" si="24"/>
        <v>20</v>
      </c>
    </row>
    <row r="42" spans="1:53" x14ac:dyDescent="0.2">
      <c r="A42" s="1" t="str">
        <f>'SegEnds_NonXtal_Prot#'!A6</f>
        <v>gp142_human</v>
      </c>
      <c r="B42" s="1" t="str">
        <f t="shared" si="0"/>
        <v>GVIPVIYYSVLLGLGLPVSLLTAVALARLRPSYYYLLALTASDIIIQVVIVFAGFLLQGARQVPQAVVRTANILEFAANHASVWIAILLTVDRYTALCHSSPGRTRRAIAAVLSAALLTGIPFYWWDEVLKWAHCLTVYFIPCGVFLVTNSAIIHRLRRLQPRVGKSTAILLGITTLFTLLWAPRVFVMLYHMYVDWRVHLALDVANMVAMLHTAANFGLYCFVSKTFRATVRQVI</v>
      </c>
      <c r="C42" s="29" t="str">
        <f>IF(ISERROR(MATCH(A42,'SegEnds_Xtal_Prot#'!B:B, 0)), "NoXtal", "Xtal")</f>
        <v>NoXtal</v>
      </c>
      <c r="D42" s="4" t="str">
        <f>VLOOKUP(A42,Classification!A:D,2,FALSE)</f>
        <v>A</v>
      </c>
      <c r="E42" s="5" t="str">
        <f>VLOOKUP(A42,Seqs!A:B,2,FALSE)</f>
        <v>MSIMMLPMEQKIQWVPTSLQDITAVLGTEAYTEEDKSMVSHAQKSQHSCLSHSRWLRSPQVTGGSWDLRIRPSKDSSSFRQAQCLRKDPGANNHLESQGVRGTAGDADRELRGPSEKATAGQPRVTLLPTPHVSGLSQEFESHWPEIAERSPCVAGVIPVIYYSVLLGLGLPVSLLTAVALARLATRTRRPSYYYLLALTASDIIIQVVIVFAGFLLQGAVLARQVPQAVVRTANILEFAANHASVWIAILLTVDRYTALCHPLHHRAASSPGRTRRAIAAVLSAALLTGIPFYWWLDMWRDTDSPRTLDEVLKWAHCLTVYFIPCGVFLVTNSAIIHRLRRRGRSGLQPRVGKSTAILLGITTLFTLLWAPRVFVMLYHMYVAPVHRDWRVHLALDVANMVAMLHTAANFGLYCFVSKTFRATVRQVIHDAYLPCTLASQPEGMAAKPVMEPPGLPTGAEV</v>
      </c>
      <c r="F42" s="5" t="str">
        <f t="shared" si="1"/>
        <v>GVIPVIYYSVLLGLGLPVSLLTAVALARL</v>
      </c>
      <c r="G42" s="4" t="str">
        <f t="shared" si="2"/>
        <v/>
      </c>
      <c r="H42" s="4" t="str">
        <f t="shared" si="3"/>
        <v>RPSYYYLLALTASDIIIQVVIVFAGFLLQGA</v>
      </c>
      <c r="I42" s="4" t="str">
        <f t="shared" si="4"/>
        <v/>
      </c>
      <c r="J42" s="4" t="str">
        <f t="shared" si="5"/>
        <v>RQVPQAVVRTANILEFAANHASVWIAILLTVDRYTALCH</v>
      </c>
      <c r="K42" s="4" t="str">
        <f t="shared" si="6"/>
        <v>PLHHRAA</v>
      </c>
      <c r="L42" s="4" t="str">
        <f t="shared" si="7"/>
        <v>SSPGRTRRAIAAVLSAALLTGIPFYWW</v>
      </c>
      <c r="M42" s="4" t="str">
        <f t="shared" si="8"/>
        <v/>
      </c>
      <c r="N42" s="4" t="str">
        <f t="shared" si="9"/>
        <v>DEVLKWAHCLTVYFIPCGVFLVTNSAIIHRLRR</v>
      </c>
      <c r="O42" s="4" t="str">
        <f t="shared" si="10"/>
        <v>LQPRVGKSTAILLGITTLFTLLWAPRVFVMLYHMYV</v>
      </c>
      <c r="P42" s="4" t="str">
        <f t="shared" si="11"/>
        <v>DWRVHLALDVANMVAMLHTAANFGLYCFV</v>
      </c>
      <c r="Q42" s="4" t="str">
        <f t="shared" si="12"/>
        <v>SKTFRATVRQVI</v>
      </c>
      <c r="R42" s="5">
        <f>VLOOKUP($A42,'SegEnds_NonXtal_Prot#'!$A:$AL,3,FALSE)</f>
        <v>156</v>
      </c>
      <c r="S42" s="5" t="str">
        <f>VLOOKUP($A42,'SegEnds_NonXtal_Prot#'!$A:$AL,6,FALSE)</f>
        <v>-</v>
      </c>
      <c r="T42" s="5">
        <f>VLOOKUP($A42,'SegEnds_NonXtal_Prot#'!$A:$AL,9,FALSE)</f>
        <v>190</v>
      </c>
      <c r="U42" s="5" t="str">
        <f>VLOOKUP($A42,'SegEnds_NonXtal_Prot#'!$A:$AL,12,FALSE)</f>
        <v>-</v>
      </c>
      <c r="V42" s="5">
        <f>VLOOKUP($A42,'SegEnds_NonXtal_Prot#'!$A:$AL,15,FALSE)</f>
        <v>224</v>
      </c>
      <c r="W42" s="5">
        <f>VLOOKUP($A42,'SegEnds_NonXtal_Prot#'!$A:$AL,18,FALSE)</f>
        <v>263</v>
      </c>
      <c r="X42" s="5">
        <f>VLOOKUP($A42,'SegEnds_NonXtal_Prot#'!$A:$AL,21,FALSE)</f>
        <v>270</v>
      </c>
      <c r="Y42" s="5" t="str">
        <f>VLOOKUP($A42,'SegEnds_NonXtal_Prot#'!$A:$AL,24,FALSE)</f>
        <v>-</v>
      </c>
      <c r="Z42" s="5">
        <f>VLOOKUP($A42,'SegEnds_NonXtal_Prot#'!$A:$AL,27,FALSE)</f>
        <v>310</v>
      </c>
      <c r="AA42" s="5">
        <f>VLOOKUP($A42,'SegEnds_NonXtal_Prot#'!$A:$AL,30,FALSE)</f>
        <v>348</v>
      </c>
      <c r="AB42" s="5">
        <f>VLOOKUP($A42,'SegEnds_NonXtal_Prot#'!$A:$AL,33,FALSE)</f>
        <v>389</v>
      </c>
      <c r="AC42" s="5">
        <f>VLOOKUP($A42,'SegEnds_NonXtal_Prot#'!$A:$AL,36,FALSE)</f>
        <v>418</v>
      </c>
      <c r="AD42" s="5">
        <f>VLOOKUP($A42,'SegEnds_NonXtal_Prot#'!$A:$AL,5,FALSE)</f>
        <v>184</v>
      </c>
      <c r="AE42" s="5" t="str">
        <f>VLOOKUP($A42,'SegEnds_NonXtal_Prot#'!$A:$AL,8,FALSE)</f>
        <v>-</v>
      </c>
      <c r="AF42" s="5">
        <f>VLOOKUP($A42,'SegEnds_NonXtal_Prot#'!$A:$AL,11,FALSE)</f>
        <v>220</v>
      </c>
      <c r="AG42" s="5" t="str">
        <f>VLOOKUP($A42,'SegEnds_NonXtal_Prot#'!$A:$AL,14,FALSE)</f>
        <v>-</v>
      </c>
      <c r="AH42" s="5">
        <f>VLOOKUP($A42,'SegEnds_NonXtal_Prot#'!$A:$AL,17,FALSE)</f>
        <v>262</v>
      </c>
      <c r="AI42" s="5">
        <f>VLOOKUP($A42,'SegEnds_NonXtal_Prot#'!$A:$AL,20,FALSE)</f>
        <v>269</v>
      </c>
      <c r="AJ42" s="5">
        <f>VLOOKUP($A42,'SegEnds_NonXtal_Prot#'!$A:$AL,23,FALSE)</f>
        <v>296</v>
      </c>
      <c r="AK42" s="5" t="str">
        <f>VLOOKUP($A42,'SegEnds_NonXtal_Prot#'!$A:$AL,26,FALSE)</f>
        <v>-</v>
      </c>
      <c r="AL42" s="5">
        <f>VLOOKUP($A42,'SegEnds_NonXtal_Prot#'!$A:$AL,29,FALSE)</f>
        <v>342</v>
      </c>
      <c r="AM42" s="5">
        <f>VLOOKUP($A42,'SegEnds_NonXtal_Prot#'!$A:$AL,32,FALSE)</f>
        <v>383</v>
      </c>
      <c r="AN42" s="5">
        <f>VLOOKUP($A42,'SegEnds_NonXtal_Prot#'!$A:$AL,35,FALSE)</f>
        <v>417</v>
      </c>
      <c r="AO42" s="5">
        <f>VLOOKUP($A42,'SegEnds_NonXtal_Prot#'!$A:$AL,38,FALSE)</f>
        <v>429</v>
      </c>
      <c r="AP42" s="5">
        <f t="shared" si="13"/>
        <v>28</v>
      </c>
      <c r="AQ42" s="4" t="str">
        <f t="shared" si="14"/>
        <v>-</v>
      </c>
      <c r="AR42" s="4">
        <f t="shared" si="15"/>
        <v>30</v>
      </c>
      <c r="AS42" s="4" t="str">
        <f t="shared" si="16"/>
        <v>-</v>
      </c>
      <c r="AT42" s="4">
        <f t="shared" si="17"/>
        <v>38</v>
      </c>
      <c r="AU42" s="4">
        <f t="shared" si="18"/>
        <v>6</v>
      </c>
      <c r="AV42" s="4">
        <f t="shared" si="19"/>
        <v>26</v>
      </c>
      <c r="AW42" s="4" t="str">
        <f t="shared" si="20"/>
        <v>-</v>
      </c>
      <c r="AX42" s="4">
        <f t="shared" si="21"/>
        <v>32</v>
      </c>
      <c r="AY42" s="4">
        <f t="shared" si="22"/>
        <v>35</v>
      </c>
      <c r="AZ42" s="4">
        <f t="shared" si="23"/>
        <v>28</v>
      </c>
      <c r="BA42" s="4">
        <f t="shared" si="24"/>
        <v>11</v>
      </c>
    </row>
    <row r="43" spans="1:53" x14ac:dyDescent="0.2">
      <c r="A43" s="1" t="str">
        <f>'SegEnds_NonXtal_Prot#'!A7</f>
        <v>gp151_human</v>
      </c>
      <c r="B43" s="1" t="str">
        <f t="shared" si="0"/>
        <v>TIIPALLVAVCLVGFVGNLCVIGILLHNSMIHSLILNLSLADLSLLLFSAPIRATAYSGWFVCKSSDWFIHTCMAAKSLTIVVVAKVCFMYASDHNYTIWSVLVAIWTVASLLPLPEWFFSVAEEFMSMFGKLYPLLAFGLPLFFASFYFWRAYDQCKKRNLRNQIRSKQVTVMLLSIAIISALLWLPEWVAWLWVWHLPAPPQGFIALSQVLMFSISSANPLIFLVMSEEFREGLKGVWKWM</v>
      </c>
      <c r="C43" s="29" t="str">
        <f>IF(ISERROR(MATCH(A43,'SegEnds_Xtal_Prot#'!B:B, 0)), "NoXtal", "Xtal")</f>
        <v>NoXtal</v>
      </c>
      <c r="D43" s="4" t="str">
        <f>VLOOKUP(A43,Classification!A:D,2,FALSE)</f>
        <v>A</v>
      </c>
      <c r="E43" s="5" t="str">
        <f>VLOOKUP(A43,Seqs!A:B,2,FALSE)</f>
        <v>MLAAAFADSNSSSMNVSFAHLHFAGGYLPSDSQDWRTIIPALLVAVCLVGFVGNLCVIGILLHNAWKGKPSMIHSLILNLSLADLSLLLFSAPIRATAYSKSVWDLGWFVCKSSDWFIHTCMAAKSLTIVVVAKVCFMYASDPAKQVSIHNYTIWSVLVAIWTVASLLPLPEWFFSTIRHHEGVEMCLVDVPAVAEEFMSMFGKLYPLLAFGLPLFFASFYFWRAYDQCKKRGTKTQNLRNQIRSKQVTVMLLSIAIISALLWLPEWVAWLWVWHLKAAGPAPPQGFIALSQVLMFSISSANPLIFLVMSEEFREGLKGVWKWMITKKPPTVSESQETPAGNSEGLPDKVPSPESPASIPEKEKPSSPSSGKGKTEKAEIPILPDVEQFWHERDTVPSVQDNDPIPWEHEDQETGEGVK</v>
      </c>
      <c r="F43" s="5" t="str">
        <f t="shared" si="1"/>
        <v>TIIPALLVAVCLVGFVGNLCVIGILLHN</v>
      </c>
      <c r="G43" s="4" t="str">
        <f t="shared" si="2"/>
        <v/>
      </c>
      <c r="H43" s="4" t="str">
        <f t="shared" si="3"/>
        <v>SMIHSLILNLSLADLSLLLFSAPIRATAYS</v>
      </c>
      <c r="I43" s="4" t="str">
        <f t="shared" si="4"/>
        <v>VWDL</v>
      </c>
      <c r="J43" s="4" t="str">
        <f t="shared" si="5"/>
        <v>GWFVCKSSDWFIHTCMAAKSLTIVVVAKVCFMYASD</v>
      </c>
      <c r="K43" s="4" t="str">
        <f t="shared" si="6"/>
        <v>PAKQVSI</v>
      </c>
      <c r="L43" s="4" t="str">
        <f t="shared" si="7"/>
        <v>HNYTIWSVLVAIWTVASLLPLPEWFFS</v>
      </c>
      <c r="M43" s="4" t="str">
        <f t="shared" si="8"/>
        <v>CLV</v>
      </c>
      <c r="N43" s="4" t="str">
        <f t="shared" si="9"/>
        <v>VAEEFMSMFGKLYPLLAFGLPLFFASFYFWRAYDQCKKR</v>
      </c>
      <c r="O43" s="4" t="str">
        <f t="shared" si="10"/>
        <v>NLRNQIRSKQVTVMLLSIAIISALLWLPEWVAWLWVWHL</v>
      </c>
      <c r="P43" s="4" t="str">
        <f t="shared" si="11"/>
        <v>PAPPQGFIALSQVLMFSISSANPLIFLVM</v>
      </c>
      <c r="Q43" s="4" t="str">
        <f t="shared" si="12"/>
        <v>SEEFREGLKGVWKWM</v>
      </c>
      <c r="R43" s="5">
        <f>VLOOKUP($A43,'SegEnds_NonXtal_Prot#'!$A:$AL,3,FALSE)</f>
        <v>37</v>
      </c>
      <c r="S43" s="5" t="str">
        <f>VLOOKUP($A43,'SegEnds_NonXtal_Prot#'!$A:$AL,6,FALSE)</f>
        <v>-</v>
      </c>
      <c r="T43" s="5">
        <f>VLOOKUP($A43,'SegEnds_NonXtal_Prot#'!$A:$AL,9,FALSE)</f>
        <v>71</v>
      </c>
      <c r="U43" s="5">
        <f>VLOOKUP($A43,'SegEnds_NonXtal_Prot#'!$A:$AL,12,FALSE)</f>
        <v>103</v>
      </c>
      <c r="V43" s="5">
        <f>VLOOKUP($A43,'SegEnds_NonXtal_Prot#'!$A:$AL,15,FALSE)</f>
        <v>107</v>
      </c>
      <c r="W43" s="5">
        <f>VLOOKUP($A43,'SegEnds_NonXtal_Prot#'!$A:$AL,18,FALSE)</f>
        <v>143</v>
      </c>
      <c r="X43" s="5">
        <f>VLOOKUP($A43,'SegEnds_NonXtal_Prot#'!$A:$AL,21,FALSE)</f>
        <v>150</v>
      </c>
      <c r="Y43" s="5">
        <f>VLOOKUP($A43,'SegEnds_NonXtal_Prot#'!$A:$AL,24,FALSE)</f>
        <v>187</v>
      </c>
      <c r="Z43" s="5">
        <f>VLOOKUP($A43,'SegEnds_NonXtal_Prot#'!$A:$AL,27,FALSE)</f>
        <v>194</v>
      </c>
      <c r="AA43" s="5">
        <f>VLOOKUP($A43,'SegEnds_NonXtal_Prot#'!$A:$AL,30,FALSE)</f>
        <v>238</v>
      </c>
      <c r="AB43" s="5">
        <f>VLOOKUP($A43,'SegEnds_NonXtal_Prot#'!$A:$AL,33,FALSE)</f>
        <v>281</v>
      </c>
      <c r="AC43" s="5">
        <f>VLOOKUP($A43,'SegEnds_NonXtal_Prot#'!$A:$AL,36,FALSE)</f>
        <v>310</v>
      </c>
      <c r="AD43" s="5">
        <f>VLOOKUP($A43,'SegEnds_NonXtal_Prot#'!$A:$AL,5,FALSE)</f>
        <v>64</v>
      </c>
      <c r="AE43" s="5" t="str">
        <f>VLOOKUP($A43,'SegEnds_NonXtal_Prot#'!$A:$AL,8,FALSE)</f>
        <v>-</v>
      </c>
      <c r="AF43" s="5">
        <f>VLOOKUP($A43,'SegEnds_NonXtal_Prot#'!$A:$AL,11,FALSE)</f>
        <v>100</v>
      </c>
      <c r="AG43" s="5">
        <f>VLOOKUP($A43,'SegEnds_NonXtal_Prot#'!$A:$AL,14,FALSE)</f>
        <v>106</v>
      </c>
      <c r="AH43" s="5">
        <f>VLOOKUP($A43,'SegEnds_NonXtal_Prot#'!$A:$AL,17,FALSE)</f>
        <v>142</v>
      </c>
      <c r="AI43" s="5">
        <f>VLOOKUP($A43,'SegEnds_NonXtal_Prot#'!$A:$AL,20,FALSE)</f>
        <v>149</v>
      </c>
      <c r="AJ43" s="5">
        <f>VLOOKUP($A43,'SegEnds_NonXtal_Prot#'!$A:$AL,23,FALSE)</f>
        <v>176</v>
      </c>
      <c r="AK43" s="5">
        <f>VLOOKUP($A43,'SegEnds_NonXtal_Prot#'!$A:$AL,26,FALSE)</f>
        <v>189</v>
      </c>
      <c r="AL43" s="5">
        <f>VLOOKUP($A43,'SegEnds_NonXtal_Prot#'!$A:$AL,29,FALSE)</f>
        <v>232</v>
      </c>
      <c r="AM43" s="5">
        <f>VLOOKUP($A43,'SegEnds_NonXtal_Prot#'!$A:$AL,32,FALSE)</f>
        <v>276</v>
      </c>
      <c r="AN43" s="5">
        <f>VLOOKUP($A43,'SegEnds_NonXtal_Prot#'!$A:$AL,35,FALSE)</f>
        <v>309</v>
      </c>
      <c r="AO43" s="5">
        <f>VLOOKUP($A43,'SegEnds_NonXtal_Prot#'!$A:$AL,38,FALSE)</f>
        <v>324</v>
      </c>
      <c r="AP43" s="5">
        <f t="shared" si="13"/>
        <v>27</v>
      </c>
      <c r="AQ43" s="4" t="str">
        <f t="shared" si="14"/>
        <v>-</v>
      </c>
      <c r="AR43" s="4">
        <f t="shared" si="15"/>
        <v>29</v>
      </c>
      <c r="AS43" s="4">
        <f t="shared" si="16"/>
        <v>3</v>
      </c>
      <c r="AT43" s="4">
        <f t="shared" si="17"/>
        <v>35</v>
      </c>
      <c r="AU43" s="4">
        <f t="shared" si="18"/>
        <v>6</v>
      </c>
      <c r="AV43" s="4">
        <f t="shared" si="19"/>
        <v>26</v>
      </c>
      <c r="AW43" s="4">
        <f t="shared" si="20"/>
        <v>2</v>
      </c>
      <c r="AX43" s="4">
        <f t="shared" si="21"/>
        <v>38</v>
      </c>
      <c r="AY43" s="4">
        <f t="shared" si="22"/>
        <v>38</v>
      </c>
      <c r="AZ43" s="4">
        <f t="shared" si="23"/>
        <v>28</v>
      </c>
      <c r="BA43" s="4">
        <f t="shared" si="24"/>
        <v>14</v>
      </c>
    </row>
    <row r="44" spans="1:53" x14ac:dyDescent="0.2">
      <c r="A44" s="1" t="str">
        <f>'SegEnds_NonXtal_Prot#'!A8</f>
        <v>gp174_human</v>
      </c>
      <c r="B44" s="1" t="str">
        <f t="shared" si="0"/>
        <v>FRYFIYAVTYTVILVPGLIGNILALWVFYGYKRAVIFMINLAIADLLQVLSLPLRIFYYLNGPGLCMFCFYLKYVNMYASIYFLVCISVRRFWFLMYKQKYDLYISIAGWLIICLACVLFPLLRLAQSVVMMTIGELIGFVTPLLIVLYCTWKTVLSLQDKAQDLGEKQKALKMILTCAGVFLICFAPYHFSFPLDFLVKSNSCLARRVILIFHSVALCLASLNSCLDPVIYYFSTNEFRRRLSRQDL</v>
      </c>
      <c r="C44" s="29" t="str">
        <f>IF(ISERROR(MATCH(A44,'SegEnds_Xtal_Prot#'!B:B, 0)), "NoXtal", "Xtal")</f>
        <v>NoXtal</v>
      </c>
      <c r="D44" s="4" t="str">
        <f>VLOOKUP(A44,Classification!A:D,2,FALSE)</f>
        <v>A</v>
      </c>
      <c r="E44" s="5" t="str">
        <f>VLOOKUP(A44,Seqs!A:B,2,FALSE)</f>
        <v>MPANYTCTRPDGDNTDFRYFIYAVTYTVILVPGLIGNILALWVFYGYMKETKRAVIFMINLAIADLLQVLSLPLRIFYYLNHDWPFGPGLCMFCFYLKYVNMYASIYFLVCISVRRFWFLMYPFRFHDCKQKYDLYISIAGWLIICLACVLFPLLRTSDDTSGNRTKCFVDLPTRNVNLAQSVVMMTIGELIGFVTPLLIVLYCTWKTVLSLQDKYPMAQDLGEKQKALKMILTCAGVFLICFAPYHFSFPLDFLVKSNEIKSCLARRVILIFHSVALCLASLNSCLDPVIYYFSTNEFRRRLSRQDLHDSIQLHAKSFVSNHTASTMTPELC</v>
      </c>
      <c r="F44" s="5" t="str">
        <f t="shared" si="1"/>
        <v>FRYFIYAVTYTVILVPGLIGNILALWVFYGY</v>
      </c>
      <c r="G44" s="4" t="str">
        <f t="shared" si="2"/>
        <v/>
      </c>
      <c r="H44" s="4" t="str">
        <f t="shared" si="3"/>
        <v>KRAVIFMINLAIADLLQVLSLPLRIFYYLN</v>
      </c>
      <c r="I44" s="4" t="str">
        <f t="shared" si="4"/>
        <v>DWPF</v>
      </c>
      <c r="J44" s="4" t="str">
        <f t="shared" si="5"/>
        <v>GPGLCMFCFYLKYVNMYASIYFLVCISVRRFWFLMY</v>
      </c>
      <c r="K44" s="4" t="str">
        <f t="shared" si="6"/>
        <v>PFRFHDC</v>
      </c>
      <c r="L44" s="4" t="str">
        <f t="shared" si="7"/>
        <v>KQKYDLYISIAGWLIICLACVLFPLLR</v>
      </c>
      <c r="M44" s="4" t="str">
        <f t="shared" si="8"/>
        <v>CFV</v>
      </c>
      <c r="N44" s="4" t="str">
        <f t="shared" si="9"/>
        <v>LAQSVVMMTIGELIGFVTPLLIVLYCTWKTVLSLQDK</v>
      </c>
      <c r="O44" s="4" t="str">
        <f t="shared" si="10"/>
        <v>AQDLGEKQKALKMILTCAGVFLICFAPYHFSFPLDFLVKSN</v>
      </c>
      <c r="P44" s="4" t="str">
        <f t="shared" si="11"/>
        <v>SCLARRVILIFHSVALCLASLNSCLDPVIYYFS</v>
      </c>
      <c r="Q44" s="4" t="str">
        <f t="shared" si="12"/>
        <v>TNEFRRRLSRQDL</v>
      </c>
      <c r="R44" s="5">
        <f>VLOOKUP($A44,'SegEnds_NonXtal_Prot#'!$A:$AL,3,FALSE)</f>
        <v>17</v>
      </c>
      <c r="S44" s="5" t="str">
        <f>VLOOKUP($A44,'SegEnds_NonXtal_Prot#'!$A:$AL,6,FALSE)</f>
        <v>-</v>
      </c>
      <c r="T44" s="5">
        <f>VLOOKUP($A44,'SegEnds_NonXtal_Prot#'!$A:$AL,9,FALSE)</f>
        <v>52</v>
      </c>
      <c r="U44" s="5">
        <f>VLOOKUP($A44,'SegEnds_NonXtal_Prot#'!$A:$AL,12,FALSE)</f>
        <v>83</v>
      </c>
      <c r="V44" s="5">
        <f>VLOOKUP($A44,'SegEnds_NonXtal_Prot#'!$A:$AL,15,FALSE)</f>
        <v>87</v>
      </c>
      <c r="W44" s="5">
        <f>VLOOKUP($A44,'SegEnds_NonXtal_Prot#'!$A:$AL,18,FALSE)</f>
        <v>123</v>
      </c>
      <c r="X44" s="5">
        <f>VLOOKUP($A44,'SegEnds_NonXtal_Prot#'!$A:$AL,21,FALSE)</f>
        <v>130</v>
      </c>
      <c r="Y44" s="5">
        <f>VLOOKUP($A44,'SegEnds_NonXtal_Prot#'!$A:$AL,24,FALSE)</f>
        <v>168</v>
      </c>
      <c r="Z44" s="5">
        <f>VLOOKUP($A44,'SegEnds_NonXtal_Prot#'!$A:$AL,27,FALSE)</f>
        <v>179</v>
      </c>
      <c r="AA44" s="5">
        <f>VLOOKUP($A44,'SegEnds_NonXtal_Prot#'!$A:$AL,30,FALSE)</f>
        <v>219</v>
      </c>
      <c r="AB44" s="5">
        <f>VLOOKUP($A44,'SegEnds_NonXtal_Prot#'!$A:$AL,33,FALSE)</f>
        <v>263</v>
      </c>
      <c r="AC44" s="5">
        <f>VLOOKUP($A44,'SegEnds_NonXtal_Prot#'!$A:$AL,36,FALSE)</f>
        <v>296</v>
      </c>
      <c r="AD44" s="5">
        <f>VLOOKUP($A44,'SegEnds_NonXtal_Prot#'!$A:$AL,5,FALSE)</f>
        <v>47</v>
      </c>
      <c r="AE44" s="5" t="str">
        <f>VLOOKUP($A44,'SegEnds_NonXtal_Prot#'!$A:$AL,8,FALSE)</f>
        <v>-</v>
      </c>
      <c r="AF44" s="5">
        <f>VLOOKUP($A44,'SegEnds_NonXtal_Prot#'!$A:$AL,11,FALSE)</f>
        <v>81</v>
      </c>
      <c r="AG44" s="5">
        <f>VLOOKUP($A44,'SegEnds_NonXtal_Prot#'!$A:$AL,14,FALSE)</f>
        <v>86</v>
      </c>
      <c r="AH44" s="5">
        <f>VLOOKUP($A44,'SegEnds_NonXtal_Prot#'!$A:$AL,17,FALSE)</f>
        <v>122</v>
      </c>
      <c r="AI44" s="5">
        <f>VLOOKUP($A44,'SegEnds_NonXtal_Prot#'!$A:$AL,20,FALSE)</f>
        <v>129</v>
      </c>
      <c r="AJ44" s="5">
        <f>VLOOKUP($A44,'SegEnds_NonXtal_Prot#'!$A:$AL,23,FALSE)</f>
        <v>156</v>
      </c>
      <c r="AK44" s="5">
        <f>VLOOKUP($A44,'SegEnds_NonXtal_Prot#'!$A:$AL,26,FALSE)</f>
        <v>170</v>
      </c>
      <c r="AL44" s="5">
        <f>VLOOKUP($A44,'SegEnds_NonXtal_Prot#'!$A:$AL,29,FALSE)</f>
        <v>215</v>
      </c>
      <c r="AM44" s="5">
        <f>VLOOKUP($A44,'SegEnds_NonXtal_Prot#'!$A:$AL,32,FALSE)</f>
        <v>259</v>
      </c>
      <c r="AN44" s="5">
        <f>VLOOKUP($A44,'SegEnds_NonXtal_Prot#'!$A:$AL,35,FALSE)</f>
        <v>295</v>
      </c>
      <c r="AO44" s="5">
        <f>VLOOKUP($A44,'SegEnds_NonXtal_Prot#'!$A:$AL,38,FALSE)</f>
        <v>308</v>
      </c>
      <c r="AP44" s="5">
        <f t="shared" si="13"/>
        <v>30</v>
      </c>
      <c r="AQ44" s="4" t="str">
        <f t="shared" si="14"/>
        <v>-</v>
      </c>
      <c r="AR44" s="4">
        <f t="shared" si="15"/>
        <v>29</v>
      </c>
      <c r="AS44" s="4">
        <f t="shared" si="16"/>
        <v>3</v>
      </c>
      <c r="AT44" s="4">
        <f t="shared" si="17"/>
        <v>35</v>
      </c>
      <c r="AU44" s="4">
        <f t="shared" si="18"/>
        <v>6</v>
      </c>
      <c r="AV44" s="4">
        <f t="shared" si="19"/>
        <v>26</v>
      </c>
      <c r="AW44" s="4">
        <f t="shared" si="20"/>
        <v>2</v>
      </c>
      <c r="AX44" s="4">
        <f t="shared" si="21"/>
        <v>36</v>
      </c>
      <c r="AY44" s="4">
        <f t="shared" si="22"/>
        <v>40</v>
      </c>
      <c r="AZ44" s="4">
        <f t="shared" si="23"/>
        <v>32</v>
      </c>
      <c r="BA44" s="4">
        <f t="shared" si="24"/>
        <v>12</v>
      </c>
    </row>
    <row r="45" spans="1:53" x14ac:dyDescent="0.2">
      <c r="A45" s="1" t="str">
        <f>'SegEnds_NonXtal_Prot#'!A9</f>
        <v>lpar1_human</v>
      </c>
      <c r="B45" s="1" t="str">
        <f t="shared" si="0"/>
        <v>TVSKLVMGLGITVCIFIMLANLLVMVAIYVNFPIYYLMANLAAADFFAGLAYFYLMFNTVSTWLLRQGLIDTSLTASVANLLAIAIERHITVFRSNRRVVVVIVVIWTMAIVMGAIPSVGSDSYLVFWAIFNLVTFVVMVVLYAHIFGYVRQRTMRMSGPRRNRDTMMSLLKTVVIVLGAFIICWTPGLVLLLLDVCCDVLAYEKFFLLLAEFNSAMNPIIYSYRDKEMSATFRQILC</v>
      </c>
      <c r="C45" s="29" t="str">
        <f>IF(ISERROR(MATCH(A45,'SegEnds_Xtal_Prot#'!B:B, 0)), "NoXtal", "Xtal")</f>
        <v>Xtal</v>
      </c>
      <c r="D45" s="4" t="str">
        <f>VLOOKUP(A45,Classification!A:D,2,FALSE)</f>
        <v>A</v>
      </c>
      <c r="E45" s="5" t="str">
        <f>VLOOKUP(A45,Seqs!A:B,2,FALSE)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F45" s="5" t="str">
        <f t="shared" si="1"/>
        <v>TVSKLVMGLGITVCIFIMLANLLVMVAIYVN</v>
      </c>
      <c r="G45" s="4" t="str">
        <f t="shared" si="2"/>
        <v>RRFH</v>
      </c>
      <c r="H45" s="4" t="str">
        <f t="shared" si="3"/>
        <v>FPIYYLMANLAAADFFAGLAYFYLMFN</v>
      </c>
      <c r="I45" s="4" t="str">
        <f t="shared" si="4"/>
        <v>GPNTRRL</v>
      </c>
      <c r="J45" s="4" t="str">
        <f t="shared" si="5"/>
        <v>TVSTWLLRQGLIDTSLTASVANLLAIAIERHITVFR</v>
      </c>
      <c r="K45" s="4" t="str">
        <f t="shared" si="6"/>
        <v>MQLHTRM</v>
      </c>
      <c r="L45" s="4" t="str">
        <f t="shared" si="7"/>
        <v>SNRRVVVVIVVIWTMAIVMGAIPSVG</v>
      </c>
      <c r="M45" s="4" t="str">
        <f t="shared" si="8"/>
        <v/>
      </c>
      <c r="N45" s="4" t="str">
        <f t="shared" si="9"/>
        <v>SDSYLVFWAIFNLVTFVVMVVLYAHIFGYVRQRTMRMS</v>
      </c>
      <c r="O45" s="4" t="str">
        <f t="shared" si="10"/>
        <v>GPRRNRDTMMSLLKTVVIVLGAFIICWTPGLVLLLLDVCC</v>
      </c>
      <c r="P45" s="4" t="str">
        <f t="shared" si="11"/>
        <v>DVLAYEKFFLLLAEFNSAMNPIIYSYR</v>
      </c>
      <c r="Q45" s="4" t="str">
        <f t="shared" si="12"/>
        <v>DKEMSATFRQILC</v>
      </c>
      <c r="R45" s="5">
        <f>VLOOKUP($A45,'SegEnds_NonXtal_Prot#'!$A:$AL,3,FALSE)</f>
        <v>47</v>
      </c>
      <c r="S45" s="5">
        <f>VLOOKUP($A45,'SegEnds_NonXtal_Prot#'!$A:$AL,6,FALSE)</f>
        <v>78</v>
      </c>
      <c r="T45" s="5">
        <f>VLOOKUP($A45,'SegEnds_NonXtal_Prot#'!$A:$AL,9,FALSE)</f>
        <v>82</v>
      </c>
      <c r="U45" s="5">
        <f>VLOOKUP($A45,'SegEnds_NonXtal_Prot#'!$A:$AL,12,FALSE)</f>
        <v>110</v>
      </c>
      <c r="V45" s="5">
        <f>VLOOKUP($A45,'SegEnds_NonXtal_Prot#'!$A:$AL,15,FALSE)</f>
        <v>117</v>
      </c>
      <c r="W45" s="5">
        <f>VLOOKUP($A45,'SegEnds_NonXtal_Prot#'!$A:$AL,18,FALSE)</f>
        <v>153</v>
      </c>
      <c r="X45" s="5">
        <f>VLOOKUP($A45,'SegEnds_NonXtal_Prot#'!$A:$AL,21,FALSE)</f>
        <v>160</v>
      </c>
      <c r="Y45" s="5" t="str">
        <f>VLOOKUP($A45,'SegEnds_NonXtal_Prot#'!$A:$AL,24,FALSE)</f>
        <v>-</v>
      </c>
      <c r="Z45" s="5">
        <f>VLOOKUP($A45,'SegEnds_NonXtal_Prot#'!$A:$AL,27,FALSE)</f>
        <v>203</v>
      </c>
      <c r="AA45" s="5">
        <f>VLOOKUP($A45,'SegEnds_NonXtal_Prot#'!$A:$AL,30,FALSE)</f>
        <v>245</v>
      </c>
      <c r="AB45" s="5">
        <f>VLOOKUP($A45,'SegEnds_NonXtal_Prot#'!$A:$AL,33,FALSE)</f>
        <v>288</v>
      </c>
      <c r="AC45" s="5">
        <f>VLOOKUP($A45,'SegEnds_NonXtal_Prot#'!$A:$AL,36,FALSE)</f>
        <v>315</v>
      </c>
      <c r="AD45" s="5">
        <f>VLOOKUP($A45,'SegEnds_NonXtal_Prot#'!$A:$AL,5,FALSE)</f>
        <v>77</v>
      </c>
      <c r="AE45" s="5">
        <f>VLOOKUP($A45,'SegEnds_NonXtal_Prot#'!$A:$AL,8,FALSE)</f>
        <v>81</v>
      </c>
      <c r="AF45" s="5">
        <f>VLOOKUP($A45,'SegEnds_NonXtal_Prot#'!$A:$AL,11,FALSE)</f>
        <v>108</v>
      </c>
      <c r="AG45" s="5">
        <f>VLOOKUP($A45,'SegEnds_NonXtal_Prot#'!$A:$AL,14,FALSE)</f>
        <v>116</v>
      </c>
      <c r="AH45" s="5">
        <f>VLOOKUP($A45,'SegEnds_NonXtal_Prot#'!$A:$AL,17,FALSE)</f>
        <v>152</v>
      </c>
      <c r="AI45" s="5">
        <f>VLOOKUP($A45,'SegEnds_NonXtal_Prot#'!$A:$AL,20,FALSE)</f>
        <v>159</v>
      </c>
      <c r="AJ45" s="5">
        <f>VLOOKUP($A45,'SegEnds_NonXtal_Prot#'!$A:$AL,23,FALSE)</f>
        <v>185</v>
      </c>
      <c r="AK45" s="5" t="str">
        <f>VLOOKUP($A45,'SegEnds_NonXtal_Prot#'!$A:$AL,26,FALSE)</f>
        <v>-</v>
      </c>
      <c r="AL45" s="5">
        <f>VLOOKUP($A45,'SegEnds_NonXtal_Prot#'!$A:$AL,29,FALSE)</f>
        <v>240</v>
      </c>
      <c r="AM45" s="5">
        <f>VLOOKUP($A45,'SegEnds_NonXtal_Prot#'!$A:$AL,32,FALSE)</f>
        <v>284</v>
      </c>
      <c r="AN45" s="5">
        <f>VLOOKUP($A45,'SegEnds_NonXtal_Prot#'!$A:$AL,35,FALSE)</f>
        <v>314</v>
      </c>
      <c r="AO45" s="5">
        <f>VLOOKUP($A45,'SegEnds_NonXtal_Prot#'!$A:$AL,38,FALSE)</f>
        <v>327</v>
      </c>
      <c r="AP45" s="5">
        <f t="shared" si="13"/>
        <v>30</v>
      </c>
      <c r="AQ45" s="4">
        <f t="shared" si="14"/>
        <v>3</v>
      </c>
      <c r="AR45" s="4">
        <f t="shared" si="15"/>
        <v>26</v>
      </c>
      <c r="AS45" s="4">
        <f t="shared" si="16"/>
        <v>6</v>
      </c>
      <c r="AT45" s="4">
        <f t="shared" si="17"/>
        <v>35</v>
      </c>
      <c r="AU45" s="4">
        <f t="shared" si="18"/>
        <v>6</v>
      </c>
      <c r="AV45" s="4">
        <f t="shared" si="19"/>
        <v>25</v>
      </c>
      <c r="AW45" s="4" t="str">
        <f t="shared" si="20"/>
        <v>-</v>
      </c>
      <c r="AX45" s="4">
        <f t="shared" si="21"/>
        <v>37</v>
      </c>
      <c r="AY45" s="4">
        <f t="shared" si="22"/>
        <v>39</v>
      </c>
      <c r="AZ45" s="4">
        <f t="shared" si="23"/>
        <v>26</v>
      </c>
      <c r="BA45" s="4">
        <f t="shared" si="24"/>
        <v>12</v>
      </c>
    </row>
    <row r="46" spans="1:53" x14ac:dyDescent="0.2">
      <c r="A46" s="1" t="str">
        <f>'SegEnds_NonXtal_Prot#'!A10</f>
        <v>lpar2_human</v>
      </c>
      <c r="B46" s="1" t="str">
        <f t="shared" si="0"/>
        <v>PKDVVVVALGLTVSVLVLLTNLLVIAAIASNQPIYYLLGNLAAADLFAGVAYLFLMFHSLEGWFLRQGLLDTSLTASVATLLAIAVERHRSVMAPRGRVVMLIVGVWVAALGLGLLPAHSSRSYLAVWALSSLLVFLLMVAVYTRIFFYVRRRVQRMACHPRYRETTLSLVKTVVIILGAFVVCWTPGQVVLLLDGLGNVLAVEKYFLLLAEANSLVNAAVYSCRDAEMRRTFRRLLC</v>
      </c>
      <c r="C46" s="29" t="str">
        <f>IF(ISERROR(MATCH(A46,'SegEnds_Xtal_Prot#'!B:B, 0)), "NoXtal", "Xtal")</f>
        <v>NoXtal</v>
      </c>
      <c r="D46" s="4" t="str">
        <f>VLOOKUP(A46,Classification!A:D,2,FALSE)</f>
        <v>A</v>
      </c>
      <c r="E46" s="5" t="str">
        <f>VLOOKUP(A46,Seqs!A:B,2,FALSE)</f>
        <v>MVIMGQCYYNETIGFFYNNSGKELSSHWRPKDVVVVALGLTVSVLVLLTNLLVIAAIASNRRFHQPIYYLLGNLAAADLFAGVAYLFLMFHTGPRTARLSLEGWFLRQGLLDTSLTASVATLLAIAVERHRSVMAVQLHSRLPRGRVVMLIVGVWVAALGLGLLPAHSWHCLCALDRCSRMAPLLSRSYLAVWALSSLLVFLLMVAVYTRIFFYVRRRVQRMAEHVSCHPRYRETTLSLVKTVVIILGAFVVCWTPGQVVLLLDGLGCESCNVLAVEKYFLLLAEANSLVNAAVYSCRDAEMRRTFRRLLCCACLRQSTRESVHYTSSAQGGASTRIMLPENGHPLMDSTL</v>
      </c>
      <c r="F46" s="5" t="str">
        <f t="shared" si="1"/>
        <v>PKDVVVVALGLTVSVLVLLTNLLVIAAIASN</v>
      </c>
      <c r="G46" s="4" t="str">
        <f t="shared" si="2"/>
        <v>RRFH</v>
      </c>
      <c r="H46" s="4" t="str">
        <f t="shared" si="3"/>
        <v>QPIYYLLGNLAAADLFAGVAYLFLMFH</v>
      </c>
      <c r="I46" s="4" t="str">
        <f t="shared" si="4"/>
        <v>GPRTARL</v>
      </c>
      <c r="J46" s="4" t="str">
        <f t="shared" si="5"/>
        <v>SLEGWFLRQGLLDTSLTASVATLLAIAVERHRSVMA</v>
      </c>
      <c r="K46" s="4" t="str">
        <f t="shared" si="6"/>
        <v>VQLHSRL</v>
      </c>
      <c r="L46" s="4" t="str">
        <f t="shared" si="7"/>
        <v>PRGRVVMLIVGVWVAALGLGLLPAHS</v>
      </c>
      <c r="M46" s="4" t="str">
        <f t="shared" si="8"/>
        <v/>
      </c>
      <c r="N46" s="4" t="str">
        <f t="shared" si="9"/>
        <v>SRSYLAVWALSSLLVFLLMVAVYTRIFFYVRRRVQRMA</v>
      </c>
      <c r="O46" s="4" t="str">
        <f t="shared" si="10"/>
        <v>CHPRYRETTLSLVKTVVIILGAFVVCWTPGQVVLLLDGLG</v>
      </c>
      <c r="P46" s="4" t="str">
        <f t="shared" si="11"/>
        <v>NVLAVEKYFLLLAEANSLVNAAVYSCR</v>
      </c>
      <c r="Q46" s="4" t="str">
        <f t="shared" si="12"/>
        <v>DAEMRRTFRRLLC</v>
      </c>
      <c r="R46" s="5">
        <f>VLOOKUP($A46,'SegEnds_NonXtal_Prot#'!$A:$AL,3,FALSE)</f>
        <v>30</v>
      </c>
      <c r="S46" s="5">
        <f>VLOOKUP($A46,'SegEnds_NonXtal_Prot#'!$A:$AL,6,FALSE)</f>
        <v>61</v>
      </c>
      <c r="T46" s="5">
        <f>VLOOKUP($A46,'SegEnds_NonXtal_Prot#'!$A:$AL,9,FALSE)</f>
        <v>65</v>
      </c>
      <c r="U46" s="5">
        <f>VLOOKUP($A46,'SegEnds_NonXtal_Prot#'!$A:$AL,12,FALSE)</f>
        <v>93</v>
      </c>
      <c r="V46" s="5">
        <f>VLOOKUP($A46,'SegEnds_NonXtal_Prot#'!$A:$AL,15,FALSE)</f>
        <v>100</v>
      </c>
      <c r="W46" s="5">
        <f>VLOOKUP($A46,'SegEnds_NonXtal_Prot#'!$A:$AL,18,FALSE)</f>
        <v>136</v>
      </c>
      <c r="X46" s="5">
        <f>VLOOKUP($A46,'SegEnds_NonXtal_Prot#'!$A:$AL,21,FALSE)</f>
        <v>143</v>
      </c>
      <c r="Y46" s="5" t="str">
        <f>VLOOKUP($A46,'SegEnds_NonXtal_Prot#'!$A:$AL,24,FALSE)</f>
        <v>-</v>
      </c>
      <c r="Z46" s="5">
        <f>VLOOKUP($A46,'SegEnds_NonXtal_Prot#'!$A:$AL,27,FALSE)</f>
        <v>186</v>
      </c>
      <c r="AA46" s="5">
        <f>VLOOKUP($A46,'SegEnds_NonXtal_Prot#'!$A:$AL,30,FALSE)</f>
        <v>228</v>
      </c>
      <c r="AB46" s="5">
        <f>VLOOKUP($A46,'SegEnds_NonXtal_Prot#'!$A:$AL,33,FALSE)</f>
        <v>272</v>
      </c>
      <c r="AC46" s="5">
        <f>VLOOKUP($A46,'SegEnds_NonXtal_Prot#'!$A:$AL,36,FALSE)</f>
        <v>299</v>
      </c>
      <c r="AD46" s="5">
        <f>VLOOKUP($A46,'SegEnds_NonXtal_Prot#'!$A:$AL,5,FALSE)</f>
        <v>60</v>
      </c>
      <c r="AE46" s="5">
        <f>VLOOKUP($A46,'SegEnds_NonXtal_Prot#'!$A:$AL,8,FALSE)</f>
        <v>64</v>
      </c>
      <c r="AF46" s="5">
        <f>VLOOKUP($A46,'SegEnds_NonXtal_Prot#'!$A:$AL,11,FALSE)</f>
        <v>91</v>
      </c>
      <c r="AG46" s="5">
        <f>VLOOKUP($A46,'SegEnds_NonXtal_Prot#'!$A:$AL,14,FALSE)</f>
        <v>99</v>
      </c>
      <c r="AH46" s="5">
        <f>VLOOKUP($A46,'SegEnds_NonXtal_Prot#'!$A:$AL,17,FALSE)</f>
        <v>135</v>
      </c>
      <c r="AI46" s="5">
        <f>VLOOKUP($A46,'SegEnds_NonXtal_Prot#'!$A:$AL,20,FALSE)</f>
        <v>142</v>
      </c>
      <c r="AJ46" s="5">
        <f>VLOOKUP($A46,'SegEnds_NonXtal_Prot#'!$A:$AL,23,FALSE)</f>
        <v>168</v>
      </c>
      <c r="AK46" s="5" t="str">
        <f>VLOOKUP($A46,'SegEnds_NonXtal_Prot#'!$A:$AL,26,FALSE)</f>
        <v>-</v>
      </c>
      <c r="AL46" s="5">
        <f>VLOOKUP($A46,'SegEnds_NonXtal_Prot#'!$A:$AL,29,FALSE)</f>
        <v>223</v>
      </c>
      <c r="AM46" s="5">
        <f>VLOOKUP($A46,'SegEnds_NonXtal_Prot#'!$A:$AL,32,FALSE)</f>
        <v>267</v>
      </c>
      <c r="AN46" s="5">
        <f>VLOOKUP($A46,'SegEnds_NonXtal_Prot#'!$A:$AL,35,FALSE)</f>
        <v>298</v>
      </c>
      <c r="AO46" s="5">
        <f>VLOOKUP($A46,'SegEnds_NonXtal_Prot#'!$A:$AL,38,FALSE)</f>
        <v>311</v>
      </c>
      <c r="AP46" s="5">
        <f t="shared" si="13"/>
        <v>30</v>
      </c>
      <c r="AQ46" s="4">
        <f t="shared" si="14"/>
        <v>3</v>
      </c>
      <c r="AR46" s="4">
        <f t="shared" si="15"/>
        <v>26</v>
      </c>
      <c r="AS46" s="4">
        <f t="shared" si="16"/>
        <v>6</v>
      </c>
      <c r="AT46" s="4">
        <f t="shared" si="17"/>
        <v>35</v>
      </c>
      <c r="AU46" s="4">
        <f t="shared" si="18"/>
        <v>6</v>
      </c>
      <c r="AV46" s="4">
        <f t="shared" si="19"/>
        <v>25</v>
      </c>
      <c r="AW46" s="4" t="str">
        <f t="shared" si="20"/>
        <v>-</v>
      </c>
      <c r="AX46" s="4">
        <f t="shared" si="21"/>
        <v>37</v>
      </c>
      <c r="AY46" s="4">
        <f t="shared" si="22"/>
        <v>39</v>
      </c>
      <c r="AZ46" s="4">
        <f t="shared" si="23"/>
        <v>26</v>
      </c>
      <c r="BA46" s="4">
        <f t="shared" si="24"/>
        <v>12</v>
      </c>
    </row>
    <row r="47" spans="1:53" x14ac:dyDescent="0.2">
      <c r="A47" s="1" t="str">
        <f>'SegEnds_NonXtal_Prot#'!A11</f>
        <v>lpar3_human</v>
      </c>
      <c r="B47" s="1" t="str">
        <f t="shared" si="0"/>
        <v>TKLVIVLCVGTFFCLFIFFSNSLVIAAVIKNFPFYYLLANLAAADFFAGIAYVFLMFNTVNRWFLRQGLLDSSLTASLTNLLVIAVERHMSIMRTKKRVTLLILLVWAIAIFMGAVPTLGSRSYLVFWTVSNLMAFLIMVVVYLRIYVYVKRKTNVLSGSISRRRTPMKLMKTVMTVLGAFVVCWTPGLVVLLLDGLNGVQHVKRWFLLLALLNSVVNPIIYSYKDEDMYGTMKKMIC</v>
      </c>
      <c r="C47" s="29" t="str">
        <f>IF(ISERROR(MATCH(A47,'SegEnds_Xtal_Prot#'!B:B, 0)), "NoXtal", "Xtal")</f>
        <v>NoXtal</v>
      </c>
      <c r="D47" s="4" t="str">
        <f>VLOOKUP(A47,Classification!A:D,2,FALSE)</f>
        <v>A</v>
      </c>
      <c r="E47" s="5" t="str">
        <f>VLOOKUP(A47,Seqs!A:B,2,FALSE)</f>
        <v>MNECHYDKHMDFFYNRSNTDTVDDWTGTKLVIVLCVGTFFCLFIFFSNSLVIAAVIKNRKFHFPFYYLLANLAAADFFAGIAYVFLMFNTGPVSKTLTVNRWFLRQGLLDSSLTASLTNLLVIAVERHMSIMRMRVHSNLTKKRVTLLILLVWAIAIFMGAVPTLGWNCLCNISACSSLAPIYSRSYLVFWTVSNLMAFLIMVVVYLRIYVYVKRKTNVLSPHTSGSISRRRTPMKLMKTVMTVLGAFVVCWTPGLVVLLLDGLNCRQCGVQHVKRWFLLLALLNSVVNPIIYSYKDEDMYGTMKKMICCFSQENPERRPSRIPSTVLSRSDTGSQYIEDSISQGAVCNKSTS</v>
      </c>
      <c r="F47" s="5" t="str">
        <f t="shared" si="1"/>
        <v>TKLVIVLCVGTFFCLFIFFSNSLVIAAVIKN</v>
      </c>
      <c r="G47" s="4" t="str">
        <f t="shared" si="2"/>
        <v>RKFH</v>
      </c>
      <c r="H47" s="4" t="str">
        <f t="shared" si="3"/>
        <v>FPFYYLLANLAAADFFAGIAYVFLMFN</v>
      </c>
      <c r="I47" s="4" t="str">
        <f t="shared" si="4"/>
        <v>GPVSKTL</v>
      </c>
      <c r="J47" s="4" t="str">
        <f t="shared" si="5"/>
        <v>TVNRWFLRQGLLDSSLTASLTNLLVIAVERHMSIMR</v>
      </c>
      <c r="K47" s="4" t="str">
        <f t="shared" si="6"/>
        <v>MRVHSNL</v>
      </c>
      <c r="L47" s="4" t="str">
        <f t="shared" si="7"/>
        <v>TKKRVTLLILLVWAIAIFMGAVPTLG</v>
      </c>
      <c r="M47" s="4" t="str">
        <f t="shared" si="8"/>
        <v/>
      </c>
      <c r="N47" s="4" t="str">
        <f t="shared" si="9"/>
        <v>SRSYLVFWTVSNLMAFLIMVVVYLRIYVYVKRKTNVLS</v>
      </c>
      <c r="O47" s="4" t="str">
        <f t="shared" si="10"/>
        <v>GSISRRRTPMKLMKTVMTVLGAFVVCWTPGLVVLLLDGLN</v>
      </c>
      <c r="P47" s="4" t="str">
        <f t="shared" si="11"/>
        <v>GVQHVKRWFLLLALLNSVVNPIIYSYK</v>
      </c>
      <c r="Q47" s="4" t="str">
        <f t="shared" si="12"/>
        <v>DEDMYGTMKKMIC</v>
      </c>
      <c r="R47" s="5">
        <f>VLOOKUP($A47,'SegEnds_NonXtal_Prot#'!$A:$AL,3,FALSE)</f>
        <v>28</v>
      </c>
      <c r="S47" s="5">
        <f>VLOOKUP($A47,'SegEnds_NonXtal_Prot#'!$A:$AL,6,FALSE)</f>
        <v>59</v>
      </c>
      <c r="T47" s="5">
        <f>VLOOKUP($A47,'SegEnds_NonXtal_Prot#'!$A:$AL,9,FALSE)</f>
        <v>63</v>
      </c>
      <c r="U47" s="5">
        <f>VLOOKUP($A47,'SegEnds_NonXtal_Prot#'!$A:$AL,12,FALSE)</f>
        <v>91</v>
      </c>
      <c r="V47" s="5">
        <f>VLOOKUP($A47,'SegEnds_NonXtal_Prot#'!$A:$AL,15,FALSE)</f>
        <v>98</v>
      </c>
      <c r="W47" s="5">
        <f>VLOOKUP($A47,'SegEnds_NonXtal_Prot#'!$A:$AL,18,FALSE)</f>
        <v>134</v>
      </c>
      <c r="X47" s="5">
        <f>VLOOKUP($A47,'SegEnds_NonXtal_Prot#'!$A:$AL,21,FALSE)</f>
        <v>141</v>
      </c>
      <c r="Y47" s="5" t="str">
        <f>VLOOKUP($A47,'SegEnds_NonXtal_Prot#'!$A:$AL,24,FALSE)</f>
        <v>-</v>
      </c>
      <c r="Z47" s="5">
        <f>VLOOKUP($A47,'SegEnds_NonXtal_Prot#'!$A:$AL,27,FALSE)</f>
        <v>184</v>
      </c>
      <c r="AA47" s="5">
        <f>VLOOKUP($A47,'SegEnds_NonXtal_Prot#'!$A:$AL,30,FALSE)</f>
        <v>226</v>
      </c>
      <c r="AB47" s="5">
        <f>VLOOKUP($A47,'SegEnds_NonXtal_Prot#'!$A:$AL,33,FALSE)</f>
        <v>270</v>
      </c>
      <c r="AC47" s="5">
        <f>VLOOKUP($A47,'SegEnds_NonXtal_Prot#'!$A:$AL,36,FALSE)</f>
        <v>297</v>
      </c>
      <c r="AD47" s="5">
        <f>VLOOKUP($A47,'SegEnds_NonXtal_Prot#'!$A:$AL,5,FALSE)</f>
        <v>58</v>
      </c>
      <c r="AE47" s="5">
        <f>VLOOKUP($A47,'SegEnds_NonXtal_Prot#'!$A:$AL,8,FALSE)</f>
        <v>62</v>
      </c>
      <c r="AF47" s="5">
        <f>VLOOKUP($A47,'SegEnds_NonXtal_Prot#'!$A:$AL,11,FALSE)</f>
        <v>89</v>
      </c>
      <c r="AG47" s="5">
        <f>VLOOKUP($A47,'SegEnds_NonXtal_Prot#'!$A:$AL,14,FALSE)</f>
        <v>97</v>
      </c>
      <c r="AH47" s="5">
        <f>VLOOKUP($A47,'SegEnds_NonXtal_Prot#'!$A:$AL,17,FALSE)</f>
        <v>133</v>
      </c>
      <c r="AI47" s="5">
        <f>VLOOKUP($A47,'SegEnds_NonXtal_Prot#'!$A:$AL,20,FALSE)</f>
        <v>140</v>
      </c>
      <c r="AJ47" s="5">
        <f>VLOOKUP($A47,'SegEnds_NonXtal_Prot#'!$A:$AL,23,FALSE)</f>
        <v>166</v>
      </c>
      <c r="AK47" s="5" t="str">
        <f>VLOOKUP($A47,'SegEnds_NonXtal_Prot#'!$A:$AL,26,FALSE)</f>
        <v>-</v>
      </c>
      <c r="AL47" s="5">
        <f>VLOOKUP($A47,'SegEnds_NonXtal_Prot#'!$A:$AL,29,FALSE)</f>
        <v>221</v>
      </c>
      <c r="AM47" s="5">
        <f>VLOOKUP($A47,'SegEnds_NonXtal_Prot#'!$A:$AL,32,FALSE)</f>
        <v>265</v>
      </c>
      <c r="AN47" s="5">
        <f>VLOOKUP($A47,'SegEnds_NonXtal_Prot#'!$A:$AL,35,FALSE)</f>
        <v>296</v>
      </c>
      <c r="AO47" s="5">
        <f>VLOOKUP($A47,'SegEnds_NonXtal_Prot#'!$A:$AL,38,FALSE)</f>
        <v>309</v>
      </c>
      <c r="AP47" s="5">
        <f t="shared" si="13"/>
        <v>30</v>
      </c>
      <c r="AQ47" s="4">
        <f t="shared" si="14"/>
        <v>3</v>
      </c>
      <c r="AR47" s="4">
        <f t="shared" si="15"/>
        <v>26</v>
      </c>
      <c r="AS47" s="4">
        <f t="shared" si="16"/>
        <v>6</v>
      </c>
      <c r="AT47" s="4">
        <f t="shared" si="17"/>
        <v>35</v>
      </c>
      <c r="AU47" s="4">
        <f t="shared" si="18"/>
        <v>6</v>
      </c>
      <c r="AV47" s="4">
        <f t="shared" si="19"/>
        <v>25</v>
      </c>
      <c r="AW47" s="4" t="str">
        <f t="shared" si="20"/>
        <v>-</v>
      </c>
      <c r="AX47" s="4">
        <f t="shared" si="21"/>
        <v>37</v>
      </c>
      <c r="AY47" s="4">
        <f t="shared" si="22"/>
        <v>39</v>
      </c>
      <c r="AZ47" s="4">
        <f t="shared" si="23"/>
        <v>26</v>
      </c>
      <c r="BA47" s="4">
        <f t="shared" si="24"/>
        <v>12</v>
      </c>
    </row>
    <row r="48" spans="1:53" x14ac:dyDescent="0.2">
      <c r="A48" s="1" t="str">
        <f>'SegEnds_NonXtal_Prot#'!A13</f>
        <v>opsb_human</v>
      </c>
      <c r="B48" s="1" t="str">
        <f t="shared" si="0"/>
        <v>VWAFYLQAAFMGTVFLIGFPLNAMVLVATLRYQPLNYILVNVSFGGFLLCIFSVFPVFVASCNGRHVCALEGFLGTVAGLVTGWSLAFLAFERYIVICKSSKHALTVVLATWTIGIGVSIPPFFRSESYTWFLFIFCFIVPLSLICFSYTQLLRALKAVAAQQATTQKAEREVSRMVVVMVGSFCVCYVPYAAFAMYMVNNDLRLVTIPSFFSKSACIYNPIIYCFMNKQFQACIMKMVC</v>
      </c>
      <c r="C48" s="29" t="str">
        <f>IF(ISERROR(MATCH(A48,'SegEnds_Xtal_Prot#'!B:B, 0)), "NoXtal", "Xtal")</f>
        <v>NoXtal</v>
      </c>
      <c r="D48" s="4" t="str">
        <f>VLOOKUP(A48,Classification!A:D,2,FALSE)</f>
        <v>A</v>
      </c>
      <c r="E48" s="5" t="str">
        <f>VLOOKUP(A48,Seqs!A:B,2,FALSE)</f>
        <v>MRKMSEEEFYLFKNISSVGPWDGPQYHIAPVWAFYLQAAFMGTVFLIGFPLNAMVLVATLRYKKLRQPLNYILVNVSFGGFLLCIFSVFPVFVASCNGYFVFGRHVCALEGFLGTVAGLVTGWSLAFLAFERYIVICKPFGNFRFSSKHALTVVLATWTIGIGVSIPPFFGWSRFIPEGLQCSCGPDWYTVGTKYRSESYTWFLFIFCFIVPLSLICFSYTQLLRALKAVAAQQQESATTQKAEREVSRMVVVMVGSFCVCYVPYAAFAMYMVNNRNHGLDLRLVTIPSFFSKSACIYNPIIYCFMNKQFQACIMKMVCGKAMTDESDTCSSQKTEVSTVSSTQVGPN</v>
      </c>
      <c r="F48" s="5" t="str">
        <f t="shared" si="1"/>
        <v>VWAFYLQAAFMGTVFLIGFPLNAMVLVATLRY</v>
      </c>
      <c r="G48" s="4" t="str">
        <f t="shared" si="2"/>
        <v>KKLR</v>
      </c>
      <c r="H48" s="4" t="str">
        <f t="shared" si="3"/>
        <v>QPLNYILVNVSFGGFLLCIFSVFPVFVASCN</v>
      </c>
      <c r="I48" s="4" t="str">
        <f t="shared" si="4"/>
        <v>YFVF</v>
      </c>
      <c r="J48" s="4" t="str">
        <f t="shared" si="5"/>
        <v>GRHVCALEGFLGTVAGLVTGWSLAFLAFERYIVICK</v>
      </c>
      <c r="K48" s="4" t="str">
        <f t="shared" si="6"/>
        <v>PFGNFRF</v>
      </c>
      <c r="L48" s="4" t="str">
        <f t="shared" si="7"/>
        <v>SSKHALTVVLATWTIGIGVSIPPFF</v>
      </c>
      <c r="M48" s="4" t="str">
        <f t="shared" si="8"/>
        <v>CGP</v>
      </c>
      <c r="N48" s="4" t="str">
        <f t="shared" si="9"/>
        <v>RSESYTWFLFIFCFIVPLSLICFSYTQLLRALKAVAAQQ</v>
      </c>
      <c r="O48" s="4" t="str">
        <f t="shared" si="10"/>
        <v>ATTQKAEREVSRMVVVMVGSFCVCYVPYAAFAMYMVNN</v>
      </c>
      <c r="P48" s="4" t="str">
        <f t="shared" si="11"/>
        <v>DLRLVTIPSFFSKSACIYNPIIYCFM</v>
      </c>
      <c r="Q48" s="4" t="str">
        <f t="shared" si="12"/>
        <v>NKQFQACIMKMVC</v>
      </c>
      <c r="R48" s="5">
        <f>VLOOKUP($A48,'SegEnds_NonXtal_Prot#'!$A:$AL,3,FALSE)</f>
        <v>31</v>
      </c>
      <c r="S48" s="5">
        <f>VLOOKUP($A48,'SegEnds_NonXtal_Prot#'!$A:$AL,6,FALSE)</f>
        <v>63</v>
      </c>
      <c r="T48" s="5">
        <f>VLOOKUP($A48,'SegEnds_NonXtal_Prot#'!$A:$AL,9,FALSE)</f>
        <v>67</v>
      </c>
      <c r="U48" s="5">
        <f>VLOOKUP($A48,'SegEnds_NonXtal_Prot#'!$A:$AL,12,FALSE)</f>
        <v>99</v>
      </c>
      <c r="V48" s="5">
        <f>VLOOKUP($A48,'SegEnds_NonXtal_Prot#'!$A:$AL,15,FALSE)</f>
        <v>103</v>
      </c>
      <c r="W48" s="5">
        <f>VLOOKUP($A48,'SegEnds_NonXtal_Prot#'!$A:$AL,18,FALSE)</f>
        <v>139</v>
      </c>
      <c r="X48" s="5">
        <f>VLOOKUP($A48,'SegEnds_NonXtal_Prot#'!$A:$AL,21,FALSE)</f>
        <v>146</v>
      </c>
      <c r="Y48" s="5">
        <f>VLOOKUP($A48,'SegEnds_NonXtal_Prot#'!$A:$AL,24,FALSE)</f>
        <v>184</v>
      </c>
      <c r="Z48" s="5">
        <f>VLOOKUP($A48,'SegEnds_NonXtal_Prot#'!$A:$AL,27,FALSE)</f>
        <v>196</v>
      </c>
      <c r="AA48" s="5">
        <f>VLOOKUP($A48,'SegEnds_NonXtal_Prot#'!$A:$AL,30,FALSE)</f>
        <v>238</v>
      </c>
      <c r="AB48" s="5">
        <f>VLOOKUP($A48,'SegEnds_NonXtal_Prot#'!$A:$AL,33,FALSE)</f>
        <v>281</v>
      </c>
      <c r="AC48" s="5">
        <f>VLOOKUP($A48,'SegEnds_NonXtal_Prot#'!$A:$AL,36,FALSE)</f>
        <v>307</v>
      </c>
      <c r="AD48" s="5">
        <f>VLOOKUP($A48,'SegEnds_NonXtal_Prot#'!$A:$AL,5,FALSE)</f>
        <v>62</v>
      </c>
      <c r="AE48" s="5">
        <f>VLOOKUP($A48,'SegEnds_NonXtal_Prot#'!$A:$AL,8,FALSE)</f>
        <v>66</v>
      </c>
      <c r="AF48" s="5">
        <f>VLOOKUP($A48,'SegEnds_NonXtal_Prot#'!$A:$AL,11,FALSE)</f>
        <v>97</v>
      </c>
      <c r="AG48" s="5">
        <f>VLOOKUP($A48,'SegEnds_NonXtal_Prot#'!$A:$AL,14,FALSE)</f>
        <v>102</v>
      </c>
      <c r="AH48" s="5">
        <f>VLOOKUP($A48,'SegEnds_NonXtal_Prot#'!$A:$AL,17,FALSE)</f>
        <v>138</v>
      </c>
      <c r="AI48" s="5">
        <f>VLOOKUP($A48,'SegEnds_NonXtal_Prot#'!$A:$AL,20,FALSE)</f>
        <v>145</v>
      </c>
      <c r="AJ48" s="5">
        <f>VLOOKUP($A48,'SegEnds_NonXtal_Prot#'!$A:$AL,23,FALSE)</f>
        <v>170</v>
      </c>
      <c r="AK48" s="5">
        <f>VLOOKUP($A48,'SegEnds_NonXtal_Prot#'!$A:$AL,26,FALSE)</f>
        <v>186</v>
      </c>
      <c r="AL48" s="5">
        <f>VLOOKUP($A48,'SegEnds_NonXtal_Prot#'!$A:$AL,29,FALSE)</f>
        <v>234</v>
      </c>
      <c r="AM48" s="5">
        <f>VLOOKUP($A48,'SegEnds_NonXtal_Prot#'!$A:$AL,32,FALSE)</f>
        <v>275</v>
      </c>
      <c r="AN48" s="5">
        <f>VLOOKUP($A48,'SegEnds_NonXtal_Prot#'!$A:$AL,35,FALSE)</f>
        <v>306</v>
      </c>
      <c r="AO48" s="5">
        <f>VLOOKUP($A48,'SegEnds_NonXtal_Prot#'!$A:$AL,38,FALSE)</f>
        <v>319</v>
      </c>
      <c r="AP48" s="5">
        <f t="shared" si="13"/>
        <v>31</v>
      </c>
      <c r="AQ48" s="4">
        <f t="shared" si="14"/>
        <v>3</v>
      </c>
      <c r="AR48" s="4">
        <f t="shared" si="15"/>
        <v>30</v>
      </c>
      <c r="AS48" s="4">
        <f t="shared" si="16"/>
        <v>3</v>
      </c>
      <c r="AT48" s="4">
        <f t="shared" si="17"/>
        <v>35</v>
      </c>
      <c r="AU48" s="4">
        <f t="shared" si="18"/>
        <v>6</v>
      </c>
      <c r="AV48" s="4">
        <f t="shared" si="19"/>
        <v>24</v>
      </c>
      <c r="AW48" s="4">
        <f t="shared" si="20"/>
        <v>2</v>
      </c>
      <c r="AX48" s="4">
        <f t="shared" si="21"/>
        <v>38</v>
      </c>
      <c r="AY48" s="4">
        <f t="shared" si="22"/>
        <v>37</v>
      </c>
      <c r="AZ48" s="4">
        <f t="shared" si="23"/>
        <v>25</v>
      </c>
      <c r="BA48" s="4">
        <f t="shared" si="24"/>
        <v>12</v>
      </c>
    </row>
    <row r="49" spans="1:53" x14ac:dyDescent="0.2">
      <c r="A49" s="1" t="str">
        <f>'SegEnds_NonXtal_Prot#'!A14</f>
        <v>opsd_bovin</v>
      </c>
      <c r="B49" s="1" t="str">
        <f t="shared" si="0"/>
        <v>PWQFSMLAAYMFLLIMLGFPINFLTLYVTVQHTPLNYILLNLAVADLFMVFGGFTTTLYTSLHGPTGCNLEGFFATLGGEIALWSLVVLAIERYVVVCKGENHAIMGVAFTWVMALACAAPPLVNNESFVIYMFVVHFIIPLIVIFFCYGQLVFTVKEAAAQQATTQKAEKEVTRMVIIMVIAFLICWLPYAGVAFYIFTHGPIFMTIPAFFAKTSAVYNPVIYIMMNKQFRNCMVTTLC</v>
      </c>
      <c r="C49" s="29" t="str">
        <f>IF(ISERROR(MATCH(A49,'SegEnds_Xtal_Prot#'!B:B, 0)), "NoXtal", "Xtal")</f>
        <v>Xtal</v>
      </c>
      <c r="D49" s="4" t="str">
        <f>VLOOKUP(A49,Classification!A:D,2,FALSE)</f>
        <v>A</v>
      </c>
      <c r="E49" s="5" t="str">
        <f>VLOOKUP(A49,Seqs!A:B,2,FALSE)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F49" s="5" t="str">
        <f t="shared" si="1"/>
        <v>PWQFSMLAAYMFLLIMLGFPINFLTLYVTVQH</v>
      </c>
      <c r="G49" s="4" t="str">
        <f t="shared" si="2"/>
        <v>KKLR</v>
      </c>
      <c r="H49" s="4" t="str">
        <f t="shared" si="3"/>
        <v>TPLNYILLNLAVADLFMVFGGFTTTLYTSLH</v>
      </c>
      <c r="I49" s="4" t="str">
        <f t="shared" si="4"/>
        <v>YFVF</v>
      </c>
      <c r="J49" s="4" t="str">
        <f t="shared" si="5"/>
        <v>GPTGCNLEGFFATLGGEIALWSLVVLAIERYVVVCK</v>
      </c>
      <c r="K49" s="4" t="str">
        <f t="shared" si="6"/>
        <v>PMSNFRF</v>
      </c>
      <c r="L49" s="4" t="str">
        <f t="shared" si="7"/>
        <v>GENHAIMGVAFTWVMALACAAPPLV</v>
      </c>
      <c r="M49" s="4" t="str">
        <f t="shared" si="8"/>
        <v>CGI</v>
      </c>
      <c r="N49" s="4" t="str">
        <f t="shared" si="9"/>
        <v>NNESFVIYMFVVHFIIPLIVIFFCYGQLVFTVKEAAAQQ</v>
      </c>
      <c r="O49" s="4" t="str">
        <f t="shared" si="10"/>
        <v>ATTQKAEKEVTRMVIIMVIAFLICWLPYAGVAFYIFTH</v>
      </c>
      <c r="P49" s="4" t="str">
        <f t="shared" si="11"/>
        <v>GPIFMTIPAFFAKTSAVYNPVIYIMM</v>
      </c>
      <c r="Q49" s="4" t="str">
        <f t="shared" si="12"/>
        <v>NKQFRNCMVTTLC</v>
      </c>
      <c r="R49" s="5">
        <f>VLOOKUP($A49,'SegEnds_NonXtal_Prot#'!$A:$AL,3,FALSE)</f>
        <v>34</v>
      </c>
      <c r="S49" s="5">
        <f>VLOOKUP($A49,'SegEnds_NonXtal_Prot#'!$A:$AL,6,FALSE)</f>
        <v>66</v>
      </c>
      <c r="T49" s="5">
        <f>VLOOKUP($A49,'SegEnds_NonXtal_Prot#'!$A:$AL,9,FALSE)</f>
        <v>70</v>
      </c>
      <c r="U49" s="5">
        <f>VLOOKUP($A49,'SegEnds_NonXtal_Prot#'!$A:$AL,12,FALSE)</f>
        <v>102</v>
      </c>
      <c r="V49" s="5">
        <f>VLOOKUP($A49,'SegEnds_NonXtal_Prot#'!$A:$AL,15,FALSE)</f>
        <v>106</v>
      </c>
      <c r="W49" s="5">
        <f>VLOOKUP($A49,'SegEnds_NonXtal_Prot#'!$A:$AL,18,FALSE)</f>
        <v>142</v>
      </c>
      <c r="X49" s="5">
        <f>VLOOKUP($A49,'SegEnds_NonXtal_Prot#'!$A:$AL,21,FALSE)</f>
        <v>149</v>
      </c>
      <c r="Y49" s="5">
        <f>VLOOKUP($A49,'SegEnds_NonXtal_Prot#'!$A:$AL,24,FALSE)</f>
        <v>187</v>
      </c>
      <c r="Z49" s="5">
        <f>VLOOKUP($A49,'SegEnds_NonXtal_Prot#'!$A:$AL,27,FALSE)</f>
        <v>199</v>
      </c>
      <c r="AA49" s="5">
        <f>VLOOKUP($A49,'SegEnds_NonXtal_Prot#'!$A:$AL,30,FALSE)</f>
        <v>241</v>
      </c>
      <c r="AB49" s="5">
        <f>VLOOKUP($A49,'SegEnds_NonXtal_Prot#'!$A:$AL,33,FALSE)</f>
        <v>284</v>
      </c>
      <c r="AC49" s="5">
        <f>VLOOKUP($A49,'SegEnds_NonXtal_Prot#'!$A:$AL,36,FALSE)</f>
        <v>310</v>
      </c>
      <c r="AD49" s="5">
        <f>VLOOKUP($A49,'SegEnds_NonXtal_Prot#'!$A:$AL,5,FALSE)</f>
        <v>65</v>
      </c>
      <c r="AE49" s="5">
        <f>VLOOKUP($A49,'SegEnds_NonXtal_Prot#'!$A:$AL,8,FALSE)</f>
        <v>69</v>
      </c>
      <c r="AF49" s="5">
        <f>VLOOKUP($A49,'SegEnds_NonXtal_Prot#'!$A:$AL,11,FALSE)</f>
        <v>100</v>
      </c>
      <c r="AG49" s="5">
        <f>VLOOKUP($A49,'SegEnds_NonXtal_Prot#'!$A:$AL,14,FALSE)</f>
        <v>105</v>
      </c>
      <c r="AH49" s="5">
        <f>VLOOKUP($A49,'SegEnds_NonXtal_Prot#'!$A:$AL,17,FALSE)</f>
        <v>141</v>
      </c>
      <c r="AI49" s="5">
        <f>VLOOKUP($A49,'SegEnds_NonXtal_Prot#'!$A:$AL,20,FALSE)</f>
        <v>148</v>
      </c>
      <c r="AJ49" s="5">
        <f>VLOOKUP($A49,'SegEnds_NonXtal_Prot#'!$A:$AL,23,FALSE)</f>
        <v>173</v>
      </c>
      <c r="AK49" s="5">
        <f>VLOOKUP($A49,'SegEnds_NonXtal_Prot#'!$A:$AL,26,FALSE)</f>
        <v>189</v>
      </c>
      <c r="AL49" s="5">
        <f>VLOOKUP($A49,'SegEnds_NonXtal_Prot#'!$A:$AL,29,FALSE)</f>
        <v>237</v>
      </c>
      <c r="AM49" s="5">
        <f>VLOOKUP($A49,'SegEnds_NonXtal_Prot#'!$A:$AL,32,FALSE)</f>
        <v>278</v>
      </c>
      <c r="AN49" s="5">
        <f>VLOOKUP($A49,'SegEnds_NonXtal_Prot#'!$A:$AL,35,FALSE)</f>
        <v>309</v>
      </c>
      <c r="AO49" s="5">
        <f>VLOOKUP($A49,'SegEnds_NonXtal_Prot#'!$A:$AL,38,FALSE)</f>
        <v>322</v>
      </c>
      <c r="AP49" s="5">
        <f t="shared" si="13"/>
        <v>31</v>
      </c>
      <c r="AQ49" s="4">
        <f t="shared" si="14"/>
        <v>3</v>
      </c>
      <c r="AR49" s="4">
        <f t="shared" si="15"/>
        <v>30</v>
      </c>
      <c r="AS49" s="4">
        <f t="shared" si="16"/>
        <v>3</v>
      </c>
      <c r="AT49" s="4">
        <f t="shared" si="17"/>
        <v>35</v>
      </c>
      <c r="AU49" s="4">
        <f t="shared" si="18"/>
        <v>6</v>
      </c>
      <c r="AV49" s="4">
        <f t="shared" si="19"/>
        <v>24</v>
      </c>
      <c r="AW49" s="4">
        <f t="shared" si="20"/>
        <v>2</v>
      </c>
      <c r="AX49" s="4">
        <f t="shared" si="21"/>
        <v>38</v>
      </c>
      <c r="AY49" s="4">
        <f t="shared" si="22"/>
        <v>37</v>
      </c>
      <c r="AZ49" s="4">
        <f t="shared" si="23"/>
        <v>25</v>
      </c>
      <c r="BA49" s="4">
        <f t="shared" si="24"/>
        <v>12</v>
      </c>
    </row>
    <row r="50" spans="1:53" x14ac:dyDescent="0.2">
      <c r="A50" s="1" t="str">
        <f>'SegEnds_NonXtal_Prot#'!A15</f>
        <v>opsd_human</v>
      </c>
      <c r="B50" s="1" t="str">
        <f t="shared" si="0"/>
        <v>PWQFSMLAAYMFLLIVLGFPINFLTLYVTVQHTPLNYILLNLAVADLFMVLGGFTSTLYTSLHGPTGCNLEGFFATLGGEIALWSLVVLAIERYVVVCKGENHAIMGVAFTWVMALACAAPPLANNESFVIYMFVVHFTIPMIIIFFCYGQLVFTVKEAAAQQATTQKAEKEVTRMVIIMVIAFLICWVPYASVAFYIFTHGPIFMTIPAFFAKSAAIYNPVIYIMMNKQFRNCMLTTIC</v>
      </c>
      <c r="C50" s="29" t="str">
        <f>IF(ISERROR(MATCH(A50,'SegEnds_Xtal_Prot#'!B:B, 0)), "NoXtal", "Xtal")</f>
        <v>Xtal</v>
      </c>
      <c r="D50" s="4" t="str">
        <f>VLOOKUP(A50,Classification!A:D,2,FALSE)</f>
        <v>A</v>
      </c>
      <c r="E50" s="5" t="str">
        <f>VLOOKUP(A50,Seqs!A:B,2,FALSE)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F50" s="5" t="str">
        <f t="shared" si="1"/>
        <v>PWQFSMLAAYMFLLIVLGFPINFLTLYVTVQH</v>
      </c>
      <c r="G50" s="4" t="str">
        <f t="shared" si="2"/>
        <v>KKLR</v>
      </c>
      <c r="H50" s="4" t="str">
        <f t="shared" si="3"/>
        <v>TPLNYILLNLAVADLFMVLGGFTSTLYTSLH</v>
      </c>
      <c r="I50" s="4" t="str">
        <f t="shared" si="4"/>
        <v>YFVF</v>
      </c>
      <c r="J50" s="4" t="str">
        <f t="shared" si="5"/>
        <v>GPTGCNLEGFFATLGGEIALWSLVVLAIERYVVVCK</v>
      </c>
      <c r="K50" s="4" t="str">
        <f t="shared" si="6"/>
        <v>PMSNFRF</v>
      </c>
      <c r="L50" s="4" t="str">
        <f t="shared" si="7"/>
        <v>GENHAIMGVAFTWVMALACAAPPLA</v>
      </c>
      <c r="M50" s="4" t="str">
        <f t="shared" si="8"/>
        <v>CGI</v>
      </c>
      <c r="N50" s="4" t="str">
        <f t="shared" si="9"/>
        <v>NNESFVIYMFVVHFTIPMIIIFFCYGQLVFTVKEAAAQQ</v>
      </c>
      <c r="O50" s="4" t="str">
        <f t="shared" si="10"/>
        <v>ATTQKAEKEVTRMVIIMVIAFLICWVPYASVAFYIFTH</v>
      </c>
      <c r="P50" s="4" t="str">
        <f t="shared" si="11"/>
        <v>GPIFMTIPAFFAKSAAIYNPVIYIMM</v>
      </c>
      <c r="Q50" s="4" t="str">
        <f t="shared" si="12"/>
        <v>NKQFRNCMLTTIC</v>
      </c>
      <c r="R50" s="5">
        <f>VLOOKUP($A50,'SegEnds_NonXtal_Prot#'!$A:$AL,3,FALSE)</f>
        <v>34</v>
      </c>
      <c r="S50" s="5">
        <f>VLOOKUP($A50,'SegEnds_NonXtal_Prot#'!$A:$AL,6,FALSE)</f>
        <v>66</v>
      </c>
      <c r="T50" s="5">
        <f>VLOOKUP($A50,'SegEnds_NonXtal_Prot#'!$A:$AL,9,FALSE)</f>
        <v>70</v>
      </c>
      <c r="U50" s="5">
        <f>VLOOKUP($A50,'SegEnds_NonXtal_Prot#'!$A:$AL,12,FALSE)</f>
        <v>102</v>
      </c>
      <c r="V50" s="5">
        <f>VLOOKUP($A50,'SegEnds_NonXtal_Prot#'!$A:$AL,15,FALSE)</f>
        <v>106</v>
      </c>
      <c r="W50" s="5">
        <f>VLOOKUP($A50,'SegEnds_NonXtal_Prot#'!$A:$AL,18,FALSE)</f>
        <v>142</v>
      </c>
      <c r="X50" s="5">
        <f>VLOOKUP($A50,'SegEnds_NonXtal_Prot#'!$A:$AL,21,FALSE)</f>
        <v>149</v>
      </c>
      <c r="Y50" s="5">
        <f>VLOOKUP($A50,'SegEnds_NonXtal_Prot#'!$A:$AL,24,FALSE)</f>
        <v>187</v>
      </c>
      <c r="Z50" s="5">
        <f>VLOOKUP($A50,'SegEnds_NonXtal_Prot#'!$A:$AL,27,FALSE)</f>
        <v>199</v>
      </c>
      <c r="AA50" s="5">
        <f>VLOOKUP($A50,'SegEnds_NonXtal_Prot#'!$A:$AL,30,FALSE)</f>
        <v>241</v>
      </c>
      <c r="AB50" s="5">
        <f>VLOOKUP($A50,'SegEnds_NonXtal_Prot#'!$A:$AL,33,FALSE)</f>
        <v>284</v>
      </c>
      <c r="AC50" s="5">
        <f>VLOOKUP($A50,'SegEnds_NonXtal_Prot#'!$A:$AL,36,FALSE)</f>
        <v>310</v>
      </c>
      <c r="AD50" s="5">
        <f>VLOOKUP($A50,'SegEnds_NonXtal_Prot#'!$A:$AL,5,FALSE)</f>
        <v>65</v>
      </c>
      <c r="AE50" s="5">
        <f>VLOOKUP($A50,'SegEnds_NonXtal_Prot#'!$A:$AL,8,FALSE)</f>
        <v>69</v>
      </c>
      <c r="AF50" s="5">
        <f>VLOOKUP($A50,'SegEnds_NonXtal_Prot#'!$A:$AL,11,FALSE)</f>
        <v>100</v>
      </c>
      <c r="AG50" s="5">
        <f>VLOOKUP($A50,'SegEnds_NonXtal_Prot#'!$A:$AL,14,FALSE)</f>
        <v>105</v>
      </c>
      <c r="AH50" s="5">
        <f>VLOOKUP($A50,'SegEnds_NonXtal_Prot#'!$A:$AL,17,FALSE)</f>
        <v>141</v>
      </c>
      <c r="AI50" s="5">
        <f>VLOOKUP($A50,'SegEnds_NonXtal_Prot#'!$A:$AL,20,FALSE)</f>
        <v>148</v>
      </c>
      <c r="AJ50" s="5">
        <f>VLOOKUP($A50,'SegEnds_NonXtal_Prot#'!$A:$AL,23,FALSE)</f>
        <v>173</v>
      </c>
      <c r="AK50" s="5">
        <f>VLOOKUP($A50,'SegEnds_NonXtal_Prot#'!$A:$AL,26,FALSE)</f>
        <v>189</v>
      </c>
      <c r="AL50" s="5">
        <f>VLOOKUP($A50,'SegEnds_NonXtal_Prot#'!$A:$AL,29,FALSE)</f>
        <v>237</v>
      </c>
      <c r="AM50" s="5">
        <f>VLOOKUP($A50,'SegEnds_NonXtal_Prot#'!$A:$AL,32,FALSE)</f>
        <v>278</v>
      </c>
      <c r="AN50" s="5">
        <f>VLOOKUP($A50,'SegEnds_NonXtal_Prot#'!$A:$AL,35,FALSE)</f>
        <v>309</v>
      </c>
      <c r="AO50" s="5">
        <f>VLOOKUP($A50,'SegEnds_NonXtal_Prot#'!$A:$AL,38,FALSE)</f>
        <v>322</v>
      </c>
      <c r="AP50" s="5">
        <f t="shared" si="13"/>
        <v>31</v>
      </c>
      <c r="AQ50" s="4">
        <f t="shared" si="14"/>
        <v>3</v>
      </c>
      <c r="AR50" s="4">
        <f t="shared" si="15"/>
        <v>30</v>
      </c>
      <c r="AS50" s="4">
        <f t="shared" si="16"/>
        <v>3</v>
      </c>
      <c r="AT50" s="4">
        <f t="shared" si="17"/>
        <v>35</v>
      </c>
      <c r="AU50" s="4">
        <f t="shared" si="18"/>
        <v>6</v>
      </c>
      <c r="AV50" s="4">
        <f t="shared" si="19"/>
        <v>24</v>
      </c>
      <c r="AW50" s="4">
        <f t="shared" si="20"/>
        <v>2</v>
      </c>
      <c r="AX50" s="4">
        <f t="shared" si="21"/>
        <v>38</v>
      </c>
      <c r="AY50" s="4">
        <f t="shared" si="22"/>
        <v>37</v>
      </c>
      <c r="AZ50" s="4">
        <f t="shared" si="23"/>
        <v>25</v>
      </c>
      <c r="BA50" s="4">
        <f t="shared" si="24"/>
        <v>12</v>
      </c>
    </row>
    <row r="51" spans="1:53" x14ac:dyDescent="0.2">
      <c r="A51" s="1" t="str">
        <f>'SegEnds_NonXtal_Prot#'!A16</f>
        <v>opsg_human</v>
      </c>
      <c r="B51" s="1" t="str">
        <f t="shared" si="0"/>
        <v>RWVYHLTSVWMIFVVIASVFTNGLVLAATMKFHPLNWILVNLAVADLAETVIASTISVVNQVYGHPMCVLEGYTVSLCGITGLWSLAIISWERWMVVCKDAKLAIVGIAFSWIWAAVWTAPPIFGVQSYMIVLMVTCCITPLSIIVLCYLQVWLAIRAVAKQQESTQKAEKEVTRMVVVMVLAFCFCWGPYAFFACFAAANHPLMAALPAFFAKSATIYNPVIYVFMNRQFRNCILQLFG</v>
      </c>
      <c r="C51" s="29" t="str">
        <f>IF(ISERROR(MATCH(A51,'SegEnds_Xtal_Prot#'!B:B, 0)), "NoXtal", "Xtal")</f>
        <v>NoXtal</v>
      </c>
      <c r="D51" s="4" t="str">
        <f>VLOOKUP(A51,Classification!A:D,2,FALSE)</f>
        <v>A</v>
      </c>
      <c r="E51" s="5" t="str">
        <f>VLOOKUP(A51,Seqs!A:B,2,FALSE)</f>
        <v>MAQQWSLQRLAGRHPQDSYEDSTQSSIFTYTNSNSTRGPFEGPNYHIAPRWVYHLTSVWMIFVVIASVFTNGLVLAATMKFKKLRHPLNWILVNLAVADLAETVIASTISVVNQVYGYFVLGHPMCVLEGYTVSLCGITGLWSLAIISWERWMVVCKPFGNVRFDAKLAIVGIAFSWIWAAVWTAPPIFGWSRYWPHGLKTSCGPDVFSGSSYPGVQSYMIVLMVTCCITPLSIIVLCYLQVWLAIRAVAKQQKESESTQKAEKEVTRMVVVMVLAFCFCWGPYAFFACFAAANPGYPFHPLMAALPAFFAKSATIYNPVIYVFMNRQFRNCILQLFGKKVDDGSELSSASKTEVSSVSSVSPA</v>
      </c>
      <c r="F51" s="5" t="str">
        <f t="shared" si="1"/>
        <v>RWVYHLTSVWMIFVVIASVFTNGLVLAATMKF</v>
      </c>
      <c r="G51" s="4" t="str">
        <f t="shared" si="2"/>
        <v>KKLR</v>
      </c>
      <c r="H51" s="4" t="str">
        <f t="shared" si="3"/>
        <v>HPLNWILVNLAVADLAETVIASTISVVNQVY</v>
      </c>
      <c r="I51" s="4" t="str">
        <f t="shared" si="4"/>
        <v>YFVL</v>
      </c>
      <c r="J51" s="4" t="str">
        <f t="shared" si="5"/>
        <v>GHPMCVLEGYTVSLCGITGLWSLAIISWERWMVVCK</v>
      </c>
      <c r="K51" s="4" t="str">
        <f t="shared" si="6"/>
        <v>PFGNVRF</v>
      </c>
      <c r="L51" s="4" t="str">
        <f t="shared" si="7"/>
        <v>DAKLAIVGIAFSWIWAAVWTAPPIF</v>
      </c>
      <c r="M51" s="4" t="str">
        <f t="shared" si="8"/>
        <v>CGP</v>
      </c>
      <c r="N51" s="4" t="str">
        <f t="shared" si="9"/>
        <v>GVQSYMIVLMVTCCITPLSIIVLCYLQVWLAIRAVAKQQ</v>
      </c>
      <c r="O51" s="4" t="str">
        <f t="shared" si="10"/>
        <v>ESTQKAEKEVTRMVVVMVLAFCFCWGPYAFFACFAAAN</v>
      </c>
      <c r="P51" s="4" t="str">
        <f t="shared" si="11"/>
        <v>HPLMAALPAFFAKSATIYNPVIYVFM</v>
      </c>
      <c r="Q51" s="4" t="str">
        <f t="shared" si="12"/>
        <v>NRQFRNCILQLFG</v>
      </c>
      <c r="R51" s="5">
        <f>VLOOKUP($A51,'SegEnds_NonXtal_Prot#'!$A:$AL,3,FALSE)</f>
        <v>50</v>
      </c>
      <c r="S51" s="5">
        <f>VLOOKUP($A51,'SegEnds_NonXtal_Prot#'!$A:$AL,6,FALSE)</f>
        <v>82</v>
      </c>
      <c r="T51" s="5">
        <f>VLOOKUP($A51,'SegEnds_NonXtal_Prot#'!$A:$AL,9,FALSE)</f>
        <v>86</v>
      </c>
      <c r="U51" s="5">
        <f>VLOOKUP($A51,'SegEnds_NonXtal_Prot#'!$A:$AL,12,FALSE)</f>
        <v>118</v>
      </c>
      <c r="V51" s="5">
        <f>VLOOKUP($A51,'SegEnds_NonXtal_Prot#'!$A:$AL,15,FALSE)</f>
        <v>122</v>
      </c>
      <c r="W51" s="5">
        <f>VLOOKUP($A51,'SegEnds_NonXtal_Prot#'!$A:$AL,18,FALSE)</f>
        <v>158</v>
      </c>
      <c r="X51" s="5">
        <f>VLOOKUP($A51,'SegEnds_NonXtal_Prot#'!$A:$AL,21,FALSE)</f>
        <v>165</v>
      </c>
      <c r="Y51" s="5">
        <f>VLOOKUP($A51,'SegEnds_NonXtal_Prot#'!$A:$AL,24,FALSE)</f>
        <v>203</v>
      </c>
      <c r="Z51" s="5">
        <f>VLOOKUP($A51,'SegEnds_NonXtal_Prot#'!$A:$AL,27,FALSE)</f>
        <v>215</v>
      </c>
      <c r="AA51" s="5">
        <f>VLOOKUP($A51,'SegEnds_NonXtal_Prot#'!$A:$AL,30,FALSE)</f>
        <v>257</v>
      </c>
      <c r="AB51" s="5">
        <f>VLOOKUP($A51,'SegEnds_NonXtal_Prot#'!$A:$AL,33,FALSE)</f>
        <v>300</v>
      </c>
      <c r="AC51" s="5">
        <f>VLOOKUP($A51,'SegEnds_NonXtal_Prot#'!$A:$AL,36,FALSE)</f>
        <v>326</v>
      </c>
      <c r="AD51" s="5">
        <f>VLOOKUP($A51,'SegEnds_NonXtal_Prot#'!$A:$AL,5,FALSE)</f>
        <v>81</v>
      </c>
      <c r="AE51" s="5">
        <f>VLOOKUP($A51,'SegEnds_NonXtal_Prot#'!$A:$AL,8,FALSE)</f>
        <v>85</v>
      </c>
      <c r="AF51" s="5">
        <f>VLOOKUP($A51,'SegEnds_NonXtal_Prot#'!$A:$AL,11,FALSE)</f>
        <v>116</v>
      </c>
      <c r="AG51" s="5">
        <f>VLOOKUP($A51,'SegEnds_NonXtal_Prot#'!$A:$AL,14,FALSE)</f>
        <v>121</v>
      </c>
      <c r="AH51" s="5">
        <f>VLOOKUP($A51,'SegEnds_NonXtal_Prot#'!$A:$AL,17,FALSE)</f>
        <v>157</v>
      </c>
      <c r="AI51" s="5">
        <f>VLOOKUP($A51,'SegEnds_NonXtal_Prot#'!$A:$AL,20,FALSE)</f>
        <v>164</v>
      </c>
      <c r="AJ51" s="5">
        <f>VLOOKUP($A51,'SegEnds_NonXtal_Prot#'!$A:$AL,23,FALSE)</f>
        <v>189</v>
      </c>
      <c r="AK51" s="5">
        <f>VLOOKUP($A51,'SegEnds_NonXtal_Prot#'!$A:$AL,26,FALSE)</f>
        <v>205</v>
      </c>
      <c r="AL51" s="5">
        <f>VLOOKUP($A51,'SegEnds_NonXtal_Prot#'!$A:$AL,29,FALSE)</f>
        <v>253</v>
      </c>
      <c r="AM51" s="5">
        <f>VLOOKUP($A51,'SegEnds_NonXtal_Prot#'!$A:$AL,32,FALSE)</f>
        <v>294</v>
      </c>
      <c r="AN51" s="5">
        <f>VLOOKUP($A51,'SegEnds_NonXtal_Prot#'!$A:$AL,35,FALSE)</f>
        <v>325</v>
      </c>
      <c r="AO51" s="5">
        <f>VLOOKUP($A51,'SegEnds_NonXtal_Prot#'!$A:$AL,38,FALSE)</f>
        <v>338</v>
      </c>
      <c r="AP51" s="5">
        <f t="shared" si="13"/>
        <v>31</v>
      </c>
      <c r="AQ51" s="4">
        <f t="shared" si="14"/>
        <v>3</v>
      </c>
      <c r="AR51" s="4">
        <f t="shared" si="15"/>
        <v>30</v>
      </c>
      <c r="AS51" s="4">
        <f t="shared" si="16"/>
        <v>3</v>
      </c>
      <c r="AT51" s="4">
        <f t="shared" si="17"/>
        <v>35</v>
      </c>
      <c r="AU51" s="4">
        <f t="shared" si="18"/>
        <v>6</v>
      </c>
      <c r="AV51" s="4">
        <f t="shared" si="19"/>
        <v>24</v>
      </c>
      <c r="AW51" s="4">
        <f t="shared" si="20"/>
        <v>2</v>
      </c>
      <c r="AX51" s="4">
        <f t="shared" si="21"/>
        <v>38</v>
      </c>
      <c r="AY51" s="4">
        <f t="shared" si="22"/>
        <v>37</v>
      </c>
      <c r="AZ51" s="4">
        <f t="shared" si="23"/>
        <v>25</v>
      </c>
      <c r="BA51" s="4">
        <f t="shared" si="24"/>
        <v>12</v>
      </c>
    </row>
    <row r="52" spans="1:53" x14ac:dyDescent="0.2">
      <c r="A52" s="1" t="str">
        <f>'SegEnds_NonXtal_Prot#'!A17</f>
        <v>opsr_human</v>
      </c>
      <c r="B52" s="1" t="str">
        <f t="shared" si="0"/>
        <v>RWVYHLTSVWMIFVVTASVFTNGLVLAATMKFHPLNWILVNLAVADLAETVIASTISIVNQVSLGHPMCVLEGYTVSLCGITGLWSLAIISWERWLVVCKDAKLAIVGIAFSWIWSAVWTAPPIFGVQSYMIVLMVTCCIIPLAIIMLCYLQVWLAIRAVAKQQESTQKAEKEVTRMVVVMIFAYCVCWGPYTFFACFAAANHPLMAALPAYFAKSATIYNPVIYVFMNRQFRNCILQLFG</v>
      </c>
      <c r="C52" s="29" t="str">
        <f>IF(ISERROR(MATCH(A52,'SegEnds_Xtal_Prot#'!B:B, 0)), "NoXtal", "Xtal")</f>
        <v>NoXtal</v>
      </c>
      <c r="D52" s="4" t="str">
        <f>VLOOKUP(A52,Classification!A:D,2,FALSE)</f>
        <v>A</v>
      </c>
      <c r="E52" s="5" t="str">
        <f>VLOOKUP(A52,Seqs!A:B,2,FALSE)</f>
        <v>MAQQWSLQRLAGRHPQDSYEDSTQSSIFTYTNSNSTRGPFEGPNYHIAPRWVYHLTSVWMIFVVTASVFTNGLVLAATMKFKKLRHPLNWILVNLAVADLAETVIASTISIVNQVSGYFVLGHPMCVLEGYTVSLCGITGLWSLAIISWERWLVVCKPFGNVRFDAKLAIVGIAFSWIWSAVWTAPPIFGWSRYWPHGLKTSCGPDVFSGSSYPGVQSYMIVLMVTCCIIPLAIIMLCYLQVWLAIRAVAKQQKESESTQKAEKEVTRMVVVMIFAYCVCWGPYTFFACFAAANPGYAFHPLMAALPAYFAKSATIYNPVIYVFMNRQFRNCILQLFGKKVDDGSELSSASKTEVSSVSSVSPA</v>
      </c>
      <c r="F52" s="5" t="str">
        <f t="shared" si="1"/>
        <v>RWVYHLTSVWMIFVVTASVFTNGLVLAATMKF</v>
      </c>
      <c r="G52" s="4" t="str">
        <f t="shared" si="2"/>
        <v>KKLR</v>
      </c>
      <c r="H52" s="4" t="str">
        <f t="shared" si="3"/>
        <v>HPLNWILVNLAVADLAETVIASTISIVNQVS</v>
      </c>
      <c r="I52" s="4" t="str">
        <f t="shared" si="4"/>
        <v>GYFV</v>
      </c>
      <c r="J52" s="4" t="str">
        <f t="shared" si="5"/>
        <v>LGHPMCVLEGYTVSLCGITGLWSLAIISWERWLVVCK</v>
      </c>
      <c r="K52" s="4" t="str">
        <f t="shared" si="6"/>
        <v>PFGNVRF</v>
      </c>
      <c r="L52" s="4" t="str">
        <f t="shared" si="7"/>
        <v>DAKLAIVGIAFSWIWSAVWTAPPIF</v>
      </c>
      <c r="M52" s="4" t="str">
        <f t="shared" si="8"/>
        <v>CGP</v>
      </c>
      <c r="N52" s="4" t="str">
        <f t="shared" si="9"/>
        <v>GVQSYMIVLMVTCCIIPLAIIMLCYLQVWLAIRAVAKQQ</v>
      </c>
      <c r="O52" s="4" t="str">
        <f t="shared" si="10"/>
        <v>ESTQKAEKEVTRMVVVMIFAYCVCWGPYTFFACFAAAN</v>
      </c>
      <c r="P52" s="4" t="str">
        <f t="shared" si="11"/>
        <v>HPLMAALPAYFAKSATIYNPVIYVFM</v>
      </c>
      <c r="Q52" s="4" t="str">
        <f t="shared" si="12"/>
        <v>NRQFRNCILQLFG</v>
      </c>
      <c r="R52" s="5">
        <f>VLOOKUP($A52,'SegEnds_NonXtal_Prot#'!$A:$AL,3,FALSE)</f>
        <v>50</v>
      </c>
      <c r="S52" s="5">
        <f>VLOOKUP($A52,'SegEnds_NonXtal_Prot#'!$A:$AL,6,FALSE)</f>
        <v>82</v>
      </c>
      <c r="T52" s="5">
        <f>VLOOKUP($A52,'SegEnds_NonXtal_Prot#'!$A:$AL,9,FALSE)</f>
        <v>86</v>
      </c>
      <c r="U52" s="5">
        <f>VLOOKUP($A52,'SegEnds_NonXtal_Prot#'!$A:$AL,12,FALSE)</f>
        <v>117</v>
      </c>
      <c r="V52" s="5">
        <f>VLOOKUP($A52,'SegEnds_NonXtal_Prot#'!$A:$AL,15,FALSE)</f>
        <v>121</v>
      </c>
      <c r="W52" s="5">
        <f>VLOOKUP($A52,'SegEnds_NonXtal_Prot#'!$A:$AL,18,FALSE)</f>
        <v>158</v>
      </c>
      <c r="X52" s="5">
        <f>VLOOKUP($A52,'SegEnds_NonXtal_Prot#'!$A:$AL,21,FALSE)</f>
        <v>165</v>
      </c>
      <c r="Y52" s="5">
        <f>VLOOKUP($A52,'SegEnds_NonXtal_Prot#'!$A:$AL,24,FALSE)</f>
        <v>203</v>
      </c>
      <c r="Z52" s="5">
        <f>VLOOKUP($A52,'SegEnds_NonXtal_Prot#'!$A:$AL,27,FALSE)</f>
        <v>215</v>
      </c>
      <c r="AA52" s="5">
        <f>VLOOKUP($A52,'SegEnds_NonXtal_Prot#'!$A:$AL,30,FALSE)</f>
        <v>257</v>
      </c>
      <c r="AB52" s="5">
        <f>VLOOKUP($A52,'SegEnds_NonXtal_Prot#'!$A:$AL,33,FALSE)</f>
        <v>300</v>
      </c>
      <c r="AC52" s="5">
        <f>VLOOKUP($A52,'SegEnds_NonXtal_Prot#'!$A:$AL,36,FALSE)</f>
        <v>326</v>
      </c>
      <c r="AD52" s="5">
        <f>VLOOKUP($A52,'SegEnds_NonXtal_Prot#'!$A:$AL,5,FALSE)</f>
        <v>81</v>
      </c>
      <c r="AE52" s="5">
        <f>VLOOKUP($A52,'SegEnds_NonXtal_Prot#'!$A:$AL,8,FALSE)</f>
        <v>85</v>
      </c>
      <c r="AF52" s="5">
        <f>VLOOKUP($A52,'SegEnds_NonXtal_Prot#'!$A:$AL,11,FALSE)</f>
        <v>116</v>
      </c>
      <c r="AG52" s="5">
        <f>VLOOKUP($A52,'SegEnds_NonXtal_Prot#'!$A:$AL,14,FALSE)</f>
        <v>120</v>
      </c>
      <c r="AH52" s="5">
        <f>VLOOKUP($A52,'SegEnds_NonXtal_Prot#'!$A:$AL,17,FALSE)</f>
        <v>157</v>
      </c>
      <c r="AI52" s="5">
        <f>VLOOKUP($A52,'SegEnds_NonXtal_Prot#'!$A:$AL,20,FALSE)</f>
        <v>164</v>
      </c>
      <c r="AJ52" s="5">
        <f>VLOOKUP($A52,'SegEnds_NonXtal_Prot#'!$A:$AL,23,FALSE)</f>
        <v>189</v>
      </c>
      <c r="AK52" s="5">
        <f>VLOOKUP($A52,'SegEnds_NonXtal_Prot#'!$A:$AL,26,FALSE)</f>
        <v>205</v>
      </c>
      <c r="AL52" s="5">
        <f>VLOOKUP($A52,'SegEnds_NonXtal_Prot#'!$A:$AL,29,FALSE)</f>
        <v>253</v>
      </c>
      <c r="AM52" s="5">
        <f>VLOOKUP($A52,'SegEnds_NonXtal_Prot#'!$A:$AL,32,FALSE)</f>
        <v>294</v>
      </c>
      <c r="AN52" s="5">
        <f>VLOOKUP($A52,'SegEnds_NonXtal_Prot#'!$A:$AL,35,FALSE)</f>
        <v>325</v>
      </c>
      <c r="AO52" s="5">
        <f>VLOOKUP($A52,'SegEnds_NonXtal_Prot#'!$A:$AL,38,FALSE)</f>
        <v>338</v>
      </c>
      <c r="AP52" s="5">
        <f t="shared" si="13"/>
        <v>31</v>
      </c>
      <c r="AQ52" s="4">
        <f t="shared" si="14"/>
        <v>3</v>
      </c>
      <c r="AR52" s="4">
        <f t="shared" si="15"/>
        <v>30</v>
      </c>
      <c r="AS52" s="4">
        <f t="shared" si="16"/>
        <v>3</v>
      </c>
      <c r="AT52" s="4">
        <f t="shared" si="17"/>
        <v>36</v>
      </c>
      <c r="AU52" s="4">
        <f t="shared" si="18"/>
        <v>6</v>
      </c>
      <c r="AV52" s="4">
        <f t="shared" si="19"/>
        <v>24</v>
      </c>
      <c r="AW52" s="4">
        <f t="shared" si="20"/>
        <v>2</v>
      </c>
      <c r="AX52" s="4">
        <f t="shared" si="21"/>
        <v>38</v>
      </c>
      <c r="AY52" s="4">
        <f t="shared" si="22"/>
        <v>37</v>
      </c>
      <c r="AZ52" s="4">
        <f t="shared" si="23"/>
        <v>25</v>
      </c>
      <c r="BA52" s="4">
        <f t="shared" si="24"/>
        <v>12</v>
      </c>
    </row>
    <row r="53" spans="1:53" x14ac:dyDescent="0.2">
      <c r="A53" s="1" t="str">
        <f>'SegEnds_NonXtal_Prot#'!A18</f>
        <v>p2y10_human</v>
      </c>
      <c r="B53" s="1" t="str">
        <f t="shared" si="0"/>
        <v>FQYSLYATTYILIFIPGLLANSAALWVLCRFNKAIIFMINLSVADLAHVLSLPLRIYYYISQRALCLLCFYLKYLNMYASICFLTCISLQRCFFLLKKRRYDVGISAAIWIVVGTACLPFPILRAVALVGMITVAELAGFVIPVIIIAWCTWKTTISLRQPFQGISERQKALRMVFMCAAVFFICFTPYHINFIFYTMVKETSCPVVRIALYFHPFCLCLASLCCLLDPILYYFMASEFRDQLSRHGS</v>
      </c>
      <c r="C53" s="29" t="str">
        <f>IF(ISERROR(MATCH(A53,'SegEnds_Xtal_Prot#'!B:B, 0)), "NoXtal", "Xtal")</f>
        <v>NoXtal</v>
      </c>
      <c r="D53" s="4" t="str">
        <f>VLOOKUP(A53,Classification!A:D,2,FALSE)</f>
        <v>A</v>
      </c>
      <c r="E53" s="5" t="str">
        <f>VLOOKUP(A53,Seqs!A:B,2,FALSE)</f>
        <v>MANLDKYTETFKMGSNSTSTAEIYCNVTNVKFQYSLYATTYILIFIPGLLANSAALWVLCRFISKKNKAIIFMINLSVADLAHVLSLPLRIYYYISHHWPFQRALCLLCFYLKYLNMYASICFLTCISLQRCFFLLKPFRARDWKRRYDVGISAAIWIVVGTACLPFPILRSTDLNNNKSCFADLGYKQMNAVALVGMITVAELAGFVIPVIIIAWCTWKTTISLRQPPMAFQGISERQKALRMVFMCAAVFFICFTPYHINFIFYTMVKETIISSCPVVRIALYFHPFCLCLASLCCLLDPILYYFMASEFRDQLSRHGSSVTRSRLMSKESGSSMIG</v>
      </c>
      <c r="F53" s="5" t="str">
        <f t="shared" si="1"/>
        <v>FQYSLYATTYILIFIPGLLANSAALWVLCRF</v>
      </c>
      <c r="G53" s="4" t="str">
        <f t="shared" si="2"/>
        <v/>
      </c>
      <c r="H53" s="4" t="str">
        <f t="shared" si="3"/>
        <v>NKAIIFMINLSVADLAHVLSLPLRIYYYIS</v>
      </c>
      <c r="I53" s="4" t="str">
        <f t="shared" si="4"/>
        <v>HWPF</v>
      </c>
      <c r="J53" s="4" t="str">
        <f t="shared" si="5"/>
        <v>QRALCLLCFYLKYLNMYASICFLTCISLQRCFFLLK</v>
      </c>
      <c r="K53" s="4" t="str">
        <f t="shared" si="6"/>
        <v>PFRARDW</v>
      </c>
      <c r="L53" s="4" t="str">
        <f t="shared" si="7"/>
        <v>KRRYDVGISAAIWIVVGTACLPFPILR</v>
      </c>
      <c r="M53" s="4" t="str">
        <f t="shared" si="8"/>
        <v>CFA</v>
      </c>
      <c r="N53" s="4" t="str">
        <f t="shared" si="9"/>
        <v>AVALVGMITVAELAGFVIPVIIIAWCTWKTTISLRQP</v>
      </c>
      <c r="O53" s="4" t="str">
        <f t="shared" si="10"/>
        <v>FQGISERQKALRMVFMCAAVFFICFTPYHINFIFYTMVKET</v>
      </c>
      <c r="P53" s="4" t="str">
        <f t="shared" si="11"/>
        <v>SCPVVRIALYFHPFCLCLASLCCLLDPILYYFM</v>
      </c>
      <c r="Q53" s="4" t="str">
        <f t="shared" si="12"/>
        <v>ASEFRDQLSRHGS</v>
      </c>
      <c r="R53" s="5">
        <f>VLOOKUP($A53,'SegEnds_NonXtal_Prot#'!$A:$AL,3,FALSE)</f>
        <v>32</v>
      </c>
      <c r="S53" s="5" t="str">
        <f>VLOOKUP($A53,'SegEnds_NonXtal_Prot#'!$A:$AL,6,FALSE)</f>
        <v>-</v>
      </c>
      <c r="T53" s="5">
        <f>VLOOKUP($A53,'SegEnds_NonXtal_Prot#'!$A:$AL,9,FALSE)</f>
        <v>67</v>
      </c>
      <c r="U53" s="5">
        <f>VLOOKUP($A53,'SegEnds_NonXtal_Prot#'!$A:$AL,12,FALSE)</f>
        <v>98</v>
      </c>
      <c r="V53" s="5">
        <f>VLOOKUP($A53,'SegEnds_NonXtal_Prot#'!$A:$AL,15,FALSE)</f>
        <v>102</v>
      </c>
      <c r="W53" s="5">
        <f>VLOOKUP($A53,'SegEnds_NonXtal_Prot#'!$A:$AL,18,FALSE)</f>
        <v>138</v>
      </c>
      <c r="X53" s="5">
        <f>VLOOKUP($A53,'SegEnds_NonXtal_Prot#'!$A:$AL,21,FALSE)</f>
        <v>145</v>
      </c>
      <c r="Y53" s="5">
        <f>VLOOKUP($A53,'SegEnds_NonXtal_Prot#'!$A:$AL,24,FALSE)</f>
        <v>181</v>
      </c>
      <c r="Z53" s="5">
        <f>VLOOKUP($A53,'SegEnds_NonXtal_Prot#'!$A:$AL,27,FALSE)</f>
        <v>192</v>
      </c>
      <c r="AA53" s="5">
        <f>VLOOKUP($A53,'SegEnds_NonXtal_Prot#'!$A:$AL,30,FALSE)</f>
        <v>232</v>
      </c>
      <c r="AB53" s="5">
        <f>VLOOKUP($A53,'SegEnds_NonXtal_Prot#'!$A:$AL,33,FALSE)</f>
        <v>276</v>
      </c>
      <c r="AC53" s="5">
        <f>VLOOKUP($A53,'SegEnds_NonXtal_Prot#'!$A:$AL,36,FALSE)</f>
        <v>309</v>
      </c>
      <c r="AD53" s="5">
        <f>VLOOKUP($A53,'SegEnds_NonXtal_Prot#'!$A:$AL,5,FALSE)</f>
        <v>62</v>
      </c>
      <c r="AE53" s="5" t="str">
        <f>VLOOKUP($A53,'SegEnds_NonXtal_Prot#'!$A:$AL,8,FALSE)</f>
        <v>-</v>
      </c>
      <c r="AF53" s="5">
        <f>VLOOKUP($A53,'SegEnds_NonXtal_Prot#'!$A:$AL,11,FALSE)</f>
        <v>96</v>
      </c>
      <c r="AG53" s="5">
        <f>VLOOKUP($A53,'SegEnds_NonXtal_Prot#'!$A:$AL,14,FALSE)</f>
        <v>101</v>
      </c>
      <c r="AH53" s="5">
        <f>VLOOKUP($A53,'SegEnds_NonXtal_Prot#'!$A:$AL,17,FALSE)</f>
        <v>137</v>
      </c>
      <c r="AI53" s="5">
        <f>VLOOKUP($A53,'SegEnds_NonXtal_Prot#'!$A:$AL,20,FALSE)</f>
        <v>144</v>
      </c>
      <c r="AJ53" s="5">
        <f>VLOOKUP($A53,'SegEnds_NonXtal_Prot#'!$A:$AL,23,FALSE)</f>
        <v>171</v>
      </c>
      <c r="AK53" s="5">
        <f>VLOOKUP($A53,'SegEnds_NonXtal_Prot#'!$A:$AL,26,FALSE)</f>
        <v>183</v>
      </c>
      <c r="AL53" s="5">
        <f>VLOOKUP($A53,'SegEnds_NonXtal_Prot#'!$A:$AL,29,FALSE)</f>
        <v>228</v>
      </c>
      <c r="AM53" s="5">
        <f>VLOOKUP($A53,'SegEnds_NonXtal_Prot#'!$A:$AL,32,FALSE)</f>
        <v>272</v>
      </c>
      <c r="AN53" s="5">
        <f>VLOOKUP($A53,'SegEnds_NonXtal_Prot#'!$A:$AL,35,FALSE)</f>
        <v>308</v>
      </c>
      <c r="AO53" s="5">
        <f>VLOOKUP($A53,'SegEnds_NonXtal_Prot#'!$A:$AL,38,FALSE)</f>
        <v>321</v>
      </c>
      <c r="AP53" s="5">
        <f t="shared" si="13"/>
        <v>30</v>
      </c>
      <c r="AQ53" s="4" t="str">
        <f t="shared" si="14"/>
        <v>-</v>
      </c>
      <c r="AR53" s="4">
        <f t="shared" si="15"/>
        <v>29</v>
      </c>
      <c r="AS53" s="4">
        <f t="shared" si="16"/>
        <v>3</v>
      </c>
      <c r="AT53" s="4">
        <f t="shared" si="17"/>
        <v>35</v>
      </c>
      <c r="AU53" s="4">
        <f t="shared" si="18"/>
        <v>6</v>
      </c>
      <c r="AV53" s="4">
        <f t="shared" si="19"/>
        <v>26</v>
      </c>
      <c r="AW53" s="4">
        <f t="shared" si="20"/>
        <v>2</v>
      </c>
      <c r="AX53" s="4">
        <f t="shared" si="21"/>
        <v>36</v>
      </c>
      <c r="AY53" s="4">
        <f t="shared" si="22"/>
        <v>40</v>
      </c>
      <c r="AZ53" s="4">
        <f t="shared" si="23"/>
        <v>32</v>
      </c>
      <c r="BA53" s="4">
        <f t="shared" si="24"/>
        <v>12</v>
      </c>
    </row>
    <row r="54" spans="1:53" x14ac:dyDescent="0.2">
      <c r="A54" s="1" t="str">
        <f>'SegEnds_NonXtal_Prot#'!A19</f>
        <v>par2_human</v>
      </c>
      <c r="B54" s="1" t="str">
        <f t="shared" si="0"/>
        <v>GKLTTVFLPIVYTIVFVVGLPSNGMALWVFLFRHPAVIYMANLALADLLSVIWFPLKIAYHIHGEALCNVLIGFFYGNMYCSILFMTCLSVQRYWVIVNKANIAIGISLAIWLLILLVTIPLYVLVGDMFNYFLSLAIGVFLFPAFLTASAYVLMIRMLRSSENSEKKRKRAIKLIVTVLAMYLICFTPSNLLLVVHYFLIQSHVYALYIVALCLSTLNSCIDPFVYYFVSHDFRDHAKNALLCR</v>
      </c>
      <c r="C54" s="29" t="str">
        <f>IF(ISERROR(MATCH(A54,'SegEnds_Xtal_Prot#'!B:B, 0)), "NoXtal", "Xtal")</f>
        <v>Xtal</v>
      </c>
      <c r="D54" s="4" t="str">
        <f>VLOOKUP(A54,Classification!A:D,2,FALSE)</f>
        <v>A</v>
      </c>
      <c r="E54" s="5" t="str">
        <f>VLOOKUP(A54,Seqs!A:B,2,FALSE)</f>
        <v>MRSPSAAWLLGAAILLAASLSCSGTIQGTNRSSKGRSLIGKVDGTSHVTGKGVTVETVFSVDEFSASVLTGKLTTVFLPIVYTIVFVVGLPSNGMALWVFLFRTKKKHPAVIYMANLALADLLSVIWFPLKIAYHIHGNNWIYGEALCNVLIGFFYGNMYCSILFMTCLSVQRYWVIVNPMGHSRKKANIAIGISLAIWLLILLVTIPLYVVKQTIFIPALNITTCHDVLPEQLLVGDMFNYFLSLAIGVFLFPAFLTASAYVLMIRMLRSSAMDENSEKKRKRAIKLIVTVLAMYLICFTPSNLLLVVHYFLIKSQGQSHVYALYIVALCLSTLNSCIDPFVYYFVSHDFRDHAKNALLCRSVRTVKQMQVSLTSKKHSRKSSSYSSSSTTVKTSY</v>
      </c>
      <c r="F54" s="5" t="str">
        <f t="shared" si="1"/>
        <v>GKLTTVFLPIVYTIVFVVGLPSNGMALWVFLFR</v>
      </c>
      <c r="G54" s="4" t="str">
        <f t="shared" si="2"/>
        <v/>
      </c>
      <c r="H54" s="4" t="str">
        <f t="shared" si="3"/>
        <v>HPAVIYMANLALADLLSVIWFPLKIAYHIH</v>
      </c>
      <c r="I54" s="4" t="str">
        <f t="shared" si="4"/>
        <v>NWIY</v>
      </c>
      <c r="J54" s="4" t="str">
        <f t="shared" si="5"/>
        <v>GEALCNVLIGFFYGNMYCSILFMTCLSVQRYWVIVN</v>
      </c>
      <c r="K54" s="4" t="str">
        <f t="shared" si="6"/>
        <v>PMGHSRK</v>
      </c>
      <c r="L54" s="4" t="str">
        <f t="shared" si="7"/>
        <v>KANIAIGISLAIWLLILLVTIPLYV</v>
      </c>
      <c r="M54" s="4" t="str">
        <f t="shared" si="8"/>
        <v>CHD</v>
      </c>
      <c r="N54" s="4" t="str">
        <f t="shared" si="9"/>
        <v>LVGDMFNYFLSLAIGVFLFPAFLTASAYVLMIRMLRSS</v>
      </c>
      <c r="O54" s="4" t="str">
        <f t="shared" si="10"/>
        <v>ENSEKKRKRAIKLIVTVLAMYLICFTPSNLLLVVHYFLI</v>
      </c>
      <c r="P54" s="4" t="str">
        <f t="shared" si="11"/>
        <v>QSHVYALYIVALCLSTLNSCIDPFVYYFV</v>
      </c>
      <c r="Q54" s="4" t="str">
        <f t="shared" si="12"/>
        <v>SHDFRDHAKNALLCR</v>
      </c>
      <c r="R54" s="5">
        <f>VLOOKUP($A54,'SegEnds_NonXtal_Prot#'!$A:$AL,3,FALSE)</f>
        <v>71</v>
      </c>
      <c r="S54" s="5" t="str">
        <f>VLOOKUP($A54,'SegEnds_NonXtal_Prot#'!$A:$AL,6,FALSE)</f>
        <v>-</v>
      </c>
      <c r="T54" s="5">
        <f>VLOOKUP($A54,'SegEnds_NonXtal_Prot#'!$A:$AL,9,FALSE)</f>
        <v>108</v>
      </c>
      <c r="U54" s="5">
        <f>VLOOKUP($A54,'SegEnds_NonXtal_Prot#'!$A:$AL,12,FALSE)</f>
        <v>140</v>
      </c>
      <c r="V54" s="5">
        <f>VLOOKUP($A54,'SegEnds_NonXtal_Prot#'!$A:$AL,15,FALSE)</f>
        <v>144</v>
      </c>
      <c r="W54" s="5">
        <f>VLOOKUP($A54,'SegEnds_NonXtal_Prot#'!$A:$AL,18,FALSE)</f>
        <v>180</v>
      </c>
      <c r="X54" s="5">
        <f>VLOOKUP($A54,'SegEnds_NonXtal_Prot#'!$A:$AL,21,FALSE)</f>
        <v>187</v>
      </c>
      <c r="Y54" s="5">
        <f>VLOOKUP($A54,'SegEnds_NonXtal_Prot#'!$A:$AL,24,FALSE)</f>
        <v>226</v>
      </c>
      <c r="Z54" s="5">
        <f>VLOOKUP($A54,'SegEnds_NonXtal_Prot#'!$A:$AL,27,FALSE)</f>
        <v>235</v>
      </c>
      <c r="AA54" s="5">
        <f>VLOOKUP($A54,'SegEnds_NonXtal_Prot#'!$A:$AL,30,FALSE)</f>
        <v>276</v>
      </c>
      <c r="AB54" s="5">
        <f>VLOOKUP($A54,'SegEnds_NonXtal_Prot#'!$A:$AL,33,FALSE)</f>
        <v>319</v>
      </c>
      <c r="AC54" s="5">
        <f>VLOOKUP($A54,'SegEnds_NonXtal_Prot#'!$A:$AL,36,FALSE)</f>
        <v>348</v>
      </c>
      <c r="AD54" s="5">
        <f>VLOOKUP($A54,'SegEnds_NonXtal_Prot#'!$A:$AL,5,FALSE)</f>
        <v>103</v>
      </c>
      <c r="AE54" s="5" t="str">
        <f>VLOOKUP($A54,'SegEnds_NonXtal_Prot#'!$A:$AL,8,FALSE)</f>
        <v>-</v>
      </c>
      <c r="AF54" s="5">
        <f>VLOOKUP($A54,'SegEnds_NonXtal_Prot#'!$A:$AL,11,FALSE)</f>
        <v>137</v>
      </c>
      <c r="AG54" s="5">
        <f>VLOOKUP($A54,'SegEnds_NonXtal_Prot#'!$A:$AL,14,FALSE)</f>
        <v>143</v>
      </c>
      <c r="AH54" s="5">
        <f>VLOOKUP($A54,'SegEnds_NonXtal_Prot#'!$A:$AL,17,FALSE)</f>
        <v>179</v>
      </c>
      <c r="AI54" s="5">
        <f>VLOOKUP($A54,'SegEnds_NonXtal_Prot#'!$A:$AL,20,FALSE)</f>
        <v>186</v>
      </c>
      <c r="AJ54" s="5">
        <f>VLOOKUP($A54,'SegEnds_NonXtal_Prot#'!$A:$AL,23,FALSE)</f>
        <v>211</v>
      </c>
      <c r="AK54" s="5">
        <f>VLOOKUP($A54,'SegEnds_NonXtal_Prot#'!$A:$AL,26,FALSE)</f>
        <v>228</v>
      </c>
      <c r="AL54" s="5">
        <f>VLOOKUP($A54,'SegEnds_NonXtal_Prot#'!$A:$AL,29,FALSE)</f>
        <v>272</v>
      </c>
      <c r="AM54" s="5">
        <f>VLOOKUP($A54,'SegEnds_NonXtal_Prot#'!$A:$AL,32,FALSE)</f>
        <v>314</v>
      </c>
      <c r="AN54" s="5">
        <f>VLOOKUP($A54,'SegEnds_NonXtal_Prot#'!$A:$AL,35,FALSE)</f>
        <v>347</v>
      </c>
      <c r="AO54" s="5">
        <f>VLOOKUP($A54,'SegEnds_NonXtal_Prot#'!$A:$AL,38,FALSE)</f>
        <v>362</v>
      </c>
      <c r="AP54" s="5">
        <f t="shared" si="13"/>
        <v>32</v>
      </c>
      <c r="AQ54" s="4" t="str">
        <f t="shared" si="14"/>
        <v>-</v>
      </c>
      <c r="AR54" s="4">
        <f t="shared" si="15"/>
        <v>29</v>
      </c>
      <c r="AS54" s="4">
        <f t="shared" si="16"/>
        <v>3</v>
      </c>
      <c r="AT54" s="4">
        <f t="shared" si="17"/>
        <v>35</v>
      </c>
      <c r="AU54" s="4">
        <f t="shared" si="18"/>
        <v>6</v>
      </c>
      <c r="AV54" s="4">
        <f t="shared" si="19"/>
        <v>24</v>
      </c>
      <c r="AW54" s="4">
        <f t="shared" si="20"/>
        <v>2</v>
      </c>
      <c r="AX54" s="4">
        <f t="shared" si="21"/>
        <v>37</v>
      </c>
      <c r="AY54" s="4">
        <f t="shared" si="22"/>
        <v>38</v>
      </c>
      <c r="AZ54" s="4">
        <f t="shared" si="23"/>
        <v>28</v>
      </c>
      <c r="BA54" s="4">
        <f t="shared" si="24"/>
        <v>14</v>
      </c>
    </row>
    <row r="55" spans="1:53" x14ac:dyDescent="0.2">
      <c r="A55" s="1" t="str">
        <f>'SegEnds_NonXtal_Prot#'!A20</f>
        <v>rxfp1_human</v>
      </c>
      <c r="B55" s="1" t="str">
        <f t="shared" si="0"/>
        <v>LLASIIQRVFVWVVSAVTCFGNIFVICMRPYIKLYAMSIISLCCADCLMGIYLFVIGGFDLKFLWMESTHCQLVGSLAILSTEVSVLLLTFLTLEKYICIVYGKCRTITVLILIWITGFIVAFIPLSNAQIYSVAIFLGINLAAFIIIVFSYGSMFYSVHQSAITARNQVKKEMILAKRFFFIVFTDALCWIPIFVVKFLSLLQGTITSWVVIFILPINSALNPILYTLTTRPFKEMIHRFWYNYRQRKSMDS</v>
      </c>
      <c r="C55" s="29" t="str">
        <f>IF(ISERROR(MATCH(A55,'SegEnds_Xtal_Prot#'!B:B, 0)), "NoXtal", "Xtal")</f>
        <v>NoXtal</v>
      </c>
      <c r="D55" s="4" t="str">
        <f>VLOOKUP(A55,Classification!A:D,2,FALSE)</f>
        <v>A</v>
      </c>
      <c r="E55" s="5" t="str">
        <f>VLOOKUP(A55,Seqs!A:B,2,FALSE)</f>
        <v>MTSGSVFFYILIFGKYFSHGGGQDVKCSLGYFPCGNITKCLPQLLHCNGVDDCGNQADEDNCGDNNGWSLQFDKYFASYYKMTSQYPFEAETPECLVGSVPVQCLCQGLELDCDETNLRAVPSVSSNVTAMSLQWNLIRKLPPDCFKNYHDLQKLYLQNNKITSISIYAFRGLNSLTKLYLSHNRITFLKPGVFEDLHRLEWLIIEDNHLSRISPPTFYGLNSLILLVLMNNVLTRLPDKPLCQHMPRLHWLDLEGNHIHNLRNLTFISCSNLTVLVMRKNKINHLNENTFAPLQKLDELDLGSNKIENLPPLIFKDLKELSQLNLSYNPIQKIQANQFDYLVKLKSLSLEGIEISNIQQRMFRPLMNLSHIYFKKFQYCGYAPHVRSCKPNTDGISSLENLLASIIQRVFVWVVSAVTCFGNIFVICMRPYIRSENKLYAMSIISLCCADCLMGIYLFVIGGFDLKFRGEYNKHAQLWMESTHCQLVGSLAILSTEVSVLLLTFLTLEKYICIVYPFRCVRPGKCRTITVLILIWITGFIVAFIPLSNKEFFKNYYGTNGVCFPLHSEDTESIGAQIYSVAIFLGINLAAFIIIVFSYGSMFYSVHQSAITATEIRNQVKKEMILAKRFFFIVFTDALCWIPIFVVKFLSLLQVEIPGTITSWVVIFILPINSALNPILYTLTTRPFKEMIHRFWYNYRQRKSMDSKGQKTYAPSFIWVEMWPLQEMPPELMKPDLFTYPCEMSLISQSTRLNSYS</v>
      </c>
      <c r="F55" s="5" t="str">
        <f t="shared" si="1"/>
        <v>LLASIIQRVFVWVVSAVTCFGNIFVICMRPYI</v>
      </c>
      <c r="G55" s="4" t="str">
        <f t="shared" si="2"/>
        <v>RSEN</v>
      </c>
      <c r="H55" s="4" t="str">
        <f t="shared" si="3"/>
        <v>KLYAMSIISLCCADCLMGIYLFVIGGFDLKF</v>
      </c>
      <c r="I55" s="4" t="str">
        <f t="shared" si="4"/>
        <v/>
      </c>
      <c r="J55" s="4" t="str">
        <f t="shared" si="5"/>
        <v>LWMESTHCQLVGSLAILSTEVSVLLLTFLTLEKYICIVY</v>
      </c>
      <c r="K55" s="4" t="str">
        <f t="shared" si="6"/>
        <v>PFRCVRP</v>
      </c>
      <c r="L55" s="4" t="str">
        <f t="shared" si="7"/>
        <v>GKCRTITVLILIWITGFIVAFIPLSN</v>
      </c>
      <c r="M55" s="4" t="str">
        <f t="shared" si="8"/>
        <v>CFP</v>
      </c>
      <c r="N55" s="4" t="str">
        <f t="shared" si="9"/>
        <v>AQIYSVAIFLGINLAAFIIIVFSYGSMFYSVHQSAITA</v>
      </c>
      <c r="O55" s="4" t="str">
        <f t="shared" si="10"/>
        <v>RNQVKKEMILAKRFFFIVFTDALCWIPIFVVKFLSLLQ</v>
      </c>
      <c r="P55" s="4" t="str">
        <f t="shared" si="11"/>
        <v>GTITSWVVIFILPINSALNPILYTLT</v>
      </c>
      <c r="Q55" s="4" t="str">
        <f t="shared" si="12"/>
        <v>TRPFKEMIHRFWYNYRQRKSMDS</v>
      </c>
      <c r="R55" s="5">
        <f>VLOOKUP($A55,'SegEnds_NonXtal_Prot#'!$A:$AL,3,FALSE)</f>
        <v>402</v>
      </c>
      <c r="S55" s="5">
        <f>VLOOKUP($A55,'SegEnds_NonXtal_Prot#'!$A:$AL,6,FALSE)</f>
        <v>434</v>
      </c>
      <c r="T55" s="5">
        <f>VLOOKUP($A55,'SegEnds_NonXtal_Prot#'!$A:$AL,9,FALSE)</f>
        <v>438</v>
      </c>
      <c r="U55" s="5" t="str">
        <f>VLOOKUP($A55,'SegEnds_NonXtal_Prot#'!$A:$AL,12,FALSE)</f>
        <v>-</v>
      </c>
      <c r="V55" s="5">
        <f>VLOOKUP($A55,'SegEnds_NonXtal_Prot#'!$A:$AL,15,FALSE)</f>
        <v>478</v>
      </c>
      <c r="W55" s="5">
        <f>VLOOKUP($A55,'SegEnds_NonXtal_Prot#'!$A:$AL,18,FALSE)</f>
        <v>517</v>
      </c>
      <c r="X55" s="5">
        <f>VLOOKUP($A55,'SegEnds_NonXtal_Prot#'!$A:$AL,21,FALSE)</f>
        <v>524</v>
      </c>
      <c r="Y55" s="5">
        <f>VLOOKUP($A55,'SegEnds_NonXtal_Prot#'!$A:$AL,24,FALSE)</f>
        <v>563</v>
      </c>
      <c r="Z55" s="5">
        <f>VLOOKUP($A55,'SegEnds_NonXtal_Prot#'!$A:$AL,27,FALSE)</f>
        <v>576</v>
      </c>
      <c r="AA55" s="5">
        <f>VLOOKUP($A55,'SegEnds_NonXtal_Prot#'!$A:$AL,30,FALSE)</f>
        <v>617</v>
      </c>
      <c r="AB55" s="5">
        <f>VLOOKUP($A55,'SegEnds_NonXtal_Prot#'!$A:$AL,33,FALSE)</f>
        <v>659</v>
      </c>
      <c r="AC55" s="5">
        <f>VLOOKUP($A55,'SegEnds_NonXtal_Prot#'!$A:$AL,36,FALSE)</f>
        <v>685</v>
      </c>
      <c r="AD55" s="5">
        <f>VLOOKUP($A55,'SegEnds_NonXtal_Prot#'!$A:$AL,5,FALSE)</f>
        <v>433</v>
      </c>
      <c r="AE55" s="5">
        <f>VLOOKUP($A55,'SegEnds_NonXtal_Prot#'!$A:$AL,8,FALSE)</f>
        <v>437</v>
      </c>
      <c r="AF55" s="5">
        <f>VLOOKUP($A55,'SegEnds_NonXtal_Prot#'!$A:$AL,11,FALSE)</f>
        <v>468</v>
      </c>
      <c r="AG55" s="5" t="str">
        <f>VLOOKUP($A55,'SegEnds_NonXtal_Prot#'!$A:$AL,14,FALSE)</f>
        <v>-</v>
      </c>
      <c r="AH55" s="5">
        <f>VLOOKUP($A55,'SegEnds_NonXtal_Prot#'!$A:$AL,17,FALSE)</f>
        <v>516</v>
      </c>
      <c r="AI55" s="5">
        <f>VLOOKUP($A55,'SegEnds_NonXtal_Prot#'!$A:$AL,20,FALSE)</f>
        <v>523</v>
      </c>
      <c r="AJ55" s="5">
        <f>VLOOKUP($A55,'SegEnds_NonXtal_Prot#'!$A:$AL,23,FALSE)</f>
        <v>549</v>
      </c>
      <c r="AK55" s="5">
        <f>VLOOKUP($A55,'SegEnds_NonXtal_Prot#'!$A:$AL,26,FALSE)</f>
        <v>565</v>
      </c>
      <c r="AL55" s="5">
        <f>VLOOKUP($A55,'SegEnds_NonXtal_Prot#'!$A:$AL,29,FALSE)</f>
        <v>613</v>
      </c>
      <c r="AM55" s="5">
        <f>VLOOKUP($A55,'SegEnds_NonXtal_Prot#'!$A:$AL,32,FALSE)</f>
        <v>654</v>
      </c>
      <c r="AN55" s="5">
        <f>VLOOKUP($A55,'SegEnds_NonXtal_Prot#'!$A:$AL,35,FALSE)</f>
        <v>684</v>
      </c>
      <c r="AO55" s="5">
        <f>VLOOKUP($A55,'SegEnds_NonXtal_Prot#'!$A:$AL,38,FALSE)</f>
        <v>707</v>
      </c>
      <c r="AP55" s="5">
        <f t="shared" si="13"/>
        <v>31</v>
      </c>
      <c r="AQ55" s="4">
        <f t="shared" si="14"/>
        <v>3</v>
      </c>
      <c r="AR55" s="4">
        <f t="shared" si="15"/>
        <v>30</v>
      </c>
      <c r="AS55" s="4" t="str">
        <f t="shared" si="16"/>
        <v>-</v>
      </c>
      <c r="AT55" s="4">
        <f t="shared" si="17"/>
        <v>38</v>
      </c>
      <c r="AU55" s="4">
        <f t="shared" si="18"/>
        <v>6</v>
      </c>
      <c r="AV55" s="4">
        <f t="shared" si="19"/>
        <v>25</v>
      </c>
      <c r="AW55" s="4">
        <f t="shared" si="20"/>
        <v>2</v>
      </c>
      <c r="AX55" s="4">
        <f t="shared" si="21"/>
        <v>37</v>
      </c>
      <c r="AY55" s="4">
        <f t="shared" si="22"/>
        <v>37</v>
      </c>
      <c r="AZ55" s="4">
        <f t="shared" si="23"/>
        <v>25</v>
      </c>
      <c r="BA55" s="4">
        <f t="shared" si="24"/>
        <v>22</v>
      </c>
    </row>
    <row r="56" spans="1:53" x14ac:dyDescent="0.2">
      <c r="A56" s="1" t="str">
        <f>'SegEnds_NonXtal_Prot#'!A21</f>
        <v>rxfp2_human</v>
      </c>
      <c r="B56" s="1" t="str">
        <f t="shared" si="0"/>
        <v>LLANNILRIFVWVIAFITCFGNLFVIGMRSFITTHAMSIKILCCADCLMGVYLFFVGIFDIKYLWMESVQCRLMGFLAMLSTEVSVLLLTYLTLEKFLVIVFGKRQTSVILICIWMAGFLIAVIPFWNSKGYSLGIFLGVNLLAFLIIVFSYITMFCSIQKTALQTRNCFGREVAVANRFFFIVFSDAICWIPVFVVKILSLFRDTMTSWIVIFFLPVNSALNPILYTLTTNFFKDKLKQLLHKHQRKSIFKI</v>
      </c>
      <c r="C56" s="29" t="str">
        <f>IF(ISERROR(MATCH(A56,'SegEnds_Xtal_Prot#'!B:B, 0)), "NoXtal", "Xtal")</f>
        <v>NoXtal</v>
      </c>
      <c r="D56" s="4" t="str">
        <f>VLOOKUP(A56,Classification!A:D,2,FALSE)</f>
        <v>A</v>
      </c>
      <c r="E56" s="5" t="str">
        <f>VLOOKUP(A56,Seqs!A:B,2,FALSE)</f>
        <v>MIVFLVFKHLFSLRLITMFFLLHFIVLINVKDFALTQGSMITPSCQKGYFPCGNLTKCLPRAFHCDGKDDCGNGADEENCGDTSGWATIFGTVHGNANSVALTQECFLKQYPQCCDCKETELECVNGDLKSVPMISNNVTLLSLKKNKIHSLPDKVFIKYTKLKKIFLQHNCIRHISRKAFFGLCNLQILYLNHNCITTLRPGIFKDLHQLTWLILDDNPITRISQRLFTGLNSLFFLSMVNNYLEALPKQMCAQMPQLNWVDLEGNRIKYLTNSTFLSCDSLTVLFLPRNQIGFVPEKTFSSLKNLGELDLSSNTITELSPHLFKDLKLLQKLNLSSNPLMYLHKNQFESLKQLQSLDLERIEIPNINTRMFQPMKNLSHIYFKNFRYCSYAPHVRICMPLTDGISSFEDLLANNILRIFVWVIAFITCFGNLFVIGMRSFIKAENTTHAMSIKILCCADCLMGVYLFFVGIFDIKYRGQYQKYALLWMESVQCRLMGFLAMLSTEVSVLLLTYLTLEKFLVIVFPFSNIRPGKRQTSVILICIWMAGFLIAVIPFWNKDYFGNFYGKNGVCFPLYYDQTEDIGSKGYSLGIFLGVNLLAFLIIVFSYITMFCSIQKTALQTTEVRNCFGREVAVANRFFFIVFSDAICWIPVFVVKILSLFRVEIPDTMTSWIVIFFLPVNSALNPILYTLTTNFFKDKLKQLLHKHQRKSIFKIKKKSLSTSIVWIEDSSSLKLGVLNKITLGDSIMKPVS</v>
      </c>
      <c r="F56" s="5" t="str">
        <f t="shared" si="1"/>
        <v>LLANNILRIFVWVIAFITCFGNLFVIGMRSFI</v>
      </c>
      <c r="G56" s="4" t="str">
        <f t="shared" si="2"/>
        <v>KAEN</v>
      </c>
      <c r="H56" s="4" t="str">
        <f t="shared" si="3"/>
        <v>TTHAMSIKILCCADCLMGVYLFFVGIFDIKY</v>
      </c>
      <c r="I56" s="4" t="str">
        <f t="shared" si="4"/>
        <v>KYAL</v>
      </c>
      <c r="J56" s="4" t="str">
        <f t="shared" si="5"/>
        <v>LWMESVQCRLMGFLAMLSTEVSVLLLTYLTLEKFLVIVF</v>
      </c>
      <c r="K56" s="4" t="str">
        <f t="shared" si="6"/>
        <v>PFSNIRP</v>
      </c>
      <c r="L56" s="4" t="str">
        <f t="shared" si="7"/>
        <v>GKRQTSVILICIWMAGFLIAVIPFWN</v>
      </c>
      <c r="M56" s="4" t="str">
        <f t="shared" si="8"/>
        <v>CFP</v>
      </c>
      <c r="N56" s="4" t="str">
        <f t="shared" si="9"/>
        <v>SKGYSLGIFLGVNLLAFLIIVFSYITMFCSIQKTALQT</v>
      </c>
      <c r="O56" s="4" t="str">
        <f t="shared" si="10"/>
        <v>RNCFGREVAVANRFFFIVFSDAICWIPVFVVKILSLFR</v>
      </c>
      <c r="P56" s="4" t="str">
        <f t="shared" si="11"/>
        <v>DTMTSWIVIFFLPVNSALNPILYTLT</v>
      </c>
      <c r="Q56" s="4" t="str">
        <f t="shared" si="12"/>
        <v>TNFFKDKLKQLLHKHQRKSIFKI</v>
      </c>
      <c r="R56" s="5">
        <f>VLOOKUP($A56,'SegEnds_NonXtal_Prot#'!$A:$AL,3,FALSE)</f>
        <v>412</v>
      </c>
      <c r="S56" s="5">
        <f>VLOOKUP($A56,'SegEnds_NonXtal_Prot#'!$A:$AL,6,FALSE)</f>
        <v>444</v>
      </c>
      <c r="T56" s="5">
        <f>VLOOKUP($A56,'SegEnds_NonXtal_Prot#'!$A:$AL,9,FALSE)</f>
        <v>448</v>
      </c>
      <c r="U56" s="5">
        <f>VLOOKUP($A56,'SegEnds_NonXtal_Prot#'!$A:$AL,12,FALSE)</f>
        <v>484</v>
      </c>
      <c r="V56" s="5">
        <f>VLOOKUP($A56,'SegEnds_NonXtal_Prot#'!$A:$AL,15,FALSE)</f>
        <v>488</v>
      </c>
      <c r="W56" s="5">
        <f>VLOOKUP($A56,'SegEnds_NonXtal_Prot#'!$A:$AL,18,FALSE)</f>
        <v>527</v>
      </c>
      <c r="X56" s="5">
        <f>VLOOKUP($A56,'SegEnds_NonXtal_Prot#'!$A:$AL,21,FALSE)</f>
        <v>534</v>
      </c>
      <c r="Y56" s="5">
        <f>VLOOKUP($A56,'SegEnds_NonXtal_Prot#'!$A:$AL,24,FALSE)</f>
        <v>573</v>
      </c>
      <c r="Z56" s="5">
        <f>VLOOKUP($A56,'SegEnds_NonXtal_Prot#'!$A:$AL,27,FALSE)</f>
        <v>586</v>
      </c>
      <c r="AA56" s="5">
        <f>VLOOKUP($A56,'SegEnds_NonXtal_Prot#'!$A:$AL,30,FALSE)</f>
        <v>627</v>
      </c>
      <c r="AB56" s="5">
        <f>VLOOKUP($A56,'SegEnds_NonXtal_Prot#'!$A:$AL,33,FALSE)</f>
        <v>669</v>
      </c>
      <c r="AC56" s="5">
        <f>VLOOKUP($A56,'SegEnds_NonXtal_Prot#'!$A:$AL,36,FALSE)</f>
        <v>695</v>
      </c>
      <c r="AD56" s="5">
        <f>VLOOKUP($A56,'SegEnds_NonXtal_Prot#'!$A:$AL,5,FALSE)</f>
        <v>443</v>
      </c>
      <c r="AE56" s="5">
        <f>VLOOKUP($A56,'SegEnds_NonXtal_Prot#'!$A:$AL,8,FALSE)</f>
        <v>447</v>
      </c>
      <c r="AF56" s="5">
        <f>VLOOKUP($A56,'SegEnds_NonXtal_Prot#'!$A:$AL,11,FALSE)</f>
        <v>478</v>
      </c>
      <c r="AG56" s="5">
        <f>VLOOKUP($A56,'SegEnds_NonXtal_Prot#'!$A:$AL,14,FALSE)</f>
        <v>487</v>
      </c>
      <c r="AH56" s="5">
        <f>VLOOKUP($A56,'SegEnds_NonXtal_Prot#'!$A:$AL,17,FALSE)</f>
        <v>526</v>
      </c>
      <c r="AI56" s="5">
        <f>VLOOKUP($A56,'SegEnds_NonXtal_Prot#'!$A:$AL,20,FALSE)</f>
        <v>533</v>
      </c>
      <c r="AJ56" s="5">
        <f>VLOOKUP($A56,'SegEnds_NonXtal_Prot#'!$A:$AL,23,FALSE)</f>
        <v>559</v>
      </c>
      <c r="AK56" s="5">
        <f>VLOOKUP($A56,'SegEnds_NonXtal_Prot#'!$A:$AL,26,FALSE)</f>
        <v>575</v>
      </c>
      <c r="AL56" s="5">
        <f>VLOOKUP($A56,'SegEnds_NonXtal_Prot#'!$A:$AL,29,FALSE)</f>
        <v>623</v>
      </c>
      <c r="AM56" s="5">
        <f>VLOOKUP($A56,'SegEnds_NonXtal_Prot#'!$A:$AL,32,FALSE)</f>
        <v>664</v>
      </c>
      <c r="AN56" s="5">
        <f>VLOOKUP($A56,'SegEnds_NonXtal_Prot#'!$A:$AL,35,FALSE)</f>
        <v>694</v>
      </c>
      <c r="AO56" s="5">
        <f>VLOOKUP($A56,'SegEnds_NonXtal_Prot#'!$A:$AL,38,FALSE)</f>
        <v>717</v>
      </c>
      <c r="AP56" s="5">
        <f t="shared" si="13"/>
        <v>31</v>
      </c>
      <c r="AQ56" s="4">
        <f t="shared" si="14"/>
        <v>3</v>
      </c>
      <c r="AR56" s="4">
        <f t="shared" si="15"/>
        <v>30</v>
      </c>
      <c r="AS56" s="4">
        <f t="shared" si="16"/>
        <v>3</v>
      </c>
      <c r="AT56" s="4">
        <f t="shared" si="17"/>
        <v>38</v>
      </c>
      <c r="AU56" s="4">
        <f t="shared" si="18"/>
        <v>6</v>
      </c>
      <c r="AV56" s="4">
        <f t="shared" si="19"/>
        <v>25</v>
      </c>
      <c r="AW56" s="4">
        <f t="shared" si="20"/>
        <v>2</v>
      </c>
      <c r="AX56" s="4">
        <f t="shared" si="21"/>
        <v>37</v>
      </c>
      <c r="AY56" s="4">
        <f t="shared" si="22"/>
        <v>37</v>
      </c>
      <c r="AZ56" s="4">
        <f t="shared" si="23"/>
        <v>25</v>
      </c>
      <c r="BA56" s="4">
        <f t="shared" si="24"/>
        <v>22</v>
      </c>
    </row>
    <row r="57" spans="1:53" x14ac:dyDescent="0.2">
      <c r="A57" s="1" t="str">
        <f>'SegEnds_NonXtal_Prot#'!A22</f>
        <v>s1pr1_human</v>
      </c>
      <c r="B57" s="1" t="str">
        <f t="shared" si="0"/>
        <v>ENSIKLTSVVFILICCFIILENIFVLLTIWKTRPMYYFIGNLALSDLLAGVAYTANLLLTPAQWFLREGSMFVALSASVFSLLAIAIERYITMLKNNFRLFLLISACWVISLILGGLPIMGHKHYILFCTTVFTLLLLSIVILYCRIYSLVRTRSRRLTSRSSEKSLALLKTVIIVLSVFIACWAPLFILLLLDVGCDILFRAEYFLVLAVLNSGTNPIIYTLTNKEMRRAFIRIMS</v>
      </c>
      <c r="C57" s="29" t="str">
        <f>IF(ISERROR(MATCH(A57,'SegEnds_Xtal_Prot#'!B:B, 0)), "NoXtal", "Xtal")</f>
        <v>Xtal</v>
      </c>
      <c r="D57" s="4" t="str">
        <f>VLOOKUP(A57,Classification!A:D,2,FALSE)</f>
        <v>A</v>
      </c>
      <c r="E57" s="5" t="str">
        <f>VLOOKUP(A57,Seqs!A:B,2,FALSE)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F57" s="5" t="str">
        <f t="shared" si="1"/>
        <v>ENSIKLTSVVFILICCFIILENIFVLLTIWKT</v>
      </c>
      <c r="G57" s="4" t="str">
        <f t="shared" si="2"/>
        <v>KKFH</v>
      </c>
      <c r="H57" s="4" t="str">
        <f t="shared" si="3"/>
        <v>RPMYYFIGNLALSDLLAGVAYTANLLL</v>
      </c>
      <c r="I57" s="4" t="str">
        <f t="shared" si="4"/>
        <v>GATTYKL</v>
      </c>
      <c r="J57" s="4" t="str">
        <f t="shared" si="5"/>
        <v>TPAQWFLREGSMFVALSASVFSLLAIAIERYITMLK</v>
      </c>
      <c r="K57" s="4" t="str">
        <f t="shared" si="6"/>
        <v>MKLHNGS</v>
      </c>
      <c r="L57" s="4" t="str">
        <f t="shared" si="7"/>
        <v>NNFRLFLLISACWVISLILGGLPIMG</v>
      </c>
      <c r="M57" s="4" t="str">
        <f t="shared" si="8"/>
        <v/>
      </c>
      <c r="N57" s="4" t="str">
        <f t="shared" si="9"/>
        <v>HKHYILFCTTVFTLLLLSIVILYCRIYSLVRTRSRRLT</v>
      </c>
      <c r="O57" s="4" t="str">
        <f t="shared" si="10"/>
        <v>SRSSEKSLALLKTVIIVLSVFIACWAPLFILLLLDVGC</v>
      </c>
      <c r="P57" s="4" t="str">
        <f t="shared" si="11"/>
        <v>DILFRAEYFLVLAVLNSGTNPIIYTLT</v>
      </c>
      <c r="Q57" s="4" t="str">
        <f t="shared" si="12"/>
        <v>NKEMRRAFIRIMS</v>
      </c>
      <c r="R57" s="5">
        <f>VLOOKUP($A57,'SegEnds_NonXtal_Prot#'!$A:$AL,3,FALSE)</f>
        <v>42</v>
      </c>
      <c r="S57" s="5">
        <f>VLOOKUP($A57,'SegEnds_NonXtal_Prot#'!$A:$AL,6,FALSE)</f>
        <v>74</v>
      </c>
      <c r="T57" s="5">
        <f>VLOOKUP($A57,'SegEnds_NonXtal_Prot#'!$A:$AL,9,FALSE)</f>
        <v>78</v>
      </c>
      <c r="U57" s="5">
        <f>VLOOKUP($A57,'SegEnds_NonXtal_Prot#'!$A:$AL,12,FALSE)</f>
        <v>106</v>
      </c>
      <c r="V57" s="5">
        <f>VLOOKUP($A57,'SegEnds_NonXtal_Prot#'!$A:$AL,15,FALSE)</f>
        <v>113</v>
      </c>
      <c r="W57" s="5">
        <f>VLOOKUP($A57,'SegEnds_NonXtal_Prot#'!$A:$AL,18,FALSE)</f>
        <v>149</v>
      </c>
      <c r="X57" s="5">
        <f>VLOOKUP($A57,'SegEnds_NonXtal_Prot#'!$A:$AL,21,FALSE)</f>
        <v>156</v>
      </c>
      <c r="Y57" s="5" t="str">
        <f>VLOOKUP($A57,'SegEnds_NonXtal_Prot#'!$A:$AL,24,FALSE)</f>
        <v>-</v>
      </c>
      <c r="Z57" s="5">
        <f>VLOOKUP($A57,'SegEnds_NonXtal_Prot#'!$A:$AL,27,FALSE)</f>
        <v>199</v>
      </c>
      <c r="AA57" s="5">
        <f>VLOOKUP($A57,'SegEnds_NonXtal_Prot#'!$A:$AL,30,FALSE)</f>
        <v>245</v>
      </c>
      <c r="AB57" s="5">
        <f>VLOOKUP($A57,'SegEnds_NonXtal_Prot#'!$A:$AL,33,FALSE)</f>
        <v>288</v>
      </c>
      <c r="AC57" s="5">
        <f>VLOOKUP($A57,'SegEnds_NonXtal_Prot#'!$A:$AL,36,FALSE)</f>
        <v>315</v>
      </c>
      <c r="AD57" s="5">
        <f>VLOOKUP($A57,'SegEnds_NonXtal_Prot#'!$A:$AL,5,FALSE)</f>
        <v>73</v>
      </c>
      <c r="AE57" s="5">
        <f>VLOOKUP($A57,'SegEnds_NonXtal_Prot#'!$A:$AL,8,FALSE)</f>
        <v>77</v>
      </c>
      <c r="AF57" s="5">
        <f>VLOOKUP($A57,'SegEnds_NonXtal_Prot#'!$A:$AL,11,FALSE)</f>
        <v>104</v>
      </c>
      <c r="AG57" s="5">
        <f>VLOOKUP($A57,'SegEnds_NonXtal_Prot#'!$A:$AL,14,FALSE)</f>
        <v>112</v>
      </c>
      <c r="AH57" s="5">
        <f>VLOOKUP($A57,'SegEnds_NonXtal_Prot#'!$A:$AL,17,FALSE)</f>
        <v>148</v>
      </c>
      <c r="AI57" s="5">
        <f>VLOOKUP($A57,'SegEnds_NonXtal_Prot#'!$A:$AL,20,FALSE)</f>
        <v>155</v>
      </c>
      <c r="AJ57" s="5">
        <f>VLOOKUP($A57,'SegEnds_NonXtal_Prot#'!$A:$AL,23,FALSE)</f>
        <v>181</v>
      </c>
      <c r="AK57" s="5" t="str">
        <f>VLOOKUP($A57,'SegEnds_NonXtal_Prot#'!$A:$AL,26,FALSE)</f>
        <v>-</v>
      </c>
      <c r="AL57" s="5">
        <f>VLOOKUP($A57,'SegEnds_NonXtal_Prot#'!$A:$AL,29,FALSE)</f>
        <v>236</v>
      </c>
      <c r="AM57" s="5">
        <f>VLOOKUP($A57,'SegEnds_NonXtal_Prot#'!$A:$AL,32,FALSE)</f>
        <v>282</v>
      </c>
      <c r="AN57" s="5">
        <f>VLOOKUP($A57,'SegEnds_NonXtal_Prot#'!$A:$AL,35,FALSE)</f>
        <v>314</v>
      </c>
      <c r="AO57" s="5">
        <f>VLOOKUP($A57,'SegEnds_NonXtal_Prot#'!$A:$AL,38,FALSE)</f>
        <v>327</v>
      </c>
      <c r="AP57" s="5">
        <f t="shared" si="13"/>
        <v>31</v>
      </c>
      <c r="AQ57" s="4">
        <f t="shared" si="14"/>
        <v>3</v>
      </c>
      <c r="AR57" s="4">
        <f t="shared" si="15"/>
        <v>26</v>
      </c>
      <c r="AS57" s="4">
        <f t="shared" si="16"/>
        <v>6</v>
      </c>
      <c r="AT57" s="4">
        <f t="shared" si="17"/>
        <v>35</v>
      </c>
      <c r="AU57" s="4">
        <f t="shared" si="18"/>
        <v>6</v>
      </c>
      <c r="AV57" s="4">
        <f t="shared" si="19"/>
        <v>25</v>
      </c>
      <c r="AW57" s="4" t="str">
        <f t="shared" si="20"/>
        <v>-</v>
      </c>
      <c r="AX57" s="4">
        <f t="shared" si="21"/>
        <v>37</v>
      </c>
      <c r="AY57" s="4">
        <f t="shared" si="22"/>
        <v>37</v>
      </c>
      <c r="AZ57" s="4">
        <f t="shared" si="23"/>
        <v>26</v>
      </c>
      <c r="BA57" s="4">
        <f t="shared" si="24"/>
        <v>12</v>
      </c>
    </row>
    <row r="58" spans="1:53" x14ac:dyDescent="0.2">
      <c r="A58" s="1" t="str">
        <f>'SegEnds_NonXtal_Prot#'!A23</f>
        <v>s1pr2_human</v>
      </c>
      <c r="B58" s="1" t="str">
        <f t="shared" si="0"/>
        <v>TTSRQVASAFIVILCCAIVVENLLVLIAVARNSAMYLFLGNLAASDLLAGVAFVANTLLTPVQWFAREGSAFITLSASVFSLLAIAIERHVAIAKKSCRMLLLIGASWLISLVLGGLPILGAKHYVLCVVTIFSIILLAIVALYVRIYCVVRSAAPQTLALLKTVTIVLGVFIVCWLPAFSILLLDYACPILYKAHYFFAVSTLNSLLNPVIYTWRSRDLRREVLRPLQ</v>
      </c>
      <c r="C58" s="29" t="str">
        <f>IF(ISERROR(MATCH(A58,'SegEnds_Xtal_Prot#'!B:B, 0)), "NoXtal", "Xtal")</f>
        <v>NoXtal</v>
      </c>
      <c r="D58" s="4" t="str">
        <f>VLOOKUP(A58,Classification!A:D,2,FALSE)</f>
        <v>A</v>
      </c>
      <c r="E58" s="5" t="str">
        <f>VLOOKUP(A58,Seqs!A:B,2,FALSE)</f>
        <v>MGSLYSEYLNPNKVQEHYNYTKETLETQETTSRQVASAFIVILCCAIVVENLLVLIAVARNSKFHSAMYLFLGNLAASDLLAGVAFVANTLLSGSVTLRLTPVQWFAREGSAFITLSASVFSLLAIAIERHVAIAKVKLYGSDKSCRMLLLIGASWLISLVLGGLPILGWNCLGHLEACSTVLPLYAKHYVLCVVTIFSIILLAIVALYVRIYCVVRSSHADMAAPQTLALLKTVTIVLGVFIVCWLPAFSILLLDYACPVHSCPILYKAHYFFAVSTLNSLLNPVIYTWRSRDLRREVLRPLQCWRPGVGVQGRRRGGTPGHHLLPLRSSSSLERGMHMPTSPTFLEGNTVV</v>
      </c>
      <c r="F58" s="5" t="str">
        <f t="shared" si="1"/>
        <v>TTSRQVASAFIVILCCAIVVENLLVLIAVARN</v>
      </c>
      <c r="G58" s="4" t="str">
        <f t="shared" si="2"/>
        <v>SKFH</v>
      </c>
      <c r="H58" s="4" t="str">
        <f t="shared" si="3"/>
        <v>SAMYLFLGNLAASDLLAGVAFVANTLL</v>
      </c>
      <c r="I58" s="4" t="str">
        <f t="shared" si="4"/>
        <v>GSVTLRL</v>
      </c>
      <c r="J58" s="4" t="str">
        <f t="shared" si="5"/>
        <v>TPVQWFAREGSAFITLSASVFSLLAIAIERHVAIAK</v>
      </c>
      <c r="K58" s="4" t="str">
        <f t="shared" si="6"/>
        <v>VKLYGSD</v>
      </c>
      <c r="L58" s="4" t="str">
        <f t="shared" si="7"/>
        <v>KSCRMLLLIGASWLISLVLGGLPILG</v>
      </c>
      <c r="M58" s="4" t="str">
        <f t="shared" si="8"/>
        <v/>
      </c>
      <c r="N58" s="4" t="str">
        <f t="shared" si="9"/>
        <v>AKHYVLCVVTIFSIILLAIVALYVRIYCVVRS</v>
      </c>
      <c r="O58" s="4" t="str">
        <f t="shared" si="10"/>
        <v>AAPQTLALLKTVTIVLGVFIVCWLPAFSILLLDYAC</v>
      </c>
      <c r="P58" s="4" t="str">
        <f t="shared" si="11"/>
        <v>PILYKAHYFFAVSTLNSLLNPVIYTWR</v>
      </c>
      <c r="Q58" s="4" t="str">
        <f t="shared" si="12"/>
        <v>SRDLRREVLRPLQ</v>
      </c>
      <c r="R58" s="5">
        <f>VLOOKUP($A58,'SegEnds_NonXtal_Prot#'!$A:$AL,3,FALSE)</f>
        <v>30</v>
      </c>
      <c r="S58" s="5">
        <f>VLOOKUP($A58,'SegEnds_NonXtal_Prot#'!$A:$AL,6,FALSE)</f>
        <v>62</v>
      </c>
      <c r="T58" s="5">
        <f>VLOOKUP($A58,'SegEnds_NonXtal_Prot#'!$A:$AL,9,FALSE)</f>
        <v>66</v>
      </c>
      <c r="U58" s="5">
        <f>VLOOKUP($A58,'SegEnds_NonXtal_Prot#'!$A:$AL,12,FALSE)</f>
        <v>94</v>
      </c>
      <c r="V58" s="5">
        <f>VLOOKUP($A58,'SegEnds_NonXtal_Prot#'!$A:$AL,15,FALSE)</f>
        <v>101</v>
      </c>
      <c r="W58" s="5">
        <f>VLOOKUP($A58,'SegEnds_NonXtal_Prot#'!$A:$AL,18,FALSE)</f>
        <v>137</v>
      </c>
      <c r="X58" s="5">
        <f>VLOOKUP($A58,'SegEnds_NonXtal_Prot#'!$A:$AL,21,FALSE)</f>
        <v>144</v>
      </c>
      <c r="Y58" s="5" t="str">
        <f>VLOOKUP($A58,'SegEnds_NonXtal_Prot#'!$A:$AL,24,FALSE)</f>
        <v>-</v>
      </c>
      <c r="Z58" s="5">
        <f>VLOOKUP($A58,'SegEnds_NonXtal_Prot#'!$A:$AL,27,FALSE)</f>
        <v>187</v>
      </c>
      <c r="AA58" s="5">
        <f>VLOOKUP($A58,'SegEnds_NonXtal_Prot#'!$A:$AL,30,FALSE)</f>
        <v>224</v>
      </c>
      <c r="AB58" s="5">
        <f>VLOOKUP($A58,'SegEnds_NonXtal_Prot#'!$A:$AL,33,FALSE)</f>
        <v>265</v>
      </c>
      <c r="AC58" s="5">
        <f>VLOOKUP($A58,'SegEnds_NonXtal_Prot#'!$A:$AL,36,FALSE)</f>
        <v>292</v>
      </c>
      <c r="AD58" s="5">
        <f>VLOOKUP($A58,'SegEnds_NonXtal_Prot#'!$A:$AL,5,FALSE)</f>
        <v>61</v>
      </c>
      <c r="AE58" s="5">
        <f>VLOOKUP($A58,'SegEnds_NonXtal_Prot#'!$A:$AL,8,FALSE)</f>
        <v>65</v>
      </c>
      <c r="AF58" s="5">
        <f>VLOOKUP($A58,'SegEnds_NonXtal_Prot#'!$A:$AL,11,FALSE)</f>
        <v>92</v>
      </c>
      <c r="AG58" s="5">
        <f>VLOOKUP($A58,'SegEnds_NonXtal_Prot#'!$A:$AL,14,FALSE)</f>
        <v>100</v>
      </c>
      <c r="AH58" s="5">
        <f>VLOOKUP($A58,'SegEnds_NonXtal_Prot#'!$A:$AL,17,FALSE)</f>
        <v>136</v>
      </c>
      <c r="AI58" s="5">
        <f>VLOOKUP($A58,'SegEnds_NonXtal_Prot#'!$A:$AL,20,FALSE)</f>
        <v>143</v>
      </c>
      <c r="AJ58" s="5">
        <f>VLOOKUP($A58,'SegEnds_NonXtal_Prot#'!$A:$AL,23,FALSE)</f>
        <v>169</v>
      </c>
      <c r="AK58" s="5" t="str">
        <f>VLOOKUP($A58,'SegEnds_NonXtal_Prot#'!$A:$AL,26,FALSE)</f>
        <v>-</v>
      </c>
      <c r="AL58" s="5">
        <f>VLOOKUP($A58,'SegEnds_NonXtal_Prot#'!$A:$AL,29,FALSE)</f>
        <v>218</v>
      </c>
      <c r="AM58" s="5">
        <f>VLOOKUP($A58,'SegEnds_NonXtal_Prot#'!$A:$AL,32,FALSE)</f>
        <v>259</v>
      </c>
      <c r="AN58" s="5">
        <f>VLOOKUP($A58,'SegEnds_NonXtal_Prot#'!$A:$AL,35,FALSE)</f>
        <v>291</v>
      </c>
      <c r="AO58" s="5">
        <f>VLOOKUP($A58,'SegEnds_NonXtal_Prot#'!$A:$AL,38,FALSE)</f>
        <v>304</v>
      </c>
      <c r="AP58" s="5">
        <f t="shared" si="13"/>
        <v>31</v>
      </c>
      <c r="AQ58" s="4">
        <f t="shared" si="14"/>
        <v>3</v>
      </c>
      <c r="AR58" s="4">
        <f t="shared" si="15"/>
        <v>26</v>
      </c>
      <c r="AS58" s="4">
        <f t="shared" si="16"/>
        <v>6</v>
      </c>
      <c r="AT58" s="4">
        <f t="shared" si="17"/>
        <v>35</v>
      </c>
      <c r="AU58" s="4">
        <f t="shared" si="18"/>
        <v>6</v>
      </c>
      <c r="AV58" s="4">
        <f t="shared" si="19"/>
        <v>25</v>
      </c>
      <c r="AW58" s="4" t="str">
        <f t="shared" si="20"/>
        <v>-</v>
      </c>
      <c r="AX58" s="4">
        <f t="shared" si="21"/>
        <v>31</v>
      </c>
      <c r="AY58" s="4">
        <f t="shared" si="22"/>
        <v>35</v>
      </c>
      <c r="AZ58" s="4">
        <f t="shared" si="23"/>
        <v>26</v>
      </c>
      <c r="BA58" s="4">
        <f t="shared" si="24"/>
        <v>12</v>
      </c>
    </row>
    <row r="59" spans="1:53" x14ac:dyDescent="0.2">
      <c r="A59" s="1" t="str">
        <f>'SegEnds_NonXtal_Prot#'!A24</f>
        <v>s1pr3_human</v>
      </c>
      <c r="B59" s="1" t="str">
        <f t="shared" si="0"/>
        <v>SEGSTLTTVLFLVICSFIVLENLMVLIAIWKNNRMYFFIGNLALCDLLAGIAYKVNILMSPTVWFLREGSMFVALGASTCSLLAIAIERHLTMIKKRHRVFLLIGMCWLIAFTLGALPILGSKKYIAFCISIFTAILVTIVILYARIYFLVKSSNHNNSERSMALLRTVVIVVSVFIACWSPLFILFLIDVACPILFKAQWFIVLAVLNSAMNPVIYTLASKEMRRAFFRLVC</v>
      </c>
      <c r="C59" s="29" t="str">
        <f>IF(ISERROR(MATCH(A59,'SegEnds_Xtal_Prot#'!B:B, 0)), "NoXtal", "Xtal")</f>
        <v>NoXtal</v>
      </c>
      <c r="D59" s="4" t="str">
        <f>VLOOKUP(A59,Classification!A:D,2,FALSE)</f>
        <v>A</v>
      </c>
      <c r="E59" s="5" t="str">
        <f>VLOOKUP(A59,Seqs!A:B,2,FALSE)</f>
        <v>MATALPPRLQPVRGNETLREHYQYVGKLAGRLKEASEGSTLTTVLFLVICSFIVLENLMVLIAIWKNNKFHNRMYFFIGNLALCDLLAGIAYKVNILMSGKKTFSLSPTVWFLREGSMFVALGASTCSLLAIAIERHLTMIKMRPYDANKRHRVFLLIGMCWLIAFTLGALPILGWNCLHNLPDCSTILPLYSKKYIAFCISIFTAILVTIVILYARIYFLVKSSSRKVANHNNSERSMALLRTVVIVVSVFIACWSPLFILFLIDVACRVQACPILFKAQWFIVLAVLNSAMNPVIYTLASKEMRRAFFRLVCNCLVRGRGARASPIQPALDPSRSKSSSSNNSSHSPKVKEDLPHTAPSSCIMDKNAALQNGIFCN</v>
      </c>
      <c r="F59" s="5" t="str">
        <f t="shared" si="1"/>
        <v>SEGSTLTTVLFLVICSFIVLENLMVLIAIWKN</v>
      </c>
      <c r="G59" s="4" t="str">
        <f t="shared" si="2"/>
        <v>NKFH</v>
      </c>
      <c r="H59" s="4" t="str">
        <f t="shared" si="3"/>
        <v>NRMYFFIGNLALCDLLAGIAYKVNILM</v>
      </c>
      <c r="I59" s="4" t="str">
        <f t="shared" si="4"/>
        <v>GKKTFSL</v>
      </c>
      <c r="J59" s="4" t="str">
        <f t="shared" si="5"/>
        <v>SPTVWFLREGSMFVALGASTCSLLAIAIERHLTMIK</v>
      </c>
      <c r="K59" s="4" t="str">
        <f t="shared" si="6"/>
        <v>MRPYDAN</v>
      </c>
      <c r="L59" s="4" t="str">
        <f t="shared" si="7"/>
        <v>KRHRVFLLIGMCWLIAFTLGALPILG</v>
      </c>
      <c r="M59" s="4" t="str">
        <f t="shared" si="8"/>
        <v/>
      </c>
      <c r="N59" s="4" t="str">
        <f t="shared" si="9"/>
        <v>SKKYIAFCISIFTAILVTIVILYARIYFLVKSS</v>
      </c>
      <c r="O59" s="4" t="str">
        <f t="shared" si="10"/>
        <v>NHNNSERSMALLRTVVIVVSVFIACWSPLFILFLIDVAC</v>
      </c>
      <c r="P59" s="4" t="str">
        <f t="shared" si="11"/>
        <v>PILFKAQWFIVLAVLNSAMNPVIYTLA</v>
      </c>
      <c r="Q59" s="4" t="str">
        <f t="shared" si="12"/>
        <v>SKEMRRAFFRLVC</v>
      </c>
      <c r="R59" s="5">
        <f>VLOOKUP($A59,'SegEnds_NonXtal_Prot#'!$A:$AL,3,FALSE)</f>
        <v>36</v>
      </c>
      <c r="S59" s="5">
        <f>VLOOKUP($A59,'SegEnds_NonXtal_Prot#'!$A:$AL,6,FALSE)</f>
        <v>68</v>
      </c>
      <c r="T59" s="5">
        <f>VLOOKUP($A59,'SegEnds_NonXtal_Prot#'!$A:$AL,9,FALSE)</f>
        <v>72</v>
      </c>
      <c r="U59" s="5">
        <f>VLOOKUP($A59,'SegEnds_NonXtal_Prot#'!$A:$AL,12,FALSE)</f>
        <v>100</v>
      </c>
      <c r="V59" s="5">
        <f>VLOOKUP($A59,'SegEnds_NonXtal_Prot#'!$A:$AL,15,FALSE)</f>
        <v>107</v>
      </c>
      <c r="W59" s="5">
        <f>VLOOKUP($A59,'SegEnds_NonXtal_Prot#'!$A:$AL,18,FALSE)</f>
        <v>143</v>
      </c>
      <c r="X59" s="5">
        <f>VLOOKUP($A59,'SegEnds_NonXtal_Prot#'!$A:$AL,21,FALSE)</f>
        <v>150</v>
      </c>
      <c r="Y59" s="5" t="str">
        <f>VLOOKUP($A59,'SegEnds_NonXtal_Prot#'!$A:$AL,24,FALSE)</f>
        <v>-</v>
      </c>
      <c r="Z59" s="5">
        <f>VLOOKUP($A59,'SegEnds_NonXtal_Prot#'!$A:$AL,27,FALSE)</f>
        <v>193</v>
      </c>
      <c r="AA59" s="5">
        <f>VLOOKUP($A59,'SegEnds_NonXtal_Prot#'!$A:$AL,30,FALSE)</f>
        <v>231</v>
      </c>
      <c r="AB59" s="5">
        <f>VLOOKUP($A59,'SegEnds_NonXtal_Prot#'!$A:$AL,33,FALSE)</f>
        <v>275</v>
      </c>
      <c r="AC59" s="5">
        <f>VLOOKUP($A59,'SegEnds_NonXtal_Prot#'!$A:$AL,36,FALSE)</f>
        <v>302</v>
      </c>
      <c r="AD59" s="5">
        <f>VLOOKUP($A59,'SegEnds_NonXtal_Prot#'!$A:$AL,5,FALSE)</f>
        <v>67</v>
      </c>
      <c r="AE59" s="5">
        <f>VLOOKUP($A59,'SegEnds_NonXtal_Prot#'!$A:$AL,8,FALSE)</f>
        <v>71</v>
      </c>
      <c r="AF59" s="5">
        <f>VLOOKUP($A59,'SegEnds_NonXtal_Prot#'!$A:$AL,11,FALSE)</f>
        <v>98</v>
      </c>
      <c r="AG59" s="5">
        <f>VLOOKUP($A59,'SegEnds_NonXtal_Prot#'!$A:$AL,14,FALSE)</f>
        <v>106</v>
      </c>
      <c r="AH59" s="5">
        <f>VLOOKUP($A59,'SegEnds_NonXtal_Prot#'!$A:$AL,17,FALSE)</f>
        <v>142</v>
      </c>
      <c r="AI59" s="5">
        <f>VLOOKUP($A59,'SegEnds_NonXtal_Prot#'!$A:$AL,20,FALSE)</f>
        <v>149</v>
      </c>
      <c r="AJ59" s="5">
        <f>VLOOKUP($A59,'SegEnds_NonXtal_Prot#'!$A:$AL,23,FALSE)</f>
        <v>175</v>
      </c>
      <c r="AK59" s="5" t="str">
        <f>VLOOKUP($A59,'SegEnds_NonXtal_Prot#'!$A:$AL,26,FALSE)</f>
        <v>-</v>
      </c>
      <c r="AL59" s="5">
        <f>VLOOKUP($A59,'SegEnds_NonXtal_Prot#'!$A:$AL,29,FALSE)</f>
        <v>225</v>
      </c>
      <c r="AM59" s="5">
        <f>VLOOKUP($A59,'SegEnds_NonXtal_Prot#'!$A:$AL,32,FALSE)</f>
        <v>269</v>
      </c>
      <c r="AN59" s="5">
        <f>VLOOKUP($A59,'SegEnds_NonXtal_Prot#'!$A:$AL,35,FALSE)</f>
        <v>301</v>
      </c>
      <c r="AO59" s="5">
        <f>VLOOKUP($A59,'SegEnds_NonXtal_Prot#'!$A:$AL,38,FALSE)</f>
        <v>314</v>
      </c>
      <c r="AP59" s="5">
        <f t="shared" si="13"/>
        <v>31</v>
      </c>
      <c r="AQ59" s="4">
        <f t="shared" si="14"/>
        <v>3</v>
      </c>
      <c r="AR59" s="4">
        <f t="shared" si="15"/>
        <v>26</v>
      </c>
      <c r="AS59" s="4">
        <f t="shared" si="16"/>
        <v>6</v>
      </c>
      <c r="AT59" s="4">
        <f t="shared" si="17"/>
        <v>35</v>
      </c>
      <c r="AU59" s="4">
        <f t="shared" si="18"/>
        <v>6</v>
      </c>
      <c r="AV59" s="4">
        <f t="shared" si="19"/>
        <v>25</v>
      </c>
      <c r="AW59" s="4" t="str">
        <f t="shared" si="20"/>
        <v>-</v>
      </c>
      <c r="AX59" s="4">
        <f t="shared" si="21"/>
        <v>32</v>
      </c>
      <c r="AY59" s="4">
        <f t="shared" si="22"/>
        <v>38</v>
      </c>
      <c r="AZ59" s="4">
        <f t="shared" si="23"/>
        <v>26</v>
      </c>
      <c r="BA59" s="4">
        <f t="shared" si="24"/>
        <v>12</v>
      </c>
    </row>
    <row r="60" spans="1:53" x14ac:dyDescent="0.2">
      <c r="A60" s="1" t="str">
        <f>'SegEnds_NonXtal_Prot#'!A25</f>
        <v>ur2r_human</v>
      </c>
      <c r="B60" s="1" t="str">
        <f t="shared" si="0"/>
        <v>SLEDLVATGTIGTLLSAMGVVGVVGNAYTLVVTCRSASMYVYVVNLALADLLYLLSIPFIVATYVTGDVGCRVLFGLDFLTMHASIFTLTVMSSERYAAVLRPKGYRKLLALGTWLLALLLTLPVMLAMHRAYLTLLFATSIAGPGLLIGLLYARLARAYRRSQRASPGARALRLVLGIVLLFWACFLPFWLWQLLAQYHPRTARIVNYLTTCLTYGNSCANPFLYTLTRNYRDHLRGRVR</v>
      </c>
      <c r="C60" s="29" t="str">
        <f>IF(ISERROR(MATCH(A60,'SegEnds_Xtal_Prot#'!B:B, 0)), "NoXtal", "Xtal")</f>
        <v>NoXtal</v>
      </c>
      <c r="D60" s="4" t="str">
        <f>VLOOKUP(A60,Classification!A:D,2,FALSE)</f>
        <v>A</v>
      </c>
      <c r="E60" s="5" t="str">
        <f>VLOOKUP(A60,Seqs!A:B,2,FALSE)</f>
        <v>MALTPESPSSFPGLAATGSSVPEPPGGPNATLNSSWASPTEPSSLEDLVATGTIGTLLSAMGVVGVVGNAYTLVVTCRSLRAVASMYVYVVNLALADLLYLLSIPFIVATYVTKEWHFGDVGCRVLFGLDFLTMHASIFTLTVMSSERYAAVLRPLDTVQRPKGYRKLLALGTWLLALLLTLPVMLAMRLVRRGPKSLCLPAWGPRAHRAYLTLLFATSIAGPGLLIGLLYARLARAYRRSQRASFKRARRPGARALRLVLGIVLLFWACFLPFWLWQLLAQYHQAPLAPRTARIVNYLTTCLTYGNSCANPFLYTLLTRNYRDHLRGRVRGPGSGGGRGPVPSLQPRARFQRCSGRSLSSCSPQPTDSLVLAPAAPARPAPEGPRAPA</v>
      </c>
      <c r="F60" s="5" t="str">
        <f t="shared" si="1"/>
        <v>SLEDLVATGTIGTLLSAMGVVGVVGNAYTLVVTCRS</v>
      </c>
      <c r="G60" s="4" t="str">
        <f t="shared" si="2"/>
        <v>LRAV</v>
      </c>
      <c r="H60" s="4" t="str">
        <f t="shared" si="3"/>
        <v>ASMYVYVVNLALADLLYLLSIPFIVATYVT</v>
      </c>
      <c r="I60" s="4" t="str">
        <f t="shared" si="4"/>
        <v>EWHF</v>
      </c>
      <c r="J60" s="4" t="str">
        <f t="shared" si="5"/>
        <v>GDVGCRVLFGLDFLTMHASIFTLTVMSSERYAAVLR</v>
      </c>
      <c r="K60" s="4" t="str">
        <f t="shared" si="6"/>
        <v>PLDTVQR</v>
      </c>
      <c r="L60" s="4" t="str">
        <f t="shared" si="7"/>
        <v>PKGYRKLLALGTWLLALLLTLPVMLAM</v>
      </c>
      <c r="M60" s="4" t="str">
        <f t="shared" si="8"/>
        <v>CLP</v>
      </c>
      <c r="N60" s="4" t="str">
        <f t="shared" si="9"/>
        <v>HRAYLTLLFATSIAGPGLLIGLLYARLARAYRRSQRAS</v>
      </c>
      <c r="O60" s="4" t="str">
        <f t="shared" si="10"/>
        <v>PGARALRLVLGIVLLFWACFLPFWLWQLLAQYH</v>
      </c>
      <c r="P60" s="4" t="str">
        <f t="shared" si="11"/>
        <v>PRTARIVNYLTTCLTYGNSCANPFLYTL</v>
      </c>
      <c r="Q60" s="4" t="str">
        <f t="shared" si="12"/>
        <v>TRNYRDHLRGRVR</v>
      </c>
      <c r="R60" s="5">
        <f>VLOOKUP($A60,'SegEnds_NonXtal_Prot#'!$A:$AL,3,FALSE)</f>
        <v>44</v>
      </c>
      <c r="S60" s="5">
        <f>VLOOKUP($A60,'SegEnds_NonXtal_Prot#'!$A:$AL,6,FALSE)</f>
        <v>80</v>
      </c>
      <c r="T60" s="5">
        <f>VLOOKUP($A60,'SegEnds_NonXtal_Prot#'!$A:$AL,9,FALSE)</f>
        <v>84</v>
      </c>
      <c r="U60" s="5">
        <f>VLOOKUP($A60,'SegEnds_NonXtal_Prot#'!$A:$AL,12,FALSE)</f>
        <v>115</v>
      </c>
      <c r="V60" s="5">
        <f>VLOOKUP($A60,'SegEnds_NonXtal_Prot#'!$A:$AL,15,FALSE)</f>
        <v>119</v>
      </c>
      <c r="W60" s="5">
        <f>VLOOKUP($A60,'SegEnds_NonXtal_Prot#'!$A:$AL,18,FALSE)</f>
        <v>155</v>
      </c>
      <c r="X60" s="5">
        <f>VLOOKUP($A60,'SegEnds_NonXtal_Prot#'!$A:$AL,21,FALSE)</f>
        <v>162</v>
      </c>
      <c r="Y60" s="5">
        <f>VLOOKUP($A60,'SegEnds_NonXtal_Prot#'!$A:$AL,24,FALSE)</f>
        <v>199</v>
      </c>
      <c r="Z60" s="5">
        <f>VLOOKUP($A60,'SegEnds_NonXtal_Prot#'!$A:$AL,27,FALSE)</f>
        <v>208</v>
      </c>
      <c r="AA60" s="5">
        <f>VLOOKUP($A60,'SegEnds_NonXtal_Prot#'!$A:$AL,30,FALSE)</f>
        <v>252</v>
      </c>
      <c r="AB60" s="5">
        <f>VLOOKUP($A60,'SegEnds_NonXtal_Prot#'!$A:$AL,33,FALSE)</f>
        <v>290</v>
      </c>
      <c r="AC60" s="5">
        <f>VLOOKUP($A60,'SegEnds_NonXtal_Prot#'!$A:$AL,36,FALSE)</f>
        <v>319</v>
      </c>
      <c r="AD60" s="5">
        <f>VLOOKUP($A60,'SegEnds_NonXtal_Prot#'!$A:$AL,5,FALSE)</f>
        <v>79</v>
      </c>
      <c r="AE60" s="5">
        <f>VLOOKUP($A60,'SegEnds_NonXtal_Prot#'!$A:$AL,8,FALSE)</f>
        <v>83</v>
      </c>
      <c r="AF60" s="5">
        <f>VLOOKUP($A60,'SegEnds_NonXtal_Prot#'!$A:$AL,11,FALSE)</f>
        <v>113</v>
      </c>
      <c r="AG60" s="5">
        <f>VLOOKUP($A60,'SegEnds_NonXtal_Prot#'!$A:$AL,14,FALSE)</f>
        <v>118</v>
      </c>
      <c r="AH60" s="5">
        <f>VLOOKUP($A60,'SegEnds_NonXtal_Prot#'!$A:$AL,17,FALSE)</f>
        <v>154</v>
      </c>
      <c r="AI60" s="5">
        <f>VLOOKUP($A60,'SegEnds_NonXtal_Prot#'!$A:$AL,20,FALSE)</f>
        <v>161</v>
      </c>
      <c r="AJ60" s="5">
        <f>VLOOKUP($A60,'SegEnds_NonXtal_Prot#'!$A:$AL,23,FALSE)</f>
        <v>188</v>
      </c>
      <c r="AK60" s="5">
        <f>VLOOKUP($A60,'SegEnds_NonXtal_Prot#'!$A:$AL,26,FALSE)</f>
        <v>201</v>
      </c>
      <c r="AL60" s="5">
        <f>VLOOKUP($A60,'SegEnds_NonXtal_Prot#'!$A:$AL,29,FALSE)</f>
        <v>245</v>
      </c>
      <c r="AM60" s="5">
        <f>VLOOKUP($A60,'SegEnds_NonXtal_Prot#'!$A:$AL,32,FALSE)</f>
        <v>284</v>
      </c>
      <c r="AN60" s="5">
        <f>VLOOKUP($A60,'SegEnds_NonXtal_Prot#'!$A:$AL,35,FALSE)</f>
        <v>317</v>
      </c>
      <c r="AO60" s="5">
        <f>VLOOKUP($A60,'SegEnds_NonXtal_Prot#'!$A:$AL,38,FALSE)</f>
        <v>331</v>
      </c>
      <c r="AP60" s="5">
        <f t="shared" si="13"/>
        <v>35</v>
      </c>
      <c r="AQ60" s="4">
        <f t="shared" si="14"/>
        <v>3</v>
      </c>
      <c r="AR60" s="4">
        <f t="shared" si="15"/>
        <v>29</v>
      </c>
      <c r="AS60" s="4">
        <f t="shared" si="16"/>
        <v>3</v>
      </c>
      <c r="AT60" s="4">
        <f t="shared" si="17"/>
        <v>35</v>
      </c>
      <c r="AU60" s="4">
        <f t="shared" si="18"/>
        <v>6</v>
      </c>
      <c r="AV60" s="4">
        <f t="shared" si="19"/>
        <v>26</v>
      </c>
      <c r="AW60" s="4">
        <f t="shared" si="20"/>
        <v>2</v>
      </c>
      <c r="AX60" s="4">
        <f t="shared" si="21"/>
        <v>37</v>
      </c>
      <c r="AY60" s="4">
        <f t="shared" si="22"/>
        <v>32</v>
      </c>
      <c r="AZ60" s="4">
        <f t="shared" si="23"/>
        <v>27</v>
      </c>
      <c r="BA60" s="4">
        <f t="shared" si="24"/>
        <v>12</v>
      </c>
    </row>
    <row r="61" spans="1:53" x14ac:dyDescent="0.2">
      <c r="A61" s="1" t="str">
        <f>'SegEnds_NonXtal_Prot#'!A27</f>
        <v>v1br_human</v>
      </c>
      <c r="B61" s="1" t="str">
        <f t="shared" si="0"/>
        <v>EELAKVEIGVLATVLVLATGGNLAVLLTLGQLSRMHLFVLHLALTDLAVALFQVLPQLLQGPDLLCRAVKYLQVLSMFASTYMLLAMTLDRYLAVCHPGQSTYLLIAAPWLLAAIFSLPQVFIRAYLTWTTLAIFVLPVTMLTACYSLICHEICKNLKVKTQAWNTISRAKIRTVKMTFVIVLAYIACWAPFFSVQMWSVWDEDSTNVAFTISMLLGNLNSCCNPWIYMGFNSHLLPRPLRHLA</v>
      </c>
      <c r="C61" s="29" t="str">
        <f>IF(ISERROR(MATCH(A61,'SegEnds_Xtal_Prot#'!B:B, 0)), "NoXtal", "Xtal")</f>
        <v>NoXtal</v>
      </c>
      <c r="D61" s="4" t="str">
        <f>VLOOKUP(A61,Classification!A:D,2,FALSE)</f>
        <v>A</v>
      </c>
      <c r="E61" s="5" t="str">
        <f>VLOOKUP(A61,Seqs!A:B,2,FALSE)</f>
        <v>MDSGPLWDANPTPRGTLSAPNATTPWLGRDEELAKVEIGVLATVLVLATGGNLAVLLTLGQLGRKRSRMHLFVLHLALTDLAVALFQVLPQLLWDITYRFQGPDLLCRAVKYLQVLSMFASTYMLLAMTLDRYLAVCHPLRSLQQPGQSTYLLIAAPWLLAAIFSLPQVFIFSLREVIQGSGVLDCWADFGFPWGPRAYLTWTTLAIFVLPVTMLTACYSLICHEICKNLKVKTQAWRVGGGGWRTWDRPSPSTLAATTRGLPSRVSSINTISRAKIRTVKMTFVIVLAYIACWAPFFSVQMWSVWDKNAPDEDSTNVAFTISMLLGNLNSCCNPWIYMGFNSHLLPRPLRHLACCGGPQPRMRRRLSDGSLSSRHTTLLTRSSCPATLSLSLSLTLSGRPRPEESPRDLELADGEGTAETIIF</v>
      </c>
      <c r="F61" s="5" t="str">
        <f t="shared" si="1"/>
        <v>EELAKVEIGVLATVLVLATGGNLAVLLTLGQL</v>
      </c>
      <c r="G61" s="4" t="str">
        <f t="shared" si="2"/>
        <v>GRKR</v>
      </c>
      <c r="H61" s="4" t="str">
        <f t="shared" si="3"/>
        <v>SRMHLFVLHLALTDLAVALFQVLPQLL</v>
      </c>
      <c r="I61" s="4" t="str">
        <f t="shared" si="4"/>
        <v>YRF</v>
      </c>
      <c r="J61" s="4" t="str">
        <f t="shared" si="5"/>
        <v>QGPDLLCRAVKYLQVLSMFASTYMLLAMTLDRYLAVCH</v>
      </c>
      <c r="K61" s="4" t="str">
        <f t="shared" si="6"/>
        <v>PLRSLQQ</v>
      </c>
      <c r="L61" s="4" t="str">
        <f t="shared" si="7"/>
        <v>PGQSTYLLIAAPWLLAAIFSLPQVFI</v>
      </c>
      <c r="M61" s="4" t="str">
        <f t="shared" si="8"/>
        <v>CWA</v>
      </c>
      <c r="N61" s="4" t="str">
        <f t="shared" si="9"/>
        <v>RAYLTWTTLAIFVLPVTMLTACYSLICHEICKNLKVKTQAW</v>
      </c>
      <c r="O61" s="4" t="str">
        <f t="shared" si="10"/>
        <v>NTISRAKIRTVKMTFVIVLAYIACWAPFFSVQMWSVWD</v>
      </c>
      <c r="P61" s="4" t="str">
        <f t="shared" si="11"/>
        <v>EDSTNVAFTISMLLGNLNSCCNPWIYMGF</v>
      </c>
      <c r="Q61" s="4" t="str">
        <f t="shared" si="12"/>
        <v>NSHLLPRPLRHLA</v>
      </c>
      <c r="R61" s="5">
        <f>VLOOKUP($A61,'SegEnds_NonXtal_Prot#'!$A:$AL,3,FALSE)</f>
        <v>31</v>
      </c>
      <c r="S61" s="5">
        <f>VLOOKUP($A61,'SegEnds_NonXtal_Prot#'!$A:$AL,6,FALSE)</f>
        <v>63</v>
      </c>
      <c r="T61" s="5">
        <f>VLOOKUP($A61,'SegEnds_NonXtal_Prot#'!$A:$AL,9,FALSE)</f>
        <v>67</v>
      </c>
      <c r="U61" s="5">
        <f>VLOOKUP($A61,'SegEnds_NonXtal_Prot#'!$A:$AL,12,FALSE)</f>
        <v>98</v>
      </c>
      <c r="V61" s="5">
        <f>VLOOKUP($A61,'SegEnds_NonXtal_Prot#'!$A:$AL,15,FALSE)</f>
        <v>101</v>
      </c>
      <c r="W61" s="5">
        <f>VLOOKUP($A61,'SegEnds_NonXtal_Prot#'!$A:$AL,18,FALSE)</f>
        <v>139</v>
      </c>
      <c r="X61" s="5">
        <f>VLOOKUP($A61,'SegEnds_NonXtal_Prot#'!$A:$AL,21,FALSE)</f>
        <v>146</v>
      </c>
      <c r="Y61" s="5">
        <f>VLOOKUP($A61,'SegEnds_NonXtal_Prot#'!$A:$AL,24,FALSE)</f>
        <v>186</v>
      </c>
      <c r="Z61" s="5">
        <f>VLOOKUP($A61,'SegEnds_NonXtal_Prot#'!$A:$AL,27,FALSE)</f>
        <v>197</v>
      </c>
      <c r="AA61" s="5">
        <f>VLOOKUP($A61,'SegEnds_NonXtal_Prot#'!$A:$AL,30,FALSE)</f>
        <v>270</v>
      </c>
      <c r="AB61" s="5">
        <f>VLOOKUP($A61,'SegEnds_NonXtal_Prot#'!$A:$AL,33,FALSE)</f>
        <v>313</v>
      </c>
      <c r="AC61" s="5">
        <f>VLOOKUP($A61,'SegEnds_NonXtal_Prot#'!$A:$AL,36,FALSE)</f>
        <v>342</v>
      </c>
      <c r="AD61" s="5">
        <f>VLOOKUP($A61,'SegEnds_NonXtal_Prot#'!$A:$AL,5,FALSE)</f>
        <v>62</v>
      </c>
      <c r="AE61" s="5">
        <f>VLOOKUP($A61,'SegEnds_NonXtal_Prot#'!$A:$AL,8,FALSE)</f>
        <v>66</v>
      </c>
      <c r="AF61" s="5">
        <f>VLOOKUP($A61,'SegEnds_NonXtal_Prot#'!$A:$AL,11,FALSE)</f>
        <v>93</v>
      </c>
      <c r="AG61" s="5">
        <f>VLOOKUP($A61,'SegEnds_NonXtal_Prot#'!$A:$AL,14,FALSE)</f>
        <v>100</v>
      </c>
      <c r="AH61" s="5">
        <f>VLOOKUP($A61,'SegEnds_NonXtal_Prot#'!$A:$AL,17,FALSE)</f>
        <v>138</v>
      </c>
      <c r="AI61" s="5">
        <f>VLOOKUP($A61,'SegEnds_NonXtal_Prot#'!$A:$AL,20,FALSE)</f>
        <v>145</v>
      </c>
      <c r="AJ61" s="5">
        <f>VLOOKUP($A61,'SegEnds_NonXtal_Prot#'!$A:$AL,23,FALSE)</f>
        <v>171</v>
      </c>
      <c r="AK61" s="5">
        <f>VLOOKUP($A61,'SegEnds_NonXtal_Prot#'!$A:$AL,26,FALSE)</f>
        <v>188</v>
      </c>
      <c r="AL61" s="5">
        <f>VLOOKUP($A61,'SegEnds_NonXtal_Prot#'!$A:$AL,29,FALSE)</f>
        <v>237</v>
      </c>
      <c r="AM61" s="5">
        <f>VLOOKUP($A61,'SegEnds_NonXtal_Prot#'!$A:$AL,32,FALSE)</f>
        <v>307</v>
      </c>
      <c r="AN61" s="5">
        <f>VLOOKUP($A61,'SegEnds_NonXtal_Prot#'!$A:$AL,35,FALSE)</f>
        <v>341</v>
      </c>
      <c r="AO61" s="5">
        <f>VLOOKUP($A61,'SegEnds_NonXtal_Prot#'!$A:$AL,38,FALSE)</f>
        <v>354</v>
      </c>
      <c r="AP61" s="5">
        <f t="shared" si="13"/>
        <v>31</v>
      </c>
      <c r="AQ61" s="4">
        <f t="shared" si="14"/>
        <v>3</v>
      </c>
      <c r="AR61" s="4">
        <f t="shared" si="15"/>
        <v>26</v>
      </c>
      <c r="AS61" s="4">
        <f t="shared" si="16"/>
        <v>2</v>
      </c>
      <c r="AT61" s="4">
        <f t="shared" si="17"/>
        <v>37</v>
      </c>
      <c r="AU61" s="4">
        <f t="shared" si="18"/>
        <v>6</v>
      </c>
      <c r="AV61" s="4">
        <f t="shared" si="19"/>
        <v>25</v>
      </c>
      <c r="AW61" s="4">
        <f t="shared" si="20"/>
        <v>2</v>
      </c>
      <c r="AX61" s="4">
        <f t="shared" si="21"/>
        <v>40</v>
      </c>
      <c r="AY61" s="4">
        <f t="shared" si="22"/>
        <v>37</v>
      </c>
      <c r="AZ61" s="4">
        <f t="shared" si="23"/>
        <v>28</v>
      </c>
      <c r="BA61" s="4">
        <f t="shared" si="24"/>
        <v>12</v>
      </c>
    </row>
    <row r="62" spans="1:53" x14ac:dyDescent="0.2">
      <c r="A62" s="1" t="str">
        <f>'SegEnds_NonXtal_Prot#'!A28</f>
        <v>ccr9_human</v>
      </c>
      <c r="B62" s="1" t="str">
        <f t="shared" si="0"/>
        <v>VRQFASHFLPPLYWLVFIVGALGNSLVILVYWYCTMTDMFLLNLAIADLLFLVTLPFWAIAAADQTFMCKVVNSMYKMNFYSCVLLIMCISVDRYIAIAQREKRLLYSKMVCFTIWVLAAALCIPEILYSKLKSAVLTLKVILGFFLPFVVMACCYTIIIHTLIQAKHKALKVTITVLTVFVLSQFPYNCILLVQTIDAYAMNCAVSTNIDICFQVTQTIAFFHSCLNPVLYVFVGERFRRDLVKTLKNLGCISQA</v>
      </c>
      <c r="C62" s="29" t="str">
        <f>IF(ISERROR(MATCH(A62,'SegEnds_Xtal_Prot#'!B:B, 0)), "NoXtal", "Xtal")</f>
        <v>Xtal</v>
      </c>
      <c r="D62" s="4" t="str">
        <f>VLOOKUP(A62,Classification!A:D,2,FALSE)</f>
        <v>A</v>
      </c>
      <c r="E62" s="5" t="str">
        <f>VLOOKUP(A62,Seqs!A:B,2,FALSE)</f>
        <v>MTPTDFTSPIPNMADDYGSESTSSMEDYVNFNFTDFYCEKNNVRQFASHFLPPLYWLVFIVGALGNSLVILVYWYCTRVKTMTDMFLLNLAIADLLFLVTLPFWAIAAADQWKFQTFMCKVVNSMYKMNFYSCVLLIMCISVDRYIAIAQAMRAHTWREKRLLYSKMVCFTIWVLAAALCIPEILYSQIKEESGIAICTMVYPSDESTKLKSAVLTLKVILGFFLPFVVMACCYTIIIHTLIQAKKSSKHKALKVTITVLTVFVLSQFPYNCILLVQTIDAYAMFISNCAVSTNIDICFQVTQTIAFFHSCLNPVLYVFVGERFRRDLVKTLKNLGCISQAQWVSFTRREGSLKLSSMLLETTSGALSL</v>
      </c>
      <c r="F62" s="5" t="str">
        <f t="shared" si="1"/>
        <v>VRQFASHFLPPLYWLVFIVGALGNSLVILVYWYC</v>
      </c>
      <c r="G62" s="4" t="str">
        <f t="shared" si="2"/>
        <v>TRVK</v>
      </c>
      <c r="H62" s="4" t="str">
        <f t="shared" si="3"/>
        <v>TMTDMFLLNLAIADLLFLVTLPFWAIAAAD</v>
      </c>
      <c r="I62" s="4" t="str">
        <f t="shared" si="4"/>
        <v>QWKF</v>
      </c>
      <c r="J62" s="4" t="str">
        <f t="shared" si="5"/>
        <v>QTFMCKVVNSMYKMNFYSCVLLIMCISVDRYIAIAQ</v>
      </c>
      <c r="K62" s="4" t="str">
        <f t="shared" si="6"/>
        <v>AMRAHTW</v>
      </c>
      <c r="L62" s="4" t="str">
        <f t="shared" si="7"/>
        <v>REKRLLYSKMVCFTIWVLAAALCIPEILYS</v>
      </c>
      <c r="M62" s="4" t="str">
        <f t="shared" si="8"/>
        <v>CTM</v>
      </c>
      <c r="N62" s="4" t="str">
        <f t="shared" si="9"/>
        <v>KLKSAVLTLKVILGFFLPFVVMACCYTIIIHTLIQA</v>
      </c>
      <c r="O62" s="4" t="str">
        <f t="shared" si="10"/>
        <v>KHKALKVTITVLTVFVLSQFPYNCILLVQTIDAYAM</v>
      </c>
      <c r="P62" s="4" t="str">
        <f t="shared" si="11"/>
        <v>NCAVSTNIDICFQVTQTIAFFHSCLNPVLYVFV</v>
      </c>
      <c r="Q62" s="4" t="str">
        <f t="shared" si="12"/>
        <v>GERFRRDLVKTLKNLGCISQA</v>
      </c>
      <c r="R62" s="5">
        <f>VLOOKUP($A62,'SegEnds_NonXtal_Prot#'!$A:$AL,3,FALSE)</f>
        <v>43</v>
      </c>
      <c r="S62" s="5">
        <f>VLOOKUP($A62,'SegEnds_NonXtal_Prot#'!$A:$AL,6,FALSE)</f>
        <v>77</v>
      </c>
      <c r="T62" s="5">
        <f>VLOOKUP($A62,'SegEnds_NonXtal_Prot#'!$A:$AL,9,FALSE)</f>
        <v>81</v>
      </c>
      <c r="U62" s="5">
        <f>VLOOKUP($A62,'SegEnds_NonXtal_Prot#'!$A:$AL,12,FALSE)</f>
        <v>111</v>
      </c>
      <c r="V62" s="5">
        <f>VLOOKUP($A62,'SegEnds_NonXtal_Prot#'!$A:$AL,15,FALSE)</f>
        <v>115</v>
      </c>
      <c r="W62" s="5">
        <f>VLOOKUP($A62,'SegEnds_NonXtal_Prot#'!$A:$AL,18,FALSE)</f>
        <v>151</v>
      </c>
      <c r="X62" s="5">
        <f>VLOOKUP($A62,'SegEnds_NonXtal_Prot#'!$A:$AL,21,FALSE)</f>
        <v>158</v>
      </c>
      <c r="Y62" s="5">
        <f>VLOOKUP($A62,'SegEnds_NonXtal_Prot#'!$A:$AL,24,FALSE)</f>
        <v>198</v>
      </c>
      <c r="Z62" s="5">
        <f>VLOOKUP($A62,'SegEnds_NonXtal_Prot#'!$A:$AL,27,FALSE)</f>
        <v>209</v>
      </c>
      <c r="AA62" s="5">
        <f>VLOOKUP($A62,'SegEnds_NonXtal_Prot#'!$A:$AL,30,FALSE)</f>
        <v>249</v>
      </c>
      <c r="AB62" s="5">
        <f>VLOOKUP($A62,'SegEnds_NonXtal_Prot#'!$A:$AL,33,FALSE)</f>
        <v>288</v>
      </c>
      <c r="AC62" s="5">
        <f>VLOOKUP($A62,'SegEnds_NonXtal_Prot#'!$A:$AL,36,FALSE)</f>
        <v>321</v>
      </c>
      <c r="AD62" s="5">
        <f>VLOOKUP($A62,'SegEnds_NonXtal_Prot#'!$A:$AL,5,FALSE)</f>
        <v>76</v>
      </c>
      <c r="AE62" s="5">
        <f>VLOOKUP($A62,'SegEnds_NonXtal_Prot#'!$A:$AL,8,FALSE)</f>
        <v>80</v>
      </c>
      <c r="AF62" s="5">
        <f>VLOOKUP($A62,'SegEnds_NonXtal_Prot#'!$A:$AL,11,FALSE)</f>
        <v>110</v>
      </c>
      <c r="AG62" s="5">
        <f>VLOOKUP($A62,'SegEnds_NonXtal_Prot#'!$A:$AL,14,FALSE)</f>
        <v>114</v>
      </c>
      <c r="AH62" s="5">
        <f>VLOOKUP($A62,'SegEnds_NonXtal_Prot#'!$A:$AL,17,FALSE)</f>
        <v>150</v>
      </c>
      <c r="AI62" s="5">
        <f>VLOOKUP($A62,'SegEnds_NonXtal_Prot#'!$A:$AL,20,FALSE)</f>
        <v>157</v>
      </c>
      <c r="AJ62" s="5">
        <f>VLOOKUP($A62,'SegEnds_NonXtal_Prot#'!$A:$AL,23,FALSE)</f>
        <v>187</v>
      </c>
      <c r="AK62" s="5">
        <f>VLOOKUP($A62,'SegEnds_NonXtal_Prot#'!$A:$AL,26,FALSE)</f>
        <v>200</v>
      </c>
      <c r="AL62" s="5">
        <f>VLOOKUP($A62,'SegEnds_NonXtal_Prot#'!$A:$AL,29,FALSE)</f>
        <v>244</v>
      </c>
      <c r="AM62" s="5">
        <f>VLOOKUP($A62,'SegEnds_NonXtal_Prot#'!$A:$AL,32,FALSE)</f>
        <v>284</v>
      </c>
      <c r="AN62" s="5">
        <f>VLOOKUP($A62,'SegEnds_NonXtal_Prot#'!$A:$AL,35,FALSE)</f>
        <v>320</v>
      </c>
      <c r="AO62" s="5">
        <f>VLOOKUP($A62,'SegEnds_NonXtal_Prot#'!$A:$AL,38,FALSE)</f>
        <v>341</v>
      </c>
      <c r="AP62" s="5">
        <f t="shared" si="13"/>
        <v>33</v>
      </c>
      <c r="AQ62" s="4">
        <f t="shared" si="14"/>
        <v>3</v>
      </c>
      <c r="AR62" s="4">
        <f t="shared" si="15"/>
        <v>29</v>
      </c>
      <c r="AS62" s="4">
        <f t="shared" si="16"/>
        <v>3</v>
      </c>
      <c r="AT62" s="4">
        <f t="shared" si="17"/>
        <v>35</v>
      </c>
      <c r="AU62" s="4">
        <f t="shared" si="18"/>
        <v>6</v>
      </c>
      <c r="AV62" s="4">
        <f t="shared" si="19"/>
        <v>29</v>
      </c>
      <c r="AW62" s="4">
        <f t="shared" si="20"/>
        <v>2</v>
      </c>
      <c r="AX62" s="4">
        <f t="shared" si="21"/>
        <v>35</v>
      </c>
      <c r="AY62" s="4">
        <f t="shared" si="22"/>
        <v>35</v>
      </c>
      <c r="AZ62" s="4">
        <f t="shared" si="23"/>
        <v>32</v>
      </c>
      <c r="BA62" s="4">
        <f t="shared" si="24"/>
        <v>20</v>
      </c>
    </row>
    <row r="63" spans="1:53" x14ac:dyDescent="0.2">
      <c r="A63" s="1" t="str">
        <f>'SegEnds_NonXtal_Prot#'!A30</f>
        <v>gnrhr_human</v>
      </c>
      <c r="B63" s="1" t="str">
        <f t="shared" si="0"/>
        <v>KIRVTVTFFLFLLSATFNASFLLKLQKWRMKLLLKHLTLANLLETLIVMPLDGMWNIGELLCKVLSYLKLFSMYAPAFMMVVISLDRSLAITRNSKVGQSMVGLAWILSSVFAGPQLYIFSQWWHQAFYNFFTFSCLFIIPLFIMLICNAKIIFTLTRVLHQDPHQSKNNIPRARLKTLKMTVAFATSFTVCWTPYYVLGIWYWFDNRLSDPVNHFFFLFAFLNPCFDPLIYGYF</v>
      </c>
      <c r="C63" s="29" t="str">
        <f>IF(ISERROR(MATCH(A63,'SegEnds_Xtal_Prot#'!B:B, 0)), "NoXtal", "Xtal")</f>
        <v>NoXtal</v>
      </c>
      <c r="D63" s="4" t="str">
        <f>VLOOKUP(A63,Classification!A:D,2,FALSE)</f>
        <v>A</v>
      </c>
      <c r="E63" s="5" t="str">
        <f>VLOOKUP(A63,Seqs!A:B,2,FALSE)</f>
        <v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v>
      </c>
      <c r="F63" s="5" t="str">
        <f t="shared" si="1"/>
        <v>KIRVTVTFFLFLLSATFNASFLLKLQKW</v>
      </c>
      <c r="G63" s="4" t="str">
        <f t="shared" si="2"/>
        <v>KKLS</v>
      </c>
      <c r="H63" s="4" t="str">
        <f t="shared" si="3"/>
        <v>RMKLLLKHLTLANLLETLIVMPLDGMWNI</v>
      </c>
      <c r="I63" s="4" t="str">
        <f t="shared" si="4"/>
        <v>QWYA</v>
      </c>
      <c r="J63" s="4" t="str">
        <f t="shared" si="5"/>
        <v>GELLCKVLSYLKLFSMYAPAFMMVVISLDRSLAITR</v>
      </c>
      <c r="K63" s="4" t="str">
        <f t="shared" si="6"/>
        <v>PLAL</v>
      </c>
      <c r="L63" s="4" t="str">
        <f t="shared" si="7"/>
        <v>NSKVGQSMVGLAWILSSVFAGPQLYIF</v>
      </c>
      <c r="M63" s="4" t="str">
        <f t="shared" si="8"/>
        <v>CSF</v>
      </c>
      <c r="N63" s="4" t="str">
        <f t="shared" si="9"/>
        <v>SQWWHQAFYNFFTFSCLFIIPLFIMLICNAKIIFTLTRVLHQDPH</v>
      </c>
      <c r="O63" s="4" t="str">
        <f t="shared" si="10"/>
        <v>QSKNNIPRARLKTLKMTVAFATSFTVCWTPYYVLGIWYWFD</v>
      </c>
      <c r="P63" s="4" t="str">
        <f t="shared" si="11"/>
        <v>NRLSDPVNHFFFLFAFLNPCFDPLIYGYF</v>
      </c>
      <c r="Q63" s="4" t="str">
        <f t="shared" si="12"/>
        <v/>
      </c>
      <c r="R63" s="5">
        <f>VLOOKUP($A63,'SegEnds_NonXtal_Prot#'!$A:$AL,3,FALSE)</f>
        <v>36</v>
      </c>
      <c r="S63" s="5">
        <f>VLOOKUP($A63,'SegEnds_NonXtal_Prot#'!$A:$AL,6,FALSE)</f>
        <v>71</v>
      </c>
      <c r="T63" s="5">
        <f>VLOOKUP($A63,'SegEnds_NonXtal_Prot#'!$A:$AL,9,FALSE)</f>
        <v>75</v>
      </c>
      <c r="U63" s="5">
        <f>VLOOKUP($A63,'SegEnds_NonXtal_Prot#'!$A:$AL,12,FALSE)</f>
        <v>106</v>
      </c>
      <c r="V63" s="5">
        <f>VLOOKUP($A63,'SegEnds_NonXtal_Prot#'!$A:$AL,15,FALSE)</f>
        <v>110</v>
      </c>
      <c r="W63" s="5">
        <f>VLOOKUP($A63,'SegEnds_NonXtal_Prot#'!$A:$AL,18,FALSE)</f>
        <v>146</v>
      </c>
      <c r="X63" s="5">
        <f>VLOOKUP($A63,'SegEnds_NonXtal_Prot#'!$A:$AL,21,FALSE)</f>
        <v>152</v>
      </c>
      <c r="Y63" s="5">
        <f>VLOOKUP($A63,'SegEnds_NonXtal_Prot#'!$A:$AL,24,FALSE)</f>
        <v>200</v>
      </c>
      <c r="Z63" s="5">
        <f>VLOOKUP($A63,'SegEnds_NonXtal_Prot#'!$A:$AL,27,FALSE)</f>
        <v>203</v>
      </c>
      <c r="AA63" s="5">
        <f>VLOOKUP($A63,'SegEnds_NonXtal_Prot#'!$A:$AL,30,FALSE)</f>
        <v>253</v>
      </c>
      <c r="AB63" s="5">
        <f>VLOOKUP($A63,'SegEnds_NonXtal_Prot#'!$A:$AL,33,FALSE)</f>
        <v>298</v>
      </c>
      <c r="AC63" s="5" t="str">
        <f>VLOOKUP($A63,'SegEnds_NonXtal_Prot#'!$A:$AL,36,FALSE)</f>
        <v>-</v>
      </c>
      <c r="AD63" s="5">
        <f>VLOOKUP($A63,'SegEnds_NonXtal_Prot#'!$A:$AL,5,FALSE)</f>
        <v>63</v>
      </c>
      <c r="AE63" s="5">
        <f>VLOOKUP($A63,'SegEnds_NonXtal_Prot#'!$A:$AL,8,FALSE)</f>
        <v>74</v>
      </c>
      <c r="AF63" s="5">
        <f>VLOOKUP($A63,'SegEnds_NonXtal_Prot#'!$A:$AL,11,FALSE)</f>
        <v>103</v>
      </c>
      <c r="AG63" s="5">
        <f>VLOOKUP($A63,'SegEnds_NonXtal_Prot#'!$A:$AL,14,FALSE)</f>
        <v>109</v>
      </c>
      <c r="AH63" s="5">
        <f>VLOOKUP($A63,'SegEnds_NonXtal_Prot#'!$A:$AL,17,FALSE)</f>
        <v>145</v>
      </c>
      <c r="AI63" s="5">
        <f>VLOOKUP($A63,'SegEnds_NonXtal_Prot#'!$A:$AL,20,FALSE)</f>
        <v>149</v>
      </c>
      <c r="AJ63" s="5">
        <f>VLOOKUP($A63,'SegEnds_NonXtal_Prot#'!$A:$AL,23,FALSE)</f>
        <v>178</v>
      </c>
      <c r="AK63" s="5">
        <f>VLOOKUP($A63,'SegEnds_NonXtal_Prot#'!$A:$AL,26,FALSE)</f>
        <v>202</v>
      </c>
      <c r="AL63" s="5">
        <f>VLOOKUP($A63,'SegEnds_NonXtal_Prot#'!$A:$AL,29,FALSE)</f>
        <v>247</v>
      </c>
      <c r="AM63" s="5">
        <f>VLOOKUP($A63,'SegEnds_NonXtal_Prot#'!$A:$AL,32,FALSE)</f>
        <v>293</v>
      </c>
      <c r="AN63" s="5">
        <f>VLOOKUP($A63,'SegEnds_NonXtal_Prot#'!$A:$AL,35,FALSE)</f>
        <v>326</v>
      </c>
      <c r="AO63" s="5" t="str">
        <f>VLOOKUP($A63,'SegEnds_NonXtal_Prot#'!$A:$AL,38,FALSE)</f>
        <v>-</v>
      </c>
      <c r="AP63" s="5">
        <f t="shared" si="13"/>
        <v>27</v>
      </c>
      <c r="AQ63" s="4">
        <f t="shared" si="14"/>
        <v>3</v>
      </c>
      <c r="AR63" s="4">
        <f t="shared" si="15"/>
        <v>28</v>
      </c>
      <c r="AS63" s="4">
        <f t="shared" si="16"/>
        <v>3</v>
      </c>
      <c r="AT63" s="4">
        <f t="shared" si="17"/>
        <v>35</v>
      </c>
      <c r="AU63" s="4">
        <f t="shared" si="18"/>
        <v>3</v>
      </c>
      <c r="AV63" s="4">
        <f t="shared" si="19"/>
        <v>26</v>
      </c>
      <c r="AW63" s="4">
        <f t="shared" si="20"/>
        <v>2</v>
      </c>
      <c r="AX63" s="4">
        <f t="shared" si="21"/>
        <v>44</v>
      </c>
      <c r="AY63" s="4">
        <f t="shared" si="22"/>
        <v>40</v>
      </c>
      <c r="AZ63" s="4">
        <f t="shared" si="23"/>
        <v>28</v>
      </c>
      <c r="BA63" s="4" t="str">
        <f t="shared" si="24"/>
        <v>-</v>
      </c>
    </row>
    <row r="64" spans="1:53" x14ac:dyDescent="0.2">
      <c r="A64" s="1" t="str">
        <f>'SegEnds_NonXtal_Prot#'!A31</f>
        <v>gpr19_human</v>
      </c>
      <c r="B64" s="1" t="str">
        <f t="shared" si="0"/>
        <v>EVATASIFFGILWLFSIFGNSLVCLVIHRSSTTNYFVVSMACADLLISVASTPFVLLQFTTGSATCKVVRYFQYLTPGVQIYVLLSICIDRFYTIVYSREKAKKMIAASWVFDAGFVTPVLFFYSWEGTAYTVIHFLVGFVIPSVLIILFYQKVIKYIWRIGTDGRTMNIVPRTKVKTIKMFLILNLLFLLSWLPFHVAQLWHPHESSLVFTAITWISFSSSASKPTLYSIYNANFRRGMKETF</v>
      </c>
      <c r="C64" s="29" t="str">
        <f>IF(ISERROR(MATCH(A64,'SegEnds_Xtal_Prot#'!B:B, 0)), "NoXtal", "Xtal")</f>
        <v>NoXtal</v>
      </c>
      <c r="D64" s="4" t="str">
        <f>VLOOKUP(A64,Classification!A:D,2,FALSE)</f>
        <v>A</v>
      </c>
      <c r="E64" s="5" t="str">
        <f>VLOOKUP(A64,Seqs!A:B,2,FALSE)</f>
        <v>MVFAHRMDNSKPHLIIPTLLVPLQNRSCTETATPLPSQYLMELSEEHSWMSNQTDLHYVLKPGEVATASIFFGILWLFSIFGNSLVCLVIHRSRRTQSTTNYFVVSMACADLLISVASTPFVLLQFTTGRWTLGSATCKVVRYFQYLTPGVQIYVLLSICIDRFYTIVYPLSFKVSREKAKKMIAASWVFDAGFVTPVLFFYGSNWDSHCNYFLPSSWEGTAYTVIHFLVGFVIPSVLIILFYQKVIKYIWRIGTDGRTVRRTMNIVPRTKVKTIKMFLILNLLFLLSWLPFHVAQLWHPHEQDYKKSSLVFTAITWISFSSSASKPTLYSIYNANFRRGMKETFCMSSMKCYRSNAYTITTSSRMAKKNYVGISEIPSMAKTITKDSIYDSFDREAKEKKLAWPINSNPPNTFV</v>
      </c>
      <c r="F64" s="5" t="str">
        <f t="shared" si="1"/>
        <v>EVATASIFFGILWLFSIFGNSLVCLVIHRS</v>
      </c>
      <c r="G64" s="4" t="str">
        <f t="shared" si="2"/>
        <v>RRTQ</v>
      </c>
      <c r="H64" s="4" t="str">
        <f t="shared" si="3"/>
        <v>STTNYFVVSMACADLLISVASTPFVLLQFTT</v>
      </c>
      <c r="I64" s="4" t="str">
        <f t="shared" si="4"/>
        <v>RWTL</v>
      </c>
      <c r="J64" s="4" t="str">
        <f t="shared" si="5"/>
        <v>GSATCKVVRYFQYLTPGVQIYVLLSICIDRFYTIVY</v>
      </c>
      <c r="K64" s="4" t="str">
        <f t="shared" si="6"/>
        <v>PLSF</v>
      </c>
      <c r="L64" s="4" t="str">
        <f t="shared" si="7"/>
        <v>SREKAKKMIAASWVFDAGFVTPVLFFY</v>
      </c>
      <c r="M64" s="4" t="str">
        <f t="shared" si="8"/>
        <v>CNY</v>
      </c>
      <c r="N64" s="4" t="str">
        <f t="shared" si="9"/>
        <v>SWEGTAYTVIHFLVGFVIPSVLIILFYQKVIKYIWRIGTDGR</v>
      </c>
      <c r="O64" s="4" t="str">
        <f t="shared" si="10"/>
        <v>TMNIVPRTKVKTIKMFLILNLLFLLSWLPFHVAQLWHPHE</v>
      </c>
      <c r="P64" s="4" t="str">
        <f t="shared" si="11"/>
        <v>SSLVFTAITWISFSSSASKPTLYSIY</v>
      </c>
      <c r="Q64" s="4" t="str">
        <f t="shared" si="12"/>
        <v>NANFRRGMKETF</v>
      </c>
      <c r="R64" s="5">
        <f>VLOOKUP($A64,'SegEnds_NonXtal_Prot#'!$A:$AL,3,FALSE)</f>
        <v>64</v>
      </c>
      <c r="S64" s="5">
        <f>VLOOKUP($A64,'SegEnds_NonXtal_Prot#'!$A:$AL,6,FALSE)</f>
        <v>94</v>
      </c>
      <c r="T64" s="5">
        <f>VLOOKUP($A64,'SegEnds_NonXtal_Prot#'!$A:$AL,9,FALSE)</f>
        <v>98</v>
      </c>
      <c r="U64" s="5">
        <f>VLOOKUP($A64,'SegEnds_NonXtal_Prot#'!$A:$AL,12,FALSE)</f>
        <v>130</v>
      </c>
      <c r="V64" s="5">
        <f>VLOOKUP($A64,'SegEnds_NonXtal_Prot#'!$A:$AL,15,FALSE)</f>
        <v>134</v>
      </c>
      <c r="W64" s="5">
        <f>VLOOKUP($A64,'SegEnds_NonXtal_Prot#'!$A:$AL,18,FALSE)</f>
        <v>170</v>
      </c>
      <c r="X64" s="5">
        <f>VLOOKUP($A64,'SegEnds_NonXtal_Prot#'!$A:$AL,21,FALSE)</f>
        <v>176</v>
      </c>
      <c r="Y64" s="5">
        <f>VLOOKUP($A64,'SegEnds_NonXtal_Prot#'!$A:$AL,24,FALSE)</f>
        <v>210</v>
      </c>
      <c r="Z64" s="5">
        <f>VLOOKUP($A64,'SegEnds_NonXtal_Prot#'!$A:$AL,27,FALSE)</f>
        <v>217</v>
      </c>
      <c r="AA64" s="5">
        <f>VLOOKUP($A64,'SegEnds_NonXtal_Prot#'!$A:$AL,30,FALSE)</f>
        <v>263</v>
      </c>
      <c r="AB64" s="5">
        <f>VLOOKUP($A64,'SegEnds_NonXtal_Prot#'!$A:$AL,33,FALSE)</f>
        <v>308</v>
      </c>
      <c r="AC64" s="5">
        <f>VLOOKUP($A64,'SegEnds_NonXtal_Prot#'!$A:$AL,36,FALSE)</f>
        <v>334</v>
      </c>
      <c r="AD64" s="5">
        <f>VLOOKUP($A64,'SegEnds_NonXtal_Prot#'!$A:$AL,5,FALSE)</f>
        <v>93</v>
      </c>
      <c r="AE64" s="5">
        <f>VLOOKUP($A64,'SegEnds_NonXtal_Prot#'!$A:$AL,8,FALSE)</f>
        <v>97</v>
      </c>
      <c r="AF64" s="5">
        <f>VLOOKUP($A64,'SegEnds_NonXtal_Prot#'!$A:$AL,11,FALSE)</f>
        <v>128</v>
      </c>
      <c r="AG64" s="5">
        <f>VLOOKUP($A64,'SegEnds_NonXtal_Prot#'!$A:$AL,14,FALSE)</f>
        <v>133</v>
      </c>
      <c r="AH64" s="5">
        <f>VLOOKUP($A64,'SegEnds_NonXtal_Prot#'!$A:$AL,17,FALSE)</f>
        <v>169</v>
      </c>
      <c r="AI64" s="5">
        <f>VLOOKUP($A64,'SegEnds_NonXtal_Prot#'!$A:$AL,20,FALSE)</f>
        <v>173</v>
      </c>
      <c r="AJ64" s="5">
        <f>VLOOKUP($A64,'SegEnds_NonXtal_Prot#'!$A:$AL,23,FALSE)</f>
        <v>202</v>
      </c>
      <c r="AK64" s="5">
        <f>VLOOKUP($A64,'SegEnds_NonXtal_Prot#'!$A:$AL,26,FALSE)</f>
        <v>212</v>
      </c>
      <c r="AL64" s="5">
        <f>VLOOKUP($A64,'SegEnds_NonXtal_Prot#'!$A:$AL,29,FALSE)</f>
        <v>258</v>
      </c>
      <c r="AM64" s="5">
        <f>VLOOKUP($A64,'SegEnds_NonXtal_Prot#'!$A:$AL,32,FALSE)</f>
        <v>302</v>
      </c>
      <c r="AN64" s="5">
        <f>VLOOKUP($A64,'SegEnds_NonXtal_Prot#'!$A:$AL,35,FALSE)</f>
        <v>333</v>
      </c>
      <c r="AO64" s="5">
        <f>VLOOKUP($A64,'SegEnds_NonXtal_Prot#'!$A:$AL,38,FALSE)</f>
        <v>345</v>
      </c>
      <c r="AP64" s="5">
        <f t="shared" si="13"/>
        <v>29</v>
      </c>
      <c r="AQ64" s="4">
        <f t="shared" si="14"/>
        <v>3</v>
      </c>
      <c r="AR64" s="4">
        <f t="shared" si="15"/>
        <v>30</v>
      </c>
      <c r="AS64" s="4">
        <f t="shared" si="16"/>
        <v>3</v>
      </c>
      <c r="AT64" s="4">
        <f t="shared" si="17"/>
        <v>35</v>
      </c>
      <c r="AU64" s="4">
        <f t="shared" si="18"/>
        <v>3</v>
      </c>
      <c r="AV64" s="4">
        <f t="shared" si="19"/>
        <v>26</v>
      </c>
      <c r="AW64" s="4">
        <f t="shared" si="20"/>
        <v>2</v>
      </c>
      <c r="AX64" s="4">
        <f t="shared" si="21"/>
        <v>41</v>
      </c>
      <c r="AY64" s="4">
        <f t="shared" si="22"/>
        <v>39</v>
      </c>
      <c r="AZ64" s="4">
        <f t="shared" si="23"/>
        <v>25</v>
      </c>
      <c r="BA64" s="4">
        <f t="shared" si="24"/>
        <v>11</v>
      </c>
    </row>
    <row r="65" spans="1:53" x14ac:dyDescent="0.2">
      <c r="A65" s="1" t="str">
        <f>'SegEnds_NonXtal_Prot#'!A32</f>
        <v>gpr22_human</v>
      </c>
      <c r="B65" s="1" t="str">
        <f t="shared" si="0"/>
        <v>SLTGFLMLEIVLGLGSNLTVLVLYCMKNSVSNIITMNLHVLDVIICVGCIPLTIVILLLTALICCFHEACVSFASVSTAINVFAITLDRYDISVKTMGRAVMLMISIWIFSFFSFLIPFIEGMYYHLLVQIPIFFFTVVVMLITYTKILQALNIRIGTRFSRERRERQKRVFRMSLLIISTFLLCWTPISVLNTTILCLLVKLRLCFLVMAYGTTIFHPLLYAFTRQKFQKVLKSKMK</v>
      </c>
      <c r="C65" s="29" t="str">
        <f>IF(ISERROR(MATCH(A65,'SegEnds_Xtal_Prot#'!B:B, 0)), "NoXtal", "Xtal")</f>
        <v>NoXtal</v>
      </c>
      <c r="D65" s="4" t="str">
        <f>VLOOKUP(A65,Classification!A:D,2,FALSE)</f>
        <v>A</v>
      </c>
      <c r="E65" s="5" t="str">
        <f>VLOOKUP(A65,Seqs!A:B,2,FALSE)</f>
        <v>MCFSPILEINMQSESNITVRDDIDDINTNMYQPLSYPLSFQVSLTGFLMLEIVLGLGSNLTVLVLYCMKSNLINSVSNIITMNLHVLDVIICVGCIPLTIVILLLSLESNTALICCFHEACVSFASVSTAINVFAITLDRYDISVKPANRILTMGRAVMLMISIWIFSFFSFLIPFIEVNFFSLQSGNTWENKTLLCVSTNEYYTELGMYYHLLVQIPIFFFTVVVMLITYTKILQALNIRIGTRFSTGQKKKARKKKTISLTTQHEATDMSQSSGGRNVVFGVRTSVSVIIALRRAVKRHRERRERQKRVFRMSLLIISTFLLCWTPISVLNTTILCLGPSDLLVKLRLCFLVMAYGTTIFHPLLYAFTRQKFQKVLKSKMKKRVVSIVEADPLPNNAVIHNSWIDPKRNKKITFEDSEIREKCLVPQVVTD</v>
      </c>
      <c r="F65" s="5" t="str">
        <f t="shared" si="1"/>
        <v>SLTGFLMLEIVLGLGSNLTVLVLYCMK</v>
      </c>
      <c r="G65" s="4" t="str">
        <f t="shared" si="2"/>
        <v>SNLI</v>
      </c>
      <c r="H65" s="4" t="str">
        <f t="shared" si="3"/>
        <v>NSVSNIITMNLHVLDVIICVGCIPLTIVILLL</v>
      </c>
      <c r="I65" s="4" t="str">
        <f t="shared" si="4"/>
        <v/>
      </c>
      <c r="J65" s="4" t="str">
        <f t="shared" si="5"/>
        <v>TALICCFHEACVSFASVSTAINVFAITLDRYDISVK</v>
      </c>
      <c r="K65" s="4" t="str">
        <f t="shared" si="6"/>
        <v>PANR</v>
      </c>
      <c r="L65" s="4" t="str">
        <f t="shared" si="7"/>
        <v>TMGRAVMLMISIWIFSFFSFLIPFIE</v>
      </c>
      <c r="M65" s="4" t="str">
        <f t="shared" si="8"/>
        <v>CVS</v>
      </c>
      <c r="N65" s="4" t="str">
        <f t="shared" si="9"/>
        <v>GMYYHLLVQIPIFFFTVVVMLITYTKILQALNIRIGTRFS</v>
      </c>
      <c r="O65" s="4" t="str">
        <f t="shared" si="10"/>
        <v>RERRERQKRVFRMSLLIISTFLLCWTPISVLNTTILCL</v>
      </c>
      <c r="P65" s="4" t="str">
        <f t="shared" si="11"/>
        <v>LVKLRLCFLVMAYGTTIFHPLLYAFT</v>
      </c>
      <c r="Q65" s="4" t="str">
        <f t="shared" si="12"/>
        <v>RQKFQKVLKSKMK</v>
      </c>
      <c r="R65" s="5">
        <f>VLOOKUP($A65,'SegEnds_NonXtal_Prot#'!$A:$AL,3,FALSE)</f>
        <v>43</v>
      </c>
      <c r="S65" s="5">
        <f>VLOOKUP($A65,'SegEnds_NonXtal_Prot#'!$A:$AL,6,FALSE)</f>
        <v>70</v>
      </c>
      <c r="T65" s="5">
        <f>VLOOKUP($A65,'SegEnds_NonXtal_Prot#'!$A:$AL,9,FALSE)</f>
        <v>74</v>
      </c>
      <c r="U65" s="5" t="str">
        <f>VLOOKUP($A65,'SegEnds_NonXtal_Prot#'!$A:$AL,12,FALSE)</f>
        <v>-</v>
      </c>
      <c r="V65" s="5">
        <f>VLOOKUP($A65,'SegEnds_NonXtal_Prot#'!$A:$AL,15,FALSE)</f>
        <v>111</v>
      </c>
      <c r="W65" s="5">
        <f>VLOOKUP($A65,'SegEnds_NonXtal_Prot#'!$A:$AL,18,FALSE)</f>
        <v>147</v>
      </c>
      <c r="X65" s="5">
        <f>VLOOKUP($A65,'SegEnds_NonXtal_Prot#'!$A:$AL,21,FALSE)</f>
        <v>153</v>
      </c>
      <c r="Y65" s="5">
        <f>VLOOKUP($A65,'SegEnds_NonXtal_Prot#'!$A:$AL,24,FALSE)</f>
        <v>197</v>
      </c>
      <c r="Z65" s="5">
        <f>VLOOKUP($A65,'SegEnds_NonXtal_Prot#'!$A:$AL,27,FALSE)</f>
        <v>208</v>
      </c>
      <c r="AA65" s="5">
        <f>VLOOKUP($A65,'SegEnds_NonXtal_Prot#'!$A:$AL,30,FALSE)</f>
        <v>302</v>
      </c>
      <c r="AB65" s="5">
        <f>VLOOKUP($A65,'SegEnds_NonXtal_Prot#'!$A:$AL,33,FALSE)</f>
        <v>345</v>
      </c>
      <c r="AC65" s="5">
        <f>VLOOKUP($A65,'SegEnds_NonXtal_Prot#'!$A:$AL,36,FALSE)</f>
        <v>371</v>
      </c>
      <c r="AD65" s="5">
        <f>VLOOKUP($A65,'SegEnds_NonXtal_Prot#'!$A:$AL,5,FALSE)</f>
        <v>69</v>
      </c>
      <c r="AE65" s="5">
        <f>VLOOKUP($A65,'SegEnds_NonXtal_Prot#'!$A:$AL,8,FALSE)</f>
        <v>73</v>
      </c>
      <c r="AF65" s="5">
        <f>VLOOKUP($A65,'SegEnds_NonXtal_Prot#'!$A:$AL,11,FALSE)</f>
        <v>105</v>
      </c>
      <c r="AG65" s="5" t="str">
        <f>VLOOKUP($A65,'SegEnds_NonXtal_Prot#'!$A:$AL,14,FALSE)</f>
        <v>-</v>
      </c>
      <c r="AH65" s="5">
        <f>VLOOKUP($A65,'SegEnds_NonXtal_Prot#'!$A:$AL,17,FALSE)</f>
        <v>146</v>
      </c>
      <c r="AI65" s="5">
        <f>VLOOKUP($A65,'SegEnds_NonXtal_Prot#'!$A:$AL,20,FALSE)</f>
        <v>150</v>
      </c>
      <c r="AJ65" s="5">
        <f>VLOOKUP($A65,'SegEnds_NonXtal_Prot#'!$A:$AL,23,FALSE)</f>
        <v>178</v>
      </c>
      <c r="AK65" s="5">
        <f>VLOOKUP($A65,'SegEnds_NonXtal_Prot#'!$A:$AL,26,FALSE)</f>
        <v>199</v>
      </c>
      <c r="AL65" s="5">
        <f>VLOOKUP($A65,'SegEnds_NonXtal_Prot#'!$A:$AL,29,FALSE)</f>
        <v>247</v>
      </c>
      <c r="AM65" s="5">
        <f>VLOOKUP($A65,'SegEnds_NonXtal_Prot#'!$A:$AL,32,FALSE)</f>
        <v>339</v>
      </c>
      <c r="AN65" s="5">
        <f>VLOOKUP($A65,'SegEnds_NonXtal_Prot#'!$A:$AL,35,FALSE)</f>
        <v>370</v>
      </c>
      <c r="AO65" s="5">
        <f>VLOOKUP($A65,'SegEnds_NonXtal_Prot#'!$A:$AL,38,FALSE)</f>
        <v>383</v>
      </c>
      <c r="AP65" s="5">
        <f t="shared" si="13"/>
        <v>26</v>
      </c>
      <c r="AQ65" s="4">
        <f t="shared" si="14"/>
        <v>3</v>
      </c>
      <c r="AR65" s="4">
        <f t="shared" si="15"/>
        <v>31</v>
      </c>
      <c r="AS65" s="4" t="str">
        <f t="shared" si="16"/>
        <v>-</v>
      </c>
      <c r="AT65" s="4">
        <f t="shared" si="17"/>
        <v>35</v>
      </c>
      <c r="AU65" s="4">
        <f t="shared" si="18"/>
        <v>3</v>
      </c>
      <c r="AV65" s="4">
        <f t="shared" si="19"/>
        <v>25</v>
      </c>
      <c r="AW65" s="4">
        <f t="shared" si="20"/>
        <v>2</v>
      </c>
      <c r="AX65" s="4">
        <f t="shared" si="21"/>
        <v>39</v>
      </c>
      <c r="AY65" s="4">
        <f t="shared" si="22"/>
        <v>37</v>
      </c>
      <c r="AZ65" s="4">
        <f t="shared" si="23"/>
        <v>25</v>
      </c>
      <c r="BA65" s="4">
        <f t="shared" si="24"/>
        <v>12</v>
      </c>
    </row>
    <row r="66" spans="1:53" x14ac:dyDescent="0.2">
      <c r="A66" s="1" t="str">
        <f>'SegEnds_NonXtal_Prot#'!A33</f>
        <v>npsr1_human</v>
      </c>
      <c r="B66" s="1" t="str">
        <f t="shared" ref="B66:B129" si="25">F66&amp;H66&amp;J66&amp;L66&amp;N66&amp;O66&amp;P66&amp;Q66</f>
        <v>EQLITLWVLFVFTIVGNSVVLFSTWRRSRMTFFVTQLAITDSFTGLVNILTDINWRFTPDLVCRVVRYLQVVLLYASTYVLVSLSIDRYHAIVYGEKQARVLIVIAWSLSFLFSIPTLIWTPYMTIVAFLVYFIPLTIISIMYGIVIRTIWIKSKTYETVIGLISKAKIKAIKYSIIIILAFICCWSPYFLFDILDNFNTQERFYASVIIQNLPALNSAINPLIYCVFSSSISFPCREQRS</v>
      </c>
      <c r="C66" s="29" t="str">
        <f>IF(ISERROR(MATCH(A66,'SegEnds_Xtal_Prot#'!B:B, 0)), "NoXtal", "Xtal")</f>
        <v>NoXtal</v>
      </c>
      <c r="D66" s="4" t="str">
        <f>VLOOKUP(A66,Classification!A:D,2,FALSE)</f>
        <v>A</v>
      </c>
      <c r="E66" s="5" t="str">
        <f>VLOOKUP(A66,Seqs!A:B,2,FALSE)</f>
        <v>MPANFTEGSFDSSGTGQTLDSSPVACTETVTFTEVVEGKEWGSFYYSFKTEQLITLWVLFVFTIVGNSVVLFSTWRRKKKSRMTFFVTQLAITDSFTGLVNILTDINWRFTGDFTAPDLVCRVVRYLQVVLLYASTYVLVSLSIDRYHAIVYPMKFLQGEKQARVLIVIAWSLSFLFSIPTLIIFGKRTLSNGEVQCWALWPDDSYWTPYMTIVAFLVYFIPLTIISIMYGIVIRTIWIKSKTYETVISNCSDGKLCSSYNRGLISKAKIKAIKYSIIIILAFICCWSPYFLFDILDNFNLLPDTQERFYASVIIQNLPALNSAINPLIYCVFSSSISFPCREQRSQDSRMTFRERTERHEMQILSKPEFI</v>
      </c>
      <c r="F66" s="5" t="str">
        <f t="shared" ref="F66:F129" si="26">IFERROR(MID($E66,R66,(AP66+1)),"")</f>
        <v>EQLITLWVLFVFTIVGNSVVLFSTWRR</v>
      </c>
      <c r="G66" s="4" t="str">
        <f t="shared" ref="G66:G129" si="27">IFERROR(MID($E66,S66,(AQ66+1)),"")</f>
        <v/>
      </c>
      <c r="H66" s="4" t="str">
        <f t="shared" ref="H66:H129" si="28">IFERROR(MID($E66,T66,(AR66+1)),"")</f>
        <v>SRMTFFVTQLAITDSFTGLVNILTDINWRFT</v>
      </c>
      <c r="I66" s="4" t="str">
        <f t="shared" ref="I66:I129" si="29">IFERROR(MID($E66,U66,(AS66+1)),"")</f>
        <v>DFTA</v>
      </c>
      <c r="J66" s="4" t="str">
        <f t="shared" ref="J66:J129" si="30">IFERROR(MID($E66,V66,(AT66+1)),"")</f>
        <v>PDLVCRVVRYLQVVLLYASTYVLVSLSIDRYHAIVY</v>
      </c>
      <c r="K66" s="4" t="str">
        <f t="shared" ref="K66:K129" si="31">IFERROR(MID($E66,W66,(AU66+1)),"")</f>
        <v>PMKF</v>
      </c>
      <c r="L66" s="4" t="str">
        <f t="shared" ref="L66:L129" si="32">IFERROR(MID($E66,X66,(AV66+1)),"")</f>
        <v>GEKQARVLIVIAWSLSFLFSIPTLI</v>
      </c>
      <c r="M66" s="4" t="str">
        <f t="shared" ref="M66:M129" si="33">IFERROR(MID($E66,Y66,(AW66+1)),"")</f>
        <v>CWA</v>
      </c>
      <c r="N66" s="4" t="str">
        <f t="shared" ref="N66:N129" si="34">IFERROR(MID($E66,Z66,(AX66+1)),"")</f>
        <v>WTPYMTIVAFLVYFIPLTIISIMYGIVIRTIWIKSKTYETVI</v>
      </c>
      <c r="O66" s="4" t="str">
        <f t="shared" ref="O66:O129" si="35">IFERROR(MID($E66,AA66,(AY66+1)),"")</f>
        <v>GLISKAKIKAIKYSIIIILAFICCWSPYFLFDILDNFN</v>
      </c>
      <c r="P66" s="4" t="str">
        <f t="shared" ref="P66:P129" si="36">IFERROR(MID($E66,AB66,(AZ66+1)),"")</f>
        <v>TQERFYASVIIQNLPALNSAINPLIYCVF</v>
      </c>
      <c r="Q66" s="4" t="str">
        <f t="shared" ref="Q66:Q129" si="37">IFERROR(MID($E66,AC66,(BA66+1)),"")</f>
        <v>SSSISFPCREQRS</v>
      </c>
      <c r="R66" s="5">
        <f>VLOOKUP($A66,'SegEnds_NonXtal_Prot#'!$A:$AL,3,FALSE)</f>
        <v>51</v>
      </c>
      <c r="S66" s="5" t="str">
        <f>VLOOKUP($A66,'SegEnds_NonXtal_Prot#'!$A:$AL,6,FALSE)</f>
        <v>-</v>
      </c>
      <c r="T66" s="5">
        <f>VLOOKUP($A66,'SegEnds_NonXtal_Prot#'!$A:$AL,9,FALSE)</f>
        <v>81</v>
      </c>
      <c r="U66" s="5">
        <f>VLOOKUP($A66,'SegEnds_NonXtal_Prot#'!$A:$AL,12,FALSE)</f>
        <v>113</v>
      </c>
      <c r="V66" s="5">
        <f>VLOOKUP($A66,'SegEnds_NonXtal_Prot#'!$A:$AL,15,FALSE)</f>
        <v>117</v>
      </c>
      <c r="W66" s="5">
        <f>VLOOKUP($A66,'SegEnds_NonXtal_Prot#'!$A:$AL,18,FALSE)</f>
        <v>153</v>
      </c>
      <c r="X66" s="5">
        <f>VLOOKUP($A66,'SegEnds_NonXtal_Prot#'!$A:$AL,21,FALSE)</f>
        <v>159</v>
      </c>
      <c r="Y66" s="5">
        <f>VLOOKUP($A66,'SegEnds_NonXtal_Prot#'!$A:$AL,24,FALSE)</f>
        <v>197</v>
      </c>
      <c r="Z66" s="5">
        <f>VLOOKUP($A66,'SegEnds_NonXtal_Prot#'!$A:$AL,27,FALSE)</f>
        <v>207</v>
      </c>
      <c r="AA66" s="5">
        <f>VLOOKUP($A66,'SegEnds_NonXtal_Prot#'!$A:$AL,30,FALSE)</f>
        <v>263</v>
      </c>
      <c r="AB66" s="5">
        <f>VLOOKUP($A66,'SegEnds_NonXtal_Prot#'!$A:$AL,33,FALSE)</f>
        <v>305</v>
      </c>
      <c r="AC66" s="5">
        <f>VLOOKUP($A66,'SegEnds_NonXtal_Prot#'!$A:$AL,36,FALSE)</f>
        <v>334</v>
      </c>
      <c r="AD66" s="5">
        <f>VLOOKUP($A66,'SegEnds_NonXtal_Prot#'!$A:$AL,5,FALSE)</f>
        <v>77</v>
      </c>
      <c r="AE66" s="5" t="str">
        <f>VLOOKUP($A66,'SegEnds_NonXtal_Prot#'!$A:$AL,8,FALSE)</f>
        <v>-</v>
      </c>
      <c r="AF66" s="5">
        <f>VLOOKUP($A66,'SegEnds_NonXtal_Prot#'!$A:$AL,11,FALSE)</f>
        <v>111</v>
      </c>
      <c r="AG66" s="5">
        <f>VLOOKUP($A66,'SegEnds_NonXtal_Prot#'!$A:$AL,14,FALSE)</f>
        <v>116</v>
      </c>
      <c r="AH66" s="5">
        <f>VLOOKUP($A66,'SegEnds_NonXtal_Prot#'!$A:$AL,17,FALSE)</f>
        <v>152</v>
      </c>
      <c r="AI66" s="5">
        <f>VLOOKUP($A66,'SegEnds_NonXtal_Prot#'!$A:$AL,20,FALSE)</f>
        <v>156</v>
      </c>
      <c r="AJ66" s="5">
        <f>VLOOKUP($A66,'SegEnds_NonXtal_Prot#'!$A:$AL,23,FALSE)</f>
        <v>183</v>
      </c>
      <c r="AK66" s="5">
        <f>VLOOKUP($A66,'SegEnds_NonXtal_Prot#'!$A:$AL,26,FALSE)</f>
        <v>199</v>
      </c>
      <c r="AL66" s="5">
        <f>VLOOKUP($A66,'SegEnds_NonXtal_Prot#'!$A:$AL,29,FALSE)</f>
        <v>248</v>
      </c>
      <c r="AM66" s="5">
        <f>VLOOKUP($A66,'SegEnds_NonXtal_Prot#'!$A:$AL,32,FALSE)</f>
        <v>300</v>
      </c>
      <c r="AN66" s="5">
        <f>VLOOKUP($A66,'SegEnds_NonXtal_Prot#'!$A:$AL,35,FALSE)</f>
        <v>333</v>
      </c>
      <c r="AO66" s="5">
        <f>VLOOKUP($A66,'SegEnds_NonXtal_Prot#'!$A:$AL,38,FALSE)</f>
        <v>346</v>
      </c>
      <c r="AP66" s="5">
        <f t="shared" ref="AP66:AP129" si="38">IFERROR(AD66-R66,"-")</f>
        <v>26</v>
      </c>
      <c r="AQ66" s="4" t="str">
        <f t="shared" ref="AQ66:AQ129" si="39">IFERROR(AE66-S66,"-")</f>
        <v>-</v>
      </c>
      <c r="AR66" s="4">
        <f t="shared" ref="AR66:AR129" si="40">IFERROR(AF66-T66,"-")</f>
        <v>30</v>
      </c>
      <c r="AS66" s="4">
        <f t="shared" ref="AS66:AS129" si="41">IFERROR(AG66-U66,"-")</f>
        <v>3</v>
      </c>
      <c r="AT66" s="4">
        <f t="shared" ref="AT66:AT129" si="42">IFERROR(AH66-V66,"-")</f>
        <v>35</v>
      </c>
      <c r="AU66" s="4">
        <f t="shared" ref="AU66:AU129" si="43">IFERROR(AI66-W66,"-")</f>
        <v>3</v>
      </c>
      <c r="AV66" s="4">
        <f t="shared" ref="AV66:AV129" si="44">IFERROR(AJ66-X66,"-")</f>
        <v>24</v>
      </c>
      <c r="AW66" s="4">
        <f t="shared" ref="AW66:AW129" si="45">IFERROR(AK66-Y66,"-")</f>
        <v>2</v>
      </c>
      <c r="AX66" s="4">
        <f t="shared" ref="AX66:AX129" si="46">IFERROR(AL66-Z66,"-")</f>
        <v>41</v>
      </c>
      <c r="AY66" s="4">
        <f t="shared" ref="AY66:AY129" si="47">IFERROR(AM66-AA66,"-")</f>
        <v>37</v>
      </c>
      <c r="AZ66" s="4">
        <f t="shared" ref="AZ66:AZ129" si="48">IFERROR(AN66-AB66,"-")</f>
        <v>28</v>
      </c>
      <c r="BA66" s="4">
        <f t="shared" ref="BA66:BA129" si="49">IFERROR(AO66-AC66,"-")</f>
        <v>12</v>
      </c>
    </row>
    <row r="67" spans="1:53" x14ac:dyDescent="0.2">
      <c r="A67" s="1" t="str">
        <f>'SegEnds_NonXtal_Prot#'!A34</f>
        <v>ox1r_human</v>
      </c>
      <c r="B67" s="1" t="str">
        <f t="shared" si="25"/>
        <v>EWVLIAAYVAVFVVALVGNTLVCLAVWRNTVTNYFIVNLSLADVLVTAICLPASLLVDITGHALCKVIPYLQAVSVSVAVLTLSFIALDRWYAICHTARRARGSILGIWAVSLAIMVPQAAVMDLYPKIYHSCFFIVTYLAPLGLMAMAYFQIFRKLWGRQIPFLAEVKQMRARRKTAKMLMVVLLVFALCYLPISVLNVLKRVFREAVYACFTFSHWLVYANSAANPIIYNFLSGKFREQFKAAF</v>
      </c>
      <c r="C67" s="29" t="str">
        <f>IF(ISERROR(MATCH(A67,'SegEnds_Xtal_Prot#'!B:B, 0)), "NoXtal", "Xtal")</f>
        <v>Xtal</v>
      </c>
      <c r="D67" s="4" t="str">
        <f>VLOOKUP(A67,Classification!A:D,2,FALSE)</f>
        <v>A</v>
      </c>
      <c r="E67" s="5" t="str">
        <f>VLOOKUP(A67,Seqs!A:B,2,FALSE)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F67" s="5" t="str">
        <f t="shared" si="26"/>
        <v>EWVLIAAYVAVFVVALVGNTLVCLAVWRN</v>
      </c>
      <c r="G67" s="4" t="str">
        <f t="shared" si="27"/>
        <v>HHMR</v>
      </c>
      <c r="H67" s="4" t="str">
        <f t="shared" si="28"/>
        <v>TVTNYFIVNLSLADVLVTAICLPASLLVDIT</v>
      </c>
      <c r="I67" s="4" t="str">
        <f t="shared" si="29"/>
        <v>SWLF</v>
      </c>
      <c r="J67" s="4" t="str">
        <f t="shared" si="30"/>
        <v>GHALCKVIPYLQAVSVSVAVLTLSFIALDRWYAICH</v>
      </c>
      <c r="K67" s="4" t="str">
        <f t="shared" si="31"/>
        <v>PLLF</v>
      </c>
      <c r="L67" s="4" t="str">
        <f t="shared" si="32"/>
        <v>TARRARGSILGIWAVSLAIMVPQAAVM</v>
      </c>
      <c r="M67" s="4" t="str">
        <f t="shared" si="33"/>
        <v>CDE</v>
      </c>
      <c r="N67" s="4" t="str">
        <f t="shared" si="34"/>
        <v>DLYPKIYHSCFFIVTYLAPLGLMAMAYFQIFRKLWGRQIP</v>
      </c>
      <c r="O67" s="4" t="str">
        <f t="shared" si="35"/>
        <v>FLAEVKQMRARRKTAKMLMVVLLVFALCYLPISVLNVLKRVF</v>
      </c>
      <c r="P67" s="4" t="str">
        <f t="shared" si="36"/>
        <v>REAVYACFTFSHWLVYANSAANPIIYNFL</v>
      </c>
      <c r="Q67" s="4" t="str">
        <f t="shared" si="37"/>
        <v>SGKFREQFKAAF</v>
      </c>
      <c r="R67" s="5">
        <f>VLOOKUP($A67,'SegEnds_NonXtal_Prot#'!$A:$AL,3,FALSE)</f>
        <v>46</v>
      </c>
      <c r="S67" s="5">
        <f>VLOOKUP($A67,'SegEnds_NonXtal_Prot#'!$A:$AL,6,FALSE)</f>
        <v>75</v>
      </c>
      <c r="T67" s="5">
        <f>VLOOKUP($A67,'SegEnds_NonXtal_Prot#'!$A:$AL,9,FALSE)</f>
        <v>79</v>
      </c>
      <c r="U67" s="5">
        <f>VLOOKUP($A67,'SegEnds_NonXtal_Prot#'!$A:$AL,12,FALSE)</f>
        <v>111</v>
      </c>
      <c r="V67" s="5">
        <f>VLOOKUP($A67,'SegEnds_NonXtal_Prot#'!$A:$AL,15,FALSE)</f>
        <v>115</v>
      </c>
      <c r="W67" s="5">
        <f>VLOOKUP($A67,'SegEnds_NonXtal_Prot#'!$A:$AL,18,FALSE)</f>
        <v>151</v>
      </c>
      <c r="X67" s="5">
        <f>VLOOKUP($A67,'SegEnds_NonXtal_Prot#'!$A:$AL,21,FALSE)</f>
        <v>157</v>
      </c>
      <c r="Y67" s="5">
        <f>VLOOKUP($A67,'SegEnds_NonXtal_Prot#'!$A:$AL,24,FALSE)</f>
        <v>202</v>
      </c>
      <c r="Z67" s="5">
        <f>VLOOKUP($A67,'SegEnds_NonXtal_Prot#'!$A:$AL,27,FALSE)</f>
        <v>209</v>
      </c>
      <c r="AA67" s="5">
        <f>VLOOKUP($A67,'SegEnds_NonXtal_Prot#'!$A:$AL,30,FALSE)</f>
        <v>283</v>
      </c>
      <c r="AB67" s="5">
        <f>VLOOKUP($A67,'SegEnds_NonXtal_Prot#'!$A:$AL,33,FALSE)</f>
        <v>333</v>
      </c>
      <c r="AC67" s="5">
        <f>VLOOKUP($A67,'SegEnds_NonXtal_Prot#'!$A:$AL,36,FALSE)</f>
        <v>362</v>
      </c>
      <c r="AD67" s="5">
        <f>VLOOKUP($A67,'SegEnds_NonXtal_Prot#'!$A:$AL,5,FALSE)</f>
        <v>74</v>
      </c>
      <c r="AE67" s="5">
        <f>VLOOKUP($A67,'SegEnds_NonXtal_Prot#'!$A:$AL,8,FALSE)</f>
        <v>78</v>
      </c>
      <c r="AF67" s="5">
        <f>VLOOKUP($A67,'SegEnds_NonXtal_Prot#'!$A:$AL,11,FALSE)</f>
        <v>109</v>
      </c>
      <c r="AG67" s="5">
        <f>VLOOKUP($A67,'SegEnds_NonXtal_Prot#'!$A:$AL,14,FALSE)</f>
        <v>114</v>
      </c>
      <c r="AH67" s="5">
        <f>VLOOKUP($A67,'SegEnds_NonXtal_Prot#'!$A:$AL,17,FALSE)</f>
        <v>150</v>
      </c>
      <c r="AI67" s="5">
        <f>VLOOKUP($A67,'SegEnds_NonXtal_Prot#'!$A:$AL,20,FALSE)</f>
        <v>154</v>
      </c>
      <c r="AJ67" s="5">
        <f>VLOOKUP($A67,'SegEnds_NonXtal_Prot#'!$A:$AL,23,FALSE)</f>
        <v>183</v>
      </c>
      <c r="AK67" s="5">
        <f>VLOOKUP($A67,'SegEnds_NonXtal_Prot#'!$A:$AL,26,FALSE)</f>
        <v>204</v>
      </c>
      <c r="AL67" s="5">
        <f>VLOOKUP($A67,'SegEnds_NonXtal_Prot#'!$A:$AL,29,FALSE)</f>
        <v>248</v>
      </c>
      <c r="AM67" s="5">
        <f>VLOOKUP($A67,'SegEnds_NonXtal_Prot#'!$A:$AL,32,FALSE)</f>
        <v>324</v>
      </c>
      <c r="AN67" s="5">
        <f>VLOOKUP($A67,'SegEnds_NonXtal_Prot#'!$A:$AL,35,FALSE)</f>
        <v>361</v>
      </c>
      <c r="AO67" s="5">
        <f>VLOOKUP($A67,'SegEnds_NonXtal_Prot#'!$A:$AL,38,FALSE)</f>
        <v>373</v>
      </c>
      <c r="AP67" s="5">
        <f t="shared" si="38"/>
        <v>28</v>
      </c>
      <c r="AQ67" s="4">
        <f t="shared" si="39"/>
        <v>3</v>
      </c>
      <c r="AR67" s="4">
        <f t="shared" si="40"/>
        <v>30</v>
      </c>
      <c r="AS67" s="4">
        <f t="shared" si="41"/>
        <v>3</v>
      </c>
      <c r="AT67" s="4">
        <f t="shared" si="42"/>
        <v>35</v>
      </c>
      <c r="AU67" s="4">
        <f t="shared" si="43"/>
        <v>3</v>
      </c>
      <c r="AV67" s="4">
        <f t="shared" si="44"/>
        <v>26</v>
      </c>
      <c r="AW67" s="4">
        <f t="shared" si="45"/>
        <v>2</v>
      </c>
      <c r="AX67" s="4">
        <f t="shared" si="46"/>
        <v>39</v>
      </c>
      <c r="AY67" s="4">
        <f t="shared" si="47"/>
        <v>41</v>
      </c>
      <c r="AZ67" s="4">
        <f t="shared" si="48"/>
        <v>28</v>
      </c>
      <c r="BA67" s="4">
        <f t="shared" si="49"/>
        <v>11</v>
      </c>
    </row>
    <row r="68" spans="1:53" x14ac:dyDescent="0.2">
      <c r="A68" s="1" t="str">
        <f>'SegEnds_NonXtal_Prot#'!A35</f>
        <v>ox2r_human</v>
      </c>
      <c r="B68" s="1" t="str">
        <f t="shared" si="25"/>
        <v>YEWVLIAGYIIVFVVALIGNVLVCVAVWKNTVTNYFIVNLSLADVLVTITCLPATLVVDITGQSLCKVIPYLQTVSVSVSVLTLSCIALDRWYAICHTAKRARNSIVIIWIVSCIIMIPQAIVMEIYPKMYHICFFLVTYMAPLCLMVLAYLQIFRKLWCRQIPVAAEIKQIRARRKTARMLMIVLLVFAICYLPISILNVLKRVFRETVYAWFTFSHWLVYANSAANPIIYNFLSGKFREEFKAAF</v>
      </c>
      <c r="C68" s="29" t="str">
        <f>IF(ISERROR(MATCH(A68,'SegEnds_Xtal_Prot#'!B:B, 0)), "NoXtal", "Xtal")</f>
        <v>Xtal</v>
      </c>
      <c r="D68" s="4" t="str">
        <f>VLOOKUP(A68,Classification!A:D,2,FALSE)</f>
        <v>A</v>
      </c>
      <c r="E68" s="5" t="str">
        <f>VLOOKUP(A68,Seqs!A:B,2,FALSE)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F68" s="5" t="str">
        <f t="shared" si="26"/>
        <v>YEWVLIAGYIIVFVVALIGNVLVCVAVWKN</v>
      </c>
      <c r="G68" s="4" t="str">
        <f t="shared" si="27"/>
        <v>HHMR</v>
      </c>
      <c r="H68" s="4" t="str">
        <f t="shared" si="28"/>
        <v>TVTNYFIVNLSLADVLVTITCLPATLVVDIT</v>
      </c>
      <c r="I68" s="4" t="str">
        <f t="shared" si="29"/>
        <v>TWFF</v>
      </c>
      <c r="J68" s="4" t="str">
        <f t="shared" si="30"/>
        <v>GQSLCKVIPYLQTVSVSVSVLTLSCIALDRWYAICH</v>
      </c>
      <c r="K68" s="4" t="str">
        <f t="shared" si="31"/>
        <v>PLMF</v>
      </c>
      <c r="L68" s="4" t="str">
        <f t="shared" si="32"/>
        <v>TAKRARNSIVIIWIVSCIIMIPQAIVM</v>
      </c>
      <c r="M68" s="4" t="str">
        <f t="shared" si="33"/>
        <v>CDE</v>
      </c>
      <c r="N68" s="4" t="str">
        <f t="shared" si="34"/>
        <v>EIYPKMYHICFFLVTYMAPLCLMVLAYLQIFRKLWCRQIP</v>
      </c>
      <c r="O68" s="4" t="str">
        <f t="shared" si="35"/>
        <v>VAAEIKQIRARRKTARMLMIVLLVFAICYLPISILNVLKRVF</v>
      </c>
      <c r="P68" s="4" t="str">
        <f t="shared" si="36"/>
        <v>RETVYAWFTFSHWLVYANSAANPIIYNFL</v>
      </c>
      <c r="Q68" s="4" t="str">
        <f t="shared" si="37"/>
        <v>SGKFREEFKAAF</v>
      </c>
      <c r="R68" s="5">
        <f>VLOOKUP($A68,'SegEnds_NonXtal_Prot#'!$A:$AL,3,FALSE)</f>
        <v>53</v>
      </c>
      <c r="S68" s="5">
        <f>VLOOKUP($A68,'SegEnds_NonXtal_Prot#'!$A:$AL,6,FALSE)</f>
        <v>83</v>
      </c>
      <c r="T68" s="5">
        <f>VLOOKUP($A68,'SegEnds_NonXtal_Prot#'!$A:$AL,9,FALSE)</f>
        <v>87</v>
      </c>
      <c r="U68" s="5">
        <f>VLOOKUP($A68,'SegEnds_NonXtal_Prot#'!$A:$AL,12,FALSE)</f>
        <v>119</v>
      </c>
      <c r="V68" s="5">
        <f>VLOOKUP($A68,'SegEnds_NonXtal_Prot#'!$A:$AL,15,FALSE)</f>
        <v>123</v>
      </c>
      <c r="W68" s="5">
        <f>VLOOKUP($A68,'SegEnds_NonXtal_Prot#'!$A:$AL,18,FALSE)</f>
        <v>159</v>
      </c>
      <c r="X68" s="5">
        <f>VLOOKUP($A68,'SegEnds_NonXtal_Prot#'!$A:$AL,21,FALSE)</f>
        <v>165</v>
      </c>
      <c r="Y68" s="5">
        <f>VLOOKUP($A68,'SegEnds_NonXtal_Prot#'!$A:$AL,24,FALSE)</f>
        <v>210</v>
      </c>
      <c r="Z68" s="5">
        <f>VLOOKUP($A68,'SegEnds_NonXtal_Prot#'!$A:$AL,27,FALSE)</f>
        <v>217</v>
      </c>
      <c r="AA68" s="5">
        <f>VLOOKUP($A68,'SegEnds_NonXtal_Prot#'!$A:$AL,30,FALSE)</f>
        <v>289</v>
      </c>
      <c r="AB68" s="5">
        <f>VLOOKUP($A68,'SegEnds_NonXtal_Prot#'!$A:$AL,33,FALSE)</f>
        <v>339</v>
      </c>
      <c r="AC68" s="5">
        <f>VLOOKUP($A68,'SegEnds_NonXtal_Prot#'!$A:$AL,36,FALSE)</f>
        <v>368</v>
      </c>
      <c r="AD68" s="5">
        <f>VLOOKUP($A68,'SegEnds_NonXtal_Prot#'!$A:$AL,5,FALSE)</f>
        <v>82</v>
      </c>
      <c r="AE68" s="5">
        <f>VLOOKUP($A68,'SegEnds_NonXtal_Prot#'!$A:$AL,8,FALSE)</f>
        <v>86</v>
      </c>
      <c r="AF68" s="5">
        <f>VLOOKUP($A68,'SegEnds_NonXtal_Prot#'!$A:$AL,11,FALSE)</f>
        <v>117</v>
      </c>
      <c r="AG68" s="5">
        <f>VLOOKUP($A68,'SegEnds_NonXtal_Prot#'!$A:$AL,14,FALSE)</f>
        <v>122</v>
      </c>
      <c r="AH68" s="5">
        <f>VLOOKUP($A68,'SegEnds_NonXtal_Prot#'!$A:$AL,17,FALSE)</f>
        <v>158</v>
      </c>
      <c r="AI68" s="5">
        <f>VLOOKUP($A68,'SegEnds_NonXtal_Prot#'!$A:$AL,20,FALSE)</f>
        <v>162</v>
      </c>
      <c r="AJ68" s="5">
        <f>VLOOKUP($A68,'SegEnds_NonXtal_Prot#'!$A:$AL,23,FALSE)</f>
        <v>191</v>
      </c>
      <c r="AK68" s="5">
        <f>VLOOKUP($A68,'SegEnds_NonXtal_Prot#'!$A:$AL,26,FALSE)</f>
        <v>212</v>
      </c>
      <c r="AL68" s="5">
        <f>VLOOKUP($A68,'SegEnds_NonXtal_Prot#'!$A:$AL,29,FALSE)</f>
        <v>256</v>
      </c>
      <c r="AM68" s="5">
        <f>VLOOKUP($A68,'SegEnds_NonXtal_Prot#'!$A:$AL,32,FALSE)</f>
        <v>330</v>
      </c>
      <c r="AN68" s="5">
        <f>VLOOKUP($A68,'SegEnds_NonXtal_Prot#'!$A:$AL,35,FALSE)</f>
        <v>367</v>
      </c>
      <c r="AO68" s="5">
        <f>VLOOKUP($A68,'SegEnds_NonXtal_Prot#'!$A:$AL,38,FALSE)</f>
        <v>379</v>
      </c>
      <c r="AP68" s="5">
        <f t="shared" si="38"/>
        <v>29</v>
      </c>
      <c r="AQ68" s="4">
        <f t="shared" si="39"/>
        <v>3</v>
      </c>
      <c r="AR68" s="4">
        <f t="shared" si="40"/>
        <v>30</v>
      </c>
      <c r="AS68" s="4">
        <f t="shared" si="41"/>
        <v>3</v>
      </c>
      <c r="AT68" s="4">
        <f t="shared" si="42"/>
        <v>35</v>
      </c>
      <c r="AU68" s="4">
        <f t="shared" si="43"/>
        <v>3</v>
      </c>
      <c r="AV68" s="4">
        <f t="shared" si="44"/>
        <v>26</v>
      </c>
      <c r="AW68" s="4">
        <f t="shared" si="45"/>
        <v>2</v>
      </c>
      <c r="AX68" s="4">
        <f t="shared" si="46"/>
        <v>39</v>
      </c>
      <c r="AY68" s="4">
        <f t="shared" si="47"/>
        <v>41</v>
      </c>
      <c r="AZ68" s="4">
        <f t="shared" si="48"/>
        <v>28</v>
      </c>
      <c r="BA68" s="4">
        <f t="shared" si="49"/>
        <v>11</v>
      </c>
    </row>
    <row r="69" spans="1:53" x14ac:dyDescent="0.2">
      <c r="A69" s="1" t="str">
        <f>'SegEnds_NonXtal_Prot#'!A36</f>
        <v>prlhr_human</v>
      </c>
      <c r="B69" s="1" t="str">
        <f t="shared" si="25"/>
        <v>LKGLIVLLYSVVVVVGLVGNCLLVLVIARVNVTNFLIGNLALSDVLMCTACVPLTLAYAFEGGGLCHLVFFLQPVTVYVSVFTLTTIAVDRYVVLVHSLRLSAYAVLAIWALSAVLALPAAVHTERQRQLYAWGLLLVTYLLPLLVILLSYVRVSVKLRNRVVPGCQADWDRARRRRTFCLLVVIVVVFAVCWLPLHVFNLLRDLDPYAFGLVQLLCHWLAMSSACYNPFIYAWLHDSFREELRKLL</v>
      </c>
      <c r="C69" s="29" t="str">
        <f>IF(ISERROR(MATCH(A69,'SegEnds_Xtal_Prot#'!B:B, 0)), "NoXtal", "Xtal")</f>
        <v>NoXtal</v>
      </c>
      <c r="D69" s="4" t="str">
        <f>VLOOKUP(A69,Classification!A:D,2,FALSE)</f>
        <v>A</v>
      </c>
      <c r="E69" s="5" t="str">
        <f>VLOOKUP(A69,Seqs!A:B,2,FALSE)</f>
        <v>MASSTTRGPRVSDLFSGLPPAVTTPANQSAEASAGNGSVAGADAPAVTPFQSLQLVHQLKGLIVLLYSVVVVVGLVGNCLLVLVIARVRRLHNVTNFLIGNLALSDVLMCTACVPLTLAYAFEPRGWVFGGGLCHLVFFLQPVTVYVSVFTLTTIAVDRYVVLVHPLRRRISLRLSAYAVLAIWALSAVLALPAAVHTYHVELKPHDVRLCEEFWGSQERQRQLYAWGLLLVTYLLPLLVILLSYVRVSVKLRNRVVPGCVTQSQADWDRARRRRTFCLLVVIVVVFAVCWLPLHVFNLLRDLDPHAIDPYAFGLVQLLCHWLAMSSACYNPFIYAWLHDSFREELRKLLVAWPRKIAPHGQNMTVSVVI</v>
      </c>
      <c r="F69" s="5" t="str">
        <f t="shared" si="26"/>
        <v>LKGLIVLLYSVVVVVGLVGNCLLVLVIARV</v>
      </c>
      <c r="G69" s="4" t="str">
        <f t="shared" si="27"/>
        <v>RRLH</v>
      </c>
      <c r="H69" s="4" t="str">
        <f t="shared" si="28"/>
        <v>NVTNFLIGNLALSDVLMCTACVPLTLAYAFE</v>
      </c>
      <c r="I69" s="4" t="str">
        <f t="shared" si="29"/>
        <v>GWVF</v>
      </c>
      <c r="J69" s="4" t="str">
        <f t="shared" si="30"/>
        <v>GGGLCHLVFFLQPVTVYVSVFTLTTIAVDRYVVLVH</v>
      </c>
      <c r="K69" s="4" t="str">
        <f t="shared" si="31"/>
        <v>PLRR</v>
      </c>
      <c r="L69" s="4" t="str">
        <f t="shared" si="32"/>
        <v>SLRLSAYAVLAIWALSAVLALPAAVHT</v>
      </c>
      <c r="M69" s="4" t="str">
        <f t="shared" si="33"/>
        <v>CEE</v>
      </c>
      <c r="N69" s="4" t="str">
        <f t="shared" si="34"/>
        <v>ERQRQLYAWGLLLVTYLLPLLVILLSYVRVSVKLRNRVVPGC</v>
      </c>
      <c r="O69" s="4" t="str">
        <f t="shared" si="35"/>
        <v>QADWDRARRRRTFCLLVVIVVVFAVCWLPLHVFNLLRDLD</v>
      </c>
      <c r="P69" s="4" t="str">
        <f t="shared" si="36"/>
        <v>PYAFGLVQLLCHWLAMSSACYNPFIYAWL</v>
      </c>
      <c r="Q69" s="4" t="str">
        <f t="shared" si="37"/>
        <v>HDSFREELRKLL</v>
      </c>
      <c r="R69" s="5">
        <f>VLOOKUP($A69,'SegEnds_NonXtal_Prot#'!$A:$AL,3,FALSE)</f>
        <v>59</v>
      </c>
      <c r="S69" s="5">
        <f>VLOOKUP($A69,'SegEnds_NonXtal_Prot#'!$A:$AL,6,FALSE)</f>
        <v>89</v>
      </c>
      <c r="T69" s="5">
        <f>VLOOKUP($A69,'SegEnds_NonXtal_Prot#'!$A:$AL,9,FALSE)</f>
        <v>93</v>
      </c>
      <c r="U69" s="5">
        <f>VLOOKUP($A69,'SegEnds_NonXtal_Prot#'!$A:$AL,12,FALSE)</f>
        <v>126</v>
      </c>
      <c r="V69" s="5">
        <f>VLOOKUP($A69,'SegEnds_NonXtal_Prot#'!$A:$AL,15,FALSE)</f>
        <v>130</v>
      </c>
      <c r="W69" s="5">
        <f>VLOOKUP($A69,'SegEnds_NonXtal_Prot#'!$A:$AL,18,FALSE)</f>
        <v>166</v>
      </c>
      <c r="X69" s="5">
        <f>VLOOKUP($A69,'SegEnds_NonXtal_Prot#'!$A:$AL,21,FALSE)</f>
        <v>172</v>
      </c>
      <c r="Y69" s="5">
        <f>VLOOKUP($A69,'SegEnds_NonXtal_Prot#'!$A:$AL,24,FALSE)</f>
        <v>211</v>
      </c>
      <c r="Z69" s="5">
        <f>VLOOKUP($A69,'SegEnds_NonXtal_Prot#'!$A:$AL,27,FALSE)</f>
        <v>219</v>
      </c>
      <c r="AA69" s="5">
        <f>VLOOKUP($A69,'SegEnds_NonXtal_Prot#'!$A:$AL,30,FALSE)</f>
        <v>265</v>
      </c>
      <c r="AB69" s="5">
        <f>VLOOKUP($A69,'SegEnds_NonXtal_Prot#'!$A:$AL,33,FALSE)</f>
        <v>310</v>
      </c>
      <c r="AC69" s="5">
        <f>VLOOKUP($A69,'SegEnds_NonXtal_Prot#'!$A:$AL,36,FALSE)</f>
        <v>339</v>
      </c>
      <c r="AD69" s="5">
        <f>VLOOKUP($A69,'SegEnds_NonXtal_Prot#'!$A:$AL,5,FALSE)</f>
        <v>88</v>
      </c>
      <c r="AE69" s="5">
        <f>VLOOKUP($A69,'SegEnds_NonXtal_Prot#'!$A:$AL,8,FALSE)</f>
        <v>92</v>
      </c>
      <c r="AF69" s="5">
        <f>VLOOKUP($A69,'SegEnds_NonXtal_Prot#'!$A:$AL,11,FALSE)</f>
        <v>123</v>
      </c>
      <c r="AG69" s="5">
        <f>VLOOKUP($A69,'SegEnds_NonXtal_Prot#'!$A:$AL,14,FALSE)</f>
        <v>129</v>
      </c>
      <c r="AH69" s="5">
        <f>VLOOKUP($A69,'SegEnds_NonXtal_Prot#'!$A:$AL,17,FALSE)</f>
        <v>165</v>
      </c>
      <c r="AI69" s="5">
        <f>VLOOKUP($A69,'SegEnds_NonXtal_Prot#'!$A:$AL,20,FALSE)</f>
        <v>169</v>
      </c>
      <c r="AJ69" s="5">
        <f>VLOOKUP($A69,'SegEnds_NonXtal_Prot#'!$A:$AL,23,FALSE)</f>
        <v>198</v>
      </c>
      <c r="AK69" s="5">
        <f>VLOOKUP($A69,'SegEnds_NonXtal_Prot#'!$A:$AL,26,FALSE)</f>
        <v>213</v>
      </c>
      <c r="AL69" s="5">
        <f>VLOOKUP($A69,'SegEnds_NonXtal_Prot#'!$A:$AL,29,FALSE)</f>
        <v>260</v>
      </c>
      <c r="AM69" s="5">
        <f>VLOOKUP($A69,'SegEnds_NonXtal_Prot#'!$A:$AL,32,FALSE)</f>
        <v>304</v>
      </c>
      <c r="AN69" s="5">
        <f>VLOOKUP($A69,'SegEnds_NonXtal_Prot#'!$A:$AL,35,FALSE)</f>
        <v>338</v>
      </c>
      <c r="AO69" s="5">
        <f>VLOOKUP($A69,'SegEnds_NonXtal_Prot#'!$A:$AL,38,FALSE)</f>
        <v>350</v>
      </c>
      <c r="AP69" s="5">
        <f t="shared" si="38"/>
        <v>29</v>
      </c>
      <c r="AQ69" s="4">
        <f t="shared" si="39"/>
        <v>3</v>
      </c>
      <c r="AR69" s="4">
        <f t="shared" si="40"/>
        <v>30</v>
      </c>
      <c r="AS69" s="4">
        <f t="shared" si="41"/>
        <v>3</v>
      </c>
      <c r="AT69" s="4">
        <f t="shared" si="42"/>
        <v>35</v>
      </c>
      <c r="AU69" s="4">
        <f t="shared" si="43"/>
        <v>3</v>
      </c>
      <c r="AV69" s="4">
        <f t="shared" si="44"/>
        <v>26</v>
      </c>
      <c r="AW69" s="4">
        <f t="shared" si="45"/>
        <v>2</v>
      </c>
      <c r="AX69" s="4">
        <f t="shared" si="46"/>
        <v>41</v>
      </c>
      <c r="AY69" s="4">
        <f t="shared" si="47"/>
        <v>39</v>
      </c>
      <c r="AZ69" s="4">
        <f t="shared" si="48"/>
        <v>28</v>
      </c>
      <c r="BA69" s="4">
        <f t="shared" si="49"/>
        <v>11</v>
      </c>
    </row>
    <row r="70" spans="1:53" x14ac:dyDescent="0.2">
      <c r="A70" s="1" t="str">
        <f>'SegEnds_NonXtal_Prot#'!A37</f>
        <v>s1pr5_human</v>
      </c>
      <c r="B70" s="1" t="str">
        <f t="shared" si="25"/>
        <v>GAGLRADAVVCLAVCAFIVLENLAVLLVLGRHAPMFLLLGSLTLSDLLAGAAYAANILLSPALWFAREGGVFVALTASVLSLLAIALERSLTMARSRGRTLAMAAAAWGVSLLLGLLPALGAKAYVLFCVLAFVGILAAICALYARIYCQVRANARRLPASTRARRKPRSLALLRTLSVVLLAFVACWGPLFLLLLLDVACPVLLQADPFLGLAMANSLLNPIIYTLTNRDLRHALLRLVC</v>
      </c>
      <c r="C70" s="29" t="str">
        <f>IF(ISERROR(MATCH(A70,'SegEnds_Xtal_Prot#'!B:B, 0)), "NoXtal", "Xtal")</f>
        <v>NoXtal</v>
      </c>
      <c r="D70" s="4" t="str">
        <f>VLOOKUP(A70,Classification!A:D,2,FALSE)</f>
        <v>A</v>
      </c>
      <c r="E70" s="5" t="str">
        <f>VLOOKUP(A70,Seqs!A:B,2,FALSE)</f>
        <v>MESGLLRPAPVSEVIVLHYNYTGKLRGARYQPGAGLRADAVVCLAVCAFIVLENLAVLLVLGRHPRFHAPMFLLLGSLTLSDLLAGAAYAANILLSGPLTLKLSPALWFAREGGVFVALTASVLSLLAIALERSLTMARRGPAPVSSRGRTLAMAAAAWGVSLLLGLLPALGWNCLGRLDACSTVLPLYAKAYVLFCVLAFVGILAAICALYARIYCQVRANARRLPARPGTAGTTSTRARRKPRSLALLRTLSVVLLAFVACWGPLFLLLLLDVACPARTCPVLLQADPFLGLAMANSLLNPIIYTLTNRDLRHALLRLVCCGRHSCGRDPSGSQQSASAAEASGGLRRCLPPGLDGSFSGSERSSPQRDGLDTSGSTGSPGAPTAARTLVSEPAAD</v>
      </c>
      <c r="F70" s="5" t="str">
        <f t="shared" si="26"/>
        <v>GAGLRADAVVCLAVCAFIVLENLAVLLVLGRH</v>
      </c>
      <c r="G70" s="4" t="str">
        <f t="shared" si="27"/>
        <v>PRFH</v>
      </c>
      <c r="H70" s="4" t="str">
        <f t="shared" si="28"/>
        <v>APMFLLLGSLTLSDLLAGAAYAANILL</v>
      </c>
      <c r="I70" s="4" t="str">
        <f t="shared" si="29"/>
        <v>GPLTLKL</v>
      </c>
      <c r="J70" s="4" t="str">
        <f t="shared" si="30"/>
        <v>SPALWFAREGGVFVALTASVLSLLAIALERSLTMAR</v>
      </c>
      <c r="K70" s="4" t="str">
        <f t="shared" si="31"/>
        <v>RGPAPVS</v>
      </c>
      <c r="L70" s="4" t="str">
        <f t="shared" si="32"/>
        <v>SRGRTLAMAAAAWGVSLLLGLLPALG</v>
      </c>
      <c r="M70" s="4" t="str">
        <f t="shared" si="33"/>
        <v/>
      </c>
      <c r="N70" s="4" t="str">
        <f t="shared" si="34"/>
        <v>AKAYVLFCVLAFVGILAAICALYARIYCQVRANARRLPA</v>
      </c>
      <c r="O70" s="4" t="str">
        <f t="shared" si="35"/>
        <v>STRARRKPRSLALLRTLSVVLLAFVACWGPLFLLLLLDVAC</v>
      </c>
      <c r="P70" s="4" t="str">
        <f t="shared" si="36"/>
        <v>PVLLQADPFLGLAMANSLLNPIIYTLT</v>
      </c>
      <c r="Q70" s="4" t="str">
        <f t="shared" si="37"/>
        <v>NRDLRHALLRLVC</v>
      </c>
      <c r="R70" s="5">
        <f>VLOOKUP($A70,'SegEnds_NonXtal_Prot#'!$A:$AL,3,FALSE)</f>
        <v>33</v>
      </c>
      <c r="S70" s="5">
        <f>VLOOKUP($A70,'SegEnds_NonXtal_Prot#'!$A:$AL,6,FALSE)</f>
        <v>65</v>
      </c>
      <c r="T70" s="5">
        <f>VLOOKUP($A70,'SegEnds_NonXtal_Prot#'!$A:$AL,9,FALSE)</f>
        <v>69</v>
      </c>
      <c r="U70" s="5">
        <f>VLOOKUP($A70,'SegEnds_NonXtal_Prot#'!$A:$AL,12,FALSE)</f>
        <v>97</v>
      </c>
      <c r="V70" s="5">
        <f>VLOOKUP($A70,'SegEnds_NonXtal_Prot#'!$A:$AL,15,FALSE)</f>
        <v>104</v>
      </c>
      <c r="W70" s="5">
        <f>VLOOKUP($A70,'SegEnds_NonXtal_Prot#'!$A:$AL,18,FALSE)</f>
        <v>140</v>
      </c>
      <c r="X70" s="5">
        <f>VLOOKUP($A70,'SegEnds_NonXtal_Prot#'!$A:$AL,21,FALSE)</f>
        <v>147</v>
      </c>
      <c r="Y70" s="5" t="str">
        <f>VLOOKUP($A70,'SegEnds_NonXtal_Prot#'!$A:$AL,24,FALSE)</f>
        <v>-</v>
      </c>
      <c r="Z70" s="5">
        <f>VLOOKUP($A70,'SegEnds_NonXtal_Prot#'!$A:$AL,27,FALSE)</f>
        <v>190</v>
      </c>
      <c r="AA70" s="5">
        <f>VLOOKUP($A70,'SegEnds_NonXtal_Prot#'!$A:$AL,30,FALSE)</f>
        <v>237</v>
      </c>
      <c r="AB70" s="5">
        <f>VLOOKUP($A70,'SegEnds_NonXtal_Prot#'!$A:$AL,33,FALSE)</f>
        <v>283</v>
      </c>
      <c r="AC70" s="5">
        <f>VLOOKUP($A70,'SegEnds_NonXtal_Prot#'!$A:$AL,36,FALSE)</f>
        <v>310</v>
      </c>
      <c r="AD70" s="5">
        <f>VLOOKUP($A70,'SegEnds_NonXtal_Prot#'!$A:$AL,5,FALSE)</f>
        <v>64</v>
      </c>
      <c r="AE70" s="5">
        <f>VLOOKUP($A70,'SegEnds_NonXtal_Prot#'!$A:$AL,8,FALSE)</f>
        <v>68</v>
      </c>
      <c r="AF70" s="5">
        <f>VLOOKUP($A70,'SegEnds_NonXtal_Prot#'!$A:$AL,11,FALSE)</f>
        <v>95</v>
      </c>
      <c r="AG70" s="5">
        <f>VLOOKUP($A70,'SegEnds_NonXtal_Prot#'!$A:$AL,14,FALSE)</f>
        <v>103</v>
      </c>
      <c r="AH70" s="5">
        <f>VLOOKUP($A70,'SegEnds_NonXtal_Prot#'!$A:$AL,17,FALSE)</f>
        <v>139</v>
      </c>
      <c r="AI70" s="5">
        <f>VLOOKUP($A70,'SegEnds_NonXtal_Prot#'!$A:$AL,20,FALSE)</f>
        <v>146</v>
      </c>
      <c r="AJ70" s="5">
        <f>VLOOKUP($A70,'SegEnds_NonXtal_Prot#'!$A:$AL,23,FALSE)</f>
        <v>172</v>
      </c>
      <c r="AK70" s="5" t="str">
        <f>VLOOKUP($A70,'SegEnds_NonXtal_Prot#'!$A:$AL,26,FALSE)</f>
        <v>-</v>
      </c>
      <c r="AL70" s="5">
        <f>VLOOKUP($A70,'SegEnds_NonXtal_Prot#'!$A:$AL,29,FALSE)</f>
        <v>228</v>
      </c>
      <c r="AM70" s="5">
        <f>VLOOKUP($A70,'SegEnds_NonXtal_Prot#'!$A:$AL,32,FALSE)</f>
        <v>277</v>
      </c>
      <c r="AN70" s="5">
        <f>VLOOKUP($A70,'SegEnds_NonXtal_Prot#'!$A:$AL,35,FALSE)</f>
        <v>309</v>
      </c>
      <c r="AO70" s="5">
        <f>VLOOKUP($A70,'SegEnds_NonXtal_Prot#'!$A:$AL,38,FALSE)</f>
        <v>322</v>
      </c>
      <c r="AP70" s="5">
        <f t="shared" si="38"/>
        <v>31</v>
      </c>
      <c r="AQ70" s="4">
        <f t="shared" si="39"/>
        <v>3</v>
      </c>
      <c r="AR70" s="4">
        <f t="shared" si="40"/>
        <v>26</v>
      </c>
      <c r="AS70" s="4">
        <f t="shared" si="41"/>
        <v>6</v>
      </c>
      <c r="AT70" s="4">
        <f t="shared" si="42"/>
        <v>35</v>
      </c>
      <c r="AU70" s="4">
        <f t="shared" si="43"/>
        <v>6</v>
      </c>
      <c r="AV70" s="4">
        <f t="shared" si="44"/>
        <v>25</v>
      </c>
      <c r="AW70" s="4" t="str">
        <f t="shared" si="45"/>
        <v>-</v>
      </c>
      <c r="AX70" s="4">
        <f t="shared" si="46"/>
        <v>38</v>
      </c>
      <c r="AY70" s="4">
        <f t="shared" si="47"/>
        <v>40</v>
      </c>
      <c r="AZ70" s="4">
        <f t="shared" si="48"/>
        <v>26</v>
      </c>
      <c r="BA70" s="4">
        <f t="shared" si="49"/>
        <v>12</v>
      </c>
    </row>
    <row r="71" spans="1:53" x14ac:dyDescent="0.2">
      <c r="A71" s="1" t="str">
        <f>'SegEnds_NonXtal_Prot#'!A38</f>
        <v>5ht1a_human</v>
      </c>
      <c r="B71" s="1" t="str">
        <f t="shared" si="25"/>
        <v>VSYQVITSLLLGTLIFCAVLGNACVVAAIALENVANYLIGSLAVTDLMVSVLVLPMAALYQVLGQVTCDLFIALDVLCCTSSILHLCAIALDRYWAITDTPRRAAALISLTWLIGFLISIPPMLGDHGYTIYSTFGAFYIPLLLMLVLYGRIFRAARFRIRKTVKKVKMALARERKTVKTLGIIMGTFILCWLPFFIVALVLPFPTLLGAIINWLGYSNSLLNPVIYAYFNKDFQNAFKKII</v>
      </c>
      <c r="C71" s="29" t="str">
        <f>IF(ISERROR(MATCH(A71,'SegEnds_Xtal_Prot#'!B:B, 0)), "NoXtal", "Xtal")</f>
        <v>NoXtal</v>
      </c>
      <c r="D71" s="4" t="str">
        <f>VLOOKUP(A71,Classification!A:D,2,FALSE)</f>
        <v>A</v>
      </c>
      <c r="E71" s="5" t="str">
        <f>VLOOKUP(A71,Seqs!A:B,2,FALSE)</f>
        <v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v>
      </c>
      <c r="F71" s="5" t="str">
        <f t="shared" si="26"/>
        <v>VSYQVITSLLLGTLIFCAVLGNACVVAAIALE</v>
      </c>
      <c r="G71" s="4" t="str">
        <f t="shared" si="27"/>
        <v>RSLQ</v>
      </c>
      <c r="H71" s="4" t="str">
        <f t="shared" si="28"/>
        <v>NVANYLIGSLAVTDLMVSVLVLPMAALYQVL</v>
      </c>
      <c r="I71" s="4" t="str">
        <f t="shared" si="29"/>
        <v>KWTL</v>
      </c>
      <c r="J71" s="4" t="str">
        <f t="shared" si="30"/>
        <v>GQVTCDLFIALDVLCCTSSILHLCAIALDRYWAITD</v>
      </c>
      <c r="K71" s="4" t="str">
        <f t="shared" si="31"/>
        <v>PIDYVNKR</v>
      </c>
      <c r="L71" s="4" t="str">
        <f t="shared" si="32"/>
        <v>TPRRAAALISLTWLIGFLISIPPMLG</v>
      </c>
      <c r="M71" s="4" t="str">
        <f t="shared" si="33"/>
        <v>CTI</v>
      </c>
      <c r="N71" s="4" t="str">
        <f t="shared" si="34"/>
        <v>DHGYTIYSTFGAFYIPLLLMLVLYGRIFRAARFRIRKTVKKV</v>
      </c>
      <c r="O71" s="4" t="str">
        <f t="shared" si="35"/>
        <v>KMALARERKTVKTLGIIMGTFILCWLPFFIVALVLPF</v>
      </c>
      <c r="P71" s="4" t="str">
        <f t="shared" si="36"/>
        <v>PTLLGAIINWLGYSNSLLNPVIYAYF</v>
      </c>
      <c r="Q71" s="4" t="str">
        <f t="shared" si="37"/>
        <v>NKDFQNAFKKII</v>
      </c>
      <c r="R71" s="5">
        <f>VLOOKUP($A71,'SegEnds_NonXtal_Prot#'!$A:$AL,3,FALSE)</f>
        <v>33</v>
      </c>
      <c r="S71" s="5">
        <f>VLOOKUP($A71,'SegEnds_NonXtal_Prot#'!$A:$AL,6,FALSE)</f>
        <v>65</v>
      </c>
      <c r="T71" s="5">
        <f>VLOOKUP($A71,'SegEnds_NonXtal_Prot#'!$A:$AL,9,FALSE)</f>
        <v>69</v>
      </c>
      <c r="U71" s="5">
        <f>VLOOKUP($A71,'SegEnds_NonXtal_Prot#'!$A:$AL,12,FALSE)</f>
        <v>101</v>
      </c>
      <c r="V71" s="5">
        <f>VLOOKUP($A71,'SegEnds_NonXtal_Prot#'!$A:$AL,15,FALSE)</f>
        <v>105</v>
      </c>
      <c r="W71" s="5">
        <f>VLOOKUP($A71,'SegEnds_NonXtal_Prot#'!$A:$AL,18,FALSE)</f>
        <v>141</v>
      </c>
      <c r="X71" s="5">
        <f>VLOOKUP($A71,'SegEnds_NonXtal_Prot#'!$A:$AL,21,FALSE)</f>
        <v>149</v>
      </c>
      <c r="Y71" s="5">
        <f>VLOOKUP($A71,'SegEnds_NonXtal_Prot#'!$A:$AL,24,FALSE)</f>
        <v>187</v>
      </c>
      <c r="Z71" s="5">
        <f>VLOOKUP($A71,'SegEnds_NonXtal_Prot#'!$A:$AL,27,FALSE)</f>
        <v>192</v>
      </c>
      <c r="AA71" s="5">
        <f>VLOOKUP($A71,'SegEnds_NonXtal_Prot#'!$A:$AL,30,FALSE)</f>
        <v>334</v>
      </c>
      <c r="AB71" s="5">
        <f>VLOOKUP($A71,'SegEnds_NonXtal_Prot#'!$A:$AL,33,FALSE)</f>
        <v>378</v>
      </c>
      <c r="AC71" s="5">
        <f>VLOOKUP($A71,'SegEnds_NonXtal_Prot#'!$A:$AL,36,FALSE)</f>
        <v>404</v>
      </c>
      <c r="AD71" s="5">
        <f>VLOOKUP($A71,'SegEnds_NonXtal_Prot#'!$A:$AL,5,FALSE)</f>
        <v>64</v>
      </c>
      <c r="AE71" s="5">
        <f>VLOOKUP($A71,'SegEnds_NonXtal_Prot#'!$A:$AL,8,FALSE)</f>
        <v>68</v>
      </c>
      <c r="AF71" s="5">
        <f>VLOOKUP($A71,'SegEnds_NonXtal_Prot#'!$A:$AL,11,FALSE)</f>
        <v>99</v>
      </c>
      <c r="AG71" s="5">
        <f>VLOOKUP($A71,'SegEnds_NonXtal_Prot#'!$A:$AL,14,FALSE)</f>
        <v>104</v>
      </c>
      <c r="AH71" s="5">
        <f>VLOOKUP($A71,'SegEnds_NonXtal_Prot#'!$A:$AL,17,FALSE)</f>
        <v>140</v>
      </c>
      <c r="AI71" s="5">
        <f>VLOOKUP($A71,'SegEnds_NonXtal_Prot#'!$A:$AL,20,FALSE)</f>
        <v>148</v>
      </c>
      <c r="AJ71" s="5">
        <f>VLOOKUP($A71,'SegEnds_NonXtal_Prot#'!$A:$AL,23,FALSE)</f>
        <v>174</v>
      </c>
      <c r="AK71" s="5">
        <f>VLOOKUP($A71,'SegEnds_NonXtal_Prot#'!$A:$AL,26,FALSE)</f>
        <v>189</v>
      </c>
      <c r="AL71" s="5">
        <f>VLOOKUP($A71,'SegEnds_NonXtal_Prot#'!$A:$AL,29,FALSE)</f>
        <v>233</v>
      </c>
      <c r="AM71" s="5">
        <f>VLOOKUP($A71,'SegEnds_NonXtal_Prot#'!$A:$AL,32,FALSE)</f>
        <v>370</v>
      </c>
      <c r="AN71" s="5">
        <f>VLOOKUP($A71,'SegEnds_NonXtal_Prot#'!$A:$AL,35,FALSE)</f>
        <v>403</v>
      </c>
      <c r="AO71" s="5">
        <f>VLOOKUP($A71,'SegEnds_NonXtal_Prot#'!$A:$AL,38,FALSE)</f>
        <v>415</v>
      </c>
      <c r="AP71" s="5">
        <f t="shared" si="38"/>
        <v>31</v>
      </c>
      <c r="AQ71" s="4">
        <f t="shared" si="39"/>
        <v>3</v>
      </c>
      <c r="AR71" s="4">
        <f t="shared" si="40"/>
        <v>30</v>
      </c>
      <c r="AS71" s="4">
        <f t="shared" si="41"/>
        <v>3</v>
      </c>
      <c r="AT71" s="4">
        <f t="shared" si="42"/>
        <v>35</v>
      </c>
      <c r="AU71" s="4">
        <f t="shared" si="43"/>
        <v>7</v>
      </c>
      <c r="AV71" s="4">
        <f t="shared" si="44"/>
        <v>25</v>
      </c>
      <c r="AW71" s="4">
        <f t="shared" si="45"/>
        <v>2</v>
      </c>
      <c r="AX71" s="4">
        <f t="shared" si="46"/>
        <v>41</v>
      </c>
      <c r="AY71" s="4">
        <f t="shared" si="47"/>
        <v>36</v>
      </c>
      <c r="AZ71" s="4">
        <f t="shared" si="48"/>
        <v>25</v>
      </c>
      <c r="BA71" s="4">
        <f t="shared" si="49"/>
        <v>11</v>
      </c>
    </row>
    <row r="72" spans="1:53" x14ac:dyDescent="0.2">
      <c r="A72" s="1" t="str">
        <f>'SegEnds_NonXtal_Prot#'!A39</f>
        <v>5ht1b_human</v>
      </c>
      <c r="B72" s="1" t="str">
        <f t="shared" si="25"/>
        <v>LPWKVLLVMLLALITLATTLSNAFVIATVYRTTPANYLIASLAVTDLLVSILVMPISTMYTVTGQVVCDFWLSSDITCCTASILHLCVIALDRYWAITDTPKRAAVMIALVWVFSISISLPPFFWHILYTVYSTVGAFYFPTLLLIALYGRIYVEARSRILKQTPKLMAARERKATKTLGIILGAFIVCWLPFFIISLVMPIHLAIFDFFTWLGYLNSLINPIIYTMSNEDFKQAFHKLI</v>
      </c>
      <c r="C72" s="29" t="str">
        <f>IF(ISERROR(MATCH(A72,'SegEnds_Xtal_Prot#'!B:B, 0)), "NoXtal", "Xtal")</f>
        <v>Xtal</v>
      </c>
      <c r="D72" s="4" t="str">
        <f>VLOOKUP(A72,Classification!A:D,2,FALSE)</f>
        <v>A</v>
      </c>
      <c r="E72" s="5" t="str">
        <f>VLOOKUP(A72,Seqs!A:B,2,FALSE)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F72" s="5" t="str">
        <f t="shared" si="26"/>
        <v>LPWKVLLVMLLALITLATTLSNAFVIATVYRT</v>
      </c>
      <c r="G72" s="4" t="str">
        <f t="shared" si="27"/>
        <v>RKLH</v>
      </c>
      <c r="H72" s="4" t="str">
        <f t="shared" si="28"/>
        <v>TPANYLIASLAVTDLLVSILVMPISTMYTVT</v>
      </c>
      <c r="I72" s="4" t="str">
        <f t="shared" si="29"/>
        <v>RWTL</v>
      </c>
      <c r="J72" s="4" t="str">
        <f t="shared" si="30"/>
        <v>GQVVCDFWLSSDITCCTASILHLCVIALDRYWAITD</v>
      </c>
      <c r="K72" s="4" t="str">
        <f t="shared" si="31"/>
        <v>AVEYSAKR</v>
      </c>
      <c r="L72" s="4" t="str">
        <f t="shared" si="32"/>
        <v>TPKRAAVMIALVWVFSISISLPPFFW</v>
      </c>
      <c r="M72" s="4" t="str">
        <f t="shared" si="33"/>
        <v>CVV</v>
      </c>
      <c r="N72" s="4" t="str">
        <f t="shared" si="34"/>
        <v>HILYTVYSTVGAFYFPTLLLIALYGRIYVEARSRILKQTP</v>
      </c>
      <c r="O72" s="4" t="str">
        <f t="shared" si="35"/>
        <v>KLMAARERKATKTLGIILGAFIVCWLPFFIISLVMPI</v>
      </c>
      <c r="P72" s="4" t="str">
        <f t="shared" si="36"/>
        <v>HLAIFDFFTWLGYLNSLINPIIYTMS</v>
      </c>
      <c r="Q72" s="4" t="str">
        <f t="shared" si="37"/>
        <v>NEDFKQAFHKLI</v>
      </c>
      <c r="R72" s="5">
        <f>VLOOKUP($A72,'SegEnds_NonXtal_Prot#'!$A:$AL,3,FALSE)</f>
        <v>46</v>
      </c>
      <c r="S72" s="5">
        <f>VLOOKUP($A72,'SegEnds_NonXtal_Prot#'!$A:$AL,6,FALSE)</f>
        <v>78</v>
      </c>
      <c r="T72" s="5">
        <f>VLOOKUP($A72,'SegEnds_NonXtal_Prot#'!$A:$AL,9,FALSE)</f>
        <v>82</v>
      </c>
      <c r="U72" s="5">
        <f>VLOOKUP($A72,'SegEnds_NonXtal_Prot#'!$A:$AL,12,FALSE)</f>
        <v>114</v>
      </c>
      <c r="V72" s="5">
        <f>VLOOKUP($A72,'SegEnds_NonXtal_Prot#'!$A:$AL,15,FALSE)</f>
        <v>118</v>
      </c>
      <c r="W72" s="5">
        <f>VLOOKUP($A72,'SegEnds_NonXtal_Prot#'!$A:$AL,18,FALSE)</f>
        <v>154</v>
      </c>
      <c r="X72" s="5">
        <f>VLOOKUP($A72,'SegEnds_NonXtal_Prot#'!$A:$AL,21,FALSE)</f>
        <v>162</v>
      </c>
      <c r="Y72" s="5">
        <f>VLOOKUP($A72,'SegEnds_NonXtal_Prot#'!$A:$AL,24,FALSE)</f>
        <v>199</v>
      </c>
      <c r="Z72" s="5">
        <f>VLOOKUP($A72,'SegEnds_NonXtal_Prot#'!$A:$AL,27,FALSE)</f>
        <v>205</v>
      </c>
      <c r="AA72" s="5">
        <f>VLOOKUP($A72,'SegEnds_NonXtal_Prot#'!$A:$AL,30,FALSE)</f>
        <v>303</v>
      </c>
      <c r="AB72" s="5">
        <f>VLOOKUP($A72,'SegEnds_NonXtal_Prot#'!$A:$AL,33,FALSE)</f>
        <v>347</v>
      </c>
      <c r="AC72" s="5">
        <f>VLOOKUP($A72,'SegEnds_NonXtal_Prot#'!$A:$AL,36,FALSE)</f>
        <v>373</v>
      </c>
      <c r="AD72" s="5">
        <f>VLOOKUP($A72,'SegEnds_NonXtal_Prot#'!$A:$AL,5,FALSE)</f>
        <v>77</v>
      </c>
      <c r="AE72" s="5">
        <f>VLOOKUP($A72,'SegEnds_NonXtal_Prot#'!$A:$AL,8,FALSE)</f>
        <v>81</v>
      </c>
      <c r="AF72" s="5">
        <f>VLOOKUP($A72,'SegEnds_NonXtal_Prot#'!$A:$AL,11,FALSE)</f>
        <v>112</v>
      </c>
      <c r="AG72" s="5">
        <f>VLOOKUP($A72,'SegEnds_NonXtal_Prot#'!$A:$AL,14,FALSE)</f>
        <v>117</v>
      </c>
      <c r="AH72" s="5">
        <f>VLOOKUP($A72,'SegEnds_NonXtal_Prot#'!$A:$AL,17,FALSE)</f>
        <v>153</v>
      </c>
      <c r="AI72" s="5">
        <f>VLOOKUP($A72,'SegEnds_NonXtal_Prot#'!$A:$AL,20,FALSE)</f>
        <v>161</v>
      </c>
      <c r="AJ72" s="5">
        <f>VLOOKUP($A72,'SegEnds_NonXtal_Prot#'!$A:$AL,23,FALSE)</f>
        <v>187</v>
      </c>
      <c r="AK72" s="5">
        <f>VLOOKUP($A72,'SegEnds_NonXtal_Prot#'!$A:$AL,26,FALSE)</f>
        <v>201</v>
      </c>
      <c r="AL72" s="5">
        <f>VLOOKUP($A72,'SegEnds_NonXtal_Prot#'!$A:$AL,29,FALSE)</f>
        <v>244</v>
      </c>
      <c r="AM72" s="5">
        <f>VLOOKUP($A72,'SegEnds_NonXtal_Prot#'!$A:$AL,32,FALSE)</f>
        <v>339</v>
      </c>
      <c r="AN72" s="5">
        <f>VLOOKUP($A72,'SegEnds_NonXtal_Prot#'!$A:$AL,35,FALSE)</f>
        <v>372</v>
      </c>
      <c r="AO72" s="5">
        <f>VLOOKUP($A72,'SegEnds_NonXtal_Prot#'!$A:$AL,38,FALSE)</f>
        <v>384</v>
      </c>
      <c r="AP72" s="5">
        <f t="shared" si="38"/>
        <v>31</v>
      </c>
      <c r="AQ72" s="4">
        <f t="shared" si="39"/>
        <v>3</v>
      </c>
      <c r="AR72" s="4">
        <f t="shared" si="40"/>
        <v>30</v>
      </c>
      <c r="AS72" s="4">
        <f t="shared" si="41"/>
        <v>3</v>
      </c>
      <c r="AT72" s="4">
        <f t="shared" si="42"/>
        <v>35</v>
      </c>
      <c r="AU72" s="4">
        <f t="shared" si="43"/>
        <v>7</v>
      </c>
      <c r="AV72" s="4">
        <f t="shared" si="44"/>
        <v>25</v>
      </c>
      <c r="AW72" s="4">
        <f t="shared" si="45"/>
        <v>2</v>
      </c>
      <c r="AX72" s="4">
        <f t="shared" si="46"/>
        <v>39</v>
      </c>
      <c r="AY72" s="4">
        <f t="shared" si="47"/>
        <v>36</v>
      </c>
      <c r="AZ72" s="4">
        <f t="shared" si="48"/>
        <v>25</v>
      </c>
      <c r="BA72" s="4">
        <f t="shared" si="49"/>
        <v>11</v>
      </c>
    </row>
    <row r="73" spans="1:53" x14ac:dyDescent="0.2">
      <c r="A73" s="1" t="str">
        <f>'SegEnds_NonXtal_Prot#'!A40</f>
        <v>5ht1d_human</v>
      </c>
      <c r="B73" s="1" t="str">
        <f t="shared" si="25"/>
        <v>QALKISLAVVLSVITLATVLSNAFVLTTILLTTPANYLIGSLATTDLLVSILVMPISIAYTITGQILCDIWLSSDITCCTASILHLCVIALDRYWAITDTAGHAATMIAIVWAISICISIPPLFWQISYTIYSTCGAFYIPSVLLIILYGRIYRAARNRILNPPSRISAARERKATKILGIILGAFIICWLPFFVVSLVLPIHPALFDFFTWLGYLNSLINPIIYTVFNEEFRQAFQKIV</v>
      </c>
      <c r="C73" s="29" t="str">
        <f>IF(ISERROR(MATCH(A73,'SegEnds_Xtal_Prot#'!B:B, 0)), "NoXtal", "Xtal")</f>
        <v>NoXtal</v>
      </c>
      <c r="D73" s="4" t="str">
        <f>VLOOKUP(A73,Classification!A:D,2,FALSE)</f>
        <v>A</v>
      </c>
      <c r="E73" s="5" t="str">
        <f>VLOOKUP(A73,Seqs!A:B,2,FALSE)</f>
        <v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v>
      </c>
      <c r="F73" s="5" t="str">
        <f t="shared" si="26"/>
        <v>QALKISLAVVLSVITLATVLSNAFVLTTILLT</v>
      </c>
      <c r="G73" s="4" t="str">
        <f t="shared" si="27"/>
        <v>RKLH</v>
      </c>
      <c r="H73" s="4" t="str">
        <f t="shared" si="28"/>
        <v>TPANYLIGSLATTDLLVSILVMPISIAYTIT</v>
      </c>
      <c r="I73" s="4" t="str">
        <f t="shared" si="29"/>
        <v>TWNF</v>
      </c>
      <c r="J73" s="4" t="str">
        <f t="shared" si="30"/>
        <v>GQILCDIWLSSDITCCTASILHLCVIALDRYWAITD</v>
      </c>
      <c r="K73" s="4" t="str">
        <f t="shared" si="31"/>
        <v>ALEYSKRR</v>
      </c>
      <c r="L73" s="4" t="str">
        <f t="shared" si="32"/>
        <v>TAGHAATMIAIVWAISICISIPPLFW</v>
      </c>
      <c r="M73" s="4" t="str">
        <f t="shared" si="33"/>
        <v>CLV</v>
      </c>
      <c r="N73" s="4" t="str">
        <f t="shared" si="34"/>
        <v>QISYTIYSTCGAFYIPSVLLIILYGRIYRAARNRILNPPS</v>
      </c>
      <c r="O73" s="4" t="str">
        <f t="shared" si="35"/>
        <v>RISAARERKATKILGIILGAFIICWLPFFVVSLVLPI</v>
      </c>
      <c r="P73" s="4" t="str">
        <f t="shared" si="36"/>
        <v>HPALFDFFTWLGYLNSLINPIIYTVF</v>
      </c>
      <c r="Q73" s="4" t="str">
        <f t="shared" si="37"/>
        <v>NEEFRQAFQKIV</v>
      </c>
      <c r="R73" s="5">
        <f>VLOOKUP($A73,'SegEnds_NonXtal_Prot#'!$A:$AL,3,FALSE)</f>
        <v>35</v>
      </c>
      <c r="S73" s="5">
        <f>VLOOKUP($A73,'SegEnds_NonXtal_Prot#'!$A:$AL,6,FALSE)</f>
        <v>67</v>
      </c>
      <c r="T73" s="5">
        <f>VLOOKUP($A73,'SegEnds_NonXtal_Prot#'!$A:$AL,9,FALSE)</f>
        <v>71</v>
      </c>
      <c r="U73" s="5">
        <f>VLOOKUP($A73,'SegEnds_NonXtal_Prot#'!$A:$AL,12,FALSE)</f>
        <v>103</v>
      </c>
      <c r="V73" s="5">
        <f>VLOOKUP($A73,'SegEnds_NonXtal_Prot#'!$A:$AL,15,FALSE)</f>
        <v>107</v>
      </c>
      <c r="W73" s="5">
        <f>VLOOKUP($A73,'SegEnds_NonXtal_Prot#'!$A:$AL,18,FALSE)</f>
        <v>143</v>
      </c>
      <c r="X73" s="5">
        <f>VLOOKUP($A73,'SegEnds_NonXtal_Prot#'!$A:$AL,21,FALSE)</f>
        <v>151</v>
      </c>
      <c r="Y73" s="5">
        <f>VLOOKUP($A73,'SegEnds_NonXtal_Prot#'!$A:$AL,24,FALSE)</f>
        <v>188</v>
      </c>
      <c r="Z73" s="5">
        <f>VLOOKUP($A73,'SegEnds_NonXtal_Prot#'!$A:$AL,27,FALSE)</f>
        <v>194</v>
      </c>
      <c r="AA73" s="5">
        <f>VLOOKUP($A73,'SegEnds_NonXtal_Prot#'!$A:$AL,30,FALSE)</f>
        <v>290</v>
      </c>
      <c r="AB73" s="5">
        <f>VLOOKUP($A73,'SegEnds_NonXtal_Prot#'!$A:$AL,33,FALSE)</f>
        <v>334</v>
      </c>
      <c r="AC73" s="5">
        <f>VLOOKUP($A73,'SegEnds_NonXtal_Prot#'!$A:$AL,36,FALSE)</f>
        <v>360</v>
      </c>
      <c r="AD73" s="5">
        <f>VLOOKUP($A73,'SegEnds_NonXtal_Prot#'!$A:$AL,5,FALSE)</f>
        <v>66</v>
      </c>
      <c r="AE73" s="5">
        <f>VLOOKUP($A73,'SegEnds_NonXtal_Prot#'!$A:$AL,8,FALSE)</f>
        <v>70</v>
      </c>
      <c r="AF73" s="5">
        <f>VLOOKUP($A73,'SegEnds_NonXtal_Prot#'!$A:$AL,11,FALSE)</f>
        <v>101</v>
      </c>
      <c r="AG73" s="5">
        <f>VLOOKUP($A73,'SegEnds_NonXtal_Prot#'!$A:$AL,14,FALSE)</f>
        <v>106</v>
      </c>
      <c r="AH73" s="5">
        <f>VLOOKUP($A73,'SegEnds_NonXtal_Prot#'!$A:$AL,17,FALSE)</f>
        <v>142</v>
      </c>
      <c r="AI73" s="5">
        <f>VLOOKUP($A73,'SegEnds_NonXtal_Prot#'!$A:$AL,20,FALSE)</f>
        <v>150</v>
      </c>
      <c r="AJ73" s="5">
        <f>VLOOKUP($A73,'SegEnds_NonXtal_Prot#'!$A:$AL,23,FALSE)</f>
        <v>176</v>
      </c>
      <c r="AK73" s="5">
        <f>VLOOKUP($A73,'SegEnds_NonXtal_Prot#'!$A:$AL,26,FALSE)</f>
        <v>190</v>
      </c>
      <c r="AL73" s="5">
        <f>VLOOKUP($A73,'SegEnds_NonXtal_Prot#'!$A:$AL,29,FALSE)</f>
        <v>233</v>
      </c>
      <c r="AM73" s="5">
        <f>VLOOKUP($A73,'SegEnds_NonXtal_Prot#'!$A:$AL,32,FALSE)</f>
        <v>326</v>
      </c>
      <c r="AN73" s="5">
        <f>VLOOKUP($A73,'SegEnds_NonXtal_Prot#'!$A:$AL,35,FALSE)</f>
        <v>359</v>
      </c>
      <c r="AO73" s="5">
        <f>VLOOKUP($A73,'SegEnds_NonXtal_Prot#'!$A:$AL,38,FALSE)</f>
        <v>371</v>
      </c>
      <c r="AP73" s="5">
        <f t="shared" si="38"/>
        <v>31</v>
      </c>
      <c r="AQ73" s="4">
        <f t="shared" si="39"/>
        <v>3</v>
      </c>
      <c r="AR73" s="4">
        <f t="shared" si="40"/>
        <v>30</v>
      </c>
      <c r="AS73" s="4">
        <f t="shared" si="41"/>
        <v>3</v>
      </c>
      <c r="AT73" s="4">
        <f t="shared" si="42"/>
        <v>35</v>
      </c>
      <c r="AU73" s="4">
        <f t="shared" si="43"/>
        <v>7</v>
      </c>
      <c r="AV73" s="4">
        <f t="shared" si="44"/>
        <v>25</v>
      </c>
      <c r="AW73" s="4">
        <f t="shared" si="45"/>
        <v>2</v>
      </c>
      <c r="AX73" s="4">
        <f t="shared" si="46"/>
        <v>39</v>
      </c>
      <c r="AY73" s="4">
        <f t="shared" si="47"/>
        <v>36</v>
      </c>
      <c r="AZ73" s="4">
        <f t="shared" si="48"/>
        <v>25</v>
      </c>
      <c r="BA73" s="4">
        <f t="shared" si="49"/>
        <v>11</v>
      </c>
    </row>
    <row r="74" spans="1:53" x14ac:dyDescent="0.2">
      <c r="A74" s="1" t="str">
        <f>'SegEnds_NonXtal_Prot#'!A41</f>
        <v>5ht1e_human</v>
      </c>
      <c r="B74" s="1" t="str">
        <f t="shared" si="25"/>
        <v>ITEKMLICMTLVVITTLTTLLNLAVIMAIGTTQPANYLICSLAVTDLLVAVLVMPLSIIYIVMGYFLCEVWLSVDMTCCTCSILHLCVIALDRYWAITNTAKRAALMILTVWTISIFISMPPLFWHVIYTIYSTLGAFYIPLTLILILYYRIYHAAKSLYQKRGSSRQISSTRERKAARILGLILGAFILSWLPFFIKELIVGLSSSEVADFLTWLGYVNSLINPLLYTSFNEDFKLAFKKLI</v>
      </c>
      <c r="C74" s="29" t="str">
        <f>IF(ISERROR(MATCH(A74,'SegEnds_Xtal_Prot#'!B:B, 0)), "NoXtal", "Xtal")</f>
        <v>NoXtal</v>
      </c>
      <c r="D74" s="4" t="str">
        <f>VLOOKUP(A74,Classification!A:D,2,FALSE)</f>
        <v>A</v>
      </c>
      <c r="E74" s="5" t="str">
        <f>VLOOKUP(A74,Seqs!A:B,2,FALSE)</f>
        <v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v>
      </c>
      <c r="F74" s="5" t="str">
        <f t="shared" si="26"/>
        <v>ITEKMLICMTLVVITTLTTLLNLAVIMAIGTT</v>
      </c>
      <c r="G74" s="4" t="str">
        <f t="shared" si="27"/>
        <v>KKLH</v>
      </c>
      <c r="H74" s="4" t="str">
        <f t="shared" si="28"/>
        <v>QPANYLICSLAVTDLLVAVLVMPLSIIYIVM</v>
      </c>
      <c r="I74" s="4" t="str">
        <f t="shared" si="29"/>
        <v>RWKL</v>
      </c>
      <c r="J74" s="4" t="str">
        <f t="shared" si="30"/>
        <v>GYFLCEVWLSVDMTCCTCSILHLCVIALDRYWAITN</v>
      </c>
      <c r="K74" s="4" t="str">
        <f t="shared" si="31"/>
        <v>AIEYARKR</v>
      </c>
      <c r="L74" s="4" t="str">
        <f t="shared" si="32"/>
        <v>TAKRAALMILTVWTISIFISMPPLFW</v>
      </c>
      <c r="M74" s="4" t="str">
        <f t="shared" si="33"/>
        <v>CTI</v>
      </c>
      <c r="N74" s="4" t="str">
        <f t="shared" si="34"/>
        <v>HVIYTIYSTLGAFYIPLTLILILYYRIYHAAKSLYQKRGSSR</v>
      </c>
      <c r="O74" s="4" t="str">
        <f t="shared" si="35"/>
        <v>QISSTRERKAARILGLILGAFILSWLPFFIKELIVGLS</v>
      </c>
      <c r="P74" s="4" t="str">
        <f t="shared" si="36"/>
        <v>SSEVADFLTWLGYVNSLINPLLYTSF</v>
      </c>
      <c r="Q74" s="4" t="str">
        <f t="shared" si="37"/>
        <v>NEDFKLAFKKLI</v>
      </c>
      <c r="R74" s="5">
        <f>VLOOKUP($A74,'SegEnds_NonXtal_Prot#'!$A:$AL,3,FALSE)</f>
        <v>19</v>
      </c>
      <c r="S74" s="5">
        <f>VLOOKUP($A74,'SegEnds_NonXtal_Prot#'!$A:$AL,6,FALSE)</f>
        <v>51</v>
      </c>
      <c r="T74" s="5">
        <f>VLOOKUP($A74,'SegEnds_NonXtal_Prot#'!$A:$AL,9,FALSE)</f>
        <v>55</v>
      </c>
      <c r="U74" s="5">
        <f>VLOOKUP($A74,'SegEnds_NonXtal_Prot#'!$A:$AL,12,FALSE)</f>
        <v>87</v>
      </c>
      <c r="V74" s="5">
        <f>VLOOKUP($A74,'SegEnds_NonXtal_Prot#'!$A:$AL,15,FALSE)</f>
        <v>91</v>
      </c>
      <c r="W74" s="5">
        <f>VLOOKUP($A74,'SegEnds_NonXtal_Prot#'!$A:$AL,18,FALSE)</f>
        <v>127</v>
      </c>
      <c r="X74" s="5">
        <f>VLOOKUP($A74,'SegEnds_NonXtal_Prot#'!$A:$AL,21,FALSE)</f>
        <v>135</v>
      </c>
      <c r="Y74" s="5">
        <f>VLOOKUP($A74,'SegEnds_NonXtal_Prot#'!$A:$AL,24,FALSE)</f>
        <v>173</v>
      </c>
      <c r="Z74" s="5">
        <f>VLOOKUP($A74,'SegEnds_NonXtal_Prot#'!$A:$AL,27,FALSE)</f>
        <v>179</v>
      </c>
      <c r="AA74" s="5">
        <f>VLOOKUP($A74,'SegEnds_NonXtal_Prot#'!$A:$AL,30,FALSE)</f>
        <v>280</v>
      </c>
      <c r="AB74" s="5">
        <f>VLOOKUP($A74,'SegEnds_NonXtal_Prot#'!$A:$AL,33,FALSE)</f>
        <v>322</v>
      </c>
      <c r="AC74" s="5">
        <f>VLOOKUP($A74,'SegEnds_NonXtal_Prot#'!$A:$AL,36,FALSE)</f>
        <v>348</v>
      </c>
      <c r="AD74" s="5">
        <f>VLOOKUP($A74,'SegEnds_NonXtal_Prot#'!$A:$AL,5,FALSE)</f>
        <v>50</v>
      </c>
      <c r="AE74" s="5">
        <f>VLOOKUP($A74,'SegEnds_NonXtal_Prot#'!$A:$AL,8,FALSE)</f>
        <v>54</v>
      </c>
      <c r="AF74" s="5">
        <f>VLOOKUP($A74,'SegEnds_NonXtal_Prot#'!$A:$AL,11,FALSE)</f>
        <v>85</v>
      </c>
      <c r="AG74" s="5">
        <f>VLOOKUP($A74,'SegEnds_NonXtal_Prot#'!$A:$AL,14,FALSE)</f>
        <v>90</v>
      </c>
      <c r="AH74" s="5">
        <f>VLOOKUP($A74,'SegEnds_NonXtal_Prot#'!$A:$AL,17,FALSE)</f>
        <v>126</v>
      </c>
      <c r="AI74" s="5">
        <f>VLOOKUP($A74,'SegEnds_NonXtal_Prot#'!$A:$AL,20,FALSE)</f>
        <v>134</v>
      </c>
      <c r="AJ74" s="5">
        <f>VLOOKUP($A74,'SegEnds_NonXtal_Prot#'!$A:$AL,23,FALSE)</f>
        <v>160</v>
      </c>
      <c r="AK74" s="5">
        <f>VLOOKUP($A74,'SegEnds_NonXtal_Prot#'!$A:$AL,26,FALSE)</f>
        <v>175</v>
      </c>
      <c r="AL74" s="5">
        <f>VLOOKUP($A74,'SegEnds_NonXtal_Prot#'!$A:$AL,29,FALSE)</f>
        <v>220</v>
      </c>
      <c r="AM74" s="5">
        <f>VLOOKUP($A74,'SegEnds_NonXtal_Prot#'!$A:$AL,32,FALSE)</f>
        <v>317</v>
      </c>
      <c r="AN74" s="5">
        <f>VLOOKUP($A74,'SegEnds_NonXtal_Prot#'!$A:$AL,35,FALSE)</f>
        <v>347</v>
      </c>
      <c r="AO74" s="5">
        <f>VLOOKUP($A74,'SegEnds_NonXtal_Prot#'!$A:$AL,38,FALSE)</f>
        <v>359</v>
      </c>
      <c r="AP74" s="5">
        <f t="shared" si="38"/>
        <v>31</v>
      </c>
      <c r="AQ74" s="4">
        <f t="shared" si="39"/>
        <v>3</v>
      </c>
      <c r="AR74" s="4">
        <f t="shared" si="40"/>
        <v>30</v>
      </c>
      <c r="AS74" s="4">
        <f t="shared" si="41"/>
        <v>3</v>
      </c>
      <c r="AT74" s="4">
        <f t="shared" si="42"/>
        <v>35</v>
      </c>
      <c r="AU74" s="4">
        <f t="shared" si="43"/>
        <v>7</v>
      </c>
      <c r="AV74" s="4">
        <f t="shared" si="44"/>
        <v>25</v>
      </c>
      <c r="AW74" s="4">
        <f t="shared" si="45"/>
        <v>2</v>
      </c>
      <c r="AX74" s="4">
        <f t="shared" si="46"/>
        <v>41</v>
      </c>
      <c r="AY74" s="4">
        <f t="shared" si="47"/>
        <v>37</v>
      </c>
      <c r="AZ74" s="4">
        <f t="shared" si="48"/>
        <v>25</v>
      </c>
      <c r="BA74" s="4">
        <f t="shared" si="49"/>
        <v>11</v>
      </c>
    </row>
    <row r="75" spans="1:53" x14ac:dyDescent="0.2">
      <c r="A75" s="1" t="str">
        <f>'SegEnds_NonXtal_Prot#'!A42</f>
        <v>5ht1f_human</v>
      </c>
      <c r="B75" s="1" t="str">
        <f t="shared" si="25"/>
        <v>MPSKILVSLTLSGLALMTTTINSLVIAAIIVTHPANYLICSLAVTDFLVAVLVMPFSIVYIVRGQVVCDIWLSVDITCCTCSILHLSAIALDRYRAITDTPKHAGIMITIVWIISVFISMPPLFWHIVSTIYSTFGAFYIPLALILILYYKIYRAAKTLYHKRQASRKISGTRERKAATTLGLILGAFVICWLPFFVKELVVNVCSEEMSNFLAWLGYLNSLINPLIYTIFNEDFKKAFQKLV</v>
      </c>
      <c r="C75" s="29" t="str">
        <f>IF(ISERROR(MATCH(A75,'SegEnds_Xtal_Prot#'!B:B, 0)), "NoXtal", "Xtal")</f>
        <v>NoXtal</v>
      </c>
      <c r="D75" s="4" t="str">
        <f>VLOOKUP(A75,Classification!A:D,2,FALSE)</f>
        <v>A</v>
      </c>
      <c r="E75" s="5" t="str">
        <f>VLOOKUP(A75,Seqs!A:B,2,FALSE)</f>
        <v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v>
      </c>
      <c r="F75" s="5" t="str">
        <f t="shared" si="26"/>
        <v>MPSKILVSLTLSGLALMTTTINSLVIAAIIVT</v>
      </c>
      <c r="G75" s="4" t="str">
        <f t="shared" si="27"/>
        <v>RKLH</v>
      </c>
      <c r="H75" s="4" t="str">
        <f t="shared" si="28"/>
        <v>HPANYLICSLAVTDFLVAVLVMPFSIVYIVR</v>
      </c>
      <c r="I75" s="4" t="str">
        <f t="shared" si="29"/>
        <v>SWIM</v>
      </c>
      <c r="J75" s="4" t="str">
        <f t="shared" si="30"/>
        <v>GQVVCDIWLSVDITCCTCSILHLSAIALDRYRAITD</v>
      </c>
      <c r="K75" s="4" t="str">
        <f t="shared" si="31"/>
        <v>AVEYARKR</v>
      </c>
      <c r="L75" s="4" t="str">
        <f t="shared" si="32"/>
        <v>TPKHAGIMITIVWIISVFISMPPLFW</v>
      </c>
      <c r="M75" s="4" t="str">
        <f t="shared" si="33"/>
        <v>CII</v>
      </c>
      <c r="N75" s="4" t="str">
        <f t="shared" si="34"/>
        <v>HIVSTIYSTFGAFYIPLALILILYYKIYRAAKTLYHKRQASR</v>
      </c>
      <c r="O75" s="4" t="str">
        <f t="shared" si="35"/>
        <v>KISGTRERKAATTLGLILGAFVICWLPFFVKELVVNVC</v>
      </c>
      <c r="P75" s="4" t="str">
        <f t="shared" si="36"/>
        <v>SEEMSNFLAWLGYLNSLINPLIYTIF</v>
      </c>
      <c r="Q75" s="4" t="str">
        <f t="shared" si="37"/>
        <v>NEDFKKAFQKLV</v>
      </c>
      <c r="R75" s="5">
        <f>VLOOKUP($A75,'SegEnds_NonXtal_Prot#'!$A:$AL,3,FALSE)</f>
        <v>20</v>
      </c>
      <c r="S75" s="5">
        <f>VLOOKUP($A75,'SegEnds_NonXtal_Prot#'!$A:$AL,6,FALSE)</f>
        <v>52</v>
      </c>
      <c r="T75" s="5">
        <f>VLOOKUP($A75,'SegEnds_NonXtal_Prot#'!$A:$AL,9,FALSE)</f>
        <v>56</v>
      </c>
      <c r="U75" s="5">
        <f>VLOOKUP($A75,'SegEnds_NonXtal_Prot#'!$A:$AL,12,FALSE)</f>
        <v>88</v>
      </c>
      <c r="V75" s="5">
        <f>VLOOKUP($A75,'SegEnds_NonXtal_Prot#'!$A:$AL,15,FALSE)</f>
        <v>92</v>
      </c>
      <c r="W75" s="5">
        <f>VLOOKUP($A75,'SegEnds_NonXtal_Prot#'!$A:$AL,18,FALSE)</f>
        <v>128</v>
      </c>
      <c r="X75" s="5">
        <f>VLOOKUP($A75,'SegEnds_NonXtal_Prot#'!$A:$AL,21,FALSE)</f>
        <v>136</v>
      </c>
      <c r="Y75" s="5">
        <f>VLOOKUP($A75,'SegEnds_NonXtal_Prot#'!$A:$AL,24,FALSE)</f>
        <v>172</v>
      </c>
      <c r="Z75" s="5">
        <f>VLOOKUP($A75,'SegEnds_NonXtal_Prot#'!$A:$AL,27,FALSE)</f>
        <v>178</v>
      </c>
      <c r="AA75" s="5">
        <f>VLOOKUP($A75,'SegEnds_NonXtal_Prot#'!$A:$AL,30,FALSE)</f>
        <v>282</v>
      </c>
      <c r="AB75" s="5">
        <f>VLOOKUP($A75,'SegEnds_NonXtal_Prot#'!$A:$AL,33,FALSE)</f>
        <v>325</v>
      </c>
      <c r="AC75" s="5">
        <f>VLOOKUP($A75,'SegEnds_NonXtal_Prot#'!$A:$AL,36,FALSE)</f>
        <v>351</v>
      </c>
      <c r="AD75" s="5">
        <f>VLOOKUP($A75,'SegEnds_NonXtal_Prot#'!$A:$AL,5,FALSE)</f>
        <v>51</v>
      </c>
      <c r="AE75" s="5">
        <f>VLOOKUP($A75,'SegEnds_NonXtal_Prot#'!$A:$AL,8,FALSE)</f>
        <v>55</v>
      </c>
      <c r="AF75" s="5">
        <f>VLOOKUP($A75,'SegEnds_NonXtal_Prot#'!$A:$AL,11,FALSE)</f>
        <v>86</v>
      </c>
      <c r="AG75" s="5">
        <f>VLOOKUP($A75,'SegEnds_NonXtal_Prot#'!$A:$AL,14,FALSE)</f>
        <v>91</v>
      </c>
      <c r="AH75" s="5">
        <f>VLOOKUP($A75,'SegEnds_NonXtal_Prot#'!$A:$AL,17,FALSE)</f>
        <v>127</v>
      </c>
      <c r="AI75" s="5">
        <f>VLOOKUP($A75,'SegEnds_NonXtal_Prot#'!$A:$AL,20,FALSE)</f>
        <v>135</v>
      </c>
      <c r="AJ75" s="5">
        <f>VLOOKUP($A75,'SegEnds_NonXtal_Prot#'!$A:$AL,23,FALSE)</f>
        <v>161</v>
      </c>
      <c r="AK75" s="5">
        <f>VLOOKUP($A75,'SegEnds_NonXtal_Prot#'!$A:$AL,26,FALSE)</f>
        <v>174</v>
      </c>
      <c r="AL75" s="5">
        <f>VLOOKUP($A75,'SegEnds_NonXtal_Prot#'!$A:$AL,29,FALSE)</f>
        <v>219</v>
      </c>
      <c r="AM75" s="5">
        <f>VLOOKUP($A75,'SegEnds_NonXtal_Prot#'!$A:$AL,32,FALSE)</f>
        <v>319</v>
      </c>
      <c r="AN75" s="5">
        <f>VLOOKUP($A75,'SegEnds_NonXtal_Prot#'!$A:$AL,35,FALSE)</f>
        <v>350</v>
      </c>
      <c r="AO75" s="5">
        <f>VLOOKUP($A75,'SegEnds_NonXtal_Prot#'!$A:$AL,38,FALSE)</f>
        <v>362</v>
      </c>
      <c r="AP75" s="5">
        <f t="shared" si="38"/>
        <v>31</v>
      </c>
      <c r="AQ75" s="4">
        <f t="shared" si="39"/>
        <v>3</v>
      </c>
      <c r="AR75" s="4">
        <f t="shared" si="40"/>
        <v>30</v>
      </c>
      <c r="AS75" s="4">
        <f t="shared" si="41"/>
        <v>3</v>
      </c>
      <c r="AT75" s="4">
        <f t="shared" si="42"/>
        <v>35</v>
      </c>
      <c r="AU75" s="4">
        <f t="shared" si="43"/>
        <v>7</v>
      </c>
      <c r="AV75" s="4">
        <f t="shared" si="44"/>
        <v>25</v>
      </c>
      <c r="AW75" s="4">
        <f t="shared" si="45"/>
        <v>2</v>
      </c>
      <c r="AX75" s="4">
        <f t="shared" si="46"/>
        <v>41</v>
      </c>
      <c r="AY75" s="4">
        <f t="shared" si="47"/>
        <v>37</v>
      </c>
      <c r="AZ75" s="4">
        <f t="shared" si="48"/>
        <v>25</v>
      </c>
      <c r="BA75" s="4">
        <f t="shared" si="49"/>
        <v>11</v>
      </c>
    </row>
    <row r="76" spans="1:53" x14ac:dyDescent="0.2">
      <c r="A76" s="1" t="str">
        <f>'SegEnds_NonXtal_Prot#'!A43</f>
        <v>5ht2a_human</v>
      </c>
      <c r="B76" s="1" t="str">
        <f t="shared" si="25"/>
        <v>KNWSALLTAVVIILTIAGNILVIMAVSLENATNYFLMSLAIADMLLGFLVMPVSMLTILYPSKLCAVWIYLDVLFSTASIMHLCAISLDRYVAIQNSRTKAFLKIIAVWTISVGISMPIPVFGDDNFVLIGSFVSFFIPLTIMVITYFLTIKSLQKEATLCVSDLMQSISNEQKACKVLGIVFFLFVVMWCPFFITNIMAVICEDVIGALLNVFVWIGYLSSAVNPLVYTLFNKTYRSAFSRYI</v>
      </c>
      <c r="C76" s="29" t="str">
        <f>IF(ISERROR(MATCH(A76,'SegEnds_Xtal_Prot#'!B:B, 0)), "NoXtal", "Xtal")</f>
        <v>NoXtal</v>
      </c>
      <c r="D76" s="4" t="str">
        <f>VLOOKUP(A76,Classification!A:D,2,FALSE)</f>
        <v>A</v>
      </c>
      <c r="E76" s="5" t="str">
        <f>VLOOKUP(A76,Seqs!A:B,2,FALSE)</f>
        <v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v>
      </c>
      <c r="F76" s="5" t="str">
        <f t="shared" si="26"/>
        <v>KNWSALLTAVVIILTIAGNILVIMAVSLE</v>
      </c>
      <c r="G76" s="4" t="str">
        <f t="shared" si="27"/>
        <v>KKLQ</v>
      </c>
      <c r="H76" s="4" t="str">
        <f t="shared" si="28"/>
        <v>NATNYFLMSLAIADMLLGFLVMPVSMLTILY</v>
      </c>
      <c r="I76" s="4" t="str">
        <f t="shared" si="29"/>
        <v>RWPL</v>
      </c>
      <c r="J76" s="4" t="str">
        <f t="shared" si="30"/>
        <v>PSKLCAVWIYLDVLFSTASIMHLCAISLDRYVAIQN</v>
      </c>
      <c r="K76" s="4" t="str">
        <f t="shared" si="31"/>
        <v>PIHHSRFN</v>
      </c>
      <c r="L76" s="4" t="str">
        <f t="shared" si="32"/>
        <v>SRTKAFLKIIAVWTISVGISMPIPVFG</v>
      </c>
      <c r="M76" s="4" t="str">
        <f t="shared" si="33"/>
        <v>CLL</v>
      </c>
      <c r="N76" s="4" t="str">
        <f t="shared" si="34"/>
        <v>DDNFVLIGSFVSFFIPLTIMVITYFLTIKSLQKEATLCVSDL</v>
      </c>
      <c r="O76" s="4" t="str">
        <f t="shared" si="35"/>
        <v>MQSISNEQKACKVLGIVFFLFVVMWCPFFITNIMAVIC</v>
      </c>
      <c r="P76" s="4" t="str">
        <f t="shared" si="36"/>
        <v>EDVIGALLNVFVWIGYLSSAVNPLVYTLF</v>
      </c>
      <c r="Q76" s="4" t="str">
        <f t="shared" si="37"/>
        <v>NKTYRSAFSRYI</v>
      </c>
      <c r="R76" s="5">
        <f>VLOOKUP($A76,'SegEnds_NonXtal_Prot#'!$A:$AL,3,FALSE)</f>
        <v>74</v>
      </c>
      <c r="S76" s="5">
        <f>VLOOKUP($A76,'SegEnds_NonXtal_Prot#'!$A:$AL,6,FALSE)</f>
        <v>103</v>
      </c>
      <c r="T76" s="5">
        <f>VLOOKUP($A76,'SegEnds_NonXtal_Prot#'!$A:$AL,9,FALSE)</f>
        <v>107</v>
      </c>
      <c r="U76" s="5">
        <f>VLOOKUP($A76,'SegEnds_NonXtal_Prot#'!$A:$AL,12,FALSE)</f>
        <v>140</v>
      </c>
      <c r="V76" s="5">
        <f>VLOOKUP($A76,'SegEnds_NonXtal_Prot#'!$A:$AL,15,FALSE)</f>
        <v>144</v>
      </c>
      <c r="W76" s="5">
        <f>VLOOKUP($A76,'SegEnds_NonXtal_Prot#'!$A:$AL,18,FALSE)</f>
        <v>180</v>
      </c>
      <c r="X76" s="5">
        <f>VLOOKUP($A76,'SegEnds_NonXtal_Prot#'!$A:$AL,21,FALSE)</f>
        <v>188</v>
      </c>
      <c r="Y76" s="5">
        <f>VLOOKUP($A76,'SegEnds_NonXtal_Prot#'!$A:$AL,24,FALSE)</f>
        <v>227</v>
      </c>
      <c r="Z76" s="5">
        <f>VLOOKUP($A76,'SegEnds_NonXtal_Prot#'!$A:$AL,27,FALSE)</f>
        <v>231</v>
      </c>
      <c r="AA76" s="5">
        <f>VLOOKUP($A76,'SegEnds_NonXtal_Prot#'!$A:$AL,30,FALSE)</f>
        <v>312</v>
      </c>
      <c r="AB76" s="5">
        <f>VLOOKUP($A76,'SegEnds_NonXtal_Prot#'!$A:$AL,33,FALSE)</f>
        <v>355</v>
      </c>
      <c r="AC76" s="5">
        <f>VLOOKUP($A76,'SegEnds_NonXtal_Prot#'!$A:$AL,36,FALSE)</f>
        <v>384</v>
      </c>
      <c r="AD76" s="5">
        <f>VLOOKUP($A76,'SegEnds_NonXtal_Prot#'!$A:$AL,5,FALSE)</f>
        <v>102</v>
      </c>
      <c r="AE76" s="5">
        <f>VLOOKUP($A76,'SegEnds_NonXtal_Prot#'!$A:$AL,8,FALSE)</f>
        <v>106</v>
      </c>
      <c r="AF76" s="5">
        <f>VLOOKUP($A76,'SegEnds_NonXtal_Prot#'!$A:$AL,11,FALSE)</f>
        <v>137</v>
      </c>
      <c r="AG76" s="5">
        <f>VLOOKUP($A76,'SegEnds_NonXtal_Prot#'!$A:$AL,14,FALSE)</f>
        <v>143</v>
      </c>
      <c r="AH76" s="5">
        <f>VLOOKUP($A76,'SegEnds_NonXtal_Prot#'!$A:$AL,17,FALSE)</f>
        <v>179</v>
      </c>
      <c r="AI76" s="5">
        <f>VLOOKUP($A76,'SegEnds_NonXtal_Prot#'!$A:$AL,20,FALSE)</f>
        <v>187</v>
      </c>
      <c r="AJ76" s="5">
        <f>VLOOKUP($A76,'SegEnds_NonXtal_Prot#'!$A:$AL,23,FALSE)</f>
        <v>214</v>
      </c>
      <c r="AK76" s="5">
        <f>VLOOKUP($A76,'SegEnds_NonXtal_Prot#'!$A:$AL,26,FALSE)</f>
        <v>229</v>
      </c>
      <c r="AL76" s="5">
        <f>VLOOKUP($A76,'SegEnds_NonXtal_Prot#'!$A:$AL,29,FALSE)</f>
        <v>272</v>
      </c>
      <c r="AM76" s="5">
        <f>VLOOKUP($A76,'SegEnds_NonXtal_Prot#'!$A:$AL,32,FALSE)</f>
        <v>349</v>
      </c>
      <c r="AN76" s="5">
        <f>VLOOKUP($A76,'SegEnds_NonXtal_Prot#'!$A:$AL,35,FALSE)</f>
        <v>383</v>
      </c>
      <c r="AO76" s="5">
        <f>VLOOKUP($A76,'SegEnds_NonXtal_Prot#'!$A:$AL,38,FALSE)</f>
        <v>395</v>
      </c>
      <c r="AP76" s="5">
        <f t="shared" si="38"/>
        <v>28</v>
      </c>
      <c r="AQ76" s="4">
        <f t="shared" si="39"/>
        <v>3</v>
      </c>
      <c r="AR76" s="4">
        <f t="shared" si="40"/>
        <v>30</v>
      </c>
      <c r="AS76" s="4">
        <f t="shared" si="41"/>
        <v>3</v>
      </c>
      <c r="AT76" s="4">
        <f t="shared" si="42"/>
        <v>35</v>
      </c>
      <c r="AU76" s="4">
        <f t="shared" si="43"/>
        <v>7</v>
      </c>
      <c r="AV76" s="4">
        <f t="shared" si="44"/>
        <v>26</v>
      </c>
      <c r="AW76" s="4">
        <f t="shared" si="45"/>
        <v>2</v>
      </c>
      <c r="AX76" s="4">
        <f t="shared" si="46"/>
        <v>41</v>
      </c>
      <c r="AY76" s="4">
        <f t="shared" si="47"/>
        <v>37</v>
      </c>
      <c r="AZ76" s="4">
        <f t="shared" si="48"/>
        <v>28</v>
      </c>
      <c r="BA76" s="4">
        <f t="shared" si="49"/>
        <v>11</v>
      </c>
    </row>
    <row r="77" spans="1:53" x14ac:dyDescent="0.2">
      <c r="A77" s="1" t="str">
        <f>'SegEnds_NonXtal_Prot#'!A44</f>
        <v>5ht2b_human</v>
      </c>
      <c r="B77" s="1" t="str">
        <f t="shared" si="25"/>
        <v>LHWAALLILMVIIPTIGGNTLVILAVSLEYATNYFLMSLAVADLLVGLFVMPIALLTIMFPLVLCPAWLFLDVLFSTASIMHLCAISVDRYIAIKKSRATAFIKITVVWLISIGIAIPVPIKGFGDFMLFGSLAAFFTPLAIMIVTYFLTIHALQKKAYLVKNKPVQTISNEQRASKVLGIVFFLFLLMWCPFFITNITLVLCQTTLQMLLEIFVWIGYVSSGVNPLVYTLFNKTFRDAFGRYI</v>
      </c>
      <c r="C77" s="29" t="str">
        <f>IF(ISERROR(MATCH(A77,'SegEnds_Xtal_Prot#'!B:B, 0)), "NoXtal", "Xtal")</f>
        <v>Xtal</v>
      </c>
      <c r="D77" s="4" t="str">
        <f>VLOOKUP(A77,Classification!A:D,2,FALSE)</f>
        <v>A</v>
      </c>
      <c r="E77" s="5" t="str">
        <f>VLOOKUP(A77,Seqs!A:B,2,FALSE)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F77" s="5" t="str">
        <f t="shared" si="26"/>
        <v>LHWAALLILMVIIPTIGGNTLVILAVSLE</v>
      </c>
      <c r="G77" s="4" t="str">
        <f t="shared" si="27"/>
        <v>KKLQ</v>
      </c>
      <c r="H77" s="4" t="str">
        <f t="shared" si="28"/>
        <v>YATNYFLMSLAVADLLVGLFVMPIALLTIMF</v>
      </c>
      <c r="I77" s="4" t="str">
        <f t="shared" si="29"/>
        <v>MWPL</v>
      </c>
      <c r="J77" s="4" t="str">
        <f t="shared" si="30"/>
        <v>PLVLCPAWLFLDVLFSTASIMHLCAISVDRYIAIKK</v>
      </c>
      <c r="K77" s="4" t="str">
        <f t="shared" si="31"/>
        <v>PIQANQYN</v>
      </c>
      <c r="L77" s="4" t="str">
        <f t="shared" si="32"/>
        <v>SRATAFIKITVVWLISIGIAIPVPIKG</v>
      </c>
      <c r="M77" s="4" t="str">
        <f t="shared" si="33"/>
        <v>CVL</v>
      </c>
      <c r="N77" s="4" t="str">
        <f t="shared" si="34"/>
        <v>FGDFMLFGSLAAFFTPLAIMIVTYFLTIHALQKKAYLVKNKP</v>
      </c>
      <c r="O77" s="4" t="str">
        <f t="shared" si="35"/>
        <v>VQTISNEQRASKVLGIVFFLFLLMWCPFFITNITLVLC</v>
      </c>
      <c r="P77" s="4" t="str">
        <f t="shared" si="36"/>
        <v>QTTLQMLLEIFVWIGYVSSGVNPLVYTLF</v>
      </c>
      <c r="Q77" s="4" t="str">
        <f t="shared" si="37"/>
        <v>NKTFRDAFGRYI</v>
      </c>
      <c r="R77" s="5">
        <f>VLOOKUP($A77,'SegEnds_NonXtal_Prot#'!$A:$AL,3,FALSE)</f>
        <v>54</v>
      </c>
      <c r="S77" s="5">
        <f>VLOOKUP($A77,'SegEnds_NonXtal_Prot#'!$A:$AL,6,FALSE)</f>
        <v>83</v>
      </c>
      <c r="T77" s="5">
        <f>VLOOKUP($A77,'SegEnds_NonXtal_Prot#'!$A:$AL,9,FALSE)</f>
        <v>87</v>
      </c>
      <c r="U77" s="5">
        <f>VLOOKUP($A77,'SegEnds_NonXtal_Prot#'!$A:$AL,12,FALSE)</f>
        <v>120</v>
      </c>
      <c r="V77" s="5">
        <f>VLOOKUP($A77,'SegEnds_NonXtal_Prot#'!$A:$AL,15,FALSE)</f>
        <v>124</v>
      </c>
      <c r="W77" s="5">
        <f>VLOOKUP($A77,'SegEnds_NonXtal_Prot#'!$A:$AL,18,FALSE)</f>
        <v>160</v>
      </c>
      <c r="X77" s="5">
        <f>VLOOKUP($A77,'SegEnds_NonXtal_Prot#'!$A:$AL,21,FALSE)</f>
        <v>168</v>
      </c>
      <c r="Y77" s="5">
        <f>VLOOKUP($A77,'SegEnds_NonXtal_Prot#'!$A:$AL,24,FALSE)</f>
        <v>207</v>
      </c>
      <c r="Z77" s="5">
        <f>VLOOKUP($A77,'SegEnds_NonXtal_Prot#'!$A:$AL,27,FALSE)</f>
        <v>214</v>
      </c>
      <c r="AA77" s="5">
        <f>VLOOKUP($A77,'SegEnds_NonXtal_Prot#'!$A:$AL,30,FALSE)</f>
        <v>313</v>
      </c>
      <c r="AB77" s="5">
        <f>VLOOKUP($A77,'SegEnds_NonXtal_Prot#'!$A:$AL,33,FALSE)</f>
        <v>355</v>
      </c>
      <c r="AC77" s="5">
        <f>VLOOKUP($A77,'SegEnds_NonXtal_Prot#'!$A:$AL,36,FALSE)</f>
        <v>384</v>
      </c>
      <c r="AD77" s="5">
        <f>VLOOKUP($A77,'SegEnds_NonXtal_Prot#'!$A:$AL,5,FALSE)</f>
        <v>82</v>
      </c>
      <c r="AE77" s="5">
        <f>VLOOKUP($A77,'SegEnds_NonXtal_Prot#'!$A:$AL,8,FALSE)</f>
        <v>86</v>
      </c>
      <c r="AF77" s="5">
        <f>VLOOKUP($A77,'SegEnds_NonXtal_Prot#'!$A:$AL,11,FALSE)</f>
        <v>117</v>
      </c>
      <c r="AG77" s="5">
        <f>VLOOKUP($A77,'SegEnds_NonXtal_Prot#'!$A:$AL,14,FALSE)</f>
        <v>123</v>
      </c>
      <c r="AH77" s="5">
        <f>VLOOKUP($A77,'SegEnds_NonXtal_Prot#'!$A:$AL,17,FALSE)</f>
        <v>159</v>
      </c>
      <c r="AI77" s="5">
        <f>VLOOKUP($A77,'SegEnds_NonXtal_Prot#'!$A:$AL,20,FALSE)</f>
        <v>167</v>
      </c>
      <c r="AJ77" s="5">
        <f>VLOOKUP($A77,'SegEnds_NonXtal_Prot#'!$A:$AL,23,FALSE)</f>
        <v>194</v>
      </c>
      <c r="AK77" s="5">
        <f>VLOOKUP($A77,'SegEnds_NonXtal_Prot#'!$A:$AL,26,FALSE)</f>
        <v>209</v>
      </c>
      <c r="AL77" s="5">
        <f>VLOOKUP($A77,'SegEnds_NonXtal_Prot#'!$A:$AL,29,FALSE)</f>
        <v>255</v>
      </c>
      <c r="AM77" s="5">
        <f>VLOOKUP($A77,'SegEnds_NonXtal_Prot#'!$A:$AL,32,FALSE)</f>
        <v>350</v>
      </c>
      <c r="AN77" s="5">
        <f>VLOOKUP($A77,'SegEnds_NonXtal_Prot#'!$A:$AL,35,FALSE)</f>
        <v>383</v>
      </c>
      <c r="AO77" s="5">
        <f>VLOOKUP($A77,'SegEnds_NonXtal_Prot#'!$A:$AL,38,FALSE)</f>
        <v>395</v>
      </c>
      <c r="AP77" s="5">
        <f t="shared" si="38"/>
        <v>28</v>
      </c>
      <c r="AQ77" s="4">
        <f t="shared" si="39"/>
        <v>3</v>
      </c>
      <c r="AR77" s="4">
        <f t="shared" si="40"/>
        <v>30</v>
      </c>
      <c r="AS77" s="4">
        <f t="shared" si="41"/>
        <v>3</v>
      </c>
      <c r="AT77" s="4">
        <f t="shared" si="42"/>
        <v>35</v>
      </c>
      <c r="AU77" s="4">
        <f t="shared" si="43"/>
        <v>7</v>
      </c>
      <c r="AV77" s="4">
        <f t="shared" si="44"/>
        <v>26</v>
      </c>
      <c r="AW77" s="4">
        <f t="shared" si="45"/>
        <v>2</v>
      </c>
      <c r="AX77" s="4">
        <f t="shared" si="46"/>
        <v>41</v>
      </c>
      <c r="AY77" s="4">
        <f t="shared" si="47"/>
        <v>37</v>
      </c>
      <c r="AZ77" s="4">
        <f t="shared" si="48"/>
        <v>28</v>
      </c>
      <c r="BA77" s="4">
        <f t="shared" si="49"/>
        <v>11</v>
      </c>
    </row>
    <row r="78" spans="1:53" x14ac:dyDescent="0.2">
      <c r="A78" s="1" t="str">
        <f>'SegEnds_NonXtal_Prot#'!A45</f>
        <v>5ht2c_human</v>
      </c>
      <c r="B78" s="1" t="str">
        <f t="shared" si="25"/>
        <v>QNWPALSIVIIIIMTIGGNILVIMAVSMENATNYFLMSLAIADMLVGLLVMPLSLLAILYPRYLCPVWISLDVLFSTASIMHLCAISLDRYVAIRNSRTKAIMKIAIVWAISIGVSVPIPVIGDPNFVLIGSFVAFFIPLTIMVITYCLTIYVLRRQALMLLHMQAINNERKASKVLGIVFFVFLIMWCPFFITNILSVLCQKLMEKLLNVFVWIGYVCSGINPLVYTLFNKIYRRAFSNYL</v>
      </c>
      <c r="C78" s="29" t="str">
        <f>IF(ISERROR(MATCH(A78,'SegEnds_Xtal_Prot#'!B:B, 0)), "NoXtal", "Xtal")</f>
        <v>NoXtal</v>
      </c>
      <c r="D78" s="4" t="str">
        <f>VLOOKUP(A78,Classification!A:D,2,FALSE)</f>
        <v>A</v>
      </c>
      <c r="E78" s="5" t="str">
        <f>VLOOKUP(A78,Seqs!A:B,2,FALSE)</f>
        <v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v>
      </c>
      <c r="F78" s="5" t="str">
        <f t="shared" si="26"/>
        <v>QNWPALSIVIIIIMTIGGNILVIMAVSME</v>
      </c>
      <c r="G78" s="4" t="str">
        <f t="shared" si="27"/>
        <v>KKLH</v>
      </c>
      <c r="H78" s="4" t="str">
        <f t="shared" si="28"/>
        <v>NATNYFLMSLAIADMLVGLLVMPLSLLAILY</v>
      </c>
      <c r="I78" s="4" t="str">
        <f t="shared" si="29"/>
        <v>VWPL</v>
      </c>
      <c r="J78" s="4" t="str">
        <f t="shared" si="30"/>
        <v>PRYLCPVWISLDVLFSTASIMHLCAISLDRYVAIRN</v>
      </c>
      <c r="K78" s="4" t="str">
        <f t="shared" si="31"/>
        <v>PIEHSRFN</v>
      </c>
      <c r="L78" s="4" t="str">
        <f t="shared" si="32"/>
        <v>SRTKAIMKIAIVWAISIGVSVPIPVIG</v>
      </c>
      <c r="M78" s="4" t="str">
        <f t="shared" si="33"/>
        <v>CVL</v>
      </c>
      <c r="N78" s="4" t="str">
        <f t="shared" si="34"/>
        <v>DPNFVLIGSFVAFFIPLTIMVITYCLTIYVLRRQALMLLH</v>
      </c>
      <c r="O78" s="4" t="str">
        <f t="shared" si="35"/>
        <v>MQAINNERKASKVLGIVFFVFLIMWCPFFITNILSVLC</v>
      </c>
      <c r="P78" s="4" t="str">
        <f t="shared" si="36"/>
        <v>QKLMEKLLNVFVWIGYVCSGINPLVYTLF</v>
      </c>
      <c r="Q78" s="4" t="str">
        <f t="shared" si="37"/>
        <v>NKIYRRAFSNYL</v>
      </c>
      <c r="R78" s="5">
        <f>VLOOKUP($A78,'SegEnds_NonXtal_Prot#'!$A:$AL,3,FALSE)</f>
        <v>53</v>
      </c>
      <c r="S78" s="5">
        <f>VLOOKUP($A78,'SegEnds_NonXtal_Prot#'!$A:$AL,6,FALSE)</f>
        <v>82</v>
      </c>
      <c r="T78" s="5">
        <f>VLOOKUP($A78,'SegEnds_NonXtal_Prot#'!$A:$AL,9,FALSE)</f>
        <v>86</v>
      </c>
      <c r="U78" s="5">
        <f>VLOOKUP($A78,'SegEnds_NonXtal_Prot#'!$A:$AL,12,FALSE)</f>
        <v>119</v>
      </c>
      <c r="V78" s="5">
        <f>VLOOKUP($A78,'SegEnds_NonXtal_Prot#'!$A:$AL,15,FALSE)</f>
        <v>123</v>
      </c>
      <c r="W78" s="5">
        <f>VLOOKUP($A78,'SegEnds_NonXtal_Prot#'!$A:$AL,18,FALSE)</f>
        <v>159</v>
      </c>
      <c r="X78" s="5">
        <f>VLOOKUP($A78,'SegEnds_NonXtal_Prot#'!$A:$AL,21,FALSE)</f>
        <v>167</v>
      </c>
      <c r="Y78" s="5">
        <f>VLOOKUP($A78,'SegEnds_NonXtal_Prot#'!$A:$AL,24,FALSE)</f>
        <v>207</v>
      </c>
      <c r="Z78" s="5">
        <f>VLOOKUP($A78,'SegEnds_NonXtal_Prot#'!$A:$AL,27,FALSE)</f>
        <v>211</v>
      </c>
      <c r="AA78" s="5">
        <f>VLOOKUP($A78,'SegEnds_NonXtal_Prot#'!$A:$AL,30,FALSE)</f>
        <v>300</v>
      </c>
      <c r="AB78" s="5">
        <f>VLOOKUP($A78,'SegEnds_NonXtal_Prot#'!$A:$AL,33,FALSE)</f>
        <v>343</v>
      </c>
      <c r="AC78" s="5">
        <f>VLOOKUP($A78,'SegEnds_NonXtal_Prot#'!$A:$AL,36,FALSE)</f>
        <v>372</v>
      </c>
      <c r="AD78" s="5">
        <f>VLOOKUP($A78,'SegEnds_NonXtal_Prot#'!$A:$AL,5,FALSE)</f>
        <v>81</v>
      </c>
      <c r="AE78" s="5">
        <f>VLOOKUP($A78,'SegEnds_NonXtal_Prot#'!$A:$AL,8,FALSE)</f>
        <v>85</v>
      </c>
      <c r="AF78" s="5">
        <f>VLOOKUP($A78,'SegEnds_NonXtal_Prot#'!$A:$AL,11,FALSE)</f>
        <v>116</v>
      </c>
      <c r="AG78" s="5">
        <f>VLOOKUP($A78,'SegEnds_NonXtal_Prot#'!$A:$AL,14,FALSE)</f>
        <v>122</v>
      </c>
      <c r="AH78" s="5">
        <f>VLOOKUP($A78,'SegEnds_NonXtal_Prot#'!$A:$AL,17,FALSE)</f>
        <v>158</v>
      </c>
      <c r="AI78" s="5">
        <f>VLOOKUP($A78,'SegEnds_NonXtal_Prot#'!$A:$AL,20,FALSE)</f>
        <v>166</v>
      </c>
      <c r="AJ78" s="5">
        <f>VLOOKUP($A78,'SegEnds_NonXtal_Prot#'!$A:$AL,23,FALSE)</f>
        <v>193</v>
      </c>
      <c r="AK78" s="5">
        <f>VLOOKUP($A78,'SegEnds_NonXtal_Prot#'!$A:$AL,26,FALSE)</f>
        <v>209</v>
      </c>
      <c r="AL78" s="5">
        <f>VLOOKUP($A78,'SegEnds_NonXtal_Prot#'!$A:$AL,29,FALSE)</f>
        <v>250</v>
      </c>
      <c r="AM78" s="5">
        <f>VLOOKUP($A78,'SegEnds_NonXtal_Prot#'!$A:$AL,32,FALSE)</f>
        <v>337</v>
      </c>
      <c r="AN78" s="5">
        <f>VLOOKUP($A78,'SegEnds_NonXtal_Prot#'!$A:$AL,35,FALSE)</f>
        <v>371</v>
      </c>
      <c r="AO78" s="5">
        <f>VLOOKUP($A78,'SegEnds_NonXtal_Prot#'!$A:$AL,38,FALSE)</f>
        <v>383</v>
      </c>
      <c r="AP78" s="5">
        <f t="shared" si="38"/>
        <v>28</v>
      </c>
      <c r="AQ78" s="4">
        <f t="shared" si="39"/>
        <v>3</v>
      </c>
      <c r="AR78" s="4">
        <f t="shared" si="40"/>
        <v>30</v>
      </c>
      <c r="AS78" s="4">
        <f t="shared" si="41"/>
        <v>3</v>
      </c>
      <c r="AT78" s="4">
        <f t="shared" si="42"/>
        <v>35</v>
      </c>
      <c r="AU78" s="4">
        <f t="shared" si="43"/>
        <v>7</v>
      </c>
      <c r="AV78" s="4">
        <f t="shared" si="44"/>
        <v>26</v>
      </c>
      <c r="AW78" s="4">
        <f t="shared" si="45"/>
        <v>2</v>
      </c>
      <c r="AX78" s="4">
        <f t="shared" si="46"/>
        <v>39</v>
      </c>
      <c r="AY78" s="4">
        <f t="shared" si="47"/>
        <v>37</v>
      </c>
      <c r="AZ78" s="4">
        <f t="shared" si="48"/>
        <v>28</v>
      </c>
      <c r="BA78" s="4">
        <f t="shared" si="49"/>
        <v>11</v>
      </c>
    </row>
    <row r="79" spans="1:53" x14ac:dyDescent="0.2">
      <c r="A79" s="1" t="str">
        <f>'SegEnds_NonXtal_Prot#'!A48</f>
        <v>5ht6r_human</v>
      </c>
      <c r="B79" s="1" t="str">
        <f t="shared" si="25"/>
        <v>SGWVAAALCVVIALTAAANSLLIALICTQNTSNFFLVSLFTSDLMVGLVVMPPAMLNALYARGLCLLWTAFDVMCCSASILNLCLISLDRYLLILSTPLRALALVLGAWSLAALASFLPLLLGSLPFVLVASGLTFFLPSGAICFTYCRILLAARKQAVQVASLTTKHSRKALKASLTLGILLGMFFVTWLPFFVANIVQAVCPGLFDVLTWLGYCNSTMNPIIYPLFMRDFKRALGRFL</v>
      </c>
      <c r="C79" s="29" t="str">
        <f>IF(ISERROR(MATCH(A79,'SegEnds_Xtal_Prot#'!B:B, 0)), "NoXtal", "Xtal")</f>
        <v>NoXtal</v>
      </c>
      <c r="D79" s="4" t="str">
        <f>VLOOKUP(A79,Classification!A:D,2,FALSE)</f>
        <v>A</v>
      </c>
      <c r="E79" s="5" t="str">
        <f>VLOOKUP(A79,Seqs!A:B,2,FALSE)</f>
        <v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v>
      </c>
      <c r="F79" s="5" t="str">
        <f t="shared" si="26"/>
        <v>SGWVAAALCVVIALTAAANSLLIALICTQ</v>
      </c>
      <c r="G79" s="4" t="str">
        <f t="shared" si="27"/>
        <v>PALR</v>
      </c>
      <c r="H79" s="4" t="str">
        <f t="shared" si="28"/>
        <v>NTSNFFLVSLFTSDLMVGLVVMPPAMLNALY</v>
      </c>
      <c r="I79" s="4" t="str">
        <f t="shared" si="29"/>
        <v>RWVL</v>
      </c>
      <c r="J79" s="4" t="str">
        <f t="shared" si="30"/>
        <v>ARGLCLLWTAFDVMCCSASILNLCLISLDRYLLILS</v>
      </c>
      <c r="K79" s="4" t="str">
        <f t="shared" si="31"/>
        <v>PLRYKLRM</v>
      </c>
      <c r="L79" s="4" t="str">
        <f t="shared" si="32"/>
        <v>TPLRALALVLGAWSLAALASFLPLLLG</v>
      </c>
      <c r="M79" s="4" t="str">
        <f t="shared" si="33"/>
        <v>CRL</v>
      </c>
      <c r="N79" s="4" t="str">
        <f t="shared" si="34"/>
        <v>SLPFVLVASGLTFFLPSGAICFTYCRILLAARKQAVQVASLT</v>
      </c>
      <c r="O79" s="4" t="str">
        <f t="shared" si="35"/>
        <v>TKHSRKALKASLTLGILLGMFFVTWLPFFVANIVQAVC</v>
      </c>
      <c r="P79" s="4" t="str">
        <f t="shared" si="36"/>
        <v>PGLFDVLTWLGYCNSTMNPIIYPLF</v>
      </c>
      <c r="Q79" s="4" t="str">
        <f t="shared" si="37"/>
        <v>MRDFKRALGRFL</v>
      </c>
      <c r="R79" s="5">
        <f>VLOOKUP($A79,'SegEnds_NonXtal_Prot#'!$A:$AL,3,FALSE)</f>
        <v>26</v>
      </c>
      <c r="S79" s="5">
        <f>VLOOKUP($A79,'SegEnds_NonXtal_Prot#'!$A:$AL,6,FALSE)</f>
        <v>55</v>
      </c>
      <c r="T79" s="5">
        <f>VLOOKUP($A79,'SegEnds_NonXtal_Prot#'!$A:$AL,9,FALSE)</f>
        <v>59</v>
      </c>
      <c r="U79" s="5">
        <f>VLOOKUP($A79,'SegEnds_NonXtal_Prot#'!$A:$AL,12,FALSE)</f>
        <v>91</v>
      </c>
      <c r="V79" s="5">
        <f>VLOOKUP($A79,'SegEnds_NonXtal_Prot#'!$A:$AL,15,FALSE)</f>
        <v>95</v>
      </c>
      <c r="W79" s="5">
        <f>VLOOKUP($A79,'SegEnds_NonXtal_Prot#'!$A:$AL,18,FALSE)</f>
        <v>131</v>
      </c>
      <c r="X79" s="5">
        <f>VLOOKUP($A79,'SegEnds_NonXtal_Prot#'!$A:$AL,21,FALSE)</f>
        <v>139</v>
      </c>
      <c r="Y79" s="5">
        <f>VLOOKUP($A79,'SegEnds_NonXtal_Prot#'!$A:$AL,24,FALSE)</f>
        <v>180</v>
      </c>
      <c r="Z79" s="5">
        <f>VLOOKUP($A79,'SegEnds_NonXtal_Prot#'!$A:$AL,27,FALSE)</f>
        <v>185</v>
      </c>
      <c r="AA79" s="5">
        <f>VLOOKUP($A79,'SegEnds_NonXtal_Prot#'!$A:$AL,30,FALSE)</f>
        <v>257</v>
      </c>
      <c r="AB79" s="5">
        <f>VLOOKUP($A79,'SegEnds_NonXtal_Prot#'!$A:$AL,33,FALSE)</f>
        <v>299</v>
      </c>
      <c r="AC79" s="5">
        <f>VLOOKUP($A79,'SegEnds_NonXtal_Prot#'!$A:$AL,36,FALSE)</f>
        <v>324</v>
      </c>
      <c r="AD79" s="5">
        <f>VLOOKUP($A79,'SegEnds_NonXtal_Prot#'!$A:$AL,5,FALSE)</f>
        <v>54</v>
      </c>
      <c r="AE79" s="5">
        <f>VLOOKUP($A79,'SegEnds_NonXtal_Prot#'!$A:$AL,8,FALSE)</f>
        <v>58</v>
      </c>
      <c r="AF79" s="5">
        <f>VLOOKUP($A79,'SegEnds_NonXtal_Prot#'!$A:$AL,11,FALSE)</f>
        <v>89</v>
      </c>
      <c r="AG79" s="5">
        <f>VLOOKUP($A79,'SegEnds_NonXtal_Prot#'!$A:$AL,14,FALSE)</f>
        <v>94</v>
      </c>
      <c r="AH79" s="5">
        <f>VLOOKUP($A79,'SegEnds_NonXtal_Prot#'!$A:$AL,17,FALSE)</f>
        <v>130</v>
      </c>
      <c r="AI79" s="5">
        <f>VLOOKUP($A79,'SegEnds_NonXtal_Prot#'!$A:$AL,20,FALSE)</f>
        <v>138</v>
      </c>
      <c r="AJ79" s="5">
        <f>VLOOKUP($A79,'SegEnds_NonXtal_Prot#'!$A:$AL,23,FALSE)</f>
        <v>165</v>
      </c>
      <c r="AK79" s="5">
        <f>VLOOKUP($A79,'SegEnds_NonXtal_Prot#'!$A:$AL,26,FALSE)</f>
        <v>182</v>
      </c>
      <c r="AL79" s="5">
        <f>VLOOKUP($A79,'SegEnds_NonXtal_Prot#'!$A:$AL,29,FALSE)</f>
        <v>226</v>
      </c>
      <c r="AM79" s="5">
        <f>VLOOKUP($A79,'SegEnds_NonXtal_Prot#'!$A:$AL,32,FALSE)</f>
        <v>294</v>
      </c>
      <c r="AN79" s="5">
        <f>VLOOKUP($A79,'SegEnds_NonXtal_Prot#'!$A:$AL,35,FALSE)</f>
        <v>323</v>
      </c>
      <c r="AO79" s="5">
        <f>VLOOKUP($A79,'SegEnds_NonXtal_Prot#'!$A:$AL,38,FALSE)</f>
        <v>335</v>
      </c>
      <c r="AP79" s="5">
        <f t="shared" si="38"/>
        <v>28</v>
      </c>
      <c r="AQ79" s="4">
        <f t="shared" si="39"/>
        <v>3</v>
      </c>
      <c r="AR79" s="4">
        <f t="shared" si="40"/>
        <v>30</v>
      </c>
      <c r="AS79" s="4">
        <f t="shared" si="41"/>
        <v>3</v>
      </c>
      <c r="AT79" s="4">
        <f t="shared" si="42"/>
        <v>35</v>
      </c>
      <c r="AU79" s="4">
        <f t="shared" si="43"/>
        <v>7</v>
      </c>
      <c r="AV79" s="4">
        <f t="shared" si="44"/>
        <v>26</v>
      </c>
      <c r="AW79" s="4">
        <f t="shared" si="45"/>
        <v>2</v>
      </c>
      <c r="AX79" s="4">
        <f t="shared" si="46"/>
        <v>41</v>
      </c>
      <c r="AY79" s="4">
        <f t="shared" si="47"/>
        <v>37</v>
      </c>
      <c r="AZ79" s="4">
        <f t="shared" si="48"/>
        <v>24</v>
      </c>
      <c r="BA79" s="4">
        <f t="shared" si="49"/>
        <v>11</v>
      </c>
    </row>
    <row r="80" spans="1:53" x14ac:dyDescent="0.2">
      <c r="A80" s="1" t="str">
        <f>'SegEnds_NonXtal_Prot#'!A49</f>
        <v>5ht7r_human</v>
      </c>
      <c r="B80" s="1" t="str">
        <f t="shared" si="25"/>
        <v>RVEKVVIGSILTLITLLTIAGNCLVVISVCFVQPSNYLIVSLALADLSVAVAVMPFVSVTDLIGHFFCNVFIAMDVMCCTASIMTLCVISIDRYLGITRNGKCMAKMILSVWLLSASITLPPLFGDFGYTIYSTAVAFYIPMSVMLFMYYQIYKAARKSAAKHKFPGISIFKREQKAATTLGIIVGAFTVCWLPFFLLSTARPFISCIPLWVERTFLWLGYANSLINPFIYAFFNRDLRTTYRSLL</v>
      </c>
      <c r="C80" s="29" t="str">
        <f>IF(ISERROR(MATCH(A80,'SegEnds_Xtal_Prot#'!B:B, 0)), "NoXtal", "Xtal")</f>
        <v>NoXtal</v>
      </c>
      <c r="D80" s="4" t="str">
        <f>VLOOKUP(A80,Classification!A:D,2,FALSE)</f>
        <v>A</v>
      </c>
      <c r="E80" s="5" t="str">
        <f>VLOOKUP(A80,Seqs!A:B,2,FALSE)</f>
        <v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v>
      </c>
      <c r="F80" s="5" t="str">
        <f t="shared" si="26"/>
        <v>RVEKVVIGSILTLITLLTIAGNCLVVISVCFV</v>
      </c>
      <c r="G80" s="4" t="str">
        <f t="shared" si="27"/>
        <v>KKLR</v>
      </c>
      <c r="H80" s="4" t="str">
        <f t="shared" si="28"/>
        <v>QPSNYLIVSLALADLSVAVAVMPFVSVTDLI</v>
      </c>
      <c r="I80" s="4" t="str">
        <f t="shared" si="29"/>
        <v>KWIF</v>
      </c>
      <c r="J80" s="4" t="str">
        <f t="shared" si="30"/>
        <v>GHFFCNVFIAMDVMCCTASIMTLCVISIDRYLGITR</v>
      </c>
      <c r="K80" s="4" t="str">
        <f t="shared" si="31"/>
        <v>PLTYPVRQ</v>
      </c>
      <c r="L80" s="4" t="str">
        <f t="shared" si="32"/>
        <v>NGKCMAKMILSVWLLSASITLPPLFG</v>
      </c>
      <c r="M80" s="4" t="str">
        <f t="shared" si="33"/>
        <v>CLI</v>
      </c>
      <c r="N80" s="4" t="str">
        <f t="shared" si="34"/>
        <v>DFGYTIYSTAVAFYIPMSVMLFMYYQIYKAARKSAAKHKFPG</v>
      </c>
      <c r="O80" s="4" t="str">
        <f t="shared" si="35"/>
        <v>ISIFKREQKAATTLGIIVGAFTVCWLPFFLLSTARPFI</v>
      </c>
      <c r="P80" s="4" t="str">
        <f t="shared" si="36"/>
        <v>SCIPLWVERTFLWLGYANSLINPFIYAFF</v>
      </c>
      <c r="Q80" s="4" t="str">
        <f t="shared" si="37"/>
        <v>NRDLRTTYRSLL</v>
      </c>
      <c r="R80" s="5">
        <f>VLOOKUP($A80,'SegEnds_NonXtal_Prot#'!$A:$AL,3,FALSE)</f>
        <v>78</v>
      </c>
      <c r="S80" s="5">
        <f>VLOOKUP($A80,'SegEnds_NonXtal_Prot#'!$A:$AL,6,FALSE)</f>
        <v>110</v>
      </c>
      <c r="T80" s="5">
        <f>VLOOKUP($A80,'SegEnds_NonXtal_Prot#'!$A:$AL,9,FALSE)</f>
        <v>114</v>
      </c>
      <c r="U80" s="5">
        <f>VLOOKUP($A80,'SegEnds_NonXtal_Prot#'!$A:$AL,12,FALSE)</f>
        <v>147</v>
      </c>
      <c r="V80" s="5">
        <f>VLOOKUP($A80,'SegEnds_NonXtal_Prot#'!$A:$AL,15,FALSE)</f>
        <v>151</v>
      </c>
      <c r="W80" s="5">
        <f>VLOOKUP($A80,'SegEnds_NonXtal_Prot#'!$A:$AL,18,FALSE)</f>
        <v>187</v>
      </c>
      <c r="X80" s="5">
        <f>VLOOKUP($A80,'SegEnds_NonXtal_Prot#'!$A:$AL,21,FALSE)</f>
        <v>195</v>
      </c>
      <c r="Y80" s="5">
        <f>VLOOKUP($A80,'SegEnds_NonXtal_Prot#'!$A:$AL,24,FALSE)</f>
        <v>231</v>
      </c>
      <c r="Z80" s="5">
        <f>VLOOKUP($A80,'SegEnds_NonXtal_Prot#'!$A:$AL,27,FALSE)</f>
        <v>236</v>
      </c>
      <c r="AA80" s="5">
        <f>VLOOKUP($A80,'SegEnds_NonXtal_Prot#'!$A:$AL,30,FALSE)</f>
        <v>316</v>
      </c>
      <c r="AB80" s="5">
        <f>VLOOKUP($A80,'SegEnds_NonXtal_Prot#'!$A:$AL,33,FALSE)</f>
        <v>359</v>
      </c>
      <c r="AC80" s="5">
        <f>VLOOKUP($A80,'SegEnds_NonXtal_Prot#'!$A:$AL,36,FALSE)</f>
        <v>388</v>
      </c>
      <c r="AD80" s="5">
        <f>VLOOKUP($A80,'SegEnds_NonXtal_Prot#'!$A:$AL,5,FALSE)</f>
        <v>109</v>
      </c>
      <c r="AE80" s="5">
        <f>VLOOKUP($A80,'SegEnds_NonXtal_Prot#'!$A:$AL,8,FALSE)</f>
        <v>113</v>
      </c>
      <c r="AF80" s="5">
        <f>VLOOKUP($A80,'SegEnds_NonXtal_Prot#'!$A:$AL,11,FALSE)</f>
        <v>144</v>
      </c>
      <c r="AG80" s="5">
        <f>VLOOKUP($A80,'SegEnds_NonXtal_Prot#'!$A:$AL,14,FALSE)</f>
        <v>150</v>
      </c>
      <c r="AH80" s="5">
        <f>VLOOKUP($A80,'SegEnds_NonXtal_Prot#'!$A:$AL,17,FALSE)</f>
        <v>186</v>
      </c>
      <c r="AI80" s="5">
        <f>VLOOKUP($A80,'SegEnds_NonXtal_Prot#'!$A:$AL,20,FALSE)</f>
        <v>194</v>
      </c>
      <c r="AJ80" s="5">
        <f>VLOOKUP($A80,'SegEnds_NonXtal_Prot#'!$A:$AL,23,FALSE)</f>
        <v>220</v>
      </c>
      <c r="AK80" s="5">
        <f>VLOOKUP($A80,'SegEnds_NonXtal_Prot#'!$A:$AL,26,FALSE)</f>
        <v>233</v>
      </c>
      <c r="AL80" s="5">
        <f>VLOOKUP($A80,'SegEnds_NonXtal_Prot#'!$A:$AL,29,FALSE)</f>
        <v>277</v>
      </c>
      <c r="AM80" s="5">
        <f>VLOOKUP($A80,'SegEnds_NonXtal_Prot#'!$A:$AL,32,FALSE)</f>
        <v>353</v>
      </c>
      <c r="AN80" s="5">
        <f>VLOOKUP($A80,'SegEnds_NonXtal_Prot#'!$A:$AL,35,FALSE)</f>
        <v>387</v>
      </c>
      <c r="AO80" s="5">
        <f>VLOOKUP($A80,'SegEnds_NonXtal_Prot#'!$A:$AL,38,FALSE)</f>
        <v>399</v>
      </c>
      <c r="AP80" s="5">
        <f t="shared" si="38"/>
        <v>31</v>
      </c>
      <c r="AQ80" s="4">
        <f t="shared" si="39"/>
        <v>3</v>
      </c>
      <c r="AR80" s="4">
        <f t="shared" si="40"/>
        <v>30</v>
      </c>
      <c r="AS80" s="4">
        <f t="shared" si="41"/>
        <v>3</v>
      </c>
      <c r="AT80" s="4">
        <f t="shared" si="42"/>
        <v>35</v>
      </c>
      <c r="AU80" s="4">
        <f t="shared" si="43"/>
        <v>7</v>
      </c>
      <c r="AV80" s="4">
        <f t="shared" si="44"/>
        <v>25</v>
      </c>
      <c r="AW80" s="4">
        <f t="shared" si="45"/>
        <v>2</v>
      </c>
      <c r="AX80" s="4">
        <f t="shared" si="46"/>
        <v>41</v>
      </c>
      <c r="AY80" s="4">
        <f t="shared" si="47"/>
        <v>37</v>
      </c>
      <c r="AZ80" s="4">
        <f t="shared" si="48"/>
        <v>28</v>
      </c>
      <c r="BA80" s="4">
        <f t="shared" si="49"/>
        <v>11</v>
      </c>
    </row>
    <row r="81" spans="1:53" x14ac:dyDescent="0.2">
      <c r="A81" s="1" t="str">
        <f>'SegEnds_NonXtal_Prot#'!A50</f>
        <v>aa1r_human</v>
      </c>
      <c r="B81" s="1" t="str">
        <f t="shared" si="25"/>
        <v>SAFQAAYIGIEVLIALVSVPGNVLVIWAVKVNDATFCFIVSLAVADVAVGALVIPLAILINIGYFHTCLMVACPVLILTQSSILALLAIAVDRYLRVKITPRRAAVAIAGCWILSFVVGLTPMFGSMEYMVYFNFFVWVLPPLLLMVLIYLEVFYLIRKQLNKKQKYYGKELKIAKSLALILFLFALSWLPLHILNCITLFCPSILTYIAIFLTHGNSAMNPIVYAFRIQKFRVTFLKIWNDHFRCQPAPP</v>
      </c>
      <c r="C81" s="29" t="str">
        <f>IF(ISERROR(MATCH(A81,'SegEnds_Xtal_Prot#'!B:B, 0)), "NoXtal", "Xtal")</f>
        <v>Xtal</v>
      </c>
      <c r="D81" s="4" t="str">
        <f>VLOOKUP(A81,Classification!A:D,2,FALSE)</f>
        <v>A</v>
      </c>
      <c r="E81" s="5" t="str">
        <f>VLOOKUP(A81,Seqs!A:B,2,FALSE)</f>
        <v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v>
      </c>
      <c r="F81" s="5" t="str">
        <f t="shared" si="26"/>
        <v>SAFQAAYIGIEVLIALVSVPGNVLVIWAVKVN</v>
      </c>
      <c r="G81" s="4" t="str">
        <f t="shared" si="27"/>
        <v>QALR</v>
      </c>
      <c r="H81" s="4" t="str">
        <f t="shared" si="28"/>
        <v>DATFCFIVSLAVADVAVGALVIPLAILINIG</v>
      </c>
      <c r="I81" s="4" t="str">
        <f t="shared" si="29"/>
        <v>PQT</v>
      </c>
      <c r="J81" s="4" t="str">
        <f t="shared" si="30"/>
        <v>YFHTCLMVACPVLILTQSSILALLAIAVDRYLRVKI</v>
      </c>
      <c r="K81" s="4" t="str">
        <f t="shared" si="31"/>
        <v>PLRYKMVV</v>
      </c>
      <c r="L81" s="4" t="str">
        <f t="shared" si="32"/>
        <v>TPRRAAVAIAGCWILSFVVGLTPMFG</v>
      </c>
      <c r="M81" s="4" t="str">
        <f t="shared" si="33"/>
        <v>CEF</v>
      </c>
      <c r="N81" s="4" t="str">
        <f t="shared" si="34"/>
        <v>SMEYMVYFNFFVWVLPPLLLMVLIYLEVFYLIRKQLNKK</v>
      </c>
      <c r="O81" s="4" t="str">
        <f t="shared" si="35"/>
        <v>QKYYGKELKIAKSLALILFLFALSWLPLHILNCITLFC</v>
      </c>
      <c r="P81" s="4" t="str">
        <f t="shared" si="36"/>
        <v>PSILTYIAIFLTHGNSAMNPIVYAFR</v>
      </c>
      <c r="Q81" s="4" t="str">
        <f t="shared" si="37"/>
        <v>IQKFRVTFLKIWNDHFRCQPAPP</v>
      </c>
      <c r="R81" s="5">
        <f>VLOOKUP($A81,'SegEnds_NonXtal_Prot#'!$A:$AL,3,FALSE)</f>
        <v>6</v>
      </c>
      <c r="S81" s="5">
        <f>VLOOKUP($A81,'SegEnds_NonXtal_Prot#'!$A:$AL,6,FALSE)</f>
        <v>38</v>
      </c>
      <c r="T81" s="5">
        <f>VLOOKUP($A81,'SegEnds_NonXtal_Prot#'!$A:$AL,9,FALSE)</f>
        <v>42</v>
      </c>
      <c r="U81" s="5">
        <f>VLOOKUP($A81,'SegEnds_NonXtal_Prot#'!$A:$AL,12,FALSE)</f>
        <v>73</v>
      </c>
      <c r="V81" s="5">
        <f>VLOOKUP($A81,'SegEnds_NonXtal_Prot#'!$A:$AL,15,FALSE)</f>
        <v>76</v>
      </c>
      <c r="W81" s="5">
        <f>VLOOKUP($A81,'SegEnds_NonXtal_Prot#'!$A:$AL,18,FALSE)</f>
        <v>112</v>
      </c>
      <c r="X81" s="5">
        <f>VLOOKUP($A81,'SegEnds_NonXtal_Prot#'!$A:$AL,21,FALSE)</f>
        <v>120</v>
      </c>
      <c r="Y81" s="5">
        <f>VLOOKUP($A81,'SegEnds_NonXtal_Prot#'!$A:$AL,24,FALSE)</f>
        <v>169</v>
      </c>
      <c r="Z81" s="5">
        <f>VLOOKUP($A81,'SegEnds_NonXtal_Prot#'!$A:$AL,27,FALSE)</f>
        <v>176</v>
      </c>
      <c r="AA81" s="5">
        <f>VLOOKUP($A81,'SegEnds_NonXtal_Prot#'!$A:$AL,30,FALSE)</f>
        <v>223</v>
      </c>
      <c r="AB81" s="5">
        <f>VLOOKUP($A81,'SegEnds_NonXtal_Prot#'!$A:$AL,33,FALSE)</f>
        <v>266</v>
      </c>
      <c r="AC81" s="5">
        <f>VLOOKUP($A81,'SegEnds_NonXtal_Prot#'!$A:$AL,36,FALSE)</f>
        <v>292</v>
      </c>
      <c r="AD81" s="5">
        <f>VLOOKUP($A81,'SegEnds_NonXtal_Prot#'!$A:$AL,5,FALSE)</f>
        <v>37</v>
      </c>
      <c r="AE81" s="5">
        <f>VLOOKUP($A81,'SegEnds_NonXtal_Prot#'!$A:$AL,8,FALSE)</f>
        <v>41</v>
      </c>
      <c r="AF81" s="5">
        <f>VLOOKUP($A81,'SegEnds_NonXtal_Prot#'!$A:$AL,11,FALSE)</f>
        <v>72</v>
      </c>
      <c r="AG81" s="5">
        <f>VLOOKUP($A81,'SegEnds_NonXtal_Prot#'!$A:$AL,14,FALSE)</f>
        <v>75</v>
      </c>
      <c r="AH81" s="5">
        <f>VLOOKUP($A81,'SegEnds_NonXtal_Prot#'!$A:$AL,17,FALSE)</f>
        <v>111</v>
      </c>
      <c r="AI81" s="5">
        <f>VLOOKUP($A81,'SegEnds_NonXtal_Prot#'!$A:$AL,20,FALSE)</f>
        <v>119</v>
      </c>
      <c r="AJ81" s="5">
        <f>VLOOKUP($A81,'SegEnds_NonXtal_Prot#'!$A:$AL,23,FALSE)</f>
        <v>145</v>
      </c>
      <c r="AK81" s="5">
        <f>VLOOKUP($A81,'SegEnds_NonXtal_Prot#'!$A:$AL,26,FALSE)</f>
        <v>171</v>
      </c>
      <c r="AL81" s="5">
        <f>VLOOKUP($A81,'SegEnds_NonXtal_Prot#'!$A:$AL,29,FALSE)</f>
        <v>214</v>
      </c>
      <c r="AM81" s="5">
        <f>VLOOKUP($A81,'SegEnds_NonXtal_Prot#'!$A:$AL,32,FALSE)</f>
        <v>260</v>
      </c>
      <c r="AN81" s="5">
        <f>VLOOKUP($A81,'SegEnds_NonXtal_Prot#'!$A:$AL,35,FALSE)</f>
        <v>291</v>
      </c>
      <c r="AO81" s="5">
        <f>VLOOKUP($A81,'SegEnds_NonXtal_Prot#'!$A:$AL,38,FALSE)</f>
        <v>314</v>
      </c>
      <c r="AP81" s="5">
        <f t="shared" si="38"/>
        <v>31</v>
      </c>
      <c r="AQ81" s="4">
        <f t="shared" si="39"/>
        <v>3</v>
      </c>
      <c r="AR81" s="4">
        <f t="shared" si="40"/>
        <v>30</v>
      </c>
      <c r="AS81" s="4">
        <f t="shared" si="41"/>
        <v>2</v>
      </c>
      <c r="AT81" s="4">
        <f t="shared" si="42"/>
        <v>35</v>
      </c>
      <c r="AU81" s="4">
        <f t="shared" si="43"/>
        <v>7</v>
      </c>
      <c r="AV81" s="4">
        <f t="shared" si="44"/>
        <v>25</v>
      </c>
      <c r="AW81" s="4">
        <f t="shared" si="45"/>
        <v>2</v>
      </c>
      <c r="AX81" s="4">
        <f t="shared" si="46"/>
        <v>38</v>
      </c>
      <c r="AY81" s="4">
        <f t="shared" si="47"/>
        <v>37</v>
      </c>
      <c r="AZ81" s="4">
        <f t="shared" si="48"/>
        <v>25</v>
      </c>
      <c r="BA81" s="4">
        <f t="shared" si="49"/>
        <v>22</v>
      </c>
    </row>
    <row r="82" spans="1:53" x14ac:dyDescent="0.2">
      <c r="A82" s="1" t="str">
        <f>'SegEnds_NonXtal_Prot#'!A51</f>
        <v>aa2ar_human</v>
      </c>
      <c r="B82" s="1" t="str">
        <f t="shared" si="25"/>
        <v>MPIMGSSVYITVELAIAVLAILGNVLVCWAVWLNNVTNYFVVSLAAADIAVGVLAIPFAITISTGACHGCLFIACFVLVLTQSSIFSLLAIAIDRYIAIRITGTRAKGIIAICWVLSFAIGLTPMLGPMNYMVYFNFFACVLVPLLLMLGVYLRIFLAARRQLKQMESERARSTLQKEVHAAKSLAIIVGLFALCWLPLHIINCFTFFCPLWLMYLAIVLSHTNSVVNPFIYAYRIREFRQTFRKIIRSHVLRQQEPF</v>
      </c>
      <c r="C82" s="29" t="str">
        <f>IF(ISERROR(MATCH(A82,'SegEnds_Xtal_Prot#'!B:B, 0)), "NoXtal", "Xtal")</f>
        <v>Xtal</v>
      </c>
      <c r="D82" s="4" t="str">
        <f>VLOOKUP(A82,Classification!A:D,2,FALSE)</f>
        <v>A</v>
      </c>
      <c r="E82" s="5" t="str">
        <f>VLOOKUP(A82,Seqs!A:B,2,FALSE)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F82" s="5" t="str">
        <f t="shared" si="26"/>
        <v>MPIMGSSVYITVELAIAVLAILGNVLVCWAVWLN</v>
      </c>
      <c r="G82" s="4" t="str">
        <f t="shared" si="27"/>
        <v>SNLQ</v>
      </c>
      <c r="H82" s="4" t="str">
        <f t="shared" si="28"/>
        <v>NVTNYFVVSLAAADIAVGVLAIPFAITISTG</v>
      </c>
      <c r="I82" s="4" t="str">
        <f t="shared" si="29"/>
        <v>FCA</v>
      </c>
      <c r="J82" s="4" t="str">
        <f t="shared" si="30"/>
        <v>ACHGCLFIACFVLVLTQSSIFSLLAIAIDRYIAIRI</v>
      </c>
      <c r="K82" s="4" t="str">
        <f t="shared" si="31"/>
        <v>PLRYNGLV</v>
      </c>
      <c r="L82" s="4" t="str">
        <f t="shared" si="32"/>
        <v>TGTRAKGIIAICWVLSFAIGLTPMLG</v>
      </c>
      <c r="M82" s="4" t="str">
        <f t="shared" si="33"/>
        <v>CLF</v>
      </c>
      <c r="N82" s="4" t="str">
        <f t="shared" si="34"/>
        <v>PMNYMVYFNFFACVLVPLLLMLGVYLRIFLAARRQLKQMES</v>
      </c>
      <c r="O82" s="4" t="str">
        <f t="shared" si="35"/>
        <v>ERARSTLQKEVHAAKSLAIIVGLFALCWLPLHIINCFTFFC</v>
      </c>
      <c r="P82" s="4" t="str">
        <f t="shared" si="36"/>
        <v>PLWLMYLAIVLSHTNSVVNPFIYAYR</v>
      </c>
      <c r="Q82" s="4" t="str">
        <f t="shared" si="37"/>
        <v>IREFRQTFRKIIRSHVLRQQEPF</v>
      </c>
      <c r="R82" s="5">
        <f>VLOOKUP($A82,'SegEnds_NonXtal_Prot#'!$A:$AL,3,FALSE)</f>
        <v>1</v>
      </c>
      <c r="S82" s="5">
        <f>VLOOKUP($A82,'SegEnds_NonXtal_Prot#'!$A:$AL,6,FALSE)</f>
        <v>35</v>
      </c>
      <c r="T82" s="5">
        <f>VLOOKUP($A82,'SegEnds_NonXtal_Prot#'!$A:$AL,9,FALSE)</f>
        <v>39</v>
      </c>
      <c r="U82" s="5">
        <f>VLOOKUP($A82,'SegEnds_NonXtal_Prot#'!$A:$AL,12,FALSE)</f>
        <v>70</v>
      </c>
      <c r="V82" s="5">
        <f>VLOOKUP($A82,'SegEnds_NonXtal_Prot#'!$A:$AL,15,FALSE)</f>
        <v>73</v>
      </c>
      <c r="W82" s="5">
        <f>VLOOKUP($A82,'SegEnds_NonXtal_Prot#'!$A:$AL,18,FALSE)</f>
        <v>109</v>
      </c>
      <c r="X82" s="5">
        <f>VLOOKUP($A82,'SegEnds_NonXtal_Prot#'!$A:$AL,21,FALSE)</f>
        <v>117</v>
      </c>
      <c r="Y82" s="5">
        <f>VLOOKUP($A82,'SegEnds_NonXtal_Prot#'!$A:$AL,24,FALSE)</f>
        <v>166</v>
      </c>
      <c r="Z82" s="5">
        <f>VLOOKUP($A82,'SegEnds_NonXtal_Prot#'!$A:$AL,27,FALSE)</f>
        <v>173</v>
      </c>
      <c r="AA82" s="5">
        <f>VLOOKUP($A82,'SegEnds_NonXtal_Prot#'!$A:$AL,30,FALSE)</f>
        <v>219</v>
      </c>
      <c r="AB82" s="5">
        <f>VLOOKUP($A82,'SegEnds_NonXtal_Prot#'!$A:$AL,33,FALSE)</f>
        <v>266</v>
      </c>
      <c r="AC82" s="5">
        <f>VLOOKUP($A82,'SegEnds_NonXtal_Prot#'!$A:$AL,36,FALSE)</f>
        <v>292</v>
      </c>
      <c r="AD82" s="5">
        <f>VLOOKUP($A82,'SegEnds_NonXtal_Prot#'!$A:$AL,5,FALSE)</f>
        <v>34</v>
      </c>
      <c r="AE82" s="5">
        <f>VLOOKUP($A82,'SegEnds_NonXtal_Prot#'!$A:$AL,8,FALSE)</f>
        <v>38</v>
      </c>
      <c r="AF82" s="5">
        <f>VLOOKUP($A82,'SegEnds_NonXtal_Prot#'!$A:$AL,11,FALSE)</f>
        <v>69</v>
      </c>
      <c r="AG82" s="5">
        <f>VLOOKUP($A82,'SegEnds_NonXtal_Prot#'!$A:$AL,14,FALSE)</f>
        <v>72</v>
      </c>
      <c r="AH82" s="5">
        <f>VLOOKUP($A82,'SegEnds_NonXtal_Prot#'!$A:$AL,17,FALSE)</f>
        <v>108</v>
      </c>
      <c r="AI82" s="5">
        <f>VLOOKUP($A82,'SegEnds_NonXtal_Prot#'!$A:$AL,20,FALSE)</f>
        <v>116</v>
      </c>
      <c r="AJ82" s="5">
        <f>VLOOKUP($A82,'SegEnds_NonXtal_Prot#'!$A:$AL,23,FALSE)</f>
        <v>142</v>
      </c>
      <c r="AK82" s="5">
        <f>VLOOKUP($A82,'SegEnds_NonXtal_Prot#'!$A:$AL,26,FALSE)</f>
        <v>168</v>
      </c>
      <c r="AL82" s="5">
        <f>VLOOKUP($A82,'SegEnds_NonXtal_Prot#'!$A:$AL,29,FALSE)</f>
        <v>213</v>
      </c>
      <c r="AM82" s="5">
        <f>VLOOKUP($A82,'SegEnds_NonXtal_Prot#'!$A:$AL,32,FALSE)</f>
        <v>259</v>
      </c>
      <c r="AN82" s="5">
        <f>VLOOKUP($A82,'SegEnds_NonXtal_Prot#'!$A:$AL,35,FALSE)</f>
        <v>291</v>
      </c>
      <c r="AO82" s="5">
        <f>VLOOKUP($A82,'SegEnds_NonXtal_Prot#'!$A:$AL,38,FALSE)</f>
        <v>314</v>
      </c>
      <c r="AP82" s="5">
        <f t="shared" si="38"/>
        <v>33</v>
      </c>
      <c r="AQ82" s="4">
        <f t="shared" si="39"/>
        <v>3</v>
      </c>
      <c r="AR82" s="4">
        <f t="shared" si="40"/>
        <v>30</v>
      </c>
      <c r="AS82" s="4">
        <f t="shared" si="41"/>
        <v>2</v>
      </c>
      <c r="AT82" s="4">
        <f t="shared" si="42"/>
        <v>35</v>
      </c>
      <c r="AU82" s="4">
        <f t="shared" si="43"/>
        <v>7</v>
      </c>
      <c r="AV82" s="4">
        <f t="shared" si="44"/>
        <v>25</v>
      </c>
      <c r="AW82" s="4">
        <f t="shared" si="45"/>
        <v>2</v>
      </c>
      <c r="AX82" s="4">
        <f t="shared" si="46"/>
        <v>40</v>
      </c>
      <c r="AY82" s="4">
        <f t="shared" si="47"/>
        <v>40</v>
      </c>
      <c r="AZ82" s="4">
        <f t="shared" si="48"/>
        <v>25</v>
      </c>
      <c r="BA82" s="4">
        <f t="shared" si="49"/>
        <v>22</v>
      </c>
    </row>
    <row r="83" spans="1:53" x14ac:dyDescent="0.2">
      <c r="A83" s="1" t="str">
        <f>'SegEnds_NonXtal_Prot#'!A52</f>
        <v>aa2br_human</v>
      </c>
      <c r="B83" s="1" t="str">
        <f t="shared" si="25"/>
        <v>LLETQDALYVALELVIAALSVAGNVLVCAAVGTATPTNYFLVSLAAADVAVGLFAIPFAITISLGDFYGCLFLACFVLVLTQSSIFSLLAVAVDRYLAICVTGTRARGVIAVLWVLAFGIGLTPFLGPMSYMVYFNFFGCVLPPLLIMLVIYIKIFLVACRQLQRTEHSRTTLQREIHAAKSLAMIVGIFALCWLPVHAVNCVTLFQKNKPKWAMNMAILLSHANSVVNPIVYAYRNRDFRYTFHKIISRYLLCQADVK</v>
      </c>
      <c r="C83" s="29" t="str">
        <f>IF(ISERROR(MATCH(A83,'SegEnds_Xtal_Prot#'!B:B, 0)), "NoXtal", "Xtal")</f>
        <v>NoXtal</v>
      </c>
      <c r="D83" s="4" t="str">
        <f>VLOOKUP(A83,Classification!A:D,2,FALSE)</f>
        <v>A</v>
      </c>
      <c r="E83" s="5" t="str">
        <f>VLOOKUP(A83,Seqs!A:B,2,FALSE)</f>
        <v>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</v>
      </c>
      <c r="F83" s="5" t="str">
        <f t="shared" si="26"/>
        <v>LLETQDALYVALELVIAALSVAGNVLVCAAVGTA</v>
      </c>
      <c r="G83" s="4" t="str">
        <f t="shared" si="27"/>
        <v>NTLQ</v>
      </c>
      <c r="H83" s="4" t="str">
        <f t="shared" si="28"/>
        <v>TPTNYFLVSLAAADVAVGLFAIPFAITISLG</v>
      </c>
      <c r="I83" s="4" t="str">
        <f t="shared" si="29"/>
        <v>FCT</v>
      </c>
      <c r="J83" s="4" t="str">
        <f t="shared" si="30"/>
        <v>DFYGCLFLACFVLVLTQSSIFSLLAVAVDRYLAICV</v>
      </c>
      <c r="K83" s="4" t="str">
        <f t="shared" si="31"/>
        <v>PLRYKSLV</v>
      </c>
      <c r="L83" s="4" t="str">
        <f t="shared" si="32"/>
        <v>TGTRARGVIAVLWVLAFGIGLTPFLG</v>
      </c>
      <c r="M83" s="4" t="str">
        <f t="shared" si="33"/>
        <v>CLF</v>
      </c>
      <c r="N83" s="4" t="str">
        <f t="shared" si="34"/>
        <v>PMSYMVYFNFFGCVLPPLLIMLVIYIKIFLVACRQLQRTE</v>
      </c>
      <c r="O83" s="4" t="str">
        <f t="shared" si="35"/>
        <v>HSRTTLQREIHAAKSLAMIVGIFALCWLPVHAVNCVTLFQ</v>
      </c>
      <c r="P83" s="4" t="str">
        <f t="shared" si="36"/>
        <v>KNKPKWAMNMAILLSHANSVVNPIVYAYR</v>
      </c>
      <c r="Q83" s="4" t="str">
        <f t="shared" si="37"/>
        <v>NRDFRYTFHKIISRYLLCQADVK</v>
      </c>
      <c r="R83" s="5">
        <f>VLOOKUP($A83,'SegEnds_NonXtal_Prot#'!$A:$AL,3,FALSE)</f>
        <v>2</v>
      </c>
      <c r="S83" s="5">
        <f>VLOOKUP($A83,'SegEnds_NonXtal_Prot#'!$A:$AL,6,FALSE)</f>
        <v>36</v>
      </c>
      <c r="T83" s="5">
        <f>VLOOKUP($A83,'SegEnds_NonXtal_Prot#'!$A:$AL,9,FALSE)</f>
        <v>40</v>
      </c>
      <c r="U83" s="5">
        <f>VLOOKUP($A83,'SegEnds_NonXtal_Prot#'!$A:$AL,12,FALSE)</f>
        <v>71</v>
      </c>
      <c r="V83" s="5">
        <f>VLOOKUP($A83,'SegEnds_NonXtal_Prot#'!$A:$AL,15,FALSE)</f>
        <v>74</v>
      </c>
      <c r="W83" s="5">
        <f>VLOOKUP($A83,'SegEnds_NonXtal_Prot#'!$A:$AL,18,FALSE)</f>
        <v>110</v>
      </c>
      <c r="X83" s="5">
        <f>VLOOKUP($A83,'SegEnds_NonXtal_Prot#'!$A:$AL,21,FALSE)</f>
        <v>118</v>
      </c>
      <c r="Y83" s="5">
        <f>VLOOKUP($A83,'SegEnds_NonXtal_Prot#'!$A:$AL,24,FALSE)</f>
        <v>171</v>
      </c>
      <c r="Z83" s="5">
        <f>VLOOKUP($A83,'SegEnds_NonXtal_Prot#'!$A:$AL,27,FALSE)</f>
        <v>178</v>
      </c>
      <c r="AA83" s="5">
        <f>VLOOKUP($A83,'SegEnds_NonXtal_Prot#'!$A:$AL,30,FALSE)</f>
        <v>221</v>
      </c>
      <c r="AB83" s="5">
        <f>VLOOKUP($A83,'SegEnds_NonXtal_Prot#'!$A:$AL,33,FALSE)</f>
        <v>265</v>
      </c>
      <c r="AC83" s="5">
        <f>VLOOKUP($A83,'SegEnds_NonXtal_Prot#'!$A:$AL,36,FALSE)</f>
        <v>294</v>
      </c>
      <c r="AD83" s="5">
        <f>VLOOKUP($A83,'SegEnds_NonXtal_Prot#'!$A:$AL,5,FALSE)</f>
        <v>35</v>
      </c>
      <c r="AE83" s="5">
        <f>VLOOKUP($A83,'SegEnds_NonXtal_Prot#'!$A:$AL,8,FALSE)</f>
        <v>39</v>
      </c>
      <c r="AF83" s="5">
        <f>VLOOKUP($A83,'SegEnds_NonXtal_Prot#'!$A:$AL,11,FALSE)</f>
        <v>70</v>
      </c>
      <c r="AG83" s="5">
        <f>VLOOKUP($A83,'SegEnds_NonXtal_Prot#'!$A:$AL,14,FALSE)</f>
        <v>73</v>
      </c>
      <c r="AH83" s="5">
        <f>VLOOKUP($A83,'SegEnds_NonXtal_Prot#'!$A:$AL,17,FALSE)</f>
        <v>109</v>
      </c>
      <c r="AI83" s="5">
        <f>VLOOKUP($A83,'SegEnds_NonXtal_Prot#'!$A:$AL,20,FALSE)</f>
        <v>117</v>
      </c>
      <c r="AJ83" s="5">
        <f>VLOOKUP($A83,'SegEnds_NonXtal_Prot#'!$A:$AL,23,FALSE)</f>
        <v>143</v>
      </c>
      <c r="AK83" s="5">
        <f>VLOOKUP($A83,'SegEnds_NonXtal_Prot#'!$A:$AL,26,FALSE)</f>
        <v>173</v>
      </c>
      <c r="AL83" s="5">
        <f>VLOOKUP($A83,'SegEnds_NonXtal_Prot#'!$A:$AL,29,FALSE)</f>
        <v>217</v>
      </c>
      <c r="AM83" s="5">
        <f>VLOOKUP($A83,'SegEnds_NonXtal_Prot#'!$A:$AL,32,FALSE)</f>
        <v>260</v>
      </c>
      <c r="AN83" s="5">
        <f>VLOOKUP($A83,'SegEnds_NonXtal_Prot#'!$A:$AL,35,FALSE)</f>
        <v>293</v>
      </c>
      <c r="AO83" s="5">
        <f>VLOOKUP($A83,'SegEnds_NonXtal_Prot#'!$A:$AL,38,FALSE)</f>
        <v>316</v>
      </c>
      <c r="AP83" s="5">
        <f t="shared" si="38"/>
        <v>33</v>
      </c>
      <c r="AQ83" s="4">
        <f t="shared" si="39"/>
        <v>3</v>
      </c>
      <c r="AR83" s="4">
        <f t="shared" si="40"/>
        <v>30</v>
      </c>
      <c r="AS83" s="4">
        <f t="shared" si="41"/>
        <v>2</v>
      </c>
      <c r="AT83" s="4">
        <f t="shared" si="42"/>
        <v>35</v>
      </c>
      <c r="AU83" s="4">
        <f t="shared" si="43"/>
        <v>7</v>
      </c>
      <c r="AV83" s="4">
        <f t="shared" si="44"/>
        <v>25</v>
      </c>
      <c r="AW83" s="4">
        <f t="shared" si="45"/>
        <v>2</v>
      </c>
      <c r="AX83" s="4">
        <f t="shared" si="46"/>
        <v>39</v>
      </c>
      <c r="AY83" s="4">
        <f t="shared" si="47"/>
        <v>39</v>
      </c>
      <c r="AZ83" s="4">
        <f t="shared" si="48"/>
        <v>28</v>
      </c>
      <c r="BA83" s="4">
        <f t="shared" si="49"/>
        <v>22</v>
      </c>
    </row>
    <row r="84" spans="1:53" x14ac:dyDescent="0.2">
      <c r="A84" s="1" t="str">
        <f>'SegEnds_NonXtal_Prot#'!A53</f>
        <v>aa3r_human</v>
      </c>
      <c r="B84" s="1" t="str">
        <f t="shared" si="25"/>
        <v>SLANVTYITMEIFIGLCAIVGNVLVICVVKLNTTTFYFIVSLALADIAVGVLVMPLAIVVSLGHFYSCLFMTCLLLIFTHASIMSLLAIAVDRYLRVKLTHRRIWLALGLCWLVSFLVGLTPMFGRMDYMVYFSFLTWIFIPLVVMCAIYLDIFYIIRNKLSLNLETGAFYGREFKTAKSLFLVLFLFALSWLPLSIINCIIYFNQLVLYMGILLSHANSMMNPIVYAYKIKKFKETYLLILKACVVCHPSDS</v>
      </c>
      <c r="C84" s="29" t="str">
        <f>IF(ISERROR(MATCH(A84,'SegEnds_Xtal_Prot#'!B:B, 0)), "NoXtal", "Xtal")</f>
        <v>NoXtal</v>
      </c>
      <c r="D84" s="4" t="str">
        <f>VLOOKUP(A84,Classification!A:D,2,FALSE)</f>
        <v>A</v>
      </c>
      <c r="E84" s="5" t="str">
        <f>VLOOKUP(A84,Seqs!A:B,2,FALSE)</f>
        <v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</v>
      </c>
      <c r="F84" s="5" t="str">
        <f t="shared" si="26"/>
        <v>SLANVTYITMEIFIGLCAIVGNVLVICVVKLN</v>
      </c>
      <c r="G84" s="4" t="str">
        <f t="shared" si="27"/>
        <v>PSLQ</v>
      </c>
      <c r="H84" s="4" t="str">
        <f t="shared" si="28"/>
        <v>TTTFYFIVSLALADIAVGVLVMPLAIVVSLG</v>
      </c>
      <c r="I84" s="4" t="str">
        <f t="shared" si="29"/>
        <v>ITI</v>
      </c>
      <c r="J84" s="4" t="str">
        <f t="shared" si="30"/>
        <v>HFYSCLFMTCLLLIFTHASIMSLLAIAVDRYLRVKL</v>
      </c>
      <c r="K84" s="4" t="str">
        <f t="shared" si="31"/>
        <v>TVRYKRVT</v>
      </c>
      <c r="L84" s="4" t="str">
        <f t="shared" si="32"/>
        <v>THRRIWLALGLCWLVSFLVGLTPMFG</v>
      </c>
      <c r="M84" s="4" t="str">
        <f t="shared" si="33"/>
        <v>CQF</v>
      </c>
      <c r="N84" s="4" t="str">
        <f t="shared" si="34"/>
        <v>RMDYMVYFSFLTWIFIPLVVMCAIYLDIFYIIRNKLSLNL</v>
      </c>
      <c r="O84" s="4" t="str">
        <f t="shared" si="35"/>
        <v>ETGAFYGREFKTAKSLFLVLFLFALSWLPLSIINCIIYFN</v>
      </c>
      <c r="P84" s="4" t="str">
        <f t="shared" si="36"/>
        <v>QLVLYMGILLSHANSMMNPIVYAYK</v>
      </c>
      <c r="Q84" s="4" t="str">
        <f t="shared" si="37"/>
        <v>IKKFKETYLLILKACVVCHPSDS</v>
      </c>
      <c r="R84" s="5">
        <f>VLOOKUP($A84,'SegEnds_NonXtal_Prot#'!$A:$AL,3,FALSE)</f>
        <v>9</v>
      </c>
      <c r="S84" s="5">
        <f>VLOOKUP($A84,'SegEnds_NonXtal_Prot#'!$A:$AL,6,FALSE)</f>
        <v>41</v>
      </c>
      <c r="T84" s="5">
        <f>VLOOKUP($A84,'SegEnds_NonXtal_Prot#'!$A:$AL,9,FALSE)</f>
        <v>45</v>
      </c>
      <c r="U84" s="5">
        <f>VLOOKUP($A84,'SegEnds_NonXtal_Prot#'!$A:$AL,12,FALSE)</f>
        <v>76</v>
      </c>
      <c r="V84" s="5">
        <f>VLOOKUP($A84,'SegEnds_NonXtal_Prot#'!$A:$AL,15,FALSE)</f>
        <v>79</v>
      </c>
      <c r="W84" s="5">
        <f>VLOOKUP($A84,'SegEnds_NonXtal_Prot#'!$A:$AL,18,FALSE)</f>
        <v>115</v>
      </c>
      <c r="X84" s="5">
        <f>VLOOKUP($A84,'SegEnds_NonXtal_Prot#'!$A:$AL,21,FALSE)</f>
        <v>123</v>
      </c>
      <c r="Y84" s="5">
        <f>VLOOKUP($A84,'SegEnds_NonXtal_Prot#'!$A:$AL,24,FALSE)</f>
        <v>166</v>
      </c>
      <c r="Z84" s="5">
        <f>VLOOKUP($A84,'SegEnds_NonXtal_Prot#'!$A:$AL,27,FALSE)</f>
        <v>173</v>
      </c>
      <c r="AA84" s="5">
        <f>VLOOKUP($A84,'SegEnds_NonXtal_Prot#'!$A:$AL,30,FALSE)</f>
        <v>217</v>
      </c>
      <c r="AB84" s="5">
        <f>VLOOKUP($A84,'SegEnds_NonXtal_Prot#'!$A:$AL,33,FALSE)</f>
        <v>261</v>
      </c>
      <c r="AC84" s="5">
        <f>VLOOKUP($A84,'SegEnds_NonXtal_Prot#'!$A:$AL,36,FALSE)</f>
        <v>286</v>
      </c>
      <c r="AD84" s="5">
        <f>VLOOKUP($A84,'SegEnds_NonXtal_Prot#'!$A:$AL,5,FALSE)</f>
        <v>40</v>
      </c>
      <c r="AE84" s="5">
        <f>VLOOKUP($A84,'SegEnds_NonXtal_Prot#'!$A:$AL,8,FALSE)</f>
        <v>44</v>
      </c>
      <c r="AF84" s="5">
        <f>VLOOKUP($A84,'SegEnds_NonXtal_Prot#'!$A:$AL,11,FALSE)</f>
        <v>75</v>
      </c>
      <c r="AG84" s="5">
        <f>VLOOKUP($A84,'SegEnds_NonXtal_Prot#'!$A:$AL,14,FALSE)</f>
        <v>78</v>
      </c>
      <c r="AH84" s="5">
        <f>VLOOKUP($A84,'SegEnds_NonXtal_Prot#'!$A:$AL,17,FALSE)</f>
        <v>114</v>
      </c>
      <c r="AI84" s="5">
        <f>VLOOKUP($A84,'SegEnds_NonXtal_Prot#'!$A:$AL,20,FALSE)</f>
        <v>122</v>
      </c>
      <c r="AJ84" s="5">
        <f>VLOOKUP($A84,'SegEnds_NonXtal_Prot#'!$A:$AL,23,FALSE)</f>
        <v>148</v>
      </c>
      <c r="AK84" s="5">
        <f>VLOOKUP($A84,'SegEnds_NonXtal_Prot#'!$A:$AL,26,FALSE)</f>
        <v>168</v>
      </c>
      <c r="AL84" s="5">
        <f>VLOOKUP($A84,'SegEnds_NonXtal_Prot#'!$A:$AL,29,FALSE)</f>
        <v>212</v>
      </c>
      <c r="AM84" s="5">
        <f>VLOOKUP($A84,'SegEnds_NonXtal_Prot#'!$A:$AL,32,FALSE)</f>
        <v>256</v>
      </c>
      <c r="AN84" s="5">
        <f>VLOOKUP($A84,'SegEnds_NonXtal_Prot#'!$A:$AL,35,FALSE)</f>
        <v>285</v>
      </c>
      <c r="AO84" s="5">
        <f>VLOOKUP($A84,'SegEnds_NonXtal_Prot#'!$A:$AL,38,FALSE)</f>
        <v>308</v>
      </c>
      <c r="AP84" s="5">
        <f t="shared" si="38"/>
        <v>31</v>
      </c>
      <c r="AQ84" s="4">
        <f t="shared" si="39"/>
        <v>3</v>
      </c>
      <c r="AR84" s="4">
        <f t="shared" si="40"/>
        <v>30</v>
      </c>
      <c r="AS84" s="4">
        <f t="shared" si="41"/>
        <v>2</v>
      </c>
      <c r="AT84" s="4">
        <f t="shared" si="42"/>
        <v>35</v>
      </c>
      <c r="AU84" s="4">
        <f t="shared" si="43"/>
        <v>7</v>
      </c>
      <c r="AV84" s="4">
        <f t="shared" si="44"/>
        <v>25</v>
      </c>
      <c r="AW84" s="4">
        <f t="shared" si="45"/>
        <v>2</v>
      </c>
      <c r="AX84" s="4">
        <f t="shared" si="46"/>
        <v>39</v>
      </c>
      <c r="AY84" s="4">
        <f t="shared" si="47"/>
        <v>39</v>
      </c>
      <c r="AZ84" s="4">
        <f t="shared" si="48"/>
        <v>24</v>
      </c>
      <c r="BA84" s="4">
        <f t="shared" si="49"/>
        <v>22</v>
      </c>
    </row>
    <row r="85" spans="1:53" x14ac:dyDescent="0.2">
      <c r="A85" s="1" t="str">
        <f>'SegEnds_NonXtal_Prot#'!A54</f>
        <v>ackr2_human</v>
      </c>
      <c r="B85" s="1" t="str">
        <f t="shared" si="25"/>
        <v>KDAVVSFGKVFLPVFYSLIFVLGLSGNLLLLMVLLRYRMVEIYLLNLAISNLLFLVTLPFWGISVAWGSFLCKMVSTLYTINFYSGIFFISCMSLDKYLEIVHTRAKSLLLATIVWAVSLAVSIPDMVFVHGTIWKLFLRFQQNLLGFLLPLLAMIFFYSRIGCVLVRLQGRALKIAAALVVAFFVLWFPYNLTLFLHTLLDLQNCEVSQHLDYALQVTESIAFLHCCFSPILYAFSSHRFRQYLKAFLA</v>
      </c>
      <c r="C85" s="29" t="str">
        <f>IF(ISERROR(MATCH(A85,'SegEnds_Xtal_Prot#'!B:B, 0)), "NoXtal", "Xtal")</f>
        <v>NoXtal</v>
      </c>
      <c r="D85" s="4" t="str">
        <f>VLOOKUP(A85,Classification!A:D,2,FALSE)</f>
        <v>A</v>
      </c>
      <c r="E85" s="5" t="str">
        <f>VLOOKUP(A85,Seqs!A:B,2,FALSE)</f>
        <v>MAATASPQPLATEDADSENSSFYYYDYLDEVAFMLCRKDAVVSFGKVFLPVFYSLIFVLGLSGNLLLLMVLLRYVPRRRMVEIYLLNLAISNLLFLVTLPFWGISVAWHWVFGSFLCKMVSTLYTINFYSGIFFISCMSLDKYLEIVHAQPYHRLRTRAKSLLLATIVWAVSLAVSIPDMVFVQTHENPKGVWNCHADFGGHGTIWKLFLRFQQNLLGFLLPLLAMIFFYSRIGCVLVRLRPAGQGRALKIAAALVVAFFVLWFPYNLTLFLHTLLDLQVFGNCEVSQHLDYALQVTESIAFLHCCFSPILYAFSSHRFRQYLKAFLAAVLGWHLAPGTAQASLSSCSESSILTAQEEMTGMNDLGERQSENYPNKEDVGNKSA</v>
      </c>
      <c r="F85" s="5" t="str">
        <f t="shared" si="26"/>
        <v>KDAVVSFGKVFLPVFYSLIFVLGLSGNLLLLMVLLRY</v>
      </c>
      <c r="G85" s="4" t="str">
        <f t="shared" si="27"/>
        <v>VPRR</v>
      </c>
      <c r="H85" s="4" t="str">
        <f t="shared" si="28"/>
        <v>RMVEIYLLNLAISNLLFLVTLPFWGISVAW</v>
      </c>
      <c r="I85" s="4" t="str">
        <f t="shared" si="29"/>
        <v>HWVF</v>
      </c>
      <c r="J85" s="4" t="str">
        <f t="shared" si="30"/>
        <v>GSFLCKMVSTLYTINFYSGIFFISCMSLDKYLEIVH</v>
      </c>
      <c r="K85" s="4" t="str">
        <f t="shared" si="31"/>
        <v>AQPYHRLR</v>
      </c>
      <c r="L85" s="4" t="str">
        <f t="shared" si="32"/>
        <v>TRAKSLLLATIVWAVSLAVSIPDMVFV</v>
      </c>
      <c r="M85" s="4" t="str">
        <f t="shared" si="33"/>
        <v>CHA</v>
      </c>
      <c r="N85" s="4" t="str">
        <f t="shared" si="34"/>
        <v>HGTIWKLFLRFQQNLLGFLLPLLAMIFFYSRIGCVLVRL</v>
      </c>
      <c r="O85" s="4" t="str">
        <f t="shared" si="35"/>
        <v>QGRALKIAAALVVAFFVLWFPYNLTLFLHTLLDLQ</v>
      </c>
      <c r="P85" s="4" t="str">
        <f t="shared" si="36"/>
        <v>NCEVSQHLDYALQVTESIAFLHCCFSPILYAFS</v>
      </c>
      <c r="Q85" s="4" t="str">
        <f t="shared" si="37"/>
        <v>SHRFRQYLKAFLA</v>
      </c>
      <c r="R85" s="5">
        <f>VLOOKUP($A85,'SegEnds_NonXtal_Prot#'!$A:$AL,3,FALSE)</f>
        <v>38</v>
      </c>
      <c r="S85" s="5">
        <f>VLOOKUP($A85,'SegEnds_NonXtal_Prot#'!$A:$AL,6,FALSE)</f>
        <v>75</v>
      </c>
      <c r="T85" s="5">
        <f>VLOOKUP($A85,'SegEnds_NonXtal_Prot#'!$A:$AL,9,FALSE)</f>
        <v>79</v>
      </c>
      <c r="U85" s="5">
        <f>VLOOKUP($A85,'SegEnds_NonXtal_Prot#'!$A:$AL,12,FALSE)</f>
        <v>109</v>
      </c>
      <c r="V85" s="5">
        <f>VLOOKUP($A85,'SegEnds_NonXtal_Prot#'!$A:$AL,15,FALSE)</f>
        <v>113</v>
      </c>
      <c r="W85" s="5">
        <f>VLOOKUP($A85,'SegEnds_NonXtal_Prot#'!$A:$AL,18,FALSE)</f>
        <v>149</v>
      </c>
      <c r="X85" s="5">
        <f>VLOOKUP($A85,'SegEnds_NonXtal_Prot#'!$A:$AL,21,FALSE)</f>
        <v>157</v>
      </c>
      <c r="Y85" s="5">
        <f>VLOOKUP($A85,'SegEnds_NonXtal_Prot#'!$A:$AL,24,FALSE)</f>
        <v>195</v>
      </c>
      <c r="Z85" s="5">
        <f>VLOOKUP($A85,'SegEnds_NonXtal_Prot#'!$A:$AL,27,FALSE)</f>
        <v>202</v>
      </c>
      <c r="AA85" s="5">
        <f>VLOOKUP($A85,'SegEnds_NonXtal_Prot#'!$A:$AL,30,FALSE)</f>
        <v>245</v>
      </c>
      <c r="AB85" s="5">
        <f>VLOOKUP($A85,'SegEnds_NonXtal_Prot#'!$A:$AL,33,FALSE)</f>
        <v>283</v>
      </c>
      <c r="AC85" s="5">
        <f>VLOOKUP($A85,'SegEnds_NonXtal_Prot#'!$A:$AL,36,FALSE)</f>
        <v>316</v>
      </c>
      <c r="AD85" s="5">
        <f>VLOOKUP($A85,'SegEnds_NonXtal_Prot#'!$A:$AL,5,FALSE)</f>
        <v>74</v>
      </c>
      <c r="AE85" s="5">
        <f>VLOOKUP($A85,'SegEnds_NonXtal_Prot#'!$A:$AL,8,FALSE)</f>
        <v>78</v>
      </c>
      <c r="AF85" s="5">
        <f>VLOOKUP($A85,'SegEnds_NonXtal_Prot#'!$A:$AL,11,FALSE)</f>
        <v>108</v>
      </c>
      <c r="AG85" s="5">
        <f>VLOOKUP($A85,'SegEnds_NonXtal_Prot#'!$A:$AL,14,FALSE)</f>
        <v>112</v>
      </c>
      <c r="AH85" s="5">
        <f>VLOOKUP($A85,'SegEnds_NonXtal_Prot#'!$A:$AL,17,FALSE)</f>
        <v>148</v>
      </c>
      <c r="AI85" s="5">
        <f>VLOOKUP($A85,'SegEnds_NonXtal_Prot#'!$A:$AL,20,FALSE)</f>
        <v>156</v>
      </c>
      <c r="AJ85" s="5">
        <f>VLOOKUP($A85,'SegEnds_NonXtal_Prot#'!$A:$AL,23,FALSE)</f>
        <v>183</v>
      </c>
      <c r="AK85" s="5">
        <f>VLOOKUP($A85,'SegEnds_NonXtal_Prot#'!$A:$AL,26,FALSE)</f>
        <v>197</v>
      </c>
      <c r="AL85" s="5">
        <f>VLOOKUP($A85,'SegEnds_NonXtal_Prot#'!$A:$AL,29,FALSE)</f>
        <v>240</v>
      </c>
      <c r="AM85" s="5">
        <f>VLOOKUP($A85,'SegEnds_NonXtal_Prot#'!$A:$AL,32,FALSE)</f>
        <v>279</v>
      </c>
      <c r="AN85" s="5">
        <f>VLOOKUP($A85,'SegEnds_NonXtal_Prot#'!$A:$AL,35,FALSE)</f>
        <v>315</v>
      </c>
      <c r="AO85" s="5">
        <f>VLOOKUP($A85,'SegEnds_NonXtal_Prot#'!$A:$AL,38,FALSE)</f>
        <v>328</v>
      </c>
      <c r="AP85" s="5">
        <f t="shared" si="38"/>
        <v>36</v>
      </c>
      <c r="AQ85" s="4">
        <f t="shared" si="39"/>
        <v>3</v>
      </c>
      <c r="AR85" s="4">
        <f t="shared" si="40"/>
        <v>29</v>
      </c>
      <c r="AS85" s="4">
        <f t="shared" si="41"/>
        <v>3</v>
      </c>
      <c r="AT85" s="4">
        <f t="shared" si="42"/>
        <v>35</v>
      </c>
      <c r="AU85" s="4">
        <f t="shared" si="43"/>
        <v>7</v>
      </c>
      <c r="AV85" s="4">
        <f t="shared" si="44"/>
        <v>26</v>
      </c>
      <c r="AW85" s="4">
        <f t="shared" si="45"/>
        <v>2</v>
      </c>
      <c r="AX85" s="4">
        <f t="shared" si="46"/>
        <v>38</v>
      </c>
      <c r="AY85" s="4">
        <f t="shared" si="47"/>
        <v>34</v>
      </c>
      <c r="AZ85" s="4">
        <f t="shared" si="48"/>
        <v>32</v>
      </c>
      <c r="BA85" s="4">
        <f t="shared" si="49"/>
        <v>12</v>
      </c>
    </row>
    <row r="86" spans="1:53" x14ac:dyDescent="0.2">
      <c r="A86" s="1" t="str">
        <f>'SegEnds_NonXtal_Prot#'!A55</f>
        <v>acm1_human</v>
      </c>
      <c r="B86" s="1" t="str">
        <f t="shared" si="25"/>
        <v>PWQVAFIGITTGLLSLATVTGNLLVLISFKVNTVNNYFLLSLACADLIIGTFSMNLYTTYLLMGTLACDLWLALDYVASNASVMNLLLISFDRYFSVTRTPRRAALMIGLAWLVSFVLWAPAILFWQYLVGQPIITFGTAMAAFYLPVTVMCTLYWRIYRETENRARELAALTFSLVKEKKAARTLSAILLAFILTWTPYNIMVLVSTFCPETLWELGYWLCYVNSTINPMCYALCNKAFRDTFRLLLL</v>
      </c>
      <c r="C86" s="29" t="str">
        <f>IF(ISERROR(MATCH(A86,'SegEnds_Xtal_Prot#'!B:B, 0)), "NoXtal", "Xtal")</f>
        <v>Xtal</v>
      </c>
      <c r="D86" s="4" t="str">
        <f>VLOOKUP(A86,Classification!A:D,2,FALSE)</f>
        <v>A</v>
      </c>
      <c r="E86" s="5" t="str">
        <f>VLOOKUP(A86,Seqs!A:B,2,FALSE)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F86" s="5" t="str">
        <f t="shared" si="26"/>
        <v>PWQVAFIGITTGLLSLATVTGNLLVLISFKVN</v>
      </c>
      <c r="G86" s="4" t="str">
        <f t="shared" si="27"/>
        <v>TELK</v>
      </c>
      <c r="H86" s="4" t="str">
        <f t="shared" si="28"/>
        <v>TVNNYFLLSLACADLIIGTFSMNLYTTYLLM</v>
      </c>
      <c r="I86" s="4" t="str">
        <f t="shared" si="29"/>
        <v>HWAL</v>
      </c>
      <c r="J86" s="4" t="str">
        <f t="shared" si="30"/>
        <v>GTLACDLWLALDYVASNASVMNLLLISFDRYFSVTR</v>
      </c>
      <c r="K86" s="4" t="str">
        <f t="shared" si="31"/>
        <v>PLSYRAKR</v>
      </c>
      <c r="L86" s="4" t="str">
        <f t="shared" si="32"/>
        <v>TPRRAALMIGLAWLVSFVLWAPAILFWQYLVG</v>
      </c>
      <c r="M86" s="4" t="str">
        <f t="shared" si="33"/>
        <v>CYI</v>
      </c>
      <c r="N86" s="4" t="str">
        <f t="shared" si="34"/>
        <v>QPIITFGTAMAAFYLPVTVMCTLYWRIYRETENRARELAAL</v>
      </c>
      <c r="O86" s="4" t="str">
        <f t="shared" si="35"/>
        <v>TFSLVKEKKAARTLSAILLAFILTWTPYNIMVLVSTFC</v>
      </c>
      <c r="P86" s="4" t="str">
        <f t="shared" si="36"/>
        <v>PETLWELGYWLCYVNSTINPMCYALC</v>
      </c>
      <c r="Q86" s="4" t="str">
        <f t="shared" si="37"/>
        <v>NKAFRDTFRLLLL</v>
      </c>
      <c r="R86" s="5">
        <f>VLOOKUP($A86,'SegEnds_NonXtal_Prot#'!$A:$AL,3,FALSE)</f>
        <v>22</v>
      </c>
      <c r="S86" s="5">
        <f>VLOOKUP($A86,'SegEnds_NonXtal_Prot#'!$A:$AL,6,FALSE)</f>
        <v>54</v>
      </c>
      <c r="T86" s="5">
        <f>VLOOKUP($A86,'SegEnds_NonXtal_Prot#'!$A:$AL,9,FALSE)</f>
        <v>58</v>
      </c>
      <c r="U86" s="5">
        <f>VLOOKUP($A86,'SegEnds_NonXtal_Prot#'!$A:$AL,12,FALSE)</f>
        <v>90</v>
      </c>
      <c r="V86" s="5">
        <f>VLOOKUP($A86,'SegEnds_NonXtal_Prot#'!$A:$AL,15,FALSE)</f>
        <v>94</v>
      </c>
      <c r="W86" s="5">
        <f>VLOOKUP($A86,'SegEnds_NonXtal_Prot#'!$A:$AL,18,FALSE)</f>
        <v>130</v>
      </c>
      <c r="X86" s="5">
        <f>VLOOKUP($A86,'SegEnds_NonXtal_Prot#'!$A:$AL,21,FALSE)</f>
        <v>138</v>
      </c>
      <c r="Y86" s="5">
        <f>VLOOKUP($A86,'SegEnds_NonXtal_Prot#'!$A:$AL,24,FALSE)</f>
        <v>178</v>
      </c>
      <c r="Z86" s="5">
        <f>VLOOKUP($A86,'SegEnds_NonXtal_Prot#'!$A:$AL,27,FALSE)</f>
        <v>185</v>
      </c>
      <c r="AA86" s="5">
        <f>VLOOKUP($A86,'SegEnds_NonXtal_Prot#'!$A:$AL,30,FALSE)</f>
        <v>354</v>
      </c>
      <c r="AB86" s="5">
        <f>VLOOKUP($A86,'SegEnds_NonXtal_Prot#'!$A:$AL,33,FALSE)</f>
        <v>396</v>
      </c>
      <c r="AC86" s="5">
        <f>VLOOKUP($A86,'SegEnds_NonXtal_Prot#'!$A:$AL,36,FALSE)</f>
        <v>422</v>
      </c>
      <c r="AD86" s="5">
        <f>VLOOKUP($A86,'SegEnds_NonXtal_Prot#'!$A:$AL,5,FALSE)</f>
        <v>53</v>
      </c>
      <c r="AE86" s="5">
        <f>VLOOKUP($A86,'SegEnds_NonXtal_Prot#'!$A:$AL,8,FALSE)</f>
        <v>57</v>
      </c>
      <c r="AF86" s="5">
        <f>VLOOKUP($A86,'SegEnds_NonXtal_Prot#'!$A:$AL,11,FALSE)</f>
        <v>88</v>
      </c>
      <c r="AG86" s="5">
        <f>VLOOKUP($A86,'SegEnds_NonXtal_Prot#'!$A:$AL,14,FALSE)</f>
        <v>93</v>
      </c>
      <c r="AH86" s="5">
        <f>VLOOKUP($A86,'SegEnds_NonXtal_Prot#'!$A:$AL,17,FALSE)</f>
        <v>129</v>
      </c>
      <c r="AI86" s="5">
        <f>VLOOKUP($A86,'SegEnds_NonXtal_Prot#'!$A:$AL,20,FALSE)</f>
        <v>137</v>
      </c>
      <c r="AJ86" s="5">
        <f>VLOOKUP($A86,'SegEnds_NonXtal_Prot#'!$A:$AL,23,FALSE)</f>
        <v>169</v>
      </c>
      <c r="AK86" s="5">
        <f>VLOOKUP($A86,'SegEnds_NonXtal_Prot#'!$A:$AL,26,FALSE)</f>
        <v>180</v>
      </c>
      <c r="AL86" s="5">
        <f>VLOOKUP($A86,'SegEnds_NonXtal_Prot#'!$A:$AL,29,FALSE)</f>
        <v>225</v>
      </c>
      <c r="AM86" s="5">
        <f>VLOOKUP($A86,'SegEnds_NonXtal_Prot#'!$A:$AL,32,FALSE)</f>
        <v>391</v>
      </c>
      <c r="AN86" s="5">
        <f>VLOOKUP($A86,'SegEnds_NonXtal_Prot#'!$A:$AL,35,FALSE)</f>
        <v>421</v>
      </c>
      <c r="AO86" s="5">
        <f>VLOOKUP($A86,'SegEnds_NonXtal_Prot#'!$A:$AL,38,FALSE)</f>
        <v>434</v>
      </c>
      <c r="AP86" s="5">
        <f t="shared" si="38"/>
        <v>31</v>
      </c>
      <c r="AQ86" s="4">
        <f t="shared" si="39"/>
        <v>3</v>
      </c>
      <c r="AR86" s="4">
        <f t="shared" si="40"/>
        <v>30</v>
      </c>
      <c r="AS86" s="4">
        <f t="shared" si="41"/>
        <v>3</v>
      </c>
      <c r="AT86" s="4">
        <f t="shared" si="42"/>
        <v>35</v>
      </c>
      <c r="AU86" s="4">
        <f t="shared" si="43"/>
        <v>7</v>
      </c>
      <c r="AV86" s="4">
        <f t="shared" si="44"/>
        <v>31</v>
      </c>
      <c r="AW86" s="4">
        <f t="shared" si="45"/>
        <v>2</v>
      </c>
      <c r="AX86" s="4">
        <f t="shared" si="46"/>
        <v>40</v>
      </c>
      <c r="AY86" s="4">
        <f t="shared" si="47"/>
        <v>37</v>
      </c>
      <c r="AZ86" s="4">
        <f t="shared" si="48"/>
        <v>25</v>
      </c>
      <c r="BA86" s="4">
        <f t="shared" si="49"/>
        <v>12</v>
      </c>
    </row>
    <row r="87" spans="1:53" x14ac:dyDescent="0.2">
      <c r="A87" s="1" t="str">
        <f>'SegEnds_NonXtal_Prot#'!A56</f>
        <v>acm2_human</v>
      </c>
      <c r="B87" s="1" t="str">
        <f t="shared" si="25"/>
        <v>KTFEVVFIVLVAGSLSLVTIIGNILVMVSIKVNTVNNYFLFSLACADLIIGVFSMNLYTLYTVIGPVVCDLWLALDYVVSNASVMNLLIISFDRYFCVTKTTKMAGMMIAAAWVLSFILWAPAILFWQFIVGNAAVTFGTAIAAFYLPVIIMTVLYWHISRASKSRIKKDKKEKPPPSREKKVTRTILAILLAFIITWAPYNVMVLINTFCPNTVWTIGYWLCYINSTINPACYALCNATFKKTFKHLLM</v>
      </c>
      <c r="C87" s="29" t="str">
        <f>IF(ISERROR(MATCH(A87,'SegEnds_Xtal_Prot#'!B:B, 0)), "NoXtal", "Xtal")</f>
        <v>Xtal</v>
      </c>
      <c r="D87" s="4" t="str">
        <f>VLOOKUP(A87,Classification!A:D,2,FALSE)</f>
        <v>A</v>
      </c>
      <c r="E87" s="5" t="str">
        <f>VLOOKUP(A87,Seqs!A:B,2,FALSE)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F87" s="5" t="str">
        <f t="shared" si="26"/>
        <v>KTFEVVFIVLVAGSLSLVTIIGNILVMVSIKVN</v>
      </c>
      <c r="G87" s="4" t="str">
        <f t="shared" si="27"/>
        <v>RHLQ</v>
      </c>
      <c r="H87" s="4" t="str">
        <f t="shared" si="28"/>
        <v>TVNNYFLFSLACADLIIGVFSMNLYTLYTVI</v>
      </c>
      <c r="I87" s="4" t="str">
        <f t="shared" si="29"/>
        <v>YWPL</v>
      </c>
      <c r="J87" s="4" t="str">
        <f t="shared" si="30"/>
        <v>GPVVCDLWLALDYVVSNASVMNLLIISFDRYFCVTK</v>
      </c>
      <c r="K87" s="4" t="str">
        <f t="shared" si="31"/>
        <v>PLTYPVKR</v>
      </c>
      <c r="L87" s="4" t="str">
        <f t="shared" si="32"/>
        <v>TTKMAGMMIAAAWVLSFILWAPAILFWQFIVG</v>
      </c>
      <c r="M87" s="4" t="str">
        <f t="shared" si="33"/>
        <v>CYI</v>
      </c>
      <c r="N87" s="4" t="str">
        <f t="shared" si="34"/>
        <v>NAAVTFGTAIAAFYLPVIIMTVLYWHISRASKSRIKKDKKE</v>
      </c>
      <c r="O87" s="4" t="str">
        <f t="shared" si="35"/>
        <v>KPPPSREKKVTRTILAILLAFIITWAPYNVMVLINTFC</v>
      </c>
      <c r="P87" s="4" t="str">
        <f t="shared" si="36"/>
        <v>PNTVWTIGYWLCYINSTINPACYALC</v>
      </c>
      <c r="Q87" s="4" t="str">
        <f t="shared" si="37"/>
        <v>NATFKKTFKHLLM</v>
      </c>
      <c r="R87" s="5">
        <f>VLOOKUP($A87,'SegEnds_NonXtal_Prot#'!$A:$AL,3,FALSE)</f>
        <v>19</v>
      </c>
      <c r="S87" s="5">
        <f>VLOOKUP($A87,'SegEnds_NonXtal_Prot#'!$A:$AL,6,FALSE)</f>
        <v>52</v>
      </c>
      <c r="T87" s="5">
        <f>VLOOKUP($A87,'SegEnds_NonXtal_Prot#'!$A:$AL,9,FALSE)</f>
        <v>56</v>
      </c>
      <c r="U87" s="5">
        <f>VLOOKUP($A87,'SegEnds_NonXtal_Prot#'!$A:$AL,12,FALSE)</f>
        <v>88</v>
      </c>
      <c r="V87" s="5">
        <f>VLOOKUP($A87,'SegEnds_NonXtal_Prot#'!$A:$AL,15,FALSE)</f>
        <v>92</v>
      </c>
      <c r="W87" s="5">
        <f>VLOOKUP($A87,'SegEnds_NonXtal_Prot#'!$A:$AL,18,FALSE)</f>
        <v>128</v>
      </c>
      <c r="X87" s="5">
        <f>VLOOKUP($A87,'SegEnds_NonXtal_Prot#'!$A:$AL,21,FALSE)</f>
        <v>136</v>
      </c>
      <c r="Y87" s="5">
        <f>VLOOKUP($A87,'SegEnds_NonXtal_Prot#'!$A:$AL,24,FALSE)</f>
        <v>176</v>
      </c>
      <c r="Z87" s="5">
        <f>VLOOKUP($A87,'SegEnds_NonXtal_Prot#'!$A:$AL,27,FALSE)</f>
        <v>183</v>
      </c>
      <c r="AA87" s="5">
        <f>VLOOKUP($A87,'SegEnds_NonXtal_Prot#'!$A:$AL,30,FALSE)</f>
        <v>376</v>
      </c>
      <c r="AB87" s="5">
        <f>VLOOKUP($A87,'SegEnds_NonXtal_Prot#'!$A:$AL,33,FALSE)</f>
        <v>418</v>
      </c>
      <c r="AC87" s="5">
        <f>VLOOKUP($A87,'SegEnds_NonXtal_Prot#'!$A:$AL,36,FALSE)</f>
        <v>444</v>
      </c>
      <c r="AD87" s="5">
        <f>VLOOKUP($A87,'SegEnds_NonXtal_Prot#'!$A:$AL,5,FALSE)</f>
        <v>51</v>
      </c>
      <c r="AE87" s="5">
        <f>VLOOKUP($A87,'SegEnds_NonXtal_Prot#'!$A:$AL,8,FALSE)</f>
        <v>55</v>
      </c>
      <c r="AF87" s="5">
        <f>VLOOKUP($A87,'SegEnds_NonXtal_Prot#'!$A:$AL,11,FALSE)</f>
        <v>86</v>
      </c>
      <c r="AG87" s="5">
        <f>VLOOKUP($A87,'SegEnds_NonXtal_Prot#'!$A:$AL,14,FALSE)</f>
        <v>91</v>
      </c>
      <c r="AH87" s="5">
        <f>VLOOKUP($A87,'SegEnds_NonXtal_Prot#'!$A:$AL,17,FALSE)</f>
        <v>127</v>
      </c>
      <c r="AI87" s="5">
        <f>VLOOKUP($A87,'SegEnds_NonXtal_Prot#'!$A:$AL,20,FALSE)</f>
        <v>135</v>
      </c>
      <c r="AJ87" s="5">
        <f>VLOOKUP($A87,'SegEnds_NonXtal_Prot#'!$A:$AL,23,FALSE)</f>
        <v>167</v>
      </c>
      <c r="AK87" s="5">
        <f>VLOOKUP($A87,'SegEnds_NonXtal_Prot#'!$A:$AL,26,FALSE)</f>
        <v>178</v>
      </c>
      <c r="AL87" s="5">
        <f>VLOOKUP($A87,'SegEnds_NonXtal_Prot#'!$A:$AL,29,FALSE)</f>
        <v>223</v>
      </c>
      <c r="AM87" s="5">
        <f>VLOOKUP($A87,'SegEnds_NonXtal_Prot#'!$A:$AL,32,FALSE)</f>
        <v>413</v>
      </c>
      <c r="AN87" s="5">
        <f>VLOOKUP($A87,'SegEnds_NonXtal_Prot#'!$A:$AL,35,FALSE)</f>
        <v>443</v>
      </c>
      <c r="AO87" s="5">
        <f>VLOOKUP($A87,'SegEnds_NonXtal_Prot#'!$A:$AL,38,FALSE)</f>
        <v>456</v>
      </c>
      <c r="AP87" s="5">
        <f t="shared" si="38"/>
        <v>32</v>
      </c>
      <c r="AQ87" s="4">
        <f t="shared" si="39"/>
        <v>3</v>
      </c>
      <c r="AR87" s="4">
        <f t="shared" si="40"/>
        <v>30</v>
      </c>
      <c r="AS87" s="4">
        <f t="shared" si="41"/>
        <v>3</v>
      </c>
      <c r="AT87" s="4">
        <f t="shared" si="42"/>
        <v>35</v>
      </c>
      <c r="AU87" s="4">
        <f t="shared" si="43"/>
        <v>7</v>
      </c>
      <c r="AV87" s="4">
        <f t="shared" si="44"/>
        <v>31</v>
      </c>
      <c r="AW87" s="4">
        <f t="shared" si="45"/>
        <v>2</v>
      </c>
      <c r="AX87" s="4">
        <f t="shared" si="46"/>
        <v>40</v>
      </c>
      <c r="AY87" s="4">
        <f t="shared" si="47"/>
        <v>37</v>
      </c>
      <c r="AZ87" s="4">
        <f t="shared" si="48"/>
        <v>25</v>
      </c>
      <c r="BA87" s="4">
        <f t="shared" si="49"/>
        <v>12</v>
      </c>
    </row>
    <row r="88" spans="1:53" x14ac:dyDescent="0.2">
      <c r="A88" s="1" t="str">
        <f>'SegEnds_NonXtal_Prot#'!A57</f>
        <v>acm3_human</v>
      </c>
      <c r="B88" s="1" t="str">
        <f t="shared" si="25"/>
        <v>VWQVVFIAFLTGILALVTIIGNILVIVSFKVNTVNNYFLLSLACADLIIGVISMNLFTTYIIMGNLACDLWLAIDYVASNASVMNLLVISFDRYFSITRTTKRAGVMIGLAWVISFVLWAPAILFWQYFVGEPTITFGTAIAAFYMPVTIMTILYWRIYKETEKRTKELAGLRMSLVKEKKAAQTLSAILLAFIITWTPYNIMVLVNTFCPKTFWNLGYWLCYINSTVNPVCYALCNKTFRTTFKMLL</v>
      </c>
      <c r="C88" s="29" t="str">
        <f>IF(ISERROR(MATCH(A88,'SegEnds_Xtal_Prot#'!B:B, 0)), "NoXtal", "Xtal")</f>
        <v>NoXtal</v>
      </c>
      <c r="D88" s="4" t="str">
        <f>VLOOKUP(A88,Classification!A:D,2,FALSE)</f>
        <v>A</v>
      </c>
      <c r="E88" s="5" t="str">
        <f>VLOOKUP(A88,Seqs!A:B,2,FALSE)</f>
        <v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v>
      </c>
      <c r="F88" s="5" t="str">
        <f t="shared" si="26"/>
        <v>VWQVVFIAFLTGILALVTIIGNILVIVSFKVN</v>
      </c>
      <c r="G88" s="4" t="str">
        <f t="shared" si="27"/>
        <v>KQLK</v>
      </c>
      <c r="H88" s="4" t="str">
        <f t="shared" si="28"/>
        <v>TVNNYFLLSLACADLIIGVISMNLFTTYIIM</v>
      </c>
      <c r="I88" s="4" t="str">
        <f t="shared" si="29"/>
        <v>RWAL</v>
      </c>
      <c r="J88" s="4" t="str">
        <f t="shared" si="30"/>
        <v>GNLACDLWLAIDYVASNASVMNLLVISFDRYFSITR</v>
      </c>
      <c r="K88" s="4" t="str">
        <f t="shared" si="31"/>
        <v>PLTYRAKR</v>
      </c>
      <c r="L88" s="4" t="str">
        <f t="shared" si="32"/>
        <v>TTKRAGVMIGLAWVISFVLWAPAILFWQYFVG</v>
      </c>
      <c r="M88" s="4" t="str">
        <f t="shared" si="33"/>
        <v>CFI</v>
      </c>
      <c r="N88" s="4" t="str">
        <f t="shared" si="34"/>
        <v>EPTITFGTAIAAFYMPVTIMTILYWRIYKETEKRTKELAGL</v>
      </c>
      <c r="O88" s="4" t="str">
        <f t="shared" si="35"/>
        <v>RMSLVKEKKAAQTLSAILLAFIITWTPYNIMVLVNTFC</v>
      </c>
      <c r="P88" s="4" t="str">
        <f t="shared" si="36"/>
        <v>PKTFWNLGYWLCYINSTVNPVCYALC</v>
      </c>
      <c r="Q88" s="4" t="str">
        <f t="shared" si="37"/>
        <v>NKTFRTTFKMLL</v>
      </c>
      <c r="R88" s="5">
        <f>VLOOKUP($A88,'SegEnds_NonXtal_Prot#'!$A:$AL,3,FALSE)</f>
        <v>65</v>
      </c>
      <c r="S88" s="5">
        <f>VLOOKUP($A88,'SegEnds_NonXtal_Prot#'!$A:$AL,6,FALSE)</f>
        <v>97</v>
      </c>
      <c r="T88" s="5">
        <f>VLOOKUP($A88,'SegEnds_NonXtal_Prot#'!$A:$AL,9,FALSE)</f>
        <v>101</v>
      </c>
      <c r="U88" s="5">
        <f>VLOOKUP($A88,'SegEnds_NonXtal_Prot#'!$A:$AL,12,FALSE)</f>
        <v>133</v>
      </c>
      <c r="V88" s="5">
        <f>VLOOKUP($A88,'SegEnds_NonXtal_Prot#'!$A:$AL,15,FALSE)</f>
        <v>137</v>
      </c>
      <c r="W88" s="5">
        <f>VLOOKUP($A88,'SegEnds_NonXtal_Prot#'!$A:$AL,18,FALSE)</f>
        <v>173</v>
      </c>
      <c r="X88" s="5">
        <f>VLOOKUP($A88,'SegEnds_NonXtal_Prot#'!$A:$AL,21,FALSE)</f>
        <v>181</v>
      </c>
      <c r="Y88" s="5">
        <f>VLOOKUP($A88,'SegEnds_NonXtal_Prot#'!$A:$AL,24,FALSE)</f>
        <v>221</v>
      </c>
      <c r="Z88" s="5">
        <f>VLOOKUP($A88,'SegEnds_NonXtal_Prot#'!$A:$AL,27,FALSE)</f>
        <v>228</v>
      </c>
      <c r="AA88" s="5">
        <f>VLOOKUP($A88,'SegEnds_NonXtal_Prot#'!$A:$AL,30,FALSE)</f>
        <v>480</v>
      </c>
      <c r="AB88" s="5">
        <f>VLOOKUP($A88,'SegEnds_NonXtal_Prot#'!$A:$AL,33,FALSE)</f>
        <v>522</v>
      </c>
      <c r="AC88" s="5">
        <f>VLOOKUP($A88,'SegEnds_NonXtal_Prot#'!$A:$AL,36,FALSE)</f>
        <v>548</v>
      </c>
      <c r="AD88" s="5">
        <f>VLOOKUP($A88,'SegEnds_NonXtal_Prot#'!$A:$AL,5,FALSE)</f>
        <v>96</v>
      </c>
      <c r="AE88" s="5">
        <f>VLOOKUP($A88,'SegEnds_NonXtal_Prot#'!$A:$AL,8,FALSE)</f>
        <v>100</v>
      </c>
      <c r="AF88" s="5">
        <f>VLOOKUP($A88,'SegEnds_NonXtal_Prot#'!$A:$AL,11,FALSE)</f>
        <v>131</v>
      </c>
      <c r="AG88" s="5">
        <f>VLOOKUP($A88,'SegEnds_NonXtal_Prot#'!$A:$AL,14,FALSE)</f>
        <v>136</v>
      </c>
      <c r="AH88" s="5">
        <f>VLOOKUP($A88,'SegEnds_NonXtal_Prot#'!$A:$AL,17,FALSE)</f>
        <v>172</v>
      </c>
      <c r="AI88" s="5">
        <f>VLOOKUP($A88,'SegEnds_NonXtal_Prot#'!$A:$AL,20,FALSE)</f>
        <v>180</v>
      </c>
      <c r="AJ88" s="5">
        <f>VLOOKUP($A88,'SegEnds_NonXtal_Prot#'!$A:$AL,23,FALSE)</f>
        <v>212</v>
      </c>
      <c r="AK88" s="5">
        <f>VLOOKUP($A88,'SegEnds_NonXtal_Prot#'!$A:$AL,26,FALSE)</f>
        <v>223</v>
      </c>
      <c r="AL88" s="5">
        <f>VLOOKUP($A88,'SegEnds_NonXtal_Prot#'!$A:$AL,29,FALSE)</f>
        <v>268</v>
      </c>
      <c r="AM88" s="5">
        <f>VLOOKUP($A88,'SegEnds_NonXtal_Prot#'!$A:$AL,32,FALSE)</f>
        <v>517</v>
      </c>
      <c r="AN88" s="5">
        <f>VLOOKUP($A88,'SegEnds_NonXtal_Prot#'!$A:$AL,35,FALSE)</f>
        <v>547</v>
      </c>
      <c r="AO88" s="5">
        <f>VLOOKUP($A88,'SegEnds_NonXtal_Prot#'!$A:$AL,38,FALSE)</f>
        <v>559</v>
      </c>
      <c r="AP88" s="5">
        <f t="shared" si="38"/>
        <v>31</v>
      </c>
      <c r="AQ88" s="4">
        <f t="shared" si="39"/>
        <v>3</v>
      </c>
      <c r="AR88" s="4">
        <f t="shared" si="40"/>
        <v>30</v>
      </c>
      <c r="AS88" s="4">
        <f t="shared" si="41"/>
        <v>3</v>
      </c>
      <c r="AT88" s="4">
        <f t="shared" si="42"/>
        <v>35</v>
      </c>
      <c r="AU88" s="4">
        <f t="shared" si="43"/>
        <v>7</v>
      </c>
      <c r="AV88" s="4">
        <f t="shared" si="44"/>
        <v>31</v>
      </c>
      <c r="AW88" s="4">
        <f t="shared" si="45"/>
        <v>2</v>
      </c>
      <c r="AX88" s="4">
        <f t="shared" si="46"/>
        <v>40</v>
      </c>
      <c r="AY88" s="4">
        <f t="shared" si="47"/>
        <v>37</v>
      </c>
      <c r="AZ88" s="4">
        <f t="shared" si="48"/>
        <v>25</v>
      </c>
      <c r="BA88" s="4">
        <f t="shared" si="49"/>
        <v>11</v>
      </c>
    </row>
    <row r="89" spans="1:53" x14ac:dyDescent="0.2">
      <c r="A89" s="1" t="str">
        <f>'SegEnds_NonXtal_Prot#'!A58</f>
        <v>acm3_rat</v>
      </c>
      <c r="B89" s="1" t="str">
        <f t="shared" si="25"/>
        <v>IWQVVFIAFLTGFLALVTIIGNILVIVAFKVNTVNNYFLLSLACADLIIGVISMNLFTTYIIMGNLACDLWLSIDYVASNASVMNLLVISFDRYFSITRTTKRAGVMIGLAWVISFVLWAPAILFWQYFVGEPTITFGTAIAAFYMPVTIMTILYWRIYKETEKRTKELAGLRMSLIKEKKAAQTLSAILLAFIITWTPYNIMVLVNTFCPKTYWNLGYWLCYINSTVNPVCYALCNKTFRTTFKTLL</v>
      </c>
      <c r="C89" s="29" t="str">
        <f>IF(ISERROR(MATCH(A89,'SegEnds_Xtal_Prot#'!B:B, 0)), "NoXtal", "Xtal")</f>
        <v>Xtal</v>
      </c>
      <c r="D89" s="4" t="str">
        <f>VLOOKUP(A89,Classification!A:D,2,FALSE)</f>
        <v>A</v>
      </c>
      <c r="E89" s="5" t="str">
        <f>VLOOKUP(A89,Seqs!A:B,2,FALSE)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F89" s="5" t="str">
        <f t="shared" si="26"/>
        <v>IWQVVFIAFLTGFLALVTIIGNILVIVAFKVN</v>
      </c>
      <c r="G89" s="4" t="str">
        <f t="shared" si="27"/>
        <v>KQLK</v>
      </c>
      <c r="H89" s="4" t="str">
        <f t="shared" si="28"/>
        <v>TVNNYFLLSLACADLIIGVISMNLFTTYIIM</v>
      </c>
      <c r="I89" s="4" t="str">
        <f t="shared" si="29"/>
        <v>RWAL</v>
      </c>
      <c r="J89" s="4" t="str">
        <f t="shared" si="30"/>
        <v>GNLACDLWLSIDYVASNASVMNLLVISFDRYFSITR</v>
      </c>
      <c r="K89" s="4" t="str">
        <f t="shared" si="31"/>
        <v>PLTYRAKR</v>
      </c>
      <c r="L89" s="4" t="str">
        <f t="shared" si="32"/>
        <v>TTKRAGVMIGLAWVISFVLWAPAILFWQYFVG</v>
      </c>
      <c r="M89" s="4" t="str">
        <f t="shared" si="33"/>
        <v>CFI</v>
      </c>
      <c r="N89" s="4" t="str">
        <f t="shared" si="34"/>
        <v>EPTITFGTAIAAFYMPVTIMTILYWRIYKETEKRTKELAGL</v>
      </c>
      <c r="O89" s="4" t="str">
        <f t="shared" si="35"/>
        <v>RMSLIKEKKAAQTLSAILLAFIITWTPYNIMVLVNTFC</v>
      </c>
      <c r="P89" s="4" t="str">
        <f t="shared" si="36"/>
        <v>PKTYWNLGYWLCYINSTVNPVCYALC</v>
      </c>
      <c r="Q89" s="4" t="str">
        <f t="shared" si="37"/>
        <v>NKTFRTTFKTLL</v>
      </c>
      <c r="R89" s="5">
        <f>VLOOKUP($A89,'SegEnds_NonXtal_Prot#'!$A:$AL,3,FALSE)</f>
        <v>64</v>
      </c>
      <c r="S89" s="5">
        <f>VLOOKUP($A89,'SegEnds_NonXtal_Prot#'!$A:$AL,6,FALSE)</f>
        <v>96</v>
      </c>
      <c r="T89" s="5">
        <f>VLOOKUP($A89,'SegEnds_NonXtal_Prot#'!$A:$AL,9,FALSE)</f>
        <v>100</v>
      </c>
      <c r="U89" s="5">
        <f>VLOOKUP($A89,'SegEnds_NonXtal_Prot#'!$A:$AL,12,FALSE)</f>
        <v>132</v>
      </c>
      <c r="V89" s="5">
        <f>VLOOKUP($A89,'SegEnds_NonXtal_Prot#'!$A:$AL,15,FALSE)</f>
        <v>136</v>
      </c>
      <c r="W89" s="5">
        <f>VLOOKUP($A89,'SegEnds_NonXtal_Prot#'!$A:$AL,18,FALSE)</f>
        <v>172</v>
      </c>
      <c r="X89" s="5">
        <f>VLOOKUP($A89,'SegEnds_NonXtal_Prot#'!$A:$AL,21,FALSE)</f>
        <v>180</v>
      </c>
      <c r="Y89" s="5">
        <f>VLOOKUP($A89,'SegEnds_NonXtal_Prot#'!$A:$AL,24,FALSE)</f>
        <v>220</v>
      </c>
      <c r="Z89" s="5">
        <f>VLOOKUP($A89,'SegEnds_NonXtal_Prot#'!$A:$AL,27,FALSE)</f>
        <v>227</v>
      </c>
      <c r="AA89" s="5">
        <f>VLOOKUP($A89,'SegEnds_NonXtal_Prot#'!$A:$AL,30,FALSE)</f>
        <v>479</v>
      </c>
      <c r="AB89" s="5">
        <f>VLOOKUP($A89,'SegEnds_NonXtal_Prot#'!$A:$AL,33,FALSE)</f>
        <v>521</v>
      </c>
      <c r="AC89" s="5">
        <f>VLOOKUP($A89,'SegEnds_NonXtal_Prot#'!$A:$AL,36,FALSE)</f>
        <v>547</v>
      </c>
      <c r="AD89" s="5">
        <f>VLOOKUP($A89,'SegEnds_NonXtal_Prot#'!$A:$AL,5,FALSE)</f>
        <v>95</v>
      </c>
      <c r="AE89" s="5">
        <f>VLOOKUP($A89,'SegEnds_NonXtal_Prot#'!$A:$AL,8,FALSE)</f>
        <v>99</v>
      </c>
      <c r="AF89" s="5">
        <f>VLOOKUP($A89,'SegEnds_NonXtal_Prot#'!$A:$AL,11,FALSE)</f>
        <v>130</v>
      </c>
      <c r="AG89" s="5">
        <f>VLOOKUP($A89,'SegEnds_NonXtal_Prot#'!$A:$AL,14,FALSE)</f>
        <v>135</v>
      </c>
      <c r="AH89" s="5">
        <f>VLOOKUP($A89,'SegEnds_NonXtal_Prot#'!$A:$AL,17,FALSE)</f>
        <v>171</v>
      </c>
      <c r="AI89" s="5">
        <f>VLOOKUP($A89,'SegEnds_NonXtal_Prot#'!$A:$AL,20,FALSE)</f>
        <v>179</v>
      </c>
      <c r="AJ89" s="5">
        <f>VLOOKUP($A89,'SegEnds_NonXtal_Prot#'!$A:$AL,23,FALSE)</f>
        <v>211</v>
      </c>
      <c r="AK89" s="5">
        <f>VLOOKUP($A89,'SegEnds_NonXtal_Prot#'!$A:$AL,26,FALSE)</f>
        <v>222</v>
      </c>
      <c r="AL89" s="5">
        <f>VLOOKUP($A89,'SegEnds_NonXtal_Prot#'!$A:$AL,29,FALSE)</f>
        <v>267</v>
      </c>
      <c r="AM89" s="5">
        <f>VLOOKUP($A89,'SegEnds_NonXtal_Prot#'!$A:$AL,32,FALSE)</f>
        <v>516</v>
      </c>
      <c r="AN89" s="5">
        <f>VLOOKUP($A89,'SegEnds_NonXtal_Prot#'!$A:$AL,35,FALSE)</f>
        <v>546</v>
      </c>
      <c r="AO89" s="5">
        <f>VLOOKUP($A89,'SegEnds_NonXtal_Prot#'!$A:$AL,38,FALSE)</f>
        <v>558</v>
      </c>
      <c r="AP89" s="5">
        <f t="shared" si="38"/>
        <v>31</v>
      </c>
      <c r="AQ89" s="4">
        <f t="shared" si="39"/>
        <v>3</v>
      </c>
      <c r="AR89" s="4">
        <f t="shared" si="40"/>
        <v>30</v>
      </c>
      <c r="AS89" s="4">
        <f t="shared" si="41"/>
        <v>3</v>
      </c>
      <c r="AT89" s="4">
        <f t="shared" si="42"/>
        <v>35</v>
      </c>
      <c r="AU89" s="4">
        <f t="shared" si="43"/>
        <v>7</v>
      </c>
      <c r="AV89" s="4">
        <f t="shared" si="44"/>
        <v>31</v>
      </c>
      <c r="AW89" s="4">
        <f t="shared" si="45"/>
        <v>2</v>
      </c>
      <c r="AX89" s="4">
        <f t="shared" si="46"/>
        <v>40</v>
      </c>
      <c r="AY89" s="4">
        <f t="shared" si="47"/>
        <v>37</v>
      </c>
      <c r="AZ89" s="4">
        <f t="shared" si="48"/>
        <v>25</v>
      </c>
      <c r="BA89" s="4">
        <f t="shared" si="49"/>
        <v>11</v>
      </c>
    </row>
    <row r="90" spans="1:53" x14ac:dyDescent="0.2">
      <c r="A90" s="1" t="str">
        <f>'SegEnds_NonXtal_Prot#'!A59</f>
        <v>acm4_human</v>
      </c>
      <c r="B90" s="1" t="str">
        <f t="shared" si="25"/>
        <v>RYETVEMVFIATVTGSLSLVTVVGNILVMLSIKVNTVNNYFLFSLACADLIIGAFSMNLYTVYIIKGAVVCDLWLALDYVVSNASVMNLLIISFDRYFCVTKTTKMAGLMIAAAWVLSFVLWAPAILFWQFVVGNPAVTFGTAIAAFYLPVVIMTVLYIHISLASRSRVHKHRPERQMAARERKVTRTIFAILLAFILTWTPYNVMVLVNTFCPDTVWSIGYWLCYVNSTINPACYALCNATFKKTFRHLLL</v>
      </c>
      <c r="C90" s="29" t="str">
        <f>IF(ISERROR(MATCH(A90,'SegEnds_Xtal_Prot#'!B:B, 0)), "NoXtal", "Xtal")</f>
        <v>Xtal</v>
      </c>
      <c r="D90" s="4" t="str">
        <f>VLOOKUP(A90,Classification!A:D,2,FALSE)</f>
        <v>A</v>
      </c>
      <c r="E90" s="5" t="str">
        <f>VLOOKUP(A90,Seqs!A:B,2,FALSE)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F90" s="5" t="str">
        <f t="shared" si="26"/>
        <v>RYETVEMVFIATVTGSLSLVTVVGNILVMLSIKVN</v>
      </c>
      <c r="G90" s="4" t="str">
        <f t="shared" si="27"/>
        <v>RQLQ</v>
      </c>
      <c r="H90" s="4" t="str">
        <f t="shared" si="28"/>
        <v>TVNNYFLFSLACADLIIGAFSMNLYTVYIIK</v>
      </c>
      <c r="I90" s="4" t="str">
        <f t="shared" si="29"/>
        <v>YWPL</v>
      </c>
      <c r="J90" s="4" t="str">
        <f t="shared" si="30"/>
        <v>GAVVCDLWLALDYVVSNASVMNLLIISFDRYFCVTK</v>
      </c>
      <c r="K90" s="4" t="str">
        <f t="shared" si="31"/>
        <v>PLTYPARR</v>
      </c>
      <c r="L90" s="4" t="str">
        <f t="shared" si="32"/>
        <v>TTKMAGLMIAAAWVLSFVLWAPAILFWQFVVG</v>
      </c>
      <c r="M90" s="4" t="str">
        <f t="shared" si="33"/>
        <v>CFI</v>
      </c>
      <c r="N90" s="4" t="str">
        <f t="shared" si="34"/>
        <v>NPAVTFGTAIAAFYLPVVIMTVLYIHISLASRSRVHKHRPE</v>
      </c>
      <c r="O90" s="4" t="str">
        <f t="shared" si="35"/>
        <v>RQMAARERKVTRTIFAILLAFILTWTPYNVMVLVNTFC</v>
      </c>
      <c r="P90" s="4" t="str">
        <f t="shared" si="36"/>
        <v>PDTVWSIGYWLCYVNSTINPACYALC</v>
      </c>
      <c r="Q90" s="4" t="str">
        <f t="shared" si="37"/>
        <v>NATFKKTFRHLLL</v>
      </c>
      <c r="R90" s="5">
        <f>VLOOKUP($A90,'SegEnds_NonXtal_Prot#'!$A:$AL,3,FALSE)</f>
        <v>26</v>
      </c>
      <c r="S90" s="5">
        <f>VLOOKUP($A90,'SegEnds_NonXtal_Prot#'!$A:$AL,6,FALSE)</f>
        <v>61</v>
      </c>
      <c r="T90" s="5">
        <f>VLOOKUP($A90,'SegEnds_NonXtal_Prot#'!$A:$AL,9,FALSE)</f>
        <v>65</v>
      </c>
      <c r="U90" s="5">
        <f>VLOOKUP($A90,'SegEnds_NonXtal_Prot#'!$A:$AL,12,FALSE)</f>
        <v>97</v>
      </c>
      <c r="V90" s="5">
        <f>VLOOKUP($A90,'SegEnds_NonXtal_Prot#'!$A:$AL,15,FALSE)</f>
        <v>101</v>
      </c>
      <c r="W90" s="5">
        <f>VLOOKUP($A90,'SegEnds_NonXtal_Prot#'!$A:$AL,18,FALSE)</f>
        <v>137</v>
      </c>
      <c r="X90" s="5">
        <f>VLOOKUP($A90,'SegEnds_NonXtal_Prot#'!$A:$AL,21,FALSE)</f>
        <v>145</v>
      </c>
      <c r="Y90" s="5">
        <f>VLOOKUP($A90,'SegEnds_NonXtal_Prot#'!$A:$AL,24,FALSE)</f>
        <v>185</v>
      </c>
      <c r="Z90" s="5">
        <f>VLOOKUP($A90,'SegEnds_NonXtal_Prot#'!$A:$AL,27,FALSE)</f>
        <v>192</v>
      </c>
      <c r="AA90" s="5">
        <f>VLOOKUP($A90,'SegEnds_NonXtal_Prot#'!$A:$AL,30,FALSE)</f>
        <v>389</v>
      </c>
      <c r="AB90" s="5">
        <f>VLOOKUP($A90,'SegEnds_NonXtal_Prot#'!$A:$AL,33,FALSE)</f>
        <v>431</v>
      </c>
      <c r="AC90" s="5">
        <f>VLOOKUP($A90,'SegEnds_NonXtal_Prot#'!$A:$AL,36,FALSE)</f>
        <v>457</v>
      </c>
      <c r="AD90" s="5">
        <f>VLOOKUP($A90,'SegEnds_NonXtal_Prot#'!$A:$AL,5,FALSE)</f>
        <v>60</v>
      </c>
      <c r="AE90" s="5">
        <f>VLOOKUP($A90,'SegEnds_NonXtal_Prot#'!$A:$AL,8,FALSE)</f>
        <v>64</v>
      </c>
      <c r="AF90" s="5">
        <f>VLOOKUP($A90,'SegEnds_NonXtal_Prot#'!$A:$AL,11,FALSE)</f>
        <v>95</v>
      </c>
      <c r="AG90" s="5">
        <f>VLOOKUP($A90,'SegEnds_NonXtal_Prot#'!$A:$AL,14,FALSE)</f>
        <v>100</v>
      </c>
      <c r="AH90" s="5">
        <f>VLOOKUP($A90,'SegEnds_NonXtal_Prot#'!$A:$AL,17,FALSE)</f>
        <v>136</v>
      </c>
      <c r="AI90" s="5">
        <f>VLOOKUP($A90,'SegEnds_NonXtal_Prot#'!$A:$AL,20,FALSE)</f>
        <v>144</v>
      </c>
      <c r="AJ90" s="5">
        <f>VLOOKUP($A90,'SegEnds_NonXtal_Prot#'!$A:$AL,23,FALSE)</f>
        <v>176</v>
      </c>
      <c r="AK90" s="5">
        <f>VLOOKUP($A90,'SegEnds_NonXtal_Prot#'!$A:$AL,26,FALSE)</f>
        <v>187</v>
      </c>
      <c r="AL90" s="5">
        <f>VLOOKUP($A90,'SegEnds_NonXtal_Prot#'!$A:$AL,29,FALSE)</f>
        <v>232</v>
      </c>
      <c r="AM90" s="5">
        <f>VLOOKUP($A90,'SegEnds_NonXtal_Prot#'!$A:$AL,32,FALSE)</f>
        <v>426</v>
      </c>
      <c r="AN90" s="5">
        <f>VLOOKUP($A90,'SegEnds_NonXtal_Prot#'!$A:$AL,35,FALSE)</f>
        <v>456</v>
      </c>
      <c r="AO90" s="5">
        <f>VLOOKUP($A90,'SegEnds_NonXtal_Prot#'!$A:$AL,38,FALSE)</f>
        <v>469</v>
      </c>
      <c r="AP90" s="5">
        <f t="shared" si="38"/>
        <v>34</v>
      </c>
      <c r="AQ90" s="4">
        <f t="shared" si="39"/>
        <v>3</v>
      </c>
      <c r="AR90" s="4">
        <f t="shared" si="40"/>
        <v>30</v>
      </c>
      <c r="AS90" s="4">
        <f t="shared" si="41"/>
        <v>3</v>
      </c>
      <c r="AT90" s="4">
        <f t="shared" si="42"/>
        <v>35</v>
      </c>
      <c r="AU90" s="4">
        <f t="shared" si="43"/>
        <v>7</v>
      </c>
      <c r="AV90" s="4">
        <f t="shared" si="44"/>
        <v>31</v>
      </c>
      <c r="AW90" s="4">
        <f t="shared" si="45"/>
        <v>2</v>
      </c>
      <c r="AX90" s="4">
        <f t="shared" si="46"/>
        <v>40</v>
      </c>
      <c r="AY90" s="4">
        <f t="shared" si="47"/>
        <v>37</v>
      </c>
      <c r="AZ90" s="4">
        <f t="shared" si="48"/>
        <v>25</v>
      </c>
      <c r="BA90" s="4">
        <f t="shared" si="49"/>
        <v>12</v>
      </c>
    </row>
    <row r="91" spans="1:53" x14ac:dyDescent="0.2">
      <c r="A91" s="1" t="str">
        <f>'SegEnds_NonXtal_Prot#'!A60</f>
        <v>acm5_human</v>
      </c>
      <c r="B91" s="1" t="str">
        <f t="shared" si="25"/>
        <v>LWEVITIAAVTAVVSLITIVGNVLVMISFKVNTVNNYYLLSLACADLIIGIFSMNLYTTYILMGSLACDLWLALDYVASNASVMNLLVISFDRYFSITRTPKRAGIMIGLAWLISFILWAPAILCWQYLVGEPTITFGTAIAAFYIPVSVMTILYCRIYRETEKRTKDLADLRVVLVKERKAAQTLSAILLAFIITWTPYNIMVLVSTFCPVTLWHLGYWLCYVNSTVNPICYALCNRTFRKTFKMLL</v>
      </c>
      <c r="C91" s="29" t="str">
        <f>IF(ISERROR(MATCH(A91,'SegEnds_Xtal_Prot#'!B:B, 0)), "NoXtal", "Xtal")</f>
        <v>NoXtal</v>
      </c>
      <c r="D91" s="4" t="str">
        <f>VLOOKUP(A91,Classification!A:D,2,FALSE)</f>
        <v>A</v>
      </c>
      <c r="E91" s="5" t="str">
        <f>VLOOKUP(A91,Seqs!A:B,2,FALSE)</f>
        <v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v>
      </c>
      <c r="F91" s="5" t="str">
        <f t="shared" si="26"/>
        <v>LWEVITIAAVTAVVSLITIVGNVLVMISFKVN</v>
      </c>
      <c r="G91" s="4" t="str">
        <f t="shared" si="27"/>
        <v>SQLK</v>
      </c>
      <c r="H91" s="4" t="str">
        <f t="shared" si="28"/>
        <v>TVNNYYLLSLACADLIIGIFSMNLYTTYILM</v>
      </c>
      <c r="I91" s="4" t="str">
        <f t="shared" si="29"/>
        <v>RWAL</v>
      </c>
      <c r="J91" s="4" t="str">
        <f t="shared" si="30"/>
        <v>GSLACDLWLALDYVASNASVMNLLVISFDRYFSITR</v>
      </c>
      <c r="K91" s="4" t="str">
        <f t="shared" si="31"/>
        <v>PLTYRAKR</v>
      </c>
      <c r="L91" s="4" t="str">
        <f t="shared" si="32"/>
        <v>TPKRAGIMIGLAWLISFILWAPAILCWQYLVG</v>
      </c>
      <c r="M91" s="4" t="str">
        <f t="shared" si="33"/>
        <v>CQI</v>
      </c>
      <c r="N91" s="4" t="str">
        <f t="shared" si="34"/>
        <v>EPTITFGTAIAAFYIPVSVMTILYCRIYRETEKRTKDLADL</v>
      </c>
      <c r="O91" s="4" t="str">
        <f t="shared" si="35"/>
        <v>RVVLVKERKAAQTLSAILLAFIITWTPYNIMVLVSTFC</v>
      </c>
      <c r="P91" s="4" t="str">
        <f t="shared" si="36"/>
        <v>PVTLWHLGYWLCYVNSTVNPICYALC</v>
      </c>
      <c r="Q91" s="4" t="str">
        <f t="shared" si="37"/>
        <v>NRTFRKTFKMLL</v>
      </c>
      <c r="R91" s="5">
        <f>VLOOKUP($A91,'SegEnds_NonXtal_Prot#'!$A:$AL,3,FALSE)</f>
        <v>27</v>
      </c>
      <c r="S91" s="5">
        <f>VLOOKUP($A91,'SegEnds_NonXtal_Prot#'!$A:$AL,6,FALSE)</f>
        <v>59</v>
      </c>
      <c r="T91" s="5">
        <f>VLOOKUP($A91,'SegEnds_NonXtal_Prot#'!$A:$AL,9,FALSE)</f>
        <v>63</v>
      </c>
      <c r="U91" s="5">
        <f>VLOOKUP($A91,'SegEnds_NonXtal_Prot#'!$A:$AL,12,FALSE)</f>
        <v>95</v>
      </c>
      <c r="V91" s="5">
        <f>VLOOKUP($A91,'SegEnds_NonXtal_Prot#'!$A:$AL,15,FALSE)</f>
        <v>99</v>
      </c>
      <c r="W91" s="5">
        <f>VLOOKUP($A91,'SegEnds_NonXtal_Prot#'!$A:$AL,18,FALSE)</f>
        <v>135</v>
      </c>
      <c r="X91" s="5">
        <f>VLOOKUP($A91,'SegEnds_NonXtal_Prot#'!$A:$AL,21,FALSE)</f>
        <v>143</v>
      </c>
      <c r="Y91" s="5">
        <f>VLOOKUP($A91,'SegEnds_NonXtal_Prot#'!$A:$AL,24,FALSE)</f>
        <v>183</v>
      </c>
      <c r="Z91" s="5">
        <f>VLOOKUP($A91,'SegEnds_NonXtal_Prot#'!$A:$AL,27,FALSE)</f>
        <v>190</v>
      </c>
      <c r="AA91" s="5">
        <f>VLOOKUP($A91,'SegEnds_NonXtal_Prot#'!$A:$AL,30,FALSE)</f>
        <v>431</v>
      </c>
      <c r="AB91" s="5">
        <f>VLOOKUP($A91,'SegEnds_NonXtal_Prot#'!$A:$AL,33,FALSE)</f>
        <v>473</v>
      </c>
      <c r="AC91" s="5">
        <f>VLOOKUP($A91,'SegEnds_NonXtal_Prot#'!$A:$AL,36,FALSE)</f>
        <v>499</v>
      </c>
      <c r="AD91" s="5">
        <f>VLOOKUP($A91,'SegEnds_NonXtal_Prot#'!$A:$AL,5,FALSE)</f>
        <v>58</v>
      </c>
      <c r="AE91" s="5">
        <f>VLOOKUP($A91,'SegEnds_NonXtal_Prot#'!$A:$AL,8,FALSE)</f>
        <v>62</v>
      </c>
      <c r="AF91" s="5">
        <f>VLOOKUP($A91,'SegEnds_NonXtal_Prot#'!$A:$AL,11,FALSE)</f>
        <v>93</v>
      </c>
      <c r="AG91" s="5">
        <f>VLOOKUP($A91,'SegEnds_NonXtal_Prot#'!$A:$AL,14,FALSE)</f>
        <v>98</v>
      </c>
      <c r="AH91" s="5">
        <f>VLOOKUP($A91,'SegEnds_NonXtal_Prot#'!$A:$AL,17,FALSE)</f>
        <v>134</v>
      </c>
      <c r="AI91" s="5">
        <f>VLOOKUP($A91,'SegEnds_NonXtal_Prot#'!$A:$AL,20,FALSE)</f>
        <v>142</v>
      </c>
      <c r="AJ91" s="5">
        <f>VLOOKUP($A91,'SegEnds_NonXtal_Prot#'!$A:$AL,23,FALSE)</f>
        <v>174</v>
      </c>
      <c r="AK91" s="5">
        <f>VLOOKUP($A91,'SegEnds_NonXtal_Prot#'!$A:$AL,26,FALSE)</f>
        <v>185</v>
      </c>
      <c r="AL91" s="5">
        <f>VLOOKUP($A91,'SegEnds_NonXtal_Prot#'!$A:$AL,29,FALSE)</f>
        <v>230</v>
      </c>
      <c r="AM91" s="5">
        <f>VLOOKUP($A91,'SegEnds_NonXtal_Prot#'!$A:$AL,32,FALSE)</f>
        <v>468</v>
      </c>
      <c r="AN91" s="5">
        <f>VLOOKUP($A91,'SegEnds_NonXtal_Prot#'!$A:$AL,35,FALSE)</f>
        <v>498</v>
      </c>
      <c r="AO91" s="5">
        <f>VLOOKUP($A91,'SegEnds_NonXtal_Prot#'!$A:$AL,38,FALSE)</f>
        <v>510</v>
      </c>
      <c r="AP91" s="5">
        <f t="shared" si="38"/>
        <v>31</v>
      </c>
      <c r="AQ91" s="4">
        <f t="shared" si="39"/>
        <v>3</v>
      </c>
      <c r="AR91" s="4">
        <f t="shared" si="40"/>
        <v>30</v>
      </c>
      <c r="AS91" s="4">
        <f t="shared" si="41"/>
        <v>3</v>
      </c>
      <c r="AT91" s="4">
        <f t="shared" si="42"/>
        <v>35</v>
      </c>
      <c r="AU91" s="4">
        <f t="shared" si="43"/>
        <v>7</v>
      </c>
      <c r="AV91" s="4">
        <f t="shared" si="44"/>
        <v>31</v>
      </c>
      <c r="AW91" s="4">
        <f t="shared" si="45"/>
        <v>2</v>
      </c>
      <c r="AX91" s="4">
        <f t="shared" si="46"/>
        <v>40</v>
      </c>
      <c r="AY91" s="4">
        <f t="shared" si="47"/>
        <v>37</v>
      </c>
      <c r="AZ91" s="4">
        <f t="shared" si="48"/>
        <v>25</v>
      </c>
      <c r="BA91" s="4">
        <f t="shared" si="49"/>
        <v>11</v>
      </c>
    </row>
    <row r="92" spans="1:53" x14ac:dyDescent="0.2">
      <c r="A92" s="1" t="str">
        <f>'SegEnds_NonXtal_Prot#'!A61</f>
        <v>acthr_human</v>
      </c>
      <c r="B92" s="1" t="str">
        <f t="shared" si="25"/>
        <v>CPRVVLPEEIFFTISIVGVLENLIVLLAVFKNAPMYFFICSLAISDMLGSLYKILENILIILRGSFETTADDIIDSLFVLSLLGSIFSLSVIAADRYITIFHTMRRTVVVLTVIWTFCTGTGITMVIFFTSLFPLMLVFILCLYVHMFLLARSHTRKISTLPNMKGAITLTILLGVFIFCWAPFVLHVLLMTFCCACYMSLFQVNGMLIMCNAVIDPFIYAFRSPELRDAFKKMIF</v>
      </c>
      <c r="C92" s="29" t="str">
        <f>IF(ISERROR(MATCH(A92,'SegEnds_Xtal_Prot#'!B:B, 0)), "NoXtal", "Xtal")</f>
        <v>NoXtal</v>
      </c>
      <c r="D92" s="4" t="str">
        <f>VLOOKUP(A92,Classification!A:D,2,FALSE)</f>
        <v>A</v>
      </c>
      <c r="E92" s="5" t="str">
        <f>VLOOKUP(A92,Seqs!A:B,2,FALSE)</f>
        <v>MKHIINSYENINNTARNNSDCPRVVLPEEIFFTISIVGVLENLIVLLAVFKNKNLQAPMYFFICSLAISDMLGSLYKILENILIILRNMGYLKPRGSFETTADDIIDSLFVLSLLGSIFSLSVIAADRYITIFHALRYHSIVTMRRTVVVLTVIWTFCTGTGITMVIFSHHVPTVITFTSLFPLMLVFILCLYVHMFLLARSHTRKISTLPRANMKGAITLTILLGVFIFCWAPFVLHVLLMTFCPSNPYCACYMSLFQVNGMLIMCNAVIDPFIYAFRSPELRDAFKKMIFCSRYW</v>
      </c>
      <c r="F92" s="5" t="str">
        <f t="shared" si="26"/>
        <v>CPRVVLPEEIFFTISIVGVLENLIVLLAVFKN</v>
      </c>
      <c r="G92" s="4" t="str">
        <f t="shared" si="27"/>
        <v>KNLQ</v>
      </c>
      <c r="H92" s="4" t="str">
        <f t="shared" si="28"/>
        <v>APMYFFICSLAISDMLGSLYKILENILIILR</v>
      </c>
      <c r="I92" s="4" t="str">
        <f t="shared" si="29"/>
        <v/>
      </c>
      <c r="J92" s="4" t="str">
        <f t="shared" si="30"/>
        <v>GSFETTADDIIDSLFVLSLLGSIFSLSVIAADRYITIFH</v>
      </c>
      <c r="K92" s="4" t="str">
        <f t="shared" si="31"/>
        <v>ALRYHSIV</v>
      </c>
      <c r="L92" s="4" t="str">
        <f t="shared" si="32"/>
        <v>TMRRTVVVLTVIWTFCTGTGITMVIF</v>
      </c>
      <c r="M92" s="4" t="str">
        <f t="shared" si="33"/>
        <v/>
      </c>
      <c r="N92" s="4" t="str">
        <f t="shared" si="34"/>
        <v>FTSLFPLMLVFILCLYVHMFLLARSHTRKISTLP</v>
      </c>
      <c r="O92" s="4" t="str">
        <f t="shared" si="35"/>
        <v>NMKGAITLTILLGVFIFCWAPFVLHVLLMTFC</v>
      </c>
      <c r="P92" s="4" t="str">
        <f t="shared" si="36"/>
        <v>CACYMSLFQVNGMLIMCNAVIDPFIYAFR</v>
      </c>
      <c r="Q92" s="4" t="str">
        <f t="shared" si="37"/>
        <v>SPELRDAFKKMIF</v>
      </c>
      <c r="R92" s="5">
        <f>VLOOKUP($A92,'SegEnds_NonXtal_Prot#'!$A:$AL,3,FALSE)</f>
        <v>21</v>
      </c>
      <c r="S92" s="5">
        <f>VLOOKUP($A92,'SegEnds_NonXtal_Prot#'!$A:$AL,6,FALSE)</f>
        <v>53</v>
      </c>
      <c r="T92" s="5">
        <f>VLOOKUP($A92,'SegEnds_NonXtal_Prot#'!$A:$AL,9,FALSE)</f>
        <v>57</v>
      </c>
      <c r="U92" s="5" t="str">
        <f>VLOOKUP($A92,'SegEnds_NonXtal_Prot#'!$A:$AL,12,FALSE)</f>
        <v>-</v>
      </c>
      <c r="V92" s="5">
        <f>VLOOKUP($A92,'SegEnds_NonXtal_Prot#'!$A:$AL,15,FALSE)</f>
        <v>96</v>
      </c>
      <c r="W92" s="5">
        <f>VLOOKUP($A92,'SegEnds_NonXtal_Prot#'!$A:$AL,18,FALSE)</f>
        <v>135</v>
      </c>
      <c r="X92" s="5">
        <f>VLOOKUP($A92,'SegEnds_NonXtal_Prot#'!$A:$AL,21,FALSE)</f>
        <v>143</v>
      </c>
      <c r="Y92" s="5" t="str">
        <f>VLOOKUP($A92,'SegEnds_NonXtal_Prot#'!$A:$AL,24,FALSE)</f>
        <v>-</v>
      </c>
      <c r="Z92" s="5">
        <f>VLOOKUP($A92,'SegEnds_NonXtal_Prot#'!$A:$AL,27,FALSE)</f>
        <v>178</v>
      </c>
      <c r="AA92" s="5">
        <f>VLOOKUP($A92,'SegEnds_NonXtal_Prot#'!$A:$AL,30,FALSE)</f>
        <v>214</v>
      </c>
      <c r="AB92" s="5">
        <f>VLOOKUP($A92,'SegEnds_NonXtal_Prot#'!$A:$AL,33,FALSE)</f>
        <v>251</v>
      </c>
      <c r="AC92" s="5">
        <f>VLOOKUP($A92,'SegEnds_NonXtal_Prot#'!$A:$AL,36,FALSE)</f>
        <v>280</v>
      </c>
      <c r="AD92" s="5">
        <f>VLOOKUP($A92,'SegEnds_NonXtal_Prot#'!$A:$AL,5,FALSE)</f>
        <v>52</v>
      </c>
      <c r="AE92" s="5">
        <f>VLOOKUP($A92,'SegEnds_NonXtal_Prot#'!$A:$AL,8,FALSE)</f>
        <v>56</v>
      </c>
      <c r="AF92" s="5">
        <f>VLOOKUP($A92,'SegEnds_NonXtal_Prot#'!$A:$AL,11,FALSE)</f>
        <v>87</v>
      </c>
      <c r="AG92" s="5" t="str">
        <f>VLOOKUP($A92,'SegEnds_NonXtal_Prot#'!$A:$AL,14,FALSE)</f>
        <v>-</v>
      </c>
      <c r="AH92" s="5">
        <f>VLOOKUP($A92,'SegEnds_NonXtal_Prot#'!$A:$AL,17,FALSE)</f>
        <v>134</v>
      </c>
      <c r="AI92" s="5">
        <f>VLOOKUP($A92,'SegEnds_NonXtal_Prot#'!$A:$AL,20,FALSE)</f>
        <v>142</v>
      </c>
      <c r="AJ92" s="5">
        <f>VLOOKUP($A92,'SegEnds_NonXtal_Prot#'!$A:$AL,23,FALSE)</f>
        <v>168</v>
      </c>
      <c r="AK92" s="5" t="str">
        <f>VLOOKUP($A92,'SegEnds_NonXtal_Prot#'!$A:$AL,26,FALSE)</f>
        <v>-</v>
      </c>
      <c r="AL92" s="5">
        <f>VLOOKUP($A92,'SegEnds_NonXtal_Prot#'!$A:$AL,29,FALSE)</f>
        <v>211</v>
      </c>
      <c r="AM92" s="5">
        <f>VLOOKUP($A92,'SegEnds_NonXtal_Prot#'!$A:$AL,32,FALSE)</f>
        <v>245</v>
      </c>
      <c r="AN92" s="5">
        <f>VLOOKUP($A92,'SegEnds_NonXtal_Prot#'!$A:$AL,35,FALSE)</f>
        <v>279</v>
      </c>
      <c r="AO92" s="5">
        <f>VLOOKUP($A92,'SegEnds_NonXtal_Prot#'!$A:$AL,38,FALSE)</f>
        <v>292</v>
      </c>
      <c r="AP92" s="5">
        <f t="shared" si="38"/>
        <v>31</v>
      </c>
      <c r="AQ92" s="4">
        <f t="shared" si="39"/>
        <v>3</v>
      </c>
      <c r="AR92" s="4">
        <f t="shared" si="40"/>
        <v>30</v>
      </c>
      <c r="AS92" s="4" t="str">
        <f t="shared" si="41"/>
        <v>-</v>
      </c>
      <c r="AT92" s="4">
        <f t="shared" si="42"/>
        <v>38</v>
      </c>
      <c r="AU92" s="4">
        <f t="shared" si="43"/>
        <v>7</v>
      </c>
      <c r="AV92" s="4">
        <f t="shared" si="44"/>
        <v>25</v>
      </c>
      <c r="AW92" s="4" t="str">
        <f t="shared" si="45"/>
        <v>-</v>
      </c>
      <c r="AX92" s="4">
        <f t="shared" si="46"/>
        <v>33</v>
      </c>
      <c r="AY92" s="4">
        <f t="shared" si="47"/>
        <v>31</v>
      </c>
      <c r="AZ92" s="4">
        <f t="shared" si="48"/>
        <v>28</v>
      </c>
      <c r="BA92" s="4">
        <f t="shared" si="49"/>
        <v>12</v>
      </c>
    </row>
    <row r="93" spans="1:53" x14ac:dyDescent="0.2">
      <c r="A93" s="1" t="str">
        <f>'SegEnds_NonXtal_Prot#'!A62</f>
        <v>ada1a_human</v>
      </c>
      <c r="B93" s="1" t="str">
        <f t="shared" si="25"/>
        <v>ISKAILLGVILGGLILFGVLGNILVILSVACHSVTHYYIVNLAVADLLLTSTVLPFSAIFEVLGRVFCNIWAAVDVLCCTASIMGLCIISIDRYIGVSYTQRRGLMALLCVWALSLVISIGPLFGEPGYVLFSALGSFYLPLAIILVMYCRVYVVAKRESRGLKSGLLLKFSREKKAAKTLGIVVGCFVLCWLPFFLVMPIGSFFSETVFKIVFWLGYLNSCINPIIYPCSSQEFKKAFQNVL</v>
      </c>
      <c r="C93" s="29" t="str">
        <f>IF(ISERROR(MATCH(A93,'SegEnds_Xtal_Prot#'!B:B, 0)), "NoXtal", "Xtal")</f>
        <v>NoXtal</v>
      </c>
      <c r="D93" s="4" t="str">
        <f>VLOOKUP(A93,Classification!A:D,2,FALSE)</f>
        <v>A</v>
      </c>
      <c r="E93" s="5" t="str">
        <f>VLOOKUP(A93,Seqs!A:B,2,FALSE)</f>
        <v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v>
      </c>
      <c r="F93" s="5" t="str">
        <f t="shared" si="26"/>
        <v>ISKAILLGVILGGLILFGVLGNILVILSVACH</v>
      </c>
      <c r="G93" s="4" t="str">
        <f t="shared" si="27"/>
        <v>RHLH</v>
      </c>
      <c r="H93" s="4" t="str">
        <f t="shared" si="28"/>
        <v>SVTHYYIVNLAVADLLLTSTVLPFSAIFEVL</v>
      </c>
      <c r="I93" s="4" t="str">
        <f t="shared" si="29"/>
        <v>YWAF</v>
      </c>
      <c r="J93" s="4" t="str">
        <f t="shared" si="30"/>
        <v>GRVFCNIWAAVDVLCCTASIMGLCIISIDRYIGVSY</v>
      </c>
      <c r="K93" s="4" t="str">
        <f t="shared" si="31"/>
        <v>PLRYPTIV</v>
      </c>
      <c r="L93" s="4" t="str">
        <f t="shared" si="32"/>
        <v>TQRRGLMALLCVWALSLVISIGPLFG</v>
      </c>
      <c r="M93" s="4" t="str">
        <f t="shared" si="33"/>
        <v>CQI</v>
      </c>
      <c r="N93" s="4" t="str">
        <f t="shared" si="34"/>
        <v>EPGYVLFSALGSFYLPLAIILVMYCRVYVVAKRESRGLKSGL</v>
      </c>
      <c r="O93" s="4" t="str">
        <f t="shared" si="35"/>
        <v>LLKFSREKKAAKTLGIVVGCFVLCWLPFFLVMPIGSFF</v>
      </c>
      <c r="P93" s="4" t="str">
        <f t="shared" si="36"/>
        <v>SETVFKIVFWLGYLNSCINPIIYPCS</v>
      </c>
      <c r="Q93" s="4" t="str">
        <f t="shared" si="37"/>
        <v>SQEFKKAFQNVL</v>
      </c>
      <c r="R93" s="5">
        <f>VLOOKUP($A93,'SegEnds_NonXtal_Prot#'!$A:$AL,3,FALSE)</f>
        <v>23</v>
      </c>
      <c r="S93" s="5">
        <f>VLOOKUP($A93,'SegEnds_NonXtal_Prot#'!$A:$AL,6,FALSE)</f>
        <v>55</v>
      </c>
      <c r="T93" s="5">
        <f>VLOOKUP($A93,'SegEnds_NonXtal_Prot#'!$A:$AL,9,FALSE)</f>
        <v>59</v>
      </c>
      <c r="U93" s="5">
        <f>VLOOKUP($A93,'SegEnds_NonXtal_Prot#'!$A:$AL,12,FALSE)</f>
        <v>91</v>
      </c>
      <c r="V93" s="5">
        <f>VLOOKUP($A93,'SegEnds_NonXtal_Prot#'!$A:$AL,15,FALSE)</f>
        <v>95</v>
      </c>
      <c r="W93" s="5">
        <f>VLOOKUP($A93,'SegEnds_NonXtal_Prot#'!$A:$AL,18,FALSE)</f>
        <v>131</v>
      </c>
      <c r="X93" s="5">
        <f>VLOOKUP($A93,'SegEnds_NonXtal_Prot#'!$A:$AL,21,FALSE)</f>
        <v>139</v>
      </c>
      <c r="Y93" s="5">
        <f>VLOOKUP($A93,'SegEnds_NonXtal_Prot#'!$A:$AL,24,FALSE)</f>
        <v>176</v>
      </c>
      <c r="Z93" s="5">
        <f>VLOOKUP($A93,'SegEnds_NonXtal_Prot#'!$A:$AL,27,FALSE)</f>
        <v>181</v>
      </c>
      <c r="AA93" s="5">
        <f>VLOOKUP($A93,'SegEnds_NonXtal_Prot#'!$A:$AL,30,FALSE)</f>
        <v>261</v>
      </c>
      <c r="AB93" s="5">
        <f>VLOOKUP($A93,'SegEnds_NonXtal_Prot#'!$A:$AL,33,FALSE)</f>
        <v>304</v>
      </c>
      <c r="AC93" s="5">
        <f>VLOOKUP($A93,'SegEnds_NonXtal_Prot#'!$A:$AL,36,FALSE)</f>
        <v>330</v>
      </c>
      <c r="AD93" s="5">
        <f>VLOOKUP($A93,'SegEnds_NonXtal_Prot#'!$A:$AL,5,FALSE)</f>
        <v>54</v>
      </c>
      <c r="AE93" s="5">
        <f>VLOOKUP($A93,'SegEnds_NonXtal_Prot#'!$A:$AL,8,FALSE)</f>
        <v>58</v>
      </c>
      <c r="AF93" s="5">
        <f>VLOOKUP($A93,'SegEnds_NonXtal_Prot#'!$A:$AL,11,FALSE)</f>
        <v>89</v>
      </c>
      <c r="AG93" s="5">
        <f>VLOOKUP($A93,'SegEnds_NonXtal_Prot#'!$A:$AL,14,FALSE)</f>
        <v>94</v>
      </c>
      <c r="AH93" s="5">
        <f>VLOOKUP($A93,'SegEnds_NonXtal_Prot#'!$A:$AL,17,FALSE)</f>
        <v>130</v>
      </c>
      <c r="AI93" s="5">
        <f>VLOOKUP($A93,'SegEnds_NonXtal_Prot#'!$A:$AL,20,FALSE)</f>
        <v>138</v>
      </c>
      <c r="AJ93" s="5">
        <f>VLOOKUP($A93,'SegEnds_NonXtal_Prot#'!$A:$AL,23,FALSE)</f>
        <v>164</v>
      </c>
      <c r="AK93" s="5">
        <f>VLOOKUP($A93,'SegEnds_NonXtal_Prot#'!$A:$AL,26,FALSE)</f>
        <v>178</v>
      </c>
      <c r="AL93" s="5">
        <f>VLOOKUP($A93,'SegEnds_NonXtal_Prot#'!$A:$AL,29,FALSE)</f>
        <v>222</v>
      </c>
      <c r="AM93" s="5">
        <f>VLOOKUP($A93,'SegEnds_NonXtal_Prot#'!$A:$AL,32,FALSE)</f>
        <v>298</v>
      </c>
      <c r="AN93" s="5">
        <f>VLOOKUP($A93,'SegEnds_NonXtal_Prot#'!$A:$AL,35,FALSE)</f>
        <v>329</v>
      </c>
      <c r="AO93" s="5">
        <f>VLOOKUP($A93,'SegEnds_NonXtal_Prot#'!$A:$AL,38,FALSE)</f>
        <v>341</v>
      </c>
      <c r="AP93" s="5">
        <f t="shared" si="38"/>
        <v>31</v>
      </c>
      <c r="AQ93" s="4">
        <f t="shared" si="39"/>
        <v>3</v>
      </c>
      <c r="AR93" s="4">
        <f t="shared" si="40"/>
        <v>30</v>
      </c>
      <c r="AS93" s="4">
        <f t="shared" si="41"/>
        <v>3</v>
      </c>
      <c r="AT93" s="4">
        <f t="shared" si="42"/>
        <v>35</v>
      </c>
      <c r="AU93" s="4">
        <f t="shared" si="43"/>
        <v>7</v>
      </c>
      <c r="AV93" s="4">
        <f t="shared" si="44"/>
        <v>25</v>
      </c>
      <c r="AW93" s="4">
        <f t="shared" si="45"/>
        <v>2</v>
      </c>
      <c r="AX93" s="4">
        <f t="shared" si="46"/>
        <v>41</v>
      </c>
      <c r="AY93" s="4">
        <f t="shared" si="47"/>
        <v>37</v>
      </c>
      <c r="AZ93" s="4">
        <f t="shared" si="48"/>
        <v>25</v>
      </c>
      <c r="BA93" s="4">
        <f t="shared" si="49"/>
        <v>11</v>
      </c>
    </row>
    <row r="94" spans="1:53" x14ac:dyDescent="0.2">
      <c r="A94" s="1" t="str">
        <f>'SegEnds_NonXtal_Prot#'!A63</f>
        <v>ada1b_human</v>
      </c>
      <c r="B94" s="1" t="str">
        <f t="shared" si="25"/>
        <v>ITRAISVGLVLGAFILFAIVGNILVILSVACNTPTNYFIVNLAMADLLLSFTVLPFSAALEVLGRIFCDIWAAVDVLCCTASILSLCAISIDRYIGVRYTRRKAILALLSVWVLSTVISIGPLLGEPFYALFSSLGSFYIPLAVILVMYCRVYIVAKRTTKNLEALFKFSREKKAAKTLGIVVGMFILCWLPFFIALPLGSLFPDAVFKVVFWLGYFNSCLNPIIYPCSSKEFKRAFVRILG</v>
      </c>
      <c r="C94" s="29" t="str">
        <f>IF(ISERROR(MATCH(A94,'SegEnds_Xtal_Prot#'!B:B, 0)), "NoXtal", "Xtal")</f>
        <v>NoXtal</v>
      </c>
      <c r="D94" s="4" t="str">
        <f>VLOOKUP(A94,Classification!A:D,2,FALSE)</f>
        <v>A</v>
      </c>
      <c r="E94" s="5" t="str">
        <f>VLOOKUP(A94,Seqs!A:B,2,FALSE)</f>
        <v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v>
      </c>
      <c r="F94" s="5" t="str">
        <f t="shared" si="26"/>
        <v>ITRAISVGLVLGAFILFAIVGNILVILSVACN</v>
      </c>
      <c r="G94" s="4" t="str">
        <f t="shared" si="27"/>
        <v>RHLR</v>
      </c>
      <c r="H94" s="4" t="str">
        <f t="shared" si="28"/>
        <v>TPTNYFIVNLAMADLLLSFTVLPFSAALEVL</v>
      </c>
      <c r="I94" s="4" t="str">
        <f t="shared" si="29"/>
        <v>YWVL</v>
      </c>
      <c r="J94" s="4" t="str">
        <f t="shared" si="30"/>
        <v>GRIFCDIWAAVDVLCCTASILSLCAISIDRYIGVRY</v>
      </c>
      <c r="K94" s="4" t="str">
        <f t="shared" si="31"/>
        <v>SLQYPTLV</v>
      </c>
      <c r="L94" s="4" t="str">
        <f t="shared" si="32"/>
        <v>TRRKAILALLSVWVLSTVISIGPLLG</v>
      </c>
      <c r="M94" s="4" t="str">
        <f t="shared" si="33"/>
        <v>CGV</v>
      </c>
      <c r="N94" s="4" t="str">
        <f t="shared" si="34"/>
        <v>EPFYALFSSLGSFYIPLAVILVMYCRVYIVAKRTTKNLEA</v>
      </c>
      <c r="O94" s="4" t="str">
        <f t="shared" si="35"/>
        <v>LFKFSREKKAAKTLGIVVGMFILCWLPFFIALPLGSLF</v>
      </c>
      <c r="P94" s="4" t="str">
        <f t="shared" si="36"/>
        <v>PDAVFKVVFWLGYFNSCLNPIIYPCS</v>
      </c>
      <c r="Q94" s="4" t="str">
        <f t="shared" si="37"/>
        <v>SKEFKRAFVRILG</v>
      </c>
      <c r="R94" s="5">
        <f>VLOOKUP($A94,'SegEnds_NonXtal_Prot#'!$A:$AL,3,FALSE)</f>
        <v>42</v>
      </c>
      <c r="S94" s="5">
        <f>VLOOKUP($A94,'SegEnds_NonXtal_Prot#'!$A:$AL,6,FALSE)</f>
        <v>74</v>
      </c>
      <c r="T94" s="5">
        <f>VLOOKUP($A94,'SegEnds_NonXtal_Prot#'!$A:$AL,9,FALSE)</f>
        <v>78</v>
      </c>
      <c r="U94" s="5">
        <f>VLOOKUP($A94,'SegEnds_NonXtal_Prot#'!$A:$AL,12,FALSE)</f>
        <v>110</v>
      </c>
      <c r="V94" s="5">
        <f>VLOOKUP($A94,'SegEnds_NonXtal_Prot#'!$A:$AL,15,FALSE)</f>
        <v>114</v>
      </c>
      <c r="W94" s="5">
        <f>VLOOKUP($A94,'SegEnds_NonXtal_Prot#'!$A:$AL,18,FALSE)</f>
        <v>150</v>
      </c>
      <c r="X94" s="5">
        <f>VLOOKUP($A94,'SegEnds_NonXtal_Prot#'!$A:$AL,21,FALSE)</f>
        <v>158</v>
      </c>
      <c r="Y94" s="5">
        <f>VLOOKUP($A94,'SegEnds_NonXtal_Prot#'!$A:$AL,24,FALSE)</f>
        <v>195</v>
      </c>
      <c r="Z94" s="5">
        <f>VLOOKUP($A94,'SegEnds_NonXtal_Prot#'!$A:$AL,27,FALSE)</f>
        <v>200</v>
      </c>
      <c r="AA94" s="5">
        <f>VLOOKUP($A94,'SegEnds_NonXtal_Prot#'!$A:$AL,30,FALSE)</f>
        <v>283</v>
      </c>
      <c r="AB94" s="5">
        <f>VLOOKUP($A94,'SegEnds_NonXtal_Prot#'!$A:$AL,33,FALSE)</f>
        <v>326</v>
      </c>
      <c r="AC94" s="5">
        <f>VLOOKUP($A94,'SegEnds_NonXtal_Prot#'!$A:$AL,36,FALSE)</f>
        <v>352</v>
      </c>
      <c r="AD94" s="5">
        <f>VLOOKUP($A94,'SegEnds_NonXtal_Prot#'!$A:$AL,5,FALSE)</f>
        <v>73</v>
      </c>
      <c r="AE94" s="5">
        <f>VLOOKUP($A94,'SegEnds_NonXtal_Prot#'!$A:$AL,8,FALSE)</f>
        <v>77</v>
      </c>
      <c r="AF94" s="5">
        <f>VLOOKUP($A94,'SegEnds_NonXtal_Prot#'!$A:$AL,11,FALSE)</f>
        <v>108</v>
      </c>
      <c r="AG94" s="5">
        <f>VLOOKUP($A94,'SegEnds_NonXtal_Prot#'!$A:$AL,14,FALSE)</f>
        <v>113</v>
      </c>
      <c r="AH94" s="5">
        <f>VLOOKUP($A94,'SegEnds_NonXtal_Prot#'!$A:$AL,17,FALSE)</f>
        <v>149</v>
      </c>
      <c r="AI94" s="5">
        <f>VLOOKUP($A94,'SegEnds_NonXtal_Prot#'!$A:$AL,20,FALSE)</f>
        <v>157</v>
      </c>
      <c r="AJ94" s="5">
        <f>VLOOKUP($A94,'SegEnds_NonXtal_Prot#'!$A:$AL,23,FALSE)</f>
        <v>183</v>
      </c>
      <c r="AK94" s="5">
        <f>VLOOKUP($A94,'SegEnds_NonXtal_Prot#'!$A:$AL,26,FALSE)</f>
        <v>197</v>
      </c>
      <c r="AL94" s="5">
        <f>VLOOKUP($A94,'SegEnds_NonXtal_Prot#'!$A:$AL,29,FALSE)</f>
        <v>239</v>
      </c>
      <c r="AM94" s="5">
        <f>VLOOKUP($A94,'SegEnds_NonXtal_Prot#'!$A:$AL,32,FALSE)</f>
        <v>320</v>
      </c>
      <c r="AN94" s="5">
        <f>VLOOKUP($A94,'SegEnds_NonXtal_Prot#'!$A:$AL,35,FALSE)</f>
        <v>351</v>
      </c>
      <c r="AO94" s="5">
        <f>VLOOKUP($A94,'SegEnds_NonXtal_Prot#'!$A:$AL,38,FALSE)</f>
        <v>364</v>
      </c>
      <c r="AP94" s="5">
        <f t="shared" si="38"/>
        <v>31</v>
      </c>
      <c r="AQ94" s="4">
        <f t="shared" si="39"/>
        <v>3</v>
      </c>
      <c r="AR94" s="4">
        <f t="shared" si="40"/>
        <v>30</v>
      </c>
      <c r="AS94" s="4">
        <f t="shared" si="41"/>
        <v>3</v>
      </c>
      <c r="AT94" s="4">
        <f t="shared" si="42"/>
        <v>35</v>
      </c>
      <c r="AU94" s="4">
        <f t="shared" si="43"/>
        <v>7</v>
      </c>
      <c r="AV94" s="4">
        <f t="shared" si="44"/>
        <v>25</v>
      </c>
      <c r="AW94" s="4">
        <f t="shared" si="45"/>
        <v>2</v>
      </c>
      <c r="AX94" s="4">
        <f t="shared" si="46"/>
        <v>39</v>
      </c>
      <c r="AY94" s="4">
        <f t="shared" si="47"/>
        <v>37</v>
      </c>
      <c r="AZ94" s="4">
        <f t="shared" si="48"/>
        <v>25</v>
      </c>
      <c r="BA94" s="4">
        <f t="shared" si="49"/>
        <v>12</v>
      </c>
    </row>
    <row r="95" spans="1:53" x14ac:dyDescent="0.2">
      <c r="A95" s="1" t="str">
        <f>'SegEnds_NonXtal_Prot#'!A64</f>
        <v>ada1d_human</v>
      </c>
      <c r="B95" s="1" t="str">
        <f t="shared" si="25"/>
        <v>GLVVSAQGVGVGVFLAAFILMAVAGNLLVILSVACNTVTNYFIVNLAVADLLLSATVLPFSATMEVLGRAFCDVWAAVDVLCCTASILSLCTISVDRYVGVRHTERKAAAILALLWVVALVVSVGPLLGWEAGYAVFSSVCSFYLPMAVIVVMYCRVYVVARSTTRSLEALLKFSREKKAAKTLAIVVGVFVLCWFPFFFVLPLGSLFSEGVFKVIFWLGYFNSCVNPLIYPCSSREFKRAFLRLLR</v>
      </c>
      <c r="C95" s="29" t="str">
        <f>IF(ISERROR(MATCH(A95,'SegEnds_Xtal_Prot#'!B:B, 0)), "NoXtal", "Xtal")</f>
        <v>NoXtal</v>
      </c>
      <c r="D95" s="4" t="str">
        <f>VLOOKUP(A95,Classification!A:D,2,FALSE)</f>
        <v>A</v>
      </c>
      <c r="E95" s="5" t="str">
        <f>VLOOKUP(A95,Seqs!A:B,2,FALSE)</f>
        <v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v>
      </c>
      <c r="F95" s="5" t="str">
        <f t="shared" si="26"/>
        <v>GLVVSAQGVGVGVFLAAFILMAVAGNLLVILSVACN</v>
      </c>
      <c r="G95" s="4" t="str">
        <f t="shared" si="27"/>
        <v>RHLQ</v>
      </c>
      <c r="H95" s="4" t="str">
        <f t="shared" si="28"/>
        <v>TVTNYFIVNLAVADLLLSATVLPFSATMEVL</v>
      </c>
      <c r="I95" s="4" t="str">
        <f t="shared" si="29"/>
        <v>FWAF</v>
      </c>
      <c r="J95" s="4" t="str">
        <f t="shared" si="30"/>
        <v>GRAFCDVWAAVDVLCCTASILSLCTISVDRYVGVRH</v>
      </c>
      <c r="K95" s="4" t="str">
        <f t="shared" si="31"/>
        <v>SLKYPAIM</v>
      </c>
      <c r="L95" s="4" t="str">
        <f t="shared" si="32"/>
        <v>TERKAAAILALLWVVALVVSVGPLLGW</v>
      </c>
      <c r="M95" s="4" t="str">
        <f t="shared" si="33"/>
        <v>CGI</v>
      </c>
      <c r="N95" s="4" t="str">
        <f t="shared" si="34"/>
        <v>EAGYAVFSSVCSFYLPMAVIVVMYCRVYVVARSTTRSLEA</v>
      </c>
      <c r="O95" s="4" t="str">
        <f t="shared" si="35"/>
        <v>LLKFSREKKAAKTLAIVVGVFVLCWFPFFFVLPLGSLF</v>
      </c>
      <c r="P95" s="4" t="str">
        <f t="shared" si="36"/>
        <v>SEGVFKVIFWLGYFNSCVNPLIYPCS</v>
      </c>
      <c r="Q95" s="4" t="str">
        <f t="shared" si="37"/>
        <v>SREFKRAFLRLLR</v>
      </c>
      <c r="R95" s="5">
        <f>VLOOKUP($A95,'SegEnds_NonXtal_Prot#'!$A:$AL,3,FALSE)</f>
        <v>89</v>
      </c>
      <c r="S95" s="5">
        <f>VLOOKUP($A95,'SegEnds_NonXtal_Prot#'!$A:$AL,6,FALSE)</f>
        <v>125</v>
      </c>
      <c r="T95" s="5">
        <f>VLOOKUP($A95,'SegEnds_NonXtal_Prot#'!$A:$AL,9,FALSE)</f>
        <v>129</v>
      </c>
      <c r="U95" s="5">
        <f>VLOOKUP($A95,'SegEnds_NonXtal_Prot#'!$A:$AL,12,FALSE)</f>
        <v>161</v>
      </c>
      <c r="V95" s="5">
        <f>VLOOKUP($A95,'SegEnds_NonXtal_Prot#'!$A:$AL,15,FALSE)</f>
        <v>165</v>
      </c>
      <c r="W95" s="5">
        <f>VLOOKUP($A95,'SegEnds_NonXtal_Prot#'!$A:$AL,18,FALSE)</f>
        <v>201</v>
      </c>
      <c r="X95" s="5">
        <f>VLOOKUP($A95,'SegEnds_NonXtal_Prot#'!$A:$AL,21,FALSE)</f>
        <v>209</v>
      </c>
      <c r="Y95" s="5">
        <f>VLOOKUP($A95,'SegEnds_NonXtal_Prot#'!$A:$AL,24,FALSE)</f>
        <v>246</v>
      </c>
      <c r="Z95" s="5">
        <f>VLOOKUP($A95,'SegEnds_NonXtal_Prot#'!$A:$AL,27,FALSE)</f>
        <v>251</v>
      </c>
      <c r="AA95" s="5">
        <f>VLOOKUP($A95,'SegEnds_NonXtal_Prot#'!$A:$AL,30,FALSE)</f>
        <v>337</v>
      </c>
      <c r="AB95" s="5">
        <f>VLOOKUP($A95,'SegEnds_NonXtal_Prot#'!$A:$AL,33,FALSE)</f>
        <v>380</v>
      </c>
      <c r="AC95" s="5">
        <f>VLOOKUP($A95,'SegEnds_NonXtal_Prot#'!$A:$AL,36,FALSE)</f>
        <v>406</v>
      </c>
      <c r="AD95" s="5">
        <f>VLOOKUP($A95,'SegEnds_NonXtal_Prot#'!$A:$AL,5,FALSE)</f>
        <v>124</v>
      </c>
      <c r="AE95" s="5">
        <f>VLOOKUP($A95,'SegEnds_NonXtal_Prot#'!$A:$AL,8,FALSE)</f>
        <v>128</v>
      </c>
      <c r="AF95" s="5">
        <f>VLOOKUP($A95,'SegEnds_NonXtal_Prot#'!$A:$AL,11,FALSE)</f>
        <v>159</v>
      </c>
      <c r="AG95" s="5">
        <f>VLOOKUP($A95,'SegEnds_NonXtal_Prot#'!$A:$AL,14,FALSE)</f>
        <v>164</v>
      </c>
      <c r="AH95" s="5">
        <f>VLOOKUP($A95,'SegEnds_NonXtal_Prot#'!$A:$AL,17,FALSE)</f>
        <v>200</v>
      </c>
      <c r="AI95" s="5">
        <f>VLOOKUP($A95,'SegEnds_NonXtal_Prot#'!$A:$AL,20,FALSE)</f>
        <v>208</v>
      </c>
      <c r="AJ95" s="5">
        <f>VLOOKUP($A95,'SegEnds_NonXtal_Prot#'!$A:$AL,23,FALSE)</f>
        <v>235</v>
      </c>
      <c r="AK95" s="5">
        <f>VLOOKUP($A95,'SegEnds_NonXtal_Prot#'!$A:$AL,26,FALSE)</f>
        <v>248</v>
      </c>
      <c r="AL95" s="5">
        <f>VLOOKUP($A95,'SegEnds_NonXtal_Prot#'!$A:$AL,29,FALSE)</f>
        <v>290</v>
      </c>
      <c r="AM95" s="5">
        <f>VLOOKUP($A95,'SegEnds_NonXtal_Prot#'!$A:$AL,32,FALSE)</f>
        <v>374</v>
      </c>
      <c r="AN95" s="5">
        <f>VLOOKUP($A95,'SegEnds_NonXtal_Prot#'!$A:$AL,35,FALSE)</f>
        <v>405</v>
      </c>
      <c r="AO95" s="5">
        <f>VLOOKUP($A95,'SegEnds_NonXtal_Prot#'!$A:$AL,38,FALSE)</f>
        <v>418</v>
      </c>
      <c r="AP95" s="5">
        <f t="shared" si="38"/>
        <v>35</v>
      </c>
      <c r="AQ95" s="4">
        <f t="shared" si="39"/>
        <v>3</v>
      </c>
      <c r="AR95" s="4">
        <f t="shared" si="40"/>
        <v>30</v>
      </c>
      <c r="AS95" s="4">
        <f t="shared" si="41"/>
        <v>3</v>
      </c>
      <c r="AT95" s="4">
        <f t="shared" si="42"/>
        <v>35</v>
      </c>
      <c r="AU95" s="4">
        <f t="shared" si="43"/>
        <v>7</v>
      </c>
      <c r="AV95" s="4">
        <f t="shared" si="44"/>
        <v>26</v>
      </c>
      <c r="AW95" s="4">
        <f t="shared" si="45"/>
        <v>2</v>
      </c>
      <c r="AX95" s="4">
        <f t="shared" si="46"/>
        <v>39</v>
      </c>
      <c r="AY95" s="4">
        <f t="shared" si="47"/>
        <v>37</v>
      </c>
      <c r="AZ95" s="4">
        <f t="shared" si="48"/>
        <v>25</v>
      </c>
      <c r="BA95" s="4">
        <f t="shared" si="49"/>
        <v>12</v>
      </c>
    </row>
    <row r="96" spans="1:53" x14ac:dyDescent="0.2">
      <c r="A96" s="1" t="str">
        <f>'SegEnds_NonXtal_Prot#'!A65</f>
        <v>ada2a_human</v>
      </c>
      <c r="B96" s="1" t="str">
        <f t="shared" si="25"/>
        <v>LQVTLTLVCLAGLLMLLTVFGNVLVIIAVFTSAPQNLFLVSLASADILVATLVIPFSLANEVMGKAWCEIYLALDVLFCTSSIVHLCAISLDRYWSITQTPRRIKAIIITVWVISAVISFPPLISQKWYVISSCIGSFFAPCLIMILVYVRIYQIAKRRTRVPPSRRGRQNREKRFTFVLAVVIGVFVVCWFPFFFTYTLTAVGRTLFKFFFWFGYCNSSLNPVIYTIFNHDFRRAFKKILC</v>
      </c>
      <c r="C96" s="29" t="str">
        <f>IF(ISERROR(MATCH(A96,'SegEnds_Xtal_Prot#'!B:B, 0)), "NoXtal", "Xtal")</f>
        <v>NoXtal</v>
      </c>
      <c r="D96" s="4" t="str">
        <f>VLOOKUP(A96,Classification!A:D,2,FALSE)</f>
        <v>A</v>
      </c>
      <c r="E96" s="5" t="str">
        <f>VLOOKUP(A96,Seqs!A:B,2,FALSE)</f>
        <v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v>
      </c>
      <c r="F96" s="5" t="str">
        <f t="shared" si="26"/>
        <v>LQVTLTLVCLAGLLMLLTVFGNVLVIIAVFTS</v>
      </c>
      <c r="G96" s="4" t="str">
        <f t="shared" si="27"/>
        <v>RALK</v>
      </c>
      <c r="H96" s="4" t="str">
        <f t="shared" si="28"/>
        <v>APQNLFLVSLASADILVATLVIPFSLANEVM</v>
      </c>
      <c r="I96" s="4" t="str">
        <f t="shared" si="29"/>
        <v>YWYF</v>
      </c>
      <c r="J96" s="4" t="str">
        <f t="shared" si="30"/>
        <v>GKAWCEIYLALDVLFCTSSIVHLCAISLDRYWSITQ</v>
      </c>
      <c r="K96" s="4" t="str">
        <f t="shared" si="31"/>
        <v>AIEYNLKR</v>
      </c>
      <c r="L96" s="4" t="str">
        <f t="shared" si="32"/>
        <v>TPRRIKAIIITVWVISAVISFPPLIS</v>
      </c>
      <c r="M96" s="4" t="str">
        <f t="shared" si="33"/>
        <v>CEI</v>
      </c>
      <c r="N96" s="4" t="str">
        <f t="shared" si="34"/>
        <v>QKWYVISSCIGSFFAPCLIMILVYVRIYQIAKRRTRVPPSR</v>
      </c>
      <c r="O96" s="4" t="str">
        <f t="shared" si="35"/>
        <v>RGRQNREKRFTFVLAVVIGVFVVCWFPFFFTYTLTAVG</v>
      </c>
      <c r="P96" s="4" t="str">
        <f t="shared" si="36"/>
        <v>RTLFKFFFWFGYCNSSLNPVIYTIF</v>
      </c>
      <c r="Q96" s="4" t="str">
        <f t="shared" si="37"/>
        <v>NHDFRRAFKKILC</v>
      </c>
      <c r="R96" s="5">
        <f>VLOOKUP($A96,'SegEnds_NonXtal_Prot#'!$A:$AL,3,FALSE)</f>
        <v>30</v>
      </c>
      <c r="S96" s="5">
        <f>VLOOKUP($A96,'SegEnds_NonXtal_Prot#'!$A:$AL,6,FALSE)</f>
        <v>62</v>
      </c>
      <c r="T96" s="5">
        <f>VLOOKUP($A96,'SegEnds_NonXtal_Prot#'!$A:$AL,9,FALSE)</f>
        <v>66</v>
      </c>
      <c r="U96" s="5">
        <f>VLOOKUP($A96,'SegEnds_NonXtal_Prot#'!$A:$AL,12,FALSE)</f>
        <v>98</v>
      </c>
      <c r="V96" s="5">
        <f>VLOOKUP($A96,'SegEnds_NonXtal_Prot#'!$A:$AL,15,FALSE)</f>
        <v>102</v>
      </c>
      <c r="W96" s="5">
        <f>VLOOKUP($A96,'SegEnds_NonXtal_Prot#'!$A:$AL,18,FALSE)</f>
        <v>138</v>
      </c>
      <c r="X96" s="5">
        <f>VLOOKUP($A96,'SegEnds_NonXtal_Prot#'!$A:$AL,21,FALSE)</f>
        <v>146</v>
      </c>
      <c r="Y96" s="5">
        <f>VLOOKUP($A96,'SegEnds_NonXtal_Prot#'!$A:$AL,24,FALSE)</f>
        <v>188</v>
      </c>
      <c r="Z96" s="5">
        <f>VLOOKUP($A96,'SegEnds_NonXtal_Prot#'!$A:$AL,27,FALSE)</f>
        <v>193</v>
      </c>
      <c r="AA96" s="5">
        <f>VLOOKUP($A96,'SegEnds_NonXtal_Prot#'!$A:$AL,30,FALSE)</f>
        <v>363</v>
      </c>
      <c r="AB96" s="5">
        <f>VLOOKUP($A96,'SegEnds_NonXtal_Prot#'!$A:$AL,33,FALSE)</f>
        <v>405</v>
      </c>
      <c r="AC96" s="5">
        <f>VLOOKUP($A96,'SegEnds_NonXtal_Prot#'!$A:$AL,36,FALSE)</f>
        <v>430</v>
      </c>
      <c r="AD96" s="5">
        <f>VLOOKUP($A96,'SegEnds_NonXtal_Prot#'!$A:$AL,5,FALSE)</f>
        <v>61</v>
      </c>
      <c r="AE96" s="5">
        <f>VLOOKUP($A96,'SegEnds_NonXtal_Prot#'!$A:$AL,8,FALSE)</f>
        <v>65</v>
      </c>
      <c r="AF96" s="5">
        <f>VLOOKUP($A96,'SegEnds_NonXtal_Prot#'!$A:$AL,11,FALSE)</f>
        <v>96</v>
      </c>
      <c r="AG96" s="5">
        <f>VLOOKUP($A96,'SegEnds_NonXtal_Prot#'!$A:$AL,14,FALSE)</f>
        <v>101</v>
      </c>
      <c r="AH96" s="5">
        <f>VLOOKUP($A96,'SegEnds_NonXtal_Prot#'!$A:$AL,17,FALSE)</f>
        <v>137</v>
      </c>
      <c r="AI96" s="5">
        <f>VLOOKUP($A96,'SegEnds_NonXtal_Prot#'!$A:$AL,20,FALSE)</f>
        <v>145</v>
      </c>
      <c r="AJ96" s="5">
        <f>VLOOKUP($A96,'SegEnds_NonXtal_Prot#'!$A:$AL,23,FALSE)</f>
        <v>171</v>
      </c>
      <c r="AK96" s="5">
        <f>VLOOKUP($A96,'SegEnds_NonXtal_Prot#'!$A:$AL,26,FALSE)</f>
        <v>190</v>
      </c>
      <c r="AL96" s="5">
        <f>VLOOKUP($A96,'SegEnds_NonXtal_Prot#'!$A:$AL,29,FALSE)</f>
        <v>233</v>
      </c>
      <c r="AM96" s="5">
        <f>VLOOKUP($A96,'SegEnds_NonXtal_Prot#'!$A:$AL,32,FALSE)</f>
        <v>400</v>
      </c>
      <c r="AN96" s="5">
        <f>VLOOKUP($A96,'SegEnds_NonXtal_Prot#'!$A:$AL,35,FALSE)</f>
        <v>429</v>
      </c>
      <c r="AO96" s="5">
        <f>VLOOKUP($A96,'SegEnds_NonXtal_Prot#'!$A:$AL,38,FALSE)</f>
        <v>442</v>
      </c>
      <c r="AP96" s="5">
        <f t="shared" si="38"/>
        <v>31</v>
      </c>
      <c r="AQ96" s="4">
        <f t="shared" si="39"/>
        <v>3</v>
      </c>
      <c r="AR96" s="4">
        <f t="shared" si="40"/>
        <v>30</v>
      </c>
      <c r="AS96" s="4">
        <f t="shared" si="41"/>
        <v>3</v>
      </c>
      <c r="AT96" s="4">
        <f t="shared" si="42"/>
        <v>35</v>
      </c>
      <c r="AU96" s="4">
        <f t="shared" si="43"/>
        <v>7</v>
      </c>
      <c r="AV96" s="4">
        <f t="shared" si="44"/>
        <v>25</v>
      </c>
      <c r="AW96" s="4">
        <f t="shared" si="45"/>
        <v>2</v>
      </c>
      <c r="AX96" s="4">
        <f t="shared" si="46"/>
        <v>40</v>
      </c>
      <c r="AY96" s="4">
        <f t="shared" si="47"/>
        <v>37</v>
      </c>
      <c r="AZ96" s="4">
        <f t="shared" si="48"/>
        <v>24</v>
      </c>
      <c r="BA96" s="4">
        <f t="shared" si="49"/>
        <v>12</v>
      </c>
    </row>
    <row r="97" spans="1:53" x14ac:dyDescent="0.2">
      <c r="A97" s="1" t="str">
        <f>'SegEnds_NonXtal_Prot#'!A66</f>
        <v>ada2b_human</v>
      </c>
      <c r="B97" s="1" t="str">
        <f t="shared" si="25"/>
        <v>VQATAAIAAAITFLILFTIFGNALVILAVLTSAPQNLFLVSLAAADILVATLIIPFSLANELLRRTWCEVYLALDVLFCTSSIVHLCAISLDRYWAVSRTPRRIKCIILTVWLIAAVISLPPLIYEAWYILASSIGSFFAPCLIMILVYLRIYLIAKRSNRRGPRARAQLTREKRFTFVLAVVIGVFVLCWFPFFFSYSLGAICPHGLFQFFFWIGYCNSSLNPVIYTIFNQDFRRAFRRILC</v>
      </c>
      <c r="C97" s="29" t="str">
        <f>IF(ISERROR(MATCH(A97,'SegEnds_Xtal_Prot#'!B:B, 0)), "NoXtal", "Xtal")</f>
        <v>NoXtal</v>
      </c>
      <c r="D97" s="4" t="str">
        <f>VLOOKUP(A97,Classification!A:D,2,FALSE)</f>
        <v>A</v>
      </c>
      <c r="E97" s="5" t="str">
        <f>VLOOKUP(A97,Seqs!A:B,2,FALSE)</f>
        <v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v>
      </c>
      <c r="F97" s="5" t="str">
        <f t="shared" si="26"/>
        <v>VQATAAIAAAITFLILFTIFGNALVILAVLTS</v>
      </c>
      <c r="G97" s="4" t="str">
        <f t="shared" si="27"/>
        <v>RSLR</v>
      </c>
      <c r="H97" s="4" t="str">
        <f t="shared" si="28"/>
        <v>APQNLFLVSLAAADILVATLIIPFSLANELL</v>
      </c>
      <c r="I97" s="4" t="str">
        <f t="shared" si="29"/>
        <v>YWYF</v>
      </c>
      <c r="J97" s="4" t="str">
        <f t="shared" si="30"/>
        <v>RRTWCEVYLALDVLFCTSSIVHLCAISLDRYWAVSR</v>
      </c>
      <c r="K97" s="4" t="str">
        <f t="shared" si="31"/>
        <v>ALEYNSKR</v>
      </c>
      <c r="L97" s="4" t="str">
        <f t="shared" si="32"/>
        <v>TPRRIKCIILTVWLIAAVISLPPLIY</v>
      </c>
      <c r="M97" s="4" t="str">
        <f t="shared" si="33"/>
        <v>CKL</v>
      </c>
      <c r="N97" s="4" t="str">
        <f t="shared" si="34"/>
        <v>EAWYILASSIGSFFAPCLIMILVYLRIYLIAKRSNRRGPRA</v>
      </c>
      <c r="O97" s="4" t="str">
        <f t="shared" si="35"/>
        <v>RAQLTREKRFTFVLAVVIGVFVLCWFPFFFSYSLGAIC</v>
      </c>
      <c r="P97" s="4" t="str">
        <f t="shared" si="36"/>
        <v>PHGLFQFFFWIGYCNSSLNPVIYTIF</v>
      </c>
      <c r="Q97" s="4" t="str">
        <f t="shared" si="37"/>
        <v>NQDFRRAFRRILC</v>
      </c>
      <c r="R97" s="5">
        <f>VLOOKUP($A97,'SegEnds_NonXtal_Prot#'!$A:$AL,3,FALSE)</f>
        <v>9</v>
      </c>
      <c r="S97" s="5">
        <f>VLOOKUP($A97,'SegEnds_NonXtal_Prot#'!$A:$AL,6,FALSE)</f>
        <v>41</v>
      </c>
      <c r="T97" s="5">
        <f>VLOOKUP($A97,'SegEnds_NonXtal_Prot#'!$A:$AL,9,FALSE)</f>
        <v>45</v>
      </c>
      <c r="U97" s="5">
        <f>VLOOKUP($A97,'SegEnds_NonXtal_Prot#'!$A:$AL,12,FALSE)</f>
        <v>77</v>
      </c>
      <c r="V97" s="5">
        <f>VLOOKUP($A97,'SegEnds_NonXtal_Prot#'!$A:$AL,15,FALSE)</f>
        <v>81</v>
      </c>
      <c r="W97" s="5">
        <f>VLOOKUP($A97,'SegEnds_NonXtal_Prot#'!$A:$AL,18,FALSE)</f>
        <v>117</v>
      </c>
      <c r="X97" s="5">
        <f>VLOOKUP($A97,'SegEnds_NonXtal_Prot#'!$A:$AL,21,FALSE)</f>
        <v>125</v>
      </c>
      <c r="Y97" s="5">
        <f>VLOOKUP($A97,'SegEnds_NonXtal_Prot#'!$A:$AL,24,FALSE)</f>
        <v>164</v>
      </c>
      <c r="Z97" s="5">
        <f>VLOOKUP($A97,'SegEnds_NonXtal_Prot#'!$A:$AL,27,FALSE)</f>
        <v>169</v>
      </c>
      <c r="AA97" s="5">
        <f>VLOOKUP($A97,'SegEnds_NonXtal_Prot#'!$A:$AL,30,FALSE)</f>
        <v>357</v>
      </c>
      <c r="AB97" s="5">
        <f>VLOOKUP($A97,'SegEnds_NonXtal_Prot#'!$A:$AL,33,FALSE)</f>
        <v>401</v>
      </c>
      <c r="AC97" s="5">
        <f>VLOOKUP($A97,'SegEnds_NonXtal_Prot#'!$A:$AL,36,FALSE)</f>
        <v>427</v>
      </c>
      <c r="AD97" s="5">
        <f>VLOOKUP($A97,'SegEnds_NonXtal_Prot#'!$A:$AL,5,FALSE)</f>
        <v>40</v>
      </c>
      <c r="AE97" s="5">
        <f>VLOOKUP($A97,'SegEnds_NonXtal_Prot#'!$A:$AL,8,FALSE)</f>
        <v>44</v>
      </c>
      <c r="AF97" s="5">
        <f>VLOOKUP($A97,'SegEnds_NonXtal_Prot#'!$A:$AL,11,FALSE)</f>
        <v>75</v>
      </c>
      <c r="AG97" s="5">
        <f>VLOOKUP($A97,'SegEnds_NonXtal_Prot#'!$A:$AL,14,FALSE)</f>
        <v>80</v>
      </c>
      <c r="AH97" s="5">
        <f>VLOOKUP($A97,'SegEnds_NonXtal_Prot#'!$A:$AL,17,FALSE)</f>
        <v>116</v>
      </c>
      <c r="AI97" s="5">
        <f>VLOOKUP($A97,'SegEnds_NonXtal_Prot#'!$A:$AL,20,FALSE)</f>
        <v>124</v>
      </c>
      <c r="AJ97" s="5">
        <f>VLOOKUP($A97,'SegEnds_NonXtal_Prot#'!$A:$AL,23,FALSE)</f>
        <v>150</v>
      </c>
      <c r="AK97" s="5">
        <f>VLOOKUP($A97,'SegEnds_NonXtal_Prot#'!$A:$AL,26,FALSE)</f>
        <v>166</v>
      </c>
      <c r="AL97" s="5">
        <f>VLOOKUP($A97,'SegEnds_NonXtal_Prot#'!$A:$AL,29,FALSE)</f>
        <v>209</v>
      </c>
      <c r="AM97" s="5">
        <f>VLOOKUP($A97,'SegEnds_NonXtal_Prot#'!$A:$AL,32,FALSE)</f>
        <v>394</v>
      </c>
      <c r="AN97" s="5">
        <f>VLOOKUP($A97,'SegEnds_NonXtal_Prot#'!$A:$AL,35,FALSE)</f>
        <v>426</v>
      </c>
      <c r="AO97" s="5">
        <f>VLOOKUP($A97,'SegEnds_NonXtal_Prot#'!$A:$AL,38,FALSE)</f>
        <v>439</v>
      </c>
      <c r="AP97" s="5">
        <f t="shared" si="38"/>
        <v>31</v>
      </c>
      <c r="AQ97" s="4">
        <f t="shared" si="39"/>
        <v>3</v>
      </c>
      <c r="AR97" s="4">
        <f t="shared" si="40"/>
        <v>30</v>
      </c>
      <c r="AS97" s="4">
        <f t="shared" si="41"/>
        <v>3</v>
      </c>
      <c r="AT97" s="4">
        <f t="shared" si="42"/>
        <v>35</v>
      </c>
      <c r="AU97" s="4">
        <f t="shared" si="43"/>
        <v>7</v>
      </c>
      <c r="AV97" s="4">
        <f t="shared" si="44"/>
        <v>25</v>
      </c>
      <c r="AW97" s="4">
        <f t="shared" si="45"/>
        <v>2</v>
      </c>
      <c r="AX97" s="4">
        <f t="shared" si="46"/>
        <v>40</v>
      </c>
      <c r="AY97" s="4">
        <f t="shared" si="47"/>
        <v>37</v>
      </c>
      <c r="AZ97" s="4">
        <f t="shared" si="48"/>
        <v>25</v>
      </c>
      <c r="BA97" s="4">
        <f t="shared" si="49"/>
        <v>12</v>
      </c>
    </row>
    <row r="98" spans="1:53" x14ac:dyDescent="0.2">
      <c r="A98" s="1" t="str">
        <f>'SegEnds_NonXtal_Prot#'!A67</f>
        <v>ada2c_human</v>
      </c>
      <c r="B98" s="1" t="str">
        <f t="shared" si="25"/>
        <v>AGAVAGLAAVVGFLIVFTVVGNVLVVIAVLTSAPQNLFLVSLASADILVATLVMPFSLANELMGQVWCGVYLALDVLFCTSSIVHLCAISLDRYWSVTQTPRRVKATIVAVWLISAVISFPPLVSETWYILSSCIGSFFAPCLIMGLVYARIYRVAKLRTRTLSEKKVAQAREKRFTFVLAVVMGVFVLCWFPFFFSYSLYGICPGPLFKFFFWIGYCNSSLNPVIYTVFNQDFRRSFKHILF</v>
      </c>
      <c r="C98" s="29" t="str">
        <f>IF(ISERROR(MATCH(A98,'SegEnds_Xtal_Prot#'!B:B, 0)), "NoXtal", "Xtal")</f>
        <v>NoXtal</v>
      </c>
      <c r="D98" s="4" t="str">
        <f>VLOOKUP(A98,Classification!A:D,2,FALSE)</f>
        <v>A</v>
      </c>
      <c r="E98" s="5" t="str">
        <f>VLOOKUP(A98,Seqs!A:B,2,FALSE)</f>
        <v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v>
      </c>
      <c r="F98" s="5" t="str">
        <f t="shared" si="26"/>
        <v>AGAVAGLAAVVGFLIVFTVVGNVLVVIAVLTS</v>
      </c>
      <c r="G98" s="4" t="str">
        <f t="shared" si="27"/>
        <v>RALR</v>
      </c>
      <c r="H98" s="4" t="str">
        <f t="shared" si="28"/>
        <v>APQNLFLVSLASADILVATLVMPFSLANELM</v>
      </c>
      <c r="I98" s="4" t="str">
        <f t="shared" si="29"/>
        <v>YWYF</v>
      </c>
      <c r="J98" s="4" t="str">
        <f t="shared" si="30"/>
        <v>GQVWCGVYLALDVLFCTSSIVHLCAISLDRYWSVTQ</v>
      </c>
      <c r="K98" s="4" t="str">
        <f t="shared" si="31"/>
        <v>AVEYNLKR</v>
      </c>
      <c r="L98" s="4" t="str">
        <f t="shared" si="32"/>
        <v>TPRRVKATIVAVWLISAVISFPPLVS</v>
      </c>
      <c r="M98" s="4" t="str">
        <f t="shared" si="33"/>
        <v>CGL</v>
      </c>
      <c r="N98" s="4" t="str">
        <f t="shared" si="34"/>
        <v>ETWYILSSCIGSFFAPCLIMGLVYARIYRVAKLRTRTLSEK</v>
      </c>
      <c r="O98" s="4" t="str">
        <f t="shared" si="35"/>
        <v>KVAQAREKRFTFVLAVVMGVFVLCWFPFFFSYSLYGIC</v>
      </c>
      <c r="P98" s="4" t="str">
        <f t="shared" si="36"/>
        <v>PGPLFKFFFWIGYCNSSLNPVIYTVF</v>
      </c>
      <c r="Q98" s="4" t="str">
        <f t="shared" si="37"/>
        <v>NQDFRRSFKHILF</v>
      </c>
      <c r="R98" s="5">
        <f>VLOOKUP($A98,'SegEnds_NonXtal_Prot#'!$A:$AL,3,FALSE)</f>
        <v>48</v>
      </c>
      <c r="S98" s="5">
        <f>VLOOKUP($A98,'SegEnds_NonXtal_Prot#'!$A:$AL,6,FALSE)</f>
        <v>80</v>
      </c>
      <c r="T98" s="5">
        <f>VLOOKUP($A98,'SegEnds_NonXtal_Prot#'!$A:$AL,9,FALSE)</f>
        <v>84</v>
      </c>
      <c r="U98" s="5">
        <f>VLOOKUP($A98,'SegEnds_NonXtal_Prot#'!$A:$AL,12,FALSE)</f>
        <v>116</v>
      </c>
      <c r="V98" s="5">
        <f>VLOOKUP($A98,'SegEnds_NonXtal_Prot#'!$A:$AL,15,FALSE)</f>
        <v>120</v>
      </c>
      <c r="W98" s="5">
        <f>VLOOKUP($A98,'SegEnds_NonXtal_Prot#'!$A:$AL,18,FALSE)</f>
        <v>156</v>
      </c>
      <c r="X98" s="5">
        <f>VLOOKUP($A98,'SegEnds_NonXtal_Prot#'!$A:$AL,21,FALSE)</f>
        <v>164</v>
      </c>
      <c r="Y98" s="5">
        <f>VLOOKUP($A98,'SegEnds_NonXtal_Prot#'!$A:$AL,24,FALSE)</f>
        <v>202</v>
      </c>
      <c r="Z98" s="5">
        <f>VLOOKUP($A98,'SegEnds_NonXtal_Prot#'!$A:$AL,27,FALSE)</f>
        <v>207</v>
      </c>
      <c r="AA98" s="5">
        <f>VLOOKUP($A98,'SegEnds_NonXtal_Prot#'!$A:$AL,30,FALSE)</f>
        <v>371</v>
      </c>
      <c r="AB98" s="5">
        <f>VLOOKUP($A98,'SegEnds_NonXtal_Prot#'!$A:$AL,33,FALSE)</f>
        <v>415</v>
      </c>
      <c r="AC98" s="5">
        <f>VLOOKUP($A98,'SegEnds_NonXtal_Prot#'!$A:$AL,36,FALSE)</f>
        <v>441</v>
      </c>
      <c r="AD98" s="5">
        <f>VLOOKUP($A98,'SegEnds_NonXtal_Prot#'!$A:$AL,5,FALSE)</f>
        <v>79</v>
      </c>
      <c r="AE98" s="5">
        <f>VLOOKUP($A98,'SegEnds_NonXtal_Prot#'!$A:$AL,8,FALSE)</f>
        <v>83</v>
      </c>
      <c r="AF98" s="5">
        <f>VLOOKUP($A98,'SegEnds_NonXtal_Prot#'!$A:$AL,11,FALSE)</f>
        <v>114</v>
      </c>
      <c r="AG98" s="5">
        <f>VLOOKUP($A98,'SegEnds_NonXtal_Prot#'!$A:$AL,14,FALSE)</f>
        <v>119</v>
      </c>
      <c r="AH98" s="5">
        <f>VLOOKUP($A98,'SegEnds_NonXtal_Prot#'!$A:$AL,17,FALSE)</f>
        <v>155</v>
      </c>
      <c r="AI98" s="5">
        <f>VLOOKUP($A98,'SegEnds_NonXtal_Prot#'!$A:$AL,20,FALSE)</f>
        <v>163</v>
      </c>
      <c r="AJ98" s="5">
        <f>VLOOKUP($A98,'SegEnds_NonXtal_Prot#'!$A:$AL,23,FALSE)</f>
        <v>189</v>
      </c>
      <c r="AK98" s="5">
        <f>VLOOKUP($A98,'SegEnds_NonXtal_Prot#'!$A:$AL,26,FALSE)</f>
        <v>204</v>
      </c>
      <c r="AL98" s="5">
        <f>VLOOKUP($A98,'SegEnds_NonXtal_Prot#'!$A:$AL,29,FALSE)</f>
        <v>247</v>
      </c>
      <c r="AM98" s="5">
        <f>VLOOKUP($A98,'SegEnds_NonXtal_Prot#'!$A:$AL,32,FALSE)</f>
        <v>408</v>
      </c>
      <c r="AN98" s="5">
        <f>VLOOKUP($A98,'SegEnds_NonXtal_Prot#'!$A:$AL,35,FALSE)</f>
        <v>440</v>
      </c>
      <c r="AO98" s="5">
        <f>VLOOKUP($A98,'SegEnds_NonXtal_Prot#'!$A:$AL,38,FALSE)</f>
        <v>453</v>
      </c>
      <c r="AP98" s="5">
        <f t="shared" si="38"/>
        <v>31</v>
      </c>
      <c r="AQ98" s="4">
        <f t="shared" si="39"/>
        <v>3</v>
      </c>
      <c r="AR98" s="4">
        <f t="shared" si="40"/>
        <v>30</v>
      </c>
      <c r="AS98" s="4">
        <f t="shared" si="41"/>
        <v>3</v>
      </c>
      <c r="AT98" s="4">
        <f t="shared" si="42"/>
        <v>35</v>
      </c>
      <c r="AU98" s="4">
        <f t="shared" si="43"/>
        <v>7</v>
      </c>
      <c r="AV98" s="4">
        <f t="shared" si="44"/>
        <v>25</v>
      </c>
      <c r="AW98" s="4">
        <f t="shared" si="45"/>
        <v>2</v>
      </c>
      <c r="AX98" s="4">
        <f t="shared" si="46"/>
        <v>40</v>
      </c>
      <c r="AY98" s="4">
        <f t="shared" si="47"/>
        <v>37</v>
      </c>
      <c r="AZ98" s="4">
        <f t="shared" si="48"/>
        <v>25</v>
      </c>
      <c r="BA98" s="4">
        <f t="shared" si="49"/>
        <v>12</v>
      </c>
    </row>
    <row r="99" spans="1:53" x14ac:dyDescent="0.2">
      <c r="A99" s="1" t="str">
        <f>'SegEnds_NonXtal_Prot#'!A68</f>
        <v>adrb1_human</v>
      </c>
      <c r="B99" s="1" t="str">
        <f t="shared" si="25"/>
        <v>EPLSQQWTAGMGLLMALIVLLIVAGNVLVIVAIAKTTLTNLFIMSLASADLVMGLLVVPFGATIVVWGSFFCELWTSVDVLCVTASIETLCVIALDRYLAITSTRARARGLVCTVWAISALVSFLPILMHNRAYAIASSVVSFYVPLCIMAFVYLRVFREAQKQVKKIDSRLVALREQKALKTLGIIMGVFTLCWLPFFLANVVKAFHPDRLFVFFNWLGYANSAFNPIIYCRSPDFRKAFQRLLC</v>
      </c>
      <c r="C99" s="29" t="str">
        <f>IF(ISERROR(MATCH(A99,'SegEnds_Xtal_Prot#'!B:B, 0)), "NoXtal", "Xtal")</f>
        <v>NoXtal</v>
      </c>
      <c r="D99" s="4" t="str">
        <f>VLOOKUP(A99,Classification!A:D,2,FALSE)</f>
        <v>A</v>
      </c>
      <c r="E99" s="5" t="str">
        <f>VLOOKUP(A99,Seqs!A:B,2,FALSE)</f>
        <v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v>
      </c>
      <c r="F99" s="5" t="str">
        <f t="shared" si="26"/>
        <v>EPLSQQWTAGMGLLMALIVLLIVAGNVLVIVAIAKT</v>
      </c>
      <c r="G99" s="4" t="str">
        <f t="shared" si="27"/>
        <v>PRLQ</v>
      </c>
      <c r="H99" s="4" t="str">
        <f t="shared" si="28"/>
        <v>TLTNLFIMSLASADLVMGLLVVPFGATIVVW</v>
      </c>
      <c r="I99" s="4" t="str">
        <f t="shared" si="29"/>
        <v>RWEY</v>
      </c>
      <c r="J99" s="4" t="str">
        <f t="shared" si="30"/>
        <v>GSFFCELWTSVDVLCVTASIETLCVIALDRYLAITS</v>
      </c>
      <c r="K99" s="4" t="str">
        <f t="shared" si="31"/>
        <v>PFRYQSLL</v>
      </c>
      <c r="L99" s="4" t="str">
        <f t="shared" si="32"/>
        <v>TRARARGLVCTVWAISALVSFLPILMH</v>
      </c>
      <c r="M99" s="4" t="str">
        <f t="shared" si="33"/>
        <v>CDF</v>
      </c>
      <c r="N99" s="4" t="str">
        <f t="shared" si="34"/>
        <v>NRAYAIASSVVSFYVPLCIMAFVYLRVFREAQKQVKKIDS</v>
      </c>
      <c r="O99" s="4" t="str">
        <f t="shared" si="35"/>
        <v>RLVALREQKALKTLGIIMGVFTLCWLPFFLANVVKAFH</v>
      </c>
      <c r="P99" s="4" t="str">
        <f t="shared" si="36"/>
        <v>PDRLFVFFNWLGYANSAFNPIIYCR</v>
      </c>
      <c r="Q99" s="4" t="str">
        <f t="shared" si="37"/>
        <v>SPDFRKAFQRLLC</v>
      </c>
      <c r="R99" s="5">
        <f>VLOOKUP($A99,'SegEnds_NonXtal_Prot#'!$A:$AL,3,FALSE)</f>
        <v>51</v>
      </c>
      <c r="S99" s="5">
        <f>VLOOKUP($A99,'SegEnds_NonXtal_Prot#'!$A:$AL,6,FALSE)</f>
        <v>87</v>
      </c>
      <c r="T99" s="5">
        <f>VLOOKUP($A99,'SegEnds_NonXtal_Prot#'!$A:$AL,9,FALSE)</f>
        <v>91</v>
      </c>
      <c r="U99" s="5">
        <f>VLOOKUP($A99,'SegEnds_NonXtal_Prot#'!$A:$AL,12,FALSE)</f>
        <v>123</v>
      </c>
      <c r="V99" s="5">
        <f>VLOOKUP($A99,'SegEnds_NonXtal_Prot#'!$A:$AL,15,FALSE)</f>
        <v>127</v>
      </c>
      <c r="W99" s="5">
        <f>VLOOKUP($A99,'SegEnds_NonXtal_Prot#'!$A:$AL,18,FALSE)</f>
        <v>163</v>
      </c>
      <c r="X99" s="5">
        <f>VLOOKUP($A99,'SegEnds_NonXtal_Prot#'!$A:$AL,21,FALSE)</f>
        <v>171</v>
      </c>
      <c r="Y99" s="5">
        <f>VLOOKUP($A99,'SegEnds_NonXtal_Prot#'!$A:$AL,24,FALSE)</f>
        <v>216</v>
      </c>
      <c r="Z99" s="5">
        <f>VLOOKUP($A99,'SegEnds_NonXtal_Prot#'!$A:$AL,27,FALSE)</f>
        <v>221</v>
      </c>
      <c r="AA99" s="5">
        <f>VLOOKUP($A99,'SegEnds_NonXtal_Prot#'!$A:$AL,30,FALSE)</f>
        <v>313</v>
      </c>
      <c r="AB99" s="5">
        <f>VLOOKUP($A99,'SegEnds_NonXtal_Prot#'!$A:$AL,33,FALSE)</f>
        <v>355</v>
      </c>
      <c r="AC99" s="5">
        <f>VLOOKUP($A99,'SegEnds_NonXtal_Prot#'!$A:$AL,36,FALSE)</f>
        <v>380</v>
      </c>
      <c r="AD99" s="5">
        <f>VLOOKUP($A99,'SegEnds_NonXtal_Prot#'!$A:$AL,5,FALSE)</f>
        <v>86</v>
      </c>
      <c r="AE99" s="5">
        <f>VLOOKUP($A99,'SegEnds_NonXtal_Prot#'!$A:$AL,8,FALSE)</f>
        <v>90</v>
      </c>
      <c r="AF99" s="5">
        <f>VLOOKUP($A99,'SegEnds_NonXtal_Prot#'!$A:$AL,11,FALSE)</f>
        <v>121</v>
      </c>
      <c r="AG99" s="5">
        <f>VLOOKUP($A99,'SegEnds_NonXtal_Prot#'!$A:$AL,14,FALSE)</f>
        <v>126</v>
      </c>
      <c r="AH99" s="5">
        <f>VLOOKUP($A99,'SegEnds_NonXtal_Prot#'!$A:$AL,17,FALSE)</f>
        <v>162</v>
      </c>
      <c r="AI99" s="5">
        <f>VLOOKUP($A99,'SegEnds_NonXtal_Prot#'!$A:$AL,20,FALSE)</f>
        <v>170</v>
      </c>
      <c r="AJ99" s="5">
        <f>VLOOKUP($A99,'SegEnds_NonXtal_Prot#'!$A:$AL,23,FALSE)</f>
        <v>197</v>
      </c>
      <c r="AK99" s="5">
        <f>VLOOKUP($A99,'SegEnds_NonXtal_Prot#'!$A:$AL,26,FALSE)</f>
        <v>218</v>
      </c>
      <c r="AL99" s="5">
        <f>VLOOKUP($A99,'SegEnds_NonXtal_Prot#'!$A:$AL,29,FALSE)</f>
        <v>260</v>
      </c>
      <c r="AM99" s="5">
        <f>VLOOKUP($A99,'SegEnds_NonXtal_Prot#'!$A:$AL,32,FALSE)</f>
        <v>350</v>
      </c>
      <c r="AN99" s="5">
        <f>VLOOKUP($A99,'SegEnds_NonXtal_Prot#'!$A:$AL,35,FALSE)</f>
        <v>379</v>
      </c>
      <c r="AO99" s="5">
        <f>VLOOKUP($A99,'SegEnds_NonXtal_Prot#'!$A:$AL,38,FALSE)</f>
        <v>392</v>
      </c>
      <c r="AP99" s="5">
        <f t="shared" si="38"/>
        <v>35</v>
      </c>
      <c r="AQ99" s="4">
        <f t="shared" si="39"/>
        <v>3</v>
      </c>
      <c r="AR99" s="4">
        <f t="shared" si="40"/>
        <v>30</v>
      </c>
      <c r="AS99" s="4">
        <f t="shared" si="41"/>
        <v>3</v>
      </c>
      <c r="AT99" s="4">
        <f t="shared" si="42"/>
        <v>35</v>
      </c>
      <c r="AU99" s="4">
        <f t="shared" si="43"/>
        <v>7</v>
      </c>
      <c r="AV99" s="4">
        <f t="shared" si="44"/>
        <v>26</v>
      </c>
      <c r="AW99" s="4">
        <f t="shared" si="45"/>
        <v>2</v>
      </c>
      <c r="AX99" s="4">
        <f t="shared" si="46"/>
        <v>39</v>
      </c>
      <c r="AY99" s="4">
        <f t="shared" si="47"/>
        <v>37</v>
      </c>
      <c r="AZ99" s="4">
        <f t="shared" si="48"/>
        <v>24</v>
      </c>
      <c r="BA99" s="4">
        <f t="shared" si="49"/>
        <v>12</v>
      </c>
    </row>
    <row r="100" spans="1:53" x14ac:dyDescent="0.2">
      <c r="A100" s="1" t="str">
        <f>'SegEnds_NonXtal_Prot#'!A69</f>
        <v>adrb1_melga</v>
      </c>
      <c r="B100" s="1" t="str">
        <f t="shared" si="25"/>
        <v>AELLSQQWEAGMSLLMALVVLLIVAGNVLVIAAIGRTTLTNLFITSLACADLVMGLLVVPFGATLVVRGSFLCECWTSLDVLCVTASIETLCVIAIDRYLAITSTRARAKVIICTVWAISALVSFLPIMMHNRAYAIASSIISFYIPLLIMIFVYLRVYREAKEQIRKIDRCERKTSRVMAMREHKALKTLGIIMGVFTLCWLPFFLVNIVNVFNPDWLFVFFNWLGYANSAFNPIIYCRSPDFRKAFKRLLC</v>
      </c>
      <c r="C100" s="29" t="str">
        <f>IF(ISERROR(MATCH(A100,'SegEnds_Xtal_Prot#'!B:B, 0)), "NoXtal", "Xtal")</f>
        <v>Xtal</v>
      </c>
      <c r="D100" s="4" t="str">
        <f>VLOOKUP(A100,Classification!A:D,2,FALSE)</f>
        <v>A</v>
      </c>
      <c r="E100" s="5" t="str">
        <f>VLOOKUP(A100,Seqs!A:B,2,FALSE)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F100" s="5" t="str">
        <f t="shared" si="26"/>
        <v>AELLSQQWEAGMSLLMALVVLLIVAGNVLVIAAIGRT</v>
      </c>
      <c r="G100" s="4" t="str">
        <f t="shared" si="27"/>
        <v>QRLQ</v>
      </c>
      <c r="H100" s="4" t="str">
        <f t="shared" si="28"/>
        <v>TLTNLFITSLACADLVMGLLVVPFGATLVVR</v>
      </c>
      <c r="I100" s="4" t="str">
        <f t="shared" si="29"/>
        <v>TWLW</v>
      </c>
      <c r="J100" s="4" t="str">
        <f t="shared" si="30"/>
        <v>GSFLCECWTSLDVLCVTASIETLCVIAIDRYLAITS</v>
      </c>
      <c r="K100" s="4" t="str">
        <f t="shared" si="31"/>
        <v>PFRYQSLM</v>
      </c>
      <c r="L100" s="4" t="str">
        <f t="shared" si="32"/>
        <v>TRARAKVIICTVWAISALVSFLPIMMH</v>
      </c>
      <c r="M100" s="4" t="str">
        <f t="shared" si="33"/>
        <v>CDF</v>
      </c>
      <c r="N100" s="4" t="str">
        <f t="shared" si="34"/>
        <v>NRAYAIASSIISFYIPLLIMIFVYLRVYREAKEQIRKIDRCE</v>
      </c>
      <c r="O100" s="4" t="str">
        <f t="shared" si="35"/>
        <v>RKTSRVMAMREHKALKTLGIIMGVFTLCWLPFFLVNIVNVFN</v>
      </c>
      <c r="P100" s="4" t="str">
        <f t="shared" si="36"/>
        <v>PDWLFVFFNWLGYANSAFNPIIYCR</v>
      </c>
      <c r="Q100" s="4" t="str">
        <f t="shared" si="37"/>
        <v>SPDFRKAFKRLLC</v>
      </c>
      <c r="R100" s="5">
        <f>VLOOKUP($A100,'SegEnds_NonXtal_Prot#'!$A:$AL,3,FALSE)</f>
        <v>33</v>
      </c>
      <c r="S100" s="5">
        <f>VLOOKUP($A100,'SegEnds_NonXtal_Prot#'!$A:$AL,6,FALSE)</f>
        <v>70</v>
      </c>
      <c r="T100" s="5">
        <f>VLOOKUP($A100,'SegEnds_NonXtal_Prot#'!$A:$AL,9,FALSE)</f>
        <v>74</v>
      </c>
      <c r="U100" s="5">
        <f>VLOOKUP($A100,'SegEnds_NonXtal_Prot#'!$A:$AL,12,FALSE)</f>
        <v>106</v>
      </c>
      <c r="V100" s="5">
        <f>VLOOKUP($A100,'SegEnds_NonXtal_Prot#'!$A:$AL,15,FALSE)</f>
        <v>110</v>
      </c>
      <c r="W100" s="5">
        <f>VLOOKUP($A100,'SegEnds_NonXtal_Prot#'!$A:$AL,18,FALSE)</f>
        <v>146</v>
      </c>
      <c r="X100" s="5">
        <f>VLOOKUP($A100,'SegEnds_NonXtal_Prot#'!$A:$AL,21,FALSE)</f>
        <v>154</v>
      </c>
      <c r="Y100" s="5">
        <f>VLOOKUP($A100,'SegEnds_NonXtal_Prot#'!$A:$AL,24,FALSE)</f>
        <v>199</v>
      </c>
      <c r="Z100" s="5">
        <f>VLOOKUP($A100,'SegEnds_NonXtal_Prot#'!$A:$AL,27,FALSE)</f>
        <v>204</v>
      </c>
      <c r="AA100" s="5">
        <f>VLOOKUP($A100,'SegEnds_NonXtal_Prot#'!$A:$AL,30,FALSE)</f>
        <v>275</v>
      </c>
      <c r="AB100" s="5">
        <f>VLOOKUP($A100,'SegEnds_NonXtal_Prot#'!$A:$AL,33,FALSE)</f>
        <v>321</v>
      </c>
      <c r="AC100" s="5">
        <f>VLOOKUP($A100,'SegEnds_NonXtal_Prot#'!$A:$AL,36,FALSE)</f>
        <v>346</v>
      </c>
      <c r="AD100" s="5">
        <f>VLOOKUP($A100,'SegEnds_NonXtal_Prot#'!$A:$AL,5,FALSE)</f>
        <v>69</v>
      </c>
      <c r="AE100" s="5">
        <f>VLOOKUP($A100,'SegEnds_NonXtal_Prot#'!$A:$AL,8,FALSE)</f>
        <v>73</v>
      </c>
      <c r="AF100" s="5">
        <f>VLOOKUP($A100,'SegEnds_NonXtal_Prot#'!$A:$AL,11,FALSE)</f>
        <v>104</v>
      </c>
      <c r="AG100" s="5">
        <f>VLOOKUP($A100,'SegEnds_NonXtal_Prot#'!$A:$AL,14,FALSE)</f>
        <v>109</v>
      </c>
      <c r="AH100" s="5">
        <f>VLOOKUP($A100,'SegEnds_NonXtal_Prot#'!$A:$AL,17,FALSE)</f>
        <v>145</v>
      </c>
      <c r="AI100" s="5">
        <f>VLOOKUP($A100,'SegEnds_NonXtal_Prot#'!$A:$AL,20,FALSE)</f>
        <v>153</v>
      </c>
      <c r="AJ100" s="5">
        <f>VLOOKUP($A100,'SegEnds_NonXtal_Prot#'!$A:$AL,23,FALSE)</f>
        <v>180</v>
      </c>
      <c r="AK100" s="5">
        <f>VLOOKUP($A100,'SegEnds_NonXtal_Prot#'!$A:$AL,26,FALSE)</f>
        <v>201</v>
      </c>
      <c r="AL100" s="5">
        <f>VLOOKUP($A100,'SegEnds_NonXtal_Prot#'!$A:$AL,29,FALSE)</f>
        <v>245</v>
      </c>
      <c r="AM100" s="5">
        <f>VLOOKUP($A100,'SegEnds_NonXtal_Prot#'!$A:$AL,32,FALSE)</f>
        <v>316</v>
      </c>
      <c r="AN100" s="5">
        <f>VLOOKUP($A100,'SegEnds_NonXtal_Prot#'!$A:$AL,35,FALSE)</f>
        <v>345</v>
      </c>
      <c r="AO100" s="5">
        <f>VLOOKUP($A100,'SegEnds_NonXtal_Prot#'!$A:$AL,38,FALSE)</f>
        <v>358</v>
      </c>
      <c r="AP100" s="5">
        <f t="shared" si="38"/>
        <v>36</v>
      </c>
      <c r="AQ100" s="4">
        <f t="shared" si="39"/>
        <v>3</v>
      </c>
      <c r="AR100" s="4">
        <f t="shared" si="40"/>
        <v>30</v>
      </c>
      <c r="AS100" s="4">
        <f t="shared" si="41"/>
        <v>3</v>
      </c>
      <c r="AT100" s="4">
        <f t="shared" si="42"/>
        <v>35</v>
      </c>
      <c r="AU100" s="4">
        <f t="shared" si="43"/>
        <v>7</v>
      </c>
      <c r="AV100" s="4">
        <f t="shared" si="44"/>
        <v>26</v>
      </c>
      <c r="AW100" s="4">
        <f t="shared" si="45"/>
        <v>2</v>
      </c>
      <c r="AX100" s="4">
        <f t="shared" si="46"/>
        <v>41</v>
      </c>
      <c r="AY100" s="4">
        <f t="shared" si="47"/>
        <v>41</v>
      </c>
      <c r="AZ100" s="4">
        <f t="shared" si="48"/>
        <v>24</v>
      </c>
      <c r="BA100" s="4">
        <f t="shared" si="49"/>
        <v>12</v>
      </c>
    </row>
    <row r="101" spans="1:53" x14ac:dyDescent="0.2">
      <c r="A101" s="1" t="str">
        <f>'SegEnds_NonXtal_Prot#'!A70</f>
        <v>adrb2_human</v>
      </c>
      <c r="B101" s="1" t="str">
        <f t="shared" si="25"/>
        <v>QERDEVWVVGMGIVMSLIVLAIVFGNVLVITAIAKFTVTNYFITSLACADLVMGLAVVPFGAAHILMGNFWCEFWTSIDVLCVTASIETLCVIAVDRYFAITSTKNKARVIILMVWIVSGLTSFLPIQMHNQAYAIASSIVSFYVPLVIMVFVYSRVFQEAKRQLQKIDKSESKFCLKEHKALKTLGIIMGTFTLCWLPFFIVNIVHVIQRKEVYILLNWIGYVNSGFNPLIYCRSPDFRIAFQELLC</v>
      </c>
      <c r="C101" s="29" t="str">
        <f>IF(ISERROR(MATCH(A101,'SegEnds_Xtal_Prot#'!B:B, 0)), "NoXtal", "Xtal")</f>
        <v>Xtal</v>
      </c>
      <c r="D101" s="4" t="str">
        <f>VLOOKUP(A101,Classification!A:D,2,FALSE)</f>
        <v>A</v>
      </c>
      <c r="E101" s="5" t="str">
        <f>VLOOKUP(A101,Seqs!A:B,2,FALSE)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F101" s="5" t="str">
        <f t="shared" si="26"/>
        <v>QERDEVWVVGMGIVMSLIVLAIVFGNVLVITAIAKF</v>
      </c>
      <c r="G101" s="4" t="str">
        <f t="shared" si="27"/>
        <v>ERLQ</v>
      </c>
      <c r="H101" s="4" t="str">
        <f t="shared" si="28"/>
        <v>TVTNYFITSLACADLVMGLAVVPFGAAHILM</v>
      </c>
      <c r="I101" s="4" t="str">
        <f t="shared" si="29"/>
        <v>MWTF</v>
      </c>
      <c r="J101" s="4" t="str">
        <f t="shared" si="30"/>
        <v>GNFWCEFWTSIDVLCVTASIETLCVIAVDRYFAITS</v>
      </c>
      <c r="K101" s="4" t="str">
        <f t="shared" si="31"/>
        <v>PFKYQSLL</v>
      </c>
      <c r="L101" s="4" t="str">
        <f t="shared" si="32"/>
        <v>TKNKARVIILMVWIVSGLTSFLPIQMH</v>
      </c>
      <c r="M101" s="4" t="str">
        <f t="shared" si="33"/>
        <v>CDF</v>
      </c>
      <c r="N101" s="4" t="str">
        <f t="shared" si="34"/>
        <v>NQAYAIASSIVSFYVPLVIMVFVYSRVFQEAKRQLQKIDKSE</v>
      </c>
      <c r="O101" s="4" t="str">
        <f t="shared" si="35"/>
        <v>SKFCLKEHKALKTLGIIMGTFTLCWLPFFIVNIVHVIQ</v>
      </c>
      <c r="P101" s="4" t="str">
        <f t="shared" si="36"/>
        <v>RKEVYILLNWIGYVNSGFNPLIYCR</v>
      </c>
      <c r="Q101" s="4" t="str">
        <f t="shared" si="37"/>
        <v>SPDFRIAFQELLC</v>
      </c>
      <c r="R101" s="5">
        <f>VLOOKUP($A101,'SegEnds_NonXtal_Prot#'!$A:$AL,3,FALSE)</f>
        <v>26</v>
      </c>
      <c r="S101" s="5">
        <f>VLOOKUP($A101,'SegEnds_NonXtal_Prot#'!$A:$AL,6,FALSE)</f>
        <v>62</v>
      </c>
      <c r="T101" s="5">
        <f>VLOOKUP($A101,'SegEnds_NonXtal_Prot#'!$A:$AL,9,FALSE)</f>
        <v>66</v>
      </c>
      <c r="U101" s="5">
        <f>VLOOKUP($A101,'SegEnds_NonXtal_Prot#'!$A:$AL,12,FALSE)</f>
        <v>98</v>
      </c>
      <c r="V101" s="5">
        <f>VLOOKUP($A101,'SegEnds_NonXtal_Prot#'!$A:$AL,15,FALSE)</f>
        <v>102</v>
      </c>
      <c r="W101" s="5">
        <f>VLOOKUP($A101,'SegEnds_NonXtal_Prot#'!$A:$AL,18,FALSE)</f>
        <v>138</v>
      </c>
      <c r="X101" s="5">
        <f>VLOOKUP($A101,'SegEnds_NonXtal_Prot#'!$A:$AL,21,FALSE)</f>
        <v>146</v>
      </c>
      <c r="Y101" s="5">
        <f>VLOOKUP($A101,'SegEnds_NonXtal_Prot#'!$A:$AL,24,FALSE)</f>
        <v>191</v>
      </c>
      <c r="Z101" s="5">
        <f>VLOOKUP($A101,'SegEnds_NonXtal_Prot#'!$A:$AL,27,FALSE)</f>
        <v>196</v>
      </c>
      <c r="AA101" s="5">
        <f>VLOOKUP($A101,'SegEnds_NonXtal_Prot#'!$A:$AL,30,FALSE)</f>
        <v>262</v>
      </c>
      <c r="AB101" s="5">
        <f>VLOOKUP($A101,'SegEnds_NonXtal_Prot#'!$A:$AL,33,FALSE)</f>
        <v>304</v>
      </c>
      <c r="AC101" s="5">
        <f>VLOOKUP($A101,'SegEnds_NonXtal_Prot#'!$A:$AL,36,FALSE)</f>
        <v>329</v>
      </c>
      <c r="AD101" s="5">
        <f>VLOOKUP($A101,'SegEnds_NonXtal_Prot#'!$A:$AL,5,FALSE)</f>
        <v>61</v>
      </c>
      <c r="AE101" s="5">
        <f>VLOOKUP($A101,'SegEnds_NonXtal_Prot#'!$A:$AL,8,FALSE)</f>
        <v>65</v>
      </c>
      <c r="AF101" s="5">
        <f>VLOOKUP($A101,'SegEnds_NonXtal_Prot#'!$A:$AL,11,FALSE)</f>
        <v>96</v>
      </c>
      <c r="AG101" s="5">
        <f>VLOOKUP($A101,'SegEnds_NonXtal_Prot#'!$A:$AL,14,FALSE)</f>
        <v>101</v>
      </c>
      <c r="AH101" s="5">
        <f>VLOOKUP($A101,'SegEnds_NonXtal_Prot#'!$A:$AL,17,FALSE)</f>
        <v>137</v>
      </c>
      <c r="AI101" s="5">
        <f>VLOOKUP($A101,'SegEnds_NonXtal_Prot#'!$A:$AL,20,FALSE)</f>
        <v>145</v>
      </c>
      <c r="AJ101" s="5">
        <f>VLOOKUP($A101,'SegEnds_NonXtal_Prot#'!$A:$AL,23,FALSE)</f>
        <v>172</v>
      </c>
      <c r="AK101" s="5">
        <f>VLOOKUP($A101,'SegEnds_NonXtal_Prot#'!$A:$AL,26,FALSE)</f>
        <v>193</v>
      </c>
      <c r="AL101" s="5">
        <f>VLOOKUP($A101,'SegEnds_NonXtal_Prot#'!$A:$AL,29,FALSE)</f>
        <v>237</v>
      </c>
      <c r="AM101" s="5">
        <f>VLOOKUP($A101,'SegEnds_NonXtal_Prot#'!$A:$AL,32,FALSE)</f>
        <v>299</v>
      </c>
      <c r="AN101" s="5">
        <f>VLOOKUP($A101,'SegEnds_NonXtal_Prot#'!$A:$AL,35,FALSE)</f>
        <v>328</v>
      </c>
      <c r="AO101" s="5">
        <f>VLOOKUP($A101,'SegEnds_NonXtal_Prot#'!$A:$AL,38,FALSE)</f>
        <v>341</v>
      </c>
      <c r="AP101" s="5">
        <f t="shared" si="38"/>
        <v>35</v>
      </c>
      <c r="AQ101" s="4">
        <f t="shared" si="39"/>
        <v>3</v>
      </c>
      <c r="AR101" s="4">
        <f t="shared" si="40"/>
        <v>30</v>
      </c>
      <c r="AS101" s="4">
        <f t="shared" si="41"/>
        <v>3</v>
      </c>
      <c r="AT101" s="4">
        <f t="shared" si="42"/>
        <v>35</v>
      </c>
      <c r="AU101" s="4">
        <f t="shared" si="43"/>
        <v>7</v>
      </c>
      <c r="AV101" s="4">
        <f t="shared" si="44"/>
        <v>26</v>
      </c>
      <c r="AW101" s="4">
        <f t="shared" si="45"/>
        <v>2</v>
      </c>
      <c r="AX101" s="4">
        <f t="shared" si="46"/>
        <v>41</v>
      </c>
      <c r="AY101" s="4">
        <f t="shared" si="47"/>
        <v>37</v>
      </c>
      <c r="AZ101" s="4">
        <f t="shared" si="48"/>
        <v>24</v>
      </c>
      <c r="BA101" s="4">
        <f t="shared" si="49"/>
        <v>12</v>
      </c>
    </row>
    <row r="102" spans="1:53" x14ac:dyDescent="0.2">
      <c r="A102" s="1" t="str">
        <f>'SegEnds_NonXtal_Prot#'!A71</f>
        <v>adrb3_human</v>
      </c>
      <c r="B102" s="1" t="str">
        <f t="shared" si="25"/>
        <v>LPGVPWEAALAGALLALAVLATVGGNLLVIVAIAWTTMTNVFVTSLAAADLVMGLLVVPPAATLALTGATGCELWTSVDVLCVTASIETLCALAVDRYLAVTNTKRCARTAVVLVWVVSAAVSFAPIMSQNMPYVLLSSSVSFYLPLLVMLFVYARVFVVATRQLRLLRGELRLLPLREHRALCTLGLIMGTFTLCWLPFFLANVLRALGPGPAFLALNWLGYANSAFNPLIYCRSPDFRSAFRRLLC</v>
      </c>
      <c r="C102" s="29" t="str">
        <f>IF(ISERROR(MATCH(A102,'SegEnds_Xtal_Prot#'!B:B, 0)), "NoXtal", "Xtal")</f>
        <v>NoXtal</v>
      </c>
      <c r="D102" s="4" t="str">
        <f>VLOOKUP(A102,Classification!A:D,2,FALSE)</f>
        <v>A</v>
      </c>
      <c r="E102" s="5" t="str">
        <f>VLOOKUP(A102,Seqs!A:B,2,FALSE)</f>
        <v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v>
      </c>
      <c r="F102" s="5" t="str">
        <f t="shared" si="26"/>
        <v>LPGVPWEAALAGALLALAVLATVGGNLLVIVAIAWT</v>
      </c>
      <c r="G102" s="4" t="str">
        <f t="shared" si="27"/>
        <v>PRLQ</v>
      </c>
      <c r="H102" s="4" t="str">
        <f t="shared" si="28"/>
        <v>TMTNVFVTSLAAADLVMGLLVVPPAATLALT</v>
      </c>
      <c r="I102" s="4" t="str">
        <f t="shared" si="29"/>
        <v>HWPL</v>
      </c>
      <c r="J102" s="4" t="str">
        <f t="shared" si="30"/>
        <v>GATGCELWTSVDVLCVTASIETLCALAVDRYLAVTN</v>
      </c>
      <c r="K102" s="4" t="str">
        <f t="shared" si="31"/>
        <v>PLRYGALV</v>
      </c>
      <c r="L102" s="4" t="str">
        <f t="shared" si="32"/>
        <v>TKRCARTAVVLVWVVSAAVSFAPIMSQ</v>
      </c>
      <c r="M102" s="4" t="str">
        <f t="shared" si="33"/>
        <v>CAF</v>
      </c>
      <c r="N102" s="4" t="str">
        <f t="shared" si="34"/>
        <v>NMPYVLLSSSVSFYLPLLVMLFVYARVFVVATRQLRLLRGEL</v>
      </c>
      <c r="O102" s="4" t="str">
        <f t="shared" si="35"/>
        <v>RLLPLREHRALCTLGLIMGTFTLCWLPFFLANVLRALG</v>
      </c>
      <c r="P102" s="4" t="str">
        <f t="shared" si="36"/>
        <v>PGPAFLALNWLGYANSAFNPLIYCR</v>
      </c>
      <c r="Q102" s="4" t="str">
        <f t="shared" si="37"/>
        <v>SPDFRSAFRRLLC</v>
      </c>
      <c r="R102" s="5">
        <f>VLOOKUP($A102,'SegEnds_NonXtal_Prot#'!$A:$AL,3,FALSE)</f>
        <v>30</v>
      </c>
      <c r="S102" s="5">
        <f>VLOOKUP($A102,'SegEnds_NonXtal_Prot#'!$A:$AL,6,FALSE)</f>
        <v>66</v>
      </c>
      <c r="T102" s="5">
        <f>VLOOKUP($A102,'SegEnds_NonXtal_Prot#'!$A:$AL,9,FALSE)</f>
        <v>70</v>
      </c>
      <c r="U102" s="5">
        <f>VLOOKUP($A102,'SegEnds_NonXtal_Prot#'!$A:$AL,12,FALSE)</f>
        <v>102</v>
      </c>
      <c r="V102" s="5">
        <f>VLOOKUP($A102,'SegEnds_NonXtal_Prot#'!$A:$AL,15,FALSE)</f>
        <v>106</v>
      </c>
      <c r="W102" s="5">
        <f>VLOOKUP($A102,'SegEnds_NonXtal_Prot#'!$A:$AL,18,FALSE)</f>
        <v>142</v>
      </c>
      <c r="X102" s="5">
        <f>VLOOKUP($A102,'SegEnds_NonXtal_Prot#'!$A:$AL,21,FALSE)</f>
        <v>150</v>
      </c>
      <c r="Y102" s="5">
        <f>VLOOKUP($A102,'SegEnds_NonXtal_Prot#'!$A:$AL,24,FALSE)</f>
        <v>196</v>
      </c>
      <c r="Z102" s="5">
        <f>VLOOKUP($A102,'SegEnds_NonXtal_Prot#'!$A:$AL,27,FALSE)</f>
        <v>201</v>
      </c>
      <c r="AA102" s="5">
        <f>VLOOKUP($A102,'SegEnds_NonXtal_Prot#'!$A:$AL,30,FALSE)</f>
        <v>281</v>
      </c>
      <c r="AB102" s="5">
        <f>VLOOKUP($A102,'SegEnds_NonXtal_Prot#'!$A:$AL,33,FALSE)</f>
        <v>324</v>
      </c>
      <c r="AC102" s="5">
        <f>VLOOKUP($A102,'SegEnds_NonXtal_Prot#'!$A:$AL,36,FALSE)</f>
        <v>349</v>
      </c>
      <c r="AD102" s="5">
        <f>VLOOKUP($A102,'SegEnds_NonXtal_Prot#'!$A:$AL,5,FALSE)</f>
        <v>65</v>
      </c>
      <c r="AE102" s="5">
        <f>VLOOKUP($A102,'SegEnds_NonXtal_Prot#'!$A:$AL,8,FALSE)</f>
        <v>69</v>
      </c>
      <c r="AF102" s="5">
        <f>VLOOKUP($A102,'SegEnds_NonXtal_Prot#'!$A:$AL,11,FALSE)</f>
        <v>100</v>
      </c>
      <c r="AG102" s="5">
        <f>VLOOKUP($A102,'SegEnds_NonXtal_Prot#'!$A:$AL,14,FALSE)</f>
        <v>105</v>
      </c>
      <c r="AH102" s="5">
        <f>VLOOKUP($A102,'SegEnds_NonXtal_Prot#'!$A:$AL,17,FALSE)</f>
        <v>141</v>
      </c>
      <c r="AI102" s="5">
        <f>VLOOKUP($A102,'SegEnds_NonXtal_Prot#'!$A:$AL,20,FALSE)</f>
        <v>149</v>
      </c>
      <c r="AJ102" s="5">
        <f>VLOOKUP($A102,'SegEnds_NonXtal_Prot#'!$A:$AL,23,FALSE)</f>
        <v>176</v>
      </c>
      <c r="AK102" s="5">
        <f>VLOOKUP($A102,'SegEnds_NonXtal_Prot#'!$A:$AL,26,FALSE)</f>
        <v>198</v>
      </c>
      <c r="AL102" s="5">
        <f>VLOOKUP($A102,'SegEnds_NonXtal_Prot#'!$A:$AL,29,FALSE)</f>
        <v>242</v>
      </c>
      <c r="AM102" s="5">
        <f>VLOOKUP($A102,'SegEnds_NonXtal_Prot#'!$A:$AL,32,FALSE)</f>
        <v>318</v>
      </c>
      <c r="AN102" s="5">
        <f>VLOOKUP($A102,'SegEnds_NonXtal_Prot#'!$A:$AL,35,FALSE)</f>
        <v>348</v>
      </c>
      <c r="AO102" s="5">
        <f>VLOOKUP($A102,'SegEnds_NonXtal_Prot#'!$A:$AL,38,FALSE)</f>
        <v>361</v>
      </c>
      <c r="AP102" s="5">
        <f t="shared" si="38"/>
        <v>35</v>
      </c>
      <c r="AQ102" s="4">
        <f t="shared" si="39"/>
        <v>3</v>
      </c>
      <c r="AR102" s="4">
        <f t="shared" si="40"/>
        <v>30</v>
      </c>
      <c r="AS102" s="4">
        <f t="shared" si="41"/>
        <v>3</v>
      </c>
      <c r="AT102" s="4">
        <f t="shared" si="42"/>
        <v>35</v>
      </c>
      <c r="AU102" s="4">
        <f t="shared" si="43"/>
        <v>7</v>
      </c>
      <c r="AV102" s="4">
        <f t="shared" si="44"/>
        <v>26</v>
      </c>
      <c r="AW102" s="4">
        <f t="shared" si="45"/>
        <v>2</v>
      </c>
      <c r="AX102" s="4">
        <f t="shared" si="46"/>
        <v>41</v>
      </c>
      <c r="AY102" s="4">
        <f t="shared" si="47"/>
        <v>37</v>
      </c>
      <c r="AZ102" s="4">
        <f t="shared" si="48"/>
        <v>24</v>
      </c>
      <c r="BA102" s="4">
        <f t="shared" si="49"/>
        <v>12</v>
      </c>
    </row>
    <row r="103" spans="1:53" x14ac:dyDescent="0.2">
      <c r="A103" s="1" t="str">
        <f>'SegEnds_NonXtal_Prot#'!A72</f>
        <v>agtr1_human</v>
      </c>
      <c r="B103" s="1" t="str">
        <f t="shared" si="25"/>
        <v>YIFVMIPTLYSIIFVVGIFGNSLVVIVIYFYTVASVFLLNLALADLCFLLTLPLWAVYTAMGNYLCKIASASVSFNLYASVFLLTCLSIDRYLAIVHTMLVAKVTCIIIWLLAGLASLPAIIHRLPIGLGLTKNILGFLFPFLIILTSYTLIWKALKKAQKNKPRNDDIFKIIMAIVLFFFFSWIPHQIFTFLDVLIQLGDCRIADIVDTAMPITICIAYFNNCLNPLFYGFLGKKFKRYFLQLLKYI</v>
      </c>
      <c r="C103" s="29" t="str">
        <f>IF(ISERROR(MATCH(A103,'SegEnds_Xtal_Prot#'!B:B, 0)), "NoXtal", "Xtal")</f>
        <v>Xtal</v>
      </c>
      <c r="D103" s="4" t="str">
        <f>VLOOKUP(A103,Classification!A:D,2,FALSE)</f>
        <v>A</v>
      </c>
      <c r="E103" s="5" t="str">
        <f>VLOOKUP(A103,Seqs!A:B,2,FALSE)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F103" s="5" t="str">
        <f t="shared" si="26"/>
        <v>YIFVMIPTLYSIIFVVGIFGNSLVVIVIYFY</v>
      </c>
      <c r="G103" s="4" t="str">
        <f t="shared" si="27"/>
        <v>MKLK</v>
      </c>
      <c r="H103" s="4" t="str">
        <f t="shared" si="28"/>
        <v>TVASVFLLNLALADLCFLLTLPLWAVYTAM</v>
      </c>
      <c r="I103" s="4" t="str">
        <f t="shared" si="29"/>
        <v>RWPF</v>
      </c>
      <c r="J103" s="4" t="str">
        <f t="shared" si="30"/>
        <v>GNYLCKIASASVSFNLYASVFLLTCLSIDRYLAIVH</v>
      </c>
      <c r="K103" s="4" t="str">
        <f t="shared" si="31"/>
        <v>PMKSRLRR</v>
      </c>
      <c r="L103" s="4" t="str">
        <f t="shared" si="32"/>
        <v>TMLVAKVTCIIIWLLAGLASLPAIIHR</v>
      </c>
      <c r="M103" s="4" t="str">
        <f t="shared" si="33"/>
        <v>CAF</v>
      </c>
      <c r="N103" s="4" t="str">
        <f t="shared" si="34"/>
        <v>LPIGLGLTKNILGFLFPFLIILTSYTLIWKALKKA</v>
      </c>
      <c r="O103" s="4" t="str">
        <f t="shared" si="35"/>
        <v>QKNKPRNDDIFKIIMAIVLFFFFSWIPHQIFTFLDVLIQLG</v>
      </c>
      <c r="P103" s="4" t="str">
        <f t="shared" si="36"/>
        <v>DCRIADIVDTAMPITICIAYFNNCLNPLFYGFL</v>
      </c>
      <c r="Q103" s="4" t="str">
        <f t="shared" si="37"/>
        <v>GKKFKRYFLQLLKYI</v>
      </c>
      <c r="R103" s="5">
        <f>VLOOKUP($A103,'SegEnds_NonXtal_Prot#'!$A:$AL,3,FALSE)</f>
        <v>26</v>
      </c>
      <c r="S103" s="5">
        <f>VLOOKUP($A103,'SegEnds_NonXtal_Prot#'!$A:$AL,6,FALSE)</f>
        <v>57</v>
      </c>
      <c r="T103" s="5">
        <f>VLOOKUP($A103,'SegEnds_NonXtal_Prot#'!$A:$AL,9,FALSE)</f>
        <v>61</v>
      </c>
      <c r="U103" s="5">
        <f>VLOOKUP($A103,'SegEnds_NonXtal_Prot#'!$A:$AL,12,FALSE)</f>
        <v>93</v>
      </c>
      <c r="V103" s="5">
        <f>VLOOKUP($A103,'SegEnds_NonXtal_Prot#'!$A:$AL,15,FALSE)</f>
        <v>97</v>
      </c>
      <c r="W103" s="5">
        <f>VLOOKUP($A103,'SegEnds_NonXtal_Prot#'!$A:$AL,18,FALSE)</f>
        <v>133</v>
      </c>
      <c r="X103" s="5">
        <f>VLOOKUP($A103,'SegEnds_NonXtal_Prot#'!$A:$AL,21,FALSE)</f>
        <v>141</v>
      </c>
      <c r="Y103" s="5">
        <f>VLOOKUP($A103,'SegEnds_NonXtal_Prot#'!$A:$AL,24,FALSE)</f>
        <v>180</v>
      </c>
      <c r="Z103" s="5">
        <f>VLOOKUP($A103,'SegEnds_NonXtal_Prot#'!$A:$AL,27,FALSE)</f>
        <v>191</v>
      </c>
      <c r="AA103" s="5">
        <f>VLOOKUP($A103,'SegEnds_NonXtal_Prot#'!$A:$AL,30,FALSE)</f>
        <v>229</v>
      </c>
      <c r="AB103" s="5">
        <f>VLOOKUP($A103,'SegEnds_NonXtal_Prot#'!$A:$AL,33,FALSE)</f>
        <v>273</v>
      </c>
      <c r="AC103" s="5">
        <f>VLOOKUP($A103,'SegEnds_NonXtal_Prot#'!$A:$AL,36,FALSE)</f>
        <v>306</v>
      </c>
      <c r="AD103" s="5">
        <f>VLOOKUP($A103,'SegEnds_NonXtal_Prot#'!$A:$AL,5,FALSE)</f>
        <v>56</v>
      </c>
      <c r="AE103" s="5">
        <f>VLOOKUP($A103,'SegEnds_NonXtal_Prot#'!$A:$AL,8,FALSE)</f>
        <v>60</v>
      </c>
      <c r="AF103" s="5">
        <f>VLOOKUP($A103,'SegEnds_NonXtal_Prot#'!$A:$AL,11,FALSE)</f>
        <v>90</v>
      </c>
      <c r="AG103" s="5">
        <f>VLOOKUP($A103,'SegEnds_NonXtal_Prot#'!$A:$AL,14,FALSE)</f>
        <v>96</v>
      </c>
      <c r="AH103" s="5">
        <f>VLOOKUP($A103,'SegEnds_NonXtal_Prot#'!$A:$AL,17,FALSE)</f>
        <v>132</v>
      </c>
      <c r="AI103" s="5">
        <f>VLOOKUP($A103,'SegEnds_NonXtal_Prot#'!$A:$AL,20,FALSE)</f>
        <v>140</v>
      </c>
      <c r="AJ103" s="5">
        <f>VLOOKUP($A103,'SegEnds_NonXtal_Prot#'!$A:$AL,23,FALSE)</f>
        <v>167</v>
      </c>
      <c r="AK103" s="5">
        <f>VLOOKUP($A103,'SegEnds_NonXtal_Prot#'!$A:$AL,26,FALSE)</f>
        <v>182</v>
      </c>
      <c r="AL103" s="5">
        <f>VLOOKUP($A103,'SegEnds_NonXtal_Prot#'!$A:$AL,29,FALSE)</f>
        <v>225</v>
      </c>
      <c r="AM103" s="5">
        <f>VLOOKUP($A103,'SegEnds_NonXtal_Prot#'!$A:$AL,32,FALSE)</f>
        <v>269</v>
      </c>
      <c r="AN103" s="5">
        <f>VLOOKUP($A103,'SegEnds_NonXtal_Prot#'!$A:$AL,35,FALSE)</f>
        <v>305</v>
      </c>
      <c r="AO103" s="5">
        <f>VLOOKUP($A103,'SegEnds_NonXtal_Prot#'!$A:$AL,38,FALSE)</f>
        <v>320</v>
      </c>
      <c r="AP103" s="5">
        <f t="shared" si="38"/>
        <v>30</v>
      </c>
      <c r="AQ103" s="4">
        <f t="shared" si="39"/>
        <v>3</v>
      </c>
      <c r="AR103" s="4">
        <f t="shared" si="40"/>
        <v>29</v>
      </c>
      <c r="AS103" s="4">
        <f t="shared" si="41"/>
        <v>3</v>
      </c>
      <c r="AT103" s="4">
        <f t="shared" si="42"/>
        <v>35</v>
      </c>
      <c r="AU103" s="4">
        <f t="shared" si="43"/>
        <v>7</v>
      </c>
      <c r="AV103" s="4">
        <f t="shared" si="44"/>
        <v>26</v>
      </c>
      <c r="AW103" s="4">
        <f t="shared" si="45"/>
        <v>2</v>
      </c>
      <c r="AX103" s="4">
        <f t="shared" si="46"/>
        <v>34</v>
      </c>
      <c r="AY103" s="4">
        <f t="shared" si="47"/>
        <v>40</v>
      </c>
      <c r="AZ103" s="4">
        <f t="shared" si="48"/>
        <v>32</v>
      </c>
      <c r="BA103" s="4">
        <f t="shared" si="49"/>
        <v>14</v>
      </c>
    </row>
    <row r="104" spans="1:53" x14ac:dyDescent="0.2">
      <c r="A104" s="1" t="str">
        <f>'SegEnds_NonXtal_Prot#'!A73</f>
        <v>apj_human</v>
      </c>
      <c r="B104" s="1" t="str">
        <f t="shared" si="25"/>
        <v>ALIPAIYMLVFLLGTTGNGLVLWTVFRSRSADIFIASLAVADLTFVVTLPLWATYTYRDGTFFCKLSSYLIFVNMYASVFCLTGLSFDRYLAIVRLRVSGAVATAVLWVLAALLAMPVMVLRSEWAWEVGLGVSSTTVGFVVPFTIMLTCYFFIAQTIAGHFRKEKRRRLLSIIVVLVVTFALCWMPYHLVKTLYMLGSLPCDFDLFLMNIFPYCTCISYVNSCLNPFLYAFFDPRFRQACTSMLCCG</v>
      </c>
      <c r="C104" s="29" t="str">
        <f>IF(ISERROR(MATCH(A104,'SegEnds_Xtal_Prot#'!B:B, 0)), "NoXtal", "Xtal")</f>
        <v>Xtal</v>
      </c>
      <c r="D104" s="4" t="str">
        <f>VLOOKUP(A104,Classification!A:D,2,FALSE)</f>
        <v>A</v>
      </c>
      <c r="E104" s="5" t="str">
        <f>VLOOKUP(A104,Seqs!A:B,2,FALSE)</f>
        <v>MEEGGDFDNYYGADNQSECEYTDWKSSGALIPAIYMLVFLLGTTGNGLVLWTVFRSSREKRRSADIFIASLAVADLTFVVTLPLWATYTYRDYDWPFGTFFCKLSSYLIFVNMYASVFCLTGLSFDRYLAIVRPVANARLRLRVSGAVATAVLWVLAALLAMPVMVLRTTGDLENTTKVQCYMDYSMVATVSSEWAWEVGLGVSSTTVGFVVPFTIMLTCYFFIAQTIAGHFRKERIEGLRKRRRLLSIIVVLVVTFALCWMPYHLVKTLYMLGSLLHWPCDFDLFLMNIFPYCTCISYVNSCLNPFLYAFFDPRFRQACTSMLCCGQSRCAGTSHSSSGEKSASYSSGHSQGPGPNMGKGGEQMHEKSIPYSQETLVVD</v>
      </c>
      <c r="F104" s="5" t="str">
        <f t="shared" si="26"/>
        <v>ALIPAIYMLVFLLGTTGNGLVLWTVFRS</v>
      </c>
      <c r="G104" s="4" t="str">
        <f t="shared" si="27"/>
        <v>SREKR</v>
      </c>
      <c r="H104" s="4" t="str">
        <f t="shared" si="28"/>
        <v>RSADIFIASLAVADLTFVVTLPLWATYTYRD</v>
      </c>
      <c r="I104" s="4" t="str">
        <f t="shared" si="29"/>
        <v>DWPF</v>
      </c>
      <c r="J104" s="4" t="str">
        <f t="shared" si="30"/>
        <v>GTFFCKLSSYLIFVNMYASVFCLTGLSFDRYLAIVR</v>
      </c>
      <c r="K104" s="4" t="str">
        <f t="shared" si="31"/>
        <v>PVANARLR</v>
      </c>
      <c r="L104" s="4" t="str">
        <f t="shared" si="32"/>
        <v>LRVSGAVATAVLWVLAALLAMPVMVLR</v>
      </c>
      <c r="M104" s="4" t="str">
        <f t="shared" si="33"/>
        <v>CYM</v>
      </c>
      <c r="N104" s="4" t="str">
        <f t="shared" si="34"/>
        <v>SEWAWEVGLGVSSTTVGFVVPFTIMLTCYFFIAQTIAGHFRKE</v>
      </c>
      <c r="O104" s="4" t="str">
        <f t="shared" si="35"/>
        <v>KRRRLLSIIVVLVVTFALCWMPYHLVKTLYMLGSL</v>
      </c>
      <c r="P104" s="4" t="str">
        <f t="shared" si="36"/>
        <v>PCDFDLFLMNIFPYCTCISYVNSCLNPFLYAFF</v>
      </c>
      <c r="Q104" s="4" t="str">
        <f t="shared" si="37"/>
        <v>DPRFRQACTSMLCCG</v>
      </c>
      <c r="R104" s="5">
        <f>VLOOKUP($A104,'SegEnds_NonXtal_Prot#'!$A:$AL,3,FALSE)</f>
        <v>29</v>
      </c>
      <c r="S104" s="5">
        <f>VLOOKUP($A104,'SegEnds_NonXtal_Prot#'!$A:$AL,6,FALSE)</f>
        <v>57</v>
      </c>
      <c r="T104" s="5">
        <f>VLOOKUP($A104,'SegEnds_NonXtal_Prot#'!$A:$AL,9,FALSE)</f>
        <v>62</v>
      </c>
      <c r="U104" s="5">
        <f>VLOOKUP($A104,'SegEnds_NonXtal_Prot#'!$A:$AL,12,FALSE)</f>
        <v>94</v>
      </c>
      <c r="V104" s="5">
        <f>VLOOKUP($A104,'SegEnds_NonXtal_Prot#'!$A:$AL,15,FALSE)</f>
        <v>98</v>
      </c>
      <c r="W104" s="5">
        <f>VLOOKUP($A104,'SegEnds_NonXtal_Prot#'!$A:$AL,18,FALSE)</f>
        <v>134</v>
      </c>
      <c r="X104" s="5">
        <f>VLOOKUP($A104,'SegEnds_NonXtal_Prot#'!$A:$AL,21,FALSE)</f>
        <v>142</v>
      </c>
      <c r="Y104" s="5">
        <f>VLOOKUP($A104,'SegEnds_NonXtal_Prot#'!$A:$AL,24,FALSE)</f>
        <v>181</v>
      </c>
      <c r="Z104" s="5">
        <f>VLOOKUP($A104,'SegEnds_NonXtal_Prot#'!$A:$AL,27,FALSE)</f>
        <v>193</v>
      </c>
      <c r="AA104" s="5">
        <f>VLOOKUP($A104,'SegEnds_NonXtal_Prot#'!$A:$AL,30,FALSE)</f>
        <v>242</v>
      </c>
      <c r="AB104" s="5">
        <f>VLOOKUP($A104,'SegEnds_NonXtal_Prot#'!$A:$AL,33,FALSE)</f>
        <v>280</v>
      </c>
      <c r="AC104" s="5">
        <f>VLOOKUP($A104,'SegEnds_NonXtal_Prot#'!$A:$AL,36,FALSE)</f>
        <v>313</v>
      </c>
      <c r="AD104" s="5">
        <f>VLOOKUP($A104,'SegEnds_NonXtal_Prot#'!$A:$AL,5,FALSE)</f>
        <v>56</v>
      </c>
      <c r="AE104" s="5">
        <f>VLOOKUP($A104,'SegEnds_NonXtal_Prot#'!$A:$AL,8,FALSE)</f>
        <v>61</v>
      </c>
      <c r="AF104" s="5">
        <f>VLOOKUP($A104,'SegEnds_NonXtal_Prot#'!$A:$AL,11,FALSE)</f>
        <v>92</v>
      </c>
      <c r="AG104" s="5">
        <f>VLOOKUP($A104,'SegEnds_NonXtal_Prot#'!$A:$AL,14,FALSE)</f>
        <v>97</v>
      </c>
      <c r="AH104" s="5">
        <f>VLOOKUP($A104,'SegEnds_NonXtal_Prot#'!$A:$AL,17,FALSE)</f>
        <v>133</v>
      </c>
      <c r="AI104" s="5">
        <f>VLOOKUP($A104,'SegEnds_NonXtal_Prot#'!$A:$AL,20,FALSE)</f>
        <v>141</v>
      </c>
      <c r="AJ104" s="5">
        <f>VLOOKUP($A104,'SegEnds_NonXtal_Prot#'!$A:$AL,23,FALSE)</f>
        <v>168</v>
      </c>
      <c r="AK104" s="5">
        <f>VLOOKUP($A104,'SegEnds_NonXtal_Prot#'!$A:$AL,26,FALSE)</f>
        <v>183</v>
      </c>
      <c r="AL104" s="5">
        <f>VLOOKUP($A104,'SegEnds_NonXtal_Prot#'!$A:$AL,29,FALSE)</f>
        <v>235</v>
      </c>
      <c r="AM104" s="5">
        <f>VLOOKUP($A104,'SegEnds_NonXtal_Prot#'!$A:$AL,32,FALSE)</f>
        <v>276</v>
      </c>
      <c r="AN104" s="5">
        <f>VLOOKUP($A104,'SegEnds_NonXtal_Prot#'!$A:$AL,35,FALSE)</f>
        <v>312</v>
      </c>
      <c r="AO104" s="5">
        <f>VLOOKUP($A104,'SegEnds_NonXtal_Prot#'!$A:$AL,38,FALSE)</f>
        <v>327</v>
      </c>
      <c r="AP104" s="5">
        <f t="shared" si="38"/>
        <v>27</v>
      </c>
      <c r="AQ104" s="4">
        <f t="shared" si="39"/>
        <v>4</v>
      </c>
      <c r="AR104" s="4">
        <f t="shared" si="40"/>
        <v>30</v>
      </c>
      <c r="AS104" s="4">
        <f t="shared" si="41"/>
        <v>3</v>
      </c>
      <c r="AT104" s="4">
        <f t="shared" si="42"/>
        <v>35</v>
      </c>
      <c r="AU104" s="4">
        <f t="shared" si="43"/>
        <v>7</v>
      </c>
      <c r="AV104" s="4">
        <f t="shared" si="44"/>
        <v>26</v>
      </c>
      <c r="AW104" s="4">
        <f t="shared" si="45"/>
        <v>2</v>
      </c>
      <c r="AX104" s="4">
        <f t="shared" si="46"/>
        <v>42</v>
      </c>
      <c r="AY104" s="4">
        <f t="shared" si="47"/>
        <v>34</v>
      </c>
      <c r="AZ104" s="4">
        <f t="shared" si="48"/>
        <v>32</v>
      </c>
      <c r="BA104" s="4">
        <f t="shared" si="49"/>
        <v>14</v>
      </c>
    </row>
    <row r="105" spans="1:53" x14ac:dyDescent="0.2">
      <c r="A105" s="1" t="str">
        <f>'SegEnds_NonXtal_Prot#'!A74</f>
        <v>bkrb1_human</v>
      </c>
      <c r="B105" s="1" t="str">
        <f t="shared" si="25"/>
        <v>LLHRVLPTFIISICFFGLLGNLFVLLVFLLPNVAEIYLANLAASDLVFVLGLPFWAENIWNGALLCRVINGVIKANLFISIFLVVAISQDRYRVLVHRRRQARVTCVLIWVVGGLLSIPTFLLRWHFARIVELNILGFLLPLAAIVFFNYHILASLRTRTRCGGRKDSKTTALILTLVVAFLVCWAPYHFFAFLEFLFQVQGCFWEDFIDLGLQLANFFAFTNSSLNPVIYVFVGRLFRTKVWELYKQC</v>
      </c>
      <c r="C105" s="29" t="str">
        <f>IF(ISERROR(MATCH(A105,'SegEnds_Xtal_Prot#'!B:B, 0)), "NoXtal", "Xtal")</f>
        <v>NoXtal</v>
      </c>
      <c r="D105" s="4" t="str">
        <f>VLOOKUP(A105,Classification!A:D,2,FALSE)</f>
        <v>A</v>
      </c>
      <c r="E105" s="5" t="str">
        <f>VLOOKUP(A105,Seqs!A:B,2,FALSE)</f>
        <v>MASSWPPLELQSSNQSQLFPQNATACDNAPEAWDLLHRVLPTFIISICFFGLLGNLFVLLVFLLPRRQLNVAEIYLANLAASDLVFVLGLPFWAENIWNQFNWPFGALLCRVINGVIKANLFISIFLVVAISQDRYRVLVHPMASRRQQRRRQARVTCVLIWVVGGLLSIPTFLLRSIQAVPDLNITACILLLPHEAWHFARIVELNILGFLLPLAAIVFFNYHILASLRTREEVSRTRCGGRKDSKTTALILTLVVAFLVCWAPYHFFAFLEFLFQVQAVRGCFWEDFIDLGLQLANFFAFTNSSLNPVIYVFVGRLFRTKVWELYKQCTPKSLAPISSSHRKEIFQLFWRN</v>
      </c>
      <c r="F105" s="5" t="str">
        <f t="shared" si="26"/>
        <v>LLHRVLPTFIISICFFGLLGNLFVLLVFLLP</v>
      </c>
      <c r="G105" s="4" t="str">
        <f t="shared" si="27"/>
        <v>RRQL</v>
      </c>
      <c r="H105" s="4" t="str">
        <f t="shared" si="28"/>
        <v>NVAEIYLANLAASDLVFVLGLPFWAENIWN</v>
      </c>
      <c r="I105" s="4" t="str">
        <f t="shared" si="29"/>
        <v>NWPF</v>
      </c>
      <c r="J105" s="4" t="str">
        <f t="shared" si="30"/>
        <v>GALLCRVINGVIKANLFISIFLVVAISQDRYRVLVH</v>
      </c>
      <c r="K105" s="4" t="str">
        <f t="shared" si="31"/>
        <v>PMASRRQQ</v>
      </c>
      <c r="L105" s="4" t="str">
        <f t="shared" si="32"/>
        <v>RRRQARVTCVLIWVVGGLLSIPTFLLR</v>
      </c>
      <c r="M105" s="4" t="str">
        <f t="shared" si="33"/>
        <v>CIL</v>
      </c>
      <c r="N105" s="4" t="str">
        <f t="shared" si="34"/>
        <v>WHFARIVELNILGFLLPLAAIVFFNYHILASLRTR</v>
      </c>
      <c r="O105" s="4" t="str">
        <f t="shared" si="35"/>
        <v>TRCGGRKDSKTTALILTLVVAFLVCWAPYHFFAFLEFLFQVQ</v>
      </c>
      <c r="P105" s="4" t="str">
        <f t="shared" si="36"/>
        <v>GCFWEDFIDLGLQLANFFAFTNSSLNPVIYVFV</v>
      </c>
      <c r="Q105" s="4" t="str">
        <f t="shared" si="37"/>
        <v>GRLFRTKVWELYKQC</v>
      </c>
      <c r="R105" s="5">
        <f>VLOOKUP($A105,'SegEnds_NonXtal_Prot#'!$A:$AL,3,FALSE)</f>
        <v>35</v>
      </c>
      <c r="S105" s="5">
        <f>VLOOKUP($A105,'SegEnds_NonXtal_Prot#'!$A:$AL,6,FALSE)</f>
        <v>66</v>
      </c>
      <c r="T105" s="5">
        <f>VLOOKUP($A105,'SegEnds_NonXtal_Prot#'!$A:$AL,9,FALSE)</f>
        <v>70</v>
      </c>
      <c r="U105" s="5">
        <f>VLOOKUP($A105,'SegEnds_NonXtal_Prot#'!$A:$AL,12,FALSE)</f>
        <v>102</v>
      </c>
      <c r="V105" s="5">
        <f>VLOOKUP($A105,'SegEnds_NonXtal_Prot#'!$A:$AL,15,FALSE)</f>
        <v>106</v>
      </c>
      <c r="W105" s="5">
        <f>VLOOKUP($A105,'SegEnds_NonXtal_Prot#'!$A:$AL,18,FALSE)</f>
        <v>142</v>
      </c>
      <c r="X105" s="5">
        <f>VLOOKUP($A105,'SegEnds_NonXtal_Prot#'!$A:$AL,21,FALSE)</f>
        <v>150</v>
      </c>
      <c r="Y105" s="5">
        <f>VLOOKUP($A105,'SegEnds_NonXtal_Prot#'!$A:$AL,24,FALSE)</f>
        <v>189</v>
      </c>
      <c r="Z105" s="5">
        <f>VLOOKUP($A105,'SegEnds_NonXtal_Prot#'!$A:$AL,27,FALSE)</f>
        <v>198</v>
      </c>
      <c r="AA105" s="5">
        <f>VLOOKUP($A105,'SegEnds_NonXtal_Prot#'!$A:$AL,30,FALSE)</f>
        <v>238</v>
      </c>
      <c r="AB105" s="5">
        <f>VLOOKUP($A105,'SegEnds_NonXtal_Prot#'!$A:$AL,33,FALSE)</f>
        <v>283</v>
      </c>
      <c r="AC105" s="5">
        <f>VLOOKUP($A105,'SegEnds_NonXtal_Prot#'!$A:$AL,36,FALSE)</f>
        <v>316</v>
      </c>
      <c r="AD105" s="5">
        <f>VLOOKUP($A105,'SegEnds_NonXtal_Prot#'!$A:$AL,5,FALSE)</f>
        <v>65</v>
      </c>
      <c r="AE105" s="5">
        <f>VLOOKUP($A105,'SegEnds_NonXtal_Prot#'!$A:$AL,8,FALSE)</f>
        <v>69</v>
      </c>
      <c r="AF105" s="5">
        <f>VLOOKUP($A105,'SegEnds_NonXtal_Prot#'!$A:$AL,11,FALSE)</f>
        <v>99</v>
      </c>
      <c r="AG105" s="5">
        <f>VLOOKUP($A105,'SegEnds_NonXtal_Prot#'!$A:$AL,14,FALSE)</f>
        <v>105</v>
      </c>
      <c r="AH105" s="5">
        <f>VLOOKUP($A105,'SegEnds_NonXtal_Prot#'!$A:$AL,17,FALSE)</f>
        <v>141</v>
      </c>
      <c r="AI105" s="5">
        <f>VLOOKUP($A105,'SegEnds_NonXtal_Prot#'!$A:$AL,20,FALSE)</f>
        <v>149</v>
      </c>
      <c r="AJ105" s="5">
        <f>VLOOKUP($A105,'SegEnds_NonXtal_Prot#'!$A:$AL,23,FALSE)</f>
        <v>176</v>
      </c>
      <c r="AK105" s="5">
        <f>VLOOKUP($A105,'SegEnds_NonXtal_Prot#'!$A:$AL,26,FALSE)</f>
        <v>191</v>
      </c>
      <c r="AL105" s="5">
        <f>VLOOKUP($A105,'SegEnds_NonXtal_Prot#'!$A:$AL,29,FALSE)</f>
        <v>232</v>
      </c>
      <c r="AM105" s="5">
        <f>VLOOKUP($A105,'SegEnds_NonXtal_Prot#'!$A:$AL,32,FALSE)</f>
        <v>279</v>
      </c>
      <c r="AN105" s="5">
        <f>VLOOKUP($A105,'SegEnds_NonXtal_Prot#'!$A:$AL,35,FALSE)</f>
        <v>315</v>
      </c>
      <c r="AO105" s="5">
        <f>VLOOKUP($A105,'SegEnds_NonXtal_Prot#'!$A:$AL,38,FALSE)</f>
        <v>330</v>
      </c>
      <c r="AP105" s="5">
        <f t="shared" si="38"/>
        <v>30</v>
      </c>
      <c r="AQ105" s="4">
        <f t="shared" si="39"/>
        <v>3</v>
      </c>
      <c r="AR105" s="4">
        <f t="shared" si="40"/>
        <v>29</v>
      </c>
      <c r="AS105" s="4">
        <f t="shared" si="41"/>
        <v>3</v>
      </c>
      <c r="AT105" s="4">
        <f t="shared" si="42"/>
        <v>35</v>
      </c>
      <c r="AU105" s="4">
        <f t="shared" si="43"/>
        <v>7</v>
      </c>
      <c r="AV105" s="4">
        <f t="shared" si="44"/>
        <v>26</v>
      </c>
      <c r="AW105" s="4">
        <f t="shared" si="45"/>
        <v>2</v>
      </c>
      <c r="AX105" s="4">
        <f t="shared" si="46"/>
        <v>34</v>
      </c>
      <c r="AY105" s="4">
        <f t="shared" si="47"/>
        <v>41</v>
      </c>
      <c r="AZ105" s="4">
        <f t="shared" si="48"/>
        <v>32</v>
      </c>
      <c r="BA105" s="4">
        <f t="shared" si="49"/>
        <v>14</v>
      </c>
    </row>
    <row r="106" spans="1:53" x14ac:dyDescent="0.2">
      <c r="A106" s="1" t="str">
        <f>'SegEnds_NonXtal_Prot#'!A75</f>
        <v>bkrb2_human</v>
      </c>
      <c r="B106" s="1" t="str">
        <f t="shared" si="25"/>
        <v>TIQPPFLWVLFVLATLENIFVLSVFCLHTVAEIYLGNLAAADLILACGLPFWAITISNGETLCRVVNAIISMNLYSSICFLMLVSIDRYLALVKGVRWAKLYSLVIWGCTLLLSSPMLVFRPSLIWEVFTNMLLNVVGFLLPLSVITFCTMQIMQVLRNNFKEIQTERRATVLVLVVLLLFIICWLPFQISTFLDTLHRLGSCQDERIIDVITQIASFMAYSNSCLNPLVYVIVGKRFRKKSWEVYQGV</v>
      </c>
      <c r="C106" s="29" t="str">
        <f>IF(ISERROR(MATCH(A106,'SegEnds_Xtal_Prot#'!B:B, 0)), "NoXtal", "Xtal")</f>
        <v>NoXtal</v>
      </c>
      <c r="D106" s="4" t="str">
        <f>VLOOKUP(A106,Classification!A:D,2,FALSE)</f>
        <v>A</v>
      </c>
      <c r="E106" s="5" t="str">
        <f>VLOOKUP(A106,Seqs!A:B,2,FALSE)</f>
        <v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v>
      </c>
      <c r="F106" s="5" t="str">
        <f t="shared" si="26"/>
        <v>TIQPPFLWVLFVLATLENIFVLSVFCLH</v>
      </c>
      <c r="G106" s="4" t="str">
        <f t="shared" si="27"/>
        <v>KSSC</v>
      </c>
      <c r="H106" s="4" t="str">
        <f t="shared" si="28"/>
        <v>TVAEIYLGNLAAADLILACGLPFWAITISN</v>
      </c>
      <c r="I106" s="4" t="str">
        <f t="shared" si="29"/>
        <v>DWLF</v>
      </c>
      <c r="J106" s="4" t="str">
        <f t="shared" si="30"/>
        <v>GETLCRVVNAIISMNLYSSICFLMLVSIDRYLALVK</v>
      </c>
      <c r="K106" s="4" t="str">
        <f t="shared" si="31"/>
        <v>TMSMGRMR</v>
      </c>
      <c r="L106" s="4" t="str">
        <f t="shared" si="32"/>
        <v>GVRWAKLYSLVIWGCTLLLSSPMLVFR</v>
      </c>
      <c r="M106" s="4" t="str">
        <f t="shared" si="33"/>
        <v>CVI</v>
      </c>
      <c r="N106" s="4" t="str">
        <f t="shared" si="34"/>
        <v>PSLIWEVFTNMLLNVVGFLLPLSVITFCTMQIMQVLRNN</v>
      </c>
      <c r="O106" s="4" t="str">
        <f t="shared" si="35"/>
        <v>FKEIQTERRATVLVLVVLLLFIICWLPFQISTFLDTLHRLG</v>
      </c>
      <c r="P106" s="4" t="str">
        <f t="shared" si="36"/>
        <v>SCQDERIIDVITQIASFMAYSNSCLNPLVYVIV</v>
      </c>
      <c r="Q106" s="4" t="str">
        <f t="shared" si="37"/>
        <v>GKRFRKKSWEVYQGV</v>
      </c>
      <c r="R106" s="5">
        <f>VLOOKUP($A106,'SegEnds_NonXtal_Prot#'!$A:$AL,3,FALSE)</f>
        <v>58</v>
      </c>
      <c r="S106" s="5">
        <f>VLOOKUP($A106,'SegEnds_NonXtal_Prot#'!$A:$AL,6,FALSE)</f>
        <v>86</v>
      </c>
      <c r="T106" s="5">
        <f>VLOOKUP($A106,'SegEnds_NonXtal_Prot#'!$A:$AL,9,FALSE)</f>
        <v>90</v>
      </c>
      <c r="U106" s="5">
        <f>VLOOKUP($A106,'SegEnds_NonXtal_Prot#'!$A:$AL,12,FALSE)</f>
        <v>122</v>
      </c>
      <c r="V106" s="5">
        <f>VLOOKUP($A106,'SegEnds_NonXtal_Prot#'!$A:$AL,15,FALSE)</f>
        <v>126</v>
      </c>
      <c r="W106" s="5">
        <f>VLOOKUP($A106,'SegEnds_NonXtal_Prot#'!$A:$AL,18,FALSE)</f>
        <v>162</v>
      </c>
      <c r="X106" s="5">
        <f>VLOOKUP($A106,'SegEnds_NonXtal_Prot#'!$A:$AL,21,FALSE)</f>
        <v>170</v>
      </c>
      <c r="Y106" s="5">
        <f>VLOOKUP($A106,'SegEnds_NonXtal_Prot#'!$A:$AL,24,FALSE)</f>
        <v>211</v>
      </c>
      <c r="Z106" s="5">
        <f>VLOOKUP($A106,'SegEnds_NonXtal_Prot#'!$A:$AL,27,FALSE)</f>
        <v>216</v>
      </c>
      <c r="AA106" s="5">
        <f>VLOOKUP($A106,'SegEnds_NonXtal_Prot#'!$A:$AL,30,FALSE)</f>
        <v>259</v>
      </c>
      <c r="AB106" s="5">
        <f>VLOOKUP($A106,'SegEnds_NonXtal_Prot#'!$A:$AL,33,FALSE)</f>
        <v>303</v>
      </c>
      <c r="AC106" s="5">
        <f>VLOOKUP($A106,'SegEnds_NonXtal_Prot#'!$A:$AL,36,FALSE)</f>
        <v>336</v>
      </c>
      <c r="AD106" s="5">
        <f>VLOOKUP($A106,'SegEnds_NonXtal_Prot#'!$A:$AL,5,FALSE)</f>
        <v>85</v>
      </c>
      <c r="AE106" s="5">
        <f>VLOOKUP($A106,'SegEnds_NonXtal_Prot#'!$A:$AL,8,FALSE)</f>
        <v>89</v>
      </c>
      <c r="AF106" s="5">
        <f>VLOOKUP($A106,'SegEnds_NonXtal_Prot#'!$A:$AL,11,FALSE)</f>
        <v>119</v>
      </c>
      <c r="AG106" s="5">
        <f>VLOOKUP($A106,'SegEnds_NonXtal_Prot#'!$A:$AL,14,FALSE)</f>
        <v>125</v>
      </c>
      <c r="AH106" s="5">
        <f>VLOOKUP($A106,'SegEnds_NonXtal_Prot#'!$A:$AL,17,FALSE)</f>
        <v>161</v>
      </c>
      <c r="AI106" s="5">
        <f>VLOOKUP($A106,'SegEnds_NonXtal_Prot#'!$A:$AL,20,FALSE)</f>
        <v>169</v>
      </c>
      <c r="AJ106" s="5">
        <f>VLOOKUP($A106,'SegEnds_NonXtal_Prot#'!$A:$AL,23,FALSE)</f>
        <v>196</v>
      </c>
      <c r="AK106" s="5">
        <f>VLOOKUP($A106,'SegEnds_NonXtal_Prot#'!$A:$AL,26,FALSE)</f>
        <v>213</v>
      </c>
      <c r="AL106" s="5">
        <f>VLOOKUP($A106,'SegEnds_NonXtal_Prot#'!$A:$AL,29,FALSE)</f>
        <v>254</v>
      </c>
      <c r="AM106" s="5">
        <f>VLOOKUP($A106,'SegEnds_NonXtal_Prot#'!$A:$AL,32,FALSE)</f>
        <v>299</v>
      </c>
      <c r="AN106" s="5">
        <f>VLOOKUP($A106,'SegEnds_NonXtal_Prot#'!$A:$AL,35,FALSE)</f>
        <v>335</v>
      </c>
      <c r="AO106" s="5">
        <f>VLOOKUP($A106,'SegEnds_NonXtal_Prot#'!$A:$AL,38,FALSE)</f>
        <v>350</v>
      </c>
      <c r="AP106" s="5">
        <f t="shared" si="38"/>
        <v>27</v>
      </c>
      <c r="AQ106" s="4">
        <f t="shared" si="39"/>
        <v>3</v>
      </c>
      <c r="AR106" s="4">
        <f t="shared" si="40"/>
        <v>29</v>
      </c>
      <c r="AS106" s="4">
        <f t="shared" si="41"/>
        <v>3</v>
      </c>
      <c r="AT106" s="4">
        <f t="shared" si="42"/>
        <v>35</v>
      </c>
      <c r="AU106" s="4">
        <f t="shared" si="43"/>
        <v>7</v>
      </c>
      <c r="AV106" s="4">
        <f t="shared" si="44"/>
        <v>26</v>
      </c>
      <c r="AW106" s="4">
        <f t="shared" si="45"/>
        <v>2</v>
      </c>
      <c r="AX106" s="4">
        <f t="shared" si="46"/>
        <v>38</v>
      </c>
      <c r="AY106" s="4">
        <f t="shared" si="47"/>
        <v>40</v>
      </c>
      <c r="AZ106" s="4">
        <f t="shared" si="48"/>
        <v>32</v>
      </c>
      <c r="BA106" s="4">
        <f t="shared" si="49"/>
        <v>14</v>
      </c>
    </row>
    <row r="107" spans="1:53" x14ac:dyDescent="0.2">
      <c r="A107" s="1" t="str">
        <f>'SegEnds_NonXtal_Prot#'!A76</f>
        <v>brs3_human</v>
      </c>
      <c r="B107" s="1" t="str">
        <f t="shared" si="25"/>
        <v>SGDNSPGIEALCAIYITYAVIISVGILGNAILIKVFFKTTVPNIFITSLAFGDLLLLLTCVPVDATHYLAGRIGCKVLSFIRLTSVGVSVFTLTILSADRYKAVVKAILKTCVKAGCVWIVSMIFALPEAIFSVSKKLLQEIHSLLCFLVFYIIPLSIISVYYSLIARTLYKSTLNIRKQIESRKRIARTVLVLVALFALCWLPNHLLYLYHSFTSAMHFIFTIFSRVLAFSNSCVNPFALYWLSKSFQKHFKAQLFC</v>
      </c>
      <c r="C107" s="29" t="str">
        <f>IF(ISERROR(MATCH(A107,'SegEnds_Xtal_Prot#'!B:B, 0)), "NoXtal", "Xtal")</f>
        <v>NoXtal</v>
      </c>
      <c r="D107" s="4" t="str">
        <f>VLOOKUP(A107,Classification!A:D,2,FALSE)</f>
        <v>A</v>
      </c>
      <c r="E107" s="5" t="str">
        <f>VLOOKUP(A107,Seqs!A:B,2,FALSE)</f>
        <v>MAQRQPHSPNQTLISITNDTESSSSVVSNDNTNKGWSGDNSPGIEALCAIYITYAVIISVGILGNAILIKVFFKTKSMQTVPNIFITSLAFGDLLLLLTCVPVDATHYLAEGWLFGRIGCKVLSFIRLTSVGVSVFTLTILSADRYKAVVKPLERQPSNAILKTCVKAGCVWIVSMIFALPEAIFSNVYTFRDPNKNMTFESCTSYPVSKKLLQEIHSLLCFLVFYIIPLSIISVYYSLIARTLYKSTLNIPTEEQSHARKQIESRKRIARTVLVLVALFALCWLPNHLLYLYHSFTSQTYVDPSAMHFIFTIFSRVLAFSNSCVNPFALYWLSKSFQKHFKAQLFCCKAERPEPPVADTSLTTLAVMGTVPGTGSIQMSEISVTSFTGCSVKQAEDRF</v>
      </c>
      <c r="F107" s="5" t="str">
        <f t="shared" si="26"/>
        <v>SGDNSPGIEALCAIYITYAVIISVGILGNAILIKVFFKT</v>
      </c>
      <c r="G107" s="4" t="str">
        <f t="shared" si="27"/>
        <v>KSMQ</v>
      </c>
      <c r="H107" s="4" t="str">
        <f t="shared" si="28"/>
        <v>TVPNIFITSLAFGDLLLLLTCVPVDATHYLA</v>
      </c>
      <c r="I107" s="4" t="str">
        <f t="shared" si="29"/>
        <v>GWLF</v>
      </c>
      <c r="J107" s="4" t="str">
        <f t="shared" si="30"/>
        <v>GRIGCKVLSFIRLTSVGVSVFTLTILSADRYKAVVK</v>
      </c>
      <c r="K107" s="4" t="str">
        <f t="shared" si="31"/>
        <v>PLERQPSN</v>
      </c>
      <c r="L107" s="4" t="str">
        <f t="shared" si="32"/>
        <v>AILKTCVKAGCVWIVSMIFALPEAIFS</v>
      </c>
      <c r="M107" s="4" t="str">
        <f t="shared" si="33"/>
        <v>CTS</v>
      </c>
      <c r="N107" s="4" t="str">
        <f t="shared" si="34"/>
        <v>VSKKLLQEIHSLLCFLVFYIIPLSIISVYYSLIARTLYKSTLNI</v>
      </c>
      <c r="O107" s="4" t="str">
        <f t="shared" si="35"/>
        <v>RKQIESRKRIARTVLVLVALFALCWLPNHLLYLYHSFT</v>
      </c>
      <c r="P107" s="4" t="str">
        <f t="shared" si="36"/>
        <v>SAMHFIFTIFSRVLAFSNSCVNPFALYWL</v>
      </c>
      <c r="Q107" s="4" t="str">
        <f t="shared" si="37"/>
        <v>SKSFQKHFKAQLFC</v>
      </c>
      <c r="R107" s="5">
        <f>VLOOKUP($A107,'SegEnds_NonXtal_Prot#'!$A:$AL,3,FALSE)</f>
        <v>37</v>
      </c>
      <c r="S107" s="5">
        <f>VLOOKUP($A107,'SegEnds_NonXtal_Prot#'!$A:$AL,6,FALSE)</f>
        <v>76</v>
      </c>
      <c r="T107" s="5">
        <f>VLOOKUP($A107,'SegEnds_NonXtal_Prot#'!$A:$AL,9,FALSE)</f>
        <v>80</v>
      </c>
      <c r="U107" s="5">
        <f>VLOOKUP($A107,'SegEnds_NonXtal_Prot#'!$A:$AL,12,FALSE)</f>
        <v>112</v>
      </c>
      <c r="V107" s="5">
        <f>VLOOKUP($A107,'SegEnds_NonXtal_Prot#'!$A:$AL,15,FALSE)</f>
        <v>116</v>
      </c>
      <c r="W107" s="5">
        <f>VLOOKUP($A107,'SegEnds_NonXtal_Prot#'!$A:$AL,18,FALSE)</f>
        <v>152</v>
      </c>
      <c r="X107" s="5">
        <f>VLOOKUP($A107,'SegEnds_NonXtal_Prot#'!$A:$AL,21,FALSE)</f>
        <v>160</v>
      </c>
      <c r="Y107" s="5">
        <f>VLOOKUP($A107,'SegEnds_NonXtal_Prot#'!$A:$AL,24,FALSE)</f>
        <v>203</v>
      </c>
      <c r="Z107" s="5">
        <f>VLOOKUP($A107,'SegEnds_NonXtal_Prot#'!$A:$AL,27,FALSE)</f>
        <v>208</v>
      </c>
      <c r="AA107" s="5">
        <f>VLOOKUP($A107,'SegEnds_NonXtal_Prot#'!$A:$AL,30,FALSE)</f>
        <v>260</v>
      </c>
      <c r="AB107" s="5">
        <f>VLOOKUP($A107,'SegEnds_NonXtal_Prot#'!$A:$AL,33,FALSE)</f>
        <v>305</v>
      </c>
      <c r="AC107" s="5">
        <f>VLOOKUP($A107,'SegEnds_NonXtal_Prot#'!$A:$AL,36,FALSE)</f>
        <v>334</v>
      </c>
      <c r="AD107" s="5">
        <f>VLOOKUP($A107,'SegEnds_NonXtal_Prot#'!$A:$AL,5,FALSE)</f>
        <v>75</v>
      </c>
      <c r="AE107" s="5">
        <f>VLOOKUP($A107,'SegEnds_NonXtal_Prot#'!$A:$AL,8,FALSE)</f>
        <v>79</v>
      </c>
      <c r="AF107" s="5">
        <f>VLOOKUP($A107,'SegEnds_NonXtal_Prot#'!$A:$AL,11,FALSE)</f>
        <v>110</v>
      </c>
      <c r="AG107" s="5">
        <f>VLOOKUP($A107,'SegEnds_NonXtal_Prot#'!$A:$AL,14,FALSE)</f>
        <v>115</v>
      </c>
      <c r="AH107" s="5">
        <f>VLOOKUP($A107,'SegEnds_NonXtal_Prot#'!$A:$AL,17,FALSE)</f>
        <v>151</v>
      </c>
      <c r="AI107" s="5">
        <f>VLOOKUP($A107,'SegEnds_NonXtal_Prot#'!$A:$AL,20,FALSE)</f>
        <v>159</v>
      </c>
      <c r="AJ107" s="5">
        <f>VLOOKUP($A107,'SegEnds_NonXtal_Prot#'!$A:$AL,23,FALSE)</f>
        <v>186</v>
      </c>
      <c r="AK107" s="5">
        <f>VLOOKUP($A107,'SegEnds_NonXtal_Prot#'!$A:$AL,26,FALSE)</f>
        <v>205</v>
      </c>
      <c r="AL107" s="5">
        <f>VLOOKUP($A107,'SegEnds_NonXtal_Prot#'!$A:$AL,29,FALSE)</f>
        <v>251</v>
      </c>
      <c r="AM107" s="5">
        <f>VLOOKUP($A107,'SegEnds_NonXtal_Prot#'!$A:$AL,32,FALSE)</f>
        <v>297</v>
      </c>
      <c r="AN107" s="5">
        <f>VLOOKUP($A107,'SegEnds_NonXtal_Prot#'!$A:$AL,35,FALSE)</f>
        <v>333</v>
      </c>
      <c r="AO107" s="5">
        <f>VLOOKUP($A107,'SegEnds_NonXtal_Prot#'!$A:$AL,38,FALSE)</f>
        <v>347</v>
      </c>
      <c r="AP107" s="5">
        <f t="shared" si="38"/>
        <v>38</v>
      </c>
      <c r="AQ107" s="4">
        <f t="shared" si="39"/>
        <v>3</v>
      </c>
      <c r="AR107" s="4">
        <f t="shared" si="40"/>
        <v>30</v>
      </c>
      <c r="AS107" s="4">
        <f t="shared" si="41"/>
        <v>3</v>
      </c>
      <c r="AT107" s="4">
        <f t="shared" si="42"/>
        <v>35</v>
      </c>
      <c r="AU107" s="4">
        <f t="shared" si="43"/>
        <v>7</v>
      </c>
      <c r="AV107" s="4">
        <f t="shared" si="44"/>
        <v>26</v>
      </c>
      <c r="AW107" s="4">
        <f t="shared" si="45"/>
        <v>2</v>
      </c>
      <c r="AX107" s="4">
        <f t="shared" si="46"/>
        <v>43</v>
      </c>
      <c r="AY107" s="4">
        <f t="shared" si="47"/>
        <v>37</v>
      </c>
      <c r="AZ107" s="4">
        <f t="shared" si="48"/>
        <v>28</v>
      </c>
      <c r="BA107" s="4">
        <f t="shared" si="49"/>
        <v>13</v>
      </c>
    </row>
    <row r="108" spans="1:53" x14ac:dyDescent="0.2">
      <c r="A108" s="1" t="str">
        <f>'SegEnds_NonXtal_Prot#'!A77</f>
        <v>c3ar_human</v>
      </c>
      <c r="B108" s="1" t="str">
        <f t="shared" si="25"/>
        <v>PPVILSMVILSLTFLLGLPGNGLVLWVAGLKTVNTIWFLHLTLADLLCCLSLPFSLAHLALGRFLCKLIPSIIVLNMFASVFLLTAISLDRCLVVFKNVGMACSICGCIWVVAFVMCIPVFVYRPLVAITITRLVVGFLLPSVIMIACYSFIVFRMQRGKSQSKTFRVAVVVVAVFLVCWTPYHIFGVLSLLTGKTLMSWDHVCIALASANSCFNPFLYALLGKDFRKKARQSIQGI</v>
      </c>
      <c r="C108" s="29" t="str">
        <f>IF(ISERROR(MATCH(A108,'SegEnds_Xtal_Prot#'!B:B, 0)), "NoXtal", "Xtal")</f>
        <v>NoXtal</v>
      </c>
      <c r="D108" s="4" t="str">
        <f>VLOOKUP(A108,Classification!A:D,2,FALSE)</f>
        <v>A</v>
      </c>
      <c r="E108" s="5" t="str">
        <f>VLOOKUP(A108,Seqs!A:B,2,FALSE)</f>
        <v>MASFSAETNSTDLLSQPWNEPPVILSMVILSLTFLLGLPGNGLVLWVAGLKMQRTVNTIWFLHLTLADLLCCLSLPFSLAHLALQGQWPYGRFLCKLIPSIIVLNMFASVFLLTAISLDRCLVVFKPIWCQNHRNVGMACSICGCIWVVAFVMCIPVFVYREIFTTDNHNRCGYKFGLSSSLDYPDFYGDPLENRSLENIVQPPGEMNDRLDPSSFQTNDHPWTVPTVFQPQTFQRPSADSLPRGSARLTSQNLYSNVFKPADVVSPKIPSGFPIEDHETSPLDNSDAFLSTHLKLFPSASSNSFYESELPQGFQDYYNLGQFTDDDQVPTPLVAITITRLVVGFLLPSVIMIACYSFIVFRMQRGRFAKSQSKTFRVAVVVVAVFLVCWTPYHIFGVLSLLTDPETPLGKTLMSWDHVCIALASANSCFNPFLYALLGKDFRKKARQSIQGILEAAFSEELTRSTHCPSNNVISERNSTTV</v>
      </c>
      <c r="F108" s="5" t="str">
        <f t="shared" si="26"/>
        <v>PPVILSMVILSLTFLLGLPGNGLVLWVAGLK</v>
      </c>
      <c r="G108" s="4" t="str">
        <f t="shared" si="27"/>
        <v/>
      </c>
      <c r="H108" s="4" t="str">
        <f t="shared" si="28"/>
        <v>TVNTIWFLHLTLADLLCCLSLPFSLAHLAL</v>
      </c>
      <c r="I108" s="4" t="str">
        <f t="shared" si="29"/>
        <v>QWPY</v>
      </c>
      <c r="J108" s="4" t="str">
        <f t="shared" si="30"/>
        <v>GRFLCKLIPSIIVLNMFASVFLLTAISLDRCLVVFK</v>
      </c>
      <c r="K108" s="4" t="str">
        <f t="shared" si="31"/>
        <v>PIWCQNHR</v>
      </c>
      <c r="L108" s="4" t="str">
        <f t="shared" si="32"/>
        <v>NVGMACSICGCIWVVAFVMCIPVFVYR</v>
      </c>
      <c r="M108" s="4" t="str">
        <f t="shared" si="33"/>
        <v>CGY</v>
      </c>
      <c r="N108" s="4" t="str">
        <f t="shared" si="34"/>
        <v>PLVAITITRLVVGFLLPSVIMIACYSFIVFRMQRG</v>
      </c>
      <c r="O108" s="4" t="str">
        <f t="shared" si="35"/>
        <v>KSQSKTFRVAVVVVAVFLVCWTPYHIFGVLSLLT</v>
      </c>
      <c r="P108" s="4" t="str">
        <f t="shared" si="36"/>
        <v>GKTLMSWDHVCIALASANSCFNPFLYALL</v>
      </c>
      <c r="Q108" s="4" t="str">
        <f t="shared" si="37"/>
        <v>GKDFRKKARQSIQGI</v>
      </c>
      <c r="R108" s="5">
        <f>VLOOKUP($A108,'SegEnds_NonXtal_Prot#'!$A:$AL,3,FALSE)</f>
        <v>21</v>
      </c>
      <c r="S108" s="5" t="str">
        <f>VLOOKUP($A108,'SegEnds_NonXtal_Prot#'!$A:$AL,6,FALSE)</f>
        <v>-</v>
      </c>
      <c r="T108" s="5">
        <f>VLOOKUP($A108,'SegEnds_NonXtal_Prot#'!$A:$AL,9,FALSE)</f>
        <v>55</v>
      </c>
      <c r="U108" s="5">
        <f>VLOOKUP($A108,'SegEnds_NonXtal_Prot#'!$A:$AL,12,FALSE)</f>
        <v>87</v>
      </c>
      <c r="V108" s="5">
        <f>VLOOKUP($A108,'SegEnds_NonXtal_Prot#'!$A:$AL,15,FALSE)</f>
        <v>91</v>
      </c>
      <c r="W108" s="5">
        <f>VLOOKUP($A108,'SegEnds_NonXtal_Prot#'!$A:$AL,18,FALSE)</f>
        <v>127</v>
      </c>
      <c r="X108" s="5">
        <f>VLOOKUP($A108,'SegEnds_NonXtal_Prot#'!$A:$AL,21,FALSE)</f>
        <v>135</v>
      </c>
      <c r="Y108" s="5">
        <f>VLOOKUP($A108,'SegEnds_NonXtal_Prot#'!$A:$AL,24,FALSE)</f>
        <v>172</v>
      </c>
      <c r="Z108" s="5">
        <f>VLOOKUP($A108,'SegEnds_NonXtal_Prot#'!$A:$AL,27,FALSE)</f>
        <v>332</v>
      </c>
      <c r="AA108" s="5">
        <f>VLOOKUP($A108,'SegEnds_NonXtal_Prot#'!$A:$AL,30,FALSE)</f>
        <v>370</v>
      </c>
      <c r="AB108" s="5">
        <f>VLOOKUP($A108,'SegEnds_NonXtal_Prot#'!$A:$AL,33,FALSE)</f>
        <v>410</v>
      </c>
      <c r="AC108" s="5">
        <f>VLOOKUP($A108,'SegEnds_NonXtal_Prot#'!$A:$AL,36,FALSE)</f>
        <v>439</v>
      </c>
      <c r="AD108" s="5">
        <f>VLOOKUP($A108,'SegEnds_NonXtal_Prot#'!$A:$AL,5,FALSE)</f>
        <v>51</v>
      </c>
      <c r="AE108" s="5" t="str">
        <f>VLOOKUP($A108,'SegEnds_NonXtal_Prot#'!$A:$AL,8,FALSE)</f>
        <v>-</v>
      </c>
      <c r="AF108" s="5">
        <f>VLOOKUP($A108,'SegEnds_NonXtal_Prot#'!$A:$AL,11,FALSE)</f>
        <v>84</v>
      </c>
      <c r="AG108" s="5">
        <f>VLOOKUP($A108,'SegEnds_NonXtal_Prot#'!$A:$AL,14,FALSE)</f>
        <v>90</v>
      </c>
      <c r="AH108" s="5">
        <f>VLOOKUP($A108,'SegEnds_NonXtal_Prot#'!$A:$AL,17,FALSE)</f>
        <v>126</v>
      </c>
      <c r="AI108" s="5">
        <f>VLOOKUP($A108,'SegEnds_NonXtal_Prot#'!$A:$AL,20,FALSE)</f>
        <v>134</v>
      </c>
      <c r="AJ108" s="5">
        <f>VLOOKUP($A108,'SegEnds_NonXtal_Prot#'!$A:$AL,23,FALSE)</f>
        <v>161</v>
      </c>
      <c r="AK108" s="5">
        <f>VLOOKUP($A108,'SegEnds_NonXtal_Prot#'!$A:$AL,26,FALSE)</f>
        <v>174</v>
      </c>
      <c r="AL108" s="5">
        <f>VLOOKUP($A108,'SegEnds_NonXtal_Prot#'!$A:$AL,29,FALSE)</f>
        <v>366</v>
      </c>
      <c r="AM108" s="5">
        <f>VLOOKUP($A108,'SegEnds_NonXtal_Prot#'!$A:$AL,32,FALSE)</f>
        <v>403</v>
      </c>
      <c r="AN108" s="5">
        <f>VLOOKUP($A108,'SegEnds_NonXtal_Prot#'!$A:$AL,35,FALSE)</f>
        <v>438</v>
      </c>
      <c r="AO108" s="5">
        <f>VLOOKUP($A108,'SegEnds_NonXtal_Prot#'!$A:$AL,38,FALSE)</f>
        <v>453</v>
      </c>
      <c r="AP108" s="5">
        <f t="shared" si="38"/>
        <v>30</v>
      </c>
      <c r="AQ108" s="4" t="str">
        <f t="shared" si="39"/>
        <v>-</v>
      </c>
      <c r="AR108" s="4">
        <f t="shared" si="40"/>
        <v>29</v>
      </c>
      <c r="AS108" s="4">
        <f t="shared" si="41"/>
        <v>3</v>
      </c>
      <c r="AT108" s="4">
        <f t="shared" si="42"/>
        <v>35</v>
      </c>
      <c r="AU108" s="4">
        <f t="shared" si="43"/>
        <v>7</v>
      </c>
      <c r="AV108" s="4">
        <f t="shared" si="44"/>
        <v>26</v>
      </c>
      <c r="AW108" s="4">
        <f t="shared" si="45"/>
        <v>2</v>
      </c>
      <c r="AX108" s="4">
        <f t="shared" si="46"/>
        <v>34</v>
      </c>
      <c r="AY108" s="4">
        <f t="shared" si="47"/>
        <v>33</v>
      </c>
      <c r="AZ108" s="4">
        <f t="shared" si="48"/>
        <v>28</v>
      </c>
      <c r="BA108" s="4">
        <f t="shared" si="49"/>
        <v>14</v>
      </c>
    </row>
    <row r="109" spans="1:53" x14ac:dyDescent="0.2">
      <c r="A109" s="1" t="str">
        <f>'SegEnds_NonXtal_Prot#'!A78</f>
        <v>c5ar1_human</v>
      </c>
      <c r="B109" s="1" t="str">
        <f t="shared" si="25"/>
        <v>VPDILALVIFAVVFLVGVLGNALVVWVTAFETINAIWFLNLAVADFLSCLALPILFTSIVQGGAACSILPSLILLNMYASILLLATISADRFLLVFKGAGLAWIACAVAWGLALLLTIPSFLYRRERAVAIVRLVLGFLWPLLTLTICYTFILLRTWSRSTKTLKVVVAVVASFFIFWLPYQVTGIMMSFLFLLLKKLDSLCVSFAYINCCINPIIYVVAGQGFQGRLRKSLPSL</v>
      </c>
      <c r="C109" s="29" t="str">
        <f>IF(ISERROR(MATCH(A109,'SegEnds_Xtal_Prot#'!B:B, 0)), "NoXtal", "Xtal")</f>
        <v>NoXtal</v>
      </c>
      <c r="D109" s="4" t="str">
        <f>VLOOKUP(A109,Classification!A:D,2,FALSE)</f>
        <v>A</v>
      </c>
      <c r="E109" s="5" t="str">
        <f>VLOOKUP(A109,Seqs!A:B,2,FALSE)</f>
        <v>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</v>
      </c>
      <c r="F109" s="5" t="str">
        <f t="shared" si="26"/>
        <v>VPDILALVIFAVVFLVGVLGNALVVWVTAFE</v>
      </c>
      <c r="G109" s="4" t="str">
        <f t="shared" si="27"/>
        <v/>
      </c>
      <c r="H109" s="4" t="str">
        <f t="shared" si="28"/>
        <v>TINAIWFLNLAVADFLSCLALPILFTSIVQ</v>
      </c>
      <c r="I109" s="4" t="str">
        <f t="shared" si="29"/>
        <v>HWPF</v>
      </c>
      <c r="J109" s="4" t="str">
        <f t="shared" si="30"/>
        <v>GGAACSILPSLILLNMYASILLLATISADRFLLVFK</v>
      </c>
      <c r="K109" s="4" t="str">
        <f t="shared" si="31"/>
        <v>PIWCQNFR</v>
      </c>
      <c r="L109" s="4" t="str">
        <f t="shared" si="32"/>
        <v>GAGLAWIACAVAWGLALLLTIPSFLYR</v>
      </c>
      <c r="M109" s="4" t="str">
        <f t="shared" si="33"/>
        <v>CGV</v>
      </c>
      <c r="N109" s="4" t="str">
        <f t="shared" si="34"/>
        <v>RERAVAIVRLVLGFLWPLLTLTICYTFILLRTWSR</v>
      </c>
      <c r="O109" s="4" t="str">
        <f t="shared" si="35"/>
        <v>STKTLKVVVAVVASFFIFWLPYQVTGIMMSFL</v>
      </c>
      <c r="P109" s="4" t="str">
        <f t="shared" si="36"/>
        <v>FLLLKKLDSLCVSFAYINCCINPIIYVVA</v>
      </c>
      <c r="Q109" s="4" t="str">
        <f t="shared" si="37"/>
        <v>GQGFQGRLRKSLPSL</v>
      </c>
      <c r="R109" s="5">
        <f>VLOOKUP($A109,'SegEnds_NonXtal_Prot#'!$A:$AL,3,FALSE)</f>
        <v>35</v>
      </c>
      <c r="S109" s="5" t="str">
        <f>VLOOKUP($A109,'SegEnds_NonXtal_Prot#'!$A:$AL,6,FALSE)</f>
        <v>-</v>
      </c>
      <c r="T109" s="5">
        <f>VLOOKUP($A109,'SegEnds_NonXtal_Prot#'!$A:$AL,9,FALSE)</f>
        <v>69</v>
      </c>
      <c r="U109" s="5">
        <f>VLOOKUP($A109,'SegEnds_NonXtal_Prot#'!$A:$AL,12,FALSE)</f>
        <v>101</v>
      </c>
      <c r="V109" s="5">
        <f>VLOOKUP($A109,'SegEnds_NonXtal_Prot#'!$A:$AL,15,FALSE)</f>
        <v>105</v>
      </c>
      <c r="W109" s="5">
        <f>VLOOKUP($A109,'SegEnds_NonXtal_Prot#'!$A:$AL,18,FALSE)</f>
        <v>141</v>
      </c>
      <c r="X109" s="5">
        <f>VLOOKUP($A109,'SegEnds_NonXtal_Prot#'!$A:$AL,21,FALSE)</f>
        <v>149</v>
      </c>
      <c r="Y109" s="5">
        <f>VLOOKUP($A109,'SegEnds_NonXtal_Prot#'!$A:$AL,24,FALSE)</f>
        <v>188</v>
      </c>
      <c r="Z109" s="5">
        <f>VLOOKUP($A109,'SegEnds_NonXtal_Prot#'!$A:$AL,27,FALSE)</f>
        <v>198</v>
      </c>
      <c r="AA109" s="5">
        <f>VLOOKUP($A109,'SegEnds_NonXtal_Prot#'!$A:$AL,30,FALSE)</f>
        <v>237</v>
      </c>
      <c r="AB109" s="5">
        <f>VLOOKUP($A109,'SegEnds_NonXtal_Prot#'!$A:$AL,33,FALSE)</f>
        <v>275</v>
      </c>
      <c r="AC109" s="5">
        <f>VLOOKUP($A109,'SegEnds_NonXtal_Prot#'!$A:$AL,36,FALSE)</f>
        <v>304</v>
      </c>
      <c r="AD109" s="5">
        <f>VLOOKUP($A109,'SegEnds_NonXtal_Prot#'!$A:$AL,5,FALSE)</f>
        <v>65</v>
      </c>
      <c r="AE109" s="5" t="str">
        <f>VLOOKUP($A109,'SegEnds_NonXtal_Prot#'!$A:$AL,8,FALSE)</f>
        <v>-</v>
      </c>
      <c r="AF109" s="5">
        <f>VLOOKUP($A109,'SegEnds_NonXtal_Prot#'!$A:$AL,11,FALSE)</f>
        <v>98</v>
      </c>
      <c r="AG109" s="5">
        <f>VLOOKUP($A109,'SegEnds_NonXtal_Prot#'!$A:$AL,14,FALSE)</f>
        <v>104</v>
      </c>
      <c r="AH109" s="5">
        <f>VLOOKUP($A109,'SegEnds_NonXtal_Prot#'!$A:$AL,17,FALSE)</f>
        <v>140</v>
      </c>
      <c r="AI109" s="5">
        <f>VLOOKUP($A109,'SegEnds_NonXtal_Prot#'!$A:$AL,20,FALSE)</f>
        <v>148</v>
      </c>
      <c r="AJ109" s="5">
        <f>VLOOKUP($A109,'SegEnds_NonXtal_Prot#'!$A:$AL,23,FALSE)</f>
        <v>175</v>
      </c>
      <c r="AK109" s="5">
        <f>VLOOKUP($A109,'SegEnds_NonXtal_Prot#'!$A:$AL,26,FALSE)</f>
        <v>190</v>
      </c>
      <c r="AL109" s="5">
        <f>VLOOKUP($A109,'SegEnds_NonXtal_Prot#'!$A:$AL,29,FALSE)</f>
        <v>232</v>
      </c>
      <c r="AM109" s="5">
        <f>VLOOKUP($A109,'SegEnds_NonXtal_Prot#'!$A:$AL,32,FALSE)</f>
        <v>268</v>
      </c>
      <c r="AN109" s="5">
        <f>VLOOKUP($A109,'SegEnds_NonXtal_Prot#'!$A:$AL,35,FALSE)</f>
        <v>303</v>
      </c>
      <c r="AO109" s="5">
        <f>VLOOKUP($A109,'SegEnds_NonXtal_Prot#'!$A:$AL,38,FALSE)</f>
        <v>318</v>
      </c>
      <c r="AP109" s="5">
        <f t="shared" si="38"/>
        <v>30</v>
      </c>
      <c r="AQ109" s="4" t="str">
        <f t="shared" si="39"/>
        <v>-</v>
      </c>
      <c r="AR109" s="4">
        <f t="shared" si="40"/>
        <v>29</v>
      </c>
      <c r="AS109" s="4">
        <f t="shared" si="41"/>
        <v>3</v>
      </c>
      <c r="AT109" s="4">
        <f t="shared" si="42"/>
        <v>35</v>
      </c>
      <c r="AU109" s="4">
        <f t="shared" si="43"/>
        <v>7</v>
      </c>
      <c r="AV109" s="4">
        <f t="shared" si="44"/>
        <v>26</v>
      </c>
      <c r="AW109" s="4">
        <f t="shared" si="45"/>
        <v>2</v>
      </c>
      <c r="AX109" s="4">
        <f t="shared" si="46"/>
        <v>34</v>
      </c>
      <c r="AY109" s="4">
        <f t="shared" si="47"/>
        <v>31</v>
      </c>
      <c r="AZ109" s="4">
        <f t="shared" si="48"/>
        <v>28</v>
      </c>
      <c r="BA109" s="4">
        <f t="shared" si="49"/>
        <v>14</v>
      </c>
    </row>
    <row r="110" spans="1:53" x14ac:dyDescent="0.2">
      <c r="A110" s="1" t="str">
        <f>'SegEnds_NonXtal_Prot#'!A79</f>
        <v>c5ar2_human</v>
      </c>
      <c r="B110" s="1" t="str">
        <f t="shared" si="25"/>
        <v>PLRVAPLPLYAAIFLVGVPGNAMVAWVAGKVRVGATWLLHLAVADLLCCLSLPILAVPIARGAVGCRALPSIILLTMYASVLLLAALSADLCFLALGRACGVQVACGAAWTLALLLTVPSAIYRTENAVTAIRFLFGFLGPLVAVASCHSALLCWRPLGTAIVVGFFVCWAPYHLLGLVLTVALARALRAEPLIVGLALAHSCLNPMLFLYFGRAQLRRSLPAACHW</v>
      </c>
      <c r="C110" s="29" t="str">
        <f>IF(ISERROR(MATCH(A110,'SegEnds_Xtal_Prot#'!B:B, 0)), "NoXtal", "Xtal")</f>
        <v>NoXtal</v>
      </c>
      <c r="D110" s="4" t="str">
        <f>VLOOKUP(A110,Classification!A:D,2,FALSE)</f>
        <v>A</v>
      </c>
      <c r="E110" s="5" t="str">
        <f>VLOOKUP(A110,Seqs!A:B,2,FALSE)</f>
        <v>MGNDSVSYEYGDYSDLSDRPVDCLDGACLAIDPLRVAPLPLYAAIFLVGVPGNAMVAWVAGKVARRRVGATWLLHLAVADLLCCLSLPILAVPIARGGHWPYGAVGCRALPSIILLTMYASVLLLAALSADLCFLALGPAWWSTVQRACGVQVACGAAWTLALLLTVPSAIYRRLHQEHFPARLQCVVDYGGSSSTENAVTAIRFLFGFLGPLVAVASCHSALLCWAARRCRPLGTAIVVGFFVCWAPYHLLGLVLTVAAPNSALLARALRAEPLIVGLALAHSCLNPMLFLYFGRAQLRRSLPAACHWALRESQGQDESVDSKKSTSHDLVSEMEV</v>
      </c>
      <c r="F110" s="5" t="str">
        <f t="shared" si="26"/>
        <v>PLRVAPLPLYAAIFLVGVPGNAMVAWVAGKV</v>
      </c>
      <c r="G110" s="4" t="str">
        <f t="shared" si="27"/>
        <v/>
      </c>
      <c r="H110" s="4" t="str">
        <f t="shared" si="28"/>
        <v>RVGATWLLHLAVADLLCCLSLPILAVPIAR</v>
      </c>
      <c r="I110" s="4" t="str">
        <f t="shared" si="29"/>
        <v>HWPY</v>
      </c>
      <c r="J110" s="4" t="str">
        <f t="shared" si="30"/>
        <v>GAVGCRALPSIILLTMYASVLLLAALSADLCFLALG</v>
      </c>
      <c r="K110" s="4" t="str">
        <f t="shared" si="31"/>
        <v>PAWWSTVQ</v>
      </c>
      <c r="L110" s="4" t="str">
        <f t="shared" si="32"/>
        <v>RACGVQVACGAAWTLALLLTVPSAIYR</v>
      </c>
      <c r="M110" s="4" t="str">
        <f t="shared" si="33"/>
        <v>CVV</v>
      </c>
      <c r="N110" s="4" t="str">
        <f t="shared" si="34"/>
        <v>TENAVTAIRFLFGFLGPLVAVASCHSALLCW</v>
      </c>
      <c r="O110" s="4" t="str">
        <f t="shared" si="35"/>
        <v>RPLGTAIVVGFFVCWAPYHLLGLVLTVA</v>
      </c>
      <c r="P110" s="4" t="str">
        <f t="shared" si="36"/>
        <v>LARALRAEPLIVGLALAHSCLNPMLFLYF</v>
      </c>
      <c r="Q110" s="4" t="str">
        <f t="shared" si="37"/>
        <v>GRAQLRRSLPAACHW</v>
      </c>
      <c r="R110" s="5">
        <f>VLOOKUP($A110,'SegEnds_NonXtal_Prot#'!$A:$AL,3,FALSE)</f>
        <v>33</v>
      </c>
      <c r="S110" s="5" t="str">
        <f>VLOOKUP($A110,'SegEnds_NonXtal_Prot#'!$A:$AL,6,FALSE)</f>
        <v>-</v>
      </c>
      <c r="T110" s="5">
        <f>VLOOKUP($A110,'SegEnds_NonXtal_Prot#'!$A:$AL,9,FALSE)</f>
        <v>67</v>
      </c>
      <c r="U110" s="5">
        <f>VLOOKUP($A110,'SegEnds_NonXtal_Prot#'!$A:$AL,12,FALSE)</f>
        <v>99</v>
      </c>
      <c r="V110" s="5">
        <f>VLOOKUP($A110,'SegEnds_NonXtal_Prot#'!$A:$AL,15,FALSE)</f>
        <v>103</v>
      </c>
      <c r="W110" s="5">
        <f>VLOOKUP($A110,'SegEnds_NonXtal_Prot#'!$A:$AL,18,FALSE)</f>
        <v>139</v>
      </c>
      <c r="X110" s="5">
        <f>VLOOKUP($A110,'SegEnds_NonXtal_Prot#'!$A:$AL,21,FALSE)</f>
        <v>147</v>
      </c>
      <c r="Y110" s="5">
        <f>VLOOKUP($A110,'SegEnds_NonXtal_Prot#'!$A:$AL,24,FALSE)</f>
        <v>186</v>
      </c>
      <c r="Z110" s="5">
        <f>VLOOKUP($A110,'SegEnds_NonXtal_Prot#'!$A:$AL,27,FALSE)</f>
        <v>196</v>
      </c>
      <c r="AA110" s="5">
        <f>VLOOKUP($A110,'SegEnds_NonXtal_Prot#'!$A:$AL,30,FALSE)</f>
        <v>232</v>
      </c>
      <c r="AB110" s="5">
        <f>VLOOKUP($A110,'SegEnds_NonXtal_Prot#'!$A:$AL,33,FALSE)</f>
        <v>266</v>
      </c>
      <c r="AC110" s="5">
        <f>VLOOKUP($A110,'SegEnds_NonXtal_Prot#'!$A:$AL,36,FALSE)</f>
        <v>295</v>
      </c>
      <c r="AD110" s="5">
        <f>VLOOKUP($A110,'SegEnds_NonXtal_Prot#'!$A:$AL,5,FALSE)</f>
        <v>63</v>
      </c>
      <c r="AE110" s="5" t="str">
        <f>VLOOKUP($A110,'SegEnds_NonXtal_Prot#'!$A:$AL,8,FALSE)</f>
        <v>-</v>
      </c>
      <c r="AF110" s="5">
        <f>VLOOKUP($A110,'SegEnds_NonXtal_Prot#'!$A:$AL,11,FALSE)</f>
        <v>96</v>
      </c>
      <c r="AG110" s="5">
        <f>VLOOKUP($A110,'SegEnds_NonXtal_Prot#'!$A:$AL,14,FALSE)</f>
        <v>102</v>
      </c>
      <c r="AH110" s="5">
        <f>VLOOKUP($A110,'SegEnds_NonXtal_Prot#'!$A:$AL,17,FALSE)</f>
        <v>138</v>
      </c>
      <c r="AI110" s="5">
        <f>VLOOKUP($A110,'SegEnds_NonXtal_Prot#'!$A:$AL,20,FALSE)</f>
        <v>146</v>
      </c>
      <c r="AJ110" s="5">
        <f>VLOOKUP($A110,'SegEnds_NonXtal_Prot#'!$A:$AL,23,FALSE)</f>
        <v>173</v>
      </c>
      <c r="AK110" s="5">
        <f>VLOOKUP($A110,'SegEnds_NonXtal_Prot#'!$A:$AL,26,FALSE)</f>
        <v>188</v>
      </c>
      <c r="AL110" s="5">
        <f>VLOOKUP($A110,'SegEnds_NonXtal_Prot#'!$A:$AL,29,FALSE)</f>
        <v>226</v>
      </c>
      <c r="AM110" s="5">
        <f>VLOOKUP($A110,'SegEnds_NonXtal_Prot#'!$A:$AL,32,FALSE)</f>
        <v>259</v>
      </c>
      <c r="AN110" s="5">
        <f>VLOOKUP($A110,'SegEnds_NonXtal_Prot#'!$A:$AL,35,FALSE)</f>
        <v>294</v>
      </c>
      <c r="AO110" s="5">
        <f>VLOOKUP($A110,'SegEnds_NonXtal_Prot#'!$A:$AL,38,FALSE)</f>
        <v>309</v>
      </c>
      <c r="AP110" s="5">
        <f t="shared" si="38"/>
        <v>30</v>
      </c>
      <c r="AQ110" s="4" t="str">
        <f t="shared" si="39"/>
        <v>-</v>
      </c>
      <c r="AR110" s="4">
        <f t="shared" si="40"/>
        <v>29</v>
      </c>
      <c r="AS110" s="4">
        <f t="shared" si="41"/>
        <v>3</v>
      </c>
      <c r="AT110" s="4">
        <f t="shared" si="42"/>
        <v>35</v>
      </c>
      <c r="AU110" s="4">
        <f t="shared" si="43"/>
        <v>7</v>
      </c>
      <c r="AV110" s="4">
        <f t="shared" si="44"/>
        <v>26</v>
      </c>
      <c r="AW110" s="4">
        <f t="shared" si="45"/>
        <v>2</v>
      </c>
      <c r="AX110" s="4">
        <f t="shared" si="46"/>
        <v>30</v>
      </c>
      <c r="AY110" s="4">
        <f t="shared" si="47"/>
        <v>27</v>
      </c>
      <c r="AZ110" s="4">
        <f t="shared" si="48"/>
        <v>28</v>
      </c>
      <c r="BA110" s="4">
        <f t="shared" si="49"/>
        <v>14</v>
      </c>
    </row>
    <row r="111" spans="1:53" x14ac:dyDescent="0.2">
      <c r="A111" s="1" t="str">
        <f>'SegEnds_NonXtal_Prot#'!A80</f>
        <v>cckar_human</v>
      </c>
      <c r="B111" s="1" t="str">
        <f t="shared" si="25"/>
        <v>QPAVQILLYSLIFLLSVLGNTLVITVLIRNTVTNIFLLSLAVSDLMLCLFCMPFNLIPNLLGSAVCKTTTYFMGTSVSVSTFNLVAISLERYGAICKTKSHALKVIAATWCLSFTIMTPYPIYSDVMQQSWHTFLLLILFLIPGIVMMVAYGLISLELYQGIKFEASAANLMAKKRVIRMLIVIVVLFFLCWMPIFSANAWRAYDRRLSGTPISFILLLSYTSSCVNPIIYCFMNKRFRLGFMATF</v>
      </c>
      <c r="C111" s="29" t="str">
        <f>IF(ISERROR(MATCH(A111,'SegEnds_Xtal_Prot#'!B:B, 0)), "NoXtal", "Xtal")</f>
        <v>NoXtal</v>
      </c>
      <c r="D111" s="4" t="str">
        <f>VLOOKUP(A111,Classification!A:D,2,FALSE)</f>
        <v>A</v>
      </c>
      <c r="E111" s="5" t="str">
        <f>VLOOKUP(A111,Seqs!A:B,2,FALSE)</f>
        <v>MDVVDSLLVNGSNITPPCELGLENETLFCLDQPRPSKEWQPAVQILLYSLIFLLSVLGNTLVITVLIRNKRMRTVTNIFLLSLAVSDLMLCLFCMPFNLIPNLLKDFIFGSAVCKTTTYFMGTSVSVSTFNLVAISLERYGAICKPLQSRVWQTKSHALKVIAATWCLSFTIMTPYPIYSNLVPFTKNNNQTANMCRFLLPNDVMQQSWHTFLLLILFLIPGIVMMVAYGLISLELYQGIKFEASQKKSAKERKPSTTSSGKYEDSDGCYLQKTRPPRKLELRQLSTGSSSRANRIRSNSSAANLMAKKRVIRMLIVIVVLFFLCWMPIFSANAWRAYDTASAERRLSGTPISFILLLSYTSSCVNPIIYCFMNKRFRLGFMATFPCCPNPGPPGARGEVGEEEEGGTTGASLSRFSYSHMSASVPPQ</v>
      </c>
      <c r="F111" s="5" t="str">
        <f t="shared" si="26"/>
        <v>QPAVQILLYSLIFLLSVLGNTLVITVLIRN</v>
      </c>
      <c r="G111" s="4" t="str">
        <f t="shared" si="27"/>
        <v>KRMR</v>
      </c>
      <c r="H111" s="4" t="str">
        <f t="shared" si="28"/>
        <v>TVTNIFLLSLAVSDLMLCLFCMPFNLIPNLL</v>
      </c>
      <c r="I111" s="4" t="str">
        <f t="shared" si="29"/>
        <v>DFIF</v>
      </c>
      <c r="J111" s="4" t="str">
        <f t="shared" si="30"/>
        <v>GSAVCKTTTYFMGTSVSVSTFNLVAISLERYGAICK</v>
      </c>
      <c r="K111" s="4" t="str">
        <f t="shared" si="31"/>
        <v>PLQSRVWQ</v>
      </c>
      <c r="L111" s="4" t="str">
        <f t="shared" si="32"/>
        <v>TKSHALKVIAATWCLSFTIMTPYPIYS</v>
      </c>
      <c r="M111" s="4" t="str">
        <f t="shared" si="33"/>
        <v>CRF</v>
      </c>
      <c r="N111" s="4" t="str">
        <f t="shared" si="34"/>
        <v>DVMQQSWHTFLLLILFLIPGIVMMVAYGLISLELYQGIKFEAS</v>
      </c>
      <c r="O111" s="4" t="str">
        <f t="shared" si="35"/>
        <v>AANLMAKKRVIRMLIVIVVLFFLCWMPIFSANAWRAYD</v>
      </c>
      <c r="P111" s="4" t="str">
        <f t="shared" si="36"/>
        <v>RRLSGTPISFILLLSYTSSCVNPIIYCFM</v>
      </c>
      <c r="Q111" s="4" t="str">
        <f t="shared" si="37"/>
        <v>NKRFRLGFMATF</v>
      </c>
      <c r="R111" s="5">
        <f>VLOOKUP($A111,'SegEnds_NonXtal_Prot#'!$A:$AL,3,FALSE)</f>
        <v>40</v>
      </c>
      <c r="S111" s="5">
        <f>VLOOKUP($A111,'SegEnds_NonXtal_Prot#'!$A:$AL,6,FALSE)</f>
        <v>70</v>
      </c>
      <c r="T111" s="5">
        <f>VLOOKUP($A111,'SegEnds_NonXtal_Prot#'!$A:$AL,9,FALSE)</f>
        <v>74</v>
      </c>
      <c r="U111" s="5">
        <f>VLOOKUP($A111,'SegEnds_NonXtal_Prot#'!$A:$AL,12,FALSE)</f>
        <v>106</v>
      </c>
      <c r="V111" s="5">
        <f>VLOOKUP($A111,'SegEnds_NonXtal_Prot#'!$A:$AL,15,FALSE)</f>
        <v>110</v>
      </c>
      <c r="W111" s="5">
        <f>VLOOKUP($A111,'SegEnds_NonXtal_Prot#'!$A:$AL,18,FALSE)</f>
        <v>146</v>
      </c>
      <c r="X111" s="5">
        <f>VLOOKUP($A111,'SegEnds_NonXtal_Prot#'!$A:$AL,21,FALSE)</f>
        <v>154</v>
      </c>
      <c r="Y111" s="5">
        <f>VLOOKUP($A111,'SegEnds_NonXtal_Prot#'!$A:$AL,24,FALSE)</f>
        <v>196</v>
      </c>
      <c r="Z111" s="5">
        <f>VLOOKUP($A111,'SegEnds_NonXtal_Prot#'!$A:$AL,27,FALSE)</f>
        <v>203</v>
      </c>
      <c r="AA111" s="5">
        <f>VLOOKUP($A111,'SegEnds_NonXtal_Prot#'!$A:$AL,30,FALSE)</f>
        <v>302</v>
      </c>
      <c r="AB111" s="5">
        <f>VLOOKUP($A111,'SegEnds_NonXtal_Prot#'!$A:$AL,33,FALSE)</f>
        <v>345</v>
      </c>
      <c r="AC111" s="5">
        <f>VLOOKUP($A111,'SegEnds_NonXtal_Prot#'!$A:$AL,36,FALSE)</f>
        <v>374</v>
      </c>
      <c r="AD111" s="5">
        <f>VLOOKUP($A111,'SegEnds_NonXtal_Prot#'!$A:$AL,5,FALSE)</f>
        <v>69</v>
      </c>
      <c r="AE111" s="5">
        <f>VLOOKUP($A111,'SegEnds_NonXtal_Prot#'!$A:$AL,8,FALSE)</f>
        <v>73</v>
      </c>
      <c r="AF111" s="5">
        <f>VLOOKUP($A111,'SegEnds_NonXtal_Prot#'!$A:$AL,11,FALSE)</f>
        <v>104</v>
      </c>
      <c r="AG111" s="5">
        <f>VLOOKUP($A111,'SegEnds_NonXtal_Prot#'!$A:$AL,14,FALSE)</f>
        <v>109</v>
      </c>
      <c r="AH111" s="5">
        <f>VLOOKUP($A111,'SegEnds_NonXtal_Prot#'!$A:$AL,17,FALSE)</f>
        <v>145</v>
      </c>
      <c r="AI111" s="5">
        <f>VLOOKUP($A111,'SegEnds_NonXtal_Prot#'!$A:$AL,20,FALSE)</f>
        <v>153</v>
      </c>
      <c r="AJ111" s="5">
        <f>VLOOKUP($A111,'SegEnds_NonXtal_Prot#'!$A:$AL,23,FALSE)</f>
        <v>180</v>
      </c>
      <c r="AK111" s="5">
        <f>VLOOKUP($A111,'SegEnds_NonXtal_Prot#'!$A:$AL,26,FALSE)</f>
        <v>198</v>
      </c>
      <c r="AL111" s="5">
        <f>VLOOKUP($A111,'SegEnds_NonXtal_Prot#'!$A:$AL,29,FALSE)</f>
        <v>245</v>
      </c>
      <c r="AM111" s="5">
        <f>VLOOKUP($A111,'SegEnds_NonXtal_Prot#'!$A:$AL,32,FALSE)</f>
        <v>339</v>
      </c>
      <c r="AN111" s="5">
        <f>VLOOKUP($A111,'SegEnds_NonXtal_Prot#'!$A:$AL,35,FALSE)</f>
        <v>373</v>
      </c>
      <c r="AO111" s="5">
        <f>VLOOKUP($A111,'SegEnds_NonXtal_Prot#'!$A:$AL,38,FALSE)</f>
        <v>385</v>
      </c>
      <c r="AP111" s="5">
        <f t="shared" si="38"/>
        <v>29</v>
      </c>
      <c r="AQ111" s="4">
        <f t="shared" si="39"/>
        <v>3</v>
      </c>
      <c r="AR111" s="4">
        <f t="shared" si="40"/>
        <v>30</v>
      </c>
      <c r="AS111" s="4">
        <f t="shared" si="41"/>
        <v>3</v>
      </c>
      <c r="AT111" s="4">
        <f t="shared" si="42"/>
        <v>35</v>
      </c>
      <c r="AU111" s="4">
        <f t="shared" si="43"/>
        <v>7</v>
      </c>
      <c r="AV111" s="4">
        <f t="shared" si="44"/>
        <v>26</v>
      </c>
      <c r="AW111" s="4">
        <f t="shared" si="45"/>
        <v>2</v>
      </c>
      <c r="AX111" s="4">
        <f t="shared" si="46"/>
        <v>42</v>
      </c>
      <c r="AY111" s="4">
        <f t="shared" si="47"/>
        <v>37</v>
      </c>
      <c r="AZ111" s="4">
        <f t="shared" si="48"/>
        <v>28</v>
      </c>
      <c r="BA111" s="4">
        <f t="shared" si="49"/>
        <v>11</v>
      </c>
    </row>
    <row r="112" spans="1:53" x14ac:dyDescent="0.2">
      <c r="A112" s="1" t="str">
        <f>'SegEnds_NonXtal_Prot#'!A81</f>
        <v>ccr1_human</v>
      </c>
      <c r="B112" s="1" t="str">
        <f t="shared" si="25"/>
        <v>KVNERAFGAQLLPPLYSLVFVIGLVGNILVVLVLVQYNMTSIYLLNLAISDLLFLFTLPFWIDYKLKGDAMCKILSGFYYTGLYSEIFFIILLTIDRYLAIVHTVTFGVITSIIIWALAILASMPGLYFSSLREWKLFQALKLNLFGLVLPLLVMIICYTGIIKILLRRKSKAVRLIFVIMIIFFLFWTPYNLTILISVFQDFLFECEQSRHLDLAVQVTEVIAYTHCCVNPVIYAFVGERFRKYLRQLFH</v>
      </c>
      <c r="C112" s="29" t="str">
        <f>IF(ISERROR(MATCH(A112,'SegEnds_Xtal_Prot#'!B:B, 0)), "NoXtal", "Xtal")</f>
        <v>NoXtal</v>
      </c>
      <c r="D112" s="4" t="str">
        <f>VLOOKUP(A112,Classification!A:D,2,FALSE)</f>
        <v>A</v>
      </c>
      <c r="E112" s="5" t="str">
        <f>VLOOKUP(A112,Seqs!A:B,2,FALSE)</f>
        <v>METPNTTEDYDTTTEFDYGDATPCQKVNERAFGAQLLPPLYSLVFVIGLVGNILVVLVLVQYKRLKNMTSIYLLNLAISDLLFLFTLPFWIDYKLKDDWVFGDAMCKILSGFYYTGLYSEIFFIILLTIDRYLAIVHAVFALRARTVTFGVITSIIIWALAILASMPGLYFSKTQWEFTHHTCSLHFPHESLREWKLFQALKLNLFGLVLPLLVMIICYTGIIKILLRRPNEKKSKAVRLIFVIMIIFFLFWTPYNLTILISVFQDFLFTHECEQSRHLDLAVQVTEVIAYTHCCVNPVIYAFVGERFRKYLRQLFHRRVAVHLVKWLPFLSVDRLERVSSTSPSTGEHELSAGF</v>
      </c>
      <c r="F112" s="5" t="str">
        <f t="shared" si="26"/>
        <v>KVNERAFGAQLLPPLYSLVFVIGLVGNILVVLVLVQY</v>
      </c>
      <c r="G112" s="4" t="str">
        <f t="shared" si="27"/>
        <v>KRLK</v>
      </c>
      <c r="H112" s="4" t="str">
        <f t="shared" si="28"/>
        <v>NMTSIYLLNLAISDLLFLFTLPFWIDYKLK</v>
      </c>
      <c r="I112" s="4" t="str">
        <f t="shared" si="29"/>
        <v>DWVF</v>
      </c>
      <c r="J112" s="4" t="str">
        <f t="shared" si="30"/>
        <v>GDAMCKILSGFYYTGLYSEIFFIILLTIDRYLAIVH</v>
      </c>
      <c r="K112" s="4" t="str">
        <f t="shared" si="31"/>
        <v>AVFALRAR</v>
      </c>
      <c r="L112" s="4" t="str">
        <f t="shared" si="32"/>
        <v>TVTFGVITSIIIWALAILASMPGLYFS</v>
      </c>
      <c r="M112" s="4" t="str">
        <f t="shared" si="33"/>
        <v>CSL</v>
      </c>
      <c r="N112" s="4" t="str">
        <f t="shared" si="34"/>
        <v>SLREWKLFQALKLNLFGLVLPLLVMIICYTGIIKILLRR</v>
      </c>
      <c r="O112" s="4" t="str">
        <f t="shared" si="35"/>
        <v>KSKAVRLIFVIMIIFFLFWTPYNLTILISVFQDFLF</v>
      </c>
      <c r="P112" s="4" t="str">
        <f t="shared" si="36"/>
        <v>ECEQSRHLDLAVQVTEVIAYTHCCVNPVIYAFV</v>
      </c>
      <c r="Q112" s="4" t="str">
        <f t="shared" si="37"/>
        <v>GERFRKYLRQLFH</v>
      </c>
      <c r="R112" s="5">
        <f>VLOOKUP($A112,'SegEnds_NonXtal_Prot#'!$A:$AL,3,FALSE)</f>
        <v>26</v>
      </c>
      <c r="S112" s="5">
        <f>VLOOKUP($A112,'SegEnds_NonXtal_Prot#'!$A:$AL,6,FALSE)</f>
        <v>63</v>
      </c>
      <c r="T112" s="5">
        <f>VLOOKUP($A112,'SegEnds_NonXtal_Prot#'!$A:$AL,9,FALSE)</f>
        <v>67</v>
      </c>
      <c r="U112" s="5">
        <f>VLOOKUP($A112,'SegEnds_NonXtal_Prot#'!$A:$AL,12,FALSE)</f>
        <v>98</v>
      </c>
      <c r="V112" s="5">
        <f>VLOOKUP($A112,'SegEnds_NonXtal_Prot#'!$A:$AL,15,FALSE)</f>
        <v>102</v>
      </c>
      <c r="W112" s="5">
        <f>VLOOKUP($A112,'SegEnds_NonXtal_Prot#'!$A:$AL,18,FALSE)</f>
        <v>138</v>
      </c>
      <c r="X112" s="5">
        <f>VLOOKUP($A112,'SegEnds_NonXtal_Prot#'!$A:$AL,21,FALSE)</f>
        <v>146</v>
      </c>
      <c r="Y112" s="5">
        <f>VLOOKUP($A112,'SegEnds_NonXtal_Prot#'!$A:$AL,24,FALSE)</f>
        <v>183</v>
      </c>
      <c r="Z112" s="5">
        <f>VLOOKUP($A112,'SegEnds_NonXtal_Prot#'!$A:$AL,27,FALSE)</f>
        <v>191</v>
      </c>
      <c r="AA112" s="5">
        <f>VLOOKUP($A112,'SegEnds_NonXtal_Prot#'!$A:$AL,30,FALSE)</f>
        <v>234</v>
      </c>
      <c r="AB112" s="5">
        <f>VLOOKUP($A112,'SegEnds_NonXtal_Prot#'!$A:$AL,33,FALSE)</f>
        <v>272</v>
      </c>
      <c r="AC112" s="5">
        <f>VLOOKUP($A112,'SegEnds_NonXtal_Prot#'!$A:$AL,36,FALSE)</f>
        <v>305</v>
      </c>
      <c r="AD112" s="5">
        <f>VLOOKUP($A112,'SegEnds_NonXtal_Prot#'!$A:$AL,5,FALSE)</f>
        <v>62</v>
      </c>
      <c r="AE112" s="5">
        <f>VLOOKUP($A112,'SegEnds_NonXtal_Prot#'!$A:$AL,8,FALSE)</f>
        <v>66</v>
      </c>
      <c r="AF112" s="5">
        <f>VLOOKUP($A112,'SegEnds_NonXtal_Prot#'!$A:$AL,11,FALSE)</f>
        <v>96</v>
      </c>
      <c r="AG112" s="5">
        <f>VLOOKUP($A112,'SegEnds_NonXtal_Prot#'!$A:$AL,14,FALSE)</f>
        <v>101</v>
      </c>
      <c r="AH112" s="5">
        <f>VLOOKUP($A112,'SegEnds_NonXtal_Prot#'!$A:$AL,17,FALSE)</f>
        <v>137</v>
      </c>
      <c r="AI112" s="5">
        <f>VLOOKUP($A112,'SegEnds_NonXtal_Prot#'!$A:$AL,20,FALSE)</f>
        <v>145</v>
      </c>
      <c r="AJ112" s="5">
        <f>VLOOKUP($A112,'SegEnds_NonXtal_Prot#'!$A:$AL,23,FALSE)</f>
        <v>172</v>
      </c>
      <c r="AK112" s="5">
        <f>VLOOKUP($A112,'SegEnds_NonXtal_Prot#'!$A:$AL,26,FALSE)</f>
        <v>185</v>
      </c>
      <c r="AL112" s="5">
        <f>VLOOKUP($A112,'SegEnds_NonXtal_Prot#'!$A:$AL,29,FALSE)</f>
        <v>229</v>
      </c>
      <c r="AM112" s="5">
        <f>VLOOKUP($A112,'SegEnds_NonXtal_Prot#'!$A:$AL,32,FALSE)</f>
        <v>269</v>
      </c>
      <c r="AN112" s="5">
        <f>VLOOKUP($A112,'SegEnds_NonXtal_Prot#'!$A:$AL,35,FALSE)</f>
        <v>304</v>
      </c>
      <c r="AO112" s="5">
        <f>VLOOKUP($A112,'SegEnds_NonXtal_Prot#'!$A:$AL,38,FALSE)</f>
        <v>317</v>
      </c>
      <c r="AP112" s="5">
        <f t="shared" si="38"/>
        <v>36</v>
      </c>
      <c r="AQ112" s="4">
        <f t="shared" si="39"/>
        <v>3</v>
      </c>
      <c r="AR112" s="4">
        <f t="shared" si="40"/>
        <v>29</v>
      </c>
      <c r="AS112" s="4">
        <f t="shared" si="41"/>
        <v>3</v>
      </c>
      <c r="AT112" s="4">
        <f t="shared" si="42"/>
        <v>35</v>
      </c>
      <c r="AU112" s="4">
        <f t="shared" si="43"/>
        <v>7</v>
      </c>
      <c r="AV112" s="4">
        <f t="shared" si="44"/>
        <v>26</v>
      </c>
      <c r="AW112" s="4">
        <f t="shared" si="45"/>
        <v>2</v>
      </c>
      <c r="AX112" s="4">
        <f t="shared" si="46"/>
        <v>38</v>
      </c>
      <c r="AY112" s="4">
        <f t="shared" si="47"/>
        <v>35</v>
      </c>
      <c r="AZ112" s="4">
        <f t="shared" si="48"/>
        <v>32</v>
      </c>
      <c r="BA112" s="4">
        <f t="shared" si="49"/>
        <v>12</v>
      </c>
    </row>
    <row r="113" spans="1:53" x14ac:dyDescent="0.2">
      <c r="A113" s="1" t="str">
        <f>'SegEnds_NonXtal_Prot#'!A82</f>
        <v>ccr2_human</v>
      </c>
      <c r="B113" s="1" t="str">
        <f t="shared" si="25"/>
        <v>VKQIGAQLLPPLYSLVFIFGFVGNMLVVLILINCCLTDIYLLNLAISDLLFLITLPLWAHSAANGNAMCKLFTGLYHIGYFGGIFFIILLTIDRYLAIVHTVTFGVVTSVITWLVAVFASVPGIIFTPRGWNNFHTIMRNILGLVLPLLIMVICYSGILKTLLRCKKRHRAVRVIFTIMIVYFLFWTPYNIVILLNTFQEFFGNCESTSQLDQATQVTETLGMTHCCINPIIYAFVGEKFRSLFHIAL</v>
      </c>
      <c r="C113" s="29" t="str">
        <f>IF(ISERROR(MATCH(A113,'SegEnds_Xtal_Prot#'!B:B, 0)), "NoXtal", "Xtal")</f>
        <v>Xtal</v>
      </c>
      <c r="D113" s="4" t="str">
        <f>VLOOKUP(A113,Classification!A:D,2,FALSE)</f>
        <v>A</v>
      </c>
      <c r="E113" s="5" t="str">
        <f>VLOOKUP(A113,Seqs!A:B,2,FALSE)</f>
        <v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</v>
      </c>
      <c r="F113" s="5" t="str">
        <f t="shared" si="26"/>
        <v>VKQIGAQLLPPLYSLVFIFGFVGNMLVVLILINC</v>
      </c>
      <c r="G113" s="4" t="str">
        <f t="shared" si="27"/>
        <v>KKLK</v>
      </c>
      <c r="H113" s="4" t="str">
        <f t="shared" si="28"/>
        <v>CLTDIYLLNLAISDLLFLITLPLWAHSAAN</v>
      </c>
      <c r="I113" s="4" t="str">
        <f t="shared" si="29"/>
        <v>EWVF</v>
      </c>
      <c r="J113" s="4" t="str">
        <f t="shared" si="30"/>
        <v>GNAMCKLFTGLYHIGYFGGIFFIILLTIDRYLAIVH</v>
      </c>
      <c r="K113" s="4" t="str">
        <f t="shared" si="31"/>
        <v>AVFALKAR</v>
      </c>
      <c r="L113" s="4" t="str">
        <f t="shared" si="32"/>
        <v>TVTFGVVTSVITWLVAVFASVPGIIFT</v>
      </c>
      <c r="M113" s="4" t="str">
        <f t="shared" si="33"/>
        <v>CGP</v>
      </c>
      <c r="N113" s="4" t="str">
        <f t="shared" si="34"/>
        <v>PRGWNNFHTIMRNILGLVLPLLIMVICYSGILKTLLRC</v>
      </c>
      <c r="O113" s="4" t="str">
        <f t="shared" si="35"/>
        <v>KKRHRAVRVIFTIMIVYFLFWTPYNIVILLNTFQEFFG</v>
      </c>
      <c r="P113" s="4" t="str">
        <f t="shared" si="36"/>
        <v>NCESTSQLDQATQVTETLGMTHCCINPIIYAFV</v>
      </c>
      <c r="Q113" s="4" t="str">
        <f t="shared" si="37"/>
        <v>GEKFRSLFHIAL</v>
      </c>
      <c r="R113" s="5">
        <f>VLOOKUP($A113,'SegEnds_NonXtal_Prot#'!$A:$AL,3,FALSE)</f>
        <v>37</v>
      </c>
      <c r="S113" s="5">
        <f>VLOOKUP($A113,'SegEnds_NonXtal_Prot#'!$A:$AL,6,FALSE)</f>
        <v>71</v>
      </c>
      <c r="T113" s="5">
        <f>VLOOKUP($A113,'SegEnds_NonXtal_Prot#'!$A:$AL,9,FALSE)</f>
        <v>75</v>
      </c>
      <c r="U113" s="5">
        <f>VLOOKUP($A113,'SegEnds_NonXtal_Prot#'!$A:$AL,12,FALSE)</f>
        <v>105</v>
      </c>
      <c r="V113" s="5">
        <f>VLOOKUP($A113,'SegEnds_NonXtal_Prot#'!$A:$AL,15,FALSE)</f>
        <v>109</v>
      </c>
      <c r="W113" s="5">
        <f>VLOOKUP($A113,'SegEnds_NonXtal_Prot#'!$A:$AL,18,FALSE)</f>
        <v>145</v>
      </c>
      <c r="X113" s="5">
        <f>VLOOKUP($A113,'SegEnds_NonXtal_Prot#'!$A:$AL,21,FALSE)</f>
        <v>153</v>
      </c>
      <c r="Y113" s="5">
        <f>VLOOKUP($A113,'SegEnds_NonXtal_Prot#'!$A:$AL,24,FALSE)</f>
        <v>190</v>
      </c>
      <c r="Z113" s="5">
        <f>VLOOKUP($A113,'SegEnds_NonXtal_Prot#'!$A:$AL,27,FALSE)</f>
        <v>195</v>
      </c>
      <c r="AA113" s="5">
        <f>VLOOKUP($A113,'SegEnds_NonXtal_Prot#'!$A:$AL,30,FALSE)</f>
        <v>236</v>
      </c>
      <c r="AB113" s="5">
        <f>VLOOKUP($A113,'SegEnds_NonXtal_Prot#'!$A:$AL,33,FALSE)</f>
        <v>276</v>
      </c>
      <c r="AC113" s="5">
        <f>VLOOKUP($A113,'SegEnds_NonXtal_Prot#'!$A:$AL,36,FALSE)</f>
        <v>309</v>
      </c>
      <c r="AD113" s="5">
        <f>VLOOKUP($A113,'SegEnds_NonXtal_Prot#'!$A:$AL,5,FALSE)</f>
        <v>70</v>
      </c>
      <c r="AE113" s="5">
        <f>VLOOKUP($A113,'SegEnds_NonXtal_Prot#'!$A:$AL,8,FALSE)</f>
        <v>74</v>
      </c>
      <c r="AF113" s="5">
        <f>VLOOKUP($A113,'SegEnds_NonXtal_Prot#'!$A:$AL,11,FALSE)</f>
        <v>104</v>
      </c>
      <c r="AG113" s="5">
        <f>VLOOKUP($A113,'SegEnds_NonXtal_Prot#'!$A:$AL,14,FALSE)</f>
        <v>108</v>
      </c>
      <c r="AH113" s="5">
        <f>VLOOKUP($A113,'SegEnds_NonXtal_Prot#'!$A:$AL,17,FALSE)</f>
        <v>144</v>
      </c>
      <c r="AI113" s="5">
        <f>VLOOKUP($A113,'SegEnds_NonXtal_Prot#'!$A:$AL,20,FALSE)</f>
        <v>152</v>
      </c>
      <c r="AJ113" s="5">
        <f>VLOOKUP($A113,'SegEnds_NonXtal_Prot#'!$A:$AL,23,FALSE)</f>
        <v>179</v>
      </c>
      <c r="AK113" s="5">
        <f>VLOOKUP($A113,'SegEnds_NonXtal_Prot#'!$A:$AL,26,FALSE)</f>
        <v>192</v>
      </c>
      <c r="AL113" s="5">
        <f>VLOOKUP($A113,'SegEnds_NonXtal_Prot#'!$A:$AL,29,FALSE)</f>
        <v>232</v>
      </c>
      <c r="AM113" s="5">
        <f>VLOOKUP($A113,'SegEnds_NonXtal_Prot#'!$A:$AL,32,FALSE)</f>
        <v>273</v>
      </c>
      <c r="AN113" s="5">
        <f>VLOOKUP($A113,'SegEnds_NonXtal_Prot#'!$A:$AL,35,FALSE)</f>
        <v>308</v>
      </c>
      <c r="AO113" s="5">
        <f>VLOOKUP($A113,'SegEnds_NonXtal_Prot#'!$A:$AL,38,FALSE)</f>
        <v>320</v>
      </c>
      <c r="AP113" s="5">
        <f t="shared" si="38"/>
        <v>33</v>
      </c>
      <c r="AQ113" s="4">
        <f t="shared" si="39"/>
        <v>3</v>
      </c>
      <c r="AR113" s="4">
        <f t="shared" si="40"/>
        <v>29</v>
      </c>
      <c r="AS113" s="4">
        <f t="shared" si="41"/>
        <v>3</v>
      </c>
      <c r="AT113" s="4">
        <f t="shared" si="42"/>
        <v>35</v>
      </c>
      <c r="AU113" s="4">
        <f t="shared" si="43"/>
        <v>7</v>
      </c>
      <c r="AV113" s="4">
        <f t="shared" si="44"/>
        <v>26</v>
      </c>
      <c r="AW113" s="4">
        <f t="shared" si="45"/>
        <v>2</v>
      </c>
      <c r="AX113" s="4">
        <f t="shared" si="46"/>
        <v>37</v>
      </c>
      <c r="AY113" s="4">
        <f t="shared" si="47"/>
        <v>37</v>
      </c>
      <c r="AZ113" s="4">
        <f t="shared" si="48"/>
        <v>32</v>
      </c>
      <c r="BA113" s="4">
        <f t="shared" si="49"/>
        <v>11</v>
      </c>
    </row>
    <row r="114" spans="1:53" x14ac:dyDescent="0.2">
      <c r="A114" s="1" t="str">
        <f>'SegEnds_NonXtal_Prot#'!A83</f>
        <v>ccr3_human</v>
      </c>
      <c r="B114" s="1" t="str">
        <f t="shared" si="25"/>
        <v>KADTRALMAQFVPPLYSLVFTVGLLGNVVVVMILIKYIMTNIYLLNLAISDLLFLVTLPFWIHYVRGGHGMCKLLSGFYHTGLYSEIFFIILLTIDRYLAIVHTVTFGVITSIVTWGLAVLAALPEFIFYTVYSWRHFHTLRMTIFCLVLPLLVMAICYTGIIKTLLRCKYKAIRLIFVIMAVFFIFWTPYNVAILLSSYQSILFDCERSKHLDLVMLVTEVIAYSHCCMNPVIYAFVGERFRKYLRHFFH</v>
      </c>
      <c r="C114" s="29" t="str">
        <f>IF(ISERROR(MATCH(A114,'SegEnds_Xtal_Prot#'!B:B, 0)), "NoXtal", "Xtal")</f>
        <v>NoXtal</v>
      </c>
      <c r="D114" s="4" t="str">
        <f>VLOOKUP(A114,Classification!A:D,2,FALSE)</f>
        <v>A</v>
      </c>
      <c r="E114" s="5" t="str">
        <f>VLOOKUP(A114,Seqs!A:B,2,FALSE)</f>
        <v>MTTSLDTVETFGTTSYYDDVGLLCEKADTRALMAQFVPPLYSLVFTVGLLGNVVVVMILIKYRRLRIMTNIYLLNLAISDLLFLVTLPFWIHYVRGHNWVFGHGMCKLLSGFYHTGLYSEIFFIILLTIDRYLAIVHAVFALRARTVTFGVITSIVTWGLAVLAALPEFIFYETEELFEETLCSALYPEDTVYSWRHFHTLRMTIFCLVLPLLVMAICYTGIIKTLLRCPSKKKYKAIRLIFVIMAVFFIFWTPYNVAILLSSYQSILFGNDCERSKHLDLVMLVTEVIAYSHCCMNPVIYAFVGERFRKYLRHFFHRHLLMHLGRYIPFLPSEKLERTSSVSPSTAEPELSIVF</v>
      </c>
      <c r="F114" s="5" t="str">
        <f t="shared" si="26"/>
        <v>KADTRALMAQFVPPLYSLVFTVGLLGNVVVVMILIKY</v>
      </c>
      <c r="G114" s="4" t="str">
        <f t="shared" si="27"/>
        <v>RRLR</v>
      </c>
      <c r="H114" s="4" t="str">
        <f t="shared" si="28"/>
        <v>IMTNIYLLNLAISDLLFLVTLPFWIHYVRG</v>
      </c>
      <c r="I114" s="4" t="str">
        <f t="shared" si="29"/>
        <v>NWVF</v>
      </c>
      <c r="J114" s="4" t="str">
        <f t="shared" si="30"/>
        <v>GHGMCKLLSGFYHTGLYSEIFFIILLTIDRYLAIVH</v>
      </c>
      <c r="K114" s="4" t="str">
        <f t="shared" si="31"/>
        <v>AVFALRAR</v>
      </c>
      <c r="L114" s="4" t="str">
        <f t="shared" si="32"/>
        <v>TVTFGVITSIVTWGLAVLAALPEFIFY</v>
      </c>
      <c r="M114" s="4" t="str">
        <f t="shared" si="33"/>
        <v>CSA</v>
      </c>
      <c r="N114" s="4" t="str">
        <f t="shared" si="34"/>
        <v>TVYSWRHFHTLRMTIFCLVLPLLVMAICYTGIIKTLLRC</v>
      </c>
      <c r="O114" s="4" t="str">
        <f t="shared" si="35"/>
        <v>KYKAIRLIFVIMAVFFIFWTPYNVAILLSSYQSILF</v>
      </c>
      <c r="P114" s="4" t="str">
        <f t="shared" si="36"/>
        <v>DCERSKHLDLVMLVTEVIAYSHCCMNPVIYAFV</v>
      </c>
      <c r="Q114" s="4" t="str">
        <f t="shared" si="37"/>
        <v>GERFRKYLRHFFH</v>
      </c>
      <c r="R114" s="5">
        <f>VLOOKUP($A114,'SegEnds_NonXtal_Prot#'!$A:$AL,3,FALSE)</f>
        <v>26</v>
      </c>
      <c r="S114" s="5">
        <f>VLOOKUP($A114,'SegEnds_NonXtal_Prot#'!$A:$AL,6,FALSE)</f>
        <v>63</v>
      </c>
      <c r="T114" s="5">
        <f>VLOOKUP($A114,'SegEnds_NonXtal_Prot#'!$A:$AL,9,FALSE)</f>
        <v>67</v>
      </c>
      <c r="U114" s="5">
        <f>VLOOKUP($A114,'SegEnds_NonXtal_Prot#'!$A:$AL,12,FALSE)</f>
        <v>98</v>
      </c>
      <c r="V114" s="5">
        <f>VLOOKUP($A114,'SegEnds_NonXtal_Prot#'!$A:$AL,15,FALSE)</f>
        <v>102</v>
      </c>
      <c r="W114" s="5">
        <f>VLOOKUP($A114,'SegEnds_NonXtal_Prot#'!$A:$AL,18,FALSE)</f>
        <v>138</v>
      </c>
      <c r="X114" s="5">
        <f>VLOOKUP($A114,'SegEnds_NonXtal_Prot#'!$A:$AL,21,FALSE)</f>
        <v>146</v>
      </c>
      <c r="Y114" s="5">
        <f>VLOOKUP($A114,'SegEnds_NonXtal_Prot#'!$A:$AL,24,FALSE)</f>
        <v>183</v>
      </c>
      <c r="Z114" s="5">
        <f>VLOOKUP($A114,'SegEnds_NonXtal_Prot#'!$A:$AL,27,FALSE)</f>
        <v>191</v>
      </c>
      <c r="AA114" s="5">
        <f>VLOOKUP($A114,'SegEnds_NonXtal_Prot#'!$A:$AL,30,FALSE)</f>
        <v>234</v>
      </c>
      <c r="AB114" s="5">
        <f>VLOOKUP($A114,'SegEnds_NonXtal_Prot#'!$A:$AL,33,FALSE)</f>
        <v>272</v>
      </c>
      <c r="AC114" s="5">
        <f>VLOOKUP($A114,'SegEnds_NonXtal_Prot#'!$A:$AL,36,FALSE)</f>
        <v>305</v>
      </c>
      <c r="AD114" s="5">
        <f>VLOOKUP($A114,'SegEnds_NonXtal_Prot#'!$A:$AL,5,FALSE)</f>
        <v>62</v>
      </c>
      <c r="AE114" s="5">
        <f>VLOOKUP($A114,'SegEnds_NonXtal_Prot#'!$A:$AL,8,FALSE)</f>
        <v>66</v>
      </c>
      <c r="AF114" s="5">
        <f>VLOOKUP($A114,'SegEnds_NonXtal_Prot#'!$A:$AL,11,FALSE)</f>
        <v>96</v>
      </c>
      <c r="AG114" s="5">
        <f>VLOOKUP($A114,'SegEnds_NonXtal_Prot#'!$A:$AL,14,FALSE)</f>
        <v>101</v>
      </c>
      <c r="AH114" s="5">
        <f>VLOOKUP($A114,'SegEnds_NonXtal_Prot#'!$A:$AL,17,FALSE)</f>
        <v>137</v>
      </c>
      <c r="AI114" s="5">
        <f>VLOOKUP($A114,'SegEnds_NonXtal_Prot#'!$A:$AL,20,FALSE)</f>
        <v>145</v>
      </c>
      <c r="AJ114" s="5">
        <f>VLOOKUP($A114,'SegEnds_NonXtal_Prot#'!$A:$AL,23,FALSE)</f>
        <v>172</v>
      </c>
      <c r="AK114" s="5">
        <f>VLOOKUP($A114,'SegEnds_NonXtal_Prot#'!$A:$AL,26,FALSE)</f>
        <v>185</v>
      </c>
      <c r="AL114" s="5">
        <f>VLOOKUP($A114,'SegEnds_NonXtal_Prot#'!$A:$AL,29,FALSE)</f>
        <v>229</v>
      </c>
      <c r="AM114" s="5">
        <f>VLOOKUP($A114,'SegEnds_NonXtal_Prot#'!$A:$AL,32,FALSE)</f>
        <v>269</v>
      </c>
      <c r="AN114" s="5">
        <f>VLOOKUP($A114,'SegEnds_NonXtal_Prot#'!$A:$AL,35,FALSE)</f>
        <v>304</v>
      </c>
      <c r="AO114" s="5">
        <f>VLOOKUP($A114,'SegEnds_NonXtal_Prot#'!$A:$AL,38,FALSE)</f>
        <v>317</v>
      </c>
      <c r="AP114" s="5">
        <f t="shared" si="38"/>
        <v>36</v>
      </c>
      <c r="AQ114" s="4">
        <f t="shared" si="39"/>
        <v>3</v>
      </c>
      <c r="AR114" s="4">
        <f t="shared" si="40"/>
        <v>29</v>
      </c>
      <c r="AS114" s="4">
        <f t="shared" si="41"/>
        <v>3</v>
      </c>
      <c r="AT114" s="4">
        <f t="shared" si="42"/>
        <v>35</v>
      </c>
      <c r="AU114" s="4">
        <f t="shared" si="43"/>
        <v>7</v>
      </c>
      <c r="AV114" s="4">
        <f t="shared" si="44"/>
        <v>26</v>
      </c>
      <c r="AW114" s="4">
        <f t="shared" si="45"/>
        <v>2</v>
      </c>
      <c r="AX114" s="4">
        <f t="shared" si="46"/>
        <v>38</v>
      </c>
      <c r="AY114" s="4">
        <f t="shared" si="47"/>
        <v>35</v>
      </c>
      <c r="AZ114" s="4">
        <f t="shared" si="48"/>
        <v>32</v>
      </c>
      <c r="BA114" s="4">
        <f t="shared" si="49"/>
        <v>12</v>
      </c>
    </row>
    <row r="115" spans="1:53" x14ac:dyDescent="0.2">
      <c r="A115" s="1" t="str">
        <f>'SegEnds_NonXtal_Prot#'!A84</f>
        <v>ccr4_human</v>
      </c>
      <c r="B115" s="1" t="str">
        <f t="shared" si="25"/>
        <v>KEGIKAFGELFLPPLYSLVFVFGLLGNSVVVLVLFKYSMTDVYLLNLAISDLLFVFSLPFWGYYAADGLGLCKMISWMYLVGFYSGIFFVMLMSIDRYLAIVHTLTYGVITSLATWSVAVFASLPGFLFSNSTTWKVLSSLEINILGLVIPLGIMLFCYSMIIRTLQHCKNKAVKMIFAVVVLFLGFWTPYNIVLFLETLVELEVDCTFERYLDYAIQATETLAFVHCCLNPIIYFFLGEKFRKYILQLFK</v>
      </c>
      <c r="C115" s="29" t="str">
        <f>IF(ISERROR(MATCH(A115,'SegEnds_Xtal_Prot#'!B:B, 0)), "NoXtal", "Xtal")</f>
        <v>NoXtal</v>
      </c>
      <c r="D115" s="4" t="str">
        <f>VLOOKUP(A115,Classification!A:D,2,FALSE)</f>
        <v>A</v>
      </c>
      <c r="E115" s="5" t="str">
        <f>VLOOKUP(A115,Seqs!A:B,2,FALSE)</f>
        <v>MNPTDIADTTLDESIYSNYYLYESIPKPCTKEGIKAFGELFLPPLYSLVFVFGLLGNSVVVLVLFKYKRLRSMTDVYLLNLAISDLLFVFSLPFWGYYAADQWVFGLGLCKMISWMYLVGFYSGIFFVMLMSIDRYLAIVHAVFSLRARTLTYGVITSLATWSVAVFASLPGFLFSTCYTERNHTYCKTKYSLNSTTWKVLSSLEINILGLVIPLGIMLFCYSMIIRTLQHCKNEKKNKAVKMIFAVVVLFLGFWTPYNIVLFLETLVELEVLQDCTFERYLDYAIQATETLAFVHCCLNPIIYFFLGEKFRKYILQLFKTCRGLFVLCQYCGLLQIYSADTPSSSYTQSTMDHDLHDAL</v>
      </c>
      <c r="F115" s="5" t="str">
        <f t="shared" si="26"/>
        <v>KEGIKAFGELFLPPLYSLVFVFGLLGNSVVVLVLFKY</v>
      </c>
      <c r="G115" s="4" t="str">
        <f t="shared" si="27"/>
        <v>KRLR</v>
      </c>
      <c r="H115" s="4" t="str">
        <f t="shared" si="28"/>
        <v>SMTDVYLLNLAISDLLFVFSLPFWGYYAAD</v>
      </c>
      <c r="I115" s="4" t="str">
        <f t="shared" si="29"/>
        <v>QWVF</v>
      </c>
      <c r="J115" s="4" t="str">
        <f t="shared" si="30"/>
        <v>GLGLCKMISWMYLVGFYSGIFFVMLMSIDRYLAIVH</v>
      </c>
      <c r="K115" s="4" t="str">
        <f t="shared" si="31"/>
        <v>AVFSLRAR</v>
      </c>
      <c r="L115" s="4" t="str">
        <f t="shared" si="32"/>
        <v>TLTYGVITSLATWSVAVFASLPGFLFS</v>
      </c>
      <c r="M115" s="4" t="str">
        <f t="shared" si="33"/>
        <v>CKT</v>
      </c>
      <c r="N115" s="4" t="str">
        <f t="shared" si="34"/>
        <v>NSTTWKVLSSLEINILGLVIPLGIMLFCYSMIIRTLQHC</v>
      </c>
      <c r="O115" s="4" t="str">
        <f t="shared" si="35"/>
        <v>KNKAVKMIFAVVVLFLGFWTPYNIVLFLETLVELEV</v>
      </c>
      <c r="P115" s="4" t="str">
        <f t="shared" si="36"/>
        <v>DCTFERYLDYAIQATETLAFVHCCLNPIIYFFL</v>
      </c>
      <c r="Q115" s="4" t="str">
        <f t="shared" si="37"/>
        <v>GEKFRKYILQLFK</v>
      </c>
      <c r="R115" s="5">
        <f>VLOOKUP($A115,'SegEnds_NonXtal_Prot#'!$A:$AL,3,FALSE)</f>
        <v>31</v>
      </c>
      <c r="S115" s="5">
        <f>VLOOKUP($A115,'SegEnds_NonXtal_Prot#'!$A:$AL,6,FALSE)</f>
        <v>68</v>
      </c>
      <c r="T115" s="5">
        <f>VLOOKUP($A115,'SegEnds_NonXtal_Prot#'!$A:$AL,9,FALSE)</f>
        <v>72</v>
      </c>
      <c r="U115" s="5">
        <f>VLOOKUP($A115,'SegEnds_NonXtal_Prot#'!$A:$AL,12,FALSE)</f>
        <v>102</v>
      </c>
      <c r="V115" s="5">
        <f>VLOOKUP($A115,'SegEnds_NonXtal_Prot#'!$A:$AL,15,FALSE)</f>
        <v>106</v>
      </c>
      <c r="W115" s="5">
        <f>VLOOKUP($A115,'SegEnds_NonXtal_Prot#'!$A:$AL,18,FALSE)</f>
        <v>142</v>
      </c>
      <c r="X115" s="5">
        <f>VLOOKUP($A115,'SegEnds_NonXtal_Prot#'!$A:$AL,21,FALSE)</f>
        <v>150</v>
      </c>
      <c r="Y115" s="5">
        <f>VLOOKUP($A115,'SegEnds_NonXtal_Prot#'!$A:$AL,24,FALSE)</f>
        <v>187</v>
      </c>
      <c r="Z115" s="5">
        <f>VLOOKUP($A115,'SegEnds_NonXtal_Prot#'!$A:$AL,27,FALSE)</f>
        <v>194</v>
      </c>
      <c r="AA115" s="5">
        <f>VLOOKUP($A115,'SegEnds_NonXtal_Prot#'!$A:$AL,30,FALSE)</f>
        <v>237</v>
      </c>
      <c r="AB115" s="5">
        <f>VLOOKUP($A115,'SegEnds_NonXtal_Prot#'!$A:$AL,33,FALSE)</f>
        <v>275</v>
      </c>
      <c r="AC115" s="5">
        <f>VLOOKUP($A115,'SegEnds_NonXtal_Prot#'!$A:$AL,36,FALSE)</f>
        <v>308</v>
      </c>
      <c r="AD115" s="5">
        <f>VLOOKUP($A115,'SegEnds_NonXtal_Prot#'!$A:$AL,5,FALSE)</f>
        <v>67</v>
      </c>
      <c r="AE115" s="5">
        <f>VLOOKUP($A115,'SegEnds_NonXtal_Prot#'!$A:$AL,8,FALSE)</f>
        <v>71</v>
      </c>
      <c r="AF115" s="5">
        <f>VLOOKUP($A115,'SegEnds_NonXtal_Prot#'!$A:$AL,11,FALSE)</f>
        <v>101</v>
      </c>
      <c r="AG115" s="5">
        <f>VLOOKUP($A115,'SegEnds_NonXtal_Prot#'!$A:$AL,14,FALSE)</f>
        <v>105</v>
      </c>
      <c r="AH115" s="5">
        <f>VLOOKUP($A115,'SegEnds_NonXtal_Prot#'!$A:$AL,17,FALSE)</f>
        <v>141</v>
      </c>
      <c r="AI115" s="5">
        <f>VLOOKUP($A115,'SegEnds_NonXtal_Prot#'!$A:$AL,20,FALSE)</f>
        <v>149</v>
      </c>
      <c r="AJ115" s="5">
        <f>VLOOKUP($A115,'SegEnds_NonXtal_Prot#'!$A:$AL,23,FALSE)</f>
        <v>176</v>
      </c>
      <c r="AK115" s="5">
        <f>VLOOKUP($A115,'SegEnds_NonXtal_Prot#'!$A:$AL,26,FALSE)</f>
        <v>189</v>
      </c>
      <c r="AL115" s="5">
        <f>VLOOKUP($A115,'SegEnds_NonXtal_Prot#'!$A:$AL,29,FALSE)</f>
        <v>232</v>
      </c>
      <c r="AM115" s="5">
        <f>VLOOKUP($A115,'SegEnds_NonXtal_Prot#'!$A:$AL,32,FALSE)</f>
        <v>272</v>
      </c>
      <c r="AN115" s="5">
        <f>VLOOKUP($A115,'SegEnds_NonXtal_Prot#'!$A:$AL,35,FALSE)</f>
        <v>307</v>
      </c>
      <c r="AO115" s="5">
        <f>VLOOKUP($A115,'SegEnds_NonXtal_Prot#'!$A:$AL,38,FALSE)</f>
        <v>320</v>
      </c>
      <c r="AP115" s="5">
        <f t="shared" si="38"/>
        <v>36</v>
      </c>
      <c r="AQ115" s="4">
        <f t="shared" si="39"/>
        <v>3</v>
      </c>
      <c r="AR115" s="4">
        <f t="shared" si="40"/>
        <v>29</v>
      </c>
      <c r="AS115" s="4">
        <f t="shared" si="41"/>
        <v>3</v>
      </c>
      <c r="AT115" s="4">
        <f t="shared" si="42"/>
        <v>35</v>
      </c>
      <c r="AU115" s="4">
        <f t="shared" si="43"/>
        <v>7</v>
      </c>
      <c r="AV115" s="4">
        <f t="shared" si="44"/>
        <v>26</v>
      </c>
      <c r="AW115" s="4">
        <f t="shared" si="45"/>
        <v>2</v>
      </c>
      <c r="AX115" s="4">
        <f t="shared" si="46"/>
        <v>38</v>
      </c>
      <c r="AY115" s="4">
        <f t="shared" si="47"/>
        <v>35</v>
      </c>
      <c r="AZ115" s="4">
        <f t="shared" si="48"/>
        <v>32</v>
      </c>
      <c r="BA115" s="4">
        <f t="shared" si="49"/>
        <v>12</v>
      </c>
    </row>
    <row r="116" spans="1:53" x14ac:dyDescent="0.2">
      <c r="A116" s="1" t="str">
        <f>'SegEnds_NonXtal_Prot#'!A85</f>
        <v>ccr5_human</v>
      </c>
      <c r="B116" s="1" t="str">
        <f t="shared" si="25"/>
        <v>KINVKQIAARLLPPLYSLVFIFGFVGNMLVILILINCSMTDIYLLNLAISDLFFLLTVPFWAHYAAAGNTMCQLLTGLYFIGFFSGIFFIILLTIDRYLAVVHTVTFGVVTSVITWVVAVFASLPGIIFTQYQFWKNFQTLKIVILGLVLPLLVMVICYSGILKTLLRCKKRHRAVRLIFTIMIVYFLFWAPYNIVLLLNTFQEFFGNCSSSNRLDQAMQVTETLGMTHCCINPIIYAFVGEKFRNYLLVFFQ</v>
      </c>
      <c r="C116" s="29" t="str">
        <f>IF(ISERROR(MATCH(A116,'SegEnds_Xtal_Prot#'!B:B, 0)), "NoXtal", "Xtal")</f>
        <v>Xtal</v>
      </c>
      <c r="D116" s="4" t="str">
        <f>VLOOKUP(A116,Classification!A:D,2,FALSE)</f>
        <v>A</v>
      </c>
      <c r="E116" s="5" t="str">
        <f>VLOOKUP(A116,Seqs!A:B,2,FALSE)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F116" s="5" t="str">
        <f t="shared" si="26"/>
        <v>KINVKQIAARLLPPLYSLVFIFGFVGNMLVILILINC</v>
      </c>
      <c r="G116" s="4" t="str">
        <f t="shared" si="27"/>
        <v>KRLK</v>
      </c>
      <c r="H116" s="4" t="str">
        <f t="shared" si="28"/>
        <v>SMTDIYLLNLAISDLFFLLTVPFWAHYAAA</v>
      </c>
      <c r="I116" s="4" t="str">
        <f t="shared" si="29"/>
        <v>QWDF</v>
      </c>
      <c r="J116" s="4" t="str">
        <f t="shared" si="30"/>
        <v>GNTMCQLLTGLYFIGFFSGIFFIILLTIDRYLAVVH</v>
      </c>
      <c r="K116" s="4" t="str">
        <f t="shared" si="31"/>
        <v>AVFALKAR</v>
      </c>
      <c r="L116" s="4" t="str">
        <f t="shared" si="32"/>
        <v>TVTFGVVTSVITWVVAVFASLPGIIFT</v>
      </c>
      <c r="M116" s="4" t="str">
        <f t="shared" si="33"/>
        <v>CSS</v>
      </c>
      <c r="N116" s="4" t="str">
        <f t="shared" si="34"/>
        <v>QYQFWKNFQTLKIVILGLVLPLLVMVICYSGILKTLLRC</v>
      </c>
      <c r="O116" s="4" t="str">
        <f t="shared" si="35"/>
        <v>KKRHRAVRLIFTIMIVYFLFWAPYNIVLLLNTFQEFFG</v>
      </c>
      <c r="P116" s="4" t="str">
        <f t="shared" si="36"/>
        <v>NCSSSNRLDQAMQVTETLGMTHCCINPIIYAFV</v>
      </c>
      <c r="Q116" s="4" t="str">
        <f t="shared" si="37"/>
        <v>GEKFRNYLLVFFQ</v>
      </c>
      <c r="R116" s="5">
        <f>VLOOKUP($A116,'SegEnds_NonXtal_Prot#'!$A:$AL,3,FALSE)</f>
        <v>22</v>
      </c>
      <c r="S116" s="5">
        <f>VLOOKUP($A116,'SegEnds_NonXtal_Prot#'!$A:$AL,6,FALSE)</f>
        <v>59</v>
      </c>
      <c r="T116" s="5">
        <f>VLOOKUP($A116,'SegEnds_NonXtal_Prot#'!$A:$AL,9,FALSE)</f>
        <v>63</v>
      </c>
      <c r="U116" s="5">
        <f>VLOOKUP($A116,'SegEnds_NonXtal_Prot#'!$A:$AL,12,FALSE)</f>
        <v>93</v>
      </c>
      <c r="V116" s="5">
        <f>VLOOKUP($A116,'SegEnds_NonXtal_Prot#'!$A:$AL,15,FALSE)</f>
        <v>97</v>
      </c>
      <c r="W116" s="5">
        <f>VLOOKUP($A116,'SegEnds_NonXtal_Prot#'!$A:$AL,18,FALSE)</f>
        <v>133</v>
      </c>
      <c r="X116" s="5">
        <f>VLOOKUP($A116,'SegEnds_NonXtal_Prot#'!$A:$AL,21,FALSE)</f>
        <v>141</v>
      </c>
      <c r="Y116" s="5">
        <f>VLOOKUP($A116,'SegEnds_NonXtal_Prot#'!$A:$AL,24,FALSE)</f>
        <v>178</v>
      </c>
      <c r="Z116" s="5">
        <f>VLOOKUP($A116,'SegEnds_NonXtal_Prot#'!$A:$AL,27,FALSE)</f>
        <v>186</v>
      </c>
      <c r="AA116" s="5">
        <f>VLOOKUP($A116,'SegEnds_NonXtal_Prot#'!$A:$AL,30,FALSE)</f>
        <v>228</v>
      </c>
      <c r="AB116" s="5">
        <f>VLOOKUP($A116,'SegEnds_NonXtal_Prot#'!$A:$AL,33,FALSE)</f>
        <v>268</v>
      </c>
      <c r="AC116" s="5">
        <f>VLOOKUP($A116,'SegEnds_NonXtal_Prot#'!$A:$AL,36,FALSE)</f>
        <v>301</v>
      </c>
      <c r="AD116" s="5">
        <f>VLOOKUP($A116,'SegEnds_NonXtal_Prot#'!$A:$AL,5,FALSE)</f>
        <v>58</v>
      </c>
      <c r="AE116" s="5">
        <f>VLOOKUP($A116,'SegEnds_NonXtal_Prot#'!$A:$AL,8,FALSE)</f>
        <v>62</v>
      </c>
      <c r="AF116" s="5">
        <f>VLOOKUP($A116,'SegEnds_NonXtal_Prot#'!$A:$AL,11,FALSE)</f>
        <v>92</v>
      </c>
      <c r="AG116" s="5">
        <f>VLOOKUP($A116,'SegEnds_NonXtal_Prot#'!$A:$AL,14,FALSE)</f>
        <v>96</v>
      </c>
      <c r="AH116" s="5">
        <f>VLOOKUP($A116,'SegEnds_NonXtal_Prot#'!$A:$AL,17,FALSE)</f>
        <v>132</v>
      </c>
      <c r="AI116" s="5">
        <f>VLOOKUP($A116,'SegEnds_NonXtal_Prot#'!$A:$AL,20,FALSE)</f>
        <v>140</v>
      </c>
      <c r="AJ116" s="5">
        <f>VLOOKUP($A116,'SegEnds_NonXtal_Prot#'!$A:$AL,23,FALSE)</f>
        <v>167</v>
      </c>
      <c r="AK116" s="5">
        <f>VLOOKUP($A116,'SegEnds_NonXtal_Prot#'!$A:$AL,26,FALSE)</f>
        <v>180</v>
      </c>
      <c r="AL116" s="5">
        <f>VLOOKUP($A116,'SegEnds_NonXtal_Prot#'!$A:$AL,29,FALSE)</f>
        <v>224</v>
      </c>
      <c r="AM116" s="5">
        <f>VLOOKUP($A116,'SegEnds_NonXtal_Prot#'!$A:$AL,32,FALSE)</f>
        <v>265</v>
      </c>
      <c r="AN116" s="5">
        <f>VLOOKUP($A116,'SegEnds_NonXtal_Prot#'!$A:$AL,35,FALSE)</f>
        <v>300</v>
      </c>
      <c r="AO116" s="5">
        <f>VLOOKUP($A116,'SegEnds_NonXtal_Prot#'!$A:$AL,38,FALSE)</f>
        <v>313</v>
      </c>
      <c r="AP116" s="5">
        <f t="shared" si="38"/>
        <v>36</v>
      </c>
      <c r="AQ116" s="4">
        <f t="shared" si="39"/>
        <v>3</v>
      </c>
      <c r="AR116" s="4">
        <f t="shared" si="40"/>
        <v>29</v>
      </c>
      <c r="AS116" s="4">
        <f t="shared" si="41"/>
        <v>3</v>
      </c>
      <c r="AT116" s="4">
        <f t="shared" si="42"/>
        <v>35</v>
      </c>
      <c r="AU116" s="4">
        <f t="shared" si="43"/>
        <v>7</v>
      </c>
      <c r="AV116" s="4">
        <f t="shared" si="44"/>
        <v>26</v>
      </c>
      <c r="AW116" s="4">
        <f t="shared" si="45"/>
        <v>2</v>
      </c>
      <c r="AX116" s="4">
        <f t="shared" si="46"/>
        <v>38</v>
      </c>
      <c r="AY116" s="4">
        <f t="shared" si="47"/>
        <v>37</v>
      </c>
      <c r="AZ116" s="4">
        <f t="shared" si="48"/>
        <v>32</v>
      </c>
      <c r="BA116" s="4">
        <f t="shared" si="49"/>
        <v>12</v>
      </c>
    </row>
    <row r="117" spans="1:53" x14ac:dyDescent="0.2">
      <c r="A117" s="1" t="str">
        <f>'SegEnds_NonXtal_Prot#'!A86</f>
        <v>ccr8_human</v>
      </c>
      <c r="B117" s="1" t="str">
        <f t="shared" si="25"/>
        <v>AELIQTNGKLLLAVFYCLLFVFSLLGNSLVILVLVVCSITDVYLLNLALSDLLFVFSFPFQTYYLLDGTVMCKVVSGFYYIGFYSSMFFITLMSVDRYLAVVHTIRMGTTLCLAVWLTAIMATIPLLVFYQTLKWKIFTNFKMNILGLLIPFTIFMFCYIKILHQLKRCKTKAIRLVLIVVIASLLFWVPFNVVLFLTSLHSMHIGCSISQQLTYATHVTEIISFTHCCVNPVIYAFVGEKFKKHLSEIFQ</v>
      </c>
      <c r="C117" s="29" t="str">
        <f>IF(ISERROR(MATCH(A117,'SegEnds_Xtal_Prot#'!B:B, 0)), "NoXtal", "Xtal")</f>
        <v>NoXtal</v>
      </c>
      <c r="D117" s="4" t="str">
        <f>VLOOKUP(A117,Classification!A:D,2,FALSE)</f>
        <v>A</v>
      </c>
      <c r="E117" s="5" t="str">
        <f>VLOOKUP(A117,Seqs!A:B,2,FALSE)</f>
        <v>MDYTLDLSVTTVTDYYYPDIFSSPCDAELIQTNGKLLLAVFYCLLFVFSLLGNSLVILVLVVCKKLRSITDVYLLNLALSDLLFVFSFPFQTYYLLDQWVFGTVMCKVVSGFYYIGFYSSMFFITLMSVDRYLAVVHAVYALKVRTIRMGTTLCLAVWLTAIMATIPLLVFYQVASEDGVLQCYSFYNQQTLKWKIFTNFKMNILGLLIPFTIFMFCYIKILHQLKRCQNHNKTKAIRLVLIVVIASLLFWVPFNVVLFLTSLHSMHILDGCSISQQLTYATHVTEIISFTHCCVNPVIYAFVGEKFKKHLSEIFQKSCSQIFNYLGRQMPRESCEKSSSCQQHSSRSSSVDYIL</v>
      </c>
      <c r="F117" s="5" t="str">
        <f t="shared" si="26"/>
        <v>AELIQTNGKLLLAVFYCLLFVFSLLGNSLVILVLVVC</v>
      </c>
      <c r="G117" s="4" t="str">
        <f t="shared" si="27"/>
        <v>KKLR</v>
      </c>
      <c r="H117" s="4" t="str">
        <f t="shared" si="28"/>
        <v>SITDVYLLNLALSDLLFVFSFPFQTYYLLD</v>
      </c>
      <c r="I117" s="4" t="str">
        <f t="shared" si="29"/>
        <v>QWVF</v>
      </c>
      <c r="J117" s="4" t="str">
        <f t="shared" si="30"/>
        <v>GTVMCKVVSGFYYIGFYSSMFFITLMSVDRYLAVVH</v>
      </c>
      <c r="K117" s="4" t="str">
        <f t="shared" si="31"/>
        <v>AVYALKVR</v>
      </c>
      <c r="L117" s="4" t="str">
        <f t="shared" si="32"/>
        <v>TIRMGTTLCLAVWLTAIMATIPLLVFY</v>
      </c>
      <c r="M117" s="4" t="str">
        <f t="shared" si="33"/>
        <v>CYS</v>
      </c>
      <c r="N117" s="4" t="str">
        <f t="shared" si="34"/>
        <v>QTLKWKIFTNFKMNILGLLIPFTIFMFCYIKILHQLKRC</v>
      </c>
      <c r="O117" s="4" t="str">
        <f t="shared" si="35"/>
        <v>KTKAIRLVLIVVIASLLFWVPFNVVLFLTSLHSMHI</v>
      </c>
      <c r="P117" s="4" t="str">
        <f t="shared" si="36"/>
        <v>GCSISQQLTYATHVTEIISFTHCCVNPVIYAFV</v>
      </c>
      <c r="Q117" s="4" t="str">
        <f t="shared" si="37"/>
        <v>GEKFKKHLSEIFQ</v>
      </c>
      <c r="R117" s="5">
        <f>VLOOKUP($A117,'SegEnds_NonXtal_Prot#'!$A:$AL,3,FALSE)</f>
        <v>27</v>
      </c>
      <c r="S117" s="5">
        <f>VLOOKUP($A117,'SegEnds_NonXtal_Prot#'!$A:$AL,6,FALSE)</f>
        <v>64</v>
      </c>
      <c r="T117" s="5">
        <f>VLOOKUP($A117,'SegEnds_NonXtal_Prot#'!$A:$AL,9,FALSE)</f>
        <v>68</v>
      </c>
      <c r="U117" s="5">
        <f>VLOOKUP($A117,'SegEnds_NonXtal_Prot#'!$A:$AL,12,FALSE)</f>
        <v>98</v>
      </c>
      <c r="V117" s="5">
        <f>VLOOKUP($A117,'SegEnds_NonXtal_Prot#'!$A:$AL,15,FALSE)</f>
        <v>102</v>
      </c>
      <c r="W117" s="5">
        <f>VLOOKUP($A117,'SegEnds_NonXtal_Prot#'!$A:$AL,18,FALSE)</f>
        <v>138</v>
      </c>
      <c r="X117" s="5">
        <f>VLOOKUP($A117,'SegEnds_NonXtal_Prot#'!$A:$AL,21,FALSE)</f>
        <v>146</v>
      </c>
      <c r="Y117" s="5">
        <f>VLOOKUP($A117,'SegEnds_NonXtal_Prot#'!$A:$AL,24,FALSE)</f>
        <v>183</v>
      </c>
      <c r="Z117" s="5">
        <f>VLOOKUP($A117,'SegEnds_NonXtal_Prot#'!$A:$AL,27,FALSE)</f>
        <v>190</v>
      </c>
      <c r="AA117" s="5">
        <f>VLOOKUP($A117,'SegEnds_NonXtal_Prot#'!$A:$AL,30,FALSE)</f>
        <v>233</v>
      </c>
      <c r="AB117" s="5">
        <f>VLOOKUP($A117,'SegEnds_NonXtal_Prot#'!$A:$AL,33,FALSE)</f>
        <v>271</v>
      </c>
      <c r="AC117" s="5">
        <f>VLOOKUP($A117,'SegEnds_NonXtal_Prot#'!$A:$AL,36,FALSE)</f>
        <v>304</v>
      </c>
      <c r="AD117" s="5">
        <f>VLOOKUP($A117,'SegEnds_NonXtal_Prot#'!$A:$AL,5,FALSE)</f>
        <v>63</v>
      </c>
      <c r="AE117" s="5">
        <f>VLOOKUP($A117,'SegEnds_NonXtal_Prot#'!$A:$AL,8,FALSE)</f>
        <v>67</v>
      </c>
      <c r="AF117" s="5">
        <f>VLOOKUP($A117,'SegEnds_NonXtal_Prot#'!$A:$AL,11,FALSE)</f>
        <v>97</v>
      </c>
      <c r="AG117" s="5">
        <f>VLOOKUP($A117,'SegEnds_NonXtal_Prot#'!$A:$AL,14,FALSE)</f>
        <v>101</v>
      </c>
      <c r="AH117" s="5">
        <f>VLOOKUP($A117,'SegEnds_NonXtal_Prot#'!$A:$AL,17,FALSE)</f>
        <v>137</v>
      </c>
      <c r="AI117" s="5">
        <f>VLOOKUP($A117,'SegEnds_NonXtal_Prot#'!$A:$AL,20,FALSE)</f>
        <v>145</v>
      </c>
      <c r="AJ117" s="5">
        <f>VLOOKUP($A117,'SegEnds_NonXtal_Prot#'!$A:$AL,23,FALSE)</f>
        <v>172</v>
      </c>
      <c r="AK117" s="5">
        <f>VLOOKUP($A117,'SegEnds_NonXtal_Prot#'!$A:$AL,26,FALSE)</f>
        <v>185</v>
      </c>
      <c r="AL117" s="5">
        <f>VLOOKUP($A117,'SegEnds_NonXtal_Prot#'!$A:$AL,29,FALSE)</f>
        <v>228</v>
      </c>
      <c r="AM117" s="5">
        <f>VLOOKUP($A117,'SegEnds_NonXtal_Prot#'!$A:$AL,32,FALSE)</f>
        <v>268</v>
      </c>
      <c r="AN117" s="5">
        <f>VLOOKUP($A117,'SegEnds_NonXtal_Prot#'!$A:$AL,35,FALSE)</f>
        <v>303</v>
      </c>
      <c r="AO117" s="5">
        <f>VLOOKUP($A117,'SegEnds_NonXtal_Prot#'!$A:$AL,38,FALSE)</f>
        <v>316</v>
      </c>
      <c r="AP117" s="5">
        <f t="shared" si="38"/>
        <v>36</v>
      </c>
      <c r="AQ117" s="4">
        <f t="shared" si="39"/>
        <v>3</v>
      </c>
      <c r="AR117" s="4">
        <f t="shared" si="40"/>
        <v>29</v>
      </c>
      <c r="AS117" s="4">
        <f t="shared" si="41"/>
        <v>3</v>
      </c>
      <c r="AT117" s="4">
        <f t="shared" si="42"/>
        <v>35</v>
      </c>
      <c r="AU117" s="4">
        <f t="shared" si="43"/>
        <v>7</v>
      </c>
      <c r="AV117" s="4">
        <f t="shared" si="44"/>
        <v>26</v>
      </c>
      <c r="AW117" s="4">
        <f t="shared" si="45"/>
        <v>2</v>
      </c>
      <c r="AX117" s="4">
        <f t="shared" si="46"/>
        <v>38</v>
      </c>
      <c r="AY117" s="4">
        <f t="shared" si="47"/>
        <v>35</v>
      </c>
      <c r="AZ117" s="4">
        <f t="shared" si="48"/>
        <v>32</v>
      </c>
      <c r="BA117" s="4">
        <f t="shared" si="49"/>
        <v>12</v>
      </c>
    </row>
    <row r="118" spans="1:53" x14ac:dyDescent="0.2">
      <c r="A118" s="1" t="str">
        <f>'SegEnds_NonXtal_Prot#'!A87</f>
        <v>cltr1_human</v>
      </c>
      <c r="B118" s="1" t="str">
        <f t="shared" si="25"/>
        <v>FRNQVYSTLYSMISVVGFFGNGFVLYVLIKTSAFQVYMINLAVADLLCVCTLPLRVVYYVHGDFLCRLSTYALYVNLYCSIFFMTAMSFFRCIAIVFTQKKARFVCVGIWIFVILTSSPFLMAKKNHVLVLHYVSLFVGFIIPFVIIIVCYTMIILTLLKNLSSHKKAIGMIMVVTAAFLVSFMPYHIQRTIHLHFLHNPCDSVLRMQKSVVITLSLAASNCCFDPLLYFFSGGNFRKRLSTFRK</v>
      </c>
      <c r="C118" s="29" t="str">
        <f>IF(ISERROR(MATCH(A118,'SegEnds_Xtal_Prot#'!B:B, 0)), "NoXtal", "Xtal")</f>
        <v>NoXtal</v>
      </c>
      <c r="D118" s="4" t="str">
        <f>VLOOKUP(A118,Classification!A:D,2,FALSE)</f>
        <v>A</v>
      </c>
      <c r="E118" s="5" t="str">
        <f>VLOOKUP(A118,Seqs!A:B,2,FALSE)</f>
        <v>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</v>
      </c>
      <c r="F118" s="5" t="str">
        <f t="shared" si="26"/>
        <v>FRNQVYSTLYSMISVVGFFGNGFVLYVLIKT</v>
      </c>
      <c r="G118" s="4" t="str">
        <f t="shared" si="27"/>
        <v/>
      </c>
      <c r="H118" s="4" t="str">
        <f t="shared" si="28"/>
        <v>SAFQVYMINLAVADLLCVCTLPLRVVYYVH</v>
      </c>
      <c r="I118" s="4" t="str">
        <f t="shared" si="29"/>
        <v>IWLF</v>
      </c>
      <c r="J118" s="4" t="str">
        <f t="shared" si="30"/>
        <v>GDFLCRLSTYALYVNLYCSIFFMTAMSFFRCIAIVF</v>
      </c>
      <c r="K118" s="4" t="str">
        <f t="shared" si="31"/>
        <v>PVQNINLV</v>
      </c>
      <c r="L118" s="4" t="str">
        <f t="shared" si="32"/>
        <v>TQKKARFVCVGIWIFVILTSSPFLMAK</v>
      </c>
      <c r="M118" s="4" t="str">
        <f t="shared" si="33"/>
        <v>CFE</v>
      </c>
      <c r="N118" s="4" t="str">
        <f t="shared" si="34"/>
        <v>KNHVLVLHYVSLFVGFIIPFVIIIVCYTMIILTLLK</v>
      </c>
      <c r="O118" s="4" t="str">
        <f t="shared" si="35"/>
        <v>NLSSHKKAIGMIMVVTAAFLVSFMPYHIQRTIHLHFLHN</v>
      </c>
      <c r="P118" s="4" t="str">
        <f t="shared" si="36"/>
        <v>PCDSVLRMQKSVVITLSLAASNCCFDPLLYFFS</v>
      </c>
      <c r="Q118" s="4" t="str">
        <f t="shared" si="37"/>
        <v>GGNFRKRLSTFRK</v>
      </c>
      <c r="R118" s="5">
        <f>VLOOKUP($A118,'SegEnds_NonXtal_Prot#'!$A:$AL,3,FALSE)</f>
        <v>21</v>
      </c>
      <c r="S118" s="5" t="str">
        <f>VLOOKUP($A118,'SegEnds_NonXtal_Prot#'!$A:$AL,6,FALSE)</f>
        <v>-</v>
      </c>
      <c r="T118" s="5">
        <f>VLOOKUP($A118,'SegEnds_NonXtal_Prot#'!$A:$AL,9,FALSE)</f>
        <v>56</v>
      </c>
      <c r="U118" s="5">
        <f>VLOOKUP($A118,'SegEnds_NonXtal_Prot#'!$A:$AL,12,FALSE)</f>
        <v>88</v>
      </c>
      <c r="V118" s="5">
        <f>VLOOKUP($A118,'SegEnds_NonXtal_Prot#'!$A:$AL,15,FALSE)</f>
        <v>92</v>
      </c>
      <c r="W118" s="5">
        <f>VLOOKUP($A118,'SegEnds_NonXtal_Prot#'!$A:$AL,18,FALSE)</f>
        <v>128</v>
      </c>
      <c r="X118" s="5">
        <f>VLOOKUP($A118,'SegEnds_NonXtal_Prot#'!$A:$AL,21,FALSE)</f>
        <v>136</v>
      </c>
      <c r="Y118" s="5">
        <f>VLOOKUP($A118,'SegEnds_NonXtal_Prot#'!$A:$AL,24,FALSE)</f>
        <v>173</v>
      </c>
      <c r="Z118" s="5">
        <f>VLOOKUP($A118,'SegEnds_NonXtal_Prot#'!$A:$AL,27,FALSE)</f>
        <v>183</v>
      </c>
      <c r="AA118" s="5">
        <f>VLOOKUP($A118,'SegEnds_NonXtal_Prot#'!$A:$AL,30,FALSE)</f>
        <v>224</v>
      </c>
      <c r="AB118" s="5">
        <f>VLOOKUP($A118,'SegEnds_NonXtal_Prot#'!$A:$AL,33,FALSE)</f>
        <v>266</v>
      </c>
      <c r="AC118" s="5">
        <f>VLOOKUP($A118,'SegEnds_NonXtal_Prot#'!$A:$AL,36,FALSE)</f>
        <v>299</v>
      </c>
      <c r="AD118" s="5">
        <f>VLOOKUP($A118,'SegEnds_NonXtal_Prot#'!$A:$AL,5,FALSE)</f>
        <v>51</v>
      </c>
      <c r="AE118" s="5" t="str">
        <f>VLOOKUP($A118,'SegEnds_NonXtal_Prot#'!$A:$AL,8,FALSE)</f>
        <v>-</v>
      </c>
      <c r="AF118" s="5">
        <f>VLOOKUP($A118,'SegEnds_NonXtal_Prot#'!$A:$AL,11,FALSE)</f>
        <v>85</v>
      </c>
      <c r="AG118" s="5">
        <f>VLOOKUP($A118,'SegEnds_NonXtal_Prot#'!$A:$AL,14,FALSE)</f>
        <v>91</v>
      </c>
      <c r="AH118" s="5">
        <f>VLOOKUP($A118,'SegEnds_NonXtal_Prot#'!$A:$AL,17,FALSE)</f>
        <v>127</v>
      </c>
      <c r="AI118" s="5">
        <f>VLOOKUP($A118,'SegEnds_NonXtal_Prot#'!$A:$AL,20,FALSE)</f>
        <v>135</v>
      </c>
      <c r="AJ118" s="5">
        <f>VLOOKUP($A118,'SegEnds_NonXtal_Prot#'!$A:$AL,23,FALSE)</f>
        <v>162</v>
      </c>
      <c r="AK118" s="5">
        <f>VLOOKUP($A118,'SegEnds_NonXtal_Prot#'!$A:$AL,26,FALSE)</f>
        <v>175</v>
      </c>
      <c r="AL118" s="5">
        <f>VLOOKUP($A118,'SegEnds_NonXtal_Prot#'!$A:$AL,29,FALSE)</f>
        <v>218</v>
      </c>
      <c r="AM118" s="5">
        <f>VLOOKUP($A118,'SegEnds_NonXtal_Prot#'!$A:$AL,32,FALSE)</f>
        <v>262</v>
      </c>
      <c r="AN118" s="5">
        <f>VLOOKUP($A118,'SegEnds_NonXtal_Prot#'!$A:$AL,35,FALSE)</f>
        <v>298</v>
      </c>
      <c r="AO118" s="5">
        <f>VLOOKUP($A118,'SegEnds_NonXtal_Prot#'!$A:$AL,38,FALSE)</f>
        <v>311</v>
      </c>
      <c r="AP118" s="5">
        <f t="shared" si="38"/>
        <v>30</v>
      </c>
      <c r="AQ118" s="4" t="str">
        <f t="shared" si="39"/>
        <v>-</v>
      </c>
      <c r="AR118" s="4">
        <f t="shared" si="40"/>
        <v>29</v>
      </c>
      <c r="AS118" s="4">
        <f t="shared" si="41"/>
        <v>3</v>
      </c>
      <c r="AT118" s="4">
        <f t="shared" si="42"/>
        <v>35</v>
      </c>
      <c r="AU118" s="4">
        <f t="shared" si="43"/>
        <v>7</v>
      </c>
      <c r="AV118" s="4">
        <f t="shared" si="44"/>
        <v>26</v>
      </c>
      <c r="AW118" s="4">
        <f t="shared" si="45"/>
        <v>2</v>
      </c>
      <c r="AX118" s="4">
        <f t="shared" si="46"/>
        <v>35</v>
      </c>
      <c r="AY118" s="4">
        <f t="shared" si="47"/>
        <v>38</v>
      </c>
      <c r="AZ118" s="4">
        <f t="shared" si="48"/>
        <v>32</v>
      </c>
      <c r="BA118" s="4">
        <f t="shared" si="49"/>
        <v>12</v>
      </c>
    </row>
    <row r="119" spans="1:53" x14ac:dyDescent="0.2">
      <c r="A119" s="1" t="str">
        <f>'SegEnds_NonXtal_Prot#'!A88</f>
        <v>cltr2_human</v>
      </c>
      <c r="B119" s="1" t="str">
        <f t="shared" si="25"/>
        <v>FKREFFPIVYLIIFFWGVLGNGLSIYVFLQPTSVNVFMLNLAISDLLFISTLPFRADYYLRGDLACRIMSYSLYVNMYSSIYFLTVLSVVRFLAMVHSIRSAWILCGIIWILIMASSIMLLDSGIAKLQTMNYIALVVGCLLPFFTLSICYLLIIRVLLKVSGLRVSHRKALTTIIITLIIFFLCFLPYHTLRTVHLTTKDRLHKALVITLALAAANACFNPLLYYFAGENFKDRLKSALR</v>
      </c>
      <c r="C119" s="29" t="str">
        <f>IF(ISERROR(MATCH(A119,'SegEnds_Xtal_Prot#'!B:B, 0)), "NoXtal", "Xtal")</f>
        <v>NoXtal</v>
      </c>
      <c r="D119" s="4" t="str">
        <f>VLOOKUP(A119,Classification!A:D,2,FALSE)</f>
        <v>A</v>
      </c>
      <c r="E119" s="5" t="str">
        <f>VLOOKUP(A119,Seqs!A:B,2,FALSE)</f>
        <v>MERKFMSLQPSISVSEMEPNGTFSNNNSRNCTIENFKREFFPIVYLIIFFWGVLGNGLSIYVFLQPYKKSTSVNVFMLNLAISDLLFISTLPFRADYYLRGSNWIFGDLACRIMSYSLYVNMYSSIYFLTVLSVVRFLAMVHPFRLLHVTSIRSAWILCGIIWILIMASSIMLLDSGSEQNGSVTSCLELNLYKIAKLQTMNYIALVVGCLLPFFTLSICYLLIIRVLLKVEVPESGLRVSHRKALTTIIITLIIFFLCFLPYHTLRTVHLTTWKVGLCKDRLHKALVITLALAAANACFNPLLYYFAGENFKDRLKSALRKGHPQKAKTKCVFPVSVWLRKETRV</v>
      </c>
      <c r="F119" s="5" t="str">
        <f t="shared" si="26"/>
        <v>FKREFFPIVYLIIFFWGVLGNGLSIYVFLQP</v>
      </c>
      <c r="G119" s="4" t="str">
        <f t="shared" si="27"/>
        <v/>
      </c>
      <c r="H119" s="4" t="str">
        <f t="shared" si="28"/>
        <v>TSVNVFMLNLAISDLLFISTLPFRADYYLR</v>
      </c>
      <c r="I119" s="4" t="str">
        <f t="shared" si="29"/>
        <v>NWIF</v>
      </c>
      <c r="J119" s="4" t="str">
        <f t="shared" si="30"/>
        <v>GDLACRIMSYSLYVNMYSSIYFLTVLSVVRFLAMVH</v>
      </c>
      <c r="K119" s="4" t="str">
        <f t="shared" si="31"/>
        <v>PFRLLHVT</v>
      </c>
      <c r="L119" s="4" t="str">
        <f t="shared" si="32"/>
        <v>SIRSAWILCGIIWILIMASSIMLLDSG</v>
      </c>
      <c r="M119" s="4" t="str">
        <f t="shared" si="33"/>
        <v>CLE</v>
      </c>
      <c r="N119" s="4" t="str">
        <f t="shared" si="34"/>
        <v>IAKLQTMNYIALVVGCLLPFFTLSICYLLIIRVLLKV</v>
      </c>
      <c r="O119" s="4" t="str">
        <f t="shared" si="35"/>
        <v>SGLRVSHRKALTTIIITLIIFFLCFLPYHTLRTVHLTT</v>
      </c>
      <c r="P119" s="4" t="str">
        <f t="shared" si="36"/>
        <v>KDRLHKALVITLALAAANACFNPLLYYFA</v>
      </c>
      <c r="Q119" s="4" t="str">
        <f t="shared" si="37"/>
        <v>GENFKDRLKSALR</v>
      </c>
      <c r="R119" s="5">
        <f>VLOOKUP($A119,'SegEnds_NonXtal_Prot#'!$A:$AL,3,FALSE)</f>
        <v>36</v>
      </c>
      <c r="S119" s="5" t="str">
        <f>VLOOKUP($A119,'SegEnds_NonXtal_Prot#'!$A:$AL,6,FALSE)</f>
        <v>-</v>
      </c>
      <c r="T119" s="5">
        <f>VLOOKUP($A119,'SegEnds_NonXtal_Prot#'!$A:$AL,9,FALSE)</f>
        <v>71</v>
      </c>
      <c r="U119" s="5">
        <f>VLOOKUP($A119,'SegEnds_NonXtal_Prot#'!$A:$AL,12,FALSE)</f>
        <v>103</v>
      </c>
      <c r="V119" s="5">
        <f>VLOOKUP($A119,'SegEnds_NonXtal_Prot#'!$A:$AL,15,FALSE)</f>
        <v>107</v>
      </c>
      <c r="W119" s="5">
        <f>VLOOKUP($A119,'SegEnds_NonXtal_Prot#'!$A:$AL,18,FALSE)</f>
        <v>143</v>
      </c>
      <c r="X119" s="5">
        <f>VLOOKUP($A119,'SegEnds_NonXtal_Prot#'!$A:$AL,21,FALSE)</f>
        <v>151</v>
      </c>
      <c r="Y119" s="5">
        <f>VLOOKUP($A119,'SegEnds_NonXtal_Prot#'!$A:$AL,24,FALSE)</f>
        <v>187</v>
      </c>
      <c r="Z119" s="5">
        <f>VLOOKUP($A119,'SegEnds_NonXtal_Prot#'!$A:$AL,27,FALSE)</f>
        <v>195</v>
      </c>
      <c r="AA119" s="5">
        <f>VLOOKUP($A119,'SegEnds_NonXtal_Prot#'!$A:$AL,30,FALSE)</f>
        <v>236</v>
      </c>
      <c r="AB119" s="5">
        <f>VLOOKUP($A119,'SegEnds_NonXtal_Prot#'!$A:$AL,33,FALSE)</f>
        <v>280</v>
      </c>
      <c r="AC119" s="5">
        <f>VLOOKUP($A119,'SegEnds_NonXtal_Prot#'!$A:$AL,36,FALSE)</f>
        <v>309</v>
      </c>
      <c r="AD119" s="5">
        <f>VLOOKUP($A119,'SegEnds_NonXtal_Prot#'!$A:$AL,5,FALSE)</f>
        <v>66</v>
      </c>
      <c r="AE119" s="5" t="str">
        <f>VLOOKUP($A119,'SegEnds_NonXtal_Prot#'!$A:$AL,8,FALSE)</f>
        <v>-</v>
      </c>
      <c r="AF119" s="5">
        <f>VLOOKUP($A119,'SegEnds_NonXtal_Prot#'!$A:$AL,11,FALSE)</f>
        <v>100</v>
      </c>
      <c r="AG119" s="5">
        <f>VLOOKUP($A119,'SegEnds_NonXtal_Prot#'!$A:$AL,14,FALSE)</f>
        <v>106</v>
      </c>
      <c r="AH119" s="5">
        <f>VLOOKUP($A119,'SegEnds_NonXtal_Prot#'!$A:$AL,17,FALSE)</f>
        <v>142</v>
      </c>
      <c r="AI119" s="5">
        <f>VLOOKUP($A119,'SegEnds_NonXtal_Prot#'!$A:$AL,20,FALSE)</f>
        <v>150</v>
      </c>
      <c r="AJ119" s="5">
        <f>VLOOKUP($A119,'SegEnds_NonXtal_Prot#'!$A:$AL,23,FALSE)</f>
        <v>177</v>
      </c>
      <c r="AK119" s="5">
        <f>VLOOKUP($A119,'SegEnds_NonXtal_Prot#'!$A:$AL,26,FALSE)</f>
        <v>189</v>
      </c>
      <c r="AL119" s="5">
        <f>VLOOKUP($A119,'SegEnds_NonXtal_Prot#'!$A:$AL,29,FALSE)</f>
        <v>231</v>
      </c>
      <c r="AM119" s="5">
        <f>VLOOKUP($A119,'SegEnds_NonXtal_Prot#'!$A:$AL,32,FALSE)</f>
        <v>273</v>
      </c>
      <c r="AN119" s="5">
        <f>VLOOKUP($A119,'SegEnds_NonXtal_Prot#'!$A:$AL,35,FALSE)</f>
        <v>308</v>
      </c>
      <c r="AO119" s="5">
        <f>VLOOKUP($A119,'SegEnds_NonXtal_Prot#'!$A:$AL,38,FALSE)</f>
        <v>321</v>
      </c>
      <c r="AP119" s="5">
        <f t="shared" si="38"/>
        <v>30</v>
      </c>
      <c r="AQ119" s="4" t="str">
        <f t="shared" si="39"/>
        <v>-</v>
      </c>
      <c r="AR119" s="4">
        <f t="shared" si="40"/>
        <v>29</v>
      </c>
      <c r="AS119" s="4">
        <f t="shared" si="41"/>
        <v>3</v>
      </c>
      <c r="AT119" s="4">
        <f t="shared" si="42"/>
        <v>35</v>
      </c>
      <c r="AU119" s="4">
        <f t="shared" si="43"/>
        <v>7</v>
      </c>
      <c r="AV119" s="4">
        <f t="shared" si="44"/>
        <v>26</v>
      </c>
      <c r="AW119" s="4">
        <f t="shared" si="45"/>
        <v>2</v>
      </c>
      <c r="AX119" s="4">
        <f t="shared" si="46"/>
        <v>36</v>
      </c>
      <c r="AY119" s="4">
        <f t="shared" si="47"/>
        <v>37</v>
      </c>
      <c r="AZ119" s="4">
        <f t="shared" si="48"/>
        <v>28</v>
      </c>
      <c r="BA119" s="4">
        <f t="shared" si="49"/>
        <v>12</v>
      </c>
    </row>
    <row r="120" spans="1:53" x14ac:dyDescent="0.2">
      <c r="A120" s="1" t="str">
        <f>'SegEnds_NonXtal_Prot#'!A89</f>
        <v>cml1_human</v>
      </c>
      <c r="B120" s="1" t="str">
        <f t="shared" si="25"/>
        <v>VTRIFLVVVYSIVCFLGILGNGLVIIIATFKTVNMVWFLNLAVADFLFNVFLPIHITYAAMGTAMCKISNFLLIHNMFTSVFLLTIISSDRCISVLLSVRLAYMACMVIWVLAFFLSSPSLVFRRHMVVTVTRFLCGFLVPVLIITACYLTIVCKLQRNTKKPFKIIVTIIITFFLCWCPYHTLNLLELHHGSVFSLGLPLATALAIANSCMNPILYVFMGQDFKKFKVALFSRL</v>
      </c>
      <c r="C120" s="29" t="str">
        <f>IF(ISERROR(MATCH(A120,'SegEnds_Xtal_Prot#'!B:B, 0)), "NoXtal", "Xtal")</f>
        <v>NoXtal</v>
      </c>
      <c r="D120" s="4" t="str">
        <f>VLOOKUP(A120,Classification!A:D,2,FALSE)</f>
        <v>A</v>
      </c>
      <c r="E120" s="5" t="str">
        <f>VLOOKUP(A120,Seqs!A:B,2,FALSE)</f>
        <v>MRMEDEDYNTSISYGDEYPDYLDSIVVLEDLSPLEARVTRIFLVVVYSIVCFLGILGNGLVIIIATFKMKKTVNMVWFLNLAVADFLFNVFLPIHITYAAMDYHWVFGTAMCKISNFLLIHNMFTSVFLLTIISSDRCISVLLPVWSQNHRSVRLAYMACMVIWVLAFFLSSPSLVFRDTANLHGKISCFNNFSLSTPGSSSWPTHSQMDPVGYSRHMVVTVTRFLCGFLVPVLIITACYLTIVCKLQRNRLAKTKKPFKIIVTIIITFFLCWCPYHTLNLLELHHTAMPGSVFSLGLPLATALAIANSCMNPILYVFMGQDFKKFKVALFSRLVNALSEDTGHSSYPSHRSFTKMSSMNERTSMNERETGML</v>
      </c>
      <c r="F120" s="5" t="str">
        <f t="shared" si="26"/>
        <v>VTRIFLVVVYSIVCFLGILGNGLVIIIATFK</v>
      </c>
      <c r="G120" s="4" t="str">
        <f t="shared" si="27"/>
        <v/>
      </c>
      <c r="H120" s="4" t="str">
        <f t="shared" si="28"/>
        <v>TVNMVWFLNLAVADFLFNVFLPIHITYAAM</v>
      </c>
      <c r="I120" s="4" t="str">
        <f t="shared" si="29"/>
        <v>HWVF</v>
      </c>
      <c r="J120" s="4" t="str">
        <f t="shared" si="30"/>
        <v>GTAMCKISNFLLIHNMFTSVFLLTIISSDRCISVLL</v>
      </c>
      <c r="K120" s="4" t="str">
        <f t="shared" si="31"/>
        <v>PVWSQNHR</v>
      </c>
      <c r="L120" s="4" t="str">
        <f t="shared" si="32"/>
        <v>SVRLAYMACMVIWVLAFFLSSPSLVFR</v>
      </c>
      <c r="M120" s="4" t="str">
        <f t="shared" si="33"/>
        <v>CFN</v>
      </c>
      <c r="N120" s="4" t="str">
        <f t="shared" si="34"/>
        <v>RHMVVTVTRFLCGFLVPVLIITACYLTIVCKLQRN</v>
      </c>
      <c r="O120" s="4" t="str">
        <f t="shared" si="35"/>
        <v>TKKPFKIIVTIIITFFLCWCPYHTLNLLELHH</v>
      </c>
      <c r="P120" s="4" t="str">
        <f t="shared" si="36"/>
        <v>GSVFSLGLPLATALAIANSCMNPILYVFM</v>
      </c>
      <c r="Q120" s="4" t="str">
        <f t="shared" si="37"/>
        <v>GQDFKKFKVALFSRL</v>
      </c>
      <c r="R120" s="5">
        <f>VLOOKUP($A120,'SegEnds_NonXtal_Prot#'!$A:$AL,3,FALSE)</f>
        <v>38</v>
      </c>
      <c r="S120" s="5" t="str">
        <f>VLOOKUP($A120,'SegEnds_NonXtal_Prot#'!$A:$AL,6,FALSE)</f>
        <v>-</v>
      </c>
      <c r="T120" s="5">
        <f>VLOOKUP($A120,'SegEnds_NonXtal_Prot#'!$A:$AL,9,FALSE)</f>
        <v>72</v>
      </c>
      <c r="U120" s="5">
        <f>VLOOKUP($A120,'SegEnds_NonXtal_Prot#'!$A:$AL,12,FALSE)</f>
        <v>104</v>
      </c>
      <c r="V120" s="5">
        <f>VLOOKUP($A120,'SegEnds_NonXtal_Prot#'!$A:$AL,15,FALSE)</f>
        <v>108</v>
      </c>
      <c r="W120" s="5">
        <f>VLOOKUP($A120,'SegEnds_NonXtal_Prot#'!$A:$AL,18,FALSE)</f>
        <v>144</v>
      </c>
      <c r="X120" s="5">
        <f>VLOOKUP($A120,'SegEnds_NonXtal_Prot#'!$A:$AL,21,FALSE)</f>
        <v>152</v>
      </c>
      <c r="Y120" s="5">
        <f>VLOOKUP($A120,'SegEnds_NonXtal_Prot#'!$A:$AL,24,FALSE)</f>
        <v>189</v>
      </c>
      <c r="Z120" s="5">
        <f>VLOOKUP($A120,'SegEnds_NonXtal_Prot#'!$A:$AL,27,FALSE)</f>
        <v>216</v>
      </c>
      <c r="AA120" s="5">
        <f>VLOOKUP($A120,'SegEnds_NonXtal_Prot#'!$A:$AL,30,FALSE)</f>
        <v>255</v>
      </c>
      <c r="AB120" s="5">
        <f>VLOOKUP($A120,'SegEnds_NonXtal_Prot#'!$A:$AL,33,FALSE)</f>
        <v>291</v>
      </c>
      <c r="AC120" s="5">
        <f>VLOOKUP($A120,'SegEnds_NonXtal_Prot#'!$A:$AL,36,FALSE)</f>
        <v>320</v>
      </c>
      <c r="AD120" s="5">
        <f>VLOOKUP($A120,'SegEnds_NonXtal_Prot#'!$A:$AL,5,FALSE)</f>
        <v>68</v>
      </c>
      <c r="AE120" s="5" t="str">
        <f>VLOOKUP($A120,'SegEnds_NonXtal_Prot#'!$A:$AL,8,FALSE)</f>
        <v>-</v>
      </c>
      <c r="AF120" s="5">
        <f>VLOOKUP($A120,'SegEnds_NonXtal_Prot#'!$A:$AL,11,FALSE)</f>
        <v>101</v>
      </c>
      <c r="AG120" s="5">
        <f>VLOOKUP($A120,'SegEnds_NonXtal_Prot#'!$A:$AL,14,FALSE)</f>
        <v>107</v>
      </c>
      <c r="AH120" s="5">
        <f>VLOOKUP($A120,'SegEnds_NonXtal_Prot#'!$A:$AL,17,FALSE)</f>
        <v>143</v>
      </c>
      <c r="AI120" s="5">
        <f>VLOOKUP($A120,'SegEnds_NonXtal_Prot#'!$A:$AL,20,FALSE)</f>
        <v>151</v>
      </c>
      <c r="AJ120" s="5">
        <f>VLOOKUP($A120,'SegEnds_NonXtal_Prot#'!$A:$AL,23,FALSE)</f>
        <v>178</v>
      </c>
      <c r="AK120" s="5">
        <f>VLOOKUP($A120,'SegEnds_NonXtal_Prot#'!$A:$AL,26,FALSE)</f>
        <v>191</v>
      </c>
      <c r="AL120" s="5">
        <f>VLOOKUP($A120,'SegEnds_NonXtal_Prot#'!$A:$AL,29,FALSE)</f>
        <v>250</v>
      </c>
      <c r="AM120" s="5">
        <f>VLOOKUP($A120,'SegEnds_NonXtal_Prot#'!$A:$AL,32,FALSE)</f>
        <v>286</v>
      </c>
      <c r="AN120" s="5">
        <f>VLOOKUP($A120,'SegEnds_NonXtal_Prot#'!$A:$AL,35,FALSE)</f>
        <v>319</v>
      </c>
      <c r="AO120" s="5">
        <f>VLOOKUP($A120,'SegEnds_NonXtal_Prot#'!$A:$AL,38,FALSE)</f>
        <v>334</v>
      </c>
      <c r="AP120" s="5">
        <f t="shared" si="38"/>
        <v>30</v>
      </c>
      <c r="AQ120" s="4" t="str">
        <f t="shared" si="39"/>
        <v>-</v>
      </c>
      <c r="AR120" s="4">
        <f t="shared" si="40"/>
        <v>29</v>
      </c>
      <c r="AS120" s="4">
        <f t="shared" si="41"/>
        <v>3</v>
      </c>
      <c r="AT120" s="4">
        <f t="shared" si="42"/>
        <v>35</v>
      </c>
      <c r="AU120" s="4">
        <f t="shared" si="43"/>
        <v>7</v>
      </c>
      <c r="AV120" s="4">
        <f t="shared" si="44"/>
        <v>26</v>
      </c>
      <c r="AW120" s="4">
        <f t="shared" si="45"/>
        <v>2</v>
      </c>
      <c r="AX120" s="4">
        <f t="shared" si="46"/>
        <v>34</v>
      </c>
      <c r="AY120" s="4">
        <f t="shared" si="47"/>
        <v>31</v>
      </c>
      <c r="AZ120" s="4">
        <f t="shared" si="48"/>
        <v>28</v>
      </c>
      <c r="BA120" s="4">
        <f t="shared" si="49"/>
        <v>14</v>
      </c>
    </row>
    <row r="121" spans="1:53" x14ac:dyDescent="0.2">
      <c r="A121" s="1" t="str">
        <f>'SegEnds_NonXtal_Prot#'!A90</f>
        <v>cnr1_human</v>
      </c>
      <c r="B121" s="1" t="str">
        <f t="shared" si="25"/>
        <v>NPSQQLAIAVLSLTLGTFTVLENLLVLCVILHSRPSYHFIGSLAVADLLGSVIFVYSFIDFHVSRNVFLFKLGGVTASFTASVGSLFLTAIDRYISIHRTRPKAVVAFCLMWTIAIVIAVLPLLGDETYLMFWIGVTSVLLLFIVYAYMYILWKAHSHAVRMIQRGPDQARMDIRLAKTLVLILVVLIICWGPLLAIMVYDVFGNKLIKTVFAFCSMLCLLNSTVNPIIYALRSKDLRHAFRSMFP</v>
      </c>
      <c r="C121" s="29" t="str">
        <f>IF(ISERROR(MATCH(A121,'SegEnds_Xtal_Prot#'!B:B, 0)), "NoXtal", "Xtal")</f>
        <v>Xtal</v>
      </c>
      <c r="D121" s="4" t="str">
        <f>VLOOKUP(A121,Classification!A:D,2,FALSE)</f>
        <v>A</v>
      </c>
      <c r="E121" s="5" t="str">
        <f>VLOOKUP(A121,Seqs!A:B,2,FALSE)</f>
        <v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</v>
      </c>
      <c r="F121" s="5" t="str">
        <f t="shared" si="26"/>
        <v>NPSQQLAIAVLSLTLGTFTVLENLLVLCVILHS</v>
      </c>
      <c r="G121" s="4" t="str">
        <f t="shared" si="27"/>
        <v>RSLR</v>
      </c>
      <c r="H121" s="4" t="str">
        <f t="shared" si="28"/>
        <v>RPSYHFIGSLAVADLLGSVIFVYSFIDFHV</v>
      </c>
      <c r="I121" s="4" t="str">
        <f t="shared" si="29"/>
        <v/>
      </c>
      <c r="J121" s="4" t="str">
        <f t="shared" si="30"/>
        <v>SRNVFLFKLGGVTASFTASVGSLFLTAIDRYISIHR</v>
      </c>
      <c r="K121" s="4" t="str">
        <f t="shared" si="31"/>
        <v>PLAYKRIV</v>
      </c>
      <c r="L121" s="4" t="str">
        <f t="shared" si="32"/>
        <v>TRPKAVVAFCLMWTIAIVIAVLPLLG</v>
      </c>
      <c r="M121" s="4" t="str">
        <f t="shared" si="33"/>
        <v/>
      </c>
      <c r="N121" s="4" t="str">
        <f t="shared" si="34"/>
        <v>DETYLMFWIGVTSVLLLFIVYAYMYILWKAHSHAVRMIQRG</v>
      </c>
      <c r="O121" s="4" t="str">
        <f t="shared" si="35"/>
        <v>PDQARMDIRLAKTLVLILVVLIICWGPLLAIMVYDVFG</v>
      </c>
      <c r="P121" s="4" t="str">
        <f t="shared" si="36"/>
        <v>NKLIKTVFAFCSMLCLLNSTVNPIIYALR</v>
      </c>
      <c r="Q121" s="4" t="str">
        <f t="shared" si="37"/>
        <v>SKDLRHAFRSMFP</v>
      </c>
      <c r="R121" s="5">
        <f>VLOOKUP($A121,'SegEnds_NonXtal_Prot#'!$A:$AL,3,FALSE)</f>
        <v>112</v>
      </c>
      <c r="S121" s="5">
        <f>VLOOKUP($A121,'SegEnds_NonXtal_Prot#'!$A:$AL,6,FALSE)</f>
        <v>145</v>
      </c>
      <c r="T121" s="5">
        <f>VLOOKUP($A121,'SegEnds_NonXtal_Prot#'!$A:$AL,9,FALSE)</f>
        <v>150</v>
      </c>
      <c r="U121" s="5" t="str">
        <f>VLOOKUP($A121,'SegEnds_NonXtal_Prot#'!$A:$AL,12,FALSE)</f>
        <v>-</v>
      </c>
      <c r="V121" s="5">
        <f>VLOOKUP($A121,'SegEnds_NonXtal_Prot#'!$A:$AL,15,FALSE)</f>
        <v>185</v>
      </c>
      <c r="W121" s="5">
        <f>VLOOKUP($A121,'SegEnds_NonXtal_Prot#'!$A:$AL,18,FALSE)</f>
        <v>221</v>
      </c>
      <c r="X121" s="5">
        <f>VLOOKUP($A121,'SegEnds_NonXtal_Prot#'!$A:$AL,21,FALSE)</f>
        <v>229</v>
      </c>
      <c r="Y121" s="5" t="str">
        <f>VLOOKUP($A121,'SegEnds_NonXtal_Prot#'!$A:$AL,24,FALSE)</f>
        <v>-</v>
      </c>
      <c r="Z121" s="5">
        <f>VLOOKUP($A121,'SegEnds_NonXtal_Prot#'!$A:$AL,27,FALSE)</f>
        <v>272</v>
      </c>
      <c r="AA121" s="5">
        <f>VLOOKUP($A121,'SegEnds_NonXtal_Prot#'!$A:$AL,30,FALSE)</f>
        <v>332</v>
      </c>
      <c r="AB121" s="5">
        <f>VLOOKUP($A121,'SegEnds_NonXtal_Prot#'!$A:$AL,33,FALSE)</f>
        <v>372</v>
      </c>
      <c r="AC121" s="5">
        <f>VLOOKUP($A121,'SegEnds_NonXtal_Prot#'!$A:$AL,36,FALSE)</f>
        <v>401</v>
      </c>
      <c r="AD121" s="5">
        <f>VLOOKUP($A121,'SegEnds_NonXtal_Prot#'!$A:$AL,5,FALSE)</f>
        <v>144</v>
      </c>
      <c r="AE121" s="5">
        <f>VLOOKUP($A121,'SegEnds_NonXtal_Prot#'!$A:$AL,8,FALSE)</f>
        <v>148</v>
      </c>
      <c r="AF121" s="5">
        <f>VLOOKUP($A121,'SegEnds_NonXtal_Prot#'!$A:$AL,11,FALSE)</f>
        <v>179</v>
      </c>
      <c r="AG121" s="5" t="str">
        <f>VLOOKUP($A121,'SegEnds_NonXtal_Prot#'!$A:$AL,14,FALSE)</f>
        <v>-</v>
      </c>
      <c r="AH121" s="5">
        <f>VLOOKUP($A121,'SegEnds_NonXtal_Prot#'!$A:$AL,17,FALSE)</f>
        <v>220</v>
      </c>
      <c r="AI121" s="5">
        <f>VLOOKUP($A121,'SegEnds_NonXtal_Prot#'!$A:$AL,20,FALSE)</f>
        <v>228</v>
      </c>
      <c r="AJ121" s="5">
        <f>VLOOKUP($A121,'SegEnds_NonXtal_Prot#'!$A:$AL,23,FALSE)</f>
        <v>254</v>
      </c>
      <c r="AK121" s="5" t="str">
        <f>VLOOKUP($A121,'SegEnds_NonXtal_Prot#'!$A:$AL,26,FALSE)</f>
        <v>-</v>
      </c>
      <c r="AL121" s="5">
        <f>VLOOKUP($A121,'SegEnds_NonXtal_Prot#'!$A:$AL,29,FALSE)</f>
        <v>312</v>
      </c>
      <c r="AM121" s="5">
        <f>VLOOKUP($A121,'SegEnds_NonXtal_Prot#'!$A:$AL,32,FALSE)</f>
        <v>369</v>
      </c>
      <c r="AN121" s="5">
        <f>VLOOKUP($A121,'SegEnds_NonXtal_Prot#'!$A:$AL,35,FALSE)</f>
        <v>400</v>
      </c>
      <c r="AO121" s="5">
        <f>VLOOKUP($A121,'SegEnds_NonXtal_Prot#'!$A:$AL,38,FALSE)</f>
        <v>413</v>
      </c>
      <c r="AP121" s="5">
        <f t="shared" si="38"/>
        <v>32</v>
      </c>
      <c r="AQ121" s="4">
        <f t="shared" si="39"/>
        <v>3</v>
      </c>
      <c r="AR121" s="4">
        <f t="shared" si="40"/>
        <v>29</v>
      </c>
      <c r="AS121" s="4" t="str">
        <f t="shared" si="41"/>
        <v>-</v>
      </c>
      <c r="AT121" s="4">
        <f t="shared" si="42"/>
        <v>35</v>
      </c>
      <c r="AU121" s="4">
        <f t="shared" si="43"/>
        <v>7</v>
      </c>
      <c r="AV121" s="4">
        <f t="shared" si="44"/>
        <v>25</v>
      </c>
      <c r="AW121" s="4" t="str">
        <f t="shared" si="45"/>
        <v>-</v>
      </c>
      <c r="AX121" s="4">
        <f t="shared" si="46"/>
        <v>40</v>
      </c>
      <c r="AY121" s="4">
        <f t="shared" si="47"/>
        <v>37</v>
      </c>
      <c r="AZ121" s="4">
        <f t="shared" si="48"/>
        <v>28</v>
      </c>
      <c r="BA121" s="4">
        <f t="shared" si="49"/>
        <v>12</v>
      </c>
    </row>
    <row r="122" spans="1:53" x14ac:dyDescent="0.2">
      <c r="A122" s="1" t="str">
        <f>'SegEnds_NonXtal_Prot#'!A91</f>
        <v>cnr2_human</v>
      </c>
      <c r="B122" s="1" t="str">
        <f t="shared" si="25"/>
        <v>SGPQKTAVAVLCTLLGLLSALENVAVLYLILSSRKPSYLFIGSLAGADFLASVVFACSFVNFHVSKAVFLLKIGSVTMTFTASVGSLLLTAIDRYLCLRYTRGRALVTLGIMWVLSALVSYLPLMGPNDYLLSWLLFIAFLFSGIIYTYGHVLWKAHQHVASLSGVPGMARMRLDVRLAKTLGLVLAVLLICWFPVLALMAHSLATVKKAFAFCSMLCLINSMVNPVIYALRSGEIRSSAHHCLA</v>
      </c>
      <c r="C122" s="29" t="str">
        <f>IF(ISERROR(MATCH(A122,'SegEnds_Xtal_Prot#'!B:B, 0)), "NoXtal", "Xtal")</f>
        <v>NoXtal</v>
      </c>
      <c r="D122" s="4" t="str">
        <f>VLOOKUP(A122,Classification!A:D,2,FALSE)</f>
        <v>A</v>
      </c>
      <c r="E122" s="5" t="str">
        <f>VLOOKUP(A122,Seqs!A:B,2,FALSE)</f>
        <v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</v>
      </c>
      <c r="F122" s="5" t="str">
        <f t="shared" si="26"/>
        <v>SGPQKTAVAVLCTLLGLLSALENVAVLYLILSS</v>
      </c>
      <c r="G122" s="4" t="str">
        <f t="shared" si="27"/>
        <v>HQLR</v>
      </c>
      <c r="H122" s="4" t="str">
        <f t="shared" si="28"/>
        <v>RKPSYLFIGSLAGADFLASVVFACSFVNFHV</v>
      </c>
      <c r="I122" s="4" t="str">
        <f t="shared" si="29"/>
        <v/>
      </c>
      <c r="J122" s="4" t="str">
        <f t="shared" si="30"/>
        <v>SKAVFLLKIGSVTMTFTASVGSLLLTAIDRYLCLRY</v>
      </c>
      <c r="K122" s="4" t="str">
        <f t="shared" si="31"/>
        <v>PPSYKALL</v>
      </c>
      <c r="L122" s="4" t="str">
        <f t="shared" si="32"/>
        <v>TRGRALVTLGIMWVLSALVSYLPLMG</v>
      </c>
      <c r="M122" s="4" t="str">
        <f t="shared" si="33"/>
        <v/>
      </c>
      <c r="N122" s="4" t="str">
        <f t="shared" si="34"/>
        <v>PNDYLLSWLLFIAFLFSGIIYTYGHVLWKAHQHVASLSG</v>
      </c>
      <c r="O122" s="4" t="str">
        <f t="shared" si="35"/>
        <v>VPGMARMRLDVRLAKTLGLVLAVLLICWFPVLALMAHSLAT</v>
      </c>
      <c r="P122" s="4" t="str">
        <f t="shared" si="36"/>
        <v>VKKAFAFCSMLCLINSMVNPVIYALR</v>
      </c>
      <c r="Q122" s="4" t="str">
        <f t="shared" si="37"/>
        <v>SGEIRSSAHHCLA</v>
      </c>
      <c r="R122" s="5">
        <f>VLOOKUP($A122,'SegEnds_NonXtal_Prot#'!$A:$AL,3,FALSE)</f>
        <v>29</v>
      </c>
      <c r="S122" s="5">
        <f>VLOOKUP($A122,'SegEnds_NonXtal_Prot#'!$A:$AL,6,FALSE)</f>
        <v>62</v>
      </c>
      <c r="T122" s="5">
        <f>VLOOKUP($A122,'SegEnds_NonXtal_Prot#'!$A:$AL,9,FALSE)</f>
        <v>66</v>
      </c>
      <c r="U122" s="5" t="str">
        <f>VLOOKUP($A122,'SegEnds_NonXtal_Prot#'!$A:$AL,12,FALSE)</f>
        <v>-</v>
      </c>
      <c r="V122" s="5">
        <f>VLOOKUP($A122,'SegEnds_NonXtal_Prot#'!$A:$AL,15,FALSE)</f>
        <v>102</v>
      </c>
      <c r="W122" s="5">
        <f>VLOOKUP($A122,'SegEnds_NonXtal_Prot#'!$A:$AL,18,FALSE)</f>
        <v>138</v>
      </c>
      <c r="X122" s="5">
        <f>VLOOKUP($A122,'SegEnds_NonXtal_Prot#'!$A:$AL,21,FALSE)</f>
        <v>146</v>
      </c>
      <c r="Y122" s="5" t="str">
        <f>VLOOKUP($A122,'SegEnds_NonXtal_Prot#'!$A:$AL,24,FALSE)</f>
        <v>-</v>
      </c>
      <c r="Z122" s="5">
        <f>VLOOKUP($A122,'SegEnds_NonXtal_Prot#'!$A:$AL,27,FALSE)</f>
        <v>187</v>
      </c>
      <c r="AA122" s="5">
        <f>VLOOKUP($A122,'SegEnds_NonXtal_Prot#'!$A:$AL,30,FALSE)</f>
        <v>231</v>
      </c>
      <c r="AB122" s="5">
        <f>VLOOKUP($A122,'SegEnds_NonXtal_Prot#'!$A:$AL,33,FALSE)</f>
        <v>277</v>
      </c>
      <c r="AC122" s="5">
        <f>VLOOKUP($A122,'SegEnds_NonXtal_Prot#'!$A:$AL,36,FALSE)</f>
        <v>303</v>
      </c>
      <c r="AD122" s="5">
        <f>VLOOKUP($A122,'SegEnds_NonXtal_Prot#'!$A:$AL,5,FALSE)</f>
        <v>61</v>
      </c>
      <c r="AE122" s="5">
        <f>VLOOKUP($A122,'SegEnds_NonXtal_Prot#'!$A:$AL,8,FALSE)</f>
        <v>65</v>
      </c>
      <c r="AF122" s="5">
        <f>VLOOKUP($A122,'SegEnds_NonXtal_Prot#'!$A:$AL,11,FALSE)</f>
        <v>96</v>
      </c>
      <c r="AG122" s="5" t="str">
        <f>VLOOKUP($A122,'SegEnds_NonXtal_Prot#'!$A:$AL,14,FALSE)</f>
        <v>-</v>
      </c>
      <c r="AH122" s="5">
        <f>VLOOKUP($A122,'SegEnds_NonXtal_Prot#'!$A:$AL,17,FALSE)</f>
        <v>137</v>
      </c>
      <c r="AI122" s="5">
        <f>VLOOKUP($A122,'SegEnds_NonXtal_Prot#'!$A:$AL,20,FALSE)</f>
        <v>145</v>
      </c>
      <c r="AJ122" s="5">
        <f>VLOOKUP($A122,'SegEnds_NonXtal_Prot#'!$A:$AL,23,FALSE)</f>
        <v>171</v>
      </c>
      <c r="AK122" s="5" t="str">
        <f>VLOOKUP($A122,'SegEnds_NonXtal_Prot#'!$A:$AL,26,FALSE)</f>
        <v>-</v>
      </c>
      <c r="AL122" s="5">
        <f>VLOOKUP($A122,'SegEnds_NonXtal_Prot#'!$A:$AL,29,FALSE)</f>
        <v>225</v>
      </c>
      <c r="AM122" s="5">
        <f>VLOOKUP($A122,'SegEnds_NonXtal_Prot#'!$A:$AL,32,FALSE)</f>
        <v>271</v>
      </c>
      <c r="AN122" s="5">
        <f>VLOOKUP($A122,'SegEnds_NonXtal_Prot#'!$A:$AL,35,FALSE)</f>
        <v>302</v>
      </c>
      <c r="AO122" s="5">
        <f>VLOOKUP($A122,'SegEnds_NonXtal_Prot#'!$A:$AL,38,FALSE)</f>
        <v>315</v>
      </c>
      <c r="AP122" s="5">
        <f t="shared" si="38"/>
        <v>32</v>
      </c>
      <c r="AQ122" s="4">
        <f t="shared" si="39"/>
        <v>3</v>
      </c>
      <c r="AR122" s="4">
        <f t="shared" si="40"/>
        <v>30</v>
      </c>
      <c r="AS122" s="4" t="str">
        <f t="shared" si="41"/>
        <v>-</v>
      </c>
      <c r="AT122" s="4">
        <f t="shared" si="42"/>
        <v>35</v>
      </c>
      <c r="AU122" s="4">
        <f t="shared" si="43"/>
        <v>7</v>
      </c>
      <c r="AV122" s="4">
        <f t="shared" si="44"/>
        <v>25</v>
      </c>
      <c r="AW122" s="4" t="str">
        <f t="shared" si="45"/>
        <v>-</v>
      </c>
      <c r="AX122" s="4">
        <f t="shared" si="46"/>
        <v>38</v>
      </c>
      <c r="AY122" s="4">
        <f t="shared" si="47"/>
        <v>40</v>
      </c>
      <c r="AZ122" s="4">
        <f t="shared" si="48"/>
        <v>25</v>
      </c>
      <c r="BA122" s="4">
        <f t="shared" si="49"/>
        <v>12</v>
      </c>
    </row>
    <row r="123" spans="1:53" x14ac:dyDescent="0.2">
      <c r="A123" s="1" t="str">
        <f>'SegEnds_NonXtal_Prot#'!A92</f>
        <v>cx3c1_human</v>
      </c>
      <c r="B123" s="1" t="str">
        <f t="shared" si="25"/>
        <v>IGDIVVFGTVFLSIFYSVIFAIGLVGNLLVVFALTNSSVTDIYLLNLALSDLLFVATLPFWTHYLINMCKFTTAFFFIGFFGSIFFITVISIDRYLAIVLTVQHGVTISLGVWAAAILVAAPQFMFTLQEIWPVLRNVETNFLGFLLPLLIMSYCYFRIIQTLFSCKAKAIKLILLVVIVFFLFWTPYNVMIFLETLKLYDSCDMRKDLRLALSVTETVAFSHCCLNPLIYAFAGEKFRRYLYHLYG</v>
      </c>
      <c r="C123" s="29" t="str">
        <f>IF(ISERROR(MATCH(A123,'SegEnds_Xtal_Prot#'!B:B, 0)), "NoXtal", "Xtal")</f>
        <v>NoXtal</v>
      </c>
      <c r="D123" s="4" t="str">
        <f>VLOOKUP(A123,Classification!A:D,2,FALSE)</f>
        <v>A</v>
      </c>
      <c r="E123" s="5" t="str">
        <f>VLOOKUP(A123,Seqs!A:B,2,FALSE)</f>
        <v>MDQFPESVTENFEYDDLAEACYIGDIVVFGTVFLSIFYSVIFAIGLVGNLLVVFALTNSKKPKSVTDIYLLNLALSDLLFVATLPFWTHYLINEKGLHNAMCKFTTAFFFIGFFGSIFFITVISIDRYLAIVLAANSMNNRTVQHGVTISLGVWAAAILVAAPQFMFTKQKENECLGDYPEVLQEIWPVLRNVETNFLGFLLPLLIMSYCYFRIIQTLFSCKNHKKAKAIKLILLVVIVFFLFWTPYNVMIFLETLKLYDFFPSCDMRKDLRLALSVTETVAFSHCCLNPLIYAFAGEKFRRYLYHLYGKCLAVLCGRSVHVDFSSSESQRSRHGSVLSSNFTYHTSDGDALLLL</v>
      </c>
      <c r="F123" s="5" t="str">
        <f t="shared" si="26"/>
        <v>IGDIVVFGTVFLSIFYSVIFAIGLVGNLLVVFALTNS</v>
      </c>
      <c r="G123" s="4" t="str">
        <f t="shared" si="27"/>
        <v>KKPK</v>
      </c>
      <c r="H123" s="4" t="str">
        <f t="shared" si="28"/>
        <v>SVTDIYLLNLALSDLLFVATLPFWTHYLIN</v>
      </c>
      <c r="I123" s="4" t="str">
        <f t="shared" si="29"/>
        <v/>
      </c>
      <c r="J123" s="4" t="str">
        <f t="shared" si="30"/>
        <v>MCKFTTAFFFIGFFGSIFFITVISIDRYLAIVL</v>
      </c>
      <c r="K123" s="4" t="str">
        <f t="shared" si="31"/>
        <v>AANSMNNR</v>
      </c>
      <c r="L123" s="4" t="str">
        <f t="shared" si="32"/>
        <v>TVQHGVTISLGVWAAAILVAAPQFMFT</v>
      </c>
      <c r="M123" s="4" t="str">
        <f t="shared" si="33"/>
        <v>CLG</v>
      </c>
      <c r="N123" s="4" t="str">
        <f t="shared" si="34"/>
        <v>LQEIWPVLRNVETNFLGFLLPLLIMSYCYFRIIQTLFSC</v>
      </c>
      <c r="O123" s="4" t="str">
        <f t="shared" si="35"/>
        <v>KAKAIKLILLVVIVFFLFWTPYNVMIFLETLKLYD</v>
      </c>
      <c r="P123" s="4" t="str">
        <f t="shared" si="36"/>
        <v>SCDMRKDLRLALSVTETVAFSHCCLNPLIYAFA</v>
      </c>
      <c r="Q123" s="4" t="str">
        <f t="shared" si="37"/>
        <v>GEKFRRYLYHLYG</v>
      </c>
      <c r="R123" s="5">
        <f>VLOOKUP($A123,'SegEnds_NonXtal_Prot#'!$A:$AL,3,FALSE)</f>
        <v>23</v>
      </c>
      <c r="S123" s="5">
        <f>VLOOKUP($A123,'SegEnds_NonXtal_Prot#'!$A:$AL,6,FALSE)</f>
        <v>60</v>
      </c>
      <c r="T123" s="5">
        <f>VLOOKUP($A123,'SegEnds_NonXtal_Prot#'!$A:$AL,9,FALSE)</f>
        <v>64</v>
      </c>
      <c r="U123" s="5" t="str">
        <f>VLOOKUP($A123,'SegEnds_NonXtal_Prot#'!$A:$AL,12,FALSE)</f>
        <v>-</v>
      </c>
      <c r="V123" s="5">
        <f>VLOOKUP($A123,'SegEnds_NonXtal_Prot#'!$A:$AL,15,FALSE)</f>
        <v>101</v>
      </c>
      <c r="W123" s="5">
        <f>VLOOKUP($A123,'SegEnds_NonXtal_Prot#'!$A:$AL,18,FALSE)</f>
        <v>134</v>
      </c>
      <c r="X123" s="5">
        <f>VLOOKUP($A123,'SegEnds_NonXtal_Prot#'!$A:$AL,21,FALSE)</f>
        <v>142</v>
      </c>
      <c r="Y123" s="5">
        <f>VLOOKUP($A123,'SegEnds_NonXtal_Prot#'!$A:$AL,24,FALSE)</f>
        <v>175</v>
      </c>
      <c r="Z123" s="5">
        <f>VLOOKUP($A123,'SegEnds_NonXtal_Prot#'!$A:$AL,27,FALSE)</f>
        <v>183</v>
      </c>
      <c r="AA123" s="5">
        <f>VLOOKUP($A123,'SegEnds_NonXtal_Prot#'!$A:$AL,30,FALSE)</f>
        <v>226</v>
      </c>
      <c r="AB123" s="5">
        <f>VLOOKUP($A123,'SegEnds_NonXtal_Prot#'!$A:$AL,33,FALSE)</f>
        <v>264</v>
      </c>
      <c r="AC123" s="5">
        <f>VLOOKUP($A123,'SegEnds_NonXtal_Prot#'!$A:$AL,36,FALSE)</f>
        <v>297</v>
      </c>
      <c r="AD123" s="5">
        <f>VLOOKUP($A123,'SegEnds_NonXtal_Prot#'!$A:$AL,5,FALSE)</f>
        <v>59</v>
      </c>
      <c r="AE123" s="5">
        <f>VLOOKUP($A123,'SegEnds_NonXtal_Prot#'!$A:$AL,8,FALSE)</f>
        <v>63</v>
      </c>
      <c r="AF123" s="5">
        <f>VLOOKUP($A123,'SegEnds_NonXtal_Prot#'!$A:$AL,11,FALSE)</f>
        <v>93</v>
      </c>
      <c r="AG123" s="5" t="str">
        <f>VLOOKUP($A123,'SegEnds_NonXtal_Prot#'!$A:$AL,14,FALSE)</f>
        <v>-</v>
      </c>
      <c r="AH123" s="5">
        <f>VLOOKUP($A123,'SegEnds_NonXtal_Prot#'!$A:$AL,17,FALSE)</f>
        <v>133</v>
      </c>
      <c r="AI123" s="5">
        <f>VLOOKUP($A123,'SegEnds_NonXtal_Prot#'!$A:$AL,20,FALSE)</f>
        <v>141</v>
      </c>
      <c r="AJ123" s="5">
        <f>VLOOKUP($A123,'SegEnds_NonXtal_Prot#'!$A:$AL,23,FALSE)</f>
        <v>168</v>
      </c>
      <c r="AK123" s="5">
        <f>VLOOKUP($A123,'SegEnds_NonXtal_Prot#'!$A:$AL,26,FALSE)</f>
        <v>177</v>
      </c>
      <c r="AL123" s="5">
        <f>VLOOKUP($A123,'SegEnds_NonXtal_Prot#'!$A:$AL,29,FALSE)</f>
        <v>221</v>
      </c>
      <c r="AM123" s="5">
        <f>VLOOKUP($A123,'SegEnds_NonXtal_Prot#'!$A:$AL,32,FALSE)</f>
        <v>260</v>
      </c>
      <c r="AN123" s="5">
        <f>VLOOKUP($A123,'SegEnds_NonXtal_Prot#'!$A:$AL,35,FALSE)</f>
        <v>296</v>
      </c>
      <c r="AO123" s="5">
        <f>VLOOKUP($A123,'SegEnds_NonXtal_Prot#'!$A:$AL,38,FALSE)</f>
        <v>309</v>
      </c>
      <c r="AP123" s="5">
        <f t="shared" si="38"/>
        <v>36</v>
      </c>
      <c r="AQ123" s="4">
        <f t="shared" si="39"/>
        <v>3</v>
      </c>
      <c r="AR123" s="4">
        <f t="shared" si="40"/>
        <v>29</v>
      </c>
      <c r="AS123" s="4" t="str">
        <f t="shared" si="41"/>
        <v>-</v>
      </c>
      <c r="AT123" s="4">
        <f t="shared" si="42"/>
        <v>32</v>
      </c>
      <c r="AU123" s="4">
        <f t="shared" si="43"/>
        <v>7</v>
      </c>
      <c r="AV123" s="4">
        <f t="shared" si="44"/>
        <v>26</v>
      </c>
      <c r="AW123" s="4">
        <f t="shared" si="45"/>
        <v>2</v>
      </c>
      <c r="AX123" s="4">
        <f t="shared" si="46"/>
        <v>38</v>
      </c>
      <c r="AY123" s="4">
        <f t="shared" si="47"/>
        <v>34</v>
      </c>
      <c r="AZ123" s="4">
        <f t="shared" si="48"/>
        <v>32</v>
      </c>
      <c r="BA123" s="4">
        <f t="shared" si="49"/>
        <v>12</v>
      </c>
    </row>
    <row r="124" spans="1:53" x14ac:dyDescent="0.2">
      <c r="A124" s="1" t="str">
        <f>'SegEnds_NonXtal_Prot#'!A93</f>
        <v>cxcr3_human</v>
      </c>
      <c r="B124" s="1" t="str">
        <f t="shared" si="25"/>
        <v>QDFSLNFDRAFLPALYSLLFLLGLLGNGAVAAVLLSRSSTDTFLLHLAVADTLLVLTLPLWAVDAAVGSGLCKVAGALFNINFYAGALLLACISFDRYLNIVHPPARVTLTCLAVWGLCLLFALPDFIFLQVGRTALRVLQLVAGFLLPLLVMAYCYAHILAVLLVSRLRAMRLVVVVVVAFALCWTPYHLVVLVDILMDLGNCGRESRVDVAKSVTSGLGYMHCCLNPLLYAFVGVKFRERMWMLLL</v>
      </c>
      <c r="C124" s="29" t="str">
        <f>IF(ISERROR(MATCH(A124,'SegEnds_Xtal_Prot#'!B:B, 0)), "NoXtal", "Xtal")</f>
        <v>NoXtal</v>
      </c>
      <c r="D124" s="4" t="str">
        <f>VLOOKUP(A124,Classification!A:D,2,FALSE)</f>
        <v>A</v>
      </c>
      <c r="E124" s="5" t="str">
        <f>VLOOKUP(A124,Seqs!A:B,2,FALSE)</f>
        <v>MVLEVSDHQVLNDAEVAALLENFSSSYDYGENESDSCCTSPPCPQDFSLNFDRAFLPALYSLLFLLGLLGNGAVAAVLLSRRTALSSTDTFLLHLAVADTLLVLTLPLWAVDAAVQWVFGSGLCKVAGALFNINFYAGALLLACISFDRYLNIVHATQLYRRGPPARVTLTCLAVWGLCLLFALPDFIFLSAHHDERLNATHCQYNFPQVGRTALRVLQLVAGFLLPLLVMAYCYAHILAVLLVSRGQRRLRAMRLVVVVVVAFALCWTPYHLVVLVDILMDLGALARNCGRESRVDVAKSVTSGLGYMHCCLNPLLYAFVGVKFRERMWMLLLRLGCPNQRGLQRQPSSSRRDSSWSETSEASYSGL</v>
      </c>
      <c r="F124" s="5" t="str">
        <f t="shared" si="26"/>
        <v>QDFSLNFDRAFLPALYSLLFLLGLLGNGAVAAVLLSR</v>
      </c>
      <c r="G124" s="4" t="str">
        <f t="shared" si="27"/>
        <v>RTAL</v>
      </c>
      <c r="H124" s="4" t="str">
        <f t="shared" si="28"/>
        <v>SSTDTFLLHLAVADTLLVLTLPLWAVDAAV</v>
      </c>
      <c r="I124" s="4" t="str">
        <f t="shared" si="29"/>
        <v>QWVF</v>
      </c>
      <c r="J124" s="4" t="str">
        <f t="shared" si="30"/>
        <v>GSGLCKVAGALFNINFYAGALLLACISFDRYLNIVH</v>
      </c>
      <c r="K124" s="4" t="str">
        <f t="shared" si="31"/>
        <v>ATQLYRRG</v>
      </c>
      <c r="L124" s="4" t="str">
        <f t="shared" si="32"/>
        <v>PPARVTLTCLAVWGLCLLFALPDFIFL</v>
      </c>
      <c r="M124" s="4" t="str">
        <f t="shared" si="33"/>
        <v>CQY</v>
      </c>
      <c r="N124" s="4" t="str">
        <f t="shared" si="34"/>
        <v>QVGRTALRVLQLVAGFLLPLLVMAYCYAHILAVLLVS</v>
      </c>
      <c r="O124" s="4" t="str">
        <f t="shared" si="35"/>
        <v>RLRAMRLVVVVVVAFALCWTPYHLVVLVDILMDLG</v>
      </c>
      <c r="P124" s="4" t="str">
        <f t="shared" si="36"/>
        <v>NCGRESRVDVAKSVTSGLGYMHCCLNPLLYAFV</v>
      </c>
      <c r="Q124" s="4" t="str">
        <f t="shared" si="37"/>
        <v>GVKFRERMWMLLL</v>
      </c>
      <c r="R124" s="5">
        <f>VLOOKUP($A124,'SegEnds_NonXtal_Prot#'!$A:$AL,3,FALSE)</f>
        <v>45</v>
      </c>
      <c r="S124" s="5">
        <f>VLOOKUP($A124,'SegEnds_NonXtal_Prot#'!$A:$AL,6,FALSE)</f>
        <v>82</v>
      </c>
      <c r="T124" s="5">
        <f>VLOOKUP($A124,'SegEnds_NonXtal_Prot#'!$A:$AL,9,FALSE)</f>
        <v>86</v>
      </c>
      <c r="U124" s="5">
        <f>VLOOKUP($A124,'SegEnds_NonXtal_Prot#'!$A:$AL,12,FALSE)</f>
        <v>116</v>
      </c>
      <c r="V124" s="5">
        <f>VLOOKUP($A124,'SegEnds_NonXtal_Prot#'!$A:$AL,15,FALSE)</f>
        <v>120</v>
      </c>
      <c r="W124" s="5">
        <f>VLOOKUP($A124,'SegEnds_NonXtal_Prot#'!$A:$AL,18,FALSE)</f>
        <v>156</v>
      </c>
      <c r="X124" s="5">
        <f>VLOOKUP($A124,'SegEnds_NonXtal_Prot#'!$A:$AL,21,FALSE)</f>
        <v>164</v>
      </c>
      <c r="Y124" s="5">
        <f>VLOOKUP($A124,'SegEnds_NonXtal_Prot#'!$A:$AL,24,FALSE)</f>
        <v>203</v>
      </c>
      <c r="Z124" s="5">
        <f>VLOOKUP($A124,'SegEnds_NonXtal_Prot#'!$A:$AL,27,FALSE)</f>
        <v>209</v>
      </c>
      <c r="AA124" s="5">
        <f>VLOOKUP($A124,'SegEnds_NonXtal_Prot#'!$A:$AL,30,FALSE)</f>
        <v>250</v>
      </c>
      <c r="AB124" s="5">
        <f>VLOOKUP($A124,'SegEnds_NonXtal_Prot#'!$A:$AL,33,FALSE)</f>
        <v>289</v>
      </c>
      <c r="AC124" s="5">
        <f>VLOOKUP($A124,'SegEnds_NonXtal_Prot#'!$A:$AL,36,FALSE)</f>
        <v>322</v>
      </c>
      <c r="AD124" s="5">
        <f>VLOOKUP($A124,'SegEnds_NonXtal_Prot#'!$A:$AL,5,FALSE)</f>
        <v>81</v>
      </c>
      <c r="AE124" s="5">
        <f>VLOOKUP($A124,'SegEnds_NonXtal_Prot#'!$A:$AL,8,FALSE)</f>
        <v>85</v>
      </c>
      <c r="AF124" s="5">
        <f>VLOOKUP($A124,'SegEnds_NonXtal_Prot#'!$A:$AL,11,FALSE)</f>
        <v>115</v>
      </c>
      <c r="AG124" s="5">
        <f>VLOOKUP($A124,'SegEnds_NonXtal_Prot#'!$A:$AL,14,FALSE)</f>
        <v>119</v>
      </c>
      <c r="AH124" s="5">
        <f>VLOOKUP($A124,'SegEnds_NonXtal_Prot#'!$A:$AL,17,FALSE)</f>
        <v>155</v>
      </c>
      <c r="AI124" s="5">
        <f>VLOOKUP($A124,'SegEnds_NonXtal_Prot#'!$A:$AL,20,FALSE)</f>
        <v>163</v>
      </c>
      <c r="AJ124" s="5">
        <f>VLOOKUP($A124,'SegEnds_NonXtal_Prot#'!$A:$AL,23,FALSE)</f>
        <v>190</v>
      </c>
      <c r="AK124" s="5">
        <f>VLOOKUP($A124,'SegEnds_NonXtal_Prot#'!$A:$AL,26,FALSE)</f>
        <v>205</v>
      </c>
      <c r="AL124" s="5">
        <f>VLOOKUP($A124,'SegEnds_NonXtal_Prot#'!$A:$AL,29,FALSE)</f>
        <v>245</v>
      </c>
      <c r="AM124" s="5">
        <f>VLOOKUP($A124,'SegEnds_NonXtal_Prot#'!$A:$AL,32,FALSE)</f>
        <v>284</v>
      </c>
      <c r="AN124" s="5">
        <f>VLOOKUP($A124,'SegEnds_NonXtal_Prot#'!$A:$AL,35,FALSE)</f>
        <v>321</v>
      </c>
      <c r="AO124" s="5">
        <f>VLOOKUP($A124,'SegEnds_NonXtal_Prot#'!$A:$AL,38,FALSE)</f>
        <v>334</v>
      </c>
      <c r="AP124" s="5">
        <f t="shared" si="38"/>
        <v>36</v>
      </c>
      <c r="AQ124" s="4">
        <f t="shared" si="39"/>
        <v>3</v>
      </c>
      <c r="AR124" s="4">
        <f t="shared" si="40"/>
        <v>29</v>
      </c>
      <c r="AS124" s="4">
        <f t="shared" si="41"/>
        <v>3</v>
      </c>
      <c r="AT124" s="4">
        <f t="shared" si="42"/>
        <v>35</v>
      </c>
      <c r="AU124" s="4">
        <f t="shared" si="43"/>
        <v>7</v>
      </c>
      <c r="AV124" s="4">
        <f t="shared" si="44"/>
        <v>26</v>
      </c>
      <c r="AW124" s="4">
        <f t="shared" si="45"/>
        <v>2</v>
      </c>
      <c r="AX124" s="4">
        <f t="shared" si="46"/>
        <v>36</v>
      </c>
      <c r="AY124" s="4">
        <f t="shared" si="47"/>
        <v>34</v>
      </c>
      <c r="AZ124" s="4">
        <f t="shared" si="48"/>
        <v>32</v>
      </c>
      <c r="BA124" s="4">
        <f t="shared" si="49"/>
        <v>12</v>
      </c>
    </row>
    <row r="125" spans="1:53" x14ac:dyDescent="0.2">
      <c r="A125" s="1" t="str">
        <f>'SegEnds_NonXtal_Prot#'!A94</f>
        <v>cxcr4_human</v>
      </c>
      <c r="B125" s="1" t="str">
        <f t="shared" si="25"/>
        <v>REENANFNKIFLPTIYSIIFLTGIVGNGLVILVMGYQSMTDKYRLHLSVADLLFVITLPFWAVDAVAGNFLCKAVHVIYTVNLYSSVLILAFISLDRYLAIVHKLLAEKVVYVGVWIPALLLTIPDFIFADLWVVVFQFQHIMVGLILPGIVILSCYCIIISKLSHSKRKALKTTVILILAFFACWLPYYIGISIDSFILLEGCEFENTVHKWISITEALAFFHCCLNPILYAFLGAKFKTSAQHALT</v>
      </c>
      <c r="C125" s="29" t="str">
        <f>IF(ISERROR(MATCH(A125,'SegEnds_Xtal_Prot#'!B:B, 0)), "NoXtal", "Xtal")</f>
        <v>Xtal</v>
      </c>
      <c r="D125" s="4" t="str">
        <f>VLOOKUP(A125,Classification!A:D,2,FALSE)</f>
        <v>A</v>
      </c>
      <c r="E125" s="5" t="str">
        <f>VLOOKUP(A125,Seqs!A:B,2,FALSE)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F125" s="5" t="str">
        <f t="shared" si="26"/>
        <v>REENANFNKIFLPTIYSIIFLTGIVGNGLVILVMGYQ</v>
      </c>
      <c r="G125" s="4" t="str">
        <f t="shared" si="27"/>
        <v>KKLR</v>
      </c>
      <c r="H125" s="4" t="str">
        <f t="shared" si="28"/>
        <v>SMTDKYRLHLSVADLLFVITLPFWAVDAVA</v>
      </c>
      <c r="I125" s="4" t="str">
        <f t="shared" si="29"/>
        <v>NWYF</v>
      </c>
      <c r="J125" s="4" t="str">
        <f t="shared" si="30"/>
        <v>GNFLCKAVHVIYTVNLYSSVLILAFISLDRYLAIVH</v>
      </c>
      <c r="K125" s="4" t="str">
        <f t="shared" si="31"/>
        <v>ATNSQRPR</v>
      </c>
      <c r="L125" s="4" t="str">
        <f t="shared" si="32"/>
        <v>KLLAEKVVYVGVWIPALLLTIPDFIFA</v>
      </c>
      <c r="M125" s="4" t="str">
        <f t="shared" si="33"/>
        <v>CDR</v>
      </c>
      <c r="N125" s="4" t="str">
        <f t="shared" si="34"/>
        <v>DLWVVVFQFQHIMVGLILPGIVILSCYCIIISKLSHS</v>
      </c>
      <c r="O125" s="4" t="str">
        <f t="shared" si="35"/>
        <v>KRKALKTTVILILAFFACWLPYYIGISIDSFILLE</v>
      </c>
      <c r="P125" s="4" t="str">
        <f t="shared" si="36"/>
        <v>GCEFENTVHKWISITEALAFFHCCLNPILYAFL</v>
      </c>
      <c r="Q125" s="4" t="str">
        <f t="shared" si="37"/>
        <v>GAKFKTSAQHALT</v>
      </c>
      <c r="R125" s="5">
        <f>VLOOKUP($A125,'SegEnds_NonXtal_Prot#'!$A:$AL,3,FALSE)</f>
        <v>30</v>
      </c>
      <c r="S125" s="5">
        <f>VLOOKUP($A125,'SegEnds_NonXtal_Prot#'!$A:$AL,6,FALSE)</f>
        <v>67</v>
      </c>
      <c r="T125" s="5">
        <f>VLOOKUP($A125,'SegEnds_NonXtal_Prot#'!$A:$AL,9,FALSE)</f>
        <v>71</v>
      </c>
      <c r="U125" s="5">
        <f>VLOOKUP($A125,'SegEnds_NonXtal_Prot#'!$A:$AL,12,FALSE)</f>
        <v>101</v>
      </c>
      <c r="V125" s="5">
        <f>VLOOKUP($A125,'SegEnds_NonXtal_Prot#'!$A:$AL,15,FALSE)</f>
        <v>105</v>
      </c>
      <c r="W125" s="5">
        <f>VLOOKUP($A125,'SegEnds_NonXtal_Prot#'!$A:$AL,18,FALSE)</f>
        <v>141</v>
      </c>
      <c r="X125" s="5">
        <f>VLOOKUP($A125,'SegEnds_NonXtal_Prot#'!$A:$AL,21,FALSE)</f>
        <v>149</v>
      </c>
      <c r="Y125" s="5">
        <f>VLOOKUP($A125,'SegEnds_NonXtal_Prot#'!$A:$AL,24,FALSE)</f>
        <v>186</v>
      </c>
      <c r="Z125" s="5">
        <f>VLOOKUP($A125,'SegEnds_NonXtal_Prot#'!$A:$AL,27,FALSE)</f>
        <v>193</v>
      </c>
      <c r="AA125" s="5">
        <f>VLOOKUP($A125,'SegEnds_NonXtal_Prot#'!$A:$AL,30,FALSE)</f>
        <v>234</v>
      </c>
      <c r="AB125" s="5">
        <f>VLOOKUP($A125,'SegEnds_NonXtal_Prot#'!$A:$AL,33,FALSE)</f>
        <v>273</v>
      </c>
      <c r="AC125" s="5">
        <f>VLOOKUP($A125,'SegEnds_NonXtal_Prot#'!$A:$AL,36,FALSE)</f>
        <v>306</v>
      </c>
      <c r="AD125" s="5">
        <f>VLOOKUP($A125,'SegEnds_NonXtal_Prot#'!$A:$AL,5,FALSE)</f>
        <v>66</v>
      </c>
      <c r="AE125" s="5">
        <f>VLOOKUP($A125,'SegEnds_NonXtal_Prot#'!$A:$AL,8,FALSE)</f>
        <v>70</v>
      </c>
      <c r="AF125" s="5">
        <f>VLOOKUP($A125,'SegEnds_NonXtal_Prot#'!$A:$AL,11,FALSE)</f>
        <v>100</v>
      </c>
      <c r="AG125" s="5">
        <f>VLOOKUP($A125,'SegEnds_NonXtal_Prot#'!$A:$AL,14,FALSE)</f>
        <v>104</v>
      </c>
      <c r="AH125" s="5">
        <f>VLOOKUP($A125,'SegEnds_NonXtal_Prot#'!$A:$AL,17,FALSE)</f>
        <v>140</v>
      </c>
      <c r="AI125" s="5">
        <f>VLOOKUP($A125,'SegEnds_NonXtal_Prot#'!$A:$AL,20,FALSE)</f>
        <v>148</v>
      </c>
      <c r="AJ125" s="5">
        <f>VLOOKUP($A125,'SegEnds_NonXtal_Prot#'!$A:$AL,23,FALSE)</f>
        <v>175</v>
      </c>
      <c r="AK125" s="5">
        <f>VLOOKUP($A125,'SegEnds_NonXtal_Prot#'!$A:$AL,26,FALSE)</f>
        <v>188</v>
      </c>
      <c r="AL125" s="5">
        <f>VLOOKUP($A125,'SegEnds_NonXtal_Prot#'!$A:$AL,29,FALSE)</f>
        <v>229</v>
      </c>
      <c r="AM125" s="5">
        <f>VLOOKUP($A125,'SegEnds_NonXtal_Prot#'!$A:$AL,32,FALSE)</f>
        <v>268</v>
      </c>
      <c r="AN125" s="5">
        <f>VLOOKUP($A125,'SegEnds_NonXtal_Prot#'!$A:$AL,35,FALSE)</f>
        <v>305</v>
      </c>
      <c r="AO125" s="5">
        <f>VLOOKUP($A125,'SegEnds_NonXtal_Prot#'!$A:$AL,38,FALSE)</f>
        <v>318</v>
      </c>
      <c r="AP125" s="5">
        <f t="shared" si="38"/>
        <v>36</v>
      </c>
      <c r="AQ125" s="4">
        <f t="shared" si="39"/>
        <v>3</v>
      </c>
      <c r="AR125" s="4">
        <f t="shared" si="40"/>
        <v>29</v>
      </c>
      <c r="AS125" s="4">
        <f t="shared" si="41"/>
        <v>3</v>
      </c>
      <c r="AT125" s="4">
        <f t="shared" si="42"/>
        <v>35</v>
      </c>
      <c r="AU125" s="4">
        <f t="shared" si="43"/>
        <v>7</v>
      </c>
      <c r="AV125" s="4">
        <f t="shared" si="44"/>
        <v>26</v>
      </c>
      <c r="AW125" s="4">
        <f t="shared" si="45"/>
        <v>2</v>
      </c>
      <c r="AX125" s="4">
        <f t="shared" si="46"/>
        <v>36</v>
      </c>
      <c r="AY125" s="4">
        <f t="shared" si="47"/>
        <v>34</v>
      </c>
      <c r="AZ125" s="4">
        <f t="shared" si="48"/>
        <v>32</v>
      </c>
      <c r="BA125" s="4">
        <f t="shared" si="49"/>
        <v>12</v>
      </c>
    </row>
    <row r="126" spans="1:53" x14ac:dyDescent="0.2">
      <c r="A126" s="1" t="str">
        <f>'SegEnds_NonXtal_Prot#'!A95</f>
        <v>cxcr5_human</v>
      </c>
      <c r="B126" s="1" t="str">
        <f t="shared" si="25"/>
        <v>GPLMASFKAVFVPVAYSLIFLLGVIGNVLVLVILERHSSTETFLFHLAVADLLLVFILPFAVAEGSVGTFLCKTVIALHKVNFYCSSLLLACIAVDRYLAIVHRLLSIHITCGTIWLVGFLLALPEILFATHAWFTSRFLYHVAGFLLPMLVMGWCYVGVVHRLRQAPQRQKAVRVAILVTSIFFLCWSPYHIVIFLDTLARLKTCKLNGSLPVAITMCEFLGLAHCCLNPMLYTFAGVKFRSDLSRLLT</v>
      </c>
      <c r="C126" s="29" t="str">
        <f>IF(ISERROR(MATCH(A126,'SegEnds_Xtal_Prot#'!B:B, 0)), "NoXtal", "Xtal")</f>
        <v>NoXtal</v>
      </c>
      <c r="D126" s="4" t="str">
        <f>VLOOKUP(A126,Classification!A:D,2,FALSE)</f>
        <v>A</v>
      </c>
      <c r="E126" s="5" t="str">
        <f>VLOOKUP(A126,Seqs!A:B,2,FALSE)</f>
        <v>MNYPLTLEMDLENLEDLFWELDRLDNYNDTSLVENHLCPATEGPLMASFKAVFVPVAYSLIFLLGVIGNVLVLVILERHRQTRSSTETFLFHLAVADLLLVFILPFAVAEGSVGWVLGTFLCKTVIALHKVNFYCSSLLLACIAVDRYLAIVHAVHAYRHRRLLSIHITCGTIWLVGFLLALPEILFAKVSQGHHNNSLPRCTFSQENQAETHAWFTSRFLYHVAGFLLPMLVMGWCYVGVVHRLRQAQRRPQRQKAVRVAILVTSIFFLCWSPYHIVIFLDTLARLKAVDNTCKLNGSLPVAITMCEFLGLAHCCLNPMLYTFAGVKFRSDLSRLLTKLGCTGPASLCQLFPSWRRSSLSESENATSLTTF</v>
      </c>
      <c r="F126" s="5" t="str">
        <f t="shared" si="26"/>
        <v>GPLMASFKAVFVPVAYSLIFLLGVIGNVLVLVILERH</v>
      </c>
      <c r="G126" s="4" t="str">
        <f t="shared" si="27"/>
        <v>RQTR</v>
      </c>
      <c r="H126" s="4" t="str">
        <f t="shared" si="28"/>
        <v>SSTETFLFHLAVADLLLVFILPFAVAEGSV</v>
      </c>
      <c r="I126" s="4" t="str">
        <f t="shared" si="29"/>
        <v>GWVL</v>
      </c>
      <c r="J126" s="4" t="str">
        <f t="shared" si="30"/>
        <v>GTFLCKTVIALHKVNFYCSSLLLACIAVDRYLAIVH</v>
      </c>
      <c r="K126" s="4" t="str">
        <f t="shared" si="31"/>
        <v>AVHAYRHR</v>
      </c>
      <c r="L126" s="4" t="str">
        <f t="shared" si="32"/>
        <v>RLLSIHITCGTIWLVGFLLALPEILFA</v>
      </c>
      <c r="M126" s="4" t="str">
        <f t="shared" si="33"/>
        <v>CTF</v>
      </c>
      <c r="N126" s="4" t="str">
        <f t="shared" si="34"/>
        <v>THAWFTSRFLYHVAGFLLPMLVMGWCYVGVVHRLRQA</v>
      </c>
      <c r="O126" s="4" t="str">
        <f t="shared" si="35"/>
        <v>PQRQKAVRVAILVTSIFFLCWSPYHIVIFLDTLARLK</v>
      </c>
      <c r="P126" s="4" t="str">
        <f t="shared" si="36"/>
        <v>TCKLNGSLPVAITMCEFLGLAHCCLNPMLYTFA</v>
      </c>
      <c r="Q126" s="4" t="str">
        <f t="shared" si="37"/>
        <v>GVKFRSDLSRLLT</v>
      </c>
      <c r="R126" s="5">
        <f>VLOOKUP($A126,'SegEnds_NonXtal_Prot#'!$A:$AL,3,FALSE)</f>
        <v>43</v>
      </c>
      <c r="S126" s="5">
        <f>VLOOKUP($A126,'SegEnds_NonXtal_Prot#'!$A:$AL,6,FALSE)</f>
        <v>80</v>
      </c>
      <c r="T126" s="5">
        <f>VLOOKUP($A126,'SegEnds_NonXtal_Prot#'!$A:$AL,9,FALSE)</f>
        <v>84</v>
      </c>
      <c r="U126" s="5">
        <f>VLOOKUP($A126,'SegEnds_NonXtal_Prot#'!$A:$AL,12,FALSE)</f>
        <v>114</v>
      </c>
      <c r="V126" s="5">
        <f>VLOOKUP($A126,'SegEnds_NonXtal_Prot#'!$A:$AL,15,FALSE)</f>
        <v>118</v>
      </c>
      <c r="W126" s="5">
        <f>VLOOKUP($A126,'SegEnds_NonXtal_Prot#'!$A:$AL,18,FALSE)</f>
        <v>154</v>
      </c>
      <c r="X126" s="5">
        <f>VLOOKUP($A126,'SegEnds_NonXtal_Prot#'!$A:$AL,21,FALSE)</f>
        <v>162</v>
      </c>
      <c r="Y126" s="5">
        <f>VLOOKUP($A126,'SegEnds_NonXtal_Prot#'!$A:$AL,24,FALSE)</f>
        <v>202</v>
      </c>
      <c r="Z126" s="5">
        <f>VLOOKUP($A126,'SegEnds_NonXtal_Prot#'!$A:$AL,27,FALSE)</f>
        <v>212</v>
      </c>
      <c r="AA126" s="5">
        <f>VLOOKUP($A126,'SegEnds_NonXtal_Prot#'!$A:$AL,30,FALSE)</f>
        <v>252</v>
      </c>
      <c r="AB126" s="5">
        <f>VLOOKUP($A126,'SegEnds_NonXtal_Prot#'!$A:$AL,33,FALSE)</f>
        <v>293</v>
      </c>
      <c r="AC126" s="5">
        <f>VLOOKUP($A126,'SegEnds_NonXtal_Prot#'!$A:$AL,36,FALSE)</f>
        <v>326</v>
      </c>
      <c r="AD126" s="5">
        <f>VLOOKUP($A126,'SegEnds_NonXtal_Prot#'!$A:$AL,5,FALSE)</f>
        <v>79</v>
      </c>
      <c r="AE126" s="5">
        <f>VLOOKUP($A126,'SegEnds_NonXtal_Prot#'!$A:$AL,8,FALSE)</f>
        <v>83</v>
      </c>
      <c r="AF126" s="5">
        <f>VLOOKUP($A126,'SegEnds_NonXtal_Prot#'!$A:$AL,11,FALSE)</f>
        <v>113</v>
      </c>
      <c r="AG126" s="5">
        <f>VLOOKUP($A126,'SegEnds_NonXtal_Prot#'!$A:$AL,14,FALSE)</f>
        <v>117</v>
      </c>
      <c r="AH126" s="5">
        <f>VLOOKUP($A126,'SegEnds_NonXtal_Prot#'!$A:$AL,17,FALSE)</f>
        <v>153</v>
      </c>
      <c r="AI126" s="5">
        <f>VLOOKUP($A126,'SegEnds_NonXtal_Prot#'!$A:$AL,20,FALSE)</f>
        <v>161</v>
      </c>
      <c r="AJ126" s="5">
        <f>VLOOKUP($A126,'SegEnds_NonXtal_Prot#'!$A:$AL,23,FALSE)</f>
        <v>188</v>
      </c>
      <c r="AK126" s="5">
        <f>VLOOKUP($A126,'SegEnds_NonXtal_Prot#'!$A:$AL,26,FALSE)</f>
        <v>204</v>
      </c>
      <c r="AL126" s="5">
        <f>VLOOKUP($A126,'SegEnds_NonXtal_Prot#'!$A:$AL,29,FALSE)</f>
        <v>248</v>
      </c>
      <c r="AM126" s="5">
        <f>VLOOKUP($A126,'SegEnds_NonXtal_Prot#'!$A:$AL,32,FALSE)</f>
        <v>288</v>
      </c>
      <c r="AN126" s="5">
        <f>VLOOKUP($A126,'SegEnds_NonXtal_Prot#'!$A:$AL,35,FALSE)</f>
        <v>325</v>
      </c>
      <c r="AO126" s="5">
        <f>VLOOKUP($A126,'SegEnds_NonXtal_Prot#'!$A:$AL,38,FALSE)</f>
        <v>338</v>
      </c>
      <c r="AP126" s="5">
        <f t="shared" si="38"/>
        <v>36</v>
      </c>
      <c r="AQ126" s="4">
        <f t="shared" si="39"/>
        <v>3</v>
      </c>
      <c r="AR126" s="4">
        <f t="shared" si="40"/>
        <v>29</v>
      </c>
      <c r="AS126" s="4">
        <f t="shared" si="41"/>
        <v>3</v>
      </c>
      <c r="AT126" s="4">
        <f t="shared" si="42"/>
        <v>35</v>
      </c>
      <c r="AU126" s="4">
        <f t="shared" si="43"/>
        <v>7</v>
      </c>
      <c r="AV126" s="4">
        <f t="shared" si="44"/>
        <v>26</v>
      </c>
      <c r="AW126" s="4">
        <f t="shared" si="45"/>
        <v>2</v>
      </c>
      <c r="AX126" s="4">
        <f t="shared" si="46"/>
        <v>36</v>
      </c>
      <c r="AY126" s="4">
        <f t="shared" si="47"/>
        <v>36</v>
      </c>
      <c r="AZ126" s="4">
        <f t="shared" si="48"/>
        <v>32</v>
      </c>
      <c r="BA126" s="4">
        <f t="shared" si="49"/>
        <v>12</v>
      </c>
    </row>
    <row r="127" spans="1:53" x14ac:dyDescent="0.2">
      <c r="A127" s="1" t="str">
        <f>'SegEnds_NonXtal_Prot#'!A96</f>
        <v>drd1_human</v>
      </c>
      <c r="B127" s="1" t="str">
        <f t="shared" si="25"/>
        <v>VERDFSVRILTACFLSLLILSTLLGNTLVCAAVIRFSKVTNFFVISLAVSDLLVAVLVMPWKAVAEIGSFCNIWVAFDIMCSTASILNLCVISVDRYWAISSTPKAAFILISVAWTLSVLISFIPVQLSSRTYAISSSVISFYIPVAIMIVTYTRIYRIAQKQIRRIAALEKMSFKRETKVLKTLSVIMGVFVCCWLPFFILNCILPFCFCIDSNTFDVFVWFGWANSSLNPIIYAFNADFRKAFSTLLGC</v>
      </c>
      <c r="C127" s="29" t="str">
        <f>IF(ISERROR(MATCH(A127,'SegEnds_Xtal_Prot#'!B:B, 0)), "NoXtal", "Xtal")</f>
        <v>NoXtal</v>
      </c>
      <c r="D127" s="4" t="str">
        <f>VLOOKUP(A127,Classification!A:D,2,FALSE)</f>
        <v>A</v>
      </c>
      <c r="E127" s="5" t="str">
        <f>VLOOKUP(A127,Seqs!A:B,2,FALSE)</f>
        <v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v>
      </c>
      <c r="F127" s="5" t="str">
        <f t="shared" si="26"/>
        <v>VERDFSVRILTACFLSLLILSTLLGNTLVCAAVIRF</v>
      </c>
      <c r="G127" s="4" t="str">
        <f t="shared" si="27"/>
        <v>RHLR</v>
      </c>
      <c r="H127" s="4" t="str">
        <f t="shared" si="28"/>
        <v>SKVTNFFVISLAVSDLLVAVLVMPWKAVAEI</v>
      </c>
      <c r="I127" s="4" t="str">
        <f t="shared" si="29"/>
        <v>FWPF</v>
      </c>
      <c r="J127" s="4" t="str">
        <f t="shared" si="30"/>
        <v>GSFCNIWVAFDIMCSTASILNLCVISVDRYWAISS</v>
      </c>
      <c r="K127" s="4" t="str">
        <f t="shared" si="31"/>
        <v>PFRYERKM</v>
      </c>
      <c r="L127" s="4" t="str">
        <f t="shared" si="32"/>
        <v>TPKAAFILISVAWTLSVLISFIPVQLS</v>
      </c>
      <c r="M127" s="4" t="str">
        <f t="shared" si="33"/>
        <v>CDS</v>
      </c>
      <c r="N127" s="4" t="str">
        <f t="shared" si="34"/>
        <v>SRTYAISSSVISFYIPVAIMIVTYTRIYRIAQKQIRRIAALE</v>
      </c>
      <c r="O127" s="4" t="str">
        <f t="shared" si="35"/>
        <v>KMSFKRETKVLKTLSVIMGVFVCCWLPFFILNCILPFC</v>
      </c>
      <c r="P127" s="4" t="str">
        <f t="shared" si="36"/>
        <v>FCIDSNTFDVFVWFGWANSSLNPIIYAFN</v>
      </c>
      <c r="Q127" s="4" t="str">
        <f t="shared" si="37"/>
        <v>ADFRKAFSTLLGC</v>
      </c>
      <c r="R127" s="5">
        <f>VLOOKUP($A127,'SegEnds_NonXtal_Prot#'!$A:$AL,3,FALSE)</f>
        <v>16</v>
      </c>
      <c r="S127" s="5">
        <f>VLOOKUP($A127,'SegEnds_NonXtal_Prot#'!$A:$AL,6,FALSE)</f>
        <v>52</v>
      </c>
      <c r="T127" s="5">
        <f>VLOOKUP($A127,'SegEnds_NonXtal_Prot#'!$A:$AL,9,FALSE)</f>
        <v>56</v>
      </c>
      <c r="U127" s="5">
        <f>VLOOKUP($A127,'SegEnds_NonXtal_Prot#'!$A:$AL,12,FALSE)</f>
        <v>89</v>
      </c>
      <c r="V127" s="5">
        <f>VLOOKUP($A127,'SegEnds_NonXtal_Prot#'!$A:$AL,15,FALSE)</f>
        <v>93</v>
      </c>
      <c r="W127" s="5">
        <f>VLOOKUP($A127,'SegEnds_NonXtal_Prot#'!$A:$AL,18,FALSE)</f>
        <v>128</v>
      </c>
      <c r="X127" s="5">
        <f>VLOOKUP($A127,'SegEnds_NonXtal_Prot#'!$A:$AL,21,FALSE)</f>
        <v>136</v>
      </c>
      <c r="Y127" s="5">
        <f>VLOOKUP($A127,'SegEnds_NonXtal_Prot#'!$A:$AL,24,FALSE)</f>
        <v>186</v>
      </c>
      <c r="Z127" s="5">
        <f>VLOOKUP($A127,'SegEnds_NonXtal_Prot#'!$A:$AL,27,FALSE)</f>
        <v>191</v>
      </c>
      <c r="AA127" s="5">
        <f>VLOOKUP($A127,'SegEnds_NonXtal_Prot#'!$A:$AL,30,FALSE)</f>
        <v>261</v>
      </c>
      <c r="AB127" s="5">
        <f>VLOOKUP($A127,'SegEnds_NonXtal_Prot#'!$A:$AL,33,FALSE)</f>
        <v>306</v>
      </c>
      <c r="AC127" s="5">
        <f>VLOOKUP($A127,'SegEnds_NonXtal_Prot#'!$A:$AL,36,FALSE)</f>
        <v>335</v>
      </c>
      <c r="AD127" s="5">
        <f>VLOOKUP($A127,'SegEnds_NonXtal_Prot#'!$A:$AL,5,FALSE)</f>
        <v>51</v>
      </c>
      <c r="AE127" s="5">
        <f>VLOOKUP($A127,'SegEnds_NonXtal_Prot#'!$A:$AL,8,FALSE)</f>
        <v>55</v>
      </c>
      <c r="AF127" s="5">
        <f>VLOOKUP($A127,'SegEnds_NonXtal_Prot#'!$A:$AL,11,FALSE)</f>
        <v>86</v>
      </c>
      <c r="AG127" s="5">
        <f>VLOOKUP($A127,'SegEnds_NonXtal_Prot#'!$A:$AL,14,FALSE)</f>
        <v>92</v>
      </c>
      <c r="AH127" s="5">
        <f>VLOOKUP($A127,'SegEnds_NonXtal_Prot#'!$A:$AL,17,FALSE)</f>
        <v>127</v>
      </c>
      <c r="AI127" s="5">
        <f>VLOOKUP($A127,'SegEnds_NonXtal_Prot#'!$A:$AL,20,FALSE)</f>
        <v>135</v>
      </c>
      <c r="AJ127" s="5">
        <f>VLOOKUP($A127,'SegEnds_NonXtal_Prot#'!$A:$AL,23,FALSE)</f>
        <v>162</v>
      </c>
      <c r="AK127" s="5">
        <f>VLOOKUP($A127,'SegEnds_NonXtal_Prot#'!$A:$AL,26,FALSE)</f>
        <v>188</v>
      </c>
      <c r="AL127" s="5">
        <f>VLOOKUP($A127,'SegEnds_NonXtal_Prot#'!$A:$AL,29,FALSE)</f>
        <v>232</v>
      </c>
      <c r="AM127" s="5">
        <f>VLOOKUP($A127,'SegEnds_NonXtal_Prot#'!$A:$AL,32,FALSE)</f>
        <v>298</v>
      </c>
      <c r="AN127" s="5">
        <f>VLOOKUP($A127,'SegEnds_NonXtal_Prot#'!$A:$AL,35,FALSE)</f>
        <v>334</v>
      </c>
      <c r="AO127" s="5">
        <f>VLOOKUP($A127,'SegEnds_NonXtal_Prot#'!$A:$AL,38,FALSE)</f>
        <v>347</v>
      </c>
      <c r="AP127" s="5">
        <f t="shared" si="38"/>
        <v>35</v>
      </c>
      <c r="AQ127" s="4">
        <f t="shared" si="39"/>
        <v>3</v>
      </c>
      <c r="AR127" s="4">
        <f t="shared" si="40"/>
        <v>30</v>
      </c>
      <c r="AS127" s="4">
        <f t="shared" si="41"/>
        <v>3</v>
      </c>
      <c r="AT127" s="4">
        <f t="shared" si="42"/>
        <v>34</v>
      </c>
      <c r="AU127" s="4">
        <f t="shared" si="43"/>
        <v>7</v>
      </c>
      <c r="AV127" s="4">
        <f t="shared" si="44"/>
        <v>26</v>
      </c>
      <c r="AW127" s="4">
        <f t="shared" si="45"/>
        <v>2</v>
      </c>
      <c r="AX127" s="4">
        <f t="shared" si="46"/>
        <v>41</v>
      </c>
      <c r="AY127" s="4">
        <f t="shared" si="47"/>
        <v>37</v>
      </c>
      <c r="AZ127" s="4">
        <f t="shared" si="48"/>
        <v>28</v>
      </c>
      <c r="BA127" s="4">
        <f t="shared" si="49"/>
        <v>12</v>
      </c>
    </row>
    <row r="128" spans="1:53" x14ac:dyDescent="0.2">
      <c r="A128" s="1" t="str">
        <f>'SegEnds_NonXtal_Prot#'!A97</f>
        <v>drd4_human</v>
      </c>
      <c r="B128" s="1" t="str">
        <f t="shared" si="25"/>
        <v>AGQGAAALVGGVLLIGAVLAGNSLVCVSVATETPTNSFIVSLAAADLLLALLVLPLFVYSEVQSPRLCDALMAMDVMLCTASIFNLCAISVDRFVAVAVGSRRQLLLIGATWLLSAAVAAPVLCGDRDYVVYSSVCSFFLPCPLMLLLYWATFRGLQRWEVARRAKAKITGRERKAMRVLPVVVGAFLLCWTPFFVVHITQALPPRLVSAVTWLGYVNSALNPVIYTVFNAEFRNVFRKALR</v>
      </c>
      <c r="C128" s="29" t="str">
        <f>IF(ISERROR(MATCH(A128,'SegEnds_Xtal_Prot#'!B:B, 0)), "NoXtal", "Xtal")</f>
        <v>NoXtal</v>
      </c>
      <c r="D128" s="4" t="str">
        <f>VLOOKUP(A128,Classification!A:D,2,FALSE)</f>
        <v>A</v>
      </c>
      <c r="E128" s="5" t="str">
        <f>VLOOKUP(A128,Seqs!A:B,2,FALSE)</f>
        <v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v>
      </c>
      <c r="F128" s="5" t="str">
        <f t="shared" si="26"/>
        <v>AGQGAAALVGGVLLIGAVLAGNSLVCVSVATE</v>
      </c>
      <c r="G128" s="4" t="str">
        <f t="shared" si="27"/>
        <v>RALQ</v>
      </c>
      <c r="H128" s="4" t="str">
        <f t="shared" si="28"/>
        <v>TPTNSFIVSLAAADLLLALLVLPLFVYSEVQ</v>
      </c>
      <c r="I128" s="4" t="str">
        <f t="shared" si="29"/>
        <v>AWLL</v>
      </c>
      <c r="J128" s="4" t="str">
        <f t="shared" si="30"/>
        <v>SPRLCDALMAMDVMLCTASIFNLCAISVDRFVAVAV</v>
      </c>
      <c r="K128" s="4" t="str">
        <f t="shared" si="31"/>
        <v>PLRYNRQG</v>
      </c>
      <c r="L128" s="4" t="str">
        <f t="shared" si="32"/>
        <v>GSRRQLLLIGATWLLSAAVAAPVLCG</v>
      </c>
      <c r="M128" s="4" t="str">
        <f t="shared" si="33"/>
        <v>CRL</v>
      </c>
      <c r="N128" s="4" t="str">
        <f t="shared" si="34"/>
        <v>DRDYVVYSSVCSFFLPCPLMLLLYWATFRGLQRWEVARRAK</v>
      </c>
      <c r="O128" s="4" t="str">
        <f t="shared" si="35"/>
        <v>AKITGRERKAMRVLPVVVGAFLLCWTPFFVVHITQAL</v>
      </c>
      <c r="P128" s="4" t="str">
        <f t="shared" si="36"/>
        <v>PPRLVSAVTWLGYVNSALNPVIYTVF</v>
      </c>
      <c r="Q128" s="4" t="str">
        <f t="shared" si="37"/>
        <v>NAEFRNVFRKALR</v>
      </c>
      <c r="R128" s="5">
        <f>VLOOKUP($A128,'SegEnds_NonXtal_Prot#'!$A:$AL,3,FALSE)</f>
        <v>31</v>
      </c>
      <c r="S128" s="5">
        <f>VLOOKUP($A128,'SegEnds_NonXtal_Prot#'!$A:$AL,6,FALSE)</f>
        <v>63</v>
      </c>
      <c r="T128" s="5">
        <f>VLOOKUP($A128,'SegEnds_NonXtal_Prot#'!$A:$AL,9,FALSE)</f>
        <v>67</v>
      </c>
      <c r="U128" s="5">
        <f>VLOOKUP($A128,'SegEnds_NonXtal_Prot#'!$A:$AL,12,FALSE)</f>
        <v>100</v>
      </c>
      <c r="V128" s="5">
        <f>VLOOKUP($A128,'SegEnds_NonXtal_Prot#'!$A:$AL,15,FALSE)</f>
        <v>104</v>
      </c>
      <c r="W128" s="5">
        <f>VLOOKUP($A128,'SegEnds_NonXtal_Prot#'!$A:$AL,18,FALSE)</f>
        <v>140</v>
      </c>
      <c r="X128" s="5">
        <f>VLOOKUP($A128,'SegEnds_NonXtal_Prot#'!$A:$AL,21,FALSE)</f>
        <v>148</v>
      </c>
      <c r="Y128" s="5">
        <f>VLOOKUP($A128,'SegEnds_NonXtal_Prot#'!$A:$AL,24,FALSE)</f>
        <v>185</v>
      </c>
      <c r="Z128" s="5">
        <f>VLOOKUP($A128,'SegEnds_NonXtal_Prot#'!$A:$AL,27,FALSE)</f>
        <v>189</v>
      </c>
      <c r="AA128" s="5">
        <f>VLOOKUP($A128,'SegEnds_NonXtal_Prot#'!$A:$AL,30,FALSE)</f>
        <v>383</v>
      </c>
      <c r="AB128" s="5">
        <f>VLOOKUP($A128,'SegEnds_NonXtal_Prot#'!$A:$AL,33,FALSE)</f>
        <v>426</v>
      </c>
      <c r="AC128" s="5">
        <f>VLOOKUP($A128,'SegEnds_NonXtal_Prot#'!$A:$AL,36,FALSE)</f>
        <v>452</v>
      </c>
      <c r="AD128" s="5">
        <f>VLOOKUP($A128,'SegEnds_NonXtal_Prot#'!$A:$AL,5,FALSE)</f>
        <v>62</v>
      </c>
      <c r="AE128" s="5">
        <f>VLOOKUP($A128,'SegEnds_NonXtal_Prot#'!$A:$AL,8,FALSE)</f>
        <v>66</v>
      </c>
      <c r="AF128" s="5">
        <f>VLOOKUP($A128,'SegEnds_NonXtal_Prot#'!$A:$AL,11,FALSE)</f>
        <v>97</v>
      </c>
      <c r="AG128" s="5">
        <f>VLOOKUP($A128,'SegEnds_NonXtal_Prot#'!$A:$AL,14,FALSE)</f>
        <v>103</v>
      </c>
      <c r="AH128" s="5">
        <f>VLOOKUP($A128,'SegEnds_NonXtal_Prot#'!$A:$AL,17,FALSE)</f>
        <v>139</v>
      </c>
      <c r="AI128" s="5">
        <f>VLOOKUP($A128,'SegEnds_NonXtal_Prot#'!$A:$AL,20,FALSE)</f>
        <v>147</v>
      </c>
      <c r="AJ128" s="5">
        <f>VLOOKUP($A128,'SegEnds_NonXtal_Prot#'!$A:$AL,23,FALSE)</f>
        <v>173</v>
      </c>
      <c r="AK128" s="5">
        <f>VLOOKUP($A128,'SegEnds_NonXtal_Prot#'!$A:$AL,26,FALSE)</f>
        <v>187</v>
      </c>
      <c r="AL128" s="5">
        <f>VLOOKUP($A128,'SegEnds_NonXtal_Prot#'!$A:$AL,29,FALSE)</f>
        <v>229</v>
      </c>
      <c r="AM128" s="5">
        <f>VLOOKUP($A128,'SegEnds_NonXtal_Prot#'!$A:$AL,32,FALSE)</f>
        <v>419</v>
      </c>
      <c r="AN128" s="5">
        <f>VLOOKUP($A128,'SegEnds_NonXtal_Prot#'!$A:$AL,35,FALSE)</f>
        <v>451</v>
      </c>
      <c r="AO128" s="5">
        <f>VLOOKUP($A128,'SegEnds_NonXtal_Prot#'!$A:$AL,38,FALSE)</f>
        <v>464</v>
      </c>
      <c r="AP128" s="5">
        <f t="shared" si="38"/>
        <v>31</v>
      </c>
      <c r="AQ128" s="4">
        <f t="shared" si="39"/>
        <v>3</v>
      </c>
      <c r="AR128" s="4">
        <f t="shared" si="40"/>
        <v>30</v>
      </c>
      <c r="AS128" s="4">
        <f t="shared" si="41"/>
        <v>3</v>
      </c>
      <c r="AT128" s="4">
        <f t="shared" si="42"/>
        <v>35</v>
      </c>
      <c r="AU128" s="4">
        <f t="shared" si="43"/>
        <v>7</v>
      </c>
      <c r="AV128" s="4">
        <f t="shared" si="44"/>
        <v>25</v>
      </c>
      <c r="AW128" s="4">
        <f t="shared" si="45"/>
        <v>2</v>
      </c>
      <c r="AX128" s="4">
        <f t="shared" si="46"/>
        <v>40</v>
      </c>
      <c r="AY128" s="4">
        <f t="shared" si="47"/>
        <v>36</v>
      </c>
      <c r="AZ128" s="4">
        <f t="shared" si="48"/>
        <v>25</v>
      </c>
      <c r="BA128" s="4">
        <f t="shared" si="49"/>
        <v>12</v>
      </c>
    </row>
    <row r="129" spans="1:53" x14ac:dyDescent="0.2">
      <c r="A129" s="1" t="str">
        <f>'SegEnds_NonXtal_Prot#'!A98</f>
        <v>drd5_human</v>
      </c>
      <c r="B129" s="1" t="str">
        <f t="shared" si="25"/>
        <v>APPLGPSQVVTACLLTLLIIWTLLGNVLVCAAIVRSANMTNVFIVSLAVSDLFVALLVMPWKAVAEVGAFCDVWVAFDIMCSTASILNLCVISVDRYWAISRTQRMALVMVGLAWTLSILISFIPVQLNNRTYAISSSLISFYIPVAIMIVTYTRIYRIAQVQIRRISSLERASIKKETKVLKTLSVIMGVFVCCWLPFFILNCMVPFCSGHPAGFPCVSETTFDVFVWFGWANSSLNPVIYAFNADFQKVFAQLLGC</v>
      </c>
      <c r="C129" s="29" t="str">
        <f>IF(ISERROR(MATCH(A129,'SegEnds_Xtal_Prot#'!B:B, 0)), "NoXtal", "Xtal")</f>
        <v>NoXtal</v>
      </c>
      <c r="D129" s="4" t="str">
        <f>VLOOKUP(A129,Classification!A:D,2,FALSE)</f>
        <v>A</v>
      </c>
      <c r="E129" s="5" t="str">
        <f>VLOOKUP(A129,Seqs!A:B,2,FALSE)</f>
        <v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v>
      </c>
      <c r="F129" s="5" t="str">
        <f t="shared" si="26"/>
        <v>APPLGPSQVVTACLLTLLIIWTLLGNVLVCAAIVRS</v>
      </c>
      <c r="G129" s="4" t="str">
        <f t="shared" si="27"/>
        <v>RHLR</v>
      </c>
      <c r="H129" s="4" t="str">
        <f t="shared" si="28"/>
        <v>ANMTNVFIVSLAVSDLFVALLVMPWKAVAEV</v>
      </c>
      <c r="I129" s="4" t="str">
        <f t="shared" si="29"/>
        <v>YWPF</v>
      </c>
      <c r="J129" s="4" t="str">
        <f t="shared" si="30"/>
        <v>GAFCDVWVAFDIMCSTASILNLCVISVDRYWAISR</v>
      </c>
      <c r="K129" s="4" t="str">
        <f t="shared" si="31"/>
        <v>PFRYKRKM</v>
      </c>
      <c r="L129" s="4" t="str">
        <f t="shared" si="32"/>
        <v>TQRMALVMVGLAWTLSILISFIPVQLN</v>
      </c>
      <c r="M129" s="4" t="str">
        <f t="shared" si="33"/>
        <v>CDS</v>
      </c>
      <c r="N129" s="4" t="str">
        <f t="shared" si="34"/>
        <v>NRTYAISSSLISFYIPVAIMIVTYTRIYRIAQVQIRRISSLE</v>
      </c>
      <c r="O129" s="4" t="str">
        <f t="shared" si="35"/>
        <v>RASIKKETKVLKTLSVIMGVFVCCWLPFFILNCMVPFCSGH</v>
      </c>
      <c r="P129" s="4" t="str">
        <f t="shared" si="36"/>
        <v>PAGFPCVSETTFDVFVWFGWANSSLNPVIYAFN</v>
      </c>
      <c r="Q129" s="4" t="str">
        <f t="shared" si="37"/>
        <v>ADFQKVFAQLLGC</v>
      </c>
      <c r="R129" s="5">
        <f>VLOOKUP($A129,'SegEnds_NonXtal_Prot#'!$A:$AL,3,FALSE)</f>
        <v>33</v>
      </c>
      <c r="S129" s="5">
        <f>VLOOKUP($A129,'SegEnds_NonXtal_Prot#'!$A:$AL,6,FALSE)</f>
        <v>69</v>
      </c>
      <c r="T129" s="5">
        <f>VLOOKUP($A129,'SegEnds_NonXtal_Prot#'!$A:$AL,9,FALSE)</f>
        <v>73</v>
      </c>
      <c r="U129" s="5">
        <f>VLOOKUP($A129,'SegEnds_NonXtal_Prot#'!$A:$AL,12,FALSE)</f>
        <v>106</v>
      </c>
      <c r="V129" s="5">
        <f>VLOOKUP($A129,'SegEnds_NonXtal_Prot#'!$A:$AL,15,FALSE)</f>
        <v>110</v>
      </c>
      <c r="W129" s="5">
        <f>VLOOKUP($A129,'SegEnds_NonXtal_Prot#'!$A:$AL,18,FALSE)</f>
        <v>145</v>
      </c>
      <c r="X129" s="5">
        <f>VLOOKUP($A129,'SegEnds_NonXtal_Prot#'!$A:$AL,21,FALSE)</f>
        <v>153</v>
      </c>
      <c r="Y129" s="5">
        <f>VLOOKUP($A129,'SegEnds_NonXtal_Prot#'!$A:$AL,24,FALSE)</f>
        <v>217</v>
      </c>
      <c r="Z129" s="5">
        <f>VLOOKUP($A129,'SegEnds_NonXtal_Prot#'!$A:$AL,27,FALSE)</f>
        <v>222</v>
      </c>
      <c r="AA129" s="5">
        <f>VLOOKUP($A129,'SegEnds_NonXtal_Prot#'!$A:$AL,30,FALSE)</f>
        <v>285</v>
      </c>
      <c r="AB129" s="5">
        <f>VLOOKUP($A129,'SegEnds_NonXtal_Prot#'!$A:$AL,33,FALSE)</f>
        <v>330</v>
      </c>
      <c r="AC129" s="5">
        <f>VLOOKUP($A129,'SegEnds_NonXtal_Prot#'!$A:$AL,36,FALSE)</f>
        <v>363</v>
      </c>
      <c r="AD129" s="5">
        <f>VLOOKUP($A129,'SegEnds_NonXtal_Prot#'!$A:$AL,5,FALSE)</f>
        <v>68</v>
      </c>
      <c r="AE129" s="5">
        <f>VLOOKUP($A129,'SegEnds_NonXtal_Prot#'!$A:$AL,8,FALSE)</f>
        <v>72</v>
      </c>
      <c r="AF129" s="5">
        <f>VLOOKUP($A129,'SegEnds_NonXtal_Prot#'!$A:$AL,11,FALSE)</f>
        <v>103</v>
      </c>
      <c r="AG129" s="5">
        <f>VLOOKUP($A129,'SegEnds_NonXtal_Prot#'!$A:$AL,14,FALSE)</f>
        <v>109</v>
      </c>
      <c r="AH129" s="5">
        <f>VLOOKUP($A129,'SegEnds_NonXtal_Prot#'!$A:$AL,17,FALSE)</f>
        <v>144</v>
      </c>
      <c r="AI129" s="5">
        <f>VLOOKUP($A129,'SegEnds_NonXtal_Prot#'!$A:$AL,20,FALSE)</f>
        <v>152</v>
      </c>
      <c r="AJ129" s="5">
        <f>VLOOKUP($A129,'SegEnds_NonXtal_Prot#'!$A:$AL,23,FALSE)</f>
        <v>179</v>
      </c>
      <c r="AK129" s="5">
        <f>VLOOKUP($A129,'SegEnds_NonXtal_Prot#'!$A:$AL,26,FALSE)</f>
        <v>219</v>
      </c>
      <c r="AL129" s="5">
        <f>VLOOKUP($A129,'SegEnds_NonXtal_Prot#'!$A:$AL,29,FALSE)</f>
        <v>263</v>
      </c>
      <c r="AM129" s="5">
        <f>VLOOKUP($A129,'SegEnds_NonXtal_Prot#'!$A:$AL,32,FALSE)</f>
        <v>325</v>
      </c>
      <c r="AN129" s="5">
        <f>VLOOKUP($A129,'SegEnds_NonXtal_Prot#'!$A:$AL,35,FALSE)</f>
        <v>362</v>
      </c>
      <c r="AO129" s="5">
        <f>VLOOKUP($A129,'SegEnds_NonXtal_Prot#'!$A:$AL,38,FALSE)</f>
        <v>375</v>
      </c>
      <c r="AP129" s="5">
        <f t="shared" si="38"/>
        <v>35</v>
      </c>
      <c r="AQ129" s="4">
        <f t="shared" si="39"/>
        <v>3</v>
      </c>
      <c r="AR129" s="4">
        <f t="shared" si="40"/>
        <v>30</v>
      </c>
      <c r="AS129" s="4">
        <f t="shared" si="41"/>
        <v>3</v>
      </c>
      <c r="AT129" s="4">
        <f t="shared" si="42"/>
        <v>34</v>
      </c>
      <c r="AU129" s="4">
        <f t="shared" si="43"/>
        <v>7</v>
      </c>
      <c r="AV129" s="4">
        <f t="shared" si="44"/>
        <v>26</v>
      </c>
      <c r="AW129" s="4">
        <f t="shared" si="45"/>
        <v>2</v>
      </c>
      <c r="AX129" s="4">
        <f t="shared" si="46"/>
        <v>41</v>
      </c>
      <c r="AY129" s="4">
        <f t="shared" si="47"/>
        <v>40</v>
      </c>
      <c r="AZ129" s="4">
        <f t="shared" si="48"/>
        <v>32</v>
      </c>
      <c r="BA129" s="4">
        <f t="shared" si="49"/>
        <v>12</v>
      </c>
    </row>
    <row r="130" spans="1:53" x14ac:dyDescent="0.2">
      <c r="A130" s="1" t="str">
        <f>'SegEnds_NonXtal_Prot#'!A99</f>
        <v>ednra_human</v>
      </c>
      <c r="B130" s="1" t="str">
        <f t="shared" ref="B130:B193" si="50">F130&amp;H130&amp;J130&amp;L130&amp;N130&amp;O130&amp;P130&amp;Q130</f>
        <v>PQQTKITSAFKYINTVISCTIFIVGMVGNATLLRIIYQNGPNALIASLALGDLIYVVIDLPINVFKLLADHNDFGVFLCKLFPFLQKSSVGITVLNLCALSVDRYRAVASIPLVTAIEIVSIWILSFILAIPEAIGFKFMEFYQDVKDWWLFGFYFCMPLVCTAIFYTLMTCEMLNRRNGSSEHLKQRREVAKTVFCLVVIFALCWFPLHLSRILKKTVYRCELLSFLLLMDYIGINLATMNSCINPIALYFVSKKFKNCFQSCLCC</v>
      </c>
      <c r="C130" s="29" t="str">
        <f>IF(ISERROR(MATCH(A130,'SegEnds_Xtal_Prot#'!B:B, 0)), "NoXtal", "Xtal")</f>
        <v>NoXtal</v>
      </c>
      <c r="D130" s="4" t="str">
        <f>VLOOKUP(A130,Classification!A:D,2,FALSE)</f>
        <v>A</v>
      </c>
      <c r="E130" s="5" t="str">
        <f>VLOOKUP(A130,Seqs!A:B,2,FALSE)</f>
        <v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</v>
      </c>
      <c r="F130" s="5" t="str">
        <f t="shared" ref="F130:F193" si="51">IFERROR(MID($E130,R130,(AP130+1)),"")</f>
        <v>PQQTKITSAFKYINTVISCTIFIVGMVGNATLLRIIYQN</v>
      </c>
      <c r="G130" s="4" t="str">
        <f t="shared" ref="G130:G193" si="52">IFERROR(MID($E130,S130,(AQ130+1)),"")</f>
        <v>KCMRN</v>
      </c>
      <c r="H130" s="4" t="str">
        <f t="shared" ref="H130:H193" si="53">IFERROR(MID($E130,T130,(AR130+1)),"")</f>
        <v>GPNALIASLALGDLIYVVIDLPINVFKLLA</v>
      </c>
      <c r="I130" s="4" t="str">
        <f t="shared" ref="I130:I193" si="54">IFERROR(MID($E130,U130,(AS130+1)),"")</f>
        <v>RWPF</v>
      </c>
      <c r="J130" s="4" t="str">
        <f t="shared" ref="J130:J193" si="55">IFERROR(MID($E130,V130,(AT130+1)),"")</f>
        <v>DHNDFGVFLCKLFPFLQKSSVGITVLNLCALSVDRYRAVAS</v>
      </c>
      <c r="K130" s="4" t="str">
        <f t="shared" ref="K130:K193" si="56">IFERROR(MID($E130,W130,(AU130+1)),"")</f>
        <v>WSRVQGIG</v>
      </c>
      <c r="L130" s="4" t="str">
        <f t="shared" ref="L130:L193" si="57">IFERROR(MID($E130,X130,(AV130+1)),"")</f>
        <v>IPLVTAIEIVSIWILSFILAIPEAIGF</v>
      </c>
      <c r="M130" s="4" t="str">
        <f t="shared" ref="M130:M193" si="58">IFERROR(MID($E130,Y130,(AW130+1)),"")</f>
        <v>CML</v>
      </c>
      <c r="N130" s="4" t="str">
        <f t="shared" ref="N130:N193" si="59">IFERROR(MID($E130,Z130,(AX130+1)),"")</f>
        <v>KFMEFYQDVKDWWLFGFYFCMPLVCTAIFYTLMTCEMLNRRNGS</v>
      </c>
      <c r="O130" s="4" t="str">
        <f t="shared" ref="O130:O193" si="60">IFERROR(MID($E130,AA130,(AY130+1)),"")</f>
        <v>SEHLKQRREVAKTVFCLVVIFALCWFPLHLSRILKKTVY</v>
      </c>
      <c r="P130" s="4" t="str">
        <f t="shared" ref="P130:P193" si="61">IFERROR(MID($E130,AB130,(AZ130+1)),"")</f>
        <v>RCELLSFLLLMDYIGINLATMNSCINPIALYFV</v>
      </c>
      <c r="Q130" s="4" t="str">
        <f t="shared" ref="Q130:Q193" si="62">IFERROR(MID($E130,AC130,(BA130+1)),"")</f>
        <v>SKKFKNCFQSCLCC</v>
      </c>
      <c r="R130" s="5">
        <f>VLOOKUP($A130,'SegEnds_NonXtal_Prot#'!$A:$AL,3,FALSE)</f>
        <v>70</v>
      </c>
      <c r="S130" s="5">
        <f>VLOOKUP($A130,'SegEnds_NonXtal_Prot#'!$A:$AL,6,FALSE)</f>
        <v>109</v>
      </c>
      <c r="T130" s="5">
        <f>VLOOKUP($A130,'SegEnds_NonXtal_Prot#'!$A:$AL,9,FALSE)</f>
        <v>114</v>
      </c>
      <c r="U130" s="5">
        <f>VLOOKUP($A130,'SegEnds_NonXtal_Prot#'!$A:$AL,12,FALSE)</f>
        <v>145</v>
      </c>
      <c r="V130" s="5">
        <f>VLOOKUP($A130,'SegEnds_NonXtal_Prot#'!$A:$AL,15,FALSE)</f>
        <v>149</v>
      </c>
      <c r="W130" s="5">
        <f>VLOOKUP($A130,'SegEnds_NonXtal_Prot#'!$A:$AL,18,FALSE)</f>
        <v>190</v>
      </c>
      <c r="X130" s="5">
        <f>VLOOKUP($A130,'SegEnds_NonXtal_Prot#'!$A:$AL,21,FALSE)</f>
        <v>198</v>
      </c>
      <c r="Y130" s="5">
        <f>VLOOKUP($A130,'SegEnds_NonXtal_Prot#'!$A:$AL,24,FALSE)</f>
        <v>239</v>
      </c>
      <c r="Z130" s="5">
        <f>VLOOKUP($A130,'SegEnds_NonXtal_Prot#'!$A:$AL,27,FALSE)</f>
        <v>246</v>
      </c>
      <c r="AA130" s="5">
        <f>VLOOKUP($A130,'SegEnds_NonXtal_Prot#'!$A:$AL,30,FALSE)</f>
        <v>295</v>
      </c>
      <c r="AB130" s="5">
        <f>VLOOKUP($A130,'SegEnds_NonXtal_Prot#'!$A:$AL,33,FALSE)</f>
        <v>340</v>
      </c>
      <c r="AC130" s="5">
        <f>VLOOKUP($A130,'SegEnds_NonXtal_Prot#'!$A:$AL,36,FALSE)</f>
        <v>373</v>
      </c>
      <c r="AD130" s="5">
        <f>VLOOKUP($A130,'SegEnds_NonXtal_Prot#'!$A:$AL,5,FALSE)</f>
        <v>108</v>
      </c>
      <c r="AE130" s="5">
        <f>VLOOKUP($A130,'SegEnds_NonXtal_Prot#'!$A:$AL,8,FALSE)</f>
        <v>113</v>
      </c>
      <c r="AF130" s="5">
        <f>VLOOKUP($A130,'SegEnds_NonXtal_Prot#'!$A:$AL,11,FALSE)</f>
        <v>143</v>
      </c>
      <c r="AG130" s="5">
        <f>VLOOKUP($A130,'SegEnds_NonXtal_Prot#'!$A:$AL,14,FALSE)</f>
        <v>148</v>
      </c>
      <c r="AH130" s="5">
        <f>VLOOKUP($A130,'SegEnds_NonXtal_Prot#'!$A:$AL,17,FALSE)</f>
        <v>189</v>
      </c>
      <c r="AI130" s="5">
        <f>VLOOKUP($A130,'SegEnds_NonXtal_Prot#'!$A:$AL,20,FALSE)</f>
        <v>197</v>
      </c>
      <c r="AJ130" s="5">
        <f>VLOOKUP($A130,'SegEnds_NonXtal_Prot#'!$A:$AL,23,FALSE)</f>
        <v>224</v>
      </c>
      <c r="AK130" s="5">
        <f>VLOOKUP($A130,'SegEnds_NonXtal_Prot#'!$A:$AL,26,FALSE)</f>
        <v>241</v>
      </c>
      <c r="AL130" s="5">
        <f>VLOOKUP($A130,'SegEnds_NonXtal_Prot#'!$A:$AL,29,FALSE)</f>
        <v>289</v>
      </c>
      <c r="AM130" s="5">
        <f>VLOOKUP($A130,'SegEnds_NonXtal_Prot#'!$A:$AL,32,FALSE)</f>
        <v>333</v>
      </c>
      <c r="AN130" s="5">
        <f>VLOOKUP($A130,'SegEnds_NonXtal_Prot#'!$A:$AL,35,FALSE)</f>
        <v>372</v>
      </c>
      <c r="AO130" s="5">
        <f>VLOOKUP($A130,'SegEnds_NonXtal_Prot#'!$A:$AL,38,FALSE)</f>
        <v>386</v>
      </c>
      <c r="AP130" s="5">
        <f t="shared" ref="AP130:AP193" si="63">IFERROR(AD130-R130,"-")</f>
        <v>38</v>
      </c>
      <c r="AQ130" s="4">
        <f t="shared" ref="AQ130:AQ193" si="64">IFERROR(AE130-S130,"-")</f>
        <v>4</v>
      </c>
      <c r="AR130" s="4">
        <f t="shared" ref="AR130:AR193" si="65">IFERROR(AF130-T130,"-")</f>
        <v>29</v>
      </c>
      <c r="AS130" s="4">
        <f t="shared" ref="AS130:AS193" si="66">IFERROR(AG130-U130,"-")</f>
        <v>3</v>
      </c>
      <c r="AT130" s="4">
        <f t="shared" ref="AT130:AT193" si="67">IFERROR(AH130-V130,"-")</f>
        <v>40</v>
      </c>
      <c r="AU130" s="4">
        <f t="shared" ref="AU130:AU193" si="68">IFERROR(AI130-W130,"-")</f>
        <v>7</v>
      </c>
      <c r="AV130" s="4">
        <f t="shared" ref="AV130:AV193" si="69">IFERROR(AJ130-X130,"-")</f>
        <v>26</v>
      </c>
      <c r="AW130" s="4">
        <f t="shared" ref="AW130:AW193" si="70">IFERROR(AK130-Y130,"-")</f>
        <v>2</v>
      </c>
      <c r="AX130" s="4">
        <f t="shared" ref="AX130:AX193" si="71">IFERROR(AL130-Z130,"-")</f>
        <v>43</v>
      </c>
      <c r="AY130" s="4">
        <f t="shared" ref="AY130:AY193" si="72">IFERROR(AM130-AA130,"-")</f>
        <v>38</v>
      </c>
      <c r="AZ130" s="4">
        <f t="shared" ref="AZ130:AZ193" si="73">IFERROR(AN130-AB130,"-")</f>
        <v>32</v>
      </c>
      <c r="BA130" s="4">
        <f t="shared" ref="BA130:BA193" si="74">IFERROR(AO130-AC130,"-")</f>
        <v>13</v>
      </c>
    </row>
    <row r="131" spans="1:53" x14ac:dyDescent="0.2">
      <c r="A131" s="1" t="str">
        <f>'SegEnds_NonXtal_Prot#'!A100</f>
        <v>ednrb_human</v>
      </c>
      <c r="B131" s="1" t="str">
        <f t="shared" si="50"/>
        <v>QGPIEIKETFKYINTVVSCLVFVLGIIGNSTLLRIIYKNGPNILIASLALGDLLHIVIDIPINVYKLLAGAEMCKLVPFIQKASVGITVLSLCALSIDRYRAVASVPKWTAVEIVLIWVVSVVLAVPEAIGFAFMQFYKTAKDWWLFSFYFCLPLAITAFFYTLMTCEMLRKKSGMNDHLKQRREVAKTVFCLVLVFALCWLPLHLSRILKLTLYRCELLSFLLVLDYIGINMASLNSCINPIALYLVSKRFKNCFKSCLCC</v>
      </c>
      <c r="C131" s="29" t="str">
        <f>IF(ISERROR(MATCH(A131,'SegEnds_Xtal_Prot#'!B:B, 0)), "NoXtal", "Xtal")</f>
        <v>Xtal</v>
      </c>
      <c r="D131" s="4" t="str">
        <f>VLOOKUP(A131,Classification!A:D,2,FALSE)</f>
        <v>A</v>
      </c>
      <c r="E131" s="5" t="str">
        <f>VLOOKUP(A131,Seqs!A:B,2,FALSE)</f>
        <v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</v>
      </c>
      <c r="F131" s="5" t="str">
        <f t="shared" si="51"/>
        <v>QGPIEIKETFKYINTVVSCLVFVLGIIGNSTLLRIIYKN</v>
      </c>
      <c r="G131" s="4" t="str">
        <f t="shared" si="52"/>
        <v>KCMRN</v>
      </c>
      <c r="H131" s="4" t="str">
        <f t="shared" si="53"/>
        <v>GPNILIASLALGDLLHIVIDIPINVYKLLA</v>
      </c>
      <c r="I131" s="4" t="str">
        <f t="shared" si="54"/>
        <v>DWPF</v>
      </c>
      <c r="J131" s="4" t="str">
        <f t="shared" si="55"/>
        <v>GAEMCKLVPFIQKASVGITVLSLCALSIDRYRAVAS</v>
      </c>
      <c r="K131" s="4" t="str">
        <f t="shared" si="56"/>
        <v>WSRIKGIG</v>
      </c>
      <c r="L131" s="4" t="str">
        <f t="shared" si="57"/>
        <v>VPKWTAVEIVLIWVVSVVLAVPEAIGF</v>
      </c>
      <c r="M131" s="4" t="str">
        <f t="shared" si="58"/>
        <v>CLL</v>
      </c>
      <c r="N131" s="4" t="str">
        <f t="shared" si="59"/>
        <v>AFMQFYKTAKDWWLFSFYFCLPLAITAFFYTLMTCEMLRKKSGM</v>
      </c>
      <c r="O131" s="4" t="str">
        <f t="shared" si="60"/>
        <v>NDHLKQRREVAKTVFCLVLVFALCWLPLHLSRILKLTLY</v>
      </c>
      <c r="P131" s="4" t="str">
        <f t="shared" si="61"/>
        <v>RCELLSFLLVLDYIGINMASLNSCINPIALYLV</v>
      </c>
      <c r="Q131" s="4" t="str">
        <f t="shared" si="62"/>
        <v>SKRFKNCFKSCLCC</v>
      </c>
      <c r="R131" s="5">
        <f>VLOOKUP($A131,'SegEnds_NonXtal_Prot#'!$A:$AL,3,FALSE)</f>
        <v>91</v>
      </c>
      <c r="S131" s="5">
        <f>VLOOKUP($A131,'SegEnds_NonXtal_Prot#'!$A:$AL,6,FALSE)</f>
        <v>130</v>
      </c>
      <c r="T131" s="5">
        <f>VLOOKUP($A131,'SegEnds_NonXtal_Prot#'!$A:$AL,9,FALSE)</f>
        <v>135</v>
      </c>
      <c r="U131" s="5">
        <f>VLOOKUP($A131,'SegEnds_NonXtal_Prot#'!$A:$AL,12,FALSE)</f>
        <v>166</v>
      </c>
      <c r="V131" s="5">
        <f>VLOOKUP($A131,'SegEnds_NonXtal_Prot#'!$A:$AL,15,FALSE)</f>
        <v>170</v>
      </c>
      <c r="W131" s="5">
        <f>VLOOKUP($A131,'SegEnds_NonXtal_Prot#'!$A:$AL,18,FALSE)</f>
        <v>206</v>
      </c>
      <c r="X131" s="5">
        <f>VLOOKUP($A131,'SegEnds_NonXtal_Prot#'!$A:$AL,21,FALSE)</f>
        <v>214</v>
      </c>
      <c r="Y131" s="5">
        <f>VLOOKUP($A131,'SegEnds_NonXtal_Prot#'!$A:$AL,24,FALSE)</f>
        <v>255</v>
      </c>
      <c r="Z131" s="5">
        <f>VLOOKUP($A131,'SegEnds_NonXtal_Prot#'!$A:$AL,27,FALSE)</f>
        <v>264</v>
      </c>
      <c r="AA131" s="5">
        <f>VLOOKUP($A131,'SegEnds_NonXtal_Prot#'!$A:$AL,30,FALSE)</f>
        <v>312</v>
      </c>
      <c r="AB131" s="5">
        <f>VLOOKUP($A131,'SegEnds_NonXtal_Prot#'!$A:$AL,33,FALSE)</f>
        <v>357</v>
      </c>
      <c r="AC131" s="5">
        <f>VLOOKUP($A131,'SegEnds_NonXtal_Prot#'!$A:$AL,36,FALSE)</f>
        <v>390</v>
      </c>
      <c r="AD131" s="5">
        <f>VLOOKUP($A131,'SegEnds_NonXtal_Prot#'!$A:$AL,5,FALSE)</f>
        <v>129</v>
      </c>
      <c r="AE131" s="5">
        <f>VLOOKUP($A131,'SegEnds_NonXtal_Prot#'!$A:$AL,8,FALSE)</f>
        <v>134</v>
      </c>
      <c r="AF131" s="5">
        <f>VLOOKUP($A131,'SegEnds_NonXtal_Prot#'!$A:$AL,11,FALSE)</f>
        <v>164</v>
      </c>
      <c r="AG131" s="5">
        <f>VLOOKUP($A131,'SegEnds_NonXtal_Prot#'!$A:$AL,14,FALSE)</f>
        <v>169</v>
      </c>
      <c r="AH131" s="5">
        <f>VLOOKUP($A131,'SegEnds_NonXtal_Prot#'!$A:$AL,17,FALSE)</f>
        <v>205</v>
      </c>
      <c r="AI131" s="5">
        <f>VLOOKUP($A131,'SegEnds_NonXtal_Prot#'!$A:$AL,20,FALSE)</f>
        <v>213</v>
      </c>
      <c r="AJ131" s="5">
        <f>VLOOKUP($A131,'SegEnds_NonXtal_Prot#'!$A:$AL,23,FALSE)</f>
        <v>240</v>
      </c>
      <c r="AK131" s="5">
        <f>VLOOKUP($A131,'SegEnds_NonXtal_Prot#'!$A:$AL,26,FALSE)</f>
        <v>257</v>
      </c>
      <c r="AL131" s="5">
        <f>VLOOKUP($A131,'SegEnds_NonXtal_Prot#'!$A:$AL,29,FALSE)</f>
        <v>307</v>
      </c>
      <c r="AM131" s="5">
        <f>VLOOKUP($A131,'SegEnds_NonXtal_Prot#'!$A:$AL,32,FALSE)</f>
        <v>350</v>
      </c>
      <c r="AN131" s="5">
        <f>VLOOKUP($A131,'SegEnds_NonXtal_Prot#'!$A:$AL,35,FALSE)</f>
        <v>389</v>
      </c>
      <c r="AO131" s="5">
        <f>VLOOKUP($A131,'SegEnds_NonXtal_Prot#'!$A:$AL,38,FALSE)</f>
        <v>403</v>
      </c>
      <c r="AP131" s="5">
        <f t="shared" si="63"/>
        <v>38</v>
      </c>
      <c r="AQ131" s="4">
        <f t="shared" si="64"/>
        <v>4</v>
      </c>
      <c r="AR131" s="4">
        <f t="shared" si="65"/>
        <v>29</v>
      </c>
      <c r="AS131" s="4">
        <f t="shared" si="66"/>
        <v>3</v>
      </c>
      <c r="AT131" s="4">
        <f t="shared" si="67"/>
        <v>35</v>
      </c>
      <c r="AU131" s="4">
        <f t="shared" si="68"/>
        <v>7</v>
      </c>
      <c r="AV131" s="4">
        <f t="shared" si="69"/>
        <v>26</v>
      </c>
      <c r="AW131" s="4">
        <f t="shared" si="70"/>
        <v>2</v>
      </c>
      <c r="AX131" s="4">
        <f t="shared" si="71"/>
        <v>43</v>
      </c>
      <c r="AY131" s="4">
        <f t="shared" si="72"/>
        <v>38</v>
      </c>
      <c r="AZ131" s="4">
        <f t="shared" si="73"/>
        <v>32</v>
      </c>
      <c r="BA131" s="4">
        <f t="shared" si="74"/>
        <v>13</v>
      </c>
    </row>
    <row r="132" spans="1:53" x14ac:dyDescent="0.2">
      <c r="A132" s="1" t="str">
        <f>'SegEnds_NonXtal_Prot#'!A101</f>
        <v>etbr2_human</v>
      </c>
      <c r="B132" s="1" t="str">
        <f t="shared" si="50"/>
        <v>LYPVTESSYSAYAIMLLALVVFAVGIVGNLSVMCIVWHSSAWNSILASLALWDFLVLFFCLPIVIFNEITGDVSCRAVPFMEVSSLGVTTFSLCALGIDRFHVATSRCQSILAKLAVIWVGSMTLAVPELLLWSLVMTYQNARMWWYFGCYFCLPILFTVTCQLVTWRVRGPPGRKSSKHEQCESQLNSTVVGLTVVYAFCTLPENVCNIVVAYLRQTLDLLGLINQFSTFFKGAITPVLLLCICRPLGQAFLDCCCC</v>
      </c>
      <c r="C132" s="29" t="str">
        <f>IF(ISERROR(MATCH(A132,'SegEnds_Xtal_Prot#'!B:B, 0)), "NoXtal", "Xtal")</f>
        <v>NoXtal</v>
      </c>
      <c r="D132" s="4" t="str">
        <f>VLOOKUP(A132,Classification!A:D,2,FALSE)</f>
        <v>A</v>
      </c>
      <c r="E132" s="5" t="str">
        <f>VLOOKUP(A132,Seqs!A:B,2,FALSE)</f>
        <v>MRWLWPLAVSLAVILAVGLSRVSGGAPLHLGRHRAETQEQQSRSKRGTEDEEAKGVQQYVPEEWAEYPRPIHPAGLQPTKPLVATSPNPGKDGGTPDSGQELRGNLTGAPGQRLQIQNPLYPVTESSYSAYAIMLLALVVFAVGIVGNLSVMCIVWHSYYLKSAWNSILASLALWDFLVLFFCLPIVIFNEITKQRLLGDVSCRAVPFMEVSSLGVTTFSLCALGIDRFHVATSTLPKVRPIERCQSILAKLAVIWVGSMTLAVPELLLWQLAQEPAPTMGTLDSCIMKPSASLPESLYSLVMTYQNARMWWYFGCYFCLPILFTVTCQLVTWRVRGPPGRKSECRASKHEQCESQLNSTVVGLTVVYAFCTLPENVCNIVVAYLSTELTRQTLDLLGLINQFSTFFKGAITPVLLLCICRPLGQAFLDCCCCCCCEECGGASEASAANGSDNKLKTEVSSSIYFHKPRESPPLLPLGTPC</v>
      </c>
      <c r="F132" s="5" t="str">
        <f t="shared" si="51"/>
        <v>LYPVTESSYSAYAIMLLALVVFAVGIVGNLSVMCIVWHS</v>
      </c>
      <c r="G132" s="4" t="str">
        <f t="shared" si="52"/>
        <v>YYLK</v>
      </c>
      <c r="H132" s="4" t="str">
        <f t="shared" si="53"/>
        <v>SAWNSILASLALWDFLVLFFCLPIVIFNEIT</v>
      </c>
      <c r="I132" s="4" t="str">
        <f t="shared" si="54"/>
        <v/>
      </c>
      <c r="J132" s="4" t="str">
        <f t="shared" si="55"/>
        <v>GDVSCRAVPFMEVSSLGVTTFSLCALGIDRFHVATS</v>
      </c>
      <c r="K132" s="4" t="str">
        <f t="shared" si="56"/>
        <v>LPKVRPIE</v>
      </c>
      <c r="L132" s="4" t="str">
        <f t="shared" si="57"/>
        <v>RCQSILAKLAVIWVGSMTLAVPELLLW</v>
      </c>
      <c r="M132" s="4" t="str">
        <f t="shared" si="58"/>
        <v>CIM</v>
      </c>
      <c r="N132" s="4" t="str">
        <f t="shared" si="59"/>
        <v>SLVMTYQNARMWWYFGCYFCLPILFTVTCQLVTWRVRGPPGRKS</v>
      </c>
      <c r="O132" s="4" t="str">
        <f t="shared" si="60"/>
        <v>SKHEQCESQLNSTVVGLTVVYAFCTLPENVCNIVVAYL</v>
      </c>
      <c r="P132" s="4" t="str">
        <f t="shared" si="61"/>
        <v>RQTLDLLGLINQFSTFFKGAITPVLLLCI</v>
      </c>
      <c r="Q132" s="4" t="str">
        <f t="shared" si="62"/>
        <v>CRPLGQAFLDCCCC</v>
      </c>
      <c r="R132" s="5">
        <f>VLOOKUP($A132,'SegEnds_NonXtal_Prot#'!$A:$AL,3,FALSE)</f>
        <v>120</v>
      </c>
      <c r="S132" s="5">
        <f>VLOOKUP($A132,'SegEnds_NonXtal_Prot#'!$A:$AL,6,FALSE)</f>
        <v>159</v>
      </c>
      <c r="T132" s="5">
        <f>VLOOKUP($A132,'SegEnds_NonXtal_Prot#'!$A:$AL,9,FALSE)</f>
        <v>163</v>
      </c>
      <c r="U132" s="5" t="str">
        <f>VLOOKUP($A132,'SegEnds_NonXtal_Prot#'!$A:$AL,12,FALSE)</f>
        <v>-</v>
      </c>
      <c r="V132" s="5">
        <f>VLOOKUP($A132,'SegEnds_NonXtal_Prot#'!$A:$AL,15,FALSE)</f>
        <v>199</v>
      </c>
      <c r="W132" s="5">
        <f>VLOOKUP($A132,'SegEnds_NonXtal_Prot#'!$A:$AL,18,FALSE)</f>
        <v>236</v>
      </c>
      <c r="X132" s="5">
        <f>VLOOKUP($A132,'SegEnds_NonXtal_Prot#'!$A:$AL,21,FALSE)</f>
        <v>244</v>
      </c>
      <c r="Y132" s="5">
        <f>VLOOKUP($A132,'SegEnds_NonXtal_Prot#'!$A:$AL,24,FALSE)</f>
        <v>286</v>
      </c>
      <c r="Z132" s="5">
        <f>VLOOKUP($A132,'SegEnds_NonXtal_Prot#'!$A:$AL,27,FALSE)</f>
        <v>300</v>
      </c>
      <c r="AA132" s="5">
        <f>VLOOKUP($A132,'SegEnds_NonXtal_Prot#'!$A:$AL,30,FALSE)</f>
        <v>348</v>
      </c>
      <c r="AB132" s="5">
        <f>VLOOKUP($A132,'SegEnds_NonXtal_Prot#'!$A:$AL,33,FALSE)</f>
        <v>391</v>
      </c>
      <c r="AC132" s="5">
        <f>VLOOKUP($A132,'SegEnds_NonXtal_Prot#'!$A:$AL,36,FALSE)</f>
        <v>420</v>
      </c>
      <c r="AD132" s="5">
        <f>VLOOKUP($A132,'SegEnds_NonXtal_Prot#'!$A:$AL,5,FALSE)</f>
        <v>158</v>
      </c>
      <c r="AE132" s="5">
        <f>VLOOKUP($A132,'SegEnds_NonXtal_Prot#'!$A:$AL,8,FALSE)</f>
        <v>162</v>
      </c>
      <c r="AF132" s="5">
        <f>VLOOKUP($A132,'SegEnds_NonXtal_Prot#'!$A:$AL,11,FALSE)</f>
        <v>193</v>
      </c>
      <c r="AG132" s="5" t="str">
        <f>VLOOKUP($A132,'SegEnds_NonXtal_Prot#'!$A:$AL,14,FALSE)</f>
        <v>-</v>
      </c>
      <c r="AH132" s="5">
        <f>VLOOKUP($A132,'SegEnds_NonXtal_Prot#'!$A:$AL,17,FALSE)</f>
        <v>234</v>
      </c>
      <c r="AI132" s="5">
        <f>VLOOKUP($A132,'SegEnds_NonXtal_Prot#'!$A:$AL,20,FALSE)</f>
        <v>243</v>
      </c>
      <c r="AJ132" s="5">
        <f>VLOOKUP($A132,'SegEnds_NonXtal_Prot#'!$A:$AL,23,FALSE)</f>
        <v>270</v>
      </c>
      <c r="AK132" s="5">
        <f>VLOOKUP($A132,'SegEnds_NonXtal_Prot#'!$A:$AL,26,FALSE)</f>
        <v>288</v>
      </c>
      <c r="AL132" s="5">
        <f>VLOOKUP($A132,'SegEnds_NonXtal_Prot#'!$A:$AL,29,FALSE)</f>
        <v>343</v>
      </c>
      <c r="AM132" s="5">
        <f>VLOOKUP($A132,'SegEnds_NonXtal_Prot#'!$A:$AL,32,FALSE)</f>
        <v>385</v>
      </c>
      <c r="AN132" s="5">
        <f>VLOOKUP($A132,'SegEnds_NonXtal_Prot#'!$A:$AL,35,FALSE)</f>
        <v>419</v>
      </c>
      <c r="AO132" s="5">
        <f>VLOOKUP($A132,'SegEnds_NonXtal_Prot#'!$A:$AL,38,FALSE)</f>
        <v>433</v>
      </c>
      <c r="AP132" s="5">
        <f t="shared" si="63"/>
        <v>38</v>
      </c>
      <c r="AQ132" s="4">
        <f t="shared" si="64"/>
        <v>3</v>
      </c>
      <c r="AR132" s="4">
        <f t="shared" si="65"/>
        <v>30</v>
      </c>
      <c r="AS132" s="4" t="str">
        <f t="shared" si="66"/>
        <v>-</v>
      </c>
      <c r="AT132" s="4">
        <f t="shared" si="67"/>
        <v>35</v>
      </c>
      <c r="AU132" s="4">
        <f t="shared" si="68"/>
        <v>7</v>
      </c>
      <c r="AV132" s="4">
        <f t="shared" si="69"/>
        <v>26</v>
      </c>
      <c r="AW132" s="4">
        <f t="shared" si="70"/>
        <v>2</v>
      </c>
      <c r="AX132" s="4">
        <f t="shared" si="71"/>
        <v>43</v>
      </c>
      <c r="AY132" s="4">
        <f t="shared" si="72"/>
        <v>37</v>
      </c>
      <c r="AZ132" s="4">
        <f t="shared" si="73"/>
        <v>28</v>
      </c>
      <c r="BA132" s="4">
        <f t="shared" si="74"/>
        <v>13</v>
      </c>
    </row>
    <row r="133" spans="1:53" x14ac:dyDescent="0.2">
      <c r="A133" s="1" t="str">
        <f>'SegEnds_NonXtal_Prot#'!A102</f>
        <v>ffar1_human</v>
      </c>
      <c r="B133" s="1" t="str">
        <f t="shared" si="50"/>
        <v>PPQLSFGLYVAAFALGFPLNVLAIRGATAHARLRTPSLVYALNLGCSDLLLTVSLPLKAVEALASPASLCPVFAVAHFFPLYAGGGFLAALSAGRYLGAAFRPCYSWGVCAAIWALVLCHLGLVFGLEADPASAGPARFSLSLLLFFLPLAITAFCYVGCLRALARRRKLRAAWVAGGALLTLLLCVGPYNASNVASFLYGSWRKLGLITGAWSVVLNPLVTGYLGRGPGLKTVCAARTQ</v>
      </c>
      <c r="C133" s="29" t="str">
        <f>IF(ISERROR(MATCH(A133,'SegEnds_Xtal_Prot#'!B:B, 0)), "NoXtal", "Xtal")</f>
        <v>Xtal</v>
      </c>
      <c r="D133" s="4" t="str">
        <f>VLOOKUP(A133,Classification!A:D,2,FALSE)</f>
        <v>A</v>
      </c>
      <c r="E133" s="5" t="str">
        <f>VLOOKUP(A133,Seqs!A:B,2,FALSE)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F133" s="5" t="str">
        <f t="shared" si="51"/>
        <v>PPQLSFGLYVAAFALGFPLNVLAIRGATAHARLR</v>
      </c>
      <c r="G133" s="4" t="str">
        <f t="shared" si="52"/>
        <v/>
      </c>
      <c r="H133" s="4" t="str">
        <f t="shared" si="53"/>
        <v>TPSLVYALNLGCSDLLLTVSLPLKAVEALAS</v>
      </c>
      <c r="I133" s="4" t="str">
        <f t="shared" si="54"/>
        <v>AWPL</v>
      </c>
      <c r="J133" s="4" t="str">
        <f t="shared" si="55"/>
        <v>PASLCPVFAVAHFFPLYAGGGFLAALSAGRYLGAAF</v>
      </c>
      <c r="K133" s="4" t="str">
        <f t="shared" si="56"/>
        <v>PLGYQAFR</v>
      </c>
      <c r="L133" s="4" t="str">
        <f t="shared" si="57"/>
        <v>RPCYSWGVCAAIWALVLCHLGLVFGLEA</v>
      </c>
      <c r="M133" s="4" t="str">
        <f t="shared" si="58"/>
        <v>CLE</v>
      </c>
      <c r="N133" s="4" t="str">
        <f t="shared" si="59"/>
        <v>DPASAGPARFSLSLLLFFLPLAITAFCYVGCLRALAR</v>
      </c>
      <c r="O133" s="4" t="str">
        <f t="shared" si="60"/>
        <v>RRKLRAAWVAGGALLTLLLCVGPYNASNVASFLY</v>
      </c>
      <c r="P133" s="4" t="str">
        <f t="shared" si="61"/>
        <v>GSWRKLGLITGAWSVVLNPLVTGYL</v>
      </c>
      <c r="Q133" s="4" t="str">
        <f t="shared" si="62"/>
        <v>GRGPGLKTVCAARTQ</v>
      </c>
      <c r="R133" s="5">
        <f>VLOOKUP($A133,'SegEnds_NonXtal_Prot#'!$A:$AL,3,FALSE)</f>
        <v>4</v>
      </c>
      <c r="S133" s="5" t="str">
        <f>VLOOKUP($A133,'SegEnds_NonXtal_Prot#'!$A:$AL,6,FALSE)</f>
        <v>-</v>
      </c>
      <c r="T133" s="5">
        <f>VLOOKUP($A133,'SegEnds_NonXtal_Prot#'!$A:$AL,9,FALSE)</f>
        <v>39</v>
      </c>
      <c r="U133" s="5">
        <f>VLOOKUP($A133,'SegEnds_NonXtal_Prot#'!$A:$AL,12,FALSE)</f>
        <v>71</v>
      </c>
      <c r="V133" s="5">
        <f>VLOOKUP($A133,'SegEnds_NonXtal_Prot#'!$A:$AL,15,FALSE)</f>
        <v>75</v>
      </c>
      <c r="W133" s="5">
        <f>VLOOKUP($A133,'SegEnds_NonXtal_Prot#'!$A:$AL,18,FALSE)</f>
        <v>111</v>
      </c>
      <c r="X133" s="5">
        <f>VLOOKUP($A133,'SegEnds_NonXtal_Prot#'!$A:$AL,21,FALSE)</f>
        <v>119</v>
      </c>
      <c r="Y133" s="5">
        <f>VLOOKUP($A133,'SegEnds_NonXtal_Prot#'!$A:$AL,24,FALSE)</f>
        <v>170</v>
      </c>
      <c r="Z133" s="5">
        <f>VLOOKUP($A133,'SegEnds_NonXtal_Prot#'!$A:$AL,27,FALSE)</f>
        <v>175</v>
      </c>
      <c r="AA133" s="5">
        <f>VLOOKUP($A133,'SegEnds_NonXtal_Prot#'!$A:$AL,30,FALSE)</f>
        <v>217</v>
      </c>
      <c r="AB133" s="5">
        <f>VLOOKUP($A133,'SegEnds_NonXtal_Prot#'!$A:$AL,33,FALSE)</f>
        <v>255</v>
      </c>
      <c r="AC133" s="5">
        <f>VLOOKUP($A133,'SegEnds_NonXtal_Prot#'!$A:$AL,36,FALSE)</f>
        <v>280</v>
      </c>
      <c r="AD133" s="5">
        <f>VLOOKUP($A133,'SegEnds_NonXtal_Prot#'!$A:$AL,5,FALSE)</f>
        <v>37</v>
      </c>
      <c r="AE133" s="5" t="str">
        <f>VLOOKUP($A133,'SegEnds_NonXtal_Prot#'!$A:$AL,8,FALSE)</f>
        <v>-</v>
      </c>
      <c r="AF133" s="5">
        <f>VLOOKUP($A133,'SegEnds_NonXtal_Prot#'!$A:$AL,11,FALSE)</f>
        <v>69</v>
      </c>
      <c r="AG133" s="5">
        <f>VLOOKUP($A133,'SegEnds_NonXtal_Prot#'!$A:$AL,14,FALSE)</f>
        <v>74</v>
      </c>
      <c r="AH133" s="5">
        <f>VLOOKUP($A133,'SegEnds_NonXtal_Prot#'!$A:$AL,17,FALSE)</f>
        <v>110</v>
      </c>
      <c r="AI133" s="5">
        <f>VLOOKUP($A133,'SegEnds_NonXtal_Prot#'!$A:$AL,20,FALSE)</f>
        <v>118</v>
      </c>
      <c r="AJ133" s="5">
        <f>VLOOKUP($A133,'SegEnds_NonXtal_Prot#'!$A:$AL,23,FALSE)</f>
        <v>146</v>
      </c>
      <c r="AK133" s="5">
        <f>VLOOKUP($A133,'SegEnds_NonXtal_Prot#'!$A:$AL,26,FALSE)</f>
        <v>172</v>
      </c>
      <c r="AL133" s="5">
        <f>VLOOKUP($A133,'SegEnds_NonXtal_Prot#'!$A:$AL,29,FALSE)</f>
        <v>211</v>
      </c>
      <c r="AM133" s="5">
        <f>VLOOKUP($A133,'SegEnds_NonXtal_Prot#'!$A:$AL,32,FALSE)</f>
        <v>250</v>
      </c>
      <c r="AN133" s="5">
        <f>VLOOKUP($A133,'SegEnds_NonXtal_Prot#'!$A:$AL,35,FALSE)</f>
        <v>279</v>
      </c>
      <c r="AO133" s="5">
        <f>VLOOKUP($A133,'SegEnds_NonXtal_Prot#'!$A:$AL,38,FALSE)</f>
        <v>294</v>
      </c>
      <c r="AP133" s="5">
        <f t="shared" si="63"/>
        <v>33</v>
      </c>
      <c r="AQ133" s="4" t="str">
        <f t="shared" si="64"/>
        <v>-</v>
      </c>
      <c r="AR133" s="4">
        <f t="shared" si="65"/>
        <v>30</v>
      </c>
      <c r="AS133" s="4">
        <f t="shared" si="66"/>
        <v>3</v>
      </c>
      <c r="AT133" s="4">
        <f t="shared" si="67"/>
        <v>35</v>
      </c>
      <c r="AU133" s="4">
        <f t="shared" si="68"/>
        <v>7</v>
      </c>
      <c r="AV133" s="4">
        <f t="shared" si="69"/>
        <v>27</v>
      </c>
      <c r="AW133" s="4">
        <f t="shared" si="70"/>
        <v>2</v>
      </c>
      <c r="AX133" s="4">
        <f t="shared" si="71"/>
        <v>36</v>
      </c>
      <c r="AY133" s="4">
        <f t="shared" si="72"/>
        <v>33</v>
      </c>
      <c r="AZ133" s="4">
        <f t="shared" si="73"/>
        <v>24</v>
      </c>
      <c r="BA133" s="4">
        <f t="shared" si="74"/>
        <v>14</v>
      </c>
    </row>
    <row r="134" spans="1:53" x14ac:dyDescent="0.2">
      <c r="A134" s="1" t="str">
        <f>'SegEnds_NonXtal_Prot#'!A103</f>
        <v>ffar2_human</v>
      </c>
      <c r="B134" s="1" t="str">
        <f t="shared" si="50"/>
        <v>PDWKSSLILMAYIIIFLTGLPANLLALRAFVGRAPVHILLLSLTLADLLLLLLLPFKIIEAASPKVVCALTSFGFYSSIYCSTWLLAGISIERYLGVAFRPLYGVIAALVAWVMSFGHCTIVIIQLDVVLPVRLELCLVLFFIPMAVTIFCYWRFVWIMLSGAQRRRRAVGLAVVTLLNFLVCFGPYNVSHLVGYHQWWRSIAVVFSSLNASLDPLLFYFSSSVVRRAFGRGLQVL</v>
      </c>
      <c r="C134" s="29" t="str">
        <f>IF(ISERROR(MATCH(A134,'SegEnds_Xtal_Prot#'!B:B, 0)), "NoXtal", "Xtal")</f>
        <v>NoXtal</v>
      </c>
      <c r="D134" s="4" t="str">
        <f>VLOOKUP(A134,Classification!A:D,2,FALSE)</f>
        <v>A</v>
      </c>
      <c r="E134" s="5" t="str">
        <f>VLOOKUP(A134,Seqs!A:B,2,FALSE)</f>
        <v>MLPDWKSSLILMAYIIIFLTGLPANLLALRAFVGRIRQPQPAPVHILLLSLTLADLLLLLLLPFKIIEAASNFRWYLPKVVCALTSFGFYSSIYCSTWLLAGISIERYLGVAFPVQYKLSRRPLYGVIAALVAWVMSFGHCTIVIIVQYLNTTEQVRSGNEITCYENFTDNQLDVVLPVRLELCLVLFFIPMAVTIFCYWRFVWIMLSQPLVGAQRRRRAVGLAVVTLLNFLVCFGPYNVSHLVGYHQRKSPWWRSIAVVFSSLNASLDPLLFYFSSSVVRRAFGRGLQVLRNQGSSLLGRRGKDTAEGTNEDRGVGQGEGMPSSDFTTE</v>
      </c>
      <c r="F134" s="5" t="str">
        <f t="shared" si="51"/>
        <v>PDWKSSLILMAYIIIFLTGLPANLLALRAFVGR</v>
      </c>
      <c r="G134" s="4" t="str">
        <f t="shared" si="52"/>
        <v/>
      </c>
      <c r="H134" s="4" t="str">
        <f t="shared" si="53"/>
        <v>APVHILLLSLTLADLLLLLLLPFKIIEAAS</v>
      </c>
      <c r="I134" s="4" t="str">
        <f t="shared" si="54"/>
        <v>RWYL</v>
      </c>
      <c r="J134" s="4" t="str">
        <f t="shared" si="55"/>
        <v>PKVVCALTSFGFYSSIYCSTWLLAGISIERYLGVAF</v>
      </c>
      <c r="K134" s="4" t="str">
        <f t="shared" si="56"/>
        <v>PVQYKLSR</v>
      </c>
      <c r="L134" s="4" t="str">
        <f t="shared" si="57"/>
        <v>RPLYGVIAALVAWVMSFGHCTIVII</v>
      </c>
      <c r="M134" s="4" t="str">
        <f t="shared" si="58"/>
        <v>CYE</v>
      </c>
      <c r="N134" s="4" t="str">
        <f t="shared" si="59"/>
        <v>QLDVVLPVRLELCLVLFFIPMAVTIFCYWRFVWIMLS</v>
      </c>
      <c r="O134" s="4" t="str">
        <f t="shared" si="60"/>
        <v>GAQRRRRAVGLAVVTLLNFLVCFGPYNVSHLVGYHQ</v>
      </c>
      <c r="P134" s="4" t="str">
        <f t="shared" si="61"/>
        <v>WWRSIAVVFSSLNASLDPLLFYFS</v>
      </c>
      <c r="Q134" s="4" t="str">
        <f t="shared" si="62"/>
        <v>SSVVRRAFGRGLQVL</v>
      </c>
      <c r="R134" s="5">
        <f>VLOOKUP($A134,'SegEnds_NonXtal_Prot#'!$A:$AL,3,FALSE)</f>
        <v>3</v>
      </c>
      <c r="S134" s="5" t="str">
        <f>VLOOKUP($A134,'SegEnds_NonXtal_Prot#'!$A:$AL,6,FALSE)</f>
        <v>-</v>
      </c>
      <c r="T134" s="5">
        <f>VLOOKUP($A134,'SegEnds_NonXtal_Prot#'!$A:$AL,9,FALSE)</f>
        <v>42</v>
      </c>
      <c r="U134" s="5">
        <f>VLOOKUP($A134,'SegEnds_NonXtal_Prot#'!$A:$AL,12,FALSE)</f>
        <v>74</v>
      </c>
      <c r="V134" s="5">
        <f>VLOOKUP($A134,'SegEnds_NonXtal_Prot#'!$A:$AL,15,FALSE)</f>
        <v>78</v>
      </c>
      <c r="W134" s="5">
        <f>VLOOKUP($A134,'SegEnds_NonXtal_Prot#'!$A:$AL,18,FALSE)</f>
        <v>114</v>
      </c>
      <c r="X134" s="5">
        <f>VLOOKUP($A134,'SegEnds_NonXtal_Prot#'!$A:$AL,21,FALSE)</f>
        <v>122</v>
      </c>
      <c r="Y134" s="5">
        <f>VLOOKUP($A134,'SegEnds_NonXtal_Prot#'!$A:$AL,24,FALSE)</f>
        <v>164</v>
      </c>
      <c r="Z134" s="5">
        <f>VLOOKUP($A134,'SegEnds_NonXtal_Prot#'!$A:$AL,27,FALSE)</f>
        <v>172</v>
      </c>
      <c r="AA134" s="5">
        <f>VLOOKUP($A134,'SegEnds_NonXtal_Prot#'!$A:$AL,30,FALSE)</f>
        <v>213</v>
      </c>
      <c r="AB134" s="5">
        <f>VLOOKUP($A134,'SegEnds_NonXtal_Prot#'!$A:$AL,33,FALSE)</f>
        <v>253</v>
      </c>
      <c r="AC134" s="5">
        <f>VLOOKUP($A134,'SegEnds_NonXtal_Prot#'!$A:$AL,36,FALSE)</f>
        <v>277</v>
      </c>
      <c r="AD134" s="5">
        <f>VLOOKUP($A134,'SegEnds_NonXtal_Prot#'!$A:$AL,5,FALSE)</f>
        <v>35</v>
      </c>
      <c r="AE134" s="5" t="str">
        <f>VLOOKUP($A134,'SegEnds_NonXtal_Prot#'!$A:$AL,8,FALSE)</f>
        <v>-</v>
      </c>
      <c r="AF134" s="5">
        <f>VLOOKUP($A134,'SegEnds_NonXtal_Prot#'!$A:$AL,11,FALSE)</f>
        <v>71</v>
      </c>
      <c r="AG134" s="5">
        <f>VLOOKUP($A134,'SegEnds_NonXtal_Prot#'!$A:$AL,14,FALSE)</f>
        <v>77</v>
      </c>
      <c r="AH134" s="5">
        <f>VLOOKUP($A134,'SegEnds_NonXtal_Prot#'!$A:$AL,17,FALSE)</f>
        <v>113</v>
      </c>
      <c r="AI134" s="5">
        <f>VLOOKUP($A134,'SegEnds_NonXtal_Prot#'!$A:$AL,20,FALSE)</f>
        <v>121</v>
      </c>
      <c r="AJ134" s="5">
        <f>VLOOKUP($A134,'SegEnds_NonXtal_Prot#'!$A:$AL,23,FALSE)</f>
        <v>146</v>
      </c>
      <c r="AK134" s="5">
        <f>VLOOKUP($A134,'SegEnds_NonXtal_Prot#'!$A:$AL,26,FALSE)</f>
        <v>166</v>
      </c>
      <c r="AL134" s="5">
        <f>VLOOKUP($A134,'SegEnds_NonXtal_Prot#'!$A:$AL,29,FALSE)</f>
        <v>208</v>
      </c>
      <c r="AM134" s="5">
        <f>VLOOKUP($A134,'SegEnds_NonXtal_Prot#'!$A:$AL,32,FALSE)</f>
        <v>248</v>
      </c>
      <c r="AN134" s="5">
        <f>VLOOKUP($A134,'SegEnds_NonXtal_Prot#'!$A:$AL,35,FALSE)</f>
        <v>276</v>
      </c>
      <c r="AO134" s="5">
        <f>VLOOKUP($A134,'SegEnds_NonXtal_Prot#'!$A:$AL,38,FALSE)</f>
        <v>291</v>
      </c>
      <c r="AP134" s="5">
        <f t="shared" si="63"/>
        <v>32</v>
      </c>
      <c r="AQ134" s="4" t="str">
        <f t="shared" si="64"/>
        <v>-</v>
      </c>
      <c r="AR134" s="4">
        <f t="shared" si="65"/>
        <v>29</v>
      </c>
      <c r="AS134" s="4">
        <f t="shared" si="66"/>
        <v>3</v>
      </c>
      <c r="AT134" s="4">
        <f t="shared" si="67"/>
        <v>35</v>
      </c>
      <c r="AU134" s="4">
        <f t="shared" si="68"/>
        <v>7</v>
      </c>
      <c r="AV134" s="4">
        <f t="shared" si="69"/>
        <v>24</v>
      </c>
      <c r="AW134" s="4">
        <f t="shared" si="70"/>
        <v>2</v>
      </c>
      <c r="AX134" s="4">
        <f t="shared" si="71"/>
        <v>36</v>
      </c>
      <c r="AY134" s="4">
        <f t="shared" si="72"/>
        <v>35</v>
      </c>
      <c r="AZ134" s="4">
        <f t="shared" si="73"/>
        <v>23</v>
      </c>
      <c r="BA134" s="4">
        <f t="shared" si="74"/>
        <v>14</v>
      </c>
    </row>
    <row r="135" spans="1:53" x14ac:dyDescent="0.2">
      <c r="A135" s="1" t="str">
        <f>'SegEnds_NonXtal_Prot#'!A104</f>
        <v>ffar3_human</v>
      </c>
      <c r="B135" s="1" t="str">
        <f t="shared" si="50"/>
        <v>SGNHWFVFSVYLLTFLVGLPLNLLALVVFVGKVAVDVLLLNLTASDLLLLLFLPFRMVEAANPFILCPLSGFIFFTTIYLTALFLAAVSIERFLSVAHRLGQAGLVSVACWLLASAHCSVVYVILAILLPVRLEMAVVLFVVPLIITSYCYSRLVWILGRGRRQRRVAGLLAATLLNFLVCFGPYNVSHVVGYICAWRIYVTLLSTLNSCVDPFVYYFSSSGFQADFHELLRRL</v>
      </c>
      <c r="C135" s="29" t="str">
        <f>IF(ISERROR(MATCH(A135,'SegEnds_Xtal_Prot#'!B:B, 0)), "NoXtal", "Xtal")</f>
        <v>NoXtal</v>
      </c>
      <c r="D135" s="4" t="str">
        <f>VLOOKUP(A135,Classification!A:D,2,FALSE)</f>
        <v>A</v>
      </c>
      <c r="E135" s="5" t="str">
        <f>VLOOKUP(A135,Seqs!A:B,2,FALSE)</f>
        <v>MDTGPDQSYFSGNHWFVFSVYLLTFLVGLPLNLLALVVFVGKLQRRPVAVDVLLLNLTASDLLLLLFLPFRMVEAANGMHWPLPFILCPLSGFIFFTTIYLTALFLAAVSIERFLSVAHPLWYKTRPRLGQAGLVSVACWLLASAHCSVVYVIEFSGDISHSQGTNGTCYLEFRKDQLAILLPVRLEMAVVLFVVPLIITSYCYSRLVWILGRGGSHRRQRRVAGLLAATLLNFLVCFGPYNVSHVVGYICGESPAWRIYVTLLSTLNSCVDPFVYYFSSSGFQADFHELLRRLCGLWGQWQQESSMELKEQKGGEEQRADRPAERKTSEHSQGCGTGGQVACAES</v>
      </c>
      <c r="F135" s="5" t="str">
        <f t="shared" si="51"/>
        <v>SGNHWFVFSVYLLTFLVGLPLNLLALVVFVGK</v>
      </c>
      <c r="G135" s="4" t="str">
        <f t="shared" si="52"/>
        <v/>
      </c>
      <c r="H135" s="4" t="str">
        <f t="shared" si="53"/>
        <v>VAVDVLLLNLTASDLLLLLFLPFRMVEAAN</v>
      </c>
      <c r="I135" s="4" t="str">
        <f t="shared" si="54"/>
        <v>HWPL</v>
      </c>
      <c r="J135" s="4" t="str">
        <f t="shared" si="55"/>
        <v>PFILCPLSGFIFFTTIYLTALFLAAVSIERFLSVAH</v>
      </c>
      <c r="K135" s="4" t="str">
        <f t="shared" si="56"/>
        <v>PLWYKTRP</v>
      </c>
      <c r="L135" s="4" t="str">
        <f t="shared" si="57"/>
        <v>RLGQAGLVSVACWLLASAHCSVVYVI</v>
      </c>
      <c r="M135" s="4" t="str">
        <f t="shared" si="58"/>
        <v>CYL</v>
      </c>
      <c r="N135" s="4" t="str">
        <f t="shared" si="59"/>
        <v>LAILLPVRLEMAVVLFVVPLIITSYCYSRLVWILGRG</v>
      </c>
      <c r="O135" s="4" t="str">
        <f t="shared" si="60"/>
        <v>RRQRRVAGLLAATLLNFLVCFGPYNVSHVVGYIC</v>
      </c>
      <c r="P135" s="4" t="str">
        <f t="shared" si="61"/>
        <v>AWRIYVTLLSTLNSCVDPFVYYFS</v>
      </c>
      <c r="Q135" s="4" t="str">
        <f t="shared" si="62"/>
        <v>SSGFQADFHELLRRL</v>
      </c>
      <c r="R135" s="5">
        <f>VLOOKUP($A135,'SegEnds_NonXtal_Prot#'!$A:$AL,3,FALSE)</f>
        <v>11</v>
      </c>
      <c r="S135" s="5" t="str">
        <f>VLOOKUP($A135,'SegEnds_NonXtal_Prot#'!$A:$AL,6,FALSE)</f>
        <v>-</v>
      </c>
      <c r="T135" s="5">
        <f>VLOOKUP($A135,'SegEnds_NonXtal_Prot#'!$A:$AL,9,FALSE)</f>
        <v>48</v>
      </c>
      <c r="U135" s="5">
        <f>VLOOKUP($A135,'SegEnds_NonXtal_Prot#'!$A:$AL,12,FALSE)</f>
        <v>80</v>
      </c>
      <c r="V135" s="5">
        <f>VLOOKUP($A135,'SegEnds_NonXtal_Prot#'!$A:$AL,15,FALSE)</f>
        <v>84</v>
      </c>
      <c r="W135" s="5">
        <f>VLOOKUP($A135,'SegEnds_NonXtal_Prot#'!$A:$AL,18,FALSE)</f>
        <v>120</v>
      </c>
      <c r="X135" s="5">
        <f>VLOOKUP($A135,'SegEnds_NonXtal_Prot#'!$A:$AL,21,FALSE)</f>
        <v>128</v>
      </c>
      <c r="Y135" s="5">
        <f>VLOOKUP($A135,'SegEnds_NonXtal_Prot#'!$A:$AL,24,FALSE)</f>
        <v>169</v>
      </c>
      <c r="Z135" s="5">
        <f>VLOOKUP($A135,'SegEnds_NonXtal_Prot#'!$A:$AL,27,FALSE)</f>
        <v>178</v>
      </c>
      <c r="AA135" s="5">
        <f>VLOOKUP($A135,'SegEnds_NonXtal_Prot#'!$A:$AL,30,FALSE)</f>
        <v>218</v>
      </c>
      <c r="AB135" s="5">
        <f>VLOOKUP($A135,'SegEnds_NonXtal_Prot#'!$A:$AL,33,FALSE)</f>
        <v>256</v>
      </c>
      <c r="AC135" s="5">
        <f>VLOOKUP($A135,'SegEnds_NonXtal_Prot#'!$A:$AL,36,FALSE)</f>
        <v>280</v>
      </c>
      <c r="AD135" s="5">
        <f>VLOOKUP($A135,'SegEnds_NonXtal_Prot#'!$A:$AL,5,FALSE)</f>
        <v>42</v>
      </c>
      <c r="AE135" s="5" t="str">
        <f>VLOOKUP($A135,'SegEnds_NonXtal_Prot#'!$A:$AL,8,FALSE)</f>
        <v>-</v>
      </c>
      <c r="AF135" s="5">
        <f>VLOOKUP($A135,'SegEnds_NonXtal_Prot#'!$A:$AL,11,FALSE)</f>
        <v>77</v>
      </c>
      <c r="AG135" s="5">
        <f>VLOOKUP($A135,'SegEnds_NonXtal_Prot#'!$A:$AL,14,FALSE)</f>
        <v>83</v>
      </c>
      <c r="AH135" s="5">
        <f>VLOOKUP($A135,'SegEnds_NonXtal_Prot#'!$A:$AL,17,FALSE)</f>
        <v>119</v>
      </c>
      <c r="AI135" s="5">
        <f>VLOOKUP($A135,'SegEnds_NonXtal_Prot#'!$A:$AL,20,FALSE)</f>
        <v>127</v>
      </c>
      <c r="AJ135" s="5">
        <f>VLOOKUP($A135,'SegEnds_NonXtal_Prot#'!$A:$AL,23,FALSE)</f>
        <v>153</v>
      </c>
      <c r="AK135" s="5">
        <f>VLOOKUP($A135,'SegEnds_NonXtal_Prot#'!$A:$AL,26,FALSE)</f>
        <v>171</v>
      </c>
      <c r="AL135" s="5">
        <f>VLOOKUP($A135,'SegEnds_NonXtal_Prot#'!$A:$AL,29,FALSE)</f>
        <v>214</v>
      </c>
      <c r="AM135" s="5">
        <f>VLOOKUP($A135,'SegEnds_NonXtal_Prot#'!$A:$AL,32,FALSE)</f>
        <v>251</v>
      </c>
      <c r="AN135" s="5">
        <f>VLOOKUP($A135,'SegEnds_NonXtal_Prot#'!$A:$AL,35,FALSE)</f>
        <v>279</v>
      </c>
      <c r="AO135" s="5">
        <f>VLOOKUP($A135,'SegEnds_NonXtal_Prot#'!$A:$AL,38,FALSE)</f>
        <v>294</v>
      </c>
      <c r="AP135" s="5">
        <f t="shared" si="63"/>
        <v>31</v>
      </c>
      <c r="AQ135" s="4" t="str">
        <f t="shared" si="64"/>
        <v>-</v>
      </c>
      <c r="AR135" s="4">
        <f t="shared" si="65"/>
        <v>29</v>
      </c>
      <c r="AS135" s="4">
        <f t="shared" si="66"/>
        <v>3</v>
      </c>
      <c r="AT135" s="4">
        <f t="shared" si="67"/>
        <v>35</v>
      </c>
      <c r="AU135" s="4">
        <f t="shared" si="68"/>
        <v>7</v>
      </c>
      <c r="AV135" s="4">
        <f t="shared" si="69"/>
        <v>25</v>
      </c>
      <c r="AW135" s="4">
        <f t="shared" si="70"/>
        <v>2</v>
      </c>
      <c r="AX135" s="4">
        <f t="shared" si="71"/>
        <v>36</v>
      </c>
      <c r="AY135" s="4">
        <f t="shared" si="72"/>
        <v>33</v>
      </c>
      <c r="AZ135" s="4">
        <f t="shared" si="73"/>
        <v>23</v>
      </c>
      <c r="BA135" s="4">
        <f t="shared" si="74"/>
        <v>14</v>
      </c>
    </row>
    <row r="136" spans="1:53" x14ac:dyDescent="0.2">
      <c r="A136" s="1" t="str">
        <f>'SegEnds_NonXtal_Prot#'!A105</f>
        <v>ffar4_human</v>
      </c>
      <c r="B136" s="1" t="str">
        <f t="shared" si="50"/>
        <v>LAAVETTVLVLIFAVSLLGNVCALVLVARRGATACLVLNLFCADLLFISAIPLVLAVRWTGPVACHLLFYVMTLSGSVTILTLAAVSLERMVCIVHGRRARAVLLALIWGYSAVAALPLCVFFIPGEISWDVSFVTLNFLVPGLVIVISYSKILQTSEHLLDARAVVTIRVSQQDFRLFRTLFLLMVSFFIMWSPIIITILLILIQLVIWPSLFFWVVAFTFANSALNPILYNMTLCRNEWKKIFCC</v>
      </c>
      <c r="C136" s="29" t="str">
        <f>IF(ISERROR(MATCH(A136,'SegEnds_Xtal_Prot#'!B:B, 0)), "NoXtal", "Xtal")</f>
        <v>NoXtal</v>
      </c>
      <c r="D136" s="4" t="str">
        <f>VLOOKUP(A136,Classification!A:D,2,FALSE)</f>
        <v>A</v>
      </c>
      <c r="E136" s="5" t="str">
        <f>VLOOKUP(A136,Seqs!A:B,2,FALSE)</f>
        <v>MSPECARAAGDAPLRSLEQANRTRFPFFSDVKGDHRLVLAAVETTVLVLIFAVSLLGNVCALVLVARRRRRGATACLVLNLFCADLLFISAIPLVLAVRWTEAWLLGPVACHLLFYVMTLSGSVTILTLAAVSLERMVCIVHLQRGVRGPGRRARAVLLALIWGYSAVAALPLCVFFRVVPQRLPGADQEISICTLIWPTIPGEISWDVSFVTLNFLVPGLVIVISYSKILQTSEHLLDARAVVTHSEITKASRKRLTVSLAYSESHQIRVSQQDFRLFRTLFLLMVSFFIMWSPIIITILLILIQNFKQDLVIWPSLFFWVVAFTFANSALNPILYNMTLCRNEWKKIFCCFWFPEKGAILTDTSVKRNDLSIISG</v>
      </c>
      <c r="F136" s="5" t="str">
        <f t="shared" si="51"/>
        <v>LAAVETTVLVLIFAVSLLGNVCALVLVARR</v>
      </c>
      <c r="G136" s="4" t="str">
        <f t="shared" si="52"/>
        <v/>
      </c>
      <c r="H136" s="4" t="str">
        <f t="shared" si="53"/>
        <v>GATACLVLNLFCADLLFISAIPLVLAVRWT</v>
      </c>
      <c r="I136" s="4" t="str">
        <f t="shared" si="54"/>
        <v>AWLL</v>
      </c>
      <c r="J136" s="4" t="str">
        <f t="shared" si="55"/>
        <v>GPVACHLLFYVMTLSGSVTILTLAAVSLERMVCIVH</v>
      </c>
      <c r="K136" s="4" t="str">
        <f t="shared" si="56"/>
        <v>LQRGVRGP</v>
      </c>
      <c r="L136" s="4" t="str">
        <f t="shared" si="57"/>
        <v>GRRARAVLLALIWGYSAVAALPLCVFF</v>
      </c>
      <c r="M136" s="4" t="str">
        <f t="shared" si="58"/>
        <v>CTL</v>
      </c>
      <c r="N136" s="4" t="str">
        <f t="shared" si="59"/>
        <v>IPGEISWDVSFVTLNFLVPGLVIVISYSKILQTSEHLLDARAVVT</v>
      </c>
      <c r="O136" s="4" t="str">
        <f t="shared" si="60"/>
        <v>IRVSQQDFRLFRTLFLLMVSFFIMWSPIIITILLILIQ</v>
      </c>
      <c r="P136" s="4" t="str">
        <f t="shared" si="61"/>
        <v>LVIWPSLFFWVVAFTFANSALNPILYNMT</v>
      </c>
      <c r="Q136" s="4" t="str">
        <f t="shared" si="62"/>
        <v>LCRNEWKKIFCC</v>
      </c>
      <c r="R136" s="5">
        <f>VLOOKUP($A136,'SegEnds_NonXtal_Prot#'!$A:$AL,3,FALSE)</f>
        <v>39</v>
      </c>
      <c r="S136" s="5" t="str">
        <f>VLOOKUP($A136,'SegEnds_NonXtal_Prot#'!$A:$AL,6,FALSE)</f>
        <v>-</v>
      </c>
      <c r="T136" s="5">
        <f>VLOOKUP($A136,'SegEnds_NonXtal_Prot#'!$A:$AL,9,FALSE)</f>
        <v>72</v>
      </c>
      <c r="U136" s="5">
        <f>VLOOKUP($A136,'SegEnds_NonXtal_Prot#'!$A:$AL,12,FALSE)</f>
        <v>103</v>
      </c>
      <c r="V136" s="5">
        <f>VLOOKUP($A136,'SegEnds_NonXtal_Prot#'!$A:$AL,15,FALSE)</f>
        <v>107</v>
      </c>
      <c r="W136" s="5">
        <f>VLOOKUP($A136,'SegEnds_NonXtal_Prot#'!$A:$AL,18,FALSE)</f>
        <v>143</v>
      </c>
      <c r="X136" s="5">
        <f>VLOOKUP($A136,'SegEnds_NonXtal_Prot#'!$A:$AL,21,FALSE)</f>
        <v>151</v>
      </c>
      <c r="Y136" s="5">
        <f>VLOOKUP($A136,'SegEnds_NonXtal_Prot#'!$A:$AL,24,FALSE)</f>
        <v>194</v>
      </c>
      <c r="Z136" s="5">
        <f>VLOOKUP($A136,'SegEnds_NonXtal_Prot#'!$A:$AL,27,FALSE)</f>
        <v>201</v>
      </c>
      <c r="AA136" s="5">
        <f>VLOOKUP($A136,'SegEnds_NonXtal_Prot#'!$A:$AL,30,FALSE)</f>
        <v>269</v>
      </c>
      <c r="AB136" s="5">
        <f>VLOOKUP($A136,'SegEnds_NonXtal_Prot#'!$A:$AL,33,FALSE)</f>
        <v>312</v>
      </c>
      <c r="AC136" s="5">
        <f>VLOOKUP($A136,'SegEnds_NonXtal_Prot#'!$A:$AL,36,FALSE)</f>
        <v>341</v>
      </c>
      <c r="AD136" s="5">
        <f>VLOOKUP($A136,'SegEnds_NonXtal_Prot#'!$A:$AL,5,FALSE)</f>
        <v>68</v>
      </c>
      <c r="AE136" s="5" t="str">
        <f>VLOOKUP($A136,'SegEnds_NonXtal_Prot#'!$A:$AL,8,FALSE)</f>
        <v>-</v>
      </c>
      <c r="AF136" s="5">
        <f>VLOOKUP($A136,'SegEnds_NonXtal_Prot#'!$A:$AL,11,FALSE)</f>
        <v>101</v>
      </c>
      <c r="AG136" s="5">
        <f>VLOOKUP($A136,'SegEnds_NonXtal_Prot#'!$A:$AL,14,FALSE)</f>
        <v>106</v>
      </c>
      <c r="AH136" s="5">
        <f>VLOOKUP($A136,'SegEnds_NonXtal_Prot#'!$A:$AL,17,FALSE)</f>
        <v>142</v>
      </c>
      <c r="AI136" s="5">
        <f>VLOOKUP($A136,'SegEnds_NonXtal_Prot#'!$A:$AL,20,FALSE)</f>
        <v>150</v>
      </c>
      <c r="AJ136" s="5">
        <f>VLOOKUP($A136,'SegEnds_NonXtal_Prot#'!$A:$AL,23,FALSE)</f>
        <v>177</v>
      </c>
      <c r="AK136" s="5">
        <f>VLOOKUP($A136,'SegEnds_NonXtal_Prot#'!$A:$AL,26,FALSE)</f>
        <v>196</v>
      </c>
      <c r="AL136" s="5">
        <f>VLOOKUP($A136,'SegEnds_NonXtal_Prot#'!$A:$AL,29,FALSE)</f>
        <v>245</v>
      </c>
      <c r="AM136" s="5">
        <f>VLOOKUP($A136,'SegEnds_NonXtal_Prot#'!$A:$AL,32,FALSE)</f>
        <v>306</v>
      </c>
      <c r="AN136" s="5">
        <f>VLOOKUP($A136,'SegEnds_NonXtal_Prot#'!$A:$AL,35,FALSE)</f>
        <v>340</v>
      </c>
      <c r="AO136" s="5">
        <f>VLOOKUP($A136,'SegEnds_NonXtal_Prot#'!$A:$AL,38,FALSE)</f>
        <v>352</v>
      </c>
      <c r="AP136" s="5">
        <f t="shared" si="63"/>
        <v>29</v>
      </c>
      <c r="AQ136" s="4" t="str">
        <f t="shared" si="64"/>
        <v>-</v>
      </c>
      <c r="AR136" s="4">
        <f t="shared" si="65"/>
        <v>29</v>
      </c>
      <c r="AS136" s="4">
        <f t="shared" si="66"/>
        <v>3</v>
      </c>
      <c r="AT136" s="4">
        <f t="shared" si="67"/>
        <v>35</v>
      </c>
      <c r="AU136" s="4">
        <f t="shared" si="68"/>
        <v>7</v>
      </c>
      <c r="AV136" s="4">
        <f t="shared" si="69"/>
        <v>26</v>
      </c>
      <c r="AW136" s="4">
        <f t="shared" si="70"/>
        <v>2</v>
      </c>
      <c r="AX136" s="4">
        <f t="shared" si="71"/>
        <v>44</v>
      </c>
      <c r="AY136" s="4">
        <f t="shared" si="72"/>
        <v>37</v>
      </c>
      <c r="AZ136" s="4">
        <f t="shared" si="73"/>
        <v>28</v>
      </c>
      <c r="BA136" s="4">
        <f t="shared" si="74"/>
        <v>11</v>
      </c>
    </row>
    <row r="137" spans="1:53" x14ac:dyDescent="0.2">
      <c r="A137" s="1" t="str">
        <f>'SegEnds_NonXtal_Prot#'!A106</f>
        <v>fpr1_human</v>
      </c>
      <c r="B137" s="1" t="str">
        <f t="shared" si="50"/>
        <v>FLDIITYLVFAVTFVLGVLGNGLVIWVAGFRTVTTISYLNLAVADFCFTSTLPFFMVRKAMGWFLCKFVFTIVDINLFGSVFLIALIALDRCVCVLHTVSLAKKVIIGPWVMALLLTLPVIIRVMLTVRGIIRFIIGFSAPMSIVAVSYGLIATKIHKQSSRPLRVLSFVAAAFFLCWSPYQVVALIATVRYKEIGIAVDVTSALAFFNSCLNPMLYVFMGQDFRERLIHALPAS</v>
      </c>
      <c r="C137" s="29" t="str">
        <f>IF(ISERROR(MATCH(A137,'SegEnds_Xtal_Prot#'!B:B, 0)), "NoXtal", "Xtal")</f>
        <v>NoXtal</v>
      </c>
      <c r="D137" s="4" t="str">
        <f>VLOOKUP(A137,Classification!A:D,2,FALSE)</f>
        <v>A</v>
      </c>
      <c r="E137" s="5" t="str">
        <f>VLOOKUP(A137,Seqs!A:B,2,FALSE)</f>
        <v>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</v>
      </c>
      <c r="F137" s="5" t="str">
        <f t="shared" si="51"/>
        <v>FLDIITYLVFAVTFVLGVLGNGLVIWVAGFR</v>
      </c>
      <c r="G137" s="4" t="str">
        <f t="shared" si="52"/>
        <v/>
      </c>
      <c r="H137" s="4" t="str">
        <f t="shared" si="53"/>
        <v>TVTTISYLNLAVADFCFTSTLPFFMVRKAM</v>
      </c>
      <c r="I137" s="4" t="str">
        <f t="shared" si="54"/>
        <v>HWPF</v>
      </c>
      <c r="J137" s="4" t="str">
        <f t="shared" si="55"/>
        <v>GWFLCKFVFTIVDINLFGSVFLIALIALDRCVCVLH</v>
      </c>
      <c r="K137" s="4" t="str">
        <f t="shared" si="56"/>
        <v>PVWTQNHR</v>
      </c>
      <c r="L137" s="4" t="str">
        <f t="shared" si="57"/>
        <v>TVSLAKKVIIGPWVMALLLTLPVIIRV</v>
      </c>
      <c r="M137" s="4" t="str">
        <f t="shared" si="58"/>
        <v>CTF</v>
      </c>
      <c r="N137" s="4" t="str">
        <f t="shared" si="59"/>
        <v>MLTVRGIIRFIIGFSAPMSIVAVSYGLIATKIHKQ</v>
      </c>
      <c r="O137" s="4" t="str">
        <f t="shared" si="60"/>
        <v>SSRPLRVLSFVAAAFFLCWSPYQVVALIATVR</v>
      </c>
      <c r="P137" s="4" t="str">
        <f t="shared" si="61"/>
        <v>YKEIGIAVDVTSALAFFNSCLNPMLYVFM</v>
      </c>
      <c r="Q137" s="4" t="str">
        <f t="shared" si="62"/>
        <v>GQDFRERLIHALPAS</v>
      </c>
      <c r="R137" s="5">
        <f>VLOOKUP($A137,'SegEnds_NonXtal_Prot#'!$A:$AL,3,FALSE)</f>
        <v>24</v>
      </c>
      <c r="S137" s="5" t="str">
        <f>VLOOKUP($A137,'SegEnds_NonXtal_Prot#'!$A:$AL,6,FALSE)</f>
        <v>-</v>
      </c>
      <c r="T137" s="5">
        <f>VLOOKUP($A137,'SegEnds_NonXtal_Prot#'!$A:$AL,9,FALSE)</f>
        <v>58</v>
      </c>
      <c r="U137" s="5">
        <f>VLOOKUP($A137,'SegEnds_NonXtal_Prot#'!$A:$AL,12,FALSE)</f>
        <v>90</v>
      </c>
      <c r="V137" s="5">
        <f>VLOOKUP($A137,'SegEnds_NonXtal_Prot#'!$A:$AL,15,FALSE)</f>
        <v>94</v>
      </c>
      <c r="W137" s="5">
        <f>VLOOKUP($A137,'SegEnds_NonXtal_Prot#'!$A:$AL,18,FALSE)</f>
        <v>130</v>
      </c>
      <c r="X137" s="5">
        <f>VLOOKUP($A137,'SegEnds_NonXtal_Prot#'!$A:$AL,21,FALSE)</f>
        <v>138</v>
      </c>
      <c r="Y137" s="5">
        <f>VLOOKUP($A137,'SegEnds_NonXtal_Prot#'!$A:$AL,24,FALSE)</f>
        <v>176</v>
      </c>
      <c r="Z137" s="5">
        <f>VLOOKUP($A137,'SegEnds_NonXtal_Prot#'!$A:$AL,27,FALSE)</f>
        <v>197</v>
      </c>
      <c r="AA137" s="5">
        <f>VLOOKUP($A137,'SegEnds_NonXtal_Prot#'!$A:$AL,30,FALSE)</f>
        <v>236</v>
      </c>
      <c r="AB137" s="5">
        <f>VLOOKUP($A137,'SegEnds_NonXtal_Prot#'!$A:$AL,33,FALSE)</f>
        <v>276</v>
      </c>
      <c r="AC137" s="5">
        <f>VLOOKUP($A137,'SegEnds_NonXtal_Prot#'!$A:$AL,36,FALSE)</f>
        <v>305</v>
      </c>
      <c r="AD137" s="5">
        <f>VLOOKUP($A137,'SegEnds_NonXtal_Prot#'!$A:$AL,5,FALSE)</f>
        <v>54</v>
      </c>
      <c r="AE137" s="5" t="str">
        <f>VLOOKUP($A137,'SegEnds_NonXtal_Prot#'!$A:$AL,8,FALSE)</f>
        <v>-</v>
      </c>
      <c r="AF137" s="5">
        <f>VLOOKUP($A137,'SegEnds_NonXtal_Prot#'!$A:$AL,11,FALSE)</f>
        <v>87</v>
      </c>
      <c r="AG137" s="5">
        <f>VLOOKUP($A137,'SegEnds_NonXtal_Prot#'!$A:$AL,14,FALSE)</f>
        <v>93</v>
      </c>
      <c r="AH137" s="5">
        <f>VLOOKUP($A137,'SegEnds_NonXtal_Prot#'!$A:$AL,17,FALSE)</f>
        <v>129</v>
      </c>
      <c r="AI137" s="5">
        <f>VLOOKUP($A137,'SegEnds_NonXtal_Prot#'!$A:$AL,20,FALSE)</f>
        <v>137</v>
      </c>
      <c r="AJ137" s="5">
        <f>VLOOKUP($A137,'SegEnds_NonXtal_Prot#'!$A:$AL,23,FALSE)</f>
        <v>164</v>
      </c>
      <c r="AK137" s="5">
        <f>VLOOKUP($A137,'SegEnds_NonXtal_Prot#'!$A:$AL,26,FALSE)</f>
        <v>178</v>
      </c>
      <c r="AL137" s="5">
        <f>VLOOKUP($A137,'SegEnds_NonXtal_Prot#'!$A:$AL,29,FALSE)</f>
        <v>231</v>
      </c>
      <c r="AM137" s="5">
        <f>VLOOKUP($A137,'SegEnds_NonXtal_Prot#'!$A:$AL,32,FALSE)</f>
        <v>267</v>
      </c>
      <c r="AN137" s="5">
        <f>VLOOKUP($A137,'SegEnds_NonXtal_Prot#'!$A:$AL,35,FALSE)</f>
        <v>304</v>
      </c>
      <c r="AO137" s="5">
        <f>VLOOKUP($A137,'SegEnds_NonXtal_Prot#'!$A:$AL,38,FALSE)</f>
        <v>319</v>
      </c>
      <c r="AP137" s="5">
        <f t="shared" si="63"/>
        <v>30</v>
      </c>
      <c r="AQ137" s="4" t="str">
        <f t="shared" si="64"/>
        <v>-</v>
      </c>
      <c r="AR137" s="4">
        <f t="shared" si="65"/>
        <v>29</v>
      </c>
      <c r="AS137" s="4">
        <f t="shared" si="66"/>
        <v>3</v>
      </c>
      <c r="AT137" s="4">
        <f t="shared" si="67"/>
        <v>35</v>
      </c>
      <c r="AU137" s="4">
        <f t="shared" si="68"/>
        <v>7</v>
      </c>
      <c r="AV137" s="4">
        <f t="shared" si="69"/>
        <v>26</v>
      </c>
      <c r="AW137" s="4">
        <f t="shared" si="70"/>
        <v>2</v>
      </c>
      <c r="AX137" s="4">
        <f t="shared" si="71"/>
        <v>34</v>
      </c>
      <c r="AY137" s="4">
        <f t="shared" si="72"/>
        <v>31</v>
      </c>
      <c r="AZ137" s="4">
        <f t="shared" si="73"/>
        <v>28</v>
      </c>
      <c r="BA137" s="4">
        <f t="shared" si="74"/>
        <v>14</v>
      </c>
    </row>
    <row r="138" spans="1:53" x14ac:dyDescent="0.2">
      <c r="A138" s="1" t="str">
        <f>'SegEnds_NonXtal_Prot#'!A107</f>
        <v>fpr2_human</v>
      </c>
      <c r="B138" s="1" t="str">
        <f t="shared" si="50"/>
        <v>ESAGYTVLRILPLVVLGVTFVLGVLGNGLVIWVAGFRTVTTICYLNLALADFSFTATLPFLIVSMAMGWFLCKLIHIVVDINLFGSVFLIGFIALDRCICVLHTVSLAMKVIVGPWILALVLTLPVFLFLITMLTARGIIRFVIGFSLPMSIVAICYGLIAAKIHKKSSRPLRVLTAVVASFFICWFPFQLVALLGTVWFYGKYKIIDILVNPTSSLAFFNSCLNPMLYVFVGQDFRERLIHSLP</v>
      </c>
      <c r="C138" s="29" t="str">
        <f>IF(ISERROR(MATCH(A138,'SegEnds_Xtal_Prot#'!B:B, 0)), "NoXtal", "Xtal")</f>
        <v>NoXtal</v>
      </c>
      <c r="D138" s="4" t="str">
        <f>VLOOKUP(A138,Classification!A:D,2,FALSE)</f>
        <v>A</v>
      </c>
      <c r="E138" s="5" t="str">
        <f>VLOOKUP(A138,Seqs!A:B,2,FALSE)</f>
        <v>METNFSTPLNEYEEVSYESAGYTVLRILPLVVLGVTFVLGVLGNGLVIWVAGFRMTRTVTTICYLNLALADFSFTATLPFLIVSMAMGEKWPFGWFLCKLIHIVVDINLFGSVFLIGFIALDRCICVLHPVWAQNHRTVSLAMKVIVGPWILALVLTLPVFLFLTTVTIPNGDTYCTFNFASWGGTPEERLKVAITMLTARGIIRFVIGFSLPMSIVAICYGLIAAKIHKKGMIKSSRPLRVLTAVVASFFICWFPFQLVALLGTVWLKEMLFYGKYKIIDILVNPTSSLAFFNSCLNPMLYVFVGQDFRERLIHSLPTSLERALSEDSAPTNDTAANSASPPAETELQAM</v>
      </c>
      <c r="F138" s="5" t="str">
        <f t="shared" si="51"/>
        <v>ESAGYTVLRILPLVVLGVTFVLGVLGNGLVIWVAGFR</v>
      </c>
      <c r="G138" s="4" t="str">
        <f t="shared" si="52"/>
        <v/>
      </c>
      <c r="H138" s="4" t="str">
        <f t="shared" si="53"/>
        <v>TVTTICYLNLALADFSFTATLPFLIVSMAM</v>
      </c>
      <c r="I138" s="4" t="str">
        <f t="shared" si="54"/>
        <v>KWPF</v>
      </c>
      <c r="J138" s="4" t="str">
        <f t="shared" si="55"/>
        <v>GWFLCKLIHIVVDINLFGSVFLIGFIALDRCICVLH</v>
      </c>
      <c r="K138" s="4" t="str">
        <f t="shared" si="56"/>
        <v>PVWAQNHR</v>
      </c>
      <c r="L138" s="4" t="str">
        <f t="shared" si="57"/>
        <v>TVSLAMKVIVGPWILALVLTLPVFLFL</v>
      </c>
      <c r="M138" s="4" t="str">
        <f t="shared" si="58"/>
        <v>CTF</v>
      </c>
      <c r="N138" s="4" t="str">
        <f t="shared" si="59"/>
        <v>ITMLTARGIIRFVIGFSLPMSIVAICYGLIAAKIHKK</v>
      </c>
      <c r="O138" s="4" t="str">
        <f t="shared" si="60"/>
        <v>SSRPLRVLTAVVASFFICWFPFQLVALLGTVW</v>
      </c>
      <c r="P138" s="4" t="str">
        <f t="shared" si="61"/>
        <v>FYGKYKIIDILVNPTSSLAFFNSCLNPMLYVFV</v>
      </c>
      <c r="Q138" s="4" t="str">
        <f t="shared" si="62"/>
        <v>GQDFRERLIHSLP</v>
      </c>
      <c r="R138" s="5">
        <f>VLOOKUP($A138,'SegEnds_NonXtal_Prot#'!$A:$AL,3,FALSE)</f>
        <v>18</v>
      </c>
      <c r="S138" s="5" t="str">
        <f>VLOOKUP($A138,'SegEnds_NonXtal_Prot#'!$A:$AL,6,FALSE)</f>
        <v>-</v>
      </c>
      <c r="T138" s="5">
        <f>VLOOKUP($A138,'SegEnds_NonXtal_Prot#'!$A:$AL,9,FALSE)</f>
        <v>58</v>
      </c>
      <c r="U138" s="5">
        <f>VLOOKUP($A138,'SegEnds_NonXtal_Prot#'!$A:$AL,12,FALSE)</f>
        <v>90</v>
      </c>
      <c r="V138" s="5">
        <f>VLOOKUP($A138,'SegEnds_NonXtal_Prot#'!$A:$AL,15,FALSE)</f>
        <v>94</v>
      </c>
      <c r="W138" s="5">
        <f>VLOOKUP($A138,'SegEnds_NonXtal_Prot#'!$A:$AL,18,FALSE)</f>
        <v>130</v>
      </c>
      <c r="X138" s="5">
        <f>VLOOKUP($A138,'SegEnds_NonXtal_Prot#'!$A:$AL,21,FALSE)</f>
        <v>138</v>
      </c>
      <c r="Y138" s="5">
        <f>VLOOKUP($A138,'SegEnds_NonXtal_Prot#'!$A:$AL,24,FALSE)</f>
        <v>176</v>
      </c>
      <c r="Z138" s="5">
        <f>VLOOKUP($A138,'SegEnds_NonXtal_Prot#'!$A:$AL,27,FALSE)</f>
        <v>195</v>
      </c>
      <c r="AA138" s="5">
        <f>VLOOKUP($A138,'SegEnds_NonXtal_Prot#'!$A:$AL,30,FALSE)</f>
        <v>236</v>
      </c>
      <c r="AB138" s="5">
        <f>VLOOKUP($A138,'SegEnds_NonXtal_Prot#'!$A:$AL,33,FALSE)</f>
        <v>273</v>
      </c>
      <c r="AC138" s="5">
        <f>VLOOKUP($A138,'SegEnds_NonXtal_Prot#'!$A:$AL,36,FALSE)</f>
        <v>306</v>
      </c>
      <c r="AD138" s="5">
        <f>VLOOKUP($A138,'SegEnds_NonXtal_Prot#'!$A:$AL,5,FALSE)</f>
        <v>54</v>
      </c>
      <c r="AE138" s="5" t="str">
        <f>VLOOKUP($A138,'SegEnds_NonXtal_Prot#'!$A:$AL,8,FALSE)</f>
        <v>-</v>
      </c>
      <c r="AF138" s="5">
        <f>VLOOKUP($A138,'SegEnds_NonXtal_Prot#'!$A:$AL,11,FALSE)</f>
        <v>87</v>
      </c>
      <c r="AG138" s="5">
        <f>VLOOKUP($A138,'SegEnds_NonXtal_Prot#'!$A:$AL,14,FALSE)</f>
        <v>93</v>
      </c>
      <c r="AH138" s="5">
        <f>VLOOKUP($A138,'SegEnds_NonXtal_Prot#'!$A:$AL,17,FALSE)</f>
        <v>129</v>
      </c>
      <c r="AI138" s="5">
        <f>VLOOKUP($A138,'SegEnds_NonXtal_Prot#'!$A:$AL,20,FALSE)</f>
        <v>137</v>
      </c>
      <c r="AJ138" s="5">
        <f>VLOOKUP($A138,'SegEnds_NonXtal_Prot#'!$A:$AL,23,FALSE)</f>
        <v>164</v>
      </c>
      <c r="AK138" s="5">
        <f>VLOOKUP($A138,'SegEnds_NonXtal_Prot#'!$A:$AL,26,FALSE)</f>
        <v>178</v>
      </c>
      <c r="AL138" s="5">
        <f>VLOOKUP($A138,'SegEnds_NonXtal_Prot#'!$A:$AL,29,FALSE)</f>
        <v>231</v>
      </c>
      <c r="AM138" s="5">
        <f>VLOOKUP($A138,'SegEnds_NonXtal_Prot#'!$A:$AL,32,FALSE)</f>
        <v>267</v>
      </c>
      <c r="AN138" s="5">
        <f>VLOOKUP($A138,'SegEnds_NonXtal_Prot#'!$A:$AL,35,FALSE)</f>
        <v>305</v>
      </c>
      <c r="AO138" s="5">
        <f>VLOOKUP($A138,'SegEnds_NonXtal_Prot#'!$A:$AL,38,FALSE)</f>
        <v>318</v>
      </c>
      <c r="AP138" s="5">
        <f t="shared" si="63"/>
        <v>36</v>
      </c>
      <c r="AQ138" s="4" t="str">
        <f t="shared" si="64"/>
        <v>-</v>
      </c>
      <c r="AR138" s="4">
        <f t="shared" si="65"/>
        <v>29</v>
      </c>
      <c r="AS138" s="4">
        <f t="shared" si="66"/>
        <v>3</v>
      </c>
      <c r="AT138" s="4">
        <f t="shared" si="67"/>
        <v>35</v>
      </c>
      <c r="AU138" s="4">
        <f t="shared" si="68"/>
        <v>7</v>
      </c>
      <c r="AV138" s="4">
        <f t="shared" si="69"/>
        <v>26</v>
      </c>
      <c r="AW138" s="4">
        <f t="shared" si="70"/>
        <v>2</v>
      </c>
      <c r="AX138" s="4">
        <f t="shared" si="71"/>
        <v>36</v>
      </c>
      <c r="AY138" s="4">
        <f t="shared" si="72"/>
        <v>31</v>
      </c>
      <c r="AZ138" s="4">
        <f t="shared" si="73"/>
        <v>32</v>
      </c>
      <c r="BA138" s="4">
        <f t="shared" si="74"/>
        <v>12</v>
      </c>
    </row>
    <row r="139" spans="1:53" x14ac:dyDescent="0.2">
      <c r="A139" s="1" t="str">
        <f>'SegEnds_NonXtal_Prot#'!A108</f>
        <v>fpr3_human</v>
      </c>
      <c r="B139" s="1" t="str">
        <f t="shared" si="50"/>
        <v>EPAGHTVLWIFSLLVHGVTFVFGVLGNGLVIWVAGFRTVNTICYLNLALADFSFSAILPFRMVSVAMGSFLCKLVHVMIDINLFVSVYLITIIALDRCICVLHTMSLAKRVMTGLWIFTIVLTLPNFIFWITMAKVFLILHFIIGFSVPMSIITVCYGIIAAKIHRNSSRPLRVFAAVVASFFICWFPYELIGILMAVWLNGKYKIILVLINPTSSLAFFNSCLNPILYVFMGRNFQERLIRSLP</v>
      </c>
      <c r="C139" s="29" t="str">
        <f>IF(ISERROR(MATCH(A139,'SegEnds_Xtal_Prot#'!B:B, 0)), "NoXtal", "Xtal")</f>
        <v>NoXtal</v>
      </c>
      <c r="D139" s="4" t="str">
        <f>VLOOKUP(A139,Classification!A:D,2,FALSE)</f>
        <v>A</v>
      </c>
      <c r="E139" s="5" t="str">
        <f>VLOOKUP(A139,Seqs!A:B,2,FALSE)</f>
        <v>METNFSIPLNETEEVLPEPAGHTVLWIFSLLVHGVTFVFGVLGNGLVIWVAGFRMTRTVNTICYLNLALADFSFSAILPFRMVSVAMREKWPFGSFLCKLVHVMIDINLFVSVYLITIIALDRCICVLHPAWAQNHRTMSLAKRVMTGLWIFTIVLTLPNFIFWTTISTTNGDTYCIFNFAFWGDTAVERLNVFITMAKVFLILHFIIGFSVPMSIITVCYGIIAAKIHRNHMIKSSRPLRVFAAVVASFFICWFPYELIGILMAVWLKEMLLNGKYKIILVLINPTSSLAFFNSCLNPILYVFMGRNFQERLIRSLPTSLERALTEVPDSAQTSNTDTTSASPPEETELQAM</v>
      </c>
      <c r="F139" s="5" t="str">
        <f t="shared" si="51"/>
        <v>EPAGHTVLWIFSLLVHGVTFVFGVLGNGLVIWVAGFR</v>
      </c>
      <c r="G139" s="4" t="str">
        <f t="shared" si="52"/>
        <v/>
      </c>
      <c r="H139" s="4" t="str">
        <f t="shared" si="53"/>
        <v>TVNTICYLNLALADFSFSAILPFRMVSVAM</v>
      </c>
      <c r="I139" s="4" t="str">
        <f t="shared" si="54"/>
        <v>KWPF</v>
      </c>
      <c r="J139" s="4" t="str">
        <f t="shared" si="55"/>
        <v>GSFLCKLVHVMIDINLFVSVYLITIIALDRCICVLH</v>
      </c>
      <c r="K139" s="4" t="str">
        <f t="shared" si="56"/>
        <v>PAWAQNHR</v>
      </c>
      <c r="L139" s="4" t="str">
        <f t="shared" si="57"/>
        <v>TMSLAKRVMTGLWIFTIVLTLPNFIFW</v>
      </c>
      <c r="M139" s="4" t="str">
        <f t="shared" si="58"/>
        <v>CIF</v>
      </c>
      <c r="N139" s="4" t="str">
        <f t="shared" si="59"/>
        <v>ITMAKVFLILHFIIGFSVPMSIITVCYGIIAAKIHRN</v>
      </c>
      <c r="O139" s="4" t="str">
        <f t="shared" si="60"/>
        <v>SSRPLRVFAAVVASFFICWFPYELIGILMAVW</v>
      </c>
      <c r="P139" s="4" t="str">
        <f t="shared" si="61"/>
        <v>LNGKYKIILVLINPTSSLAFFNSCLNPILYVFM</v>
      </c>
      <c r="Q139" s="4" t="str">
        <f t="shared" si="62"/>
        <v>GRNFQERLIRSLP</v>
      </c>
      <c r="R139" s="5">
        <f>VLOOKUP($A139,'SegEnds_NonXtal_Prot#'!$A:$AL,3,FALSE)</f>
        <v>18</v>
      </c>
      <c r="S139" s="5" t="str">
        <f>VLOOKUP($A139,'SegEnds_NonXtal_Prot#'!$A:$AL,6,FALSE)</f>
        <v>-</v>
      </c>
      <c r="T139" s="5">
        <f>VLOOKUP($A139,'SegEnds_NonXtal_Prot#'!$A:$AL,9,FALSE)</f>
        <v>58</v>
      </c>
      <c r="U139" s="5">
        <f>VLOOKUP($A139,'SegEnds_NonXtal_Prot#'!$A:$AL,12,FALSE)</f>
        <v>90</v>
      </c>
      <c r="V139" s="5">
        <f>VLOOKUP($A139,'SegEnds_NonXtal_Prot#'!$A:$AL,15,FALSE)</f>
        <v>94</v>
      </c>
      <c r="W139" s="5">
        <f>VLOOKUP($A139,'SegEnds_NonXtal_Prot#'!$A:$AL,18,FALSE)</f>
        <v>130</v>
      </c>
      <c r="X139" s="5">
        <f>VLOOKUP($A139,'SegEnds_NonXtal_Prot#'!$A:$AL,21,FALSE)</f>
        <v>138</v>
      </c>
      <c r="Y139" s="5">
        <f>VLOOKUP($A139,'SegEnds_NonXtal_Prot#'!$A:$AL,24,FALSE)</f>
        <v>176</v>
      </c>
      <c r="Z139" s="5">
        <f>VLOOKUP($A139,'SegEnds_NonXtal_Prot#'!$A:$AL,27,FALSE)</f>
        <v>195</v>
      </c>
      <c r="AA139" s="5">
        <f>VLOOKUP($A139,'SegEnds_NonXtal_Prot#'!$A:$AL,30,FALSE)</f>
        <v>236</v>
      </c>
      <c r="AB139" s="5">
        <f>VLOOKUP($A139,'SegEnds_NonXtal_Prot#'!$A:$AL,33,FALSE)</f>
        <v>273</v>
      </c>
      <c r="AC139" s="5">
        <f>VLOOKUP($A139,'SegEnds_NonXtal_Prot#'!$A:$AL,36,FALSE)</f>
        <v>306</v>
      </c>
      <c r="AD139" s="5">
        <f>VLOOKUP($A139,'SegEnds_NonXtal_Prot#'!$A:$AL,5,FALSE)</f>
        <v>54</v>
      </c>
      <c r="AE139" s="5" t="str">
        <f>VLOOKUP($A139,'SegEnds_NonXtal_Prot#'!$A:$AL,8,FALSE)</f>
        <v>-</v>
      </c>
      <c r="AF139" s="5">
        <f>VLOOKUP($A139,'SegEnds_NonXtal_Prot#'!$A:$AL,11,FALSE)</f>
        <v>87</v>
      </c>
      <c r="AG139" s="5">
        <f>VLOOKUP($A139,'SegEnds_NonXtal_Prot#'!$A:$AL,14,FALSE)</f>
        <v>93</v>
      </c>
      <c r="AH139" s="5">
        <f>VLOOKUP($A139,'SegEnds_NonXtal_Prot#'!$A:$AL,17,FALSE)</f>
        <v>129</v>
      </c>
      <c r="AI139" s="5">
        <f>VLOOKUP($A139,'SegEnds_NonXtal_Prot#'!$A:$AL,20,FALSE)</f>
        <v>137</v>
      </c>
      <c r="AJ139" s="5">
        <f>VLOOKUP($A139,'SegEnds_NonXtal_Prot#'!$A:$AL,23,FALSE)</f>
        <v>164</v>
      </c>
      <c r="AK139" s="5">
        <f>VLOOKUP($A139,'SegEnds_NonXtal_Prot#'!$A:$AL,26,FALSE)</f>
        <v>178</v>
      </c>
      <c r="AL139" s="5">
        <f>VLOOKUP($A139,'SegEnds_NonXtal_Prot#'!$A:$AL,29,FALSE)</f>
        <v>231</v>
      </c>
      <c r="AM139" s="5">
        <f>VLOOKUP($A139,'SegEnds_NonXtal_Prot#'!$A:$AL,32,FALSE)</f>
        <v>267</v>
      </c>
      <c r="AN139" s="5">
        <f>VLOOKUP($A139,'SegEnds_NonXtal_Prot#'!$A:$AL,35,FALSE)</f>
        <v>305</v>
      </c>
      <c r="AO139" s="5">
        <f>VLOOKUP($A139,'SegEnds_NonXtal_Prot#'!$A:$AL,38,FALSE)</f>
        <v>318</v>
      </c>
      <c r="AP139" s="5">
        <f t="shared" si="63"/>
        <v>36</v>
      </c>
      <c r="AQ139" s="4" t="str">
        <f t="shared" si="64"/>
        <v>-</v>
      </c>
      <c r="AR139" s="4">
        <f t="shared" si="65"/>
        <v>29</v>
      </c>
      <c r="AS139" s="4">
        <f t="shared" si="66"/>
        <v>3</v>
      </c>
      <c r="AT139" s="4">
        <f t="shared" si="67"/>
        <v>35</v>
      </c>
      <c r="AU139" s="4">
        <f t="shared" si="68"/>
        <v>7</v>
      </c>
      <c r="AV139" s="4">
        <f t="shared" si="69"/>
        <v>26</v>
      </c>
      <c r="AW139" s="4">
        <f t="shared" si="70"/>
        <v>2</v>
      </c>
      <c r="AX139" s="4">
        <f t="shared" si="71"/>
        <v>36</v>
      </c>
      <c r="AY139" s="4">
        <f t="shared" si="72"/>
        <v>31</v>
      </c>
      <c r="AZ139" s="4">
        <f t="shared" si="73"/>
        <v>32</v>
      </c>
      <c r="BA139" s="4">
        <f t="shared" si="74"/>
        <v>12</v>
      </c>
    </row>
    <row r="140" spans="1:53" x14ac:dyDescent="0.2">
      <c r="A140" s="1" t="str">
        <f>'SegEnds_NonXtal_Prot#'!A109</f>
        <v>fshr_human</v>
      </c>
      <c r="B140" s="1" t="str">
        <f t="shared" si="50"/>
        <v>EDIMGYNILRVLIWFISILAITGNIIVLVILTTSVPRFLMCNLAFADLCIGIYLLLIASVDIHTGAGCDAAGFFTVFASELSVYTLTAITLERWHTITHQLRHAASVMVMGWIFAFAAALFPIFGPLSQLYVMSLLVLNVLAFVVICGCYIHIYLTVRNSSSSDTRIAKRMAMLIFTDFLCMAPISFFAISASLKVSKAKILLVLFHPINSCANPFLYAIFTKNFRRDFFILLSKCGCYEMQAQ</v>
      </c>
      <c r="C140" s="29" t="str">
        <f>IF(ISERROR(MATCH(A140,'SegEnds_Xtal_Prot#'!B:B, 0)), "NoXtal", "Xtal")</f>
        <v>NoXtal</v>
      </c>
      <c r="D140" s="4" t="str">
        <f>VLOOKUP(A140,Classification!A:D,2,FALSE)</f>
        <v>A</v>
      </c>
      <c r="E140" s="5" t="str">
        <f>VLOOKUP(A140,Seqs!A:B,2,FALSE)</f>
        <v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</v>
      </c>
      <c r="F140" s="5" t="str">
        <f t="shared" si="51"/>
        <v>EDIMGYNILRVLIWFISILAITGNIIVLVILTTS</v>
      </c>
      <c r="G140" s="4" t="str">
        <f t="shared" si="52"/>
        <v>YKLT</v>
      </c>
      <c r="H140" s="4" t="str">
        <f t="shared" si="53"/>
        <v>VPRFLMCNLAFADLCIGIYLLLIASVDIHT</v>
      </c>
      <c r="I140" s="4" t="str">
        <f t="shared" si="54"/>
        <v>DWQT</v>
      </c>
      <c r="J140" s="4" t="str">
        <f t="shared" si="55"/>
        <v>GAGCDAAGFFTVFASELSVYTLTAITLERWHTITH</v>
      </c>
      <c r="K140" s="4" t="str">
        <f t="shared" si="56"/>
        <v>AMQLDCKV</v>
      </c>
      <c r="L140" s="4" t="str">
        <f t="shared" si="57"/>
        <v>QLRHAASVMVMGWIFAFAAALFPIFG</v>
      </c>
      <c r="M140" s="4" t="str">
        <f t="shared" si="58"/>
        <v>CLP</v>
      </c>
      <c r="N140" s="4" t="str">
        <f t="shared" si="59"/>
        <v>PLSQLYVMSLLVLNVLAFVVICGCYIHIYLTVRN</v>
      </c>
      <c r="O140" s="4" t="str">
        <f t="shared" si="60"/>
        <v>SSSSDTRIAKRMAMLIFTDFLCMAPISFFAISASLK</v>
      </c>
      <c r="P140" s="4" t="str">
        <f t="shared" si="61"/>
        <v>VSKAKILLVLFHPINSCANPFLYAIF</v>
      </c>
      <c r="Q140" s="4" t="str">
        <f t="shared" si="62"/>
        <v>TKNFRRDFFILLSKCGCYEMQAQ</v>
      </c>
      <c r="R140" s="5">
        <f>VLOOKUP($A140,'SegEnds_NonXtal_Prot#'!$A:$AL,3,FALSE)</f>
        <v>357</v>
      </c>
      <c r="S140" s="5">
        <f>VLOOKUP($A140,'SegEnds_NonXtal_Prot#'!$A:$AL,6,FALSE)</f>
        <v>392</v>
      </c>
      <c r="T140" s="5">
        <f>VLOOKUP($A140,'SegEnds_NonXtal_Prot#'!$A:$AL,9,FALSE)</f>
        <v>396</v>
      </c>
      <c r="U140" s="5">
        <f>VLOOKUP($A140,'SegEnds_NonXtal_Prot#'!$A:$AL,12,FALSE)</f>
        <v>435</v>
      </c>
      <c r="V140" s="5">
        <f>VLOOKUP($A140,'SegEnds_NonXtal_Prot#'!$A:$AL,15,FALSE)</f>
        <v>439</v>
      </c>
      <c r="W140" s="5">
        <f>VLOOKUP($A140,'SegEnds_NonXtal_Prot#'!$A:$AL,18,FALSE)</f>
        <v>474</v>
      </c>
      <c r="X140" s="5">
        <f>VLOOKUP($A140,'SegEnds_NonXtal_Prot#'!$A:$AL,21,FALSE)</f>
        <v>482</v>
      </c>
      <c r="Y140" s="5">
        <f>VLOOKUP($A140,'SegEnds_NonXtal_Prot#'!$A:$AL,24,FALSE)</f>
        <v>517</v>
      </c>
      <c r="Z140" s="5">
        <f>VLOOKUP($A140,'SegEnds_NonXtal_Prot#'!$A:$AL,27,FALSE)</f>
        <v>525</v>
      </c>
      <c r="AA140" s="5">
        <f>VLOOKUP($A140,'SegEnds_NonXtal_Prot#'!$A:$AL,30,FALSE)</f>
        <v>563</v>
      </c>
      <c r="AB140" s="5">
        <f>VLOOKUP($A140,'SegEnds_NonXtal_Prot#'!$A:$AL,33,FALSE)</f>
        <v>604</v>
      </c>
      <c r="AC140" s="5">
        <f>VLOOKUP($A140,'SegEnds_NonXtal_Prot#'!$A:$AL,36,FALSE)</f>
        <v>630</v>
      </c>
      <c r="AD140" s="5">
        <f>VLOOKUP($A140,'SegEnds_NonXtal_Prot#'!$A:$AL,5,FALSE)</f>
        <v>390</v>
      </c>
      <c r="AE140" s="5">
        <f>VLOOKUP($A140,'SegEnds_NonXtal_Prot#'!$A:$AL,8,FALSE)</f>
        <v>395</v>
      </c>
      <c r="AF140" s="5">
        <f>VLOOKUP($A140,'SegEnds_NonXtal_Prot#'!$A:$AL,11,FALSE)</f>
        <v>425</v>
      </c>
      <c r="AG140" s="5">
        <f>VLOOKUP($A140,'SegEnds_NonXtal_Prot#'!$A:$AL,14,FALSE)</f>
        <v>438</v>
      </c>
      <c r="AH140" s="5">
        <f>VLOOKUP($A140,'SegEnds_NonXtal_Prot#'!$A:$AL,17,FALSE)</f>
        <v>473</v>
      </c>
      <c r="AI140" s="5">
        <f>VLOOKUP($A140,'SegEnds_NonXtal_Prot#'!$A:$AL,20,FALSE)</f>
        <v>481</v>
      </c>
      <c r="AJ140" s="5">
        <f>VLOOKUP($A140,'SegEnds_NonXtal_Prot#'!$A:$AL,23,FALSE)</f>
        <v>507</v>
      </c>
      <c r="AK140" s="5">
        <f>VLOOKUP($A140,'SegEnds_NonXtal_Prot#'!$A:$AL,26,FALSE)</f>
        <v>519</v>
      </c>
      <c r="AL140" s="5">
        <f>VLOOKUP($A140,'SegEnds_NonXtal_Prot#'!$A:$AL,29,FALSE)</f>
        <v>558</v>
      </c>
      <c r="AM140" s="5">
        <f>VLOOKUP($A140,'SegEnds_NonXtal_Prot#'!$A:$AL,32,FALSE)</f>
        <v>598</v>
      </c>
      <c r="AN140" s="5">
        <f>VLOOKUP($A140,'SegEnds_NonXtal_Prot#'!$A:$AL,35,FALSE)</f>
        <v>629</v>
      </c>
      <c r="AO140" s="5">
        <f>VLOOKUP($A140,'SegEnds_NonXtal_Prot#'!$A:$AL,38,FALSE)</f>
        <v>652</v>
      </c>
      <c r="AP140" s="5">
        <f t="shared" si="63"/>
        <v>33</v>
      </c>
      <c r="AQ140" s="4">
        <f t="shared" si="64"/>
        <v>3</v>
      </c>
      <c r="AR140" s="4">
        <f t="shared" si="65"/>
        <v>29</v>
      </c>
      <c r="AS140" s="4">
        <f t="shared" si="66"/>
        <v>3</v>
      </c>
      <c r="AT140" s="4">
        <f t="shared" si="67"/>
        <v>34</v>
      </c>
      <c r="AU140" s="4">
        <f t="shared" si="68"/>
        <v>7</v>
      </c>
      <c r="AV140" s="4">
        <f t="shared" si="69"/>
        <v>25</v>
      </c>
      <c r="AW140" s="4">
        <f t="shared" si="70"/>
        <v>2</v>
      </c>
      <c r="AX140" s="4">
        <f t="shared" si="71"/>
        <v>33</v>
      </c>
      <c r="AY140" s="4">
        <f t="shared" si="72"/>
        <v>35</v>
      </c>
      <c r="AZ140" s="4">
        <f t="shared" si="73"/>
        <v>25</v>
      </c>
      <c r="BA140" s="4">
        <f t="shared" si="74"/>
        <v>22</v>
      </c>
    </row>
    <row r="141" spans="1:53" x14ac:dyDescent="0.2">
      <c r="A141" s="1" t="str">
        <f>'SegEnds_NonXtal_Prot#'!A110</f>
        <v>galr1_human</v>
      </c>
      <c r="B141" s="1" t="str">
        <f t="shared" si="50"/>
        <v>VENFVTLVVFGLIFALGVLGNSLVITVLARSSTTNLFILNLSIADLAYLLFCIPFQATVYAGAFICKFIHYFFTVSMLVSIFTLAAMSVDRYVAIVHVSRNALLGVGCIWALSIAMASPVAYHQDPRHKKAYVVCTFVFGYLLPLLLICFCYAKVLNHLHKKLKNMSKKKTAQTVLVVVVVFGISWLPHHIIHLWAEFGTPASFLFRITAHCLAYSNSSVNPIIYAFLSENFRKAYKQVFK</v>
      </c>
      <c r="C141" s="29" t="str">
        <f>IF(ISERROR(MATCH(A141,'SegEnds_Xtal_Prot#'!B:B, 0)), "NoXtal", "Xtal")</f>
        <v>NoXtal</v>
      </c>
      <c r="D141" s="4" t="str">
        <f>VLOOKUP(A141,Classification!A:D,2,FALSE)</f>
        <v>A</v>
      </c>
      <c r="E141" s="5" t="str">
        <f>VLOOKUP(A141,Seqs!A:B,2,FALSE)</f>
        <v>MELAVGNLSEGNASWPEPPAPEPGPLFGIGVENFVTLVVFGLIFALGVLGNSLVITVLARSKPGKPRSTTNLFILNLSIADLAYLLFCIPFQATVYALPTWVLGAFICKFIHYFFTVSMLVSIFTLAAMSVDRYVAIVHSRRSSSLRVSRNALLGVGCIWALSIAMASPVAYHQGLFHPRASNQTFCWEQWPDPRHKKAYVVCTFVFGYLLPLLLICFCYAKVLNHLHKKLKNMSKKSEASKKKTAQTVLVVVVVFGISWLPHHIIHLWAEFGVFPLTPASFLFRITAHCLAYSNSSVNPIIYAFLSENFRKAYKQVFKCHIRKDSHLSDTKESKSRIDTPPSTNCTHV</v>
      </c>
      <c r="F141" s="5" t="str">
        <f t="shared" si="51"/>
        <v>VENFVTLVVFGLIFALGVLGNSLVITVLARS</v>
      </c>
      <c r="G141" s="4" t="str">
        <f t="shared" si="52"/>
        <v/>
      </c>
      <c r="H141" s="4" t="str">
        <f t="shared" si="53"/>
        <v>STTNLFILNLSIADLAYLLFCIPFQATVYA</v>
      </c>
      <c r="I141" s="4" t="str">
        <f t="shared" si="54"/>
        <v>TWVL</v>
      </c>
      <c r="J141" s="4" t="str">
        <f t="shared" si="55"/>
        <v>GAFICKFIHYFFTVSMLVSIFTLAAMSVDRYVAIVH</v>
      </c>
      <c r="K141" s="4" t="str">
        <f t="shared" si="56"/>
        <v>SRRSSSLR</v>
      </c>
      <c r="L141" s="4" t="str">
        <f t="shared" si="57"/>
        <v>VSRNALLGVGCIWALSIAMASPVAYHQ</v>
      </c>
      <c r="M141" s="4" t="str">
        <f t="shared" si="58"/>
        <v>CWE</v>
      </c>
      <c r="N141" s="4" t="str">
        <f t="shared" si="59"/>
        <v>DPRHKKAYVVCTFVFGYLLPLLLICFCYAKVLNHLHKKLKNM</v>
      </c>
      <c r="O141" s="4" t="str">
        <f t="shared" si="60"/>
        <v>SKKKTAQTVLVVVVVFGISWLPHHIIHLWAEFG</v>
      </c>
      <c r="P141" s="4" t="str">
        <f t="shared" si="61"/>
        <v>TPASFLFRITAHCLAYSNSSVNPIIYAFL</v>
      </c>
      <c r="Q141" s="4" t="str">
        <f t="shared" si="62"/>
        <v>SENFRKAYKQVFK</v>
      </c>
      <c r="R141" s="5">
        <f>VLOOKUP($A141,'SegEnds_NonXtal_Prot#'!$A:$AL,3,FALSE)</f>
        <v>31</v>
      </c>
      <c r="S141" s="5" t="str">
        <f>VLOOKUP($A141,'SegEnds_NonXtal_Prot#'!$A:$AL,6,FALSE)</f>
        <v>-</v>
      </c>
      <c r="T141" s="5">
        <f>VLOOKUP($A141,'SegEnds_NonXtal_Prot#'!$A:$AL,9,FALSE)</f>
        <v>68</v>
      </c>
      <c r="U141" s="5">
        <f>VLOOKUP($A141,'SegEnds_NonXtal_Prot#'!$A:$AL,12,FALSE)</f>
        <v>100</v>
      </c>
      <c r="V141" s="5">
        <f>VLOOKUP($A141,'SegEnds_NonXtal_Prot#'!$A:$AL,15,FALSE)</f>
        <v>104</v>
      </c>
      <c r="W141" s="5">
        <f>VLOOKUP($A141,'SegEnds_NonXtal_Prot#'!$A:$AL,18,FALSE)</f>
        <v>140</v>
      </c>
      <c r="X141" s="5">
        <f>VLOOKUP($A141,'SegEnds_NonXtal_Prot#'!$A:$AL,21,FALSE)</f>
        <v>148</v>
      </c>
      <c r="Y141" s="5">
        <f>VLOOKUP($A141,'SegEnds_NonXtal_Prot#'!$A:$AL,24,FALSE)</f>
        <v>187</v>
      </c>
      <c r="Z141" s="5">
        <f>VLOOKUP($A141,'SegEnds_NonXtal_Prot#'!$A:$AL,27,FALSE)</f>
        <v>193</v>
      </c>
      <c r="AA141" s="5">
        <f>VLOOKUP($A141,'SegEnds_NonXtal_Prot#'!$A:$AL,30,FALSE)</f>
        <v>241</v>
      </c>
      <c r="AB141" s="5">
        <f>VLOOKUP($A141,'SegEnds_NonXtal_Prot#'!$A:$AL,33,FALSE)</f>
        <v>278</v>
      </c>
      <c r="AC141" s="5">
        <f>VLOOKUP($A141,'SegEnds_NonXtal_Prot#'!$A:$AL,36,FALSE)</f>
        <v>307</v>
      </c>
      <c r="AD141" s="5">
        <f>VLOOKUP($A141,'SegEnds_NonXtal_Prot#'!$A:$AL,5,FALSE)</f>
        <v>61</v>
      </c>
      <c r="AE141" s="5" t="str">
        <f>VLOOKUP($A141,'SegEnds_NonXtal_Prot#'!$A:$AL,8,FALSE)</f>
        <v>-</v>
      </c>
      <c r="AF141" s="5">
        <f>VLOOKUP($A141,'SegEnds_NonXtal_Prot#'!$A:$AL,11,FALSE)</f>
        <v>97</v>
      </c>
      <c r="AG141" s="5">
        <f>VLOOKUP($A141,'SegEnds_NonXtal_Prot#'!$A:$AL,14,FALSE)</f>
        <v>103</v>
      </c>
      <c r="AH141" s="5">
        <f>VLOOKUP($A141,'SegEnds_NonXtal_Prot#'!$A:$AL,17,FALSE)</f>
        <v>139</v>
      </c>
      <c r="AI141" s="5">
        <f>VLOOKUP($A141,'SegEnds_NonXtal_Prot#'!$A:$AL,20,FALSE)</f>
        <v>147</v>
      </c>
      <c r="AJ141" s="5">
        <f>VLOOKUP($A141,'SegEnds_NonXtal_Prot#'!$A:$AL,23,FALSE)</f>
        <v>174</v>
      </c>
      <c r="AK141" s="5">
        <f>VLOOKUP($A141,'SegEnds_NonXtal_Prot#'!$A:$AL,26,FALSE)</f>
        <v>189</v>
      </c>
      <c r="AL141" s="5">
        <f>VLOOKUP($A141,'SegEnds_NonXtal_Prot#'!$A:$AL,29,FALSE)</f>
        <v>234</v>
      </c>
      <c r="AM141" s="5">
        <f>VLOOKUP($A141,'SegEnds_NonXtal_Prot#'!$A:$AL,32,FALSE)</f>
        <v>273</v>
      </c>
      <c r="AN141" s="5">
        <f>VLOOKUP($A141,'SegEnds_NonXtal_Prot#'!$A:$AL,35,FALSE)</f>
        <v>306</v>
      </c>
      <c r="AO141" s="5">
        <f>VLOOKUP($A141,'SegEnds_NonXtal_Prot#'!$A:$AL,38,FALSE)</f>
        <v>319</v>
      </c>
      <c r="AP141" s="5">
        <f t="shared" si="63"/>
        <v>30</v>
      </c>
      <c r="AQ141" s="4" t="str">
        <f t="shared" si="64"/>
        <v>-</v>
      </c>
      <c r="AR141" s="4">
        <f t="shared" si="65"/>
        <v>29</v>
      </c>
      <c r="AS141" s="4">
        <f t="shared" si="66"/>
        <v>3</v>
      </c>
      <c r="AT141" s="4">
        <f t="shared" si="67"/>
        <v>35</v>
      </c>
      <c r="AU141" s="4">
        <f t="shared" si="68"/>
        <v>7</v>
      </c>
      <c r="AV141" s="4">
        <f t="shared" si="69"/>
        <v>26</v>
      </c>
      <c r="AW141" s="4">
        <f t="shared" si="70"/>
        <v>2</v>
      </c>
      <c r="AX141" s="4">
        <f t="shared" si="71"/>
        <v>41</v>
      </c>
      <c r="AY141" s="4">
        <f t="shared" si="72"/>
        <v>32</v>
      </c>
      <c r="AZ141" s="4">
        <f t="shared" si="73"/>
        <v>28</v>
      </c>
      <c r="BA141" s="4">
        <f t="shared" si="74"/>
        <v>12</v>
      </c>
    </row>
    <row r="142" spans="1:53" x14ac:dyDescent="0.2">
      <c r="A142" s="1" t="str">
        <f>'SegEnds_NonXtal_Prot#'!A112</f>
        <v>galr3_human</v>
      </c>
      <c r="B142" s="1" t="str">
        <f t="shared" si="50"/>
        <v>VGAVAVPVVFALIFLLGTVGNGLVLAVLLQPQEPGSTTDLFILNLAVADLCFILCCVPFQATIYTGALVCKAVHLLIYLTMYASSFTLAAVSVDRYLAVRHTPRNARAAVGLVWLLAALFSAPYLSYYEDARRRALDVATFAAGYLLPVAVVSLAYGRTLRFLWAAVGPAEARRRATGRAGRAMLAVAALYALCWGPHHALILCFWYGSPATYACRLASHCLAYANSCLNPLVYALASRHFRARFRRLWP</v>
      </c>
      <c r="C142" s="29" t="str">
        <f>IF(ISERROR(MATCH(A142,'SegEnds_Xtal_Prot#'!B:B, 0)), "NoXtal", "Xtal")</f>
        <v>NoXtal</v>
      </c>
      <c r="D142" s="4" t="str">
        <f>VLOOKUP(A142,Classification!A:D,2,FALSE)</f>
        <v>A</v>
      </c>
      <c r="E142" s="5" t="str">
        <f>VLOOKUP(A142,Seqs!A:B,2,FALSE)</f>
        <v>MADAQNISLDSPGSVGAVAVPVVFALIFLLGTVGNGLVLAVLLQPGPSAWQEPGSTTDLFILNLAVADLCFILCCVPFQATIYTLDAWLFGALVCKAVHLLIYLTMYASSFTLAAVSVDRYLAVRHPLRSRALRTPRNARAAVGLVWLLAALFSAPYLSYYGTVRYGALELCVPAWEDARRRALDVATFAAGYLLPVAVVSLAYGRTLRFLWAAVGPAGAAAAEARRRATGRAGRAMLAVAALYALCWGPHHALILCFWYGRFAFSPATYACRLASHCLAYANSCLNPLVYALASRHFRARFRRLWPCGRRRRHRARRALRRVRPASSGPPGCPGDARPSGRLLAGGGQGPEPREGPVHGGEAARGPE</v>
      </c>
      <c r="F142" s="5" t="str">
        <f t="shared" si="51"/>
        <v>VGAVAVPVVFALIFLLGTVGNGLVLAVLLQP</v>
      </c>
      <c r="G142" s="4" t="str">
        <f t="shared" si="52"/>
        <v>PSAW</v>
      </c>
      <c r="H142" s="4" t="str">
        <f t="shared" si="53"/>
        <v>QEPGSTTDLFILNLAVADLCFILCCVPFQATIYT</v>
      </c>
      <c r="I142" s="4" t="str">
        <f t="shared" si="54"/>
        <v>AWLF</v>
      </c>
      <c r="J142" s="4" t="str">
        <f t="shared" si="55"/>
        <v>GALVCKAVHLLIYLTMYASSFTLAAVSVDRYLAVRH</v>
      </c>
      <c r="K142" s="4" t="str">
        <f t="shared" si="56"/>
        <v>PLRSRALR</v>
      </c>
      <c r="L142" s="4" t="str">
        <f t="shared" si="57"/>
        <v>TPRNARAAVGLVWLLAALFSAPYLSYY</v>
      </c>
      <c r="M142" s="4" t="str">
        <f t="shared" si="58"/>
        <v>CVP</v>
      </c>
      <c r="N142" s="4" t="str">
        <f t="shared" si="59"/>
        <v>EDARRRALDVATFAAGYLLPVAVVSLAYGRTLRFLWAAVGPA</v>
      </c>
      <c r="O142" s="4" t="str">
        <f t="shared" si="60"/>
        <v>EARRRATGRAGRAMLAVAALYALCWGPHHALILCFWYG</v>
      </c>
      <c r="P142" s="4" t="str">
        <f t="shared" si="61"/>
        <v>SPATYACRLASHCLAYANSCLNPLVYALA</v>
      </c>
      <c r="Q142" s="4" t="str">
        <f t="shared" si="62"/>
        <v>SRHFRARFRRLWP</v>
      </c>
      <c r="R142" s="5">
        <f>VLOOKUP($A142,'SegEnds_NonXtal_Prot#'!$A:$AL,3,FALSE)</f>
        <v>15</v>
      </c>
      <c r="S142" s="5">
        <f>VLOOKUP($A142,'SegEnds_NonXtal_Prot#'!$A:$AL,6,FALSE)</f>
        <v>47</v>
      </c>
      <c r="T142" s="5">
        <f>VLOOKUP($A142,'SegEnds_NonXtal_Prot#'!$A:$AL,9,FALSE)</f>
        <v>51</v>
      </c>
      <c r="U142" s="5">
        <f>VLOOKUP($A142,'SegEnds_NonXtal_Prot#'!$A:$AL,12,FALSE)</f>
        <v>87</v>
      </c>
      <c r="V142" s="5">
        <f>VLOOKUP($A142,'SegEnds_NonXtal_Prot#'!$A:$AL,15,FALSE)</f>
        <v>91</v>
      </c>
      <c r="W142" s="5">
        <f>VLOOKUP($A142,'SegEnds_NonXtal_Prot#'!$A:$AL,18,FALSE)</f>
        <v>127</v>
      </c>
      <c r="X142" s="5">
        <f>VLOOKUP($A142,'SegEnds_NonXtal_Prot#'!$A:$AL,21,FALSE)</f>
        <v>135</v>
      </c>
      <c r="Y142" s="5">
        <f>VLOOKUP($A142,'SegEnds_NonXtal_Prot#'!$A:$AL,24,FALSE)</f>
        <v>172</v>
      </c>
      <c r="Z142" s="5">
        <f>VLOOKUP($A142,'SegEnds_NonXtal_Prot#'!$A:$AL,27,FALSE)</f>
        <v>177</v>
      </c>
      <c r="AA142" s="5">
        <f>VLOOKUP($A142,'SegEnds_NonXtal_Prot#'!$A:$AL,30,FALSE)</f>
        <v>224</v>
      </c>
      <c r="AB142" s="5">
        <f>VLOOKUP($A142,'SegEnds_NonXtal_Prot#'!$A:$AL,33,FALSE)</f>
        <v>266</v>
      </c>
      <c r="AC142" s="5">
        <f>VLOOKUP($A142,'SegEnds_NonXtal_Prot#'!$A:$AL,36,FALSE)</f>
        <v>295</v>
      </c>
      <c r="AD142" s="5">
        <f>VLOOKUP($A142,'SegEnds_NonXtal_Prot#'!$A:$AL,5,FALSE)</f>
        <v>45</v>
      </c>
      <c r="AE142" s="5">
        <f>VLOOKUP($A142,'SegEnds_NonXtal_Prot#'!$A:$AL,8,FALSE)</f>
        <v>50</v>
      </c>
      <c r="AF142" s="5">
        <f>VLOOKUP($A142,'SegEnds_NonXtal_Prot#'!$A:$AL,11,FALSE)</f>
        <v>84</v>
      </c>
      <c r="AG142" s="5">
        <f>VLOOKUP($A142,'SegEnds_NonXtal_Prot#'!$A:$AL,14,FALSE)</f>
        <v>90</v>
      </c>
      <c r="AH142" s="5">
        <f>VLOOKUP($A142,'SegEnds_NonXtal_Prot#'!$A:$AL,17,FALSE)</f>
        <v>126</v>
      </c>
      <c r="AI142" s="5">
        <f>VLOOKUP($A142,'SegEnds_NonXtal_Prot#'!$A:$AL,20,FALSE)</f>
        <v>134</v>
      </c>
      <c r="AJ142" s="5">
        <f>VLOOKUP($A142,'SegEnds_NonXtal_Prot#'!$A:$AL,23,FALSE)</f>
        <v>161</v>
      </c>
      <c r="AK142" s="5">
        <f>VLOOKUP($A142,'SegEnds_NonXtal_Prot#'!$A:$AL,26,FALSE)</f>
        <v>174</v>
      </c>
      <c r="AL142" s="5">
        <f>VLOOKUP($A142,'SegEnds_NonXtal_Prot#'!$A:$AL,29,FALSE)</f>
        <v>218</v>
      </c>
      <c r="AM142" s="5">
        <f>VLOOKUP($A142,'SegEnds_NonXtal_Prot#'!$A:$AL,32,FALSE)</f>
        <v>261</v>
      </c>
      <c r="AN142" s="5">
        <f>VLOOKUP($A142,'SegEnds_NonXtal_Prot#'!$A:$AL,35,FALSE)</f>
        <v>294</v>
      </c>
      <c r="AO142" s="5">
        <f>VLOOKUP($A142,'SegEnds_NonXtal_Prot#'!$A:$AL,38,FALSE)</f>
        <v>307</v>
      </c>
      <c r="AP142" s="5">
        <f t="shared" si="63"/>
        <v>30</v>
      </c>
      <c r="AQ142" s="4">
        <f t="shared" si="64"/>
        <v>3</v>
      </c>
      <c r="AR142" s="4">
        <f t="shared" si="65"/>
        <v>33</v>
      </c>
      <c r="AS142" s="4">
        <f t="shared" si="66"/>
        <v>3</v>
      </c>
      <c r="AT142" s="4">
        <f t="shared" si="67"/>
        <v>35</v>
      </c>
      <c r="AU142" s="4">
        <f t="shared" si="68"/>
        <v>7</v>
      </c>
      <c r="AV142" s="4">
        <f t="shared" si="69"/>
        <v>26</v>
      </c>
      <c r="AW142" s="4">
        <f t="shared" si="70"/>
        <v>2</v>
      </c>
      <c r="AX142" s="4">
        <f t="shared" si="71"/>
        <v>41</v>
      </c>
      <c r="AY142" s="4">
        <f t="shared" si="72"/>
        <v>37</v>
      </c>
      <c r="AZ142" s="4">
        <f t="shared" si="73"/>
        <v>28</v>
      </c>
      <c r="BA142" s="4">
        <f t="shared" si="74"/>
        <v>12</v>
      </c>
    </row>
    <row r="143" spans="1:53" x14ac:dyDescent="0.2">
      <c r="A143" s="1" t="str">
        <f>'SegEnds_NonXtal_Prot#'!A113</f>
        <v>gasr_human</v>
      </c>
      <c r="B143" s="1" t="str">
        <f t="shared" si="50"/>
        <v>ELAIRITLYAVIFLMSVGGNMLIIVVLGLSTVTNAFLLSLAVSDLLLAVACMPFTLLPNLMGTVICKAVSYLMGVSVSVSTLSLVAIALERYSAICRTRSHAARVIVATWLLSGLLMVPYPVYTARVRQTWSVLLLLLLFFIPGVVMAVAYGLISRELYLGLRFDGDSDQAKLLAKKRVVRMLLVIVVLFFLCWLPVYSANTWRAFDRALSGAPISFIHLLSYASACVNPLVYCFMHRRFRQACLETC</v>
      </c>
      <c r="C143" s="29" t="str">
        <f>IF(ISERROR(MATCH(A143,'SegEnds_Xtal_Prot#'!B:B, 0)), "NoXtal", "Xtal")</f>
        <v>NoXtal</v>
      </c>
      <c r="D143" s="4" t="str">
        <f>VLOOKUP(A143,Classification!A:D,2,FALSE)</f>
        <v>A</v>
      </c>
      <c r="E143" s="5" t="str">
        <f>VLOOKUP(A143,Seqs!A:B,2,FALSE)</f>
        <v>MELLKLNRSVQGTGPGPGASLCRPGAPLLNSSSVGNLSCEPPRIRGAGTRELELAIRITLYAVIFLMSVGGNMLIIVVLGLSRRLRTVTNAFLLSLAVSDLLLAVACMPFTLLPNLMGTFIFGTVICKAVSYLMGVSVSVSTLSLVAIALERYSAICRPLQARVWQTRSHAARVIVATWLLSGLLMVPYPVYTVVQPVGPRVLQCVHRWPSARVRQTWSVLLLLLLFFIPGVVMAVAYGLISRELYLGLRFDGDSDSDSQSRVRNQGGLPGAVHQNGRCRPETGAVGEDSDGCYVQLPRSRPALELTALTAPGPGSGSRPTQAKLLAKKRVVRMLLVIVVLFFLCWLPVYSANTWRAFDGPGAHRALSGAPISFIHLLSYASACVNPLVYCFMHRRFRQACLETCARCCPRPPRARPRALPDEDPPTPSIASLSRLSYTTISTLGPG</v>
      </c>
      <c r="F143" s="5" t="str">
        <f t="shared" si="51"/>
        <v>ELAIRITLYAVIFLMSVGGNMLIIVVLGLS</v>
      </c>
      <c r="G143" s="4" t="str">
        <f t="shared" si="52"/>
        <v>RRLR</v>
      </c>
      <c r="H143" s="4" t="str">
        <f t="shared" si="53"/>
        <v>TVTNAFLLSLAVSDLLLAVACMPFTLLPNLM</v>
      </c>
      <c r="I143" s="4" t="str">
        <f t="shared" si="54"/>
        <v>TFIF</v>
      </c>
      <c r="J143" s="4" t="str">
        <f t="shared" si="55"/>
        <v>GTVICKAVSYLMGVSVSVSTLSLVAIALERYSAICR</v>
      </c>
      <c r="K143" s="4" t="str">
        <f t="shared" si="56"/>
        <v>PLQARVWQ</v>
      </c>
      <c r="L143" s="4" t="str">
        <f t="shared" si="57"/>
        <v>TRSHAARVIVATWLLSGLLMVPYPVYT</v>
      </c>
      <c r="M143" s="4" t="str">
        <f t="shared" si="58"/>
        <v>CVH</v>
      </c>
      <c r="N143" s="4" t="str">
        <f t="shared" si="59"/>
        <v>ARVRQTWSVLLLLLLFFIPGVVMAVAYGLISRELYLGLRFDGDSD</v>
      </c>
      <c r="O143" s="4" t="str">
        <f t="shared" si="60"/>
        <v>QAKLLAKKRVVRMLLVIVVLFFLCWLPVYSANTWRAFD</v>
      </c>
      <c r="P143" s="4" t="str">
        <f t="shared" si="61"/>
        <v>RALSGAPISFIHLLSYASACVNPLVYCFM</v>
      </c>
      <c r="Q143" s="4" t="str">
        <f t="shared" si="62"/>
        <v>HRRFRQACLETC</v>
      </c>
      <c r="R143" s="5">
        <f>VLOOKUP($A143,'SegEnds_NonXtal_Prot#'!$A:$AL,3,FALSE)</f>
        <v>53</v>
      </c>
      <c r="S143" s="5">
        <f>VLOOKUP($A143,'SegEnds_NonXtal_Prot#'!$A:$AL,6,FALSE)</f>
        <v>83</v>
      </c>
      <c r="T143" s="5">
        <f>VLOOKUP($A143,'SegEnds_NonXtal_Prot#'!$A:$AL,9,FALSE)</f>
        <v>87</v>
      </c>
      <c r="U143" s="5">
        <f>VLOOKUP($A143,'SegEnds_NonXtal_Prot#'!$A:$AL,12,FALSE)</f>
        <v>119</v>
      </c>
      <c r="V143" s="5">
        <f>VLOOKUP($A143,'SegEnds_NonXtal_Prot#'!$A:$AL,15,FALSE)</f>
        <v>123</v>
      </c>
      <c r="W143" s="5">
        <f>VLOOKUP($A143,'SegEnds_NonXtal_Prot#'!$A:$AL,18,FALSE)</f>
        <v>159</v>
      </c>
      <c r="X143" s="5">
        <f>VLOOKUP($A143,'SegEnds_NonXtal_Prot#'!$A:$AL,21,FALSE)</f>
        <v>167</v>
      </c>
      <c r="Y143" s="5">
        <f>VLOOKUP($A143,'SegEnds_NonXtal_Prot#'!$A:$AL,24,FALSE)</f>
        <v>205</v>
      </c>
      <c r="Z143" s="5">
        <f>VLOOKUP($A143,'SegEnds_NonXtal_Prot#'!$A:$AL,27,FALSE)</f>
        <v>212</v>
      </c>
      <c r="AA143" s="5">
        <f>VLOOKUP($A143,'SegEnds_NonXtal_Prot#'!$A:$AL,30,FALSE)</f>
        <v>322</v>
      </c>
      <c r="AB143" s="5">
        <f>VLOOKUP($A143,'SegEnds_NonXtal_Prot#'!$A:$AL,33,FALSE)</f>
        <v>365</v>
      </c>
      <c r="AC143" s="5">
        <f>VLOOKUP($A143,'SegEnds_NonXtal_Prot#'!$A:$AL,36,FALSE)</f>
        <v>394</v>
      </c>
      <c r="AD143" s="5">
        <f>VLOOKUP($A143,'SegEnds_NonXtal_Prot#'!$A:$AL,5,FALSE)</f>
        <v>82</v>
      </c>
      <c r="AE143" s="5">
        <f>VLOOKUP($A143,'SegEnds_NonXtal_Prot#'!$A:$AL,8,FALSE)</f>
        <v>86</v>
      </c>
      <c r="AF143" s="5">
        <f>VLOOKUP($A143,'SegEnds_NonXtal_Prot#'!$A:$AL,11,FALSE)</f>
        <v>117</v>
      </c>
      <c r="AG143" s="5">
        <f>VLOOKUP($A143,'SegEnds_NonXtal_Prot#'!$A:$AL,14,FALSE)</f>
        <v>122</v>
      </c>
      <c r="AH143" s="5">
        <f>VLOOKUP($A143,'SegEnds_NonXtal_Prot#'!$A:$AL,17,FALSE)</f>
        <v>158</v>
      </c>
      <c r="AI143" s="5">
        <f>VLOOKUP($A143,'SegEnds_NonXtal_Prot#'!$A:$AL,20,FALSE)</f>
        <v>166</v>
      </c>
      <c r="AJ143" s="5">
        <f>VLOOKUP($A143,'SegEnds_NonXtal_Prot#'!$A:$AL,23,FALSE)</f>
        <v>193</v>
      </c>
      <c r="AK143" s="5">
        <f>VLOOKUP($A143,'SegEnds_NonXtal_Prot#'!$A:$AL,26,FALSE)</f>
        <v>207</v>
      </c>
      <c r="AL143" s="5">
        <f>VLOOKUP($A143,'SegEnds_NonXtal_Prot#'!$A:$AL,29,FALSE)</f>
        <v>256</v>
      </c>
      <c r="AM143" s="5">
        <f>VLOOKUP($A143,'SegEnds_NonXtal_Prot#'!$A:$AL,32,FALSE)</f>
        <v>359</v>
      </c>
      <c r="AN143" s="5">
        <f>VLOOKUP($A143,'SegEnds_NonXtal_Prot#'!$A:$AL,35,FALSE)</f>
        <v>393</v>
      </c>
      <c r="AO143" s="5">
        <f>VLOOKUP($A143,'SegEnds_NonXtal_Prot#'!$A:$AL,38,FALSE)</f>
        <v>405</v>
      </c>
      <c r="AP143" s="5">
        <f t="shared" si="63"/>
        <v>29</v>
      </c>
      <c r="AQ143" s="4">
        <f t="shared" si="64"/>
        <v>3</v>
      </c>
      <c r="AR143" s="4">
        <f t="shared" si="65"/>
        <v>30</v>
      </c>
      <c r="AS143" s="4">
        <f t="shared" si="66"/>
        <v>3</v>
      </c>
      <c r="AT143" s="4">
        <f t="shared" si="67"/>
        <v>35</v>
      </c>
      <c r="AU143" s="4">
        <f t="shared" si="68"/>
        <v>7</v>
      </c>
      <c r="AV143" s="4">
        <f t="shared" si="69"/>
        <v>26</v>
      </c>
      <c r="AW143" s="4">
        <f t="shared" si="70"/>
        <v>2</v>
      </c>
      <c r="AX143" s="4">
        <f t="shared" si="71"/>
        <v>44</v>
      </c>
      <c r="AY143" s="4">
        <f t="shared" si="72"/>
        <v>37</v>
      </c>
      <c r="AZ143" s="4">
        <f t="shared" si="73"/>
        <v>28</v>
      </c>
      <c r="BA143" s="4">
        <f t="shared" si="74"/>
        <v>11</v>
      </c>
    </row>
    <row r="144" spans="1:53" x14ac:dyDescent="0.2">
      <c r="A144" s="1" t="str">
        <f>'SegEnds_NonXtal_Prot#'!A114</f>
        <v>ghsr_human</v>
      </c>
      <c r="B144" s="1" t="str">
        <f t="shared" si="50"/>
        <v>APLLAGVTATCVALFVVGIAGNLLTMLVVSRFTTTNLYLSSMAFSDLLIFLCMPLDLVRLWQYGDLLCKLFQFVSESCTYATVLTITALSVERYFAICFTKGRVKLVIFVIWAVAFCSAGPIFVLVRSGLLTVMVWVSSIFFFLPVFCLTVLYSLIGRKLWRRRRGDSLRDQNHKQTVKMLAVVVFAFILCWLPFHVGRYLFSKSAQISQYCNLVSFVLFYLSAAINPILYNIMSKKYRVAVFRLL</v>
      </c>
      <c r="C144" s="29" t="str">
        <f>IF(ISERROR(MATCH(A144,'SegEnds_Xtal_Prot#'!B:B, 0)), "NoXtal", "Xtal")</f>
        <v>NoXtal</v>
      </c>
      <c r="D144" s="4" t="str">
        <f>VLOOKUP(A144,Classification!A:D,2,FALSE)</f>
        <v>A</v>
      </c>
      <c r="E144" s="5" t="str">
        <f>VLOOKUP(A144,Seqs!A:B,2,FALSE)</f>
        <v>MWNATPSEEPGFNLTLADLDWDASPGNDSLGDELLQLFPAPLLAGVTATCVALFVVGIAGNLLTMLVVSRFRELRTTTNLYLSSMAFSDLLIFLCMPLDLVRLWQYRPWNFGDLLCKLFQFVSESCTYATVLTITALSVERYFAICFPLRAKVVVTKGRVKLVIFVIWAVAFCSAGPIFVLVGVEHENGTDPWDTNECRPTEFAVRSGLLTVMVWVSSIFFFLPVFCLTVLYSLIGRKLWRRRRGDAVVGASLRDQNHKQTVKMLAVVVFAFILCWLPFHVGRYLFSKSFEPGSLEIAQISQYCNLVSFVLFYLSAAINPILYNIMSKKYRVAVFRLLGFEPFSQRKLSTLKDESSRAWTESSINT</v>
      </c>
      <c r="F144" s="5" t="str">
        <f t="shared" si="51"/>
        <v>APLLAGVTATCVALFVVGIAGNLLTMLVVSRF</v>
      </c>
      <c r="G144" s="4" t="str">
        <f t="shared" si="52"/>
        <v>RELR</v>
      </c>
      <c r="H144" s="4" t="str">
        <f t="shared" si="53"/>
        <v>TTTNLYLSSMAFSDLLIFLCMPLDLVRLWQY</v>
      </c>
      <c r="I144" s="4" t="str">
        <f t="shared" si="54"/>
        <v>PWNF</v>
      </c>
      <c r="J144" s="4" t="str">
        <f t="shared" si="55"/>
        <v>GDLLCKLFQFVSESCTYATVLTITALSVERYFAICF</v>
      </c>
      <c r="K144" s="4" t="str">
        <f t="shared" si="56"/>
        <v>PLRAKVVV</v>
      </c>
      <c r="L144" s="4" t="str">
        <f t="shared" si="57"/>
        <v>TKGRVKLVIFVIWAVAFCSAGPIFVLV</v>
      </c>
      <c r="M144" s="4" t="str">
        <f t="shared" si="58"/>
        <v>CRP</v>
      </c>
      <c r="N144" s="4" t="str">
        <f t="shared" si="59"/>
        <v>RSGLLTVMVWVSSIFFFLPVFCLTVLYSLIGRKLWRRRRGD</v>
      </c>
      <c r="O144" s="4" t="str">
        <f t="shared" si="60"/>
        <v>SLRDQNHKQTVKMLAVVVFAFILCWLPFHVGRYLFSKS</v>
      </c>
      <c r="P144" s="4" t="str">
        <f t="shared" si="61"/>
        <v>AQISQYCNLVSFVLFYLSAAINPILYNIM</v>
      </c>
      <c r="Q144" s="4" t="str">
        <f t="shared" si="62"/>
        <v>SKKYRVAVFRLL</v>
      </c>
      <c r="R144" s="5">
        <f>VLOOKUP($A144,'SegEnds_NonXtal_Prot#'!$A:$AL,3,FALSE)</f>
        <v>40</v>
      </c>
      <c r="S144" s="5">
        <f>VLOOKUP($A144,'SegEnds_NonXtal_Prot#'!$A:$AL,6,FALSE)</f>
        <v>72</v>
      </c>
      <c r="T144" s="5">
        <f>VLOOKUP($A144,'SegEnds_NonXtal_Prot#'!$A:$AL,9,FALSE)</f>
        <v>76</v>
      </c>
      <c r="U144" s="5">
        <f>VLOOKUP($A144,'SegEnds_NonXtal_Prot#'!$A:$AL,12,FALSE)</f>
        <v>108</v>
      </c>
      <c r="V144" s="5">
        <f>VLOOKUP($A144,'SegEnds_NonXtal_Prot#'!$A:$AL,15,FALSE)</f>
        <v>112</v>
      </c>
      <c r="W144" s="5">
        <f>VLOOKUP($A144,'SegEnds_NonXtal_Prot#'!$A:$AL,18,FALSE)</f>
        <v>148</v>
      </c>
      <c r="X144" s="5">
        <f>VLOOKUP($A144,'SegEnds_NonXtal_Prot#'!$A:$AL,21,FALSE)</f>
        <v>156</v>
      </c>
      <c r="Y144" s="5">
        <f>VLOOKUP($A144,'SegEnds_NonXtal_Prot#'!$A:$AL,24,FALSE)</f>
        <v>198</v>
      </c>
      <c r="Z144" s="5">
        <f>VLOOKUP($A144,'SegEnds_NonXtal_Prot#'!$A:$AL,27,FALSE)</f>
        <v>206</v>
      </c>
      <c r="AA144" s="5">
        <f>VLOOKUP($A144,'SegEnds_NonXtal_Prot#'!$A:$AL,30,FALSE)</f>
        <v>252</v>
      </c>
      <c r="AB144" s="5">
        <f>VLOOKUP($A144,'SegEnds_NonXtal_Prot#'!$A:$AL,33,FALSE)</f>
        <v>298</v>
      </c>
      <c r="AC144" s="5">
        <f>VLOOKUP($A144,'SegEnds_NonXtal_Prot#'!$A:$AL,36,FALSE)</f>
        <v>327</v>
      </c>
      <c r="AD144" s="5">
        <f>VLOOKUP($A144,'SegEnds_NonXtal_Prot#'!$A:$AL,5,FALSE)</f>
        <v>71</v>
      </c>
      <c r="AE144" s="5">
        <f>VLOOKUP($A144,'SegEnds_NonXtal_Prot#'!$A:$AL,8,FALSE)</f>
        <v>75</v>
      </c>
      <c r="AF144" s="5">
        <f>VLOOKUP($A144,'SegEnds_NonXtal_Prot#'!$A:$AL,11,FALSE)</f>
        <v>106</v>
      </c>
      <c r="AG144" s="5">
        <f>VLOOKUP($A144,'SegEnds_NonXtal_Prot#'!$A:$AL,14,FALSE)</f>
        <v>111</v>
      </c>
      <c r="AH144" s="5">
        <f>VLOOKUP($A144,'SegEnds_NonXtal_Prot#'!$A:$AL,17,FALSE)</f>
        <v>147</v>
      </c>
      <c r="AI144" s="5">
        <f>VLOOKUP($A144,'SegEnds_NonXtal_Prot#'!$A:$AL,20,FALSE)</f>
        <v>155</v>
      </c>
      <c r="AJ144" s="5">
        <f>VLOOKUP($A144,'SegEnds_NonXtal_Prot#'!$A:$AL,23,FALSE)</f>
        <v>182</v>
      </c>
      <c r="AK144" s="5">
        <f>VLOOKUP($A144,'SegEnds_NonXtal_Prot#'!$A:$AL,26,FALSE)</f>
        <v>200</v>
      </c>
      <c r="AL144" s="5">
        <f>VLOOKUP($A144,'SegEnds_NonXtal_Prot#'!$A:$AL,29,FALSE)</f>
        <v>246</v>
      </c>
      <c r="AM144" s="5">
        <f>VLOOKUP($A144,'SegEnds_NonXtal_Prot#'!$A:$AL,32,FALSE)</f>
        <v>289</v>
      </c>
      <c r="AN144" s="5">
        <f>VLOOKUP($A144,'SegEnds_NonXtal_Prot#'!$A:$AL,35,FALSE)</f>
        <v>326</v>
      </c>
      <c r="AO144" s="5">
        <f>VLOOKUP($A144,'SegEnds_NonXtal_Prot#'!$A:$AL,38,FALSE)</f>
        <v>338</v>
      </c>
      <c r="AP144" s="5">
        <f t="shared" si="63"/>
        <v>31</v>
      </c>
      <c r="AQ144" s="4">
        <f t="shared" si="64"/>
        <v>3</v>
      </c>
      <c r="AR144" s="4">
        <f t="shared" si="65"/>
        <v>30</v>
      </c>
      <c r="AS144" s="4">
        <f t="shared" si="66"/>
        <v>3</v>
      </c>
      <c r="AT144" s="4">
        <f t="shared" si="67"/>
        <v>35</v>
      </c>
      <c r="AU144" s="4">
        <f t="shared" si="68"/>
        <v>7</v>
      </c>
      <c r="AV144" s="4">
        <f t="shared" si="69"/>
        <v>26</v>
      </c>
      <c r="AW144" s="4">
        <f t="shared" si="70"/>
        <v>2</v>
      </c>
      <c r="AX144" s="4">
        <f t="shared" si="71"/>
        <v>40</v>
      </c>
      <c r="AY144" s="4">
        <f t="shared" si="72"/>
        <v>37</v>
      </c>
      <c r="AZ144" s="4">
        <f t="shared" si="73"/>
        <v>28</v>
      </c>
      <c r="BA144" s="4">
        <f t="shared" si="74"/>
        <v>11</v>
      </c>
    </row>
    <row r="145" spans="1:53" x14ac:dyDescent="0.2">
      <c r="A145" s="1" t="str">
        <f>'SegEnds_NonXtal_Prot#'!A115</f>
        <v>gp101_human</v>
      </c>
      <c r="B145" s="1" t="str">
        <f t="shared" si="50"/>
        <v>KMPISLAHGIIRSTVLVIFLAASFVGNIVLALVLQRKQVTNRFIFNLLVTDLLQISLVAPWVVATSVNSHFCTALVSLTHLFAFASVNTIVVVSVDRYLSIIHTQRRGYLLLYGTWIVAILQSTPPLYGWSPSYTILSVVSFIVIPLIVMIACYSVVFCAARRQHALLYNVPLPRCYQCKAAKVIFIIIFSYVLSLGPYCFLAVLAVWVPQWVITIIIWLFFLQCCIHPYVYGYMHKTIKKEIQDMLK</v>
      </c>
      <c r="C145" s="29" t="str">
        <f>IF(ISERROR(MATCH(A145,'SegEnds_Xtal_Prot#'!B:B, 0)), "NoXtal", "Xtal")</f>
        <v>NoXtal</v>
      </c>
      <c r="D145" s="4" t="str">
        <f>VLOOKUP(A145,Classification!A:D,2,FALSE)</f>
        <v>A</v>
      </c>
      <c r="E145" s="5" t="str">
        <f>VLOOKUP(A145,Seqs!A:B,2,FALSE)</f>
        <v>MTSTCTNSTRESNSSHTCMPLSKMPISLAHGIIRSTVLVIFLAASFVGNIVLALVLQRKPQLLQVTNRFIFNLLVTDLLQISLVAPWVVATSVPLFWPLNSHFCTALVSLTHLFAFASVNTIVVVSVDRYLSIIHPLSYPSKMTQRRGYLLLYGTWIVAILQSTPPLYGWGQAAFDERNALCSMIWGASPSYTILSVVSFIVIPLIVMIACYSVVFCAARRQHALLYNVKRHSLEVRVKDCVENEDEEGAEKKEEFQDESEFRRQHEGEVKAKEGRMEAKDGSLKAKEGSTGTSESSVEARGSEEVRESSTVASDGSMEGKEGSTKVEENSMKADKGRTEVNQCSIDLGEDDMEFGEDDINFSEDDVEAVNIPESLPPSRRNSNSNPPLPRCYQCKAAKVIFIIIFSYVLSLGPYCFLAVLAVWVDVETQVPQWVITIIIWLFFLQCCIHPYVYGYMHKTIKKEIQDMLKKFFCKEKPPKEDSHPDLPGTEGGTEGKIVPSYDSATFP</v>
      </c>
      <c r="F145" s="5" t="str">
        <f t="shared" si="51"/>
        <v>KMPISLAHGIIRSTVLVIFLAASFVGNIVLALVLQRK</v>
      </c>
      <c r="G145" s="4" t="str">
        <f t="shared" si="52"/>
        <v>PQLL</v>
      </c>
      <c r="H145" s="4" t="str">
        <f t="shared" si="53"/>
        <v>QVTNRFIFNLLVTDLLQISLVAPWVVATSV</v>
      </c>
      <c r="I145" s="4" t="str">
        <f t="shared" si="54"/>
        <v>FWPL</v>
      </c>
      <c r="J145" s="4" t="str">
        <f t="shared" si="55"/>
        <v>NSHFCTALVSLTHLFAFASVNTIVVVSVDRYLSIIH</v>
      </c>
      <c r="K145" s="4" t="str">
        <f t="shared" si="56"/>
        <v>PLSYPSKM</v>
      </c>
      <c r="L145" s="4" t="str">
        <f t="shared" si="57"/>
        <v>TQRRGYLLLYGTWIVAILQSTPPLYGW</v>
      </c>
      <c r="M145" s="4" t="str">
        <f t="shared" si="58"/>
        <v>CSM</v>
      </c>
      <c r="N145" s="4" t="str">
        <f t="shared" si="59"/>
        <v>SPSYTILSVVSFIVIPLIVMIACYSVVFCAARRQHALLYNV</v>
      </c>
      <c r="O145" s="4" t="str">
        <f t="shared" si="60"/>
        <v>PLPRCYQCKAAKVIFIIIFSYVLSLGPYCFLAVLAVWV</v>
      </c>
      <c r="P145" s="4" t="str">
        <f t="shared" si="61"/>
        <v>PQWVITIIIWLFFLQCCIHPYVYGYM</v>
      </c>
      <c r="Q145" s="4" t="str">
        <f t="shared" si="62"/>
        <v>HKTIKKEIQDMLK</v>
      </c>
      <c r="R145" s="5">
        <f>VLOOKUP($A145,'SegEnds_NonXtal_Prot#'!$A:$AL,3,FALSE)</f>
        <v>23</v>
      </c>
      <c r="S145" s="5">
        <f>VLOOKUP($A145,'SegEnds_NonXtal_Prot#'!$A:$AL,6,FALSE)</f>
        <v>60</v>
      </c>
      <c r="T145" s="5">
        <f>VLOOKUP($A145,'SegEnds_NonXtal_Prot#'!$A:$AL,9,FALSE)</f>
        <v>64</v>
      </c>
      <c r="U145" s="5">
        <f>VLOOKUP($A145,'SegEnds_NonXtal_Prot#'!$A:$AL,12,FALSE)</f>
        <v>96</v>
      </c>
      <c r="V145" s="5">
        <f>VLOOKUP($A145,'SegEnds_NonXtal_Prot#'!$A:$AL,15,FALSE)</f>
        <v>100</v>
      </c>
      <c r="W145" s="5">
        <f>VLOOKUP($A145,'SegEnds_NonXtal_Prot#'!$A:$AL,18,FALSE)</f>
        <v>136</v>
      </c>
      <c r="X145" s="5">
        <f>VLOOKUP($A145,'SegEnds_NonXtal_Prot#'!$A:$AL,21,FALSE)</f>
        <v>144</v>
      </c>
      <c r="Y145" s="5">
        <f>VLOOKUP($A145,'SegEnds_NonXtal_Prot#'!$A:$AL,24,FALSE)</f>
        <v>182</v>
      </c>
      <c r="Z145" s="5">
        <f>VLOOKUP($A145,'SegEnds_NonXtal_Prot#'!$A:$AL,27,FALSE)</f>
        <v>189</v>
      </c>
      <c r="AA145" s="5">
        <f>VLOOKUP($A145,'SegEnds_NonXtal_Prot#'!$A:$AL,30,FALSE)</f>
        <v>388</v>
      </c>
      <c r="AB145" s="5">
        <f>VLOOKUP($A145,'SegEnds_NonXtal_Prot#'!$A:$AL,33,FALSE)</f>
        <v>432</v>
      </c>
      <c r="AC145" s="5">
        <f>VLOOKUP($A145,'SegEnds_NonXtal_Prot#'!$A:$AL,36,FALSE)</f>
        <v>458</v>
      </c>
      <c r="AD145" s="5">
        <f>VLOOKUP($A145,'SegEnds_NonXtal_Prot#'!$A:$AL,5,FALSE)</f>
        <v>59</v>
      </c>
      <c r="AE145" s="5">
        <f>VLOOKUP($A145,'SegEnds_NonXtal_Prot#'!$A:$AL,8,FALSE)</f>
        <v>63</v>
      </c>
      <c r="AF145" s="5">
        <f>VLOOKUP($A145,'SegEnds_NonXtal_Prot#'!$A:$AL,11,FALSE)</f>
        <v>93</v>
      </c>
      <c r="AG145" s="5">
        <f>VLOOKUP($A145,'SegEnds_NonXtal_Prot#'!$A:$AL,14,FALSE)</f>
        <v>99</v>
      </c>
      <c r="AH145" s="5">
        <f>VLOOKUP($A145,'SegEnds_NonXtal_Prot#'!$A:$AL,17,FALSE)</f>
        <v>135</v>
      </c>
      <c r="AI145" s="5">
        <f>VLOOKUP($A145,'SegEnds_NonXtal_Prot#'!$A:$AL,20,FALSE)</f>
        <v>143</v>
      </c>
      <c r="AJ145" s="5">
        <f>VLOOKUP($A145,'SegEnds_NonXtal_Prot#'!$A:$AL,23,FALSE)</f>
        <v>170</v>
      </c>
      <c r="AK145" s="5">
        <f>VLOOKUP($A145,'SegEnds_NonXtal_Prot#'!$A:$AL,26,FALSE)</f>
        <v>184</v>
      </c>
      <c r="AL145" s="5">
        <f>VLOOKUP($A145,'SegEnds_NonXtal_Prot#'!$A:$AL,29,FALSE)</f>
        <v>229</v>
      </c>
      <c r="AM145" s="5">
        <f>VLOOKUP($A145,'SegEnds_NonXtal_Prot#'!$A:$AL,32,FALSE)</f>
        <v>425</v>
      </c>
      <c r="AN145" s="5">
        <f>VLOOKUP($A145,'SegEnds_NonXtal_Prot#'!$A:$AL,35,FALSE)</f>
        <v>457</v>
      </c>
      <c r="AO145" s="5">
        <f>VLOOKUP($A145,'SegEnds_NonXtal_Prot#'!$A:$AL,38,FALSE)</f>
        <v>470</v>
      </c>
      <c r="AP145" s="5">
        <f t="shared" si="63"/>
        <v>36</v>
      </c>
      <c r="AQ145" s="4">
        <f t="shared" si="64"/>
        <v>3</v>
      </c>
      <c r="AR145" s="4">
        <f t="shared" si="65"/>
        <v>29</v>
      </c>
      <c r="AS145" s="4">
        <f t="shared" si="66"/>
        <v>3</v>
      </c>
      <c r="AT145" s="4">
        <f t="shared" si="67"/>
        <v>35</v>
      </c>
      <c r="AU145" s="4">
        <f t="shared" si="68"/>
        <v>7</v>
      </c>
      <c r="AV145" s="4">
        <f t="shared" si="69"/>
        <v>26</v>
      </c>
      <c r="AW145" s="4">
        <f t="shared" si="70"/>
        <v>2</v>
      </c>
      <c r="AX145" s="4">
        <f t="shared" si="71"/>
        <v>40</v>
      </c>
      <c r="AY145" s="4">
        <f t="shared" si="72"/>
        <v>37</v>
      </c>
      <c r="AZ145" s="4">
        <f t="shared" si="73"/>
        <v>25</v>
      </c>
      <c r="BA145" s="4">
        <f t="shared" si="74"/>
        <v>12</v>
      </c>
    </row>
    <row r="146" spans="1:53" x14ac:dyDescent="0.2">
      <c r="A146" s="1" t="str">
        <f>'SegEnds_NonXtal_Prot#'!A116</f>
        <v>gp119_human</v>
      </c>
      <c r="B146" s="1" t="str">
        <f t="shared" si="50"/>
        <v>SFSFGVILAVLASLIIATNTLVAVAVLLLGVSLCFTLNLAVADTLIGVAISGLLTDQLSRPTQKTLCSLRMAFVTSSAAASVLTVMLITFDRYLAIKQSGFVAGACIAGLWLVSYLIGFLPLGIPFHPHFVLTLSCVGFFPAMLLFVFFYCDMLKIASMHSQQIRGYRSPRTPSDFKALRTVSVLIGSFALSWTPFLITGIVQVACYLVLERYLWLLGVGNSLLNPLIYAYWQKEVRLQLYHMA</v>
      </c>
      <c r="C146" s="29" t="str">
        <f>IF(ISERROR(MATCH(A146,'SegEnds_Xtal_Prot#'!B:B, 0)), "NoXtal", "Xtal")</f>
        <v>NoXtal</v>
      </c>
      <c r="D146" s="4" t="str">
        <f>VLOOKUP(A146,Classification!A:D,2,FALSE)</f>
        <v>A</v>
      </c>
      <c r="E146" s="5" t="str">
        <f>VLOOKUP(A146,Seqs!A:B,2,FALSE)</f>
        <v>MESSFSFGVILAVLASLIIATNTLVAVAVLLLIHKNDGVSLCFTLNLAVADTLIGVAISGLLTDQLSSPSRPTQKTLCSLRMAFVTSSAAASVLTVMLITFDRYLAIKQPFRYLKIMSGFVAGACIAGLWLVSYLIGFLPLGIPMFQQTAYKGQCSFFAVFHPHFVLTLSCVGFFPAMLLFVFFYCDMLKIASMHSQQIRKMEHAGAMAGGYRSPRTPSDFKALRTVSVLIGSFALSWTPFLITGIVQVACQECHLYLVLERYLWLLGVGNSLLNPLIYAYWQKEVRLQLYHMALGVKKVLTSFLLFLSARNCGPERPRESSCHIVTISSSEFDG</v>
      </c>
      <c r="F146" s="5" t="str">
        <f t="shared" si="51"/>
        <v>SFSFGVILAVLASLIIATNTLVAVAVLLL</v>
      </c>
      <c r="G146" s="4" t="str">
        <f t="shared" si="52"/>
        <v/>
      </c>
      <c r="H146" s="4" t="str">
        <f t="shared" si="53"/>
        <v>GVSLCFTLNLAVADTLIGVAISGLLTDQLS</v>
      </c>
      <c r="I146" s="4" t="str">
        <f t="shared" si="54"/>
        <v/>
      </c>
      <c r="J146" s="4" t="str">
        <f t="shared" si="55"/>
        <v>RPTQKTLCSLRMAFVTSSAAASVLTVMLITFDRYLAIKQ</v>
      </c>
      <c r="K146" s="4" t="str">
        <f t="shared" si="56"/>
        <v>PFRYLKIM</v>
      </c>
      <c r="L146" s="4" t="str">
        <f t="shared" si="57"/>
        <v>SGFVAGACIAGLWLVSYLIGFLPLGIP</v>
      </c>
      <c r="M146" s="4" t="str">
        <f t="shared" si="58"/>
        <v>CSF</v>
      </c>
      <c r="N146" s="4" t="str">
        <f t="shared" si="59"/>
        <v>FHPHFVLTLSCVGFFPAMLLFVFFYCDMLKIASMHSQQIR</v>
      </c>
      <c r="O146" s="4" t="str">
        <f t="shared" si="60"/>
        <v>GYRSPRTPSDFKALRTVSVLIGSFALSWTPFLITGIVQVAC</v>
      </c>
      <c r="P146" s="4" t="str">
        <f t="shared" si="61"/>
        <v>YLVLERYLWLLGVGNSLLNPLIYAYW</v>
      </c>
      <c r="Q146" s="4" t="str">
        <f t="shared" si="62"/>
        <v>QKEVRLQLYHMA</v>
      </c>
      <c r="R146" s="5">
        <f>VLOOKUP($A146,'SegEnds_NonXtal_Prot#'!$A:$AL,3,FALSE)</f>
        <v>4</v>
      </c>
      <c r="S146" s="5" t="str">
        <f>VLOOKUP($A146,'SegEnds_NonXtal_Prot#'!$A:$AL,6,FALSE)</f>
        <v>-</v>
      </c>
      <c r="T146" s="5">
        <f>VLOOKUP($A146,'SegEnds_NonXtal_Prot#'!$A:$AL,9,FALSE)</f>
        <v>38</v>
      </c>
      <c r="U146" s="5" t="str">
        <f>VLOOKUP($A146,'SegEnds_NonXtal_Prot#'!$A:$AL,12,FALSE)</f>
        <v>-</v>
      </c>
      <c r="V146" s="5">
        <f>VLOOKUP($A146,'SegEnds_NonXtal_Prot#'!$A:$AL,15,FALSE)</f>
        <v>71</v>
      </c>
      <c r="W146" s="5">
        <f>VLOOKUP($A146,'SegEnds_NonXtal_Prot#'!$A:$AL,18,FALSE)</f>
        <v>110</v>
      </c>
      <c r="X146" s="5">
        <f>VLOOKUP($A146,'SegEnds_NonXtal_Prot#'!$A:$AL,21,FALSE)</f>
        <v>118</v>
      </c>
      <c r="Y146" s="5">
        <f>VLOOKUP($A146,'SegEnds_NonXtal_Prot#'!$A:$AL,24,FALSE)</f>
        <v>155</v>
      </c>
      <c r="Z146" s="5">
        <f>VLOOKUP($A146,'SegEnds_NonXtal_Prot#'!$A:$AL,27,FALSE)</f>
        <v>161</v>
      </c>
      <c r="AA146" s="5">
        <f>VLOOKUP($A146,'SegEnds_NonXtal_Prot#'!$A:$AL,30,FALSE)</f>
        <v>211</v>
      </c>
      <c r="AB146" s="5">
        <f>VLOOKUP($A146,'SegEnds_NonXtal_Prot#'!$A:$AL,33,FALSE)</f>
        <v>257</v>
      </c>
      <c r="AC146" s="5">
        <f>VLOOKUP($A146,'SegEnds_NonXtal_Prot#'!$A:$AL,36,FALSE)</f>
        <v>283</v>
      </c>
      <c r="AD146" s="5">
        <f>VLOOKUP($A146,'SegEnds_NonXtal_Prot#'!$A:$AL,5,FALSE)</f>
        <v>32</v>
      </c>
      <c r="AE146" s="5" t="str">
        <f>VLOOKUP($A146,'SegEnds_NonXtal_Prot#'!$A:$AL,8,FALSE)</f>
        <v>-</v>
      </c>
      <c r="AF146" s="5">
        <f>VLOOKUP($A146,'SegEnds_NonXtal_Prot#'!$A:$AL,11,FALSE)</f>
        <v>67</v>
      </c>
      <c r="AG146" s="5" t="str">
        <f>VLOOKUP($A146,'SegEnds_NonXtal_Prot#'!$A:$AL,14,FALSE)</f>
        <v>-</v>
      </c>
      <c r="AH146" s="5">
        <f>VLOOKUP($A146,'SegEnds_NonXtal_Prot#'!$A:$AL,17,FALSE)</f>
        <v>109</v>
      </c>
      <c r="AI146" s="5">
        <f>VLOOKUP($A146,'SegEnds_NonXtal_Prot#'!$A:$AL,20,FALSE)</f>
        <v>117</v>
      </c>
      <c r="AJ146" s="5">
        <f>VLOOKUP($A146,'SegEnds_NonXtal_Prot#'!$A:$AL,23,FALSE)</f>
        <v>144</v>
      </c>
      <c r="AK146" s="5">
        <f>VLOOKUP($A146,'SegEnds_NonXtal_Prot#'!$A:$AL,26,FALSE)</f>
        <v>157</v>
      </c>
      <c r="AL146" s="5">
        <f>VLOOKUP($A146,'SegEnds_NonXtal_Prot#'!$A:$AL,29,FALSE)</f>
        <v>200</v>
      </c>
      <c r="AM146" s="5">
        <f>VLOOKUP($A146,'SegEnds_NonXtal_Prot#'!$A:$AL,32,FALSE)</f>
        <v>251</v>
      </c>
      <c r="AN146" s="5">
        <f>VLOOKUP($A146,'SegEnds_NonXtal_Prot#'!$A:$AL,35,FALSE)</f>
        <v>282</v>
      </c>
      <c r="AO146" s="5">
        <f>VLOOKUP($A146,'SegEnds_NonXtal_Prot#'!$A:$AL,38,FALSE)</f>
        <v>294</v>
      </c>
      <c r="AP146" s="5">
        <f t="shared" si="63"/>
        <v>28</v>
      </c>
      <c r="AQ146" s="4" t="str">
        <f t="shared" si="64"/>
        <v>-</v>
      </c>
      <c r="AR146" s="4">
        <f t="shared" si="65"/>
        <v>29</v>
      </c>
      <c r="AS146" s="4" t="str">
        <f t="shared" si="66"/>
        <v>-</v>
      </c>
      <c r="AT146" s="4">
        <f t="shared" si="67"/>
        <v>38</v>
      </c>
      <c r="AU146" s="4">
        <f t="shared" si="68"/>
        <v>7</v>
      </c>
      <c r="AV146" s="4">
        <f t="shared" si="69"/>
        <v>26</v>
      </c>
      <c r="AW146" s="4">
        <f t="shared" si="70"/>
        <v>2</v>
      </c>
      <c r="AX146" s="4">
        <f t="shared" si="71"/>
        <v>39</v>
      </c>
      <c r="AY146" s="4">
        <f t="shared" si="72"/>
        <v>40</v>
      </c>
      <c r="AZ146" s="4">
        <f t="shared" si="73"/>
        <v>25</v>
      </c>
      <c r="BA146" s="4">
        <f t="shared" si="74"/>
        <v>11</v>
      </c>
    </row>
    <row r="147" spans="1:53" x14ac:dyDescent="0.2">
      <c r="A147" s="1" t="str">
        <f>'SegEnds_NonXtal_Prot#'!A117</f>
        <v>gp141_human</v>
      </c>
      <c r="B147" s="1" t="str">
        <f t="shared" si="50"/>
        <v>PHLISLYFIVLIGGLVGVISILFLLVKSVTTMAVINLVVVHSVFLLTVPFRLTYLIKGLPFCKFVSAMLHIHMYLTFLFYVVILVTRYLIFFKRKLHAVAASAGMWTLVIVIVVPLVVINYMIVIFVIAVAVILLVFQVFIIMLMVQKLRHSHQEFWAQLKNLFFIGVILVCFLPYQFFRIYYLNVCNSKVAFYNEIFLSVTAISCYDLLLFVFGSHWFKQKIIGLWN</v>
      </c>
      <c r="C147" s="29" t="str">
        <f>IF(ISERROR(MATCH(A147,'SegEnds_Xtal_Prot#'!B:B, 0)), "NoXtal", "Xtal")</f>
        <v>NoXtal</v>
      </c>
      <c r="D147" s="4" t="str">
        <f>VLOOKUP(A147,Classification!A:D,2,FALSE)</f>
        <v>A</v>
      </c>
      <c r="E147" s="5" t="str">
        <f>VLOOKUP(A147,Seqs!A:B,2,FALSE)</f>
        <v>MPGHNTSRNSSCDPIVTPHLISLYFIVLIGGLVGVISILFLLVKMNTRSVTTMAVINLVVVHSVFLLTVPFRLTYLIKKTWMFGLPFCKFVSAMLHIHMYLTFLFYVVILVTRYLIFFKCKDKVEFYRKLHAVAASAGMWTLVIVIVVPLVVSRYGIHEEYNEEHCFKFHKELAYTYVKIINYMIVIFVIAVAVILLVFQVFIIMLMVQKLRHSLLSHQEFWAQLKNLFFIGVILVCFLPYQFFRIYYLNVVTHSNACNSKVAFYNEIFLSVTAISCYDLLLFVFGGSHWFKQKIIGLWNCVLCR</v>
      </c>
      <c r="F147" s="5" t="str">
        <f t="shared" si="51"/>
        <v>PHLISLYFIVLIGGLVGVISILFLLVK</v>
      </c>
      <c r="G147" s="4" t="str">
        <f t="shared" si="52"/>
        <v>MNTR</v>
      </c>
      <c r="H147" s="4" t="str">
        <f t="shared" si="53"/>
        <v>SVTTMAVINLVVVHSVFLLTVPFRLTYLIK</v>
      </c>
      <c r="I147" s="4" t="str">
        <f t="shared" si="54"/>
        <v>TWMF</v>
      </c>
      <c r="J147" s="4" t="str">
        <f t="shared" si="55"/>
        <v>GLPFCKFVSAMLHIHMYLTFLFYVVILVTRYLIFFK</v>
      </c>
      <c r="K147" s="4" t="str">
        <f t="shared" si="56"/>
        <v>CKDKVEFY</v>
      </c>
      <c r="L147" s="4" t="str">
        <f t="shared" si="57"/>
        <v>RKLHAVAASAGMWTLVIVIVVPLVV</v>
      </c>
      <c r="M147" s="4" t="str">
        <f t="shared" si="58"/>
        <v>CFK</v>
      </c>
      <c r="N147" s="4" t="str">
        <f t="shared" si="59"/>
        <v>INYMIVIFVIAVAVILLVFQVFIIMLMVQKLRHS</v>
      </c>
      <c r="O147" s="4" t="str">
        <f t="shared" si="60"/>
        <v>HQEFWAQLKNLFFIGVILVCFLPYQFFRIYYLNV</v>
      </c>
      <c r="P147" s="4" t="str">
        <f t="shared" si="61"/>
        <v>CNSKVAFYNEIFLSVTAISCYDLLLFVFG</v>
      </c>
      <c r="Q147" s="4" t="str">
        <f t="shared" si="62"/>
        <v>SHWFKQKIIGLWN</v>
      </c>
      <c r="R147" s="5">
        <f>VLOOKUP($A147,'SegEnds_NonXtal_Prot#'!$A:$AL,3,FALSE)</f>
        <v>18</v>
      </c>
      <c r="S147" s="5">
        <f>VLOOKUP($A147,'SegEnds_NonXtal_Prot#'!$A:$AL,6,FALSE)</f>
        <v>45</v>
      </c>
      <c r="T147" s="5">
        <f>VLOOKUP($A147,'SegEnds_NonXtal_Prot#'!$A:$AL,9,FALSE)</f>
        <v>49</v>
      </c>
      <c r="U147" s="5">
        <f>VLOOKUP($A147,'SegEnds_NonXtal_Prot#'!$A:$AL,12,FALSE)</f>
        <v>80</v>
      </c>
      <c r="V147" s="5">
        <f>VLOOKUP($A147,'SegEnds_NonXtal_Prot#'!$A:$AL,15,FALSE)</f>
        <v>84</v>
      </c>
      <c r="W147" s="5">
        <f>VLOOKUP($A147,'SegEnds_NonXtal_Prot#'!$A:$AL,18,FALSE)</f>
        <v>120</v>
      </c>
      <c r="X147" s="5">
        <f>VLOOKUP($A147,'SegEnds_NonXtal_Prot#'!$A:$AL,21,FALSE)</f>
        <v>128</v>
      </c>
      <c r="Y147" s="5">
        <f>VLOOKUP($A147,'SegEnds_NonXtal_Prot#'!$A:$AL,24,FALSE)</f>
        <v>166</v>
      </c>
      <c r="Z147" s="5">
        <f>VLOOKUP($A147,'SegEnds_NonXtal_Prot#'!$A:$AL,27,FALSE)</f>
        <v>181</v>
      </c>
      <c r="AA147" s="5">
        <f>VLOOKUP($A147,'SegEnds_NonXtal_Prot#'!$A:$AL,30,FALSE)</f>
        <v>218</v>
      </c>
      <c r="AB147" s="5">
        <f>VLOOKUP($A147,'SegEnds_NonXtal_Prot#'!$A:$AL,33,FALSE)</f>
        <v>258</v>
      </c>
      <c r="AC147" s="5">
        <f>VLOOKUP($A147,'SegEnds_NonXtal_Prot#'!$A:$AL,36,FALSE)</f>
        <v>288</v>
      </c>
      <c r="AD147" s="5">
        <f>VLOOKUP($A147,'SegEnds_NonXtal_Prot#'!$A:$AL,5,FALSE)</f>
        <v>44</v>
      </c>
      <c r="AE147" s="5">
        <f>VLOOKUP($A147,'SegEnds_NonXtal_Prot#'!$A:$AL,8,FALSE)</f>
        <v>48</v>
      </c>
      <c r="AF147" s="5">
        <f>VLOOKUP($A147,'SegEnds_NonXtal_Prot#'!$A:$AL,11,FALSE)</f>
        <v>78</v>
      </c>
      <c r="AG147" s="5">
        <f>VLOOKUP($A147,'SegEnds_NonXtal_Prot#'!$A:$AL,14,FALSE)</f>
        <v>83</v>
      </c>
      <c r="AH147" s="5">
        <f>VLOOKUP($A147,'SegEnds_NonXtal_Prot#'!$A:$AL,17,FALSE)</f>
        <v>119</v>
      </c>
      <c r="AI147" s="5">
        <f>VLOOKUP($A147,'SegEnds_NonXtal_Prot#'!$A:$AL,20,FALSE)</f>
        <v>127</v>
      </c>
      <c r="AJ147" s="5">
        <f>VLOOKUP($A147,'SegEnds_NonXtal_Prot#'!$A:$AL,23,FALSE)</f>
        <v>152</v>
      </c>
      <c r="AK147" s="5">
        <f>VLOOKUP($A147,'SegEnds_NonXtal_Prot#'!$A:$AL,26,FALSE)</f>
        <v>168</v>
      </c>
      <c r="AL147" s="5">
        <f>VLOOKUP($A147,'SegEnds_NonXtal_Prot#'!$A:$AL,29,FALSE)</f>
        <v>214</v>
      </c>
      <c r="AM147" s="5">
        <f>VLOOKUP($A147,'SegEnds_NonXtal_Prot#'!$A:$AL,32,FALSE)</f>
        <v>251</v>
      </c>
      <c r="AN147" s="5">
        <f>VLOOKUP($A147,'SegEnds_NonXtal_Prot#'!$A:$AL,35,FALSE)</f>
        <v>286</v>
      </c>
      <c r="AO147" s="5">
        <f>VLOOKUP($A147,'SegEnds_NonXtal_Prot#'!$A:$AL,38,FALSE)</f>
        <v>300</v>
      </c>
      <c r="AP147" s="5">
        <f t="shared" si="63"/>
        <v>26</v>
      </c>
      <c r="AQ147" s="4">
        <f t="shared" si="64"/>
        <v>3</v>
      </c>
      <c r="AR147" s="4">
        <f t="shared" si="65"/>
        <v>29</v>
      </c>
      <c r="AS147" s="4">
        <f t="shared" si="66"/>
        <v>3</v>
      </c>
      <c r="AT147" s="4">
        <f t="shared" si="67"/>
        <v>35</v>
      </c>
      <c r="AU147" s="4">
        <f t="shared" si="68"/>
        <v>7</v>
      </c>
      <c r="AV147" s="4">
        <f t="shared" si="69"/>
        <v>24</v>
      </c>
      <c r="AW147" s="4">
        <f t="shared" si="70"/>
        <v>2</v>
      </c>
      <c r="AX147" s="4">
        <f t="shared" si="71"/>
        <v>33</v>
      </c>
      <c r="AY147" s="4">
        <f t="shared" si="72"/>
        <v>33</v>
      </c>
      <c r="AZ147" s="4">
        <f t="shared" si="73"/>
        <v>28</v>
      </c>
      <c r="BA147" s="4">
        <f t="shared" si="74"/>
        <v>12</v>
      </c>
    </row>
    <row r="148" spans="1:53" x14ac:dyDescent="0.2">
      <c r="A148" s="1" t="str">
        <f>'SegEnds_NonXtal_Prot#'!A118</f>
        <v>gp148_human</v>
      </c>
      <c r="B148" s="1" t="str">
        <f t="shared" si="50"/>
        <v>SSMLYWLFLPSSLLAAATLAVSPLLLVTILRNQEPHYLLPANILLSDLAYILLHMLISSSSLGGRMACGILTDAVFAACTSTILSFTAIVLHTYLAVIHSHGAAWKAVALIWLVACCFPTFLIWLEQGASYILPPSMGTQPGCGLLVIVTYTSILCVLFLCTALIANGQGYSRARGTLLIHSVLITLYVSTGVVFSLDMVLTGTHTWLLAANSEVLMMLPRAMLTYLYLLRYRQLL</v>
      </c>
      <c r="C148" s="29" t="str">
        <f>IF(ISERROR(MATCH(A148,'SegEnds_Xtal_Prot#'!B:B, 0)), "NoXtal", "Xtal")</f>
        <v>NoXtal</v>
      </c>
      <c r="D148" s="4" t="str">
        <f>VLOOKUP(A148,Classification!A:D,2,FALSE)</f>
        <v>A</v>
      </c>
      <c r="E148" s="5" t="str">
        <f>VLOOKUP(A148,Seqs!A:B,2,FALSE)</f>
        <v>MGDELAPCPVGTTAWPALIQLISKTPCMPQAASNTSLGLGDLRVPSSMLYWLFLPSSLLAAATLAVSPLLLVTILRNQRLRQEPHYLLPANILLSDLAYILLHMLISSSSLGGWELGRMACGILTDAVFAACTSTILSFTAIVLHTYLAVIHPLRYLSFMSHGAAWKAVALIWLVACCFPTFLIWLSKWQDAQLEEQGASYILPPSMGTQPGCGLLVIVTYTSILCVLFLCTALIANCFWRIYAEAKTSGIWGQGYSRARGTLLIHSVLITLYVSTGVVFSLDMVLTRYHHIDSGTHTWLLAANSEVLMMLPRAMLTYLYLLRYRQLLGMVRGHLPSRRHQAIFTIS</v>
      </c>
      <c r="F148" s="5" t="str">
        <f t="shared" si="51"/>
        <v>SSMLYWLFLPSSLLAAATLAVSPLLLVTILRN</v>
      </c>
      <c r="G148" s="4" t="str">
        <f t="shared" si="52"/>
        <v>QRLR</v>
      </c>
      <c r="H148" s="4" t="str">
        <f t="shared" si="53"/>
        <v>QEPHYLLPANILLSDLAYILLHMLISSSSLG</v>
      </c>
      <c r="I148" s="4" t="str">
        <f t="shared" si="54"/>
        <v>GWEL</v>
      </c>
      <c r="J148" s="4" t="str">
        <f t="shared" si="55"/>
        <v>GRMACGILTDAVFAACTSTILSFTAIVLHTYLAVIH</v>
      </c>
      <c r="K148" s="4" t="str">
        <f t="shared" si="56"/>
        <v>PLRYLSFM</v>
      </c>
      <c r="L148" s="4" t="str">
        <f t="shared" si="57"/>
        <v>SHGAAWKAVALIWLVACCFPTFLIWL</v>
      </c>
      <c r="M148" s="4" t="str">
        <f t="shared" si="58"/>
        <v/>
      </c>
      <c r="N148" s="4" t="str">
        <f t="shared" si="59"/>
        <v>EQGASYILPPSMGTQPGCGLLVIVTYTSILCVLFLCTALIAN</v>
      </c>
      <c r="O148" s="4" t="str">
        <f t="shared" si="60"/>
        <v>GQGYSRARGTLLIHSVLITLYVSTGVVFSLDMVLT</v>
      </c>
      <c r="P148" s="4" t="str">
        <f t="shared" si="61"/>
        <v>GTHTWLLAANSEVLMMLPRAML</v>
      </c>
      <c r="Q148" s="4" t="str">
        <f t="shared" si="62"/>
        <v>TYLYLLRYRQLL</v>
      </c>
      <c r="R148" s="5">
        <f>VLOOKUP($A148,'SegEnds_NonXtal_Prot#'!$A:$AL,3,FALSE)</f>
        <v>46</v>
      </c>
      <c r="S148" s="5">
        <f>VLOOKUP($A148,'SegEnds_NonXtal_Prot#'!$A:$AL,6,FALSE)</f>
        <v>78</v>
      </c>
      <c r="T148" s="5">
        <f>VLOOKUP($A148,'SegEnds_NonXtal_Prot#'!$A:$AL,9,FALSE)</f>
        <v>82</v>
      </c>
      <c r="U148" s="5">
        <f>VLOOKUP($A148,'SegEnds_NonXtal_Prot#'!$A:$AL,12,FALSE)</f>
        <v>113</v>
      </c>
      <c r="V148" s="5">
        <f>VLOOKUP($A148,'SegEnds_NonXtal_Prot#'!$A:$AL,15,FALSE)</f>
        <v>117</v>
      </c>
      <c r="W148" s="5">
        <f>VLOOKUP($A148,'SegEnds_NonXtal_Prot#'!$A:$AL,18,FALSE)</f>
        <v>153</v>
      </c>
      <c r="X148" s="5">
        <f>VLOOKUP($A148,'SegEnds_NonXtal_Prot#'!$A:$AL,21,FALSE)</f>
        <v>161</v>
      </c>
      <c r="Y148" s="5" t="str">
        <f>VLOOKUP($A148,'SegEnds_NonXtal_Prot#'!$A:$AL,24,FALSE)</f>
        <v>-</v>
      </c>
      <c r="Z148" s="5">
        <f>VLOOKUP($A148,'SegEnds_NonXtal_Prot#'!$A:$AL,27,FALSE)</f>
        <v>196</v>
      </c>
      <c r="AA148" s="5">
        <f>VLOOKUP($A148,'SegEnds_NonXtal_Prot#'!$A:$AL,30,FALSE)</f>
        <v>253</v>
      </c>
      <c r="AB148" s="5">
        <f>VLOOKUP($A148,'SegEnds_NonXtal_Prot#'!$A:$AL,33,FALSE)</f>
        <v>295</v>
      </c>
      <c r="AC148" s="5">
        <f>VLOOKUP($A148,'SegEnds_NonXtal_Prot#'!$A:$AL,36,FALSE)</f>
        <v>317</v>
      </c>
      <c r="AD148" s="5">
        <f>VLOOKUP($A148,'SegEnds_NonXtal_Prot#'!$A:$AL,5,FALSE)</f>
        <v>77</v>
      </c>
      <c r="AE148" s="5">
        <f>VLOOKUP($A148,'SegEnds_NonXtal_Prot#'!$A:$AL,8,FALSE)</f>
        <v>81</v>
      </c>
      <c r="AF148" s="5">
        <f>VLOOKUP($A148,'SegEnds_NonXtal_Prot#'!$A:$AL,11,FALSE)</f>
        <v>112</v>
      </c>
      <c r="AG148" s="5">
        <f>VLOOKUP($A148,'SegEnds_NonXtal_Prot#'!$A:$AL,14,FALSE)</f>
        <v>116</v>
      </c>
      <c r="AH148" s="5">
        <f>VLOOKUP($A148,'SegEnds_NonXtal_Prot#'!$A:$AL,17,FALSE)</f>
        <v>152</v>
      </c>
      <c r="AI148" s="5">
        <f>VLOOKUP($A148,'SegEnds_NonXtal_Prot#'!$A:$AL,20,FALSE)</f>
        <v>160</v>
      </c>
      <c r="AJ148" s="5">
        <f>VLOOKUP($A148,'SegEnds_NonXtal_Prot#'!$A:$AL,23,FALSE)</f>
        <v>186</v>
      </c>
      <c r="AK148" s="5" t="str">
        <f>VLOOKUP($A148,'SegEnds_NonXtal_Prot#'!$A:$AL,26,FALSE)</f>
        <v>-</v>
      </c>
      <c r="AL148" s="5">
        <f>VLOOKUP($A148,'SegEnds_NonXtal_Prot#'!$A:$AL,29,FALSE)</f>
        <v>237</v>
      </c>
      <c r="AM148" s="5">
        <f>VLOOKUP($A148,'SegEnds_NonXtal_Prot#'!$A:$AL,32,FALSE)</f>
        <v>287</v>
      </c>
      <c r="AN148" s="5">
        <f>VLOOKUP($A148,'SegEnds_NonXtal_Prot#'!$A:$AL,35,FALSE)</f>
        <v>316</v>
      </c>
      <c r="AO148" s="5">
        <f>VLOOKUP($A148,'SegEnds_NonXtal_Prot#'!$A:$AL,38,FALSE)</f>
        <v>328</v>
      </c>
      <c r="AP148" s="5">
        <f t="shared" si="63"/>
        <v>31</v>
      </c>
      <c r="AQ148" s="4">
        <f t="shared" si="64"/>
        <v>3</v>
      </c>
      <c r="AR148" s="4">
        <f t="shared" si="65"/>
        <v>30</v>
      </c>
      <c r="AS148" s="4">
        <f t="shared" si="66"/>
        <v>3</v>
      </c>
      <c r="AT148" s="4">
        <f t="shared" si="67"/>
        <v>35</v>
      </c>
      <c r="AU148" s="4">
        <f t="shared" si="68"/>
        <v>7</v>
      </c>
      <c r="AV148" s="4">
        <f t="shared" si="69"/>
        <v>25</v>
      </c>
      <c r="AW148" s="4" t="str">
        <f t="shared" si="70"/>
        <v>-</v>
      </c>
      <c r="AX148" s="4">
        <f t="shared" si="71"/>
        <v>41</v>
      </c>
      <c r="AY148" s="4">
        <f t="shared" si="72"/>
        <v>34</v>
      </c>
      <c r="AZ148" s="4">
        <f t="shared" si="73"/>
        <v>21</v>
      </c>
      <c r="BA148" s="4">
        <f t="shared" si="74"/>
        <v>11</v>
      </c>
    </row>
    <row r="149" spans="1:53" x14ac:dyDescent="0.2">
      <c r="A149" s="1" t="str">
        <f>'SegEnds_NonXtal_Prot#'!A119</f>
        <v>gp152_human</v>
      </c>
      <c r="B149" s="1" t="str">
        <f t="shared" si="50"/>
        <v>YPQGGWDTVFLVALLLLGLPANGLMAWLAGSQTRLALLLLSLALSDFLFLAAAAFQILEIRHGGTAACRFYYFLWGVSYSSGLFLLAALSLDRCLLALCPVRLPLWVCAGVWVLATLFSVPWLVFPEELSLRMLEVLGGFLPFLLLLVCHVLTQATACRTQQQPAACRGFARVARTILSAYVVLRLPYQLAQLLYLAFGYLLWEALVYSDYLILLNSCLSPFLCLMASADLRTLLRSVL</v>
      </c>
      <c r="C149" s="29" t="str">
        <f>IF(ISERROR(MATCH(A149,'SegEnds_Xtal_Prot#'!B:B, 0)), "NoXtal", "Xtal")</f>
        <v>NoXtal</v>
      </c>
      <c r="D149" s="4" t="str">
        <f>VLOOKUP(A149,Classification!A:D,2,FALSE)</f>
        <v>A</v>
      </c>
      <c r="E149" s="5" t="str">
        <f>VLOOKUP(A149,Seqs!A:B,2,FALSE)</f>
        <v>MDTTMEADLGATGHRPRTELDDEDSYPQGGWDTVFLVALLLLGLPANGLMAWLAGSQARHGAGTRLALLLLSLALSDFLFLAAAAFQILEIRHGGHWPLGTAACRFYYFLWGVSYSSGLFLLAALSLDRCLLALCPHWYPGHRPVRLPLWVCAGVWVLATLFSVPWLVFPEAAVWWYDLVICLDFWDSEELSLRMLEVLGGFLPFLLLLVCHVLTQATACRTCHRQQQPAACRGFARVARTILSAYVVLRLPYQLAQLLYLAFLWDVYSGYLLWEALVYSDYLILLNSCLSPFLCLMASADLRTLLRSVLSSFAAALCEERPGSFTPTEPQTQLDSEGPTLPEPMAEAQSQMDPVAQPQVNPTLQPRSDPTAQPQLNPTAQPQSDPTAQPQLNLMAQPQSDSVAQPQADTNVQTPAPAASSVPSPCDEASPTPSSHPTPGALEDPATPPASEGESPSSTPPEAAPGAGPT</v>
      </c>
      <c r="F149" s="5" t="str">
        <f t="shared" si="51"/>
        <v>YPQGGWDTVFLVALLLLGLPANGLMAWLAGSQ</v>
      </c>
      <c r="G149" s="4" t="str">
        <f t="shared" si="52"/>
        <v/>
      </c>
      <c r="H149" s="4" t="str">
        <f t="shared" si="53"/>
        <v>TRLALLLLSLALSDFLFLAAAAFQILEIRHG</v>
      </c>
      <c r="I149" s="4" t="str">
        <f t="shared" si="54"/>
        <v>HWPL</v>
      </c>
      <c r="J149" s="4" t="str">
        <f t="shared" si="55"/>
        <v>GTAACRFYYFLWGVSYSSGLFLLAALSLDRCLLALC</v>
      </c>
      <c r="K149" s="4" t="str">
        <f t="shared" si="56"/>
        <v>PHWYPGHR</v>
      </c>
      <c r="L149" s="4" t="str">
        <f t="shared" si="57"/>
        <v>PVRLPLWVCAGVWVLATLFSVPWLVFP</v>
      </c>
      <c r="M149" s="4" t="str">
        <f t="shared" si="58"/>
        <v>CLD</v>
      </c>
      <c r="N149" s="4" t="str">
        <f t="shared" si="59"/>
        <v>EELSLRMLEVLGGFLPFLLLLVCHVLTQATACRT</v>
      </c>
      <c r="O149" s="4" t="str">
        <f t="shared" si="60"/>
        <v>QQQPAACRGFARVARTILSAYVVLRLPYQLAQLLYLAF</v>
      </c>
      <c r="P149" s="4" t="str">
        <f t="shared" si="61"/>
        <v>GYLLWEALVYSDYLILLNSCLSPFLCLMA</v>
      </c>
      <c r="Q149" s="4" t="str">
        <f t="shared" si="62"/>
        <v>SADLRTLLRSVL</v>
      </c>
      <c r="R149" s="5">
        <f>VLOOKUP($A149,'SegEnds_NonXtal_Prot#'!$A:$AL,3,FALSE)</f>
        <v>26</v>
      </c>
      <c r="S149" s="5" t="str">
        <f>VLOOKUP($A149,'SegEnds_NonXtal_Prot#'!$A:$AL,6,FALSE)</f>
        <v>-</v>
      </c>
      <c r="T149" s="5">
        <f>VLOOKUP($A149,'SegEnds_NonXtal_Prot#'!$A:$AL,9,FALSE)</f>
        <v>64</v>
      </c>
      <c r="U149" s="5">
        <f>VLOOKUP($A149,'SegEnds_NonXtal_Prot#'!$A:$AL,12,FALSE)</f>
        <v>96</v>
      </c>
      <c r="V149" s="5">
        <f>VLOOKUP($A149,'SegEnds_NonXtal_Prot#'!$A:$AL,15,FALSE)</f>
        <v>100</v>
      </c>
      <c r="W149" s="5">
        <f>VLOOKUP($A149,'SegEnds_NonXtal_Prot#'!$A:$AL,18,FALSE)</f>
        <v>136</v>
      </c>
      <c r="X149" s="5">
        <f>VLOOKUP($A149,'SegEnds_NonXtal_Prot#'!$A:$AL,21,FALSE)</f>
        <v>144</v>
      </c>
      <c r="Y149" s="5">
        <f>VLOOKUP($A149,'SegEnds_NonXtal_Prot#'!$A:$AL,24,FALSE)</f>
        <v>182</v>
      </c>
      <c r="Z149" s="5">
        <f>VLOOKUP($A149,'SegEnds_NonXtal_Prot#'!$A:$AL,27,FALSE)</f>
        <v>189</v>
      </c>
      <c r="AA149" s="5">
        <f>VLOOKUP($A149,'SegEnds_NonXtal_Prot#'!$A:$AL,30,FALSE)</f>
        <v>226</v>
      </c>
      <c r="AB149" s="5">
        <f>VLOOKUP($A149,'SegEnds_NonXtal_Prot#'!$A:$AL,33,FALSE)</f>
        <v>270</v>
      </c>
      <c r="AC149" s="5">
        <f>VLOOKUP($A149,'SegEnds_NonXtal_Prot#'!$A:$AL,36,FALSE)</f>
        <v>299</v>
      </c>
      <c r="AD149" s="5">
        <f>VLOOKUP($A149,'SegEnds_NonXtal_Prot#'!$A:$AL,5,FALSE)</f>
        <v>57</v>
      </c>
      <c r="AE149" s="5" t="str">
        <f>VLOOKUP($A149,'SegEnds_NonXtal_Prot#'!$A:$AL,8,FALSE)</f>
        <v>-</v>
      </c>
      <c r="AF149" s="5">
        <f>VLOOKUP($A149,'SegEnds_NonXtal_Prot#'!$A:$AL,11,FALSE)</f>
        <v>94</v>
      </c>
      <c r="AG149" s="5">
        <f>VLOOKUP($A149,'SegEnds_NonXtal_Prot#'!$A:$AL,14,FALSE)</f>
        <v>99</v>
      </c>
      <c r="AH149" s="5">
        <f>VLOOKUP($A149,'SegEnds_NonXtal_Prot#'!$A:$AL,17,FALSE)</f>
        <v>135</v>
      </c>
      <c r="AI149" s="5">
        <f>VLOOKUP($A149,'SegEnds_NonXtal_Prot#'!$A:$AL,20,FALSE)</f>
        <v>143</v>
      </c>
      <c r="AJ149" s="5">
        <f>VLOOKUP($A149,'SegEnds_NonXtal_Prot#'!$A:$AL,23,FALSE)</f>
        <v>170</v>
      </c>
      <c r="AK149" s="5">
        <f>VLOOKUP($A149,'SegEnds_NonXtal_Prot#'!$A:$AL,26,FALSE)</f>
        <v>184</v>
      </c>
      <c r="AL149" s="5">
        <f>VLOOKUP($A149,'SegEnds_NonXtal_Prot#'!$A:$AL,29,FALSE)</f>
        <v>222</v>
      </c>
      <c r="AM149" s="5">
        <f>VLOOKUP($A149,'SegEnds_NonXtal_Prot#'!$A:$AL,32,FALSE)</f>
        <v>263</v>
      </c>
      <c r="AN149" s="5">
        <f>VLOOKUP($A149,'SegEnds_NonXtal_Prot#'!$A:$AL,35,FALSE)</f>
        <v>298</v>
      </c>
      <c r="AO149" s="5">
        <f>VLOOKUP($A149,'SegEnds_NonXtal_Prot#'!$A:$AL,38,FALSE)</f>
        <v>310</v>
      </c>
      <c r="AP149" s="5">
        <f t="shared" si="63"/>
        <v>31</v>
      </c>
      <c r="AQ149" s="4" t="str">
        <f t="shared" si="64"/>
        <v>-</v>
      </c>
      <c r="AR149" s="4">
        <f t="shared" si="65"/>
        <v>30</v>
      </c>
      <c r="AS149" s="4">
        <f t="shared" si="66"/>
        <v>3</v>
      </c>
      <c r="AT149" s="4">
        <f t="shared" si="67"/>
        <v>35</v>
      </c>
      <c r="AU149" s="4">
        <f t="shared" si="68"/>
        <v>7</v>
      </c>
      <c r="AV149" s="4">
        <f t="shared" si="69"/>
        <v>26</v>
      </c>
      <c r="AW149" s="4">
        <f t="shared" si="70"/>
        <v>2</v>
      </c>
      <c r="AX149" s="4">
        <f t="shared" si="71"/>
        <v>33</v>
      </c>
      <c r="AY149" s="4">
        <f t="shared" si="72"/>
        <v>37</v>
      </c>
      <c r="AZ149" s="4">
        <f t="shared" si="73"/>
        <v>28</v>
      </c>
      <c r="BA149" s="4">
        <f t="shared" si="74"/>
        <v>11</v>
      </c>
    </row>
    <row r="150" spans="1:53" x14ac:dyDescent="0.2">
      <c r="A150" s="1" t="str">
        <f>'SegEnds_NonXtal_Prot#'!A120</f>
        <v>gp153_human</v>
      </c>
      <c r="B150" s="1" t="str">
        <f t="shared" si="50"/>
        <v>RLPGSAVGWLVCGGLSLLANAWGILSVGAKKPLEFLLCTLAATHMLNVAVPIATYSVVQLNEGLCKVFVSTFYTLTLATCFSVTSLSYHRMWMVCWAKKQAVHTVMGIWMVSFILSALPAVGGLGFGVCFLLLVGGSVAMGVICTAIALFQTLAVQVGRQADRREPAKTSLQTTGLVTTIVFIYDCLMGFPVLVVSFSSLRAPWMALCVLWCSVAQALLLPVFLWACDRYRADLKAVR</v>
      </c>
      <c r="C150" s="29" t="str">
        <f>IF(ISERROR(MATCH(A150,'SegEnds_Xtal_Prot#'!B:B, 0)), "NoXtal", "Xtal")</f>
        <v>NoXtal</v>
      </c>
      <c r="D150" s="4" t="str">
        <f>VLOOKUP(A150,Classification!A:D,2,FALSE)</f>
        <v>A</v>
      </c>
      <c r="E150" s="5" t="str">
        <f>VLOOKUP(A150,Seqs!A:B,2,FALSE)</f>
        <v>MSDERRLPGSAVGWLVCGGLSLLANAWGILSVGAKQKKWKPLEFLLCTLAATHMLNVAVPIATYSVVQLRRQRPDFEWNEGLCKVFVSTFYTLTLATCFSVTSLSYHRMWMVCWPVNYRLSNAKKQAVHTVMGIWMVSFILSALPAVGWHDTSERFYTHGCRFIVAEIGLGFGVCFLLLVGGSVAMGVICTAIALFQTLAVQVGRQADRRAFTVPTIVVEDAQGKRRSSIDGSEPAKTSLQTTGLVTTIVFIYDCLMGFPVLVVSFSSLRADASAPWMALCVLWCSVAQALLLPVFLWACDRYRADLKAVREKCMALMANDEESDDETSLEGGISPDLVLERSLDYGYGGDFVALDRMAKYEISALEGGLPQLYPLRPLQEDKMQYLQVPPTRRFSHDDADVWAAVPLPAFLPRWGSGEDLAALAHLVLPAGPERRRASLLAFAEDAPPSRARRRSAESLLSLRPSALDSGPRGARDSPPGSPRRRPGPGPRSASASLLPDAFALTAFECEPQALRRPPGPFPAAPAAPDGADPGEAPTPPSSAQRSPGPRPSAHSHAGSLRPGLSASWGEPGGLRAAGGGGSTSSFLSSPSESSGYATLHSDSLGSAS</v>
      </c>
      <c r="F150" s="5" t="str">
        <f t="shared" si="51"/>
        <v>RLPGSAVGWLVCGGLSLLANAWGILSVGAK</v>
      </c>
      <c r="G150" s="4" t="str">
        <f t="shared" si="52"/>
        <v>QKKW</v>
      </c>
      <c r="H150" s="4" t="str">
        <f t="shared" si="53"/>
        <v>KPLEFLLCTLAATHMLNVAVPIATYSVVQL</v>
      </c>
      <c r="I150" s="4" t="str">
        <f t="shared" si="54"/>
        <v>DFEW</v>
      </c>
      <c r="J150" s="4" t="str">
        <f t="shared" si="55"/>
        <v>NEGLCKVFVSTFYTLTLATCFSVTSLSYHRMWMVCW</v>
      </c>
      <c r="K150" s="4" t="str">
        <f t="shared" si="56"/>
        <v>PVNYRLSN</v>
      </c>
      <c r="L150" s="4" t="str">
        <f t="shared" si="57"/>
        <v>AKKQAVHTVMGIWMVSFILSALPAVG</v>
      </c>
      <c r="M150" s="4" t="str">
        <f t="shared" si="58"/>
        <v>CRF</v>
      </c>
      <c r="N150" s="4" t="str">
        <f t="shared" si="59"/>
        <v>GLGFGVCFLLLVGGSVAMGVICTAIALFQTLAVQVGRQADRR</v>
      </c>
      <c r="O150" s="4" t="str">
        <f t="shared" si="60"/>
        <v>EPAKTSLQTTGLVTTIVFIYDCLMGFPVLVVSFSSLRA</v>
      </c>
      <c r="P150" s="4" t="str">
        <f t="shared" si="61"/>
        <v>PWMALCVLWCSVAQALLLPVFLWA</v>
      </c>
      <c r="Q150" s="4" t="str">
        <f t="shared" si="62"/>
        <v>CDRYRADLKAVR</v>
      </c>
      <c r="R150" s="5">
        <f>VLOOKUP($A150,'SegEnds_NonXtal_Prot#'!$A:$AL,3,FALSE)</f>
        <v>6</v>
      </c>
      <c r="S150" s="5">
        <f>VLOOKUP($A150,'SegEnds_NonXtal_Prot#'!$A:$AL,6,FALSE)</f>
        <v>36</v>
      </c>
      <c r="T150" s="5">
        <f>VLOOKUP($A150,'SegEnds_NonXtal_Prot#'!$A:$AL,9,FALSE)</f>
        <v>40</v>
      </c>
      <c r="U150" s="5">
        <f>VLOOKUP($A150,'SegEnds_NonXtal_Prot#'!$A:$AL,12,FALSE)</f>
        <v>75</v>
      </c>
      <c r="V150" s="5">
        <f>VLOOKUP($A150,'SegEnds_NonXtal_Prot#'!$A:$AL,15,FALSE)</f>
        <v>79</v>
      </c>
      <c r="W150" s="5">
        <f>VLOOKUP($A150,'SegEnds_NonXtal_Prot#'!$A:$AL,18,FALSE)</f>
        <v>115</v>
      </c>
      <c r="X150" s="5">
        <f>VLOOKUP($A150,'SegEnds_NonXtal_Prot#'!$A:$AL,21,FALSE)</f>
        <v>123</v>
      </c>
      <c r="Y150" s="5">
        <f>VLOOKUP($A150,'SegEnds_NonXtal_Prot#'!$A:$AL,24,FALSE)</f>
        <v>161</v>
      </c>
      <c r="Z150" s="5">
        <f>VLOOKUP($A150,'SegEnds_NonXtal_Prot#'!$A:$AL,27,FALSE)</f>
        <v>169</v>
      </c>
      <c r="AA150" s="5">
        <f>VLOOKUP($A150,'SegEnds_NonXtal_Prot#'!$A:$AL,30,FALSE)</f>
        <v>234</v>
      </c>
      <c r="AB150" s="5">
        <f>VLOOKUP($A150,'SegEnds_NonXtal_Prot#'!$A:$AL,33,FALSE)</f>
        <v>276</v>
      </c>
      <c r="AC150" s="5">
        <f>VLOOKUP($A150,'SegEnds_NonXtal_Prot#'!$A:$AL,36,FALSE)</f>
        <v>300</v>
      </c>
      <c r="AD150" s="5">
        <f>VLOOKUP($A150,'SegEnds_NonXtal_Prot#'!$A:$AL,5,FALSE)</f>
        <v>35</v>
      </c>
      <c r="AE150" s="5">
        <f>VLOOKUP($A150,'SegEnds_NonXtal_Prot#'!$A:$AL,8,FALSE)</f>
        <v>39</v>
      </c>
      <c r="AF150" s="5">
        <f>VLOOKUP($A150,'SegEnds_NonXtal_Prot#'!$A:$AL,11,FALSE)</f>
        <v>69</v>
      </c>
      <c r="AG150" s="5">
        <f>VLOOKUP($A150,'SegEnds_NonXtal_Prot#'!$A:$AL,14,FALSE)</f>
        <v>78</v>
      </c>
      <c r="AH150" s="5">
        <f>VLOOKUP($A150,'SegEnds_NonXtal_Prot#'!$A:$AL,17,FALSE)</f>
        <v>114</v>
      </c>
      <c r="AI150" s="5">
        <f>VLOOKUP($A150,'SegEnds_NonXtal_Prot#'!$A:$AL,20,FALSE)</f>
        <v>122</v>
      </c>
      <c r="AJ150" s="5">
        <f>VLOOKUP($A150,'SegEnds_NonXtal_Prot#'!$A:$AL,23,FALSE)</f>
        <v>148</v>
      </c>
      <c r="AK150" s="5">
        <f>VLOOKUP($A150,'SegEnds_NonXtal_Prot#'!$A:$AL,26,FALSE)</f>
        <v>163</v>
      </c>
      <c r="AL150" s="5">
        <f>VLOOKUP($A150,'SegEnds_NonXtal_Prot#'!$A:$AL,29,FALSE)</f>
        <v>210</v>
      </c>
      <c r="AM150" s="5">
        <f>VLOOKUP($A150,'SegEnds_NonXtal_Prot#'!$A:$AL,32,FALSE)</f>
        <v>271</v>
      </c>
      <c r="AN150" s="5">
        <f>VLOOKUP($A150,'SegEnds_NonXtal_Prot#'!$A:$AL,35,FALSE)</f>
        <v>299</v>
      </c>
      <c r="AO150" s="5">
        <f>VLOOKUP($A150,'SegEnds_NonXtal_Prot#'!$A:$AL,38,FALSE)</f>
        <v>311</v>
      </c>
      <c r="AP150" s="5">
        <f t="shared" si="63"/>
        <v>29</v>
      </c>
      <c r="AQ150" s="4">
        <f t="shared" si="64"/>
        <v>3</v>
      </c>
      <c r="AR150" s="4">
        <f t="shared" si="65"/>
        <v>29</v>
      </c>
      <c r="AS150" s="4">
        <f t="shared" si="66"/>
        <v>3</v>
      </c>
      <c r="AT150" s="4">
        <f t="shared" si="67"/>
        <v>35</v>
      </c>
      <c r="AU150" s="4">
        <f t="shared" si="68"/>
        <v>7</v>
      </c>
      <c r="AV150" s="4">
        <f t="shared" si="69"/>
        <v>25</v>
      </c>
      <c r="AW150" s="4">
        <f t="shared" si="70"/>
        <v>2</v>
      </c>
      <c r="AX150" s="4">
        <f t="shared" si="71"/>
        <v>41</v>
      </c>
      <c r="AY150" s="4">
        <f t="shared" si="72"/>
        <v>37</v>
      </c>
      <c r="AZ150" s="4">
        <f t="shared" si="73"/>
        <v>23</v>
      </c>
      <c r="BA150" s="4">
        <f t="shared" si="74"/>
        <v>11</v>
      </c>
    </row>
    <row r="151" spans="1:53" x14ac:dyDescent="0.2">
      <c r="A151" s="1" t="str">
        <f>'SegEnds_NonXtal_Prot#'!A124</f>
        <v>gp173_human</v>
      </c>
      <c r="B151" s="1" t="str">
        <f t="shared" si="50"/>
        <v>AYVKLVLLGLIMCVSLAGNAILSLLVLKEKAPYYFLLDLCLADGIRSAVCFPFVLASVRHSALSCKIVAFMAVLFCFHAAFMLFCISVTRYMAIAHTLWTCAAVICMAWTLSVAMAFPPVFDVVQMVPAISQNWTFHGPGATGQAAANWIAGFGRGPMPPTLLLLGMDEVKGEKQLGRMFYAITLLFLLLWSPYIVACYWRVFVPHRYLATAVWMSFAQAAVNPIVCFLLNKDLKKCLRTHA</v>
      </c>
      <c r="C151" s="29" t="str">
        <f>IF(ISERROR(MATCH(A151,'SegEnds_Xtal_Prot#'!B:B, 0)), "NoXtal", "Xtal")</f>
        <v>NoXtal</v>
      </c>
      <c r="D151" s="4" t="str">
        <f>VLOOKUP(A151,Classification!A:D,2,FALSE)</f>
        <v>A</v>
      </c>
      <c r="E151" s="5" t="str">
        <f>VLOOKUP(A151,Seqs!A:B,2,FALSE)</f>
        <v>MANTTGEPEEVSGALSPPSASAYVKLVLLGLIMCVSLAGNAILSLLVLKERALHKAPYYFLLDLCLADGIRSAVCFPFVLASVRHGSSWTFSALSCKIVAFMAVLFCFHAAFMLFCISVTRYMAIAHHRFYAKRMTLWTCAAVICMAWTLSVAMAFPPVFDVGTYKFIREEDQCIFEHRYFKANDTLGFMLMLAVLMAATHAVYGKLLLFEYRHRKMKPVQMVPAISQNWTFHGPGATGQAAANWIAGFGRGPMPPTLLGIRQNGHAASRRLLGMDEVKGEKQLGRMFYAITLLFLLLWSPYIVACYWRVFVKACAVPHRYLATAVWMSFAQAAVNPIVCFLLNKDLKKCLRTHAPCWGTGGAPAPREPYCVM</v>
      </c>
      <c r="F151" s="5" t="str">
        <f t="shared" si="51"/>
        <v>AYVKLVLLGLIMCVSLAGNAILSLLVLKE</v>
      </c>
      <c r="G151" s="4" t="str">
        <f t="shared" si="52"/>
        <v>RALH</v>
      </c>
      <c r="H151" s="4" t="str">
        <f t="shared" si="53"/>
        <v>KAPYYFLLDLCLADGIRSAVCFPFVLASVRH</v>
      </c>
      <c r="I151" s="4" t="str">
        <f t="shared" si="54"/>
        <v>SWTF</v>
      </c>
      <c r="J151" s="4" t="str">
        <f t="shared" si="55"/>
        <v>SALSCKIVAFMAVLFCFHAAFMLFCISVTRYMAIAH</v>
      </c>
      <c r="K151" s="4" t="str">
        <f t="shared" si="56"/>
        <v>HRFYAKRM</v>
      </c>
      <c r="L151" s="4" t="str">
        <f t="shared" si="57"/>
        <v>TLWTCAAVICMAWTLSVAMAFPPVFDV</v>
      </c>
      <c r="M151" s="4" t="str">
        <f t="shared" si="58"/>
        <v>CIF</v>
      </c>
      <c r="N151" s="4" t="str">
        <f t="shared" si="59"/>
        <v>VQMVPAISQNWTFHGPGATGQAAANWIAGFGRGPMPPTLL</v>
      </c>
      <c r="O151" s="4" t="str">
        <f t="shared" si="60"/>
        <v>LLGMDEVKGEKQLGRMFYAITLLFLLLWSPYIVACYWRVFV</v>
      </c>
      <c r="P151" s="4" t="str">
        <f t="shared" si="61"/>
        <v>PHRYLATAVWMSFAQAAVNPIVCFLL</v>
      </c>
      <c r="Q151" s="4" t="str">
        <f t="shared" si="62"/>
        <v>NKDLKKCLRTHA</v>
      </c>
      <c r="R151" s="5">
        <f>VLOOKUP($A151,'SegEnds_NonXtal_Prot#'!$A:$AL,3,FALSE)</f>
        <v>22</v>
      </c>
      <c r="S151" s="5">
        <f>VLOOKUP($A151,'SegEnds_NonXtal_Prot#'!$A:$AL,6,FALSE)</f>
        <v>51</v>
      </c>
      <c r="T151" s="5">
        <f>VLOOKUP($A151,'SegEnds_NonXtal_Prot#'!$A:$AL,9,FALSE)</f>
        <v>55</v>
      </c>
      <c r="U151" s="5">
        <f>VLOOKUP($A151,'SegEnds_NonXtal_Prot#'!$A:$AL,12,FALSE)</f>
        <v>88</v>
      </c>
      <c r="V151" s="5">
        <f>VLOOKUP($A151,'SegEnds_NonXtal_Prot#'!$A:$AL,15,FALSE)</f>
        <v>92</v>
      </c>
      <c r="W151" s="5">
        <f>VLOOKUP($A151,'SegEnds_NonXtal_Prot#'!$A:$AL,18,FALSE)</f>
        <v>128</v>
      </c>
      <c r="X151" s="5">
        <f>VLOOKUP($A151,'SegEnds_NonXtal_Prot#'!$A:$AL,21,FALSE)</f>
        <v>136</v>
      </c>
      <c r="Y151" s="5">
        <f>VLOOKUP($A151,'SegEnds_NonXtal_Prot#'!$A:$AL,24,FALSE)</f>
        <v>174</v>
      </c>
      <c r="Z151" s="5">
        <f>VLOOKUP($A151,'SegEnds_NonXtal_Prot#'!$A:$AL,27,FALSE)</f>
        <v>220</v>
      </c>
      <c r="AA151" s="5">
        <f>VLOOKUP($A151,'SegEnds_NonXtal_Prot#'!$A:$AL,30,FALSE)</f>
        <v>272</v>
      </c>
      <c r="AB151" s="5">
        <f>VLOOKUP($A151,'SegEnds_NonXtal_Prot#'!$A:$AL,33,FALSE)</f>
        <v>318</v>
      </c>
      <c r="AC151" s="5">
        <f>VLOOKUP($A151,'SegEnds_NonXtal_Prot#'!$A:$AL,36,FALSE)</f>
        <v>344</v>
      </c>
      <c r="AD151" s="5">
        <f>VLOOKUP($A151,'SegEnds_NonXtal_Prot#'!$A:$AL,5,FALSE)</f>
        <v>50</v>
      </c>
      <c r="AE151" s="5">
        <f>VLOOKUP($A151,'SegEnds_NonXtal_Prot#'!$A:$AL,8,FALSE)</f>
        <v>54</v>
      </c>
      <c r="AF151" s="5">
        <f>VLOOKUP($A151,'SegEnds_NonXtal_Prot#'!$A:$AL,11,FALSE)</f>
        <v>85</v>
      </c>
      <c r="AG151" s="5">
        <f>VLOOKUP($A151,'SegEnds_NonXtal_Prot#'!$A:$AL,14,FALSE)</f>
        <v>91</v>
      </c>
      <c r="AH151" s="5">
        <f>VLOOKUP($A151,'SegEnds_NonXtal_Prot#'!$A:$AL,17,FALSE)</f>
        <v>127</v>
      </c>
      <c r="AI151" s="5">
        <f>VLOOKUP($A151,'SegEnds_NonXtal_Prot#'!$A:$AL,20,FALSE)</f>
        <v>135</v>
      </c>
      <c r="AJ151" s="5">
        <f>VLOOKUP($A151,'SegEnds_NonXtal_Prot#'!$A:$AL,23,FALSE)</f>
        <v>162</v>
      </c>
      <c r="AK151" s="5">
        <f>VLOOKUP($A151,'SegEnds_NonXtal_Prot#'!$A:$AL,26,FALSE)</f>
        <v>176</v>
      </c>
      <c r="AL151" s="5">
        <f>VLOOKUP($A151,'SegEnds_NonXtal_Prot#'!$A:$AL,29,FALSE)</f>
        <v>259</v>
      </c>
      <c r="AM151" s="5">
        <f>VLOOKUP($A151,'SegEnds_NonXtal_Prot#'!$A:$AL,32,FALSE)</f>
        <v>312</v>
      </c>
      <c r="AN151" s="5">
        <f>VLOOKUP($A151,'SegEnds_NonXtal_Prot#'!$A:$AL,35,FALSE)</f>
        <v>343</v>
      </c>
      <c r="AO151" s="5">
        <f>VLOOKUP($A151,'SegEnds_NonXtal_Prot#'!$A:$AL,38,FALSE)</f>
        <v>355</v>
      </c>
      <c r="AP151" s="5">
        <f t="shared" si="63"/>
        <v>28</v>
      </c>
      <c r="AQ151" s="4">
        <f t="shared" si="64"/>
        <v>3</v>
      </c>
      <c r="AR151" s="4">
        <f t="shared" si="65"/>
        <v>30</v>
      </c>
      <c r="AS151" s="4">
        <f t="shared" si="66"/>
        <v>3</v>
      </c>
      <c r="AT151" s="4">
        <f t="shared" si="67"/>
        <v>35</v>
      </c>
      <c r="AU151" s="4">
        <f t="shared" si="68"/>
        <v>7</v>
      </c>
      <c r="AV151" s="4">
        <f t="shared" si="69"/>
        <v>26</v>
      </c>
      <c r="AW151" s="4">
        <f t="shared" si="70"/>
        <v>2</v>
      </c>
      <c r="AX151" s="4">
        <f t="shared" si="71"/>
        <v>39</v>
      </c>
      <c r="AY151" s="4">
        <f t="shared" si="72"/>
        <v>40</v>
      </c>
      <c r="AZ151" s="4">
        <f t="shared" si="73"/>
        <v>25</v>
      </c>
      <c r="BA151" s="4">
        <f t="shared" si="74"/>
        <v>11</v>
      </c>
    </row>
    <row r="152" spans="1:53" x14ac:dyDescent="0.2">
      <c r="A152" s="1" t="str">
        <f>'SegEnds_NonXtal_Prot#'!A125</f>
        <v>gp182_human</v>
      </c>
      <c r="B152" s="1" t="str">
        <f t="shared" si="50"/>
        <v>VVLFALYLAMFVVGLVENLLVICVNWRGGLMNLYILNMAIADLGIVLSLPVWMLEVTLDGSFSCRFTHYFYFVNMYSSIFFLVCLSVDRYVTLTSQHRVRRAMCAGIWVLSAIIPLPEVVHITYSTWALAVALSTTILGFLLPFPLITVFNVLTACRLRQPSRRHCLLLCAYVAVFVMCWLPYHVTLLLLTLHGTHHCHLVHLLYFFYDVIDCFSMLHCVINPILYNFLSPHFRGRLLNAVVHY</v>
      </c>
      <c r="C152" s="29" t="str">
        <f>IF(ISERROR(MATCH(A152,'SegEnds_Xtal_Prot#'!B:B, 0)), "NoXtal", "Xtal")</f>
        <v>NoXtal</v>
      </c>
      <c r="D152" s="4" t="str">
        <f>VLOOKUP(A152,Classification!A:D,2,FALSE)</f>
        <v>A</v>
      </c>
      <c r="E152" s="5" t="str">
        <f>VLOOKUP(A152,Seqs!A:B,2,FALSE)</f>
        <v>MSVKPSWGPGPSEGVTAVPTSDLGEIHNWTELLDLFNHTLSECHVELSQSTKRVVLFALYLAMFVVGLVENLLVICVNWRGSGRAGLMNLYILNMAIADLGIVLSLPVWMLEVTLDYTWLWGSFSCRFTHYFYFVNMYSSIFFLVCLSVDRYVTLTSASPSWQRYQHRVRRAMCAGIWVLSAIIPLPEVVHIQLVEGPEPMCLFMAPFETYSTWALAVALSTTILGFLLPFPLITVFNVLTACRLRQPGQPKSRRHCLLLCAYVAVFVMCWLPYHVTLLLLTLHGTHISLHCHLVHLLYFFYDVIDCFSMLHCVINPILYNFLSPHFRGRLLNAVVHYLPKDQTKAGTCASSSSCSTQHSIIITKGDSQPAAAAPHPEPSLSFQAHHLLPNTSPISPTQPLTPS</v>
      </c>
      <c r="F152" s="5" t="str">
        <f t="shared" si="51"/>
        <v>VVLFALYLAMFVVGLVENLLVICVNWRG</v>
      </c>
      <c r="G152" s="4" t="str">
        <f t="shared" si="52"/>
        <v>SGRA</v>
      </c>
      <c r="H152" s="4" t="str">
        <f t="shared" si="53"/>
        <v>GLMNLYILNMAIADLGIVLSLPVWMLEVTLD</v>
      </c>
      <c r="I152" s="4" t="str">
        <f t="shared" si="54"/>
        <v>TWLW</v>
      </c>
      <c r="J152" s="4" t="str">
        <f t="shared" si="55"/>
        <v>GSFSCRFTHYFYFVNMYSSIFFLVCLSVDRYVTLTS</v>
      </c>
      <c r="K152" s="4" t="str">
        <f t="shared" si="56"/>
        <v>ASPSWQRY</v>
      </c>
      <c r="L152" s="4" t="str">
        <f t="shared" si="57"/>
        <v>QHRVRRAMCAGIWVLSAIIPLPEVVHI</v>
      </c>
      <c r="M152" s="4" t="str">
        <f t="shared" si="58"/>
        <v>CLF</v>
      </c>
      <c r="N152" s="4" t="str">
        <f t="shared" si="59"/>
        <v>TYSTWALAVALSTTILGFLLPFPLITVFNVLTACRLRQP</v>
      </c>
      <c r="O152" s="4" t="str">
        <f t="shared" si="60"/>
        <v>SRRHCLLLCAYVAVFVMCWLPYHVTLLLLTLHGTH</v>
      </c>
      <c r="P152" s="4" t="str">
        <f t="shared" si="61"/>
        <v>HCHLVHLLYFFYDVIDCFSMLHCVINPILYNFL</v>
      </c>
      <c r="Q152" s="4" t="str">
        <f t="shared" si="62"/>
        <v>SPHFRGRLLNAVVHY</v>
      </c>
      <c r="R152" s="5">
        <f>VLOOKUP($A152,'SegEnds_NonXtal_Prot#'!$A:$AL,3,FALSE)</f>
        <v>54</v>
      </c>
      <c r="S152" s="5">
        <f>VLOOKUP($A152,'SegEnds_NonXtal_Prot#'!$A:$AL,6,FALSE)</f>
        <v>82</v>
      </c>
      <c r="T152" s="5">
        <f>VLOOKUP($A152,'SegEnds_NonXtal_Prot#'!$A:$AL,9,FALSE)</f>
        <v>86</v>
      </c>
      <c r="U152" s="5">
        <f>VLOOKUP($A152,'SegEnds_NonXtal_Prot#'!$A:$AL,12,FALSE)</f>
        <v>118</v>
      </c>
      <c r="V152" s="5">
        <f>VLOOKUP($A152,'SegEnds_NonXtal_Prot#'!$A:$AL,15,FALSE)</f>
        <v>122</v>
      </c>
      <c r="W152" s="5">
        <f>VLOOKUP($A152,'SegEnds_NonXtal_Prot#'!$A:$AL,18,FALSE)</f>
        <v>158</v>
      </c>
      <c r="X152" s="5">
        <f>VLOOKUP($A152,'SegEnds_NonXtal_Prot#'!$A:$AL,21,FALSE)</f>
        <v>166</v>
      </c>
      <c r="Y152" s="5">
        <f>VLOOKUP($A152,'SegEnds_NonXtal_Prot#'!$A:$AL,24,FALSE)</f>
        <v>202</v>
      </c>
      <c r="Z152" s="5">
        <f>VLOOKUP($A152,'SegEnds_NonXtal_Prot#'!$A:$AL,27,FALSE)</f>
        <v>210</v>
      </c>
      <c r="AA152" s="5">
        <f>VLOOKUP($A152,'SegEnds_NonXtal_Prot#'!$A:$AL,30,FALSE)</f>
        <v>253</v>
      </c>
      <c r="AB152" s="5">
        <f>VLOOKUP($A152,'SegEnds_NonXtal_Prot#'!$A:$AL,33,FALSE)</f>
        <v>291</v>
      </c>
      <c r="AC152" s="5">
        <f>VLOOKUP($A152,'SegEnds_NonXtal_Prot#'!$A:$AL,36,FALSE)</f>
        <v>324</v>
      </c>
      <c r="AD152" s="5">
        <f>VLOOKUP($A152,'SegEnds_NonXtal_Prot#'!$A:$AL,5,FALSE)</f>
        <v>81</v>
      </c>
      <c r="AE152" s="5">
        <f>VLOOKUP($A152,'SegEnds_NonXtal_Prot#'!$A:$AL,8,FALSE)</f>
        <v>85</v>
      </c>
      <c r="AF152" s="5">
        <f>VLOOKUP($A152,'SegEnds_NonXtal_Prot#'!$A:$AL,11,FALSE)</f>
        <v>116</v>
      </c>
      <c r="AG152" s="5">
        <f>VLOOKUP($A152,'SegEnds_NonXtal_Prot#'!$A:$AL,14,FALSE)</f>
        <v>121</v>
      </c>
      <c r="AH152" s="5">
        <f>VLOOKUP($A152,'SegEnds_NonXtal_Prot#'!$A:$AL,17,FALSE)</f>
        <v>157</v>
      </c>
      <c r="AI152" s="5">
        <f>VLOOKUP($A152,'SegEnds_NonXtal_Prot#'!$A:$AL,20,FALSE)</f>
        <v>165</v>
      </c>
      <c r="AJ152" s="5">
        <f>VLOOKUP($A152,'SegEnds_NonXtal_Prot#'!$A:$AL,23,FALSE)</f>
        <v>192</v>
      </c>
      <c r="AK152" s="5">
        <f>VLOOKUP($A152,'SegEnds_NonXtal_Prot#'!$A:$AL,26,FALSE)</f>
        <v>204</v>
      </c>
      <c r="AL152" s="5">
        <f>VLOOKUP($A152,'SegEnds_NonXtal_Prot#'!$A:$AL,29,FALSE)</f>
        <v>248</v>
      </c>
      <c r="AM152" s="5">
        <f>VLOOKUP($A152,'SegEnds_NonXtal_Prot#'!$A:$AL,32,FALSE)</f>
        <v>287</v>
      </c>
      <c r="AN152" s="5">
        <f>VLOOKUP($A152,'SegEnds_NonXtal_Prot#'!$A:$AL,35,FALSE)</f>
        <v>323</v>
      </c>
      <c r="AO152" s="5">
        <f>VLOOKUP($A152,'SegEnds_NonXtal_Prot#'!$A:$AL,38,FALSE)</f>
        <v>338</v>
      </c>
      <c r="AP152" s="5">
        <f t="shared" si="63"/>
        <v>27</v>
      </c>
      <c r="AQ152" s="4">
        <f t="shared" si="64"/>
        <v>3</v>
      </c>
      <c r="AR152" s="4">
        <f t="shared" si="65"/>
        <v>30</v>
      </c>
      <c r="AS152" s="4">
        <f t="shared" si="66"/>
        <v>3</v>
      </c>
      <c r="AT152" s="4">
        <f t="shared" si="67"/>
        <v>35</v>
      </c>
      <c r="AU152" s="4">
        <f t="shared" si="68"/>
        <v>7</v>
      </c>
      <c r="AV152" s="4">
        <f t="shared" si="69"/>
        <v>26</v>
      </c>
      <c r="AW152" s="4">
        <f t="shared" si="70"/>
        <v>2</v>
      </c>
      <c r="AX152" s="4">
        <f t="shared" si="71"/>
        <v>38</v>
      </c>
      <c r="AY152" s="4">
        <f t="shared" si="72"/>
        <v>34</v>
      </c>
      <c r="AZ152" s="4">
        <f t="shared" si="73"/>
        <v>32</v>
      </c>
      <c r="BA152" s="4">
        <f t="shared" si="74"/>
        <v>14</v>
      </c>
    </row>
    <row r="153" spans="1:53" x14ac:dyDescent="0.2">
      <c r="A153" s="1" t="str">
        <f>'SegEnds_NonXtal_Prot#'!A126</f>
        <v>gp183_human</v>
      </c>
      <c r="B153" s="1" t="str">
        <f t="shared" si="50"/>
        <v>TARIVMPLHYSLVFIIGLVGNLLALVVIVQNNSTTLYSTNLVISDILFTTALPTRIAYYAMGDALCRITALVFYINTYAGVNFMTCLSIDRFIAVVHRIEHAKGVCIFVWILVFAQTLPLLINPETKSLPWILLGACFIGYVLPLIIILICYSQICCKLFRTLTEKSGVNKKALNTIILIIVVFVLCFTPYHVAIIQHMIKKLRECSQRHSFQISLHFTVCLMNFNCCMDPFIYFFACKGYKRKVMRMLK</v>
      </c>
      <c r="C153" s="29" t="str">
        <f>IF(ISERROR(MATCH(A153,'SegEnds_Xtal_Prot#'!B:B, 0)), "NoXtal", "Xtal")</f>
        <v>NoXtal</v>
      </c>
      <c r="D153" s="4" t="str">
        <f>VLOOKUP(A153,Classification!A:D,2,FALSE)</f>
        <v>A</v>
      </c>
      <c r="E153" s="5" t="str">
        <f>VLOOKUP(A153,Seqs!A:B,2,FALSE)</f>
        <v>MDIQMANNFTPPSATPQGNDCDLYAHHSTARIVMPLHYSLVFIIGLVGNLLALVVIVQNRKKINSTTLYSTNLVISDILFTTALPTRIAYYAMGFDWRIGDALCRITALVFYINTYAGVNFMTCLSIDRFIAVVHPLRYNKIKRIEHAKGVCIFVWILVFAQTLPLLINPMSKQEAERITCMEYPNFEETKSLPWILLGACFIGYVLPLIIILICYSQICCKLFRTAKQNPLTEKSGVNKKALNTIILIIVVFVLCFTPYHVAIIQHMIKKLRFSNFLECSQRHSFQISLHFTVCLMNFNCCMDPFIYFFACKGYKRKVMRMLKRQVSVSISSAVKSAPEENSREMTETQMMIHSKSSNGK</v>
      </c>
      <c r="F153" s="5" t="str">
        <f t="shared" si="51"/>
        <v>TARIVMPLHYSLVFIIGLVGNLLALVVIVQN</v>
      </c>
      <c r="G153" s="4" t="str">
        <f t="shared" si="52"/>
        <v>RKKI</v>
      </c>
      <c r="H153" s="4" t="str">
        <f t="shared" si="53"/>
        <v>NSTTLYSTNLVISDILFTTALPTRIAYYAM</v>
      </c>
      <c r="I153" s="4" t="str">
        <f t="shared" si="54"/>
        <v>DWRI</v>
      </c>
      <c r="J153" s="4" t="str">
        <f t="shared" si="55"/>
        <v>GDALCRITALVFYINTYAGVNFMTCLSIDRFIAVVH</v>
      </c>
      <c r="K153" s="4" t="str">
        <f t="shared" si="56"/>
        <v>PLRYNKIK</v>
      </c>
      <c r="L153" s="4" t="str">
        <f t="shared" si="57"/>
        <v>RIEHAKGVCIFVWILVFAQTLPLLINP</v>
      </c>
      <c r="M153" s="4" t="str">
        <f t="shared" si="58"/>
        <v>CME</v>
      </c>
      <c r="N153" s="4" t="str">
        <f t="shared" si="59"/>
        <v>ETKSLPWILLGACFIGYVLPLIIILICYSQICCKLFRT</v>
      </c>
      <c r="O153" s="4" t="str">
        <f t="shared" si="60"/>
        <v>LTEKSGVNKKALNTIILIIVVFVLCFTPYHVAIIQHMIKKLR</v>
      </c>
      <c r="P153" s="4" t="str">
        <f t="shared" si="61"/>
        <v>ECSQRHSFQISLHFTVCLMNFNCCMDPFIYFFA</v>
      </c>
      <c r="Q153" s="4" t="str">
        <f t="shared" si="62"/>
        <v>CKGYKRKVMRMLK</v>
      </c>
      <c r="R153" s="5">
        <f>VLOOKUP($A153,'SegEnds_NonXtal_Prot#'!$A:$AL,3,FALSE)</f>
        <v>29</v>
      </c>
      <c r="S153" s="5">
        <f>VLOOKUP($A153,'SegEnds_NonXtal_Prot#'!$A:$AL,6,FALSE)</f>
        <v>60</v>
      </c>
      <c r="T153" s="5">
        <f>VLOOKUP($A153,'SegEnds_NonXtal_Prot#'!$A:$AL,9,FALSE)</f>
        <v>64</v>
      </c>
      <c r="U153" s="5">
        <f>VLOOKUP($A153,'SegEnds_NonXtal_Prot#'!$A:$AL,12,FALSE)</f>
        <v>96</v>
      </c>
      <c r="V153" s="5">
        <f>VLOOKUP($A153,'SegEnds_NonXtal_Prot#'!$A:$AL,15,FALSE)</f>
        <v>100</v>
      </c>
      <c r="W153" s="5">
        <f>VLOOKUP($A153,'SegEnds_NonXtal_Prot#'!$A:$AL,18,FALSE)</f>
        <v>136</v>
      </c>
      <c r="X153" s="5">
        <f>VLOOKUP($A153,'SegEnds_NonXtal_Prot#'!$A:$AL,21,FALSE)</f>
        <v>144</v>
      </c>
      <c r="Y153" s="5">
        <f>VLOOKUP($A153,'SegEnds_NonXtal_Prot#'!$A:$AL,24,FALSE)</f>
        <v>181</v>
      </c>
      <c r="Z153" s="5">
        <f>VLOOKUP($A153,'SegEnds_NonXtal_Prot#'!$A:$AL,27,FALSE)</f>
        <v>189</v>
      </c>
      <c r="AA153" s="5">
        <f>VLOOKUP($A153,'SegEnds_NonXtal_Prot#'!$A:$AL,30,FALSE)</f>
        <v>232</v>
      </c>
      <c r="AB153" s="5">
        <f>VLOOKUP($A153,'SegEnds_NonXtal_Prot#'!$A:$AL,33,FALSE)</f>
        <v>279</v>
      </c>
      <c r="AC153" s="5">
        <f>VLOOKUP($A153,'SegEnds_NonXtal_Prot#'!$A:$AL,36,FALSE)</f>
        <v>312</v>
      </c>
      <c r="AD153" s="5">
        <f>VLOOKUP($A153,'SegEnds_NonXtal_Prot#'!$A:$AL,5,FALSE)</f>
        <v>59</v>
      </c>
      <c r="AE153" s="5">
        <f>VLOOKUP($A153,'SegEnds_NonXtal_Prot#'!$A:$AL,8,FALSE)</f>
        <v>63</v>
      </c>
      <c r="AF153" s="5">
        <f>VLOOKUP($A153,'SegEnds_NonXtal_Prot#'!$A:$AL,11,FALSE)</f>
        <v>93</v>
      </c>
      <c r="AG153" s="5">
        <f>VLOOKUP($A153,'SegEnds_NonXtal_Prot#'!$A:$AL,14,FALSE)</f>
        <v>99</v>
      </c>
      <c r="AH153" s="5">
        <f>VLOOKUP($A153,'SegEnds_NonXtal_Prot#'!$A:$AL,17,FALSE)</f>
        <v>135</v>
      </c>
      <c r="AI153" s="5">
        <f>VLOOKUP($A153,'SegEnds_NonXtal_Prot#'!$A:$AL,20,FALSE)</f>
        <v>143</v>
      </c>
      <c r="AJ153" s="5">
        <f>VLOOKUP($A153,'SegEnds_NonXtal_Prot#'!$A:$AL,23,FALSE)</f>
        <v>170</v>
      </c>
      <c r="AK153" s="5">
        <f>VLOOKUP($A153,'SegEnds_NonXtal_Prot#'!$A:$AL,26,FALSE)</f>
        <v>183</v>
      </c>
      <c r="AL153" s="5">
        <f>VLOOKUP($A153,'SegEnds_NonXtal_Prot#'!$A:$AL,29,FALSE)</f>
        <v>226</v>
      </c>
      <c r="AM153" s="5">
        <f>VLOOKUP($A153,'SegEnds_NonXtal_Prot#'!$A:$AL,32,FALSE)</f>
        <v>273</v>
      </c>
      <c r="AN153" s="5">
        <f>VLOOKUP($A153,'SegEnds_NonXtal_Prot#'!$A:$AL,35,FALSE)</f>
        <v>311</v>
      </c>
      <c r="AO153" s="5">
        <f>VLOOKUP($A153,'SegEnds_NonXtal_Prot#'!$A:$AL,38,FALSE)</f>
        <v>324</v>
      </c>
      <c r="AP153" s="5">
        <f t="shared" si="63"/>
        <v>30</v>
      </c>
      <c r="AQ153" s="4">
        <f t="shared" si="64"/>
        <v>3</v>
      </c>
      <c r="AR153" s="4">
        <f t="shared" si="65"/>
        <v>29</v>
      </c>
      <c r="AS153" s="4">
        <f t="shared" si="66"/>
        <v>3</v>
      </c>
      <c r="AT153" s="4">
        <f t="shared" si="67"/>
        <v>35</v>
      </c>
      <c r="AU153" s="4">
        <f t="shared" si="68"/>
        <v>7</v>
      </c>
      <c r="AV153" s="4">
        <f t="shared" si="69"/>
        <v>26</v>
      </c>
      <c r="AW153" s="4">
        <f t="shared" si="70"/>
        <v>2</v>
      </c>
      <c r="AX153" s="4">
        <f t="shared" si="71"/>
        <v>37</v>
      </c>
      <c r="AY153" s="4">
        <f t="shared" si="72"/>
        <v>41</v>
      </c>
      <c r="AZ153" s="4">
        <f t="shared" si="73"/>
        <v>32</v>
      </c>
      <c r="BA153" s="4">
        <f t="shared" si="74"/>
        <v>12</v>
      </c>
    </row>
    <row r="154" spans="1:53" x14ac:dyDescent="0.2">
      <c r="A154" s="1" t="str">
        <f>'SegEnds_NonXtal_Prot#'!A127</f>
        <v>gper1_human</v>
      </c>
      <c r="B154" s="1" t="str">
        <f t="shared" si="50"/>
        <v>EHQQYVIGLFLSCLYTIFLFPIGFVGNILILVVNISFTIPDLYFINLAVADLILVADSLIEVFNLHEAVLCTFMSLFLQVNMYSSVFFLTWMSFDRYIALARTKHHARLSCGLIWMASVSATLVPFTAVDVREVQWLEVTLGFIVPFAIIGLCYSLIVRVLVRARGLRPRRQKALRMILAVVLVFFVCWLPENVFISVHLLQRTQKQSFRHAHPLTGHIVNLAAFSNSCLNPLIYSFLGETFRDKLRLYIE</v>
      </c>
      <c r="C154" s="29" t="str">
        <f>IF(ISERROR(MATCH(A154,'SegEnds_Xtal_Prot#'!B:B, 0)), "NoXtal", "Xtal")</f>
        <v>NoXtal</v>
      </c>
      <c r="D154" s="4" t="str">
        <f>VLOOKUP(A154,Classification!A:D,2,FALSE)</f>
        <v>A</v>
      </c>
      <c r="E154" s="5" t="str">
        <f>VLOOKUP(A154,Seqs!A:B,2,FALSE)</f>
        <v>MDVTSQARGVGLEMYPGTAQPAAPNTTSPELNLSHPLLGTALANGTGELSEHQQYVIGLFLSCLYTIFLFPIGFVGNILILVVNISFREKMTIPDLYFINLAVADLILVADSLIEVFNLHERYYDIAVLCTFMSLFLQVNMYSSVFFLTWMSFDRYIALARAMRCSLFRTKHHARLSCGLIWMASVSATLVPFTAVHLQHTDEACFCFADVREVQWLEVTLGFIVPFAIIGLCYSLIVRVLVRAHRHRGLRPRRQKALRMILAVVLVFFVCWLPENVFISVHLLQRTQPGAAPCKQSFRHAHPLTGHIVNLAAFSNSCLNPLIYSFLGETFRDKLRLYIEQKTNLPALNRFCHAALKAVIPDSTEQSDVRFSSAV</v>
      </c>
      <c r="F154" s="5" t="str">
        <f t="shared" si="51"/>
        <v>EHQQYVIGLFLSCLYTIFLFPIGFVGNILILVVNISF</v>
      </c>
      <c r="G154" s="4" t="str">
        <f t="shared" si="52"/>
        <v>REKM</v>
      </c>
      <c r="H154" s="4" t="str">
        <f t="shared" si="53"/>
        <v>TIPDLYFINLAVADLILVADSLIEVFNLHE</v>
      </c>
      <c r="I154" s="4" t="str">
        <f t="shared" si="54"/>
        <v>YYDI</v>
      </c>
      <c r="J154" s="4" t="str">
        <f t="shared" si="55"/>
        <v>AVLCTFMSLFLQVNMYSSVFFLTWMSFDRYIALAR</v>
      </c>
      <c r="K154" s="4" t="str">
        <f t="shared" si="56"/>
        <v>AMRCSLFR</v>
      </c>
      <c r="L154" s="4" t="str">
        <f t="shared" si="57"/>
        <v>TKHHARLSCGLIWMASVSATLVPFTAV</v>
      </c>
      <c r="M154" s="4" t="str">
        <f t="shared" si="58"/>
        <v>CFC</v>
      </c>
      <c r="N154" s="4" t="str">
        <f t="shared" si="59"/>
        <v>DVREVQWLEVTLGFIVPFAIIGLCYSLIVRVLVRA</v>
      </c>
      <c r="O154" s="4" t="str">
        <f t="shared" si="60"/>
        <v>RGLRPRRQKALRMILAVVLVFFVCWLPENVFISVHLLQRTQ</v>
      </c>
      <c r="P154" s="4" t="str">
        <f t="shared" si="61"/>
        <v>KQSFRHAHPLTGHIVNLAAFSNSCLNPLIYSFL</v>
      </c>
      <c r="Q154" s="4" t="str">
        <f t="shared" si="62"/>
        <v>GETFRDKLRLYIE</v>
      </c>
      <c r="R154" s="5">
        <f>VLOOKUP($A154,'SegEnds_NonXtal_Prot#'!$A:$AL,3,FALSE)</f>
        <v>51</v>
      </c>
      <c r="S154" s="5">
        <f>VLOOKUP($A154,'SegEnds_NonXtal_Prot#'!$A:$AL,6,FALSE)</f>
        <v>88</v>
      </c>
      <c r="T154" s="5">
        <f>VLOOKUP($A154,'SegEnds_NonXtal_Prot#'!$A:$AL,9,FALSE)</f>
        <v>92</v>
      </c>
      <c r="U154" s="5">
        <f>VLOOKUP($A154,'SegEnds_NonXtal_Prot#'!$A:$AL,12,FALSE)</f>
        <v>123</v>
      </c>
      <c r="V154" s="5">
        <f>VLOOKUP($A154,'SegEnds_NonXtal_Prot#'!$A:$AL,15,FALSE)</f>
        <v>127</v>
      </c>
      <c r="W154" s="5">
        <f>VLOOKUP($A154,'SegEnds_NonXtal_Prot#'!$A:$AL,18,FALSE)</f>
        <v>162</v>
      </c>
      <c r="X154" s="5">
        <f>VLOOKUP($A154,'SegEnds_NonXtal_Prot#'!$A:$AL,21,FALSE)</f>
        <v>170</v>
      </c>
      <c r="Y154" s="5">
        <f>VLOOKUP($A154,'SegEnds_NonXtal_Prot#'!$A:$AL,24,FALSE)</f>
        <v>205</v>
      </c>
      <c r="Z154" s="5">
        <f>VLOOKUP($A154,'SegEnds_NonXtal_Prot#'!$A:$AL,27,FALSE)</f>
        <v>210</v>
      </c>
      <c r="AA154" s="5">
        <f>VLOOKUP($A154,'SegEnds_NonXtal_Prot#'!$A:$AL,30,FALSE)</f>
        <v>248</v>
      </c>
      <c r="AB154" s="5">
        <f>VLOOKUP($A154,'SegEnds_NonXtal_Prot#'!$A:$AL,33,FALSE)</f>
        <v>295</v>
      </c>
      <c r="AC154" s="5">
        <f>VLOOKUP($A154,'SegEnds_NonXtal_Prot#'!$A:$AL,36,FALSE)</f>
        <v>328</v>
      </c>
      <c r="AD154" s="5">
        <f>VLOOKUP($A154,'SegEnds_NonXtal_Prot#'!$A:$AL,5,FALSE)</f>
        <v>87</v>
      </c>
      <c r="AE154" s="5">
        <f>VLOOKUP($A154,'SegEnds_NonXtal_Prot#'!$A:$AL,8,FALSE)</f>
        <v>91</v>
      </c>
      <c r="AF154" s="5">
        <f>VLOOKUP($A154,'SegEnds_NonXtal_Prot#'!$A:$AL,11,FALSE)</f>
        <v>121</v>
      </c>
      <c r="AG154" s="5">
        <f>VLOOKUP($A154,'SegEnds_NonXtal_Prot#'!$A:$AL,14,FALSE)</f>
        <v>126</v>
      </c>
      <c r="AH154" s="5">
        <f>VLOOKUP($A154,'SegEnds_NonXtal_Prot#'!$A:$AL,17,FALSE)</f>
        <v>161</v>
      </c>
      <c r="AI154" s="5">
        <f>VLOOKUP($A154,'SegEnds_NonXtal_Prot#'!$A:$AL,20,FALSE)</f>
        <v>169</v>
      </c>
      <c r="AJ154" s="5">
        <f>VLOOKUP($A154,'SegEnds_NonXtal_Prot#'!$A:$AL,23,FALSE)</f>
        <v>196</v>
      </c>
      <c r="AK154" s="5">
        <f>VLOOKUP($A154,'SegEnds_NonXtal_Prot#'!$A:$AL,26,FALSE)</f>
        <v>207</v>
      </c>
      <c r="AL154" s="5">
        <f>VLOOKUP($A154,'SegEnds_NonXtal_Prot#'!$A:$AL,29,FALSE)</f>
        <v>244</v>
      </c>
      <c r="AM154" s="5">
        <f>VLOOKUP($A154,'SegEnds_NonXtal_Prot#'!$A:$AL,32,FALSE)</f>
        <v>288</v>
      </c>
      <c r="AN154" s="5">
        <f>VLOOKUP($A154,'SegEnds_NonXtal_Prot#'!$A:$AL,35,FALSE)</f>
        <v>327</v>
      </c>
      <c r="AO154" s="5">
        <f>VLOOKUP($A154,'SegEnds_NonXtal_Prot#'!$A:$AL,38,FALSE)</f>
        <v>340</v>
      </c>
      <c r="AP154" s="5">
        <f t="shared" si="63"/>
        <v>36</v>
      </c>
      <c r="AQ154" s="4">
        <f t="shared" si="64"/>
        <v>3</v>
      </c>
      <c r="AR154" s="4">
        <f t="shared" si="65"/>
        <v>29</v>
      </c>
      <c r="AS154" s="4">
        <f t="shared" si="66"/>
        <v>3</v>
      </c>
      <c r="AT154" s="4">
        <f t="shared" si="67"/>
        <v>34</v>
      </c>
      <c r="AU154" s="4">
        <f t="shared" si="68"/>
        <v>7</v>
      </c>
      <c r="AV154" s="4">
        <f t="shared" si="69"/>
        <v>26</v>
      </c>
      <c r="AW154" s="4">
        <f t="shared" si="70"/>
        <v>2</v>
      </c>
      <c r="AX154" s="4">
        <f t="shared" si="71"/>
        <v>34</v>
      </c>
      <c r="AY154" s="4">
        <f t="shared" si="72"/>
        <v>40</v>
      </c>
      <c r="AZ154" s="4">
        <f t="shared" si="73"/>
        <v>32</v>
      </c>
      <c r="BA154" s="4">
        <f t="shared" si="74"/>
        <v>12</v>
      </c>
    </row>
    <row r="155" spans="1:53" x14ac:dyDescent="0.2">
      <c r="A155" s="1" t="str">
        <f>'SegEnds_NonXtal_Prot#'!A128</f>
        <v>gpr1_human</v>
      </c>
      <c r="B155" s="1" t="str">
        <f t="shared" si="50"/>
        <v>VVHWVSLVLYCLAFVLGIPGNAIVIWFTGFKTVTTLWFLNLAIADFIFLLFLPLYISYVAMGIWLCKANSFTAQLNMFASVFFLTVISLDHYIHLIHTLKNSLIVIIFIWLLASLIGGPALYFRRHHVLTWVKFIIGYLFPLLTMSICYLCLIFKVKKRSSRHFWTILVVVVAFVVCWTPYHLFSIWELTIHHVMQAGIPLSTGLAFLNSCLNPILYVLISKKFQARFRSSVAEI</v>
      </c>
      <c r="C155" s="29" t="str">
        <f>IF(ISERROR(MATCH(A155,'SegEnds_Xtal_Prot#'!B:B, 0)), "NoXtal", "Xtal")</f>
        <v>NoXtal</v>
      </c>
      <c r="D155" s="4" t="str">
        <f>VLOOKUP(A155,Classification!A:D,2,FALSE)</f>
        <v>A</v>
      </c>
      <c r="E155" s="5" t="str">
        <f>VLOOKUP(A155,Seqs!A:B,2,FALSE)</f>
        <v>MEDLEETLFEEFENYSYDLDYYSLESDLEEKVQLGVVHWVSLVLYCLAFVLGIPGNAIVIWFTGFKWKKTVTTLWFLNLAIADFIFLLFLPLYISYVAMNFHWPFGIWLCKANSFTAQLNMFASVFFLTVISLDHYIHLIHPVLSHRHRTLKNSLIVIIFIWLLASLIGGPALYFRDTVEFNNHTLCYNNFQKHDPDLTLIRHHVLTWVKFIIGYLFPLLTMSICYLCLIFKVKKRSILISSRHFWTILVVVVAFVVCWTPYHLFSIWELTIHHNSYSHHVMQAGIPLSTGLAFLNSCLNPILYVLISKKFQARFRSSVAEILKYTLWEVSCSGTVSEQLRNSETKNLCLLETAQ</v>
      </c>
      <c r="F155" s="5" t="str">
        <f t="shared" si="51"/>
        <v>VVHWVSLVLYCLAFVLGIPGNAIVIWFTGFK</v>
      </c>
      <c r="G155" s="4" t="str">
        <f t="shared" si="52"/>
        <v/>
      </c>
      <c r="H155" s="4" t="str">
        <f t="shared" si="53"/>
        <v>TVTTLWFLNLAIADFIFLLFLPLYISYVAM</v>
      </c>
      <c r="I155" s="4" t="str">
        <f t="shared" si="54"/>
        <v>HWPF</v>
      </c>
      <c r="J155" s="4" t="str">
        <f t="shared" si="55"/>
        <v>GIWLCKANSFTAQLNMFASVFFLTVISLDHYIHLIH</v>
      </c>
      <c r="K155" s="4" t="str">
        <f t="shared" si="56"/>
        <v>PVLSHRHR</v>
      </c>
      <c r="L155" s="4" t="str">
        <f t="shared" si="57"/>
        <v>TLKNSLIVIIFIWLLASLIGGPALYFR</v>
      </c>
      <c r="M155" s="4" t="str">
        <f t="shared" si="58"/>
        <v>CYN</v>
      </c>
      <c r="N155" s="4" t="str">
        <f t="shared" si="59"/>
        <v>RHHVLTWVKFIIGYLFPLLTMSICYLCLIFKVKKR</v>
      </c>
      <c r="O155" s="4" t="str">
        <f t="shared" si="60"/>
        <v>SSRHFWTILVVVVAFVVCWTPYHLFSIWELTI</v>
      </c>
      <c r="P155" s="4" t="str">
        <f t="shared" si="61"/>
        <v>HHVMQAGIPLSTGLAFLNSCLNPILYVLI</v>
      </c>
      <c r="Q155" s="4" t="str">
        <f t="shared" si="62"/>
        <v>SKKFQARFRSSVAEI</v>
      </c>
      <c r="R155" s="5">
        <f>VLOOKUP($A155,'SegEnds_NonXtal_Prot#'!$A:$AL,3,FALSE)</f>
        <v>36</v>
      </c>
      <c r="S155" s="5" t="str">
        <f>VLOOKUP($A155,'SegEnds_NonXtal_Prot#'!$A:$AL,6,FALSE)</f>
        <v>-</v>
      </c>
      <c r="T155" s="5">
        <f>VLOOKUP($A155,'SegEnds_NonXtal_Prot#'!$A:$AL,9,FALSE)</f>
        <v>70</v>
      </c>
      <c r="U155" s="5">
        <f>VLOOKUP($A155,'SegEnds_NonXtal_Prot#'!$A:$AL,12,FALSE)</f>
        <v>102</v>
      </c>
      <c r="V155" s="5">
        <f>VLOOKUP($A155,'SegEnds_NonXtal_Prot#'!$A:$AL,15,FALSE)</f>
        <v>106</v>
      </c>
      <c r="W155" s="5">
        <f>VLOOKUP($A155,'SegEnds_NonXtal_Prot#'!$A:$AL,18,FALSE)</f>
        <v>142</v>
      </c>
      <c r="X155" s="5">
        <f>VLOOKUP($A155,'SegEnds_NonXtal_Prot#'!$A:$AL,21,FALSE)</f>
        <v>150</v>
      </c>
      <c r="Y155" s="5">
        <f>VLOOKUP($A155,'SegEnds_NonXtal_Prot#'!$A:$AL,24,FALSE)</f>
        <v>187</v>
      </c>
      <c r="Z155" s="5">
        <f>VLOOKUP($A155,'SegEnds_NonXtal_Prot#'!$A:$AL,27,FALSE)</f>
        <v>202</v>
      </c>
      <c r="AA155" s="5">
        <f>VLOOKUP($A155,'SegEnds_NonXtal_Prot#'!$A:$AL,30,FALSE)</f>
        <v>241</v>
      </c>
      <c r="AB155" s="5">
        <f>VLOOKUP($A155,'SegEnds_NonXtal_Prot#'!$A:$AL,33,FALSE)</f>
        <v>279</v>
      </c>
      <c r="AC155" s="5">
        <f>VLOOKUP($A155,'SegEnds_NonXtal_Prot#'!$A:$AL,36,FALSE)</f>
        <v>308</v>
      </c>
      <c r="AD155" s="5">
        <f>VLOOKUP($A155,'SegEnds_NonXtal_Prot#'!$A:$AL,5,FALSE)</f>
        <v>66</v>
      </c>
      <c r="AE155" s="5" t="str">
        <f>VLOOKUP($A155,'SegEnds_NonXtal_Prot#'!$A:$AL,8,FALSE)</f>
        <v>-</v>
      </c>
      <c r="AF155" s="5">
        <f>VLOOKUP($A155,'SegEnds_NonXtal_Prot#'!$A:$AL,11,FALSE)</f>
        <v>99</v>
      </c>
      <c r="AG155" s="5">
        <f>VLOOKUP($A155,'SegEnds_NonXtal_Prot#'!$A:$AL,14,FALSE)</f>
        <v>105</v>
      </c>
      <c r="AH155" s="5">
        <f>VLOOKUP($A155,'SegEnds_NonXtal_Prot#'!$A:$AL,17,FALSE)</f>
        <v>141</v>
      </c>
      <c r="AI155" s="5">
        <f>VLOOKUP($A155,'SegEnds_NonXtal_Prot#'!$A:$AL,20,FALSE)</f>
        <v>149</v>
      </c>
      <c r="AJ155" s="5">
        <f>VLOOKUP($A155,'SegEnds_NonXtal_Prot#'!$A:$AL,23,FALSE)</f>
        <v>176</v>
      </c>
      <c r="AK155" s="5">
        <f>VLOOKUP($A155,'SegEnds_NonXtal_Prot#'!$A:$AL,26,FALSE)</f>
        <v>189</v>
      </c>
      <c r="AL155" s="5">
        <f>VLOOKUP($A155,'SegEnds_NonXtal_Prot#'!$A:$AL,29,FALSE)</f>
        <v>236</v>
      </c>
      <c r="AM155" s="5">
        <f>VLOOKUP($A155,'SegEnds_NonXtal_Prot#'!$A:$AL,32,FALSE)</f>
        <v>272</v>
      </c>
      <c r="AN155" s="5">
        <f>VLOOKUP($A155,'SegEnds_NonXtal_Prot#'!$A:$AL,35,FALSE)</f>
        <v>307</v>
      </c>
      <c r="AO155" s="5">
        <f>VLOOKUP($A155,'SegEnds_NonXtal_Prot#'!$A:$AL,38,FALSE)</f>
        <v>322</v>
      </c>
      <c r="AP155" s="5">
        <f t="shared" si="63"/>
        <v>30</v>
      </c>
      <c r="AQ155" s="4" t="str">
        <f t="shared" si="64"/>
        <v>-</v>
      </c>
      <c r="AR155" s="4">
        <f t="shared" si="65"/>
        <v>29</v>
      </c>
      <c r="AS155" s="4">
        <f t="shared" si="66"/>
        <v>3</v>
      </c>
      <c r="AT155" s="4">
        <f t="shared" si="67"/>
        <v>35</v>
      </c>
      <c r="AU155" s="4">
        <f t="shared" si="68"/>
        <v>7</v>
      </c>
      <c r="AV155" s="4">
        <f t="shared" si="69"/>
        <v>26</v>
      </c>
      <c r="AW155" s="4">
        <f t="shared" si="70"/>
        <v>2</v>
      </c>
      <c r="AX155" s="4">
        <f t="shared" si="71"/>
        <v>34</v>
      </c>
      <c r="AY155" s="4">
        <f t="shared" si="72"/>
        <v>31</v>
      </c>
      <c r="AZ155" s="4">
        <f t="shared" si="73"/>
        <v>28</v>
      </c>
      <c r="BA155" s="4">
        <f t="shared" si="74"/>
        <v>14</v>
      </c>
    </row>
    <row r="156" spans="1:53" x14ac:dyDescent="0.2">
      <c r="A156" s="1" t="str">
        <f>'SegEnds_NonXtal_Prot#'!A129</f>
        <v>gpr12_human</v>
      </c>
      <c r="B156" s="1" t="str">
        <f t="shared" si="50"/>
        <v>LVVNPWDIVLCTSGTLISCENAIVVLIIFHNAPMFLLIGSLALADLLAGIGLITNFVQSEATKLVTIGLIVASFSASVCSLLAITVDRYLSLYYTVTFTYVMLVMLWGTSICLGLLPVMGTKNNAAILSVSFLFMFALMLQLYIQICKIVMRHAHQITSHYVTTRKGVSTLAIILGTFAACWMPFTLYSLIADYTYTYATLLPATYNSIINPVIYAFRNQEIQKALCLICC</v>
      </c>
      <c r="C156" s="29" t="str">
        <f>IF(ISERROR(MATCH(A156,'SegEnds_Xtal_Prot#'!B:B, 0)), "NoXtal", "Xtal")</f>
        <v>NoXtal</v>
      </c>
      <c r="D156" s="4" t="str">
        <f>VLOOKUP(A156,Classification!A:D,2,FALSE)</f>
        <v>A</v>
      </c>
      <c r="E156" s="5" t="str">
        <f>VLOOKUP(A156,Seqs!A:B,2,FALSE)</f>
        <v>MNEDLKVNLSGLPRDYLDAAAAENISAAVSSRVPAVEPEPELVVNPWDIVLCTSGTLISCENAIVVLIIFHNPSLRAPMFLLIGSLALADLLAGIGLITNFVFAYLLQSEATKLVTIGLIVASFSASVCSLLAITVDRYLSLYYALTYHSERTVTFTYVMLVMLWGTSICLGLLPVMGWNCLRDESTCSVVRPLTKNNAAILSVSFLFMFALMLQLYIQICKIVMRHAHQIALQHHFLATSHYVTTRKGVSTLAIILGTFAACWMPFTLYSLIADYTYPSIYTYATLLPATYNSIINPVIYAFRNQEIQKALCLICCGCIPSSLAQRARSPSDV</v>
      </c>
      <c r="F156" s="5" t="str">
        <f t="shared" si="51"/>
        <v>LVVNPWDIVLCTSGTLISCENAIVVLIIFHN</v>
      </c>
      <c r="G156" s="4" t="str">
        <f t="shared" si="52"/>
        <v/>
      </c>
      <c r="H156" s="4" t="str">
        <f t="shared" si="53"/>
        <v>APMFLLIGSLALADLLAGIGLITNFV</v>
      </c>
      <c r="I156" s="4" t="str">
        <f t="shared" si="54"/>
        <v>AYLL</v>
      </c>
      <c r="J156" s="4" t="str">
        <f t="shared" si="55"/>
        <v>QSEATKLVTIGLIVASFSASVCSLLAITVDRYLSLYY</v>
      </c>
      <c r="K156" s="4" t="str">
        <f t="shared" si="56"/>
        <v>ALTYHSER</v>
      </c>
      <c r="L156" s="4" t="str">
        <f t="shared" si="57"/>
        <v>TVTFTYVMLVMLWGTSICLGLLPVMG</v>
      </c>
      <c r="M156" s="4" t="str">
        <f t="shared" si="58"/>
        <v/>
      </c>
      <c r="N156" s="4" t="str">
        <f t="shared" si="59"/>
        <v>TKNNAAILSVSFLFMFALMLQLYIQICKIVMRHAHQI</v>
      </c>
      <c r="O156" s="4" t="str">
        <f t="shared" si="60"/>
        <v>TSHYVTTRKGVSTLAIILGTFAACWMPFTLYSLIADYT</v>
      </c>
      <c r="P156" s="4" t="str">
        <f t="shared" si="61"/>
        <v>YTYATLLPATYNSIINPVIYAFR</v>
      </c>
      <c r="Q156" s="4" t="str">
        <f t="shared" si="62"/>
        <v>NQEIQKALCLICC</v>
      </c>
      <c r="R156" s="5">
        <f>VLOOKUP($A156,'SegEnds_NonXtal_Prot#'!$A:$AL,3,FALSE)</f>
        <v>42</v>
      </c>
      <c r="S156" s="5" t="str">
        <f>VLOOKUP($A156,'SegEnds_NonXtal_Prot#'!$A:$AL,6,FALSE)</f>
        <v>-</v>
      </c>
      <c r="T156" s="5">
        <f>VLOOKUP($A156,'SegEnds_NonXtal_Prot#'!$A:$AL,9,FALSE)</f>
        <v>77</v>
      </c>
      <c r="U156" s="5">
        <f>VLOOKUP($A156,'SegEnds_NonXtal_Prot#'!$A:$AL,12,FALSE)</f>
        <v>104</v>
      </c>
      <c r="V156" s="5">
        <f>VLOOKUP($A156,'SegEnds_NonXtal_Prot#'!$A:$AL,15,FALSE)</f>
        <v>108</v>
      </c>
      <c r="W156" s="5">
        <f>VLOOKUP($A156,'SegEnds_NonXtal_Prot#'!$A:$AL,18,FALSE)</f>
        <v>145</v>
      </c>
      <c r="X156" s="5">
        <f>VLOOKUP($A156,'SegEnds_NonXtal_Prot#'!$A:$AL,21,FALSE)</f>
        <v>153</v>
      </c>
      <c r="Y156" s="5" t="str">
        <f>VLOOKUP($A156,'SegEnds_NonXtal_Prot#'!$A:$AL,24,FALSE)</f>
        <v>-</v>
      </c>
      <c r="Z156" s="5">
        <f>VLOOKUP($A156,'SegEnds_NonXtal_Prot#'!$A:$AL,27,FALSE)</f>
        <v>195</v>
      </c>
      <c r="AA156" s="5">
        <f>VLOOKUP($A156,'SegEnds_NonXtal_Prot#'!$A:$AL,30,FALSE)</f>
        <v>240</v>
      </c>
      <c r="AB156" s="5">
        <f>VLOOKUP($A156,'SegEnds_NonXtal_Prot#'!$A:$AL,33,FALSE)</f>
        <v>282</v>
      </c>
      <c r="AC156" s="5">
        <f>VLOOKUP($A156,'SegEnds_NonXtal_Prot#'!$A:$AL,36,FALSE)</f>
        <v>305</v>
      </c>
      <c r="AD156" s="5">
        <f>VLOOKUP($A156,'SegEnds_NonXtal_Prot#'!$A:$AL,5,FALSE)</f>
        <v>72</v>
      </c>
      <c r="AE156" s="5" t="str">
        <f>VLOOKUP($A156,'SegEnds_NonXtal_Prot#'!$A:$AL,8,FALSE)</f>
        <v>-</v>
      </c>
      <c r="AF156" s="5">
        <f>VLOOKUP($A156,'SegEnds_NonXtal_Prot#'!$A:$AL,11,FALSE)</f>
        <v>102</v>
      </c>
      <c r="AG156" s="5">
        <f>VLOOKUP($A156,'SegEnds_NonXtal_Prot#'!$A:$AL,14,FALSE)</f>
        <v>107</v>
      </c>
      <c r="AH156" s="5">
        <f>VLOOKUP($A156,'SegEnds_NonXtal_Prot#'!$A:$AL,17,FALSE)</f>
        <v>144</v>
      </c>
      <c r="AI156" s="5">
        <f>VLOOKUP($A156,'SegEnds_NonXtal_Prot#'!$A:$AL,20,FALSE)</f>
        <v>152</v>
      </c>
      <c r="AJ156" s="5">
        <f>VLOOKUP($A156,'SegEnds_NonXtal_Prot#'!$A:$AL,23,FALSE)</f>
        <v>178</v>
      </c>
      <c r="AK156" s="5" t="str">
        <f>VLOOKUP($A156,'SegEnds_NonXtal_Prot#'!$A:$AL,26,FALSE)</f>
        <v>-</v>
      </c>
      <c r="AL156" s="5">
        <f>VLOOKUP($A156,'SegEnds_NonXtal_Prot#'!$A:$AL,29,FALSE)</f>
        <v>231</v>
      </c>
      <c r="AM156" s="5">
        <f>VLOOKUP($A156,'SegEnds_NonXtal_Prot#'!$A:$AL,32,FALSE)</f>
        <v>277</v>
      </c>
      <c r="AN156" s="5">
        <f>VLOOKUP($A156,'SegEnds_NonXtal_Prot#'!$A:$AL,35,FALSE)</f>
        <v>304</v>
      </c>
      <c r="AO156" s="5">
        <f>VLOOKUP($A156,'SegEnds_NonXtal_Prot#'!$A:$AL,38,FALSE)</f>
        <v>317</v>
      </c>
      <c r="AP156" s="5">
        <f t="shared" si="63"/>
        <v>30</v>
      </c>
      <c r="AQ156" s="4" t="str">
        <f t="shared" si="64"/>
        <v>-</v>
      </c>
      <c r="AR156" s="4">
        <f t="shared" si="65"/>
        <v>25</v>
      </c>
      <c r="AS156" s="4">
        <f t="shared" si="66"/>
        <v>3</v>
      </c>
      <c r="AT156" s="4">
        <f t="shared" si="67"/>
        <v>36</v>
      </c>
      <c r="AU156" s="4">
        <f t="shared" si="68"/>
        <v>7</v>
      </c>
      <c r="AV156" s="4">
        <f t="shared" si="69"/>
        <v>25</v>
      </c>
      <c r="AW156" s="4" t="str">
        <f t="shared" si="70"/>
        <v>-</v>
      </c>
      <c r="AX156" s="4">
        <f t="shared" si="71"/>
        <v>36</v>
      </c>
      <c r="AY156" s="4">
        <f t="shared" si="72"/>
        <v>37</v>
      </c>
      <c r="AZ156" s="4">
        <f t="shared" si="73"/>
        <v>22</v>
      </c>
      <c r="BA156" s="4">
        <f t="shared" si="74"/>
        <v>12</v>
      </c>
    </row>
    <row r="157" spans="1:53" x14ac:dyDescent="0.2">
      <c r="A157" s="1" t="str">
        <f>'SegEnds_NonXtal_Prot#'!A130</f>
        <v>gpr15_human</v>
      </c>
      <c r="B157" s="1" t="str">
        <f t="shared" si="50"/>
        <v>YTSVFLPVFYTAVFLTGVLGNLVLMGALHFKRLIDIFIINLAASDFIFLVTLPLWVDKEASGSFLCKGSSYMISVNMHCSVLLLTCMSVDRYLAIVWRTDCAYVVCASIWFISCLLGLPTLLSRIKLIWSLVALIFTFFVPLLSIVTCYCCIARKLCAHGKHNKKLKKSIKIIFIVVAAFLVSWLPFNTFKFLAIVSHYLPSAILQLGMEVSGPLAFANSCVNPFIYYIFDSYIRRAIVHCLCPC</v>
      </c>
      <c r="C157" s="29" t="str">
        <f>IF(ISERROR(MATCH(A157,'SegEnds_Xtal_Prot#'!B:B, 0)), "NoXtal", "Xtal")</f>
        <v>NoXtal</v>
      </c>
      <c r="D157" s="4" t="str">
        <f>VLOOKUP(A157,Classification!A:D,2,FALSE)</f>
        <v>A</v>
      </c>
      <c r="E157" s="5" t="str">
        <f>VLOOKUP(A157,Seqs!A:B,2,FALSE)</f>
        <v>MDPEETSVYLDYYYATSPNSDIRETHSHVPYTSVFLPVFYTAVFLTGVLGNLVLMGALHFKPGSRRLIDIFIINLAASDFIFLVTLPLWVDKEASLGLWRTGSFLCKGSSYMISVNMHCSVLLLTCMSVDRYLAIVWPVVSRKFRRTDCAYVVCASIWFISCLLGLPTLLSRELTLIDDKPYCAEKKATPIKLIWSLVALIFTFFVPLLSIVTCYCCIARKLCAHYQQSGKHNKKLKKSIKIIFIVVAAFLVSWLPFNTFKFLAIVSGLRQEHYLPSAILQLGMEVSGPLAFANSCVNPFIYYIFDSYIRRAIVHCLCPCLKNYDFGSSTETSDSHLTKALSTFIHAEDFARRRKRSVSL</v>
      </c>
      <c r="F157" s="5" t="str">
        <f t="shared" si="51"/>
        <v>YTSVFLPVFYTAVFLTGVLGNLVLMGALHFK</v>
      </c>
      <c r="G157" s="4" t="str">
        <f t="shared" si="52"/>
        <v/>
      </c>
      <c r="H157" s="4" t="str">
        <f t="shared" si="53"/>
        <v>RLIDIFIINLAASDFIFLVTLPLWVDKEAS</v>
      </c>
      <c r="I157" s="4" t="str">
        <f t="shared" si="54"/>
        <v>LWRT</v>
      </c>
      <c r="J157" s="4" t="str">
        <f t="shared" si="55"/>
        <v>GSFLCKGSSYMISVNMHCSVLLLTCMSVDRYLAIVW</v>
      </c>
      <c r="K157" s="4" t="str">
        <f t="shared" si="56"/>
        <v>PVVSRKFR</v>
      </c>
      <c r="L157" s="4" t="str">
        <f t="shared" si="57"/>
        <v>RTDCAYVVCASIWFISCLLGLPTLLSR</v>
      </c>
      <c r="M157" s="4" t="str">
        <f t="shared" si="58"/>
        <v>CAE</v>
      </c>
      <c r="N157" s="4" t="str">
        <f t="shared" si="59"/>
        <v>IKLIWSLVALIFTFFVPLLSIVTCYCCIARKLCAH</v>
      </c>
      <c r="O157" s="4" t="str">
        <f t="shared" si="60"/>
        <v>GKHNKKLKKSIKIIFIVVAAFLVSWLPFNTFKFLAIVS</v>
      </c>
      <c r="P157" s="4" t="str">
        <f t="shared" si="61"/>
        <v>HYLPSAILQLGMEVSGPLAFANSCVNPFIYYIF</v>
      </c>
      <c r="Q157" s="4" t="str">
        <f t="shared" si="62"/>
        <v>DSYIRRAIVHCLCPC</v>
      </c>
      <c r="R157" s="5">
        <f>VLOOKUP($A157,'SegEnds_NonXtal_Prot#'!$A:$AL,3,FALSE)</f>
        <v>31</v>
      </c>
      <c r="S157" s="5" t="str">
        <f>VLOOKUP($A157,'SegEnds_NonXtal_Prot#'!$A:$AL,6,FALSE)</f>
        <v>-</v>
      </c>
      <c r="T157" s="5">
        <f>VLOOKUP($A157,'SegEnds_NonXtal_Prot#'!$A:$AL,9,FALSE)</f>
        <v>66</v>
      </c>
      <c r="U157" s="5">
        <f>VLOOKUP($A157,'SegEnds_NonXtal_Prot#'!$A:$AL,12,FALSE)</f>
        <v>98</v>
      </c>
      <c r="V157" s="5">
        <f>VLOOKUP($A157,'SegEnds_NonXtal_Prot#'!$A:$AL,15,FALSE)</f>
        <v>102</v>
      </c>
      <c r="W157" s="5">
        <f>VLOOKUP($A157,'SegEnds_NonXtal_Prot#'!$A:$AL,18,FALSE)</f>
        <v>138</v>
      </c>
      <c r="X157" s="5">
        <f>VLOOKUP($A157,'SegEnds_NonXtal_Prot#'!$A:$AL,21,FALSE)</f>
        <v>146</v>
      </c>
      <c r="Y157" s="5">
        <f>VLOOKUP($A157,'SegEnds_NonXtal_Prot#'!$A:$AL,24,FALSE)</f>
        <v>183</v>
      </c>
      <c r="Z157" s="5">
        <f>VLOOKUP($A157,'SegEnds_NonXtal_Prot#'!$A:$AL,27,FALSE)</f>
        <v>191</v>
      </c>
      <c r="AA157" s="5">
        <f>VLOOKUP($A157,'SegEnds_NonXtal_Prot#'!$A:$AL,30,FALSE)</f>
        <v>230</v>
      </c>
      <c r="AB157" s="5">
        <f>VLOOKUP($A157,'SegEnds_NonXtal_Prot#'!$A:$AL,33,FALSE)</f>
        <v>273</v>
      </c>
      <c r="AC157" s="5">
        <f>VLOOKUP($A157,'SegEnds_NonXtal_Prot#'!$A:$AL,36,FALSE)</f>
        <v>306</v>
      </c>
      <c r="AD157" s="5">
        <f>VLOOKUP($A157,'SegEnds_NonXtal_Prot#'!$A:$AL,5,FALSE)</f>
        <v>61</v>
      </c>
      <c r="AE157" s="5" t="str">
        <f>VLOOKUP($A157,'SegEnds_NonXtal_Prot#'!$A:$AL,8,FALSE)</f>
        <v>-</v>
      </c>
      <c r="AF157" s="5">
        <f>VLOOKUP($A157,'SegEnds_NonXtal_Prot#'!$A:$AL,11,FALSE)</f>
        <v>95</v>
      </c>
      <c r="AG157" s="5">
        <f>VLOOKUP($A157,'SegEnds_NonXtal_Prot#'!$A:$AL,14,FALSE)</f>
        <v>101</v>
      </c>
      <c r="AH157" s="5">
        <f>VLOOKUP($A157,'SegEnds_NonXtal_Prot#'!$A:$AL,17,FALSE)</f>
        <v>137</v>
      </c>
      <c r="AI157" s="5">
        <f>VLOOKUP($A157,'SegEnds_NonXtal_Prot#'!$A:$AL,20,FALSE)</f>
        <v>145</v>
      </c>
      <c r="AJ157" s="5">
        <f>VLOOKUP($A157,'SegEnds_NonXtal_Prot#'!$A:$AL,23,FALSE)</f>
        <v>172</v>
      </c>
      <c r="AK157" s="5">
        <f>VLOOKUP($A157,'SegEnds_NonXtal_Prot#'!$A:$AL,26,FALSE)</f>
        <v>185</v>
      </c>
      <c r="AL157" s="5">
        <f>VLOOKUP($A157,'SegEnds_NonXtal_Prot#'!$A:$AL,29,FALSE)</f>
        <v>225</v>
      </c>
      <c r="AM157" s="5">
        <f>VLOOKUP($A157,'SegEnds_NonXtal_Prot#'!$A:$AL,32,FALSE)</f>
        <v>267</v>
      </c>
      <c r="AN157" s="5">
        <f>VLOOKUP($A157,'SegEnds_NonXtal_Prot#'!$A:$AL,35,FALSE)</f>
        <v>305</v>
      </c>
      <c r="AO157" s="5">
        <f>VLOOKUP($A157,'SegEnds_NonXtal_Prot#'!$A:$AL,38,FALSE)</f>
        <v>320</v>
      </c>
      <c r="AP157" s="5">
        <f t="shared" si="63"/>
        <v>30</v>
      </c>
      <c r="AQ157" s="4" t="str">
        <f t="shared" si="64"/>
        <v>-</v>
      </c>
      <c r="AR157" s="4">
        <f t="shared" si="65"/>
        <v>29</v>
      </c>
      <c r="AS157" s="4">
        <f t="shared" si="66"/>
        <v>3</v>
      </c>
      <c r="AT157" s="4">
        <f t="shared" si="67"/>
        <v>35</v>
      </c>
      <c r="AU157" s="4">
        <f t="shared" si="68"/>
        <v>7</v>
      </c>
      <c r="AV157" s="4">
        <f t="shared" si="69"/>
        <v>26</v>
      </c>
      <c r="AW157" s="4">
        <f t="shared" si="70"/>
        <v>2</v>
      </c>
      <c r="AX157" s="4">
        <f t="shared" si="71"/>
        <v>34</v>
      </c>
      <c r="AY157" s="4">
        <f t="shared" si="72"/>
        <v>37</v>
      </c>
      <c r="AZ157" s="4">
        <f t="shared" si="73"/>
        <v>32</v>
      </c>
      <c r="BA157" s="4">
        <f t="shared" si="74"/>
        <v>14</v>
      </c>
    </row>
    <row r="158" spans="1:53" x14ac:dyDescent="0.2">
      <c r="A158" s="1" t="str">
        <f>'SegEnds_NonXtal_Prot#'!A131</f>
        <v>gpr17_human</v>
      </c>
      <c r="B158" s="1" t="str">
        <f t="shared" si="50"/>
        <v>MLFASFYLLDFILALVGNTLALWLFIRDTPANVFLMHLAVADLSCVLVLPTRLVYHFSGGEIACRLTGFLFYLNMYASIYFLTCISADRFLAIVHRPLYAHLACAFLWVVVAVAMAPLLVSPLYREKASHHALVSLAVAFTFPFITTVTCYLLIIRSLRQEKRLKTKAVRMIAIVLAIFLVCFVPYHVNRSVYVLHYRSSCATQRILALANRITSCLTSLNGALDPIMYFFVAEKFRHALCNLLCGK</v>
      </c>
      <c r="C158" s="29" t="str">
        <f>IF(ISERROR(MATCH(A158,'SegEnds_Xtal_Prot#'!B:B, 0)), "NoXtal", "Xtal")</f>
        <v>NoXtal</v>
      </c>
      <c r="D158" s="4" t="str">
        <f>VLOOKUP(A158,Classification!A:D,2,FALSE)</f>
        <v>A</v>
      </c>
      <c r="E158" s="5" t="str">
        <f>VLOOKUP(A158,Seqs!A:B,2,FALSE)</f>
        <v>MSKRSWWAGSRKPPREMLKLSGSDSSQSMNGLEVAPPGLITNFSLATAEQCGQETPLENMLFASFYLLDFILALVGNTLALWLFIRDHKSGTPANVFLMHLAVADLSCVLVLPTRLVYHFSGNHWPFGEIACRLTGFLFYLNMYASIYFLTCISADRFLAIVHPVKSLKLRRPLYAHLACAFLWVVVAVAMAPLLVSPQTVQTNHTVVCLQLYREKASHHALVSLAVAFTFPFITTVTCYLLIIRSLRQGLRVEKRLKTKAVRMIAIVLAIFLVCFVPYHVNRSVYVLHYRSHGASCATQRILALANRITSCLTSLNGALDPIMYFFVAEKFRHALCNLLCGKRLKGPPPSFEGKTNESSLSAKSEL</v>
      </c>
      <c r="F158" s="5" t="str">
        <f t="shared" si="51"/>
        <v>MLFASFYLLDFILALVGNTLALWLFIRD</v>
      </c>
      <c r="G158" s="4" t="str">
        <f t="shared" si="52"/>
        <v/>
      </c>
      <c r="H158" s="4" t="str">
        <f t="shared" si="53"/>
        <v>TPANVFLMHLAVADLSCVLVLPTRLVYHFSG</v>
      </c>
      <c r="I158" s="4" t="str">
        <f t="shared" si="54"/>
        <v>HWPF</v>
      </c>
      <c r="J158" s="4" t="str">
        <f t="shared" si="55"/>
        <v>GEIACRLTGFLFYLNMYASIYFLTCISADRFLAIVH</v>
      </c>
      <c r="K158" s="4" t="str">
        <f t="shared" si="56"/>
        <v>PVKSLKLR</v>
      </c>
      <c r="L158" s="4" t="str">
        <f t="shared" si="57"/>
        <v>RPLYAHLACAFLWVVVAVAMAPLLVSP</v>
      </c>
      <c r="M158" s="4" t="str">
        <f t="shared" si="58"/>
        <v>CLQ</v>
      </c>
      <c r="N158" s="4" t="str">
        <f t="shared" si="59"/>
        <v>LYREKASHHALVSLAVAFTFPFITTVTCYLLIIRSLRQ</v>
      </c>
      <c r="O158" s="4" t="str">
        <f t="shared" si="60"/>
        <v>EKRLKTKAVRMIAIVLAIFLVCFVPYHVNRSVYVLHYRS</v>
      </c>
      <c r="P158" s="4" t="str">
        <f t="shared" si="61"/>
        <v>SCATQRILALANRITSCLTSLNGALDPIMYFFV</v>
      </c>
      <c r="Q158" s="4" t="str">
        <f t="shared" si="62"/>
        <v>AEKFRHALCNLLCGK</v>
      </c>
      <c r="R158" s="5">
        <f>VLOOKUP($A158,'SegEnds_NonXtal_Prot#'!$A:$AL,3,FALSE)</f>
        <v>60</v>
      </c>
      <c r="S158" s="5" t="str">
        <f>VLOOKUP($A158,'SegEnds_NonXtal_Prot#'!$A:$AL,6,FALSE)</f>
        <v>-</v>
      </c>
      <c r="T158" s="5">
        <f>VLOOKUP($A158,'SegEnds_NonXtal_Prot#'!$A:$AL,9,FALSE)</f>
        <v>92</v>
      </c>
      <c r="U158" s="5">
        <f>VLOOKUP($A158,'SegEnds_NonXtal_Prot#'!$A:$AL,12,FALSE)</f>
        <v>124</v>
      </c>
      <c r="V158" s="5">
        <f>VLOOKUP($A158,'SegEnds_NonXtal_Prot#'!$A:$AL,15,FALSE)</f>
        <v>128</v>
      </c>
      <c r="W158" s="5">
        <f>VLOOKUP($A158,'SegEnds_NonXtal_Prot#'!$A:$AL,18,FALSE)</f>
        <v>164</v>
      </c>
      <c r="X158" s="5">
        <f>VLOOKUP($A158,'SegEnds_NonXtal_Prot#'!$A:$AL,21,FALSE)</f>
        <v>172</v>
      </c>
      <c r="Y158" s="5">
        <f>VLOOKUP($A158,'SegEnds_NonXtal_Prot#'!$A:$AL,24,FALSE)</f>
        <v>209</v>
      </c>
      <c r="Z158" s="5">
        <f>VLOOKUP($A158,'SegEnds_NonXtal_Prot#'!$A:$AL,27,FALSE)</f>
        <v>212</v>
      </c>
      <c r="AA158" s="5">
        <f>VLOOKUP($A158,'SegEnds_NonXtal_Prot#'!$A:$AL,30,FALSE)</f>
        <v>254</v>
      </c>
      <c r="AB158" s="5">
        <f>VLOOKUP($A158,'SegEnds_NonXtal_Prot#'!$A:$AL,33,FALSE)</f>
        <v>296</v>
      </c>
      <c r="AC158" s="5">
        <f>VLOOKUP($A158,'SegEnds_NonXtal_Prot#'!$A:$AL,36,FALSE)</f>
        <v>329</v>
      </c>
      <c r="AD158" s="5">
        <f>VLOOKUP($A158,'SegEnds_NonXtal_Prot#'!$A:$AL,5,FALSE)</f>
        <v>87</v>
      </c>
      <c r="AE158" s="5" t="str">
        <f>VLOOKUP($A158,'SegEnds_NonXtal_Prot#'!$A:$AL,8,FALSE)</f>
        <v>-</v>
      </c>
      <c r="AF158" s="5">
        <f>VLOOKUP($A158,'SegEnds_NonXtal_Prot#'!$A:$AL,11,FALSE)</f>
        <v>122</v>
      </c>
      <c r="AG158" s="5">
        <f>VLOOKUP($A158,'SegEnds_NonXtal_Prot#'!$A:$AL,14,FALSE)</f>
        <v>127</v>
      </c>
      <c r="AH158" s="5">
        <f>VLOOKUP($A158,'SegEnds_NonXtal_Prot#'!$A:$AL,17,FALSE)</f>
        <v>163</v>
      </c>
      <c r="AI158" s="5">
        <f>VLOOKUP($A158,'SegEnds_NonXtal_Prot#'!$A:$AL,20,FALSE)</f>
        <v>171</v>
      </c>
      <c r="AJ158" s="5">
        <f>VLOOKUP($A158,'SegEnds_NonXtal_Prot#'!$A:$AL,23,FALSE)</f>
        <v>198</v>
      </c>
      <c r="AK158" s="5">
        <f>VLOOKUP($A158,'SegEnds_NonXtal_Prot#'!$A:$AL,26,FALSE)</f>
        <v>211</v>
      </c>
      <c r="AL158" s="5">
        <f>VLOOKUP($A158,'SegEnds_NonXtal_Prot#'!$A:$AL,29,FALSE)</f>
        <v>249</v>
      </c>
      <c r="AM158" s="5">
        <f>VLOOKUP($A158,'SegEnds_NonXtal_Prot#'!$A:$AL,32,FALSE)</f>
        <v>292</v>
      </c>
      <c r="AN158" s="5">
        <f>VLOOKUP($A158,'SegEnds_NonXtal_Prot#'!$A:$AL,35,FALSE)</f>
        <v>328</v>
      </c>
      <c r="AO158" s="5">
        <f>VLOOKUP($A158,'SegEnds_NonXtal_Prot#'!$A:$AL,38,FALSE)</f>
        <v>343</v>
      </c>
      <c r="AP158" s="5">
        <f t="shared" si="63"/>
        <v>27</v>
      </c>
      <c r="AQ158" s="4" t="str">
        <f t="shared" si="64"/>
        <v>-</v>
      </c>
      <c r="AR158" s="4">
        <f t="shared" si="65"/>
        <v>30</v>
      </c>
      <c r="AS158" s="4">
        <f t="shared" si="66"/>
        <v>3</v>
      </c>
      <c r="AT158" s="4">
        <f t="shared" si="67"/>
        <v>35</v>
      </c>
      <c r="AU158" s="4">
        <f t="shared" si="68"/>
        <v>7</v>
      </c>
      <c r="AV158" s="4">
        <f t="shared" si="69"/>
        <v>26</v>
      </c>
      <c r="AW158" s="4">
        <f t="shared" si="70"/>
        <v>2</v>
      </c>
      <c r="AX158" s="4">
        <f t="shared" si="71"/>
        <v>37</v>
      </c>
      <c r="AY158" s="4">
        <f t="shared" si="72"/>
        <v>38</v>
      </c>
      <c r="AZ158" s="4">
        <f t="shared" si="73"/>
        <v>32</v>
      </c>
      <c r="BA158" s="4">
        <f t="shared" si="74"/>
        <v>14</v>
      </c>
    </row>
    <row r="159" spans="1:53" x14ac:dyDescent="0.2">
      <c r="A159" s="1" t="str">
        <f>'SegEnds_NonXtal_Prot#'!A132</f>
        <v>gpr18_human</v>
      </c>
      <c r="B159" s="1" t="str">
        <f t="shared" si="50"/>
        <v>EYKIAALVFYSCIFIIGLFVNITALWVFSCTTTVTIYMMNVALVDLIFIMTLPFRMFYYAKGEYFCQILGALTVFYPSIALWLLAFISADRYMAIVQNTCKAVLACVGVWIMTLTTTTPLLLLYYLKAVNVLNLTRLTFFFLIPLFIMIGCYLVIIHNLLHGKLKPKVKEKSIRIIITLLVQVLVCFMPFHICFAFLMLGYNPWGAFTTFLMNLSTCLDVILYYIVSKQFQARVISVML</v>
      </c>
      <c r="C159" s="29" t="str">
        <f>IF(ISERROR(MATCH(A159,'SegEnds_Xtal_Prot#'!B:B, 0)), "NoXtal", "Xtal")</f>
        <v>NoXtal</v>
      </c>
      <c r="D159" s="4" t="str">
        <f>VLOOKUP(A159,Classification!A:D,2,FALSE)</f>
        <v>A</v>
      </c>
      <c r="E159" s="5" t="str">
        <f>VLOOKUP(A159,Seqs!A:B,2,FALSE)</f>
        <v>MITLNNQDQPVPFNSSHPDEYKIAALVFYSCIFIIGLFVNITALWVFSCTTKKRTTVTIYMMNVALVDLIFIMTLPFRMFYYAKDEWPFGEYFCQILGALTVFYPSIALWLLAFISADRYMAIVQPKYAKELKNTCKAVLACVGVWIMTLTTTTPLLLLYKDPDKDSTPATCLKISDIIYLKAVNVLNLTRLTFFFLIPLFIMIGCYLVIIHNLLHGRTSKLKPKVKEKSIRIIITLLVQVLVCFMPFHICFAFLMLGTGENSYNPWGAFTTFLMNLSTCLDVILYYIVSKQFQARVISVMLYRNYLRSMRRKSFRSGSLRSLSNINSEML</v>
      </c>
      <c r="F159" s="5" t="str">
        <f t="shared" si="51"/>
        <v>EYKIAALVFYSCIFIIGLFVNITALWVFSCT</v>
      </c>
      <c r="G159" s="4" t="str">
        <f t="shared" si="52"/>
        <v/>
      </c>
      <c r="H159" s="4" t="str">
        <f t="shared" si="53"/>
        <v>TTVTIYMMNVALVDLIFIMTLPFRMFYYAK</v>
      </c>
      <c r="I159" s="4" t="str">
        <f t="shared" si="54"/>
        <v>EWPF</v>
      </c>
      <c r="J159" s="4" t="str">
        <f t="shared" si="55"/>
        <v>GEYFCQILGALTVFYPSIALWLLAFISADRYMAIVQ</v>
      </c>
      <c r="K159" s="4" t="str">
        <f t="shared" si="56"/>
        <v>PKYAKELK</v>
      </c>
      <c r="L159" s="4" t="str">
        <f t="shared" si="57"/>
        <v>NTCKAVLACVGVWIMTLTTTTPLLLLY</v>
      </c>
      <c r="M159" s="4" t="str">
        <f t="shared" si="58"/>
        <v>CLK</v>
      </c>
      <c r="N159" s="4" t="str">
        <f t="shared" si="59"/>
        <v>YLKAVNVLNLTRLTFFFLIPLFIMIGCYLVIIHNLLHG</v>
      </c>
      <c r="O159" s="4" t="str">
        <f t="shared" si="60"/>
        <v>KLKPKVKEKSIRIIITLLVQVLVCFMPFHICFAFLMLG</v>
      </c>
      <c r="P159" s="4" t="str">
        <f t="shared" si="61"/>
        <v>YNPWGAFTTFLMNLSTCLDVILYYIV</v>
      </c>
      <c r="Q159" s="4" t="str">
        <f t="shared" si="62"/>
        <v>SKQFQARVISVML</v>
      </c>
      <c r="R159" s="5">
        <f>VLOOKUP($A159,'SegEnds_NonXtal_Prot#'!$A:$AL,3,FALSE)</f>
        <v>20</v>
      </c>
      <c r="S159" s="5" t="str">
        <f>VLOOKUP($A159,'SegEnds_NonXtal_Prot#'!$A:$AL,6,FALSE)</f>
        <v>-</v>
      </c>
      <c r="T159" s="5">
        <f>VLOOKUP($A159,'SegEnds_NonXtal_Prot#'!$A:$AL,9,FALSE)</f>
        <v>55</v>
      </c>
      <c r="U159" s="5">
        <f>VLOOKUP($A159,'SegEnds_NonXtal_Prot#'!$A:$AL,12,FALSE)</f>
        <v>86</v>
      </c>
      <c r="V159" s="5">
        <f>VLOOKUP($A159,'SegEnds_NonXtal_Prot#'!$A:$AL,15,FALSE)</f>
        <v>90</v>
      </c>
      <c r="W159" s="5">
        <f>VLOOKUP($A159,'SegEnds_NonXtal_Prot#'!$A:$AL,18,FALSE)</f>
        <v>126</v>
      </c>
      <c r="X159" s="5">
        <f>VLOOKUP($A159,'SegEnds_NonXtal_Prot#'!$A:$AL,21,FALSE)</f>
        <v>134</v>
      </c>
      <c r="Y159" s="5">
        <f>VLOOKUP($A159,'SegEnds_NonXtal_Prot#'!$A:$AL,24,FALSE)</f>
        <v>172</v>
      </c>
      <c r="Z159" s="5">
        <f>VLOOKUP($A159,'SegEnds_NonXtal_Prot#'!$A:$AL,27,FALSE)</f>
        <v>180</v>
      </c>
      <c r="AA159" s="5">
        <f>VLOOKUP($A159,'SegEnds_NonXtal_Prot#'!$A:$AL,30,FALSE)</f>
        <v>221</v>
      </c>
      <c r="AB159" s="5">
        <f>VLOOKUP($A159,'SegEnds_NonXtal_Prot#'!$A:$AL,33,FALSE)</f>
        <v>264</v>
      </c>
      <c r="AC159" s="5">
        <f>VLOOKUP($A159,'SegEnds_NonXtal_Prot#'!$A:$AL,36,FALSE)</f>
        <v>290</v>
      </c>
      <c r="AD159" s="5">
        <f>VLOOKUP($A159,'SegEnds_NonXtal_Prot#'!$A:$AL,5,FALSE)</f>
        <v>50</v>
      </c>
      <c r="AE159" s="5" t="str">
        <f>VLOOKUP($A159,'SegEnds_NonXtal_Prot#'!$A:$AL,8,FALSE)</f>
        <v>-</v>
      </c>
      <c r="AF159" s="5">
        <f>VLOOKUP($A159,'SegEnds_NonXtal_Prot#'!$A:$AL,11,FALSE)</f>
        <v>84</v>
      </c>
      <c r="AG159" s="5">
        <f>VLOOKUP($A159,'SegEnds_NonXtal_Prot#'!$A:$AL,14,FALSE)</f>
        <v>89</v>
      </c>
      <c r="AH159" s="5">
        <f>VLOOKUP($A159,'SegEnds_NonXtal_Prot#'!$A:$AL,17,FALSE)</f>
        <v>125</v>
      </c>
      <c r="AI159" s="5">
        <f>VLOOKUP($A159,'SegEnds_NonXtal_Prot#'!$A:$AL,20,FALSE)</f>
        <v>133</v>
      </c>
      <c r="AJ159" s="5">
        <f>VLOOKUP($A159,'SegEnds_NonXtal_Prot#'!$A:$AL,23,FALSE)</f>
        <v>160</v>
      </c>
      <c r="AK159" s="5">
        <f>VLOOKUP($A159,'SegEnds_NonXtal_Prot#'!$A:$AL,26,FALSE)</f>
        <v>174</v>
      </c>
      <c r="AL159" s="5">
        <f>VLOOKUP($A159,'SegEnds_NonXtal_Prot#'!$A:$AL,29,FALSE)</f>
        <v>217</v>
      </c>
      <c r="AM159" s="5">
        <f>VLOOKUP($A159,'SegEnds_NonXtal_Prot#'!$A:$AL,32,FALSE)</f>
        <v>258</v>
      </c>
      <c r="AN159" s="5">
        <f>VLOOKUP($A159,'SegEnds_NonXtal_Prot#'!$A:$AL,35,FALSE)</f>
        <v>289</v>
      </c>
      <c r="AO159" s="5">
        <f>VLOOKUP($A159,'SegEnds_NonXtal_Prot#'!$A:$AL,38,FALSE)</f>
        <v>302</v>
      </c>
      <c r="AP159" s="5">
        <f t="shared" si="63"/>
        <v>30</v>
      </c>
      <c r="AQ159" s="4" t="str">
        <f t="shared" si="64"/>
        <v>-</v>
      </c>
      <c r="AR159" s="4">
        <f t="shared" si="65"/>
        <v>29</v>
      </c>
      <c r="AS159" s="4">
        <f t="shared" si="66"/>
        <v>3</v>
      </c>
      <c r="AT159" s="4">
        <f t="shared" si="67"/>
        <v>35</v>
      </c>
      <c r="AU159" s="4">
        <f t="shared" si="68"/>
        <v>7</v>
      </c>
      <c r="AV159" s="4">
        <f t="shared" si="69"/>
        <v>26</v>
      </c>
      <c r="AW159" s="4">
        <f t="shared" si="70"/>
        <v>2</v>
      </c>
      <c r="AX159" s="4">
        <f t="shared" si="71"/>
        <v>37</v>
      </c>
      <c r="AY159" s="4">
        <f t="shared" si="72"/>
        <v>37</v>
      </c>
      <c r="AZ159" s="4">
        <f t="shared" si="73"/>
        <v>25</v>
      </c>
      <c r="BA159" s="4">
        <f t="shared" si="74"/>
        <v>12</v>
      </c>
    </row>
    <row r="160" spans="1:53" x14ac:dyDescent="0.2">
      <c r="A160" s="1" t="str">
        <f>'SegEnds_NonXtal_Prot#'!A133</f>
        <v>gpr20_human</v>
      </c>
      <c r="B160" s="1" t="str">
        <f t="shared" si="50"/>
        <v>GLWLALMAVHGAIFLAGLVLNGLALYVFCCRTPSVIYTINLVVTDLLVGLSLPTRFAVYYGCAFPHVLGYFLNMHCSILFLTCICVDRYLAIVRQPACARAVCAFVWLAAGAVTLSVLGVTRVFALTVLEFLLPLLVISVFTGRIMCALSRPHQGRQRRVRAMQLLLTVLIIFLVCFTPFHARQVAVALWHHTSLVVYHVAVTLSSLNSCMDPIVYCFVTSGFQATVRGLFG</v>
      </c>
      <c r="C160" s="29" t="str">
        <f>IF(ISERROR(MATCH(A160,'SegEnds_Xtal_Prot#'!B:B, 0)), "NoXtal", "Xtal")</f>
        <v>NoXtal</v>
      </c>
      <c r="D160" s="4" t="str">
        <f>VLOOKUP(A160,Classification!A:D,2,FALSE)</f>
        <v>A</v>
      </c>
      <c r="E160" s="5" t="str">
        <f>VLOOKUP(A160,Seqs!A:B,2,FALSE)</f>
        <v>MPSVSPAGPSAGAVPNATAVTTVRTNASGLEVPLFHLFARLDEELHGTFPGLWLALMAVHGAIFLAGLVLNGLALYVFCCRTRAKTPSVIYTINLVVTDLLVGLSLPTRFAVYYGARGCLRCAFPHVLGYFLNMHCSILFLTCICVDRYLAIVRPEGSRRCRQPACARAVCAFVWLAAGAVTLSVLGVTGSRPCCRVFALTVLEFLLPLLVISVFTGRIMCALSRPGLLHQGRQRRVRAMQLLLTVLIIFLVCFTPFHARQVAVALWPDMPHHTSLVVYHVAVTLSSLNSCMDPIVYCFVTSGFQATVRGLFGQHGEREPSSGDVVSMHRSSKGSGRHHILSAGPHALTQALANGPEA</v>
      </c>
      <c r="F160" s="5" t="str">
        <f t="shared" si="51"/>
        <v>GLWLALMAVHGAIFLAGLVLNGLALYVFCCR</v>
      </c>
      <c r="G160" s="4" t="str">
        <f t="shared" si="52"/>
        <v>TRAK</v>
      </c>
      <c r="H160" s="4" t="str">
        <f t="shared" si="53"/>
        <v>TPSVIYTINLVVTDLLVGLSLPTRFAVYYG</v>
      </c>
      <c r="I160" s="4" t="str">
        <f t="shared" si="54"/>
        <v/>
      </c>
      <c r="J160" s="4" t="str">
        <f t="shared" si="55"/>
        <v>CAFPHVLGYFLNMHCSILFLTCICVDRYLAIVR</v>
      </c>
      <c r="K160" s="4" t="str">
        <f t="shared" si="56"/>
        <v>PEGSRRCR</v>
      </c>
      <c r="L160" s="4" t="str">
        <f t="shared" si="57"/>
        <v>QPACARAVCAFVWLAAGAVTLSVLGVT</v>
      </c>
      <c r="M160" s="4" t="str">
        <f t="shared" si="58"/>
        <v/>
      </c>
      <c r="N160" s="4" t="str">
        <f t="shared" si="59"/>
        <v>RVFALTVLEFLLPLLVISVFTGRIMCALSRP</v>
      </c>
      <c r="O160" s="4" t="str">
        <f t="shared" si="60"/>
        <v>HQGRQRRVRAMQLLLTVLIIFLVCFTPFHARQVAVALW</v>
      </c>
      <c r="P160" s="4" t="str">
        <f t="shared" si="61"/>
        <v>HHTSLVVYHVAVTLSSLNSCMDPIVYCFV</v>
      </c>
      <c r="Q160" s="4" t="str">
        <f t="shared" si="62"/>
        <v>TSGFQATVRGLFG</v>
      </c>
      <c r="R160" s="5">
        <f>VLOOKUP($A160,'SegEnds_NonXtal_Prot#'!$A:$AL,3,FALSE)</f>
        <v>51</v>
      </c>
      <c r="S160" s="5">
        <f>VLOOKUP($A160,'SegEnds_NonXtal_Prot#'!$A:$AL,6,FALSE)</f>
        <v>82</v>
      </c>
      <c r="T160" s="5">
        <f>VLOOKUP($A160,'SegEnds_NonXtal_Prot#'!$A:$AL,9,FALSE)</f>
        <v>86</v>
      </c>
      <c r="U160" s="5" t="str">
        <f>VLOOKUP($A160,'SegEnds_NonXtal_Prot#'!$A:$AL,12,FALSE)</f>
        <v>-</v>
      </c>
      <c r="V160" s="5">
        <f>VLOOKUP($A160,'SegEnds_NonXtal_Prot#'!$A:$AL,15,FALSE)</f>
        <v>122</v>
      </c>
      <c r="W160" s="5">
        <f>VLOOKUP($A160,'SegEnds_NonXtal_Prot#'!$A:$AL,18,FALSE)</f>
        <v>155</v>
      </c>
      <c r="X160" s="5">
        <f>VLOOKUP($A160,'SegEnds_NonXtal_Prot#'!$A:$AL,21,FALSE)</f>
        <v>163</v>
      </c>
      <c r="Y160" s="5" t="str">
        <f>VLOOKUP($A160,'SegEnds_NonXtal_Prot#'!$A:$AL,24,FALSE)</f>
        <v>-</v>
      </c>
      <c r="Z160" s="5">
        <f>VLOOKUP($A160,'SegEnds_NonXtal_Prot#'!$A:$AL,27,FALSE)</f>
        <v>196</v>
      </c>
      <c r="AA160" s="5">
        <f>VLOOKUP($A160,'SegEnds_NonXtal_Prot#'!$A:$AL,30,FALSE)</f>
        <v>230</v>
      </c>
      <c r="AB160" s="5">
        <f>VLOOKUP($A160,'SegEnds_NonXtal_Prot#'!$A:$AL,33,FALSE)</f>
        <v>272</v>
      </c>
      <c r="AC160" s="5">
        <f>VLOOKUP($A160,'SegEnds_NonXtal_Prot#'!$A:$AL,36,FALSE)</f>
        <v>301</v>
      </c>
      <c r="AD160" s="5">
        <f>VLOOKUP($A160,'SegEnds_NonXtal_Prot#'!$A:$AL,5,FALSE)</f>
        <v>81</v>
      </c>
      <c r="AE160" s="5">
        <f>VLOOKUP($A160,'SegEnds_NonXtal_Prot#'!$A:$AL,8,FALSE)</f>
        <v>85</v>
      </c>
      <c r="AF160" s="5">
        <f>VLOOKUP($A160,'SegEnds_NonXtal_Prot#'!$A:$AL,11,FALSE)</f>
        <v>115</v>
      </c>
      <c r="AG160" s="5" t="str">
        <f>VLOOKUP($A160,'SegEnds_NonXtal_Prot#'!$A:$AL,14,FALSE)</f>
        <v>-</v>
      </c>
      <c r="AH160" s="5">
        <f>VLOOKUP($A160,'SegEnds_NonXtal_Prot#'!$A:$AL,17,FALSE)</f>
        <v>154</v>
      </c>
      <c r="AI160" s="5">
        <f>VLOOKUP($A160,'SegEnds_NonXtal_Prot#'!$A:$AL,20,FALSE)</f>
        <v>162</v>
      </c>
      <c r="AJ160" s="5">
        <f>VLOOKUP($A160,'SegEnds_NonXtal_Prot#'!$A:$AL,23,FALSE)</f>
        <v>189</v>
      </c>
      <c r="AK160" s="5" t="str">
        <f>VLOOKUP($A160,'SegEnds_NonXtal_Prot#'!$A:$AL,26,FALSE)</f>
        <v>-</v>
      </c>
      <c r="AL160" s="5">
        <f>VLOOKUP($A160,'SegEnds_NonXtal_Prot#'!$A:$AL,29,FALSE)</f>
        <v>226</v>
      </c>
      <c r="AM160" s="5">
        <f>VLOOKUP($A160,'SegEnds_NonXtal_Prot#'!$A:$AL,32,FALSE)</f>
        <v>267</v>
      </c>
      <c r="AN160" s="5">
        <f>VLOOKUP($A160,'SegEnds_NonXtal_Prot#'!$A:$AL,35,FALSE)</f>
        <v>300</v>
      </c>
      <c r="AO160" s="5">
        <f>VLOOKUP($A160,'SegEnds_NonXtal_Prot#'!$A:$AL,38,FALSE)</f>
        <v>313</v>
      </c>
      <c r="AP160" s="5">
        <f t="shared" si="63"/>
        <v>30</v>
      </c>
      <c r="AQ160" s="4">
        <f t="shared" si="64"/>
        <v>3</v>
      </c>
      <c r="AR160" s="4">
        <f t="shared" si="65"/>
        <v>29</v>
      </c>
      <c r="AS160" s="4" t="str">
        <f t="shared" si="66"/>
        <v>-</v>
      </c>
      <c r="AT160" s="4">
        <f t="shared" si="67"/>
        <v>32</v>
      </c>
      <c r="AU160" s="4">
        <f t="shared" si="68"/>
        <v>7</v>
      </c>
      <c r="AV160" s="4">
        <f t="shared" si="69"/>
        <v>26</v>
      </c>
      <c r="AW160" s="4" t="str">
        <f t="shared" si="70"/>
        <v>-</v>
      </c>
      <c r="AX160" s="4">
        <f t="shared" si="71"/>
        <v>30</v>
      </c>
      <c r="AY160" s="4">
        <f t="shared" si="72"/>
        <v>37</v>
      </c>
      <c r="AZ160" s="4">
        <f t="shared" si="73"/>
        <v>28</v>
      </c>
      <c r="BA160" s="4">
        <f t="shared" si="74"/>
        <v>12</v>
      </c>
    </row>
    <row r="161" spans="1:53" x14ac:dyDescent="0.2">
      <c r="A161" s="1" t="str">
        <f>'SegEnds_NonXtal_Prot#'!A134</f>
        <v>gpr21_human</v>
      </c>
      <c r="B161" s="1" t="str">
        <f t="shared" si="50"/>
        <v>CLLEVLIIVFLTVLIISGNIIVIFVFHCAHHTTSYFIQTMAYADLFVGVSCVVPSLSLLHPVEESLTCQIFGFVVSVLKSVSMASLACISIDRYIAITKTPWRLRLCIFLIWLYSTLVFLPSFFHWTDSYFTLFIVMMLYAPAALIVCFTYFNIFRICQQHTKDISETGEVQACPDKRYAMVLFRITSVFYILWLPYIIYFLLESSTRFASFLTTWLAISNSFCNCVIYSLSNSVFQRGLKRLS</v>
      </c>
      <c r="C161" s="29" t="str">
        <f>IF(ISERROR(MATCH(A161,'SegEnds_Xtal_Prot#'!B:B, 0)), "NoXtal", "Xtal")</f>
        <v>NoXtal</v>
      </c>
      <c r="D161" s="4" t="str">
        <f>VLOOKUP(A161,Classification!A:D,2,FALSE)</f>
        <v>A</v>
      </c>
      <c r="E161" s="5" t="str">
        <f>VLOOKUP(A161,Seqs!A:B,2,FALSE)</f>
        <v>MNSTLDGNQSSHPFCLLAFGYLETVNFCLLEVLIIVFLTVLIISGNIIVIFVFHCAPLLNHHTTSYFIQTMAYADLFVGVSCVVPSLSLLHHPLPVEESLTCQIFGFVVSVLKSVSMASLACISIDRYIAITKPLTYNTLVTPWRLRLCIFLIWLYSTLVFLPSFFHWGKPGYHGDVFQWCAESWHTDSYFTLFIVMMLYAPAALIVCFTYFNIFRICQQHTKDISERQARFSSQSGETGEVQACPDKRYAMVLFRITSVFYILWLPYIIYFLLESSTGHSNRFASFLTTWLAISNSFCNCVIYSLSNSVFQRGLKRLSGAMCTSCASQTTANDPYTVRSKGPLNGCHI</v>
      </c>
      <c r="F161" s="5" t="str">
        <f t="shared" si="51"/>
        <v>CLLEVLIIVFLTVLIISGNIIVIFVFHCA</v>
      </c>
      <c r="G161" s="4" t="str">
        <f t="shared" si="52"/>
        <v>PLLN</v>
      </c>
      <c r="H161" s="4" t="str">
        <f t="shared" si="53"/>
        <v>HHTTSYFIQTMAYADLFVGVSCVVPSLSLLH</v>
      </c>
      <c r="I161" s="4" t="str">
        <f t="shared" si="54"/>
        <v/>
      </c>
      <c r="J161" s="4" t="str">
        <f t="shared" si="55"/>
        <v>PVEESLTCQIFGFVVSVLKSVSMASLACISIDRYIAITK</v>
      </c>
      <c r="K161" s="4" t="str">
        <f t="shared" si="56"/>
        <v>PLTYNTLV</v>
      </c>
      <c r="L161" s="4" t="str">
        <f t="shared" si="57"/>
        <v>TPWRLRLCIFLIWLYSTLVFLPSFFHW</v>
      </c>
      <c r="M161" s="4" t="str">
        <f t="shared" si="58"/>
        <v>CAE</v>
      </c>
      <c r="N161" s="4" t="str">
        <f t="shared" si="59"/>
        <v>TDSYFTLFIVMMLYAPAALIVCFTYFNIFRICQQHTKDIS</v>
      </c>
      <c r="O161" s="4" t="str">
        <f t="shared" si="60"/>
        <v>ETGEVQACPDKRYAMVLFRITSVFYILWLPYIIYFLLESST</v>
      </c>
      <c r="P161" s="4" t="str">
        <f t="shared" si="61"/>
        <v>RFASFLTTWLAISNSFCNCVIYSLS</v>
      </c>
      <c r="Q161" s="4" t="str">
        <f t="shared" si="62"/>
        <v>NSVFQRGLKRLS</v>
      </c>
      <c r="R161" s="5">
        <f>VLOOKUP($A161,'SegEnds_NonXtal_Prot#'!$A:$AL,3,FALSE)</f>
        <v>28</v>
      </c>
      <c r="S161" s="5">
        <f>VLOOKUP($A161,'SegEnds_NonXtal_Prot#'!$A:$AL,6,FALSE)</f>
        <v>57</v>
      </c>
      <c r="T161" s="5">
        <f>VLOOKUP($A161,'SegEnds_NonXtal_Prot#'!$A:$AL,9,FALSE)</f>
        <v>61</v>
      </c>
      <c r="U161" s="5" t="str">
        <f>VLOOKUP($A161,'SegEnds_NonXtal_Prot#'!$A:$AL,12,FALSE)</f>
        <v>-</v>
      </c>
      <c r="V161" s="5">
        <f>VLOOKUP($A161,'SegEnds_NonXtal_Prot#'!$A:$AL,15,FALSE)</f>
        <v>95</v>
      </c>
      <c r="W161" s="5">
        <f>VLOOKUP($A161,'SegEnds_NonXtal_Prot#'!$A:$AL,18,FALSE)</f>
        <v>134</v>
      </c>
      <c r="X161" s="5">
        <f>VLOOKUP($A161,'SegEnds_NonXtal_Prot#'!$A:$AL,21,FALSE)</f>
        <v>142</v>
      </c>
      <c r="Y161" s="5">
        <f>VLOOKUP($A161,'SegEnds_NonXtal_Prot#'!$A:$AL,24,FALSE)</f>
        <v>181</v>
      </c>
      <c r="Z161" s="5">
        <f>VLOOKUP($A161,'SegEnds_NonXtal_Prot#'!$A:$AL,27,FALSE)</f>
        <v>187</v>
      </c>
      <c r="AA161" s="5">
        <f>VLOOKUP($A161,'SegEnds_NonXtal_Prot#'!$A:$AL,30,FALSE)</f>
        <v>238</v>
      </c>
      <c r="AB161" s="5">
        <f>VLOOKUP($A161,'SegEnds_NonXtal_Prot#'!$A:$AL,33,FALSE)</f>
        <v>283</v>
      </c>
      <c r="AC161" s="5">
        <f>VLOOKUP($A161,'SegEnds_NonXtal_Prot#'!$A:$AL,36,FALSE)</f>
        <v>308</v>
      </c>
      <c r="AD161" s="5">
        <f>VLOOKUP($A161,'SegEnds_NonXtal_Prot#'!$A:$AL,5,FALSE)</f>
        <v>56</v>
      </c>
      <c r="AE161" s="5">
        <f>VLOOKUP($A161,'SegEnds_NonXtal_Prot#'!$A:$AL,8,FALSE)</f>
        <v>60</v>
      </c>
      <c r="AF161" s="5">
        <f>VLOOKUP($A161,'SegEnds_NonXtal_Prot#'!$A:$AL,11,FALSE)</f>
        <v>91</v>
      </c>
      <c r="AG161" s="5" t="str">
        <f>VLOOKUP($A161,'SegEnds_NonXtal_Prot#'!$A:$AL,14,FALSE)</f>
        <v>-</v>
      </c>
      <c r="AH161" s="5">
        <f>VLOOKUP($A161,'SegEnds_NonXtal_Prot#'!$A:$AL,17,FALSE)</f>
        <v>133</v>
      </c>
      <c r="AI161" s="5">
        <f>VLOOKUP($A161,'SegEnds_NonXtal_Prot#'!$A:$AL,20,FALSE)</f>
        <v>141</v>
      </c>
      <c r="AJ161" s="5">
        <f>VLOOKUP($A161,'SegEnds_NonXtal_Prot#'!$A:$AL,23,FALSE)</f>
        <v>168</v>
      </c>
      <c r="AK161" s="5">
        <f>VLOOKUP($A161,'SegEnds_NonXtal_Prot#'!$A:$AL,26,FALSE)</f>
        <v>183</v>
      </c>
      <c r="AL161" s="5">
        <f>VLOOKUP($A161,'SegEnds_NonXtal_Prot#'!$A:$AL,29,FALSE)</f>
        <v>226</v>
      </c>
      <c r="AM161" s="5">
        <f>VLOOKUP($A161,'SegEnds_NonXtal_Prot#'!$A:$AL,32,FALSE)</f>
        <v>278</v>
      </c>
      <c r="AN161" s="5">
        <f>VLOOKUP($A161,'SegEnds_NonXtal_Prot#'!$A:$AL,35,FALSE)</f>
        <v>307</v>
      </c>
      <c r="AO161" s="5">
        <f>VLOOKUP($A161,'SegEnds_NonXtal_Prot#'!$A:$AL,38,FALSE)</f>
        <v>319</v>
      </c>
      <c r="AP161" s="5">
        <f t="shared" si="63"/>
        <v>28</v>
      </c>
      <c r="AQ161" s="4">
        <f t="shared" si="64"/>
        <v>3</v>
      </c>
      <c r="AR161" s="4">
        <f t="shared" si="65"/>
        <v>30</v>
      </c>
      <c r="AS161" s="4" t="str">
        <f t="shared" si="66"/>
        <v>-</v>
      </c>
      <c r="AT161" s="4">
        <f t="shared" si="67"/>
        <v>38</v>
      </c>
      <c r="AU161" s="4">
        <f t="shared" si="68"/>
        <v>7</v>
      </c>
      <c r="AV161" s="4">
        <f t="shared" si="69"/>
        <v>26</v>
      </c>
      <c r="AW161" s="4">
        <f t="shared" si="70"/>
        <v>2</v>
      </c>
      <c r="AX161" s="4">
        <f t="shared" si="71"/>
        <v>39</v>
      </c>
      <c r="AY161" s="4">
        <f t="shared" si="72"/>
        <v>40</v>
      </c>
      <c r="AZ161" s="4">
        <f t="shared" si="73"/>
        <v>24</v>
      </c>
      <c r="BA161" s="4">
        <f t="shared" si="74"/>
        <v>11</v>
      </c>
    </row>
    <row r="162" spans="1:53" x14ac:dyDescent="0.2">
      <c r="A162" s="1" t="str">
        <f>'SegEnds_NonXtal_Prot#'!A135</f>
        <v>gpr25_human</v>
      </c>
      <c r="B162" s="1" t="str">
        <f t="shared" si="50"/>
        <v>YGYVYIPALYLAAFAVGLLGNAFVVWLLAGRRLVDTFVLHLAAADLGFVLTLPLWAAAAALGDGLCKLSSFALAGTRCAGALLLAGMSVDRYLAVVKTPRCALASCCGVWAVALLAGLPSLVYRAFQGLSLLLLLLTFVLPLVVTLFCYCRISRRLRRRARRNSLRIIFAIESTFVGSWLPFSALRAVFHLARLGPCPLLLALRWGLTIATCLAFVNSCANPLIYLLLDRSFRARALDGACGR</v>
      </c>
      <c r="C162" s="29" t="str">
        <f>IF(ISERROR(MATCH(A162,'SegEnds_Xtal_Prot#'!B:B, 0)), "NoXtal", "Xtal")</f>
        <v>NoXtal</v>
      </c>
      <c r="D162" s="4" t="str">
        <f>VLOOKUP(A162,Classification!A:D,2,FALSE)</f>
        <v>A</v>
      </c>
      <c r="E162" s="5" t="str">
        <f>VLOOKUP(A162,Seqs!A:B,2,FALSE)</f>
        <v>MAPTEPWSPSPGSAPWDYSGLDGLEELELCPAGDLPYGYVYIPALYLAAFAVGLLGNAFVVWLLAGRRGPRRLVDTFVLHLAAADLGFVLTLPLWAAAAALGGRWPFGDGLCKLSSFALAGTRCAGALLLAGMSVDRYLAVVKLLEARPLRTPRCALASCCGVWAVALLAGLPSLVYRGLQPLPGGQDSQCGEEPSHAFQGLSLLLLLLTFVLPLVVTLFCYCRISRRLRRPPHVGRARRNSLRIIFAIESTFVGSWLPFSALRAVFHLARLGALPLPCPLLLALRWGLTIATCLAFVNSCANPLIYLLLDRSFRARALDGACGRTGRLARRISSASSLSRDDSSVFRCRAQAANTASASW</v>
      </c>
      <c r="F162" s="5" t="str">
        <f t="shared" si="51"/>
        <v>YGYVYIPALYLAAFAVGLLGNAFVVWLLAGR</v>
      </c>
      <c r="G162" s="4" t="str">
        <f t="shared" si="52"/>
        <v>RGPR</v>
      </c>
      <c r="H162" s="4" t="str">
        <f t="shared" si="53"/>
        <v>RLVDTFVLHLAAADLGFVLTLPLWAAAAAL</v>
      </c>
      <c r="I162" s="4" t="str">
        <f t="shared" si="54"/>
        <v>RWPF</v>
      </c>
      <c r="J162" s="4" t="str">
        <f t="shared" si="55"/>
        <v>GDGLCKLSSFALAGTRCAGALLLAGMSVDRYLAVVK</v>
      </c>
      <c r="K162" s="4" t="str">
        <f t="shared" si="56"/>
        <v>LLEARPLR</v>
      </c>
      <c r="L162" s="4" t="str">
        <f t="shared" si="57"/>
        <v>TPRCALASCCGVWAVALLAGLPSLVYR</v>
      </c>
      <c r="M162" s="4" t="str">
        <f t="shared" si="58"/>
        <v>CGE</v>
      </c>
      <c r="N162" s="4" t="str">
        <f t="shared" si="59"/>
        <v>AFQGLSLLLLLLTFVLPLVVTLFCYCRISRRLRR</v>
      </c>
      <c r="O162" s="4" t="str">
        <f t="shared" si="60"/>
        <v>RARRNSLRIIFAIESTFVGSWLPFSALRAVFHLARLG</v>
      </c>
      <c r="P162" s="4" t="str">
        <f t="shared" si="61"/>
        <v>PCPLLLALRWGLTIATCLAFVNSCANPLIYLLL</v>
      </c>
      <c r="Q162" s="4" t="str">
        <f t="shared" si="62"/>
        <v>DRSFRARALDGACGR</v>
      </c>
      <c r="R162" s="5">
        <f>VLOOKUP($A162,'SegEnds_NonXtal_Prot#'!$A:$AL,3,FALSE)</f>
        <v>37</v>
      </c>
      <c r="S162" s="5">
        <f>VLOOKUP($A162,'SegEnds_NonXtal_Prot#'!$A:$AL,6,FALSE)</f>
        <v>68</v>
      </c>
      <c r="T162" s="5">
        <f>VLOOKUP($A162,'SegEnds_NonXtal_Prot#'!$A:$AL,9,FALSE)</f>
        <v>72</v>
      </c>
      <c r="U162" s="5">
        <f>VLOOKUP($A162,'SegEnds_NonXtal_Prot#'!$A:$AL,12,FALSE)</f>
        <v>104</v>
      </c>
      <c r="V162" s="5">
        <f>VLOOKUP($A162,'SegEnds_NonXtal_Prot#'!$A:$AL,15,FALSE)</f>
        <v>108</v>
      </c>
      <c r="W162" s="5">
        <f>VLOOKUP($A162,'SegEnds_NonXtal_Prot#'!$A:$AL,18,FALSE)</f>
        <v>144</v>
      </c>
      <c r="X162" s="5">
        <f>VLOOKUP($A162,'SegEnds_NonXtal_Prot#'!$A:$AL,21,FALSE)</f>
        <v>152</v>
      </c>
      <c r="Y162" s="5">
        <f>VLOOKUP($A162,'SegEnds_NonXtal_Prot#'!$A:$AL,24,FALSE)</f>
        <v>191</v>
      </c>
      <c r="Z162" s="5">
        <f>VLOOKUP($A162,'SegEnds_NonXtal_Prot#'!$A:$AL,27,FALSE)</f>
        <v>198</v>
      </c>
      <c r="AA162" s="5">
        <f>VLOOKUP($A162,'SegEnds_NonXtal_Prot#'!$A:$AL,30,FALSE)</f>
        <v>237</v>
      </c>
      <c r="AB162" s="5">
        <f>VLOOKUP($A162,'SegEnds_NonXtal_Prot#'!$A:$AL,33,FALSE)</f>
        <v>278</v>
      </c>
      <c r="AC162" s="5">
        <f>VLOOKUP($A162,'SegEnds_NonXtal_Prot#'!$A:$AL,36,FALSE)</f>
        <v>311</v>
      </c>
      <c r="AD162" s="5">
        <f>VLOOKUP($A162,'SegEnds_NonXtal_Prot#'!$A:$AL,5,FALSE)</f>
        <v>67</v>
      </c>
      <c r="AE162" s="5">
        <f>VLOOKUP($A162,'SegEnds_NonXtal_Prot#'!$A:$AL,8,FALSE)</f>
        <v>71</v>
      </c>
      <c r="AF162" s="5">
        <f>VLOOKUP($A162,'SegEnds_NonXtal_Prot#'!$A:$AL,11,FALSE)</f>
        <v>101</v>
      </c>
      <c r="AG162" s="5">
        <f>VLOOKUP($A162,'SegEnds_NonXtal_Prot#'!$A:$AL,14,FALSE)</f>
        <v>107</v>
      </c>
      <c r="AH162" s="5">
        <f>VLOOKUP($A162,'SegEnds_NonXtal_Prot#'!$A:$AL,17,FALSE)</f>
        <v>143</v>
      </c>
      <c r="AI162" s="5">
        <f>VLOOKUP($A162,'SegEnds_NonXtal_Prot#'!$A:$AL,20,FALSE)</f>
        <v>151</v>
      </c>
      <c r="AJ162" s="5">
        <f>VLOOKUP($A162,'SegEnds_NonXtal_Prot#'!$A:$AL,23,FALSE)</f>
        <v>178</v>
      </c>
      <c r="AK162" s="5">
        <f>VLOOKUP($A162,'SegEnds_NonXtal_Prot#'!$A:$AL,26,FALSE)</f>
        <v>193</v>
      </c>
      <c r="AL162" s="5">
        <f>VLOOKUP($A162,'SegEnds_NonXtal_Prot#'!$A:$AL,29,FALSE)</f>
        <v>231</v>
      </c>
      <c r="AM162" s="5">
        <f>VLOOKUP($A162,'SegEnds_NonXtal_Prot#'!$A:$AL,32,FALSE)</f>
        <v>273</v>
      </c>
      <c r="AN162" s="5">
        <f>VLOOKUP($A162,'SegEnds_NonXtal_Prot#'!$A:$AL,35,FALSE)</f>
        <v>310</v>
      </c>
      <c r="AO162" s="5">
        <f>VLOOKUP($A162,'SegEnds_NonXtal_Prot#'!$A:$AL,38,FALSE)</f>
        <v>325</v>
      </c>
      <c r="AP162" s="5">
        <f t="shared" si="63"/>
        <v>30</v>
      </c>
      <c r="AQ162" s="4">
        <f t="shared" si="64"/>
        <v>3</v>
      </c>
      <c r="AR162" s="4">
        <f t="shared" si="65"/>
        <v>29</v>
      </c>
      <c r="AS162" s="4">
        <f t="shared" si="66"/>
        <v>3</v>
      </c>
      <c r="AT162" s="4">
        <f t="shared" si="67"/>
        <v>35</v>
      </c>
      <c r="AU162" s="4">
        <f t="shared" si="68"/>
        <v>7</v>
      </c>
      <c r="AV162" s="4">
        <f t="shared" si="69"/>
        <v>26</v>
      </c>
      <c r="AW162" s="4">
        <f t="shared" si="70"/>
        <v>2</v>
      </c>
      <c r="AX162" s="4">
        <f t="shared" si="71"/>
        <v>33</v>
      </c>
      <c r="AY162" s="4">
        <f t="shared" si="72"/>
        <v>36</v>
      </c>
      <c r="AZ162" s="4">
        <f t="shared" si="73"/>
        <v>32</v>
      </c>
      <c r="BA162" s="4">
        <f t="shared" si="74"/>
        <v>14</v>
      </c>
    </row>
    <row r="163" spans="1:53" x14ac:dyDescent="0.2">
      <c r="A163" s="1" t="str">
        <f>'SegEnds_NonXtal_Prot#'!A136</f>
        <v>gpr26_human</v>
      </c>
      <c r="B163" s="1" t="str">
        <f t="shared" si="50"/>
        <v>WDAGLAGLLVGTMGVSLLSNALVLLCLLHSRQAPALFTLNLTCGNLLCTVVNMPLTLAGVVAGDRLCRLAAFLDTFLAANSMLSMAALSIDRWVAVVFRLRDAALMVAYTWLHALTFPAAALALSFAVFTGAFHALSFLLSFVVLCCTYLKVLKVARFHCKRIDVITEEQKRRRQRATKKISTFIGTFLVCFAPYVITRLVELFSGSHWGVLSKCLAYSKAASDPFVYSLLRHQYRKSCKEIL</v>
      </c>
      <c r="C163" s="29" t="str">
        <f>IF(ISERROR(MATCH(A163,'SegEnds_Xtal_Prot#'!B:B, 0)), "NoXtal", "Xtal")</f>
        <v>NoXtal</v>
      </c>
      <c r="D163" s="4" t="str">
        <f>VLOOKUP(A163,Classification!A:D,2,FALSE)</f>
        <v>A</v>
      </c>
      <c r="E163" s="5" t="str">
        <f>VLOOKUP(A163,Seqs!A:B,2,FALSE)</f>
        <v>MNSWDAGLAGLLVGTMGVSLLSNALVLLCLLHSADIRRQAPALFTLNLTCGNLLCTVVNMPLTLAGVVAQRQPAGDRLCRLAAFLDTFLAANSMLSMAALSIDRWVAVVFPLSYRAKMRLRDAALMVAYTWLHALTFPAAALALSWLGFHQLYASCTLCSRRPDERLRFAVFTGAFHALSFLLSFVVLCCTYLKVLKVARFHCKRIDVITMQTLVLLVDLHPSVRERCLEEQKRRRQRATKKISTFIGTFLVCFAPYVITRLVELFSTVPIGSHWGVLSKCLAYSKAASDPFVYSLLRHQYRKSCKEILNRLLHRRSIHSSGLTGDSHSQNILPVSE</v>
      </c>
      <c r="F163" s="5" t="str">
        <f t="shared" si="51"/>
        <v>WDAGLAGLLVGTMGVSLLSNALVLLCLLHS</v>
      </c>
      <c r="G163" s="4" t="str">
        <f t="shared" si="52"/>
        <v>ADIR</v>
      </c>
      <c r="H163" s="4" t="str">
        <f t="shared" si="53"/>
        <v>RQAPALFTLNLTCGNLLCTVVNMPLTLAGVVA</v>
      </c>
      <c r="I163" s="4" t="str">
        <f t="shared" si="54"/>
        <v/>
      </c>
      <c r="J163" s="4" t="str">
        <f t="shared" si="55"/>
        <v>GDRLCRLAAFLDTFLAANSMLSMAALSIDRWVAVVF</v>
      </c>
      <c r="K163" s="4" t="str">
        <f t="shared" si="56"/>
        <v>PLSYRAKM</v>
      </c>
      <c r="L163" s="4" t="str">
        <f t="shared" si="57"/>
        <v>RLRDAALMVAYTWLHALTFPAAALALS</v>
      </c>
      <c r="M163" s="4" t="str">
        <f t="shared" si="58"/>
        <v>CSR</v>
      </c>
      <c r="N163" s="4" t="str">
        <f t="shared" si="59"/>
        <v>FAVFTGAFHALSFLLSFVVLCCTYLKVLKVARFHCKRIDVIT</v>
      </c>
      <c r="O163" s="4" t="str">
        <f t="shared" si="60"/>
        <v>EEQKRRRQRATKKISTFIGTFLVCFAPYVITRLVELFS</v>
      </c>
      <c r="P163" s="4" t="str">
        <f t="shared" si="61"/>
        <v>GSHWGVLSKCLAYSKAASDPFVYSLL</v>
      </c>
      <c r="Q163" s="4" t="str">
        <f t="shared" si="62"/>
        <v>RHQYRKSCKEIL</v>
      </c>
      <c r="R163" s="5">
        <f>VLOOKUP($A163,'SegEnds_NonXtal_Prot#'!$A:$AL,3,FALSE)</f>
        <v>4</v>
      </c>
      <c r="S163" s="5">
        <f>VLOOKUP($A163,'SegEnds_NonXtal_Prot#'!$A:$AL,6,FALSE)</f>
        <v>34</v>
      </c>
      <c r="T163" s="5">
        <f>VLOOKUP($A163,'SegEnds_NonXtal_Prot#'!$A:$AL,9,FALSE)</f>
        <v>38</v>
      </c>
      <c r="U163" s="5" t="str">
        <f>VLOOKUP($A163,'SegEnds_NonXtal_Prot#'!$A:$AL,12,FALSE)</f>
        <v>-</v>
      </c>
      <c r="V163" s="5">
        <f>VLOOKUP($A163,'SegEnds_NonXtal_Prot#'!$A:$AL,15,FALSE)</f>
        <v>75</v>
      </c>
      <c r="W163" s="5">
        <f>VLOOKUP($A163,'SegEnds_NonXtal_Prot#'!$A:$AL,18,FALSE)</f>
        <v>111</v>
      </c>
      <c r="X163" s="5">
        <f>VLOOKUP($A163,'SegEnds_NonXtal_Prot#'!$A:$AL,21,FALSE)</f>
        <v>119</v>
      </c>
      <c r="Y163" s="5">
        <f>VLOOKUP($A163,'SegEnds_NonXtal_Prot#'!$A:$AL,24,FALSE)</f>
        <v>159</v>
      </c>
      <c r="Z163" s="5">
        <f>VLOOKUP($A163,'SegEnds_NonXtal_Prot#'!$A:$AL,27,FALSE)</f>
        <v>169</v>
      </c>
      <c r="AA163" s="5">
        <f>VLOOKUP($A163,'SegEnds_NonXtal_Prot#'!$A:$AL,30,FALSE)</f>
        <v>230</v>
      </c>
      <c r="AB163" s="5">
        <f>VLOOKUP($A163,'SegEnds_NonXtal_Prot#'!$A:$AL,33,FALSE)</f>
        <v>272</v>
      </c>
      <c r="AC163" s="5">
        <f>VLOOKUP($A163,'SegEnds_NonXtal_Prot#'!$A:$AL,36,FALSE)</f>
        <v>298</v>
      </c>
      <c r="AD163" s="5">
        <f>VLOOKUP($A163,'SegEnds_NonXtal_Prot#'!$A:$AL,5,FALSE)</f>
        <v>33</v>
      </c>
      <c r="AE163" s="5">
        <f>VLOOKUP($A163,'SegEnds_NonXtal_Prot#'!$A:$AL,8,FALSE)</f>
        <v>37</v>
      </c>
      <c r="AF163" s="5">
        <f>VLOOKUP($A163,'SegEnds_NonXtal_Prot#'!$A:$AL,11,FALSE)</f>
        <v>69</v>
      </c>
      <c r="AG163" s="5" t="str">
        <f>VLOOKUP($A163,'SegEnds_NonXtal_Prot#'!$A:$AL,14,FALSE)</f>
        <v>-</v>
      </c>
      <c r="AH163" s="5">
        <f>VLOOKUP($A163,'SegEnds_NonXtal_Prot#'!$A:$AL,17,FALSE)</f>
        <v>110</v>
      </c>
      <c r="AI163" s="5">
        <f>VLOOKUP($A163,'SegEnds_NonXtal_Prot#'!$A:$AL,20,FALSE)</f>
        <v>118</v>
      </c>
      <c r="AJ163" s="5">
        <f>VLOOKUP($A163,'SegEnds_NonXtal_Prot#'!$A:$AL,23,FALSE)</f>
        <v>145</v>
      </c>
      <c r="AK163" s="5">
        <f>VLOOKUP($A163,'SegEnds_NonXtal_Prot#'!$A:$AL,26,FALSE)</f>
        <v>161</v>
      </c>
      <c r="AL163" s="5">
        <f>VLOOKUP($A163,'SegEnds_NonXtal_Prot#'!$A:$AL,29,FALSE)</f>
        <v>210</v>
      </c>
      <c r="AM163" s="5">
        <f>VLOOKUP($A163,'SegEnds_NonXtal_Prot#'!$A:$AL,32,FALSE)</f>
        <v>267</v>
      </c>
      <c r="AN163" s="5">
        <f>VLOOKUP($A163,'SegEnds_NonXtal_Prot#'!$A:$AL,35,FALSE)</f>
        <v>297</v>
      </c>
      <c r="AO163" s="5">
        <f>VLOOKUP($A163,'SegEnds_NonXtal_Prot#'!$A:$AL,38,FALSE)</f>
        <v>309</v>
      </c>
      <c r="AP163" s="5">
        <f t="shared" si="63"/>
        <v>29</v>
      </c>
      <c r="AQ163" s="4">
        <f t="shared" si="64"/>
        <v>3</v>
      </c>
      <c r="AR163" s="4">
        <f t="shared" si="65"/>
        <v>31</v>
      </c>
      <c r="AS163" s="4" t="str">
        <f t="shared" si="66"/>
        <v>-</v>
      </c>
      <c r="AT163" s="4">
        <f t="shared" si="67"/>
        <v>35</v>
      </c>
      <c r="AU163" s="4">
        <f t="shared" si="68"/>
        <v>7</v>
      </c>
      <c r="AV163" s="4">
        <f t="shared" si="69"/>
        <v>26</v>
      </c>
      <c r="AW163" s="4">
        <f t="shared" si="70"/>
        <v>2</v>
      </c>
      <c r="AX163" s="4">
        <f t="shared" si="71"/>
        <v>41</v>
      </c>
      <c r="AY163" s="4">
        <f t="shared" si="72"/>
        <v>37</v>
      </c>
      <c r="AZ163" s="4">
        <f t="shared" si="73"/>
        <v>25</v>
      </c>
      <c r="BA163" s="4">
        <f t="shared" si="74"/>
        <v>11</v>
      </c>
    </row>
    <row r="164" spans="1:53" x14ac:dyDescent="0.2">
      <c r="A164" s="1" t="str">
        <f>'SegEnds_NonXtal_Prot#'!A137</f>
        <v>gpr3_human</v>
      </c>
      <c r="B164" s="1" t="str">
        <f t="shared" si="50"/>
        <v>LPSPKAWDVVLCISGTLVSCENALVVAIIVGTAPMFLLVGSLAVADLLAGLGLVLHFAGSAEMSLVLVGVLAMAFTASIGSLLAITVDRYLSLYNTVTRTYVMLALVWGGALGLGLLPVLASKNHLVVLAIAFFMVFGIMLQLYAQICRIVCRHAQQIASHYVATRKGIATLAVVLGAFAACWLPFTVYCLLGDAHYTYLTLLPATYNSMINPIIYAFRNQDVQKVLWAVCC</v>
      </c>
      <c r="C164" s="29" t="str">
        <f>IF(ISERROR(MATCH(A164,'SegEnds_Xtal_Prot#'!B:B, 0)), "NoXtal", "Xtal")</f>
        <v>NoXtal</v>
      </c>
      <c r="D164" s="4" t="str">
        <f>VLOOKUP(A164,Classification!A:D,2,FALSE)</f>
        <v>A</v>
      </c>
      <c r="E164" s="5" t="str">
        <f>VLOOKUP(A164,Seqs!A:B,2,FALSE)</f>
        <v>MMWGAGSPLAWLSAGSGNVNVSSVGPAEGPTGPAAPLPSPKAWDVVLCISGTLVSCENALVVAIIVGTPAFRAPMFLLVGSLAVADLLAGLGLVLHFAAVFCIGSAEMSLVLVGVLAMAFTASIGSLLAITVDRYLSLYNALTYYSETTVTRTYVMLALVWGGALGLGLLPVLAWNCLDGLTTCGVVYPLSKNHLVVLAIAFFMVFGIMLQLYAQICRIVCRHAQQIALQRHLLPASHYVATRKGIATLAVVLGAFAACWLPFTVYCLLGDAHSPPLYTYLTLLPATYNSMINPIIYAFRNQDVQKVLWAVCCCCSSSKIPFRSRSPSDV</v>
      </c>
      <c r="F164" s="5" t="str">
        <f t="shared" si="51"/>
        <v>LPSPKAWDVVLCISGTLVSCENALVVAIIVGT</v>
      </c>
      <c r="G164" s="4" t="str">
        <f t="shared" si="52"/>
        <v>PAFR</v>
      </c>
      <c r="H164" s="4" t="str">
        <f t="shared" si="53"/>
        <v>APMFLLVGSLAVADLLAGLGLVLHFA</v>
      </c>
      <c r="I164" s="4" t="str">
        <f t="shared" si="54"/>
        <v>VFCI</v>
      </c>
      <c r="J164" s="4" t="str">
        <f t="shared" si="55"/>
        <v>GSAEMSLVLVGVLAMAFTASIGSLLAITVDRYLSLYN</v>
      </c>
      <c r="K164" s="4" t="str">
        <f t="shared" si="56"/>
        <v>ALTYYSET</v>
      </c>
      <c r="L164" s="4" t="str">
        <f t="shared" si="57"/>
        <v>TVTRTYVMLALVWGGALGLGLLPVLA</v>
      </c>
      <c r="M164" s="4" t="str">
        <f t="shared" si="58"/>
        <v/>
      </c>
      <c r="N164" s="4" t="str">
        <f t="shared" si="59"/>
        <v>SKNHLVVLAIAFFMVFGIMLQLYAQICRIVCRHAQQI</v>
      </c>
      <c r="O164" s="4" t="str">
        <f t="shared" si="60"/>
        <v>ASHYVATRKGIATLAVVLGAFAACWLPFTVYCLLGDAH</v>
      </c>
      <c r="P164" s="4" t="str">
        <f t="shared" si="61"/>
        <v>YTYLTLLPATYNSMINPIIYAFR</v>
      </c>
      <c r="Q164" s="4" t="str">
        <f t="shared" si="62"/>
        <v>NQDVQKVLWAVCC</v>
      </c>
      <c r="R164" s="5">
        <f>VLOOKUP($A164,'SegEnds_NonXtal_Prot#'!$A:$AL,3,FALSE)</f>
        <v>37</v>
      </c>
      <c r="S164" s="5">
        <f>VLOOKUP($A164,'SegEnds_NonXtal_Prot#'!$A:$AL,6,FALSE)</f>
        <v>69</v>
      </c>
      <c r="T164" s="5">
        <f>VLOOKUP($A164,'SegEnds_NonXtal_Prot#'!$A:$AL,9,FALSE)</f>
        <v>73</v>
      </c>
      <c r="U164" s="5">
        <f>VLOOKUP($A164,'SegEnds_NonXtal_Prot#'!$A:$AL,12,FALSE)</f>
        <v>100</v>
      </c>
      <c r="V164" s="5">
        <f>VLOOKUP($A164,'SegEnds_NonXtal_Prot#'!$A:$AL,15,FALSE)</f>
        <v>104</v>
      </c>
      <c r="W164" s="5">
        <f>VLOOKUP($A164,'SegEnds_NonXtal_Prot#'!$A:$AL,18,FALSE)</f>
        <v>141</v>
      </c>
      <c r="X164" s="5">
        <f>VLOOKUP($A164,'SegEnds_NonXtal_Prot#'!$A:$AL,21,FALSE)</f>
        <v>149</v>
      </c>
      <c r="Y164" s="5" t="str">
        <f>VLOOKUP($A164,'SegEnds_NonXtal_Prot#'!$A:$AL,24,FALSE)</f>
        <v>-</v>
      </c>
      <c r="Z164" s="5">
        <f>VLOOKUP($A164,'SegEnds_NonXtal_Prot#'!$A:$AL,27,FALSE)</f>
        <v>191</v>
      </c>
      <c r="AA164" s="5">
        <f>VLOOKUP($A164,'SegEnds_NonXtal_Prot#'!$A:$AL,30,FALSE)</f>
        <v>236</v>
      </c>
      <c r="AB164" s="5">
        <f>VLOOKUP($A164,'SegEnds_NonXtal_Prot#'!$A:$AL,33,FALSE)</f>
        <v>278</v>
      </c>
      <c r="AC164" s="5">
        <f>VLOOKUP($A164,'SegEnds_NonXtal_Prot#'!$A:$AL,36,FALSE)</f>
        <v>301</v>
      </c>
      <c r="AD164" s="5">
        <f>VLOOKUP($A164,'SegEnds_NonXtal_Prot#'!$A:$AL,5,FALSE)</f>
        <v>68</v>
      </c>
      <c r="AE164" s="5">
        <f>VLOOKUP($A164,'SegEnds_NonXtal_Prot#'!$A:$AL,8,FALSE)</f>
        <v>72</v>
      </c>
      <c r="AF164" s="5">
        <f>VLOOKUP($A164,'SegEnds_NonXtal_Prot#'!$A:$AL,11,FALSE)</f>
        <v>98</v>
      </c>
      <c r="AG164" s="5">
        <f>VLOOKUP($A164,'SegEnds_NonXtal_Prot#'!$A:$AL,14,FALSE)</f>
        <v>103</v>
      </c>
      <c r="AH164" s="5">
        <f>VLOOKUP($A164,'SegEnds_NonXtal_Prot#'!$A:$AL,17,FALSE)</f>
        <v>140</v>
      </c>
      <c r="AI164" s="5">
        <f>VLOOKUP($A164,'SegEnds_NonXtal_Prot#'!$A:$AL,20,FALSE)</f>
        <v>148</v>
      </c>
      <c r="AJ164" s="5">
        <f>VLOOKUP($A164,'SegEnds_NonXtal_Prot#'!$A:$AL,23,FALSE)</f>
        <v>174</v>
      </c>
      <c r="AK164" s="5" t="str">
        <f>VLOOKUP($A164,'SegEnds_NonXtal_Prot#'!$A:$AL,26,FALSE)</f>
        <v>-</v>
      </c>
      <c r="AL164" s="5">
        <f>VLOOKUP($A164,'SegEnds_NonXtal_Prot#'!$A:$AL,29,FALSE)</f>
        <v>227</v>
      </c>
      <c r="AM164" s="5">
        <f>VLOOKUP($A164,'SegEnds_NonXtal_Prot#'!$A:$AL,32,FALSE)</f>
        <v>273</v>
      </c>
      <c r="AN164" s="5">
        <f>VLOOKUP($A164,'SegEnds_NonXtal_Prot#'!$A:$AL,35,FALSE)</f>
        <v>300</v>
      </c>
      <c r="AO164" s="5">
        <f>VLOOKUP($A164,'SegEnds_NonXtal_Prot#'!$A:$AL,38,FALSE)</f>
        <v>313</v>
      </c>
      <c r="AP164" s="5">
        <f t="shared" si="63"/>
        <v>31</v>
      </c>
      <c r="AQ164" s="4">
        <f t="shared" si="64"/>
        <v>3</v>
      </c>
      <c r="AR164" s="4">
        <f t="shared" si="65"/>
        <v>25</v>
      </c>
      <c r="AS164" s="4">
        <f t="shared" si="66"/>
        <v>3</v>
      </c>
      <c r="AT164" s="4">
        <f t="shared" si="67"/>
        <v>36</v>
      </c>
      <c r="AU164" s="4">
        <f t="shared" si="68"/>
        <v>7</v>
      </c>
      <c r="AV164" s="4">
        <f t="shared" si="69"/>
        <v>25</v>
      </c>
      <c r="AW164" s="4" t="str">
        <f t="shared" si="70"/>
        <v>-</v>
      </c>
      <c r="AX164" s="4">
        <f t="shared" si="71"/>
        <v>36</v>
      </c>
      <c r="AY164" s="4">
        <f t="shared" si="72"/>
        <v>37</v>
      </c>
      <c r="AZ164" s="4">
        <f t="shared" si="73"/>
        <v>22</v>
      </c>
      <c r="BA164" s="4">
        <f t="shared" si="74"/>
        <v>12</v>
      </c>
    </row>
    <row r="165" spans="1:53" x14ac:dyDescent="0.2">
      <c r="A165" s="1" t="str">
        <f>'SegEnds_NonXtal_Prot#'!A138</f>
        <v>gpr31_human</v>
      </c>
      <c r="B165" s="1" t="str">
        <f t="shared" si="50"/>
        <v>PNCSAPSTVVATAVGVLLGLECGLGLLGNAVALWTFLFRKPYAVYLLNLALADLLLAACLPFLAAFYLSGRVGCWALHFLLDLSRSVGMAFLAAVALDRYLRVVHSPQAALGVSGLVWLLMVALTCPGLLISDGSFSIIWQEALSCLQFVLPFGLIVFCNAGIIRALQKRPEKQPKLQRAQALVTLVVVLFALCFLPCFLARVLMHIFLCAVAHTSDVTGSLTYLHSVLNPVVYCFSSPTFRSSYRRVFHT</v>
      </c>
      <c r="C165" s="29" t="str">
        <f>IF(ISERROR(MATCH(A165,'SegEnds_Xtal_Prot#'!B:B, 0)), "NoXtal", "Xtal")</f>
        <v>NoXtal</v>
      </c>
      <c r="D165" s="4" t="str">
        <f>VLOOKUP(A165,Classification!A:D,2,FALSE)</f>
        <v>A</v>
      </c>
      <c r="E165" s="5" t="str">
        <f>VLOOKUP(A165,Seqs!A:B,2,FALSE)</f>
        <v>MPFPNCSAPSTVVATAVGVLLGLECGLGLLGNAVALWTFLFRVRVWKPYAVYLLNLALADLLLAACLPFLAAFYLSLQAWHLGRVGCWALHFLLDLSRSVGMAFLAAVALDRYLRVVHPRLKVNLLSPQAALGVSGLVWLLMVALTCPGLLISEAAQNSTRCHSFYSRADGSFSIIWQEALSCLQFVLPFGLIVFCNAGIIRALQKRLREPEKQPKLQRAQALVTLVVVLFALCFLPCFLARVLMHIFQNLGSCRALCAVAHTSDVTGSLTYLHSVLNPVVYCFSSPTFRSSYRRVFHTLRGKGQAAEPPDFNPRDSYS</v>
      </c>
      <c r="F165" s="5" t="str">
        <f t="shared" si="51"/>
        <v>PNCSAPSTVVATAVGVLLGLECGLGLLGNAVALWTFLFR</v>
      </c>
      <c r="G165" s="4" t="str">
        <f t="shared" si="52"/>
        <v>VRVW</v>
      </c>
      <c r="H165" s="4" t="str">
        <f t="shared" si="53"/>
        <v>KPYAVYLLNLALADLLLAACLPFLAAFYLS</v>
      </c>
      <c r="I165" s="4" t="str">
        <f t="shared" si="54"/>
        <v>AWHL</v>
      </c>
      <c r="J165" s="4" t="str">
        <f t="shared" si="55"/>
        <v>GRVGCWALHFLLDLSRSVGMAFLAAVALDRYLRVVH</v>
      </c>
      <c r="K165" s="4" t="str">
        <f t="shared" si="56"/>
        <v>PRLKVNLL</v>
      </c>
      <c r="L165" s="4" t="str">
        <f t="shared" si="57"/>
        <v>SPQAALGVSGLVWLLMVALTCPGLLIS</v>
      </c>
      <c r="M165" s="4" t="str">
        <f t="shared" si="58"/>
        <v>CHS</v>
      </c>
      <c r="N165" s="4" t="str">
        <f t="shared" si="59"/>
        <v>DGSFSIIWQEALSCLQFVLPFGLIVFCNAGIIRALQKR</v>
      </c>
      <c r="O165" s="4" t="str">
        <f t="shared" si="60"/>
        <v>PEKQPKLQRAQALVTLVVVLFALCFLPCFLARVLMHIF</v>
      </c>
      <c r="P165" s="4" t="str">
        <f t="shared" si="61"/>
        <v>LCAVAHTSDVTGSLTYLHSVLNPVVYCFS</v>
      </c>
      <c r="Q165" s="4" t="str">
        <f t="shared" si="62"/>
        <v>SPTFRSSYRRVFHT</v>
      </c>
      <c r="R165" s="5">
        <f>VLOOKUP($A165,'SegEnds_NonXtal_Prot#'!$A:$AL,3,FALSE)</f>
        <v>4</v>
      </c>
      <c r="S165" s="5">
        <f>VLOOKUP($A165,'SegEnds_NonXtal_Prot#'!$A:$AL,6,FALSE)</f>
        <v>43</v>
      </c>
      <c r="T165" s="5">
        <f>VLOOKUP($A165,'SegEnds_NonXtal_Prot#'!$A:$AL,9,FALSE)</f>
        <v>47</v>
      </c>
      <c r="U165" s="5">
        <f>VLOOKUP($A165,'SegEnds_NonXtal_Prot#'!$A:$AL,12,FALSE)</f>
        <v>79</v>
      </c>
      <c r="V165" s="5">
        <f>VLOOKUP($A165,'SegEnds_NonXtal_Prot#'!$A:$AL,15,FALSE)</f>
        <v>83</v>
      </c>
      <c r="W165" s="5">
        <f>VLOOKUP($A165,'SegEnds_NonXtal_Prot#'!$A:$AL,18,FALSE)</f>
        <v>119</v>
      </c>
      <c r="X165" s="5">
        <f>VLOOKUP($A165,'SegEnds_NonXtal_Prot#'!$A:$AL,21,FALSE)</f>
        <v>127</v>
      </c>
      <c r="Y165" s="5">
        <f>VLOOKUP($A165,'SegEnds_NonXtal_Prot#'!$A:$AL,24,FALSE)</f>
        <v>162</v>
      </c>
      <c r="Z165" s="5">
        <f>VLOOKUP($A165,'SegEnds_NonXtal_Prot#'!$A:$AL,27,FALSE)</f>
        <v>170</v>
      </c>
      <c r="AA165" s="5">
        <f>VLOOKUP($A165,'SegEnds_NonXtal_Prot#'!$A:$AL,30,FALSE)</f>
        <v>211</v>
      </c>
      <c r="AB165" s="5">
        <f>VLOOKUP($A165,'SegEnds_NonXtal_Prot#'!$A:$AL,33,FALSE)</f>
        <v>257</v>
      </c>
      <c r="AC165" s="5">
        <f>VLOOKUP($A165,'SegEnds_NonXtal_Prot#'!$A:$AL,36,FALSE)</f>
        <v>286</v>
      </c>
      <c r="AD165" s="5">
        <f>VLOOKUP($A165,'SegEnds_NonXtal_Prot#'!$A:$AL,5,FALSE)</f>
        <v>42</v>
      </c>
      <c r="AE165" s="5">
        <f>VLOOKUP($A165,'SegEnds_NonXtal_Prot#'!$A:$AL,8,FALSE)</f>
        <v>46</v>
      </c>
      <c r="AF165" s="5">
        <f>VLOOKUP($A165,'SegEnds_NonXtal_Prot#'!$A:$AL,11,FALSE)</f>
        <v>76</v>
      </c>
      <c r="AG165" s="5">
        <f>VLOOKUP($A165,'SegEnds_NonXtal_Prot#'!$A:$AL,14,FALSE)</f>
        <v>82</v>
      </c>
      <c r="AH165" s="5">
        <f>VLOOKUP($A165,'SegEnds_NonXtal_Prot#'!$A:$AL,17,FALSE)</f>
        <v>118</v>
      </c>
      <c r="AI165" s="5">
        <f>VLOOKUP($A165,'SegEnds_NonXtal_Prot#'!$A:$AL,20,FALSE)</f>
        <v>126</v>
      </c>
      <c r="AJ165" s="5">
        <f>VLOOKUP($A165,'SegEnds_NonXtal_Prot#'!$A:$AL,23,FALSE)</f>
        <v>153</v>
      </c>
      <c r="AK165" s="5">
        <f>VLOOKUP($A165,'SegEnds_NonXtal_Prot#'!$A:$AL,26,FALSE)</f>
        <v>164</v>
      </c>
      <c r="AL165" s="5">
        <f>VLOOKUP($A165,'SegEnds_NonXtal_Prot#'!$A:$AL,29,FALSE)</f>
        <v>207</v>
      </c>
      <c r="AM165" s="5">
        <f>VLOOKUP($A165,'SegEnds_NonXtal_Prot#'!$A:$AL,32,FALSE)</f>
        <v>248</v>
      </c>
      <c r="AN165" s="5">
        <f>VLOOKUP($A165,'SegEnds_NonXtal_Prot#'!$A:$AL,35,FALSE)</f>
        <v>285</v>
      </c>
      <c r="AO165" s="5">
        <f>VLOOKUP($A165,'SegEnds_NonXtal_Prot#'!$A:$AL,38,FALSE)</f>
        <v>299</v>
      </c>
      <c r="AP165" s="5">
        <f t="shared" si="63"/>
        <v>38</v>
      </c>
      <c r="AQ165" s="4">
        <f t="shared" si="64"/>
        <v>3</v>
      </c>
      <c r="AR165" s="4">
        <f t="shared" si="65"/>
        <v>29</v>
      </c>
      <c r="AS165" s="4">
        <f t="shared" si="66"/>
        <v>3</v>
      </c>
      <c r="AT165" s="4">
        <f t="shared" si="67"/>
        <v>35</v>
      </c>
      <c r="AU165" s="4">
        <f t="shared" si="68"/>
        <v>7</v>
      </c>
      <c r="AV165" s="4">
        <f t="shared" si="69"/>
        <v>26</v>
      </c>
      <c r="AW165" s="4">
        <f t="shared" si="70"/>
        <v>2</v>
      </c>
      <c r="AX165" s="4">
        <f t="shared" si="71"/>
        <v>37</v>
      </c>
      <c r="AY165" s="4">
        <f t="shared" si="72"/>
        <v>37</v>
      </c>
      <c r="AZ165" s="4">
        <f t="shared" si="73"/>
        <v>28</v>
      </c>
      <c r="BA165" s="4">
        <f t="shared" si="74"/>
        <v>13</v>
      </c>
    </row>
    <row r="166" spans="1:53" x14ac:dyDescent="0.2">
      <c r="A166" s="1" t="str">
        <f>'SegEnds_NonXtal_Prot#'!A139</f>
        <v>gpr32_human</v>
      </c>
      <c r="B166" s="1" t="str">
        <f t="shared" si="50"/>
        <v>SLRPLTVVILSASIVVGVLGNGLVLWMTVFRTVSTVCFFHLALADFMLSLSLPIAMYYIVSGEWACKLYITFVFLSYFASNCLLVFISVDRCISVLYTVQRASWLAFGVWLLAAALCSAHLKFRVVEGHIIGTIGHFLLGFLGPLAIIGTCAHLIRAKLLREANRPKRLLLVLVSAFFIFWSPFNVVLLVHLWRHPRMLLILQASFALGCVNSSLNPFLYVFVGRDFQEKFFQSLT</v>
      </c>
      <c r="C166" s="29" t="str">
        <f>IF(ISERROR(MATCH(A166,'SegEnds_Xtal_Prot#'!B:B, 0)), "NoXtal", "Xtal")</f>
        <v>NoXtal</v>
      </c>
      <c r="D166" s="4" t="str">
        <f>VLOOKUP(A166,Classification!A:D,2,FALSE)</f>
        <v>A</v>
      </c>
      <c r="E166" s="5" t="str">
        <f>VLOOKUP(A166,Seqs!A:B,2,FALSE)</f>
        <v>MNGVSEGTRGCSDRQPGVLTRDRSCSRKMNSSGCLSEEVGSLRPLTVVILSASIVVGVLGNGLVLWMTVFRMARTVSTVCFFHLALADFMLSLSLPIAMYYIVSRQWLLGEWACKLYITFVFLSYFASNCLLVFISVDRCISVLYPVWALNHRTVQRASWLAFGVWLLAAALCSAHLKFRTTRKWNGCTHCYLAFNSDNETAQIWIEGVVEGHIIGTIGHFLLGFLGPLAIIGTCAHLIRAKLLREGWVHANRPKRLLLVLVSAFFIFWSPFNVVLLVHLWRRVMLKEIYHPRMLLILQASFALGCVNSSLNPFLYVFVGRDFQEKFFQSLTSALARAFGEEEFLSSCPRGNAPRE</v>
      </c>
      <c r="F166" s="5" t="str">
        <f t="shared" si="51"/>
        <v>SLRPLTVVILSASIVVGVLGNGLVLWMTVFR</v>
      </c>
      <c r="G166" s="4" t="str">
        <f t="shared" si="52"/>
        <v/>
      </c>
      <c r="H166" s="4" t="str">
        <f t="shared" si="53"/>
        <v>TVSTVCFFHLALADFMLSLSLPIAMYYIVS</v>
      </c>
      <c r="I166" s="4" t="str">
        <f t="shared" si="54"/>
        <v>QWLL</v>
      </c>
      <c r="J166" s="4" t="str">
        <f t="shared" si="55"/>
        <v>GEWACKLYITFVFLSYFASNCLLVFISVDRCISVLY</v>
      </c>
      <c r="K166" s="4" t="str">
        <f t="shared" si="56"/>
        <v>PVWALNHR</v>
      </c>
      <c r="L166" s="4" t="str">
        <f t="shared" si="57"/>
        <v>TVQRASWLAFGVWLLAAALCSAHLKFR</v>
      </c>
      <c r="M166" s="4" t="str">
        <f t="shared" si="58"/>
        <v>CYL</v>
      </c>
      <c r="N166" s="4" t="str">
        <f t="shared" si="59"/>
        <v>VVEGHIIGTIGHFLLGFLGPLAIIGTCAHLIRAKLLRE</v>
      </c>
      <c r="O166" s="4" t="str">
        <f t="shared" si="60"/>
        <v>ANRPKRLLLVLVSAFFIFWSPFNVVLLVHLWR</v>
      </c>
      <c r="P166" s="4" t="str">
        <f t="shared" si="61"/>
        <v>HPRMLLILQASFALGCVNSSLNPFLYVFV</v>
      </c>
      <c r="Q166" s="4" t="str">
        <f t="shared" si="62"/>
        <v>GRDFQEKFFQSLT</v>
      </c>
      <c r="R166" s="5">
        <f>VLOOKUP($A166,'SegEnds_NonXtal_Prot#'!$A:$AL,3,FALSE)</f>
        <v>41</v>
      </c>
      <c r="S166" s="5" t="str">
        <f>VLOOKUP($A166,'SegEnds_NonXtal_Prot#'!$A:$AL,6,FALSE)</f>
        <v>-</v>
      </c>
      <c r="T166" s="5">
        <f>VLOOKUP($A166,'SegEnds_NonXtal_Prot#'!$A:$AL,9,FALSE)</f>
        <v>75</v>
      </c>
      <c r="U166" s="5">
        <f>VLOOKUP($A166,'SegEnds_NonXtal_Prot#'!$A:$AL,12,FALSE)</f>
        <v>106</v>
      </c>
      <c r="V166" s="5">
        <f>VLOOKUP($A166,'SegEnds_NonXtal_Prot#'!$A:$AL,15,FALSE)</f>
        <v>110</v>
      </c>
      <c r="W166" s="5">
        <f>VLOOKUP($A166,'SegEnds_NonXtal_Prot#'!$A:$AL,18,FALSE)</f>
        <v>146</v>
      </c>
      <c r="X166" s="5">
        <f>VLOOKUP($A166,'SegEnds_NonXtal_Prot#'!$A:$AL,21,FALSE)</f>
        <v>154</v>
      </c>
      <c r="Y166" s="5">
        <f>VLOOKUP($A166,'SegEnds_NonXtal_Prot#'!$A:$AL,24,FALSE)</f>
        <v>191</v>
      </c>
      <c r="Z166" s="5">
        <f>VLOOKUP($A166,'SegEnds_NonXtal_Prot#'!$A:$AL,27,FALSE)</f>
        <v>209</v>
      </c>
      <c r="AA166" s="5">
        <f>VLOOKUP($A166,'SegEnds_NonXtal_Prot#'!$A:$AL,30,FALSE)</f>
        <v>251</v>
      </c>
      <c r="AB166" s="5">
        <f>VLOOKUP($A166,'SegEnds_NonXtal_Prot#'!$A:$AL,33,FALSE)</f>
        <v>291</v>
      </c>
      <c r="AC166" s="5">
        <f>VLOOKUP($A166,'SegEnds_NonXtal_Prot#'!$A:$AL,36,FALSE)</f>
        <v>320</v>
      </c>
      <c r="AD166" s="5">
        <f>VLOOKUP($A166,'SegEnds_NonXtal_Prot#'!$A:$AL,5,FALSE)</f>
        <v>71</v>
      </c>
      <c r="AE166" s="5" t="str">
        <f>VLOOKUP($A166,'SegEnds_NonXtal_Prot#'!$A:$AL,8,FALSE)</f>
        <v>-</v>
      </c>
      <c r="AF166" s="5">
        <f>VLOOKUP($A166,'SegEnds_NonXtal_Prot#'!$A:$AL,11,FALSE)</f>
        <v>104</v>
      </c>
      <c r="AG166" s="5">
        <f>VLOOKUP($A166,'SegEnds_NonXtal_Prot#'!$A:$AL,14,FALSE)</f>
        <v>109</v>
      </c>
      <c r="AH166" s="5">
        <f>VLOOKUP($A166,'SegEnds_NonXtal_Prot#'!$A:$AL,17,FALSE)</f>
        <v>145</v>
      </c>
      <c r="AI166" s="5">
        <f>VLOOKUP($A166,'SegEnds_NonXtal_Prot#'!$A:$AL,20,FALSE)</f>
        <v>153</v>
      </c>
      <c r="AJ166" s="5">
        <f>VLOOKUP($A166,'SegEnds_NonXtal_Prot#'!$A:$AL,23,FALSE)</f>
        <v>180</v>
      </c>
      <c r="AK166" s="5">
        <f>VLOOKUP($A166,'SegEnds_NonXtal_Prot#'!$A:$AL,26,FALSE)</f>
        <v>193</v>
      </c>
      <c r="AL166" s="5">
        <f>VLOOKUP($A166,'SegEnds_NonXtal_Prot#'!$A:$AL,29,FALSE)</f>
        <v>246</v>
      </c>
      <c r="AM166" s="5">
        <f>VLOOKUP($A166,'SegEnds_NonXtal_Prot#'!$A:$AL,32,FALSE)</f>
        <v>282</v>
      </c>
      <c r="AN166" s="5">
        <f>VLOOKUP($A166,'SegEnds_NonXtal_Prot#'!$A:$AL,35,FALSE)</f>
        <v>319</v>
      </c>
      <c r="AO166" s="5">
        <f>VLOOKUP($A166,'SegEnds_NonXtal_Prot#'!$A:$AL,38,FALSE)</f>
        <v>332</v>
      </c>
      <c r="AP166" s="5">
        <f t="shared" si="63"/>
        <v>30</v>
      </c>
      <c r="AQ166" s="4" t="str">
        <f t="shared" si="64"/>
        <v>-</v>
      </c>
      <c r="AR166" s="4">
        <f t="shared" si="65"/>
        <v>29</v>
      </c>
      <c r="AS166" s="4">
        <f t="shared" si="66"/>
        <v>3</v>
      </c>
      <c r="AT166" s="4">
        <f t="shared" si="67"/>
        <v>35</v>
      </c>
      <c r="AU166" s="4">
        <f t="shared" si="68"/>
        <v>7</v>
      </c>
      <c r="AV166" s="4">
        <f t="shared" si="69"/>
        <v>26</v>
      </c>
      <c r="AW166" s="4">
        <f t="shared" si="70"/>
        <v>2</v>
      </c>
      <c r="AX166" s="4">
        <f t="shared" si="71"/>
        <v>37</v>
      </c>
      <c r="AY166" s="4">
        <f t="shared" si="72"/>
        <v>31</v>
      </c>
      <c r="AZ166" s="4">
        <f t="shared" si="73"/>
        <v>28</v>
      </c>
      <c r="BA166" s="4">
        <f t="shared" si="74"/>
        <v>12</v>
      </c>
    </row>
    <row r="167" spans="1:53" x14ac:dyDescent="0.2">
      <c r="A167" s="1" t="str">
        <f>'SegEnds_NonXtal_Prot#'!A140</f>
        <v>gpr33_human</v>
      </c>
      <c r="B167" s="1" t="str">
        <f t="shared" si="50"/>
        <v>ASKMIIALSLYISSIIGTITNGLYLWVLRFKTVNTLLFFHLILSYFISTMILPFMATSQLQGTALCKVFNGTLSLGMFTSVFFLSAIGLDRYLLTLHTPRWASSIVLGVWISAAALSIPYLIFRIHVACFISRFLLGFLLPFFIIIFCYERVASKVKERSSKPFKVMMTAIISFFVCWMPYHIHQGLLLTTLELTLILTVLTTSFNTIFSPTLYLFVGENFKKVFKKSILAL</v>
      </c>
      <c r="C167" s="29" t="str">
        <f>IF(ISERROR(MATCH(A167,'SegEnds_Xtal_Prot#'!B:B, 0)), "NoXtal", "Xtal")</f>
        <v>NoXtal</v>
      </c>
      <c r="D167" s="4" t="str">
        <f>VLOOKUP(A167,Classification!A:D,2,FALSE)</f>
        <v>A</v>
      </c>
      <c r="E167" s="5" t="str">
        <f>VLOOKUP(A167,Seqs!A:B,2,FALSE)</f>
        <v>MDLINSTDYLINASTLVRNSTQFLAPASKMIIALSLYISSIIGTITNGLYLWVLRFKMKQTVNTLLFFHLILSYFISTMILPFMATSQLQDNHWNFGTALCKVFNGTLSLGMFTSVFFLSAIGLDRYLLTLHPVWSQQHRTPRWASSIVLGVWISAAALSIPYLIFRETHHDRKGKVTCQNNYAVSTNWESKEMQASRQWIHVACFISRFLLGFLLPFFIIIFCYERVASKVKERSLFKSSKPFKVMMTAIISFFVCWMPYHIHQGLLLTTNQSLLLELTLILTVLTTSFNTIFSPTLYLFVGENFKKVFKKSILALFESTFSEDSSVERTQT</v>
      </c>
      <c r="F167" s="5" t="str">
        <f t="shared" si="51"/>
        <v>ASKMIIALSLYISSIIGTITNGLYLWVLRFK</v>
      </c>
      <c r="G167" s="4" t="str">
        <f t="shared" si="52"/>
        <v/>
      </c>
      <c r="H167" s="4" t="str">
        <f t="shared" si="53"/>
        <v>TVNTLLFFHLILSYFISTMILPFMATSQLQ</v>
      </c>
      <c r="I167" s="4" t="str">
        <f t="shared" si="54"/>
        <v>HWNF</v>
      </c>
      <c r="J167" s="4" t="str">
        <f t="shared" si="55"/>
        <v>GTALCKVFNGTLSLGMFTSVFFLSAIGLDRYLLTLH</v>
      </c>
      <c r="K167" s="4" t="str">
        <f t="shared" si="56"/>
        <v>PVWSQQHR</v>
      </c>
      <c r="L167" s="4" t="str">
        <f t="shared" si="57"/>
        <v>TPRWASSIVLGVWISAAALSIPYLIFR</v>
      </c>
      <c r="M167" s="4" t="str">
        <f t="shared" si="58"/>
        <v>CQN</v>
      </c>
      <c r="N167" s="4" t="str">
        <f t="shared" si="59"/>
        <v>IHVACFISRFLLGFLLPFFIIIFCYERVASKVKER</v>
      </c>
      <c r="O167" s="4" t="str">
        <f t="shared" si="60"/>
        <v>SSKPFKVMMTAIISFFVCWMPYHIHQGLLLTT</v>
      </c>
      <c r="P167" s="4" t="str">
        <f t="shared" si="61"/>
        <v>LELTLILTVLTTSFNTIFSPTLYLFV</v>
      </c>
      <c r="Q167" s="4" t="str">
        <f t="shared" si="62"/>
        <v>GENFKKVFKKSILAL</v>
      </c>
      <c r="R167" s="5">
        <f>VLOOKUP($A167,'SegEnds_NonXtal_Prot#'!$A:$AL,3,FALSE)</f>
        <v>27</v>
      </c>
      <c r="S167" s="5" t="str">
        <f>VLOOKUP($A167,'SegEnds_NonXtal_Prot#'!$A:$AL,6,FALSE)</f>
        <v>-</v>
      </c>
      <c r="T167" s="5">
        <f>VLOOKUP($A167,'SegEnds_NonXtal_Prot#'!$A:$AL,9,FALSE)</f>
        <v>61</v>
      </c>
      <c r="U167" s="5">
        <f>VLOOKUP($A167,'SegEnds_NonXtal_Prot#'!$A:$AL,12,FALSE)</f>
        <v>93</v>
      </c>
      <c r="V167" s="5">
        <f>VLOOKUP($A167,'SegEnds_NonXtal_Prot#'!$A:$AL,15,FALSE)</f>
        <v>97</v>
      </c>
      <c r="W167" s="5">
        <f>VLOOKUP($A167,'SegEnds_NonXtal_Prot#'!$A:$AL,18,FALSE)</f>
        <v>133</v>
      </c>
      <c r="X167" s="5">
        <f>VLOOKUP($A167,'SegEnds_NonXtal_Prot#'!$A:$AL,21,FALSE)</f>
        <v>141</v>
      </c>
      <c r="Y167" s="5">
        <f>VLOOKUP($A167,'SegEnds_NonXtal_Prot#'!$A:$AL,24,FALSE)</f>
        <v>179</v>
      </c>
      <c r="Z167" s="5">
        <f>VLOOKUP($A167,'SegEnds_NonXtal_Prot#'!$A:$AL,27,FALSE)</f>
        <v>201</v>
      </c>
      <c r="AA167" s="5">
        <f>VLOOKUP($A167,'SegEnds_NonXtal_Prot#'!$A:$AL,30,FALSE)</f>
        <v>240</v>
      </c>
      <c r="AB167" s="5">
        <f>VLOOKUP($A167,'SegEnds_NonXtal_Prot#'!$A:$AL,33,FALSE)</f>
        <v>277</v>
      </c>
      <c r="AC167" s="5">
        <f>VLOOKUP($A167,'SegEnds_NonXtal_Prot#'!$A:$AL,36,FALSE)</f>
        <v>303</v>
      </c>
      <c r="AD167" s="5">
        <f>VLOOKUP($A167,'SegEnds_NonXtal_Prot#'!$A:$AL,5,FALSE)</f>
        <v>57</v>
      </c>
      <c r="AE167" s="5" t="str">
        <f>VLOOKUP($A167,'SegEnds_NonXtal_Prot#'!$A:$AL,8,FALSE)</f>
        <v>-</v>
      </c>
      <c r="AF167" s="5">
        <f>VLOOKUP($A167,'SegEnds_NonXtal_Prot#'!$A:$AL,11,FALSE)</f>
        <v>90</v>
      </c>
      <c r="AG167" s="5">
        <f>VLOOKUP($A167,'SegEnds_NonXtal_Prot#'!$A:$AL,14,FALSE)</f>
        <v>96</v>
      </c>
      <c r="AH167" s="5">
        <f>VLOOKUP($A167,'SegEnds_NonXtal_Prot#'!$A:$AL,17,FALSE)</f>
        <v>132</v>
      </c>
      <c r="AI167" s="5">
        <f>VLOOKUP($A167,'SegEnds_NonXtal_Prot#'!$A:$AL,20,FALSE)</f>
        <v>140</v>
      </c>
      <c r="AJ167" s="5">
        <f>VLOOKUP($A167,'SegEnds_NonXtal_Prot#'!$A:$AL,23,FALSE)</f>
        <v>167</v>
      </c>
      <c r="AK167" s="5">
        <f>VLOOKUP($A167,'SegEnds_NonXtal_Prot#'!$A:$AL,26,FALSE)</f>
        <v>181</v>
      </c>
      <c r="AL167" s="5">
        <f>VLOOKUP($A167,'SegEnds_NonXtal_Prot#'!$A:$AL,29,FALSE)</f>
        <v>235</v>
      </c>
      <c r="AM167" s="5">
        <f>VLOOKUP($A167,'SegEnds_NonXtal_Prot#'!$A:$AL,32,FALSE)</f>
        <v>271</v>
      </c>
      <c r="AN167" s="5">
        <f>VLOOKUP($A167,'SegEnds_NonXtal_Prot#'!$A:$AL,35,FALSE)</f>
        <v>302</v>
      </c>
      <c r="AO167" s="5">
        <f>VLOOKUP($A167,'SegEnds_NonXtal_Prot#'!$A:$AL,38,FALSE)</f>
        <v>317</v>
      </c>
      <c r="AP167" s="5">
        <f t="shared" si="63"/>
        <v>30</v>
      </c>
      <c r="AQ167" s="4" t="str">
        <f t="shared" si="64"/>
        <v>-</v>
      </c>
      <c r="AR167" s="4">
        <f t="shared" si="65"/>
        <v>29</v>
      </c>
      <c r="AS167" s="4">
        <f t="shared" si="66"/>
        <v>3</v>
      </c>
      <c r="AT167" s="4">
        <f t="shared" si="67"/>
        <v>35</v>
      </c>
      <c r="AU167" s="4">
        <f t="shared" si="68"/>
        <v>7</v>
      </c>
      <c r="AV167" s="4">
        <f t="shared" si="69"/>
        <v>26</v>
      </c>
      <c r="AW167" s="4">
        <f t="shared" si="70"/>
        <v>2</v>
      </c>
      <c r="AX167" s="4">
        <f t="shared" si="71"/>
        <v>34</v>
      </c>
      <c r="AY167" s="4">
        <f t="shared" si="72"/>
        <v>31</v>
      </c>
      <c r="AZ167" s="4">
        <f t="shared" si="73"/>
        <v>25</v>
      </c>
      <c r="BA167" s="4">
        <f t="shared" si="74"/>
        <v>14</v>
      </c>
    </row>
    <row r="168" spans="1:53" x14ac:dyDescent="0.2">
      <c r="A168" s="1" t="str">
        <f>'SegEnds_NonXtal_Prot#'!A141</f>
        <v>gpr34_human</v>
      </c>
      <c r="B168" s="1" t="str">
        <f t="shared" si="50"/>
        <v>KLLSTVLTTSYSVIFIVGLVGNIIALYVFLGINSIQIYLLNVAIADLLLIFCLPFRIMYHINGVILCKVVGTLFYMNMYISIILLGFISLDRYIKINRTTKQSIYVCCIVWMLALGGFLTMIILNAKGEAIFNFILVVMFWLIFLLIILSYIKIGKNLLRIKFPNSGKYATTARNSFIVLIIFTICFVPYHAFRFIYISSSCYWKEIVHKTNEIMLVLSSFNSCLDPVMYFLMSSNIRKIMCQLLFRR</v>
      </c>
      <c r="C168" s="29" t="str">
        <f>IF(ISERROR(MATCH(A168,'SegEnds_Xtal_Prot#'!B:B, 0)), "NoXtal", "Xtal")</f>
        <v>NoXtal</v>
      </c>
      <c r="D168" s="4" t="str">
        <f>VLOOKUP(A168,Classification!A:D,2,FALSE)</f>
        <v>A</v>
      </c>
      <c r="E168" s="5" t="str">
        <f>VLOOKUP(A168,Seqs!A:B,2,FALSE)</f>
        <v>MRSHTITMTTTSVSSWPYSSHRMRFITNHSDQPPQNFSATPNVTTCPMDEKLLSTVLTTSYSVIFIVGLVGNIIALYVFLGIHRKRNSIQIYLLNVAIADLLLIFCLPFRIMYHINQNKWTLGVILCKVVGTLFYMNMYISIILLGFISLDRYIKINRSIQQRKAITTKQSIYVCCIVWMLALGGFLTMIILTLKKGGHNSTMCFHYRDKHNAKGEAIFNFILVVMFWLIFLLIILSYIKIGKNLLRISKRRSKFPNSGKYATTARNSFIVLIIFTICFVPYHAFRFIYISSQLNVSSCYWKEIVHKTNEIMLVLSSFNSCLDPVMYFLMSSNIRKIMCQLLFRRFQGEPSRSESTSEFKPGYSLHDTSVAVKIQSSSKST</v>
      </c>
      <c r="F168" s="5" t="str">
        <f t="shared" si="51"/>
        <v>KLLSTVLTTSYSVIFIVGLVGNIIALYVFLGI</v>
      </c>
      <c r="G168" s="4" t="str">
        <f t="shared" si="52"/>
        <v/>
      </c>
      <c r="H168" s="4" t="str">
        <f t="shared" si="53"/>
        <v>NSIQIYLLNVAIADLLLIFCLPFRIMYHIN</v>
      </c>
      <c r="I168" s="4" t="str">
        <f t="shared" si="54"/>
        <v>KWTL</v>
      </c>
      <c r="J168" s="4" t="str">
        <f t="shared" si="55"/>
        <v>GVILCKVVGTLFYMNMYISIILLGFISLDRYIKINR</v>
      </c>
      <c r="K168" s="4" t="str">
        <f t="shared" si="56"/>
        <v>SIQQRKAI</v>
      </c>
      <c r="L168" s="4" t="str">
        <f t="shared" si="57"/>
        <v>TTKQSIYVCCIVWMLALGGFLTMIIL</v>
      </c>
      <c r="M168" s="4" t="str">
        <f t="shared" si="58"/>
        <v>CFH</v>
      </c>
      <c r="N168" s="4" t="str">
        <f t="shared" si="59"/>
        <v>NAKGEAIFNFILVVMFWLIFLLIILSYIKIGKNLLRI</v>
      </c>
      <c r="O168" s="4" t="str">
        <f t="shared" si="60"/>
        <v>KFPNSGKYATTARNSFIVLIIFTICFVPYHAFRFIYISS</v>
      </c>
      <c r="P168" s="4" t="str">
        <f t="shared" si="61"/>
        <v>SCYWKEIVHKTNEIMLVLSSFNSCLDPVMYFLM</v>
      </c>
      <c r="Q168" s="4" t="str">
        <f t="shared" si="62"/>
        <v>SSNIRKIMCQLLFRR</v>
      </c>
      <c r="R168" s="5">
        <f>VLOOKUP($A168,'SegEnds_NonXtal_Prot#'!$A:$AL,3,FALSE)</f>
        <v>51</v>
      </c>
      <c r="S168" s="5" t="str">
        <f>VLOOKUP($A168,'SegEnds_NonXtal_Prot#'!$A:$AL,6,FALSE)</f>
        <v>-</v>
      </c>
      <c r="T168" s="5">
        <f>VLOOKUP($A168,'SegEnds_NonXtal_Prot#'!$A:$AL,9,FALSE)</f>
        <v>87</v>
      </c>
      <c r="U168" s="5">
        <f>VLOOKUP($A168,'SegEnds_NonXtal_Prot#'!$A:$AL,12,FALSE)</f>
        <v>119</v>
      </c>
      <c r="V168" s="5">
        <f>VLOOKUP($A168,'SegEnds_NonXtal_Prot#'!$A:$AL,15,FALSE)</f>
        <v>123</v>
      </c>
      <c r="W168" s="5">
        <f>VLOOKUP($A168,'SegEnds_NonXtal_Prot#'!$A:$AL,18,FALSE)</f>
        <v>159</v>
      </c>
      <c r="X168" s="5">
        <f>VLOOKUP($A168,'SegEnds_NonXtal_Prot#'!$A:$AL,21,FALSE)</f>
        <v>167</v>
      </c>
      <c r="Y168" s="5">
        <f>VLOOKUP($A168,'SegEnds_NonXtal_Prot#'!$A:$AL,24,FALSE)</f>
        <v>204</v>
      </c>
      <c r="Z168" s="5">
        <f>VLOOKUP($A168,'SegEnds_NonXtal_Prot#'!$A:$AL,27,FALSE)</f>
        <v>212</v>
      </c>
      <c r="AA168" s="5">
        <f>VLOOKUP($A168,'SegEnds_NonXtal_Prot#'!$A:$AL,30,FALSE)</f>
        <v>254</v>
      </c>
      <c r="AB168" s="5">
        <f>VLOOKUP($A168,'SegEnds_NonXtal_Prot#'!$A:$AL,33,FALSE)</f>
        <v>298</v>
      </c>
      <c r="AC168" s="5">
        <f>VLOOKUP($A168,'SegEnds_NonXtal_Prot#'!$A:$AL,36,FALSE)</f>
        <v>331</v>
      </c>
      <c r="AD168" s="5">
        <f>VLOOKUP($A168,'SegEnds_NonXtal_Prot#'!$A:$AL,5,FALSE)</f>
        <v>82</v>
      </c>
      <c r="AE168" s="5" t="str">
        <f>VLOOKUP($A168,'SegEnds_NonXtal_Prot#'!$A:$AL,8,FALSE)</f>
        <v>-</v>
      </c>
      <c r="AF168" s="5">
        <f>VLOOKUP($A168,'SegEnds_NonXtal_Prot#'!$A:$AL,11,FALSE)</f>
        <v>116</v>
      </c>
      <c r="AG168" s="5">
        <f>VLOOKUP($A168,'SegEnds_NonXtal_Prot#'!$A:$AL,14,FALSE)</f>
        <v>122</v>
      </c>
      <c r="AH168" s="5">
        <f>VLOOKUP($A168,'SegEnds_NonXtal_Prot#'!$A:$AL,17,FALSE)</f>
        <v>158</v>
      </c>
      <c r="AI168" s="5">
        <f>VLOOKUP($A168,'SegEnds_NonXtal_Prot#'!$A:$AL,20,FALSE)</f>
        <v>166</v>
      </c>
      <c r="AJ168" s="5">
        <f>VLOOKUP($A168,'SegEnds_NonXtal_Prot#'!$A:$AL,23,FALSE)</f>
        <v>192</v>
      </c>
      <c r="AK168" s="5">
        <f>VLOOKUP($A168,'SegEnds_NonXtal_Prot#'!$A:$AL,26,FALSE)</f>
        <v>206</v>
      </c>
      <c r="AL168" s="5">
        <f>VLOOKUP($A168,'SegEnds_NonXtal_Prot#'!$A:$AL,29,FALSE)</f>
        <v>248</v>
      </c>
      <c r="AM168" s="5">
        <f>VLOOKUP($A168,'SegEnds_NonXtal_Prot#'!$A:$AL,32,FALSE)</f>
        <v>292</v>
      </c>
      <c r="AN168" s="5">
        <f>VLOOKUP($A168,'SegEnds_NonXtal_Prot#'!$A:$AL,35,FALSE)</f>
        <v>330</v>
      </c>
      <c r="AO168" s="5">
        <f>VLOOKUP($A168,'SegEnds_NonXtal_Prot#'!$A:$AL,38,FALSE)</f>
        <v>345</v>
      </c>
      <c r="AP168" s="5">
        <f t="shared" si="63"/>
        <v>31</v>
      </c>
      <c r="AQ168" s="4" t="str">
        <f t="shared" si="64"/>
        <v>-</v>
      </c>
      <c r="AR168" s="4">
        <f t="shared" si="65"/>
        <v>29</v>
      </c>
      <c r="AS168" s="4">
        <f t="shared" si="66"/>
        <v>3</v>
      </c>
      <c r="AT168" s="4">
        <f t="shared" si="67"/>
        <v>35</v>
      </c>
      <c r="AU168" s="4">
        <f t="shared" si="68"/>
        <v>7</v>
      </c>
      <c r="AV168" s="4">
        <f t="shared" si="69"/>
        <v>25</v>
      </c>
      <c r="AW168" s="4">
        <f t="shared" si="70"/>
        <v>2</v>
      </c>
      <c r="AX168" s="4">
        <f t="shared" si="71"/>
        <v>36</v>
      </c>
      <c r="AY168" s="4">
        <f t="shared" si="72"/>
        <v>38</v>
      </c>
      <c r="AZ168" s="4">
        <f t="shared" si="73"/>
        <v>32</v>
      </c>
      <c r="BA168" s="4">
        <f t="shared" si="74"/>
        <v>14</v>
      </c>
    </row>
    <row r="169" spans="1:53" x14ac:dyDescent="0.2">
      <c r="A169" s="1" t="str">
        <f>'SegEnds_NonXtal_Prot#'!A142</f>
        <v>gpr35_human</v>
      </c>
      <c r="B169" s="1" t="str">
        <f t="shared" si="50"/>
        <v>WPPAIKLGFYAYLGVLLVLGLLLNSLALWVFCCRTETRIYMTNLAVADLCLLCTLPFVLHSLRDLCQLSQGIYLTNRYMSISLVTAIAVDRYVAVRHSPRQAAAVCAVLWVLVIGSLVARWLLGHNFNSMAFPLLGFYLPLAVVVFCSLKVVTALAQRVGQAEATRKAARMVWANLLVFVVCFLPLHVGLTVRLAVLETIRRALYITSKLSDANCCLDAICYYYMAKEFQEASALAV</v>
      </c>
      <c r="C169" s="29" t="str">
        <f>IF(ISERROR(MATCH(A169,'SegEnds_Xtal_Prot#'!B:B, 0)), "NoXtal", "Xtal")</f>
        <v>NoXtal</v>
      </c>
      <c r="D169" s="4" t="str">
        <f>VLOOKUP(A169,Classification!A:D,2,FALSE)</f>
        <v>A</v>
      </c>
      <c r="E169" s="5" t="str">
        <f>VLOOKUP(A169,Seqs!A:B,2,FALSE)</f>
        <v>MNGTYNTCGSSDLTWPPAIKLGFYAYLGVLLVLGLLLNSLALWVFCCRMQQWTETRIYMTNLAVADLCLLCTLPFVLHSLRDTSDTPLCQLSQGIYLTNRYMSISLVTAIAVDRYVAVRHPLRARGLRSPRQAAAVCAVLWVLVIGSLVARWLLGIQEGGFCFRSTRHNFNSMAFPLLGFYLPLAVVVFCSLKVVTALAQRPPTDVGQAEATRKAARMVWANLLVFVVCFLPLHVGLTVRLAVGWNACALLETIRRALYITSKLSDANCCLDAICYYYMAKEFQEASALAVAPSAKAHKSQDSLCVTLA</v>
      </c>
      <c r="F169" s="5" t="str">
        <f t="shared" si="51"/>
        <v>WPPAIKLGFYAYLGVLLVLGLLLNSLALWVFCCR</v>
      </c>
      <c r="G169" s="4" t="str">
        <f t="shared" si="52"/>
        <v>MQQW</v>
      </c>
      <c r="H169" s="4" t="str">
        <f t="shared" si="53"/>
        <v>TETRIYMTNLAVADLCLLCTLPFVLHSLRD</v>
      </c>
      <c r="I169" s="4" t="str">
        <f t="shared" si="54"/>
        <v/>
      </c>
      <c r="J169" s="4" t="str">
        <f t="shared" si="55"/>
        <v>LCQLSQGIYLTNRYMSISLVTAIAVDRYVAVRH</v>
      </c>
      <c r="K169" s="4" t="str">
        <f t="shared" si="56"/>
        <v>PLRARGLR</v>
      </c>
      <c r="L169" s="4" t="str">
        <f t="shared" si="57"/>
        <v>SPRQAAAVCAVLWVLVIGSLVARWLLG</v>
      </c>
      <c r="M169" s="4" t="str">
        <f t="shared" si="58"/>
        <v>CFR</v>
      </c>
      <c r="N169" s="4" t="str">
        <f t="shared" si="59"/>
        <v>HNFNSMAFPLLGFYLPLAVVVFCSLKVVTALAQR</v>
      </c>
      <c r="O169" s="4" t="str">
        <f t="shared" si="60"/>
        <v>VGQAEATRKAARMVWANLLVFVVCFLPLHVGLTVRLAV</v>
      </c>
      <c r="P169" s="4" t="str">
        <f t="shared" si="61"/>
        <v>LETIRRALYITSKLSDANCCLDAICYYYM</v>
      </c>
      <c r="Q169" s="4" t="str">
        <f t="shared" si="62"/>
        <v>AKEFQEASALAV</v>
      </c>
      <c r="R169" s="5">
        <f>VLOOKUP($A169,'SegEnds_NonXtal_Prot#'!$A:$AL,3,FALSE)</f>
        <v>15</v>
      </c>
      <c r="S169" s="5">
        <f>VLOOKUP($A169,'SegEnds_NonXtal_Prot#'!$A:$AL,6,FALSE)</f>
        <v>49</v>
      </c>
      <c r="T169" s="5">
        <f>VLOOKUP($A169,'SegEnds_NonXtal_Prot#'!$A:$AL,9,FALSE)</f>
        <v>53</v>
      </c>
      <c r="U169" s="5" t="str">
        <f>VLOOKUP($A169,'SegEnds_NonXtal_Prot#'!$A:$AL,12,FALSE)</f>
        <v>-</v>
      </c>
      <c r="V169" s="5">
        <f>VLOOKUP($A169,'SegEnds_NonXtal_Prot#'!$A:$AL,15,FALSE)</f>
        <v>88</v>
      </c>
      <c r="W169" s="5">
        <f>VLOOKUP($A169,'SegEnds_NonXtal_Prot#'!$A:$AL,18,FALSE)</f>
        <v>121</v>
      </c>
      <c r="X169" s="5">
        <f>VLOOKUP($A169,'SegEnds_NonXtal_Prot#'!$A:$AL,21,FALSE)</f>
        <v>129</v>
      </c>
      <c r="Y169" s="5">
        <f>VLOOKUP($A169,'SegEnds_NonXtal_Prot#'!$A:$AL,24,FALSE)</f>
        <v>162</v>
      </c>
      <c r="Z169" s="5">
        <f>VLOOKUP($A169,'SegEnds_NonXtal_Prot#'!$A:$AL,27,FALSE)</f>
        <v>168</v>
      </c>
      <c r="AA169" s="5">
        <f>VLOOKUP($A169,'SegEnds_NonXtal_Prot#'!$A:$AL,30,FALSE)</f>
        <v>206</v>
      </c>
      <c r="AB169" s="5">
        <f>VLOOKUP($A169,'SegEnds_NonXtal_Prot#'!$A:$AL,33,FALSE)</f>
        <v>251</v>
      </c>
      <c r="AC169" s="5">
        <f>VLOOKUP($A169,'SegEnds_NonXtal_Prot#'!$A:$AL,36,FALSE)</f>
        <v>280</v>
      </c>
      <c r="AD169" s="5">
        <f>VLOOKUP($A169,'SegEnds_NonXtal_Prot#'!$A:$AL,5,FALSE)</f>
        <v>48</v>
      </c>
      <c r="AE169" s="5">
        <f>VLOOKUP($A169,'SegEnds_NonXtal_Prot#'!$A:$AL,8,FALSE)</f>
        <v>52</v>
      </c>
      <c r="AF169" s="5">
        <f>VLOOKUP($A169,'SegEnds_NonXtal_Prot#'!$A:$AL,11,FALSE)</f>
        <v>82</v>
      </c>
      <c r="AG169" s="5" t="str">
        <f>VLOOKUP($A169,'SegEnds_NonXtal_Prot#'!$A:$AL,14,FALSE)</f>
        <v>-</v>
      </c>
      <c r="AH169" s="5">
        <f>VLOOKUP($A169,'SegEnds_NonXtal_Prot#'!$A:$AL,17,FALSE)</f>
        <v>120</v>
      </c>
      <c r="AI169" s="5">
        <f>VLOOKUP($A169,'SegEnds_NonXtal_Prot#'!$A:$AL,20,FALSE)</f>
        <v>128</v>
      </c>
      <c r="AJ169" s="5">
        <f>VLOOKUP($A169,'SegEnds_NonXtal_Prot#'!$A:$AL,23,FALSE)</f>
        <v>155</v>
      </c>
      <c r="AK169" s="5">
        <f>VLOOKUP($A169,'SegEnds_NonXtal_Prot#'!$A:$AL,26,FALSE)</f>
        <v>164</v>
      </c>
      <c r="AL169" s="5">
        <f>VLOOKUP($A169,'SegEnds_NonXtal_Prot#'!$A:$AL,29,FALSE)</f>
        <v>201</v>
      </c>
      <c r="AM169" s="5">
        <f>VLOOKUP($A169,'SegEnds_NonXtal_Prot#'!$A:$AL,32,FALSE)</f>
        <v>243</v>
      </c>
      <c r="AN169" s="5">
        <f>VLOOKUP($A169,'SegEnds_NonXtal_Prot#'!$A:$AL,35,FALSE)</f>
        <v>279</v>
      </c>
      <c r="AO169" s="5">
        <f>VLOOKUP($A169,'SegEnds_NonXtal_Prot#'!$A:$AL,38,FALSE)</f>
        <v>291</v>
      </c>
      <c r="AP169" s="5">
        <f t="shared" si="63"/>
        <v>33</v>
      </c>
      <c r="AQ169" s="4">
        <f t="shared" si="64"/>
        <v>3</v>
      </c>
      <c r="AR169" s="4">
        <f t="shared" si="65"/>
        <v>29</v>
      </c>
      <c r="AS169" s="4" t="str">
        <f t="shared" si="66"/>
        <v>-</v>
      </c>
      <c r="AT169" s="4">
        <f t="shared" si="67"/>
        <v>32</v>
      </c>
      <c r="AU169" s="4">
        <f t="shared" si="68"/>
        <v>7</v>
      </c>
      <c r="AV169" s="4">
        <f t="shared" si="69"/>
        <v>26</v>
      </c>
      <c r="AW169" s="4">
        <f t="shared" si="70"/>
        <v>2</v>
      </c>
      <c r="AX169" s="4">
        <f t="shared" si="71"/>
        <v>33</v>
      </c>
      <c r="AY169" s="4">
        <f t="shared" si="72"/>
        <v>37</v>
      </c>
      <c r="AZ169" s="4">
        <f t="shared" si="73"/>
        <v>28</v>
      </c>
      <c r="BA169" s="4">
        <f t="shared" si="74"/>
        <v>11</v>
      </c>
    </row>
    <row r="170" spans="1:53" x14ac:dyDescent="0.2">
      <c r="A170" s="1" t="str">
        <f>'SegEnds_NonXtal_Prot#'!A143</f>
        <v>gpr37_human</v>
      </c>
      <c r="B170" s="1" t="str">
        <f t="shared" si="50"/>
        <v>FYPLTQESYGAYAVMCLSVVIFGTGIIGNLAVMCIVCHNSISNSLLANLAFWDFLIIFFCLPLVIFHELTEDFSCKIVPYIEVASLGVTTFTLCALCIDRFRAATNNCSSTTAKLAVIWVGALLLALPEVVLRVLALTYDSARLWWYFGCYFCLPTLFTITCSLVTARKIRKAEKACKRQIQLESQMNCTVVALTILYGFCIIPENICNIVTAYMQQTMDLLNIISQFLLFFKSCVTPVLLFCLCKPFSRAFMECCCC</v>
      </c>
      <c r="C170" s="29" t="str">
        <f>IF(ISERROR(MATCH(A170,'SegEnds_Xtal_Prot#'!B:B, 0)), "NoXtal", "Xtal")</f>
        <v>NoXtal</v>
      </c>
      <c r="D170" s="4" t="str">
        <f>VLOOKUP(A170,Classification!A:D,2,FALSE)</f>
        <v>A</v>
      </c>
      <c r="E170" s="5" t="str">
        <f>VLOOKUP(A170,Seqs!A:B,2,FALSE)</f>
        <v>MRAPGALLARMSRLLLLLLLKVSASSALGVAPASRNETCLGESCAPTVIQRRGRDAWGPGNSARDVLRARAPREEQGAAFLAGPSWDLPAAPGRDPAAGRGAEASAAGPPGPPTRPPGPWRWKGARGQEPSETLGRGNPTALQLFLQISEEEEKGPRGAGISGRSQEQSVKTVPGASDLFYWPRRAGKLQGSHHKPLSKTANGLAGHEGWTIALPGRALAQNGSLGEGIHEPGGPRRGNSTNRRVRLKNPFYPLTQESYGAYAVMCLSVVIFGTGIIGNLAVMCIVCHNYYMRSISNSLLANLAFWDFLIIFFCLPLVIFHELTKKWLLEDFSCKIVPYIEVASLGVTTFTLCALCIDRFRAATNVQMYYEMIENCSSTTAKLAVIWVGALLLALPEVVLRQLSKEDLGFSGRAPAERCIIKISPDLPDTIYVLALTYDSARLWWYFGCYFCLPTLFTITCSLVTARKIRKAEKACTRGNKRQIQLESQMNCTVVALTILYGFCIIPENICNIVTAYMATGVSQQTMDLLNIISQFLLFFKSCVTPVLLFCLCKPFSRAFMECCCCCCEECIQKSSTVTSDDNDNEYTTELELSPFSTIRREMSTFASVGTHC</v>
      </c>
      <c r="F170" s="5" t="str">
        <f t="shared" si="51"/>
        <v>FYPLTQESYGAYAVMCLSVVIFGTGIIGNLAVMCIVCHN</v>
      </c>
      <c r="G170" s="4" t="str">
        <f t="shared" si="52"/>
        <v>YYMR</v>
      </c>
      <c r="H170" s="4" t="str">
        <f t="shared" si="53"/>
        <v>SISNSLLANLAFWDFLIIFFCLPLVIFHELT</v>
      </c>
      <c r="I170" s="4" t="str">
        <f t="shared" si="54"/>
        <v>KWLL</v>
      </c>
      <c r="J170" s="4" t="str">
        <f t="shared" si="55"/>
        <v>EDFSCKIVPYIEVASLGVTTFTLCALCIDRFRAATN</v>
      </c>
      <c r="K170" s="4" t="str">
        <f t="shared" si="56"/>
        <v>QMYYEMIE</v>
      </c>
      <c r="L170" s="4" t="str">
        <f t="shared" si="57"/>
        <v>NCSSTTAKLAVIWVGALLLALPEVVLR</v>
      </c>
      <c r="M170" s="4" t="str">
        <f t="shared" si="58"/>
        <v>CII</v>
      </c>
      <c r="N170" s="4" t="str">
        <f t="shared" si="59"/>
        <v>VLALTYDSARLWWYFGCYFCLPTLFTITCSLVTARKIRKAEKAC</v>
      </c>
      <c r="O170" s="4" t="str">
        <f t="shared" si="60"/>
        <v>KRQIQLESQMNCTVVALTILYGFCIIPENICNIVTAYM</v>
      </c>
      <c r="P170" s="4" t="str">
        <f t="shared" si="61"/>
        <v>QQTMDLLNIISQFLLFFKSCVTPVLLFCL</v>
      </c>
      <c r="Q170" s="4" t="str">
        <f t="shared" si="62"/>
        <v>CKPFSRAFMECCCC</v>
      </c>
      <c r="R170" s="5">
        <f>VLOOKUP($A170,'SegEnds_NonXtal_Prot#'!$A:$AL,3,FALSE)</f>
        <v>251</v>
      </c>
      <c r="S170" s="5">
        <f>VLOOKUP($A170,'SegEnds_NonXtal_Prot#'!$A:$AL,6,FALSE)</f>
        <v>290</v>
      </c>
      <c r="T170" s="5">
        <f>VLOOKUP($A170,'SegEnds_NonXtal_Prot#'!$A:$AL,9,FALSE)</f>
        <v>294</v>
      </c>
      <c r="U170" s="5">
        <f>VLOOKUP($A170,'SegEnds_NonXtal_Prot#'!$A:$AL,12,FALSE)</f>
        <v>326</v>
      </c>
      <c r="V170" s="5">
        <f>VLOOKUP($A170,'SegEnds_NonXtal_Prot#'!$A:$AL,15,FALSE)</f>
        <v>330</v>
      </c>
      <c r="W170" s="5">
        <f>VLOOKUP($A170,'SegEnds_NonXtal_Prot#'!$A:$AL,18,FALSE)</f>
        <v>367</v>
      </c>
      <c r="X170" s="5">
        <f>VLOOKUP($A170,'SegEnds_NonXtal_Prot#'!$A:$AL,21,FALSE)</f>
        <v>375</v>
      </c>
      <c r="Y170" s="5">
        <f>VLOOKUP($A170,'SegEnds_NonXtal_Prot#'!$A:$AL,24,FALSE)</f>
        <v>419</v>
      </c>
      <c r="Z170" s="5">
        <f>VLOOKUP($A170,'SegEnds_NonXtal_Prot#'!$A:$AL,27,FALSE)</f>
        <v>433</v>
      </c>
      <c r="AA170" s="5">
        <f>VLOOKUP($A170,'SegEnds_NonXtal_Prot#'!$A:$AL,30,FALSE)</f>
        <v>481</v>
      </c>
      <c r="AB170" s="5">
        <f>VLOOKUP($A170,'SegEnds_NonXtal_Prot#'!$A:$AL,33,FALSE)</f>
        <v>524</v>
      </c>
      <c r="AC170" s="5">
        <f>VLOOKUP($A170,'SegEnds_NonXtal_Prot#'!$A:$AL,36,FALSE)</f>
        <v>553</v>
      </c>
      <c r="AD170" s="5">
        <f>VLOOKUP($A170,'SegEnds_NonXtal_Prot#'!$A:$AL,5,FALSE)</f>
        <v>289</v>
      </c>
      <c r="AE170" s="5">
        <f>VLOOKUP($A170,'SegEnds_NonXtal_Prot#'!$A:$AL,8,FALSE)</f>
        <v>293</v>
      </c>
      <c r="AF170" s="5">
        <f>VLOOKUP($A170,'SegEnds_NonXtal_Prot#'!$A:$AL,11,FALSE)</f>
        <v>324</v>
      </c>
      <c r="AG170" s="5">
        <f>VLOOKUP($A170,'SegEnds_NonXtal_Prot#'!$A:$AL,14,FALSE)</f>
        <v>329</v>
      </c>
      <c r="AH170" s="5">
        <f>VLOOKUP($A170,'SegEnds_NonXtal_Prot#'!$A:$AL,17,FALSE)</f>
        <v>365</v>
      </c>
      <c r="AI170" s="5">
        <f>VLOOKUP($A170,'SegEnds_NonXtal_Prot#'!$A:$AL,20,FALSE)</f>
        <v>374</v>
      </c>
      <c r="AJ170" s="5">
        <f>VLOOKUP($A170,'SegEnds_NonXtal_Prot#'!$A:$AL,23,FALSE)</f>
        <v>401</v>
      </c>
      <c r="AK170" s="5">
        <f>VLOOKUP($A170,'SegEnds_NonXtal_Prot#'!$A:$AL,26,FALSE)</f>
        <v>421</v>
      </c>
      <c r="AL170" s="5">
        <f>VLOOKUP($A170,'SegEnds_NonXtal_Prot#'!$A:$AL,29,FALSE)</f>
        <v>476</v>
      </c>
      <c r="AM170" s="5">
        <f>VLOOKUP($A170,'SegEnds_NonXtal_Prot#'!$A:$AL,32,FALSE)</f>
        <v>518</v>
      </c>
      <c r="AN170" s="5">
        <f>VLOOKUP($A170,'SegEnds_NonXtal_Prot#'!$A:$AL,35,FALSE)</f>
        <v>552</v>
      </c>
      <c r="AO170" s="5">
        <f>VLOOKUP($A170,'SegEnds_NonXtal_Prot#'!$A:$AL,38,FALSE)</f>
        <v>566</v>
      </c>
      <c r="AP170" s="5">
        <f t="shared" si="63"/>
        <v>38</v>
      </c>
      <c r="AQ170" s="4">
        <f t="shared" si="64"/>
        <v>3</v>
      </c>
      <c r="AR170" s="4">
        <f t="shared" si="65"/>
        <v>30</v>
      </c>
      <c r="AS170" s="4">
        <f t="shared" si="66"/>
        <v>3</v>
      </c>
      <c r="AT170" s="4">
        <f t="shared" si="67"/>
        <v>35</v>
      </c>
      <c r="AU170" s="4">
        <f t="shared" si="68"/>
        <v>7</v>
      </c>
      <c r="AV170" s="4">
        <f t="shared" si="69"/>
        <v>26</v>
      </c>
      <c r="AW170" s="4">
        <f t="shared" si="70"/>
        <v>2</v>
      </c>
      <c r="AX170" s="4">
        <f t="shared" si="71"/>
        <v>43</v>
      </c>
      <c r="AY170" s="4">
        <f t="shared" si="72"/>
        <v>37</v>
      </c>
      <c r="AZ170" s="4">
        <f t="shared" si="73"/>
        <v>28</v>
      </c>
      <c r="BA170" s="4">
        <f t="shared" si="74"/>
        <v>13</v>
      </c>
    </row>
    <row r="171" spans="1:53" x14ac:dyDescent="0.2">
      <c r="A171" s="1" t="str">
        <f>'SegEnds_NonXtal_Prot#'!A144</f>
        <v>gpr39_human</v>
      </c>
      <c r="B171" s="1" t="str">
        <f t="shared" si="50"/>
        <v>TWIKITLILVYLIIFVMGLLGNSATIRVTQVLKEVTDHMVSLACSDILVFLIGMPMEFYSIIWNTSSYTLSCKLHTFLFEACSYATLLHVLTLSFERYIAICHGPCQVKLLIGFVWVTSALVALPLLFAMRWTVFQSSIFGAFVVYLVVLLSVAFMCWNMMQVLMKSQKGSLEESRTARRQTIIFLRLIVVTLAVCWMPNQIRRIMAAAKTRSYFRAYMILLPFSETFFYLSSVINPLLYTVSSQQFRRVFVQVL</v>
      </c>
      <c r="C171" s="29" t="str">
        <f>IF(ISERROR(MATCH(A171,'SegEnds_Xtal_Prot#'!B:B, 0)), "NoXtal", "Xtal")</f>
        <v>NoXtal</v>
      </c>
      <c r="D171" s="4" t="str">
        <f>VLOOKUP(A171,Classification!A:D,2,FALSE)</f>
        <v>A</v>
      </c>
      <c r="E171" s="5" t="str">
        <f>VLOOKUP(A171,Seqs!A:B,2,FALSE)</f>
        <v>MASPSLPGSDCSQIIDHSHVPEFEVATWIKITLILVYLIIFVMGLLGNSATIRVTQVLQKKGYLQKEVTDHMVSLACSDILVFLIGMPMEFYSIIWNPLTTSSYTLSCKLHTFLFEACSYATLLHVLTLSFERYIAICHPFRYKAVSGPCQVKLLIGFVWVTSALVALPLLFAMGTEYPLVNVPSHRGLTCNRSSTRHHEQPETSNMSICTNLSSRWTVFQSSIFGAFVVYLVVLLSVAFMCWNMMQVLMKSQKGSLAGGTRPPQLRKSESEESRTARRQTIIFLRLIVVTLAVCWMPNQIRRIMAAAKPKHDWTRSYFRAYMILLPFSETFFYLSSVINPLLYTVSSQQFRRVFVQVLCCRLSLQHANHEKRLRVHAHSTTDSARFVQRPLLFASRRQSSARRTEKIFLSTFQSEAEPQSKSQSLSLESLEPNSGAKPANSAAENGFQEHEV</v>
      </c>
      <c r="F171" s="5" t="str">
        <f t="shared" si="51"/>
        <v>TWIKITLILVYLIIFVMGLLGNSATIRVTQVL</v>
      </c>
      <c r="G171" s="4" t="str">
        <f t="shared" si="52"/>
        <v/>
      </c>
      <c r="H171" s="4" t="str">
        <f t="shared" si="53"/>
        <v>KEVTDHMVSLACSDILVFLIGMPMEFYSIIWN</v>
      </c>
      <c r="I171" s="4" t="str">
        <f t="shared" si="54"/>
        <v/>
      </c>
      <c r="J171" s="4" t="str">
        <f t="shared" si="55"/>
        <v>TSSYTLSCKLHTFLFEACSYATLLHVLTLSFERYIAICH</v>
      </c>
      <c r="K171" s="4" t="str">
        <f t="shared" si="56"/>
        <v>PFRYKAVS</v>
      </c>
      <c r="L171" s="4" t="str">
        <f t="shared" si="57"/>
        <v>GPCQVKLLIGFVWVTSALVALPLLFAM</v>
      </c>
      <c r="M171" s="4" t="str">
        <f t="shared" si="58"/>
        <v>CTN</v>
      </c>
      <c r="N171" s="4" t="str">
        <f t="shared" si="59"/>
        <v>RWTVFQSSIFGAFVVYLVVLLSVAFMCWNMMQVLMKSQKGSL</v>
      </c>
      <c r="O171" s="4" t="str">
        <f t="shared" si="60"/>
        <v>EESRTARRQTIIFLRLIVVTLAVCWMPNQIRRIMAAAK</v>
      </c>
      <c r="P171" s="4" t="str">
        <f t="shared" si="61"/>
        <v>TRSYFRAYMILLPFSETFFYLSSVINPLLYTVS</v>
      </c>
      <c r="Q171" s="4" t="str">
        <f t="shared" si="62"/>
        <v>SQQFRRVFVQVL</v>
      </c>
      <c r="R171" s="5">
        <f>VLOOKUP($A171,'SegEnds_NonXtal_Prot#'!$A:$AL,3,FALSE)</f>
        <v>27</v>
      </c>
      <c r="S171" s="5" t="str">
        <f>VLOOKUP($A171,'SegEnds_NonXtal_Prot#'!$A:$AL,6,FALSE)</f>
        <v>-</v>
      </c>
      <c r="T171" s="5">
        <f>VLOOKUP($A171,'SegEnds_NonXtal_Prot#'!$A:$AL,9,FALSE)</f>
        <v>66</v>
      </c>
      <c r="U171" s="5" t="str">
        <f>VLOOKUP($A171,'SegEnds_NonXtal_Prot#'!$A:$AL,12,FALSE)</f>
        <v>-</v>
      </c>
      <c r="V171" s="5">
        <f>VLOOKUP($A171,'SegEnds_NonXtal_Prot#'!$A:$AL,15,FALSE)</f>
        <v>101</v>
      </c>
      <c r="W171" s="5">
        <f>VLOOKUP($A171,'SegEnds_NonXtal_Prot#'!$A:$AL,18,FALSE)</f>
        <v>140</v>
      </c>
      <c r="X171" s="5">
        <f>VLOOKUP($A171,'SegEnds_NonXtal_Prot#'!$A:$AL,21,FALSE)</f>
        <v>148</v>
      </c>
      <c r="Y171" s="5">
        <f>VLOOKUP($A171,'SegEnds_NonXtal_Prot#'!$A:$AL,24,FALSE)</f>
        <v>210</v>
      </c>
      <c r="Z171" s="5">
        <f>VLOOKUP($A171,'SegEnds_NonXtal_Prot#'!$A:$AL,27,FALSE)</f>
        <v>216</v>
      </c>
      <c r="AA171" s="5">
        <f>VLOOKUP($A171,'SegEnds_NonXtal_Prot#'!$A:$AL,30,FALSE)</f>
        <v>272</v>
      </c>
      <c r="AB171" s="5">
        <f>VLOOKUP($A171,'SegEnds_NonXtal_Prot#'!$A:$AL,33,FALSE)</f>
        <v>315</v>
      </c>
      <c r="AC171" s="5">
        <f>VLOOKUP($A171,'SegEnds_NonXtal_Prot#'!$A:$AL,36,FALSE)</f>
        <v>348</v>
      </c>
      <c r="AD171" s="5">
        <f>VLOOKUP($A171,'SegEnds_NonXtal_Prot#'!$A:$AL,5,FALSE)</f>
        <v>58</v>
      </c>
      <c r="AE171" s="5" t="str">
        <f>VLOOKUP($A171,'SegEnds_NonXtal_Prot#'!$A:$AL,8,FALSE)</f>
        <v>-</v>
      </c>
      <c r="AF171" s="5">
        <f>VLOOKUP($A171,'SegEnds_NonXtal_Prot#'!$A:$AL,11,FALSE)</f>
        <v>97</v>
      </c>
      <c r="AG171" s="5" t="str">
        <f>VLOOKUP($A171,'SegEnds_NonXtal_Prot#'!$A:$AL,14,FALSE)</f>
        <v>-</v>
      </c>
      <c r="AH171" s="5">
        <f>VLOOKUP($A171,'SegEnds_NonXtal_Prot#'!$A:$AL,17,FALSE)</f>
        <v>139</v>
      </c>
      <c r="AI171" s="5">
        <f>VLOOKUP($A171,'SegEnds_NonXtal_Prot#'!$A:$AL,20,FALSE)</f>
        <v>147</v>
      </c>
      <c r="AJ171" s="5">
        <f>VLOOKUP($A171,'SegEnds_NonXtal_Prot#'!$A:$AL,23,FALSE)</f>
        <v>174</v>
      </c>
      <c r="AK171" s="5">
        <f>VLOOKUP($A171,'SegEnds_NonXtal_Prot#'!$A:$AL,26,FALSE)</f>
        <v>212</v>
      </c>
      <c r="AL171" s="5">
        <f>VLOOKUP($A171,'SegEnds_NonXtal_Prot#'!$A:$AL,29,FALSE)</f>
        <v>257</v>
      </c>
      <c r="AM171" s="5">
        <f>VLOOKUP($A171,'SegEnds_NonXtal_Prot#'!$A:$AL,32,FALSE)</f>
        <v>309</v>
      </c>
      <c r="AN171" s="5">
        <f>VLOOKUP($A171,'SegEnds_NonXtal_Prot#'!$A:$AL,35,FALSE)</f>
        <v>347</v>
      </c>
      <c r="AO171" s="5">
        <f>VLOOKUP($A171,'SegEnds_NonXtal_Prot#'!$A:$AL,38,FALSE)</f>
        <v>359</v>
      </c>
      <c r="AP171" s="5">
        <f t="shared" si="63"/>
        <v>31</v>
      </c>
      <c r="AQ171" s="4" t="str">
        <f t="shared" si="64"/>
        <v>-</v>
      </c>
      <c r="AR171" s="4">
        <f t="shared" si="65"/>
        <v>31</v>
      </c>
      <c r="AS171" s="4" t="str">
        <f t="shared" si="66"/>
        <v>-</v>
      </c>
      <c r="AT171" s="4">
        <f t="shared" si="67"/>
        <v>38</v>
      </c>
      <c r="AU171" s="4">
        <f t="shared" si="68"/>
        <v>7</v>
      </c>
      <c r="AV171" s="4">
        <f t="shared" si="69"/>
        <v>26</v>
      </c>
      <c r="AW171" s="4">
        <f t="shared" si="70"/>
        <v>2</v>
      </c>
      <c r="AX171" s="4">
        <f t="shared" si="71"/>
        <v>41</v>
      </c>
      <c r="AY171" s="4">
        <f t="shared" si="72"/>
        <v>37</v>
      </c>
      <c r="AZ171" s="4">
        <f t="shared" si="73"/>
        <v>32</v>
      </c>
      <c r="BA171" s="4">
        <f t="shared" si="74"/>
        <v>11</v>
      </c>
    </row>
    <row r="172" spans="1:53" x14ac:dyDescent="0.2">
      <c r="A172" s="1" t="str">
        <f>'SegEnds_NonXtal_Prot#'!A145</f>
        <v>gpr4_human</v>
      </c>
      <c r="B172" s="1" t="str">
        <f t="shared" si="50"/>
        <v>SRVDHLFPPSLYIFVIGVGLPTNCLALWAAYRQNELGVYLMNLSIADLLYICTLPLWVDYFLHGPGSCKLFGFIFYTNIYISIAFLCCISVDRYLAVAHRVKTAVAVSSVVWATELGANSAPLFMEGWVAWMNLYRVFVGFLFPWALMLLSYRGILRAVRGERQEKAKIKRLALSLIAIVLVCFAPYHVLLLSRSAIYLGDCGFEERVFSAYHSSLAFTSLNCVADPILYCLVNEGARSDVAKALHNL</v>
      </c>
      <c r="C172" s="29" t="str">
        <f>IF(ISERROR(MATCH(A172,'SegEnds_Xtal_Prot#'!B:B, 0)), "NoXtal", "Xtal")</f>
        <v>NoXtal</v>
      </c>
      <c r="D172" s="4" t="str">
        <f>VLOOKUP(A172,Classification!A:D,2,FALSE)</f>
        <v>A</v>
      </c>
      <c r="E172" s="5" t="str">
        <f>VLOOKUP(A172,Seqs!A:B,2,FALSE)</f>
        <v>MGNHTWEGCHVDSRVDHLFPPSLYIFVIGVGLPTNCLALWAAYRQVQQRNELGVYLMNLSIADLLYICTLPLWVDYFLHHDNWIHGPGSCKLFGFIFYTNIYISIAFLCCISVDRYLAVAHPLRFARLRRVKTAVAVSSVVWATELGANSAPLFHDELFRDRYNHTFCFEKFPMEGWVAWMNLYRVFVGFLFPWALMLLSYRGILRAVRGSVSTERQEKAKIKRLALSLIAIVLVCFAPYHVLLLSRSAIYLGRPWDCGFEERVFSAYHSSLAFTSLNCVADPILYCLVNEGARSDVAKALHNLLRFLASDKPQEMANASLTLETPLTSKRNSTAKAMTGSWAATPPSQGDQVQLKMLPPAQ</v>
      </c>
      <c r="F172" s="5" t="str">
        <f t="shared" si="51"/>
        <v>SRVDHLFPPSLYIFVIGVGLPTNCLALWAAYRQ</v>
      </c>
      <c r="G172" s="4" t="str">
        <f t="shared" si="52"/>
        <v/>
      </c>
      <c r="H172" s="4" t="str">
        <f t="shared" si="53"/>
        <v>NELGVYLMNLSIADLLYICTLPLWVDYFLH</v>
      </c>
      <c r="I172" s="4" t="str">
        <f t="shared" si="54"/>
        <v>NWIH</v>
      </c>
      <c r="J172" s="4" t="str">
        <f t="shared" si="55"/>
        <v>GPGSCKLFGFIFYTNIYISIAFLCCISVDRYLAVAH</v>
      </c>
      <c r="K172" s="4" t="str">
        <f t="shared" si="56"/>
        <v>PLRFARLR</v>
      </c>
      <c r="L172" s="4" t="str">
        <f t="shared" si="57"/>
        <v>RVKTAVAVSSVVWATELGANSAPLF</v>
      </c>
      <c r="M172" s="4" t="str">
        <f t="shared" si="58"/>
        <v>CFE</v>
      </c>
      <c r="N172" s="4" t="str">
        <f t="shared" si="59"/>
        <v>MEGWVAWMNLYRVFVGFLFPWALMLLSYRGILRAVRG</v>
      </c>
      <c r="O172" s="4" t="str">
        <f t="shared" si="60"/>
        <v>ERQEKAKIKRLALSLIAIVLVCFAPYHVLLLSRSAIYLG</v>
      </c>
      <c r="P172" s="4" t="str">
        <f t="shared" si="61"/>
        <v>DCGFEERVFSAYHSSLAFTSLNCVADPILYCLV</v>
      </c>
      <c r="Q172" s="4" t="str">
        <f t="shared" si="62"/>
        <v>NEGARSDVAKALHNL</v>
      </c>
      <c r="R172" s="5">
        <f>VLOOKUP($A172,'SegEnds_NonXtal_Prot#'!$A:$AL,3,FALSE)</f>
        <v>13</v>
      </c>
      <c r="S172" s="5" t="str">
        <f>VLOOKUP($A172,'SegEnds_NonXtal_Prot#'!$A:$AL,6,FALSE)</f>
        <v>-</v>
      </c>
      <c r="T172" s="5">
        <f>VLOOKUP($A172,'SegEnds_NonXtal_Prot#'!$A:$AL,9,FALSE)</f>
        <v>50</v>
      </c>
      <c r="U172" s="5">
        <f>VLOOKUP($A172,'SegEnds_NonXtal_Prot#'!$A:$AL,12,FALSE)</f>
        <v>82</v>
      </c>
      <c r="V172" s="5">
        <f>VLOOKUP($A172,'SegEnds_NonXtal_Prot#'!$A:$AL,15,FALSE)</f>
        <v>86</v>
      </c>
      <c r="W172" s="5">
        <f>VLOOKUP($A172,'SegEnds_NonXtal_Prot#'!$A:$AL,18,FALSE)</f>
        <v>122</v>
      </c>
      <c r="X172" s="5">
        <f>VLOOKUP($A172,'SegEnds_NonXtal_Prot#'!$A:$AL,21,FALSE)</f>
        <v>130</v>
      </c>
      <c r="Y172" s="5">
        <f>VLOOKUP($A172,'SegEnds_NonXtal_Prot#'!$A:$AL,24,FALSE)</f>
        <v>168</v>
      </c>
      <c r="Z172" s="5">
        <f>VLOOKUP($A172,'SegEnds_NonXtal_Prot#'!$A:$AL,27,FALSE)</f>
        <v>174</v>
      </c>
      <c r="AA172" s="5">
        <f>VLOOKUP($A172,'SegEnds_NonXtal_Prot#'!$A:$AL,30,FALSE)</f>
        <v>215</v>
      </c>
      <c r="AB172" s="5">
        <f>VLOOKUP($A172,'SegEnds_NonXtal_Prot#'!$A:$AL,33,FALSE)</f>
        <v>257</v>
      </c>
      <c r="AC172" s="5">
        <f>VLOOKUP($A172,'SegEnds_NonXtal_Prot#'!$A:$AL,36,FALSE)</f>
        <v>290</v>
      </c>
      <c r="AD172" s="5">
        <f>VLOOKUP($A172,'SegEnds_NonXtal_Prot#'!$A:$AL,5,FALSE)</f>
        <v>45</v>
      </c>
      <c r="AE172" s="5" t="str">
        <f>VLOOKUP($A172,'SegEnds_NonXtal_Prot#'!$A:$AL,8,FALSE)</f>
        <v>-</v>
      </c>
      <c r="AF172" s="5">
        <f>VLOOKUP($A172,'SegEnds_NonXtal_Prot#'!$A:$AL,11,FALSE)</f>
        <v>79</v>
      </c>
      <c r="AG172" s="5">
        <f>VLOOKUP($A172,'SegEnds_NonXtal_Prot#'!$A:$AL,14,FALSE)</f>
        <v>85</v>
      </c>
      <c r="AH172" s="5">
        <f>VLOOKUP($A172,'SegEnds_NonXtal_Prot#'!$A:$AL,17,FALSE)</f>
        <v>121</v>
      </c>
      <c r="AI172" s="5">
        <f>VLOOKUP($A172,'SegEnds_NonXtal_Prot#'!$A:$AL,20,FALSE)</f>
        <v>129</v>
      </c>
      <c r="AJ172" s="5">
        <f>VLOOKUP($A172,'SegEnds_NonXtal_Prot#'!$A:$AL,23,FALSE)</f>
        <v>154</v>
      </c>
      <c r="AK172" s="5">
        <f>VLOOKUP($A172,'SegEnds_NonXtal_Prot#'!$A:$AL,26,FALSE)</f>
        <v>170</v>
      </c>
      <c r="AL172" s="5">
        <f>VLOOKUP($A172,'SegEnds_NonXtal_Prot#'!$A:$AL,29,FALSE)</f>
        <v>210</v>
      </c>
      <c r="AM172" s="5">
        <f>VLOOKUP($A172,'SegEnds_NonXtal_Prot#'!$A:$AL,32,FALSE)</f>
        <v>253</v>
      </c>
      <c r="AN172" s="5">
        <f>VLOOKUP($A172,'SegEnds_NonXtal_Prot#'!$A:$AL,35,FALSE)</f>
        <v>289</v>
      </c>
      <c r="AO172" s="5">
        <f>VLOOKUP($A172,'SegEnds_NonXtal_Prot#'!$A:$AL,38,FALSE)</f>
        <v>304</v>
      </c>
      <c r="AP172" s="5">
        <f t="shared" si="63"/>
        <v>32</v>
      </c>
      <c r="AQ172" s="4" t="str">
        <f t="shared" si="64"/>
        <v>-</v>
      </c>
      <c r="AR172" s="4">
        <f t="shared" si="65"/>
        <v>29</v>
      </c>
      <c r="AS172" s="4">
        <f t="shared" si="66"/>
        <v>3</v>
      </c>
      <c r="AT172" s="4">
        <f t="shared" si="67"/>
        <v>35</v>
      </c>
      <c r="AU172" s="4">
        <f t="shared" si="68"/>
        <v>7</v>
      </c>
      <c r="AV172" s="4">
        <f t="shared" si="69"/>
        <v>24</v>
      </c>
      <c r="AW172" s="4">
        <f t="shared" si="70"/>
        <v>2</v>
      </c>
      <c r="AX172" s="4">
        <f t="shared" si="71"/>
        <v>36</v>
      </c>
      <c r="AY172" s="4">
        <f t="shared" si="72"/>
        <v>38</v>
      </c>
      <c r="AZ172" s="4">
        <f t="shared" si="73"/>
        <v>32</v>
      </c>
      <c r="BA172" s="4">
        <f t="shared" si="74"/>
        <v>14</v>
      </c>
    </row>
    <row r="173" spans="1:53" x14ac:dyDescent="0.2">
      <c r="A173" s="1" t="str">
        <f>'SegEnds_NonXtal_Prot#'!A147</f>
        <v>gpr52_human</v>
      </c>
      <c r="B173" s="1" t="str">
        <f t="shared" si="50"/>
        <v>CIFETVVIVLLTFLIIAGNLTVIFVFHCAHYTTSYFIQTMAYADLFVGVSCLVPTLSLLHGVHESLTCQVFGYIISVLKSVSMACLACISVDRYLAITKTPCRLRICIILIWIYSCLIFLPSFFGWTSAYFTGFIVCLLYAPAAFVVCFTYFHIFKICRQHTKEINSSRETGHSPDRRYAMVLFRITSVFYMLWLPYIIYFLLESSRPTLSFLTTWLAISNSFCNCVIYSLSNSVFRLGLRRLS</v>
      </c>
      <c r="C173" s="29" t="str">
        <f>IF(ISERROR(MATCH(A173,'SegEnds_Xtal_Prot#'!B:B, 0)), "NoXtal", "Xtal")</f>
        <v>NoXtal</v>
      </c>
      <c r="D173" s="4" t="str">
        <f>VLOOKUP(A173,Classification!A:D,2,FALSE)</f>
        <v>A</v>
      </c>
      <c r="E173" s="5" t="str">
        <f>VLOOKUP(A173,Seqs!A:B,2,FALSE)</f>
        <v>MNESRWTEWRILNMSSGIVNVSERHSCPLGFGHYSVVDVCIFETVVIVLLTFLIIAGNLTVIFVFHCAPLLHHYTTSYFIQTMAYADLFVGVSCLVPTLSLLHYSTGVHESLTCQVFGYIISVLKSVSMACLACISVDRYLAITKPLSYNQLVTPCRLRICIILIWIYSCLIFLPSFFGWGKPGYHGDIFEWCATSWLTSAYFTGFIVCLLYAPAAFVVCFTYFHIFKICRQHTKEINDRRARFPSHEVDSSRETGHSPDRRYAMVLFRITSVFYMLWLPYIIYFLLESSRVLDNPTLSFLTTWLAISNSFCNCVIYSLSNSVFRLGLRRLSETMCTSCMCVKDQEAQEPKPRKRANSCSI</v>
      </c>
      <c r="F173" s="5" t="str">
        <f t="shared" si="51"/>
        <v>CIFETVVIVLLTFLIIAGNLTVIFVFHCA</v>
      </c>
      <c r="G173" s="4" t="str">
        <f t="shared" si="52"/>
        <v>PLLH</v>
      </c>
      <c r="H173" s="4" t="str">
        <f t="shared" si="53"/>
        <v>HYTTSYFIQTMAYADLFVGVSCLVPTLSLLH</v>
      </c>
      <c r="I173" s="4" t="str">
        <f t="shared" si="54"/>
        <v/>
      </c>
      <c r="J173" s="4" t="str">
        <f t="shared" si="55"/>
        <v>GVHESLTCQVFGYIISVLKSVSMACLACISVDRYLAITK</v>
      </c>
      <c r="K173" s="4" t="str">
        <f t="shared" si="56"/>
        <v>PLSYNQLV</v>
      </c>
      <c r="L173" s="4" t="str">
        <f t="shared" si="57"/>
        <v>TPCRLRICIILIWIYSCLIFLPSFFGW</v>
      </c>
      <c r="M173" s="4" t="str">
        <f t="shared" si="58"/>
        <v>CAT</v>
      </c>
      <c r="N173" s="4" t="str">
        <f t="shared" si="59"/>
        <v>TSAYFTGFIVCLLYAPAAFVVCFTYFHIFKICRQHTKEIN</v>
      </c>
      <c r="O173" s="4" t="str">
        <f t="shared" si="60"/>
        <v>SSRETGHSPDRRYAMVLFRITSVFYMLWLPYIIYFLLESSR</v>
      </c>
      <c r="P173" s="4" t="str">
        <f t="shared" si="61"/>
        <v>PTLSFLTTWLAISNSFCNCVIYSLS</v>
      </c>
      <c r="Q173" s="4" t="str">
        <f t="shared" si="62"/>
        <v>NSVFRLGLRRLS</v>
      </c>
      <c r="R173" s="5">
        <f>VLOOKUP($A173,'SegEnds_NonXtal_Prot#'!$A:$AL,3,FALSE)</f>
        <v>40</v>
      </c>
      <c r="S173" s="5">
        <f>VLOOKUP($A173,'SegEnds_NonXtal_Prot#'!$A:$AL,6,FALSE)</f>
        <v>69</v>
      </c>
      <c r="T173" s="5">
        <f>VLOOKUP($A173,'SegEnds_NonXtal_Prot#'!$A:$AL,9,FALSE)</f>
        <v>73</v>
      </c>
      <c r="U173" s="5" t="str">
        <f>VLOOKUP($A173,'SegEnds_NonXtal_Prot#'!$A:$AL,12,FALSE)</f>
        <v>-</v>
      </c>
      <c r="V173" s="5">
        <f>VLOOKUP($A173,'SegEnds_NonXtal_Prot#'!$A:$AL,15,FALSE)</f>
        <v>107</v>
      </c>
      <c r="W173" s="5">
        <f>VLOOKUP($A173,'SegEnds_NonXtal_Prot#'!$A:$AL,18,FALSE)</f>
        <v>146</v>
      </c>
      <c r="X173" s="5">
        <f>VLOOKUP($A173,'SegEnds_NonXtal_Prot#'!$A:$AL,21,FALSE)</f>
        <v>154</v>
      </c>
      <c r="Y173" s="5">
        <f>VLOOKUP($A173,'SegEnds_NonXtal_Prot#'!$A:$AL,24,FALSE)</f>
        <v>193</v>
      </c>
      <c r="Z173" s="5">
        <f>VLOOKUP($A173,'SegEnds_NonXtal_Prot#'!$A:$AL,27,FALSE)</f>
        <v>199</v>
      </c>
      <c r="AA173" s="5">
        <f>VLOOKUP($A173,'SegEnds_NonXtal_Prot#'!$A:$AL,30,FALSE)</f>
        <v>251</v>
      </c>
      <c r="AB173" s="5">
        <f>VLOOKUP($A173,'SegEnds_NonXtal_Prot#'!$A:$AL,33,FALSE)</f>
        <v>296</v>
      </c>
      <c r="AC173" s="5">
        <f>VLOOKUP($A173,'SegEnds_NonXtal_Prot#'!$A:$AL,36,FALSE)</f>
        <v>321</v>
      </c>
      <c r="AD173" s="5">
        <f>VLOOKUP($A173,'SegEnds_NonXtal_Prot#'!$A:$AL,5,FALSE)</f>
        <v>68</v>
      </c>
      <c r="AE173" s="5">
        <f>VLOOKUP($A173,'SegEnds_NonXtal_Prot#'!$A:$AL,8,FALSE)</f>
        <v>72</v>
      </c>
      <c r="AF173" s="5">
        <f>VLOOKUP($A173,'SegEnds_NonXtal_Prot#'!$A:$AL,11,FALSE)</f>
        <v>103</v>
      </c>
      <c r="AG173" s="5" t="str">
        <f>VLOOKUP($A173,'SegEnds_NonXtal_Prot#'!$A:$AL,14,FALSE)</f>
        <v>-</v>
      </c>
      <c r="AH173" s="5">
        <f>VLOOKUP($A173,'SegEnds_NonXtal_Prot#'!$A:$AL,17,FALSE)</f>
        <v>145</v>
      </c>
      <c r="AI173" s="5">
        <f>VLOOKUP($A173,'SegEnds_NonXtal_Prot#'!$A:$AL,20,FALSE)</f>
        <v>153</v>
      </c>
      <c r="AJ173" s="5">
        <f>VLOOKUP($A173,'SegEnds_NonXtal_Prot#'!$A:$AL,23,FALSE)</f>
        <v>180</v>
      </c>
      <c r="AK173" s="5">
        <f>VLOOKUP($A173,'SegEnds_NonXtal_Prot#'!$A:$AL,26,FALSE)</f>
        <v>195</v>
      </c>
      <c r="AL173" s="5">
        <f>VLOOKUP($A173,'SegEnds_NonXtal_Prot#'!$A:$AL,29,FALSE)</f>
        <v>238</v>
      </c>
      <c r="AM173" s="5">
        <f>VLOOKUP($A173,'SegEnds_NonXtal_Prot#'!$A:$AL,32,FALSE)</f>
        <v>291</v>
      </c>
      <c r="AN173" s="5">
        <f>VLOOKUP($A173,'SegEnds_NonXtal_Prot#'!$A:$AL,35,FALSE)</f>
        <v>320</v>
      </c>
      <c r="AO173" s="5">
        <f>VLOOKUP($A173,'SegEnds_NonXtal_Prot#'!$A:$AL,38,FALSE)</f>
        <v>332</v>
      </c>
      <c r="AP173" s="5">
        <f t="shared" si="63"/>
        <v>28</v>
      </c>
      <c r="AQ173" s="4">
        <f t="shared" si="64"/>
        <v>3</v>
      </c>
      <c r="AR173" s="4">
        <f t="shared" si="65"/>
        <v>30</v>
      </c>
      <c r="AS173" s="4" t="str">
        <f t="shared" si="66"/>
        <v>-</v>
      </c>
      <c r="AT173" s="4">
        <f t="shared" si="67"/>
        <v>38</v>
      </c>
      <c r="AU173" s="4">
        <f t="shared" si="68"/>
        <v>7</v>
      </c>
      <c r="AV173" s="4">
        <f t="shared" si="69"/>
        <v>26</v>
      </c>
      <c r="AW173" s="4">
        <f t="shared" si="70"/>
        <v>2</v>
      </c>
      <c r="AX173" s="4">
        <f t="shared" si="71"/>
        <v>39</v>
      </c>
      <c r="AY173" s="4">
        <f t="shared" si="72"/>
        <v>40</v>
      </c>
      <c r="AZ173" s="4">
        <f t="shared" si="73"/>
        <v>24</v>
      </c>
      <c r="BA173" s="4">
        <f t="shared" si="74"/>
        <v>11</v>
      </c>
    </row>
    <row r="174" spans="1:53" x14ac:dyDescent="0.2">
      <c r="A174" s="1" t="str">
        <f>'SegEnds_NonXtal_Prot#'!A148</f>
        <v>gpr55_human</v>
      </c>
      <c r="B174" s="1" t="str">
        <f t="shared" si="50"/>
        <v>LMKTLQFAVHIPTFVLGLLLNLLAIHGFSTFAATSIYMINLAVFDLLLVLSLPFKMVLSQVLCTLVECLYFVSMYGSVFTICFISMDRFLAIRYSPRKIFGICCTIWVLVWTGSIPIYSFHDDTWSAKVFFPLEVFGFLLPMGIMGFCCSRSIHILLGRTQDWVQQKACIYSIAASLAVFVVSFLPVHLGFFLQFLVRNSECRAKQSISFFLQLSMCFSNVNCCLDVFCYYFVIKEFRMNIRAHRP</v>
      </c>
      <c r="C174" s="29" t="str">
        <f>IF(ISERROR(MATCH(A174,'SegEnds_Xtal_Prot#'!B:B, 0)), "NoXtal", "Xtal")</f>
        <v>NoXtal</v>
      </c>
      <c r="D174" s="4" t="str">
        <f>VLOOKUP(A174,Classification!A:D,2,FALSE)</f>
        <v>A</v>
      </c>
      <c r="E174" s="5" t="str">
        <f>VLOOKUP(A174,Seqs!A:B,2,FALSE)</f>
        <v>MSQQNTSGDCLFDGVNELMKTLQFAVHIPTFVLGLLLNLLAIHGFSTFLKNRWPDYAATSIYMINLAVFDLLLVLSLPFKMVLSQVQSPFPSLCTLVECLYFVSMYGSVFTICFISMDRFLAIRYPLLVSHLRSPRKIFGICCTIWVLVWTGSIPIYSFHGKVEKYMCFHNMSDDTWSAKVFFPLEVFGFLLPMGIMGFCCSRSIHILLGRRDHTQDWVQQKACIYSIAASLAVFVVSFLPVHLGFFLQFLVRNSFIVECRAKQSISFFLQLSMCFSNVNCCLDVFCYYFVIKEFRMNIRAHRPSRVQLVLQDTTISRG</v>
      </c>
      <c r="F174" s="5" t="str">
        <f t="shared" si="51"/>
        <v>LMKTLQFAVHIPTFVLGLLLNLLAIHGFSTF</v>
      </c>
      <c r="G174" s="4" t="str">
        <f t="shared" si="52"/>
        <v/>
      </c>
      <c r="H174" s="4" t="str">
        <f t="shared" si="53"/>
        <v>AATSIYMINLAVFDLLLVLSLPFKMVLSQV</v>
      </c>
      <c r="I174" s="4" t="str">
        <f t="shared" si="54"/>
        <v/>
      </c>
      <c r="J174" s="4" t="str">
        <f t="shared" si="55"/>
        <v>LCTLVECLYFVSMYGSVFTICFISMDRFLAIRY</v>
      </c>
      <c r="K174" s="4" t="str">
        <f t="shared" si="56"/>
        <v>PLLVSHLR</v>
      </c>
      <c r="L174" s="4" t="str">
        <f t="shared" si="57"/>
        <v>SPRKIFGICCTIWVLVWTGSIPIYSFH</v>
      </c>
      <c r="M174" s="4" t="str">
        <f t="shared" si="58"/>
        <v>CFH</v>
      </c>
      <c r="N174" s="4" t="str">
        <f t="shared" si="59"/>
        <v>DDTWSAKVFFPLEVFGFLLPMGIMGFCCSRSIHILLGR</v>
      </c>
      <c r="O174" s="4" t="str">
        <f t="shared" si="60"/>
        <v>TQDWVQQKACIYSIAASLAVFVVSFLPVHLGFFLQFLVRNS</v>
      </c>
      <c r="P174" s="4" t="str">
        <f t="shared" si="61"/>
        <v>ECRAKQSISFFLQLSMCFSNVNCCLDVFCYYFV</v>
      </c>
      <c r="Q174" s="4" t="str">
        <f t="shared" si="62"/>
        <v>IKEFRMNIRAHRP</v>
      </c>
      <c r="R174" s="5">
        <f>VLOOKUP($A174,'SegEnds_NonXtal_Prot#'!$A:$AL,3,FALSE)</f>
        <v>18</v>
      </c>
      <c r="S174" s="5" t="str">
        <f>VLOOKUP($A174,'SegEnds_NonXtal_Prot#'!$A:$AL,6,FALSE)</f>
        <v>-</v>
      </c>
      <c r="T174" s="5">
        <f>VLOOKUP($A174,'SegEnds_NonXtal_Prot#'!$A:$AL,9,FALSE)</f>
        <v>57</v>
      </c>
      <c r="U174" s="5" t="str">
        <f>VLOOKUP($A174,'SegEnds_NonXtal_Prot#'!$A:$AL,12,FALSE)</f>
        <v>-</v>
      </c>
      <c r="V174" s="5">
        <f>VLOOKUP($A174,'SegEnds_NonXtal_Prot#'!$A:$AL,15,FALSE)</f>
        <v>93</v>
      </c>
      <c r="W174" s="5">
        <f>VLOOKUP($A174,'SegEnds_NonXtal_Prot#'!$A:$AL,18,FALSE)</f>
        <v>126</v>
      </c>
      <c r="X174" s="5">
        <f>VLOOKUP($A174,'SegEnds_NonXtal_Prot#'!$A:$AL,21,FALSE)</f>
        <v>134</v>
      </c>
      <c r="Y174" s="5">
        <f>VLOOKUP($A174,'SegEnds_NonXtal_Prot#'!$A:$AL,24,FALSE)</f>
        <v>168</v>
      </c>
      <c r="Z174" s="5">
        <f>VLOOKUP($A174,'SegEnds_NonXtal_Prot#'!$A:$AL,27,FALSE)</f>
        <v>174</v>
      </c>
      <c r="AA174" s="5">
        <f>VLOOKUP($A174,'SegEnds_NonXtal_Prot#'!$A:$AL,30,FALSE)</f>
        <v>215</v>
      </c>
      <c r="AB174" s="5">
        <f>VLOOKUP($A174,'SegEnds_NonXtal_Prot#'!$A:$AL,33,FALSE)</f>
        <v>259</v>
      </c>
      <c r="AC174" s="5">
        <f>VLOOKUP($A174,'SegEnds_NonXtal_Prot#'!$A:$AL,36,FALSE)</f>
        <v>292</v>
      </c>
      <c r="AD174" s="5">
        <f>VLOOKUP($A174,'SegEnds_NonXtal_Prot#'!$A:$AL,5,FALSE)</f>
        <v>48</v>
      </c>
      <c r="AE174" s="5" t="str">
        <f>VLOOKUP($A174,'SegEnds_NonXtal_Prot#'!$A:$AL,8,FALSE)</f>
        <v>-</v>
      </c>
      <c r="AF174" s="5">
        <f>VLOOKUP($A174,'SegEnds_NonXtal_Prot#'!$A:$AL,11,FALSE)</f>
        <v>86</v>
      </c>
      <c r="AG174" s="5" t="str">
        <f>VLOOKUP($A174,'SegEnds_NonXtal_Prot#'!$A:$AL,14,FALSE)</f>
        <v>-</v>
      </c>
      <c r="AH174" s="5">
        <f>VLOOKUP($A174,'SegEnds_NonXtal_Prot#'!$A:$AL,17,FALSE)</f>
        <v>125</v>
      </c>
      <c r="AI174" s="5">
        <f>VLOOKUP($A174,'SegEnds_NonXtal_Prot#'!$A:$AL,20,FALSE)</f>
        <v>133</v>
      </c>
      <c r="AJ174" s="5">
        <f>VLOOKUP($A174,'SegEnds_NonXtal_Prot#'!$A:$AL,23,FALSE)</f>
        <v>160</v>
      </c>
      <c r="AK174" s="5">
        <f>VLOOKUP($A174,'SegEnds_NonXtal_Prot#'!$A:$AL,26,FALSE)</f>
        <v>170</v>
      </c>
      <c r="AL174" s="5">
        <f>VLOOKUP($A174,'SegEnds_NonXtal_Prot#'!$A:$AL,29,FALSE)</f>
        <v>211</v>
      </c>
      <c r="AM174" s="5">
        <f>VLOOKUP($A174,'SegEnds_NonXtal_Prot#'!$A:$AL,32,FALSE)</f>
        <v>255</v>
      </c>
      <c r="AN174" s="5">
        <f>VLOOKUP($A174,'SegEnds_NonXtal_Prot#'!$A:$AL,35,FALSE)</f>
        <v>291</v>
      </c>
      <c r="AO174" s="5">
        <f>VLOOKUP($A174,'SegEnds_NonXtal_Prot#'!$A:$AL,38,FALSE)</f>
        <v>304</v>
      </c>
      <c r="AP174" s="5">
        <f t="shared" si="63"/>
        <v>30</v>
      </c>
      <c r="AQ174" s="4" t="str">
        <f t="shared" si="64"/>
        <v>-</v>
      </c>
      <c r="AR174" s="4">
        <f t="shared" si="65"/>
        <v>29</v>
      </c>
      <c r="AS174" s="4" t="str">
        <f t="shared" si="66"/>
        <v>-</v>
      </c>
      <c r="AT174" s="4">
        <f t="shared" si="67"/>
        <v>32</v>
      </c>
      <c r="AU174" s="4">
        <f t="shared" si="68"/>
        <v>7</v>
      </c>
      <c r="AV174" s="4">
        <f t="shared" si="69"/>
        <v>26</v>
      </c>
      <c r="AW174" s="4">
        <f t="shared" si="70"/>
        <v>2</v>
      </c>
      <c r="AX174" s="4">
        <f t="shared" si="71"/>
        <v>37</v>
      </c>
      <c r="AY174" s="4">
        <f t="shared" si="72"/>
        <v>40</v>
      </c>
      <c r="AZ174" s="4">
        <f t="shared" si="73"/>
        <v>32</v>
      </c>
      <c r="BA174" s="4">
        <f t="shared" si="74"/>
        <v>12</v>
      </c>
    </row>
    <row r="175" spans="1:53" x14ac:dyDescent="0.2">
      <c r="A175" s="1" t="str">
        <f>'SegEnds_NonXtal_Prot#'!A149</f>
        <v>gpr6_human</v>
      </c>
      <c r="B175" s="1" t="str">
        <f t="shared" si="50"/>
        <v>LPAVNPWDVLLCVSGTVIAGENALVVALIASTTPMFVLVGSLATADLLAGCGLILHFVPSETVSLLTVGFLVASFAASVSSLLAITVDRYLSLYNTLLGVHLLLAATWTVSLGLGLLPVLGARSHVALLSAAFFMVFGIMLHLYVRICQVVWRHAHQIPPHLAATRKGVGTLAVVLGTFGASWLPFAIYCVVGSHEYTYATLLPATYNSMINPIIYAFRNQEIQRALWLLLC</v>
      </c>
      <c r="C175" s="29" t="str">
        <f>IF(ISERROR(MATCH(A175,'SegEnds_Xtal_Prot#'!B:B, 0)), "NoXtal", "Xtal")</f>
        <v>NoXtal</v>
      </c>
      <c r="D175" s="4" t="str">
        <f>VLOOKUP(A175,Classification!A:D,2,FALSE)</f>
        <v>A</v>
      </c>
      <c r="E175" s="5" t="str">
        <f>VLOOKUP(A175,Seqs!A:B,2,FALSE)</f>
        <v>MNASAASLNDSQVVVVAAEGAAAAATAAGGPDTGEWGPPAAAALGAGGGANGSLELSSQLSAGPPGLLLPAVNPWDVLLCVSGTVIAGENALVVALIASTPALRTPMFVLVGSLATADLLAGCGLILHFVFQYLVPSETVSLLTVGFLVASFAASVSSLLAITVDRYLSLYNALTYYSRRTLLGVHLLLAATWTVSLGLGLLPVLGWNCLAERAACSVVRPLARSHVALLSAAFFMVFGIMLHLYVRICQVVWRHAHQIALQQHCLAPPHLAATRKGVGTLAVVLGTFGASWLPFAIYCVVGSHEDPAVYTYATLLPATYNSMINPIIYAFRNQEIQRALWLLLCGCFQSKVPFRSRSPSEV</v>
      </c>
      <c r="F175" s="5" t="str">
        <f t="shared" si="51"/>
        <v>LPAVNPWDVLLCVSGTVIAGENALVVALIAST</v>
      </c>
      <c r="G175" s="4" t="str">
        <f t="shared" si="52"/>
        <v>PALR</v>
      </c>
      <c r="H175" s="4" t="str">
        <f t="shared" si="53"/>
        <v>TPMFVLVGSLATADLLAGCGLILHFV</v>
      </c>
      <c r="I175" s="4" t="str">
        <f t="shared" si="54"/>
        <v>QYLV</v>
      </c>
      <c r="J175" s="4" t="str">
        <f t="shared" si="55"/>
        <v>PSETVSLLTVGFLVASFAASVSSLLAITVDRYLSLYN</v>
      </c>
      <c r="K175" s="4" t="str">
        <f t="shared" si="56"/>
        <v>ALTYYSRR</v>
      </c>
      <c r="L175" s="4" t="str">
        <f t="shared" si="57"/>
        <v>TLLGVHLLLAATWTVSLGLGLLPVLG</v>
      </c>
      <c r="M175" s="4" t="str">
        <f t="shared" si="58"/>
        <v/>
      </c>
      <c r="N175" s="4" t="str">
        <f t="shared" si="59"/>
        <v>ARSHVALLSAAFFMVFGIMLHLYVRICQVVWRHAHQI</v>
      </c>
      <c r="O175" s="4" t="str">
        <f t="shared" si="60"/>
        <v>PPHLAATRKGVGTLAVVLGTFGASWLPFAIYCVVGSHE</v>
      </c>
      <c r="P175" s="4" t="str">
        <f t="shared" si="61"/>
        <v>YTYATLLPATYNSMINPIIYAFR</v>
      </c>
      <c r="Q175" s="4" t="str">
        <f t="shared" si="62"/>
        <v>NQEIQRALWLLLC</v>
      </c>
      <c r="R175" s="5">
        <f>VLOOKUP($A175,'SegEnds_NonXtal_Prot#'!$A:$AL,3,FALSE)</f>
        <v>69</v>
      </c>
      <c r="S175" s="5">
        <f>VLOOKUP($A175,'SegEnds_NonXtal_Prot#'!$A:$AL,6,FALSE)</f>
        <v>101</v>
      </c>
      <c r="T175" s="5">
        <f>VLOOKUP($A175,'SegEnds_NonXtal_Prot#'!$A:$AL,9,FALSE)</f>
        <v>105</v>
      </c>
      <c r="U175" s="5">
        <f>VLOOKUP($A175,'SegEnds_NonXtal_Prot#'!$A:$AL,12,FALSE)</f>
        <v>132</v>
      </c>
      <c r="V175" s="5">
        <f>VLOOKUP($A175,'SegEnds_NonXtal_Prot#'!$A:$AL,15,FALSE)</f>
        <v>136</v>
      </c>
      <c r="W175" s="5">
        <f>VLOOKUP($A175,'SegEnds_NonXtal_Prot#'!$A:$AL,18,FALSE)</f>
        <v>173</v>
      </c>
      <c r="X175" s="5">
        <f>VLOOKUP($A175,'SegEnds_NonXtal_Prot#'!$A:$AL,21,FALSE)</f>
        <v>181</v>
      </c>
      <c r="Y175" s="5" t="str">
        <f>VLOOKUP($A175,'SegEnds_NonXtal_Prot#'!$A:$AL,24,FALSE)</f>
        <v>-</v>
      </c>
      <c r="Z175" s="5">
        <f>VLOOKUP($A175,'SegEnds_NonXtal_Prot#'!$A:$AL,27,FALSE)</f>
        <v>223</v>
      </c>
      <c r="AA175" s="5">
        <f>VLOOKUP($A175,'SegEnds_NonXtal_Prot#'!$A:$AL,30,FALSE)</f>
        <v>268</v>
      </c>
      <c r="AB175" s="5">
        <f>VLOOKUP($A175,'SegEnds_NonXtal_Prot#'!$A:$AL,33,FALSE)</f>
        <v>310</v>
      </c>
      <c r="AC175" s="5">
        <f>VLOOKUP($A175,'SegEnds_NonXtal_Prot#'!$A:$AL,36,FALSE)</f>
        <v>333</v>
      </c>
      <c r="AD175" s="5">
        <f>VLOOKUP($A175,'SegEnds_NonXtal_Prot#'!$A:$AL,5,FALSE)</f>
        <v>100</v>
      </c>
      <c r="AE175" s="5">
        <f>VLOOKUP($A175,'SegEnds_NonXtal_Prot#'!$A:$AL,8,FALSE)</f>
        <v>104</v>
      </c>
      <c r="AF175" s="5">
        <f>VLOOKUP($A175,'SegEnds_NonXtal_Prot#'!$A:$AL,11,FALSE)</f>
        <v>130</v>
      </c>
      <c r="AG175" s="5">
        <f>VLOOKUP($A175,'SegEnds_NonXtal_Prot#'!$A:$AL,14,FALSE)</f>
        <v>135</v>
      </c>
      <c r="AH175" s="5">
        <f>VLOOKUP($A175,'SegEnds_NonXtal_Prot#'!$A:$AL,17,FALSE)</f>
        <v>172</v>
      </c>
      <c r="AI175" s="5">
        <f>VLOOKUP($A175,'SegEnds_NonXtal_Prot#'!$A:$AL,20,FALSE)</f>
        <v>180</v>
      </c>
      <c r="AJ175" s="5">
        <f>VLOOKUP($A175,'SegEnds_NonXtal_Prot#'!$A:$AL,23,FALSE)</f>
        <v>206</v>
      </c>
      <c r="AK175" s="5" t="str">
        <f>VLOOKUP($A175,'SegEnds_NonXtal_Prot#'!$A:$AL,26,FALSE)</f>
        <v>-</v>
      </c>
      <c r="AL175" s="5">
        <f>VLOOKUP($A175,'SegEnds_NonXtal_Prot#'!$A:$AL,29,FALSE)</f>
        <v>259</v>
      </c>
      <c r="AM175" s="5">
        <f>VLOOKUP($A175,'SegEnds_NonXtal_Prot#'!$A:$AL,32,FALSE)</f>
        <v>305</v>
      </c>
      <c r="AN175" s="5">
        <f>VLOOKUP($A175,'SegEnds_NonXtal_Prot#'!$A:$AL,35,FALSE)</f>
        <v>332</v>
      </c>
      <c r="AO175" s="5">
        <f>VLOOKUP($A175,'SegEnds_NonXtal_Prot#'!$A:$AL,38,FALSE)</f>
        <v>345</v>
      </c>
      <c r="AP175" s="5">
        <f t="shared" si="63"/>
        <v>31</v>
      </c>
      <c r="AQ175" s="4">
        <f t="shared" si="64"/>
        <v>3</v>
      </c>
      <c r="AR175" s="4">
        <f t="shared" si="65"/>
        <v>25</v>
      </c>
      <c r="AS175" s="4">
        <f t="shared" si="66"/>
        <v>3</v>
      </c>
      <c r="AT175" s="4">
        <f t="shared" si="67"/>
        <v>36</v>
      </c>
      <c r="AU175" s="4">
        <f t="shared" si="68"/>
        <v>7</v>
      </c>
      <c r="AV175" s="4">
        <f t="shared" si="69"/>
        <v>25</v>
      </c>
      <c r="AW175" s="4" t="str">
        <f t="shared" si="70"/>
        <v>-</v>
      </c>
      <c r="AX175" s="4">
        <f t="shared" si="71"/>
        <v>36</v>
      </c>
      <c r="AY175" s="4">
        <f t="shared" si="72"/>
        <v>37</v>
      </c>
      <c r="AZ175" s="4">
        <f t="shared" si="73"/>
        <v>22</v>
      </c>
      <c r="BA175" s="4">
        <f t="shared" si="74"/>
        <v>12</v>
      </c>
    </row>
    <row r="176" spans="1:53" x14ac:dyDescent="0.2">
      <c r="A176" s="1" t="str">
        <f>'SegEnds_NonXtal_Prot#'!A150</f>
        <v>gpr61_human</v>
      </c>
      <c r="B176" s="1" t="str">
        <f t="shared" si="50"/>
        <v>SESVALFFMLLLDLTAVAGNAAVMAVIAKTLRKFVFVFHLCLVDLLAALTLMPLAMLSSSAFGEVACRLYLFLSVCFVSLAILSVSAINVERYYYVVHTLGLVASVLVGVWVKALAMASVPVLGRCQLFVVVFAVLYFLLPLLLILVVYCSMFRVARVAAMQHGPLPPHRTFGGGKAAVVLLAVGGQFLLCWLPYFSFHLYVALSTGQVESVVTWIGYFCFTSNPFFYGCLNRQIRGELSKQF</v>
      </c>
      <c r="C176" s="29" t="str">
        <f>IF(ISERROR(MATCH(A176,'SegEnds_Xtal_Prot#'!B:B, 0)), "NoXtal", "Xtal")</f>
        <v>NoXtal</v>
      </c>
      <c r="D176" s="4" t="str">
        <f>VLOOKUP(A176,Classification!A:D,2,FALSE)</f>
        <v>A</v>
      </c>
      <c r="E176" s="5" t="str">
        <f>VLOOKUP(A176,Seqs!A:B,2,FALSE)</f>
        <v>MESSPIPQSSGNSSTLGRVPQTPGPSTASGVPEVGLRDVASESVALFFMLLLDLTAVAGNAAVMAVIAKTPALRKFVFVFHLCLVDLLAALTLMPLAMLSSSALFDHALFGEVACRLYLFLSVCFVSLAILSVSAINVERYYYVVHPMRYEVRMTLGLVASVLVGVWVKALAMASVPVLGRVSWEEGAPSVPPGCSLQWSHSAYCQLFVVVFAVLYFLLPLLLILVVYCSMFRVARVAAMQHGPLPTWMETPRQRSESLSSRSTMVTSSGAPQTTPHRTFGGGKAAVVLLAVGGQFLLCWLPYFSFHLYVALSAQPISTGQVESVVTWIGYFCFTSNPFFYGCLNRQIRGELSKQFVCFFKPAPEEELRLPSREGSIEENFLQFLQGTGCPSESWVSRPLPSPKQEPPAVDFRIPGQIAEETSEFLEQQLTSDIIMSDSYLRPAASPRLES</v>
      </c>
      <c r="F176" s="5" t="str">
        <f t="shared" si="51"/>
        <v>SESVALFFMLLLDLTAVAGNAAVMAVIAKT</v>
      </c>
      <c r="G176" s="4" t="str">
        <f t="shared" si="52"/>
        <v/>
      </c>
      <c r="H176" s="4" t="str">
        <f t="shared" si="53"/>
        <v>LRKFVFVFHLCLVDLLAALTLMPLAMLSSSA</v>
      </c>
      <c r="I176" s="4" t="str">
        <f t="shared" si="54"/>
        <v>DHAL</v>
      </c>
      <c r="J176" s="4" t="str">
        <f t="shared" si="55"/>
        <v>FGEVACRLYLFLSVCFVSLAILSVSAINVERYYYVVH</v>
      </c>
      <c r="K176" s="4" t="str">
        <f t="shared" si="56"/>
        <v>PMRYEVRM</v>
      </c>
      <c r="L176" s="4" t="str">
        <f t="shared" si="57"/>
        <v>TLGLVASVLVGVWVKALAMASVPVLGR</v>
      </c>
      <c r="M176" s="4" t="str">
        <f t="shared" si="58"/>
        <v>CSL</v>
      </c>
      <c r="N176" s="4" t="str">
        <f t="shared" si="59"/>
        <v>CQLFVVVFAVLYFLLPLLLILVVYCSMFRVARVAAMQHGPLP</v>
      </c>
      <c r="O176" s="4" t="str">
        <f t="shared" si="60"/>
        <v>PHRTFGGGKAAVVLLAVGGQFLLCWLPYFSFHLYVALS</v>
      </c>
      <c r="P176" s="4" t="str">
        <f t="shared" si="61"/>
        <v>TGQVESVVTWIGYFCFTSNPFFYGCL</v>
      </c>
      <c r="Q176" s="4" t="str">
        <f t="shared" si="62"/>
        <v>NRQIRGELSKQF</v>
      </c>
      <c r="R176" s="5">
        <f>VLOOKUP($A176,'SegEnds_NonXtal_Prot#'!$A:$AL,3,FALSE)</f>
        <v>41</v>
      </c>
      <c r="S176" s="5" t="str">
        <f>VLOOKUP($A176,'SegEnds_NonXtal_Prot#'!$A:$AL,6,FALSE)</f>
        <v>-</v>
      </c>
      <c r="T176" s="5">
        <f>VLOOKUP($A176,'SegEnds_NonXtal_Prot#'!$A:$AL,9,FALSE)</f>
        <v>73</v>
      </c>
      <c r="U176" s="5">
        <f>VLOOKUP($A176,'SegEnds_NonXtal_Prot#'!$A:$AL,12,FALSE)</f>
        <v>106</v>
      </c>
      <c r="V176" s="5">
        <f>VLOOKUP($A176,'SegEnds_NonXtal_Prot#'!$A:$AL,15,FALSE)</f>
        <v>110</v>
      </c>
      <c r="W176" s="5">
        <f>VLOOKUP($A176,'SegEnds_NonXtal_Prot#'!$A:$AL,18,FALSE)</f>
        <v>147</v>
      </c>
      <c r="X176" s="5">
        <f>VLOOKUP($A176,'SegEnds_NonXtal_Prot#'!$A:$AL,21,FALSE)</f>
        <v>155</v>
      </c>
      <c r="Y176" s="5">
        <f>VLOOKUP($A176,'SegEnds_NonXtal_Prot#'!$A:$AL,24,FALSE)</f>
        <v>195</v>
      </c>
      <c r="Z176" s="5">
        <f>VLOOKUP($A176,'SegEnds_NonXtal_Prot#'!$A:$AL,27,FALSE)</f>
        <v>205</v>
      </c>
      <c r="AA176" s="5">
        <f>VLOOKUP($A176,'SegEnds_NonXtal_Prot#'!$A:$AL,30,FALSE)</f>
        <v>276</v>
      </c>
      <c r="AB176" s="5">
        <f>VLOOKUP($A176,'SegEnds_NonXtal_Prot#'!$A:$AL,33,FALSE)</f>
        <v>319</v>
      </c>
      <c r="AC176" s="5">
        <f>VLOOKUP($A176,'SegEnds_NonXtal_Prot#'!$A:$AL,36,FALSE)</f>
        <v>345</v>
      </c>
      <c r="AD176" s="5">
        <f>VLOOKUP($A176,'SegEnds_NonXtal_Prot#'!$A:$AL,5,FALSE)</f>
        <v>70</v>
      </c>
      <c r="AE176" s="5" t="str">
        <f>VLOOKUP($A176,'SegEnds_NonXtal_Prot#'!$A:$AL,8,FALSE)</f>
        <v>-</v>
      </c>
      <c r="AF176" s="5">
        <f>VLOOKUP($A176,'SegEnds_NonXtal_Prot#'!$A:$AL,11,FALSE)</f>
        <v>103</v>
      </c>
      <c r="AG176" s="5">
        <f>VLOOKUP($A176,'SegEnds_NonXtal_Prot#'!$A:$AL,14,FALSE)</f>
        <v>109</v>
      </c>
      <c r="AH176" s="5">
        <f>VLOOKUP($A176,'SegEnds_NonXtal_Prot#'!$A:$AL,17,FALSE)</f>
        <v>146</v>
      </c>
      <c r="AI176" s="5">
        <f>VLOOKUP($A176,'SegEnds_NonXtal_Prot#'!$A:$AL,20,FALSE)</f>
        <v>154</v>
      </c>
      <c r="AJ176" s="5">
        <f>VLOOKUP($A176,'SegEnds_NonXtal_Prot#'!$A:$AL,23,FALSE)</f>
        <v>181</v>
      </c>
      <c r="AK176" s="5">
        <f>VLOOKUP($A176,'SegEnds_NonXtal_Prot#'!$A:$AL,26,FALSE)</f>
        <v>197</v>
      </c>
      <c r="AL176" s="5">
        <f>VLOOKUP($A176,'SegEnds_NonXtal_Prot#'!$A:$AL,29,FALSE)</f>
        <v>246</v>
      </c>
      <c r="AM176" s="5">
        <f>VLOOKUP($A176,'SegEnds_NonXtal_Prot#'!$A:$AL,32,FALSE)</f>
        <v>313</v>
      </c>
      <c r="AN176" s="5">
        <f>VLOOKUP($A176,'SegEnds_NonXtal_Prot#'!$A:$AL,35,FALSE)</f>
        <v>344</v>
      </c>
      <c r="AO176" s="5">
        <f>VLOOKUP($A176,'SegEnds_NonXtal_Prot#'!$A:$AL,38,FALSE)</f>
        <v>356</v>
      </c>
      <c r="AP176" s="5">
        <f t="shared" si="63"/>
        <v>29</v>
      </c>
      <c r="AQ176" s="4" t="str">
        <f t="shared" si="64"/>
        <v>-</v>
      </c>
      <c r="AR176" s="4">
        <f t="shared" si="65"/>
        <v>30</v>
      </c>
      <c r="AS176" s="4">
        <f t="shared" si="66"/>
        <v>3</v>
      </c>
      <c r="AT176" s="4">
        <f t="shared" si="67"/>
        <v>36</v>
      </c>
      <c r="AU176" s="4">
        <f t="shared" si="68"/>
        <v>7</v>
      </c>
      <c r="AV176" s="4">
        <f t="shared" si="69"/>
        <v>26</v>
      </c>
      <c r="AW176" s="4">
        <f t="shared" si="70"/>
        <v>2</v>
      </c>
      <c r="AX176" s="4">
        <f t="shared" si="71"/>
        <v>41</v>
      </c>
      <c r="AY176" s="4">
        <f t="shared" si="72"/>
        <v>37</v>
      </c>
      <c r="AZ176" s="4">
        <f t="shared" si="73"/>
        <v>25</v>
      </c>
      <c r="BA176" s="4">
        <f t="shared" si="74"/>
        <v>11</v>
      </c>
    </row>
    <row r="177" spans="1:53" x14ac:dyDescent="0.2">
      <c r="A177" s="1" t="str">
        <f>'SegEnds_NonXtal_Prot#'!A151</f>
        <v>gpr78_human</v>
      </c>
      <c r="B177" s="1" t="str">
        <f t="shared" si="50"/>
        <v>EALLAGLLVMVLAVALLSNALVLLCCAYSTRASGVLLVNLSLGHLLLAALDMPFTLLGVMRAPGACQVIGFLDTFLASNAALSVAALSADQWLAVGFRPRYAGLLLGCAWGQSLAFSGAALGCSRPRFAAFTATLHAVGFVLPLAVLCLTSLQVHRVARRHCQRMDTVTIQQKRRRHRATRKIGIAIATFLICFAPYVMTRLAELVPNAQWGILSKCLTYSKAVADPFTYSLLRRPFRQVLAGMV</v>
      </c>
      <c r="C177" s="29" t="str">
        <f>IF(ISERROR(MATCH(A177,'SegEnds_Xtal_Prot#'!B:B, 0)), "NoXtal", "Xtal")</f>
        <v>NoXtal</v>
      </c>
      <c r="D177" s="4" t="str">
        <f>VLOOKUP(A177,Classification!A:D,2,FALSE)</f>
        <v>A</v>
      </c>
      <c r="E177" s="5" t="str">
        <f>VLOOKUP(A177,Seqs!A:B,2,FALSE)</f>
        <v>MGPGEALLAGLLVMVLAVALLSNALVLLCCAYSAELRTRASGVLLVNLSLGHLLLAALDMPFTLLGVMRGRTPSAPGACQVIGFLDTFLASNAALSVAALSADQWLAVGFPLRYAGRLRPRYAGLLLGCAWGQSLAFSGAALGCSWLGYSSAFASCSLRLPPEPERPRFAAFTATLHAVGFVLPLAVLCLTSLQVHRVARRHCQRMDTVTMKALALLADLHPSVRQRCLIQQKRRRHRATRKIGIAIATFLICFAPYVMTRLAELVPFVTVNAQWGILSKCLTYSKAVADPFTYSLLRRPFRQVLAGMVHRLLKRTPRPASTHDSSLDVAGMVHQLLKRTPRPASTHNGSVDTENDSCLQQTH</v>
      </c>
      <c r="F177" s="5" t="str">
        <f t="shared" si="51"/>
        <v>EALLAGLLVMVLAVALLSNALVLLCCAYS</v>
      </c>
      <c r="G177" s="4" t="str">
        <f t="shared" si="52"/>
        <v>AELR</v>
      </c>
      <c r="H177" s="4" t="str">
        <f t="shared" si="53"/>
        <v>TRASGVLLVNLSLGHLLLAALDMPFTLLGVMR</v>
      </c>
      <c r="I177" s="4" t="str">
        <f t="shared" si="54"/>
        <v/>
      </c>
      <c r="J177" s="4" t="str">
        <f t="shared" si="55"/>
        <v>APGACQVIGFLDTFLASNAALSVAALSADQWLAVGF</v>
      </c>
      <c r="K177" s="4" t="str">
        <f t="shared" si="56"/>
        <v>PLRYAGRL</v>
      </c>
      <c r="L177" s="4" t="str">
        <f t="shared" si="57"/>
        <v>RPRYAGLLLGCAWGQSLAFSGAALGCS</v>
      </c>
      <c r="M177" s="4" t="str">
        <f t="shared" si="58"/>
        <v>CSL</v>
      </c>
      <c r="N177" s="4" t="str">
        <f t="shared" si="59"/>
        <v>RPRFAAFTATLHAVGFVLPLAVLCLTSLQVHRVARRHCQRMDTVT</v>
      </c>
      <c r="O177" s="4" t="str">
        <f t="shared" si="60"/>
        <v>IQQKRRRHRATRKIGIAIATFLICFAPYVMTRLAELVP</v>
      </c>
      <c r="P177" s="4" t="str">
        <f t="shared" si="61"/>
        <v>NAQWGILSKCLTYSKAVADPFTYSLL</v>
      </c>
      <c r="Q177" s="4" t="str">
        <f t="shared" si="62"/>
        <v>RRPFRQVLAGMV</v>
      </c>
      <c r="R177" s="5">
        <f>VLOOKUP($A177,'SegEnds_NonXtal_Prot#'!$A:$AL,3,FALSE)</f>
        <v>5</v>
      </c>
      <c r="S177" s="5">
        <f>VLOOKUP($A177,'SegEnds_NonXtal_Prot#'!$A:$AL,6,FALSE)</f>
        <v>34</v>
      </c>
      <c r="T177" s="5">
        <f>VLOOKUP($A177,'SegEnds_NonXtal_Prot#'!$A:$AL,9,FALSE)</f>
        <v>38</v>
      </c>
      <c r="U177" s="5" t="str">
        <f>VLOOKUP($A177,'SegEnds_NonXtal_Prot#'!$A:$AL,12,FALSE)</f>
        <v>-</v>
      </c>
      <c r="V177" s="5">
        <f>VLOOKUP($A177,'SegEnds_NonXtal_Prot#'!$A:$AL,15,FALSE)</f>
        <v>75</v>
      </c>
      <c r="W177" s="5">
        <f>VLOOKUP($A177,'SegEnds_NonXtal_Prot#'!$A:$AL,18,FALSE)</f>
        <v>111</v>
      </c>
      <c r="X177" s="5">
        <f>VLOOKUP($A177,'SegEnds_NonXtal_Prot#'!$A:$AL,21,FALSE)</f>
        <v>119</v>
      </c>
      <c r="Y177" s="5">
        <f>VLOOKUP($A177,'SegEnds_NonXtal_Prot#'!$A:$AL,24,FALSE)</f>
        <v>156</v>
      </c>
      <c r="Z177" s="5">
        <f>VLOOKUP($A177,'SegEnds_NonXtal_Prot#'!$A:$AL,27,FALSE)</f>
        <v>166</v>
      </c>
      <c r="AA177" s="5">
        <f>VLOOKUP($A177,'SegEnds_NonXtal_Prot#'!$A:$AL,30,FALSE)</f>
        <v>230</v>
      </c>
      <c r="AB177" s="5">
        <f>VLOOKUP($A177,'SegEnds_NonXtal_Prot#'!$A:$AL,33,FALSE)</f>
        <v>272</v>
      </c>
      <c r="AC177" s="5">
        <f>VLOOKUP($A177,'SegEnds_NonXtal_Prot#'!$A:$AL,36,FALSE)</f>
        <v>298</v>
      </c>
      <c r="AD177" s="5">
        <f>VLOOKUP($A177,'SegEnds_NonXtal_Prot#'!$A:$AL,5,FALSE)</f>
        <v>33</v>
      </c>
      <c r="AE177" s="5">
        <f>VLOOKUP($A177,'SegEnds_NonXtal_Prot#'!$A:$AL,8,FALSE)</f>
        <v>37</v>
      </c>
      <c r="AF177" s="5">
        <f>VLOOKUP($A177,'SegEnds_NonXtal_Prot#'!$A:$AL,11,FALSE)</f>
        <v>69</v>
      </c>
      <c r="AG177" s="5" t="str">
        <f>VLOOKUP($A177,'SegEnds_NonXtal_Prot#'!$A:$AL,14,FALSE)</f>
        <v>-</v>
      </c>
      <c r="AH177" s="5">
        <f>VLOOKUP($A177,'SegEnds_NonXtal_Prot#'!$A:$AL,17,FALSE)</f>
        <v>110</v>
      </c>
      <c r="AI177" s="5">
        <f>VLOOKUP($A177,'SegEnds_NonXtal_Prot#'!$A:$AL,20,FALSE)</f>
        <v>118</v>
      </c>
      <c r="AJ177" s="5">
        <f>VLOOKUP($A177,'SegEnds_NonXtal_Prot#'!$A:$AL,23,FALSE)</f>
        <v>145</v>
      </c>
      <c r="AK177" s="5">
        <f>VLOOKUP($A177,'SegEnds_NonXtal_Prot#'!$A:$AL,26,FALSE)</f>
        <v>158</v>
      </c>
      <c r="AL177" s="5">
        <f>VLOOKUP($A177,'SegEnds_NonXtal_Prot#'!$A:$AL,29,FALSE)</f>
        <v>210</v>
      </c>
      <c r="AM177" s="5">
        <f>VLOOKUP($A177,'SegEnds_NonXtal_Prot#'!$A:$AL,32,FALSE)</f>
        <v>267</v>
      </c>
      <c r="AN177" s="5">
        <f>VLOOKUP($A177,'SegEnds_NonXtal_Prot#'!$A:$AL,35,FALSE)</f>
        <v>297</v>
      </c>
      <c r="AO177" s="5">
        <f>VLOOKUP($A177,'SegEnds_NonXtal_Prot#'!$A:$AL,38,FALSE)</f>
        <v>309</v>
      </c>
      <c r="AP177" s="5">
        <f t="shared" si="63"/>
        <v>28</v>
      </c>
      <c r="AQ177" s="4">
        <f t="shared" si="64"/>
        <v>3</v>
      </c>
      <c r="AR177" s="4">
        <f t="shared" si="65"/>
        <v>31</v>
      </c>
      <c r="AS177" s="4" t="str">
        <f t="shared" si="66"/>
        <v>-</v>
      </c>
      <c r="AT177" s="4">
        <f t="shared" si="67"/>
        <v>35</v>
      </c>
      <c r="AU177" s="4">
        <f t="shared" si="68"/>
        <v>7</v>
      </c>
      <c r="AV177" s="4">
        <f t="shared" si="69"/>
        <v>26</v>
      </c>
      <c r="AW177" s="4">
        <f t="shared" si="70"/>
        <v>2</v>
      </c>
      <c r="AX177" s="4">
        <f t="shared" si="71"/>
        <v>44</v>
      </c>
      <c r="AY177" s="4">
        <f t="shared" si="72"/>
        <v>37</v>
      </c>
      <c r="AZ177" s="4">
        <f t="shared" si="73"/>
        <v>25</v>
      </c>
      <c r="BA177" s="4">
        <f t="shared" si="74"/>
        <v>11</v>
      </c>
    </row>
    <row r="178" spans="1:53" x14ac:dyDescent="0.2">
      <c r="A178" s="1" t="str">
        <f>'SegEnds_NonXtal_Prot#'!A152</f>
        <v>gpr82_human</v>
      </c>
      <c r="B178" s="1" t="str">
        <f t="shared" si="50"/>
        <v>MISSMALPIIYILLCIVGVFGNTLSQWIFLTKTSTHIYLSHLVTANLLVCSAMPFMSIYFLKGQSAQCRVVNFLGTLSMHASMFVSLLILSWIAISRYATLMQQPNFARKLCIYIWGVVLGIIIPVTVYYLGAMISQIAGLIGTTFIGFSFLVVLTSYYSFVSHLRKIIMEKDLTYSSVKRHLLVIQILLIVCFLPYSIFKPIFYVLLNYLIETKNILTCLASARSSTDPIIFLLLDKTFKKTLYNLFT</v>
      </c>
      <c r="C178" s="29" t="str">
        <f>IF(ISERROR(MATCH(A178,'SegEnds_Xtal_Prot#'!B:B, 0)), "NoXtal", "Xtal")</f>
        <v>NoXtal</v>
      </c>
      <c r="D178" s="4" t="str">
        <f>VLOOKUP(A178,Classification!A:D,2,FALSE)</f>
        <v>A</v>
      </c>
      <c r="E178" s="5" t="str">
        <f>VLOOKUP(A178,Seqs!A:B,2,FALSE)</f>
        <v>MNNNTTCIQPSMISSMALPIIYILLCIVGVFGNTLSQWIFLTKIGKKTSTHIYLSHLVTANLLVCSAMPFMSIYFLKGFQWEYQSAQCRVVNFLGTLSMHASMFVSLLILSWIAISRYATLMQKDSSQETTSCYEKIFYGHLLKKFRQPNFARKLCIYIWGVVLGIIIPVTVYYSVIEATEGEESLCYNRQMELGAMISQIAGLIGTTFIGFSFLVVLTSYYSFVSHLRKIRTCTSIMEKDLTYSSVKRHLLVIQILLIVCFLPYSIFKPIFYVLHQRDNCQQLNYLIETKNILTCLASARSSTDPIIFLLLDKTFKKTLYNLFTKSNSAHMQSYG</v>
      </c>
      <c r="F178" s="5" t="str">
        <f t="shared" si="51"/>
        <v>MISSMALPIIYILLCIVGVFGNTLSQWIFLTK</v>
      </c>
      <c r="G178" s="4" t="str">
        <f t="shared" si="52"/>
        <v/>
      </c>
      <c r="H178" s="4" t="str">
        <f t="shared" si="53"/>
        <v>TSTHIYLSHLVTANLLVCSAMPFMSIYFLKG</v>
      </c>
      <c r="I178" s="4" t="str">
        <f t="shared" si="54"/>
        <v>QWEY</v>
      </c>
      <c r="J178" s="4" t="str">
        <f t="shared" si="55"/>
        <v>QSAQCRVVNFLGTLSMHASMFVSLLILSWIAISRYATLMQ</v>
      </c>
      <c r="K178" s="4" t="str">
        <f t="shared" si="56"/>
        <v>GHLLKKFR</v>
      </c>
      <c r="L178" s="4" t="str">
        <f t="shared" si="57"/>
        <v>QPNFARKLCIYIWGVVLGIIIPVTVYY</v>
      </c>
      <c r="M178" s="4" t="str">
        <f t="shared" si="58"/>
        <v/>
      </c>
      <c r="N178" s="4" t="str">
        <f t="shared" si="59"/>
        <v>LGAMISQIAGLIGTTFIGFSFLVVLTSYYSFVSHLRKI</v>
      </c>
      <c r="O178" s="4" t="str">
        <f t="shared" si="60"/>
        <v>IMEKDLTYSSVKRHLLVIQILLIVCFLPYSIFKPIFYVL</v>
      </c>
      <c r="P178" s="4" t="str">
        <f t="shared" si="61"/>
        <v>LNYLIETKNILTCLASARSSTDPIIFLLL</v>
      </c>
      <c r="Q178" s="4" t="str">
        <f t="shared" si="62"/>
        <v>DKTFKKTLYNLFT</v>
      </c>
      <c r="R178" s="5">
        <f>VLOOKUP($A178,'SegEnds_NonXtal_Prot#'!$A:$AL,3,FALSE)</f>
        <v>12</v>
      </c>
      <c r="S178" s="5" t="str">
        <f>VLOOKUP($A178,'SegEnds_NonXtal_Prot#'!$A:$AL,6,FALSE)</f>
        <v>-</v>
      </c>
      <c r="T178" s="5">
        <f>VLOOKUP($A178,'SegEnds_NonXtal_Prot#'!$A:$AL,9,FALSE)</f>
        <v>48</v>
      </c>
      <c r="U178" s="5">
        <f>VLOOKUP($A178,'SegEnds_NonXtal_Prot#'!$A:$AL,12,FALSE)</f>
        <v>80</v>
      </c>
      <c r="V178" s="5">
        <f>VLOOKUP($A178,'SegEnds_NonXtal_Prot#'!$A:$AL,15,FALSE)</f>
        <v>84</v>
      </c>
      <c r="W178" s="5">
        <f>VLOOKUP($A178,'SegEnds_NonXtal_Prot#'!$A:$AL,18,FALSE)</f>
        <v>140</v>
      </c>
      <c r="X178" s="5">
        <f>VLOOKUP($A178,'SegEnds_NonXtal_Prot#'!$A:$AL,21,FALSE)</f>
        <v>148</v>
      </c>
      <c r="Y178" s="5" t="str">
        <f>VLOOKUP($A178,'SegEnds_NonXtal_Prot#'!$A:$AL,24,FALSE)</f>
        <v>-</v>
      </c>
      <c r="Z178" s="5">
        <f>VLOOKUP($A178,'SegEnds_NonXtal_Prot#'!$A:$AL,27,FALSE)</f>
        <v>194</v>
      </c>
      <c r="AA178" s="5">
        <f>VLOOKUP($A178,'SegEnds_NonXtal_Prot#'!$A:$AL,30,FALSE)</f>
        <v>237</v>
      </c>
      <c r="AB178" s="5">
        <f>VLOOKUP($A178,'SegEnds_NonXtal_Prot#'!$A:$AL,33,FALSE)</f>
        <v>284</v>
      </c>
      <c r="AC178" s="5">
        <f>VLOOKUP($A178,'SegEnds_NonXtal_Prot#'!$A:$AL,36,FALSE)</f>
        <v>313</v>
      </c>
      <c r="AD178" s="5">
        <f>VLOOKUP($A178,'SegEnds_NonXtal_Prot#'!$A:$AL,5,FALSE)</f>
        <v>43</v>
      </c>
      <c r="AE178" s="5" t="str">
        <f>VLOOKUP($A178,'SegEnds_NonXtal_Prot#'!$A:$AL,8,FALSE)</f>
        <v>-</v>
      </c>
      <c r="AF178" s="5">
        <f>VLOOKUP($A178,'SegEnds_NonXtal_Prot#'!$A:$AL,11,FALSE)</f>
        <v>78</v>
      </c>
      <c r="AG178" s="5">
        <f>VLOOKUP($A178,'SegEnds_NonXtal_Prot#'!$A:$AL,14,FALSE)</f>
        <v>83</v>
      </c>
      <c r="AH178" s="5">
        <f>VLOOKUP($A178,'SegEnds_NonXtal_Prot#'!$A:$AL,17,FALSE)</f>
        <v>123</v>
      </c>
      <c r="AI178" s="5">
        <f>VLOOKUP($A178,'SegEnds_NonXtal_Prot#'!$A:$AL,20,FALSE)</f>
        <v>147</v>
      </c>
      <c r="AJ178" s="5">
        <f>VLOOKUP($A178,'SegEnds_NonXtal_Prot#'!$A:$AL,23,FALSE)</f>
        <v>174</v>
      </c>
      <c r="AK178" s="5" t="str">
        <f>VLOOKUP($A178,'SegEnds_NonXtal_Prot#'!$A:$AL,26,FALSE)</f>
        <v>-</v>
      </c>
      <c r="AL178" s="5">
        <f>VLOOKUP($A178,'SegEnds_NonXtal_Prot#'!$A:$AL,29,FALSE)</f>
        <v>231</v>
      </c>
      <c r="AM178" s="5">
        <f>VLOOKUP($A178,'SegEnds_NonXtal_Prot#'!$A:$AL,32,FALSE)</f>
        <v>275</v>
      </c>
      <c r="AN178" s="5">
        <f>VLOOKUP($A178,'SegEnds_NonXtal_Prot#'!$A:$AL,35,FALSE)</f>
        <v>312</v>
      </c>
      <c r="AO178" s="5">
        <f>VLOOKUP($A178,'SegEnds_NonXtal_Prot#'!$A:$AL,38,FALSE)</f>
        <v>325</v>
      </c>
      <c r="AP178" s="5">
        <f t="shared" si="63"/>
        <v>31</v>
      </c>
      <c r="AQ178" s="4" t="str">
        <f t="shared" si="64"/>
        <v>-</v>
      </c>
      <c r="AR178" s="4">
        <f t="shared" si="65"/>
        <v>30</v>
      </c>
      <c r="AS178" s="4">
        <f t="shared" si="66"/>
        <v>3</v>
      </c>
      <c r="AT178" s="4">
        <f t="shared" si="67"/>
        <v>39</v>
      </c>
      <c r="AU178" s="4">
        <f t="shared" si="68"/>
        <v>7</v>
      </c>
      <c r="AV178" s="4">
        <f t="shared" si="69"/>
        <v>26</v>
      </c>
      <c r="AW178" s="4" t="str">
        <f t="shared" si="70"/>
        <v>-</v>
      </c>
      <c r="AX178" s="4">
        <f t="shared" si="71"/>
        <v>37</v>
      </c>
      <c r="AY178" s="4">
        <f t="shared" si="72"/>
        <v>38</v>
      </c>
      <c r="AZ178" s="4">
        <f t="shared" si="73"/>
        <v>28</v>
      </c>
      <c r="BA178" s="4">
        <f t="shared" si="74"/>
        <v>12</v>
      </c>
    </row>
    <row r="179" spans="1:53" x14ac:dyDescent="0.2">
      <c r="A179" s="1" t="str">
        <f>'SegEnds_NonXtal_Prot#'!A153</f>
        <v>gpr84_human</v>
      </c>
      <c r="B179" s="1" t="str">
        <f t="shared" si="50"/>
        <v>SCYHESVLGYRYVAVSWGVVVAVTGTVGNVLTLLALAIQTRFNLLIANLTLADLLYCTLLQPFSVDTYLHGATFCRVFGLLLFASNSVSILTLCLIALGRYLLIAHSAKGIVLALVSTWVVGVASFAPLWPIYQYKLRQASIHSNHVARTDEAMPGRFQELDSRLASGGPSEGISSEPVPDSSSEFGKVTRMCFAVFLCFALSYIPFLLLNILDARVVVHMLAANLTWLNGCINPVLYAAMNRQFRQAYGSILKR</v>
      </c>
      <c r="C179" s="29" t="str">
        <f>IF(ISERROR(MATCH(A179,'SegEnds_Xtal_Prot#'!B:B, 0)), "NoXtal", "Xtal")</f>
        <v>NoXtal</v>
      </c>
      <c r="D179" s="4" t="str">
        <f>VLOOKUP(A179,Classification!A:D,2,FALSE)</f>
        <v>A</v>
      </c>
      <c r="E179" s="5" t="str">
        <f>VLOOKUP(A179,Seqs!A:B,2,FALSE)</f>
        <v>MWNSSDANFSCYHESVLGYRYVAVSWGVVVAVTGTVGNVLTLLALAIQPKLRTRFNLLIANLTLADLLYCTLLQPFSVDTYLHLHWRTGATFCRVFGLLLFASNSVSILTLCLIALGRYLLIAHPKLFPQVFSAKGIVLALVSTWVVGVASFAPLWPIYILVPVVCTCSFDRIRGRPYTTILMGIYFVLGLSSVGIFYCLIHRQVKRAAQALDQYKLRQASIHSNHVARTDEAMPGRFQELDSRLASGGPSEGISSEPVSAATTQTLEGDSSEVGDQINSKRAKQMAEKSPPEASAKAQPIKGARRAPDSSSEFGKVTRMCFAVFLCFALSYIPFLLLNILDARVQAPRVVHMLAANLTWLNGCINPVLYAAMNRQFRQAYGSILKRGPRSFHRLH</v>
      </c>
      <c r="F179" s="5" t="str">
        <f t="shared" si="51"/>
        <v>SCYHESVLGYRYVAVSWGVVVAVTGTVGNVLTLLALAIQ</v>
      </c>
      <c r="G179" s="4" t="str">
        <f t="shared" si="52"/>
        <v>PKLR</v>
      </c>
      <c r="H179" s="4" t="str">
        <f t="shared" si="53"/>
        <v>TRFNLLIANLTLADLLYCTLLQPFSVDTYLH</v>
      </c>
      <c r="I179" s="4" t="str">
        <f t="shared" si="54"/>
        <v/>
      </c>
      <c r="J179" s="4" t="str">
        <f t="shared" si="55"/>
        <v>GATFCRVFGLLLFASNSVSILTLCLIALGRYLLIAH</v>
      </c>
      <c r="K179" s="4" t="str">
        <f t="shared" si="56"/>
        <v>PKLFPQVF</v>
      </c>
      <c r="L179" s="4" t="str">
        <f t="shared" si="57"/>
        <v>SAKGIVLALVSTWVVGVASFAPLWPIY</v>
      </c>
      <c r="M179" s="4" t="str">
        <f t="shared" si="58"/>
        <v>CSF</v>
      </c>
      <c r="N179" s="4" t="str">
        <f t="shared" si="59"/>
        <v>QYKLRQASIHSNHVARTDEAMPGRFQELDSRLASGGPSEGISSEPV</v>
      </c>
      <c r="O179" s="4" t="str">
        <f t="shared" si="60"/>
        <v>PDSSSEFGKVTRMCFAVFLCFALSYIPFLLLNILDARV</v>
      </c>
      <c r="P179" s="4" t="str">
        <f t="shared" si="61"/>
        <v>VVHMLAANLTWLNGCINPVLYAAM</v>
      </c>
      <c r="Q179" s="4" t="str">
        <f t="shared" si="62"/>
        <v>NRQFRQAYGSILKR</v>
      </c>
      <c r="R179" s="5">
        <f>VLOOKUP($A179,'SegEnds_NonXtal_Prot#'!$A:$AL,3,FALSE)</f>
        <v>10</v>
      </c>
      <c r="S179" s="5">
        <f>VLOOKUP($A179,'SegEnds_NonXtal_Prot#'!$A:$AL,6,FALSE)</f>
        <v>49</v>
      </c>
      <c r="T179" s="5">
        <f>VLOOKUP($A179,'SegEnds_NonXtal_Prot#'!$A:$AL,9,FALSE)</f>
        <v>53</v>
      </c>
      <c r="U179" s="5" t="str">
        <f>VLOOKUP($A179,'SegEnds_NonXtal_Prot#'!$A:$AL,12,FALSE)</f>
        <v>-</v>
      </c>
      <c r="V179" s="5">
        <f>VLOOKUP($A179,'SegEnds_NonXtal_Prot#'!$A:$AL,15,FALSE)</f>
        <v>89</v>
      </c>
      <c r="W179" s="5">
        <f>VLOOKUP($A179,'SegEnds_NonXtal_Prot#'!$A:$AL,18,FALSE)</f>
        <v>125</v>
      </c>
      <c r="X179" s="5">
        <f>VLOOKUP($A179,'SegEnds_NonXtal_Prot#'!$A:$AL,21,FALSE)</f>
        <v>133</v>
      </c>
      <c r="Y179" s="5">
        <f>VLOOKUP($A179,'SegEnds_NonXtal_Prot#'!$A:$AL,24,FALSE)</f>
        <v>168</v>
      </c>
      <c r="Z179" s="5">
        <f>VLOOKUP($A179,'SegEnds_NonXtal_Prot#'!$A:$AL,27,FALSE)</f>
        <v>214</v>
      </c>
      <c r="AA179" s="5">
        <f>VLOOKUP($A179,'SegEnds_NonXtal_Prot#'!$A:$AL,30,FALSE)</f>
        <v>308</v>
      </c>
      <c r="AB179" s="5">
        <f>VLOOKUP($A179,'SegEnds_NonXtal_Prot#'!$A:$AL,33,FALSE)</f>
        <v>350</v>
      </c>
      <c r="AC179" s="5">
        <f>VLOOKUP($A179,'SegEnds_NonXtal_Prot#'!$A:$AL,36,FALSE)</f>
        <v>374</v>
      </c>
      <c r="AD179" s="5">
        <f>VLOOKUP($A179,'SegEnds_NonXtal_Prot#'!$A:$AL,5,FALSE)</f>
        <v>48</v>
      </c>
      <c r="AE179" s="5">
        <f>VLOOKUP($A179,'SegEnds_NonXtal_Prot#'!$A:$AL,8,FALSE)</f>
        <v>52</v>
      </c>
      <c r="AF179" s="5">
        <f>VLOOKUP($A179,'SegEnds_NonXtal_Prot#'!$A:$AL,11,FALSE)</f>
        <v>83</v>
      </c>
      <c r="AG179" s="5" t="str">
        <f>VLOOKUP($A179,'SegEnds_NonXtal_Prot#'!$A:$AL,14,FALSE)</f>
        <v>-</v>
      </c>
      <c r="AH179" s="5">
        <f>VLOOKUP($A179,'SegEnds_NonXtal_Prot#'!$A:$AL,17,FALSE)</f>
        <v>124</v>
      </c>
      <c r="AI179" s="5">
        <f>VLOOKUP($A179,'SegEnds_NonXtal_Prot#'!$A:$AL,20,FALSE)</f>
        <v>132</v>
      </c>
      <c r="AJ179" s="5">
        <f>VLOOKUP($A179,'SegEnds_NonXtal_Prot#'!$A:$AL,23,FALSE)</f>
        <v>159</v>
      </c>
      <c r="AK179" s="5">
        <f>VLOOKUP($A179,'SegEnds_NonXtal_Prot#'!$A:$AL,26,FALSE)</f>
        <v>170</v>
      </c>
      <c r="AL179" s="5">
        <f>VLOOKUP($A179,'SegEnds_NonXtal_Prot#'!$A:$AL,29,FALSE)</f>
        <v>259</v>
      </c>
      <c r="AM179" s="5">
        <f>VLOOKUP($A179,'SegEnds_NonXtal_Prot#'!$A:$AL,32,FALSE)</f>
        <v>345</v>
      </c>
      <c r="AN179" s="5">
        <f>VLOOKUP($A179,'SegEnds_NonXtal_Prot#'!$A:$AL,35,FALSE)</f>
        <v>373</v>
      </c>
      <c r="AO179" s="5">
        <f>VLOOKUP($A179,'SegEnds_NonXtal_Prot#'!$A:$AL,38,FALSE)</f>
        <v>387</v>
      </c>
      <c r="AP179" s="5">
        <f t="shared" si="63"/>
        <v>38</v>
      </c>
      <c r="AQ179" s="4">
        <f t="shared" si="64"/>
        <v>3</v>
      </c>
      <c r="AR179" s="4">
        <f t="shared" si="65"/>
        <v>30</v>
      </c>
      <c r="AS179" s="4" t="str">
        <f t="shared" si="66"/>
        <v>-</v>
      </c>
      <c r="AT179" s="4">
        <f t="shared" si="67"/>
        <v>35</v>
      </c>
      <c r="AU179" s="4">
        <f t="shared" si="68"/>
        <v>7</v>
      </c>
      <c r="AV179" s="4">
        <f t="shared" si="69"/>
        <v>26</v>
      </c>
      <c r="AW179" s="4">
        <f t="shared" si="70"/>
        <v>2</v>
      </c>
      <c r="AX179" s="4">
        <f t="shared" si="71"/>
        <v>45</v>
      </c>
      <c r="AY179" s="4">
        <f t="shared" si="72"/>
        <v>37</v>
      </c>
      <c r="AZ179" s="4">
        <f t="shared" si="73"/>
        <v>23</v>
      </c>
      <c r="BA179" s="4">
        <f t="shared" si="74"/>
        <v>13</v>
      </c>
    </row>
    <row r="180" spans="1:53" x14ac:dyDescent="0.2">
      <c r="A180" s="1" t="str">
        <f>'SegEnds_NonXtal_Prot#'!A154</f>
        <v>gpr85_human</v>
      </c>
      <c r="B180" s="1" t="str">
        <f t="shared" si="50"/>
        <v>AFLKLTSLGFIIGVSVVGNLLISILLVKDRAPYYFLLDLCCSDILRSAICFPFVFNSVKNGTLTCKVIAFLGVLSCFHTAFMLFCISVTRYLAIAHTFWTCLAVICMVWTLSVAMAFPPVLDVVQFVAAVSQNWTFHGPGASGQAAANWLAGFGRGPTPPTLLGILDEFKMEKRISRMFYIMTFLFLTLWGPYLVACYWRVFAPGGFLTAAVWMSFAQAGINPFVCIFSNRELRRCFSTTL</v>
      </c>
      <c r="C180" s="29" t="str">
        <f>IF(ISERROR(MATCH(A180,'SegEnds_Xtal_Prot#'!B:B, 0)), "NoXtal", "Xtal")</f>
        <v>NoXtal</v>
      </c>
      <c r="D180" s="4" t="str">
        <f>VLOOKUP(A180,Classification!A:D,2,FALSE)</f>
        <v>A</v>
      </c>
      <c r="E180" s="5" t="str">
        <f>VLOOKUP(A180,Seqs!A:B,2,FALSE)</f>
        <v>MANYSHAADNILQNLSPLTAFLKLTSLGFIIGVSVVGNLLISILLVKDKTLHRAPYYFLLDLCCSDILRSAICFPFVFNSVKNGSTWTYGTLTCKVIAFLGVLSCFHTAFMLFCISVTRYLAIAHHRFYTKRLTFWTCLAVICMVWTLSVAMAFPPVLDVGTYSFIREEDQCTFQHRSFRANDSLGFMLLLALILLATQLVYLKLIFFVHDRRKMKPVQFVAAVSQNWTFHGPGASGQAAANWLAGFGRGPTPPTLLGIRQNANTTGRRRLLVLDEFKMEKRISRMFYIMTFLFLTLWGPYLVACYWRVFARGPVVPGGFLTAAVWMSFAQAGINPFVCIFSNRELRRCFSTTLLYCRKSRLPREPYCVI</v>
      </c>
      <c r="F180" s="5" t="str">
        <f t="shared" si="51"/>
        <v>AFLKLTSLGFIIGVSVVGNLLISILLVKD</v>
      </c>
      <c r="G180" s="4" t="str">
        <f t="shared" si="52"/>
        <v>KTLH</v>
      </c>
      <c r="H180" s="4" t="str">
        <f t="shared" si="53"/>
        <v>RAPYYFLLDLCCSDILRSAICFPFVFNSVKN</v>
      </c>
      <c r="I180" s="4" t="str">
        <f t="shared" si="54"/>
        <v>TWTY</v>
      </c>
      <c r="J180" s="4" t="str">
        <f t="shared" si="55"/>
        <v>GTLTCKVIAFLGVLSCFHTAFMLFCISVTRYLAIAH</v>
      </c>
      <c r="K180" s="4" t="str">
        <f t="shared" si="56"/>
        <v>HRFYTKRL</v>
      </c>
      <c r="L180" s="4" t="str">
        <f t="shared" si="57"/>
        <v>TFWTCLAVICMVWTLSVAMAFPPVLDV</v>
      </c>
      <c r="M180" s="4" t="str">
        <f t="shared" si="58"/>
        <v>CTF</v>
      </c>
      <c r="N180" s="4" t="str">
        <f t="shared" si="59"/>
        <v>VQFVAAVSQNWTFHGPGASGQAAANWLAGFGRGPTPPTLLGI</v>
      </c>
      <c r="O180" s="4" t="str">
        <f t="shared" si="60"/>
        <v>LDEFKMEKRISRMFYIMTFLFLTLWGPYLVACYWRVFA</v>
      </c>
      <c r="P180" s="4" t="str">
        <f t="shared" si="61"/>
        <v>PGGFLTAAVWMSFAQAGINPFVCIFS</v>
      </c>
      <c r="Q180" s="4" t="str">
        <f t="shared" si="62"/>
        <v>NRELRRCFSTTL</v>
      </c>
      <c r="R180" s="5">
        <f>VLOOKUP($A180,'SegEnds_NonXtal_Prot#'!$A:$AL,3,FALSE)</f>
        <v>20</v>
      </c>
      <c r="S180" s="5">
        <f>VLOOKUP($A180,'SegEnds_NonXtal_Prot#'!$A:$AL,6,FALSE)</f>
        <v>49</v>
      </c>
      <c r="T180" s="5">
        <f>VLOOKUP($A180,'SegEnds_NonXtal_Prot#'!$A:$AL,9,FALSE)</f>
        <v>53</v>
      </c>
      <c r="U180" s="5">
        <f>VLOOKUP($A180,'SegEnds_NonXtal_Prot#'!$A:$AL,12,FALSE)</f>
        <v>86</v>
      </c>
      <c r="V180" s="5">
        <f>VLOOKUP($A180,'SegEnds_NonXtal_Prot#'!$A:$AL,15,FALSE)</f>
        <v>90</v>
      </c>
      <c r="W180" s="5">
        <f>VLOOKUP($A180,'SegEnds_NonXtal_Prot#'!$A:$AL,18,FALSE)</f>
        <v>126</v>
      </c>
      <c r="X180" s="5">
        <f>VLOOKUP($A180,'SegEnds_NonXtal_Prot#'!$A:$AL,21,FALSE)</f>
        <v>134</v>
      </c>
      <c r="Y180" s="5">
        <f>VLOOKUP($A180,'SegEnds_NonXtal_Prot#'!$A:$AL,24,FALSE)</f>
        <v>172</v>
      </c>
      <c r="Z180" s="5">
        <f>VLOOKUP($A180,'SegEnds_NonXtal_Prot#'!$A:$AL,27,FALSE)</f>
        <v>218</v>
      </c>
      <c r="AA180" s="5">
        <f>VLOOKUP($A180,'SegEnds_NonXtal_Prot#'!$A:$AL,30,FALSE)</f>
        <v>274</v>
      </c>
      <c r="AB180" s="5">
        <f>VLOOKUP($A180,'SegEnds_NonXtal_Prot#'!$A:$AL,33,FALSE)</f>
        <v>317</v>
      </c>
      <c r="AC180" s="5">
        <f>VLOOKUP($A180,'SegEnds_NonXtal_Prot#'!$A:$AL,36,FALSE)</f>
        <v>343</v>
      </c>
      <c r="AD180" s="5">
        <f>VLOOKUP($A180,'SegEnds_NonXtal_Prot#'!$A:$AL,5,FALSE)</f>
        <v>48</v>
      </c>
      <c r="AE180" s="5">
        <f>VLOOKUP($A180,'SegEnds_NonXtal_Prot#'!$A:$AL,8,FALSE)</f>
        <v>52</v>
      </c>
      <c r="AF180" s="5">
        <f>VLOOKUP($A180,'SegEnds_NonXtal_Prot#'!$A:$AL,11,FALSE)</f>
        <v>83</v>
      </c>
      <c r="AG180" s="5">
        <f>VLOOKUP($A180,'SegEnds_NonXtal_Prot#'!$A:$AL,14,FALSE)</f>
        <v>89</v>
      </c>
      <c r="AH180" s="5">
        <f>VLOOKUP($A180,'SegEnds_NonXtal_Prot#'!$A:$AL,17,FALSE)</f>
        <v>125</v>
      </c>
      <c r="AI180" s="5">
        <f>VLOOKUP($A180,'SegEnds_NonXtal_Prot#'!$A:$AL,20,FALSE)</f>
        <v>133</v>
      </c>
      <c r="AJ180" s="5">
        <f>VLOOKUP($A180,'SegEnds_NonXtal_Prot#'!$A:$AL,23,FALSE)</f>
        <v>160</v>
      </c>
      <c r="AK180" s="5">
        <f>VLOOKUP($A180,'SegEnds_NonXtal_Prot#'!$A:$AL,26,FALSE)</f>
        <v>174</v>
      </c>
      <c r="AL180" s="5">
        <f>VLOOKUP($A180,'SegEnds_NonXtal_Prot#'!$A:$AL,29,FALSE)</f>
        <v>259</v>
      </c>
      <c r="AM180" s="5">
        <f>VLOOKUP($A180,'SegEnds_NonXtal_Prot#'!$A:$AL,32,FALSE)</f>
        <v>311</v>
      </c>
      <c r="AN180" s="5">
        <f>VLOOKUP($A180,'SegEnds_NonXtal_Prot#'!$A:$AL,35,FALSE)</f>
        <v>342</v>
      </c>
      <c r="AO180" s="5">
        <f>VLOOKUP($A180,'SegEnds_NonXtal_Prot#'!$A:$AL,38,FALSE)</f>
        <v>354</v>
      </c>
      <c r="AP180" s="5">
        <f t="shared" si="63"/>
        <v>28</v>
      </c>
      <c r="AQ180" s="4">
        <f t="shared" si="64"/>
        <v>3</v>
      </c>
      <c r="AR180" s="4">
        <f t="shared" si="65"/>
        <v>30</v>
      </c>
      <c r="AS180" s="4">
        <f t="shared" si="66"/>
        <v>3</v>
      </c>
      <c r="AT180" s="4">
        <f t="shared" si="67"/>
        <v>35</v>
      </c>
      <c r="AU180" s="4">
        <f t="shared" si="68"/>
        <v>7</v>
      </c>
      <c r="AV180" s="4">
        <f t="shared" si="69"/>
        <v>26</v>
      </c>
      <c r="AW180" s="4">
        <f t="shared" si="70"/>
        <v>2</v>
      </c>
      <c r="AX180" s="4">
        <f t="shared" si="71"/>
        <v>41</v>
      </c>
      <c r="AY180" s="4">
        <f t="shared" si="72"/>
        <v>37</v>
      </c>
      <c r="AZ180" s="4">
        <f t="shared" si="73"/>
        <v>25</v>
      </c>
      <c r="BA180" s="4">
        <f t="shared" si="74"/>
        <v>11</v>
      </c>
    </row>
    <row r="181" spans="1:53" x14ac:dyDescent="0.2">
      <c r="A181" s="1" t="str">
        <f>'SegEnds_NonXtal_Prot#'!A155</f>
        <v>gpr87_human</v>
      </c>
      <c r="B181" s="1" t="str">
        <f t="shared" si="50"/>
        <v>NEFDTIVLPVLYLIIFVASILLNGLAVWIFFHITSFIFYLKNIVVADLIMTLTFPFRIVHDAGKFILCRYTSVLFYANMYTSIVFLGLISIDRYLKVVKSITFTKVLSVCVWVIMAVLSLPNIILTPLGVKWHTAVTYVNSCLFVAVLVILIGCYIAISRYIHKSISQSSRKRKHNQSIRVVVAVFFTCFLPYHLCRIPFTFSHLDDESAQKILYYCKEITLFLSACNVCLDPIIYFFMCRSFSRRLFKK</v>
      </c>
      <c r="C181" s="29" t="str">
        <f>IF(ISERROR(MATCH(A181,'SegEnds_Xtal_Prot#'!B:B, 0)), "NoXtal", "Xtal")</f>
        <v>NoXtal</v>
      </c>
      <c r="D181" s="4" t="str">
        <f>VLOOKUP(A181,Classification!A:D,2,FALSE)</f>
        <v>A</v>
      </c>
      <c r="E181" s="5" t="str">
        <f>VLOOKUP(A181,Seqs!A:B,2,FALSE)</f>
        <v>MGFNLTLAKLPNNELHGQESHNSGNRSDGPGKNTTLHNEFDTIVLPVLYLIIFVASILLNGLAVWIFFHIRNKTSFIFYLKNIVVADLIMTLTFPFRIVHDAGFGPWYFKFILCRYTSVLFYANMYTSIVFLGLISIDRYLKVVKPFGDSRMYSITFTKVLSVCVWVIMAVLSLPNIILTNGQPTEDNIHDCSKLKSPLGVKWHTAVTYVNSCLFVAVLVILIGCYIAISRYIHKSSRQFISQSSRKRKHNQSIRVVVAVFFTCFLPYHLCRIPFTFSHLDRLLDESAQKILYYCKEITLFLSACNVCLDPIIYFFMCRSFSRRLFKKSNIRTRSESIRSLQSVRRSEVRIYYDYTDV</v>
      </c>
      <c r="F181" s="5" t="str">
        <f t="shared" si="51"/>
        <v>NEFDTIVLPVLYLIIFVASILLNGLAVWIFFHI</v>
      </c>
      <c r="G181" s="4" t="str">
        <f t="shared" si="52"/>
        <v/>
      </c>
      <c r="H181" s="4" t="str">
        <f t="shared" si="53"/>
        <v>TSFIFYLKNIVVADLIMTLTFPFRIVHDAG</v>
      </c>
      <c r="I181" s="4" t="str">
        <f t="shared" si="54"/>
        <v>PWYF</v>
      </c>
      <c r="J181" s="4" t="str">
        <f t="shared" si="55"/>
        <v>KFILCRYTSVLFYANMYTSIVFLGLISIDRYLKVVK</v>
      </c>
      <c r="K181" s="4" t="str">
        <f t="shared" si="56"/>
        <v>PFGDSRMY</v>
      </c>
      <c r="L181" s="4" t="str">
        <f t="shared" si="57"/>
        <v>SITFTKVLSVCVWVIMAVLSLPNIILT</v>
      </c>
      <c r="M181" s="4" t="str">
        <f t="shared" si="58"/>
        <v>CSK</v>
      </c>
      <c r="N181" s="4" t="str">
        <f t="shared" si="59"/>
        <v>PLGVKWHTAVTYVNSCLFVAVLVILIGCYIAISRYIHKS</v>
      </c>
      <c r="O181" s="4" t="str">
        <f t="shared" si="60"/>
        <v>ISQSSRKRKHNQSIRVVVAVFFTCFLPYHLCRIPFTFSHLD</v>
      </c>
      <c r="P181" s="4" t="str">
        <f t="shared" si="61"/>
        <v>DESAQKILYYCKEITLFLSACNVCLDPIIYFFM</v>
      </c>
      <c r="Q181" s="4" t="str">
        <f t="shared" si="62"/>
        <v>CRSFSRRLFKK</v>
      </c>
      <c r="R181" s="5">
        <f>VLOOKUP($A181,'SegEnds_NonXtal_Prot#'!$A:$AL,3,FALSE)</f>
        <v>38</v>
      </c>
      <c r="S181" s="5" t="str">
        <f>VLOOKUP($A181,'SegEnds_NonXtal_Prot#'!$A:$AL,6,FALSE)</f>
        <v>-</v>
      </c>
      <c r="T181" s="5">
        <f>VLOOKUP($A181,'SegEnds_NonXtal_Prot#'!$A:$AL,9,FALSE)</f>
        <v>74</v>
      </c>
      <c r="U181" s="5">
        <f>VLOOKUP($A181,'SegEnds_NonXtal_Prot#'!$A:$AL,12,FALSE)</f>
        <v>106</v>
      </c>
      <c r="V181" s="5">
        <f>VLOOKUP($A181,'SegEnds_NonXtal_Prot#'!$A:$AL,15,FALSE)</f>
        <v>110</v>
      </c>
      <c r="W181" s="5">
        <f>VLOOKUP($A181,'SegEnds_NonXtal_Prot#'!$A:$AL,18,FALSE)</f>
        <v>146</v>
      </c>
      <c r="X181" s="5">
        <f>VLOOKUP($A181,'SegEnds_NonXtal_Prot#'!$A:$AL,21,FALSE)</f>
        <v>154</v>
      </c>
      <c r="Y181" s="5">
        <f>VLOOKUP($A181,'SegEnds_NonXtal_Prot#'!$A:$AL,24,FALSE)</f>
        <v>192</v>
      </c>
      <c r="Z181" s="5">
        <f>VLOOKUP($A181,'SegEnds_NonXtal_Prot#'!$A:$AL,27,FALSE)</f>
        <v>198</v>
      </c>
      <c r="AA181" s="5">
        <f>VLOOKUP($A181,'SegEnds_NonXtal_Prot#'!$A:$AL,30,FALSE)</f>
        <v>241</v>
      </c>
      <c r="AB181" s="5">
        <f>VLOOKUP($A181,'SegEnds_NonXtal_Prot#'!$A:$AL,33,FALSE)</f>
        <v>285</v>
      </c>
      <c r="AC181" s="5">
        <f>VLOOKUP($A181,'SegEnds_NonXtal_Prot#'!$A:$AL,36,FALSE)</f>
        <v>318</v>
      </c>
      <c r="AD181" s="5">
        <f>VLOOKUP($A181,'SegEnds_NonXtal_Prot#'!$A:$AL,5,FALSE)</f>
        <v>70</v>
      </c>
      <c r="AE181" s="5" t="str">
        <f>VLOOKUP($A181,'SegEnds_NonXtal_Prot#'!$A:$AL,8,FALSE)</f>
        <v>-</v>
      </c>
      <c r="AF181" s="5">
        <f>VLOOKUP($A181,'SegEnds_NonXtal_Prot#'!$A:$AL,11,FALSE)</f>
        <v>103</v>
      </c>
      <c r="AG181" s="5">
        <f>VLOOKUP($A181,'SegEnds_NonXtal_Prot#'!$A:$AL,14,FALSE)</f>
        <v>109</v>
      </c>
      <c r="AH181" s="5">
        <f>VLOOKUP($A181,'SegEnds_NonXtal_Prot#'!$A:$AL,17,FALSE)</f>
        <v>145</v>
      </c>
      <c r="AI181" s="5">
        <f>VLOOKUP($A181,'SegEnds_NonXtal_Prot#'!$A:$AL,20,FALSE)</f>
        <v>153</v>
      </c>
      <c r="AJ181" s="5">
        <f>VLOOKUP($A181,'SegEnds_NonXtal_Prot#'!$A:$AL,23,FALSE)</f>
        <v>180</v>
      </c>
      <c r="AK181" s="5">
        <f>VLOOKUP($A181,'SegEnds_NonXtal_Prot#'!$A:$AL,26,FALSE)</f>
        <v>194</v>
      </c>
      <c r="AL181" s="5">
        <f>VLOOKUP($A181,'SegEnds_NonXtal_Prot#'!$A:$AL,29,FALSE)</f>
        <v>236</v>
      </c>
      <c r="AM181" s="5">
        <f>VLOOKUP($A181,'SegEnds_NonXtal_Prot#'!$A:$AL,32,FALSE)</f>
        <v>281</v>
      </c>
      <c r="AN181" s="5">
        <f>VLOOKUP($A181,'SegEnds_NonXtal_Prot#'!$A:$AL,35,FALSE)</f>
        <v>317</v>
      </c>
      <c r="AO181" s="5">
        <f>VLOOKUP($A181,'SegEnds_NonXtal_Prot#'!$A:$AL,38,FALSE)</f>
        <v>328</v>
      </c>
      <c r="AP181" s="5">
        <f t="shared" si="63"/>
        <v>32</v>
      </c>
      <c r="AQ181" s="4" t="str">
        <f t="shared" si="64"/>
        <v>-</v>
      </c>
      <c r="AR181" s="4">
        <f t="shared" si="65"/>
        <v>29</v>
      </c>
      <c r="AS181" s="4">
        <f t="shared" si="66"/>
        <v>3</v>
      </c>
      <c r="AT181" s="4">
        <f t="shared" si="67"/>
        <v>35</v>
      </c>
      <c r="AU181" s="4">
        <f t="shared" si="68"/>
        <v>7</v>
      </c>
      <c r="AV181" s="4">
        <f t="shared" si="69"/>
        <v>26</v>
      </c>
      <c r="AW181" s="4">
        <f t="shared" si="70"/>
        <v>2</v>
      </c>
      <c r="AX181" s="4">
        <f t="shared" si="71"/>
        <v>38</v>
      </c>
      <c r="AY181" s="4">
        <f t="shared" si="72"/>
        <v>40</v>
      </c>
      <c r="AZ181" s="4">
        <f t="shared" si="73"/>
        <v>32</v>
      </c>
      <c r="BA181" s="4">
        <f t="shared" si="74"/>
        <v>10</v>
      </c>
    </row>
    <row r="182" spans="1:53" x14ac:dyDescent="0.2">
      <c r="A182" s="1" t="str">
        <f>'SegEnds_NonXtal_Prot#'!A156</f>
        <v>gpr88_human</v>
      </c>
      <c r="B182" s="1" t="str">
        <f t="shared" si="50"/>
        <v>RIPVSLLYSGLAIGGTLANGMVIYLVSSFTTSNAFIVNGCAADLSVCALWMPQEAVLGLLDGAGGSYRLLRGGLLGLGLTVSLLSHCLVALNRYLLITRQRRHTAGMLALSWALALGLVLLLPPWAVKRVSVLNFHLLHQLPGCAAAAAAFPGAQHAPGPGGAAHPPALHPRRAQRRLSGLSVLLLCCVFLLATQPLVWVSLASGFSWGVQAASWLLCCALSALNPLLYTWRNEEFRRSVRSVL</v>
      </c>
      <c r="C182" s="29" t="str">
        <f>IF(ISERROR(MATCH(A182,'SegEnds_Xtal_Prot#'!B:B, 0)), "NoXtal", "Xtal")</f>
        <v>NoXtal</v>
      </c>
      <c r="D182" s="4" t="str">
        <f>VLOOKUP(A182,Classification!A:D,2,FALSE)</f>
        <v>A</v>
      </c>
      <c r="E182" s="5" t="str">
        <f>VLOOKUP(A182,Seqs!A:B,2,FALSE)</f>
        <v>MTNSSSTSTSSTTGGSLLLLCEEEESWAGRRIPVSLLYSGLAIGGTLANGMVIYLVSSFRKLQTTSNAFIVNGCAADLSVCALWMPQEAVLGLLPTGSAEPPADWDGAGGSYRLLRGGLLGLGLTVSLLSHCLVALNRYLLITRAPATYQALYQRRHTAGMLALSWALALGLVLLLPPWAPRPGAAPPRVHYPALLAAAALLAQTALLLHCYLGIVRRVRVSVKRVSVLNFHLLHQLPGCAAAAAAFPGAQHAPGPGGAAHPAQAQPLPPALHPRRAQRRLSGLSVLLLCCVFLLATQPLVWVSLASGFSLPVPWGVQAASWLLCCALSALNPLLYTWRNEEFRRSVRSVLPGVGDAAAAAVAATAVPAVSQAQLGTRAAGQHW</v>
      </c>
      <c r="F182" s="5" t="str">
        <f t="shared" si="51"/>
        <v>RIPVSLLYSGLAIGGTLANGMVIYLVSSF</v>
      </c>
      <c r="G182" s="4" t="str">
        <f t="shared" si="52"/>
        <v>RKLQ</v>
      </c>
      <c r="H182" s="4" t="str">
        <f t="shared" si="53"/>
        <v>TTSNAFIVNGCAADLSVCALWMPQEAVLGLL</v>
      </c>
      <c r="I182" s="4" t="str">
        <f t="shared" si="54"/>
        <v/>
      </c>
      <c r="J182" s="4" t="str">
        <f t="shared" si="55"/>
        <v>DGAGGSYRLLRGGLLGLGLTVSLLSHCLVALNRYLLITR</v>
      </c>
      <c r="K182" s="4" t="str">
        <f t="shared" si="56"/>
        <v>PATYQALY</v>
      </c>
      <c r="L182" s="4" t="str">
        <f t="shared" si="57"/>
        <v>QRRHTAGMLALSWALALGLVLLLPPWA</v>
      </c>
      <c r="M182" s="4" t="str">
        <f t="shared" si="58"/>
        <v/>
      </c>
      <c r="N182" s="4" t="str">
        <f t="shared" si="59"/>
        <v>VKRVSVLNFHLLHQLPGCAAAAAAFPGAQHAPGPGGAAHP</v>
      </c>
      <c r="O182" s="4" t="str">
        <f t="shared" si="60"/>
        <v>PALHPRRAQRRLSGLSVLLLCCVFLLATQPLVWVSLASGFS</v>
      </c>
      <c r="P182" s="4" t="str">
        <f t="shared" si="61"/>
        <v>WGVQAASWLLCCALSALNPLLYTWR</v>
      </c>
      <c r="Q182" s="4" t="str">
        <f t="shared" si="62"/>
        <v>NEEFRRSVRSVL</v>
      </c>
      <c r="R182" s="5">
        <f>VLOOKUP($A182,'SegEnds_NonXtal_Prot#'!$A:$AL,3,FALSE)</f>
        <v>31</v>
      </c>
      <c r="S182" s="5">
        <f>VLOOKUP($A182,'SegEnds_NonXtal_Prot#'!$A:$AL,6,FALSE)</f>
        <v>60</v>
      </c>
      <c r="T182" s="5">
        <f>VLOOKUP($A182,'SegEnds_NonXtal_Prot#'!$A:$AL,9,FALSE)</f>
        <v>64</v>
      </c>
      <c r="U182" s="5" t="str">
        <f>VLOOKUP($A182,'SegEnds_NonXtal_Prot#'!$A:$AL,12,FALSE)</f>
        <v>-</v>
      </c>
      <c r="V182" s="5">
        <f>VLOOKUP($A182,'SegEnds_NonXtal_Prot#'!$A:$AL,15,FALSE)</f>
        <v>106</v>
      </c>
      <c r="W182" s="5">
        <f>VLOOKUP($A182,'SegEnds_NonXtal_Prot#'!$A:$AL,18,FALSE)</f>
        <v>146</v>
      </c>
      <c r="X182" s="5">
        <f>VLOOKUP($A182,'SegEnds_NonXtal_Prot#'!$A:$AL,21,FALSE)</f>
        <v>154</v>
      </c>
      <c r="Y182" s="5" t="str">
        <f>VLOOKUP($A182,'SegEnds_NonXtal_Prot#'!$A:$AL,24,FALSE)</f>
        <v>-</v>
      </c>
      <c r="Z182" s="5">
        <f>VLOOKUP($A182,'SegEnds_NonXtal_Prot#'!$A:$AL,27,FALSE)</f>
        <v>223</v>
      </c>
      <c r="AA182" s="5">
        <f>VLOOKUP($A182,'SegEnds_NonXtal_Prot#'!$A:$AL,30,FALSE)</f>
        <v>270</v>
      </c>
      <c r="AB182" s="5">
        <f>VLOOKUP($A182,'SegEnds_NonXtal_Prot#'!$A:$AL,33,FALSE)</f>
        <v>315</v>
      </c>
      <c r="AC182" s="5">
        <f>VLOOKUP($A182,'SegEnds_NonXtal_Prot#'!$A:$AL,36,FALSE)</f>
        <v>340</v>
      </c>
      <c r="AD182" s="5">
        <f>VLOOKUP($A182,'SegEnds_NonXtal_Prot#'!$A:$AL,5,FALSE)</f>
        <v>59</v>
      </c>
      <c r="AE182" s="5">
        <f>VLOOKUP($A182,'SegEnds_NonXtal_Prot#'!$A:$AL,8,FALSE)</f>
        <v>63</v>
      </c>
      <c r="AF182" s="5">
        <f>VLOOKUP($A182,'SegEnds_NonXtal_Prot#'!$A:$AL,11,FALSE)</f>
        <v>94</v>
      </c>
      <c r="AG182" s="5" t="str">
        <f>VLOOKUP($A182,'SegEnds_NonXtal_Prot#'!$A:$AL,14,FALSE)</f>
        <v>-</v>
      </c>
      <c r="AH182" s="5">
        <f>VLOOKUP($A182,'SegEnds_NonXtal_Prot#'!$A:$AL,17,FALSE)</f>
        <v>144</v>
      </c>
      <c r="AI182" s="5">
        <f>VLOOKUP($A182,'SegEnds_NonXtal_Prot#'!$A:$AL,20,FALSE)</f>
        <v>153</v>
      </c>
      <c r="AJ182" s="5">
        <f>VLOOKUP($A182,'SegEnds_NonXtal_Prot#'!$A:$AL,23,FALSE)</f>
        <v>180</v>
      </c>
      <c r="AK182" s="5" t="str">
        <f>VLOOKUP($A182,'SegEnds_NonXtal_Prot#'!$A:$AL,26,FALSE)</f>
        <v>-</v>
      </c>
      <c r="AL182" s="5">
        <f>VLOOKUP($A182,'SegEnds_NonXtal_Prot#'!$A:$AL,29,FALSE)</f>
        <v>262</v>
      </c>
      <c r="AM182" s="5">
        <f>VLOOKUP($A182,'SegEnds_NonXtal_Prot#'!$A:$AL,32,FALSE)</f>
        <v>310</v>
      </c>
      <c r="AN182" s="5">
        <f>VLOOKUP($A182,'SegEnds_NonXtal_Prot#'!$A:$AL,35,FALSE)</f>
        <v>339</v>
      </c>
      <c r="AO182" s="5">
        <f>VLOOKUP($A182,'SegEnds_NonXtal_Prot#'!$A:$AL,38,FALSE)</f>
        <v>351</v>
      </c>
      <c r="AP182" s="5">
        <f t="shared" si="63"/>
        <v>28</v>
      </c>
      <c r="AQ182" s="4">
        <f t="shared" si="64"/>
        <v>3</v>
      </c>
      <c r="AR182" s="4">
        <f t="shared" si="65"/>
        <v>30</v>
      </c>
      <c r="AS182" s="4" t="str">
        <f t="shared" si="66"/>
        <v>-</v>
      </c>
      <c r="AT182" s="4">
        <f t="shared" si="67"/>
        <v>38</v>
      </c>
      <c r="AU182" s="4">
        <f t="shared" si="68"/>
        <v>7</v>
      </c>
      <c r="AV182" s="4">
        <f t="shared" si="69"/>
        <v>26</v>
      </c>
      <c r="AW182" s="4" t="str">
        <f t="shared" si="70"/>
        <v>-</v>
      </c>
      <c r="AX182" s="4">
        <f t="shared" si="71"/>
        <v>39</v>
      </c>
      <c r="AY182" s="4">
        <f t="shared" si="72"/>
        <v>40</v>
      </c>
      <c r="AZ182" s="4">
        <f t="shared" si="73"/>
        <v>24</v>
      </c>
      <c r="BA182" s="4">
        <f t="shared" si="74"/>
        <v>11</v>
      </c>
    </row>
    <row r="183" spans="1:53" x14ac:dyDescent="0.2">
      <c r="A183" s="1" t="str">
        <f>'SegEnds_NonXtal_Prot#'!A158</f>
        <v>hcar1_human</v>
      </c>
      <c r="B183" s="1" t="str">
        <f t="shared" si="50"/>
        <v>TISQVMPPLLIVAFVLGALGNGVALCGFCFHKPSTVYLFNLAVADFLLMICLPFRTDYYLRGDIPCRVGLFTLAMNRAGSIVFLTVVAADRYFKVVHSTRVAAGIVCTLWALVILGTVYLLLENMESANGWHDIMFQLEFFMPLGIILFCSFKIVWSLRRRQARMKKATRFIMVVAIVFITCYLPSVSARLYFLWTDPSVHGALHITLSFTYMNSMLDPLVYYFSSPSFPKFYNKLKI</v>
      </c>
      <c r="C183" s="29" t="str">
        <f>IF(ISERROR(MATCH(A183,'SegEnds_Xtal_Prot#'!B:B, 0)), "NoXtal", "Xtal")</f>
        <v>NoXtal</v>
      </c>
      <c r="D183" s="4" t="str">
        <f>VLOOKUP(A183,Classification!A:D,2,FALSE)</f>
        <v>A</v>
      </c>
      <c r="E183" s="5" t="str">
        <f>VLOOKUP(A183,Seqs!A:B,2,FALSE)</f>
        <v>MYNGSCCRIEGDTISQVMPPLLIVAFVLGALGNGVALCGFCFHMKTWKPSTVYLFNLAVADFLLMICLPFRTDYYLRRRHWAFGDIPCRVGLFTLAMNRAGSIVFLTVVAADRYFKVVHPHHAVNTISTRVAAGIVCTLWALVILGTVYLLLENHLCVQETAVSCESFIMESANGWHDIMFQLEFFMPLGIILFCSFKIVWSLRRRQQLARQARMKKATRFIMVVAIVFITCYLPSVSARLYFLWTVPSSACDPSVHGALHITLSFTYMNSMLDPLVYYFSSPSFPKFYNKLKICSLKPKQPGHSKTQRPEEMPISNLGRRSCISVANSFQSQSDGQWDPHIVEWH</v>
      </c>
      <c r="F183" s="5" t="str">
        <f t="shared" si="51"/>
        <v>TISQVMPPLLIVAFVLGALGNGVALCGFCFH</v>
      </c>
      <c r="G183" s="4" t="str">
        <f t="shared" si="52"/>
        <v/>
      </c>
      <c r="H183" s="4" t="str">
        <f t="shared" si="53"/>
        <v>KPSTVYLFNLAVADFLLMICLPFRTDYYLR</v>
      </c>
      <c r="I183" s="4" t="str">
        <f t="shared" si="54"/>
        <v>HWAF</v>
      </c>
      <c r="J183" s="4" t="str">
        <f t="shared" si="55"/>
        <v>GDIPCRVGLFTLAMNRAGSIVFLTVVAADRYFKVVH</v>
      </c>
      <c r="K183" s="4" t="str">
        <f t="shared" si="56"/>
        <v>PHHAVNTI</v>
      </c>
      <c r="L183" s="4" t="str">
        <f t="shared" si="57"/>
        <v>STRVAAGIVCTLWALVILGTVYLLLEN</v>
      </c>
      <c r="M183" s="4" t="str">
        <f t="shared" si="58"/>
        <v>CES</v>
      </c>
      <c r="N183" s="4" t="str">
        <f t="shared" si="59"/>
        <v>MESANGWHDIMFQLEFFMPLGIILFCSFKIVWSLRR</v>
      </c>
      <c r="O183" s="4" t="str">
        <f t="shared" si="60"/>
        <v>RQARMKKATRFIMVVAIVFITCYLPSVSARLYFLWT</v>
      </c>
      <c r="P183" s="4" t="str">
        <f t="shared" si="61"/>
        <v>DPSVHGALHITLSFTYMNSMLDPLVYYFS</v>
      </c>
      <c r="Q183" s="4" t="str">
        <f t="shared" si="62"/>
        <v>SPSFPKFYNKLKI</v>
      </c>
      <c r="R183" s="5">
        <f>VLOOKUP($A183,'SegEnds_NonXtal_Prot#'!$A:$AL,3,FALSE)</f>
        <v>13</v>
      </c>
      <c r="S183" s="5" t="str">
        <f>VLOOKUP($A183,'SegEnds_NonXtal_Prot#'!$A:$AL,6,FALSE)</f>
        <v>-</v>
      </c>
      <c r="T183" s="5">
        <f>VLOOKUP($A183,'SegEnds_NonXtal_Prot#'!$A:$AL,9,FALSE)</f>
        <v>48</v>
      </c>
      <c r="U183" s="5">
        <f>VLOOKUP($A183,'SegEnds_NonXtal_Prot#'!$A:$AL,12,FALSE)</f>
        <v>80</v>
      </c>
      <c r="V183" s="5">
        <f>VLOOKUP($A183,'SegEnds_NonXtal_Prot#'!$A:$AL,15,FALSE)</f>
        <v>84</v>
      </c>
      <c r="W183" s="5">
        <f>VLOOKUP($A183,'SegEnds_NonXtal_Prot#'!$A:$AL,18,FALSE)</f>
        <v>120</v>
      </c>
      <c r="X183" s="5">
        <f>VLOOKUP($A183,'SegEnds_NonXtal_Prot#'!$A:$AL,21,FALSE)</f>
        <v>128</v>
      </c>
      <c r="Y183" s="5">
        <f>VLOOKUP($A183,'SegEnds_NonXtal_Prot#'!$A:$AL,24,FALSE)</f>
        <v>165</v>
      </c>
      <c r="Z183" s="5">
        <f>VLOOKUP($A183,'SegEnds_NonXtal_Prot#'!$A:$AL,27,FALSE)</f>
        <v>170</v>
      </c>
      <c r="AA183" s="5">
        <f>VLOOKUP($A183,'SegEnds_NonXtal_Prot#'!$A:$AL,30,FALSE)</f>
        <v>211</v>
      </c>
      <c r="AB183" s="5">
        <f>VLOOKUP($A183,'SegEnds_NonXtal_Prot#'!$A:$AL,33,FALSE)</f>
        <v>253</v>
      </c>
      <c r="AC183" s="5">
        <f>VLOOKUP($A183,'SegEnds_NonXtal_Prot#'!$A:$AL,36,FALSE)</f>
        <v>282</v>
      </c>
      <c r="AD183" s="5">
        <f>VLOOKUP($A183,'SegEnds_NonXtal_Prot#'!$A:$AL,5,FALSE)</f>
        <v>43</v>
      </c>
      <c r="AE183" s="5" t="str">
        <f>VLOOKUP($A183,'SegEnds_NonXtal_Prot#'!$A:$AL,8,FALSE)</f>
        <v>-</v>
      </c>
      <c r="AF183" s="5">
        <f>VLOOKUP($A183,'SegEnds_NonXtal_Prot#'!$A:$AL,11,FALSE)</f>
        <v>77</v>
      </c>
      <c r="AG183" s="5">
        <f>VLOOKUP($A183,'SegEnds_NonXtal_Prot#'!$A:$AL,14,FALSE)</f>
        <v>83</v>
      </c>
      <c r="AH183" s="5">
        <f>VLOOKUP($A183,'SegEnds_NonXtal_Prot#'!$A:$AL,17,FALSE)</f>
        <v>119</v>
      </c>
      <c r="AI183" s="5">
        <f>VLOOKUP($A183,'SegEnds_NonXtal_Prot#'!$A:$AL,20,FALSE)</f>
        <v>127</v>
      </c>
      <c r="AJ183" s="5">
        <f>VLOOKUP($A183,'SegEnds_NonXtal_Prot#'!$A:$AL,23,FALSE)</f>
        <v>154</v>
      </c>
      <c r="AK183" s="5">
        <f>VLOOKUP($A183,'SegEnds_NonXtal_Prot#'!$A:$AL,26,FALSE)</f>
        <v>167</v>
      </c>
      <c r="AL183" s="5">
        <f>VLOOKUP($A183,'SegEnds_NonXtal_Prot#'!$A:$AL,29,FALSE)</f>
        <v>205</v>
      </c>
      <c r="AM183" s="5">
        <f>VLOOKUP($A183,'SegEnds_NonXtal_Prot#'!$A:$AL,32,FALSE)</f>
        <v>246</v>
      </c>
      <c r="AN183" s="5">
        <f>VLOOKUP($A183,'SegEnds_NonXtal_Prot#'!$A:$AL,35,FALSE)</f>
        <v>281</v>
      </c>
      <c r="AO183" s="5">
        <f>VLOOKUP($A183,'SegEnds_NonXtal_Prot#'!$A:$AL,38,FALSE)</f>
        <v>294</v>
      </c>
      <c r="AP183" s="5">
        <f t="shared" si="63"/>
        <v>30</v>
      </c>
      <c r="AQ183" s="4" t="str">
        <f t="shared" si="64"/>
        <v>-</v>
      </c>
      <c r="AR183" s="4">
        <f t="shared" si="65"/>
        <v>29</v>
      </c>
      <c r="AS183" s="4">
        <f t="shared" si="66"/>
        <v>3</v>
      </c>
      <c r="AT183" s="4">
        <f t="shared" si="67"/>
        <v>35</v>
      </c>
      <c r="AU183" s="4">
        <f t="shared" si="68"/>
        <v>7</v>
      </c>
      <c r="AV183" s="4">
        <f t="shared" si="69"/>
        <v>26</v>
      </c>
      <c r="AW183" s="4">
        <f t="shared" si="70"/>
        <v>2</v>
      </c>
      <c r="AX183" s="4">
        <f t="shared" si="71"/>
        <v>35</v>
      </c>
      <c r="AY183" s="4">
        <f t="shared" si="72"/>
        <v>35</v>
      </c>
      <c r="AZ183" s="4">
        <f t="shared" si="73"/>
        <v>28</v>
      </c>
      <c r="BA183" s="4">
        <f t="shared" si="74"/>
        <v>12</v>
      </c>
    </row>
    <row r="184" spans="1:53" x14ac:dyDescent="0.2">
      <c r="A184" s="1" t="str">
        <f>'SegEnds_NonXtal_Prot#'!A159</f>
        <v>hcar2_human</v>
      </c>
      <c r="B184" s="1" t="str">
        <f t="shared" si="50"/>
        <v>FIVKVLPPVLGLEFIFGLLGNGLALWIFCFHKSSRIFLFNLAVADFLLIICLPFLMDNYVRGDIPCRLMLFMLAMNRQGSIIFLTVVAVDRYFRVVHSNRTAAIISCLLWGITIGLTVHLLKKKSICHTFQWHEAMFLLEFFLPLGIILFCSARIIWSLRQRHAKIKRAITFIMVVAIVFVICFLPSVVVRIRIFWLLHTNCEVYRSVDLAFFITLSFTYMNSMLDPVVYYFSSPSFPNFFSTLIN</v>
      </c>
      <c r="C184" s="29" t="str">
        <f>IF(ISERROR(MATCH(A184,'SegEnds_Xtal_Prot#'!B:B, 0)), "NoXtal", "Xtal")</f>
        <v>NoXtal</v>
      </c>
      <c r="D184" s="4" t="str">
        <f>VLOOKUP(A184,Classification!A:D,2,FALSE)</f>
        <v>A</v>
      </c>
      <c r="E184" s="5" t="str">
        <f>VLOOKUP(A184,Seqs!A:B,2,FALSE)</f>
        <v>MNRHHLQDHFLEIDKKNCCVFRDDFIVKVLPPVLGLEFIFGLLGNGLALWIFCFHLKSWKSSRIFLFNLAVADFLLIICLPFLMDNYVRRWDWKFGDIPCRLMLFMLAMNRQGSIIFLTVVAVDRYFRVVHPHHALNKISNRTAAIISCLLWGITIGLTVHLLKKKMPIQNGGANLCSSFSICHTFQWHEAMFLLEFFLPLGIILFCSARIIWSLRQRQMDRHAKIKRAITFIMVVAIVFVICFLPSVVVRIRIFWLLHTSGTQNCEVYRSVDLAFFITLSFTYMNSMLDPVVYYFSSPSFPNFFSTLINRCLQRKMTGEPDNNRSTSVELTGDPNKTRGAPEALMANSGEPWSPSYLGPTSP</v>
      </c>
      <c r="F184" s="5" t="str">
        <f t="shared" si="51"/>
        <v>FIVKVLPPVLGLEFIFGLLGNGLALWIFCFH</v>
      </c>
      <c r="G184" s="4" t="str">
        <f t="shared" si="52"/>
        <v/>
      </c>
      <c r="H184" s="4" t="str">
        <f t="shared" si="53"/>
        <v>KSSRIFLFNLAVADFLLIICLPFLMDNYVR</v>
      </c>
      <c r="I184" s="4" t="str">
        <f t="shared" si="54"/>
        <v>DWKF</v>
      </c>
      <c r="J184" s="4" t="str">
        <f t="shared" si="55"/>
        <v>GDIPCRLMLFMLAMNRQGSIIFLTVVAVDRYFRVVH</v>
      </c>
      <c r="K184" s="4" t="str">
        <f t="shared" si="56"/>
        <v>PHHALNKI</v>
      </c>
      <c r="L184" s="4" t="str">
        <f t="shared" si="57"/>
        <v>SNRTAAIISCLLWGITIGLTVHLLKKK</v>
      </c>
      <c r="M184" s="4" t="str">
        <f t="shared" si="58"/>
        <v>CSS</v>
      </c>
      <c r="N184" s="4" t="str">
        <f t="shared" si="59"/>
        <v>SICHTFQWHEAMFLLEFFLPLGIILFCSARIIWSLRQ</v>
      </c>
      <c r="O184" s="4" t="str">
        <f t="shared" si="60"/>
        <v>RHAKIKRAITFIMVVAIVFVICFLPSVVVRIRIFWLLHT</v>
      </c>
      <c r="P184" s="4" t="str">
        <f t="shared" si="61"/>
        <v>NCEVYRSVDLAFFITLSFTYMNSMLDPVVYYFS</v>
      </c>
      <c r="Q184" s="4" t="str">
        <f t="shared" si="62"/>
        <v>SPSFPNFFSTLIN</v>
      </c>
      <c r="R184" s="5">
        <f>VLOOKUP($A184,'SegEnds_NonXtal_Prot#'!$A:$AL,3,FALSE)</f>
        <v>25</v>
      </c>
      <c r="S184" s="5" t="str">
        <f>VLOOKUP($A184,'SegEnds_NonXtal_Prot#'!$A:$AL,6,FALSE)</f>
        <v>-</v>
      </c>
      <c r="T184" s="5">
        <f>VLOOKUP($A184,'SegEnds_NonXtal_Prot#'!$A:$AL,9,FALSE)</f>
        <v>60</v>
      </c>
      <c r="U184" s="5">
        <f>VLOOKUP($A184,'SegEnds_NonXtal_Prot#'!$A:$AL,12,FALSE)</f>
        <v>92</v>
      </c>
      <c r="V184" s="5">
        <f>VLOOKUP($A184,'SegEnds_NonXtal_Prot#'!$A:$AL,15,FALSE)</f>
        <v>96</v>
      </c>
      <c r="W184" s="5">
        <f>VLOOKUP($A184,'SegEnds_NonXtal_Prot#'!$A:$AL,18,FALSE)</f>
        <v>132</v>
      </c>
      <c r="X184" s="5">
        <f>VLOOKUP($A184,'SegEnds_NonXtal_Prot#'!$A:$AL,21,FALSE)</f>
        <v>140</v>
      </c>
      <c r="Y184" s="5">
        <f>VLOOKUP($A184,'SegEnds_NonXtal_Prot#'!$A:$AL,24,FALSE)</f>
        <v>177</v>
      </c>
      <c r="Z184" s="5">
        <f>VLOOKUP($A184,'SegEnds_NonXtal_Prot#'!$A:$AL,27,FALSE)</f>
        <v>181</v>
      </c>
      <c r="AA184" s="5">
        <f>VLOOKUP($A184,'SegEnds_NonXtal_Prot#'!$A:$AL,30,FALSE)</f>
        <v>222</v>
      </c>
      <c r="AB184" s="5">
        <f>VLOOKUP($A184,'SegEnds_NonXtal_Prot#'!$A:$AL,33,FALSE)</f>
        <v>265</v>
      </c>
      <c r="AC184" s="5">
        <f>VLOOKUP($A184,'SegEnds_NonXtal_Prot#'!$A:$AL,36,FALSE)</f>
        <v>298</v>
      </c>
      <c r="AD184" s="5">
        <f>VLOOKUP($A184,'SegEnds_NonXtal_Prot#'!$A:$AL,5,FALSE)</f>
        <v>55</v>
      </c>
      <c r="AE184" s="5" t="str">
        <f>VLOOKUP($A184,'SegEnds_NonXtal_Prot#'!$A:$AL,8,FALSE)</f>
        <v>-</v>
      </c>
      <c r="AF184" s="5">
        <f>VLOOKUP($A184,'SegEnds_NonXtal_Prot#'!$A:$AL,11,FALSE)</f>
        <v>89</v>
      </c>
      <c r="AG184" s="5">
        <f>VLOOKUP($A184,'SegEnds_NonXtal_Prot#'!$A:$AL,14,FALSE)</f>
        <v>95</v>
      </c>
      <c r="AH184" s="5">
        <f>VLOOKUP($A184,'SegEnds_NonXtal_Prot#'!$A:$AL,17,FALSE)</f>
        <v>131</v>
      </c>
      <c r="AI184" s="5">
        <f>VLOOKUP($A184,'SegEnds_NonXtal_Prot#'!$A:$AL,20,FALSE)</f>
        <v>139</v>
      </c>
      <c r="AJ184" s="5">
        <f>VLOOKUP($A184,'SegEnds_NonXtal_Prot#'!$A:$AL,23,FALSE)</f>
        <v>166</v>
      </c>
      <c r="AK184" s="5">
        <f>VLOOKUP($A184,'SegEnds_NonXtal_Prot#'!$A:$AL,26,FALSE)</f>
        <v>179</v>
      </c>
      <c r="AL184" s="5">
        <f>VLOOKUP($A184,'SegEnds_NonXtal_Prot#'!$A:$AL,29,FALSE)</f>
        <v>217</v>
      </c>
      <c r="AM184" s="5">
        <f>VLOOKUP($A184,'SegEnds_NonXtal_Prot#'!$A:$AL,32,FALSE)</f>
        <v>260</v>
      </c>
      <c r="AN184" s="5">
        <f>VLOOKUP($A184,'SegEnds_NonXtal_Prot#'!$A:$AL,35,FALSE)</f>
        <v>297</v>
      </c>
      <c r="AO184" s="5">
        <f>VLOOKUP($A184,'SegEnds_NonXtal_Prot#'!$A:$AL,38,FALSE)</f>
        <v>310</v>
      </c>
      <c r="AP184" s="5">
        <f t="shared" si="63"/>
        <v>30</v>
      </c>
      <c r="AQ184" s="4" t="str">
        <f t="shared" si="64"/>
        <v>-</v>
      </c>
      <c r="AR184" s="4">
        <f t="shared" si="65"/>
        <v>29</v>
      </c>
      <c r="AS184" s="4">
        <f t="shared" si="66"/>
        <v>3</v>
      </c>
      <c r="AT184" s="4">
        <f t="shared" si="67"/>
        <v>35</v>
      </c>
      <c r="AU184" s="4">
        <f t="shared" si="68"/>
        <v>7</v>
      </c>
      <c r="AV184" s="4">
        <f t="shared" si="69"/>
        <v>26</v>
      </c>
      <c r="AW184" s="4">
        <f t="shared" si="70"/>
        <v>2</v>
      </c>
      <c r="AX184" s="4">
        <f t="shared" si="71"/>
        <v>36</v>
      </c>
      <c r="AY184" s="4">
        <f t="shared" si="72"/>
        <v>38</v>
      </c>
      <c r="AZ184" s="4">
        <f t="shared" si="73"/>
        <v>32</v>
      </c>
      <c r="BA184" s="4">
        <f t="shared" si="74"/>
        <v>12</v>
      </c>
    </row>
    <row r="185" spans="1:53" x14ac:dyDescent="0.2">
      <c r="A185" s="1" t="str">
        <f>'SegEnds_NonXtal_Prot#'!A160</f>
        <v>hcar3_human</v>
      </c>
      <c r="B185" s="1" t="str">
        <f t="shared" si="50"/>
        <v>FIAKVLPPVLGLEFIFGLLGNGLALWIFCFHKSSRIFLFNLAVADFLLIICLPFVMDYYVRGDIPCRLVLFMFAMNRQGSIIFLTVVAVDRYFRVVHSNWTAAIISCLLWGITVGLTVHLLKKKICHTFRWHEAMFLLEFFLPLGIILFCSARIIWSLRQRHAKIKRAITFIMVVAIVFVICFLPSVVVRIHIFWLLHTNCEVYRSVDLAFFITLSFTYMNSMLDPVVYYFSSPSFPNFFSTLIN</v>
      </c>
      <c r="C185" s="29" t="str">
        <f>IF(ISERROR(MATCH(A185,'SegEnds_Xtal_Prot#'!B:B, 0)), "NoXtal", "Xtal")</f>
        <v>NoXtal</v>
      </c>
      <c r="D185" s="4" t="str">
        <f>VLOOKUP(A185,Classification!A:D,2,FALSE)</f>
        <v>A</v>
      </c>
      <c r="E185" s="5" t="str">
        <f>VLOOKUP(A185,Seqs!A:B,2,FALSE)</f>
        <v>MNRHHLQDHFLEIDKKNCCVFRDDFIAKVLPPVLGLEFIFGLLGNGLALWIFCFHLKSWKSSRIFLFNLAVADFLLIICLPFVMDYYVRRSDWKFGDIPCRLVLFMFAMNRQGSIIFLTVVAVDRYFRVVHPHHALNKISNWTAAIISCLLWGITVGLTVHLLKKKLLIQNGTANVCISFSICHTFRWHEAMFLLEFFLPLGIILFCSARIIWSLRQRQMDRHAKIKRAITFIMVVAIVFVICFLPSVVVRIHIFWLLHTSGTQNCEVYRSVDLAFFITLSFTYMNSMLDPVVYYFSSPSFPNFFSTLINRCLQRKITGEPDNNRSTSVELTGDPNKTRGAPEALIANSGEPWSPSYLGPTSNNHSKKGHCHQEPASLEKQLGCCIE</v>
      </c>
      <c r="F185" s="5" t="str">
        <f t="shared" si="51"/>
        <v>FIAKVLPPVLGLEFIFGLLGNGLALWIFCFH</v>
      </c>
      <c r="G185" s="4" t="str">
        <f t="shared" si="52"/>
        <v/>
      </c>
      <c r="H185" s="4" t="str">
        <f t="shared" si="53"/>
        <v>KSSRIFLFNLAVADFLLIICLPFVMDYYVR</v>
      </c>
      <c r="I185" s="4" t="str">
        <f t="shared" si="54"/>
        <v>DWKF</v>
      </c>
      <c r="J185" s="4" t="str">
        <f t="shared" si="55"/>
        <v>GDIPCRLVLFMFAMNRQGSIIFLTVVAVDRYFRVVH</v>
      </c>
      <c r="K185" s="4" t="str">
        <f t="shared" si="56"/>
        <v>PHHALNKI</v>
      </c>
      <c r="L185" s="4" t="str">
        <f t="shared" si="57"/>
        <v>SNWTAAIISCLLWGITVGLTVHLLKKK</v>
      </c>
      <c r="M185" s="4" t="str">
        <f t="shared" si="58"/>
        <v>CIS</v>
      </c>
      <c r="N185" s="4" t="str">
        <f t="shared" si="59"/>
        <v>ICHTFRWHEAMFLLEFFLPLGIILFCSARIIWSLRQ</v>
      </c>
      <c r="O185" s="4" t="str">
        <f t="shared" si="60"/>
        <v>RHAKIKRAITFIMVVAIVFVICFLPSVVVRIHIFWLLHT</v>
      </c>
      <c r="P185" s="4" t="str">
        <f t="shared" si="61"/>
        <v>NCEVYRSVDLAFFITLSFTYMNSMLDPVVYYFS</v>
      </c>
      <c r="Q185" s="4" t="str">
        <f t="shared" si="62"/>
        <v>SPSFPNFFSTLIN</v>
      </c>
      <c r="R185" s="5">
        <f>VLOOKUP($A185,'SegEnds_NonXtal_Prot#'!$A:$AL,3,FALSE)</f>
        <v>25</v>
      </c>
      <c r="S185" s="5" t="str">
        <f>VLOOKUP($A185,'SegEnds_NonXtal_Prot#'!$A:$AL,6,FALSE)</f>
        <v>-</v>
      </c>
      <c r="T185" s="5">
        <f>VLOOKUP($A185,'SegEnds_NonXtal_Prot#'!$A:$AL,9,FALSE)</f>
        <v>60</v>
      </c>
      <c r="U185" s="5">
        <f>VLOOKUP($A185,'SegEnds_NonXtal_Prot#'!$A:$AL,12,FALSE)</f>
        <v>92</v>
      </c>
      <c r="V185" s="5">
        <f>VLOOKUP($A185,'SegEnds_NonXtal_Prot#'!$A:$AL,15,FALSE)</f>
        <v>96</v>
      </c>
      <c r="W185" s="5">
        <f>VLOOKUP($A185,'SegEnds_NonXtal_Prot#'!$A:$AL,18,FALSE)</f>
        <v>132</v>
      </c>
      <c r="X185" s="5">
        <f>VLOOKUP($A185,'SegEnds_NonXtal_Prot#'!$A:$AL,21,FALSE)</f>
        <v>140</v>
      </c>
      <c r="Y185" s="5">
        <f>VLOOKUP($A185,'SegEnds_NonXtal_Prot#'!$A:$AL,24,FALSE)</f>
        <v>177</v>
      </c>
      <c r="Z185" s="5">
        <f>VLOOKUP($A185,'SegEnds_NonXtal_Prot#'!$A:$AL,27,FALSE)</f>
        <v>182</v>
      </c>
      <c r="AA185" s="5">
        <f>VLOOKUP($A185,'SegEnds_NonXtal_Prot#'!$A:$AL,30,FALSE)</f>
        <v>222</v>
      </c>
      <c r="AB185" s="5">
        <f>VLOOKUP($A185,'SegEnds_NonXtal_Prot#'!$A:$AL,33,FALSE)</f>
        <v>265</v>
      </c>
      <c r="AC185" s="5">
        <f>VLOOKUP($A185,'SegEnds_NonXtal_Prot#'!$A:$AL,36,FALSE)</f>
        <v>298</v>
      </c>
      <c r="AD185" s="5">
        <f>VLOOKUP($A185,'SegEnds_NonXtal_Prot#'!$A:$AL,5,FALSE)</f>
        <v>55</v>
      </c>
      <c r="AE185" s="5" t="str">
        <f>VLOOKUP($A185,'SegEnds_NonXtal_Prot#'!$A:$AL,8,FALSE)</f>
        <v>-</v>
      </c>
      <c r="AF185" s="5">
        <f>VLOOKUP($A185,'SegEnds_NonXtal_Prot#'!$A:$AL,11,FALSE)</f>
        <v>89</v>
      </c>
      <c r="AG185" s="5">
        <f>VLOOKUP($A185,'SegEnds_NonXtal_Prot#'!$A:$AL,14,FALSE)</f>
        <v>95</v>
      </c>
      <c r="AH185" s="5">
        <f>VLOOKUP($A185,'SegEnds_NonXtal_Prot#'!$A:$AL,17,FALSE)</f>
        <v>131</v>
      </c>
      <c r="AI185" s="5">
        <f>VLOOKUP($A185,'SegEnds_NonXtal_Prot#'!$A:$AL,20,FALSE)</f>
        <v>139</v>
      </c>
      <c r="AJ185" s="5">
        <f>VLOOKUP($A185,'SegEnds_NonXtal_Prot#'!$A:$AL,23,FALSE)</f>
        <v>166</v>
      </c>
      <c r="AK185" s="5">
        <f>VLOOKUP($A185,'SegEnds_NonXtal_Prot#'!$A:$AL,26,FALSE)</f>
        <v>179</v>
      </c>
      <c r="AL185" s="5">
        <f>VLOOKUP($A185,'SegEnds_NonXtal_Prot#'!$A:$AL,29,FALSE)</f>
        <v>217</v>
      </c>
      <c r="AM185" s="5">
        <f>VLOOKUP($A185,'SegEnds_NonXtal_Prot#'!$A:$AL,32,FALSE)</f>
        <v>260</v>
      </c>
      <c r="AN185" s="5">
        <f>VLOOKUP($A185,'SegEnds_NonXtal_Prot#'!$A:$AL,35,FALSE)</f>
        <v>297</v>
      </c>
      <c r="AO185" s="5">
        <f>VLOOKUP($A185,'SegEnds_NonXtal_Prot#'!$A:$AL,38,FALSE)</f>
        <v>310</v>
      </c>
      <c r="AP185" s="5">
        <f t="shared" si="63"/>
        <v>30</v>
      </c>
      <c r="AQ185" s="4" t="str">
        <f t="shared" si="64"/>
        <v>-</v>
      </c>
      <c r="AR185" s="4">
        <f t="shared" si="65"/>
        <v>29</v>
      </c>
      <c r="AS185" s="4">
        <f t="shared" si="66"/>
        <v>3</v>
      </c>
      <c r="AT185" s="4">
        <f t="shared" si="67"/>
        <v>35</v>
      </c>
      <c r="AU185" s="4">
        <f t="shared" si="68"/>
        <v>7</v>
      </c>
      <c r="AV185" s="4">
        <f t="shared" si="69"/>
        <v>26</v>
      </c>
      <c r="AW185" s="4">
        <f t="shared" si="70"/>
        <v>2</v>
      </c>
      <c r="AX185" s="4">
        <f t="shared" si="71"/>
        <v>35</v>
      </c>
      <c r="AY185" s="4">
        <f t="shared" si="72"/>
        <v>38</v>
      </c>
      <c r="AZ185" s="4">
        <f t="shared" si="73"/>
        <v>32</v>
      </c>
      <c r="BA185" s="4">
        <f t="shared" si="74"/>
        <v>12</v>
      </c>
    </row>
    <row r="186" spans="1:53" x14ac:dyDescent="0.2">
      <c r="A186" s="1" t="str">
        <f>'SegEnds_NonXtal_Prot#'!A161</f>
        <v>hrh1_human</v>
      </c>
      <c r="B186" s="1" t="str">
        <f t="shared" si="50"/>
        <v>PLVVVLSTICLVTVGLNLLVLYAVRSETVGNLYIVSLSVADLIVGAVVMPMNILYLLMGRPLCLFWLSMDYVASTASIFSVFILCIDRYRSVQQTKTRASATILGAWFLSFLWVIPILGVTWFKVMTAIINFYLPTLLMLWFYAKIYKAVRQHCQHRELINGLHMNRERKAAKQLGFIMAAFILCWIPYFIFFMVIAFCNEHLHMFTIWLGYINSTLNPLIYPLCNENFKKTFKRILH</v>
      </c>
      <c r="C186" s="29" t="str">
        <f>IF(ISERROR(MATCH(A186,'SegEnds_Xtal_Prot#'!B:B, 0)), "NoXtal", "Xtal")</f>
        <v>Xtal</v>
      </c>
      <c r="D186" s="4" t="str">
        <f>VLOOKUP(A186,Classification!A:D,2,FALSE)</f>
        <v>A</v>
      </c>
      <c r="E186" s="5" t="str">
        <f>VLOOKUP(A186,Seqs!A:B,2,FALSE)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F186" s="5" t="str">
        <f t="shared" si="51"/>
        <v>PLVVVLSTICLVTVGLNLLVLYAVRSE</v>
      </c>
      <c r="G186" s="4" t="str">
        <f t="shared" si="52"/>
        <v>RKLH</v>
      </c>
      <c r="H186" s="4" t="str">
        <f t="shared" si="53"/>
        <v>TVGNLYIVSLSVADLIVGAVVMPMNILYLLM</v>
      </c>
      <c r="I186" s="4" t="str">
        <f t="shared" si="54"/>
        <v>KWSL</v>
      </c>
      <c r="J186" s="4" t="str">
        <f t="shared" si="55"/>
        <v>GRPLCLFWLSMDYVASTASIFSVFILCIDRYRSVQQ</v>
      </c>
      <c r="K186" s="4" t="str">
        <f t="shared" si="56"/>
        <v>PLRYLKYR</v>
      </c>
      <c r="L186" s="4" t="str">
        <f t="shared" si="57"/>
        <v>TKTRASATILGAWFLSFLWVIPILG</v>
      </c>
      <c r="M186" s="4" t="str">
        <f t="shared" si="58"/>
        <v>CET</v>
      </c>
      <c r="N186" s="4" t="str">
        <f t="shared" si="59"/>
        <v>VTWFKVMTAIINFYLPTLLMLWFYAKIYKAVRQHCQHRELIN</v>
      </c>
      <c r="O186" s="4" t="str">
        <f t="shared" si="60"/>
        <v>GLHMNRERKAAKQLGFIMAAFILCWIPYFIFFMVIAFC</v>
      </c>
      <c r="P186" s="4" t="str">
        <f t="shared" si="61"/>
        <v>NEHLHMFTIWLGYINSTLNPLIYPLC</v>
      </c>
      <c r="Q186" s="4" t="str">
        <f t="shared" si="62"/>
        <v>NENFKKTFKRILH</v>
      </c>
      <c r="R186" s="5">
        <f>VLOOKUP($A186,'SegEnds_NonXtal_Prot#'!$A:$AL,3,FALSE)</f>
        <v>29</v>
      </c>
      <c r="S186" s="5">
        <f>VLOOKUP($A186,'SegEnds_NonXtal_Prot#'!$A:$AL,6,FALSE)</f>
        <v>56</v>
      </c>
      <c r="T186" s="5">
        <f>VLOOKUP($A186,'SegEnds_NonXtal_Prot#'!$A:$AL,9,FALSE)</f>
        <v>60</v>
      </c>
      <c r="U186" s="5">
        <f>VLOOKUP($A186,'SegEnds_NonXtal_Prot#'!$A:$AL,12,FALSE)</f>
        <v>92</v>
      </c>
      <c r="V186" s="5">
        <f>VLOOKUP($A186,'SegEnds_NonXtal_Prot#'!$A:$AL,15,FALSE)</f>
        <v>96</v>
      </c>
      <c r="W186" s="5">
        <f>VLOOKUP($A186,'SegEnds_NonXtal_Prot#'!$A:$AL,18,FALSE)</f>
        <v>132</v>
      </c>
      <c r="X186" s="5">
        <f>VLOOKUP($A186,'SegEnds_NonXtal_Prot#'!$A:$AL,21,FALSE)</f>
        <v>140</v>
      </c>
      <c r="Y186" s="5">
        <f>VLOOKUP($A186,'SegEnds_NonXtal_Prot#'!$A:$AL,24,FALSE)</f>
        <v>180</v>
      </c>
      <c r="Z186" s="5">
        <f>VLOOKUP($A186,'SegEnds_NonXtal_Prot#'!$A:$AL,27,FALSE)</f>
        <v>187</v>
      </c>
      <c r="AA186" s="5">
        <f>VLOOKUP($A186,'SegEnds_NonXtal_Prot#'!$A:$AL,30,FALSE)</f>
        <v>404</v>
      </c>
      <c r="AB186" s="5">
        <f>VLOOKUP($A186,'SegEnds_NonXtal_Prot#'!$A:$AL,33,FALSE)</f>
        <v>446</v>
      </c>
      <c r="AC186" s="5">
        <f>VLOOKUP($A186,'SegEnds_NonXtal_Prot#'!$A:$AL,36,FALSE)</f>
        <v>472</v>
      </c>
      <c r="AD186" s="5">
        <f>VLOOKUP($A186,'SegEnds_NonXtal_Prot#'!$A:$AL,5,FALSE)</f>
        <v>55</v>
      </c>
      <c r="AE186" s="5">
        <f>VLOOKUP($A186,'SegEnds_NonXtal_Prot#'!$A:$AL,8,FALSE)</f>
        <v>59</v>
      </c>
      <c r="AF186" s="5">
        <f>VLOOKUP($A186,'SegEnds_NonXtal_Prot#'!$A:$AL,11,FALSE)</f>
        <v>90</v>
      </c>
      <c r="AG186" s="5">
        <f>VLOOKUP($A186,'SegEnds_NonXtal_Prot#'!$A:$AL,14,FALSE)</f>
        <v>95</v>
      </c>
      <c r="AH186" s="5">
        <f>VLOOKUP($A186,'SegEnds_NonXtal_Prot#'!$A:$AL,17,FALSE)</f>
        <v>131</v>
      </c>
      <c r="AI186" s="5">
        <f>VLOOKUP($A186,'SegEnds_NonXtal_Prot#'!$A:$AL,20,FALSE)</f>
        <v>139</v>
      </c>
      <c r="AJ186" s="5">
        <f>VLOOKUP($A186,'SegEnds_NonXtal_Prot#'!$A:$AL,23,FALSE)</f>
        <v>164</v>
      </c>
      <c r="AK186" s="5">
        <f>VLOOKUP($A186,'SegEnds_NonXtal_Prot#'!$A:$AL,26,FALSE)</f>
        <v>182</v>
      </c>
      <c r="AL186" s="5">
        <f>VLOOKUP($A186,'SegEnds_NonXtal_Prot#'!$A:$AL,29,FALSE)</f>
        <v>228</v>
      </c>
      <c r="AM186" s="5">
        <f>VLOOKUP($A186,'SegEnds_NonXtal_Prot#'!$A:$AL,32,FALSE)</f>
        <v>441</v>
      </c>
      <c r="AN186" s="5">
        <f>VLOOKUP($A186,'SegEnds_NonXtal_Prot#'!$A:$AL,35,FALSE)</f>
        <v>471</v>
      </c>
      <c r="AO186" s="5">
        <f>VLOOKUP($A186,'SegEnds_NonXtal_Prot#'!$A:$AL,38,FALSE)</f>
        <v>484</v>
      </c>
      <c r="AP186" s="5">
        <f t="shared" si="63"/>
        <v>26</v>
      </c>
      <c r="AQ186" s="4">
        <f t="shared" si="64"/>
        <v>3</v>
      </c>
      <c r="AR186" s="4">
        <f t="shared" si="65"/>
        <v>30</v>
      </c>
      <c r="AS186" s="4">
        <f t="shared" si="66"/>
        <v>3</v>
      </c>
      <c r="AT186" s="4">
        <f t="shared" si="67"/>
        <v>35</v>
      </c>
      <c r="AU186" s="4">
        <f t="shared" si="68"/>
        <v>7</v>
      </c>
      <c r="AV186" s="4">
        <f t="shared" si="69"/>
        <v>24</v>
      </c>
      <c r="AW186" s="4">
        <f t="shared" si="70"/>
        <v>2</v>
      </c>
      <c r="AX186" s="4">
        <f t="shared" si="71"/>
        <v>41</v>
      </c>
      <c r="AY186" s="4">
        <f t="shared" si="72"/>
        <v>37</v>
      </c>
      <c r="AZ186" s="4">
        <f t="shared" si="73"/>
        <v>25</v>
      </c>
      <c r="BA186" s="4">
        <f t="shared" si="74"/>
        <v>12</v>
      </c>
    </row>
    <row r="187" spans="1:53" x14ac:dyDescent="0.2">
      <c r="A187" s="1" t="str">
        <f>'SegEnds_NonXtal_Prot#'!A162</f>
        <v>hrh2_human</v>
      </c>
      <c r="B187" s="1" t="str">
        <f t="shared" si="50"/>
        <v>CLDSTACKITITVVLAVLILITVAGNVVVCLAVGLNNLTNCFIVSLAITDLLLGLLVLPFSAIYQLSGKVFCNIYTSLDVMLCTASILNLFMISLDRYCAVMDTPVRVAISLVLIWVISITLSFLSIHLGNEVYGLVDGLVTFYLPLLIMCITYYRIFKVARDQAKRINSWKAATIREHKATVTLAAVMGAFIICWFPYFTAFVYRGLRNEVLEAIVLWLGYANSALNPILYAALNRDFRTGYQQLFC</v>
      </c>
      <c r="C187" s="29" t="str">
        <f>IF(ISERROR(MATCH(A187,'SegEnds_Xtal_Prot#'!B:B, 0)), "NoXtal", "Xtal")</f>
        <v>NoXtal</v>
      </c>
      <c r="D187" s="4" t="str">
        <f>VLOOKUP(A187,Classification!A:D,2,FALSE)</f>
        <v>A</v>
      </c>
      <c r="E187" s="5" t="str">
        <f>VLOOKUP(A187,Seqs!A:B,2,FALSE)</f>
        <v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v>
      </c>
      <c r="F187" s="5" t="str">
        <f t="shared" si="51"/>
        <v>CLDSTACKITITVVLAVLILITVAGNVVVCLAVGLN</v>
      </c>
      <c r="G187" s="4" t="str">
        <f t="shared" si="52"/>
        <v>RRLR</v>
      </c>
      <c r="H187" s="4" t="str">
        <f t="shared" si="53"/>
        <v>NLTNCFIVSLAITDLLLGLLVLPFSAIYQLS</v>
      </c>
      <c r="I187" s="4" t="str">
        <f t="shared" si="54"/>
        <v>KWSF</v>
      </c>
      <c r="J187" s="4" t="str">
        <f t="shared" si="55"/>
        <v>GKVFCNIYTSLDVMLCTASILNLFMISLDRYCAVMD</v>
      </c>
      <c r="K187" s="4" t="str">
        <f t="shared" si="56"/>
        <v>PLRYPVLV</v>
      </c>
      <c r="L187" s="4" t="str">
        <f t="shared" si="57"/>
        <v>TPVRVAISLVLIWVISITLSFLSIHLG</v>
      </c>
      <c r="M187" s="4" t="str">
        <f t="shared" si="58"/>
        <v>CKV</v>
      </c>
      <c r="N187" s="4" t="str">
        <f t="shared" si="59"/>
        <v>NEVYGLVDGLVTFYLPLLIMCITYYRIFKVARDQAKRIN</v>
      </c>
      <c r="O187" s="4" t="str">
        <f t="shared" si="60"/>
        <v>SWKAATIREHKATVTLAAVMGAFIICWFPYFTAFVYRGLR</v>
      </c>
      <c r="P187" s="4" t="str">
        <f t="shared" si="61"/>
        <v>NEVLEAIVLWLGYANSALNPILYAAL</v>
      </c>
      <c r="Q187" s="4" t="str">
        <f t="shared" si="62"/>
        <v>NRDFRTGYQQLFC</v>
      </c>
      <c r="R187" s="5">
        <f>VLOOKUP($A187,'SegEnds_NonXtal_Prot#'!$A:$AL,3,FALSE)</f>
        <v>11</v>
      </c>
      <c r="S187" s="5">
        <f>VLOOKUP($A187,'SegEnds_NonXtal_Prot#'!$A:$AL,6,FALSE)</f>
        <v>47</v>
      </c>
      <c r="T187" s="5">
        <f>VLOOKUP($A187,'SegEnds_NonXtal_Prot#'!$A:$AL,9,FALSE)</f>
        <v>51</v>
      </c>
      <c r="U187" s="5">
        <f>VLOOKUP($A187,'SegEnds_NonXtal_Prot#'!$A:$AL,12,FALSE)</f>
        <v>83</v>
      </c>
      <c r="V187" s="5">
        <f>VLOOKUP($A187,'SegEnds_NonXtal_Prot#'!$A:$AL,15,FALSE)</f>
        <v>87</v>
      </c>
      <c r="W187" s="5">
        <f>VLOOKUP($A187,'SegEnds_NonXtal_Prot#'!$A:$AL,18,FALSE)</f>
        <v>123</v>
      </c>
      <c r="X187" s="5">
        <f>VLOOKUP($A187,'SegEnds_NonXtal_Prot#'!$A:$AL,21,FALSE)</f>
        <v>131</v>
      </c>
      <c r="Y187" s="5">
        <f>VLOOKUP($A187,'SegEnds_NonXtal_Prot#'!$A:$AL,24,FALSE)</f>
        <v>174</v>
      </c>
      <c r="Z187" s="5">
        <f>VLOOKUP($A187,'SegEnds_NonXtal_Prot#'!$A:$AL,27,FALSE)</f>
        <v>179</v>
      </c>
      <c r="AA187" s="5">
        <f>VLOOKUP($A187,'SegEnds_NonXtal_Prot#'!$A:$AL,30,FALSE)</f>
        <v>221</v>
      </c>
      <c r="AB187" s="5">
        <f>VLOOKUP($A187,'SegEnds_NonXtal_Prot#'!$A:$AL,33,FALSE)</f>
        <v>266</v>
      </c>
      <c r="AC187" s="5">
        <f>VLOOKUP($A187,'SegEnds_NonXtal_Prot#'!$A:$AL,36,FALSE)</f>
        <v>292</v>
      </c>
      <c r="AD187" s="5">
        <f>VLOOKUP($A187,'SegEnds_NonXtal_Prot#'!$A:$AL,5,FALSE)</f>
        <v>46</v>
      </c>
      <c r="AE187" s="5">
        <f>VLOOKUP($A187,'SegEnds_NonXtal_Prot#'!$A:$AL,8,FALSE)</f>
        <v>50</v>
      </c>
      <c r="AF187" s="5">
        <f>VLOOKUP($A187,'SegEnds_NonXtal_Prot#'!$A:$AL,11,FALSE)</f>
        <v>81</v>
      </c>
      <c r="AG187" s="5">
        <f>VLOOKUP($A187,'SegEnds_NonXtal_Prot#'!$A:$AL,14,FALSE)</f>
        <v>86</v>
      </c>
      <c r="AH187" s="5">
        <f>VLOOKUP($A187,'SegEnds_NonXtal_Prot#'!$A:$AL,17,FALSE)</f>
        <v>122</v>
      </c>
      <c r="AI187" s="5">
        <f>VLOOKUP($A187,'SegEnds_NonXtal_Prot#'!$A:$AL,20,FALSE)</f>
        <v>130</v>
      </c>
      <c r="AJ187" s="5">
        <f>VLOOKUP($A187,'SegEnds_NonXtal_Prot#'!$A:$AL,23,FALSE)</f>
        <v>157</v>
      </c>
      <c r="AK187" s="5">
        <f>VLOOKUP($A187,'SegEnds_NonXtal_Prot#'!$A:$AL,26,FALSE)</f>
        <v>176</v>
      </c>
      <c r="AL187" s="5">
        <f>VLOOKUP($A187,'SegEnds_NonXtal_Prot#'!$A:$AL,29,FALSE)</f>
        <v>217</v>
      </c>
      <c r="AM187" s="5">
        <f>VLOOKUP($A187,'SegEnds_NonXtal_Prot#'!$A:$AL,32,FALSE)</f>
        <v>260</v>
      </c>
      <c r="AN187" s="5">
        <f>VLOOKUP($A187,'SegEnds_NonXtal_Prot#'!$A:$AL,35,FALSE)</f>
        <v>291</v>
      </c>
      <c r="AO187" s="5">
        <f>VLOOKUP($A187,'SegEnds_NonXtal_Prot#'!$A:$AL,38,FALSE)</f>
        <v>304</v>
      </c>
      <c r="AP187" s="5">
        <f t="shared" si="63"/>
        <v>35</v>
      </c>
      <c r="AQ187" s="4">
        <f t="shared" si="64"/>
        <v>3</v>
      </c>
      <c r="AR187" s="4">
        <f t="shared" si="65"/>
        <v>30</v>
      </c>
      <c r="AS187" s="4">
        <f t="shared" si="66"/>
        <v>3</v>
      </c>
      <c r="AT187" s="4">
        <f t="shared" si="67"/>
        <v>35</v>
      </c>
      <c r="AU187" s="4">
        <f t="shared" si="68"/>
        <v>7</v>
      </c>
      <c r="AV187" s="4">
        <f t="shared" si="69"/>
        <v>26</v>
      </c>
      <c r="AW187" s="4">
        <f t="shared" si="70"/>
        <v>2</v>
      </c>
      <c r="AX187" s="4">
        <f t="shared" si="71"/>
        <v>38</v>
      </c>
      <c r="AY187" s="4">
        <f t="shared" si="72"/>
        <v>39</v>
      </c>
      <c r="AZ187" s="4">
        <f t="shared" si="73"/>
        <v>25</v>
      </c>
      <c r="BA187" s="4">
        <f t="shared" si="74"/>
        <v>12</v>
      </c>
    </row>
    <row r="188" spans="1:53" x14ac:dyDescent="0.2">
      <c r="A188" s="1" t="str">
        <f>'SegEnds_NonXtal_Prot#'!A163</f>
        <v>kissr_human</v>
      </c>
      <c r="B188" s="1" t="str">
        <f t="shared" si="50"/>
        <v>VDAWLVPLFFAALMLLGLVGNSLVIYVICRHTVTNFYIANLAATDVTFLLCCVPFTALLYPGDFMCKFVNYIQQVSVQATCATLTAMSVDRWYVTVFTPRLALAVSLSIWVGSAAVSAPVLALHSRALERAFALYNLLALYLLPLLATCACYAAMLRHLGRVAVRPAPVLAERAGAVRAKVSRLVAAVVLLFAACWGPIQLFLVLQALGSYAAYALKTWAHCMSYSNSALNPLLYAFLGSHFRQAFRRVCP</v>
      </c>
      <c r="C188" s="29" t="str">
        <f>IF(ISERROR(MATCH(A188,'SegEnds_Xtal_Prot#'!B:B, 0)), "NoXtal", "Xtal")</f>
        <v>NoXtal</v>
      </c>
      <c r="D188" s="4" t="str">
        <f>VLOOKUP(A188,Classification!A:D,2,FALSE)</f>
        <v>A</v>
      </c>
      <c r="E188" s="5" t="str">
        <f>VLOOKUP(A188,Seqs!A:B,2,FALSE)</f>
        <v>MHTVATSGPNASWGAPANASGCPGCGANASDGPVPSPRAVDAWLVPLFFAALMLLGLVGNSLVIYVICRHKPMRTVTNFYIANLAATDVTFLLCCVPFTALLYPLPGWVLGDFMCKFVNYIQQVSVQATCATLTAMSVDRWYVTVFPLRALHRRTPRLALAVSLSIWVGSAAVSAPVLALHRLSPGPRAYCSEAFPSRALERAFALYNLLALYLLPLLATCACYAAMLRHLGRVAVRPAPADSALQGQVLAERAGAVRAKVSRLVAAVVLLFAACWGPIQLFLVLQALGPAGSWHPRSYAAYALKTWAHCMSYSNSALNPLLYAFLGSHFRQAFRRVCPCAPRRPRRPRRPGPSDPAAPHAELLRLGSHPAPARAQKPGSSGLAARGLCVLGEDNAPL</v>
      </c>
      <c r="F188" s="5" t="str">
        <f t="shared" si="51"/>
        <v>VDAWLVPLFFAALMLLGLVGNSLVIYVICRH</v>
      </c>
      <c r="G188" s="4" t="str">
        <f t="shared" si="52"/>
        <v>KPMR</v>
      </c>
      <c r="H188" s="4" t="str">
        <f t="shared" si="53"/>
        <v>TVTNFYIANLAATDVTFLLCCVPFTALLYP</v>
      </c>
      <c r="I188" s="4" t="str">
        <f t="shared" si="54"/>
        <v>GWVL</v>
      </c>
      <c r="J188" s="4" t="str">
        <f t="shared" si="55"/>
        <v>GDFMCKFVNYIQQVSVQATCATLTAMSVDRWYVTVF</v>
      </c>
      <c r="K188" s="4" t="str">
        <f t="shared" si="56"/>
        <v>PLRALHRR</v>
      </c>
      <c r="L188" s="4" t="str">
        <f t="shared" si="57"/>
        <v>TPRLALAVSLSIWVGSAAVSAPVLALH</v>
      </c>
      <c r="M188" s="4" t="str">
        <f t="shared" si="58"/>
        <v>CSE</v>
      </c>
      <c r="N188" s="4" t="str">
        <f t="shared" si="59"/>
        <v>SRALERAFALYNLLALYLLPLLATCACYAAMLRHLGRVAVRPAP</v>
      </c>
      <c r="O188" s="4" t="str">
        <f t="shared" si="60"/>
        <v>VLAERAGAVRAKVSRLVAAVVLLFAACWGPIQLFLVLQALG</v>
      </c>
      <c r="P188" s="4" t="str">
        <f t="shared" si="61"/>
        <v>SYAAYALKTWAHCMSYSNSALNPLLYAFL</v>
      </c>
      <c r="Q188" s="4" t="str">
        <f t="shared" si="62"/>
        <v>GSHFRQAFRRVCP</v>
      </c>
      <c r="R188" s="5">
        <f>VLOOKUP($A188,'SegEnds_NonXtal_Prot#'!$A:$AL,3,FALSE)</f>
        <v>40</v>
      </c>
      <c r="S188" s="5">
        <f>VLOOKUP($A188,'SegEnds_NonXtal_Prot#'!$A:$AL,6,FALSE)</f>
        <v>71</v>
      </c>
      <c r="T188" s="5">
        <f>VLOOKUP($A188,'SegEnds_NonXtal_Prot#'!$A:$AL,9,FALSE)</f>
        <v>75</v>
      </c>
      <c r="U188" s="5">
        <f>VLOOKUP($A188,'SegEnds_NonXtal_Prot#'!$A:$AL,12,FALSE)</f>
        <v>107</v>
      </c>
      <c r="V188" s="5">
        <f>VLOOKUP($A188,'SegEnds_NonXtal_Prot#'!$A:$AL,15,FALSE)</f>
        <v>111</v>
      </c>
      <c r="W188" s="5">
        <f>VLOOKUP($A188,'SegEnds_NonXtal_Prot#'!$A:$AL,18,FALSE)</f>
        <v>147</v>
      </c>
      <c r="X188" s="5">
        <f>VLOOKUP($A188,'SegEnds_NonXtal_Prot#'!$A:$AL,21,FALSE)</f>
        <v>155</v>
      </c>
      <c r="Y188" s="5">
        <f>VLOOKUP($A188,'SegEnds_NonXtal_Prot#'!$A:$AL,24,FALSE)</f>
        <v>191</v>
      </c>
      <c r="Z188" s="5">
        <f>VLOOKUP($A188,'SegEnds_NonXtal_Prot#'!$A:$AL,27,FALSE)</f>
        <v>197</v>
      </c>
      <c r="AA188" s="5">
        <f>VLOOKUP($A188,'SegEnds_NonXtal_Prot#'!$A:$AL,30,FALSE)</f>
        <v>249</v>
      </c>
      <c r="AB188" s="5">
        <f>VLOOKUP($A188,'SegEnds_NonXtal_Prot#'!$A:$AL,33,FALSE)</f>
        <v>298</v>
      </c>
      <c r="AC188" s="5">
        <f>VLOOKUP($A188,'SegEnds_NonXtal_Prot#'!$A:$AL,36,FALSE)</f>
        <v>327</v>
      </c>
      <c r="AD188" s="5">
        <f>VLOOKUP($A188,'SegEnds_NonXtal_Prot#'!$A:$AL,5,FALSE)</f>
        <v>70</v>
      </c>
      <c r="AE188" s="5">
        <f>VLOOKUP($A188,'SegEnds_NonXtal_Prot#'!$A:$AL,8,FALSE)</f>
        <v>74</v>
      </c>
      <c r="AF188" s="5">
        <f>VLOOKUP($A188,'SegEnds_NonXtal_Prot#'!$A:$AL,11,FALSE)</f>
        <v>104</v>
      </c>
      <c r="AG188" s="5">
        <f>VLOOKUP($A188,'SegEnds_NonXtal_Prot#'!$A:$AL,14,FALSE)</f>
        <v>110</v>
      </c>
      <c r="AH188" s="5">
        <f>VLOOKUP($A188,'SegEnds_NonXtal_Prot#'!$A:$AL,17,FALSE)</f>
        <v>146</v>
      </c>
      <c r="AI188" s="5">
        <f>VLOOKUP($A188,'SegEnds_NonXtal_Prot#'!$A:$AL,20,FALSE)</f>
        <v>154</v>
      </c>
      <c r="AJ188" s="5">
        <f>VLOOKUP($A188,'SegEnds_NonXtal_Prot#'!$A:$AL,23,FALSE)</f>
        <v>181</v>
      </c>
      <c r="AK188" s="5">
        <f>VLOOKUP($A188,'SegEnds_NonXtal_Prot#'!$A:$AL,26,FALSE)</f>
        <v>193</v>
      </c>
      <c r="AL188" s="5">
        <f>VLOOKUP($A188,'SegEnds_NonXtal_Prot#'!$A:$AL,29,FALSE)</f>
        <v>240</v>
      </c>
      <c r="AM188" s="5">
        <f>VLOOKUP($A188,'SegEnds_NonXtal_Prot#'!$A:$AL,32,FALSE)</f>
        <v>289</v>
      </c>
      <c r="AN188" s="5">
        <f>VLOOKUP($A188,'SegEnds_NonXtal_Prot#'!$A:$AL,35,FALSE)</f>
        <v>326</v>
      </c>
      <c r="AO188" s="5">
        <f>VLOOKUP($A188,'SegEnds_NonXtal_Prot#'!$A:$AL,38,FALSE)</f>
        <v>339</v>
      </c>
      <c r="AP188" s="5">
        <f t="shared" si="63"/>
        <v>30</v>
      </c>
      <c r="AQ188" s="4">
        <f t="shared" si="64"/>
        <v>3</v>
      </c>
      <c r="AR188" s="4">
        <f t="shared" si="65"/>
        <v>29</v>
      </c>
      <c r="AS188" s="4">
        <f t="shared" si="66"/>
        <v>3</v>
      </c>
      <c r="AT188" s="4">
        <f t="shared" si="67"/>
        <v>35</v>
      </c>
      <c r="AU188" s="4">
        <f t="shared" si="68"/>
        <v>7</v>
      </c>
      <c r="AV188" s="4">
        <f t="shared" si="69"/>
        <v>26</v>
      </c>
      <c r="AW188" s="4">
        <f t="shared" si="70"/>
        <v>2</v>
      </c>
      <c r="AX188" s="4">
        <f t="shared" si="71"/>
        <v>43</v>
      </c>
      <c r="AY188" s="4">
        <f t="shared" si="72"/>
        <v>40</v>
      </c>
      <c r="AZ188" s="4">
        <f t="shared" si="73"/>
        <v>28</v>
      </c>
      <c r="BA188" s="4">
        <f t="shared" si="74"/>
        <v>12</v>
      </c>
    </row>
    <row r="189" spans="1:53" x14ac:dyDescent="0.2">
      <c r="A189" s="1" t="str">
        <f>'SegEnds_NonXtal_Prot#'!A164</f>
        <v>lgr4_human</v>
      </c>
      <c r="B189" s="1" t="str">
        <f t="shared" si="50"/>
        <v>LGSWMIRLTVWFIFLVALFFNLLVILTTFASPSSKLFIGLISVSNLFMGIYTGILTFLDAVSWWETGSGCKVAGFLAVFSSESAIFLLMLATVERSLSAKDHLKQFRVAALLAFLGATVAGCFPLFHRTPSLGFTVTLVLLNSLAFLLMAVIYTKLYCNLEKNSQSSMIKHVAWLIFTNCIFFCPVAFFSFAPLITPEIMKSVTLIFFPLPACLNPVLYVFFNPKFKEDWKLLKRRV</v>
      </c>
      <c r="C189" s="29" t="str">
        <f>IF(ISERROR(MATCH(A189,'SegEnds_Xtal_Prot#'!B:B, 0)), "NoXtal", "Xtal")</f>
        <v>NoXtal</v>
      </c>
      <c r="D189" s="4" t="str">
        <f>VLOOKUP(A189,Classification!A:D,2,FALSE)</f>
        <v>A</v>
      </c>
      <c r="E189" s="5" t="str">
        <f>VLOOKUP(A189,Seqs!A:B,2,FALSE)</f>
        <v>MPGPLGLLCFLALGLLGSAGPSGAAPPLCAAPCSCDGDRRVDCSGKGLTAVPEGLSAFTQALDISMNNITQLPEDAFKNFPFLEELQLAGNDLSFIHPKALSGLKELKVLTLQNNQLKTVPSEAIRGLSALQSLRLDANHITSVPEDSFEGLVQLRHLWLDDNSLTEVPVHPLSNLPTLQALTLALNKISSIPDFAFTNLSSLVVLHLHNNKIRSLSQHCFDGLDNLETLDLNYNNLGEFPQAIKALPSLKELGFHSNSISVIPDGAFDGNPLLRTIHLYDNPLSFVGNSAFHNLSDLHSLVIRGASMVQQFPNLTGTVHLESLTLTGTKISSIPNNLCQEQKMLRTLDLSYNNIRDLPSFNGCHALEEISLQRNQIYQIKEGTFQGLISLRILDLSRNLIHEIHSRAFATLGPITNLDVSFNELTSFPTEGLNGLNQLKLVGNFKLKEALAAKDFVNLRSLSVPYAYQCCAFWGCDSYANLNTEDNSLQDHSVAQEKGTADAANVTSTLENEEHSQIIIHCTPSTGAFKPCEYLLGSWMIRLTVWFIFLVALFFNLLVILTTFASCTSLPSSKLFIGLISVSNLFMGIYTGILTFLDAVSWGRFAEFGIWWETGSGCKVAGFLAVFSSESAIFLLMLATVERSLSAKDIMKNGKSNHLKQFRVAALLAFLGATVAGCFPLFHRGEYSASPLCLPFPTGETPSLGFTVTLVLLNSLAFLLMAVIYTKLYCNLEKEDLSENSQSSMIKHVAWLIFTNCIFFCPVAFFSFAPLITAISISPEIMKSVTLIFFPLPACLNPVLYVFFNPKFKEDWKLLKRRVTKKSGSVSVSISSQGGCLEQDFYYDCGMYSHLQGNLTVCDCCESFLLTKPVSCKHLIKSHSCPALAVASCQRPEGYWSDCGTQSAHSDYADEEDSFVSDSSDQVQACGRACFYQSRGFPLVRYAYNLPRVKD</v>
      </c>
      <c r="F189" s="5" t="str">
        <f t="shared" si="51"/>
        <v>LGSWMIRLTVWFIFLVALFFNLLVILTTFAS</v>
      </c>
      <c r="G189" s="4" t="str">
        <f t="shared" si="52"/>
        <v/>
      </c>
      <c r="H189" s="4" t="str">
        <f t="shared" si="53"/>
        <v>PSSKLFIGLISVSNLFMGIYTGILTFLDAVS</v>
      </c>
      <c r="I189" s="4" t="str">
        <f t="shared" si="54"/>
        <v/>
      </c>
      <c r="J189" s="4" t="str">
        <f t="shared" si="55"/>
        <v>WWETGSGCKVAGFLAVFSSESAIFLLMLATVERSLSAKD</v>
      </c>
      <c r="K189" s="4" t="str">
        <f t="shared" si="56"/>
        <v>IMKNGKSN</v>
      </c>
      <c r="L189" s="4" t="str">
        <f t="shared" si="57"/>
        <v>HLKQFRVAALLAFLGATVAGCFPLFHR</v>
      </c>
      <c r="M189" s="4" t="str">
        <f t="shared" si="58"/>
        <v>CLP</v>
      </c>
      <c r="N189" s="4" t="str">
        <f t="shared" si="59"/>
        <v>TPSLGFTVTLVLLNSLAFLLMAVIYTKLYCNLEK</v>
      </c>
      <c r="O189" s="4" t="str">
        <f t="shared" si="60"/>
        <v>NSQSSMIKHVAWLIFTNCIFFCPVAFFSFAPLIT</v>
      </c>
      <c r="P189" s="4" t="str">
        <f t="shared" si="61"/>
        <v>PEIMKSVTLIFFPLPACLNPVLYVFF</v>
      </c>
      <c r="Q189" s="4" t="str">
        <f t="shared" si="62"/>
        <v>NPKFKEDWKLLKRRV</v>
      </c>
      <c r="R189" s="5">
        <f>VLOOKUP($A189,'SegEnds_NonXtal_Prot#'!$A:$AL,3,FALSE)</f>
        <v>536</v>
      </c>
      <c r="S189" s="5" t="str">
        <f>VLOOKUP($A189,'SegEnds_NonXtal_Prot#'!$A:$AL,6,FALSE)</f>
        <v>-</v>
      </c>
      <c r="T189" s="5">
        <f>VLOOKUP($A189,'SegEnds_NonXtal_Prot#'!$A:$AL,9,FALSE)</f>
        <v>571</v>
      </c>
      <c r="U189" s="5" t="str">
        <f>VLOOKUP($A189,'SegEnds_NonXtal_Prot#'!$A:$AL,12,FALSE)</f>
        <v>-</v>
      </c>
      <c r="V189" s="5">
        <f>VLOOKUP($A189,'SegEnds_NonXtal_Prot#'!$A:$AL,15,FALSE)</f>
        <v>611</v>
      </c>
      <c r="W189" s="5">
        <f>VLOOKUP($A189,'SegEnds_NonXtal_Prot#'!$A:$AL,18,FALSE)</f>
        <v>650</v>
      </c>
      <c r="X189" s="5">
        <f>VLOOKUP($A189,'SegEnds_NonXtal_Prot#'!$A:$AL,21,FALSE)</f>
        <v>658</v>
      </c>
      <c r="Y189" s="5">
        <f>VLOOKUP($A189,'SegEnds_NonXtal_Prot#'!$A:$AL,24,FALSE)</f>
        <v>693</v>
      </c>
      <c r="Z189" s="5">
        <f>VLOOKUP($A189,'SegEnds_NonXtal_Prot#'!$A:$AL,27,FALSE)</f>
        <v>701</v>
      </c>
      <c r="AA189" s="5">
        <f>VLOOKUP($A189,'SegEnds_NonXtal_Prot#'!$A:$AL,30,FALSE)</f>
        <v>740</v>
      </c>
      <c r="AB189" s="5">
        <f>VLOOKUP($A189,'SegEnds_NonXtal_Prot#'!$A:$AL,33,FALSE)</f>
        <v>779</v>
      </c>
      <c r="AC189" s="5">
        <f>VLOOKUP($A189,'SegEnds_NonXtal_Prot#'!$A:$AL,36,FALSE)</f>
        <v>805</v>
      </c>
      <c r="AD189" s="5">
        <f>VLOOKUP($A189,'SegEnds_NonXtal_Prot#'!$A:$AL,5,FALSE)</f>
        <v>566</v>
      </c>
      <c r="AE189" s="5" t="str">
        <f>VLOOKUP($A189,'SegEnds_NonXtal_Prot#'!$A:$AL,8,FALSE)</f>
        <v>-</v>
      </c>
      <c r="AF189" s="5">
        <f>VLOOKUP($A189,'SegEnds_NonXtal_Prot#'!$A:$AL,11,FALSE)</f>
        <v>601</v>
      </c>
      <c r="AG189" s="5" t="str">
        <f>VLOOKUP($A189,'SegEnds_NonXtal_Prot#'!$A:$AL,14,FALSE)</f>
        <v>-</v>
      </c>
      <c r="AH189" s="5">
        <f>VLOOKUP($A189,'SegEnds_NonXtal_Prot#'!$A:$AL,17,FALSE)</f>
        <v>649</v>
      </c>
      <c r="AI189" s="5">
        <f>VLOOKUP($A189,'SegEnds_NonXtal_Prot#'!$A:$AL,20,FALSE)</f>
        <v>657</v>
      </c>
      <c r="AJ189" s="5">
        <f>VLOOKUP($A189,'SegEnds_NonXtal_Prot#'!$A:$AL,23,FALSE)</f>
        <v>684</v>
      </c>
      <c r="AK189" s="5">
        <f>VLOOKUP($A189,'SegEnds_NonXtal_Prot#'!$A:$AL,26,FALSE)</f>
        <v>695</v>
      </c>
      <c r="AL189" s="5">
        <f>VLOOKUP($A189,'SegEnds_NonXtal_Prot#'!$A:$AL,29,FALSE)</f>
        <v>734</v>
      </c>
      <c r="AM189" s="5">
        <f>VLOOKUP($A189,'SegEnds_NonXtal_Prot#'!$A:$AL,32,FALSE)</f>
        <v>773</v>
      </c>
      <c r="AN189" s="5">
        <f>VLOOKUP($A189,'SegEnds_NonXtal_Prot#'!$A:$AL,35,FALSE)</f>
        <v>804</v>
      </c>
      <c r="AO189" s="5">
        <f>VLOOKUP($A189,'SegEnds_NonXtal_Prot#'!$A:$AL,38,FALSE)</f>
        <v>819</v>
      </c>
      <c r="AP189" s="5">
        <f t="shared" si="63"/>
        <v>30</v>
      </c>
      <c r="AQ189" s="4" t="str">
        <f t="shared" si="64"/>
        <v>-</v>
      </c>
      <c r="AR189" s="4">
        <f t="shared" si="65"/>
        <v>30</v>
      </c>
      <c r="AS189" s="4" t="str">
        <f t="shared" si="66"/>
        <v>-</v>
      </c>
      <c r="AT189" s="4">
        <f t="shared" si="67"/>
        <v>38</v>
      </c>
      <c r="AU189" s="4">
        <f t="shared" si="68"/>
        <v>7</v>
      </c>
      <c r="AV189" s="4">
        <f t="shared" si="69"/>
        <v>26</v>
      </c>
      <c r="AW189" s="4">
        <f t="shared" si="70"/>
        <v>2</v>
      </c>
      <c r="AX189" s="4">
        <f t="shared" si="71"/>
        <v>33</v>
      </c>
      <c r="AY189" s="4">
        <f t="shared" si="72"/>
        <v>33</v>
      </c>
      <c r="AZ189" s="4">
        <f t="shared" si="73"/>
        <v>25</v>
      </c>
      <c r="BA189" s="4">
        <f t="shared" si="74"/>
        <v>14</v>
      </c>
    </row>
    <row r="190" spans="1:53" x14ac:dyDescent="0.2">
      <c r="A190" s="1" t="str">
        <f>'SegEnds_NonXtal_Prot#'!A165</f>
        <v>lgr5_human</v>
      </c>
      <c r="B190" s="1" t="str">
        <f t="shared" si="50"/>
        <v>EHLLDGWLIRIGVWTIAVLALTCNALVTSTVFRSSPIKLLIGVIAAVNMLTGVSSAVLAGVDAFTWWENGVGCHVIGFLSIFASESSVFLLTLAALERGFSVKYPFSSLKVIILLCALLALTMAAVPLLGPSTMGYMVALILLNSLCFLMMTIAYTKLYCNLDKIWDCSMVKHIALLLFTNCILNCPVAFLSFSSLINPEVIKFILLVVVPLPACLNPLLYILFNPHFKEDLVSLRKQTYVWTRSKH</v>
      </c>
      <c r="C190" s="29" t="str">
        <f>IF(ISERROR(MATCH(A190,'SegEnds_Xtal_Prot#'!B:B, 0)), "NoXtal", "Xtal")</f>
        <v>NoXtal</v>
      </c>
      <c r="D190" s="4" t="str">
        <f>VLOOKUP(A190,Classification!A:D,2,FALSE)</f>
        <v>A</v>
      </c>
      <c r="E190" s="5" t="str">
        <f>VLOOKUP(A190,Seqs!A:B,2,FALSE)</f>
        <v>MDTSRLGVLLSLPVLLQLATGGSSPRSGVLLRGCPTHCHCEPDGRMLLRVDCSDLGLSELPSNLSVFTSYLDLSMNNISQLLPNPLPSLRFLEELRLAGNALTYIPKGAFTGLYSLKVLMLQNNQLRHVPTEALQNLRSLQSLRLDANHISYVPPSCFSGLHSLRHLWLDDNALTEIPVQAFRSLSALQAMTLALNKIHHIPDYAFGNLSSLVVLHLHNNRIHSLGKKCFDGLHSLETLDLNYNNLDEFPTAIRTLSNLKELGFHSNNIRSIPEKAFVGNPSLITIHFYDNPIQFVGRSAFQHLPELRTLTLNGASQITEFPDLTGTANLESLTLTGAQISSLPQTVCNQLPNLQVLDLSYNLLEDLPSFSVCQKLQKIDLRHNEIYEIKVDTFQQLLSLRSLNLAWNKIAIIHPNAFSTLPSLIKLDLSSNLLSSFPITGLHGLTHLKLTGNHALQSLISSENFPELKVIEMPYAYQCCAFGVCENAYKISNQWNKGDNSSMDDLHKKDAGMFQAQDERDLEDFLLDFEEDLKALHSVQCSPSPGPFKPCEHLLDGWLIRIGVWTIAVLALTCNALVTSTVFRSPLYISPIKLLIGVIAAVNMLTGVSSAVLAGVDAFTFGSFARHGAWWENGVGCHVIGFLSIFASESSVFLLTLAALERGFSVKYSAKFETKAPFSSLKVIILLCALLALTMAAVPLLGGSKYGASPLCLPLPFGEPSTMGYMVALILLNSLCFLMMTIAYTKLYCNLDKGDLENIWDCSMVKHIALLLFTNCILNCPVAFLSFSSLINLTFISPEVIKFILLVVVPLPACLNPLLYILFNPHFKEDLVSLRKQTYVWTRSKHPSLMSINSDDVEKQSCDSTQALVTFTSSSITYDLPPSSVPSPAYPVTESCHLSSVAFVPCL</v>
      </c>
      <c r="F190" s="5" t="str">
        <f t="shared" si="51"/>
        <v>EHLLDGWLIRIGVWTIAVLALTCNALVTSTVFRS</v>
      </c>
      <c r="G190" s="4" t="str">
        <f t="shared" si="52"/>
        <v/>
      </c>
      <c r="H190" s="4" t="str">
        <f t="shared" si="53"/>
        <v>SPIKLLIGVIAAVNMLTGVSSAVLAGVDAFT</v>
      </c>
      <c r="I190" s="4" t="str">
        <f t="shared" si="54"/>
        <v/>
      </c>
      <c r="J190" s="4" t="str">
        <f t="shared" si="55"/>
        <v>WWENGVGCHVIGFLSIFASESSVFLLTLAALERGFSVKY</v>
      </c>
      <c r="K190" s="4" t="str">
        <f t="shared" si="56"/>
        <v>SAKFETKA</v>
      </c>
      <c r="L190" s="4" t="str">
        <f t="shared" si="57"/>
        <v>PFSSLKVIILLCALLALTMAAVPLLG</v>
      </c>
      <c r="M190" s="4" t="str">
        <f t="shared" si="58"/>
        <v>CLP</v>
      </c>
      <c r="N190" s="4" t="str">
        <f t="shared" si="59"/>
        <v>PSTMGYMVALILLNSLCFLMMTIAYTKLYCNLDK</v>
      </c>
      <c r="O190" s="4" t="str">
        <f t="shared" si="60"/>
        <v>IWDCSMVKHIALLLFTNCILNCPVAFLSFSSLIN</v>
      </c>
      <c r="P190" s="4" t="str">
        <f t="shared" si="61"/>
        <v>PEVIKFILLVVVPLPACLNPLLYILF</v>
      </c>
      <c r="Q190" s="4" t="str">
        <f t="shared" si="62"/>
        <v>NPHFKEDLVSLRKQTYVWTRSKH</v>
      </c>
      <c r="R190" s="5">
        <f>VLOOKUP($A190,'SegEnds_NonXtal_Prot#'!$A:$AL,3,FALSE)</f>
        <v>552</v>
      </c>
      <c r="S190" s="5" t="str">
        <f>VLOOKUP($A190,'SegEnds_NonXtal_Prot#'!$A:$AL,6,FALSE)</f>
        <v>-</v>
      </c>
      <c r="T190" s="5">
        <f>VLOOKUP($A190,'SegEnds_NonXtal_Prot#'!$A:$AL,9,FALSE)</f>
        <v>590</v>
      </c>
      <c r="U190" s="5" t="str">
        <f>VLOOKUP($A190,'SegEnds_NonXtal_Prot#'!$A:$AL,12,FALSE)</f>
        <v>-</v>
      </c>
      <c r="V190" s="5">
        <f>VLOOKUP($A190,'SegEnds_NonXtal_Prot#'!$A:$AL,15,FALSE)</f>
        <v>630</v>
      </c>
      <c r="W190" s="5">
        <f>VLOOKUP($A190,'SegEnds_NonXtal_Prot#'!$A:$AL,18,FALSE)</f>
        <v>669</v>
      </c>
      <c r="X190" s="5">
        <f>VLOOKUP($A190,'SegEnds_NonXtal_Prot#'!$A:$AL,21,FALSE)</f>
        <v>677</v>
      </c>
      <c r="Y190" s="5">
        <f>VLOOKUP($A190,'SegEnds_NonXtal_Prot#'!$A:$AL,24,FALSE)</f>
        <v>712</v>
      </c>
      <c r="Z190" s="5">
        <f>VLOOKUP($A190,'SegEnds_NonXtal_Prot#'!$A:$AL,27,FALSE)</f>
        <v>720</v>
      </c>
      <c r="AA190" s="5">
        <f>VLOOKUP($A190,'SegEnds_NonXtal_Prot#'!$A:$AL,30,FALSE)</f>
        <v>759</v>
      </c>
      <c r="AB190" s="5">
        <f>VLOOKUP($A190,'SegEnds_NonXtal_Prot#'!$A:$AL,33,FALSE)</f>
        <v>798</v>
      </c>
      <c r="AC190" s="5">
        <f>VLOOKUP($A190,'SegEnds_NonXtal_Prot#'!$A:$AL,36,FALSE)</f>
        <v>824</v>
      </c>
      <c r="AD190" s="5">
        <f>VLOOKUP($A190,'SegEnds_NonXtal_Prot#'!$A:$AL,5,FALSE)</f>
        <v>585</v>
      </c>
      <c r="AE190" s="5" t="str">
        <f>VLOOKUP($A190,'SegEnds_NonXtal_Prot#'!$A:$AL,8,FALSE)</f>
        <v>-</v>
      </c>
      <c r="AF190" s="5">
        <f>VLOOKUP($A190,'SegEnds_NonXtal_Prot#'!$A:$AL,11,FALSE)</f>
        <v>620</v>
      </c>
      <c r="AG190" s="5" t="str">
        <f>VLOOKUP($A190,'SegEnds_NonXtal_Prot#'!$A:$AL,14,FALSE)</f>
        <v>-</v>
      </c>
      <c r="AH190" s="5">
        <f>VLOOKUP($A190,'SegEnds_NonXtal_Prot#'!$A:$AL,17,FALSE)</f>
        <v>668</v>
      </c>
      <c r="AI190" s="5">
        <f>VLOOKUP($A190,'SegEnds_NonXtal_Prot#'!$A:$AL,20,FALSE)</f>
        <v>676</v>
      </c>
      <c r="AJ190" s="5">
        <f>VLOOKUP($A190,'SegEnds_NonXtal_Prot#'!$A:$AL,23,FALSE)</f>
        <v>702</v>
      </c>
      <c r="AK190" s="5">
        <f>VLOOKUP($A190,'SegEnds_NonXtal_Prot#'!$A:$AL,26,FALSE)</f>
        <v>714</v>
      </c>
      <c r="AL190" s="5">
        <f>VLOOKUP($A190,'SegEnds_NonXtal_Prot#'!$A:$AL,29,FALSE)</f>
        <v>753</v>
      </c>
      <c r="AM190" s="5">
        <f>VLOOKUP($A190,'SegEnds_NonXtal_Prot#'!$A:$AL,32,FALSE)</f>
        <v>792</v>
      </c>
      <c r="AN190" s="5">
        <f>VLOOKUP($A190,'SegEnds_NonXtal_Prot#'!$A:$AL,35,FALSE)</f>
        <v>823</v>
      </c>
      <c r="AO190" s="5">
        <f>VLOOKUP($A190,'SegEnds_NonXtal_Prot#'!$A:$AL,38,FALSE)</f>
        <v>846</v>
      </c>
      <c r="AP190" s="5">
        <f t="shared" si="63"/>
        <v>33</v>
      </c>
      <c r="AQ190" s="4" t="str">
        <f t="shared" si="64"/>
        <v>-</v>
      </c>
      <c r="AR190" s="4">
        <f t="shared" si="65"/>
        <v>30</v>
      </c>
      <c r="AS190" s="4" t="str">
        <f t="shared" si="66"/>
        <v>-</v>
      </c>
      <c r="AT190" s="4">
        <f t="shared" si="67"/>
        <v>38</v>
      </c>
      <c r="AU190" s="4">
        <f t="shared" si="68"/>
        <v>7</v>
      </c>
      <c r="AV190" s="4">
        <f t="shared" si="69"/>
        <v>25</v>
      </c>
      <c r="AW190" s="4">
        <f t="shared" si="70"/>
        <v>2</v>
      </c>
      <c r="AX190" s="4">
        <f t="shared" si="71"/>
        <v>33</v>
      </c>
      <c r="AY190" s="4">
        <f t="shared" si="72"/>
        <v>33</v>
      </c>
      <c r="AZ190" s="4">
        <f t="shared" si="73"/>
        <v>25</v>
      </c>
      <c r="BA190" s="4">
        <f t="shared" si="74"/>
        <v>22</v>
      </c>
    </row>
    <row r="191" spans="1:53" x14ac:dyDescent="0.2">
      <c r="A191" s="1" t="str">
        <f>'SegEnds_NonXtal_Prot#'!A166</f>
        <v>lgr6_human</v>
      </c>
      <c r="B191" s="1" t="str">
        <f t="shared" si="50"/>
        <v>PCEYLFESWGIRLAVWAIVLLSVLCNGLVLLTVFAGPPVKFVVGAIAGANTLTGISCGLLASVDALTRWETGLGCRATGFLAVLGSEASVLLLTLAAVQCSVSVSCSLGSVRAGVLGCLALAGLAAALPLASVAALGFTVALVMMNSFCFLVVAGAYIKLYCDLPRVWDCAMVRHVAWLIFADGLLYCPVAFLSFASMLGPEAVKSVLLVVLPLPACLNPLLYLLNPHFRDDLRRLRP</v>
      </c>
      <c r="C191" s="29" t="str">
        <f>IF(ISERROR(MATCH(A191,'SegEnds_Xtal_Prot#'!B:B, 0)), "NoXtal", "Xtal")</f>
        <v>NoXtal</v>
      </c>
      <c r="D191" s="4" t="str">
        <f>VLOOKUP(A191,Classification!A:D,2,FALSE)</f>
        <v>A</v>
      </c>
      <c r="E191" s="5" t="str">
        <f>VLOOKUP(A191,Seqs!A:B,2,FALSE)</f>
        <v>MPSPPGLRALWLCAALCASRRAGGAPQPGPGPTACPAPCHCQEDGIMLSADCSELGLSAVPGDLDPLTAYLDLSMNNLTELQPGLFHHLRFLEELRLSGNHLSHIPGQAFSGLYSLKILMLQNNQLGGIPAEALWELPSLQSLRLDANLISLVPERSFEGLSSLRHLWLDDNALTEIPVRALNNLPALQAMTLALNRISHIPDYAFQNLTSLVVLHLHNNRIQHLGTHSFEGLHNLETLDLNYNKLQEFPVAIRTLGRLQELGFHNNNIKAIPEKAFMGNPLLQTIHFYDNPIQFVGRSAFQYLPKLHTLSLNGAMDIQEFPDLKGTTSLEILTLTRAGIRLLPSGMCQQLPRLRVLELSHNQIEELPSLHRCQKLEEIGLQHNRIWEIGADTFSQLSSLQALDLSWNAIRSIHPEAFSTLHSLVKLDLTDNQLTTLPLAGLGGLMHLKLKGNLALSQAFSKDSFPKLRILEVPYAYQCCPYGMCASFFKASGQWEAEDLHLDDEESSKRPLGLLARQAENHYDQDLDELQLEMEDSKPHPSVQCSPTPGPFKPCEYLFESWGIRLAVWAIVLLSVLCNGLVLLTVFAGGPVPLPPVKFVVGAIAGANTLTGISCGLLASVDALTFGQFSEYGARWETGLGCRATGFLAVLGSEASVLLLTLAAVQCSVSVSCVRAYGKSPSLGSVRAGVLGCLALAGLAAALPLASVGEYGASPLCLPYAPPEGQPAALGFTVALVMMNSFCFLVVAGAYIKLYCDLPRGDFEAVWDCAMVRHVAWLIFADGLLYCPVAFLSFASMLGLFPVTPEAVKSVLLVVLPLPACLNPLLYLLFNPHFRDDLRRLRPRAGDSGPLAYAAAGELEKSSCDSTQALVAFSDVDLILEASEAGRPPGLETYGFPSVTLISCQQPGAPRLEGSHCVEPEGNHFGNPQPSMDGELLLRAEGSTPAGGGLSGGGGFQPSGLAFASHV</v>
      </c>
      <c r="F191" s="5" t="str">
        <f t="shared" si="51"/>
        <v>PCEYLFESWGIRLAVWAIVLLSVLCNGLVLLTVFAG</v>
      </c>
      <c r="G191" s="4" t="str">
        <f t="shared" si="52"/>
        <v/>
      </c>
      <c r="H191" s="4" t="str">
        <f t="shared" si="53"/>
        <v>PPVKFVVGAIAGANTLTGISCGLLASVDALT</v>
      </c>
      <c r="I191" s="4" t="str">
        <f t="shared" si="54"/>
        <v/>
      </c>
      <c r="J191" s="4" t="str">
        <f t="shared" si="55"/>
        <v>RWETGLGCRATGFLAVLGSEASVLLLTLAAVQCSVSVSC</v>
      </c>
      <c r="K191" s="4" t="str">
        <f t="shared" si="56"/>
        <v>VRAYGKSP</v>
      </c>
      <c r="L191" s="4" t="str">
        <f t="shared" si="57"/>
        <v>SLGSVRAGVLGCLALAGLAAALPLASV</v>
      </c>
      <c r="M191" s="4" t="str">
        <f t="shared" si="58"/>
        <v>CLP</v>
      </c>
      <c r="N191" s="4" t="str">
        <f t="shared" si="59"/>
        <v>AALGFTVALVMMNSFCFLVVAGAYIKLYCDLPR</v>
      </c>
      <c r="O191" s="4" t="str">
        <f t="shared" si="60"/>
        <v>VWDCAMVRHVAWLIFADGLLYCPVAFLSFASMLG</v>
      </c>
      <c r="P191" s="4" t="str">
        <f t="shared" si="61"/>
        <v>PEAVKSVLLVVLPLPACLNPLLYLL</v>
      </c>
      <c r="Q191" s="4" t="str">
        <f t="shared" si="62"/>
        <v>NPHFRDDLRRLRP</v>
      </c>
      <c r="R191" s="5">
        <f>VLOOKUP($A191,'SegEnds_NonXtal_Prot#'!$A:$AL,3,FALSE)</f>
        <v>554</v>
      </c>
      <c r="S191" s="5" t="str">
        <f>VLOOKUP($A191,'SegEnds_NonXtal_Prot#'!$A:$AL,6,FALSE)</f>
        <v>-</v>
      </c>
      <c r="T191" s="5">
        <f>VLOOKUP($A191,'SegEnds_NonXtal_Prot#'!$A:$AL,9,FALSE)</f>
        <v>595</v>
      </c>
      <c r="U191" s="5" t="str">
        <f>VLOOKUP($A191,'SegEnds_NonXtal_Prot#'!$A:$AL,12,FALSE)</f>
        <v>-</v>
      </c>
      <c r="V191" s="5">
        <f>VLOOKUP($A191,'SegEnds_NonXtal_Prot#'!$A:$AL,15,FALSE)</f>
        <v>635</v>
      </c>
      <c r="W191" s="5">
        <f>VLOOKUP($A191,'SegEnds_NonXtal_Prot#'!$A:$AL,18,FALSE)</f>
        <v>674</v>
      </c>
      <c r="X191" s="5">
        <f>VLOOKUP($A191,'SegEnds_NonXtal_Prot#'!$A:$AL,21,FALSE)</f>
        <v>682</v>
      </c>
      <c r="Y191" s="5">
        <f>VLOOKUP($A191,'SegEnds_NonXtal_Prot#'!$A:$AL,24,FALSE)</f>
        <v>717</v>
      </c>
      <c r="Z191" s="5">
        <f>VLOOKUP($A191,'SegEnds_NonXtal_Prot#'!$A:$AL,27,FALSE)</f>
        <v>728</v>
      </c>
      <c r="AA191" s="5">
        <f>VLOOKUP($A191,'SegEnds_NonXtal_Prot#'!$A:$AL,30,FALSE)</f>
        <v>766</v>
      </c>
      <c r="AB191" s="5">
        <f>VLOOKUP($A191,'SegEnds_NonXtal_Prot#'!$A:$AL,33,FALSE)</f>
        <v>805</v>
      </c>
      <c r="AC191" s="5">
        <f>VLOOKUP($A191,'SegEnds_NonXtal_Prot#'!$A:$AL,36,FALSE)</f>
        <v>831</v>
      </c>
      <c r="AD191" s="5">
        <f>VLOOKUP($A191,'SegEnds_NonXtal_Prot#'!$A:$AL,5,FALSE)</f>
        <v>589</v>
      </c>
      <c r="AE191" s="5" t="str">
        <f>VLOOKUP($A191,'SegEnds_NonXtal_Prot#'!$A:$AL,8,FALSE)</f>
        <v>-</v>
      </c>
      <c r="AF191" s="5">
        <f>VLOOKUP($A191,'SegEnds_NonXtal_Prot#'!$A:$AL,11,FALSE)</f>
        <v>625</v>
      </c>
      <c r="AG191" s="5" t="str">
        <f>VLOOKUP($A191,'SegEnds_NonXtal_Prot#'!$A:$AL,14,FALSE)</f>
        <v>-</v>
      </c>
      <c r="AH191" s="5">
        <f>VLOOKUP($A191,'SegEnds_NonXtal_Prot#'!$A:$AL,17,FALSE)</f>
        <v>673</v>
      </c>
      <c r="AI191" s="5">
        <f>VLOOKUP($A191,'SegEnds_NonXtal_Prot#'!$A:$AL,20,FALSE)</f>
        <v>681</v>
      </c>
      <c r="AJ191" s="5">
        <f>VLOOKUP($A191,'SegEnds_NonXtal_Prot#'!$A:$AL,23,FALSE)</f>
        <v>708</v>
      </c>
      <c r="AK191" s="5">
        <f>VLOOKUP($A191,'SegEnds_NonXtal_Prot#'!$A:$AL,26,FALSE)</f>
        <v>719</v>
      </c>
      <c r="AL191" s="5">
        <f>VLOOKUP($A191,'SegEnds_NonXtal_Prot#'!$A:$AL,29,FALSE)</f>
        <v>760</v>
      </c>
      <c r="AM191" s="5">
        <f>VLOOKUP($A191,'SegEnds_NonXtal_Prot#'!$A:$AL,32,FALSE)</f>
        <v>799</v>
      </c>
      <c r="AN191" s="5">
        <f>VLOOKUP($A191,'SegEnds_NonXtal_Prot#'!$A:$AL,35,FALSE)</f>
        <v>829</v>
      </c>
      <c r="AO191" s="5">
        <f>VLOOKUP($A191,'SegEnds_NonXtal_Prot#'!$A:$AL,38,FALSE)</f>
        <v>843</v>
      </c>
      <c r="AP191" s="5">
        <f t="shared" si="63"/>
        <v>35</v>
      </c>
      <c r="AQ191" s="4" t="str">
        <f t="shared" si="64"/>
        <v>-</v>
      </c>
      <c r="AR191" s="4">
        <f t="shared" si="65"/>
        <v>30</v>
      </c>
      <c r="AS191" s="4" t="str">
        <f t="shared" si="66"/>
        <v>-</v>
      </c>
      <c r="AT191" s="4">
        <f t="shared" si="67"/>
        <v>38</v>
      </c>
      <c r="AU191" s="4">
        <f t="shared" si="68"/>
        <v>7</v>
      </c>
      <c r="AV191" s="4">
        <f t="shared" si="69"/>
        <v>26</v>
      </c>
      <c r="AW191" s="4">
        <f t="shared" si="70"/>
        <v>2</v>
      </c>
      <c r="AX191" s="4">
        <f t="shared" si="71"/>
        <v>32</v>
      </c>
      <c r="AY191" s="4">
        <f t="shared" si="72"/>
        <v>33</v>
      </c>
      <c r="AZ191" s="4">
        <f t="shared" si="73"/>
        <v>24</v>
      </c>
      <c r="BA191" s="4">
        <f t="shared" si="74"/>
        <v>12</v>
      </c>
    </row>
    <row r="192" spans="1:53" x14ac:dyDescent="0.2">
      <c r="A192" s="1" t="str">
        <f>'SegEnds_NonXtal_Prot#'!A167</f>
        <v>lpar4_human</v>
      </c>
      <c r="B192" s="1" t="str">
        <f t="shared" si="50"/>
        <v>FKYNLNGAVYSVVFILGLITNSVSLFVFCFRSETAIFITNLAVSDLLFVCTLPFKIFYNFNGDTLCKISGTAFLTNIYGSMLFLTCISVDRFLAIVYTRRNSAIVCAGVWILVLSGGISASLFSWKTYLSKITIFIEVVGFIIPLILNVSCSSVVLRTLRKPSQIGTNKKKVLKMITVHMAVFVVCFVPYNSVLFLYALVRSQNCFLERFAKIMYPITLCLATLNCCFDPFIYYFTLESFQKSFYINAH</v>
      </c>
      <c r="C192" s="29" t="str">
        <f>IF(ISERROR(MATCH(A192,'SegEnds_Xtal_Prot#'!B:B, 0)), "NoXtal", "Xtal")</f>
        <v>NoXtal</v>
      </c>
      <c r="D192" s="4" t="str">
        <f>VLOOKUP(A192,Classification!A:D,2,FALSE)</f>
        <v>A</v>
      </c>
      <c r="E192" s="5" t="str">
        <f>VLOOKUP(A192,Seqs!A:B,2,FALSE)</f>
        <v>MGDRRFIDFQFQDSNSSLRPRLGNATANNTCIVDDSFKYNLNGAVYSVVFILGLITNSVSLFVFCFRMKMRSETAIFITNLAVSDLLFVCTLPFKIFYNFNRHWPFGDTLCKISGTAFLTNIYGSMLFLTCISVDRFLAIVYPFRSRTIRTRRNSAIVCAGVWILVLSGGISASLFSTTNVNNATTTCFEGFSKRVWKTYLSKITIFIEVVGFIIPLILNVSCSSVVLRTLRKPATLSQIGTNKKKVLKMITVHMAVFVVCFVPYNSVLFLYALVRSQAITNCFLERFAKIMYPITLCLATLNCCFDPFIYYFTLESFQKSFYINAHIRMESLFKTETPLTTKPSLPAIQEEVSDQTTNNGGELMLESTF</v>
      </c>
      <c r="F192" s="5" t="str">
        <f t="shared" si="51"/>
        <v>FKYNLNGAVYSVVFILGLITNSVSLFVFCFR</v>
      </c>
      <c r="G192" s="4" t="str">
        <f t="shared" si="52"/>
        <v>MKMR</v>
      </c>
      <c r="H192" s="4" t="str">
        <f t="shared" si="53"/>
        <v>SETAIFITNLAVSDLLFVCTLPFKIFYNFN</v>
      </c>
      <c r="I192" s="4" t="str">
        <f t="shared" si="54"/>
        <v>HWPF</v>
      </c>
      <c r="J192" s="4" t="str">
        <f t="shared" si="55"/>
        <v>GDTLCKISGTAFLTNIYGSMLFLTCISVDRFLAIVY</v>
      </c>
      <c r="K192" s="4" t="str">
        <f t="shared" si="56"/>
        <v>PFRSRTIR</v>
      </c>
      <c r="L192" s="4" t="str">
        <f t="shared" si="57"/>
        <v>TRRNSAIVCAGVWILVLSGGISASLFS</v>
      </c>
      <c r="M192" s="4" t="str">
        <f t="shared" si="58"/>
        <v>CFE</v>
      </c>
      <c r="N192" s="4" t="str">
        <f t="shared" si="59"/>
        <v>WKTYLSKITIFIEVVGFIIPLILNVSCSSVVLRTLRKP</v>
      </c>
      <c r="O192" s="4" t="str">
        <f t="shared" si="60"/>
        <v>SQIGTNKKKVLKMITVHMAVFVVCFVPYNSVLFLYALVRSQ</v>
      </c>
      <c r="P192" s="4" t="str">
        <f t="shared" si="61"/>
        <v>NCFLERFAKIMYPITLCLATLNCCFDPFIYYFT</v>
      </c>
      <c r="Q192" s="4" t="str">
        <f t="shared" si="62"/>
        <v>LESFQKSFYINAH</v>
      </c>
      <c r="R192" s="5">
        <f>VLOOKUP($A192,'SegEnds_NonXtal_Prot#'!$A:$AL,3,FALSE)</f>
        <v>37</v>
      </c>
      <c r="S192" s="5">
        <f>VLOOKUP($A192,'SegEnds_NonXtal_Prot#'!$A:$AL,6,FALSE)</f>
        <v>68</v>
      </c>
      <c r="T192" s="5">
        <f>VLOOKUP($A192,'SegEnds_NonXtal_Prot#'!$A:$AL,9,FALSE)</f>
        <v>72</v>
      </c>
      <c r="U192" s="5">
        <f>VLOOKUP($A192,'SegEnds_NonXtal_Prot#'!$A:$AL,12,FALSE)</f>
        <v>103</v>
      </c>
      <c r="V192" s="5">
        <f>VLOOKUP($A192,'SegEnds_NonXtal_Prot#'!$A:$AL,15,FALSE)</f>
        <v>107</v>
      </c>
      <c r="W192" s="5">
        <f>VLOOKUP($A192,'SegEnds_NonXtal_Prot#'!$A:$AL,18,FALSE)</f>
        <v>143</v>
      </c>
      <c r="X192" s="5">
        <f>VLOOKUP($A192,'SegEnds_NonXtal_Prot#'!$A:$AL,21,FALSE)</f>
        <v>151</v>
      </c>
      <c r="Y192" s="5">
        <f>VLOOKUP($A192,'SegEnds_NonXtal_Prot#'!$A:$AL,24,FALSE)</f>
        <v>188</v>
      </c>
      <c r="Z192" s="5">
        <f>VLOOKUP($A192,'SegEnds_NonXtal_Prot#'!$A:$AL,27,FALSE)</f>
        <v>197</v>
      </c>
      <c r="AA192" s="5">
        <f>VLOOKUP($A192,'SegEnds_NonXtal_Prot#'!$A:$AL,30,FALSE)</f>
        <v>238</v>
      </c>
      <c r="AB192" s="5">
        <f>VLOOKUP($A192,'SegEnds_NonXtal_Prot#'!$A:$AL,33,FALSE)</f>
        <v>282</v>
      </c>
      <c r="AC192" s="5">
        <f>VLOOKUP($A192,'SegEnds_NonXtal_Prot#'!$A:$AL,36,FALSE)</f>
        <v>315</v>
      </c>
      <c r="AD192" s="5">
        <f>VLOOKUP($A192,'SegEnds_NonXtal_Prot#'!$A:$AL,5,FALSE)</f>
        <v>67</v>
      </c>
      <c r="AE192" s="5">
        <f>VLOOKUP($A192,'SegEnds_NonXtal_Prot#'!$A:$AL,8,FALSE)</f>
        <v>71</v>
      </c>
      <c r="AF192" s="5">
        <f>VLOOKUP($A192,'SegEnds_NonXtal_Prot#'!$A:$AL,11,FALSE)</f>
        <v>101</v>
      </c>
      <c r="AG192" s="5">
        <f>VLOOKUP($A192,'SegEnds_NonXtal_Prot#'!$A:$AL,14,FALSE)</f>
        <v>106</v>
      </c>
      <c r="AH192" s="5">
        <f>VLOOKUP($A192,'SegEnds_NonXtal_Prot#'!$A:$AL,17,FALSE)</f>
        <v>142</v>
      </c>
      <c r="AI192" s="5">
        <f>VLOOKUP($A192,'SegEnds_NonXtal_Prot#'!$A:$AL,20,FALSE)</f>
        <v>150</v>
      </c>
      <c r="AJ192" s="5">
        <f>VLOOKUP($A192,'SegEnds_NonXtal_Prot#'!$A:$AL,23,FALSE)</f>
        <v>177</v>
      </c>
      <c r="AK192" s="5">
        <f>VLOOKUP($A192,'SegEnds_NonXtal_Prot#'!$A:$AL,26,FALSE)</f>
        <v>190</v>
      </c>
      <c r="AL192" s="5">
        <f>VLOOKUP($A192,'SegEnds_NonXtal_Prot#'!$A:$AL,29,FALSE)</f>
        <v>234</v>
      </c>
      <c r="AM192" s="5">
        <f>VLOOKUP($A192,'SegEnds_NonXtal_Prot#'!$A:$AL,32,FALSE)</f>
        <v>278</v>
      </c>
      <c r="AN192" s="5">
        <f>VLOOKUP($A192,'SegEnds_NonXtal_Prot#'!$A:$AL,35,FALSE)</f>
        <v>314</v>
      </c>
      <c r="AO192" s="5">
        <f>VLOOKUP($A192,'SegEnds_NonXtal_Prot#'!$A:$AL,38,FALSE)</f>
        <v>327</v>
      </c>
      <c r="AP192" s="5">
        <f t="shared" si="63"/>
        <v>30</v>
      </c>
      <c r="AQ192" s="4">
        <f t="shared" si="64"/>
        <v>3</v>
      </c>
      <c r="AR192" s="4">
        <f t="shared" si="65"/>
        <v>29</v>
      </c>
      <c r="AS192" s="4">
        <f t="shared" si="66"/>
        <v>3</v>
      </c>
      <c r="AT192" s="4">
        <f t="shared" si="67"/>
        <v>35</v>
      </c>
      <c r="AU192" s="4">
        <f t="shared" si="68"/>
        <v>7</v>
      </c>
      <c r="AV192" s="4">
        <f t="shared" si="69"/>
        <v>26</v>
      </c>
      <c r="AW192" s="4">
        <f t="shared" si="70"/>
        <v>2</v>
      </c>
      <c r="AX192" s="4">
        <f t="shared" si="71"/>
        <v>37</v>
      </c>
      <c r="AY192" s="4">
        <f t="shared" si="72"/>
        <v>40</v>
      </c>
      <c r="AZ192" s="4">
        <f t="shared" si="73"/>
        <v>32</v>
      </c>
      <c r="BA192" s="4">
        <f t="shared" si="74"/>
        <v>12</v>
      </c>
    </row>
    <row r="193" spans="1:53" x14ac:dyDescent="0.2">
      <c r="A193" s="1" t="str">
        <f>'SegEnds_NonXtal_Prot#'!A168</f>
        <v>lpar5_human</v>
      </c>
      <c r="B193" s="1" t="str">
        <f t="shared" si="50"/>
        <v>YRPTHRLHLVVYSLVLAAGLPLNALALWVFLRASVVSVYMCNLAASDLLFTLSLPVRLSYYALPDLLCQTTGAIFQMNMYGSCIFLMLINVDRYAAIVHRPRVARLLCLGVWALILVFAVPAARWKGRLLPLVLLAEALGFLLPLAAVVYSSGRVFWTLARQSQRRRKTVRLLLANLVIFLLCFVPYNSTLAVYGLLRSKSVPARDRVRGVLMVMVLLAGANCVLDPLVYYFSAEGFRNTLRGLGTPH</v>
      </c>
      <c r="C193" s="29" t="str">
        <f>IF(ISERROR(MATCH(A193,'SegEnds_Xtal_Prot#'!B:B, 0)), "NoXtal", "Xtal")</f>
        <v>NoXtal</v>
      </c>
      <c r="D193" s="4" t="str">
        <f>VLOOKUP(A193,Classification!A:D,2,FALSE)</f>
        <v>A</v>
      </c>
      <c r="E193" s="5" t="str">
        <f>VLOOKUP(A193,Seqs!A:B,2,FALSE)</f>
        <v>MLANSSSTNSSVLPCPDYRPTHRLHLVVYSLVLAAGLPLNALALWVFLRALRVHSVVSVYMCNLAASDLLFTLSLPVRLSYYALHHWPFPDLLCQTTGAIFQMNMYGSCIFLMLINVDRYAAIVHPLRLRHLRRPRVARLLCLGVWALILVFAVPAARVHRPSRCRYRDLEVRLCFESFSDELWKGRLLPLVLLAEALGFLLPLAAVVYSSGRVFWTLARPDATQSQRRRKTVRLLLANLVIFLLCFVPYNSTLAVYGLLRSKLVAASVPARDRVRGVLMVMVLLAGANCVLDPLVYYFSAEGFRNTLRGLGTPHRARTSATNGTRAALAQSERSAVTTDATRPDAASQGLLRPSDSHSLSSFTQCPQDSAL</v>
      </c>
      <c r="F193" s="5" t="str">
        <f t="shared" si="51"/>
        <v>YRPTHRLHLVVYSLVLAAGLPLNALALWVFLRA</v>
      </c>
      <c r="G193" s="4" t="str">
        <f t="shared" si="52"/>
        <v>LRVH</v>
      </c>
      <c r="H193" s="4" t="str">
        <f t="shared" si="53"/>
        <v>SVVSVYMCNLAASDLLFTLSLPVRLSYYAL</v>
      </c>
      <c r="I193" s="4" t="str">
        <f t="shared" si="54"/>
        <v>HWPF</v>
      </c>
      <c r="J193" s="4" t="str">
        <f t="shared" si="55"/>
        <v>PDLLCQTTGAIFQMNMYGSCIFLMLINVDRYAAIVH</v>
      </c>
      <c r="K193" s="4" t="str">
        <f t="shared" si="56"/>
        <v>PLRLRHLR</v>
      </c>
      <c r="L193" s="4" t="str">
        <f t="shared" si="57"/>
        <v>RPRVARLLCLGVWALILVFAVPAAR</v>
      </c>
      <c r="M193" s="4" t="str">
        <f t="shared" si="58"/>
        <v>CFE</v>
      </c>
      <c r="N193" s="4" t="str">
        <f t="shared" si="59"/>
        <v>WKGRLLPLVLLAEALGFLLPLAAVVYSSGRVFWTLAR</v>
      </c>
      <c r="O193" s="4" t="str">
        <f t="shared" si="60"/>
        <v>QSQRRRKTVRLLLANLVIFLLCFVPYNSTLAVYGLLRSK</v>
      </c>
      <c r="P193" s="4" t="str">
        <f t="shared" si="61"/>
        <v>SVPARDRVRGVLMVMVLLAGANCVLDPLVYYFS</v>
      </c>
      <c r="Q193" s="4" t="str">
        <f t="shared" si="62"/>
        <v>AEGFRNTLRGLGTPH</v>
      </c>
      <c r="R193" s="5">
        <f>VLOOKUP($A193,'SegEnds_NonXtal_Prot#'!$A:$AL,3,FALSE)</f>
        <v>18</v>
      </c>
      <c r="S193" s="5">
        <f>VLOOKUP($A193,'SegEnds_NonXtal_Prot#'!$A:$AL,6,FALSE)</f>
        <v>51</v>
      </c>
      <c r="T193" s="5">
        <f>VLOOKUP($A193,'SegEnds_NonXtal_Prot#'!$A:$AL,9,FALSE)</f>
        <v>55</v>
      </c>
      <c r="U193" s="5">
        <f>VLOOKUP($A193,'SegEnds_NonXtal_Prot#'!$A:$AL,12,FALSE)</f>
        <v>86</v>
      </c>
      <c r="V193" s="5">
        <f>VLOOKUP($A193,'SegEnds_NonXtal_Prot#'!$A:$AL,15,FALSE)</f>
        <v>90</v>
      </c>
      <c r="W193" s="5">
        <f>VLOOKUP($A193,'SegEnds_NonXtal_Prot#'!$A:$AL,18,FALSE)</f>
        <v>126</v>
      </c>
      <c r="X193" s="5">
        <f>VLOOKUP($A193,'SegEnds_NonXtal_Prot#'!$A:$AL,21,FALSE)</f>
        <v>134</v>
      </c>
      <c r="Y193" s="5">
        <f>VLOOKUP($A193,'SegEnds_NonXtal_Prot#'!$A:$AL,24,FALSE)</f>
        <v>175</v>
      </c>
      <c r="Z193" s="5">
        <f>VLOOKUP($A193,'SegEnds_NonXtal_Prot#'!$A:$AL,27,FALSE)</f>
        <v>184</v>
      </c>
      <c r="AA193" s="5">
        <f>VLOOKUP($A193,'SegEnds_NonXtal_Prot#'!$A:$AL,30,FALSE)</f>
        <v>225</v>
      </c>
      <c r="AB193" s="5">
        <f>VLOOKUP($A193,'SegEnds_NonXtal_Prot#'!$A:$AL,33,FALSE)</f>
        <v>268</v>
      </c>
      <c r="AC193" s="5">
        <f>VLOOKUP($A193,'SegEnds_NonXtal_Prot#'!$A:$AL,36,FALSE)</f>
        <v>301</v>
      </c>
      <c r="AD193" s="5">
        <f>VLOOKUP($A193,'SegEnds_NonXtal_Prot#'!$A:$AL,5,FALSE)</f>
        <v>50</v>
      </c>
      <c r="AE193" s="5">
        <f>VLOOKUP($A193,'SegEnds_NonXtal_Prot#'!$A:$AL,8,FALSE)</f>
        <v>54</v>
      </c>
      <c r="AF193" s="5">
        <f>VLOOKUP($A193,'SegEnds_NonXtal_Prot#'!$A:$AL,11,FALSE)</f>
        <v>84</v>
      </c>
      <c r="AG193" s="5">
        <f>VLOOKUP($A193,'SegEnds_NonXtal_Prot#'!$A:$AL,14,FALSE)</f>
        <v>89</v>
      </c>
      <c r="AH193" s="5">
        <f>VLOOKUP($A193,'SegEnds_NonXtal_Prot#'!$A:$AL,17,FALSE)</f>
        <v>125</v>
      </c>
      <c r="AI193" s="5">
        <f>VLOOKUP($A193,'SegEnds_NonXtal_Prot#'!$A:$AL,20,FALSE)</f>
        <v>133</v>
      </c>
      <c r="AJ193" s="5">
        <f>VLOOKUP($A193,'SegEnds_NonXtal_Prot#'!$A:$AL,23,FALSE)</f>
        <v>158</v>
      </c>
      <c r="AK193" s="5">
        <f>VLOOKUP($A193,'SegEnds_NonXtal_Prot#'!$A:$AL,26,FALSE)</f>
        <v>177</v>
      </c>
      <c r="AL193" s="5">
        <f>VLOOKUP($A193,'SegEnds_NonXtal_Prot#'!$A:$AL,29,FALSE)</f>
        <v>220</v>
      </c>
      <c r="AM193" s="5">
        <f>VLOOKUP($A193,'SegEnds_NonXtal_Prot#'!$A:$AL,32,FALSE)</f>
        <v>263</v>
      </c>
      <c r="AN193" s="5">
        <f>VLOOKUP($A193,'SegEnds_NonXtal_Prot#'!$A:$AL,35,FALSE)</f>
        <v>300</v>
      </c>
      <c r="AO193" s="5">
        <f>VLOOKUP($A193,'SegEnds_NonXtal_Prot#'!$A:$AL,38,FALSE)</f>
        <v>315</v>
      </c>
      <c r="AP193" s="5">
        <f t="shared" si="63"/>
        <v>32</v>
      </c>
      <c r="AQ193" s="4">
        <f t="shared" si="64"/>
        <v>3</v>
      </c>
      <c r="AR193" s="4">
        <f t="shared" si="65"/>
        <v>29</v>
      </c>
      <c r="AS193" s="4">
        <f t="shared" si="66"/>
        <v>3</v>
      </c>
      <c r="AT193" s="4">
        <f t="shared" si="67"/>
        <v>35</v>
      </c>
      <c r="AU193" s="4">
        <f t="shared" si="68"/>
        <v>7</v>
      </c>
      <c r="AV193" s="4">
        <f t="shared" si="69"/>
        <v>24</v>
      </c>
      <c r="AW193" s="4">
        <f t="shared" si="70"/>
        <v>2</v>
      </c>
      <c r="AX193" s="4">
        <f t="shared" si="71"/>
        <v>36</v>
      </c>
      <c r="AY193" s="4">
        <f t="shared" si="72"/>
        <v>38</v>
      </c>
      <c r="AZ193" s="4">
        <f t="shared" si="73"/>
        <v>32</v>
      </c>
      <c r="BA193" s="4">
        <f t="shared" si="74"/>
        <v>14</v>
      </c>
    </row>
    <row r="194" spans="1:53" x14ac:dyDescent="0.2">
      <c r="A194" s="1" t="str">
        <f>'SegEnds_NonXtal_Prot#'!A169</f>
        <v>lpar6_human</v>
      </c>
      <c r="B194" s="1" t="str">
        <f t="shared" ref="B194:B257" si="75">F194&amp;H194&amp;J194&amp;L194&amp;N194&amp;O194&amp;P194&amp;Q194</f>
        <v>FKYTLYGCMFSMVFVLGLISNCVAIYIFICVNETTTYMINLAMSDLLFVFTLPFRIFYFTTGDLLCKISVMLFYTNMYGSILFLTCISVDRFLAIVYTKRNAKIVCTGVWLTVIGGSAPAVFVQYLSRIVIFIEIVGFFIPLILNVTCSSMVLKTLTKPSRSKINKTKVLKMIFVHLIIFCFCFVPYNINLILYSLVRTQNCSVVAAVRTMYPITLCIAVSNCCFDPIVYYFTSDTIQNSIKMKNWSV</v>
      </c>
      <c r="C194" s="29" t="str">
        <f>IF(ISERROR(MATCH(A194,'SegEnds_Xtal_Prot#'!B:B, 0)), "NoXtal", "Xtal")</f>
        <v>NoXtal</v>
      </c>
      <c r="D194" s="4" t="str">
        <f>VLOOKUP(A194,Classification!A:D,2,FALSE)</f>
        <v>A</v>
      </c>
      <c r="E194" s="5" t="str">
        <f>VLOOKUP(A194,Seqs!A:B,2,FALSE)</f>
        <v>MVSVNSSHCFYNDSFKYTLYGCMFSMVFVLGLISNCVAIYIFICVLKVRNETTTYMINLAMSDLLFVFTLPFRIFYFTTRNWPFGDLLCKISVMLFYTNMYGSILFLTCISVDRFLAIVYPFKSKTLRTKRNAKIVCTGVWLTVIGGSAPAVFVQSTHSQGNNASEACFENFPEATWKTYLSRIVIFIEIVGFFIPLILNVTCSSMVLKTLTKPVTLSRSKINKTKVLKMIFVHLIIFCFCFVPYNINLILYSLVRTQTFVNCSVVAAVRTMYPITLCIAVSNCCFDPIVYYFTSDTIQNSIKMKNWSVRRSDFRFSEVHGAENFIQHNLQTLKSKIFDNESAA</v>
      </c>
      <c r="F194" s="5" t="str">
        <f t="shared" ref="F194:F257" si="76">IFERROR(MID($E194,R194,(AP194+1)),"")</f>
        <v>FKYTLYGCMFSMVFVLGLISNCVAIYIFICV</v>
      </c>
      <c r="G194" s="4" t="str">
        <f t="shared" ref="G194:G257" si="77">IFERROR(MID($E194,S194,(AQ194+1)),"")</f>
        <v>LKVR</v>
      </c>
      <c r="H194" s="4" t="str">
        <f t="shared" ref="H194:H257" si="78">IFERROR(MID($E194,T194,(AR194+1)),"")</f>
        <v>NETTTYMINLAMSDLLFVFTLPFRIFYFTT</v>
      </c>
      <c r="I194" s="4" t="str">
        <f t="shared" ref="I194:I257" si="79">IFERROR(MID($E194,U194,(AS194+1)),"")</f>
        <v>NWPF</v>
      </c>
      <c r="J194" s="4" t="str">
        <f t="shared" ref="J194:J257" si="80">IFERROR(MID($E194,V194,(AT194+1)),"")</f>
        <v>GDLLCKISVMLFYTNMYGSILFLTCISVDRFLAIVY</v>
      </c>
      <c r="K194" s="4" t="str">
        <f t="shared" ref="K194:K257" si="81">IFERROR(MID($E194,W194,(AU194+1)),"")</f>
        <v>PFKSKTLR</v>
      </c>
      <c r="L194" s="4" t="str">
        <f t="shared" ref="L194:L257" si="82">IFERROR(MID($E194,X194,(AV194+1)),"")</f>
        <v>TKRNAKIVCTGVWLTVIGGSAPAVFVQ</v>
      </c>
      <c r="M194" s="4" t="str">
        <f t="shared" ref="M194:M257" si="83">IFERROR(MID($E194,Y194,(AW194+1)),"")</f>
        <v>CFE</v>
      </c>
      <c r="N194" s="4" t="str">
        <f t="shared" ref="N194:N257" si="84">IFERROR(MID($E194,Z194,(AX194+1)),"")</f>
        <v>YLSRIVIFIEIVGFFIPLILNVTCSSMVLKTLTKP</v>
      </c>
      <c r="O194" s="4" t="str">
        <f t="shared" ref="O194:O257" si="85">IFERROR(MID($E194,AA194,(AY194+1)),"")</f>
        <v>SRSKINKTKVLKMIFVHLIIFCFCFVPYNINLILYSLVRTQ</v>
      </c>
      <c r="P194" s="4" t="str">
        <f t="shared" ref="P194:P257" si="86">IFERROR(MID($E194,AB194,(AZ194+1)),"")</f>
        <v>NCSVVAAVRTMYPITLCIAVSNCCFDPIVYYFT</v>
      </c>
      <c r="Q194" s="4" t="str">
        <f t="shared" ref="Q194:Q257" si="87">IFERROR(MID($E194,AC194,(BA194+1)),"")</f>
        <v>SDTIQNSIKMKNWSV</v>
      </c>
      <c r="R194" s="5">
        <f>VLOOKUP($A194,'SegEnds_NonXtal_Prot#'!$A:$AL,3,FALSE)</f>
        <v>15</v>
      </c>
      <c r="S194" s="5">
        <f>VLOOKUP($A194,'SegEnds_NonXtal_Prot#'!$A:$AL,6,FALSE)</f>
        <v>46</v>
      </c>
      <c r="T194" s="5">
        <f>VLOOKUP($A194,'SegEnds_NonXtal_Prot#'!$A:$AL,9,FALSE)</f>
        <v>50</v>
      </c>
      <c r="U194" s="5">
        <f>VLOOKUP($A194,'SegEnds_NonXtal_Prot#'!$A:$AL,12,FALSE)</f>
        <v>81</v>
      </c>
      <c r="V194" s="5">
        <f>VLOOKUP($A194,'SegEnds_NonXtal_Prot#'!$A:$AL,15,FALSE)</f>
        <v>85</v>
      </c>
      <c r="W194" s="5">
        <f>VLOOKUP($A194,'SegEnds_NonXtal_Prot#'!$A:$AL,18,FALSE)</f>
        <v>121</v>
      </c>
      <c r="X194" s="5">
        <f>VLOOKUP($A194,'SegEnds_NonXtal_Prot#'!$A:$AL,21,FALSE)</f>
        <v>129</v>
      </c>
      <c r="Y194" s="5">
        <f>VLOOKUP($A194,'SegEnds_NonXtal_Prot#'!$A:$AL,24,FALSE)</f>
        <v>168</v>
      </c>
      <c r="Z194" s="5">
        <f>VLOOKUP($A194,'SegEnds_NonXtal_Prot#'!$A:$AL,27,FALSE)</f>
        <v>180</v>
      </c>
      <c r="AA194" s="5">
        <f>VLOOKUP($A194,'SegEnds_NonXtal_Prot#'!$A:$AL,30,FALSE)</f>
        <v>218</v>
      </c>
      <c r="AB194" s="5">
        <f>VLOOKUP($A194,'SegEnds_NonXtal_Prot#'!$A:$AL,33,FALSE)</f>
        <v>262</v>
      </c>
      <c r="AC194" s="5">
        <f>VLOOKUP($A194,'SegEnds_NonXtal_Prot#'!$A:$AL,36,FALSE)</f>
        <v>295</v>
      </c>
      <c r="AD194" s="5">
        <f>VLOOKUP($A194,'SegEnds_NonXtal_Prot#'!$A:$AL,5,FALSE)</f>
        <v>45</v>
      </c>
      <c r="AE194" s="5">
        <f>VLOOKUP($A194,'SegEnds_NonXtal_Prot#'!$A:$AL,8,FALSE)</f>
        <v>49</v>
      </c>
      <c r="AF194" s="5">
        <f>VLOOKUP($A194,'SegEnds_NonXtal_Prot#'!$A:$AL,11,FALSE)</f>
        <v>79</v>
      </c>
      <c r="AG194" s="5">
        <f>VLOOKUP($A194,'SegEnds_NonXtal_Prot#'!$A:$AL,14,FALSE)</f>
        <v>84</v>
      </c>
      <c r="AH194" s="5">
        <f>VLOOKUP($A194,'SegEnds_NonXtal_Prot#'!$A:$AL,17,FALSE)</f>
        <v>120</v>
      </c>
      <c r="AI194" s="5">
        <f>VLOOKUP($A194,'SegEnds_NonXtal_Prot#'!$A:$AL,20,FALSE)</f>
        <v>128</v>
      </c>
      <c r="AJ194" s="5">
        <f>VLOOKUP($A194,'SegEnds_NonXtal_Prot#'!$A:$AL,23,FALSE)</f>
        <v>155</v>
      </c>
      <c r="AK194" s="5">
        <f>VLOOKUP($A194,'SegEnds_NonXtal_Prot#'!$A:$AL,26,FALSE)</f>
        <v>170</v>
      </c>
      <c r="AL194" s="5">
        <f>VLOOKUP($A194,'SegEnds_NonXtal_Prot#'!$A:$AL,29,FALSE)</f>
        <v>214</v>
      </c>
      <c r="AM194" s="5">
        <f>VLOOKUP($A194,'SegEnds_NonXtal_Prot#'!$A:$AL,32,FALSE)</f>
        <v>258</v>
      </c>
      <c r="AN194" s="5">
        <f>VLOOKUP($A194,'SegEnds_NonXtal_Prot#'!$A:$AL,35,FALSE)</f>
        <v>294</v>
      </c>
      <c r="AO194" s="5">
        <f>VLOOKUP($A194,'SegEnds_NonXtal_Prot#'!$A:$AL,38,FALSE)</f>
        <v>309</v>
      </c>
      <c r="AP194" s="5">
        <f t="shared" ref="AP194:AP257" si="88">IFERROR(AD194-R194,"-")</f>
        <v>30</v>
      </c>
      <c r="AQ194" s="4">
        <f t="shared" ref="AQ194:AQ257" si="89">IFERROR(AE194-S194,"-")</f>
        <v>3</v>
      </c>
      <c r="AR194" s="4">
        <f t="shared" ref="AR194:AR257" si="90">IFERROR(AF194-T194,"-")</f>
        <v>29</v>
      </c>
      <c r="AS194" s="4">
        <f t="shared" ref="AS194:AS257" si="91">IFERROR(AG194-U194,"-")</f>
        <v>3</v>
      </c>
      <c r="AT194" s="4">
        <f t="shared" ref="AT194:AT257" si="92">IFERROR(AH194-V194,"-")</f>
        <v>35</v>
      </c>
      <c r="AU194" s="4">
        <f t="shared" ref="AU194:AU257" si="93">IFERROR(AI194-W194,"-")</f>
        <v>7</v>
      </c>
      <c r="AV194" s="4">
        <f t="shared" ref="AV194:AV257" si="94">IFERROR(AJ194-X194,"-")</f>
        <v>26</v>
      </c>
      <c r="AW194" s="4">
        <f t="shared" ref="AW194:AW257" si="95">IFERROR(AK194-Y194,"-")</f>
        <v>2</v>
      </c>
      <c r="AX194" s="4">
        <f t="shared" ref="AX194:AX257" si="96">IFERROR(AL194-Z194,"-")</f>
        <v>34</v>
      </c>
      <c r="AY194" s="4">
        <f t="shared" ref="AY194:AY257" si="97">IFERROR(AM194-AA194,"-")</f>
        <v>40</v>
      </c>
      <c r="AZ194" s="4">
        <f t="shared" ref="AZ194:AZ257" si="98">IFERROR(AN194-AB194,"-")</f>
        <v>32</v>
      </c>
      <c r="BA194" s="4">
        <f t="shared" ref="BA194:BA257" si="99">IFERROR(AO194-AC194,"-")</f>
        <v>14</v>
      </c>
    </row>
    <row r="195" spans="1:53" x14ac:dyDescent="0.2">
      <c r="A195" s="1" t="str">
        <f>'SegEnds_NonXtal_Prot#'!A171</f>
        <v>lt4r1_human</v>
      </c>
      <c r="B195" s="1" t="str">
        <f t="shared" si="75"/>
        <v>FISLLAIILLSVALAVGLPGNSFVVWSILKRSVTALMVLNLALADLAVLLTAPFFLHFLAQGLAGCRLCHYVCGVSMYASVLLITAMSLDRSLAVARTKAMARRVLAGIWVLSFLLATPVLAYRHRAFHLIFEAVTGFLLPFLAVVASYSDIGRRLQARSRRTGRLVVLIILTFAAFWLPYHVVNLAEAGRALALGLVGKRLSLARNVLIALAFLSSSVNPVLYACAGGGLLRSAGVGFVAK</v>
      </c>
      <c r="C195" s="29" t="str">
        <f>IF(ISERROR(MATCH(A195,'SegEnds_Xtal_Prot#'!B:B, 0)), "NoXtal", "Xtal")</f>
        <v>NoXtal</v>
      </c>
      <c r="D195" s="4" t="str">
        <f>VLOOKUP(A195,Classification!A:D,2,FALSE)</f>
        <v>A</v>
      </c>
      <c r="E195" s="5" t="str">
        <f>VLOOKUP(A195,Seqs!A:B,2,FALSE)</f>
        <v>MNTTSSAAPPSLGVEFISLLAIILLSVALAVGLPGNSFVVWSILKRMQKRSVTALMVLNLALADLAVLLTAPFFLHFLAQGTWSFGLAGCRLCHYVCGVSMYASVLLITAMSLDRSLAVARPFVSQKLRTKAMARRVLAGIWVLSFLLATPVLAYRTVVPWKTNMSLCFPRYPSEGHRAFHLIFEAVTGFLLPFLAVVASYSDIGRRLQARRFRRSRRTGRLVVLIILTFAAFWLPYHVVNLAEAGRALAGQAAGLGLVGKRLSLARNVLIALAFLSSSVNPVLYACAGGGLLRSAGVGFVAKLLEGTGSEASSTRRGGSLGQTARSGPAALEPGPSESLTASSPLKLNELN</v>
      </c>
      <c r="F195" s="5" t="str">
        <f t="shared" si="76"/>
        <v>FISLLAIILLSVALAVGLPGNSFVVWSILKR</v>
      </c>
      <c r="G195" s="4" t="str">
        <f t="shared" si="77"/>
        <v>MQKR</v>
      </c>
      <c r="H195" s="4" t="str">
        <f t="shared" si="78"/>
        <v>SVTALMVLNLALADLAVLLTAPFFLHFLAQ</v>
      </c>
      <c r="I195" s="4" t="str">
        <f t="shared" si="79"/>
        <v>TWSF</v>
      </c>
      <c r="J195" s="4" t="str">
        <f t="shared" si="80"/>
        <v>GLAGCRLCHYVCGVSMYASVLLITAMSLDRSLAVAR</v>
      </c>
      <c r="K195" s="4" t="str">
        <f t="shared" si="81"/>
        <v>PFVSQKLR</v>
      </c>
      <c r="L195" s="4" t="str">
        <f t="shared" si="82"/>
        <v>TKAMARRVLAGIWVLSFLLATPVLAYR</v>
      </c>
      <c r="M195" s="4" t="str">
        <f t="shared" si="83"/>
        <v>CFP</v>
      </c>
      <c r="N195" s="4" t="str">
        <f t="shared" si="84"/>
        <v>HRAFHLIFEAVTGFLLPFLAVVASYSDIGRRLQAR</v>
      </c>
      <c r="O195" s="4" t="str">
        <f t="shared" si="85"/>
        <v>SRRTGRLVVLIILTFAAFWLPYHVVNLAEAGRALA</v>
      </c>
      <c r="P195" s="4" t="str">
        <f t="shared" si="86"/>
        <v>LGLVGKRLSLARNVLIALAFLSSSVNPVLYACA</v>
      </c>
      <c r="Q195" s="4" t="str">
        <f t="shared" si="87"/>
        <v>GGGLLRSAGVGFVAK</v>
      </c>
      <c r="R195" s="5">
        <f>VLOOKUP($A195,'SegEnds_NonXtal_Prot#'!$A:$AL,3,FALSE)</f>
        <v>16</v>
      </c>
      <c r="S195" s="5">
        <f>VLOOKUP($A195,'SegEnds_NonXtal_Prot#'!$A:$AL,6,FALSE)</f>
        <v>47</v>
      </c>
      <c r="T195" s="5">
        <f>VLOOKUP($A195,'SegEnds_NonXtal_Prot#'!$A:$AL,9,FALSE)</f>
        <v>51</v>
      </c>
      <c r="U195" s="5">
        <f>VLOOKUP($A195,'SegEnds_NonXtal_Prot#'!$A:$AL,12,FALSE)</f>
        <v>82</v>
      </c>
      <c r="V195" s="5">
        <f>VLOOKUP($A195,'SegEnds_NonXtal_Prot#'!$A:$AL,15,FALSE)</f>
        <v>86</v>
      </c>
      <c r="W195" s="5">
        <f>VLOOKUP($A195,'SegEnds_NonXtal_Prot#'!$A:$AL,18,FALSE)</f>
        <v>122</v>
      </c>
      <c r="X195" s="5">
        <f>VLOOKUP($A195,'SegEnds_NonXtal_Prot#'!$A:$AL,21,FALSE)</f>
        <v>130</v>
      </c>
      <c r="Y195" s="5">
        <f>VLOOKUP($A195,'SegEnds_NonXtal_Prot#'!$A:$AL,24,FALSE)</f>
        <v>168</v>
      </c>
      <c r="Z195" s="5">
        <f>VLOOKUP($A195,'SegEnds_NonXtal_Prot#'!$A:$AL,27,FALSE)</f>
        <v>177</v>
      </c>
      <c r="AA195" s="5">
        <f>VLOOKUP($A195,'SegEnds_NonXtal_Prot#'!$A:$AL,30,FALSE)</f>
        <v>216</v>
      </c>
      <c r="AB195" s="5">
        <f>VLOOKUP($A195,'SegEnds_NonXtal_Prot#'!$A:$AL,33,FALSE)</f>
        <v>256</v>
      </c>
      <c r="AC195" s="5">
        <f>VLOOKUP($A195,'SegEnds_NonXtal_Prot#'!$A:$AL,36,FALSE)</f>
        <v>289</v>
      </c>
      <c r="AD195" s="5">
        <f>VLOOKUP($A195,'SegEnds_NonXtal_Prot#'!$A:$AL,5,FALSE)</f>
        <v>46</v>
      </c>
      <c r="AE195" s="5">
        <f>VLOOKUP($A195,'SegEnds_NonXtal_Prot#'!$A:$AL,8,FALSE)</f>
        <v>50</v>
      </c>
      <c r="AF195" s="5">
        <f>VLOOKUP($A195,'SegEnds_NonXtal_Prot#'!$A:$AL,11,FALSE)</f>
        <v>80</v>
      </c>
      <c r="AG195" s="5">
        <f>VLOOKUP($A195,'SegEnds_NonXtal_Prot#'!$A:$AL,14,FALSE)</f>
        <v>85</v>
      </c>
      <c r="AH195" s="5">
        <f>VLOOKUP($A195,'SegEnds_NonXtal_Prot#'!$A:$AL,17,FALSE)</f>
        <v>121</v>
      </c>
      <c r="AI195" s="5">
        <f>VLOOKUP($A195,'SegEnds_NonXtal_Prot#'!$A:$AL,20,FALSE)</f>
        <v>129</v>
      </c>
      <c r="AJ195" s="5">
        <f>VLOOKUP($A195,'SegEnds_NonXtal_Prot#'!$A:$AL,23,FALSE)</f>
        <v>156</v>
      </c>
      <c r="AK195" s="5">
        <f>VLOOKUP($A195,'SegEnds_NonXtal_Prot#'!$A:$AL,26,FALSE)</f>
        <v>170</v>
      </c>
      <c r="AL195" s="5">
        <f>VLOOKUP($A195,'SegEnds_NonXtal_Prot#'!$A:$AL,29,FALSE)</f>
        <v>211</v>
      </c>
      <c r="AM195" s="5">
        <f>VLOOKUP($A195,'SegEnds_NonXtal_Prot#'!$A:$AL,32,FALSE)</f>
        <v>250</v>
      </c>
      <c r="AN195" s="5">
        <f>VLOOKUP($A195,'SegEnds_NonXtal_Prot#'!$A:$AL,35,FALSE)</f>
        <v>288</v>
      </c>
      <c r="AO195" s="5">
        <f>VLOOKUP($A195,'SegEnds_NonXtal_Prot#'!$A:$AL,38,FALSE)</f>
        <v>303</v>
      </c>
      <c r="AP195" s="5">
        <f t="shared" si="88"/>
        <v>30</v>
      </c>
      <c r="AQ195" s="4">
        <f t="shared" si="89"/>
        <v>3</v>
      </c>
      <c r="AR195" s="4">
        <f t="shared" si="90"/>
        <v>29</v>
      </c>
      <c r="AS195" s="4">
        <f t="shared" si="91"/>
        <v>3</v>
      </c>
      <c r="AT195" s="4">
        <f t="shared" si="92"/>
        <v>35</v>
      </c>
      <c r="AU195" s="4">
        <f t="shared" si="93"/>
        <v>7</v>
      </c>
      <c r="AV195" s="4">
        <f t="shared" si="94"/>
        <v>26</v>
      </c>
      <c r="AW195" s="4">
        <f t="shared" si="95"/>
        <v>2</v>
      </c>
      <c r="AX195" s="4">
        <f t="shared" si="96"/>
        <v>34</v>
      </c>
      <c r="AY195" s="4">
        <f t="shared" si="97"/>
        <v>34</v>
      </c>
      <c r="AZ195" s="4">
        <f t="shared" si="98"/>
        <v>32</v>
      </c>
      <c r="BA195" s="4">
        <f t="shared" si="99"/>
        <v>14</v>
      </c>
    </row>
    <row r="196" spans="1:53" x14ac:dyDescent="0.2">
      <c r="A196" s="1" t="str">
        <f>'SegEnds_NonXtal_Prot#'!A172</f>
        <v>lt4r2_human</v>
      </c>
      <c r="B196" s="1" t="str">
        <f t="shared" si="75"/>
        <v>KTSRATGTAFLLLAALLGLPGNGFVVWSLAGWGRPLAATLVLHLALADGAVLLLTPLFVAFLTRGQAGCKAVYYVCALSMYASVLLTGLLSLQRCLAVTRSPALARRLLLAVWLAALLLAVPAAVYRAAAHLSLETLTAFVLPFGLMLGCYSVTLARLRGSGRHGARVGRLVSAIVLAFGLLWAPYHAVNLLQAVAALALAKLGGAGQAARAGTTALAFFSSSVNPVLYVFTAGDLLPRAGPRF</v>
      </c>
      <c r="C196" s="29" t="str">
        <f>IF(ISERROR(MATCH(A196,'SegEnds_Xtal_Prot#'!B:B, 0)), "NoXtal", "Xtal")</f>
        <v>NoXtal</v>
      </c>
      <c r="D196" s="4" t="str">
        <f>VLOOKUP(A196,Classification!A:D,2,FALSE)</f>
        <v>A</v>
      </c>
      <c r="E196" s="5" t="str">
        <f>VLOOKUP(A196,Seqs!A:B,2,FALSE)</f>
        <v>MAPSHRASQVGFCPTPERPLWRLPPTCRPRRMSVCYRPPGNETLLSWKTSRATGTAFLLLAALLGLPGNGFVVWSLAGWRPARGRPLAATLVLHLALADGAVLLLTPLFVAFLTRQAWPLGQAGCKAVYYVCALSMYASVLLTGLLSLQRCLAVTRPFLAPRLRSPALARRLLLAVWLAALLLAVPAAVYRHLWRDRVCQLCHPSPVHAAAHLSLETLTAFVLPFGLMLGCYSVTLARLRGARWGSGRHGARVGRLVSAIVLAFGLLWAPYHAVNLLQAVAALAPPEGALAKLGGAGQAARAGTTALAFFSSSVNPVLYVFTAGDLLPRAGPRFLTRLFEGSGEARGGGRSREGTMELRTTPQLKVVGQGRGNGDPGGGMEKDGPEWDL</v>
      </c>
      <c r="F196" s="5" t="str">
        <f t="shared" si="76"/>
        <v>KTSRATGTAFLLLAALLGLPGNGFVVWSLAGW</v>
      </c>
      <c r="G196" s="4" t="str">
        <f t="shared" si="77"/>
        <v>RPAR</v>
      </c>
      <c r="H196" s="4" t="str">
        <f t="shared" si="78"/>
        <v>GRPLAATLVLHLALADGAVLLLTPLFVAFLTR</v>
      </c>
      <c r="I196" s="4" t="str">
        <f t="shared" si="79"/>
        <v>AWPL</v>
      </c>
      <c r="J196" s="4" t="str">
        <f t="shared" si="80"/>
        <v>GQAGCKAVYYVCALSMYASVLLTGLLSLQRCLAVTR</v>
      </c>
      <c r="K196" s="4" t="str">
        <f t="shared" si="81"/>
        <v>PFLAPRLR</v>
      </c>
      <c r="L196" s="4" t="str">
        <f t="shared" si="82"/>
        <v>SPALARRLLLAVWLAALLLAVPAAVYR</v>
      </c>
      <c r="M196" s="4" t="str">
        <f t="shared" si="83"/>
        <v>CHP</v>
      </c>
      <c r="N196" s="4" t="str">
        <f t="shared" si="84"/>
        <v>AAAHLSLETLTAFVLPFGLMLGCYSVTLARLRG</v>
      </c>
      <c r="O196" s="4" t="str">
        <f t="shared" si="85"/>
        <v>SGRHGARVGRLVSAIVLAFGLLWAPYHAVNLLQAVAALA</v>
      </c>
      <c r="P196" s="4" t="str">
        <f t="shared" si="86"/>
        <v>LAKLGGAGQAARAGTTALAFFSSSVNPVLYVFT</v>
      </c>
      <c r="Q196" s="4" t="str">
        <f t="shared" si="87"/>
        <v>AGDLLPRAGPRF</v>
      </c>
      <c r="R196" s="5">
        <f>VLOOKUP($A196,'SegEnds_NonXtal_Prot#'!$A:$AL,3,FALSE)</f>
        <v>48</v>
      </c>
      <c r="S196" s="5">
        <f>VLOOKUP($A196,'SegEnds_NonXtal_Prot#'!$A:$AL,6,FALSE)</f>
        <v>80</v>
      </c>
      <c r="T196" s="5">
        <f>VLOOKUP($A196,'SegEnds_NonXtal_Prot#'!$A:$AL,9,FALSE)</f>
        <v>84</v>
      </c>
      <c r="U196" s="5">
        <f>VLOOKUP($A196,'SegEnds_NonXtal_Prot#'!$A:$AL,12,FALSE)</f>
        <v>117</v>
      </c>
      <c r="V196" s="5">
        <f>VLOOKUP($A196,'SegEnds_NonXtal_Prot#'!$A:$AL,15,FALSE)</f>
        <v>121</v>
      </c>
      <c r="W196" s="5">
        <f>VLOOKUP($A196,'SegEnds_NonXtal_Prot#'!$A:$AL,18,FALSE)</f>
        <v>157</v>
      </c>
      <c r="X196" s="5">
        <f>VLOOKUP($A196,'SegEnds_NonXtal_Prot#'!$A:$AL,21,FALSE)</f>
        <v>165</v>
      </c>
      <c r="Y196" s="5">
        <f>VLOOKUP($A196,'SegEnds_NonXtal_Prot#'!$A:$AL,24,FALSE)</f>
        <v>202</v>
      </c>
      <c r="Z196" s="5">
        <f>VLOOKUP($A196,'SegEnds_NonXtal_Prot#'!$A:$AL,27,FALSE)</f>
        <v>209</v>
      </c>
      <c r="AA196" s="5">
        <f>VLOOKUP($A196,'SegEnds_NonXtal_Prot#'!$A:$AL,30,FALSE)</f>
        <v>246</v>
      </c>
      <c r="AB196" s="5">
        <f>VLOOKUP($A196,'SegEnds_NonXtal_Prot#'!$A:$AL,33,FALSE)</f>
        <v>290</v>
      </c>
      <c r="AC196" s="5">
        <f>VLOOKUP($A196,'SegEnds_NonXtal_Prot#'!$A:$AL,36,FALSE)</f>
        <v>323</v>
      </c>
      <c r="AD196" s="5">
        <f>VLOOKUP($A196,'SegEnds_NonXtal_Prot#'!$A:$AL,5,FALSE)</f>
        <v>79</v>
      </c>
      <c r="AE196" s="5">
        <f>VLOOKUP($A196,'SegEnds_NonXtal_Prot#'!$A:$AL,8,FALSE)</f>
        <v>83</v>
      </c>
      <c r="AF196" s="5">
        <f>VLOOKUP($A196,'SegEnds_NonXtal_Prot#'!$A:$AL,11,FALSE)</f>
        <v>115</v>
      </c>
      <c r="AG196" s="5">
        <f>VLOOKUP($A196,'SegEnds_NonXtal_Prot#'!$A:$AL,14,FALSE)</f>
        <v>120</v>
      </c>
      <c r="AH196" s="5">
        <f>VLOOKUP($A196,'SegEnds_NonXtal_Prot#'!$A:$AL,17,FALSE)</f>
        <v>156</v>
      </c>
      <c r="AI196" s="5">
        <f>VLOOKUP($A196,'SegEnds_NonXtal_Prot#'!$A:$AL,20,FALSE)</f>
        <v>164</v>
      </c>
      <c r="AJ196" s="5">
        <f>VLOOKUP($A196,'SegEnds_NonXtal_Prot#'!$A:$AL,23,FALSE)</f>
        <v>191</v>
      </c>
      <c r="AK196" s="5">
        <f>VLOOKUP($A196,'SegEnds_NonXtal_Prot#'!$A:$AL,26,FALSE)</f>
        <v>204</v>
      </c>
      <c r="AL196" s="5">
        <f>VLOOKUP($A196,'SegEnds_NonXtal_Prot#'!$A:$AL,29,FALSE)</f>
        <v>241</v>
      </c>
      <c r="AM196" s="5">
        <f>VLOOKUP($A196,'SegEnds_NonXtal_Prot#'!$A:$AL,32,FALSE)</f>
        <v>284</v>
      </c>
      <c r="AN196" s="5">
        <f>VLOOKUP($A196,'SegEnds_NonXtal_Prot#'!$A:$AL,35,FALSE)</f>
        <v>322</v>
      </c>
      <c r="AO196" s="5">
        <f>VLOOKUP($A196,'SegEnds_NonXtal_Prot#'!$A:$AL,38,FALSE)</f>
        <v>334</v>
      </c>
      <c r="AP196" s="5">
        <f t="shared" si="88"/>
        <v>31</v>
      </c>
      <c r="AQ196" s="4">
        <f t="shared" si="89"/>
        <v>3</v>
      </c>
      <c r="AR196" s="4">
        <f t="shared" si="90"/>
        <v>31</v>
      </c>
      <c r="AS196" s="4">
        <f t="shared" si="91"/>
        <v>3</v>
      </c>
      <c r="AT196" s="4">
        <f t="shared" si="92"/>
        <v>35</v>
      </c>
      <c r="AU196" s="4">
        <f t="shared" si="93"/>
        <v>7</v>
      </c>
      <c r="AV196" s="4">
        <f t="shared" si="94"/>
        <v>26</v>
      </c>
      <c r="AW196" s="4">
        <f t="shared" si="95"/>
        <v>2</v>
      </c>
      <c r="AX196" s="4">
        <f t="shared" si="96"/>
        <v>32</v>
      </c>
      <c r="AY196" s="4">
        <f t="shared" si="97"/>
        <v>38</v>
      </c>
      <c r="AZ196" s="4">
        <f t="shared" si="98"/>
        <v>32</v>
      </c>
      <c r="BA196" s="4">
        <f t="shared" si="99"/>
        <v>11</v>
      </c>
    </row>
    <row r="197" spans="1:53" x14ac:dyDescent="0.2">
      <c r="A197" s="1" t="str">
        <f>'SegEnds_NonXtal_Prot#'!A173</f>
        <v>mas_human</v>
      </c>
      <c r="B197" s="1" t="str">
        <f t="shared" si="75"/>
        <v>RQIPIVHWVIMSISPVGFVENGILLWFLCFRNPFTVYITHLSIADISLLFCIFILSIDYALDSSGHYYTIVTLSVTFLFGYNTGLYLLTAISVERCLSVLYPKYQSALVCALLWALSCLVTTMEYVMCRAVIIFIAILSFLVFTPLMLVSSTILVVKIRKNTWSSKLYIVIMVTIIIFLIFAMPMRLLYLLYYEYGNLHHISLLFSTINSSANPFIYFFVGSSKKKRFKESLKVV</v>
      </c>
      <c r="C197" s="29" t="str">
        <f>IF(ISERROR(MATCH(A197,'SegEnds_Xtal_Prot#'!B:B, 0)), "NoXtal", "Xtal")</f>
        <v>NoXtal</v>
      </c>
      <c r="D197" s="4" t="str">
        <f>VLOOKUP(A197,Classification!A:D,2,FALSE)</f>
        <v>A</v>
      </c>
      <c r="E197" s="5" t="str">
        <f>VLOOKUP(A197,Seqs!A:B,2,FALSE)</f>
        <v>MDGSNVTSFVVEEPTNISTGRNASVGNAHRQIPIVHWVIMSISPVGFVENGILLWFLCFRMRRNPFTVYITHLSIADISLLFCIFILSIDYALDYELSSGHYYTIVTLSVTFLFGYNTGLYLLTAISVERCLSVLYPIWYRCHRPKYQSALVCALLWALSCLVTTMEYVMCIDREEESHSRNDCRAVIIFIAILSFLVFTPLMLVSSTILVVKIRKNTWASHSSKLYIVIMVTIIIFLIFAMPMRLLYLLYYEYWSTFGNLHHISLLFSTINSSANPFIYFFVGSSKKKRFKESLKVVLTRAFKDEMQPRRQKDNCNTVTVETVV</v>
      </c>
      <c r="F197" s="5" t="str">
        <f t="shared" si="76"/>
        <v>RQIPIVHWVIMSISPVGFVENGILLWFLCFR</v>
      </c>
      <c r="G197" s="4" t="str">
        <f t="shared" si="77"/>
        <v/>
      </c>
      <c r="H197" s="4" t="str">
        <f t="shared" si="78"/>
        <v>NPFTVYITHLSIADISLLFCIFILSIDYALD</v>
      </c>
      <c r="I197" s="4" t="str">
        <f t="shared" si="79"/>
        <v/>
      </c>
      <c r="J197" s="4" t="str">
        <f t="shared" si="80"/>
        <v>SSGHYYTIVTLSVTFLFGYNTGLYLLTAISVERCLSVLY</v>
      </c>
      <c r="K197" s="4" t="str">
        <f t="shared" si="81"/>
        <v>PIWYRCHR</v>
      </c>
      <c r="L197" s="4" t="str">
        <f t="shared" si="82"/>
        <v>PKYQSALVCALLWALSCLVTTMEYVMC</v>
      </c>
      <c r="M197" s="4" t="str">
        <f t="shared" si="83"/>
        <v/>
      </c>
      <c r="N197" s="4" t="str">
        <f t="shared" si="84"/>
        <v>RAVIIFIAILSFLVFTPLMLVSSTILVVKIRKNTW</v>
      </c>
      <c r="O197" s="4" t="str">
        <f t="shared" si="85"/>
        <v>SSKLYIVIMVTIIIFLIFAMPMRLLYLLYYEY</v>
      </c>
      <c r="P197" s="4" t="str">
        <f t="shared" si="86"/>
        <v>GNLHHISLLFSTINSSANPFIYFFV</v>
      </c>
      <c r="Q197" s="4" t="str">
        <f t="shared" si="87"/>
        <v>GSSKKKRFKESLKVV</v>
      </c>
      <c r="R197" s="5">
        <f>VLOOKUP($A197,'SegEnds_NonXtal_Prot#'!$A:$AL,3,FALSE)</f>
        <v>30</v>
      </c>
      <c r="S197" s="5" t="str">
        <f>VLOOKUP($A197,'SegEnds_NonXtal_Prot#'!$A:$AL,6,FALSE)</f>
        <v>-</v>
      </c>
      <c r="T197" s="5">
        <f>VLOOKUP($A197,'SegEnds_NonXtal_Prot#'!$A:$AL,9,FALSE)</f>
        <v>64</v>
      </c>
      <c r="U197" s="5" t="str">
        <f>VLOOKUP($A197,'SegEnds_NonXtal_Prot#'!$A:$AL,12,FALSE)</f>
        <v>-</v>
      </c>
      <c r="V197" s="5">
        <f>VLOOKUP($A197,'SegEnds_NonXtal_Prot#'!$A:$AL,15,FALSE)</f>
        <v>98</v>
      </c>
      <c r="W197" s="5">
        <f>VLOOKUP($A197,'SegEnds_NonXtal_Prot#'!$A:$AL,18,FALSE)</f>
        <v>137</v>
      </c>
      <c r="X197" s="5">
        <f>VLOOKUP($A197,'SegEnds_NonXtal_Prot#'!$A:$AL,21,FALSE)</f>
        <v>145</v>
      </c>
      <c r="Y197" s="5" t="str">
        <f>VLOOKUP($A197,'SegEnds_NonXtal_Prot#'!$A:$AL,24,FALSE)</f>
        <v>-</v>
      </c>
      <c r="Z197" s="5">
        <f>VLOOKUP($A197,'SegEnds_NonXtal_Prot#'!$A:$AL,27,FALSE)</f>
        <v>185</v>
      </c>
      <c r="AA197" s="5">
        <f>VLOOKUP($A197,'SegEnds_NonXtal_Prot#'!$A:$AL,30,FALSE)</f>
        <v>223</v>
      </c>
      <c r="AB197" s="5">
        <f>VLOOKUP($A197,'SegEnds_NonXtal_Prot#'!$A:$AL,33,FALSE)</f>
        <v>259</v>
      </c>
      <c r="AC197" s="5">
        <f>VLOOKUP($A197,'SegEnds_NonXtal_Prot#'!$A:$AL,36,FALSE)</f>
        <v>284</v>
      </c>
      <c r="AD197" s="5">
        <f>VLOOKUP($A197,'SegEnds_NonXtal_Prot#'!$A:$AL,5,FALSE)</f>
        <v>60</v>
      </c>
      <c r="AE197" s="5" t="str">
        <f>VLOOKUP($A197,'SegEnds_NonXtal_Prot#'!$A:$AL,8,FALSE)</f>
        <v>-</v>
      </c>
      <c r="AF197" s="5">
        <f>VLOOKUP($A197,'SegEnds_NonXtal_Prot#'!$A:$AL,11,FALSE)</f>
        <v>94</v>
      </c>
      <c r="AG197" s="5" t="str">
        <f>VLOOKUP($A197,'SegEnds_NonXtal_Prot#'!$A:$AL,14,FALSE)</f>
        <v>-</v>
      </c>
      <c r="AH197" s="5">
        <f>VLOOKUP($A197,'SegEnds_NonXtal_Prot#'!$A:$AL,17,FALSE)</f>
        <v>136</v>
      </c>
      <c r="AI197" s="5">
        <f>VLOOKUP($A197,'SegEnds_NonXtal_Prot#'!$A:$AL,20,FALSE)</f>
        <v>144</v>
      </c>
      <c r="AJ197" s="5">
        <f>VLOOKUP($A197,'SegEnds_NonXtal_Prot#'!$A:$AL,23,FALSE)</f>
        <v>171</v>
      </c>
      <c r="AK197" s="5" t="str">
        <f>VLOOKUP($A197,'SegEnds_NonXtal_Prot#'!$A:$AL,26,FALSE)</f>
        <v>-</v>
      </c>
      <c r="AL197" s="5">
        <f>VLOOKUP($A197,'SegEnds_NonXtal_Prot#'!$A:$AL,29,FALSE)</f>
        <v>219</v>
      </c>
      <c r="AM197" s="5">
        <f>VLOOKUP($A197,'SegEnds_NonXtal_Prot#'!$A:$AL,32,FALSE)</f>
        <v>254</v>
      </c>
      <c r="AN197" s="5">
        <f>VLOOKUP($A197,'SegEnds_NonXtal_Prot#'!$A:$AL,35,FALSE)</f>
        <v>283</v>
      </c>
      <c r="AO197" s="5">
        <f>VLOOKUP($A197,'SegEnds_NonXtal_Prot#'!$A:$AL,38,FALSE)</f>
        <v>298</v>
      </c>
      <c r="AP197" s="5">
        <f t="shared" si="88"/>
        <v>30</v>
      </c>
      <c r="AQ197" s="4" t="str">
        <f t="shared" si="89"/>
        <v>-</v>
      </c>
      <c r="AR197" s="4">
        <f t="shared" si="90"/>
        <v>30</v>
      </c>
      <c r="AS197" s="4" t="str">
        <f t="shared" si="91"/>
        <v>-</v>
      </c>
      <c r="AT197" s="4">
        <f t="shared" si="92"/>
        <v>38</v>
      </c>
      <c r="AU197" s="4">
        <f t="shared" si="93"/>
        <v>7</v>
      </c>
      <c r="AV197" s="4">
        <f t="shared" si="94"/>
        <v>26</v>
      </c>
      <c r="AW197" s="4" t="str">
        <f t="shared" si="95"/>
        <v>-</v>
      </c>
      <c r="AX197" s="4">
        <f t="shared" si="96"/>
        <v>34</v>
      </c>
      <c r="AY197" s="4">
        <f t="shared" si="97"/>
        <v>31</v>
      </c>
      <c r="AZ197" s="4">
        <f t="shared" si="98"/>
        <v>24</v>
      </c>
      <c r="BA197" s="4">
        <f t="shared" si="99"/>
        <v>14</v>
      </c>
    </row>
    <row r="198" spans="1:53" x14ac:dyDescent="0.2">
      <c r="A198" s="1" t="str">
        <f>'SegEnds_NonXtal_Prot#'!A174</f>
        <v>mas1l_human</v>
      </c>
      <c r="B198" s="1" t="str">
        <f t="shared" si="75"/>
        <v>QQALPLNIIAPKAVLVSLCGVLLNGTVFWLLCCGNPYMVYILHLVAADVIYLCCSAVGFLQVTLHGVVFFIPDFLAILSPFSFEVCLCLLVAISTERCVCVLFPKYTSNVVCTLIWGLPFCINIVKSLFLACVIFLKLSGLFHAILSLVMCVSSLTLLIRFLCCSQATRVYAVVQISAPMFLLWALPLSVAPLITDFKTSYLISLFLIINSSANPIIYFFVGSLRKKRLKESLRVILQRALA</v>
      </c>
      <c r="C198" s="29" t="str">
        <f>IF(ISERROR(MATCH(A198,'SegEnds_Xtal_Prot#'!B:B, 0)), "NoXtal", "Xtal")</f>
        <v>NoXtal</v>
      </c>
      <c r="D198" s="4" t="str">
        <f>VLOOKUP(A198,Classification!A:D,2,FALSE)</f>
        <v>A</v>
      </c>
      <c r="E198" s="5" t="str">
        <f>VLOOKUP(A198,Seqs!A:B,2,FALSE)</f>
        <v>MVWGKICWFSQRAGWTVFAESQISLSCSLCLHSGDQEAQNPNLVSQLCGVFLQNETNETIHMQMSMAVGQQALPLNIIAPKAVLVSLCGVLLNGTVFWLLCCGATNPYMVYILHLVAADVIYLCCSAVGFLQVTLLTYHGVVFFIPDFLAILSPFSFEVCLCLLVAISTERCVCVLFPIWYRCHRPKYTSNVVCTLIWGLPFCINIVKSLFLTYWKHVKACVIFLKLSGLFHAILSLVMCVSSLTLLIRFLCCSQQQKATRVYAVVQISAPMFLLWALPLSVAPLITDFKMFVTTSYLISLFLIINSSANPIIYFFVGSLRKKRLKESLRVILQRALADKPEVGRNKKAAGIDPMEQPHSTQHVENLLPREHRVDVET</v>
      </c>
      <c r="F198" s="5" t="str">
        <f t="shared" si="76"/>
        <v>QQALPLNIIAPKAVLVSLCGVLLNGTVFWLLCCG</v>
      </c>
      <c r="G198" s="4" t="str">
        <f t="shared" si="77"/>
        <v/>
      </c>
      <c r="H198" s="4" t="str">
        <f t="shared" si="78"/>
        <v>NPYMVYILHLVAADVIYLCCSAVGFLQVTL</v>
      </c>
      <c r="I198" s="4" t="str">
        <f t="shared" si="79"/>
        <v/>
      </c>
      <c r="J198" s="4" t="str">
        <f t="shared" si="80"/>
        <v>HGVVFFIPDFLAILSPFSFEVCLCLLVAISTERCVCVLF</v>
      </c>
      <c r="K198" s="4" t="str">
        <f t="shared" si="81"/>
        <v>PIWYRCHR</v>
      </c>
      <c r="L198" s="4" t="str">
        <f t="shared" si="82"/>
        <v>PKYTSNVVCTLIWGLPFCINIVKSLFL</v>
      </c>
      <c r="M198" s="4" t="str">
        <f t="shared" si="83"/>
        <v/>
      </c>
      <c r="N198" s="4" t="str">
        <f t="shared" si="84"/>
        <v>ACVIFLKLSGLFHAILSLVMCVSSLTLLIRFLCCSQ</v>
      </c>
      <c r="O198" s="4" t="str">
        <f t="shared" si="85"/>
        <v>ATRVYAVVQISAPMFLLWALPLSVAPLITDFK</v>
      </c>
      <c r="P198" s="4" t="str">
        <f t="shared" si="86"/>
        <v>TSYLISLFLIINSSANPIIYFFV</v>
      </c>
      <c r="Q198" s="4" t="str">
        <f t="shared" si="87"/>
        <v>GSLRKKRLKESLRVILQRALA</v>
      </c>
      <c r="R198" s="5">
        <f>VLOOKUP($A198,'SegEnds_NonXtal_Prot#'!$A:$AL,3,FALSE)</f>
        <v>70</v>
      </c>
      <c r="S198" s="5" t="str">
        <f>VLOOKUP($A198,'SegEnds_NonXtal_Prot#'!$A:$AL,6,FALSE)</f>
        <v>-</v>
      </c>
      <c r="T198" s="5">
        <f>VLOOKUP($A198,'SegEnds_NonXtal_Prot#'!$A:$AL,9,FALSE)</f>
        <v>106</v>
      </c>
      <c r="U198" s="5" t="str">
        <f>VLOOKUP($A198,'SegEnds_NonXtal_Prot#'!$A:$AL,12,FALSE)</f>
        <v>-</v>
      </c>
      <c r="V198" s="5">
        <f>VLOOKUP($A198,'SegEnds_NonXtal_Prot#'!$A:$AL,15,FALSE)</f>
        <v>139</v>
      </c>
      <c r="W198" s="5">
        <f>VLOOKUP($A198,'SegEnds_NonXtal_Prot#'!$A:$AL,18,FALSE)</f>
        <v>178</v>
      </c>
      <c r="X198" s="5">
        <f>VLOOKUP($A198,'SegEnds_NonXtal_Prot#'!$A:$AL,21,FALSE)</f>
        <v>186</v>
      </c>
      <c r="Y198" s="5" t="str">
        <f>VLOOKUP($A198,'SegEnds_NonXtal_Prot#'!$A:$AL,24,FALSE)</f>
        <v>-</v>
      </c>
      <c r="Z198" s="5">
        <f>VLOOKUP($A198,'SegEnds_NonXtal_Prot#'!$A:$AL,27,FALSE)</f>
        <v>220</v>
      </c>
      <c r="AA198" s="5">
        <f>VLOOKUP($A198,'SegEnds_NonXtal_Prot#'!$A:$AL,30,FALSE)</f>
        <v>259</v>
      </c>
      <c r="AB198" s="5">
        <f>VLOOKUP($A198,'SegEnds_NonXtal_Prot#'!$A:$AL,33,FALSE)</f>
        <v>295</v>
      </c>
      <c r="AC198" s="5">
        <f>VLOOKUP($A198,'SegEnds_NonXtal_Prot#'!$A:$AL,36,FALSE)</f>
        <v>318</v>
      </c>
      <c r="AD198" s="5">
        <f>VLOOKUP($A198,'SegEnds_NonXtal_Prot#'!$A:$AL,5,FALSE)</f>
        <v>103</v>
      </c>
      <c r="AE198" s="5" t="str">
        <f>VLOOKUP($A198,'SegEnds_NonXtal_Prot#'!$A:$AL,8,FALSE)</f>
        <v>-</v>
      </c>
      <c r="AF198" s="5">
        <f>VLOOKUP($A198,'SegEnds_NonXtal_Prot#'!$A:$AL,11,FALSE)</f>
        <v>135</v>
      </c>
      <c r="AG198" s="5" t="str">
        <f>VLOOKUP($A198,'SegEnds_NonXtal_Prot#'!$A:$AL,14,FALSE)</f>
        <v>-</v>
      </c>
      <c r="AH198" s="5">
        <f>VLOOKUP($A198,'SegEnds_NonXtal_Prot#'!$A:$AL,17,FALSE)</f>
        <v>177</v>
      </c>
      <c r="AI198" s="5">
        <f>VLOOKUP($A198,'SegEnds_NonXtal_Prot#'!$A:$AL,20,FALSE)</f>
        <v>185</v>
      </c>
      <c r="AJ198" s="5">
        <f>VLOOKUP($A198,'SegEnds_NonXtal_Prot#'!$A:$AL,23,FALSE)</f>
        <v>212</v>
      </c>
      <c r="AK198" s="5" t="str">
        <f>VLOOKUP($A198,'SegEnds_NonXtal_Prot#'!$A:$AL,26,FALSE)</f>
        <v>-</v>
      </c>
      <c r="AL198" s="5">
        <f>VLOOKUP($A198,'SegEnds_NonXtal_Prot#'!$A:$AL,29,FALSE)</f>
        <v>255</v>
      </c>
      <c r="AM198" s="5">
        <f>VLOOKUP($A198,'SegEnds_NonXtal_Prot#'!$A:$AL,32,FALSE)</f>
        <v>290</v>
      </c>
      <c r="AN198" s="5">
        <f>VLOOKUP($A198,'SegEnds_NonXtal_Prot#'!$A:$AL,35,FALSE)</f>
        <v>317</v>
      </c>
      <c r="AO198" s="5">
        <f>VLOOKUP($A198,'SegEnds_NonXtal_Prot#'!$A:$AL,38,FALSE)</f>
        <v>338</v>
      </c>
      <c r="AP198" s="5">
        <f t="shared" si="88"/>
        <v>33</v>
      </c>
      <c r="AQ198" s="4" t="str">
        <f t="shared" si="89"/>
        <v>-</v>
      </c>
      <c r="AR198" s="4">
        <f t="shared" si="90"/>
        <v>29</v>
      </c>
      <c r="AS198" s="4" t="str">
        <f t="shared" si="91"/>
        <v>-</v>
      </c>
      <c r="AT198" s="4">
        <f t="shared" si="92"/>
        <v>38</v>
      </c>
      <c r="AU198" s="4">
        <f t="shared" si="93"/>
        <v>7</v>
      </c>
      <c r="AV198" s="4">
        <f t="shared" si="94"/>
        <v>26</v>
      </c>
      <c r="AW198" s="4" t="str">
        <f t="shared" si="95"/>
        <v>-</v>
      </c>
      <c r="AX198" s="4">
        <f t="shared" si="96"/>
        <v>35</v>
      </c>
      <c r="AY198" s="4">
        <f t="shared" si="97"/>
        <v>31</v>
      </c>
      <c r="AZ198" s="4">
        <f t="shared" si="98"/>
        <v>22</v>
      </c>
      <c r="BA198" s="4">
        <f t="shared" si="99"/>
        <v>20</v>
      </c>
    </row>
    <row r="199" spans="1:53" x14ac:dyDescent="0.2">
      <c r="A199" s="1" t="str">
        <f>'SegEnds_NonXtal_Prot#'!A175</f>
        <v>mc3r_human</v>
      </c>
      <c r="B199" s="1" t="str">
        <f t="shared" si="75"/>
        <v>EQVFIKPEVFLSLGIVSLLENILVILAVVRNSPMYFFLCSLAVADMLVSVSNALETIMIAIVDQFIQHMDNIFDSMICISLVASICNLLAIAVDRYVTIFYTVRKALTLIVAIWVCCGVCGVVFIVYLITMFFAMMLLMGTLYVHMFLFARLHVKRIAALPPAQHSCMKGAVTITILLGVFIFCWAPFFLHLVLIITCCICYTAHFNTYLVLIMCNSVIDPLIYAFRSLELRNTFREILC</v>
      </c>
      <c r="C199" s="29" t="str">
        <f>IF(ISERROR(MATCH(A199,'SegEnds_Xtal_Prot#'!B:B, 0)), "NoXtal", "Xtal")</f>
        <v>NoXtal</v>
      </c>
      <c r="D199" s="4" t="str">
        <f>VLOOKUP(A199,Classification!A:D,2,FALSE)</f>
        <v>A</v>
      </c>
      <c r="E199" s="5" t="str">
        <f>VLOOKUP(A199,Seqs!A:B,2,FALSE)</f>
        <v>MNASCCLPSVQPTLPNGSEHLQAPFFSNQSSSAFCEQVFIKPEVFLSLGIVSLLENILVILAVVRNGNLHSPMYFFLCSLAVADMLVSVSNALETIMIAIVHSDYLTFEDQFIQHMDNIFDSMICISLVASICNLLAIAVDRYVTIFYALRYHSIMTVRKALTLIVAIWVCCGVCGVVFIVYSESKMVIVCLITMFFAMMLLMGTLYVHMFLFARLHVKRIAALPPADGVAPQQHSCMKGAVTITILLGVFIFCWAPFFLHLVLIITCPTNPYCICYTAHFNTYLVLIMCNSVIDPLIYAFRSLELRNTFREILCGCNGMNLG</v>
      </c>
      <c r="F199" s="5" t="str">
        <f t="shared" si="76"/>
        <v>EQVFIKPEVFLSLGIVSLLENILVILAVVRN</v>
      </c>
      <c r="G199" s="4" t="str">
        <f t="shared" si="77"/>
        <v>GNLH</v>
      </c>
      <c r="H199" s="4" t="str">
        <f t="shared" si="78"/>
        <v>SPMYFFLCSLAVADMLVSVSNALETIMIAIV</v>
      </c>
      <c r="I199" s="4" t="str">
        <f t="shared" si="79"/>
        <v/>
      </c>
      <c r="J199" s="4" t="str">
        <f t="shared" si="80"/>
        <v>DQFIQHMDNIFDSMICISLVASICNLLAIAVDRYVTIFY</v>
      </c>
      <c r="K199" s="4" t="str">
        <f t="shared" si="81"/>
        <v>ALRYHSIM</v>
      </c>
      <c r="L199" s="4" t="str">
        <f t="shared" si="82"/>
        <v>TVRKALTLIVAIWVCCGVCGVVFIVY</v>
      </c>
      <c r="M199" s="4" t="str">
        <f t="shared" si="83"/>
        <v/>
      </c>
      <c r="N199" s="4" t="str">
        <f t="shared" si="84"/>
        <v>LITMFFAMMLLMGTLYVHMFLFARLHVKRIAALPPA</v>
      </c>
      <c r="O199" s="4" t="str">
        <f t="shared" si="85"/>
        <v>QHSCMKGAVTITILLGVFIFCWAPFFLHLVLIITC</v>
      </c>
      <c r="P199" s="4" t="str">
        <f t="shared" si="86"/>
        <v>CICYTAHFNTYLVLIMCNSVIDPLIYAFR</v>
      </c>
      <c r="Q199" s="4" t="str">
        <f t="shared" si="87"/>
        <v>SLELRNTFREILC</v>
      </c>
      <c r="R199" s="5">
        <f>VLOOKUP($A199,'SegEnds_NonXtal_Prot#'!$A:$AL,3,FALSE)</f>
        <v>36</v>
      </c>
      <c r="S199" s="5">
        <f>VLOOKUP($A199,'SegEnds_NonXtal_Prot#'!$A:$AL,6,FALSE)</f>
        <v>67</v>
      </c>
      <c r="T199" s="5">
        <f>VLOOKUP($A199,'SegEnds_NonXtal_Prot#'!$A:$AL,9,FALSE)</f>
        <v>71</v>
      </c>
      <c r="U199" s="5" t="str">
        <f>VLOOKUP($A199,'SegEnds_NonXtal_Prot#'!$A:$AL,12,FALSE)</f>
        <v>-</v>
      </c>
      <c r="V199" s="5">
        <f>VLOOKUP($A199,'SegEnds_NonXtal_Prot#'!$A:$AL,15,FALSE)</f>
        <v>110</v>
      </c>
      <c r="W199" s="5">
        <f>VLOOKUP($A199,'SegEnds_NonXtal_Prot#'!$A:$AL,18,FALSE)</f>
        <v>149</v>
      </c>
      <c r="X199" s="5">
        <f>VLOOKUP($A199,'SegEnds_NonXtal_Prot#'!$A:$AL,21,FALSE)</f>
        <v>157</v>
      </c>
      <c r="Y199" s="5" t="str">
        <f>VLOOKUP($A199,'SegEnds_NonXtal_Prot#'!$A:$AL,24,FALSE)</f>
        <v>-</v>
      </c>
      <c r="Z199" s="5">
        <f>VLOOKUP($A199,'SegEnds_NonXtal_Prot#'!$A:$AL,27,FALSE)</f>
        <v>192</v>
      </c>
      <c r="AA199" s="5">
        <f>VLOOKUP($A199,'SegEnds_NonXtal_Prot#'!$A:$AL,30,FALSE)</f>
        <v>234</v>
      </c>
      <c r="AB199" s="5">
        <f>VLOOKUP($A199,'SegEnds_NonXtal_Prot#'!$A:$AL,33,FALSE)</f>
        <v>274</v>
      </c>
      <c r="AC199" s="5">
        <f>VLOOKUP($A199,'SegEnds_NonXtal_Prot#'!$A:$AL,36,FALSE)</f>
        <v>303</v>
      </c>
      <c r="AD199" s="5">
        <f>VLOOKUP($A199,'SegEnds_NonXtal_Prot#'!$A:$AL,5,FALSE)</f>
        <v>66</v>
      </c>
      <c r="AE199" s="5">
        <f>VLOOKUP($A199,'SegEnds_NonXtal_Prot#'!$A:$AL,8,FALSE)</f>
        <v>70</v>
      </c>
      <c r="AF199" s="5">
        <f>VLOOKUP($A199,'SegEnds_NonXtal_Prot#'!$A:$AL,11,FALSE)</f>
        <v>101</v>
      </c>
      <c r="AG199" s="5" t="str">
        <f>VLOOKUP($A199,'SegEnds_NonXtal_Prot#'!$A:$AL,14,FALSE)</f>
        <v>-</v>
      </c>
      <c r="AH199" s="5">
        <f>VLOOKUP($A199,'SegEnds_NonXtal_Prot#'!$A:$AL,17,FALSE)</f>
        <v>148</v>
      </c>
      <c r="AI199" s="5">
        <f>VLOOKUP($A199,'SegEnds_NonXtal_Prot#'!$A:$AL,20,FALSE)</f>
        <v>156</v>
      </c>
      <c r="AJ199" s="5">
        <f>VLOOKUP($A199,'SegEnds_NonXtal_Prot#'!$A:$AL,23,FALSE)</f>
        <v>182</v>
      </c>
      <c r="AK199" s="5" t="str">
        <f>VLOOKUP($A199,'SegEnds_NonXtal_Prot#'!$A:$AL,26,FALSE)</f>
        <v>-</v>
      </c>
      <c r="AL199" s="5">
        <f>VLOOKUP($A199,'SegEnds_NonXtal_Prot#'!$A:$AL,29,FALSE)</f>
        <v>227</v>
      </c>
      <c r="AM199" s="5">
        <f>VLOOKUP($A199,'SegEnds_NonXtal_Prot#'!$A:$AL,32,FALSE)</f>
        <v>268</v>
      </c>
      <c r="AN199" s="5">
        <f>VLOOKUP($A199,'SegEnds_NonXtal_Prot#'!$A:$AL,35,FALSE)</f>
        <v>302</v>
      </c>
      <c r="AO199" s="5">
        <f>VLOOKUP($A199,'SegEnds_NonXtal_Prot#'!$A:$AL,38,FALSE)</f>
        <v>315</v>
      </c>
      <c r="AP199" s="5">
        <f t="shared" si="88"/>
        <v>30</v>
      </c>
      <c r="AQ199" s="4">
        <f t="shared" si="89"/>
        <v>3</v>
      </c>
      <c r="AR199" s="4">
        <f t="shared" si="90"/>
        <v>30</v>
      </c>
      <c r="AS199" s="4" t="str">
        <f t="shared" si="91"/>
        <v>-</v>
      </c>
      <c r="AT199" s="4">
        <f t="shared" si="92"/>
        <v>38</v>
      </c>
      <c r="AU199" s="4">
        <f t="shared" si="93"/>
        <v>7</v>
      </c>
      <c r="AV199" s="4">
        <f t="shared" si="94"/>
        <v>25</v>
      </c>
      <c r="AW199" s="4" t="str">
        <f t="shared" si="95"/>
        <v>-</v>
      </c>
      <c r="AX199" s="4">
        <f t="shared" si="96"/>
        <v>35</v>
      </c>
      <c r="AY199" s="4">
        <f t="shared" si="97"/>
        <v>34</v>
      </c>
      <c r="AZ199" s="4">
        <f t="shared" si="98"/>
        <v>28</v>
      </c>
      <c r="BA199" s="4">
        <f t="shared" si="99"/>
        <v>12</v>
      </c>
    </row>
    <row r="200" spans="1:53" x14ac:dyDescent="0.2">
      <c r="A200" s="1" t="str">
        <f>'SegEnds_NonXtal_Prot#'!A176</f>
        <v>mc4r_human</v>
      </c>
      <c r="B200" s="1" t="str">
        <f t="shared" si="75"/>
        <v>YEQLFVSPEVFVTLGVISLLENILVIVAIAKNSPMYFFICSLAVADMLVSVSNGSETIVITLLQSFTVNIDNVIDSVICSSLLASICSLLSIAVDRYFTIFYTVKRVGIIISCIWAACTVSGILFIIYLITMFFTMLALMASLYVHMFLMARLHIKRIAVLPGQGANMKGAITLTILIGVFVVCWAPFFLHLIFYISCCVCFMSHFNLYLILIMCNSIIDPLIYALRSQELRKTFKEIIC</v>
      </c>
      <c r="C200" s="29" t="str">
        <f>IF(ISERROR(MATCH(A200,'SegEnds_Xtal_Prot#'!B:B, 0)), "NoXtal", "Xtal")</f>
        <v>NoXtal</v>
      </c>
      <c r="D200" s="4" t="str">
        <f>VLOOKUP(A200,Classification!A:D,2,FALSE)</f>
        <v>A</v>
      </c>
      <c r="E200" s="5" t="str">
        <f>VLOOKUP(A200,Seqs!A:B,2,FALSE)</f>
        <v>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</v>
      </c>
      <c r="F200" s="5" t="str">
        <f t="shared" si="76"/>
        <v>YEQLFVSPEVFVTLGVISLLENILVIVAIAKN</v>
      </c>
      <c r="G200" s="4" t="str">
        <f t="shared" si="77"/>
        <v>KNLH</v>
      </c>
      <c r="H200" s="4" t="str">
        <f t="shared" si="78"/>
        <v>SPMYFFICSLAVADMLVSVSNGSETIVITLL</v>
      </c>
      <c r="I200" s="4" t="str">
        <f t="shared" si="79"/>
        <v/>
      </c>
      <c r="J200" s="4" t="str">
        <f t="shared" si="80"/>
        <v>QSFTVNIDNVIDSVICSSLLASICSLLSIAVDRYFTIFY</v>
      </c>
      <c r="K200" s="4" t="str">
        <f t="shared" si="81"/>
        <v>ALQYHNIM</v>
      </c>
      <c r="L200" s="4" t="str">
        <f t="shared" si="82"/>
        <v>TVKRVGIIISCIWAACTVSGILFIIY</v>
      </c>
      <c r="M200" s="4" t="str">
        <f t="shared" si="83"/>
        <v/>
      </c>
      <c r="N200" s="4" t="str">
        <f t="shared" si="84"/>
        <v>LITMFFTMLALMASLYVHMFLMARLHIKRIAVLPG</v>
      </c>
      <c r="O200" s="4" t="str">
        <f t="shared" si="85"/>
        <v>QGANMKGAITLTILIGVFVVCWAPFFLHLIFYISC</v>
      </c>
      <c r="P200" s="4" t="str">
        <f t="shared" si="86"/>
        <v>CVCFMSHFNLYLILIMCNSIIDPLIYALR</v>
      </c>
      <c r="Q200" s="4" t="str">
        <f t="shared" si="87"/>
        <v>SQELRKTFKEIIC</v>
      </c>
      <c r="R200" s="5">
        <f>VLOOKUP($A200,'SegEnds_NonXtal_Prot#'!$A:$AL,3,FALSE)</f>
        <v>41</v>
      </c>
      <c r="S200" s="5">
        <f>VLOOKUP($A200,'SegEnds_NonXtal_Prot#'!$A:$AL,6,FALSE)</f>
        <v>73</v>
      </c>
      <c r="T200" s="5">
        <f>VLOOKUP($A200,'SegEnds_NonXtal_Prot#'!$A:$AL,9,FALSE)</f>
        <v>77</v>
      </c>
      <c r="U200" s="5" t="str">
        <f>VLOOKUP($A200,'SegEnds_NonXtal_Prot#'!$A:$AL,12,FALSE)</f>
        <v>-</v>
      </c>
      <c r="V200" s="5">
        <f>VLOOKUP($A200,'SegEnds_NonXtal_Prot#'!$A:$AL,15,FALSE)</f>
        <v>115</v>
      </c>
      <c r="W200" s="5">
        <f>VLOOKUP($A200,'SegEnds_NonXtal_Prot#'!$A:$AL,18,FALSE)</f>
        <v>154</v>
      </c>
      <c r="X200" s="5">
        <f>VLOOKUP($A200,'SegEnds_NonXtal_Prot#'!$A:$AL,21,FALSE)</f>
        <v>162</v>
      </c>
      <c r="Y200" s="5" t="str">
        <f>VLOOKUP($A200,'SegEnds_NonXtal_Prot#'!$A:$AL,24,FALSE)</f>
        <v>-</v>
      </c>
      <c r="Z200" s="5">
        <f>VLOOKUP($A200,'SegEnds_NonXtal_Prot#'!$A:$AL,27,FALSE)</f>
        <v>197</v>
      </c>
      <c r="AA200" s="5">
        <f>VLOOKUP($A200,'SegEnds_NonXtal_Prot#'!$A:$AL,30,FALSE)</f>
        <v>237</v>
      </c>
      <c r="AB200" s="5">
        <f>VLOOKUP($A200,'SegEnds_NonXtal_Prot#'!$A:$AL,33,FALSE)</f>
        <v>277</v>
      </c>
      <c r="AC200" s="5">
        <f>VLOOKUP($A200,'SegEnds_NonXtal_Prot#'!$A:$AL,36,FALSE)</f>
        <v>306</v>
      </c>
      <c r="AD200" s="5">
        <f>VLOOKUP($A200,'SegEnds_NonXtal_Prot#'!$A:$AL,5,FALSE)</f>
        <v>72</v>
      </c>
      <c r="AE200" s="5">
        <f>VLOOKUP($A200,'SegEnds_NonXtal_Prot#'!$A:$AL,8,FALSE)</f>
        <v>76</v>
      </c>
      <c r="AF200" s="5">
        <f>VLOOKUP($A200,'SegEnds_NonXtal_Prot#'!$A:$AL,11,FALSE)</f>
        <v>107</v>
      </c>
      <c r="AG200" s="5" t="str">
        <f>VLOOKUP($A200,'SegEnds_NonXtal_Prot#'!$A:$AL,14,FALSE)</f>
        <v>-</v>
      </c>
      <c r="AH200" s="5">
        <f>VLOOKUP($A200,'SegEnds_NonXtal_Prot#'!$A:$AL,17,FALSE)</f>
        <v>153</v>
      </c>
      <c r="AI200" s="5">
        <f>VLOOKUP($A200,'SegEnds_NonXtal_Prot#'!$A:$AL,20,FALSE)</f>
        <v>161</v>
      </c>
      <c r="AJ200" s="5">
        <f>VLOOKUP($A200,'SegEnds_NonXtal_Prot#'!$A:$AL,23,FALSE)</f>
        <v>187</v>
      </c>
      <c r="AK200" s="5" t="str">
        <f>VLOOKUP($A200,'SegEnds_NonXtal_Prot#'!$A:$AL,26,FALSE)</f>
        <v>-</v>
      </c>
      <c r="AL200" s="5">
        <f>VLOOKUP($A200,'SegEnds_NonXtal_Prot#'!$A:$AL,29,FALSE)</f>
        <v>231</v>
      </c>
      <c r="AM200" s="5">
        <f>VLOOKUP($A200,'SegEnds_NonXtal_Prot#'!$A:$AL,32,FALSE)</f>
        <v>271</v>
      </c>
      <c r="AN200" s="5">
        <f>VLOOKUP($A200,'SegEnds_NonXtal_Prot#'!$A:$AL,35,FALSE)</f>
        <v>305</v>
      </c>
      <c r="AO200" s="5">
        <f>VLOOKUP($A200,'SegEnds_NonXtal_Prot#'!$A:$AL,38,FALSE)</f>
        <v>318</v>
      </c>
      <c r="AP200" s="5">
        <f t="shared" si="88"/>
        <v>31</v>
      </c>
      <c r="AQ200" s="4">
        <f t="shared" si="89"/>
        <v>3</v>
      </c>
      <c r="AR200" s="4">
        <f t="shared" si="90"/>
        <v>30</v>
      </c>
      <c r="AS200" s="4" t="str">
        <f t="shared" si="91"/>
        <v>-</v>
      </c>
      <c r="AT200" s="4">
        <f t="shared" si="92"/>
        <v>38</v>
      </c>
      <c r="AU200" s="4">
        <f t="shared" si="93"/>
        <v>7</v>
      </c>
      <c r="AV200" s="4">
        <f t="shared" si="94"/>
        <v>25</v>
      </c>
      <c r="AW200" s="4" t="str">
        <f t="shared" si="95"/>
        <v>-</v>
      </c>
      <c r="AX200" s="4">
        <f t="shared" si="96"/>
        <v>34</v>
      </c>
      <c r="AY200" s="4">
        <f t="shared" si="97"/>
        <v>34</v>
      </c>
      <c r="AZ200" s="4">
        <f t="shared" si="98"/>
        <v>28</v>
      </c>
      <c r="BA200" s="4">
        <f t="shared" si="99"/>
        <v>12</v>
      </c>
    </row>
    <row r="201" spans="1:53" x14ac:dyDescent="0.2">
      <c r="A201" s="1" t="str">
        <f>'SegEnds_NonXtal_Prot#'!A177</f>
        <v>mc5r_human</v>
      </c>
      <c r="B201" s="1" t="str">
        <f t="shared" si="75"/>
        <v>EDMGIAVEVFLTLGVISLLENILVIGAIVKNSPMYFFVCSLAVADMLVSMSSAWETITDAFVRHIDNVFDSMICISVVASMCSLLAIAVDRYVTIFYTARRSGAIIAGIWAFCTGCGIVFILYLISMFFAMLFLLVSLYIHMFLLARTHVKRIAALPGQRTSMQGAVTVTMLLGVFTVCWAPFFLHLTLMLSCCSRFMSHFNMYLILIMCNSVMDPLIYAFRSQEMRKTFKEIIC</v>
      </c>
      <c r="C201" s="29" t="str">
        <f>IF(ISERROR(MATCH(A201,'SegEnds_Xtal_Prot#'!B:B, 0)), "NoXtal", "Xtal")</f>
        <v>NoXtal</v>
      </c>
      <c r="D201" s="4" t="str">
        <f>VLOOKUP(A201,Classification!A:D,2,FALSE)</f>
        <v>A</v>
      </c>
      <c r="E201" s="5" t="str">
        <f>VLOOKUP(A201,Seqs!A:B,2,FALSE)</f>
        <v>MNSSFHLHFLDLNLNATEGNLSGPNVKNKSSPCEDMGIAVEVFLTLGVISLLENILVIGAIVKNKNLHSPMYFFVCSLAVADMLVSMSSAWETITIYLLNNKHLVIADAFVRHIDNVFDSMICISVVASMCSLLAIAVDRYVTIFYALRYHHIMTARRSGAIIAGIWAFCTGCGIVFILYSESTYVILCLISMFFAMLFLLVSLYIHMFLLARTHVKRIAALPGASSARQRTSMQGAVTVTMLLGVFTVCWAPFFLHLTLMLSCPQNLYCSRFMSHFNMYLILIMCNSVMDPLIYAFRSQEMRKTFKEIICCRGFRIACSFPRRD</v>
      </c>
      <c r="F201" s="5" t="str">
        <f t="shared" si="76"/>
        <v>EDMGIAVEVFLTLGVISLLENILVIGAIVKN</v>
      </c>
      <c r="G201" s="4" t="str">
        <f t="shared" si="77"/>
        <v>KNLH</v>
      </c>
      <c r="H201" s="4" t="str">
        <f t="shared" si="78"/>
        <v>SPMYFFVCSLAVADMLVSMSSAWETIT</v>
      </c>
      <c r="I201" s="4" t="str">
        <f t="shared" si="79"/>
        <v/>
      </c>
      <c r="J201" s="4" t="str">
        <f t="shared" si="80"/>
        <v>DAFVRHIDNVFDSMICISVVASMCSLLAIAVDRYVTIFY</v>
      </c>
      <c r="K201" s="4" t="str">
        <f t="shared" si="81"/>
        <v>ALRYHHIM</v>
      </c>
      <c r="L201" s="4" t="str">
        <f t="shared" si="82"/>
        <v>TARRSGAIIAGIWAFCTGCGIVFILY</v>
      </c>
      <c r="M201" s="4" t="str">
        <f t="shared" si="83"/>
        <v/>
      </c>
      <c r="N201" s="4" t="str">
        <f t="shared" si="84"/>
        <v>LISMFFAMLFLLVSLYIHMFLLARTHVKRIAALPG</v>
      </c>
      <c r="O201" s="4" t="str">
        <f t="shared" si="85"/>
        <v>QRTSMQGAVTVTMLLGVFTVCWAPFFLHLTLMLSC</v>
      </c>
      <c r="P201" s="4" t="str">
        <f t="shared" si="86"/>
        <v>CSRFMSHFNMYLILIMCNSVMDPLIYAFR</v>
      </c>
      <c r="Q201" s="4" t="str">
        <f t="shared" si="87"/>
        <v>SQEMRKTFKEIIC</v>
      </c>
      <c r="R201" s="5">
        <f>VLOOKUP($A201,'SegEnds_NonXtal_Prot#'!$A:$AL,3,FALSE)</f>
        <v>34</v>
      </c>
      <c r="S201" s="5">
        <f>VLOOKUP($A201,'SegEnds_NonXtal_Prot#'!$A:$AL,6,FALSE)</f>
        <v>65</v>
      </c>
      <c r="T201" s="5">
        <f>VLOOKUP($A201,'SegEnds_NonXtal_Prot#'!$A:$AL,9,FALSE)</f>
        <v>69</v>
      </c>
      <c r="U201" s="5" t="str">
        <f>VLOOKUP($A201,'SegEnds_NonXtal_Prot#'!$A:$AL,12,FALSE)</f>
        <v>-</v>
      </c>
      <c r="V201" s="5">
        <f>VLOOKUP($A201,'SegEnds_NonXtal_Prot#'!$A:$AL,15,FALSE)</f>
        <v>108</v>
      </c>
      <c r="W201" s="5">
        <f>VLOOKUP($A201,'SegEnds_NonXtal_Prot#'!$A:$AL,18,FALSE)</f>
        <v>147</v>
      </c>
      <c r="X201" s="5">
        <f>VLOOKUP($A201,'SegEnds_NonXtal_Prot#'!$A:$AL,21,FALSE)</f>
        <v>155</v>
      </c>
      <c r="Y201" s="5" t="str">
        <f>VLOOKUP($A201,'SegEnds_NonXtal_Prot#'!$A:$AL,24,FALSE)</f>
        <v>-</v>
      </c>
      <c r="Z201" s="5">
        <f>VLOOKUP($A201,'SegEnds_NonXtal_Prot#'!$A:$AL,27,FALSE)</f>
        <v>190</v>
      </c>
      <c r="AA201" s="5">
        <f>VLOOKUP($A201,'SegEnds_NonXtal_Prot#'!$A:$AL,30,FALSE)</f>
        <v>230</v>
      </c>
      <c r="AB201" s="5">
        <f>VLOOKUP($A201,'SegEnds_NonXtal_Prot#'!$A:$AL,33,FALSE)</f>
        <v>270</v>
      </c>
      <c r="AC201" s="5">
        <f>VLOOKUP($A201,'SegEnds_NonXtal_Prot#'!$A:$AL,36,FALSE)</f>
        <v>299</v>
      </c>
      <c r="AD201" s="5">
        <f>VLOOKUP($A201,'SegEnds_NonXtal_Prot#'!$A:$AL,5,FALSE)</f>
        <v>64</v>
      </c>
      <c r="AE201" s="5">
        <f>VLOOKUP($A201,'SegEnds_NonXtal_Prot#'!$A:$AL,8,FALSE)</f>
        <v>68</v>
      </c>
      <c r="AF201" s="5">
        <f>VLOOKUP($A201,'SegEnds_NonXtal_Prot#'!$A:$AL,11,FALSE)</f>
        <v>95</v>
      </c>
      <c r="AG201" s="5" t="str">
        <f>VLOOKUP($A201,'SegEnds_NonXtal_Prot#'!$A:$AL,14,FALSE)</f>
        <v>-</v>
      </c>
      <c r="AH201" s="5">
        <f>VLOOKUP($A201,'SegEnds_NonXtal_Prot#'!$A:$AL,17,FALSE)</f>
        <v>146</v>
      </c>
      <c r="AI201" s="5">
        <f>VLOOKUP($A201,'SegEnds_NonXtal_Prot#'!$A:$AL,20,FALSE)</f>
        <v>154</v>
      </c>
      <c r="AJ201" s="5">
        <f>VLOOKUP($A201,'SegEnds_NonXtal_Prot#'!$A:$AL,23,FALSE)</f>
        <v>180</v>
      </c>
      <c r="AK201" s="5" t="str">
        <f>VLOOKUP($A201,'SegEnds_NonXtal_Prot#'!$A:$AL,26,FALSE)</f>
        <v>-</v>
      </c>
      <c r="AL201" s="5">
        <f>VLOOKUP($A201,'SegEnds_NonXtal_Prot#'!$A:$AL,29,FALSE)</f>
        <v>224</v>
      </c>
      <c r="AM201" s="5">
        <f>VLOOKUP($A201,'SegEnds_NonXtal_Prot#'!$A:$AL,32,FALSE)</f>
        <v>264</v>
      </c>
      <c r="AN201" s="5">
        <f>VLOOKUP($A201,'SegEnds_NonXtal_Prot#'!$A:$AL,35,FALSE)</f>
        <v>298</v>
      </c>
      <c r="AO201" s="5">
        <f>VLOOKUP($A201,'SegEnds_NonXtal_Prot#'!$A:$AL,38,FALSE)</f>
        <v>311</v>
      </c>
      <c r="AP201" s="5">
        <f t="shared" si="88"/>
        <v>30</v>
      </c>
      <c r="AQ201" s="4">
        <f t="shared" si="89"/>
        <v>3</v>
      </c>
      <c r="AR201" s="4">
        <f t="shared" si="90"/>
        <v>26</v>
      </c>
      <c r="AS201" s="4" t="str">
        <f t="shared" si="91"/>
        <v>-</v>
      </c>
      <c r="AT201" s="4">
        <f t="shared" si="92"/>
        <v>38</v>
      </c>
      <c r="AU201" s="4">
        <f t="shared" si="93"/>
        <v>7</v>
      </c>
      <c r="AV201" s="4">
        <f t="shared" si="94"/>
        <v>25</v>
      </c>
      <c r="AW201" s="4" t="str">
        <f t="shared" si="95"/>
        <v>-</v>
      </c>
      <c r="AX201" s="4">
        <f t="shared" si="96"/>
        <v>34</v>
      </c>
      <c r="AY201" s="4">
        <f t="shared" si="97"/>
        <v>34</v>
      </c>
      <c r="AZ201" s="4">
        <f t="shared" si="98"/>
        <v>28</v>
      </c>
      <c r="BA201" s="4">
        <f t="shared" si="99"/>
        <v>12</v>
      </c>
    </row>
    <row r="202" spans="1:53" x14ac:dyDescent="0.2">
      <c r="A202" s="1" t="str">
        <f>'SegEnds_NonXtal_Prot#'!A179</f>
        <v>mchr2_human</v>
      </c>
      <c r="B202" s="1" t="str">
        <f t="shared" si="75"/>
        <v>FAYQTASVVDTVILPSMIGIICSTGLVGNILIVFTIIRSTVPDIYICNLAVADLVHIVGMPFLIHQWARGGPLCTIITSLDTCNQFACSAIMTVMSVDRYFALVQTRYKTIRINLGLWAASFILALPVWVYSSPDDVLWYTLYLTITTFFFPLPLILVCYILILCYTWEMYQQNSVPKQRVMKLTKMVLVLVVVFILSAAPYHVIQLVNLQMFYVGYYLSICLSYASSSINPFLYILLSGNFQKRLPQIQRR</v>
      </c>
      <c r="C202" s="29" t="str">
        <f>IF(ISERROR(MATCH(A202,'SegEnds_Xtal_Prot#'!B:B, 0)), "NoXtal", "Xtal")</f>
        <v>NoXtal</v>
      </c>
      <c r="D202" s="4" t="str">
        <f>VLOOKUP(A202,Classification!A:D,2,FALSE)</f>
        <v>A</v>
      </c>
      <c r="E202" s="5" t="str">
        <f>VLOOKUP(A202,Seqs!A:B,2,FALSE)</f>
        <v>MNPFHASCWNTSAELLNKSWNKEFAYQTASVVDTVILPSMIGIICSTGLVGNILIVFTIIRSRKKTVPDIYICNLAVADLVHIVGMPFLIHQWARGGEWVFGGPLCTIITSLDTCNQFACSAIMTVMSVDRYFALVQPFRLTRWRTRYKTIRINLGLWAASFILALPVWVYSKVIKFKDGVESCAFDLTSPDDVLWYTLYLTITTFFFPLPLILVCYILILCYTWEMYQQNKDARCCNPSVPKQRVMKLTKMVLVLVVVFILSAAPYHVIQLVNLQMEQPTLAFYVGYYLSICLSYASSSINPFLYILLSGNFQKRLPQIQRRATEKEINNMGNTLKSHF</v>
      </c>
      <c r="F202" s="5" t="str">
        <f t="shared" si="76"/>
        <v>FAYQTASVVDTVILPSMIGIICSTGLVGNILIVFTIIRS</v>
      </c>
      <c r="G202" s="4" t="str">
        <f t="shared" si="77"/>
        <v/>
      </c>
      <c r="H202" s="4" t="str">
        <f t="shared" si="78"/>
        <v>TVPDIYICNLAVADLVHIVGMPFLIHQWAR</v>
      </c>
      <c r="I202" s="4" t="str">
        <f t="shared" si="79"/>
        <v>EWVF</v>
      </c>
      <c r="J202" s="4" t="str">
        <f t="shared" si="80"/>
        <v>GGPLCTIITSLDTCNQFACSAIMTVMSVDRYFALVQ</v>
      </c>
      <c r="K202" s="4" t="str">
        <f t="shared" si="81"/>
        <v>PFRLTRWR</v>
      </c>
      <c r="L202" s="4" t="str">
        <f t="shared" si="82"/>
        <v>TRYKTIRINLGLWAASFILALPVWVYS</v>
      </c>
      <c r="M202" s="4" t="str">
        <f t="shared" si="83"/>
        <v>CAF</v>
      </c>
      <c r="N202" s="4" t="str">
        <f t="shared" si="84"/>
        <v>SPDDVLWYTLYLTITTFFFPLPLILVCYILILCYTWEMYQQN</v>
      </c>
      <c r="O202" s="4" t="str">
        <f t="shared" si="85"/>
        <v>SVPKQRVMKLTKMVLVLVVVFILSAAPYHVIQLVNLQM</v>
      </c>
      <c r="P202" s="4" t="str">
        <f t="shared" si="86"/>
        <v>FYVGYYLSICLSYASSSINPFLYILL</v>
      </c>
      <c r="Q202" s="4" t="str">
        <f t="shared" si="87"/>
        <v>SGNFQKRLPQIQRR</v>
      </c>
      <c r="R202" s="5">
        <f>VLOOKUP($A202,'SegEnds_NonXtal_Prot#'!$A:$AL,3,FALSE)</f>
        <v>24</v>
      </c>
      <c r="S202" s="5" t="str">
        <f>VLOOKUP($A202,'SegEnds_NonXtal_Prot#'!$A:$AL,6,FALSE)</f>
        <v>-</v>
      </c>
      <c r="T202" s="5">
        <f>VLOOKUP($A202,'SegEnds_NonXtal_Prot#'!$A:$AL,9,FALSE)</f>
        <v>66</v>
      </c>
      <c r="U202" s="5">
        <f>VLOOKUP($A202,'SegEnds_NonXtal_Prot#'!$A:$AL,12,FALSE)</f>
        <v>98</v>
      </c>
      <c r="V202" s="5">
        <f>VLOOKUP($A202,'SegEnds_NonXtal_Prot#'!$A:$AL,15,FALSE)</f>
        <v>102</v>
      </c>
      <c r="W202" s="5">
        <f>VLOOKUP($A202,'SegEnds_NonXtal_Prot#'!$A:$AL,18,FALSE)</f>
        <v>138</v>
      </c>
      <c r="X202" s="5">
        <f>VLOOKUP($A202,'SegEnds_NonXtal_Prot#'!$A:$AL,21,FALSE)</f>
        <v>146</v>
      </c>
      <c r="Y202" s="5">
        <f>VLOOKUP($A202,'SegEnds_NonXtal_Prot#'!$A:$AL,24,FALSE)</f>
        <v>184</v>
      </c>
      <c r="Z202" s="5">
        <f>VLOOKUP($A202,'SegEnds_NonXtal_Prot#'!$A:$AL,27,FALSE)</f>
        <v>190</v>
      </c>
      <c r="AA202" s="5">
        <f>VLOOKUP($A202,'SegEnds_NonXtal_Prot#'!$A:$AL,30,FALSE)</f>
        <v>240</v>
      </c>
      <c r="AB202" s="5">
        <f>VLOOKUP($A202,'SegEnds_NonXtal_Prot#'!$A:$AL,33,FALSE)</f>
        <v>284</v>
      </c>
      <c r="AC202" s="5">
        <f>VLOOKUP($A202,'SegEnds_NonXtal_Prot#'!$A:$AL,36,FALSE)</f>
        <v>310</v>
      </c>
      <c r="AD202" s="5">
        <f>VLOOKUP($A202,'SegEnds_NonXtal_Prot#'!$A:$AL,5,FALSE)</f>
        <v>62</v>
      </c>
      <c r="AE202" s="5" t="str">
        <f>VLOOKUP($A202,'SegEnds_NonXtal_Prot#'!$A:$AL,8,FALSE)</f>
        <v>-</v>
      </c>
      <c r="AF202" s="5">
        <f>VLOOKUP($A202,'SegEnds_NonXtal_Prot#'!$A:$AL,11,FALSE)</f>
        <v>95</v>
      </c>
      <c r="AG202" s="5">
        <f>VLOOKUP($A202,'SegEnds_NonXtal_Prot#'!$A:$AL,14,FALSE)</f>
        <v>101</v>
      </c>
      <c r="AH202" s="5">
        <f>VLOOKUP($A202,'SegEnds_NonXtal_Prot#'!$A:$AL,17,FALSE)</f>
        <v>137</v>
      </c>
      <c r="AI202" s="5">
        <f>VLOOKUP($A202,'SegEnds_NonXtal_Prot#'!$A:$AL,20,FALSE)</f>
        <v>145</v>
      </c>
      <c r="AJ202" s="5">
        <f>VLOOKUP($A202,'SegEnds_NonXtal_Prot#'!$A:$AL,23,FALSE)</f>
        <v>172</v>
      </c>
      <c r="AK202" s="5">
        <f>VLOOKUP($A202,'SegEnds_NonXtal_Prot#'!$A:$AL,26,FALSE)</f>
        <v>186</v>
      </c>
      <c r="AL202" s="5">
        <f>VLOOKUP($A202,'SegEnds_NonXtal_Prot#'!$A:$AL,29,FALSE)</f>
        <v>231</v>
      </c>
      <c r="AM202" s="5">
        <f>VLOOKUP($A202,'SegEnds_NonXtal_Prot#'!$A:$AL,32,FALSE)</f>
        <v>277</v>
      </c>
      <c r="AN202" s="5">
        <f>VLOOKUP($A202,'SegEnds_NonXtal_Prot#'!$A:$AL,35,FALSE)</f>
        <v>309</v>
      </c>
      <c r="AO202" s="5">
        <f>VLOOKUP($A202,'SegEnds_NonXtal_Prot#'!$A:$AL,38,FALSE)</f>
        <v>323</v>
      </c>
      <c r="AP202" s="5">
        <f t="shared" si="88"/>
        <v>38</v>
      </c>
      <c r="AQ202" s="4" t="str">
        <f t="shared" si="89"/>
        <v>-</v>
      </c>
      <c r="AR202" s="4">
        <f t="shared" si="90"/>
        <v>29</v>
      </c>
      <c r="AS202" s="4">
        <f t="shared" si="91"/>
        <v>3</v>
      </c>
      <c r="AT202" s="4">
        <f t="shared" si="92"/>
        <v>35</v>
      </c>
      <c r="AU202" s="4">
        <f t="shared" si="93"/>
        <v>7</v>
      </c>
      <c r="AV202" s="4">
        <f t="shared" si="94"/>
        <v>26</v>
      </c>
      <c r="AW202" s="4">
        <f t="shared" si="95"/>
        <v>2</v>
      </c>
      <c r="AX202" s="4">
        <f t="shared" si="96"/>
        <v>41</v>
      </c>
      <c r="AY202" s="4">
        <f t="shared" si="97"/>
        <v>37</v>
      </c>
      <c r="AZ202" s="4">
        <f t="shared" si="98"/>
        <v>25</v>
      </c>
      <c r="BA202" s="4">
        <f t="shared" si="99"/>
        <v>13</v>
      </c>
    </row>
    <row r="203" spans="1:53" x14ac:dyDescent="0.2">
      <c r="A203" s="1" t="str">
        <f>'SegEnds_NonXtal_Prot#'!A180</f>
        <v>mrgrd_human</v>
      </c>
      <c r="B203" s="1" t="str">
        <f t="shared" si="75"/>
        <v>TAYLVLSSLAMFTCLCGMAGNSMVIWLLGFRNPFCIYILNLAAADLLFLFSMASTLSLETQTDKVHELMKRLMYFAYTVGLSLLTAISTQRCLSVLFPRHLSAWVCGLLWTLCLLMNGLTSSFCFRVDMVQAALIMGVLTPVMTLSSLTLFVWVRRSSQRQPTRLFVVVLASVLVFLICSLPLSIYWFVLYWLQVLCFSLSRLSSSVSSSANPVIYFLVGSRRSHRLPTRSLGT</v>
      </c>
      <c r="C203" s="29" t="str">
        <f>IF(ISERROR(MATCH(A203,'SegEnds_Xtal_Prot#'!B:B, 0)), "NoXtal", "Xtal")</f>
        <v>NoXtal</v>
      </c>
      <c r="D203" s="4" t="str">
        <f>VLOOKUP(A203,Classification!A:D,2,FALSE)</f>
        <v>A</v>
      </c>
      <c r="E203" s="5" t="str">
        <f>VLOOKUP(A203,Seqs!A:B,2,FALSE)</f>
        <v>MNQTLNSSGTVESALNYSRGSTVHTAYLVLSSLAMFTCLCGMAGNSMVIWLLGFRMHRNPFCIYILNLAAADLLFLFSMASTLSLETQPLVNTTDKVHELMKRLMYFAYTVGLSLLTAISTQRCLSVLFPIWFKCHRPRHLSAWVCGLLWTLCLLMNGLTSSFCSKFLKFNEDRCFRVDMVQAALIMGVLTPVMTLSSLTLFVWVRRSSQQWRRQPTRLFVVVLASVLVFLICSLPLSIYWFVLYWLSLPPEMQVLCFSLSRLSSSVSSSANPVIYFLVGSRRSHRLPTRSLGTVLQQALREEPELEGGETPTVGTNEMGA</v>
      </c>
      <c r="F203" s="5" t="str">
        <f t="shared" si="76"/>
        <v>TAYLVLSSLAMFTCLCGMAGNSMVIWLLGFR</v>
      </c>
      <c r="G203" s="4" t="str">
        <f t="shared" si="77"/>
        <v/>
      </c>
      <c r="H203" s="4" t="str">
        <f t="shared" si="78"/>
        <v>NPFCIYILNLAAADLLFLFSMASTLSLETQ</v>
      </c>
      <c r="I203" s="4" t="str">
        <f t="shared" si="79"/>
        <v/>
      </c>
      <c r="J203" s="4" t="str">
        <f t="shared" si="80"/>
        <v>TDKVHELMKRLMYFAYTVGLSLLTAISTQRCLSVLF</v>
      </c>
      <c r="K203" s="4" t="str">
        <f t="shared" si="81"/>
        <v>PIWFKCHR</v>
      </c>
      <c r="L203" s="4" t="str">
        <f t="shared" si="82"/>
        <v>PRHLSAWVCGLLWTLCLLMNGLTSSFC</v>
      </c>
      <c r="M203" s="4" t="str">
        <f t="shared" si="83"/>
        <v/>
      </c>
      <c r="N203" s="4" t="str">
        <f t="shared" si="84"/>
        <v>FRVDMVQAALIMGVLTPVMTLSSLTLFVWVRRSSQ</v>
      </c>
      <c r="O203" s="4" t="str">
        <f t="shared" si="85"/>
        <v>RQPTRLFVVVLASVLVFLICSLPLSIYWFVLYWL</v>
      </c>
      <c r="P203" s="4" t="str">
        <f t="shared" si="86"/>
        <v>QVLCFSLSRLSSSVSSSANPVIYFLV</v>
      </c>
      <c r="Q203" s="4" t="str">
        <f t="shared" si="87"/>
        <v>GSRRSHRLPTRSLGT</v>
      </c>
      <c r="R203" s="5">
        <f>VLOOKUP($A203,'SegEnds_NonXtal_Prot#'!$A:$AL,3,FALSE)</f>
        <v>25</v>
      </c>
      <c r="S203" s="5" t="str">
        <f>VLOOKUP($A203,'SegEnds_NonXtal_Prot#'!$A:$AL,6,FALSE)</f>
        <v>-</v>
      </c>
      <c r="T203" s="5">
        <f>VLOOKUP($A203,'SegEnds_NonXtal_Prot#'!$A:$AL,9,FALSE)</f>
        <v>59</v>
      </c>
      <c r="U203" s="5" t="str">
        <f>VLOOKUP($A203,'SegEnds_NonXtal_Prot#'!$A:$AL,12,FALSE)</f>
        <v>-</v>
      </c>
      <c r="V203" s="5">
        <f>VLOOKUP($A203,'SegEnds_NonXtal_Prot#'!$A:$AL,15,FALSE)</f>
        <v>94</v>
      </c>
      <c r="W203" s="5">
        <f>VLOOKUP($A203,'SegEnds_NonXtal_Prot#'!$A:$AL,18,FALSE)</f>
        <v>130</v>
      </c>
      <c r="X203" s="5">
        <f>VLOOKUP($A203,'SegEnds_NonXtal_Prot#'!$A:$AL,21,FALSE)</f>
        <v>138</v>
      </c>
      <c r="Y203" s="5" t="str">
        <f>VLOOKUP($A203,'SegEnds_NonXtal_Prot#'!$A:$AL,24,FALSE)</f>
        <v>-</v>
      </c>
      <c r="Z203" s="5">
        <f>VLOOKUP($A203,'SegEnds_NonXtal_Prot#'!$A:$AL,27,FALSE)</f>
        <v>176</v>
      </c>
      <c r="AA203" s="5">
        <f>VLOOKUP($A203,'SegEnds_NonXtal_Prot#'!$A:$AL,30,FALSE)</f>
        <v>214</v>
      </c>
      <c r="AB203" s="5">
        <f>VLOOKUP($A203,'SegEnds_NonXtal_Prot#'!$A:$AL,33,FALSE)</f>
        <v>254</v>
      </c>
      <c r="AC203" s="5">
        <f>VLOOKUP($A203,'SegEnds_NonXtal_Prot#'!$A:$AL,36,FALSE)</f>
        <v>280</v>
      </c>
      <c r="AD203" s="5">
        <f>VLOOKUP($A203,'SegEnds_NonXtal_Prot#'!$A:$AL,5,FALSE)</f>
        <v>55</v>
      </c>
      <c r="AE203" s="5" t="str">
        <f>VLOOKUP($A203,'SegEnds_NonXtal_Prot#'!$A:$AL,8,FALSE)</f>
        <v>-</v>
      </c>
      <c r="AF203" s="5">
        <f>VLOOKUP($A203,'SegEnds_NonXtal_Prot#'!$A:$AL,11,FALSE)</f>
        <v>88</v>
      </c>
      <c r="AG203" s="5" t="str">
        <f>VLOOKUP($A203,'SegEnds_NonXtal_Prot#'!$A:$AL,14,FALSE)</f>
        <v>-</v>
      </c>
      <c r="AH203" s="5">
        <f>VLOOKUP($A203,'SegEnds_NonXtal_Prot#'!$A:$AL,17,FALSE)</f>
        <v>129</v>
      </c>
      <c r="AI203" s="5">
        <f>VLOOKUP($A203,'SegEnds_NonXtal_Prot#'!$A:$AL,20,FALSE)</f>
        <v>137</v>
      </c>
      <c r="AJ203" s="5">
        <f>VLOOKUP($A203,'SegEnds_NonXtal_Prot#'!$A:$AL,23,FALSE)</f>
        <v>164</v>
      </c>
      <c r="AK203" s="5" t="str">
        <f>VLOOKUP($A203,'SegEnds_NonXtal_Prot#'!$A:$AL,26,FALSE)</f>
        <v>-</v>
      </c>
      <c r="AL203" s="5">
        <f>VLOOKUP($A203,'SegEnds_NonXtal_Prot#'!$A:$AL,29,FALSE)</f>
        <v>210</v>
      </c>
      <c r="AM203" s="5">
        <f>VLOOKUP($A203,'SegEnds_NonXtal_Prot#'!$A:$AL,32,FALSE)</f>
        <v>247</v>
      </c>
      <c r="AN203" s="5">
        <f>VLOOKUP($A203,'SegEnds_NonXtal_Prot#'!$A:$AL,35,FALSE)</f>
        <v>279</v>
      </c>
      <c r="AO203" s="5">
        <f>VLOOKUP($A203,'SegEnds_NonXtal_Prot#'!$A:$AL,38,FALSE)</f>
        <v>294</v>
      </c>
      <c r="AP203" s="5">
        <f t="shared" si="88"/>
        <v>30</v>
      </c>
      <c r="AQ203" s="4" t="str">
        <f t="shared" si="89"/>
        <v>-</v>
      </c>
      <c r="AR203" s="4">
        <f t="shared" si="90"/>
        <v>29</v>
      </c>
      <c r="AS203" s="4" t="str">
        <f t="shared" si="91"/>
        <v>-</v>
      </c>
      <c r="AT203" s="4">
        <f t="shared" si="92"/>
        <v>35</v>
      </c>
      <c r="AU203" s="4">
        <f t="shared" si="93"/>
        <v>7</v>
      </c>
      <c r="AV203" s="4">
        <f t="shared" si="94"/>
        <v>26</v>
      </c>
      <c r="AW203" s="4" t="str">
        <f t="shared" si="95"/>
        <v>-</v>
      </c>
      <c r="AX203" s="4">
        <f t="shared" si="96"/>
        <v>34</v>
      </c>
      <c r="AY203" s="4">
        <f t="shared" si="97"/>
        <v>33</v>
      </c>
      <c r="AZ203" s="4">
        <f t="shared" si="98"/>
        <v>25</v>
      </c>
      <c r="BA203" s="4">
        <f t="shared" si="99"/>
        <v>14</v>
      </c>
    </row>
    <row r="204" spans="1:53" x14ac:dyDescent="0.2">
      <c r="A204" s="1" t="str">
        <f>'SegEnds_NonXtal_Prot#'!A182</f>
        <v>mrgrf_human</v>
      </c>
      <c r="B204" s="1" t="str">
        <f t="shared" si="75"/>
        <v>PPPAVMNYIFLLLCLCGLVGNGLVLWFFGFSNPFSIYFLHLASADVGYLFSKAVFSILNTGADYIRSVCRVLGLCMFLTGVSLLPAVSAERCASVIFPKRLSAVVCALLWVLSLLVTCLHNYFCRHMDIFLGILLFLLCCPLMVLPCLALILHVECRARSAKLNHVILAMVSVFLVSSIYLGIDWFLFWVFPFPEYVTDLCICINSSAKPIVYFLAGRDKSQRLWEPLRVV</v>
      </c>
      <c r="C204" s="29" t="str">
        <f>IF(ISERROR(MATCH(A204,'SegEnds_Xtal_Prot#'!B:B, 0)), "NoXtal", "Xtal")</f>
        <v>NoXtal</v>
      </c>
      <c r="D204" s="4" t="str">
        <f>VLOOKUP(A204,Classification!A:D,2,FALSE)</f>
        <v>A</v>
      </c>
      <c r="E204" s="5" t="str">
        <f>VLOOKUP(A204,Seqs!A:B,2,FALSE)</f>
        <v>MAGNCSWEAHPGNRNKMCPGLSEAPELYSRGFLTIEQIAMLPPPAVMNYIFLLLCLCGLVGNGLVLWFFGFSIKRNPFSIYFLHLASADVGYLFSKAVFSILNTGGFLGTFADYIRSVCRVLGLCMFLTGVSLLPAVSAERCASVIFPAWYWRRRPKRLSAVVCALLWVLSLLVTCLHNYFCVFLGRGAPGAACRHMDIFLGILLFLLCCPLMVLPCLALILHVECRARRRQRSAKLNHVILAMVSVFLVSSIYLGIDWFLFWVFQIPAPFPEYVTDLCICINSSAKPIVYFLAGRDKSQRLWEPLRVVFQRALRDGAELGEAGGSTPNTVTMEMQCPPGNAS</v>
      </c>
      <c r="F204" s="5" t="str">
        <f t="shared" si="76"/>
        <v>PPPAVMNYIFLLLCLCGLVGNGLVLWFFGFS</v>
      </c>
      <c r="G204" s="4" t="str">
        <f t="shared" si="77"/>
        <v/>
      </c>
      <c r="H204" s="4" t="str">
        <f t="shared" si="78"/>
        <v>NPFSIYFLHLASADVGYLFSKAVFSILNTG</v>
      </c>
      <c r="I204" s="4" t="str">
        <f t="shared" si="79"/>
        <v/>
      </c>
      <c r="J204" s="4" t="str">
        <f t="shared" si="80"/>
        <v>ADYIRSVCRVLGLCMFLTGVSLLPAVSAERCASVIF</v>
      </c>
      <c r="K204" s="4" t="str">
        <f t="shared" si="81"/>
        <v>PAWYWRRR</v>
      </c>
      <c r="L204" s="4" t="str">
        <f t="shared" si="82"/>
        <v>PKRLSAVVCALLWVLSLLVTCLHNYFC</v>
      </c>
      <c r="M204" s="4" t="str">
        <f t="shared" si="83"/>
        <v/>
      </c>
      <c r="N204" s="4" t="str">
        <f t="shared" si="84"/>
        <v>RHMDIFLGILLFLLCCPLMVLPCLALILHVECRAR</v>
      </c>
      <c r="O204" s="4" t="str">
        <f t="shared" si="85"/>
        <v>SAKLNHVILAMVSVFLVSSIYLGIDWFLFWVF</v>
      </c>
      <c r="P204" s="4" t="str">
        <f t="shared" si="86"/>
        <v>PFPEYVTDLCICINSSAKPIVYFLA</v>
      </c>
      <c r="Q204" s="4" t="str">
        <f t="shared" si="87"/>
        <v>GRDKSQRLWEPLRVV</v>
      </c>
      <c r="R204" s="5">
        <f>VLOOKUP($A204,'SegEnds_NonXtal_Prot#'!$A:$AL,3,FALSE)</f>
        <v>42</v>
      </c>
      <c r="S204" s="5" t="str">
        <f>VLOOKUP($A204,'SegEnds_NonXtal_Prot#'!$A:$AL,6,FALSE)</f>
        <v>-</v>
      </c>
      <c r="T204" s="5">
        <f>VLOOKUP($A204,'SegEnds_NonXtal_Prot#'!$A:$AL,9,FALSE)</f>
        <v>76</v>
      </c>
      <c r="U204" s="5" t="str">
        <f>VLOOKUP($A204,'SegEnds_NonXtal_Prot#'!$A:$AL,12,FALSE)</f>
        <v>-</v>
      </c>
      <c r="V204" s="5">
        <f>VLOOKUP($A204,'SegEnds_NonXtal_Prot#'!$A:$AL,15,FALSE)</f>
        <v>112</v>
      </c>
      <c r="W204" s="5">
        <f>VLOOKUP($A204,'SegEnds_NonXtal_Prot#'!$A:$AL,18,FALSE)</f>
        <v>148</v>
      </c>
      <c r="X204" s="5">
        <f>VLOOKUP($A204,'SegEnds_NonXtal_Prot#'!$A:$AL,21,FALSE)</f>
        <v>156</v>
      </c>
      <c r="Y204" s="5" t="str">
        <f>VLOOKUP($A204,'SegEnds_NonXtal_Prot#'!$A:$AL,24,FALSE)</f>
        <v>-</v>
      </c>
      <c r="Z204" s="5">
        <f>VLOOKUP($A204,'SegEnds_NonXtal_Prot#'!$A:$AL,27,FALSE)</f>
        <v>195</v>
      </c>
      <c r="AA204" s="5">
        <f>VLOOKUP($A204,'SegEnds_NonXtal_Prot#'!$A:$AL,30,FALSE)</f>
        <v>234</v>
      </c>
      <c r="AB204" s="5">
        <f>VLOOKUP($A204,'SegEnds_NonXtal_Prot#'!$A:$AL,33,FALSE)</f>
        <v>270</v>
      </c>
      <c r="AC204" s="5">
        <f>VLOOKUP($A204,'SegEnds_NonXtal_Prot#'!$A:$AL,36,FALSE)</f>
        <v>295</v>
      </c>
      <c r="AD204" s="5">
        <f>VLOOKUP($A204,'SegEnds_NonXtal_Prot#'!$A:$AL,5,FALSE)</f>
        <v>72</v>
      </c>
      <c r="AE204" s="5" t="str">
        <f>VLOOKUP($A204,'SegEnds_NonXtal_Prot#'!$A:$AL,8,FALSE)</f>
        <v>-</v>
      </c>
      <c r="AF204" s="5">
        <f>VLOOKUP($A204,'SegEnds_NonXtal_Prot#'!$A:$AL,11,FALSE)</f>
        <v>105</v>
      </c>
      <c r="AG204" s="5" t="str">
        <f>VLOOKUP($A204,'SegEnds_NonXtal_Prot#'!$A:$AL,14,FALSE)</f>
        <v>-</v>
      </c>
      <c r="AH204" s="5">
        <f>VLOOKUP($A204,'SegEnds_NonXtal_Prot#'!$A:$AL,17,FALSE)</f>
        <v>147</v>
      </c>
      <c r="AI204" s="5">
        <f>VLOOKUP($A204,'SegEnds_NonXtal_Prot#'!$A:$AL,20,FALSE)</f>
        <v>155</v>
      </c>
      <c r="AJ204" s="5">
        <f>VLOOKUP($A204,'SegEnds_NonXtal_Prot#'!$A:$AL,23,FALSE)</f>
        <v>182</v>
      </c>
      <c r="AK204" s="5" t="str">
        <f>VLOOKUP($A204,'SegEnds_NonXtal_Prot#'!$A:$AL,26,FALSE)</f>
        <v>-</v>
      </c>
      <c r="AL204" s="5">
        <f>VLOOKUP($A204,'SegEnds_NonXtal_Prot#'!$A:$AL,29,FALSE)</f>
        <v>229</v>
      </c>
      <c r="AM204" s="5">
        <f>VLOOKUP($A204,'SegEnds_NonXtal_Prot#'!$A:$AL,32,FALSE)</f>
        <v>265</v>
      </c>
      <c r="AN204" s="5">
        <f>VLOOKUP($A204,'SegEnds_NonXtal_Prot#'!$A:$AL,35,FALSE)</f>
        <v>294</v>
      </c>
      <c r="AO204" s="5">
        <f>VLOOKUP($A204,'SegEnds_NonXtal_Prot#'!$A:$AL,38,FALSE)</f>
        <v>309</v>
      </c>
      <c r="AP204" s="5">
        <f t="shared" si="88"/>
        <v>30</v>
      </c>
      <c r="AQ204" s="4" t="str">
        <f t="shared" si="89"/>
        <v>-</v>
      </c>
      <c r="AR204" s="4">
        <f t="shared" si="90"/>
        <v>29</v>
      </c>
      <c r="AS204" s="4" t="str">
        <f t="shared" si="91"/>
        <v>-</v>
      </c>
      <c r="AT204" s="4">
        <f t="shared" si="92"/>
        <v>35</v>
      </c>
      <c r="AU204" s="4">
        <f t="shared" si="93"/>
        <v>7</v>
      </c>
      <c r="AV204" s="4">
        <f t="shared" si="94"/>
        <v>26</v>
      </c>
      <c r="AW204" s="4" t="str">
        <f t="shared" si="95"/>
        <v>-</v>
      </c>
      <c r="AX204" s="4">
        <f t="shared" si="96"/>
        <v>34</v>
      </c>
      <c r="AY204" s="4">
        <f t="shared" si="97"/>
        <v>31</v>
      </c>
      <c r="AZ204" s="4">
        <f t="shared" si="98"/>
        <v>24</v>
      </c>
      <c r="BA204" s="4">
        <f t="shared" si="99"/>
        <v>14</v>
      </c>
    </row>
    <row r="205" spans="1:53" x14ac:dyDescent="0.2">
      <c r="A205" s="1" t="str">
        <f>'SegEnds_NonXtal_Prot#'!A183</f>
        <v>mrgrg_human</v>
      </c>
      <c r="B205" s="1" t="str">
        <f t="shared" si="75"/>
        <v>TFDSVVFYLTLIVGLGGPVGNGLVLWNLGFRGPFSIYLLHLAAADFLFLSCRVGFSVATLYFVLTFLWFAVGLWLLAAFSVERCLSDLFPRHASAVLCALVWTPTLPAVPLPANACCPRYHVASVTWFLVLARVAWTAGVVLFVWVTCCSRPRLYGIVLGALLLLFFCGLPSVFYWSLQPLLPVFSPLATLLACVNSSSKPLIYSGLGRQPGKREPLRSVLR</v>
      </c>
      <c r="C205" s="29" t="str">
        <f>IF(ISERROR(MATCH(A205,'SegEnds_Xtal_Prot#'!B:B, 0)), "NoXtal", "Xtal")</f>
        <v>NoXtal</v>
      </c>
      <c r="D205" s="4" t="str">
        <f>VLOOKUP(A205,Classification!A:D,2,FALSE)</f>
        <v>A</v>
      </c>
      <c r="E205" s="5" t="str">
        <f>VLOOKUP(A205,Seqs!A:B,2,FALSE)</f>
        <v>MFGLFGLWRTFDSVVFYLTLIVGLGGPVGNGLVLWNLGFRIKKGPFSIYLLHLAAADFLFLSCRVGFSVAQAALGAQDTLYFVLTFLWFAVGLWLLAAFSVERCLSDLFPACYQGCRPRHASAVLCALVWTPTLPAVPLPANACGLLRNSACPLVCPRYHVASVTWFLVLARVAWTAGVVLFVWVTCCSTRPRPRLYGIVLGALLLLFFCGLPSVFYWSLQPLLNFLLPVFSPLATLLACVNSSSKPLIYSGLGRQPGKREPLRSVLRRALGEGAELGARGQSLPMGLL</v>
      </c>
      <c r="F205" s="5" t="str">
        <f t="shared" si="76"/>
        <v>TFDSVVFYLTLIVGLGGPVGNGLVLWNLGFR</v>
      </c>
      <c r="G205" s="4" t="str">
        <f t="shared" si="77"/>
        <v/>
      </c>
      <c r="H205" s="4" t="str">
        <f t="shared" si="78"/>
        <v>GPFSIYLLHLAAADFLFLSCRVGFSVA</v>
      </c>
      <c r="I205" s="4" t="str">
        <f t="shared" si="79"/>
        <v/>
      </c>
      <c r="J205" s="4" t="str">
        <f t="shared" si="80"/>
        <v>TLYFVLTFLWFAVGLWLLAAFSVERCLSDLF</v>
      </c>
      <c r="K205" s="4" t="str">
        <f t="shared" si="81"/>
        <v>PACYQGCR</v>
      </c>
      <c r="L205" s="4" t="str">
        <f t="shared" si="82"/>
        <v>PRHASAVLCALVWTPTLPAVPLPANAC</v>
      </c>
      <c r="M205" s="4" t="str">
        <f t="shared" si="83"/>
        <v/>
      </c>
      <c r="N205" s="4" t="str">
        <f t="shared" si="84"/>
        <v>CPRYHVASVTWFLVLARVAWTAGVVLFVWVTCCS</v>
      </c>
      <c r="O205" s="4" t="str">
        <f t="shared" si="85"/>
        <v>RPRLYGIVLGALLLLFFCGLPSVFYWSLQPLL</v>
      </c>
      <c r="P205" s="4" t="str">
        <f t="shared" si="86"/>
        <v>PVFSPLATLLACVNSSSKPLIYSGL</v>
      </c>
      <c r="Q205" s="4" t="str">
        <f t="shared" si="87"/>
        <v>GRQPGKREPLRSVLR</v>
      </c>
      <c r="R205" s="5">
        <f>VLOOKUP($A205,'SegEnds_NonXtal_Prot#'!$A:$AL,3,FALSE)</f>
        <v>10</v>
      </c>
      <c r="S205" s="5" t="str">
        <f>VLOOKUP($A205,'SegEnds_NonXtal_Prot#'!$A:$AL,6,FALSE)</f>
        <v>-</v>
      </c>
      <c r="T205" s="5">
        <f>VLOOKUP($A205,'SegEnds_NonXtal_Prot#'!$A:$AL,9,FALSE)</f>
        <v>44</v>
      </c>
      <c r="U205" s="5" t="str">
        <f>VLOOKUP($A205,'SegEnds_NonXtal_Prot#'!$A:$AL,12,FALSE)</f>
        <v>-</v>
      </c>
      <c r="V205" s="5">
        <f>VLOOKUP($A205,'SegEnds_NonXtal_Prot#'!$A:$AL,15,FALSE)</f>
        <v>79</v>
      </c>
      <c r="W205" s="5">
        <f>VLOOKUP($A205,'SegEnds_NonXtal_Prot#'!$A:$AL,18,FALSE)</f>
        <v>110</v>
      </c>
      <c r="X205" s="5">
        <f>VLOOKUP($A205,'SegEnds_NonXtal_Prot#'!$A:$AL,21,FALSE)</f>
        <v>118</v>
      </c>
      <c r="Y205" s="5" t="str">
        <f>VLOOKUP($A205,'SegEnds_NonXtal_Prot#'!$A:$AL,24,FALSE)</f>
        <v>-</v>
      </c>
      <c r="Z205" s="5">
        <f>VLOOKUP($A205,'SegEnds_NonXtal_Prot#'!$A:$AL,27,FALSE)</f>
        <v>156</v>
      </c>
      <c r="AA205" s="5">
        <f>VLOOKUP($A205,'SegEnds_NonXtal_Prot#'!$A:$AL,30,FALSE)</f>
        <v>193</v>
      </c>
      <c r="AB205" s="5">
        <f>VLOOKUP($A205,'SegEnds_NonXtal_Prot#'!$A:$AL,33,FALSE)</f>
        <v>229</v>
      </c>
      <c r="AC205" s="5">
        <f>VLOOKUP($A205,'SegEnds_NonXtal_Prot#'!$A:$AL,36,FALSE)</f>
        <v>254</v>
      </c>
      <c r="AD205" s="5">
        <f>VLOOKUP($A205,'SegEnds_NonXtal_Prot#'!$A:$AL,5,FALSE)</f>
        <v>40</v>
      </c>
      <c r="AE205" s="5" t="str">
        <f>VLOOKUP($A205,'SegEnds_NonXtal_Prot#'!$A:$AL,8,FALSE)</f>
        <v>-</v>
      </c>
      <c r="AF205" s="5">
        <f>VLOOKUP($A205,'SegEnds_NonXtal_Prot#'!$A:$AL,11,FALSE)</f>
        <v>70</v>
      </c>
      <c r="AG205" s="5" t="str">
        <f>VLOOKUP($A205,'SegEnds_NonXtal_Prot#'!$A:$AL,14,FALSE)</f>
        <v>-</v>
      </c>
      <c r="AH205" s="5">
        <f>VLOOKUP($A205,'SegEnds_NonXtal_Prot#'!$A:$AL,17,FALSE)</f>
        <v>109</v>
      </c>
      <c r="AI205" s="5">
        <f>VLOOKUP($A205,'SegEnds_NonXtal_Prot#'!$A:$AL,20,FALSE)</f>
        <v>117</v>
      </c>
      <c r="AJ205" s="5">
        <f>VLOOKUP($A205,'SegEnds_NonXtal_Prot#'!$A:$AL,23,FALSE)</f>
        <v>144</v>
      </c>
      <c r="AK205" s="5" t="str">
        <f>VLOOKUP($A205,'SegEnds_NonXtal_Prot#'!$A:$AL,26,FALSE)</f>
        <v>-</v>
      </c>
      <c r="AL205" s="5">
        <f>VLOOKUP($A205,'SegEnds_NonXtal_Prot#'!$A:$AL,29,FALSE)</f>
        <v>189</v>
      </c>
      <c r="AM205" s="5">
        <f>VLOOKUP($A205,'SegEnds_NonXtal_Prot#'!$A:$AL,32,FALSE)</f>
        <v>224</v>
      </c>
      <c r="AN205" s="5">
        <f>VLOOKUP($A205,'SegEnds_NonXtal_Prot#'!$A:$AL,35,FALSE)</f>
        <v>253</v>
      </c>
      <c r="AO205" s="5">
        <f>VLOOKUP($A205,'SegEnds_NonXtal_Prot#'!$A:$AL,38,FALSE)</f>
        <v>268</v>
      </c>
      <c r="AP205" s="5">
        <f t="shared" si="88"/>
        <v>30</v>
      </c>
      <c r="AQ205" s="4" t="str">
        <f t="shared" si="89"/>
        <v>-</v>
      </c>
      <c r="AR205" s="4">
        <f t="shared" si="90"/>
        <v>26</v>
      </c>
      <c r="AS205" s="4" t="str">
        <f t="shared" si="91"/>
        <v>-</v>
      </c>
      <c r="AT205" s="4">
        <f t="shared" si="92"/>
        <v>30</v>
      </c>
      <c r="AU205" s="4">
        <f t="shared" si="93"/>
        <v>7</v>
      </c>
      <c r="AV205" s="4">
        <f t="shared" si="94"/>
        <v>26</v>
      </c>
      <c r="AW205" s="4" t="str">
        <f t="shared" si="95"/>
        <v>-</v>
      </c>
      <c r="AX205" s="4">
        <f t="shared" si="96"/>
        <v>33</v>
      </c>
      <c r="AY205" s="4">
        <f t="shared" si="97"/>
        <v>31</v>
      </c>
      <c r="AZ205" s="4">
        <f t="shared" si="98"/>
        <v>24</v>
      </c>
      <c r="BA205" s="4">
        <f t="shared" si="99"/>
        <v>14</v>
      </c>
    </row>
    <row r="206" spans="1:53" x14ac:dyDescent="0.2">
      <c r="A206" s="1" t="str">
        <f>'SegEnds_NonXtal_Prot#'!A184</f>
        <v>mrgx1_human</v>
      </c>
      <c r="B206" s="1" t="str">
        <f t="shared" si="75"/>
        <v>KQTLSLTVLTCIVSLVGLTGNAVVLWLLGCRNAFSIYILNLAAADFLFLSGRLIYSLLSFIISKILYPVMMFSYFAGLSFLSAVSTERCLSVLWPTHLSAVVCVLLWALSLLRSILEWMLCCQTSDFITVAWLIFLCVVLCGSSLVLLIRILCGSRLTRLYVTILLTVLVFLLCGLPFGIQFFLFLWIEVLFCHVHLVSIFLSALNSSANPIIYFFVGSFRQRQNRQNLKLV</v>
      </c>
      <c r="C206" s="29" t="str">
        <f>IF(ISERROR(MATCH(A206,'SegEnds_Xtal_Prot#'!B:B, 0)), "NoXtal", "Xtal")</f>
        <v>NoXtal</v>
      </c>
      <c r="D206" s="4" t="str">
        <f>VLOOKUP(A206,Classification!A:D,2,FALSE)</f>
        <v>A</v>
      </c>
      <c r="E206" s="5" t="str">
        <f>VLOOKUP(A206,Seqs!A:B,2,FALSE)</f>
        <v>MDPTISTLDTELTPINGTEETLCYKQTLSLTVLTCIVSLVGLTGNAVVLWLLGCRMRRNAFSIYILNLAAADFLFLSGRLIYSLLSFISIPHTISKILYPVMMFSYFAGLSFLSAVSTERCLSVLWPIWYRCHRPTHLSAVVCVLLWALSLLRSILEWMLCGFLFSGADSAWCQTSDFITVAWLIFLCVVLCGSSLVLLIRILCGSRKIPLTRLYVTILLTVLVFLLCGLPFGIQFFLFLWIHVDREVLFCHVHLVSIFLSALNSSANPIIYFFVGSFRQRQNRQNLKLVLQRALQDASEVDEGGGQLPEEILELSGSRLEQ</v>
      </c>
      <c r="F206" s="5" t="str">
        <f t="shared" si="76"/>
        <v>KQTLSLTVLTCIVSLVGLTGNAVVLWLLGCR</v>
      </c>
      <c r="G206" s="4" t="str">
        <f t="shared" si="77"/>
        <v/>
      </c>
      <c r="H206" s="4" t="str">
        <f t="shared" si="78"/>
        <v>NAFSIYILNLAAADFLFLSGRLIYSLLSFI</v>
      </c>
      <c r="I206" s="4" t="str">
        <f t="shared" si="79"/>
        <v/>
      </c>
      <c r="J206" s="4" t="str">
        <f t="shared" si="80"/>
        <v>ISKILYPVMMFSYFAGLSFLSAVSTERCLSVLW</v>
      </c>
      <c r="K206" s="4" t="str">
        <f t="shared" si="81"/>
        <v>PIWYRCHR</v>
      </c>
      <c r="L206" s="4" t="str">
        <f t="shared" si="82"/>
        <v>PTHLSAVVCVLLWALSLLRSILEWMLC</v>
      </c>
      <c r="M206" s="4" t="str">
        <f t="shared" si="83"/>
        <v/>
      </c>
      <c r="N206" s="4" t="str">
        <f t="shared" si="84"/>
        <v>CQTSDFITVAWLIFLCVVLCGSSLVLLIRILCGSR</v>
      </c>
      <c r="O206" s="4" t="str">
        <f t="shared" si="85"/>
        <v>LTRLYVTILLTVLVFLLCGLPFGIQFFLFLWI</v>
      </c>
      <c r="P206" s="4" t="str">
        <f t="shared" si="86"/>
        <v>EVLFCHVHLVSIFLSALNSSANPIIYFFV</v>
      </c>
      <c r="Q206" s="4" t="str">
        <f t="shared" si="87"/>
        <v>GSFRQRQNRQNLKLV</v>
      </c>
      <c r="R206" s="5">
        <f>VLOOKUP($A206,'SegEnds_NonXtal_Prot#'!$A:$AL,3,FALSE)</f>
        <v>25</v>
      </c>
      <c r="S206" s="5" t="str">
        <f>VLOOKUP($A206,'SegEnds_NonXtal_Prot#'!$A:$AL,6,FALSE)</f>
        <v>-</v>
      </c>
      <c r="T206" s="5">
        <f>VLOOKUP($A206,'SegEnds_NonXtal_Prot#'!$A:$AL,9,FALSE)</f>
        <v>59</v>
      </c>
      <c r="U206" s="5" t="str">
        <f>VLOOKUP($A206,'SegEnds_NonXtal_Prot#'!$A:$AL,12,FALSE)</f>
        <v>-</v>
      </c>
      <c r="V206" s="5">
        <f>VLOOKUP($A206,'SegEnds_NonXtal_Prot#'!$A:$AL,15,FALSE)</f>
        <v>94</v>
      </c>
      <c r="W206" s="5">
        <f>VLOOKUP($A206,'SegEnds_NonXtal_Prot#'!$A:$AL,18,FALSE)</f>
        <v>127</v>
      </c>
      <c r="X206" s="5">
        <f>VLOOKUP($A206,'SegEnds_NonXtal_Prot#'!$A:$AL,21,FALSE)</f>
        <v>135</v>
      </c>
      <c r="Y206" s="5" t="str">
        <f>VLOOKUP($A206,'SegEnds_NonXtal_Prot#'!$A:$AL,24,FALSE)</f>
        <v>-</v>
      </c>
      <c r="Z206" s="5">
        <f>VLOOKUP($A206,'SegEnds_NonXtal_Prot#'!$A:$AL,27,FALSE)</f>
        <v>173</v>
      </c>
      <c r="AA206" s="5">
        <f>VLOOKUP($A206,'SegEnds_NonXtal_Prot#'!$A:$AL,30,FALSE)</f>
        <v>211</v>
      </c>
      <c r="AB206" s="5">
        <f>VLOOKUP($A206,'SegEnds_NonXtal_Prot#'!$A:$AL,33,FALSE)</f>
        <v>247</v>
      </c>
      <c r="AC206" s="5">
        <f>VLOOKUP($A206,'SegEnds_NonXtal_Prot#'!$A:$AL,36,FALSE)</f>
        <v>276</v>
      </c>
      <c r="AD206" s="5">
        <f>VLOOKUP($A206,'SegEnds_NonXtal_Prot#'!$A:$AL,5,FALSE)</f>
        <v>55</v>
      </c>
      <c r="AE206" s="5" t="str">
        <f>VLOOKUP($A206,'SegEnds_NonXtal_Prot#'!$A:$AL,8,FALSE)</f>
        <v>-</v>
      </c>
      <c r="AF206" s="5">
        <f>VLOOKUP($A206,'SegEnds_NonXtal_Prot#'!$A:$AL,11,FALSE)</f>
        <v>88</v>
      </c>
      <c r="AG206" s="5" t="str">
        <f>VLOOKUP($A206,'SegEnds_NonXtal_Prot#'!$A:$AL,14,FALSE)</f>
        <v>-</v>
      </c>
      <c r="AH206" s="5">
        <f>VLOOKUP($A206,'SegEnds_NonXtal_Prot#'!$A:$AL,17,FALSE)</f>
        <v>126</v>
      </c>
      <c r="AI206" s="5">
        <f>VLOOKUP($A206,'SegEnds_NonXtal_Prot#'!$A:$AL,20,FALSE)</f>
        <v>134</v>
      </c>
      <c r="AJ206" s="5">
        <f>VLOOKUP($A206,'SegEnds_NonXtal_Prot#'!$A:$AL,23,FALSE)</f>
        <v>161</v>
      </c>
      <c r="AK206" s="5" t="str">
        <f>VLOOKUP($A206,'SegEnds_NonXtal_Prot#'!$A:$AL,26,FALSE)</f>
        <v>-</v>
      </c>
      <c r="AL206" s="5">
        <f>VLOOKUP($A206,'SegEnds_NonXtal_Prot#'!$A:$AL,29,FALSE)</f>
        <v>207</v>
      </c>
      <c r="AM206" s="5">
        <f>VLOOKUP($A206,'SegEnds_NonXtal_Prot#'!$A:$AL,32,FALSE)</f>
        <v>242</v>
      </c>
      <c r="AN206" s="5">
        <f>VLOOKUP($A206,'SegEnds_NonXtal_Prot#'!$A:$AL,35,FALSE)</f>
        <v>275</v>
      </c>
      <c r="AO206" s="5">
        <f>VLOOKUP($A206,'SegEnds_NonXtal_Prot#'!$A:$AL,38,FALSE)</f>
        <v>290</v>
      </c>
      <c r="AP206" s="5">
        <f t="shared" si="88"/>
        <v>30</v>
      </c>
      <c r="AQ206" s="4" t="str">
        <f t="shared" si="89"/>
        <v>-</v>
      </c>
      <c r="AR206" s="4">
        <f t="shared" si="90"/>
        <v>29</v>
      </c>
      <c r="AS206" s="4" t="str">
        <f t="shared" si="91"/>
        <v>-</v>
      </c>
      <c r="AT206" s="4">
        <f t="shared" si="92"/>
        <v>32</v>
      </c>
      <c r="AU206" s="4">
        <f t="shared" si="93"/>
        <v>7</v>
      </c>
      <c r="AV206" s="4">
        <f t="shared" si="94"/>
        <v>26</v>
      </c>
      <c r="AW206" s="4" t="str">
        <f t="shared" si="95"/>
        <v>-</v>
      </c>
      <c r="AX206" s="4">
        <f t="shared" si="96"/>
        <v>34</v>
      </c>
      <c r="AY206" s="4">
        <f t="shared" si="97"/>
        <v>31</v>
      </c>
      <c r="AZ206" s="4">
        <f t="shared" si="98"/>
        <v>28</v>
      </c>
      <c r="BA206" s="4">
        <f t="shared" si="99"/>
        <v>14</v>
      </c>
    </row>
    <row r="207" spans="1:53" x14ac:dyDescent="0.2">
      <c r="A207" s="1" t="str">
        <f>'SegEnds_NonXtal_Prot#'!A185</f>
        <v>mrgx2_human</v>
      </c>
      <c r="B207" s="1" t="str">
        <f t="shared" si="75"/>
        <v>KETLIPVFLILFIALVGLVGNGFVLWLLGFRNAFSVYVLSLAGADFLFLCFQIINCLVYLSSINFPSFFTTVMTCAYLAGLSMLSTVSTERCLSVLWPRHLSAVVCVLLWALSLLLSILEGKFCCQTFDFITAAWLIFLFMVLCGSSLALLVRILCGSRLTRLYLTILLTVLVFLLCGLPFGIQWFLILWIDVLFCHIHPVSVVLSSLNSSANPIIYFFVGSFRKQWRLQQPILK</v>
      </c>
      <c r="C207" s="29" t="str">
        <f>IF(ISERROR(MATCH(A207,'SegEnds_Xtal_Prot#'!B:B, 0)), "NoXtal", "Xtal")</f>
        <v>NoXtal</v>
      </c>
      <c r="D207" s="4" t="str">
        <f>VLOOKUP(A207,Classification!A:D,2,FALSE)</f>
        <v>A</v>
      </c>
      <c r="E207" s="5" t="str">
        <f>VLOOKUP(A207,Seqs!A:B,2,FALSE)</f>
        <v>MDPTTPAWGTESTTVNGNDQALLLLCGKETLIPVFLILFIALVGLVGNGFVLWLLGFRMRRNAFSVYVLSLAGADFLFLCFQIINCLVYLSNFFCSISINFPSFFTTVMTCAYLAGLSMLSTVSTERCLSVLWPIWYRCRRPRHLSAVVCVLLWALSLLLSILEGKFCGFLFSDGDSGWCQTFDFITAAWLIFLFMVLCGSSLALLVRILCGSRGLPLTRLYLTILLTVLVFLLCGLPFGIQWFLILWIWKDSDVLFCHIHPVSVVLSSLNSSANPIIYFFVGSFRKQWRLQQPILKLALQRALQDIAEVDHSEGCFRQGTPEMSRSSLV</v>
      </c>
      <c r="F207" s="5" t="str">
        <f t="shared" si="76"/>
        <v>KETLIPVFLILFIALVGLVGNGFVLWLLGFR</v>
      </c>
      <c r="G207" s="4" t="str">
        <f t="shared" si="77"/>
        <v/>
      </c>
      <c r="H207" s="4" t="str">
        <f t="shared" si="78"/>
        <v>NAFSVYVLSLAGADFLFLCFQIINCLVYLS</v>
      </c>
      <c r="I207" s="4" t="str">
        <f t="shared" si="79"/>
        <v/>
      </c>
      <c r="J207" s="4" t="str">
        <f t="shared" si="80"/>
        <v>SINFPSFFTTVMTCAYLAGLSMLSTVSTERCLSVLW</v>
      </c>
      <c r="K207" s="4" t="str">
        <f t="shared" si="81"/>
        <v>PIWYRCRR</v>
      </c>
      <c r="L207" s="4" t="str">
        <f t="shared" si="82"/>
        <v>PRHLSAVVCVLLWALSLLLSILEGKFC</v>
      </c>
      <c r="M207" s="4" t="str">
        <f t="shared" si="83"/>
        <v/>
      </c>
      <c r="N207" s="4" t="str">
        <f t="shared" si="84"/>
        <v>CQTFDFITAAWLIFLFMVLCGSSLALLVRILCGSR</v>
      </c>
      <c r="O207" s="4" t="str">
        <f t="shared" si="85"/>
        <v>LTRLYLTILLTVLVFLLCGLPFGIQWFLILWI</v>
      </c>
      <c r="P207" s="4" t="str">
        <f t="shared" si="86"/>
        <v>DVLFCHIHPVSVVLSSLNSSANPIIYFFV</v>
      </c>
      <c r="Q207" s="4" t="str">
        <f t="shared" si="87"/>
        <v>GSFRKQWRLQQPILK</v>
      </c>
      <c r="R207" s="5">
        <f>VLOOKUP($A207,'SegEnds_NonXtal_Prot#'!$A:$AL,3,FALSE)</f>
        <v>28</v>
      </c>
      <c r="S207" s="5" t="str">
        <f>VLOOKUP($A207,'SegEnds_NonXtal_Prot#'!$A:$AL,6,FALSE)</f>
        <v>-</v>
      </c>
      <c r="T207" s="5">
        <f>VLOOKUP($A207,'SegEnds_NonXtal_Prot#'!$A:$AL,9,FALSE)</f>
        <v>62</v>
      </c>
      <c r="U207" s="5" t="str">
        <f>VLOOKUP($A207,'SegEnds_NonXtal_Prot#'!$A:$AL,12,FALSE)</f>
        <v>-</v>
      </c>
      <c r="V207" s="5">
        <f>VLOOKUP($A207,'SegEnds_NonXtal_Prot#'!$A:$AL,15,FALSE)</f>
        <v>98</v>
      </c>
      <c r="W207" s="5">
        <f>VLOOKUP($A207,'SegEnds_NonXtal_Prot#'!$A:$AL,18,FALSE)</f>
        <v>134</v>
      </c>
      <c r="X207" s="5">
        <f>VLOOKUP($A207,'SegEnds_NonXtal_Prot#'!$A:$AL,21,FALSE)</f>
        <v>142</v>
      </c>
      <c r="Y207" s="5" t="str">
        <f>VLOOKUP($A207,'SegEnds_NonXtal_Prot#'!$A:$AL,24,FALSE)</f>
        <v>-</v>
      </c>
      <c r="Z207" s="5">
        <f>VLOOKUP($A207,'SegEnds_NonXtal_Prot#'!$A:$AL,27,FALSE)</f>
        <v>180</v>
      </c>
      <c r="AA207" s="5">
        <f>VLOOKUP($A207,'SegEnds_NonXtal_Prot#'!$A:$AL,30,FALSE)</f>
        <v>218</v>
      </c>
      <c r="AB207" s="5">
        <f>VLOOKUP($A207,'SegEnds_NonXtal_Prot#'!$A:$AL,33,FALSE)</f>
        <v>254</v>
      </c>
      <c r="AC207" s="5">
        <f>VLOOKUP($A207,'SegEnds_NonXtal_Prot#'!$A:$AL,36,FALSE)</f>
        <v>283</v>
      </c>
      <c r="AD207" s="5">
        <f>VLOOKUP($A207,'SegEnds_NonXtal_Prot#'!$A:$AL,5,FALSE)</f>
        <v>58</v>
      </c>
      <c r="AE207" s="5" t="str">
        <f>VLOOKUP($A207,'SegEnds_NonXtal_Prot#'!$A:$AL,8,FALSE)</f>
        <v>-</v>
      </c>
      <c r="AF207" s="5">
        <f>VLOOKUP($A207,'SegEnds_NonXtal_Prot#'!$A:$AL,11,FALSE)</f>
        <v>91</v>
      </c>
      <c r="AG207" s="5" t="str">
        <f>VLOOKUP($A207,'SegEnds_NonXtal_Prot#'!$A:$AL,14,FALSE)</f>
        <v>-</v>
      </c>
      <c r="AH207" s="5">
        <f>VLOOKUP($A207,'SegEnds_NonXtal_Prot#'!$A:$AL,17,FALSE)</f>
        <v>133</v>
      </c>
      <c r="AI207" s="5">
        <f>VLOOKUP($A207,'SegEnds_NonXtal_Prot#'!$A:$AL,20,FALSE)</f>
        <v>141</v>
      </c>
      <c r="AJ207" s="5">
        <f>VLOOKUP($A207,'SegEnds_NonXtal_Prot#'!$A:$AL,23,FALSE)</f>
        <v>168</v>
      </c>
      <c r="AK207" s="5" t="str">
        <f>VLOOKUP($A207,'SegEnds_NonXtal_Prot#'!$A:$AL,26,FALSE)</f>
        <v>-</v>
      </c>
      <c r="AL207" s="5">
        <f>VLOOKUP($A207,'SegEnds_NonXtal_Prot#'!$A:$AL,29,FALSE)</f>
        <v>214</v>
      </c>
      <c r="AM207" s="5">
        <f>VLOOKUP($A207,'SegEnds_NonXtal_Prot#'!$A:$AL,32,FALSE)</f>
        <v>249</v>
      </c>
      <c r="AN207" s="5">
        <f>VLOOKUP($A207,'SegEnds_NonXtal_Prot#'!$A:$AL,35,FALSE)</f>
        <v>282</v>
      </c>
      <c r="AO207" s="5">
        <f>VLOOKUP($A207,'SegEnds_NonXtal_Prot#'!$A:$AL,38,FALSE)</f>
        <v>297</v>
      </c>
      <c r="AP207" s="5">
        <f t="shared" si="88"/>
        <v>30</v>
      </c>
      <c r="AQ207" s="4" t="str">
        <f t="shared" si="89"/>
        <v>-</v>
      </c>
      <c r="AR207" s="4">
        <f t="shared" si="90"/>
        <v>29</v>
      </c>
      <c r="AS207" s="4" t="str">
        <f t="shared" si="91"/>
        <v>-</v>
      </c>
      <c r="AT207" s="4">
        <f t="shared" si="92"/>
        <v>35</v>
      </c>
      <c r="AU207" s="4">
        <f t="shared" si="93"/>
        <v>7</v>
      </c>
      <c r="AV207" s="4">
        <f t="shared" si="94"/>
        <v>26</v>
      </c>
      <c r="AW207" s="4" t="str">
        <f t="shared" si="95"/>
        <v>-</v>
      </c>
      <c r="AX207" s="4">
        <f t="shared" si="96"/>
        <v>34</v>
      </c>
      <c r="AY207" s="4">
        <f t="shared" si="97"/>
        <v>31</v>
      </c>
      <c r="AZ207" s="4">
        <f t="shared" si="98"/>
        <v>28</v>
      </c>
      <c r="BA207" s="4">
        <f t="shared" si="99"/>
        <v>14</v>
      </c>
    </row>
    <row r="208" spans="1:53" x14ac:dyDescent="0.2">
      <c r="A208" s="1" t="str">
        <f>'SegEnds_NonXtal_Prot#'!A186</f>
        <v>mrgx3_human</v>
      </c>
      <c r="B208" s="1" t="str">
        <f t="shared" si="75"/>
        <v>KQTLSFTGLTCIVSLVALTGNAVVLWLLGCRNAVSIYILNLVAADFLFLSGHIICSPLRLIISKILSPVMTFPYFIGLSMLSAISTERCLSILWPRYLSSVMCVLLWALSLLRSILEWMFCCETSDFITIAWLVFLCVVLCGSSLVLLVRILCGSRLTRLYVTILLTVLVFLLCGLPFGIQWALFSRIKVLFCHVHLVSIFLSALNSSANPIIYFFVGSFRQRQNRQNLKLV</v>
      </c>
      <c r="C208" s="29" t="str">
        <f>IF(ISERROR(MATCH(A208,'SegEnds_Xtal_Prot#'!B:B, 0)), "NoXtal", "Xtal")</f>
        <v>NoXtal</v>
      </c>
      <c r="D208" s="4" t="str">
        <f>VLOOKUP(A208,Classification!A:D,2,FALSE)</f>
        <v>A</v>
      </c>
      <c r="E208" s="5" t="str">
        <f>VLOOKUP(A208,Seqs!A:B,2,FALSE)</f>
        <v>MDSTIPVLGTELTPINGREETPCYKQTLSFTGLTCIVSLVALTGNAVVLWLLGCRMRRNAVSIYILNLVAADFLFLSGHIICSPLRLINIRHPISKILSPVMTFPYFIGLSMLSAISTERCLSILWPIWYHCRRPRYLSSVMCVLLWALSLLRSILEWMFCDFLFSGANSVWCETSDFITIAWLVFLCVVLCGSSLVLLVRILCGSRKMPLTRLYVTILLTVLVFLLCGLPFGIQWALFSRIHLDWKVLFCHVHLVSIFLSALNSSANPIIYFFVGSFRQRQNRQNLKLVLQRALQDTPEVDEGGGWLPQETLELSGSRLEQ</v>
      </c>
      <c r="F208" s="5" t="str">
        <f t="shared" si="76"/>
        <v>KQTLSFTGLTCIVSLVALTGNAVVLWLLGCR</v>
      </c>
      <c r="G208" s="4" t="str">
        <f t="shared" si="77"/>
        <v/>
      </c>
      <c r="H208" s="4" t="str">
        <f t="shared" si="78"/>
        <v>NAVSIYILNLVAADFLFLSGHIICSPLRLI</v>
      </c>
      <c r="I208" s="4" t="str">
        <f t="shared" si="79"/>
        <v/>
      </c>
      <c r="J208" s="4" t="str">
        <f t="shared" si="80"/>
        <v>ISKILSPVMTFPYFIGLSMLSAISTERCLSILW</v>
      </c>
      <c r="K208" s="4" t="str">
        <f t="shared" si="81"/>
        <v>PIWYHCRR</v>
      </c>
      <c r="L208" s="4" t="str">
        <f t="shared" si="82"/>
        <v>PRYLSSVMCVLLWALSLLRSILEWMFC</v>
      </c>
      <c r="M208" s="4" t="str">
        <f t="shared" si="83"/>
        <v/>
      </c>
      <c r="N208" s="4" t="str">
        <f t="shared" si="84"/>
        <v>CETSDFITIAWLVFLCVVLCGSSLVLLVRILCGSR</v>
      </c>
      <c r="O208" s="4" t="str">
        <f t="shared" si="85"/>
        <v>LTRLYVTILLTVLVFLLCGLPFGIQWALFSRI</v>
      </c>
      <c r="P208" s="4" t="str">
        <f t="shared" si="86"/>
        <v>KVLFCHVHLVSIFLSALNSSANPIIYFFV</v>
      </c>
      <c r="Q208" s="4" t="str">
        <f t="shared" si="87"/>
        <v>GSFRQRQNRQNLKLV</v>
      </c>
      <c r="R208" s="5">
        <f>VLOOKUP($A208,'SegEnds_NonXtal_Prot#'!$A:$AL,3,FALSE)</f>
        <v>25</v>
      </c>
      <c r="S208" s="5" t="str">
        <f>VLOOKUP($A208,'SegEnds_NonXtal_Prot#'!$A:$AL,6,FALSE)</f>
        <v>-</v>
      </c>
      <c r="T208" s="5">
        <f>VLOOKUP($A208,'SegEnds_NonXtal_Prot#'!$A:$AL,9,FALSE)</f>
        <v>59</v>
      </c>
      <c r="U208" s="5" t="str">
        <f>VLOOKUP($A208,'SegEnds_NonXtal_Prot#'!$A:$AL,12,FALSE)</f>
        <v>-</v>
      </c>
      <c r="V208" s="5">
        <f>VLOOKUP($A208,'SegEnds_NonXtal_Prot#'!$A:$AL,15,FALSE)</f>
        <v>94</v>
      </c>
      <c r="W208" s="5">
        <f>VLOOKUP($A208,'SegEnds_NonXtal_Prot#'!$A:$AL,18,FALSE)</f>
        <v>127</v>
      </c>
      <c r="X208" s="5">
        <f>VLOOKUP($A208,'SegEnds_NonXtal_Prot#'!$A:$AL,21,FALSE)</f>
        <v>135</v>
      </c>
      <c r="Y208" s="5" t="str">
        <f>VLOOKUP($A208,'SegEnds_NonXtal_Prot#'!$A:$AL,24,FALSE)</f>
        <v>-</v>
      </c>
      <c r="Z208" s="5">
        <f>VLOOKUP($A208,'SegEnds_NonXtal_Prot#'!$A:$AL,27,FALSE)</f>
        <v>173</v>
      </c>
      <c r="AA208" s="5">
        <f>VLOOKUP($A208,'SegEnds_NonXtal_Prot#'!$A:$AL,30,FALSE)</f>
        <v>211</v>
      </c>
      <c r="AB208" s="5">
        <f>VLOOKUP($A208,'SegEnds_NonXtal_Prot#'!$A:$AL,33,FALSE)</f>
        <v>247</v>
      </c>
      <c r="AC208" s="5">
        <f>VLOOKUP($A208,'SegEnds_NonXtal_Prot#'!$A:$AL,36,FALSE)</f>
        <v>276</v>
      </c>
      <c r="AD208" s="5">
        <f>VLOOKUP($A208,'SegEnds_NonXtal_Prot#'!$A:$AL,5,FALSE)</f>
        <v>55</v>
      </c>
      <c r="AE208" s="5" t="str">
        <f>VLOOKUP($A208,'SegEnds_NonXtal_Prot#'!$A:$AL,8,FALSE)</f>
        <v>-</v>
      </c>
      <c r="AF208" s="5">
        <f>VLOOKUP($A208,'SegEnds_NonXtal_Prot#'!$A:$AL,11,FALSE)</f>
        <v>88</v>
      </c>
      <c r="AG208" s="5" t="str">
        <f>VLOOKUP($A208,'SegEnds_NonXtal_Prot#'!$A:$AL,14,FALSE)</f>
        <v>-</v>
      </c>
      <c r="AH208" s="5">
        <f>VLOOKUP($A208,'SegEnds_NonXtal_Prot#'!$A:$AL,17,FALSE)</f>
        <v>126</v>
      </c>
      <c r="AI208" s="5">
        <f>VLOOKUP($A208,'SegEnds_NonXtal_Prot#'!$A:$AL,20,FALSE)</f>
        <v>134</v>
      </c>
      <c r="AJ208" s="5">
        <f>VLOOKUP($A208,'SegEnds_NonXtal_Prot#'!$A:$AL,23,FALSE)</f>
        <v>161</v>
      </c>
      <c r="AK208" s="5" t="str">
        <f>VLOOKUP($A208,'SegEnds_NonXtal_Prot#'!$A:$AL,26,FALSE)</f>
        <v>-</v>
      </c>
      <c r="AL208" s="5">
        <f>VLOOKUP($A208,'SegEnds_NonXtal_Prot#'!$A:$AL,29,FALSE)</f>
        <v>207</v>
      </c>
      <c r="AM208" s="5">
        <f>VLOOKUP($A208,'SegEnds_NonXtal_Prot#'!$A:$AL,32,FALSE)</f>
        <v>242</v>
      </c>
      <c r="AN208" s="5">
        <f>VLOOKUP($A208,'SegEnds_NonXtal_Prot#'!$A:$AL,35,FALSE)</f>
        <v>275</v>
      </c>
      <c r="AO208" s="5">
        <f>VLOOKUP($A208,'SegEnds_NonXtal_Prot#'!$A:$AL,38,FALSE)</f>
        <v>290</v>
      </c>
      <c r="AP208" s="5">
        <f t="shared" si="88"/>
        <v>30</v>
      </c>
      <c r="AQ208" s="4" t="str">
        <f t="shared" si="89"/>
        <v>-</v>
      </c>
      <c r="AR208" s="4">
        <f t="shared" si="90"/>
        <v>29</v>
      </c>
      <c r="AS208" s="4" t="str">
        <f t="shared" si="91"/>
        <v>-</v>
      </c>
      <c r="AT208" s="4">
        <f t="shared" si="92"/>
        <v>32</v>
      </c>
      <c r="AU208" s="4">
        <f t="shared" si="93"/>
        <v>7</v>
      </c>
      <c r="AV208" s="4">
        <f t="shared" si="94"/>
        <v>26</v>
      </c>
      <c r="AW208" s="4" t="str">
        <f t="shared" si="95"/>
        <v>-</v>
      </c>
      <c r="AX208" s="4">
        <f t="shared" si="96"/>
        <v>34</v>
      </c>
      <c r="AY208" s="4">
        <f t="shared" si="97"/>
        <v>31</v>
      </c>
      <c r="AZ208" s="4">
        <f t="shared" si="98"/>
        <v>28</v>
      </c>
      <c r="BA208" s="4">
        <f t="shared" si="99"/>
        <v>14</v>
      </c>
    </row>
    <row r="209" spans="1:53" x14ac:dyDescent="0.2">
      <c r="A209" s="1" t="str">
        <f>'SegEnds_NonXtal_Prot#'!A187</f>
        <v>mrgx4_human</v>
      </c>
      <c r="B209" s="1" t="str">
        <f t="shared" si="75"/>
        <v>YNQTLSFTVLTCIISLVGLTGNAVVLWLLGYRNAVSIYILNLAAADFLFLSFQIIRLPLRLIIRKILVSVMTFPYFTGLSMLSAISTERCLSVLWPTHLSAVVCVLLWGLSLLFSMLEWRFCSSWCETSDFIPVAWLIFLCVVLCVSSLVLLVRILCGSRLTRLYVTILLTVLVFLLCGLPFGILGALIYRMEVLYCHVYLVCMSLSSLNSSANPIIYFFVGSFRQRQNRQNLK</v>
      </c>
      <c r="C209" s="29" t="str">
        <f>IF(ISERROR(MATCH(A209,'SegEnds_Xtal_Prot#'!B:B, 0)), "NoXtal", "Xtal")</f>
        <v>NoXtal</v>
      </c>
      <c r="D209" s="4" t="str">
        <f>VLOOKUP(A209,Classification!A:D,2,FALSE)</f>
        <v>A</v>
      </c>
      <c r="E209" s="5" t="str">
        <f>VLOOKUP(A209,Seqs!A:B,2,FALSE)</f>
        <v>MDPTVPVFGTKLTPINGREETPCYNQTLSFTVLTCIISLVGLTGNAVVLWLLGYRMRRNAVSIYILNLAAADFLFLSFQIIRLPLRLINISHLIRKILVSVMTFPYFTGLSMLSAISTERCLSVLWPIWYRCRRPTHLSAVVCVLLWGLSLLFSMLEWRFCDFLFSGADSSWCETSDFIPVAWLIFLCVVLCVSSLVLLVRILCGSRKMPLTRLYVTILLTVLVFLLCGLPFGILGALIYRMHLNLEVLYCHVYLVCMSLSSLNSSANPIIYFFVGSFRQRQNRQNLKLVLQRALQDKPEVDKGEGQLPEESLELSGSRLGP</v>
      </c>
      <c r="F209" s="5" t="str">
        <f t="shared" si="76"/>
        <v>YNQTLSFTVLTCIISLVGLTGNAVVLWLLGYR</v>
      </c>
      <c r="G209" s="4" t="str">
        <f t="shared" si="77"/>
        <v/>
      </c>
      <c r="H209" s="4" t="str">
        <f t="shared" si="78"/>
        <v>NAVSIYILNLAAADFLFLSFQIIRLPLRLI</v>
      </c>
      <c r="I209" s="4" t="str">
        <f t="shared" si="79"/>
        <v/>
      </c>
      <c r="J209" s="4" t="str">
        <f t="shared" si="80"/>
        <v>IRKILVSVMTFPYFTGLSMLSAISTERCLSVLW</v>
      </c>
      <c r="K209" s="4" t="str">
        <f t="shared" si="81"/>
        <v>PIWYRCRR</v>
      </c>
      <c r="L209" s="4" t="str">
        <f t="shared" si="82"/>
        <v>PTHLSAVVCVLLWGLSLLFSMLEWRFC</v>
      </c>
      <c r="M209" s="4" t="str">
        <f t="shared" si="83"/>
        <v/>
      </c>
      <c r="N209" s="4" t="str">
        <f t="shared" si="84"/>
        <v>SSWCETSDFIPVAWLIFLCVVLCVSSLVLLVRILCGSR</v>
      </c>
      <c r="O209" s="4" t="str">
        <f t="shared" si="85"/>
        <v>LTRLYVTILLTVLVFLLCGLPFGILGALIYRM</v>
      </c>
      <c r="P209" s="4" t="str">
        <f t="shared" si="86"/>
        <v>EVLYCHVYLVCMSLSSLNSSANPIIYFFV</v>
      </c>
      <c r="Q209" s="4" t="str">
        <f t="shared" si="87"/>
        <v>GSFRQRQNRQNLK</v>
      </c>
      <c r="R209" s="5">
        <f>VLOOKUP($A209,'SegEnds_NonXtal_Prot#'!$A:$AL,3,FALSE)</f>
        <v>24</v>
      </c>
      <c r="S209" s="5" t="str">
        <f>VLOOKUP($A209,'SegEnds_NonXtal_Prot#'!$A:$AL,6,FALSE)</f>
        <v>-</v>
      </c>
      <c r="T209" s="5">
        <f>VLOOKUP($A209,'SegEnds_NonXtal_Prot#'!$A:$AL,9,FALSE)</f>
        <v>59</v>
      </c>
      <c r="U209" s="5" t="str">
        <f>VLOOKUP($A209,'SegEnds_NonXtal_Prot#'!$A:$AL,12,FALSE)</f>
        <v>-</v>
      </c>
      <c r="V209" s="5">
        <f>VLOOKUP($A209,'SegEnds_NonXtal_Prot#'!$A:$AL,15,FALSE)</f>
        <v>94</v>
      </c>
      <c r="W209" s="5">
        <f>VLOOKUP($A209,'SegEnds_NonXtal_Prot#'!$A:$AL,18,FALSE)</f>
        <v>127</v>
      </c>
      <c r="X209" s="5">
        <f>VLOOKUP($A209,'SegEnds_NonXtal_Prot#'!$A:$AL,21,FALSE)</f>
        <v>135</v>
      </c>
      <c r="Y209" s="5" t="str">
        <f>VLOOKUP($A209,'SegEnds_NonXtal_Prot#'!$A:$AL,24,FALSE)</f>
        <v>-</v>
      </c>
      <c r="Z209" s="5">
        <f>VLOOKUP($A209,'SegEnds_NonXtal_Prot#'!$A:$AL,27,FALSE)</f>
        <v>170</v>
      </c>
      <c r="AA209" s="5">
        <f>VLOOKUP($A209,'SegEnds_NonXtal_Prot#'!$A:$AL,30,FALSE)</f>
        <v>211</v>
      </c>
      <c r="AB209" s="5">
        <f>VLOOKUP($A209,'SegEnds_NonXtal_Prot#'!$A:$AL,33,FALSE)</f>
        <v>247</v>
      </c>
      <c r="AC209" s="5">
        <f>VLOOKUP($A209,'SegEnds_NonXtal_Prot#'!$A:$AL,36,FALSE)</f>
        <v>276</v>
      </c>
      <c r="AD209" s="5">
        <f>VLOOKUP($A209,'SegEnds_NonXtal_Prot#'!$A:$AL,5,FALSE)</f>
        <v>55</v>
      </c>
      <c r="AE209" s="5" t="str">
        <f>VLOOKUP($A209,'SegEnds_NonXtal_Prot#'!$A:$AL,8,FALSE)</f>
        <v>-</v>
      </c>
      <c r="AF209" s="5">
        <f>VLOOKUP($A209,'SegEnds_NonXtal_Prot#'!$A:$AL,11,FALSE)</f>
        <v>88</v>
      </c>
      <c r="AG209" s="5" t="str">
        <f>VLOOKUP($A209,'SegEnds_NonXtal_Prot#'!$A:$AL,14,FALSE)</f>
        <v>-</v>
      </c>
      <c r="AH209" s="5">
        <f>VLOOKUP($A209,'SegEnds_NonXtal_Prot#'!$A:$AL,17,FALSE)</f>
        <v>126</v>
      </c>
      <c r="AI209" s="5">
        <f>VLOOKUP($A209,'SegEnds_NonXtal_Prot#'!$A:$AL,20,FALSE)</f>
        <v>134</v>
      </c>
      <c r="AJ209" s="5">
        <f>VLOOKUP($A209,'SegEnds_NonXtal_Prot#'!$A:$AL,23,FALSE)</f>
        <v>161</v>
      </c>
      <c r="AK209" s="5" t="str">
        <f>VLOOKUP($A209,'SegEnds_NonXtal_Prot#'!$A:$AL,26,FALSE)</f>
        <v>-</v>
      </c>
      <c r="AL209" s="5">
        <f>VLOOKUP($A209,'SegEnds_NonXtal_Prot#'!$A:$AL,29,FALSE)</f>
        <v>207</v>
      </c>
      <c r="AM209" s="5">
        <f>VLOOKUP($A209,'SegEnds_NonXtal_Prot#'!$A:$AL,32,FALSE)</f>
        <v>242</v>
      </c>
      <c r="AN209" s="5">
        <f>VLOOKUP($A209,'SegEnds_NonXtal_Prot#'!$A:$AL,35,FALSE)</f>
        <v>275</v>
      </c>
      <c r="AO209" s="5">
        <f>VLOOKUP($A209,'SegEnds_NonXtal_Prot#'!$A:$AL,38,FALSE)</f>
        <v>288</v>
      </c>
      <c r="AP209" s="5">
        <f t="shared" si="88"/>
        <v>31</v>
      </c>
      <c r="AQ209" s="4" t="str">
        <f t="shared" si="89"/>
        <v>-</v>
      </c>
      <c r="AR209" s="4">
        <f t="shared" si="90"/>
        <v>29</v>
      </c>
      <c r="AS209" s="4" t="str">
        <f t="shared" si="91"/>
        <v>-</v>
      </c>
      <c r="AT209" s="4">
        <f t="shared" si="92"/>
        <v>32</v>
      </c>
      <c r="AU209" s="4">
        <f t="shared" si="93"/>
        <v>7</v>
      </c>
      <c r="AV209" s="4">
        <f t="shared" si="94"/>
        <v>26</v>
      </c>
      <c r="AW209" s="4" t="str">
        <f t="shared" si="95"/>
        <v>-</v>
      </c>
      <c r="AX209" s="4">
        <f t="shared" si="96"/>
        <v>37</v>
      </c>
      <c r="AY209" s="4">
        <f t="shared" si="97"/>
        <v>31</v>
      </c>
      <c r="AZ209" s="4">
        <f t="shared" si="98"/>
        <v>28</v>
      </c>
      <c r="BA209" s="4">
        <f t="shared" si="99"/>
        <v>12</v>
      </c>
    </row>
    <row r="210" spans="1:53" x14ac:dyDescent="0.2">
      <c r="A210" s="1" t="str">
        <f>'SegEnds_NonXtal_Prot#'!A189</f>
        <v>mtlr_human</v>
      </c>
      <c r="B210" s="1" t="str">
        <f t="shared" si="75"/>
        <v>LGALVPVTAVCLCLFVVGVSGNVVTVMLIGRYTTTNLYLGSMAVSDLLILLGLPFDLYRLWRSGPLLCRLSLYVGEGCTYATLLHMTALSVERYLAICRTRRRVRALIAVLWAVALLSAGPFLFLVQLGALRVMLWVTTAYFFLPFLCLSILYGLIGRELWSSRRPLSGRERGHRQTVRVLLVVVLAFIICWLPFHVGRIIYINTMYFSQYFNIVALQLFYLSASINPILYNLISKKYRAAAFKLL</v>
      </c>
      <c r="C210" s="29" t="str">
        <f>IF(ISERROR(MATCH(A210,'SegEnds_Xtal_Prot#'!B:B, 0)), "NoXtal", "Xtal")</f>
        <v>NoXtal</v>
      </c>
      <c r="D210" s="4" t="str">
        <f>VLOOKUP(A210,Classification!A:D,2,FALSE)</f>
        <v>A</v>
      </c>
      <c r="E210" s="5" t="str">
        <f>VLOOKUP(A210,Seqs!A:B,2,FALSE)</f>
        <v>MGSPWNGSDGPEGAREPPWPALPPCDERRCSPFPLGALVPVTAVCLCLFVVGVSGNVVTVMLIGRYRDMRTTTNLYLGSMAVSDLLILLGLPFDLYRLWRSRPWVFGPLLCRLSLYVGEGCTYATLLHMTALSVERYLAICRPLRARVLVTRRRVRALIAVLWAVALLSAGPFLFLVGVEQDPGISVVPGLNGTARIASSPLASSPPLWLSRAPPPSPPSGPETAEAAALFSRECRPSPAQLGALRVMLWVTTAYFFLPFLCLSILYGLIGRELWSSRRPLRGPAASGRERGHRQTVRVLLVVVLAFIICWLPFHVGRIIYINTEDSRMMYFSQYFNIVALQLFYLSASINPILYNLISKKYRAAAFKLLLARKSRPRGFHRSRDTAGEVAGDTGGDTVGYTETSANVKTMG</v>
      </c>
      <c r="F210" s="5" t="str">
        <f t="shared" si="76"/>
        <v>LGALVPVTAVCLCLFVVGVSGNVVTVMLIGRY</v>
      </c>
      <c r="G210" s="4" t="str">
        <f t="shared" si="77"/>
        <v>RDMR</v>
      </c>
      <c r="H210" s="4" t="str">
        <f t="shared" si="78"/>
        <v>TTTNLYLGSMAVSDLLILLGLPFDLYRLWRS</v>
      </c>
      <c r="I210" s="4" t="str">
        <f t="shared" si="79"/>
        <v>PWVF</v>
      </c>
      <c r="J210" s="4" t="str">
        <f t="shared" si="80"/>
        <v>GPLLCRLSLYVGEGCTYATLLHMTALSVERYLAICR</v>
      </c>
      <c r="K210" s="4" t="str">
        <f t="shared" si="81"/>
        <v>PLRARVLV</v>
      </c>
      <c r="L210" s="4" t="str">
        <f t="shared" si="82"/>
        <v>TRRRVRALIAVLWAVALLSAGPFLFLV</v>
      </c>
      <c r="M210" s="4" t="str">
        <f t="shared" si="83"/>
        <v>CRP</v>
      </c>
      <c r="N210" s="4" t="str">
        <f t="shared" si="84"/>
        <v>QLGALRVMLWVTTAYFFLPFLCLSILYGLIGRELWSSRRPL</v>
      </c>
      <c r="O210" s="4" t="str">
        <f t="shared" si="85"/>
        <v>SGRERGHRQTVRVLLVVVLAFIICWLPFHVGRIIYINT</v>
      </c>
      <c r="P210" s="4" t="str">
        <f t="shared" si="86"/>
        <v>MYFSQYFNIVALQLFYLSASINPILYNLI</v>
      </c>
      <c r="Q210" s="4" t="str">
        <f t="shared" si="87"/>
        <v>SKKYRAAAFKLL</v>
      </c>
      <c r="R210" s="5">
        <f>VLOOKUP($A210,'SegEnds_NonXtal_Prot#'!$A:$AL,3,FALSE)</f>
        <v>35</v>
      </c>
      <c r="S210" s="5">
        <f>VLOOKUP($A210,'SegEnds_NonXtal_Prot#'!$A:$AL,6,FALSE)</f>
        <v>67</v>
      </c>
      <c r="T210" s="5">
        <f>VLOOKUP($A210,'SegEnds_NonXtal_Prot#'!$A:$AL,9,FALSE)</f>
        <v>71</v>
      </c>
      <c r="U210" s="5">
        <f>VLOOKUP($A210,'SegEnds_NonXtal_Prot#'!$A:$AL,12,FALSE)</f>
        <v>103</v>
      </c>
      <c r="V210" s="5">
        <f>VLOOKUP($A210,'SegEnds_NonXtal_Prot#'!$A:$AL,15,FALSE)</f>
        <v>107</v>
      </c>
      <c r="W210" s="5">
        <f>VLOOKUP($A210,'SegEnds_NonXtal_Prot#'!$A:$AL,18,FALSE)</f>
        <v>143</v>
      </c>
      <c r="X210" s="5">
        <f>VLOOKUP($A210,'SegEnds_NonXtal_Prot#'!$A:$AL,21,FALSE)</f>
        <v>151</v>
      </c>
      <c r="Y210" s="5">
        <f>VLOOKUP($A210,'SegEnds_NonXtal_Prot#'!$A:$AL,24,FALSE)</f>
        <v>235</v>
      </c>
      <c r="Z210" s="5">
        <f>VLOOKUP($A210,'SegEnds_NonXtal_Prot#'!$A:$AL,27,FALSE)</f>
        <v>241</v>
      </c>
      <c r="AA210" s="5">
        <f>VLOOKUP($A210,'SegEnds_NonXtal_Prot#'!$A:$AL,30,FALSE)</f>
        <v>287</v>
      </c>
      <c r="AB210" s="5">
        <f>VLOOKUP($A210,'SegEnds_NonXtal_Prot#'!$A:$AL,33,FALSE)</f>
        <v>330</v>
      </c>
      <c r="AC210" s="5">
        <f>VLOOKUP($A210,'SegEnds_NonXtal_Prot#'!$A:$AL,36,FALSE)</f>
        <v>359</v>
      </c>
      <c r="AD210" s="5">
        <f>VLOOKUP($A210,'SegEnds_NonXtal_Prot#'!$A:$AL,5,FALSE)</f>
        <v>66</v>
      </c>
      <c r="AE210" s="5">
        <f>VLOOKUP($A210,'SegEnds_NonXtal_Prot#'!$A:$AL,8,FALSE)</f>
        <v>70</v>
      </c>
      <c r="AF210" s="5">
        <f>VLOOKUP($A210,'SegEnds_NonXtal_Prot#'!$A:$AL,11,FALSE)</f>
        <v>101</v>
      </c>
      <c r="AG210" s="5">
        <f>VLOOKUP($A210,'SegEnds_NonXtal_Prot#'!$A:$AL,14,FALSE)</f>
        <v>106</v>
      </c>
      <c r="AH210" s="5">
        <f>VLOOKUP($A210,'SegEnds_NonXtal_Prot#'!$A:$AL,17,FALSE)</f>
        <v>142</v>
      </c>
      <c r="AI210" s="5">
        <f>VLOOKUP($A210,'SegEnds_NonXtal_Prot#'!$A:$AL,20,FALSE)</f>
        <v>150</v>
      </c>
      <c r="AJ210" s="5">
        <f>VLOOKUP($A210,'SegEnds_NonXtal_Prot#'!$A:$AL,23,FALSE)</f>
        <v>177</v>
      </c>
      <c r="AK210" s="5">
        <f>VLOOKUP($A210,'SegEnds_NonXtal_Prot#'!$A:$AL,26,FALSE)</f>
        <v>237</v>
      </c>
      <c r="AL210" s="5">
        <f>VLOOKUP($A210,'SegEnds_NonXtal_Prot#'!$A:$AL,29,FALSE)</f>
        <v>281</v>
      </c>
      <c r="AM210" s="5">
        <f>VLOOKUP($A210,'SegEnds_NonXtal_Prot#'!$A:$AL,32,FALSE)</f>
        <v>324</v>
      </c>
      <c r="AN210" s="5">
        <f>VLOOKUP($A210,'SegEnds_NonXtal_Prot#'!$A:$AL,35,FALSE)</f>
        <v>358</v>
      </c>
      <c r="AO210" s="5">
        <f>VLOOKUP($A210,'SegEnds_NonXtal_Prot#'!$A:$AL,38,FALSE)</f>
        <v>370</v>
      </c>
      <c r="AP210" s="5">
        <f t="shared" si="88"/>
        <v>31</v>
      </c>
      <c r="AQ210" s="4">
        <f t="shared" si="89"/>
        <v>3</v>
      </c>
      <c r="AR210" s="4">
        <f t="shared" si="90"/>
        <v>30</v>
      </c>
      <c r="AS210" s="4">
        <f t="shared" si="91"/>
        <v>3</v>
      </c>
      <c r="AT210" s="4">
        <f t="shared" si="92"/>
        <v>35</v>
      </c>
      <c r="AU210" s="4">
        <f t="shared" si="93"/>
        <v>7</v>
      </c>
      <c r="AV210" s="4">
        <f t="shared" si="94"/>
        <v>26</v>
      </c>
      <c r="AW210" s="4">
        <f t="shared" si="95"/>
        <v>2</v>
      </c>
      <c r="AX210" s="4">
        <f t="shared" si="96"/>
        <v>40</v>
      </c>
      <c r="AY210" s="4">
        <f t="shared" si="97"/>
        <v>37</v>
      </c>
      <c r="AZ210" s="4">
        <f t="shared" si="98"/>
        <v>28</v>
      </c>
      <c r="BA210" s="4">
        <f t="shared" si="99"/>
        <v>11</v>
      </c>
    </row>
    <row r="211" spans="1:53" x14ac:dyDescent="0.2">
      <c r="A211" s="1" t="str">
        <f>'SegEnds_NonXtal_Prot#'!A190</f>
        <v>mtr1a_human</v>
      </c>
      <c r="B211" s="1" t="str">
        <f t="shared" si="75"/>
        <v>LASALACVLIFTIVVDILGNLLVILSVYRNNAGNIFVVSLAVADLVVAIYPYPLVLMSIFNGYLHCQVSGFLMGLSVIGSIFNITGIAINRYCYICHSSKNSLCYVLLIWLLTLAAVLPNLRAGSSAYTIAVVVFHFLVPMIIVIFCYLRIWILVLQVRQRVPKLKPQDFRNFVTMFVVFVLFAICWAPLNFIGLAVASDPRIPEWLFVASYYMAYFNSCLNAIIYGLLNQNFRKEYRRII</v>
      </c>
      <c r="C211" s="29" t="str">
        <f>IF(ISERROR(MATCH(A211,'SegEnds_Xtal_Prot#'!B:B, 0)), "NoXtal", "Xtal")</f>
        <v>NoXtal</v>
      </c>
      <c r="D211" s="4" t="str">
        <f>VLOOKUP(A211,Classification!A:D,2,FALSE)</f>
        <v>A</v>
      </c>
      <c r="E211" s="5" t="str">
        <f>VLOOKUP(A211,Seqs!A:B,2,FALSE)</f>
        <v>MQGNGSALPNASQPVLRGDGARPSWLASALACVLIFTIVVDILGNLLVILSVYRNKKLRNAGNIFVVSLAVADLVVAIYPYPLVLMSIFNNGWNLGYLHCQVSGFLMGLSVIGSIFNITGIAINRYCYICHSLKYDKLYSSKNSLCYVLLIWLLTLAAVLPNLRAGTLQYDPRIYSCTFAQSVSSAYTIAVVVFHFLVPMIIVIFCYLRIWILVLQVRQRVKPDRKPKLKPQDFRNFVTMFVVFVLFAICWAPLNFIGLAVASDPASMVPRIPEWLFVASYYMAYFNSCLNAIIYGLLNQNFRKEYRRIIVSLCTARVFFVDSSNDVADRVKWKPSPLMTNNNVVKVDSV</v>
      </c>
      <c r="F211" s="5" t="str">
        <f t="shared" si="76"/>
        <v>LASALACVLIFTIVVDILGNLLVILSVYRN</v>
      </c>
      <c r="G211" s="4" t="str">
        <f t="shared" si="77"/>
        <v>KKLR</v>
      </c>
      <c r="H211" s="4" t="str">
        <f t="shared" si="78"/>
        <v>NAGNIFVVSLAVADLVVAIYPYPLVLMSIFN</v>
      </c>
      <c r="I211" s="4" t="str">
        <f t="shared" si="79"/>
        <v>GWNL</v>
      </c>
      <c r="J211" s="4" t="str">
        <f t="shared" si="80"/>
        <v>GYLHCQVSGFLMGLSVIGSIFNITGIAINRYCYICH</v>
      </c>
      <c r="K211" s="4" t="str">
        <f t="shared" si="81"/>
        <v>SLKYDKLY</v>
      </c>
      <c r="L211" s="4" t="str">
        <f t="shared" si="82"/>
        <v>SSKNSLCYVLLIWLLTLAAVLPNLRAG</v>
      </c>
      <c r="M211" s="4" t="str">
        <f t="shared" si="83"/>
        <v>CTF</v>
      </c>
      <c r="N211" s="4" t="str">
        <f t="shared" si="84"/>
        <v>SSAYTIAVVVFHFLVPMIIVIFCYLRIWILVLQVRQRV</v>
      </c>
      <c r="O211" s="4" t="str">
        <f t="shared" si="85"/>
        <v>PKLKPQDFRNFVTMFVVFVLFAICWAPLNFIGLAVASD</v>
      </c>
      <c r="P211" s="4" t="str">
        <f t="shared" si="86"/>
        <v>PRIPEWLFVASYYMAYFNSCLNAIIYGLL</v>
      </c>
      <c r="Q211" s="4" t="str">
        <f t="shared" si="87"/>
        <v>NQNFRKEYRRII</v>
      </c>
      <c r="R211" s="5">
        <f>VLOOKUP($A211,'SegEnds_NonXtal_Prot#'!$A:$AL,3,FALSE)</f>
        <v>26</v>
      </c>
      <c r="S211" s="5">
        <f>VLOOKUP($A211,'SegEnds_NonXtal_Prot#'!$A:$AL,6,FALSE)</f>
        <v>56</v>
      </c>
      <c r="T211" s="5">
        <f>VLOOKUP($A211,'SegEnds_NonXtal_Prot#'!$A:$AL,9,FALSE)</f>
        <v>60</v>
      </c>
      <c r="U211" s="5">
        <f>VLOOKUP($A211,'SegEnds_NonXtal_Prot#'!$A:$AL,12,FALSE)</f>
        <v>92</v>
      </c>
      <c r="V211" s="5">
        <f>VLOOKUP($A211,'SegEnds_NonXtal_Prot#'!$A:$AL,15,FALSE)</f>
        <v>96</v>
      </c>
      <c r="W211" s="5">
        <f>VLOOKUP($A211,'SegEnds_NonXtal_Prot#'!$A:$AL,18,FALSE)</f>
        <v>132</v>
      </c>
      <c r="X211" s="5">
        <f>VLOOKUP($A211,'SegEnds_NonXtal_Prot#'!$A:$AL,21,FALSE)</f>
        <v>140</v>
      </c>
      <c r="Y211" s="5">
        <f>VLOOKUP($A211,'SegEnds_NonXtal_Prot#'!$A:$AL,24,FALSE)</f>
        <v>177</v>
      </c>
      <c r="Z211" s="5">
        <f>VLOOKUP($A211,'SegEnds_NonXtal_Prot#'!$A:$AL,27,FALSE)</f>
        <v>184</v>
      </c>
      <c r="AA211" s="5">
        <f>VLOOKUP($A211,'SegEnds_NonXtal_Prot#'!$A:$AL,30,FALSE)</f>
        <v>227</v>
      </c>
      <c r="AB211" s="5">
        <f>VLOOKUP($A211,'SegEnds_NonXtal_Prot#'!$A:$AL,33,FALSE)</f>
        <v>270</v>
      </c>
      <c r="AC211" s="5">
        <f>VLOOKUP($A211,'SegEnds_NonXtal_Prot#'!$A:$AL,36,FALSE)</f>
        <v>299</v>
      </c>
      <c r="AD211" s="5">
        <f>VLOOKUP($A211,'SegEnds_NonXtal_Prot#'!$A:$AL,5,FALSE)</f>
        <v>55</v>
      </c>
      <c r="AE211" s="5">
        <f>VLOOKUP($A211,'SegEnds_NonXtal_Prot#'!$A:$AL,8,FALSE)</f>
        <v>59</v>
      </c>
      <c r="AF211" s="5">
        <f>VLOOKUP($A211,'SegEnds_NonXtal_Prot#'!$A:$AL,11,FALSE)</f>
        <v>90</v>
      </c>
      <c r="AG211" s="5">
        <f>VLOOKUP($A211,'SegEnds_NonXtal_Prot#'!$A:$AL,14,FALSE)</f>
        <v>95</v>
      </c>
      <c r="AH211" s="5">
        <f>VLOOKUP($A211,'SegEnds_NonXtal_Prot#'!$A:$AL,17,FALSE)</f>
        <v>131</v>
      </c>
      <c r="AI211" s="5">
        <f>VLOOKUP($A211,'SegEnds_NonXtal_Prot#'!$A:$AL,20,FALSE)</f>
        <v>139</v>
      </c>
      <c r="AJ211" s="5">
        <f>VLOOKUP($A211,'SegEnds_NonXtal_Prot#'!$A:$AL,23,FALSE)</f>
        <v>166</v>
      </c>
      <c r="AK211" s="5">
        <f>VLOOKUP($A211,'SegEnds_NonXtal_Prot#'!$A:$AL,26,FALSE)</f>
        <v>179</v>
      </c>
      <c r="AL211" s="5">
        <f>VLOOKUP($A211,'SegEnds_NonXtal_Prot#'!$A:$AL,29,FALSE)</f>
        <v>221</v>
      </c>
      <c r="AM211" s="5">
        <f>VLOOKUP($A211,'SegEnds_NonXtal_Prot#'!$A:$AL,32,FALSE)</f>
        <v>264</v>
      </c>
      <c r="AN211" s="5">
        <f>VLOOKUP($A211,'SegEnds_NonXtal_Prot#'!$A:$AL,35,FALSE)</f>
        <v>298</v>
      </c>
      <c r="AO211" s="5">
        <f>VLOOKUP($A211,'SegEnds_NonXtal_Prot#'!$A:$AL,38,FALSE)</f>
        <v>310</v>
      </c>
      <c r="AP211" s="5">
        <f t="shared" si="88"/>
        <v>29</v>
      </c>
      <c r="AQ211" s="4">
        <f t="shared" si="89"/>
        <v>3</v>
      </c>
      <c r="AR211" s="4">
        <f t="shared" si="90"/>
        <v>30</v>
      </c>
      <c r="AS211" s="4">
        <f t="shared" si="91"/>
        <v>3</v>
      </c>
      <c r="AT211" s="4">
        <f t="shared" si="92"/>
        <v>35</v>
      </c>
      <c r="AU211" s="4">
        <f t="shared" si="93"/>
        <v>7</v>
      </c>
      <c r="AV211" s="4">
        <f t="shared" si="94"/>
        <v>26</v>
      </c>
      <c r="AW211" s="4">
        <f t="shared" si="95"/>
        <v>2</v>
      </c>
      <c r="AX211" s="4">
        <f t="shared" si="96"/>
        <v>37</v>
      </c>
      <c r="AY211" s="4">
        <f t="shared" si="97"/>
        <v>37</v>
      </c>
      <c r="AZ211" s="4">
        <f t="shared" si="98"/>
        <v>28</v>
      </c>
      <c r="BA211" s="4">
        <f t="shared" si="99"/>
        <v>11</v>
      </c>
    </row>
    <row r="212" spans="1:53" x14ac:dyDescent="0.2">
      <c r="A212" s="1" t="str">
        <f>'SegEnds_NonXtal_Prot#'!A191</f>
        <v>mtr1b_human</v>
      </c>
      <c r="B212" s="1" t="str">
        <f t="shared" si="75"/>
        <v>VAPALSAVLIVTTAVDVVGNLLVILSVLRNNAGNLFLVSLALADLVVAFYPYPLILVAIFYGEEHCKASAFVMGLSVIGSVFNITAIAINRYCYICHRRWHTPLHICLIWLLTVVALLPNFFVGSTQYTAAVVVIHFLLPIAVVSFCYLRIWVLVLQARRKALCLKPSDLRSFLTMFVVFVIFAICWAPLNCIGLAVAINPQIPEGLFVTSYLLAYFNSCLNAIVYGLLNQNFRREYKRIL</v>
      </c>
      <c r="C212" s="29" t="str">
        <f>IF(ISERROR(MATCH(A212,'SegEnds_Xtal_Prot#'!B:B, 0)), "NoXtal", "Xtal")</f>
        <v>NoXtal</v>
      </c>
      <c r="D212" s="4" t="str">
        <f>VLOOKUP(A212,Classification!A:D,2,FALSE)</f>
        <v>A</v>
      </c>
      <c r="E212" s="5" t="str">
        <f>VLOOKUP(A212,Seqs!A:B,2,FALSE)</f>
        <v>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</v>
      </c>
      <c r="F212" s="5" t="str">
        <f t="shared" si="76"/>
        <v>VAPALSAVLIVTTAVDVVGNLLVILSVLRN</v>
      </c>
      <c r="G212" s="4" t="str">
        <f t="shared" si="77"/>
        <v>RKLR</v>
      </c>
      <c r="H212" s="4" t="str">
        <f t="shared" si="78"/>
        <v>NAGNLFLVSLALADLVVAFYPYPLILVAIFY</v>
      </c>
      <c r="I212" s="4" t="str">
        <f t="shared" si="79"/>
        <v>GWAL</v>
      </c>
      <c r="J212" s="4" t="str">
        <f t="shared" si="80"/>
        <v>GEEHCKASAFVMGLSVIGSVFNITAIAINRYCYICH</v>
      </c>
      <c r="K212" s="4" t="str">
        <f t="shared" si="81"/>
        <v>SMAYHRIY</v>
      </c>
      <c r="L212" s="4" t="str">
        <f t="shared" si="82"/>
        <v>RRWHTPLHICLIWLLTVVALLPNFFVG</v>
      </c>
      <c r="M212" s="4" t="str">
        <f t="shared" si="83"/>
        <v>CTF</v>
      </c>
      <c r="N212" s="4" t="str">
        <f t="shared" si="84"/>
        <v>STQYTAAVVVIHFLLPIAVVSFCYLRIWVLVLQARRKA</v>
      </c>
      <c r="O212" s="4" t="str">
        <f t="shared" si="85"/>
        <v>LCLKPSDLRSFLTMFVVFVIFAICWAPLNCIGLAVAIN</v>
      </c>
      <c r="P212" s="4" t="str">
        <f t="shared" si="86"/>
        <v>PQIPEGLFVTSYLLAYFNSCLNAIVYGLL</v>
      </c>
      <c r="Q212" s="4" t="str">
        <f t="shared" si="87"/>
        <v>NQNFRREYKRIL</v>
      </c>
      <c r="R212" s="5">
        <f>VLOOKUP($A212,'SegEnds_NonXtal_Prot#'!$A:$AL,3,FALSE)</f>
        <v>39</v>
      </c>
      <c r="S212" s="5">
        <f>VLOOKUP($A212,'SegEnds_NonXtal_Prot#'!$A:$AL,6,FALSE)</f>
        <v>69</v>
      </c>
      <c r="T212" s="5">
        <f>VLOOKUP($A212,'SegEnds_NonXtal_Prot#'!$A:$AL,9,FALSE)</f>
        <v>73</v>
      </c>
      <c r="U212" s="5">
        <f>VLOOKUP($A212,'SegEnds_NonXtal_Prot#'!$A:$AL,12,FALSE)</f>
        <v>105</v>
      </c>
      <c r="V212" s="5">
        <f>VLOOKUP($A212,'SegEnds_NonXtal_Prot#'!$A:$AL,15,FALSE)</f>
        <v>109</v>
      </c>
      <c r="W212" s="5">
        <f>VLOOKUP($A212,'SegEnds_NonXtal_Prot#'!$A:$AL,18,FALSE)</f>
        <v>145</v>
      </c>
      <c r="X212" s="5">
        <f>VLOOKUP($A212,'SegEnds_NonXtal_Prot#'!$A:$AL,21,FALSE)</f>
        <v>153</v>
      </c>
      <c r="Y212" s="5">
        <f>VLOOKUP($A212,'SegEnds_NonXtal_Prot#'!$A:$AL,24,FALSE)</f>
        <v>190</v>
      </c>
      <c r="Z212" s="5">
        <f>VLOOKUP($A212,'SegEnds_NonXtal_Prot#'!$A:$AL,27,FALSE)</f>
        <v>197</v>
      </c>
      <c r="AA212" s="5">
        <f>VLOOKUP($A212,'SegEnds_NonXtal_Prot#'!$A:$AL,30,FALSE)</f>
        <v>240</v>
      </c>
      <c r="AB212" s="5">
        <f>VLOOKUP($A212,'SegEnds_NonXtal_Prot#'!$A:$AL,33,FALSE)</f>
        <v>283</v>
      </c>
      <c r="AC212" s="5">
        <f>VLOOKUP($A212,'SegEnds_NonXtal_Prot#'!$A:$AL,36,FALSE)</f>
        <v>312</v>
      </c>
      <c r="AD212" s="5">
        <f>VLOOKUP($A212,'SegEnds_NonXtal_Prot#'!$A:$AL,5,FALSE)</f>
        <v>68</v>
      </c>
      <c r="AE212" s="5">
        <f>VLOOKUP($A212,'SegEnds_NonXtal_Prot#'!$A:$AL,8,FALSE)</f>
        <v>72</v>
      </c>
      <c r="AF212" s="5">
        <f>VLOOKUP($A212,'SegEnds_NonXtal_Prot#'!$A:$AL,11,FALSE)</f>
        <v>103</v>
      </c>
      <c r="AG212" s="5">
        <f>VLOOKUP($A212,'SegEnds_NonXtal_Prot#'!$A:$AL,14,FALSE)</f>
        <v>108</v>
      </c>
      <c r="AH212" s="5">
        <f>VLOOKUP($A212,'SegEnds_NonXtal_Prot#'!$A:$AL,17,FALSE)</f>
        <v>144</v>
      </c>
      <c r="AI212" s="5">
        <f>VLOOKUP($A212,'SegEnds_NonXtal_Prot#'!$A:$AL,20,FALSE)</f>
        <v>152</v>
      </c>
      <c r="AJ212" s="5">
        <f>VLOOKUP($A212,'SegEnds_NonXtal_Prot#'!$A:$AL,23,FALSE)</f>
        <v>179</v>
      </c>
      <c r="AK212" s="5">
        <f>VLOOKUP($A212,'SegEnds_NonXtal_Prot#'!$A:$AL,26,FALSE)</f>
        <v>192</v>
      </c>
      <c r="AL212" s="5">
        <f>VLOOKUP($A212,'SegEnds_NonXtal_Prot#'!$A:$AL,29,FALSE)</f>
        <v>234</v>
      </c>
      <c r="AM212" s="5">
        <f>VLOOKUP($A212,'SegEnds_NonXtal_Prot#'!$A:$AL,32,FALSE)</f>
        <v>277</v>
      </c>
      <c r="AN212" s="5">
        <f>VLOOKUP($A212,'SegEnds_NonXtal_Prot#'!$A:$AL,35,FALSE)</f>
        <v>311</v>
      </c>
      <c r="AO212" s="5">
        <f>VLOOKUP($A212,'SegEnds_NonXtal_Prot#'!$A:$AL,38,FALSE)</f>
        <v>323</v>
      </c>
      <c r="AP212" s="5">
        <f t="shared" si="88"/>
        <v>29</v>
      </c>
      <c r="AQ212" s="4">
        <f t="shared" si="89"/>
        <v>3</v>
      </c>
      <c r="AR212" s="4">
        <f t="shared" si="90"/>
        <v>30</v>
      </c>
      <c r="AS212" s="4">
        <f t="shared" si="91"/>
        <v>3</v>
      </c>
      <c r="AT212" s="4">
        <f t="shared" si="92"/>
        <v>35</v>
      </c>
      <c r="AU212" s="4">
        <f t="shared" si="93"/>
        <v>7</v>
      </c>
      <c r="AV212" s="4">
        <f t="shared" si="94"/>
        <v>26</v>
      </c>
      <c r="AW212" s="4">
        <f t="shared" si="95"/>
        <v>2</v>
      </c>
      <c r="AX212" s="4">
        <f t="shared" si="96"/>
        <v>37</v>
      </c>
      <c r="AY212" s="4">
        <f t="shared" si="97"/>
        <v>37</v>
      </c>
      <c r="AZ212" s="4">
        <f t="shared" si="98"/>
        <v>28</v>
      </c>
      <c r="BA212" s="4">
        <f t="shared" si="99"/>
        <v>11</v>
      </c>
    </row>
    <row r="213" spans="1:53" x14ac:dyDescent="0.2">
      <c r="A213" s="1" t="str">
        <f>'SegEnds_NonXtal_Prot#'!A192</f>
        <v>mtr1l_human</v>
      </c>
      <c r="B213" s="1" t="str">
        <f t="shared" si="75"/>
        <v>LIIFMFCAMVITIVVDLIGNSMVILAVTKNNSGNIFVVSLSVADMLVAIYPYPLMLHAMSISQLQCQMVGFITGLSVVGSIFNIVAIAINRYCYICHSVRNTCIYLVITWIMTVLAVLPNMYIGNPVFTVTIVCIHFVLPLLIVGFCYVRIWTKVLAARDPAPDNQLAEVRNFLTMFVIFLLFAVCWCPINVLTVLVAVSGKIPNWLYLAAYFIAYFNSCLNAVIYGLLNENFRREYWTIF</v>
      </c>
      <c r="C213" s="29" t="str">
        <f>IF(ISERROR(MATCH(A213,'SegEnds_Xtal_Prot#'!B:B, 0)), "NoXtal", "Xtal")</f>
        <v>NoXtal</v>
      </c>
      <c r="D213" s="4" t="str">
        <f>VLOOKUP(A213,Classification!A:D,2,FALSE)</f>
        <v>A</v>
      </c>
      <c r="E213" s="5" t="str">
        <f>VLOOKUP(A213,Seqs!A:B,2,FALSE)</f>
        <v>MGPTLAVPTPYGCIGCKLPQPEYPPALIIFMFCAMVITIVVDLIGNSMVILAVTKNKKLRNSGNIFVVSLSVADMLVAIYPYPLMLHAMSIGGWDLSQLQCQMVGFITGLSVVGSIFNIVAIAINRYCYICHSLQYERIFSVRNTCIYLVITWIMTVLAVLPNMYIGTIEYDPRTYTCIFNYLNNPVFTVTIVCIHFVLPLLIVGFCYVRIWTKVLAARDPAGQNPDNQLAEVRNFLTMFVIFLLFAVCWCPINVLTVLVAVSPKEMAGKIPNWLYLAAYFIAYFNSCLNAVIYGLLNENFRREYWTIFHAMRHPIIFFSGLISDIREMQEARTLARARAHARDQAREQDRAHACPAVEETPMNVRNVPLPGDAAAGHPDRASGHPKPHSRSSSAYRKSASTHHKSVFSHSKAASGHLKPVSGHSKPASGHPKSATVYPKPASVHFKADSVHFKGDSVHFKPDSVHFKPASSNPKPITGHHVSAGSHSKSAFSAATSHPKPTTGHIKPATSHAEPTTADYPKPATTSHPKPTAADNPELSASHCPEIPAIAHPVSDDSDLPESASSPAAGPTKPAASQLESDTIADLPDPTVVTTSTNDYHDVVVIDVEDDPDEMAV</v>
      </c>
      <c r="F213" s="5" t="str">
        <f t="shared" si="76"/>
        <v>LIIFMFCAMVITIVVDLIGNSMVILAVTKN</v>
      </c>
      <c r="G213" s="4" t="str">
        <f t="shared" si="77"/>
        <v>KKLR</v>
      </c>
      <c r="H213" s="4" t="str">
        <f t="shared" si="78"/>
        <v>NSGNIFVVSLSVADMLVAIYPYPLMLHAMSI</v>
      </c>
      <c r="I213" s="4" t="str">
        <f t="shared" si="79"/>
        <v>GWDL</v>
      </c>
      <c r="J213" s="4" t="str">
        <f t="shared" si="80"/>
        <v>SQLQCQMVGFITGLSVVGSIFNIVAIAINRYCYICH</v>
      </c>
      <c r="K213" s="4" t="str">
        <f t="shared" si="81"/>
        <v>SLQYERIF</v>
      </c>
      <c r="L213" s="4" t="str">
        <f t="shared" si="82"/>
        <v>SVRNTCIYLVITWIMTVLAVLPNMYIG</v>
      </c>
      <c r="M213" s="4" t="str">
        <f t="shared" si="83"/>
        <v>CIF</v>
      </c>
      <c r="N213" s="4" t="str">
        <f t="shared" si="84"/>
        <v>NPVFTVTIVCIHFVLPLLIVGFCYVRIWTKVLAARDPA</v>
      </c>
      <c r="O213" s="4" t="str">
        <f t="shared" si="85"/>
        <v>PDNQLAEVRNFLTMFVIFLLFAVCWCPINVLTVLVAVS</v>
      </c>
      <c r="P213" s="4" t="str">
        <f t="shared" si="86"/>
        <v>GKIPNWLYLAAYFIAYFNSCLNAVIYGLL</v>
      </c>
      <c r="Q213" s="4" t="str">
        <f t="shared" si="87"/>
        <v>NENFRREYWTIF</v>
      </c>
      <c r="R213" s="5">
        <f>VLOOKUP($A213,'SegEnds_NonXtal_Prot#'!$A:$AL,3,FALSE)</f>
        <v>27</v>
      </c>
      <c r="S213" s="5">
        <f>VLOOKUP($A213,'SegEnds_NonXtal_Prot#'!$A:$AL,6,FALSE)</f>
        <v>57</v>
      </c>
      <c r="T213" s="5">
        <f>VLOOKUP($A213,'SegEnds_NonXtal_Prot#'!$A:$AL,9,FALSE)</f>
        <v>61</v>
      </c>
      <c r="U213" s="5">
        <f>VLOOKUP($A213,'SegEnds_NonXtal_Prot#'!$A:$AL,12,FALSE)</f>
        <v>93</v>
      </c>
      <c r="V213" s="5">
        <f>VLOOKUP($A213,'SegEnds_NonXtal_Prot#'!$A:$AL,15,FALSE)</f>
        <v>97</v>
      </c>
      <c r="W213" s="5">
        <f>VLOOKUP($A213,'SegEnds_NonXtal_Prot#'!$A:$AL,18,FALSE)</f>
        <v>133</v>
      </c>
      <c r="X213" s="5">
        <f>VLOOKUP($A213,'SegEnds_NonXtal_Prot#'!$A:$AL,21,FALSE)</f>
        <v>141</v>
      </c>
      <c r="Y213" s="5">
        <f>VLOOKUP($A213,'SegEnds_NonXtal_Prot#'!$A:$AL,24,FALSE)</f>
        <v>178</v>
      </c>
      <c r="Z213" s="5">
        <f>VLOOKUP($A213,'SegEnds_NonXtal_Prot#'!$A:$AL,27,FALSE)</f>
        <v>185</v>
      </c>
      <c r="AA213" s="5">
        <f>VLOOKUP($A213,'SegEnds_NonXtal_Prot#'!$A:$AL,30,FALSE)</f>
        <v>226</v>
      </c>
      <c r="AB213" s="5">
        <f>VLOOKUP($A213,'SegEnds_NonXtal_Prot#'!$A:$AL,33,FALSE)</f>
        <v>269</v>
      </c>
      <c r="AC213" s="5">
        <f>VLOOKUP($A213,'SegEnds_NonXtal_Prot#'!$A:$AL,36,FALSE)</f>
        <v>298</v>
      </c>
      <c r="AD213" s="5">
        <f>VLOOKUP($A213,'SegEnds_NonXtal_Prot#'!$A:$AL,5,FALSE)</f>
        <v>56</v>
      </c>
      <c r="AE213" s="5">
        <f>VLOOKUP($A213,'SegEnds_NonXtal_Prot#'!$A:$AL,8,FALSE)</f>
        <v>60</v>
      </c>
      <c r="AF213" s="5">
        <f>VLOOKUP($A213,'SegEnds_NonXtal_Prot#'!$A:$AL,11,FALSE)</f>
        <v>91</v>
      </c>
      <c r="AG213" s="5">
        <f>VLOOKUP($A213,'SegEnds_NonXtal_Prot#'!$A:$AL,14,FALSE)</f>
        <v>96</v>
      </c>
      <c r="AH213" s="5">
        <f>VLOOKUP($A213,'SegEnds_NonXtal_Prot#'!$A:$AL,17,FALSE)</f>
        <v>132</v>
      </c>
      <c r="AI213" s="5">
        <f>VLOOKUP($A213,'SegEnds_NonXtal_Prot#'!$A:$AL,20,FALSE)</f>
        <v>140</v>
      </c>
      <c r="AJ213" s="5">
        <f>VLOOKUP($A213,'SegEnds_NonXtal_Prot#'!$A:$AL,23,FALSE)</f>
        <v>167</v>
      </c>
      <c r="AK213" s="5">
        <f>VLOOKUP($A213,'SegEnds_NonXtal_Prot#'!$A:$AL,26,FALSE)</f>
        <v>180</v>
      </c>
      <c r="AL213" s="5">
        <f>VLOOKUP($A213,'SegEnds_NonXtal_Prot#'!$A:$AL,29,FALSE)</f>
        <v>222</v>
      </c>
      <c r="AM213" s="5">
        <f>VLOOKUP($A213,'SegEnds_NonXtal_Prot#'!$A:$AL,32,FALSE)</f>
        <v>263</v>
      </c>
      <c r="AN213" s="5">
        <f>VLOOKUP($A213,'SegEnds_NonXtal_Prot#'!$A:$AL,35,FALSE)</f>
        <v>297</v>
      </c>
      <c r="AO213" s="5">
        <f>VLOOKUP($A213,'SegEnds_NonXtal_Prot#'!$A:$AL,38,FALSE)</f>
        <v>309</v>
      </c>
      <c r="AP213" s="5">
        <f t="shared" si="88"/>
        <v>29</v>
      </c>
      <c r="AQ213" s="4">
        <f t="shared" si="89"/>
        <v>3</v>
      </c>
      <c r="AR213" s="4">
        <f t="shared" si="90"/>
        <v>30</v>
      </c>
      <c r="AS213" s="4">
        <f t="shared" si="91"/>
        <v>3</v>
      </c>
      <c r="AT213" s="4">
        <f t="shared" si="92"/>
        <v>35</v>
      </c>
      <c r="AU213" s="4">
        <f t="shared" si="93"/>
        <v>7</v>
      </c>
      <c r="AV213" s="4">
        <f t="shared" si="94"/>
        <v>26</v>
      </c>
      <c r="AW213" s="4">
        <f t="shared" si="95"/>
        <v>2</v>
      </c>
      <c r="AX213" s="4">
        <f t="shared" si="96"/>
        <v>37</v>
      </c>
      <c r="AY213" s="4">
        <f t="shared" si="97"/>
        <v>37</v>
      </c>
      <c r="AZ213" s="4">
        <f t="shared" si="98"/>
        <v>28</v>
      </c>
      <c r="BA213" s="4">
        <f t="shared" si="99"/>
        <v>11</v>
      </c>
    </row>
    <row r="214" spans="1:53" x14ac:dyDescent="0.2">
      <c r="A214" s="1" t="str">
        <f>'SegEnds_NonXtal_Prot#'!A193</f>
        <v>nmbr_human</v>
      </c>
      <c r="B214" s="1" t="str">
        <f t="shared" si="75"/>
        <v>SDGTTTELVIRCVIPSLYLLIITVGLLGNIMLVKIFITNSVPNIFISNLAAGDLLLLLTCVPVDASRYFFGKVGCKLIPVIQLTSVGVSVFTLTALSADRYRAIVNALLRTCVKAMGIWVVSVLLAVPEAVFSQTDELHPKIHSVLIFLVYFLIPLAIISIYYYHIAKTLIKSAHNLKKQMETRKRLAKIVLVFVGCFIFCWFPNHILYMYRSFNSLGHMIVTLVARVLSFGNSCVNPFALYLLSESFRRHFNSQLCC</v>
      </c>
      <c r="C214" s="29" t="str">
        <f>IF(ISERROR(MATCH(A214,'SegEnds_Xtal_Prot#'!B:B, 0)), "NoXtal", "Xtal")</f>
        <v>NoXtal</v>
      </c>
      <c r="D214" s="4" t="str">
        <f>VLOOKUP(A214,Classification!A:D,2,FALSE)</f>
        <v>A</v>
      </c>
      <c r="E214" s="5" t="str">
        <f>VLOOKUP(A214,Seqs!A:B,2,FALSE)</f>
        <v>MPSKSLSNLSVTTGANESGSVPEGWERDFLPASDGTTTELVIRCVIPSLYLLIITVGLLGNIMLVKIFITNSAMRSVPNIFISNLAAGDLLLLLTCVPVDASRYFFDEWMFGKVGCKLIPVIQLTSVGVSVFTLTALSADRYRAIVNPMDMQTSGALLRTCVKAMGIWVVSVLLAVPEAVFSEVARISSLDNSSFTACIPYPQTDELHPKIHSVLIFLVYFLIPLAIISIYYYHIAKTLIKSAHNLPGEYNEHTKKQMETRKRLAKIVLVFVGCFIFCWFPNHILYMYRSFNYNEIDPSLGHMIVTLVARVLSFGNSCVNPFALYLLSESFRRHFNSQLCCGRKSYQERGTSYLLSSSAVRMTSLKSNAKNMVTNSVLLNGHSMKQEMAL</v>
      </c>
      <c r="F214" s="5" t="str">
        <f t="shared" si="76"/>
        <v>SDGTTTELVIRCVIPSLYLLIITVGLLGNIMLVKIFITN</v>
      </c>
      <c r="G214" s="4" t="str">
        <f t="shared" si="77"/>
        <v>SAMR</v>
      </c>
      <c r="H214" s="4" t="str">
        <f t="shared" si="78"/>
        <v>SVPNIFISNLAAGDLLLLLTCVPVDASRYFF</v>
      </c>
      <c r="I214" s="4" t="str">
        <f t="shared" si="79"/>
        <v>EWMF</v>
      </c>
      <c r="J214" s="4" t="str">
        <f t="shared" si="80"/>
        <v>GKVGCKLIPVIQLTSVGVSVFTLTALSADRYRAIVN</v>
      </c>
      <c r="K214" s="4" t="str">
        <f t="shared" si="81"/>
        <v>PMDMQTSG</v>
      </c>
      <c r="L214" s="4" t="str">
        <f t="shared" si="82"/>
        <v>ALLRTCVKAMGIWVVSVLLAVPEAVFS</v>
      </c>
      <c r="M214" s="4" t="str">
        <f t="shared" si="83"/>
        <v>CIP</v>
      </c>
      <c r="N214" s="4" t="str">
        <f t="shared" si="84"/>
        <v>QTDELHPKIHSVLIFLVYFLIPLAIISIYYYHIAKTLIKSAHNL</v>
      </c>
      <c r="O214" s="4" t="str">
        <f t="shared" si="85"/>
        <v>KKQMETRKRLAKIVLVFVGCFIFCWFPNHILYMYRSFN</v>
      </c>
      <c r="P214" s="4" t="str">
        <f t="shared" si="86"/>
        <v>SLGHMIVTLVARVLSFGNSCVNPFALYLL</v>
      </c>
      <c r="Q214" s="4" t="str">
        <f t="shared" si="87"/>
        <v>SESFRRHFNSQLCC</v>
      </c>
      <c r="R214" s="5">
        <f>VLOOKUP($A214,'SegEnds_NonXtal_Prot#'!$A:$AL,3,FALSE)</f>
        <v>33</v>
      </c>
      <c r="S214" s="5">
        <f>VLOOKUP($A214,'SegEnds_NonXtal_Prot#'!$A:$AL,6,FALSE)</f>
        <v>72</v>
      </c>
      <c r="T214" s="5">
        <f>VLOOKUP($A214,'SegEnds_NonXtal_Prot#'!$A:$AL,9,FALSE)</f>
        <v>76</v>
      </c>
      <c r="U214" s="5">
        <f>VLOOKUP($A214,'SegEnds_NonXtal_Prot#'!$A:$AL,12,FALSE)</f>
        <v>108</v>
      </c>
      <c r="V214" s="5">
        <f>VLOOKUP($A214,'SegEnds_NonXtal_Prot#'!$A:$AL,15,FALSE)</f>
        <v>112</v>
      </c>
      <c r="W214" s="5">
        <f>VLOOKUP($A214,'SegEnds_NonXtal_Prot#'!$A:$AL,18,FALSE)</f>
        <v>148</v>
      </c>
      <c r="X214" s="5">
        <f>VLOOKUP($A214,'SegEnds_NonXtal_Prot#'!$A:$AL,21,FALSE)</f>
        <v>156</v>
      </c>
      <c r="Y214" s="5">
        <f>VLOOKUP($A214,'SegEnds_NonXtal_Prot#'!$A:$AL,24,FALSE)</f>
        <v>198</v>
      </c>
      <c r="Z214" s="5">
        <f>VLOOKUP($A214,'SegEnds_NonXtal_Prot#'!$A:$AL,27,FALSE)</f>
        <v>203</v>
      </c>
      <c r="AA214" s="5">
        <f>VLOOKUP($A214,'SegEnds_NonXtal_Prot#'!$A:$AL,30,FALSE)</f>
        <v>255</v>
      </c>
      <c r="AB214" s="5">
        <f>VLOOKUP($A214,'SegEnds_NonXtal_Prot#'!$A:$AL,33,FALSE)</f>
        <v>299</v>
      </c>
      <c r="AC214" s="5">
        <f>VLOOKUP($A214,'SegEnds_NonXtal_Prot#'!$A:$AL,36,FALSE)</f>
        <v>328</v>
      </c>
      <c r="AD214" s="5">
        <f>VLOOKUP($A214,'SegEnds_NonXtal_Prot#'!$A:$AL,5,FALSE)</f>
        <v>71</v>
      </c>
      <c r="AE214" s="5">
        <f>VLOOKUP($A214,'SegEnds_NonXtal_Prot#'!$A:$AL,8,FALSE)</f>
        <v>75</v>
      </c>
      <c r="AF214" s="5">
        <f>VLOOKUP($A214,'SegEnds_NonXtal_Prot#'!$A:$AL,11,FALSE)</f>
        <v>106</v>
      </c>
      <c r="AG214" s="5">
        <f>VLOOKUP($A214,'SegEnds_NonXtal_Prot#'!$A:$AL,14,FALSE)</f>
        <v>111</v>
      </c>
      <c r="AH214" s="5">
        <f>VLOOKUP($A214,'SegEnds_NonXtal_Prot#'!$A:$AL,17,FALSE)</f>
        <v>147</v>
      </c>
      <c r="AI214" s="5">
        <f>VLOOKUP($A214,'SegEnds_NonXtal_Prot#'!$A:$AL,20,FALSE)</f>
        <v>155</v>
      </c>
      <c r="AJ214" s="5">
        <f>VLOOKUP($A214,'SegEnds_NonXtal_Prot#'!$A:$AL,23,FALSE)</f>
        <v>182</v>
      </c>
      <c r="AK214" s="5">
        <f>VLOOKUP($A214,'SegEnds_NonXtal_Prot#'!$A:$AL,26,FALSE)</f>
        <v>200</v>
      </c>
      <c r="AL214" s="5">
        <f>VLOOKUP($A214,'SegEnds_NonXtal_Prot#'!$A:$AL,29,FALSE)</f>
        <v>246</v>
      </c>
      <c r="AM214" s="5">
        <f>VLOOKUP($A214,'SegEnds_NonXtal_Prot#'!$A:$AL,32,FALSE)</f>
        <v>292</v>
      </c>
      <c r="AN214" s="5">
        <f>VLOOKUP($A214,'SegEnds_NonXtal_Prot#'!$A:$AL,35,FALSE)</f>
        <v>327</v>
      </c>
      <c r="AO214" s="5">
        <f>VLOOKUP($A214,'SegEnds_NonXtal_Prot#'!$A:$AL,38,FALSE)</f>
        <v>341</v>
      </c>
      <c r="AP214" s="5">
        <f t="shared" si="88"/>
        <v>38</v>
      </c>
      <c r="AQ214" s="4">
        <f t="shared" si="89"/>
        <v>3</v>
      </c>
      <c r="AR214" s="4">
        <f t="shared" si="90"/>
        <v>30</v>
      </c>
      <c r="AS214" s="4">
        <f t="shared" si="91"/>
        <v>3</v>
      </c>
      <c r="AT214" s="4">
        <f t="shared" si="92"/>
        <v>35</v>
      </c>
      <c r="AU214" s="4">
        <f t="shared" si="93"/>
        <v>7</v>
      </c>
      <c r="AV214" s="4">
        <f t="shared" si="94"/>
        <v>26</v>
      </c>
      <c r="AW214" s="4">
        <f t="shared" si="95"/>
        <v>2</v>
      </c>
      <c r="AX214" s="4">
        <f t="shared" si="96"/>
        <v>43</v>
      </c>
      <c r="AY214" s="4">
        <f t="shared" si="97"/>
        <v>37</v>
      </c>
      <c r="AZ214" s="4">
        <f t="shared" si="98"/>
        <v>28</v>
      </c>
      <c r="BA214" s="4">
        <f t="shared" si="99"/>
        <v>13</v>
      </c>
    </row>
    <row r="215" spans="1:53" x14ac:dyDescent="0.2">
      <c r="A215" s="1" t="str">
        <f>'SegEnds_NonXtal_Prot#'!A194</f>
        <v>nmur1_human</v>
      </c>
      <c r="B215" s="1" t="str">
        <f t="shared" si="75"/>
        <v>TELFMPICATYLLIFVVGAVGNGLTCLVILRHTPTNYYLFSLAVSDLLVLLVGLPLELYEMWLLGVGGCYFRTLLFEMVCLASVLNVTALSVERYVAVVHTRAHVRRVLGAVWGLAMLCSLPNTSLHRALYNMVVQTTALLFFCLPMAIMSVLYLLIGLRLRRERLLLMQEAQQHDRGRRQVTKMLFVLVVVFGICWAPFHADRVMWSVVHLAFQHVHVISGIFFYLGSAANPVLYSLMSSRFRETFQEAL</v>
      </c>
      <c r="C215" s="29" t="str">
        <f>IF(ISERROR(MATCH(A215,'SegEnds_Xtal_Prot#'!B:B, 0)), "NoXtal", "Xtal")</f>
        <v>NoXtal</v>
      </c>
      <c r="D215" s="4" t="str">
        <f>VLOOKUP(A215,Classification!A:D,2,FALSE)</f>
        <v>A</v>
      </c>
      <c r="E215" s="5" t="str">
        <f>VLOOKUP(A215,Seqs!A:B,2,FALSE)</f>
        <v>MTPLCLNCSVLPGDLYPGGARNPMACNGSAARGHFDPEDLNLTDEALRLKYLGPQQTELFMPICATYLLIFVVGAVGNGLTCLVILRHKAMRTPTNYYLFSLAVSDLLVLLVGLPLELYEMWHNYPFLLGVGGCYFRTLLFEMVCLASVLNVTALSVERYVAVVHPLQARSMVTRAHVRRVLGAVWGLAMLCSLPNTSLHGIRQLHVPCRGPVPDSAVCMLVRPRALYNMVVQTTALLFFCLPMAIMSVLYLLIGLRLRRERLLLMQEAKGRGSAAARSRYTCRLQQHDRGRRQVTKMLFVLVVVFGICWAPFHADRVMWSVVSQWTDGLHLAFQHVHVISGIFFYLGSAANPVLYSLMSSRFRETFQEALCLGACCHRLRPRHSSHSLSRMTTGSTLCDVGSLGSWVHPLAGNDGPEAQQETDPS</v>
      </c>
      <c r="F215" s="5" t="str">
        <f t="shared" si="76"/>
        <v>TELFMPICATYLLIFVVGAVGNGLTCLVILRH</v>
      </c>
      <c r="G215" s="4" t="str">
        <f t="shared" si="77"/>
        <v>KAMR</v>
      </c>
      <c r="H215" s="4" t="str">
        <f t="shared" si="78"/>
        <v>TPTNYYLFSLAVSDLLVLLVGLPLELYEMW</v>
      </c>
      <c r="I215" s="4" t="str">
        <f t="shared" si="79"/>
        <v>NYPF</v>
      </c>
      <c r="J215" s="4" t="str">
        <f t="shared" si="80"/>
        <v>LLGVGGCYFRTLLFEMVCLASVLNVTALSVERYVAVVH</v>
      </c>
      <c r="K215" s="4" t="str">
        <f t="shared" si="81"/>
        <v>PLQARSMV</v>
      </c>
      <c r="L215" s="4" t="str">
        <f t="shared" si="82"/>
        <v>TRAHVRRVLGAVWGLAMLCSLPNTSLH</v>
      </c>
      <c r="M215" s="4" t="str">
        <f t="shared" si="83"/>
        <v>CML</v>
      </c>
      <c r="N215" s="4" t="str">
        <f t="shared" si="84"/>
        <v>RALYNMVVQTTALLFFCLPMAIMSVLYLLIGLRLRRERLLLMQEA</v>
      </c>
      <c r="O215" s="4" t="str">
        <f t="shared" si="85"/>
        <v>QQHDRGRRQVTKMLFVLVVVFGICWAPFHADRVMWSVV</v>
      </c>
      <c r="P215" s="4" t="str">
        <f t="shared" si="86"/>
        <v>HLAFQHVHVISGIFFYLGSAANPVLYSLM</v>
      </c>
      <c r="Q215" s="4" t="str">
        <f t="shared" si="87"/>
        <v>SSRFRETFQEAL</v>
      </c>
      <c r="R215" s="5">
        <f>VLOOKUP($A215,'SegEnds_NonXtal_Prot#'!$A:$AL,3,FALSE)</f>
        <v>57</v>
      </c>
      <c r="S215" s="5">
        <f>VLOOKUP($A215,'SegEnds_NonXtal_Prot#'!$A:$AL,6,FALSE)</f>
        <v>89</v>
      </c>
      <c r="T215" s="5">
        <f>VLOOKUP($A215,'SegEnds_NonXtal_Prot#'!$A:$AL,9,FALSE)</f>
        <v>93</v>
      </c>
      <c r="U215" s="5">
        <f>VLOOKUP($A215,'SegEnds_NonXtal_Prot#'!$A:$AL,12,FALSE)</f>
        <v>124</v>
      </c>
      <c r="V215" s="5">
        <f>VLOOKUP($A215,'SegEnds_NonXtal_Prot#'!$A:$AL,15,FALSE)</f>
        <v>128</v>
      </c>
      <c r="W215" s="5">
        <f>VLOOKUP($A215,'SegEnds_NonXtal_Prot#'!$A:$AL,18,FALSE)</f>
        <v>166</v>
      </c>
      <c r="X215" s="5">
        <f>VLOOKUP($A215,'SegEnds_NonXtal_Prot#'!$A:$AL,21,FALSE)</f>
        <v>174</v>
      </c>
      <c r="Y215" s="5">
        <f>VLOOKUP($A215,'SegEnds_NonXtal_Prot#'!$A:$AL,24,FALSE)</f>
        <v>219</v>
      </c>
      <c r="Z215" s="5">
        <f>VLOOKUP($A215,'SegEnds_NonXtal_Prot#'!$A:$AL,27,FALSE)</f>
        <v>225</v>
      </c>
      <c r="AA215" s="5">
        <f>VLOOKUP($A215,'SegEnds_NonXtal_Prot#'!$A:$AL,30,FALSE)</f>
        <v>286</v>
      </c>
      <c r="AB215" s="5">
        <f>VLOOKUP($A215,'SegEnds_NonXtal_Prot#'!$A:$AL,33,FALSE)</f>
        <v>331</v>
      </c>
      <c r="AC215" s="5">
        <f>VLOOKUP($A215,'SegEnds_NonXtal_Prot#'!$A:$AL,36,FALSE)</f>
        <v>360</v>
      </c>
      <c r="AD215" s="5">
        <f>VLOOKUP($A215,'SegEnds_NonXtal_Prot#'!$A:$AL,5,FALSE)</f>
        <v>88</v>
      </c>
      <c r="AE215" s="5">
        <f>VLOOKUP($A215,'SegEnds_NonXtal_Prot#'!$A:$AL,8,FALSE)</f>
        <v>92</v>
      </c>
      <c r="AF215" s="5">
        <f>VLOOKUP($A215,'SegEnds_NonXtal_Prot#'!$A:$AL,11,FALSE)</f>
        <v>122</v>
      </c>
      <c r="AG215" s="5">
        <f>VLOOKUP($A215,'SegEnds_NonXtal_Prot#'!$A:$AL,14,FALSE)</f>
        <v>127</v>
      </c>
      <c r="AH215" s="5">
        <f>VLOOKUP($A215,'SegEnds_NonXtal_Prot#'!$A:$AL,17,FALSE)</f>
        <v>165</v>
      </c>
      <c r="AI215" s="5">
        <f>VLOOKUP($A215,'SegEnds_NonXtal_Prot#'!$A:$AL,20,FALSE)</f>
        <v>173</v>
      </c>
      <c r="AJ215" s="5">
        <f>VLOOKUP($A215,'SegEnds_NonXtal_Prot#'!$A:$AL,23,FALSE)</f>
        <v>200</v>
      </c>
      <c r="AK215" s="5">
        <f>VLOOKUP($A215,'SegEnds_NonXtal_Prot#'!$A:$AL,26,FALSE)</f>
        <v>221</v>
      </c>
      <c r="AL215" s="5">
        <f>VLOOKUP($A215,'SegEnds_NonXtal_Prot#'!$A:$AL,29,FALSE)</f>
        <v>269</v>
      </c>
      <c r="AM215" s="5">
        <f>VLOOKUP($A215,'SegEnds_NonXtal_Prot#'!$A:$AL,32,FALSE)</f>
        <v>323</v>
      </c>
      <c r="AN215" s="5">
        <f>VLOOKUP($A215,'SegEnds_NonXtal_Prot#'!$A:$AL,35,FALSE)</f>
        <v>359</v>
      </c>
      <c r="AO215" s="5">
        <f>VLOOKUP($A215,'SegEnds_NonXtal_Prot#'!$A:$AL,38,FALSE)</f>
        <v>371</v>
      </c>
      <c r="AP215" s="5">
        <f t="shared" si="88"/>
        <v>31</v>
      </c>
      <c r="AQ215" s="4">
        <f t="shared" si="89"/>
        <v>3</v>
      </c>
      <c r="AR215" s="4">
        <f t="shared" si="90"/>
        <v>29</v>
      </c>
      <c r="AS215" s="4">
        <f t="shared" si="91"/>
        <v>3</v>
      </c>
      <c r="AT215" s="4">
        <f t="shared" si="92"/>
        <v>37</v>
      </c>
      <c r="AU215" s="4">
        <f t="shared" si="93"/>
        <v>7</v>
      </c>
      <c r="AV215" s="4">
        <f t="shared" si="94"/>
        <v>26</v>
      </c>
      <c r="AW215" s="4">
        <f t="shared" si="95"/>
        <v>2</v>
      </c>
      <c r="AX215" s="4">
        <f t="shared" si="96"/>
        <v>44</v>
      </c>
      <c r="AY215" s="4">
        <f t="shared" si="97"/>
        <v>37</v>
      </c>
      <c r="AZ215" s="4">
        <f t="shared" si="98"/>
        <v>28</v>
      </c>
      <c r="BA215" s="4">
        <f t="shared" si="99"/>
        <v>11</v>
      </c>
    </row>
    <row r="216" spans="1:53" x14ac:dyDescent="0.2">
      <c r="A216" s="1" t="str">
        <f>'SegEnds_NonXtal_Prot#'!A195</f>
        <v>nmur2_human</v>
      </c>
      <c r="B216" s="1" t="str">
        <f t="shared" si="75"/>
        <v>SHFFLPVSVVYVPIFVVGVIGNVLVCLVILQHTPTNYYLFSLAVSDLLVLLLGMPLEVYEMWLFGPVGCYFKTALFETVCFASILSITTVSVERYVAILHTRRRALRILGIVWGFSVLFSLPNTSIHMWIYNFIIQVTSFLFYLLPMTVISVLYYLMALRLKKDKSLEANANIQRPCRKSVNKMLFVLVLVFAICWAPFHIDRLFFSFVAAVFNLVHVVSGVFFYLSSAVNPIIYNLLSRRFQAAFQNVI</v>
      </c>
      <c r="C216" s="29" t="str">
        <f>IF(ISERROR(MATCH(A216,'SegEnds_Xtal_Prot#'!B:B, 0)), "NoXtal", "Xtal")</f>
        <v>NoXtal</v>
      </c>
      <c r="D216" s="4" t="str">
        <f>VLOOKUP(A216,Classification!A:D,2,FALSE)</f>
        <v>A</v>
      </c>
      <c r="E216" s="5" t="str">
        <f>VLOOKUP(A216,Seqs!A:B,2,FALSE)</f>
        <v>MSGMEKLQNASWIYQQKLEDPFQKHLNSTEEYLAFLCGPRRSHFFLPVSVVYVPIFVVGVIGNVLVCLVILQHQAMKTPTNYYLFSLAVSDLLVLLLGMPLEVYEMWRNYPFLFGPVGCYFKTALFETVCFASILSITTVSVERYVAILHPFRAKLQSTRRRALRILGIVWGFSVLFSLPNTSIHGIKFHYFPNGSLVPGSATCTVIKPMWIYNFIIQVTSFLFYLLPMTVISVLYYLMALRLKKDKSLEADEGNANIQRPCRKSVNKMLFVLVLVFAICWAPFHIDRLFFSFVEEWSESLAAVFNLVHVVSGVFFYLSSAVNPIIYNLLSRRFQAAFQNVISSFHKQWHSQHDPQLPPAQRNIFLTECHFVELTEDIGPQFPCQSSMHNSHLPAALSSEQMSRTNYQSFHFNKT</v>
      </c>
      <c r="F216" s="5" t="str">
        <f t="shared" si="76"/>
        <v>SHFFLPVSVVYVPIFVVGVIGNVLVCLVILQH</v>
      </c>
      <c r="G216" s="4" t="str">
        <f t="shared" si="77"/>
        <v>QAMK</v>
      </c>
      <c r="H216" s="4" t="str">
        <f t="shared" si="78"/>
        <v>TPTNYYLFSLAVSDLLVLLLGMPLEVYEMW</v>
      </c>
      <c r="I216" s="4" t="str">
        <f t="shared" si="79"/>
        <v>NYPF</v>
      </c>
      <c r="J216" s="4" t="str">
        <f t="shared" si="80"/>
        <v>LFGPVGCYFKTALFETVCFASILSITTVSVERYVAILH</v>
      </c>
      <c r="K216" s="4" t="str">
        <f t="shared" si="81"/>
        <v>PFRAKLQS</v>
      </c>
      <c r="L216" s="4" t="str">
        <f t="shared" si="82"/>
        <v>TRRRALRILGIVWGFSVLFSLPNTSIH</v>
      </c>
      <c r="M216" s="4" t="str">
        <f t="shared" si="83"/>
        <v>CTV</v>
      </c>
      <c r="N216" s="4" t="str">
        <f t="shared" si="84"/>
        <v>MWIYNFIIQVTSFLFYLLPMTVISVLYYLMALRLKKDKSLEA</v>
      </c>
      <c r="O216" s="4" t="str">
        <f t="shared" si="85"/>
        <v>NANIQRPCRKSVNKMLFVLVLVFAICWAPFHIDRLFFSFV</v>
      </c>
      <c r="P216" s="4" t="str">
        <f t="shared" si="86"/>
        <v>AAVFNLVHVVSGVFFYLSSAVNPIIYNLL</v>
      </c>
      <c r="Q216" s="4" t="str">
        <f t="shared" si="87"/>
        <v>SRRFQAAFQNVI</v>
      </c>
      <c r="R216" s="5">
        <f>VLOOKUP($A216,'SegEnds_NonXtal_Prot#'!$A:$AL,3,FALSE)</f>
        <v>42</v>
      </c>
      <c r="S216" s="5">
        <f>VLOOKUP($A216,'SegEnds_NonXtal_Prot#'!$A:$AL,6,FALSE)</f>
        <v>74</v>
      </c>
      <c r="T216" s="5">
        <f>VLOOKUP($A216,'SegEnds_NonXtal_Prot#'!$A:$AL,9,FALSE)</f>
        <v>78</v>
      </c>
      <c r="U216" s="5">
        <f>VLOOKUP($A216,'SegEnds_NonXtal_Prot#'!$A:$AL,12,FALSE)</f>
        <v>109</v>
      </c>
      <c r="V216" s="5">
        <f>VLOOKUP($A216,'SegEnds_NonXtal_Prot#'!$A:$AL,15,FALSE)</f>
        <v>113</v>
      </c>
      <c r="W216" s="5">
        <f>VLOOKUP($A216,'SegEnds_NonXtal_Prot#'!$A:$AL,18,FALSE)</f>
        <v>151</v>
      </c>
      <c r="X216" s="5">
        <f>VLOOKUP($A216,'SegEnds_NonXtal_Prot#'!$A:$AL,21,FALSE)</f>
        <v>159</v>
      </c>
      <c r="Y216" s="5">
        <f>VLOOKUP($A216,'SegEnds_NonXtal_Prot#'!$A:$AL,24,FALSE)</f>
        <v>204</v>
      </c>
      <c r="Z216" s="5">
        <f>VLOOKUP($A216,'SegEnds_NonXtal_Prot#'!$A:$AL,27,FALSE)</f>
        <v>210</v>
      </c>
      <c r="AA216" s="5">
        <f>VLOOKUP($A216,'SegEnds_NonXtal_Prot#'!$A:$AL,30,FALSE)</f>
        <v>255</v>
      </c>
      <c r="AB216" s="5">
        <f>VLOOKUP($A216,'SegEnds_NonXtal_Prot#'!$A:$AL,33,FALSE)</f>
        <v>302</v>
      </c>
      <c r="AC216" s="5">
        <f>VLOOKUP($A216,'SegEnds_NonXtal_Prot#'!$A:$AL,36,FALSE)</f>
        <v>331</v>
      </c>
      <c r="AD216" s="5">
        <f>VLOOKUP($A216,'SegEnds_NonXtal_Prot#'!$A:$AL,5,FALSE)</f>
        <v>73</v>
      </c>
      <c r="AE216" s="5">
        <f>VLOOKUP($A216,'SegEnds_NonXtal_Prot#'!$A:$AL,8,FALSE)</f>
        <v>77</v>
      </c>
      <c r="AF216" s="5">
        <f>VLOOKUP($A216,'SegEnds_NonXtal_Prot#'!$A:$AL,11,FALSE)</f>
        <v>107</v>
      </c>
      <c r="AG216" s="5">
        <f>VLOOKUP($A216,'SegEnds_NonXtal_Prot#'!$A:$AL,14,FALSE)</f>
        <v>112</v>
      </c>
      <c r="AH216" s="5">
        <f>VLOOKUP($A216,'SegEnds_NonXtal_Prot#'!$A:$AL,17,FALSE)</f>
        <v>150</v>
      </c>
      <c r="AI216" s="5">
        <f>VLOOKUP($A216,'SegEnds_NonXtal_Prot#'!$A:$AL,20,FALSE)</f>
        <v>158</v>
      </c>
      <c r="AJ216" s="5">
        <f>VLOOKUP($A216,'SegEnds_NonXtal_Prot#'!$A:$AL,23,FALSE)</f>
        <v>185</v>
      </c>
      <c r="AK216" s="5">
        <f>VLOOKUP($A216,'SegEnds_NonXtal_Prot#'!$A:$AL,26,FALSE)</f>
        <v>206</v>
      </c>
      <c r="AL216" s="5">
        <f>VLOOKUP($A216,'SegEnds_NonXtal_Prot#'!$A:$AL,29,FALSE)</f>
        <v>251</v>
      </c>
      <c r="AM216" s="5">
        <f>VLOOKUP($A216,'SegEnds_NonXtal_Prot#'!$A:$AL,32,FALSE)</f>
        <v>294</v>
      </c>
      <c r="AN216" s="5">
        <f>VLOOKUP($A216,'SegEnds_NonXtal_Prot#'!$A:$AL,35,FALSE)</f>
        <v>330</v>
      </c>
      <c r="AO216" s="5">
        <f>VLOOKUP($A216,'SegEnds_NonXtal_Prot#'!$A:$AL,38,FALSE)</f>
        <v>342</v>
      </c>
      <c r="AP216" s="5">
        <f t="shared" si="88"/>
        <v>31</v>
      </c>
      <c r="AQ216" s="4">
        <f t="shared" si="89"/>
        <v>3</v>
      </c>
      <c r="AR216" s="4">
        <f t="shared" si="90"/>
        <v>29</v>
      </c>
      <c r="AS216" s="4">
        <f t="shared" si="91"/>
        <v>3</v>
      </c>
      <c r="AT216" s="4">
        <f t="shared" si="92"/>
        <v>37</v>
      </c>
      <c r="AU216" s="4">
        <f t="shared" si="93"/>
        <v>7</v>
      </c>
      <c r="AV216" s="4">
        <f t="shared" si="94"/>
        <v>26</v>
      </c>
      <c r="AW216" s="4">
        <f t="shared" si="95"/>
        <v>2</v>
      </c>
      <c r="AX216" s="4">
        <f t="shared" si="96"/>
        <v>41</v>
      </c>
      <c r="AY216" s="4">
        <f t="shared" si="97"/>
        <v>39</v>
      </c>
      <c r="AZ216" s="4">
        <f t="shared" si="98"/>
        <v>28</v>
      </c>
      <c r="BA216" s="4">
        <f t="shared" si="99"/>
        <v>11</v>
      </c>
    </row>
    <row r="217" spans="1:53" x14ac:dyDescent="0.2">
      <c r="A217" s="1" t="str">
        <f>'SegEnds_NonXtal_Prot#'!A196</f>
        <v>ntr1_human</v>
      </c>
      <c r="B217" s="1" t="str">
        <f t="shared" si="75"/>
        <v>IYSKVLVTAVYLALFVVGTVGNTVTAFTLARKSLQSTVHYHLGSLALSDLLTLLLAMPVELYNFIWVGDAGCRGYYFLRDACTYATALNVASLSVERYLAICHSRSRTKKFISAIWLASALLAVPMLFTMTATVKVVIQVNTFMSFIFPMVVISVLNTIIANKLTVMVRQAAEQGPGRVQALRHGVRVLRAVVIAFVVCWLPYHVRRLMFCYITPFLYDFYHYFYMVTNALFYVSSTINPILYNLVSANFRHIFLATL</v>
      </c>
      <c r="C217" s="29" t="str">
        <f>IF(ISERROR(MATCH(A217,'SegEnds_Xtal_Prot#'!B:B, 0)), "NoXtal", "Xtal")</f>
        <v>NoXtal</v>
      </c>
      <c r="D217" s="4" t="str">
        <f>VLOOKUP(A217,Classification!A:D,2,FALSE)</f>
        <v>A</v>
      </c>
      <c r="E217" s="5" t="str">
        <f>VLOOKUP(A217,Seqs!A:B,2,FALSE)</f>
        <v>MRLNSSAPGTPGTPAADPFQRAQAGLEEALLAPGFGNASGNASERVLAAPSSELDVNTDIYSKVLVTAVYLALFVVGTVGNTVTAFTLARKKSLQSLQSTVHYHLGSLALSDLLTLLLAMPVELYNFIWVHHPWAFGDAGCRGYYFLRDACTYATALNVASLSVERYLAICHPFKAKTLMSRSRTKKFISAIWLASALLAVPMLFTMGEQNRSADGQHAGGLVCTPTIHTATVKVVIQVNTFMSFIFPMVVISVLNTIIANKLTVMVRQAAEQGQVCTVGGEHSTFSMAIEPGRVQALRHGVRVLRAVVIAFVVCWLPYHVRRLMFCYISDEQWTPFLYDFYHYFYMVTNALFYVSSTINPILYNLVSANFRHIFLATLACLCPVWRRRRKRPAFSRKADSVSSNHTLSSNATRETLY</v>
      </c>
      <c r="F217" s="5" t="str">
        <f t="shared" si="76"/>
        <v>IYSKVLVTAVYLALFVVGTVGNTVTAFTLARK</v>
      </c>
      <c r="G217" s="4" t="str">
        <f t="shared" si="77"/>
        <v>KSLQ</v>
      </c>
      <c r="H217" s="4" t="str">
        <f t="shared" si="78"/>
        <v>SLQSTVHYHLGSLALSDLLTLLLAMPVELYNFIWV</v>
      </c>
      <c r="I217" s="4" t="str">
        <f t="shared" si="79"/>
        <v>PWAF</v>
      </c>
      <c r="J217" s="4" t="str">
        <f t="shared" si="80"/>
        <v>GDAGCRGYYFLRDACTYATALNVASLSVERYLAICH</v>
      </c>
      <c r="K217" s="4" t="str">
        <f t="shared" si="81"/>
        <v>PFKAKTLM</v>
      </c>
      <c r="L217" s="4" t="str">
        <f t="shared" si="82"/>
        <v>SRSRTKKFISAIWLASALLAVPMLFTM</v>
      </c>
      <c r="M217" s="4" t="str">
        <f t="shared" si="83"/>
        <v>CTP</v>
      </c>
      <c r="N217" s="4" t="str">
        <f t="shared" si="84"/>
        <v>TATVKVVIQVNTFMSFIFPMVVISVLNTIIANKLTVMVRQAAEQG</v>
      </c>
      <c r="O217" s="4" t="str">
        <f t="shared" si="85"/>
        <v>PGRVQALRHGVRVLRAVVIAFVVCWLPYHVRRLMFCYI</v>
      </c>
      <c r="P217" s="4" t="str">
        <f t="shared" si="86"/>
        <v>TPFLYDFYHYFYMVTNALFYVSSTINPILYNLV</v>
      </c>
      <c r="Q217" s="4" t="str">
        <f t="shared" si="87"/>
        <v>SANFRHIFLATL</v>
      </c>
      <c r="R217" s="5">
        <f>VLOOKUP($A217,'SegEnds_NonXtal_Prot#'!$A:$AL,3,FALSE)</f>
        <v>60</v>
      </c>
      <c r="S217" s="5">
        <f>VLOOKUP($A217,'SegEnds_NonXtal_Prot#'!$A:$AL,6,FALSE)</f>
        <v>92</v>
      </c>
      <c r="T217" s="5">
        <f>VLOOKUP($A217,'SegEnds_NonXtal_Prot#'!$A:$AL,9,FALSE)</f>
        <v>96</v>
      </c>
      <c r="U217" s="5">
        <f>VLOOKUP($A217,'SegEnds_NonXtal_Prot#'!$A:$AL,12,FALSE)</f>
        <v>133</v>
      </c>
      <c r="V217" s="5">
        <f>VLOOKUP($A217,'SegEnds_NonXtal_Prot#'!$A:$AL,15,FALSE)</f>
        <v>137</v>
      </c>
      <c r="W217" s="5">
        <f>VLOOKUP($A217,'SegEnds_NonXtal_Prot#'!$A:$AL,18,FALSE)</f>
        <v>173</v>
      </c>
      <c r="X217" s="5">
        <f>VLOOKUP($A217,'SegEnds_NonXtal_Prot#'!$A:$AL,21,FALSE)</f>
        <v>181</v>
      </c>
      <c r="Y217" s="5">
        <f>VLOOKUP($A217,'SegEnds_NonXtal_Prot#'!$A:$AL,24,FALSE)</f>
        <v>224</v>
      </c>
      <c r="Z217" s="5">
        <f>VLOOKUP($A217,'SegEnds_NonXtal_Prot#'!$A:$AL,27,FALSE)</f>
        <v>230</v>
      </c>
      <c r="AA217" s="5">
        <f>VLOOKUP($A217,'SegEnds_NonXtal_Prot#'!$A:$AL,30,FALSE)</f>
        <v>292</v>
      </c>
      <c r="AB217" s="5">
        <f>VLOOKUP($A217,'SegEnds_NonXtal_Prot#'!$A:$AL,33,FALSE)</f>
        <v>335</v>
      </c>
      <c r="AC217" s="5">
        <f>VLOOKUP($A217,'SegEnds_NonXtal_Prot#'!$A:$AL,36,FALSE)</f>
        <v>368</v>
      </c>
      <c r="AD217" s="5">
        <f>VLOOKUP($A217,'SegEnds_NonXtal_Prot#'!$A:$AL,5,FALSE)</f>
        <v>91</v>
      </c>
      <c r="AE217" s="5">
        <f>VLOOKUP($A217,'SegEnds_NonXtal_Prot#'!$A:$AL,8,FALSE)</f>
        <v>95</v>
      </c>
      <c r="AF217" s="5">
        <f>VLOOKUP($A217,'SegEnds_NonXtal_Prot#'!$A:$AL,11,FALSE)</f>
        <v>130</v>
      </c>
      <c r="AG217" s="5">
        <f>VLOOKUP($A217,'SegEnds_NonXtal_Prot#'!$A:$AL,14,FALSE)</f>
        <v>136</v>
      </c>
      <c r="AH217" s="5">
        <f>VLOOKUP($A217,'SegEnds_NonXtal_Prot#'!$A:$AL,17,FALSE)</f>
        <v>172</v>
      </c>
      <c r="AI217" s="5">
        <f>VLOOKUP($A217,'SegEnds_NonXtal_Prot#'!$A:$AL,20,FALSE)</f>
        <v>180</v>
      </c>
      <c r="AJ217" s="5">
        <f>VLOOKUP($A217,'SegEnds_NonXtal_Prot#'!$A:$AL,23,FALSE)</f>
        <v>207</v>
      </c>
      <c r="AK217" s="5">
        <f>VLOOKUP($A217,'SegEnds_NonXtal_Prot#'!$A:$AL,26,FALSE)</f>
        <v>226</v>
      </c>
      <c r="AL217" s="5">
        <f>VLOOKUP($A217,'SegEnds_NonXtal_Prot#'!$A:$AL,29,FALSE)</f>
        <v>274</v>
      </c>
      <c r="AM217" s="5">
        <f>VLOOKUP($A217,'SegEnds_NonXtal_Prot#'!$A:$AL,32,FALSE)</f>
        <v>329</v>
      </c>
      <c r="AN217" s="5">
        <f>VLOOKUP($A217,'SegEnds_NonXtal_Prot#'!$A:$AL,35,FALSE)</f>
        <v>367</v>
      </c>
      <c r="AO217" s="5">
        <f>VLOOKUP($A217,'SegEnds_NonXtal_Prot#'!$A:$AL,38,FALSE)</f>
        <v>379</v>
      </c>
      <c r="AP217" s="5">
        <f t="shared" si="88"/>
        <v>31</v>
      </c>
      <c r="AQ217" s="4">
        <f t="shared" si="89"/>
        <v>3</v>
      </c>
      <c r="AR217" s="4">
        <f t="shared" si="90"/>
        <v>34</v>
      </c>
      <c r="AS217" s="4">
        <f t="shared" si="91"/>
        <v>3</v>
      </c>
      <c r="AT217" s="4">
        <f t="shared" si="92"/>
        <v>35</v>
      </c>
      <c r="AU217" s="4">
        <f t="shared" si="93"/>
        <v>7</v>
      </c>
      <c r="AV217" s="4">
        <f t="shared" si="94"/>
        <v>26</v>
      </c>
      <c r="AW217" s="4">
        <f t="shared" si="95"/>
        <v>2</v>
      </c>
      <c r="AX217" s="4">
        <f t="shared" si="96"/>
        <v>44</v>
      </c>
      <c r="AY217" s="4">
        <f t="shared" si="97"/>
        <v>37</v>
      </c>
      <c r="AZ217" s="4">
        <f t="shared" si="98"/>
        <v>32</v>
      </c>
      <c r="BA217" s="4">
        <f t="shared" si="99"/>
        <v>11</v>
      </c>
    </row>
    <row r="218" spans="1:53" x14ac:dyDescent="0.2">
      <c r="A218" s="1" t="str">
        <f>'SegEnds_NonXtal_Prot#'!A197</f>
        <v>ntr1_rat</v>
      </c>
      <c r="B218" s="1" t="str">
        <f t="shared" si="75"/>
        <v>IYSKVLVTAIYLALFVVGTVGNSVTAFTLARKSLQSTVHYHLGSLALSDLLILLLAMPVELYNFIWVGDAGCRGYYFLRDACTYATALNVASLSVERYLAICHSRSRTKKFISAIWLASALLAIPMLFTMTATVKVVIQVNTFMSFLFPMLVISILNTVIANKLTVMVHQAAEQGPGRVQALRHGVLVLRAVVIAFVVCWLPYHVRRLMFCYITTFLFDFYHYFYMLTNALFYVSSAINPILYNLVSANFRQVFLSTL</v>
      </c>
      <c r="C218" s="29" t="str">
        <f>IF(ISERROR(MATCH(A218,'SegEnds_Xtal_Prot#'!B:B, 0)), "NoXtal", "Xtal")</f>
        <v>Xtal</v>
      </c>
      <c r="D218" s="4" t="str">
        <f>VLOOKUP(A218,Classification!A:D,2,FALSE)</f>
        <v>A</v>
      </c>
      <c r="E218" s="5" t="str">
        <f>VLOOKUP(A218,Seqs!A:B,2,FALSE)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F218" s="5" t="str">
        <f t="shared" si="76"/>
        <v>IYSKVLVTAIYLALFVVGTVGNSVTAFTLARK</v>
      </c>
      <c r="G218" s="4" t="str">
        <f t="shared" si="77"/>
        <v>KSLQ</v>
      </c>
      <c r="H218" s="4" t="str">
        <f t="shared" si="78"/>
        <v>SLQSTVHYHLGSLALSDLLILLLAMPVELYNFIWV</v>
      </c>
      <c r="I218" s="4" t="str">
        <f t="shared" si="79"/>
        <v>PWAF</v>
      </c>
      <c r="J218" s="4" t="str">
        <f t="shared" si="80"/>
        <v>GDAGCRGYYFLRDACTYATALNVASLSVERYLAICH</v>
      </c>
      <c r="K218" s="4" t="str">
        <f t="shared" si="81"/>
        <v>PFKAKTLM</v>
      </c>
      <c r="L218" s="4" t="str">
        <f t="shared" si="82"/>
        <v>SRSRTKKFISAIWLASALLAIPMLFTM</v>
      </c>
      <c r="M218" s="4" t="str">
        <f t="shared" si="83"/>
        <v>CTP</v>
      </c>
      <c r="N218" s="4" t="str">
        <f t="shared" si="84"/>
        <v>TATVKVVIQVNTFMSFLFPMLVISILNTVIANKLTVMVHQAAEQG</v>
      </c>
      <c r="O218" s="4" t="str">
        <f t="shared" si="85"/>
        <v>PGRVQALRHGVLVLRAVVIAFVVCWLPYHVRRLMFCYI</v>
      </c>
      <c r="P218" s="4" t="str">
        <f t="shared" si="86"/>
        <v>TTFLFDFYHYFYMLTNALFYVSSAINPILYNLV</v>
      </c>
      <c r="Q218" s="4" t="str">
        <f t="shared" si="87"/>
        <v>SANFRQVFLSTL</v>
      </c>
      <c r="R218" s="5">
        <f>VLOOKUP($A218,'SegEnds_NonXtal_Prot#'!$A:$AL,3,FALSE)</f>
        <v>61</v>
      </c>
      <c r="S218" s="5">
        <f>VLOOKUP($A218,'SegEnds_NonXtal_Prot#'!$A:$AL,6,FALSE)</f>
        <v>93</v>
      </c>
      <c r="T218" s="5">
        <f>VLOOKUP($A218,'SegEnds_NonXtal_Prot#'!$A:$AL,9,FALSE)</f>
        <v>97</v>
      </c>
      <c r="U218" s="5">
        <f>VLOOKUP($A218,'SegEnds_NonXtal_Prot#'!$A:$AL,12,FALSE)</f>
        <v>134</v>
      </c>
      <c r="V218" s="5">
        <f>VLOOKUP($A218,'SegEnds_NonXtal_Prot#'!$A:$AL,15,FALSE)</f>
        <v>138</v>
      </c>
      <c r="W218" s="5">
        <f>VLOOKUP($A218,'SegEnds_NonXtal_Prot#'!$A:$AL,18,FALSE)</f>
        <v>174</v>
      </c>
      <c r="X218" s="5">
        <f>VLOOKUP($A218,'SegEnds_NonXtal_Prot#'!$A:$AL,21,FALSE)</f>
        <v>182</v>
      </c>
      <c r="Y218" s="5">
        <f>VLOOKUP($A218,'SegEnds_NonXtal_Prot#'!$A:$AL,24,FALSE)</f>
        <v>225</v>
      </c>
      <c r="Z218" s="5">
        <f>VLOOKUP($A218,'SegEnds_NonXtal_Prot#'!$A:$AL,27,FALSE)</f>
        <v>231</v>
      </c>
      <c r="AA218" s="5">
        <f>VLOOKUP($A218,'SegEnds_NonXtal_Prot#'!$A:$AL,30,FALSE)</f>
        <v>297</v>
      </c>
      <c r="AB218" s="5">
        <f>VLOOKUP($A218,'SegEnds_NonXtal_Prot#'!$A:$AL,33,FALSE)</f>
        <v>340</v>
      </c>
      <c r="AC218" s="5">
        <f>VLOOKUP($A218,'SegEnds_NonXtal_Prot#'!$A:$AL,36,FALSE)</f>
        <v>373</v>
      </c>
      <c r="AD218" s="5">
        <f>VLOOKUP($A218,'SegEnds_NonXtal_Prot#'!$A:$AL,5,FALSE)</f>
        <v>92</v>
      </c>
      <c r="AE218" s="5">
        <f>VLOOKUP($A218,'SegEnds_NonXtal_Prot#'!$A:$AL,8,FALSE)</f>
        <v>96</v>
      </c>
      <c r="AF218" s="5">
        <f>VLOOKUP($A218,'SegEnds_NonXtal_Prot#'!$A:$AL,11,FALSE)</f>
        <v>131</v>
      </c>
      <c r="AG218" s="5">
        <f>VLOOKUP($A218,'SegEnds_NonXtal_Prot#'!$A:$AL,14,FALSE)</f>
        <v>137</v>
      </c>
      <c r="AH218" s="5">
        <f>VLOOKUP($A218,'SegEnds_NonXtal_Prot#'!$A:$AL,17,FALSE)</f>
        <v>173</v>
      </c>
      <c r="AI218" s="5">
        <f>VLOOKUP($A218,'SegEnds_NonXtal_Prot#'!$A:$AL,20,FALSE)</f>
        <v>181</v>
      </c>
      <c r="AJ218" s="5">
        <f>VLOOKUP($A218,'SegEnds_NonXtal_Prot#'!$A:$AL,23,FALSE)</f>
        <v>208</v>
      </c>
      <c r="AK218" s="5">
        <f>VLOOKUP($A218,'SegEnds_NonXtal_Prot#'!$A:$AL,26,FALSE)</f>
        <v>227</v>
      </c>
      <c r="AL218" s="5">
        <f>VLOOKUP($A218,'SegEnds_NonXtal_Prot#'!$A:$AL,29,FALSE)</f>
        <v>275</v>
      </c>
      <c r="AM218" s="5">
        <f>VLOOKUP($A218,'SegEnds_NonXtal_Prot#'!$A:$AL,32,FALSE)</f>
        <v>334</v>
      </c>
      <c r="AN218" s="5">
        <f>VLOOKUP($A218,'SegEnds_NonXtal_Prot#'!$A:$AL,35,FALSE)</f>
        <v>372</v>
      </c>
      <c r="AO218" s="5">
        <f>VLOOKUP($A218,'SegEnds_NonXtal_Prot#'!$A:$AL,38,FALSE)</f>
        <v>384</v>
      </c>
      <c r="AP218" s="5">
        <f t="shared" si="88"/>
        <v>31</v>
      </c>
      <c r="AQ218" s="4">
        <f t="shared" si="89"/>
        <v>3</v>
      </c>
      <c r="AR218" s="4">
        <f t="shared" si="90"/>
        <v>34</v>
      </c>
      <c r="AS218" s="4">
        <f t="shared" si="91"/>
        <v>3</v>
      </c>
      <c r="AT218" s="4">
        <f t="shared" si="92"/>
        <v>35</v>
      </c>
      <c r="AU218" s="4">
        <f t="shared" si="93"/>
        <v>7</v>
      </c>
      <c r="AV218" s="4">
        <f t="shared" si="94"/>
        <v>26</v>
      </c>
      <c r="AW218" s="4">
        <f t="shared" si="95"/>
        <v>2</v>
      </c>
      <c r="AX218" s="4">
        <f t="shared" si="96"/>
        <v>44</v>
      </c>
      <c r="AY218" s="4">
        <f t="shared" si="97"/>
        <v>37</v>
      </c>
      <c r="AZ218" s="4">
        <f t="shared" si="98"/>
        <v>32</v>
      </c>
      <c r="BA218" s="4">
        <f t="shared" si="99"/>
        <v>11</v>
      </c>
    </row>
    <row r="219" spans="1:53" x14ac:dyDescent="0.2">
      <c r="A219" s="1" t="str">
        <f>'SegEnds_NonXtal_Prot#'!A199</f>
        <v>ogr1_human</v>
      </c>
      <c r="B219" s="1" t="str">
        <f t="shared" si="75"/>
        <v>IHQTLAPVVYVTVLVVGFPANCLSLYFGYLQNELGVYLCNLTVADLFYICSLPFWLQYVLQGDLSCQVCGILLYENIYISVGFLCCISVDRYLAVAHTLKAAVGVSVVIWAKELLTSIYFLMHEWQRAINYYRFLVGFLFPICLLLASYQGILRAVRRQKSRKDQIQRLVLSTVVIFLACFLPYHVLLLVRSVWAKGVFNAYHFSLLLTSFNCVADPVLYCFVSETTHRDLARLRGAC</v>
      </c>
      <c r="C219" s="29" t="str">
        <f>IF(ISERROR(MATCH(A219,'SegEnds_Xtal_Prot#'!B:B, 0)), "NoXtal", "Xtal")</f>
        <v>NoXtal</v>
      </c>
      <c r="D219" s="4" t="str">
        <f>VLOOKUP(A219,Classification!A:D,2,FALSE)</f>
        <v>A</v>
      </c>
      <c r="E219" s="5" t="str">
        <f>VLOOKUP(A219,Seqs!A:B,2,FALSE)</f>
        <v>MGNITADNSSMSCTIDHTIHQTLAPVVYVTVLVVGFPANCLSLYFGYLQIKARNELGVYLCNLTVADLFYICSLPFWLQYVLQHDNWSHGDLSCQVCGILLYENIYISVGFLCCISVDRYLAVAHPFRFHQFRTLKAAVGVSVVIWAKELLTSIYFLMHEEVIEDENQHRVCFEHYPIQAWQRAINYYRFLVGFLFPICLLLASYQGILRAVRRSHGTQKSRKDQIQRLVLSTVVIFLACFLPYHVLLLVRSVWEASCDFAKGVFNAYHFSLLLTSFNCVADPVLYCFVSETTHRDLARLRGACLAFLTCSRTGRAREAYPLGAPEASGKSGAQGEEPELLTKLHPAFQTPNSPGSGGFPTGRLA</v>
      </c>
      <c r="F219" s="5" t="str">
        <f t="shared" si="76"/>
        <v>IHQTLAPVVYVTVLVVGFPANCLSLYFGYLQ</v>
      </c>
      <c r="G219" s="4" t="str">
        <f t="shared" si="77"/>
        <v>IKAR</v>
      </c>
      <c r="H219" s="4" t="str">
        <f t="shared" si="78"/>
        <v>NELGVYLCNLTVADLFYICSLPFWLQYVLQ</v>
      </c>
      <c r="I219" s="4" t="str">
        <f t="shared" si="79"/>
        <v>NWSH</v>
      </c>
      <c r="J219" s="4" t="str">
        <f t="shared" si="80"/>
        <v>GDLSCQVCGILLYENIYISVGFLCCISVDRYLAVAH</v>
      </c>
      <c r="K219" s="4" t="str">
        <f t="shared" si="81"/>
        <v>PFRFHQFR</v>
      </c>
      <c r="L219" s="4" t="str">
        <f t="shared" si="82"/>
        <v>TLKAAVGVSVVIWAKELLTSIYFLMHE</v>
      </c>
      <c r="M219" s="4" t="str">
        <f t="shared" si="83"/>
        <v>CFE</v>
      </c>
      <c r="N219" s="4" t="str">
        <f t="shared" si="84"/>
        <v>WQRAINYYRFLVGFLFPICLLLASYQGILRAVRR</v>
      </c>
      <c r="O219" s="4" t="str">
        <f t="shared" si="85"/>
        <v>QKSRKDQIQRLVLSTVVIFLACFLPYHVLLLVRSVW</v>
      </c>
      <c r="P219" s="4" t="str">
        <f t="shared" si="86"/>
        <v>AKGVFNAYHFSLLLTSFNCVADPVLYCFV</v>
      </c>
      <c r="Q219" s="4" t="str">
        <f t="shared" si="87"/>
        <v>SETTHRDLARLRGAC</v>
      </c>
      <c r="R219" s="5">
        <f>VLOOKUP($A219,'SegEnds_NonXtal_Prot#'!$A:$AL,3,FALSE)</f>
        <v>19</v>
      </c>
      <c r="S219" s="5">
        <f>VLOOKUP($A219,'SegEnds_NonXtal_Prot#'!$A:$AL,6,FALSE)</f>
        <v>50</v>
      </c>
      <c r="T219" s="5">
        <f>VLOOKUP($A219,'SegEnds_NonXtal_Prot#'!$A:$AL,9,FALSE)</f>
        <v>54</v>
      </c>
      <c r="U219" s="5">
        <f>VLOOKUP($A219,'SegEnds_NonXtal_Prot#'!$A:$AL,12,FALSE)</f>
        <v>86</v>
      </c>
      <c r="V219" s="5">
        <f>VLOOKUP($A219,'SegEnds_NonXtal_Prot#'!$A:$AL,15,FALSE)</f>
        <v>90</v>
      </c>
      <c r="W219" s="5">
        <f>VLOOKUP($A219,'SegEnds_NonXtal_Prot#'!$A:$AL,18,FALSE)</f>
        <v>126</v>
      </c>
      <c r="X219" s="5">
        <f>VLOOKUP($A219,'SegEnds_NonXtal_Prot#'!$A:$AL,21,FALSE)</f>
        <v>134</v>
      </c>
      <c r="Y219" s="5">
        <f>VLOOKUP($A219,'SegEnds_NonXtal_Prot#'!$A:$AL,24,FALSE)</f>
        <v>172</v>
      </c>
      <c r="Z219" s="5">
        <f>VLOOKUP($A219,'SegEnds_NonXtal_Prot#'!$A:$AL,27,FALSE)</f>
        <v>181</v>
      </c>
      <c r="AA219" s="5">
        <f>VLOOKUP($A219,'SegEnds_NonXtal_Prot#'!$A:$AL,30,FALSE)</f>
        <v>219</v>
      </c>
      <c r="AB219" s="5">
        <f>VLOOKUP($A219,'SegEnds_NonXtal_Prot#'!$A:$AL,33,FALSE)</f>
        <v>261</v>
      </c>
      <c r="AC219" s="5">
        <f>VLOOKUP($A219,'SegEnds_NonXtal_Prot#'!$A:$AL,36,FALSE)</f>
        <v>290</v>
      </c>
      <c r="AD219" s="5">
        <f>VLOOKUP($A219,'SegEnds_NonXtal_Prot#'!$A:$AL,5,FALSE)</f>
        <v>49</v>
      </c>
      <c r="AE219" s="5">
        <f>VLOOKUP($A219,'SegEnds_NonXtal_Prot#'!$A:$AL,8,FALSE)</f>
        <v>53</v>
      </c>
      <c r="AF219" s="5">
        <f>VLOOKUP($A219,'SegEnds_NonXtal_Prot#'!$A:$AL,11,FALSE)</f>
        <v>83</v>
      </c>
      <c r="AG219" s="5">
        <f>VLOOKUP($A219,'SegEnds_NonXtal_Prot#'!$A:$AL,14,FALSE)</f>
        <v>89</v>
      </c>
      <c r="AH219" s="5">
        <f>VLOOKUP($A219,'SegEnds_NonXtal_Prot#'!$A:$AL,17,FALSE)</f>
        <v>125</v>
      </c>
      <c r="AI219" s="5">
        <f>VLOOKUP($A219,'SegEnds_NonXtal_Prot#'!$A:$AL,20,FALSE)</f>
        <v>133</v>
      </c>
      <c r="AJ219" s="5">
        <f>VLOOKUP($A219,'SegEnds_NonXtal_Prot#'!$A:$AL,23,FALSE)</f>
        <v>160</v>
      </c>
      <c r="AK219" s="5">
        <f>VLOOKUP($A219,'SegEnds_NonXtal_Prot#'!$A:$AL,26,FALSE)</f>
        <v>174</v>
      </c>
      <c r="AL219" s="5">
        <f>VLOOKUP($A219,'SegEnds_NonXtal_Prot#'!$A:$AL,29,FALSE)</f>
        <v>214</v>
      </c>
      <c r="AM219" s="5">
        <f>VLOOKUP($A219,'SegEnds_NonXtal_Prot#'!$A:$AL,32,FALSE)</f>
        <v>254</v>
      </c>
      <c r="AN219" s="5">
        <f>VLOOKUP($A219,'SegEnds_NonXtal_Prot#'!$A:$AL,35,FALSE)</f>
        <v>289</v>
      </c>
      <c r="AO219" s="5">
        <f>VLOOKUP($A219,'SegEnds_NonXtal_Prot#'!$A:$AL,38,FALSE)</f>
        <v>304</v>
      </c>
      <c r="AP219" s="5">
        <f t="shared" si="88"/>
        <v>30</v>
      </c>
      <c r="AQ219" s="4">
        <f t="shared" si="89"/>
        <v>3</v>
      </c>
      <c r="AR219" s="4">
        <f t="shared" si="90"/>
        <v>29</v>
      </c>
      <c r="AS219" s="4">
        <f t="shared" si="91"/>
        <v>3</v>
      </c>
      <c r="AT219" s="4">
        <f t="shared" si="92"/>
        <v>35</v>
      </c>
      <c r="AU219" s="4">
        <f t="shared" si="93"/>
        <v>7</v>
      </c>
      <c r="AV219" s="4">
        <f t="shared" si="94"/>
        <v>26</v>
      </c>
      <c r="AW219" s="4">
        <f t="shared" si="95"/>
        <v>2</v>
      </c>
      <c r="AX219" s="4">
        <f t="shared" si="96"/>
        <v>33</v>
      </c>
      <c r="AY219" s="4">
        <f t="shared" si="97"/>
        <v>35</v>
      </c>
      <c r="AZ219" s="4">
        <f t="shared" si="98"/>
        <v>28</v>
      </c>
      <c r="BA219" s="4">
        <f t="shared" si="99"/>
        <v>14</v>
      </c>
    </row>
    <row r="220" spans="1:53" x14ac:dyDescent="0.2">
      <c r="A220" s="1" t="str">
        <f>'SegEnds_NonXtal_Prot#'!A200</f>
        <v>opn4_human</v>
      </c>
      <c r="B220" s="1" t="str">
        <f t="shared" si="75"/>
        <v>DHAHYTLGTVILLVGLTGMLGNLTVIYTFCRSTPANMFIINLAVSDFLMSFTQAPVFFTSSLYKGETGCEFYAFCGALFGISSMITLTAIALDRYLVITRSKRRAAFVLLGVWLYALAWSLPPFFAVRAYTMLLCCFVFFLPLLIIIYCYIFIFRAIRETGRALQTLWQRQRLQSECKMAKIMLLVILLFVLSWAPYSAVALVAFAGTPYMSSVPAVIAKASAIHNPIIYAITHPKYRVAIAQHLP</v>
      </c>
      <c r="C220" s="29" t="str">
        <f>IF(ISERROR(MATCH(A220,'SegEnds_Xtal_Prot#'!B:B, 0)), "NoXtal", "Xtal")</f>
        <v>NoXtal</v>
      </c>
      <c r="D220" s="4" t="str">
        <f>VLOOKUP(A220,Classification!A:D,2,FALSE)</f>
        <v>A</v>
      </c>
      <c r="E220" s="5" t="str">
        <f>VLOOKUP(A220,Seqs!A:B,2,FALSE)</f>
        <v>MNPPSGPRVPPSPTQEPSCMATPAPPSWWDSSQSSISSLGRLPSISPTAPGTWAAAWVPLPTVDVPDHAHYTLGTVILLVGLTGMLGNLTVIYTFCRSRSLRTPANMFIINLAVSDFLMSFTQAPVFFTSSLYKQWLFGETGCEFYAFCGALFGISSMITLTAIALDRYLVITRPLATFGVASKRRAAFVLLGVWLYALAWSLPPFFGWSAYVPEGLLTSCSWDYMSFTPAVRAYTMLLCCFVFFLPLLIIIYCYIFIFRAIRETGRALQTFGACKGNGESLWQRQRLQSECKMAKIMLLVILLFVLSWAPYSAVALVAFAGYAHVLTPYMSSVPAVIAKASAIHNPIIYAITHPKYRVAIAQHLPCLGVLLGVSRRHSRPYPSYRSTHRSTLTSHTSNLSWISIRRRQESLGSESEVGWTHMEAAAVWGAAQQANGRSLYGQGLEDLEAKAPPRPQGHEAETPGKTKGLIPSQDPRM</v>
      </c>
      <c r="F220" s="5" t="str">
        <f t="shared" si="76"/>
        <v>DHAHYTLGTVILLVGLTGMLGNLTVIYTFCRS</v>
      </c>
      <c r="G220" s="4" t="str">
        <f t="shared" si="77"/>
        <v>RSLR</v>
      </c>
      <c r="H220" s="4" t="str">
        <f t="shared" si="78"/>
        <v>TPANMFIINLAVSDFLMSFTQAPVFFTSSLYK</v>
      </c>
      <c r="I220" s="4" t="str">
        <f t="shared" si="79"/>
        <v>QWLF</v>
      </c>
      <c r="J220" s="4" t="str">
        <f t="shared" si="80"/>
        <v>GETGCEFYAFCGALFGISSMITLTAIALDRYLVITR</v>
      </c>
      <c r="K220" s="4" t="str">
        <f t="shared" si="81"/>
        <v>PLATFGVA</v>
      </c>
      <c r="L220" s="4" t="str">
        <f t="shared" si="82"/>
        <v>SKRRAAFVLLGVWLYALAWSLPPFF</v>
      </c>
      <c r="M220" s="4" t="str">
        <f t="shared" si="83"/>
        <v>CSW</v>
      </c>
      <c r="N220" s="4" t="str">
        <f t="shared" si="84"/>
        <v>AVRAYTMLLCCFVFFLPLLIIIYCYIFIFRAIRETGRALQT</v>
      </c>
      <c r="O220" s="4" t="str">
        <f t="shared" si="85"/>
        <v>LWQRQRLQSECKMAKIMLLVILLFVLSWAPYSAVALVAFAG</v>
      </c>
      <c r="P220" s="4" t="str">
        <f t="shared" si="86"/>
        <v>TPYMSSVPAVIAKASAIHNPIIYAIT</v>
      </c>
      <c r="Q220" s="4" t="str">
        <f t="shared" si="87"/>
        <v>HPKYRVAIAQHLP</v>
      </c>
      <c r="R220" s="5">
        <f>VLOOKUP($A220,'SegEnds_NonXtal_Prot#'!$A:$AL,3,FALSE)</f>
        <v>67</v>
      </c>
      <c r="S220" s="5">
        <f>VLOOKUP($A220,'SegEnds_NonXtal_Prot#'!$A:$AL,6,FALSE)</f>
        <v>99</v>
      </c>
      <c r="T220" s="5">
        <f>VLOOKUP($A220,'SegEnds_NonXtal_Prot#'!$A:$AL,9,FALSE)</f>
        <v>103</v>
      </c>
      <c r="U220" s="5">
        <f>VLOOKUP($A220,'SegEnds_NonXtal_Prot#'!$A:$AL,12,FALSE)</f>
        <v>135</v>
      </c>
      <c r="V220" s="5">
        <f>VLOOKUP($A220,'SegEnds_NonXtal_Prot#'!$A:$AL,15,FALSE)</f>
        <v>139</v>
      </c>
      <c r="W220" s="5">
        <f>VLOOKUP($A220,'SegEnds_NonXtal_Prot#'!$A:$AL,18,FALSE)</f>
        <v>175</v>
      </c>
      <c r="X220" s="5">
        <f>VLOOKUP($A220,'SegEnds_NonXtal_Prot#'!$A:$AL,21,FALSE)</f>
        <v>183</v>
      </c>
      <c r="Y220" s="5">
        <f>VLOOKUP($A220,'SegEnds_NonXtal_Prot#'!$A:$AL,24,FALSE)</f>
        <v>221</v>
      </c>
      <c r="Z220" s="5">
        <f>VLOOKUP($A220,'SegEnds_NonXtal_Prot#'!$A:$AL,27,FALSE)</f>
        <v>231</v>
      </c>
      <c r="AA220" s="5">
        <f>VLOOKUP($A220,'SegEnds_NonXtal_Prot#'!$A:$AL,30,FALSE)</f>
        <v>282</v>
      </c>
      <c r="AB220" s="5">
        <f>VLOOKUP($A220,'SegEnds_NonXtal_Prot#'!$A:$AL,33,FALSE)</f>
        <v>328</v>
      </c>
      <c r="AC220" s="5">
        <f>VLOOKUP($A220,'SegEnds_NonXtal_Prot#'!$A:$AL,36,FALSE)</f>
        <v>354</v>
      </c>
      <c r="AD220" s="5">
        <f>VLOOKUP($A220,'SegEnds_NonXtal_Prot#'!$A:$AL,5,FALSE)</f>
        <v>98</v>
      </c>
      <c r="AE220" s="5">
        <f>VLOOKUP($A220,'SegEnds_NonXtal_Prot#'!$A:$AL,8,FALSE)</f>
        <v>102</v>
      </c>
      <c r="AF220" s="5">
        <f>VLOOKUP($A220,'SegEnds_NonXtal_Prot#'!$A:$AL,11,FALSE)</f>
        <v>134</v>
      </c>
      <c r="AG220" s="5">
        <f>VLOOKUP($A220,'SegEnds_NonXtal_Prot#'!$A:$AL,14,FALSE)</f>
        <v>138</v>
      </c>
      <c r="AH220" s="5">
        <f>VLOOKUP($A220,'SegEnds_NonXtal_Prot#'!$A:$AL,17,FALSE)</f>
        <v>174</v>
      </c>
      <c r="AI220" s="5">
        <f>VLOOKUP($A220,'SegEnds_NonXtal_Prot#'!$A:$AL,20,FALSE)</f>
        <v>182</v>
      </c>
      <c r="AJ220" s="5">
        <f>VLOOKUP($A220,'SegEnds_NonXtal_Prot#'!$A:$AL,23,FALSE)</f>
        <v>207</v>
      </c>
      <c r="AK220" s="5">
        <f>VLOOKUP($A220,'SegEnds_NonXtal_Prot#'!$A:$AL,26,FALSE)</f>
        <v>223</v>
      </c>
      <c r="AL220" s="5">
        <f>VLOOKUP($A220,'SegEnds_NonXtal_Prot#'!$A:$AL,29,FALSE)</f>
        <v>271</v>
      </c>
      <c r="AM220" s="5">
        <f>VLOOKUP($A220,'SegEnds_NonXtal_Prot#'!$A:$AL,32,FALSE)</f>
        <v>322</v>
      </c>
      <c r="AN220" s="5">
        <f>VLOOKUP($A220,'SegEnds_NonXtal_Prot#'!$A:$AL,35,FALSE)</f>
        <v>353</v>
      </c>
      <c r="AO220" s="5">
        <f>VLOOKUP($A220,'SegEnds_NonXtal_Prot#'!$A:$AL,38,FALSE)</f>
        <v>366</v>
      </c>
      <c r="AP220" s="5">
        <f t="shared" si="88"/>
        <v>31</v>
      </c>
      <c r="AQ220" s="4">
        <f t="shared" si="89"/>
        <v>3</v>
      </c>
      <c r="AR220" s="4">
        <f t="shared" si="90"/>
        <v>31</v>
      </c>
      <c r="AS220" s="4">
        <f t="shared" si="91"/>
        <v>3</v>
      </c>
      <c r="AT220" s="4">
        <f t="shared" si="92"/>
        <v>35</v>
      </c>
      <c r="AU220" s="4">
        <f t="shared" si="93"/>
        <v>7</v>
      </c>
      <c r="AV220" s="4">
        <f t="shared" si="94"/>
        <v>24</v>
      </c>
      <c r="AW220" s="4">
        <f t="shared" si="95"/>
        <v>2</v>
      </c>
      <c r="AX220" s="4">
        <f t="shared" si="96"/>
        <v>40</v>
      </c>
      <c r="AY220" s="4">
        <f t="shared" si="97"/>
        <v>40</v>
      </c>
      <c r="AZ220" s="4">
        <f t="shared" si="98"/>
        <v>25</v>
      </c>
      <c r="BA220" s="4">
        <f t="shared" si="99"/>
        <v>12</v>
      </c>
    </row>
    <row r="221" spans="1:53" x14ac:dyDescent="0.2">
      <c r="A221" s="1" t="str">
        <f>'SegEnds_NonXtal_Prot#'!A204</f>
        <v>oprm_human</v>
      </c>
      <c r="B221" s="1" t="str">
        <f t="shared" si="75"/>
        <v>MITAITIMALYSIVCVVGLFGNFLVMYVIVRYTATNIYIFNLALADALATSTLPFQSVNYLMGTILCKIVISIDYYNMFTSIFTLCTMSVDRYIAVCHTPRNAKIINVCNWILSSAIGLPVMFMATWYWENLLKICVFIFAFIMPVLIITVCYGLMILRLKSVSKEKDRNLRRITRMVLVVVAVFIVCWTPIHIYVIIKALVTTFQTVSWHFCIALGYTNSCLNPVLYAFLDENFKRCFREFCI</v>
      </c>
      <c r="C221" s="29" t="str">
        <f>IF(ISERROR(MATCH(A221,'SegEnds_Xtal_Prot#'!B:B, 0)), "NoXtal", "Xtal")</f>
        <v>NoXtal</v>
      </c>
      <c r="D221" s="4" t="str">
        <f>VLOOKUP(A221,Classification!A:D,2,FALSE)</f>
        <v>A</v>
      </c>
      <c r="E221" s="5" t="str">
        <f>VLOOKUP(A221,Seqs!A:B,2,FALSE)</f>
        <v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v>
      </c>
      <c r="F221" s="5" t="str">
        <f t="shared" si="76"/>
        <v>MITAITIMALYSIVCVVGLFGNFLVMYVIVRY</v>
      </c>
      <c r="G221" s="4" t="str">
        <f t="shared" si="77"/>
        <v>TKMK</v>
      </c>
      <c r="H221" s="4" t="str">
        <f t="shared" si="78"/>
        <v>TATNIYIFNLALADALATSTLPFQSVNYLM</v>
      </c>
      <c r="I221" s="4" t="str">
        <f t="shared" si="79"/>
        <v>TWPF</v>
      </c>
      <c r="J221" s="4" t="str">
        <f t="shared" si="80"/>
        <v>GTILCKIVISIDYYNMFTSIFTLCTMSVDRYIAVCH</v>
      </c>
      <c r="K221" s="4" t="str">
        <f t="shared" si="81"/>
        <v>PVKALDFR</v>
      </c>
      <c r="L221" s="4" t="str">
        <f t="shared" si="82"/>
        <v>TPRNAKIINVCNWILSSAIGLPVMFMA</v>
      </c>
      <c r="M221" s="4" t="str">
        <f t="shared" si="83"/>
        <v>CTL</v>
      </c>
      <c r="N221" s="4" t="str">
        <f t="shared" si="84"/>
        <v>TWYWENLLKICVFIFAFIMPVLIITVCYGLMILRLKSV</v>
      </c>
      <c r="O221" s="4" t="str">
        <f t="shared" si="85"/>
        <v>SKEKDRNLRRITRMVLVVVAVFIVCWTPIHIYVIIKALV</v>
      </c>
      <c r="P221" s="4" t="str">
        <f t="shared" si="86"/>
        <v>TTFQTVSWHFCIALGYTNSCLNPVLYAFL</v>
      </c>
      <c r="Q221" s="4" t="str">
        <f t="shared" si="87"/>
        <v>DENFKRCFREFCI</v>
      </c>
      <c r="R221" s="5">
        <f>VLOOKUP($A221,'SegEnds_NonXtal_Prot#'!$A:$AL,3,FALSE)</f>
        <v>67</v>
      </c>
      <c r="S221" s="5">
        <f>VLOOKUP($A221,'SegEnds_NonXtal_Prot#'!$A:$AL,6,FALSE)</f>
        <v>99</v>
      </c>
      <c r="T221" s="5">
        <f>VLOOKUP($A221,'SegEnds_NonXtal_Prot#'!$A:$AL,9,FALSE)</f>
        <v>103</v>
      </c>
      <c r="U221" s="5">
        <f>VLOOKUP($A221,'SegEnds_NonXtal_Prot#'!$A:$AL,12,FALSE)</f>
        <v>134</v>
      </c>
      <c r="V221" s="5">
        <f>VLOOKUP($A221,'SegEnds_NonXtal_Prot#'!$A:$AL,15,FALSE)</f>
        <v>138</v>
      </c>
      <c r="W221" s="5">
        <f>VLOOKUP($A221,'SegEnds_NonXtal_Prot#'!$A:$AL,18,FALSE)</f>
        <v>174</v>
      </c>
      <c r="X221" s="5">
        <f>VLOOKUP($A221,'SegEnds_NonXtal_Prot#'!$A:$AL,21,FALSE)</f>
        <v>182</v>
      </c>
      <c r="Y221" s="5">
        <f>VLOOKUP($A221,'SegEnds_NonXtal_Prot#'!$A:$AL,24,FALSE)</f>
        <v>219</v>
      </c>
      <c r="Z221" s="5">
        <f>VLOOKUP($A221,'SegEnds_NonXtal_Prot#'!$A:$AL,27,FALSE)</f>
        <v>227</v>
      </c>
      <c r="AA221" s="5">
        <f>VLOOKUP($A221,'SegEnds_NonXtal_Prot#'!$A:$AL,30,FALSE)</f>
        <v>270</v>
      </c>
      <c r="AB221" s="5">
        <f>VLOOKUP($A221,'SegEnds_NonXtal_Prot#'!$A:$AL,33,FALSE)</f>
        <v>313</v>
      </c>
      <c r="AC221" s="5">
        <f>VLOOKUP($A221,'SegEnds_NonXtal_Prot#'!$A:$AL,36,FALSE)</f>
        <v>342</v>
      </c>
      <c r="AD221" s="5">
        <f>VLOOKUP($A221,'SegEnds_NonXtal_Prot#'!$A:$AL,5,FALSE)</f>
        <v>98</v>
      </c>
      <c r="AE221" s="5">
        <f>VLOOKUP($A221,'SegEnds_NonXtal_Prot#'!$A:$AL,8,FALSE)</f>
        <v>102</v>
      </c>
      <c r="AF221" s="5">
        <f>VLOOKUP($A221,'SegEnds_NonXtal_Prot#'!$A:$AL,11,FALSE)</f>
        <v>132</v>
      </c>
      <c r="AG221" s="5">
        <f>VLOOKUP($A221,'SegEnds_NonXtal_Prot#'!$A:$AL,14,FALSE)</f>
        <v>137</v>
      </c>
      <c r="AH221" s="5">
        <f>VLOOKUP($A221,'SegEnds_NonXtal_Prot#'!$A:$AL,17,FALSE)</f>
        <v>173</v>
      </c>
      <c r="AI221" s="5">
        <f>VLOOKUP($A221,'SegEnds_NonXtal_Prot#'!$A:$AL,20,FALSE)</f>
        <v>181</v>
      </c>
      <c r="AJ221" s="5">
        <f>VLOOKUP($A221,'SegEnds_NonXtal_Prot#'!$A:$AL,23,FALSE)</f>
        <v>208</v>
      </c>
      <c r="AK221" s="5">
        <f>VLOOKUP($A221,'SegEnds_NonXtal_Prot#'!$A:$AL,26,FALSE)</f>
        <v>221</v>
      </c>
      <c r="AL221" s="5">
        <f>VLOOKUP($A221,'SegEnds_NonXtal_Prot#'!$A:$AL,29,FALSE)</f>
        <v>264</v>
      </c>
      <c r="AM221" s="5">
        <f>VLOOKUP($A221,'SegEnds_NonXtal_Prot#'!$A:$AL,32,FALSE)</f>
        <v>308</v>
      </c>
      <c r="AN221" s="5">
        <f>VLOOKUP($A221,'SegEnds_NonXtal_Prot#'!$A:$AL,35,FALSE)</f>
        <v>341</v>
      </c>
      <c r="AO221" s="5">
        <f>VLOOKUP($A221,'SegEnds_NonXtal_Prot#'!$A:$AL,38,FALSE)</f>
        <v>354</v>
      </c>
      <c r="AP221" s="5">
        <f t="shared" si="88"/>
        <v>31</v>
      </c>
      <c r="AQ221" s="4">
        <f t="shared" si="89"/>
        <v>3</v>
      </c>
      <c r="AR221" s="4">
        <f t="shared" si="90"/>
        <v>29</v>
      </c>
      <c r="AS221" s="4">
        <f t="shared" si="91"/>
        <v>3</v>
      </c>
      <c r="AT221" s="4">
        <f t="shared" si="92"/>
        <v>35</v>
      </c>
      <c r="AU221" s="4">
        <f t="shared" si="93"/>
        <v>7</v>
      </c>
      <c r="AV221" s="4">
        <f t="shared" si="94"/>
        <v>26</v>
      </c>
      <c r="AW221" s="4">
        <f t="shared" si="95"/>
        <v>2</v>
      </c>
      <c r="AX221" s="4">
        <f t="shared" si="96"/>
        <v>37</v>
      </c>
      <c r="AY221" s="4">
        <f t="shared" si="97"/>
        <v>38</v>
      </c>
      <c r="AZ221" s="4">
        <f t="shared" si="98"/>
        <v>28</v>
      </c>
      <c r="BA221" s="4">
        <f t="shared" si="99"/>
        <v>12</v>
      </c>
    </row>
    <row r="222" spans="1:53" x14ac:dyDescent="0.2">
      <c r="A222" s="1" t="str">
        <f>'SegEnds_NonXtal_Prot#'!A205</f>
        <v>oprm_mouse</v>
      </c>
      <c r="B222" s="1" t="str">
        <f t="shared" si="75"/>
        <v>MVTAITIMALYSIVCVVGLFGNFLVMYVIVRYTATNIYIFNLALADALATSTLPFQSVNYLMGNILCKIVISIDYYNMFTSIFTLCTMSVDRYIAVCHTPRNAKIVNVCNWILSSAIGLPVMFMATWYWENLLKICVFIFAFIMPVLIITVCYGLMILRLKSVSKEKDRNLRRITRMVLVVVAVFIVCWTPIHIYVIIKALITTFQTVSWHFCIALGYTNSCLNPVLYAFLDENFKRCFREFCI</v>
      </c>
      <c r="C222" s="29" t="str">
        <f>IF(ISERROR(MATCH(A222,'SegEnds_Xtal_Prot#'!B:B, 0)), "NoXtal", "Xtal")</f>
        <v>Xtal</v>
      </c>
      <c r="D222" s="4" t="str">
        <f>VLOOKUP(A222,Classification!A:D,2,FALSE)</f>
        <v>A</v>
      </c>
      <c r="E222" s="5" t="str">
        <f>VLOOKUP(A222,Seqs!A:B,2,FALSE)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F222" s="5" t="str">
        <f t="shared" si="76"/>
        <v>MVTAITIMALYSIVCVVGLFGNFLVMYVIVRY</v>
      </c>
      <c r="G222" s="4" t="str">
        <f t="shared" si="77"/>
        <v>TKMK</v>
      </c>
      <c r="H222" s="4" t="str">
        <f t="shared" si="78"/>
        <v>TATNIYIFNLALADALATSTLPFQSVNYLM</v>
      </c>
      <c r="I222" s="4" t="str">
        <f t="shared" si="79"/>
        <v>TWPF</v>
      </c>
      <c r="J222" s="4" t="str">
        <f t="shared" si="80"/>
        <v>GNILCKIVISIDYYNMFTSIFTLCTMSVDRYIAVCH</v>
      </c>
      <c r="K222" s="4" t="str">
        <f t="shared" si="81"/>
        <v>PVKALDFR</v>
      </c>
      <c r="L222" s="4" t="str">
        <f t="shared" si="82"/>
        <v>TPRNAKIVNVCNWILSSAIGLPVMFMA</v>
      </c>
      <c r="M222" s="4" t="str">
        <f t="shared" si="83"/>
        <v>CTL</v>
      </c>
      <c r="N222" s="4" t="str">
        <f t="shared" si="84"/>
        <v>TWYWENLLKICVFIFAFIMPVLIITVCYGLMILRLKSV</v>
      </c>
      <c r="O222" s="4" t="str">
        <f t="shared" si="85"/>
        <v>SKEKDRNLRRITRMVLVVVAVFIVCWTPIHIYVIIKALI</v>
      </c>
      <c r="P222" s="4" t="str">
        <f t="shared" si="86"/>
        <v>TTFQTVSWHFCIALGYTNSCLNPVLYAFL</v>
      </c>
      <c r="Q222" s="4" t="str">
        <f t="shared" si="87"/>
        <v>DENFKRCFREFCI</v>
      </c>
      <c r="R222" s="5">
        <f>VLOOKUP($A222,'SegEnds_NonXtal_Prot#'!$A:$AL,3,FALSE)</f>
        <v>65</v>
      </c>
      <c r="S222" s="5">
        <f>VLOOKUP($A222,'SegEnds_NonXtal_Prot#'!$A:$AL,6,FALSE)</f>
        <v>97</v>
      </c>
      <c r="T222" s="5">
        <f>VLOOKUP($A222,'SegEnds_NonXtal_Prot#'!$A:$AL,9,FALSE)</f>
        <v>101</v>
      </c>
      <c r="U222" s="5">
        <f>VLOOKUP($A222,'SegEnds_NonXtal_Prot#'!$A:$AL,12,FALSE)</f>
        <v>132</v>
      </c>
      <c r="V222" s="5">
        <f>VLOOKUP($A222,'SegEnds_NonXtal_Prot#'!$A:$AL,15,FALSE)</f>
        <v>136</v>
      </c>
      <c r="W222" s="5">
        <f>VLOOKUP($A222,'SegEnds_NonXtal_Prot#'!$A:$AL,18,FALSE)</f>
        <v>172</v>
      </c>
      <c r="X222" s="5">
        <f>VLOOKUP($A222,'SegEnds_NonXtal_Prot#'!$A:$AL,21,FALSE)</f>
        <v>180</v>
      </c>
      <c r="Y222" s="5">
        <f>VLOOKUP($A222,'SegEnds_NonXtal_Prot#'!$A:$AL,24,FALSE)</f>
        <v>217</v>
      </c>
      <c r="Z222" s="5">
        <f>VLOOKUP($A222,'SegEnds_NonXtal_Prot#'!$A:$AL,27,FALSE)</f>
        <v>225</v>
      </c>
      <c r="AA222" s="5">
        <f>VLOOKUP($A222,'SegEnds_NonXtal_Prot#'!$A:$AL,30,FALSE)</f>
        <v>268</v>
      </c>
      <c r="AB222" s="5">
        <f>VLOOKUP($A222,'SegEnds_NonXtal_Prot#'!$A:$AL,33,FALSE)</f>
        <v>311</v>
      </c>
      <c r="AC222" s="5">
        <f>VLOOKUP($A222,'SegEnds_NonXtal_Prot#'!$A:$AL,36,FALSE)</f>
        <v>340</v>
      </c>
      <c r="AD222" s="5">
        <f>VLOOKUP($A222,'SegEnds_NonXtal_Prot#'!$A:$AL,5,FALSE)</f>
        <v>96</v>
      </c>
      <c r="AE222" s="5">
        <f>VLOOKUP($A222,'SegEnds_NonXtal_Prot#'!$A:$AL,8,FALSE)</f>
        <v>100</v>
      </c>
      <c r="AF222" s="5">
        <f>VLOOKUP($A222,'SegEnds_NonXtal_Prot#'!$A:$AL,11,FALSE)</f>
        <v>130</v>
      </c>
      <c r="AG222" s="5">
        <f>VLOOKUP($A222,'SegEnds_NonXtal_Prot#'!$A:$AL,14,FALSE)</f>
        <v>135</v>
      </c>
      <c r="AH222" s="5">
        <f>VLOOKUP($A222,'SegEnds_NonXtal_Prot#'!$A:$AL,17,FALSE)</f>
        <v>171</v>
      </c>
      <c r="AI222" s="5">
        <f>VLOOKUP($A222,'SegEnds_NonXtal_Prot#'!$A:$AL,20,FALSE)</f>
        <v>179</v>
      </c>
      <c r="AJ222" s="5">
        <f>VLOOKUP($A222,'SegEnds_NonXtal_Prot#'!$A:$AL,23,FALSE)</f>
        <v>206</v>
      </c>
      <c r="AK222" s="5">
        <f>VLOOKUP($A222,'SegEnds_NonXtal_Prot#'!$A:$AL,26,FALSE)</f>
        <v>219</v>
      </c>
      <c r="AL222" s="5">
        <f>VLOOKUP($A222,'SegEnds_NonXtal_Prot#'!$A:$AL,29,FALSE)</f>
        <v>262</v>
      </c>
      <c r="AM222" s="5">
        <f>VLOOKUP($A222,'SegEnds_NonXtal_Prot#'!$A:$AL,32,FALSE)</f>
        <v>306</v>
      </c>
      <c r="AN222" s="5">
        <f>VLOOKUP($A222,'SegEnds_NonXtal_Prot#'!$A:$AL,35,FALSE)</f>
        <v>339</v>
      </c>
      <c r="AO222" s="5">
        <f>VLOOKUP($A222,'SegEnds_NonXtal_Prot#'!$A:$AL,38,FALSE)</f>
        <v>352</v>
      </c>
      <c r="AP222" s="5">
        <f t="shared" si="88"/>
        <v>31</v>
      </c>
      <c r="AQ222" s="4">
        <f t="shared" si="89"/>
        <v>3</v>
      </c>
      <c r="AR222" s="4">
        <f t="shared" si="90"/>
        <v>29</v>
      </c>
      <c r="AS222" s="4">
        <f t="shared" si="91"/>
        <v>3</v>
      </c>
      <c r="AT222" s="4">
        <f t="shared" si="92"/>
        <v>35</v>
      </c>
      <c r="AU222" s="4">
        <f t="shared" si="93"/>
        <v>7</v>
      </c>
      <c r="AV222" s="4">
        <f t="shared" si="94"/>
        <v>26</v>
      </c>
      <c r="AW222" s="4">
        <f t="shared" si="95"/>
        <v>2</v>
      </c>
      <c r="AX222" s="4">
        <f t="shared" si="96"/>
        <v>37</v>
      </c>
      <c r="AY222" s="4">
        <f t="shared" si="97"/>
        <v>38</v>
      </c>
      <c r="AZ222" s="4">
        <f t="shared" si="98"/>
        <v>28</v>
      </c>
      <c r="BA222" s="4">
        <f t="shared" si="99"/>
        <v>12</v>
      </c>
    </row>
    <row r="223" spans="1:53" x14ac:dyDescent="0.2">
      <c r="A223" s="1" t="str">
        <f>'SegEnds_NonXtal_Prot#'!A206</f>
        <v>oprx_human</v>
      </c>
      <c r="B223" s="1" t="str">
        <f t="shared" si="75"/>
        <v>LGLKVTIVGLYLAVCVGGLLGNCLVMYVILRHTATNIYIFNLALADTLVLLTLPFQGTDILLGNALCKTVIAIDYYNMFTSTFTLTAMSVDRYVAICHTSSKAQAVNVAIWALASVVGVPVAIMGQDYWGPVFAICIFLFSFIVPVLVISVCYSLMIRRLRGVSREKDRNLRRITRLVLVVVAVFVGCWTPVQVFVLAQGLGSETAVAILRFCTALGYVNSCLNPILYAFLDENFKACFRKFCC</v>
      </c>
      <c r="C223" s="29" t="str">
        <f>IF(ISERROR(MATCH(A223,'SegEnds_Xtal_Prot#'!B:B, 0)), "NoXtal", "Xtal")</f>
        <v>Xtal</v>
      </c>
      <c r="D223" s="4" t="str">
        <f>VLOOKUP(A223,Classification!A:D,2,FALSE)</f>
        <v>A</v>
      </c>
      <c r="E223" s="5" t="str">
        <f>VLOOKUP(A223,Seqs!A:B,2,FALSE)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F223" s="5" t="str">
        <f t="shared" si="76"/>
        <v>LGLKVTIVGLYLAVCVGGLLGNCLVMYVILRH</v>
      </c>
      <c r="G223" s="4" t="str">
        <f t="shared" si="77"/>
        <v>TKMK</v>
      </c>
      <c r="H223" s="4" t="str">
        <f t="shared" si="78"/>
        <v>TATNIYIFNLALADTLVLLTLPFQGTDILL</v>
      </c>
      <c r="I223" s="4" t="str">
        <f t="shared" si="79"/>
        <v>FWPF</v>
      </c>
      <c r="J223" s="4" t="str">
        <f t="shared" si="80"/>
        <v>GNALCKTVIAIDYYNMFTSTFTLTAMSVDRYVAICH</v>
      </c>
      <c r="K223" s="4" t="str">
        <f t="shared" si="81"/>
        <v>PIRALDVR</v>
      </c>
      <c r="L223" s="4" t="str">
        <f t="shared" si="82"/>
        <v>TSSKAQAVNVAIWALASVVGVPVAIMG</v>
      </c>
      <c r="M223" s="4" t="str">
        <f t="shared" si="83"/>
        <v>CLV</v>
      </c>
      <c r="N223" s="4" t="str">
        <f t="shared" si="84"/>
        <v>QDYWGPVFAICIFLFSFIVPVLVISVCYSLMIRRLRGV</v>
      </c>
      <c r="O223" s="4" t="str">
        <f t="shared" si="85"/>
        <v>SREKDRNLRRITRLVLVVVAVFVGCWTPVQVFVLAQGLG</v>
      </c>
      <c r="P223" s="4" t="str">
        <f t="shared" si="86"/>
        <v>SETAVAILRFCTALGYVNSCLNPILYAFL</v>
      </c>
      <c r="Q223" s="4" t="str">
        <f t="shared" si="87"/>
        <v>DENFKACFRKFCC</v>
      </c>
      <c r="R223" s="5">
        <f>VLOOKUP($A223,'SegEnds_NonXtal_Prot#'!$A:$AL,3,FALSE)</f>
        <v>48</v>
      </c>
      <c r="S223" s="5">
        <f>VLOOKUP($A223,'SegEnds_NonXtal_Prot#'!$A:$AL,6,FALSE)</f>
        <v>80</v>
      </c>
      <c r="T223" s="5">
        <f>VLOOKUP($A223,'SegEnds_NonXtal_Prot#'!$A:$AL,9,FALSE)</f>
        <v>84</v>
      </c>
      <c r="U223" s="5">
        <f>VLOOKUP($A223,'SegEnds_NonXtal_Prot#'!$A:$AL,12,FALSE)</f>
        <v>115</v>
      </c>
      <c r="V223" s="5">
        <f>VLOOKUP($A223,'SegEnds_NonXtal_Prot#'!$A:$AL,15,FALSE)</f>
        <v>119</v>
      </c>
      <c r="W223" s="5">
        <f>VLOOKUP($A223,'SegEnds_NonXtal_Prot#'!$A:$AL,18,FALSE)</f>
        <v>155</v>
      </c>
      <c r="X223" s="5">
        <f>VLOOKUP($A223,'SegEnds_NonXtal_Prot#'!$A:$AL,21,FALSE)</f>
        <v>163</v>
      </c>
      <c r="Y223" s="5">
        <f>VLOOKUP($A223,'SegEnds_NonXtal_Prot#'!$A:$AL,24,FALSE)</f>
        <v>200</v>
      </c>
      <c r="Z223" s="5">
        <f>VLOOKUP($A223,'SegEnds_NonXtal_Prot#'!$A:$AL,27,FALSE)</f>
        <v>208</v>
      </c>
      <c r="AA223" s="5">
        <f>VLOOKUP($A223,'SegEnds_NonXtal_Prot#'!$A:$AL,30,FALSE)</f>
        <v>251</v>
      </c>
      <c r="AB223" s="5">
        <f>VLOOKUP($A223,'SegEnds_NonXtal_Prot#'!$A:$AL,33,FALSE)</f>
        <v>294</v>
      </c>
      <c r="AC223" s="5">
        <f>VLOOKUP($A223,'SegEnds_NonXtal_Prot#'!$A:$AL,36,FALSE)</f>
        <v>323</v>
      </c>
      <c r="AD223" s="5">
        <f>VLOOKUP($A223,'SegEnds_NonXtal_Prot#'!$A:$AL,5,FALSE)</f>
        <v>79</v>
      </c>
      <c r="AE223" s="5">
        <f>VLOOKUP($A223,'SegEnds_NonXtal_Prot#'!$A:$AL,8,FALSE)</f>
        <v>83</v>
      </c>
      <c r="AF223" s="5">
        <f>VLOOKUP($A223,'SegEnds_NonXtal_Prot#'!$A:$AL,11,FALSE)</f>
        <v>113</v>
      </c>
      <c r="AG223" s="5">
        <f>VLOOKUP($A223,'SegEnds_NonXtal_Prot#'!$A:$AL,14,FALSE)</f>
        <v>118</v>
      </c>
      <c r="AH223" s="5">
        <f>VLOOKUP($A223,'SegEnds_NonXtal_Prot#'!$A:$AL,17,FALSE)</f>
        <v>154</v>
      </c>
      <c r="AI223" s="5">
        <f>VLOOKUP($A223,'SegEnds_NonXtal_Prot#'!$A:$AL,20,FALSE)</f>
        <v>162</v>
      </c>
      <c r="AJ223" s="5">
        <f>VLOOKUP($A223,'SegEnds_NonXtal_Prot#'!$A:$AL,23,FALSE)</f>
        <v>189</v>
      </c>
      <c r="AK223" s="5">
        <f>VLOOKUP($A223,'SegEnds_NonXtal_Prot#'!$A:$AL,26,FALSE)</f>
        <v>202</v>
      </c>
      <c r="AL223" s="5">
        <f>VLOOKUP($A223,'SegEnds_NonXtal_Prot#'!$A:$AL,29,FALSE)</f>
        <v>245</v>
      </c>
      <c r="AM223" s="5">
        <f>VLOOKUP($A223,'SegEnds_NonXtal_Prot#'!$A:$AL,32,FALSE)</f>
        <v>289</v>
      </c>
      <c r="AN223" s="5">
        <f>VLOOKUP($A223,'SegEnds_NonXtal_Prot#'!$A:$AL,35,FALSE)</f>
        <v>322</v>
      </c>
      <c r="AO223" s="5">
        <f>VLOOKUP($A223,'SegEnds_NonXtal_Prot#'!$A:$AL,38,FALSE)</f>
        <v>335</v>
      </c>
      <c r="AP223" s="5">
        <f t="shared" si="88"/>
        <v>31</v>
      </c>
      <c r="AQ223" s="4">
        <f t="shared" si="89"/>
        <v>3</v>
      </c>
      <c r="AR223" s="4">
        <f t="shared" si="90"/>
        <v>29</v>
      </c>
      <c r="AS223" s="4">
        <f t="shared" si="91"/>
        <v>3</v>
      </c>
      <c r="AT223" s="4">
        <f t="shared" si="92"/>
        <v>35</v>
      </c>
      <c r="AU223" s="4">
        <f t="shared" si="93"/>
        <v>7</v>
      </c>
      <c r="AV223" s="4">
        <f t="shared" si="94"/>
        <v>26</v>
      </c>
      <c r="AW223" s="4">
        <f t="shared" si="95"/>
        <v>2</v>
      </c>
      <c r="AX223" s="4">
        <f t="shared" si="96"/>
        <v>37</v>
      </c>
      <c r="AY223" s="4">
        <f t="shared" si="97"/>
        <v>38</v>
      </c>
      <c r="AZ223" s="4">
        <f t="shared" si="98"/>
        <v>28</v>
      </c>
      <c r="BA223" s="4">
        <f t="shared" si="99"/>
        <v>12</v>
      </c>
    </row>
    <row r="224" spans="1:53" x14ac:dyDescent="0.2">
      <c r="A224" s="1" t="str">
        <f>'SegEnds_NonXtal_Prot#'!A207</f>
        <v>opsd_todpa</v>
      </c>
      <c r="B224" s="1" t="str">
        <f t="shared" si="75"/>
        <v>DAVYYSLGIFIGICGIIGCGGNGIVIYLFTKTTPANMFIINLAFSDFTFSLVNGFPLMTISCFLKGFAACKVYGFIGGIFGFMSIMTMAMISIDRYNVIGRSHRRAFIMIIFVWLWSVLWAIGPIFDSTTRSNILCMFILGFFGPILIIFFCYFNIVMSVSNHEKEMAAMAKKELRKAQAGANAEMRLAKISIVIVSQFLLSWSPYAVVALLAQFGTPYAAQLPVMFAKASAIHNPMIYSVSHPKFREAISQTF</v>
      </c>
      <c r="C224" s="29" t="str">
        <f>IF(ISERROR(MATCH(A224,'SegEnds_Xtal_Prot#'!B:B, 0)), "NoXtal", "Xtal")</f>
        <v>Xtal</v>
      </c>
      <c r="D224" s="4" t="str">
        <f>VLOOKUP(A224,Classification!A:D,2,FALSE)</f>
        <v>A</v>
      </c>
      <c r="E224" s="5" t="str">
        <f>VLOOKUP(A224,Seqs!A:B,2,FALSE)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F224" s="5" t="str">
        <f t="shared" si="76"/>
        <v>DAVYYSLGIFIGICGIIGCGGNGIVIYLFTKT</v>
      </c>
      <c r="G224" s="4" t="str">
        <f t="shared" si="77"/>
        <v>KSLQ</v>
      </c>
      <c r="H224" s="4" t="str">
        <f t="shared" si="78"/>
        <v>TPANMFIINLAFSDFTFSLVNGFPLMTISCFLK</v>
      </c>
      <c r="I224" s="4" t="str">
        <f t="shared" si="79"/>
        <v>KWIF</v>
      </c>
      <c r="J224" s="4" t="str">
        <f t="shared" si="80"/>
        <v>GFAACKVYGFIGGIFGFMSIMTMAMISIDRYNVIGR</v>
      </c>
      <c r="K224" s="4" t="str">
        <f t="shared" si="81"/>
        <v>PMAASKKM</v>
      </c>
      <c r="L224" s="4" t="str">
        <f t="shared" si="82"/>
        <v>SHRRAFIMIIFVWLWSVLWAIGPIF</v>
      </c>
      <c r="M224" s="4" t="str">
        <f t="shared" si="83"/>
        <v>CSF</v>
      </c>
      <c r="N224" s="4" t="str">
        <f t="shared" si="84"/>
        <v>DSTTRSNILCMFILGFFGPILIIFFCYFNIVMSVSNHEKEMAAMAK</v>
      </c>
      <c r="O224" s="4" t="str">
        <f t="shared" si="85"/>
        <v>KELRKAQAGANAEMRLAKISIVIVSQFLLSWSPYAVVALLAQFG</v>
      </c>
      <c r="P224" s="4" t="str">
        <f t="shared" si="86"/>
        <v>TPYAAQLPVMFAKASAIHNPMIYSVS</v>
      </c>
      <c r="Q224" s="4" t="str">
        <f t="shared" si="87"/>
        <v>HPKFREAISQTF</v>
      </c>
      <c r="R224" s="5">
        <f>VLOOKUP($A224,'SegEnds_NonXtal_Prot#'!$A:$AL,3,FALSE)</f>
        <v>31</v>
      </c>
      <c r="S224" s="5">
        <f>VLOOKUP($A224,'SegEnds_NonXtal_Prot#'!$A:$AL,6,FALSE)</f>
        <v>63</v>
      </c>
      <c r="T224" s="5">
        <f>VLOOKUP($A224,'SegEnds_NonXtal_Prot#'!$A:$AL,9,FALSE)</f>
        <v>67</v>
      </c>
      <c r="U224" s="5">
        <f>VLOOKUP($A224,'SegEnds_NonXtal_Prot#'!$A:$AL,12,FALSE)</f>
        <v>100</v>
      </c>
      <c r="V224" s="5">
        <f>VLOOKUP($A224,'SegEnds_NonXtal_Prot#'!$A:$AL,15,FALSE)</f>
        <v>104</v>
      </c>
      <c r="W224" s="5">
        <f>VLOOKUP($A224,'SegEnds_NonXtal_Prot#'!$A:$AL,18,FALSE)</f>
        <v>140</v>
      </c>
      <c r="X224" s="5">
        <f>VLOOKUP($A224,'SegEnds_NonXtal_Prot#'!$A:$AL,21,FALSE)</f>
        <v>148</v>
      </c>
      <c r="Y224" s="5">
        <f>VLOOKUP($A224,'SegEnds_NonXtal_Prot#'!$A:$AL,24,FALSE)</f>
        <v>186</v>
      </c>
      <c r="Z224" s="5">
        <f>VLOOKUP($A224,'SegEnds_NonXtal_Prot#'!$A:$AL,27,FALSE)</f>
        <v>194</v>
      </c>
      <c r="AA224" s="5">
        <f>VLOOKUP($A224,'SegEnds_NonXtal_Prot#'!$A:$AL,30,FALSE)</f>
        <v>244</v>
      </c>
      <c r="AB224" s="5">
        <f>VLOOKUP($A224,'SegEnds_NonXtal_Prot#'!$A:$AL,33,FALSE)</f>
        <v>293</v>
      </c>
      <c r="AC224" s="5">
        <f>VLOOKUP($A224,'SegEnds_NonXtal_Prot#'!$A:$AL,36,FALSE)</f>
        <v>319</v>
      </c>
      <c r="AD224" s="5">
        <f>VLOOKUP($A224,'SegEnds_NonXtal_Prot#'!$A:$AL,5,FALSE)</f>
        <v>62</v>
      </c>
      <c r="AE224" s="5">
        <f>VLOOKUP($A224,'SegEnds_NonXtal_Prot#'!$A:$AL,8,FALSE)</f>
        <v>66</v>
      </c>
      <c r="AF224" s="5">
        <f>VLOOKUP($A224,'SegEnds_NonXtal_Prot#'!$A:$AL,11,FALSE)</f>
        <v>99</v>
      </c>
      <c r="AG224" s="5">
        <f>VLOOKUP($A224,'SegEnds_NonXtal_Prot#'!$A:$AL,14,FALSE)</f>
        <v>103</v>
      </c>
      <c r="AH224" s="5">
        <f>VLOOKUP($A224,'SegEnds_NonXtal_Prot#'!$A:$AL,17,FALSE)</f>
        <v>139</v>
      </c>
      <c r="AI224" s="5">
        <f>VLOOKUP($A224,'SegEnds_NonXtal_Prot#'!$A:$AL,20,FALSE)</f>
        <v>147</v>
      </c>
      <c r="AJ224" s="5">
        <f>VLOOKUP($A224,'SegEnds_NonXtal_Prot#'!$A:$AL,23,FALSE)</f>
        <v>172</v>
      </c>
      <c r="AK224" s="5">
        <f>VLOOKUP($A224,'SegEnds_NonXtal_Prot#'!$A:$AL,26,FALSE)</f>
        <v>188</v>
      </c>
      <c r="AL224" s="5">
        <f>VLOOKUP($A224,'SegEnds_NonXtal_Prot#'!$A:$AL,29,FALSE)</f>
        <v>239</v>
      </c>
      <c r="AM224" s="5">
        <f>VLOOKUP($A224,'SegEnds_NonXtal_Prot#'!$A:$AL,32,FALSE)</f>
        <v>287</v>
      </c>
      <c r="AN224" s="5">
        <f>VLOOKUP($A224,'SegEnds_NonXtal_Prot#'!$A:$AL,35,FALSE)</f>
        <v>318</v>
      </c>
      <c r="AO224" s="5">
        <f>VLOOKUP($A224,'SegEnds_NonXtal_Prot#'!$A:$AL,38,FALSE)</f>
        <v>330</v>
      </c>
      <c r="AP224" s="5">
        <f t="shared" si="88"/>
        <v>31</v>
      </c>
      <c r="AQ224" s="4">
        <f t="shared" si="89"/>
        <v>3</v>
      </c>
      <c r="AR224" s="4">
        <f t="shared" si="90"/>
        <v>32</v>
      </c>
      <c r="AS224" s="4">
        <f t="shared" si="91"/>
        <v>3</v>
      </c>
      <c r="AT224" s="4">
        <f t="shared" si="92"/>
        <v>35</v>
      </c>
      <c r="AU224" s="4">
        <f t="shared" si="93"/>
        <v>7</v>
      </c>
      <c r="AV224" s="4">
        <f t="shared" si="94"/>
        <v>24</v>
      </c>
      <c r="AW224" s="4">
        <f t="shared" si="95"/>
        <v>2</v>
      </c>
      <c r="AX224" s="4">
        <f t="shared" si="96"/>
        <v>45</v>
      </c>
      <c r="AY224" s="4">
        <f t="shared" si="97"/>
        <v>43</v>
      </c>
      <c r="AZ224" s="4">
        <f t="shared" si="98"/>
        <v>25</v>
      </c>
      <c r="BA224" s="4">
        <f t="shared" si="99"/>
        <v>11</v>
      </c>
    </row>
    <row r="225" spans="1:53" x14ac:dyDescent="0.2">
      <c r="A225" s="1" t="str">
        <f>'SegEnds_NonXtal_Prot#'!A208</f>
        <v>oxer1_human</v>
      </c>
      <c r="B225" s="1" t="str">
        <f t="shared" si="75"/>
        <v>LVSAFLAPILALEFVLGLVGNSLALFIFCIHTSNTVFLVSLVAADFLLISNLPLRVDYYLLGAAACKVNLFMLSTNRTASVVFLTAIALNRYLKVVQSVGAAARVAGGLWVGILLLNGHLLLSTKPSASLRWHQALYLLEFFLPLALILFAIVSIGLTIRNGQAGPQRAMRVLAMVVAVYTICFLPSIIFGMASMVALDLCTQLFHGSLAFTYLNSVLDPVLYCFSSPNFLHQSRALLG</v>
      </c>
      <c r="C225" s="29" t="str">
        <f>IF(ISERROR(MATCH(A225,'SegEnds_Xtal_Prot#'!B:B, 0)), "NoXtal", "Xtal")</f>
        <v>NoXtal</v>
      </c>
      <c r="D225" s="4" t="str">
        <f>VLOOKUP(A225,Classification!A:D,2,FALSE)</f>
        <v>A</v>
      </c>
      <c r="E225" s="5" t="str">
        <f>VLOOKUP(A225,Seqs!A:B,2,FALSE)</f>
        <v>MLCHRGGQLIVPIIPLCPEHSCRGRRLQNLLSGPWPKQPMELHNLSSPSPSLSSSVLPPSFSPSPSSAPSAFTTVGGSSGGPCHPTSSSLVSAFLAPILALEFVLGLVGNSLALFIFCIHTRPWTSNTVFLVSLVAADFLLISNLPLRVDYYLLHETWRFGAAACKVNLFMLSTNRTASVVFLTAIALNRYLKVVQPHHVLSRASVGAAARVAGGLWVGILLLNGHLLLSTFSGPSCLSYRVGTKPSASLRWHQALYLLEFFLPLALILFAIVSIGLTIRNRGLGGQAGPQRAMRVLAMVVAVYTICFLPSIIFGMASMVAFWLSACRSLDLCTQLFHGSLAFTYLNSVLDPVLYCFSSPNFLHQSRALLGLTRGRQGPVSDESSYQPSRQWRYREASRKAEAIGKLKVQGEVSLEKEGSSQG</v>
      </c>
      <c r="F225" s="5" t="str">
        <f t="shared" si="76"/>
        <v>LVSAFLAPILALEFVLGLVGNSLALFIFCIH</v>
      </c>
      <c r="G225" s="4" t="str">
        <f t="shared" si="77"/>
        <v>TRPW</v>
      </c>
      <c r="H225" s="4" t="str">
        <f t="shared" si="78"/>
        <v>TSNTVFLVSLVAADFLLISNLPLRVDYYLL</v>
      </c>
      <c r="I225" s="4" t="str">
        <f t="shared" si="79"/>
        <v>TWRF</v>
      </c>
      <c r="J225" s="4" t="str">
        <f t="shared" si="80"/>
        <v>GAAACKVNLFMLSTNRTASVVFLTAIALNRYLKVVQ</v>
      </c>
      <c r="K225" s="4" t="str">
        <f t="shared" si="81"/>
        <v>PHHVLSRA</v>
      </c>
      <c r="L225" s="4" t="str">
        <f t="shared" si="82"/>
        <v>SVGAAARVAGGLWVGILLLNGHLLLST</v>
      </c>
      <c r="M225" s="4" t="str">
        <f t="shared" si="83"/>
        <v>CLS</v>
      </c>
      <c r="N225" s="4" t="str">
        <f t="shared" si="84"/>
        <v>KPSASLRWHQALYLLEFFLPLALILFAIVSIGLTIRN</v>
      </c>
      <c r="O225" s="4" t="str">
        <f t="shared" si="85"/>
        <v>GQAGPQRAMRVLAMVVAVYTICFLPSIIFGMASMVA</v>
      </c>
      <c r="P225" s="4" t="str">
        <f t="shared" si="86"/>
        <v>LDLCTQLFHGSLAFTYLNSVLDPVLYCFS</v>
      </c>
      <c r="Q225" s="4" t="str">
        <f t="shared" si="87"/>
        <v>SPNFLHQSRALLG</v>
      </c>
      <c r="R225" s="5">
        <f>VLOOKUP($A225,'SegEnds_NonXtal_Prot#'!$A:$AL,3,FALSE)</f>
        <v>90</v>
      </c>
      <c r="S225" s="5">
        <f>VLOOKUP($A225,'SegEnds_NonXtal_Prot#'!$A:$AL,6,FALSE)</f>
        <v>121</v>
      </c>
      <c r="T225" s="5">
        <f>VLOOKUP($A225,'SegEnds_NonXtal_Prot#'!$A:$AL,9,FALSE)</f>
        <v>125</v>
      </c>
      <c r="U225" s="5">
        <f>VLOOKUP($A225,'SegEnds_NonXtal_Prot#'!$A:$AL,12,FALSE)</f>
        <v>157</v>
      </c>
      <c r="V225" s="5">
        <f>VLOOKUP($A225,'SegEnds_NonXtal_Prot#'!$A:$AL,15,FALSE)</f>
        <v>161</v>
      </c>
      <c r="W225" s="5">
        <f>VLOOKUP($A225,'SegEnds_NonXtal_Prot#'!$A:$AL,18,FALSE)</f>
        <v>197</v>
      </c>
      <c r="X225" s="5">
        <f>VLOOKUP($A225,'SegEnds_NonXtal_Prot#'!$A:$AL,21,FALSE)</f>
        <v>205</v>
      </c>
      <c r="Y225" s="5">
        <f>VLOOKUP($A225,'SegEnds_NonXtal_Prot#'!$A:$AL,24,FALSE)</f>
        <v>237</v>
      </c>
      <c r="Z225" s="5">
        <f>VLOOKUP($A225,'SegEnds_NonXtal_Prot#'!$A:$AL,27,FALSE)</f>
        <v>245</v>
      </c>
      <c r="AA225" s="5">
        <f>VLOOKUP($A225,'SegEnds_NonXtal_Prot#'!$A:$AL,30,FALSE)</f>
        <v>286</v>
      </c>
      <c r="AB225" s="5">
        <f>VLOOKUP($A225,'SegEnds_NonXtal_Prot#'!$A:$AL,33,FALSE)</f>
        <v>330</v>
      </c>
      <c r="AC225" s="5">
        <f>VLOOKUP($A225,'SegEnds_NonXtal_Prot#'!$A:$AL,36,FALSE)</f>
        <v>359</v>
      </c>
      <c r="AD225" s="5">
        <f>VLOOKUP($A225,'SegEnds_NonXtal_Prot#'!$A:$AL,5,FALSE)</f>
        <v>120</v>
      </c>
      <c r="AE225" s="5">
        <f>VLOOKUP($A225,'SegEnds_NonXtal_Prot#'!$A:$AL,8,FALSE)</f>
        <v>124</v>
      </c>
      <c r="AF225" s="5">
        <f>VLOOKUP($A225,'SegEnds_NonXtal_Prot#'!$A:$AL,11,FALSE)</f>
        <v>154</v>
      </c>
      <c r="AG225" s="5">
        <f>VLOOKUP($A225,'SegEnds_NonXtal_Prot#'!$A:$AL,14,FALSE)</f>
        <v>160</v>
      </c>
      <c r="AH225" s="5">
        <f>VLOOKUP($A225,'SegEnds_NonXtal_Prot#'!$A:$AL,17,FALSE)</f>
        <v>196</v>
      </c>
      <c r="AI225" s="5">
        <f>VLOOKUP($A225,'SegEnds_NonXtal_Prot#'!$A:$AL,20,FALSE)</f>
        <v>204</v>
      </c>
      <c r="AJ225" s="5">
        <f>VLOOKUP($A225,'SegEnds_NonXtal_Prot#'!$A:$AL,23,FALSE)</f>
        <v>231</v>
      </c>
      <c r="AK225" s="5">
        <f>VLOOKUP($A225,'SegEnds_NonXtal_Prot#'!$A:$AL,26,FALSE)</f>
        <v>239</v>
      </c>
      <c r="AL225" s="5">
        <f>VLOOKUP($A225,'SegEnds_NonXtal_Prot#'!$A:$AL,29,FALSE)</f>
        <v>281</v>
      </c>
      <c r="AM225" s="5">
        <f>VLOOKUP($A225,'SegEnds_NonXtal_Prot#'!$A:$AL,32,FALSE)</f>
        <v>321</v>
      </c>
      <c r="AN225" s="5">
        <f>VLOOKUP($A225,'SegEnds_NonXtal_Prot#'!$A:$AL,35,FALSE)</f>
        <v>358</v>
      </c>
      <c r="AO225" s="5">
        <f>VLOOKUP($A225,'SegEnds_NonXtal_Prot#'!$A:$AL,38,FALSE)</f>
        <v>371</v>
      </c>
      <c r="AP225" s="5">
        <f t="shared" si="88"/>
        <v>30</v>
      </c>
      <c r="AQ225" s="4">
        <f t="shared" si="89"/>
        <v>3</v>
      </c>
      <c r="AR225" s="4">
        <f t="shared" si="90"/>
        <v>29</v>
      </c>
      <c r="AS225" s="4">
        <f t="shared" si="91"/>
        <v>3</v>
      </c>
      <c r="AT225" s="4">
        <f t="shared" si="92"/>
        <v>35</v>
      </c>
      <c r="AU225" s="4">
        <f t="shared" si="93"/>
        <v>7</v>
      </c>
      <c r="AV225" s="4">
        <f t="shared" si="94"/>
        <v>26</v>
      </c>
      <c r="AW225" s="4">
        <f t="shared" si="95"/>
        <v>2</v>
      </c>
      <c r="AX225" s="4">
        <f t="shared" si="96"/>
        <v>36</v>
      </c>
      <c r="AY225" s="4">
        <f t="shared" si="97"/>
        <v>35</v>
      </c>
      <c r="AZ225" s="4">
        <f t="shared" si="98"/>
        <v>28</v>
      </c>
      <c r="BA225" s="4">
        <f t="shared" si="99"/>
        <v>12</v>
      </c>
    </row>
    <row r="226" spans="1:53" x14ac:dyDescent="0.2">
      <c r="A226" s="1" t="str">
        <f>'SegEnds_NonXtal_Prot#'!A209</f>
        <v>oxgr1_human</v>
      </c>
      <c r="B226" s="1" t="str">
        <f t="shared" si="75"/>
        <v>LKMHYLPVIYGIIFLVGFPGNAVVISTYIFKKSSTIIMLNLACTDLLYLTSLPFLIHYYASGDFMCKFIRFSFHFNLYSSILFLTCFSIFRYCVIIHKTRCAVVACAVVWIISLVAVIPMTFLILNTIKWYNLILTATTFCLPLVIVTLCYTTIIHTLTHDSCLKQKARRLTILLLLAFYVCFLPFHILRVIRIESSCSIENQIHEAYIVSRPLAALNTFGNLLLYVVVSDNFQQAVCSTVR</v>
      </c>
      <c r="C226" s="29" t="str">
        <f>IF(ISERROR(MATCH(A226,'SegEnds_Xtal_Prot#'!B:B, 0)), "NoXtal", "Xtal")</f>
        <v>NoXtal</v>
      </c>
      <c r="D226" s="4" t="str">
        <f>VLOOKUP(A226,Classification!A:D,2,FALSE)</f>
        <v>A</v>
      </c>
      <c r="E226" s="5" t="str">
        <f>VLOOKUP(A226,Seqs!A:B,2,FALSE)</f>
        <v>MNEPLDYLANASDFPDYAAAFGNCTDENIPLKMHYLPVIYGIIFLVGFPGNAVVISTYIFKMRPWKSSTIIMLNLACTDLLYLTSLPFLIHYYASGENWIFGDFMCKFIRFSFHFNLYSSILFLTCFSIFRYCVIIHPMSCFSIHKTRCAVVACAVVWIISLVAVIPMTFLITSTNRTNRSACLDLTSSDELNTIKWYNLILTATTFCLPLVIVTLCYTTIIHTLTHGLQTDSCLKQKARRLTILLLLAFYVCFLPFHILRVIRIESRLLSISCSIENQIHEAYIVSRPLAALNTFGNLLLYVVVSDNFQQAVCSTVRCKVSGNLEQAKKISYSNNP</v>
      </c>
      <c r="F226" s="5" t="str">
        <f t="shared" si="76"/>
        <v>LKMHYLPVIYGIIFLVGFPGNAVVISTYIFK</v>
      </c>
      <c r="G226" s="4" t="str">
        <f t="shared" si="77"/>
        <v/>
      </c>
      <c r="H226" s="4" t="str">
        <f t="shared" si="78"/>
        <v>KSSTIIMLNLACTDLLYLTSLPFLIHYYAS</v>
      </c>
      <c r="I226" s="4" t="str">
        <f t="shared" si="79"/>
        <v>NWIF</v>
      </c>
      <c r="J226" s="4" t="str">
        <f t="shared" si="80"/>
        <v>GDFMCKFIRFSFHFNLYSSILFLTCFSIFRYCVIIH</v>
      </c>
      <c r="K226" s="4" t="str">
        <f t="shared" si="81"/>
        <v>PMSCFSIH</v>
      </c>
      <c r="L226" s="4" t="str">
        <f t="shared" si="82"/>
        <v>KTRCAVVACAVVWIISLVAVIPMTFLI</v>
      </c>
      <c r="M226" s="4" t="str">
        <f t="shared" si="83"/>
        <v>CLD</v>
      </c>
      <c r="N226" s="4" t="str">
        <f t="shared" si="84"/>
        <v>LNTIKWYNLILTATTFCLPLVIVTLCYTTIIHTLTH</v>
      </c>
      <c r="O226" s="4" t="str">
        <f t="shared" si="85"/>
        <v>DSCLKQKARRLTILLLLAFYVCFLPFHILRVIRIES</v>
      </c>
      <c r="P226" s="4" t="str">
        <f t="shared" si="86"/>
        <v>SCSIENQIHEAYIVSRPLAALNTFGNLLLYVVV</v>
      </c>
      <c r="Q226" s="4" t="str">
        <f t="shared" si="87"/>
        <v>SDNFQQAVCSTVR</v>
      </c>
      <c r="R226" s="5">
        <f>VLOOKUP($A226,'SegEnds_NonXtal_Prot#'!$A:$AL,3,FALSE)</f>
        <v>31</v>
      </c>
      <c r="S226" s="5" t="str">
        <f>VLOOKUP($A226,'SegEnds_NonXtal_Prot#'!$A:$AL,6,FALSE)</f>
        <v>-</v>
      </c>
      <c r="T226" s="5">
        <f>VLOOKUP($A226,'SegEnds_NonXtal_Prot#'!$A:$AL,9,FALSE)</f>
        <v>66</v>
      </c>
      <c r="U226" s="5">
        <f>VLOOKUP($A226,'SegEnds_NonXtal_Prot#'!$A:$AL,12,FALSE)</f>
        <v>98</v>
      </c>
      <c r="V226" s="5">
        <f>VLOOKUP($A226,'SegEnds_NonXtal_Prot#'!$A:$AL,15,FALSE)</f>
        <v>102</v>
      </c>
      <c r="W226" s="5">
        <f>VLOOKUP($A226,'SegEnds_NonXtal_Prot#'!$A:$AL,18,FALSE)</f>
        <v>138</v>
      </c>
      <c r="X226" s="5">
        <f>VLOOKUP($A226,'SegEnds_NonXtal_Prot#'!$A:$AL,21,FALSE)</f>
        <v>146</v>
      </c>
      <c r="Y226" s="5">
        <f>VLOOKUP($A226,'SegEnds_NonXtal_Prot#'!$A:$AL,24,FALSE)</f>
        <v>183</v>
      </c>
      <c r="Z226" s="5">
        <f>VLOOKUP($A226,'SegEnds_NonXtal_Prot#'!$A:$AL,27,FALSE)</f>
        <v>192</v>
      </c>
      <c r="AA226" s="5">
        <f>VLOOKUP($A226,'SegEnds_NonXtal_Prot#'!$A:$AL,30,FALSE)</f>
        <v>232</v>
      </c>
      <c r="AB226" s="5">
        <f>VLOOKUP($A226,'SegEnds_NonXtal_Prot#'!$A:$AL,33,FALSE)</f>
        <v>273</v>
      </c>
      <c r="AC226" s="5">
        <f>VLOOKUP($A226,'SegEnds_NonXtal_Prot#'!$A:$AL,36,FALSE)</f>
        <v>306</v>
      </c>
      <c r="AD226" s="5">
        <f>VLOOKUP($A226,'SegEnds_NonXtal_Prot#'!$A:$AL,5,FALSE)</f>
        <v>61</v>
      </c>
      <c r="AE226" s="5" t="str">
        <f>VLOOKUP($A226,'SegEnds_NonXtal_Prot#'!$A:$AL,8,FALSE)</f>
        <v>-</v>
      </c>
      <c r="AF226" s="5">
        <f>VLOOKUP($A226,'SegEnds_NonXtal_Prot#'!$A:$AL,11,FALSE)</f>
        <v>95</v>
      </c>
      <c r="AG226" s="5">
        <f>VLOOKUP($A226,'SegEnds_NonXtal_Prot#'!$A:$AL,14,FALSE)</f>
        <v>101</v>
      </c>
      <c r="AH226" s="5">
        <f>VLOOKUP($A226,'SegEnds_NonXtal_Prot#'!$A:$AL,17,FALSE)</f>
        <v>137</v>
      </c>
      <c r="AI226" s="5">
        <f>VLOOKUP($A226,'SegEnds_NonXtal_Prot#'!$A:$AL,20,FALSE)</f>
        <v>145</v>
      </c>
      <c r="AJ226" s="5">
        <f>VLOOKUP($A226,'SegEnds_NonXtal_Prot#'!$A:$AL,23,FALSE)</f>
        <v>172</v>
      </c>
      <c r="AK226" s="5">
        <f>VLOOKUP($A226,'SegEnds_NonXtal_Prot#'!$A:$AL,26,FALSE)</f>
        <v>185</v>
      </c>
      <c r="AL226" s="5">
        <f>VLOOKUP($A226,'SegEnds_NonXtal_Prot#'!$A:$AL,29,FALSE)</f>
        <v>227</v>
      </c>
      <c r="AM226" s="5">
        <f>VLOOKUP($A226,'SegEnds_NonXtal_Prot#'!$A:$AL,32,FALSE)</f>
        <v>267</v>
      </c>
      <c r="AN226" s="5">
        <f>VLOOKUP($A226,'SegEnds_NonXtal_Prot#'!$A:$AL,35,FALSE)</f>
        <v>305</v>
      </c>
      <c r="AO226" s="5">
        <f>VLOOKUP($A226,'SegEnds_NonXtal_Prot#'!$A:$AL,38,FALSE)</f>
        <v>318</v>
      </c>
      <c r="AP226" s="5">
        <f t="shared" si="88"/>
        <v>30</v>
      </c>
      <c r="AQ226" s="4" t="str">
        <f t="shared" si="89"/>
        <v>-</v>
      </c>
      <c r="AR226" s="4">
        <f t="shared" si="90"/>
        <v>29</v>
      </c>
      <c r="AS226" s="4">
        <f t="shared" si="91"/>
        <v>3</v>
      </c>
      <c r="AT226" s="4">
        <f t="shared" si="92"/>
        <v>35</v>
      </c>
      <c r="AU226" s="4">
        <f t="shared" si="93"/>
        <v>7</v>
      </c>
      <c r="AV226" s="4">
        <f t="shared" si="94"/>
        <v>26</v>
      </c>
      <c r="AW226" s="4">
        <f t="shared" si="95"/>
        <v>2</v>
      </c>
      <c r="AX226" s="4">
        <f t="shared" si="96"/>
        <v>35</v>
      </c>
      <c r="AY226" s="4">
        <f t="shared" si="97"/>
        <v>35</v>
      </c>
      <c r="AZ226" s="4">
        <f t="shared" si="98"/>
        <v>32</v>
      </c>
      <c r="BA226" s="4">
        <f t="shared" si="99"/>
        <v>12</v>
      </c>
    </row>
    <row r="227" spans="1:53" x14ac:dyDescent="0.2">
      <c r="A227" s="1" t="str">
        <f>'SegEnds_NonXtal_Prot#'!A210</f>
        <v>p2ry1_human</v>
      </c>
      <c r="B227" s="1" t="str">
        <f t="shared" si="75"/>
        <v>FQFYYLPAVYILVFIIGFLGNSVAIWMFVFHSGISVYMFNLALADFLYVLTLPALIFYYFNGDAMCKLQRFIFHVNLYGSILFLTCISAHRYSGVVYKKKNAICISVLVWLIVVVAISPILFYSLRSYFIYSMCTTVAMFCVPLVLILGCYGLIVRALIYKPLRRKSIYLVIIVLTVFAVSYIPFHVMKTMNLRARLDMCAFNDRVYATYQVTRGLASLNSCVDPILYFLAGDTFRRRLSRATR</v>
      </c>
      <c r="C227" s="29" t="str">
        <f>IF(ISERROR(MATCH(A227,'SegEnds_Xtal_Prot#'!B:B, 0)), "NoXtal", "Xtal")</f>
        <v>Xtal</v>
      </c>
      <c r="D227" s="4" t="str">
        <f>VLOOKUP(A227,Classification!A:D,2,FALSE)</f>
        <v>A</v>
      </c>
      <c r="E227" s="5" t="str">
        <f>VLOOKUP(A227,Seqs!A:B,2,FALSE)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F227" s="5" t="str">
        <f t="shared" si="76"/>
        <v>FQFYYLPAVYILVFIIGFLGNSVAIWMFVFH</v>
      </c>
      <c r="G227" s="4" t="str">
        <f t="shared" si="77"/>
        <v/>
      </c>
      <c r="H227" s="4" t="str">
        <f t="shared" si="78"/>
        <v>SGISVYMFNLALADFLYVLTLPALIFYYFN</v>
      </c>
      <c r="I227" s="4" t="str">
        <f t="shared" si="79"/>
        <v>DWIF</v>
      </c>
      <c r="J227" s="4" t="str">
        <f t="shared" si="80"/>
        <v>GDAMCKLQRFIFHVNLYGSILFLTCISAHRYSGVVY</v>
      </c>
      <c r="K227" s="4" t="str">
        <f t="shared" si="81"/>
        <v>PLKSLGRL</v>
      </c>
      <c r="L227" s="4" t="str">
        <f t="shared" si="82"/>
        <v>KKKNAICISVLVWLIVVVAISPILFYS</v>
      </c>
      <c r="M227" s="4" t="str">
        <f t="shared" si="83"/>
        <v>CYD</v>
      </c>
      <c r="N227" s="4" t="str">
        <f t="shared" si="84"/>
        <v>LRSYFIYSMCTTVAMFCVPLVLILGCYGLIVRALIYK</v>
      </c>
      <c r="O227" s="4" t="str">
        <f t="shared" si="85"/>
        <v>PLRRKSIYLVIIVLTVFAVSYIPFHVMKTMNLRARLD</v>
      </c>
      <c r="P227" s="4" t="str">
        <f t="shared" si="86"/>
        <v>MCAFNDRVYATYQVTRGLASLNSCVDPILYFLA</v>
      </c>
      <c r="Q227" s="4" t="str">
        <f t="shared" si="87"/>
        <v>GDTFRRRLSRATR</v>
      </c>
      <c r="R227" s="5">
        <f>VLOOKUP($A227,'SegEnds_NonXtal_Prot#'!$A:$AL,3,FALSE)</f>
        <v>49</v>
      </c>
      <c r="S227" s="5" t="str">
        <f>VLOOKUP($A227,'SegEnds_NonXtal_Prot#'!$A:$AL,6,FALSE)</f>
        <v>-</v>
      </c>
      <c r="T227" s="5">
        <f>VLOOKUP($A227,'SegEnds_NonXtal_Prot#'!$A:$AL,9,FALSE)</f>
        <v>84</v>
      </c>
      <c r="U227" s="5">
        <f>VLOOKUP($A227,'SegEnds_NonXtal_Prot#'!$A:$AL,12,FALSE)</f>
        <v>116</v>
      </c>
      <c r="V227" s="5">
        <f>VLOOKUP($A227,'SegEnds_NonXtal_Prot#'!$A:$AL,15,FALSE)</f>
        <v>120</v>
      </c>
      <c r="W227" s="5">
        <f>VLOOKUP($A227,'SegEnds_NonXtal_Prot#'!$A:$AL,18,FALSE)</f>
        <v>156</v>
      </c>
      <c r="X227" s="5">
        <f>VLOOKUP($A227,'SegEnds_NonXtal_Prot#'!$A:$AL,21,FALSE)</f>
        <v>164</v>
      </c>
      <c r="Y227" s="5">
        <f>VLOOKUP($A227,'SegEnds_NonXtal_Prot#'!$A:$AL,24,FALSE)</f>
        <v>202</v>
      </c>
      <c r="Z227" s="5">
        <f>VLOOKUP($A227,'SegEnds_NonXtal_Prot#'!$A:$AL,27,FALSE)</f>
        <v>211</v>
      </c>
      <c r="AA227" s="5">
        <f>VLOOKUP($A227,'SegEnds_NonXtal_Prot#'!$A:$AL,30,FALSE)</f>
        <v>253</v>
      </c>
      <c r="AB227" s="5">
        <f>VLOOKUP($A227,'SegEnds_NonXtal_Prot#'!$A:$AL,33,FALSE)</f>
        <v>295</v>
      </c>
      <c r="AC227" s="5">
        <f>VLOOKUP($A227,'SegEnds_NonXtal_Prot#'!$A:$AL,36,FALSE)</f>
        <v>328</v>
      </c>
      <c r="AD227" s="5">
        <f>VLOOKUP($A227,'SegEnds_NonXtal_Prot#'!$A:$AL,5,FALSE)</f>
        <v>79</v>
      </c>
      <c r="AE227" s="5" t="str">
        <f>VLOOKUP($A227,'SegEnds_NonXtal_Prot#'!$A:$AL,8,FALSE)</f>
        <v>-</v>
      </c>
      <c r="AF227" s="5">
        <f>VLOOKUP($A227,'SegEnds_NonXtal_Prot#'!$A:$AL,11,FALSE)</f>
        <v>113</v>
      </c>
      <c r="AG227" s="5">
        <f>VLOOKUP($A227,'SegEnds_NonXtal_Prot#'!$A:$AL,14,FALSE)</f>
        <v>119</v>
      </c>
      <c r="AH227" s="5">
        <f>VLOOKUP($A227,'SegEnds_NonXtal_Prot#'!$A:$AL,17,FALSE)</f>
        <v>155</v>
      </c>
      <c r="AI227" s="5">
        <f>VLOOKUP($A227,'SegEnds_NonXtal_Prot#'!$A:$AL,20,FALSE)</f>
        <v>163</v>
      </c>
      <c r="AJ227" s="5">
        <f>VLOOKUP($A227,'SegEnds_NonXtal_Prot#'!$A:$AL,23,FALSE)</f>
        <v>190</v>
      </c>
      <c r="AK227" s="5">
        <f>VLOOKUP($A227,'SegEnds_NonXtal_Prot#'!$A:$AL,26,FALSE)</f>
        <v>204</v>
      </c>
      <c r="AL227" s="5">
        <f>VLOOKUP($A227,'SegEnds_NonXtal_Prot#'!$A:$AL,29,FALSE)</f>
        <v>247</v>
      </c>
      <c r="AM227" s="5">
        <f>VLOOKUP($A227,'SegEnds_NonXtal_Prot#'!$A:$AL,32,FALSE)</f>
        <v>289</v>
      </c>
      <c r="AN227" s="5">
        <f>VLOOKUP($A227,'SegEnds_NonXtal_Prot#'!$A:$AL,35,FALSE)</f>
        <v>327</v>
      </c>
      <c r="AO227" s="5">
        <f>VLOOKUP($A227,'SegEnds_NonXtal_Prot#'!$A:$AL,38,FALSE)</f>
        <v>340</v>
      </c>
      <c r="AP227" s="5">
        <f t="shared" si="88"/>
        <v>30</v>
      </c>
      <c r="AQ227" s="4" t="str">
        <f t="shared" si="89"/>
        <v>-</v>
      </c>
      <c r="AR227" s="4">
        <f t="shared" si="90"/>
        <v>29</v>
      </c>
      <c r="AS227" s="4">
        <f t="shared" si="91"/>
        <v>3</v>
      </c>
      <c r="AT227" s="4">
        <f t="shared" si="92"/>
        <v>35</v>
      </c>
      <c r="AU227" s="4">
        <f t="shared" si="93"/>
        <v>7</v>
      </c>
      <c r="AV227" s="4">
        <f t="shared" si="94"/>
        <v>26</v>
      </c>
      <c r="AW227" s="4">
        <f t="shared" si="95"/>
        <v>2</v>
      </c>
      <c r="AX227" s="4">
        <f t="shared" si="96"/>
        <v>36</v>
      </c>
      <c r="AY227" s="4">
        <f t="shared" si="97"/>
        <v>36</v>
      </c>
      <c r="AZ227" s="4">
        <f t="shared" si="98"/>
        <v>32</v>
      </c>
      <c r="BA227" s="4">
        <f t="shared" si="99"/>
        <v>12</v>
      </c>
    </row>
    <row r="228" spans="1:53" x14ac:dyDescent="0.2">
      <c r="A228" s="1" t="str">
        <f>'SegEnds_NonXtal_Prot#'!A211</f>
        <v>p2ry2_human</v>
      </c>
      <c r="B228" s="1" t="str">
        <f t="shared" si="75"/>
        <v>FKYVLLPVSYGVVCVPGLCLNAVALYIFLCRNASTTYMFHLAVSDALYAASLPLLVYYYARSTVLCKLVRFLFYTNLYCSILFLTCISVHRCLGVLRRARYARRVAGAVWVLVLACQAPVLYFVFSRFVAYSSVMLGLLFAVPFAVILVCYVLMARRLLKPAYGTAKRKSVRTIAVVLAVFALCFLPFHVTRTLYYSFSCHTLNAINMAYKVTRPLASANSCLDPVLYFLAGQRLVRFARDAKP</v>
      </c>
      <c r="C228" s="29" t="str">
        <f>IF(ISERROR(MATCH(A228,'SegEnds_Xtal_Prot#'!B:B, 0)), "NoXtal", "Xtal")</f>
        <v>NoXtal</v>
      </c>
      <c r="D228" s="4" t="str">
        <f>VLOOKUP(A228,Classification!A:D,2,FALSE)</f>
        <v>A</v>
      </c>
      <c r="E228" s="5" t="str">
        <f>VLOOKUP(A228,Seqs!A:B,2,FALSE)</f>
        <v>MAADLGPWNDTINGTWDGDELGYRCRFNEDFKYVLLPVSYGVVCVPGLCLNAVALYIFLCRLKTWNASTTYMFHLAVSDALYAASLPLLVYYYARGDHWPFSTVLCKLVRFLFYTNLYCSILFLTCISVHRCLGVLRPLRSLRWGRARYARRVAGAVWVLVLACQAPVLYFVTTSARGGRVTCHDTSAPELFSRFVAYSSVMLGLLFAVPFAVILVCYVLMARRLLKPAYGTSGGLPRAKRKSVRTIAVVLAVFALCFLPFHVTRTLYYSFRSLDLSCHTLNAINMAYKVTRPLASANSCLDPVLYFLAGQRLVRFARDAKPPTGPSPATPARRRLGLRRSDRTDMQRIEDVLGSSEDSRRTESTPAGSENTKDIRL</v>
      </c>
      <c r="F228" s="5" t="str">
        <f t="shared" si="76"/>
        <v>FKYVLLPVSYGVVCVPGLCLNAVALYIFLCR</v>
      </c>
      <c r="G228" s="4" t="str">
        <f t="shared" si="77"/>
        <v/>
      </c>
      <c r="H228" s="4" t="str">
        <f t="shared" si="78"/>
        <v>NASTTYMFHLAVSDALYAASLPLLVYYYAR</v>
      </c>
      <c r="I228" s="4" t="str">
        <f t="shared" si="79"/>
        <v>HWPF</v>
      </c>
      <c r="J228" s="4" t="str">
        <f t="shared" si="80"/>
        <v>STVLCKLVRFLFYTNLYCSILFLTCISVHRCLGVLR</v>
      </c>
      <c r="K228" s="4" t="str">
        <f t="shared" si="81"/>
        <v>PLRSLRWG</v>
      </c>
      <c r="L228" s="4" t="str">
        <f t="shared" si="82"/>
        <v>RARYARRVAGAVWVLVLACQAPVLYFV</v>
      </c>
      <c r="M228" s="4" t="str">
        <f t="shared" si="83"/>
        <v>CHD</v>
      </c>
      <c r="N228" s="4" t="str">
        <f t="shared" si="84"/>
        <v>FSRFVAYSSVMLGLLFAVPFAVILVCYVLMARRLLKPAYGT</v>
      </c>
      <c r="O228" s="4" t="str">
        <f t="shared" si="85"/>
        <v>AKRKSVRTIAVVLAVFALCFLPFHVTRTLYYSF</v>
      </c>
      <c r="P228" s="4" t="str">
        <f t="shared" si="86"/>
        <v>SCHTLNAINMAYKVTRPLASANSCLDPVLYFLA</v>
      </c>
      <c r="Q228" s="4" t="str">
        <f t="shared" si="87"/>
        <v>GQRLVRFARDAKP</v>
      </c>
      <c r="R228" s="5">
        <f>VLOOKUP($A228,'SegEnds_NonXtal_Prot#'!$A:$AL,3,FALSE)</f>
        <v>31</v>
      </c>
      <c r="S228" s="5" t="str">
        <f>VLOOKUP($A228,'SegEnds_NonXtal_Prot#'!$A:$AL,6,FALSE)</f>
        <v>-</v>
      </c>
      <c r="T228" s="5">
        <f>VLOOKUP($A228,'SegEnds_NonXtal_Prot#'!$A:$AL,9,FALSE)</f>
        <v>66</v>
      </c>
      <c r="U228" s="5">
        <f>VLOOKUP($A228,'SegEnds_NonXtal_Prot#'!$A:$AL,12,FALSE)</f>
        <v>98</v>
      </c>
      <c r="V228" s="5">
        <f>VLOOKUP($A228,'SegEnds_NonXtal_Prot#'!$A:$AL,15,FALSE)</f>
        <v>102</v>
      </c>
      <c r="W228" s="5">
        <f>VLOOKUP($A228,'SegEnds_NonXtal_Prot#'!$A:$AL,18,FALSE)</f>
        <v>138</v>
      </c>
      <c r="X228" s="5">
        <f>VLOOKUP($A228,'SegEnds_NonXtal_Prot#'!$A:$AL,21,FALSE)</f>
        <v>146</v>
      </c>
      <c r="Y228" s="5">
        <f>VLOOKUP($A228,'SegEnds_NonXtal_Prot#'!$A:$AL,24,FALSE)</f>
        <v>183</v>
      </c>
      <c r="Z228" s="5">
        <f>VLOOKUP($A228,'SegEnds_NonXtal_Prot#'!$A:$AL,27,FALSE)</f>
        <v>192</v>
      </c>
      <c r="AA228" s="5">
        <f>VLOOKUP($A228,'SegEnds_NonXtal_Prot#'!$A:$AL,30,FALSE)</f>
        <v>239</v>
      </c>
      <c r="AB228" s="5">
        <f>VLOOKUP($A228,'SegEnds_NonXtal_Prot#'!$A:$AL,33,FALSE)</f>
        <v>277</v>
      </c>
      <c r="AC228" s="5">
        <f>VLOOKUP($A228,'SegEnds_NonXtal_Prot#'!$A:$AL,36,FALSE)</f>
        <v>310</v>
      </c>
      <c r="AD228" s="5">
        <f>VLOOKUP($A228,'SegEnds_NonXtal_Prot#'!$A:$AL,5,FALSE)</f>
        <v>61</v>
      </c>
      <c r="AE228" s="5" t="str">
        <f>VLOOKUP($A228,'SegEnds_NonXtal_Prot#'!$A:$AL,8,FALSE)</f>
        <v>-</v>
      </c>
      <c r="AF228" s="5">
        <f>VLOOKUP($A228,'SegEnds_NonXtal_Prot#'!$A:$AL,11,FALSE)</f>
        <v>95</v>
      </c>
      <c r="AG228" s="5">
        <f>VLOOKUP($A228,'SegEnds_NonXtal_Prot#'!$A:$AL,14,FALSE)</f>
        <v>101</v>
      </c>
      <c r="AH228" s="5">
        <f>VLOOKUP($A228,'SegEnds_NonXtal_Prot#'!$A:$AL,17,FALSE)</f>
        <v>137</v>
      </c>
      <c r="AI228" s="5">
        <f>VLOOKUP($A228,'SegEnds_NonXtal_Prot#'!$A:$AL,20,FALSE)</f>
        <v>145</v>
      </c>
      <c r="AJ228" s="5">
        <f>VLOOKUP($A228,'SegEnds_NonXtal_Prot#'!$A:$AL,23,FALSE)</f>
        <v>172</v>
      </c>
      <c r="AK228" s="5">
        <f>VLOOKUP($A228,'SegEnds_NonXtal_Prot#'!$A:$AL,26,FALSE)</f>
        <v>185</v>
      </c>
      <c r="AL228" s="5">
        <f>VLOOKUP($A228,'SegEnds_NonXtal_Prot#'!$A:$AL,29,FALSE)</f>
        <v>232</v>
      </c>
      <c r="AM228" s="5">
        <f>VLOOKUP($A228,'SegEnds_NonXtal_Prot#'!$A:$AL,32,FALSE)</f>
        <v>271</v>
      </c>
      <c r="AN228" s="5">
        <f>VLOOKUP($A228,'SegEnds_NonXtal_Prot#'!$A:$AL,35,FALSE)</f>
        <v>309</v>
      </c>
      <c r="AO228" s="5">
        <f>VLOOKUP($A228,'SegEnds_NonXtal_Prot#'!$A:$AL,38,FALSE)</f>
        <v>322</v>
      </c>
      <c r="AP228" s="5">
        <f t="shared" si="88"/>
        <v>30</v>
      </c>
      <c r="AQ228" s="4" t="str">
        <f t="shared" si="89"/>
        <v>-</v>
      </c>
      <c r="AR228" s="4">
        <f t="shared" si="90"/>
        <v>29</v>
      </c>
      <c r="AS228" s="4">
        <f t="shared" si="91"/>
        <v>3</v>
      </c>
      <c r="AT228" s="4">
        <f t="shared" si="92"/>
        <v>35</v>
      </c>
      <c r="AU228" s="4">
        <f t="shared" si="93"/>
        <v>7</v>
      </c>
      <c r="AV228" s="4">
        <f t="shared" si="94"/>
        <v>26</v>
      </c>
      <c r="AW228" s="4">
        <f t="shared" si="95"/>
        <v>2</v>
      </c>
      <c r="AX228" s="4">
        <f t="shared" si="96"/>
        <v>40</v>
      </c>
      <c r="AY228" s="4">
        <f t="shared" si="97"/>
        <v>32</v>
      </c>
      <c r="AZ228" s="4">
        <f t="shared" si="98"/>
        <v>32</v>
      </c>
      <c r="BA228" s="4">
        <f t="shared" si="99"/>
        <v>12</v>
      </c>
    </row>
    <row r="229" spans="1:53" x14ac:dyDescent="0.2">
      <c r="A229" s="1" t="str">
        <f>'SegEnds_NonXtal_Prot#'!A214</f>
        <v>p2y11_human</v>
      </c>
      <c r="B229" s="1" t="str">
        <f t="shared" si="75"/>
        <v>FQGDFLWPILVVEFLVAVASNGLALYRFSIRHPAVVFSVQLAVSDLLCALTLPPLAAYLYPGEAACRLERFLFTCNLLGSVIFITCISLNRYLGIVHRPKHAWAVSAAGWVLAALLAMPTLSFSLAAYRAYSLVLAGLGCGLPLLLTLAAYGALGRAVLRTVAEKLRVAALVASGVALYASSYVPYHIMRVLNVDARRRTAALELGPYVGYQVMRGLMPLAFCVHPLLYMAAVPSLGCCCRHCPG</v>
      </c>
      <c r="C229" s="29" t="str">
        <f>IF(ISERROR(MATCH(A229,'SegEnds_Xtal_Prot#'!B:B, 0)), "NoXtal", "Xtal")</f>
        <v>NoXtal</v>
      </c>
      <c r="D229" s="4" t="str">
        <f>VLOOKUP(A229,Classification!A:D,2,FALSE)</f>
        <v>A</v>
      </c>
      <c r="E229" s="5" t="str">
        <f>VLOOKUP(A229,Seqs!A:B,2,FALSE)</f>
        <v>MAANVSGAKSCPANFLAAADDKLSGFQGDFLWPILVVEFLVAVASNGLALYRFSIRKQRPWHPAVVFSVQLAVSDLLCALTLPPLAAYLYPPKHWRYGEAACRLERFLFTCNLLGSVIFITCISLNRYLGIVHPFFARSHLRPKHAWAVSAAGWVLAALLAMPTLSFSHLKRPQQGAGNCSVARPEACIKCLGTADHGLAAYRAYSLVLAGLGCGLPLLLTLAAYGALGRAVLRSPGMTVAEKLRVAALVASGVALYASSYVPYHIMRVLNVDARRRWSTRCPSFADIAQATAALELGPYVGYQVMRGLMPLAFCVHPLLYMAAVPSLGCCCRHCPGYRDSWNPEDAKSTGQALPLNATAAPKPSEPQSRELSQ</v>
      </c>
      <c r="F229" s="5" t="str">
        <f t="shared" si="76"/>
        <v>FQGDFLWPILVVEFLVAVASNGLALYRFSIR</v>
      </c>
      <c r="G229" s="4" t="str">
        <f t="shared" si="77"/>
        <v/>
      </c>
      <c r="H229" s="4" t="str">
        <f t="shared" si="78"/>
        <v>HPAVVFSVQLAVSDLLCALTLPPLAAYLYP</v>
      </c>
      <c r="I229" s="4" t="str">
        <f t="shared" si="79"/>
        <v>HWRY</v>
      </c>
      <c r="J229" s="4" t="str">
        <f t="shared" si="80"/>
        <v>GEAACRLERFLFTCNLLGSVIFITCISLNRYLGIVH</v>
      </c>
      <c r="K229" s="4" t="str">
        <f t="shared" si="81"/>
        <v>PFFARSHL</v>
      </c>
      <c r="L229" s="4" t="str">
        <f t="shared" si="82"/>
        <v>RPKHAWAVSAAGWVLAALLAMPTLSFS</v>
      </c>
      <c r="M229" s="4" t="str">
        <f t="shared" si="83"/>
        <v>CLG</v>
      </c>
      <c r="N229" s="4" t="str">
        <f t="shared" si="84"/>
        <v>LAAYRAYSLVLAGLGCGLPLLLTLAAYGALGRAVLR</v>
      </c>
      <c r="O229" s="4" t="str">
        <f t="shared" si="85"/>
        <v>TVAEKLRVAALVASGVALYASSYVPYHIMRVLNVDARRR</v>
      </c>
      <c r="P229" s="4" t="str">
        <f t="shared" si="86"/>
        <v>TAALELGPYVGYQVMRGLMPLAFCVHPLLYMAA</v>
      </c>
      <c r="Q229" s="4" t="str">
        <f t="shared" si="87"/>
        <v>VPSLGCCCRHCPG</v>
      </c>
      <c r="R229" s="5">
        <f>VLOOKUP($A229,'SegEnds_NonXtal_Prot#'!$A:$AL,3,FALSE)</f>
        <v>26</v>
      </c>
      <c r="S229" s="5" t="str">
        <f>VLOOKUP($A229,'SegEnds_NonXtal_Prot#'!$A:$AL,6,FALSE)</f>
        <v>-</v>
      </c>
      <c r="T229" s="5">
        <f>VLOOKUP($A229,'SegEnds_NonXtal_Prot#'!$A:$AL,9,FALSE)</f>
        <v>62</v>
      </c>
      <c r="U229" s="5">
        <f>VLOOKUP($A229,'SegEnds_NonXtal_Prot#'!$A:$AL,12,FALSE)</f>
        <v>94</v>
      </c>
      <c r="V229" s="5">
        <f>VLOOKUP($A229,'SegEnds_NonXtal_Prot#'!$A:$AL,15,FALSE)</f>
        <v>98</v>
      </c>
      <c r="W229" s="5">
        <f>VLOOKUP($A229,'SegEnds_NonXtal_Prot#'!$A:$AL,18,FALSE)</f>
        <v>134</v>
      </c>
      <c r="X229" s="5">
        <f>VLOOKUP($A229,'SegEnds_NonXtal_Prot#'!$A:$AL,21,FALSE)</f>
        <v>142</v>
      </c>
      <c r="Y229" s="5">
        <f>VLOOKUP($A229,'SegEnds_NonXtal_Prot#'!$A:$AL,24,FALSE)</f>
        <v>191</v>
      </c>
      <c r="Z229" s="5">
        <f>VLOOKUP($A229,'SegEnds_NonXtal_Prot#'!$A:$AL,27,FALSE)</f>
        <v>199</v>
      </c>
      <c r="AA229" s="5">
        <f>VLOOKUP($A229,'SegEnds_NonXtal_Prot#'!$A:$AL,30,FALSE)</f>
        <v>239</v>
      </c>
      <c r="AB229" s="5">
        <f>VLOOKUP($A229,'SegEnds_NonXtal_Prot#'!$A:$AL,33,FALSE)</f>
        <v>292</v>
      </c>
      <c r="AC229" s="5">
        <f>VLOOKUP($A229,'SegEnds_NonXtal_Prot#'!$A:$AL,36,FALSE)</f>
        <v>325</v>
      </c>
      <c r="AD229" s="5">
        <f>VLOOKUP($A229,'SegEnds_NonXtal_Prot#'!$A:$AL,5,FALSE)</f>
        <v>56</v>
      </c>
      <c r="AE229" s="5" t="str">
        <f>VLOOKUP($A229,'SegEnds_NonXtal_Prot#'!$A:$AL,8,FALSE)</f>
        <v>-</v>
      </c>
      <c r="AF229" s="5">
        <f>VLOOKUP($A229,'SegEnds_NonXtal_Prot#'!$A:$AL,11,FALSE)</f>
        <v>91</v>
      </c>
      <c r="AG229" s="5">
        <f>VLOOKUP($A229,'SegEnds_NonXtal_Prot#'!$A:$AL,14,FALSE)</f>
        <v>97</v>
      </c>
      <c r="AH229" s="5">
        <f>VLOOKUP($A229,'SegEnds_NonXtal_Prot#'!$A:$AL,17,FALSE)</f>
        <v>133</v>
      </c>
      <c r="AI229" s="5">
        <f>VLOOKUP($A229,'SegEnds_NonXtal_Prot#'!$A:$AL,20,FALSE)</f>
        <v>141</v>
      </c>
      <c r="AJ229" s="5">
        <f>VLOOKUP($A229,'SegEnds_NonXtal_Prot#'!$A:$AL,23,FALSE)</f>
        <v>168</v>
      </c>
      <c r="AK229" s="5">
        <f>VLOOKUP($A229,'SegEnds_NonXtal_Prot#'!$A:$AL,26,FALSE)</f>
        <v>193</v>
      </c>
      <c r="AL229" s="5">
        <f>VLOOKUP($A229,'SegEnds_NonXtal_Prot#'!$A:$AL,29,FALSE)</f>
        <v>234</v>
      </c>
      <c r="AM229" s="5">
        <f>VLOOKUP($A229,'SegEnds_NonXtal_Prot#'!$A:$AL,32,FALSE)</f>
        <v>277</v>
      </c>
      <c r="AN229" s="5">
        <f>VLOOKUP($A229,'SegEnds_NonXtal_Prot#'!$A:$AL,35,FALSE)</f>
        <v>324</v>
      </c>
      <c r="AO229" s="5">
        <f>VLOOKUP($A229,'SegEnds_NonXtal_Prot#'!$A:$AL,38,FALSE)</f>
        <v>337</v>
      </c>
      <c r="AP229" s="5">
        <f t="shared" si="88"/>
        <v>30</v>
      </c>
      <c r="AQ229" s="4" t="str">
        <f t="shared" si="89"/>
        <v>-</v>
      </c>
      <c r="AR229" s="4">
        <f t="shared" si="90"/>
        <v>29</v>
      </c>
      <c r="AS229" s="4">
        <f t="shared" si="91"/>
        <v>3</v>
      </c>
      <c r="AT229" s="4">
        <f t="shared" si="92"/>
        <v>35</v>
      </c>
      <c r="AU229" s="4">
        <f t="shared" si="93"/>
        <v>7</v>
      </c>
      <c r="AV229" s="4">
        <f t="shared" si="94"/>
        <v>26</v>
      </c>
      <c r="AW229" s="4">
        <f t="shared" si="95"/>
        <v>2</v>
      </c>
      <c r="AX229" s="4">
        <f t="shared" si="96"/>
        <v>35</v>
      </c>
      <c r="AY229" s="4">
        <f t="shared" si="97"/>
        <v>38</v>
      </c>
      <c r="AZ229" s="4">
        <f t="shared" si="98"/>
        <v>32</v>
      </c>
      <c r="BA229" s="4">
        <f t="shared" si="99"/>
        <v>12</v>
      </c>
    </row>
    <row r="230" spans="1:53" x14ac:dyDescent="0.2">
      <c r="A230" s="1" t="str">
        <f>'SegEnds_NonXtal_Prot#'!A215</f>
        <v>p2y12_human</v>
      </c>
      <c r="B230" s="1" t="str">
        <f t="shared" si="75"/>
        <v>YKITQVLFPLLYTVLFFVGLITNGLAMRIFFQISNFIIFLKNTVISDLLMILTFPFKILSDAKGPLRTFVCQVTSVIFYFTMYISISFLGLITIDRYQKTTRNLLGAKILSVVIWAFMFLLSLPNMILTEFGLVWHEIVNYICQVIFWINFLIVIVCYTLITKELYRSYVRTPRKKVNVKVFIIIAVFFICFVPFHFARIPYTLSQTRDCTAENTLFYVKESTLWLTSLNACLDPFIYFFLCKSFRNSLISM</v>
      </c>
      <c r="C230" s="29" t="str">
        <f>IF(ISERROR(MATCH(A230,'SegEnds_Xtal_Prot#'!B:B, 0)), "NoXtal", "Xtal")</f>
        <v>Xtal</v>
      </c>
      <c r="D230" s="4" t="str">
        <f>VLOOKUP(A230,Classification!A:D,2,FALSE)</f>
        <v>A</v>
      </c>
      <c r="E230" s="5" t="str">
        <f>VLOOKUP(A230,Seqs!A:B,2,FALSE)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F230" s="5" t="str">
        <f t="shared" si="76"/>
        <v>YKITQVLFPLLYTVLFFVGLITNGLAMRIFFQI</v>
      </c>
      <c r="G230" s="4" t="str">
        <f t="shared" si="77"/>
        <v/>
      </c>
      <c r="H230" s="4" t="str">
        <f t="shared" si="78"/>
        <v>SNFIIFLKNTVISDLLMILTFPFKILSDAK</v>
      </c>
      <c r="I230" s="4" t="str">
        <f t="shared" si="79"/>
        <v/>
      </c>
      <c r="J230" s="4" t="str">
        <f t="shared" si="80"/>
        <v>GPLRTFVCQVTSVIFYFTMYISISFLGLITIDRYQKTTR</v>
      </c>
      <c r="K230" s="4" t="str">
        <f t="shared" si="81"/>
        <v>PFKTSNPK</v>
      </c>
      <c r="L230" s="4" t="str">
        <f t="shared" si="82"/>
        <v>NLLGAKILSVVIWAFMFLLSLPNMILT</v>
      </c>
      <c r="M230" s="4" t="str">
        <f t="shared" si="83"/>
        <v>CSF</v>
      </c>
      <c r="N230" s="4" t="str">
        <f t="shared" si="84"/>
        <v>EFGLVWHEIVNYICQVIFWINFLIVIVCYTLITKELYRSYVRT</v>
      </c>
      <c r="O230" s="4" t="str">
        <f t="shared" si="85"/>
        <v>PRKKVNVKVFIIIAVFFICFVPFHFARIPYTLSQTR</v>
      </c>
      <c r="P230" s="4" t="str">
        <f t="shared" si="86"/>
        <v>DCTAENTLFYVKESTLWLTSLNACLDPFIYFFL</v>
      </c>
      <c r="Q230" s="4" t="str">
        <f t="shared" si="87"/>
        <v>CKSFRNSLISM</v>
      </c>
      <c r="R230" s="5">
        <f>VLOOKUP($A230,'SegEnds_NonXtal_Prot#'!$A:$AL,3,FALSE)</f>
        <v>21</v>
      </c>
      <c r="S230" s="5" t="str">
        <f>VLOOKUP($A230,'SegEnds_NonXtal_Prot#'!$A:$AL,6,FALSE)</f>
        <v>-</v>
      </c>
      <c r="T230" s="5">
        <f>VLOOKUP($A230,'SegEnds_NonXtal_Prot#'!$A:$AL,9,FALSE)</f>
        <v>57</v>
      </c>
      <c r="U230" s="5" t="str">
        <f>VLOOKUP($A230,'SegEnds_NonXtal_Prot#'!$A:$AL,12,FALSE)</f>
        <v>-</v>
      </c>
      <c r="V230" s="5">
        <f>VLOOKUP($A230,'SegEnds_NonXtal_Prot#'!$A:$AL,15,FALSE)</f>
        <v>90</v>
      </c>
      <c r="W230" s="5">
        <f>VLOOKUP($A230,'SegEnds_NonXtal_Prot#'!$A:$AL,18,FALSE)</f>
        <v>129</v>
      </c>
      <c r="X230" s="5">
        <f>VLOOKUP($A230,'SegEnds_NonXtal_Prot#'!$A:$AL,21,FALSE)</f>
        <v>137</v>
      </c>
      <c r="Y230" s="5">
        <f>VLOOKUP($A230,'SegEnds_NonXtal_Prot#'!$A:$AL,24,FALSE)</f>
        <v>175</v>
      </c>
      <c r="Z230" s="5">
        <f>VLOOKUP($A230,'SegEnds_NonXtal_Prot#'!$A:$AL,27,FALSE)</f>
        <v>181</v>
      </c>
      <c r="AA230" s="5">
        <f>VLOOKUP($A230,'SegEnds_NonXtal_Prot#'!$A:$AL,30,FALSE)</f>
        <v>230</v>
      </c>
      <c r="AB230" s="5">
        <f>VLOOKUP($A230,'SegEnds_NonXtal_Prot#'!$A:$AL,33,FALSE)</f>
        <v>269</v>
      </c>
      <c r="AC230" s="5">
        <f>VLOOKUP($A230,'SegEnds_NonXtal_Prot#'!$A:$AL,36,FALSE)</f>
        <v>302</v>
      </c>
      <c r="AD230" s="5">
        <f>VLOOKUP($A230,'SegEnds_NonXtal_Prot#'!$A:$AL,5,FALSE)</f>
        <v>53</v>
      </c>
      <c r="AE230" s="5" t="str">
        <f>VLOOKUP($A230,'SegEnds_NonXtal_Prot#'!$A:$AL,8,FALSE)</f>
        <v>-</v>
      </c>
      <c r="AF230" s="5">
        <f>VLOOKUP($A230,'SegEnds_NonXtal_Prot#'!$A:$AL,11,FALSE)</f>
        <v>86</v>
      </c>
      <c r="AG230" s="5" t="str">
        <f>VLOOKUP($A230,'SegEnds_NonXtal_Prot#'!$A:$AL,14,FALSE)</f>
        <v>-</v>
      </c>
      <c r="AH230" s="5">
        <f>VLOOKUP($A230,'SegEnds_NonXtal_Prot#'!$A:$AL,17,FALSE)</f>
        <v>128</v>
      </c>
      <c r="AI230" s="5">
        <f>VLOOKUP($A230,'SegEnds_NonXtal_Prot#'!$A:$AL,20,FALSE)</f>
        <v>136</v>
      </c>
      <c r="AJ230" s="5">
        <f>VLOOKUP($A230,'SegEnds_NonXtal_Prot#'!$A:$AL,23,FALSE)</f>
        <v>163</v>
      </c>
      <c r="AK230" s="5">
        <f>VLOOKUP($A230,'SegEnds_NonXtal_Prot#'!$A:$AL,26,FALSE)</f>
        <v>177</v>
      </c>
      <c r="AL230" s="5">
        <f>VLOOKUP($A230,'SegEnds_NonXtal_Prot#'!$A:$AL,29,FALSE)</f>
        <v>223</v>
      </c>
      <c r="AM230" s="5">
        <f>VLOOKUP($A230,'SegEnds_NonXtal_Prot#'!$A:$AL,32,FALSE)</f>
        <v>265</v>
      </c>
      <c r="AN230" s="5">
        <f>VLOOKUP($A230,'SegEnds_NonXtal_Prot#'!$A:$AL,35,FALSE)</f>
        <v>301</v>
      </c>
      <c r="AO230" s="5">
        <f>VLOOKUP($A230,'SegEnds_NonXtal_Prot#'!$A:$AL,38,FALSE)</f>
        <v>312</v>
      </c>
      <c r="AP230" s="5">
        <f t="shared" si="88"/>
        <v>32</v>
      </c>
      <c r="AQ230" s="4" t="str">
        <f t="shared" si="89"/>
        <v>-</v>
      </c>
      <c r="AR230" s="4">
        <f t="shared" si="90"/>
        <v>29</v>
      </c>
      <c r="AS230" s="4" t="str">
        <f t="shared" si="91"/>
        <v>-</v>
      </c>
      <c r="AT230" s="4">
        <f t="shared" si="92"/>
        <v>38</v>
      </c>
      <c r="AU230" s="4">
        <f t="shared" si="93"/>
        <v>7</v>
      </c>
      <c r="AV230" s="4">
        <f t="shared" si="94"/>
        <v>26</v>
      </c>
      <c r="AW230" s="4">
        <f t="shared" si="95"/>
        <v>2</v>
      </c>
      <c r="AX230" s="4">
        <f t="shared" si="96"/>
        <v>42</v>
      </c>
      <c r="AY230" s="4">
        <f t="shared" si="97"/>
        <v>35</v>
      </c>
      <c r="AZ230" s="4">
        <f t="shared" si="98"/>
        <v>32</v>
      </c>
      <c r="BA230" s="4">
        <f t="shared" si="99"/>
        <v>10</v>
      </c>
    </row>
    <row r="231" spans="1:53" x14ac:dyDescent="0.2">
      <c r="A231" s="1" t="str">
        <f>'SegEnds_NonXtal_Prot#'!A216</f>
        <v>p2y13_human</v>
      </c>
      <c r="B231" s="1" t="str">
        <f t="shared" si="75"/>
        <v>TRIVQLVFPALYTVVFLTGILLNTLALWVFVHISTFIIYLKNTLVADLIMTLMLPFKILSDSHWQLRAFVCRFSSVIFYETMYVGIVLLGLIAFDRFLKIIRKPVFAKTVSIFIWFFLFFISLPNTILSPLGLKWHQMVNNICQFIFWTVFILMLVFYVVIAKKVYDSYRKSNNKKLEGKVFVVVAVFFVCFAPFHFARVPYTHSQTNDCRLQNQLFIAKETTLFLAATNICMDPLIYIFLCKKFTEKLPCM</v>
      </c>
      <c r="C231" s="29" t="str">
        <f>IF(ISERROR(MATCH(A231,'SegEnds_Xtal_Prot#'!B:B, 0)), "NoXtal", "Xtal")</f>
        <v>NoXtal</v>
      </c>
      <c r="D231" s="4" t="str">
        <f>VLOOKUP(A231,Classification!A:D,2,FALSE)</f>
        <v>A</v>
      </c>
      <c r="E231" s="5" t="str">
        <f>VLOOKUP(A231,Seqs!A:B,2,FALSE)</f>
        <v>MTAAIRRQRELSILPKVTLEAMNTTVMQGFNRSERCPRDTRIVQLVFPALYTVVFLTGILLNTLALWVFVHIPSSSTFIIYLKNTLVADLIMTLMLPFKILSDSHLAPWQLRAFVCRFSSVIFYETMYVGIVLLGLIAFDRFLKIIRPLRNIFLKKPVFAKTVSIFIWFFLFFISLPNTILSNKEATPSSVKKCASLKGPLGLKWHQMVNNICQFIFWTVFILMLVFYVVIAKKVYDSYRKSKSKDRKNNKKLEGKVFVVVAVFFVCFAPFHFARVPYTHSQTNNKTDCRLQNQLFIAKETTLFLAATNICMDPLIYIFLCKKFTEKLPCMQGRKTTASSQENHSSQTDNITLG</v>
      </c>
      <c r="F231" s="5" t="str">
        <f t="shared" si="76"/>
        <v>TRIVQLVFPALYTVVFLTGILLNTLALWVFVHI</v>
      </c>
      <c r="G231" s="4" t="str">
        <f t="shared" si="77"/>
        <v/>
      </c>
      <c r="H231" s="4" t="str">
        <f t="shared" si="78"/>
        <v>STFIIYLKNTLVADLIMTLMLPFKILSDSH</v>
      </c>
      <c r="I231" s="4" t="str">
        <f t="shared" si="79"/>
        <v/>
      </c>
      <c r="J231" s="4" t="str">
        <f t="shared" si="80"/>
        <v>WQLRAFVCRFSSVIFYETMYVGIVLLGLIAFDRFLKIIR</v>
      </c>
      <c r="K231" s="4" t="str">
        <f t="shared" si="81"/>
        <v>PLRNIFLK</v>
      </c>
      <c r="L231" s="4" t="str">
        <f t="shared" si="82"/>
        <v>KPVFAKTVSIFIWFFLFFISLPNTILS</v>
      </c>
      <c r="M231" s="4" t="str">
        <f t="shared" si="83"/>
        <v>CAS</v>
      </c>
      <c r="N231" s="4" t="str">
        <f t="shared" si="84"/>
        <v>PLGLKWHQMVNNICQFIFWTVFILMLVFYVVIAKKVYDSYRKS</v>
      </c>
      <c r="O231" s="4" t="str">
        <f t="shared" si="85"/>
        <v>NNKKLEGKVFVVVAVFFVCFAPFHFARVPYTHSQTN</v>
      </c>
      <c r="P231" s="4" t="str">
        <f t="shared" si="86"/>
        <v>DCRLQNQLFIAKETTLFLAATNICMDPLIYIFL</v>
      </c>
      <c r="Q231" s="4" t="str">
        <f t="shared" si="87"/>
        <v>CKKFTEKLPCM</v>
      </c>
      <c r="R231" s="5">
        <f>VLOOKUP($A231,'SegEnds_NonXtal_Prot#'!$A:$AL,3,FALSE)</f>
        <v>40</v>
      </c>
      <c r="S231" s="5" t="str">
        <f>VLOOKUP($A231,'SegEnds_NonXtal_Prot#'!$A:$AL,6,FALSE)</f>
        <v>-</v>
      </c>
      <c r="T231" s="5">
        <f>VLOOKUP($A231,'SegEnds_NonXtal_Prot#'!$A:$AL,9,FALSE)</f>
        <v>76</v>
      </c>
      <c r="U231" s="5" t="str">
        <f>VLOOKUP($A231,'SegEnds_NonXtal_Prot#'!$A:$AL,12,FALSE)</f>
        <v>-</v>
      </c>
      <c r="V231" s="5">
        <f>VLOOKUP($A231,'SegEnds_NonXtal_Prot#'!$A:$AL,15,FALSE)</f>
        <v>109</v>
      </c>
      <c r="W231" s="5">
        <f>VLOOKUP($A231,'SegEnds_NonXtal_Prot#'!$A:$AL,18,FALSE)</f>
        <v>148</v>
      </c>
      <c r="X231" s="5">
        <f>VLOOKUP($A231,'SegEnds_NonXtal_Prot#'!$A:$AL,21,FALSE)</f>
        <v>156</v>
      </c>
      <c r="Y231" s="5">
        <f>VLOOKUP($A231,'SegEnds_NonXtal_Prot#'!$A:$AL,24,FALSE)</f>
        <v>194</v>
      </c>
      <c r="Z231" s="5">
        <f>VLOOKUP($A231,'SegEnds_NonXtal_Prot#'!$A:$AL,27,FALSE)</f>
        <v>200</v>
      </c>
      <c r="AA231" s="5">
        <f>VLOOKUP($A231,'SegEnds_NonXtal_Prot#'!$A:$AL,30,FALSE)</f>
        <v>249</v>
      </c>
      <c r="AB231" s="5">
        <f>VLOOKUP($A231,'SegEnds_NonXtal_Prot#'!$A:$AL,33,FALSE)</f>
        <v>288</v>
      </c>
      <c r="AC231" s="5">
        <f>VLOOKUP($A231,'SegEnds_NonXtal_Prot#'!$A:$AL,36,FALSE)</f>
        <v>321</v>
      </c>
      <c r="AD231" s="5">
        <f>VLOOKUP($A231,'SegEnds_NonXtal_Prot#'!$A:$AL,5,FALSE)</f>
        <v>72</v>
      </c>
      <c r="AE231" s="5" t="str">
        <f>VLOOKUP($A231,'SegEnds_NonXtal_Prot#'!$A:$AL,8,FALSE)</f>
        <v>-</v>
      </c>
      <c r="AF231" s="5">
        <f>VLOOKUP($A231,'SegEnds_NonXtal_Prot#'!$A:$AL,11,FALSE)</f>
        <v>105</v>
      </c>
      <c r="AG231" s="5" t="str">
        <f>VLOOKUP($A231,'SegEnds_NonXtal_Prot#'!$A:$AL,14,FALSE)</f>
        <v>-</v>
      </c>
      <c r="AH231" s="5">
        <f>VLOOKUP($A231,'SegEnds_NonXtal_Prot#'!$A:$AL,17,FALSE)</f>
        <v>147</v>
      </c>
      <c r="AI231" s="5">
        <f>VLOOKUP($A231,'SegEnds_NonXtal_Prot#'!$A:$AL,20,FALSE)</f>
        <v>155</v>
      </c>
      <c r="AJ231" s="5">
        <f>VLOOKUP($A231,'SegEnds_NonXtal_Prot#'!$A:$AL,23,FALSE)</f>
        <v>182</v>
      </c>
      <c r="AK231" s="5">
        <f>VLOOKUP($A231,'SegEnds_NonXtal_Prot#'!$A:$AL,26,FALSE)</f>
        <v>196</v>
      </c>
      <c r="AL231" s="5">
        <f>VLOOKUP($A231,'SegEnds_NonXtal_Prot#'!$A:$AL,29,FALSE)</f>
        <v>242</v>
      </c>
      <c r="AM231" s="5">
        <f>VLOOKUP($A231,'SegEnds_NonXtal_Prot#'!$A:$AL,32,FALSE)</f>
        <v>284</v>
      </c>
      <c r="AN231" s="5">
        <f>VLOOKUP($A231,'SegEnds_NonXtal_Prot#'!$A:$AL,35,FALSE)</f>
        <v>320</v>
      </c>
      <c r="AO231" s="5">
        <f>VLOOKUP($A231,'SegEnds_NonXtal_Prot#'!$A:$AL,38,FALSE)</f>
        <v>331</v>
      </c>
      <c r="AP231" s="5">
        <f t="shared" si="88"/>
        <v>32</v>
      </c>
      <c r="AQ231" s="4" t="str">
        <f t="shared" si="89"/>
        <v>-</v>
      </c>
      <c r="AR231" s="4">
        <f t="shared" si="90"/>
        <v>29</v>
      </c>
      <c r="AS231" s="4" t="str">
        <f t="shared" si="91"/>
        <v>-</v>
      </c>
      <c r="AT231" s="4">
        <f t="shared" si="92"/>
        <v>38</v>
      </c>
      <c r="AU231" s="4">
        <f t="shared" si="93"/>
        <v>7</v>
      </c>
      <c r="AV231" s="4">
        <f t="shared" si="94"/>
        <v>26</v>
      </c>
      <c r="AW231" s="4">
        <f t="shared" si="95"/>
        <v>2</v>
      </c>
      <c r="AX231" s="4">
        <f t="shared" si="96"/>
        <v>42</v>
      </c>
      <c r="AY231" s="4">
        <f t="shared" si="97"/>
        <v>35</v>
      </c>
      <c r="AZ231" s="4">
        <f t="shared" si="98"/>
        <v>32</v>
      </c>
      <c r="BA231" s="4">
        <f t="shared" si="99"/>
        <v>10</v>
      </c>
    </row>
    <row r="232" spans="1:53" x14ac:dyDescent="0.2">
      <c r="A232" s="1" t="str">
        <f>'SegEnds_NonXtal_Prot#'!A217</f>
        <v>p2y14_human</v>
      </c>
      <c r="B232" s="1" t="str">
        <f t="shared" si="75"/>
        <v>LLITQQIIPVLYCMVFIAGILLNGVSGWIFFYVKSFIIYLKNIVIADFVMSLTFPFKILGDSGWQLNVFVCRVSAVLFYVNMYVSIVFFGLISFDRYYKIVKSVSYSKLLSVIVWMLMLLLAVPNIILTELGRKWHKASNYIFVAIFWIVFLLLIVFYTAITKKIFKSHLKSVKKKSSRNIFSIVFVFFVCFVPYHIARIPYTKSQTESCQSKEILRYMKEFTLLLSAANVCLDPIIYFFLCQPFREILCKK</v>
      </c>
      <c r="C232" s="29" t="str">
        <f>IF(ISERROR(MATCH(A232,'SegEnds_Xtal_Prot#'!B:B, 0)), "NoXtal", "Xtal")</f>
        <v>NoXtal</v>
      </c>
      <c r="D232" s="4" t="str">
        <f>VLOOKUP(A232,Classification!A:D,2,FALSE)</f>
        <v>A</v>
      </c>
      <c r="E232" s="5" t="str">
        <f>VLOOKUP(A232,Seqs!A:B,2,FALSE)</f>
        <v>MINSTSTQPPDESCSQNLLITQQIIPVLYCMVFIAGILLNGVSGWIFFYVPSSKSFIIYLKNIVIADFVMSLTFPFKILGDSGLGPWQLNVFVCRVSAVLFYVNMYVSIVFFGLISFDRYYKIVKPLWTSFIQSVSYSKLLSVIVWMLMLLLAVPNIILTNQSVREVTQIKCIELKSELGRKWHKASNYIFVAIFWIVFLLLIVFYTAITKKIFKSHLKSSRNSTSVKKKSSRNIFSIVFVFFVCFVPYHIARIPYTKSQTEAHYSCQSKEILRYMKEFTLLLSAANVCLDPIIYFFLCQPFREILCKKLHIPLKAQNDLDISRIKRGNTTLESTDTL</v>
      </c>
      <c r="F232" s="5" t="str">
        <f t="shared" si="76"/>
        <v>LLITQQIIPVLYCMVFIAGILLNGVSGWIFFYV</v>
      </c>
      <c r="G232" s="4" t="str">
        <f t="shared" si="77"/>
        <v/>
      </c>
      <c r="H232" s="4" t="str">
        <f t="shared" si="78"/>
        <v>KSFIIYLKNIVIADFVMSLTFPFKILGDSG</v>
      </c>
      <c r="I232" s="4" t="str">
        <f t="shared" si="79"/>
        <v/>
      </c>
      <c r="J232" s="4" t="str">
        <f t="shared" si="80"/>
        <v>WQLNVFVCRVSAVLFYVNMYVSIVFFGLISFDRYYKIVK</v>
      </c>
      <c r="K232" s="4" t="str">
        <f t="shared" si="81"/>
        <v>PLWTSFIQ</v>
      </c>
      <c r="L232" s="4" t="str">
        <f t="shared" si="82"/>
        <v>SVSYSKLLSVIVWMLMLLLAVPNIILT</v>
      </c>
      <c r="M232" s="4" t="str">
        <f t="shared" si="83"/>
        <v>CIE</v>
      </c>
      <c r="N232" s="4" t="str">
        <f t="shared" si="84"/>
        <v>ELGRKWHKASNYIFVAIFWIVFLLLIVFYTAITKKIFKSHLKS</v>
      </c>
      <c r="O232" s="4" t="str">
        <f t="shared" si="85"/>
        <v>VKKKSSRNIFSIVFVFFVCFVPYHIARIPYTKSQTE</v>
      </c>
      <c r="P232" s="4" t="str">
        <f t="shared" si="86"/>
        <v>SCQSKEILRYMKEFTLLLSAANVCLDPIIYFFL</v>
      </c>
      <c r="Q232" s="4" t="str">
        <f t="shared" si="87"/>
        <v>CQPFREILCKK</v>
      </c>
      <c r="R232" s="5">
        <f>VLOOKUP($A232,'SegEnds_NonXtal_Prot#'!$A:$AL,3,FALSE)</f>
        <v>18</v>
      </c>
      <c r="S232" s="5" t="str">
        <f>VLOOKUP($A232,'SegEnds_NonXtal_Prot#'!$A:$AL,6,FALSE)</f>
        <v>-</v>
      </c>
      <c r="T232" s="5">
        <f>VLOOKUP($A232,'SegEnds_NonXtal_Prot#'!$A:$AL,9,FALSE)</f>
        <v>54</v>
      </c>
      <c r="U232" s="5" t="str">
        <f>VLOOKUP($A232,'SegEnds_NonXtal_Prot#'!$A:$AL,12,FALSE)</f>
        <v>-</v>
      </c>
      <c r="V232" s="5">
        <f>VLOOKUP($A232,'SegEnds_NonXtal_Prot#'!$A:$AL,15,FALSE)</f>
        <v>87</v>
      </c>
      <c r="W232" s="5">
        <f>VLOOKUP($A232,'SegEnds_NonXtal_Prot#'!$A:$AL,18,FALSE)</f>
        <v>126</v>
      </c>
      <c r="X232" s="5">
        <f>VLOOKUP($A232,'SegEnds_NonXtal_Prot#'!$A:$AL,21,FALSE)</f>
        <v>134</v>
      </c>
      <c r="Y232" s="5">
        <f>VLOOKUP($A232,'SegEnds_NonXtal_Prot#'!$A:$AL,24,FALSE)</f>
        <v>172</v>
      </c>
      <c r="Z232" s="5">
        <f>VLOOKUP($A232,'SegEnds_NonXtal_Prot#'!$A:$AL,27,FALSE)</f>
        <v>178</v>
      </c>
      <c r="AA232" s="5">
        <f>VLOOKUP($A232,'SegEnds_NonXtal_Prot#'!$A:$AL,30,FALSE)</f>
        <v>227</v>
      </c>
      <c r="AB232" s="5">
        <f>VLOOKUP($A232,'SegEnds_NonXtal_Prot#'!$A:$AL,33,FALSE)</f>
        <v>266</v>
      </c>
      <c r="AC232" s="5">
        <f>VLOOKUP($A232,'SegEnds_NonXtal_Prot#'!$A:$AL,36,FALSE)</f>
        <v>299</v>
      </c>
      <c r="AD232" s="5">
        <f>VLOOKUP($A232,'SegEnds_NonXtal_Prot#'!$A:$AL,5,FALSE)</f>
        <v>50</v>
      </c>
      <c r="AE232" s="5" t="str">
        <f>VLOOKUP($A232,'SegEnds_NonXtal_Prot#'!$A:$AL,8,FALSE)</f>
        <v>-</v>
      </c>
      <c r="AF232" s="5">
        <f>VLOOKUP($A232,'SegEnds_NonXtal_Prot#'!$A:$AL,11,FALSE)</f>
        <v>83</v>
      </c>
      <c r="AG232" s="5" t="str">
        <f>VLOOKUP($A232,'SegEnds_NonXtal_Prot#'!$A:$AL,14,FALSE)</f>
        <v>-</v>
      </c>
      <c r="AH232" s="5">
        <f>VLOOKUP($A232,'SegEnds_NonXtal_Prot#'!$A:$AL,17,FALSE)</f>
        <v>125</v>
      </c>
      <c r="AI232" s="5">
        <f>VLOOKUP($A232,'SegEnds_NonXtal_Prot#'!$A:$AL,20,FALSE)</f>
        <v>133</v>
      </c>
      <c r="AJ232" s="5">
        <f>VLOOKUP($A232,'SegEnds_NonXtal_Prot#'!$A:$AL,23,FALSE)</f>
        <v>160</v>
      </c>
      <c r="AK232" s="5">
        <f>VLOOKUP($A232,'SegEnds_NonXtal_Prot#'!$A:$AL,26,FALSE)</f>
        <v>174</v>
      </c>
      <c r="AL232" s="5">
        <f>VLOOKUP($A232,'SegEnds_NonXtal_Prot#'!$A:$AL,29,FALSE)</f>
        <v>220</v>
      </c>
      <c r="AM232" s="5">
        <f>VLOOKUP($A232,'SegEnds_NonXtal_Prot#'!$A:$AL,32,FALSE)</f>
        <v>262</v>
      </c>
      <c r="AN232" s="5">
        <f>VLOOKUP($A232,'SegEnds_NonXtal_Prot#'!$A:$AL,35,FALSE)</f>
        <v>298</v>
      </c>
      <c r="AO232" s="5">
        <f>VLOOKUP($A232,'SegEnds_NonXtal_Prot#'!$A:$AL,38,FALSE)</f>
        <v>309</v>
      </c>
      <c r="AP232" s="5">
        <f t="shared" si="88"/>
        <v>32</v>
      </c>
      <c r="AQ232" s="4" t="str">
        <f t="shared" si="89"/>
        <v>-</v>
      </c>
      <c r="AR232" s="4">
        <f t="shared" si="90"/>
        <v>29</v>
      </c>
      <c r="AS232" s="4" t="str">
        <f t="shared" si="91"/>
        <v>-</v>
      </c>
      <c r="AT232" s="4">
        <f t="shared" si="92"/>
        <v>38</v>
      </c>
      <c r="AU232" s="4">
        <f t="shared" si="93"/>
        <v>7</v>
      </c>
      <c r="AV232" s="4">
        <f t="shared" si="94"/>
        <v>26</v>
      </c>
      <c r="AW232" s="4">
        <f t="shared" si="95"/>
        <v>2</v>
      </c>
      <c r="AX232" s="4">
        <f t="shared" si="96"/>
        <v>42</v>
      </c>
      <c r="AY232" s="4">
        <f t="shared" si="97"/>
        <v>35</v>
      </c>
      <c r="AZ232" s="4">
        <f t="shared" si="98"/>
        <v>32</v>
      </c>
      <c r="BA232" s="4">
        <f t="shared" si="99"/>
        <v>10</v>
      </c>
    </row>
    <row r="233" spans="1:53" x14ac:dyDescent="0.2">
      <c r="A233" s="1" t="str">
        <f>'SegEnds_NonXtal_Prot#'!A218</f>
        <v>par1_human</v>
      </c>
      <c r="B233" s="1" t="str">
        <f t="shared" si="75"/>
        <v>SWLTLFVPSVYTGVFVVSLPLNIMAIVVFILKKPAVVYMLHLATADVLFVSVLPFKISYYFSGSELCRFVTAAFYCNMYASILLMTVISIDRFLAVVYTLGRASFTCLAIWALAIAGVVPLLLKEGYYAYYFSAFSAVFFFVPLIISTVCYVSIIRCLSSNRSKKSRALFLSAAVFCIFIICFGPTNVLLIAHYSFLTEAAYFAYLLCVCVSSISCCIDPLIYYYASSECQRYVYSILCCK</v>
      </c>
      <c r="C233" s="29" t="str">
        <f>IF(ISERROR(MATCH(A233,'SegEnds_Xtal_Prot#'!B:B, 0)), "NoXtal", "Xtal")</f>
        <v>Xtal</v>
      </c>
      <c r="D233" s="4" t="str">
        <f>VLOOKUP(A233,Classification!A:D,2,FALSE)</f>
        <v>A</v>
      </c>
      <c r="E233" s="5" t="str">
        <f>VLOOKUP(A233,Seqs!A:B,2,FALSE)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F233" s="5" t="str">
        <f t="shared" si="76"/>
        <v>SWLTLFVPSVYTGVFVVSLPLNIMAIVVFILK</v>
      </c>
      <c r="G233" s="4" t="str">
        <f t="shared" si="77"/>
        <v>MKVK</v>
      </c>
      <c r="H233" s="4" t="str">
        <f t="shared" si="78"/>
        <v>KPAVVYMLHLATADVLFVSVLPFKISYYFS</v>
      </c>
      <c r="I233" s="4" t="str">
        <f t="shared" si="79"/>
        <v>DWQF</v>
      </c>
      <c r="J233" s="4" t="str">
        <f t="shared" si="80"/>
        <v>GSELCRFVTAAFYCNMYASILLMTVISIDRFLAVVY</v>
      </c>
      <c r="K233" s="4" t="str">
        <f t="shared" si="81"/>
        <v>PMQSLSWR</v>
      </c>
      <c r="L233" s="4" t="str">
        <f t="shared" si="82"/>
        <v>TLGRASFTCLAIWALAIAGVVPLLLK</v>
      </c>
      <c r="M233" s="4" t="str">
        <f t="shared" si="83"/>
        <v>CHD</v>
      </c>
      <c r="N233" s="4" t="str">
        <f t="shared" si="84"/>
        <v>EGYYAYYFSAFSAVFFFVPLIISTVCYVSIIRCLSS</v>
      </c>
      <c r="O233" s="4" t="str">
        <f t="shared" si="85"/>
        <v>NRSKKSRALFLSAAVFCIFIICFGPTNVLLIAHYSFL</v>
      </c>
      <c r="P233" s="4" t="str">
        <f t="shared" si="86"/>
        <v>TEAAYFAYLLCVCVSSISCCIDPLIYYYA</v>
      </c>
      <c r="Q233" s="4" t="str">
        <f t="shared" si="87"/>
        <v>SSECQRYVYSILCCK</v>
      </c>
      <c r="R233" s="5">
        <f>VLOOKUP($A233,'SegEnds_NonXtal_Prot#'!$A:$AL,3,FALSE)</f>
        <v>99</v>
      </c>
      <c r="S233" s="5">
        <f>VLOOKUP($A233,'SegEnds_NonXtal_Prot#'!$A:$AL,6,FALSE)</f>
        <v>131</v>
      </c>
      <c r="T233" s="5">
        <f>VLOOKUP($A233,'SegEnds_NonXtal_Prot#'!$A:$AL,9,FALSE)</f>
        <v>135</v>
      </c>
      <c r="U233" s="5">
        <f>VLOOKUP($A233,'SegEnds_NonXtal_Prot#'!$A:$AL,12,FALSE)</f>
        <v>167</v>
      </c>
      <c r="V233" s="5">
        <f>VLOOKUP($A233,'SegEnds_NonXtal_Prot#'!$A:$AL,15,FALSE)</f>
        <v>171</v>
      </c>
      <c r="W233" s="5">
        <f>VLOOKUP($A233,'SegEnds_NonXtal_Prot#'!$A:$AL,18,FALSE)</f>
        <v>207</v>
      </c>
      <c r="X233" s="5">
        <f>VLOOKUP($A233,'SegEnds_NonXtal_Prot#'!$A:$AL,21,FALSE)</f>
        <v>215</v>
      </c>
      <c r="Y233" s="5">
        <f>VLOOKUP($A233,'SegEnds_NonXtal_Prot#'!$A:$AL,24,FALSE)</f>
        <v>254</v>
      </c>
      <c r="Z233" s="5">
        <f>VLOOKUP($A233,'SegEnds_NonXtal_Prot#'!$A:$AL,27,FALSE)</f>
        <v>264</v>
      </c>
      <c r="AA233" s="5">
        <f>VLOOKUP($A233,'SegEnds_NonXtal_Prot#'!$A:$AL,30,FALSE)</f>
        <v>304</v>
      </c>
      <c r="AB233" s="5">
        <f>VLOOKUP($A233,'SegEnds_NonXtal_Prot#'!$A:$AL,33,FALSE)</f>
        <v>346</v>
      </c>
      <c r="AC233" s="5">
        <f>VLOOKUP($A233,'SegEnds_NonXtal_Prot#'!$A:$AL,36,FALSE)</f>
        <v>375</v>
      </c>
      <c r="AD233" s="5">
        <f>VLOOKUP($A233,'SegEnds_NonXtal_Prot#'!$A:$AL,5,FALSE)</f>
        <v>130</v>
      </c>
      <c r="AE233" s="5">
        <f>VLOOKUP($A233,'SegEnds_NonXtal_Prot#'!$A:$AL,8,FALSE)</f>
        <v>134</v>
      </c>
      <c r="AF233" s="5">
        <f>VLOOKUP($A233,'SegEnds_NonXtal_Prot#'!$A:$AL,11,FALSE)</f>
        <v>164</v>
      </c>
      <c r="AG233" s="5">
        <f>VLOOKUP($A233,'SegEnds_NonXtal_Prot#'!$A:$AL,14,FALSE)</f>
        <v>170</v>
      </c>
      <c r="AH233" s="5">
        <f>VLOOKUP($A233,'SegEnds_NonXtal_Prot#'!$A:$AL,17,FALSE)</f>
        <v>206</v>
      </c>
      <c r="AI233" s="5">
        <f>VLOOKUP($A233,'SegEnds_NonXtal_Prot#'!$A:$AL,20,FALSE)</f>
        <v>214</v>
      </c>
      <c r="AJ233" s="5">
        <f>VLOOKUP($A233,'SegEnds_NonXtal_Prot#'!$A:$AL,23,FALSE)</f>
        <v>240</v>
      </c>
      <c r="AK233" s="5">
        <f>VLOOKUP($A233,'SegEnds_NonXtal_Prot#'!$A:$AL,26,FALSE)</f>
        <v>256</v>
      </c>
      <c r="AL233" s="5">
        <f>VLOOKUP($A233,'SegEnds_NonXtal_Prot#'!$A:$AL,29,FALSE)</f>
        <v>299</v>
      </c>
      <c r="AM233" s="5">
        <f>VLOOKUP($A233,'SegEnds_NonXtal_Prot#'!$A:$AL,32,FALSE)</f>
        <v>340</v>
      </c>
      <c r="AN233" s="5">
        <f>VLOOKUP($A233,'SegEnds_NonXtal_Prot#'!$A:$AL,35,FALSE)</f>
        <v>374</v>
      </c>
      <c r="AO233" s="5">
        <f>VLOOKUP($A233,'SegEnds_NonXtal_Prot#'!$A:$AL,38,FALSE)</f>
        <v>389</v>
      </c>
      <c r="AP233" s="5">
        <f t="shared" si="88"/>
        <v>31</v>
      </c>
      <c r="AQ233" s="4">
        <f t="shared" si="89"/>
        <v>3</v>
      </c>
      <c r="AR233" s="4">
        <f t="shared" si="90"/>
        <v>29</v>
      </c>
      <c r="AS233" s="4">
        <f t="shared" si="91"/>
        <v>3</v>
      </c>
      <c r="AT233" s="4">
        <f t="shared" si="92"/>
        <v>35</v>
      </c>
      <c r="AU233" s="4">
        <f t="shared" si="93"/>
        <v>7</v>
      </c>
      <c r="AV233" s="4">
        <f t="shared" si="94"/>
        <v>25</v>
      </c>
      <c r="AW233" s="4">
        <f t="shared" si="95"/>
        <v>2</v>
      </c>
      <c r="AX233" s="4">
        <f t="shared" si="96"/>
        <v>35</v>
      </c>
      <c r="AY233" s="4">
        <f t="shared" si="97"/>
        <v>36</v>
      </c>
      <c r="AZ233" s="4">
        <f t="shared" si="98"/>
        <v>28</v>
      </c>
      <c r="BA233" s="4">
        <f t="shared" si="99"/>
        <v>14</v>
      </c>
    </row>
    <row r="234" spans="1:53" x14ac:dyDescent="0.2">
      <c r="A234" s="1" t="str">
        <f>'SegEnds_NonXtal_Prot#'!A219</f>
        <v>par3_human</v>
      </c>
      <c r="B234" s="1" t="str">
        <f t="shared" si="75"/>
        <v>SSLSTKLIPAIYLLVFVVGVPANAVTLWMLFFRICTTVFYTNLAIADFLFCVTLPFKIAYHLNGEVLCRATTVIFYGNMYCSILLLACISINRYLAIVHKHTYALVTCGLVWATVFLYMLPFFIQLYYFISLAFFGFLIPFVLIIYCYAAIIRTLNAYWLWYVKASLLILVIFTICFAPSNIILIIHHANYTDGLYFIYLIALCLGSLNSCLDPFLYFLM</v>
      </c>
      <c r="C234" s="29" t="str">
        <f>IF(ISERROR(MATCH(A234,'SegEnds_Xtal_Prot#'!B:B, 0)), "NoXtal", "Xtal")</f>
        <v>NoXtal</v>
      </c>
      <c r="D234" s="4" t="str">
        <f>VLOOKUP(A234,Classification!A:D,2,FALSE)</f>
        <v>A</v>
      </c>
      <c r="E234" s="5" t="str">
        <f>VLOOKUP(A234,Seqs!A:B,2,FALSE)</f>
        <v>MKALIFAAAGLLLLLPTFCQSGMENDTNNLAKPTLPIKTFRGAPPNSFEEFPFSALEGWTGATITVKIKCPEESASHLHVKNATMGYLTSSLSTKLIPAIYLLVFVVGVPANAVTLWMLFFRTRSICTTVFYTNLAIADFLFCVTLPFKIAYHLNGNNWVFGEVLCRATTVIFYGNMYCSILLLACISINRYLAIVHPFTYRGLPKHTYALVTCGLVWATVFLYMLPFFILKQEYYLVQPDITTCHDVHNTCESSSPFQLYYFISLAFFGFLIPFVLIIYCYAAIIRTLNAYDHRWLWYVKASLLILVIFTICFAPSNIILIIHHANYYYNNTDGLYFIYLIALCLGSLNSCLDPFLYFLMSKTRNHSTAYLTK</v>
      </c>
      <c r="F234" s="5" t="str">
        <f t="shared" si="76"/>
        <v>SSLSTKLIPAIYLLVFVVGVPANAVTLWMLFFR</v>
      </c>
      <c r="G234" s="4" t="str">
        <f t="shared" si="77"/>
        <v/>
      </c>
      <c r="H234" s="4" t="str">
        <f t="shared" si="78"/>
        <v>ICTTVFYTNLAIADFLFCVTLPFKIAYHLN</v>
      </c>
      <c r="I234" s="4" t="str">
        <f t="shared" si="79"/>
        <v>NWVF</v>
      </c>
      <c r="J234" s="4" t="str">
        <f t="shared" si="80"/>
        <v>GEVLCRATTVIFYGNMYCSILLLACISINRYLAIVH</v>
      </c>
      <c r="K234" s="4" t="str">
        <f t="shared" si="81"/>
        <v>PFTYRGLP</v>
      </c>
      <c r="L234" s="4" t="str">
        <f t="shared" si="82"/>
        <v>KHTYALVTCGLVWATVFLYMLPFFI</v>
      </c>
      <c r="M234" s="4" t="str">
        <f t="shared" si="83"/>
        <v>CES</v>
      </c>
      <c r="N234" s="4" t="str">
        <f t="shared" si="84"/>
        <v>QLYYFISLAFFGFLIPFVLIIYCYAAIIRTLNAY</v>
      </c>
      <c r="O234" s="4" t="str">
        <f t="shared" si="85"/>
        <v>WLWYVKASLLILVIFTICFAPSNIILIIHHANY</v>
      </c>
      <c r="P234" s="4" t="str">
        <f t="shared" si="86"/>
        <v>TDGLYFIYLIALCLGSLNSCLDPFLYFLM</v>
      </c>
      <c r="Q234" s="4" t="str">
        <f t="shared" si="87"/>
        <v/>
      </c>
      <c r="R234" s="5">
        <f>VLOOKUP($A234,'SegEnds_NonXtal_Prot#'!$A:$AL,3,FALSE)</f>
        <v>90</v>
      </c>
      <c r="S234" s="5" t="str">
        <f>VLOOKUP($A234,'SegEnds_NonXtal_Prot#'!$A:$AL,6,FALSE)</f>
        <v>-</v>
      </c>
      <c r="T234" s="5">
        <f>VLOOKUP($A234,'SegEnds_NonXtal_Prot#'!$A:$AL,9,FALSE)</f>
        <v>126</v>
      </c>
      <c r="U234" s="5">
        <f>VLOOKUP($A234,'SegEnds_NonXtal_Prot#'!$A:$AL,12,FALSE)</f>
        <v>158</v>
      </c>
      <c r="V234" s="5">
        <f>VLOOKUP($A234,'SegEnds_NonXtal_Prot#'!$A:$AL,15,FALSE)</f>
        <v>162</v>
      </c>
      <c r="W234" s="5">
        <f>VLOOKUP($A234,'SegEnds_NonXtal_Prot#'!$A:$AL,18,FALSE)</f>
        <v>198</v>
      </c>
      <c r="X234" s="5">
        <f>VLOOKUP($A234,'SegEnds_NonXtal_Prot#'!$A:$AL,21,FALSE)</f>
        <v>206</v>
      </c>
      <c r="Y234" s="5">
        <f>VLOOKUP($A234,'SegEnds_NonXtal_Prot#'!$A:$AL,24,FALSE)</f>
        <v>252</v>
      </c>
      <c r="Z234" s="5">
        <f>VLOOKUP($A234,'SegEnds_NonXtal_Prot#'!$A:$AL,27,FALSE)</f>
        <v>259</v>
      </c>
      <c r="AA234" s="5">
        <f>VLOOKUP($A234,'SegEnds_NonXtal_Prot#'!$A:$AL,30,FALSE)</f>
        <v>296</v>
      </c>
      <c r="AB234" s="5">
        <f>VLOOKUP($A234,'SegEnds_NonXtal_Prot#'!$A:$AL,33,FALSE)</f>
        <v>333</v>
      </c>
      <c r="AC234" s="5" t="str">
        <f>VLOOKUP($A234,'SegEnds_NonXtal_Prot#'!$A:$AL,36,FALSE)</f>
        <v>-</v>
      </c>
      <c r="AD234" s="5">
        <f>VLOOKUP($A234,'SegEnds_NonXtal_Prot#'!$A:$AL,5,FALSE)</f>
        <v>122</v>
      </c>
      <c r="AE234" s="5" t="str">
        <f>VLOOKUP($A234,'SegEnds_NonXtal_Prot#'!$A:$AL,8,FALSE)</f>
        <v>-</v>
      </c>
      <c r="AF234" s="5">
        <f>VLOOKUP($A234,'SegEnds_NonXtal_Prot#'!$A:$AL,11,FALSE)</f>
        <v>155</v>
      </c>
      <c r="AG234" s="5">
        <f>VLOOKUP($A234,'SegEnds_NonXtal_Prot#'!$A:$AL,14,FALSE)</f>
        <v>161</v>
      </c>
      <c r="AH234" s="5">
        <f>VLOOKUP($A234,'SegEnds_NonXtal_Prot#'!$A:$AL,17,FALSE)</f>
        <v>197</v>
      </c>
      <c r="AI234" s="5">
        <f>VLOOKUP($A234,'SegEnds_NonXtal_Prot#'!$A:$AL,20,FALSE)</f>
        <v>205</v>
      </c>
      <c r="AJ234" s="5">
        <f>VLOOKUP($A234,'SegEnds_NonXtal_Prot#'!$A:$AL,23,FALSE)</f>
        <v>230</v>
      </c>
      <c r="AK234" s="5">
        <f>VLOOKUP($A234,'SegEnds_NonXtal_Prot#'!$A:$AL,26,FALSE)</f>
        <v>254</v>
      </c>
      <c r="AL234" s="5">
        <f>VLOOKUP($A234,'SegEnds_NonXtal_Prot#'!$A:$AL,29,FALSE)</f>
        <v>292</v>
      </c>
      <c r="AM234" s="5">
        <f>VLOOKUP($A234,'SegEnds_NonXtal_Prot#'!$A:$AL,32,FALSE)</f>
        <v>328</v>
      </c>
      <c r="AN234" s="5">
        <f>VLOOKUP($A234,'SegEnds_NonXtal_Prot#'!$A:$AL,35,FALSE)</f>
        <v>361</v>
      </c>
      <c r="AO234" s="5" t="str">
        <f>VLOOKUP($A234,'SegEnds_NonXtal_Prot#'!$A:$AL,38,FALSE)</f>
        <v>-</v>
      </c>
      <c r="AP234" s="5">
        <f t="shared" si="88"/>
        <v>32</v>
      </c>
      <c r="AQ234" s="4" t="str">
        <f t="shared" si="89"/>
        <v>-</v>
      </c>
      <c r="AR234" s="4">
        <f t="shared" si="90"/>
        <v>29</v>
      </c>
      <c r="AS234" s="4">
        <f t="shared" si="91"/>
        <v>3</v>
      </c>
      <c r="AT234" s="4">
        <f t="shared" si="92"/>
        <v>35</v>
      </c>
      <c r="AU234" s="4">
        <f t="shared" si="93"/>
        <v>7</v>
      </c>
      <c r="AV234" s="4">
        <f t="shared" si="94"/>
        <v>24</v>
      </c>
      <c r="AW234" s="4">
        <f t="shared" si="95"/>
        <v>2</v>
      </c>
      <c r="AX234" s="4">
        <f t="shared" si="96"/>
        <v>33</v>
      </c>
      <c r="AY234" s="4">
        <f t="shared" si="97"/>
        <v>32</v>
      </c>
      <c r="AZ234" s="4">
        <f t="shared" si="98"/>
        <v>28</v>
      </c>
      <c r="BA234" s="4" t="str">
        <f t="shared" si="99"/>
        <v>-</v>
      </c>
    </row>
    <row r="235" spans="1:53" x14ac:dyDescent="0.2">
      <c r="A235" s="1" t="str">
        <f>'SegEnds_NonXtal_Prot#'!A220</f>
        <v>par4_human</v>
      </c>
      <c r="B235" s="1" t="str">
        <f t="shared" si="75"/>
        <v>GWVPTRLVPALYGLVLVVGLPANGLALWVLATQLPSTMLLMNLAAADLLLALALPPRIAYHLRGEAACRLATAALYGHMYGSVLLLAAVSLDRYLALVHGRRLALGLCMAAWLMAAALALPLTLQASHWQPAFTCLALLGCFLPLLAMLLCYGATLHTLAASYGHALRLTAVVLASAVAFFVPSNLLLLLHYSDPWGNLYGAYVPSLALSTLNSCVDPFIYYYVSAEFRDKVRAGLFQR</v>
      </c>
      <c r="C235" s="29" t="str">
        <f>IF(ISERROR(MATCH(A235,'SegEnds_Xtal_Prot#'!B:B, 0)), "NoXtal", "Xtal")</f>
        <v>NoXtal</v>
      </c>
      <c r="D235" s="4" t="str">
        <f>VLOOKUP(A235,Classification!A:D,2,FALSE)</f>
        <v>A</v>
      </c>
      <c r="E235" s="5" t="str">
        <f>VLOOKUP(A235,Seqs!A:B,2,FALSE)</f>
        <v>MWGRLLLWPLVLGFSLSGGTQTPSVYDESGSTGGGDDSTPSILPAPRGYPGQVCANDSDTLELPDSSRALLLGWVPTRLVPALYGLVLVVGLPANGLALWVLATQAPRLPSTMLLMNLAAADLLLALALPPRIAYHLRGQRWPFGEAACRLATAALYGHMYGSVLLLAAVSLDRYLALVHPLRARALRGRRLALGLCMAAWLMAAALALPLTLQRQTFRLARSDRVLCHDALPLDAQASHWQPAFTCLALLGCFLPLLAMLLCYGATLHTLAASGRRYGHALRLTAVVLASAVAFFVPSNLLLLLHYSDPSPSAWGNLYGAYVPSLALSTLNSCVDPFIYYYVSAEFRDKVRAGLFQRSPGDTVASKASAEGGSRGMGTHSSLLQ</v>
      </c>
      <c r="F235" s="5" t="str">
        <f t="shared" si="76"/>
        <v>GWVPTRLVPALYGLVLVVGLPANGLALWVLATQ</v>
      </c>
      <c r="G235" s="4" t="str">
        <f t="shared" si="77"/>
        <v/>
      </c>
      <c r="H235" s="4" t="str">
        <f t="shared" si="78"/>
        <v>LPSTMLLMNLAAADLLLALALPPRIAYHLR</v>
      </c>
      <c r="I235" s="4" t="str">
        <f t="shared" si="79"/>
        <v>RWPF</v>
      </c>
      <c r="J235" s="4" t="str">
        <f t="shared" si="80"/>
        <v>GEAACRLATAALYGHMYGSVLLLAAVSLDRYLALVH</v>
      </c>
      <c r="K235" s="4" t="str">
        <f t="shared" si="81"/>
        <v>PLRARALR</v>
      </c>
      <c r="L235" s="4" t="str">
        <f t="shared" si="82"/>
        <v>GRRLALGLCMAAWLMAAALALPLTL</v>
      </c>
      <c r="M235" s="4" t="str">
        <f t="shared" si="83"/>
        <v>CHD</v>
      </c>
      <c r="N235" s="4" t="str">
        <f t="shared" si="84"/>
        <v>QASHWQPAFTCLALLGCFLPLLAMLLCYGATLHTLAAS</v>
      </c>
      <c r="O235" s="4" t="str">
        <f t="shared" si="85"/>
        <v>YGHALRLTAVVLASAVAFFVPSNLLLLLHYSDP</v>
      </c>
      <c r="P235" s="4" t="str">
        <f t="shared" si="86"/>
        <v>WGNLYGAYVPSLALSTLNSCVDPFIYYYV</v>
      </c>
      <c r="Q235" s="4" t="str">
        <f t="shared" si="87"/>
        <v>SAEFRDKVRAGLFQR</v>
      </c>
      <c r="R235" s="5">
        <f>VLOOKUP($A235,'SegEnds_NonXtal_Prot#'!$A:$AL,3,FALSE)</f>
        <v>73</v>
      </c>
      <c r="S235" s="5" t="str">
        <f>VLOOKUP($A235,'SegEnds_NonXtal_Prot#'!$A:$AL,6,FALSE)</f>
        <v>-</v>
      </c>
      <c r="T235" s="5">
        <f>VLOOKUP($A235,'SegEnds_NonXtal_Prot#'!$A:$AL,9,FALSE)</f>
        <v>109</v>
      </c>
      <c r="U235" s="5">
        <f>VLOOKUP($A235,'SegEnds_NonXtal_Prot#'!$A:$AL,12,FALSE)</f>
        <v>141</v>
      </c>
      <c r="V235" s="5">
        <f>VLOOKUP($A235,'SegEnds_NonXtal_Prot#'!$A:$AL,15,FALSE)</f>
        <v>145</v>
      </c>
      <c r="W235" s="5">
        <f>VLOOKUP($A235,'SegEnds_NonXtal_Prot#'!$A:$AL,18,FALSE)</f>
        <v>181</v>
      </c>
      <c r="X235" s="5">
        <f>VLOOKUP($A235,'SegEnds_NonXtal_Prot#'!$A:$AL,21,FALSE)</f>
        <v>189</v>
      </c>
      <c r="Y235" s="5">
        <f>VLOOKUP($A235,'SegEnds_NonXtal_Prot#'!$A:$AL,24,FALSE)</f>
        <v>228</v>
      </c>
      <c r="Z235" s="5">
        <f>VLOOKUP($A235,'SegEnds_NonXtal_Prot#'!$A:$AL,27,FALSE)</f>
        <v>237</v>
      </c>
      <c r="AA235" s="5">
        <f>VLOOKUP($A235,'SegEnds_NonXtal_Prot#'!$A:$AL,30,FALSE)</f>
        <v>278</v>
      </c>
      <c r="AB235" s="5">
        <f>VLOOKUP($A235,'SegEnds_NonXtal_Prot#'!$A:$AL,33,FALSE)</f>
        <v>315</v>
      </c>
      <c r="AC235" s="5">
        <f>VLOOKUP($A235,'SegEnds_NonXtal_Prot#'!$A:$AL,36,FALSE)</f>
        <v>344</v>
      </c>
      <c r="AD235" s="5">
        <f>VLOOKUP($A235,'SegEnds_NonXtal_Prot#'!$A:$AL,5,FALSE)</f>
        <v>105</v>
      </c>
      <c r="AE235" s="5" t="str">
        <f>VLOOKUP($A235,'SegEnds_NonXtal_Prot#'!$A:$AL,8,FALSE)</f>
        <v>-</v>
      </c>
      <c r="AF235" s="5">
        <f>VLOOKUP($A235,'SegEnds_NonXtal_Prot#'!$A:$AL,11,FALSE)</f>
        <v>138</v>
      </c>
      <c r="AG235" s="5">
        <f>VLOOKUP($A235,'SegEnds_NonXtal_Prot#'!$A:$AL,14,FALSE)</f>
        <v>144</v>
      </c>
      <c r="AH235" s="5">
        <f>VLOOKUP($A235,'SegEnds_NonXtal_Prot#'!$A:$AL,17,FALSE)</f>
        <v>180</v>
      </c>
      <c r="AI235" s="5">
        <f>VLOOKUP($A235,'SegEnds_NonXtal_Prot#'!$A:$AL,20,FALSE)</f>
        <v>188</v>
      </c>
      <c r="AJ235" s="5">
        <f>VLOOKUP($A235,'SegEnds_NonXtal_Prot#'!$A:$AL,23,FALSE)</f>
        <v>213</v>
      </c>
      <c r="AK235" s="5">
        <f>VLOOKUP($A235,'SegEnds_NonXtal_Prot#'!$A:$AL,26,FALSE)</f>
        <v>230</v>
      </c>
      <c r="AL235" s="5">
        <f>VLOOKUP($A235,'SegEnds_NonXtal_Prot#'!$A:$AL,29,FALSE)</f>
        <v>274</v>
      </c>
      <c r="AM235" s="5">
        <f>VLOOKUP($A235,'SegEnds_NonXtal_Prot#'!$A:$AL,32,FALSE)</f>
        <v>310</v>
      </c>
      <c r="AN235" s="5">
        <f>VLOOKUP($A235,'SegEnds_NonXtal_Prot#'!$A:$AL,35,FALSE)</f>
        <v>343</v>
      </c>
      <c r="AO235" s="5">
        <f>VLOOKUP($A235,'SegEnds_NonXtal_Prot#'!$A:$AL,38,FALSE)</f>
        <v>358</v>
      </c>
      <c r="AP235" s="5">
        <f t="shared" si="88"/>
        <v>32</v>
      </c>
      <c r="AQ235" s="4" t="str">
        <f t="shared" si="89"/>
        <v>-</v>
      </c>
      <c r="AR235" s="4">
        <f t="shared" si="90"/>
        <v>29</v>
      </c>
      <c r="AS235" s="4">
        <f t="shared" si="91"/>
        <v>3</v>
      </c>
      <c r="AT235" s="4">
        <f t="shared" si="92"/>
        <v>35</v>
      </c>
      <c r="AU235" s="4">
        <f t="shared" si="93"/>
        <v>7</v>
      </c>
      <c r="AV235" s="4">
        <f t="shared" si="94"/>
        <v>24</v>
      </c>
      <c r="AW235" s="4">
        <f t="shared" si="95"/>
        <v>2</v>
      </c>
      <c r="AX235" s="4">
        <f t="shared" si="96"/>
        <v>37</v>
      </c>
      <c r="AY235" s="4">
        <f t="shared" si="97"/>
        <v>32</v>
      </c>
      <c r="AZ235" s="4">
        <f t="shared" si="98"/>
        <v>28</v>
      </c>
      <c r="BA235" s="4">
        <f t="shared" si="99"/>
        <v>14</v>
      </c>
    </row>
    <row r="236" spans="1:53" x14ac:dyDescent="0.2">
      <c r="A236" s="1" t="str">
        <f>'SegEnds_NonXtal_Prot#'!A221</f>
        <v>pd2r_human</v>
      </c>
      <c r="B236" s="1" t="str">
        <f t="shared" si="75"/>
        <v>SVEKGNSAVMGGVLFSTGLLGNLLALGLLARSSVFYMLVCGLTVTDLLGKCLLSPVVLAAYAQNPALDNSLCQAFAFFMSFFGLSSTLQLLAMALECWLSLGHTLRLGALVAPVVSAFSLAFCALPFMGFLSVLGYSVLYSSLMALLVLATVLCNLGAMRNLYAMHRRLQRHPRSSPQPLEELDHLLLLALMTVLFTMCSLPVIYRAYYGAFKRTSEEAEDLRALRFLSVISIVDPWIFIIFRSPVFRIFFHKI</v>
      </c>
      <c r="C236" s="29" t="str">
        <f>IF(ISERROR(MATCH(A236,'SegEnds_Xtal_Prot#'!B:B, 0)), "NoXtal", "Xtal")</f>
        <v>NoXtal</v>
      </c>
      <c r="D236" s="4" t="str">
        <f>VLOOKUP(A236,Classification!A:D,2,FALSE)</f>
        <v>A</v>
      </c>
      <c r="E236" s="5" t="str">
        <f>VLOOKUP(A236,Seqs!A:B,2,FALSE)</f>
        <v>MKSPFYRCQNTTSVEKGNSAVMGGVLFSTGLLGNLLALGLLARSGLGWCSRRPLRPLPSVFYMLVCGLTVTDLLGKCLLSPVVLAAYAQNRSLRVLAPALDNSLCQAFAFFMSFFGLSSTLQLLAMALECWLSLGHPFFYRRHITLRLGALVAPVVSAFSLAFCALPFMGFGKFVQYCPGTWCFIQMVHEEGSLSVLGYSVLYSSLMALLVLATVLCNLGAMRNLYAMHRRLQRHPRSCTRDCAEPRADGREASPQPLEELDHLLLLALMTVLFTMCSLPVIYRAYYGAFKDVKEKNRTSEEAEDLRALRFLSVISIVDPWIFIIFRSPVFRIFFHKIFIRPLRYRSRCSNSTNMESSL</v>
      </c>
      <c r="F236" s="5" t="str">
        <f t="shared" si="76"/>
        <v>SVEKGNSAVMGGVLFSTGLLGNLLALGLLARS</v>
      </c>
      <c r="G236" s="4" t="str">
        <f t="shared" si="77"/>
        <v/>
      </c>
      <c r="H236" s="4" t="str">
        <f t="shared" si="78"/>
        <v>SVFYMLVCGLTVTDLLGKCLLSPVVLAAYAQN</v>
      </c>
      <c r="I236" s="4" t="str">
        <f t="shared" si="79"/>
        <v/>
      </c>
      <c r="J236" s="4" t="str">
        <f t="shared" si="80"/>
        <v>PALDNSLCQAFAFFMSFFGLSSTLQLLAMALECWLSLGH</v>
      </c>
      <c r="K236" s="4" t="str">
        <f t="shared" si="81"/>
        <v>PFFYRRHI</v>
      </c>
      <c r="L236" s="4" t="str">
        <f t="shared" si="82"/>
        <v>TLRLGALVAPVVSAFSLAFCALPFMGF</v>
      </c>
      <c r="M236" s="4" t="str">
        <f t="shared" si="83"/>
        <v>CFI</v>
      </c>
      <c r="N236" s="4" t="str">
        <f t="shared" si="84"/>
        <v>LSVLGYSVLYSSLMALLVLATVLCNLGAMRNLYAMHRRLQRHPRS</v>
      </c>
      <c r="O236" s="4" t="str">
        <f t="shared" si="85"/>
        <v>SPQPLEELDHLLLLALMTVLFTMCSLPVIYRAYYGAFK</v>
      </c>
      <c r="P236" s="4" t="str">
        <f t="shared" si="86"/>
        <v>RTSEEAEDLRALRFLSVISIVDPWIFIIF</v>
      </c>
      <c r="Q236" s="4" t="str">
        <f t="shared" si="87"/>
        <v>RSPVFRIFFHKI</v>
      </c>
      <c r="R236" s="5">
        <f>VLOOKUP($A236,'SegEnds_NonXtal_Prot#'!$A:$AL,3,FALSE)</f>
        <v>13</v>
      </c>
      <c r="S236" s="5" t="str">
        <f>VLOOKUP($A236,'SegEnds_NonXtal_Prot#'!$A:$AL,6,FALSE)</f>
        <v>-</v>
      </c>
      <c r="T236" s="5">
        <f>VLOOKUP($A236,'SegEnds_NonXtal_Prot#'!$A:$AL,9,FALSE)</f>
        <v>59</v>
      </c>
      <c r="U236" s="5" t="str">
        <f>VLOOKUP($A236,'SegEnds_NonXtal_Prot#'!$A:$AL,12,FALSE)</f>
        <v>-</v>
      </c>
      <c r="V236" s="5">
        <f>VLOOKUP($A236,'SegEnds_NonXtal_Prot#'!$A:$AL,15,FALSE)</f>
        <v>98</v>
      </c>
      <c r="W236" s="5">
        <f>VLOOKUP($A236,'SegEnds_NonXtal_Prot#'!$A:$AL,18,FALSE)</f>
        <v>137</v>
      </c>
      <c r="X236" s="5">
        <f>VLOOKUP($A236,'SegEnds_NonXtal_Prot#'!$A:$AL,21,FALSE)</f>
        <v>145</v>
      </c>
      <c r="Y236" s="5">
        <f>VLOOKUP($A236,'SegEnds_NonXtal_Prot#'!$A:$AL,24,FALSE)</f>
        <v>183</v>
      </c>
      <c r="Z236" s="5">
        <f>VLOOKUP($A236,'SegEnds_NonXtal_Prot#'!$A:$AL,27,FALSE)</f>
        <v>194</v>
      </c>
      <c r="AA236" s="5">
        <f>VLOOKUP($A236,'SegEnds_NonXtal_Prot#'!$A:$AL,30,FALSE)</f>
        <v>254</v>
      </c>
      <c r="AB236" s="5">
        <f>VLOOKUP($A236,'SegEnds_NonXtal_Prot#'!$A:$AL,33,FALSE)</f>
        <v>298</v>
      </c>
      <c r="AC236" s="5">
        <f>VLOOKUP($A236,'SegEnds_NonXtal_Prot#'!$A:$AL,36,FALSE)</f>
        <v>327</v>
      </c>
      <c r="AD236" s="5">
        <f>VLOOKUP($A236,'SegEnds_NonXtal_Prot#'!$A:$AL,5,FALSE)</f>
        <v>44</v>
      </c>
      <c r="AE236" s="5" t="str">
        <f>VLOOKUP($A236,'SegEnds_NonXtal_Prot#'!$A:$AL,8,FALSE)</f>
        <v>-</v>
      </c>
      <c r="AF236" s="5">
        <f>VLOOKUP($A236,'SegEnds_NonXtal_Prot#'!$A:$AL,11,FALSE)</f>
        <v>90</v>
      </c>
      <c r="AG236" s="5" t="str">
        <f>VLOOKUP($A236,'SegEnds_NonXtal_Prot#'!$A:$AL,14,FALSE)</f>
        <v>-</v>
      </c>
      <c r="AH236" s="5">
        <f>VLOOKUP($A236,'SegEnds_NonXtal_Prot#'!$A:$AL,17,FALSE)</f>
        <v>136</v>
      </c>
      <c r="AI236" s="5">
        <f>VLOOKUP($A236,'SegEnds_NonXtal_Prot#'!$A:$AL,20,FALSE)</f>
        <v>144</v>
      </c>
      <c r="AJ236" s="5">
        <f>VLOOKUP($A236,'SegEnds_NonXtal_Prot#'!$A:$AL,23,FALSE)</f>
        <v>171</v>
      </c>
      <c r="AK236" s="5">
        <f>VLOOKUP($A236,'SegEnds_NonXtal_Prot#'!$A:$AL,26,FALSE)</f>
        <v>185</v>
      </c>
      <c r="AL236" s="5">
        <f>VLOOKUP($A236,'SegEnds_NonXtal_Prot#'!$A:$AL,29,FALSE)</f>
        <v>238</v>
      </c>
      <c r="AM236" s="5">
        <f>VLOOKUP($A236,'SegEnds_NonXtal_Prot#'!$A:$AL,32,FALSE)</f>
        <v>291</v>
      </c>
      <c r="AN236" s="5">
        <f>VLOOKUP($A236,'SegEnds_NonXtal_Prot#'!$A:$AL,35,FALSE)</f>
        <v>326</v>
      </c>
      <c r="AO236" s="5">
        <f>VLOOKUP($A236,'SegEnds_NonXtal_Prot#'!$A:$AL,38,FALSE)</f>
        <v>338</v>
      </c>
      <c r="AP236" s="5">
        <f t="shared" si="88"/>
        <v>31</v>
      </c>
      <c r="AQ236" s="4" t="str">
        <f t="shared" si="89"/>
        <v>-</v>
      </c>
      <c r="AR236" s="4">
        <f t="shared" si="90"/>
        <v>31</v>
      </c>
      <c r="AS236" s="4" t="str">
        <f t="shared" si="91"/>
        <v>-</v>
      </c>
      <c r="AT236" s="4">
        <f t="shared" si="92"/>
        <v>38</v>
      </c>
      <c r="AU236" s="4">
        <f t="shared" si="93"/>
        <v>7</v>
      </c>
      <c r="AV236" s="4">
        <f t="shared" si="94"/>
        <v>26</v>
      </c>
      <c r="AW236" s="4">
        <f t="shared" si="95"/>
        <v>2</v>
      </c>
      <c r="AX236" s="4">
        <f t="shared" si="96"/>
        <v>44</v>
      </c>
      <c r="AY236" s="4">
        <f t="shared" si="97"/>
        <v>37</v>
      </c>
      <c r="AZ236" s="4">
        <f t="shared" si="98"/>
        <v>28</v>
      </c>
      <c r="BA236" s="4">
        <f t="shared" si="99"/>
        <v>11</v>
      </c>
    </row>
    <row r="237" spans="1:53" x14ac:dyDescent="0.2">
      <c r="A237" s="1" t="str">
        <f>'SegEnds_NonXtal_Prot#'!A222</f>
        <v>pd2r2_human</v>
      </c>
      <c r="B237" s="1" t="str">
        <f t="shared" si="75"/>
        <v>HAAVLLHGLASLLGLVENGVILFVVGCRTVVTTWVLHLALSDLLASASLPFFTYFLAVGTTFCKLHSSIFFLNMFASGFLLSAISLDRCLQVVRTVAAAHKVCLVLWALAVLNTVPYFVFRTCNSRQVALAVSKFLLAFLVPLAIIASSHAAVSLRLQHRPGRFVRLVAAVVAAFALCWGPYHVFSLLEARARPLVWRGLPFVTSLAFFNSVANPVLYVLTCPDMLRKLRRSLRTV</v>
      </c>
      <c r="C237" s="29" t="str">
        <f>IF(ISERROR(MATCH(A237,'SegEnds_Xtal_Prot#'!B:B, 0)), "NoXtal", "Xtal")</f>
        <v>NoXtal</v>
      </c>
      <c r="D237" s="4" t="str">
        <f>VLOOKUP(A237,Classification!A:D,2,FALSE)</f>
        <v>A</v>
      </c>
      <c r="E237" s="5" t="str">
        <f>VLOOKUP(A237,Seqs!A:B,2,FALSE)</f>
        <v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</v>
      </c>
      <c r="F237" s="5" t="str">
        <f t="shared" si="76"/>
        <v>HAAVLLHGLASLLGLVENGVILFVVGCR</v>
      </c>
      <c r="G237" s="4" t="str">
        <f t="shared" si="77"/>
        <v/>
      </c>
      <c r="H237" s="4" t="str">
        <f t="shared" si="78"/>
        <v>TVVTTWVLHLALSDLLASASLPFFTYFLAV</v>
      </c>
      <c r="I237" s="4" t="str">
        <f t="shared" si="79"/>
        <v>SWEL</v>
      </c>
      <c r="J237" s="4" t="str">
        <f t="shared" si="80"/>
        <v>GTTFCKLHSSIFFLNMFASGFLLSAISLDRCLQVVR</v>
      </c>
      <c r="K237" s="4" t="str">
        <f t="shared" si="81"/>
        <v>PVWAQNHR</v>
      </c>
      <c r="L237" s="4" t="str">
        <f t="shared" si="82"/>
        <v>TVAAAHKVCLVLWALAVLNTVPYFVFR</v>
      </c>
      <c r="M237" s="4" t="str">
        <f t="shared" si="83"/>
        <v>CYY</v>
      </c>
      <c r="N237" s="4" t="str">
        <f t="shared" si="84"/>
        <v>TCNSRQVALAVSKFLLAFLVPLAIIASSHAAVSLRLQHR</v>
      </c>
      <c r="O237" s="4" t="str">
        <f t="shared" si="85"/>
        <v>PGRFVRLVAAVVAAFALCWGPYHVFSLLEARA</v>
      </c>
      <c r="P237" s="4" t="str">
        <f t="shared" si="86"/>
        <v>RPLVWRGLPFVTSLAFFNSVANPVLYVLT</v>
      </c>
      <c r="Q237" s="4" t="str">
        <f t="shared" si="87"/>
        <v>CPDMLRKLRRSLRTV</v>
      </c>
      <c r="R237" s="5">
        <f>VLOOKUP($A237,'SegEnds_NonXtal_Prot#'!$A:$AL,3,FALSE)</f>
        <v>33</v>
      </c>
      <c r="S237" s="5" t="str">
        <f>VLOOKUP($A237,'SegEnds_NonXtal_Prot#'!$A:$AL,6,FALSE)</f>
        <v>-</v>
      </c>
      <c r="T237" s="5">
        <f>VLOOKUP($A237,'SegEnds_NonXtal_Prot#'!$A:$AL,9,FALSE)</f>
        <v>64</v>
      </c>
      <c r="U237" s="5">
        <f>VLOOKUP($A237,'SegEnds_NonXtal_Prot#'!$A:$AL,12,FALSE)</f>
        <v>96</v>
      </c>
      <c r="V237" s="5">
        <f>VLOOKUP($A237,'SegEnds_NonXtal_Prot#'!$A:$AL,15,FALSE)</f>
        <v>100</v>
      </c>
      <c r="W237" s="5">
        <f>VLOOKUP($A237,'SegEnds_NonXtal_Prot#'!$A:$AL,18,FALSE)</f>
        <v>136</v>
      </c>
      <c r="X237" s="5">
        <f>VLOOKUP($A237,'SegEnds_NonXtal_Prot#'!$A:$AL,21,FALSE)</f>
        <v>144</v>
      </c>
      <c r="Y237" s="5">
        <f>VLOOKUP($A237,'SegEnds_NonXtal_Prot#'!$A:$AL,24,FALSE)</f>
        <v>182</v>
      </c>
      <c r="Z237" s="5">
        <f>VLOOKUP($A237,'SegEnds_NonXtal_Prot#'!$A:$AL,27,FALSE)</f>
        <v>198</v>
      </c>
      <c r="AA237" s="5">
        <f>VLOOKUP($A237,'SegEnds_NonXtal_Prot#'!$A:$AL,30,FALSE)</f>
        <v>241</v>
      </c>
      <c r="AB237" s="5">
        <f>VLOOKUP($A237,'SegEnds_NonXtal_Prot#'!$A:$AL,33,FALSE)</f>
        <v>279</v>
      </c>
      <c r="AC237" s="5">
        <f>VLOOKUP($A237,'SegEnds_NonXtal_Prot#'!$A:$AL,36,FALSE)</f>
        <v>308</v>
      </c>
      <c r="AD237" s="5">
        <f>VLOOKUP($A237,'SegEnds_NonXtal_Prot#'!$A:$AL,5,FALSE)</f>
        <v>60</v>
      </c>
      <c r="AE237" s="5" t="str">
        <f>VLOOKUP($A237,'SegEnds_NonXtal_Prot#'!$A:$AL,8,FALSE)</f>
        <v>-</v>
      </c>
      <c r="AF237" s="5">
        <f>VLOOKUP($A237,'SegEnds_NonXtal_Prot#'!$A:$AL,11,FALSE)</f>
        <v>93</v>
      </c>
      <c r="AG237" s="5">
        <f>VLOOKUP($A237,'SegEnds_NonXtal_Prot#'!$A:$AL,14,FALSE)</f>
        <v>99</v>
      </c>
      <c r="AH237" s="5">
        <f>VLOOKUP($A237,'SegEnds_NonXtal_Prot#'!$A:$AL,17,FALSE)</f>
        <v>135</v>
      </c>
      <c r="AI237" s="5">
        <f>VLOOKUP($A237,'SegEnds_NonXtal_Prot#'!$A:$AL,20,FALSE)</f>
        <v>143</v>
      </c>
      <c r="AJ237" s="5">
        <f>VLOOKUP($A237,'SegEnds_NonXtal_Prot#'!$A:$AL,23,FALSE)</f>
        <v>170</v>
      </c>
      <c r="AK237" s="5">
        <f>VLOOKUP($A237,'SegEnds_NonXtal_Prot#'!$A:$AL,26,FALSE)</f>
        <v>184</v>
      </c>
      <c r="AL237" s="5">
        <f>VLOOKUP($A237,'SegEnds_NonXtal_Prot#'!$A:$AL,29,FALSE)</f>
        <v>236</v>
      </c>
      <c r="AM237" s="5">
        <f>VLOOKUP($A237,'SegEnds_NonXtal_Prot#'!$A:$AL,32,FALSE)</f>
        <v>272</v>
      </c>
      <c r="AN237" s="5">
        <f>VLOOKUP($A237,'SegEnds_NonXtal_Prot#'!$A:$AL,35,FALSE)</f>
        <v>307</v>
      </c>
      <c r="AO237" s="5">
        <f>VLOOKUP($A237,'SegEnds_NonXtal_Prot#'!$A:$AL,38,FALSE)</f>
        <v>322</v>
      </c>
      <c r="AP237" s="5">
        <f t="shared" si="88"/>
        <v>27</v>
      </c>
      <c r="AQ237" s="4" t="str">
        <f t="shared" si="89"/>
        <v>-</v>
      </c>
      <c r="AR237" s="4">
        <f t="shared" si="90"/>
        <v>29</v>
      </c>
      <c r="AS237" s="4">
        <f t="shared" si="91"/>
        <v>3</v>
      </c>
      <c r="AT237" s="4">
        <f t="shared" si="92"/>
        <v>35</v>
      </c>
      <c r="AU237" s="4">
        <f t="shared" si="93"/>
        <v>7</v>
      </c>
      <c r="AV237" s="4">
        <f t="shared" si="94"/>
        <v>26</v>
      </c>
      <c r="AW237" s="4">
        <f t="shared" si="95"/>
        <v>2</v>
      </c>
      <c r="AX237" s="4">
        <f t="shared" si="96"/>
        <v>38</v>
      </c>
      <c r="AY237" s="4">
        <f t="shared" si="97"/>
        <v>31</v>
      </c>
      <c r="AZ237" s="4">
        <f t="shared" si="98"/>
        <v>28</v>
      </c>
      <c r="BA237" s="4">
        <f t="shared" si="99"/>
        <v>14</v>
      </c>
    </row>
    <row r="238" spans="1:53" x14ac:dyDescent="0.2">
      <c r="A238" s="1" t="str">
        <f>'SegEnds_NonXtal_Prot#'!A223</f>
        <v>pe2r1_human</v>
      </c>
      <c r="B238" s="1" t="str">
        <f t="shared" si="75"/>
        <v>AVPPSGASPALPIFSMTLGAVSNLLALALLAQARRRSAATFLLFVASLLATDLAGHVIPGALVLRLYTGGACHFLGGCMVFFGLCPLLLGCGMAVERCVGVTRSVARARLALAAVAAVALAVALLPLARLLAGLFASLGLVALLAALVCNTLSGLALLRARWRRRSRRRRARAHDVEMVGQLVGIMVVSCICWSPMLVLVALAVGGLQRPLFLAVRLASWNQILDPWVYILLRQAVLRQLLRLLP</v>
      </c>
      <c r="C238" s="29" t="str">
        <f>IF(ISERROR(MATCH(A238,'SegEnds_Xtal_Prot#'!B:B, 0)), "NoXtal", "Xtal")</f>
        <v>NoXtal</v>
      </c>
      <c r="D238" s="4" t="str">
        <f>VLOOKUP(A238,Classification!A:D,2,FALSE)</f>
        <v>A</v>
      </c>
      <c r="E238" s="5" t="str">
        <f>VLOOKUP(A238,Seqs!A:B,2,FALSE)</f>
        <v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v>
      </c>
      <c r="F238" s="5" t="str">
        <f t="shared" si="76"/>
        <v>AVPPSGASPALPIFSMTLGAVSNLLALALLAQA</v>
      </c>
      <c r="G238" s="4" t="str">
        <f t="shared" si="77"/>
        <v>GRLR</v>
      </c>
      <c r="H238" s="4" t="str">
        <f t="shared" si="78"/>
        <v>RRRSAATFLLFVASLLATDLAGHVIPGALVLRLYT</v>
      </c>
      <c r="I238" s="4" t="str">
        <f t="shared" si="79"/>
        <v>RAPA</v>
      </c>
      <c r="J238" s="4" t="str">
        <f t="shared" si="80"/>
        <v>GGACHFLGGCMVFFGLCPLLLGCGMAVERCVGVTR</v>
      </c>
      <c r="K238" s="4" t="str">
        <f t="shared" si="81"/>
        <v>PLLHAARV</v>
      </c>
      <c r="L238" s="4" t="str">
        <f t="shared" si="82"/>
        <v>SVARARLALAAVAAVALAVALLPLAR</v>
      </c>
      <c r="M238" s="4" t="str">
        <f t="shared" si="83"/>
        <v>CFI</v>
      </c>
      <c r="N238" s="4" t="str">
        <f t="shared" si="84"/>
        <v>LLAGLFASLGLVALLAALVCNTLSGLALLRARWRRRSRR</v>
      </c>
      <c r="O238" s="4" t="str">
        <f t="shared" si="85"/>
        <v>RRARAHDVEMVGQLVGIMVVSCICWSPMLVLVALAVGG</v>
      </c>
      <c r="P238" s="4" t="str">
        <f t="shared" si="86"/>
        <v>LQRPLFLAVRLASWNQILDPWVYILL</v>
      </c>
      <c r="Q238" s="4" t="str">
        <f t="shared" si="87"/>
        <v>RQAVLRQLLRLLP</v>
      </c>
      <c r="R238" s="5">
        <f>VLOOKUP($A238,'SegEnds_NonXtal_Prot#'!$A:$AL,3,FALSE)</f>
        <v>28</v>
      </c>
      <c r="S238" s="5">
        <f>VLOOKUP($A238,'SegEnds_NonXtal_Prot#'!$A:$AL,6,FALSE)</f>
        <v>62</v>
      </c>
      <c r="T238" s="5">
        <f>VLOOKUP($A238,'SegEnds_NonXtal_Prot#'!$A:$AL,9,FALSE)</f>
        <v>66</v>
      </c>
      <c r="U238" s="5">
        <f>VLOOKUP($A238,'SegEnds_NonXtal_Prot#'!$A:$AL,12,FALSE)</f>
        <v>103</v>
      </c>
      <c r="V238" s="5">
        <f>VLOOKUP($A238,'SegEnds_NonXtal_Prot#'!$A:$AL,15,FALSE)</f>
        <v>107</v>
      </c>
      <c r="W238" s="5">
        <f>VLOOKUP($A238,'SegEnds_NonXtal_Prot#'!$A:$AL,18,FALSE)</f>
        <v>142</v>
      </c>
      <c r="X238" s="5">
        <f>VLOOKUP($A238,'SegEnds_NonXtal_Prot#'!$A:$AL,21,FALSE)</f>
        <v>150</v>
      </c>
      <c r="Y238" s="5">
        <f>VLOOKUP($A238,'SegEnds_NonXtal_Prot#'!$A:$AL,24,FALSE)</f>
        <v>188</v>
      </c>
      <c r="Z238" s="5">
        <f>VLOOKUP($A238,'SegEnds_NonXtal_Prot#'!$A:$AL,27,FALSE)</f>
        <v>202</v>
      </c>
      <c r="AA238" s="5">
        <f>VLOOKUP($A238,'SegEnds_NonXtal_Prot#'!$A:$AL,30,FALSE)</f>
        <v>286</v>
      </c>
      <c r="AB238" s="5">
        <f>VLOOKUP($A238,'SegEnds_NonXtal_Prot#'!$A:$AL,33,FALSE)</f>
        <v>329</v>
      </c>
      <c r="AC238" s="5">
        <f>VLOOKUP($A238,'SegEnds_NonXtal_Prot#'!$A:$AL,36,FALSE)</f>
        <v>355</v>
      </c>
      <c r="AD238" s="5">
        <f>VLOOKUP($A238,'SegEnds_NonXtal_Prot#'!$A:$AL,5,FALSE)</f>
        <v>60</v>
      </c>
      <c r="AE238" s="5">
        <f>VLOOKUP($A238,'SegEnds_NonXtal_Prot#'!$A:$AL,8,FALSE)</f>
        <v>65</v>
      </c>
      <c r="AF238" s="5">
        <f>VLOOKUP($A238,'SegEnds_NonXtal_Prot#'!$A:$AL,11,FALSE)</f>
        <v>100</v>
      </c>
      <c r="AG238" s="5">
        <f>VLOOKUP($A238,'SegEnds_NonXtal_Prot#'!$A:$AL,14,FALSE)</f>
        <v>106</v>
      </c>
      <c r="AH238" s="5">
        <f>VLOOKUP($A238,'SegEnds_NonXtal_Prot#'!$A:$AL,17,FALSE)</f>
        <v>141</v>
      </c>
      <c r="AI238" s="5">
        <f>VLOOKUP($A238,'SegEnds_NonXtal_Prot#'!$A:$AL,20,FALSE)</f>
        <v>149</v>
      </c>
      <c r="AJ238" s="5">
        <f>VLOOKUP($A238,'SegEnds_NonXtal_Prot#'!$A:$AL,23,FALSE)</f>
        <v>175</v>
      </c>
      <c r="AK238" s="5">
        <f>VLOOKUP($A238,'SegEnds_NonXtal_Prot#'!$A:$AL,26,FALSE)</f>
        <v>190</v>
      </c>
      <c r="AL238" s="5">
        <f>VLOOKUP($A238,'SegEnds_NonXtal_Prot#'!$A:$AL,29,FALSE)</f>
        <v>240</v>
      </c>
      <c r="AM238" s="5">
        <f>VLOOKUP($A238,'SegEnds_NonXtal_Prot#'!$A:$AL,32,FALSE)</f>
        <v>323</v>
      </c>
      <c r="AN238" s="5">
        <f>VLOOKUP($A238,'SegEnds_NonXtal_Prot#'!$A:$AL,35,FALSE)</f>
        <v>354</v>
      </c>
      <c r="AO238" s="5">
        <f>VLOOKUP($A238,'SegEnds_NonXtal_Prot#'!$A:$AL,38,FALSE)</f>
        <v>367</v>
      </c>
      <c r="AP238" s="5">
        <f t="shared" si="88"/>
        <v>32</v>
      </c>
      <c r="AQ238" s="4">
        <f t="shared" si="89"/>
        <v>3</v>
      </c>
      <c r="AR238" s="4">
        <f t="shared" si="90"/>
        <v>34</v>
      </c>
      <c r="AS238" s="4">
        <f t="shared" si="91"/>
        <v>3</v>
      </c>
      <c r="AT238" s="4">
        <f t="shared" si="92"/>
        <v>34</v>
      </c>
      <c r="AU238" s="4">
        <f t="shared" si="93"/>
        <v>7</v>
      </c>
      <c r="AV238" s="4">
        <f t="shared" si="94"/>
        <v>25</v>
      </c>
      <c r="AW238" s="4">
        <f t="shared" si="95"/>
        <v>2</v>
      </c>
      <c r="AX238" s="4">
        <f t="shared" si="96"/>
        <v>38</v>
      </c>
      <c r="AY238" s="4">
        <f t="shared" si="97"/>
        <v>37</v>
      </c>
      <c r="AZ238" s="4">
        <f t="shared" si="98"/>
        <v>25</v>
      </c>
      <c r="BA238" s="4">
        <f t="shared" si="99"/>
        <v>12</v>
      </c>
    </row>
    <row r="239" spans="1:53" x14ac:dyDescent="0.2">
      <c r="A239" s="1" t="str">
        <f>'SegEnds_NonXtal_Prot#'!A224</f>
        <v>pe2r2_human</v>
      </c>
      <c r="B239" s="1" t="str">
        <f t="shared" si="75"/>
        <v>WLPPGESPAISSVMFSAGVLGNLIALALLARRRRSSLSLFHVLVTELVFTDLLGTCLISPVVLASYARNLAPESRACTYFAFAMTFFSLATMLMLFAMALERYLSIGHSRSGGLAVLPVIYAVSLLFCSLPLLDYTAYLQLYATLLLLLIVSVLACNFSVILNLIRMHRRSRRSRCGRVSMAEETDHLILLAIMTITFAVCSLPFTIFAYMNETSKWDLQALRFLSINSIIDPWVFAILRPPVLRLMRSVL</v>
      </c>
      <c r="C239" s="29" t="str">
        <f>IF(ISERROR(MATCH(A239,'SegEnds_Xtal_Prot#'!B:B, 0)), "NoXtal", "Xtal")</f>
        <v>NoXtal</v>
      </c>
      <c r="D239" s="4" t="str">
        <f>VLOOKUP(A239,Classification!A:D,2,FALSE)</f>
        <v>A</v>
      </c>
      <c r="E239" s="5" t="str">
        <f>VLOOKUP(A239,Seqs!A:B,2,FALSE)</f>
        <v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</v>
      </c>
      <c r="F239" s="5" t="str">
        <f t="shared" si="76"/>
        <v>WLPPGESPAISSVMFSAGVLGNLIALALLARR</v>
      </c>
      <c r="G239" s="4" t="str">
        <f t="shared" si="77"/>
        <v>CSAG</v>
      </c>
      <c r="H239" s="4" t="str">
        <f t="shared" si="78"/>
        <v>RRSSLSLFHVLVTELVFTDLLGTCLISPVVLASYARN</v>
      </c>
      <c r="I239" s="4" t="str">
        <f t="shared" si="79"/>
        <v/>
      </c>
      <c r="J239" s="4" t="str">
        <f t="shared" si="80"/>
        <v>LAPESRACTYFAFAMTFFSLATMLMLFAMALERYLSIGH</v>
      </c>
      <c r="K239" s="4" t="str">
        <f t="shared" si="81"/>
        <v>PYFYQRRV</v>
      </c>
      <c r="L239" s="4" t="str">
        <f t="shared" si="82"/>
        <v>SRSGGLAVLPVIYAVSLLFCSLPLLDY</v>
      </c>
      <c r="M239" s="4" t="str">
        <f t="shared" si="83"/>
        <v>CFI</v>
      </c>
      <c r="N239" s="4" t="str">
        <f t="shared" si="84"/>
        <v>TAYLQLYATLLLLLIVSVLACNFSVILNLIRMHRRSRRSRCG</v>
      </c>
      <c r="O239" s="4" t="str">
        <f t="shared" si="85"/>
        <v>RVSMAEETDHLILLAIMTITFAVCSLPFTIFAYMNETS</v>
      </c>
      <c r="P239" s="4" t="str">
        <f t="shared" si="86"/>
        <v>KWDLQALRFLSINSIIDPWVFAIL</v>
      </c>
      <c r="Q239" s="4" t="str">
        <f t="shared" si="87"/>
        <v>RPPVLRLMRSVL</v>
      </c>
      <c r="R239" s="5">
        <f>VLOOKUP($A239,'SegEnds_NonXtal_Prot#'!$A:$AL,3,FALSE)</f>
        <v>18</v>
      </c>
      <c r="S239" s="5">
        <f>VLOOKUP($A239,'SegEnds_NonXtal_Prot#'!$A:$AL,6,FALSE)</f>
        <v>56</v>
      </c>
      <c r="T239" s="5">
        <f>VLOOKUP($A239,'SegEnds_NonXtal_Prot#'!$A:$AL,9,FALSE)</f>
        <v>60</v>
      </c>
      <c r="U239" s="5" t="str">
        <f>VLOOKUP($A239,'SegEnds_NonXtal_Prot#'!$A:$AL,12,FALSE)</f>
        <v>-</v>
      </c>
      <c r="V239" s="5">
        <f>VLOOKUP($A239,'SegEnds_NonXtal_Prot#'!$A:$AL,15,FALSE)</f>
        <v>102</v>
      </c>
      <c r="W239" s="5">
        <f>VLOOKUP($A239,'SegEnds_NonXtal_Prot#'!$A:$AL,18,FALSE)</f>
        <v>141</v>
      </c>
      <c r="X239" s="5">
        <f>VLOOKUP($A239,'SegEnds_NonXtal_Prot#'!$A:$AL,21,FALSE)</f>
        <v>149</v>
      </c>
      <c r="Y239" s="5">
        <f>VLOOKUP($A239,'SegEnds_NonXtal_Prot#'!$A:$AL,24,FALSE)</f>
        <v>187</v>
      </c>
      <c r="Z239" s="5">
        <f>VLOOKUP($A239,'SegEnds_NonXtal_Prot#'!$A:$AL,27,FALSE)</f>
        <v>194</v>
      </c>
      <c r="AA239" s="5">
        <f>VLOOKUP($A239,'SegEnds_NonXtal_Prot#'!$A:$AL,30,FALSE)</f>
        <v>253</v>
      </c>
      <c r="AB239" s="5">
        <f>VLOOKUP($A239,'SegEnds_NonXtal_Prot#'!$A:$AL,33,FALSE)</f>
        <v>295</v>
      </c>
      <c r="AC239" s="5">
        <f>VLOOKUP($A239,'SegEnds_NonXtal_Prot#'!$A:$AL,36,FALSE)</f>
        <v>319</v>
      </c>
      <c r="AD239" s="5">
        <f>VLOOKUP($A239,'SegEnds_NonXtal_Prot#'!$A:$AL,5,FALSE)</f>
        <v>49</v>
      </c>
      <c r="AE239" s="5">
        <f>VLOOKUP($A239,'SegEnds_NonXtal_Prot#'!$A:$AL,8,FALSE)</f>
        <v>59</v>
      </c>
      <c r="AF239" s="5">
        <f>VLOOKUP($A239,'SegEnds_NonXtal_Prot#'!$A:$AL,11,FALSE)</f>
        <v>96</v>
      </c>
      <c r="AG239" s="5" t="str">
        <f>VLOOKUP($A239,'SegEnds_NonXtal_Prot#'!$A:$AL,14,FALSE)</f>
        <v>-</v>
      </c>
      <c r="AH239" s="5">
        <f>VLOOKUP($A239,'SegEnds_NonXtal_Prot#'!$A:$AL,17,FALSE)</f>
        <v>140</v>
      </c>
      <c r="AI239" s="5">
        <f>VLOOKUP($A239,'SegEnds_NonXtal_Prot#'!$A:$AL,20,FALSE)</f>
        <v>148</v>
      </c>
      <c r="AJ239" s="5">
        <f>VLOOKUP($A239,'SegEnds_NonXtal_Prot#'!$A:$AL,23,FALSE)</f>
        <v>175</v>
      </c>
      <c r="AK239" s="5">
        <f>VLOOKUP($A239,'SegEnds_NonXtal_Prot#'!$A:$AL,26,FALSE)</f>
        <v>189</v>
      </c>
      <c r="AL239" s="5">
        <f>VLOOKUP($A239,'SegEnds_NonXtal_Prot#'!$A:$AL,29,FALSE)</f>
        <v>235</v>
      </c>
      <c r="AM239" s="5">
        <f>VLOOKUP($A239,'SegEnds_NonXtal_Prot#'!$A:$AL,32,FALSE)</f>
        <v>290</v>
      </c>
      <c r="AN239" s="5">
        <f>VLOOKUP($A239,'SegEnds_NonXtal_Prot#'!$A:$AL,35,FALSE)</f>
        <v>318</v>
      </c>
      <c r="AO239" s="5">
        <f>VLOOKUP($A239,'SegEnds_NonXtal_Prot#'!$A:$AL,38,FALSE)</f>
        <v>330</v>
      </c>
      <c r="AP239" s="5">
        <f t="shared" si="88"/>
        <v>31</v>
      </c>
      <c r="AQ239" s="4">
        <f t="shared" si="89"/>
        <v>3</v>
      </c>
      <c r="AR239" s="4">
        <f t="shared" si="90"/>
        <v>36</v>
      </c>
      <c r="AS239" s="4" t="str">
        <f t="shared" si="91"/>
        <v>-</v>
      </c>
      <c r="AT239" s="4">
        <f t="shared" si="92"/>
        <v>38</v>
      </c>
      <c r="AU239" s="4">
        <f t="shared" si="93"/>
        <v>7</v>
      </c>
      <c r="AV239" s="4">
        <f t="shared" si="94"/>
        <v>26</v>
      </c>
      <c r="AW239" s="4">
        <f t="shared" si="95"/>
        <v>2</v>
      </c>
      <c r="AX239" s="4">
        <f t="shared" si="96"/>
        <v>41</v>
      </c>
      <c r="AY239" s="4">
        <f t="shared" si="97"/>
        <v>37</v>
      </c>
      <c r="AZ239" s="4">
        <f t="shared" si="98"/>
        <v>23</v>
      </c>
      <c r="BA239" s="4">
        <f t="shared" si="99"/>
        <v>11</v>
      </c>
    </row>
    <row r="240" spans="1:53" x14ac:dyDescent="0.2">
      <c r="A240" s="1" t="str">
        <f>'SegEnds_NonXtal_Prot#'!A225</f>
        <v>pe2r3_human</v>
      </c>
      <c r="B240" s="1" t="str">
        <f t="shared" si="75"/>
        <v>EDCGSVSVAFPITMLLTGFVGNALAMLLVSRSKSFLLCIGWLALTDLVGQLLTTPVVIVIDPSGRLCTFFGLTMTVFGLSSLFIASAMAVERALAIRAKTRATRAVLLGVWLAVLAFALLPVLGFFASAFAFLGLLALTVTFSCNLATIKALVSRCRAKATAQWGRITTETAIQLMGIMCVLSVCWSPLLIMMLKMIFNQTSTHTEKQKECNFFLIAVRLASLNQILDPWVYLLLRKILLRKFCQIRY</v>
      </c>
      <c r="C240" s="29" t="str">
        <f>IF(ISERROR(MATCH(A240,'SegEnds_Xtal_Prot#'!B:B, 0)), "NoXtal", "Xtal")</f>
        <v>NoXtal</v>
      </c>
      <c r="D240" s="4" t="str">
        <f>VLOOKUP(A240,Classification!A:D,2,FALSE)</f>
        <v>A</v>
      </c>
      <c r="E240" s="5" t="str">
        <f>VLOOKUP(A240,Seqs!A:B,2,FALSE)</f>
        <v>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</v>
      </c>
      <c r="F240" s="5" t="str">
        <f t="shared" si="76"/>
        <v>EDCGSVSVAFPITMLLTGFVGNALAMLLVSRS</v>
      </c>
      <c r="G240" s="4" t="str">
        <f t="shared" si="77"/>
        <v/>
      </c>
      <c r="H240" s="4" t="str">
        <f t="shared" si="78"/>
        <v>KSFLLCIGWLALTDLVGQLLTTPVVIV</v>
      </c>
      <c r="I240" s="4" t="str">
        <f t="shared" si="79"/>
        <v>RWEH</v>
      </c>
      <c r="J240" s="4" t="str">
        <f t="shared" si="80"/>
        <v>IDPSGRLCTFFGLTMTVFGLSSLFIASAMAVERALAIRA</v>
      </c>
      <c r="K240" s="4" t="str">
        <f t="shared" si="81"/>
        <v>PHWYASHM</v>
      </c>
      <c r="L240" s="4" t="str">
        <f t="shared" si="82"/>
        <v>KTRATRAVLLGVWLAVLAFALLPVLG</v>
      </c>
      <c r="M240" s="4" t="str">
        <f t="shared" si="83"/>
        <v>CFI</v>
      </c>
      <c r="N240" s="4" t="str">
        <f t="shared" si="84"/>
        <v>FFASAFAFLGLLALTVTFSCNLATIKALVSRCRAKAT</v>
      </c>
      <c r="O240" s="4" t="str">
        <f t="shared" si="85"/>
        <v>AQWGRITTETAIQLMGIMCVLSVCWSPLLIMMLKMIFNQTS</v>
      </c>
      <c r="P240" s="4" t="str">
        <f t="shared" si="86"/>
        <v>THTEKQKECNFFLIAVRLASLNQILDPWVYLLL</v>
      </c>
      <c r="Q240" s="4" t="str">
        <f t="shared" si="87"/>
        <v>RKILLRKFCQIRY</v>
      </c>
      <c r="R240" s="5">
        <f>VLOOKUP($A240,'SegEnds_NonXtal_Prot#'!$A:$AL,3,FALSE)</f>
        <v>45</v>
      </c>
      <c r="S240" s="5" t="str">
        <f>VLOOKUP($A240,'SegEnds_NonXtal_Prot#'!$A:$AL,6,FALSE)</f>
        <v>-</v>
      </c>
      <c r="T240" s="5">
        <f>VLOOKUP($A240,'SegEnds_NonXtal_Prot#'!$A:$AL,9,FALSE)</f>
        <v>86</v>
      </c>
      <c r="U240" s="5">
        <f>VLOOKUP($A240,'SegEnds_NonXtal_Prot#'!$A:$AL,12,FALSE)</f>
        <v>119</v>
      </c>
      <c r="V240" s="5">
        <f>VLOOKUP($A240,'SegEnds_NonXtal_Prot#'!$A:$AL,15,FALSE)</f>
        <v>123</v>
      </c>
      <c r="W240" s="5">
        <f>VLOOKUP($A240,'SegEnds_NonXtal_Prot#'!$A:$AL,18,FALSE)</f>
        <v>162</v>
      </c>
      <c r="X240" s="5">
        <f>VLOOKUP($A240,'SegEnds_NonXtal_Prot#'!$A:$AL,21,FALSE)</f>
        <v>170</v>
      </c>
      <c r="Y240" s="5">
        <f>VLOOKUP($A240,'SegEnds_NonXtal_Prot#'!$A:$AL,24,FALSE)</f>
        <v>208</v>
      </c>
      <c r="Z240" s="5">
        <f>VLOOKUP($A240,'SegEnds_NonXtal_Prot#'!$A:$AL,27,FALSE)</f>
        <v>229</v>
      </c>
      <c r="AA240" s="5">
        <f>VLOOKUP($A240,'SegEnds_NonXtal_Prot#'!$A:$AL,30,FALSE)</f>
        <v>271</v>
      </c>
      <c r="AB240" s="5">
        <f>VLOOKUP($A240,'SegEnds_NonXtal_Prot#'!$A:$AL,33,FALSE)</f>
        <v>317</v>
      </c>
      <c r="AC240" s="5">
        <f>VLOOKUP($A240,'SegEnds_NonXtal_Prot#'!$A:$AL,36,FALSE)</f>
        <v>350</v>
      </c>
      <c r="AD240" s="5">
        <f>VLOOKUP($A240,'SegEnds_NonXtal_Prot#'!$A:$AL,5,FALSE)</f>
        <v>76</v>
      </c>
      <c r="AE240" s="5" t="str">
        <f>VLOOKUP($A240,'SegEnds_NonXtal_Prot#'!$A:$AL,8,FALSE)</f>
        <v>-</v>
      </c>
      <c r="AF240" s="5">
        <f>VLOOKUP($A240,'SegEnds_NonXtal_Prot#'!$A:$AL,11,FALSE)</f>
        <v>112</v>
      </c>
      <c r="AG240" s="5">
        <f>VLOOKUP($A240,'SegEnds_NonXtal_Prot#'!$A:$AL,14,FALSE)</f>
        <v>122</v>
      </c>
      <c r="AH240" s="5">
        <f>VLOOKUP($A240,'SegEnds_NonXtal_Prot#'!$A:$AL,17,FALSE)</f>
        <v>161</v>
      </c>
      <c r="AI240" s="5">
        <f>VLOOKUP($A240,'SegEnds_NonXtal_Prot#'!$A:$AL,20,FALSE)</f>
        <v>169</v>
      </c>
      <c r="AJ240" s="5">
        <f>VLOOKUP($A240,'SegEnds_NonXtal_Prot#'!$A:$AL,23,FALSE)</f>
        <v>195</v>
      </c>
      <c r="AK240" s="5">
        <f>VLOOKUP($A240,'SegEnds_NonXtal_Prot#'!$A:$AL,26,FALSE)</f>
        <v>210</v>
      </c>
      <c r="AL240" s="5">
        <f>VLOOKUP($A240,'SegEnds_NonXtal_Prot#'!$A:$AL,29,FALSE)</f>
        <v>265</v>
      </c>
      <c r="AM240" s="5">
        <f>VLOOKUP($A240,'SegEnds_NonXtal_Prot#'!$A:$AL,32,FALSE)</f>
        <v>311</v>
      </c>
      <c r="AN240" s="5">
        <f>VLOOKUP($A240,'SegEnds_NonXtal_Prot#'!$A:$AL,35,FALSE)</f>
        <v>349</v>
      </c>
      <c r="AO240" s="5">
        <f>VLOOKUP($A240,'SegEnds_NonXtal_Prot#'!$A:$AL,38,FALSE)</f>
        <v>362</v>
      </c>
      <c r="AP240" s="5">
        <f t="shared" si="88"/>
        <v>31</v>
      </c>
      <c r="AQ240" s="4" t="str">
        <f t="shared" si="89"/>
        <v>-</v>
      </c>
      <c r="AR240" s="4">
        <f t="shared" si="90"/>
        <v>26</v>
      </c>
      <c r="AS240" s="4">
        <f t="shared" si="91"/>
        <v>3</v>
      </c>
      <c r="AT240" s="4">
        <f t="shared" si="92"/>
        <v>38</v>
      </c>
      <c r="AU240" s="4">
        <f t="shared" si="93"/>
        <v>7</v>
      </c>
      <c r="AV240" s="4">
        <f t="shared" si="94"/>
        <v>25</v>
      </c>
      <c r="AW240" s="4">
        <f t="shared" si="95"/>
        <v>2</v>
      </c>
      <c r="AX240" s="4">
        <f t="shared" si="96"/>
        <v>36</v>
      </c>
      <c r="AY240" s="4">
        <f t="shared" si="97"/>
        <v>40</v>
      </c>
      <c r="AZ240" s="4">
        <f t="shared" si="98"/>
        <v>32</v>
      </c>
      <c r="BA240" s="4">
        <f t="shared" si="99"/>
        <v>12</v>
      </c>
    </row>
    <row r="241" spans="1:53" x14ac:dyDescent="0.2">
      <c r="A241" s="1" t="str">
        <f>'SegEnds_NonXtal_Prot#'!A227</f>
        <v>pf2r_human</v>
      </c>
      <c r="B241" s="1" t="str">
        <f t="shared" si="75"/>
        <v>TENRLSVFFSVIFMTVGILSNSLAIAILMKAQKSKASFLLLASGLVITDFFGHLINGAIAVFFDQSNVLCSIFGICMVFSGLCPLLLGSVMAIERCIGVTKTSKHVKMMLSGVCLFAVFIALLPILGRFYLLLFSFLGLLALGVSLLCNAITGITLLRVKFKSQQHHLEMVIQLLAIMCVSCICWSPFLVTMANIGINTCETTLFALRMATWNQILDPWVYILLRKAVLKNLYKLAS</v>
      </c>
      <c r="C241" s="29" t="str">
        <f>IF(ISERROR(MATCH(A241,'SegEnds_Xtal_Prot#'!B:B, 0)), "NoXtal", "Xtal")</f>
        <v>NoXtal</v>
      </c>
      <c r="D241" s="4" t="str">
        <f>VLOOKUP(A241,Classification!A:D,2,FALSE)</f>
        <v>A</v>
      </c>
      <c r="E241" s="5" t="str">
        <f>VLOOKUP(A241,Seqs!A:B,2,FALSE)</f>
        <v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</v>
      </c>
      <c r="F241" s="5" t="str">
        <f t="shared" si="76"/>
        <v>TENRLSVFFSVIFMTVGILSNSLAIAILMKA</v>
      </c>
      <c r="G241" s="4" t="str">
        <f t="shared" si="77"/>
        <v>QRFR</v>
      </c>
      <c r="H241" s="4" t="str">
        <f t="shared" si="78"/>
        <v>QKSKASFLLLASGLVITDFFGHLINGAIAVF</v>
      </c>
      <c r="I241" s="4" t="str">
        <f t="shared" si="79"/>
        <v>EWIR</v>
      </c>
      <c r="J241" s="4" t="str">
        <f t="shared" si="80"/>
        <v>FDQSNVLCSIFGICMVFSGLCPLLLGSVMAIERCIGVTK</v>
      </c>
      <c r="K241" s="4" t="str">
        <f t="shared" si="81"/>
        <v>PIFHSTKI</v>
      </c>
      <c r="L241" s="4" t="str">
        <f t="shared" si="82"/>
        <v>TSKHVKMMLSGVCLFAVFIALLPILG</v>
      </c>
      <c r="M241" s="4" t="str">
        <f t="shared" si="83"/>
        <v>CFY</v>
      </c>
      <c r="N241" s="4" t="str">
        <f t="shared" si="84"/>
        <v>RFYLLLFSFLGLLALGVSLLCNAITGITLLRVKFKSQQ</v>
      </c>
      <c r="O241" s="4" t="str">
        <f t="shared" si="85"/>
        <v>HHLEMVIQLLAIMCVSCICWSPFLVTMANIGIN</v>
      </c>
      <c r="P241" s="4" t="str">
        <f t="shared" si="86"/>
        <v>TCETTLFALRMATWNQILDPWVYILL</v>
      </c>
      <c r="Q241" s="4" t="str">
        <f t="shared" si="87"/>
        <v>RKAVLKNLYKLAS</v>
      </c>
      <c r="R241" s="5">
        <f>VLOOKUP($A241,'SegEnds_NonXtal_Prot#'!$A:$AL,3,FALSE)</f>
        <v>24</v>
      </c>
      <c r="S241" s="5">
        <f>VLOOKUP($A241,'SegEnds_NonXtal_Prot#'!$A:$AL,6,FALSE)</f>
        <v>56</v>
      </c>
      <c r="T241" s="5">
        <f>VLOOKUP($A241,'SegEnds_NonXtal_Prot#'!$A:$AL,9,FALSE)</f>
        <v>60</v>
      </c>
      <c r="U241" s="5">
        <f>VLOOKUP($A241,'SegEnds_NonXtal_Prot#'!$A:$AL,12,FALSE)</f>
        <v>97</v>
      </c>
      <c r="V241" s="5">
        <f>VLOOKUP($A241,'SegEnds_NonXtal_Prot#'!$A:$AL,15,FALSE)</f>
        <v>101</v>
      </c>
      <c r="W241" s="5">
        <f>VLOOKUP($A241,'SegEnds_NonXtal_Prot#'!$A:$AL,18,FALSE)</f>
        <v>140</v>
      </c>
      <c r="X241" s="5">
        <f>VLOOKUP($A241,'SegEnds_NonXtal_Prot#'!$A:$AL,21,FALSE)</f>
        <v>148</v>
      </c>
      <c r="Y241" s="5">
        <f>VLOOKUP($A241,'SegEnds_NonXtal_Prot#'!$A:$AL,24,FALSE)</f>
        <v>186</v>
      </c>
      <c r="Z241" s="5">
        <f>VLOOKUP($A241,'SegEnds_NonXtal_Prot#'!$A:$AL,27,FALSE)</f>
        <v>199</v>
      </c>
      <c r="AA241" s="5">
        <f>VLOOKUP($A241,'SegEnds_NonXtal_Prot#'!$A:$AL,30,FALSE)</f>
        <v>243</v>
      </c>
      <c r="AB241" s="5">
        <f>VLOOKUP($A241,'SegEnds_NonXtal_Prot#'!$A:$AL,33,FALSE)</f>
        <v>282</v>
      </c>
      <c r="AC241" s="5">
        <f>VLOOKUP($A241,'SegEnds_NonXtal_Prot#'!$A:$AL,36,FALSE)</f>
        <v>308</v>
      </c>
      <c r="AD241" s="5">
        <f>VLOOKUP($A241,'SegEnds_NonXtal_Prot#'!$A:$AL,5,FALSE)</f>
        <v>54</v>
      </c>
      <c r="AE241" s="5">
        <f>VLOOKUP($A241,'SegEnds_NonXtal_Prot#'!$A:$AL,8,FALSE)</f>
        <v>59</v>
      </c>
      <c r="AF241" s="5">
        <f>VLOOKUP($A241,'SegEnds_NonXtal_Prot#'!$A:$AL,11,FALSE)</f>
        <v>90</v>
      </c>
      <c r="AG241" s="5">
        <f>VLOOKUP($A241,'SegEnds_NonXtal_Prot#'!$A:$AL,14,FALSE)</f>
        <v>100</v>
      </c>
      <c r="AH241" s="5">
        <f>VLOOKUP($A241,'SegEnds_NonXtal_Prot#'!$A:$AL,17,FALSE)</f>
        <v>139</v>
      </c>
      <c r="AI241" s="5">
        <f>VLOOKUP($A241,'SegEnds_NonXtal_Prot#'!$A:$AL,20,FALSE)</f>
        <v>147</v>
      </c>
      <c r="AJ241" s="5">
        <f>VLOOKUP($A241,'SegEnds_NonXtal_Prot#'!$A:$AL,23,FALSE)</f>
        <v>173</v>
      </c>
      <c r="AK241" s="5">
        <f>VLOOKUP($A241,'SegEnds_NonXtal_Prot#'!$A:$AL,26,FALSE)</f>
        <v>188</v>
      </c>
      <c r="AL241" s="5">
        <f>VLOOKUP($A241,'SegEnds_NonXtal_Prot#'!$A:$AL,29,FALSE)</f>
        <v>236</v>
      </c>
      <c r="AM241" s="5">
        <f>VLOOKUP($A241,'SegEnds_NonXtal_Prot#'!$A:$AL,32,FALSE)</f>
        <v>275</v>
      </c>
      <c r="AN241" s="5">
        <f>VLOOKUP($A241,'SegEnds_NonXtal_Prot#'!$A:$AL,35,FALSE)</f>
        <v>307</v>
      </c>
      <c r="AO241" s="5">
        <f>VLOOKUP($A241,'SegEnds_NonXtal_Prot#'!$A:$AL,38,FALSE)</f>
        <v>320</v>
      </c>
      <c r="AP241" s="5">
        <f t="shared" si="88"/>
        <v>30</v>
      </c>
      <c r="AQ241" s="4">
        <f t="shared" si="89"/>
        <v>3</v>
      </c>
      <c r="AR241" s="4">
        <f t="shared" si="90"/>
        <v>30</v>
      </c>
      <c r="AS241" s="4">
        <f t="shared" si="91"/>
        <v>3</v>
      </c>
      <c r="AT241" s="4">
        <f t="shared" si="92"/>
        <v>38</v>
      </c>
      <c r="AU241" s="4">
        <f t="shared" si="93"/>
        <v>7</v>
      </c>
      <c r="AV241" s="4">
        <f t="shared" si="94"/>
        <v>25</v>
      </c>
      <c r="AW241" s="4">
        <f t="shared" si="95"/>
        <v>2</v>
      </c>
      <c r="AX241" s="4">
        <f t="shared" si="96"/>
        <v>37</v>
      </c>
      <c r="AY241" s="4">
        <f t="shared" si="97"/>
        <v>32</v>
      </c>
      <c r="AZ241" s="4">
        <f t="shared" si="98"/>
        <v>25</v>
      </c>
      <c r="BA241" s="4">
        <f t="shared" si="99"/>
        <v>12</v>
      </c>
    </row>
    <row r="242" spans="1:53" x14ac:dyDescent="0.2">
      <c r="A242" s="1" t="str">
        <f>'SegEnds_NonXtal_Prot#'!A228</f>
        <v>pi2r_human</v>
      </c>
      <c r="B242" s="1" t="str">
        <f t="shared" si="75"/>
        <v>SVGPATSTLMFVAGVVGNGLALGILSARSAFAVLVTGLAATDLLGTSFLSPAVFVAYARARGGPALCDAFAFAMTFFGLASMLILFAMAVERCLALSHGPRCARLALPAIYAFCVLFCALPLLGLAQPGGAAFSLAYAGLVALLVAAIFLCNGSVTLSLCRMYRQQKRPRTGEDEVDHLILLALMTVVMAVCSLPLTIRCFTQAVASEMGDLLAFRFYAFNPILDPWVFILFRKAVFQRLKLWVCCL</v>
      </c>
      <c r="C242" s="29" t="str">
        <f>IF(ISERROR(MATCH(A242,'SegEnds_Xtal_Prot#'!B:B, 0)), "NoXtal", "Xtal")</f>
        <v>NoXtal</v>
      </c>
      <c r="D242" s="4" t="str">
        <f>VLOOKUP(A242,Classification!A:D,2,FALSE)</f>
        <v>A</v>
      </c>
      <c r="E242" s="5" t="str">
        <f>VLOOKUP(A242,Seqs!A:B,2,FALSE)</f>
        <v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</v>
      </c>
      <c r="F242" s="5" t="str">
        <f t="shared" si="76"/>
        <v>SVGPATSTLMFVAGVVGNGLALGILSAR</v>
      </c>
      <c r="G242" s="4" t="str">
        <f t="shared" si="77"/>
        <v/>
      </c>
      <c r="H242" s="4" t="str">
        <f t="shared" si="78"/>
        <v>SAFAVLVTGLAATDLLGTSFLSPAVFVAYAR</v>
      </c>
      <c r="I242" s="4" t="str">
        <f t="shared" si="79"/>
        <v/>
      </c>
      <c r="J242" s="4" t="str">
        <f t="shared" si="80"/>
        <v>ARGGPALCDAFAFAMTFFGLASMLILFAMAVERCLALSH</v>
      </c>
      <c r="K242" s="4" t="str">
        <f t="shared" si="81"/>
        <v>PYLYAQLD</v>
      </c>
      <c r="L242" s="4" t="str">
        <f t="shared" si="82"/>
        <v>GPRCARLALPAIYAFCVLFCALPLLGL</v>
      </c>
      <c r="M242" s="4" t="str">
        <f t="shared" si="83"/>
        <v>CFL</v>
      </c>
      <c r="N242" s="4" t="str">
        <f t="shared" si="84"/>
        <v>AQPGGAAFSLAYAGLVALLVAAIFLCNGSVTLSLCRMYRQQKR</v>
      </c>
      <c r="O242" s="4" t="str">
        <f t="shared" si="85"/>
        <v>PRTGEDEVDHLILLALMTVVMAVCSLPLTIRCFTQAVA</v>
      </c>
      <c r="P242" s="4" t="str">
        <f t="shared" si="86"/>
        <v>SEMGDLLAFRFYAFNPILDPWVFILF</v>
      </c>
      <c r="Q242" s="4" t="str">
        <f t="shared" si="87"/>
        <v>RKAVFQRLKLWVCCL</v>
      </c>
      <c r="R242" s="5">
        <f>VLOOKUP($A242,'SegEnds_NonXtal_Prot#'!$A:$AL,3,FALSE)</f>
        <v>14</v>
      </c>
      <c r="S242" s="5" t="str">
        <f>VLOOKUP($A242,'SegEnds_NonXtal_Prot#'!$A:$AL,6,FALSE)</f>
        <v>-</v>
      </c>
      <c r="T242" s="5">
        <f>VLOOKUP($A242,'SegEnds_NonXtal_Prot#'!$A:$AL,9,FALSE)</f>
        <v>47</v>
      </c>
      <c r="U242" s="5" t="str">
        <f>VLOOKUP($A242,'SegEnds_NonXtal_Prot#'!$A:$AL,12,FALSE)</f>
        <v>-</v>
      </c>
      <c r="V242" s="5">
        <f>VLOOKUP($A242,'SegEnds_NonXtal_Prot#'!$A:$AL,15,FALSE)</f>
        <v>85</v>
      </c>
      <c r="W242" s="5">
        <f>VLOOKUP($A242,'SegEnds_NonXtal_Prot#'!$A:$AL,18,FALSE)</f>
        <v>124</v>
      </c>
      <c r="X242" s="5">
        <f>VLOOKUP($A242,'SegEnds_NonXtal_Prot#'!$A:$AL,21,FALSE)</f>
        <v>132</v>
      </c>
      <c r="Y242" s="5">
        <f>VLOOKUP($A242,'SegEnds_NonXtal_Prot#'!$A:$AL,24,FALSE)</f>
        <v>170</v>
      </c>
      <c r="Z242" s="5">
        <f>VLOOKUP($A242,'SegEnds_NonXtal_Prot#'!$A:$AL,27,FALSE)</f>
        <v>177</v>
      </c>
      <c r="AA242" s="5">
        <f>VLOOKUP($A242,'SegEnds_NonXtal_Prot#'!$A:$AL,30,FALSE)</f>
        <v>228</v>
      </c>
      <c r="AB242" s="5">
        <f>VLOOKUP($A242,'SegEnds_NonXtal_Prot#'!$A:$AL,33,FALSE)</f>
        <v>270</v>
      </c>
      <c r="AC242" s="5">
        <f>VLOOKUP($A242,'SegEnds_NonXtal_Prot#'!$A:$AL,36,FALSE)</f>
        <v>296</v>
      </c>
      <c r="AD242" s="5">
        <f>VLOOKUP($A242,'SegEnds_NonXtal_Prot#'!$A:$AL,5,FALSE)</f>
        <v>41</v>
      </c>
      <c r="AE242" s="5" t="str">
        <f>VLOOKUP($A242,'SegEnds_NonXtal_Prot#'!$A:$AL,8,FALSE)</f>
        <v>-</v>
      </c>
      <c r="AF242" s="5">
        <f>VLOOKUP($A242,'SegEnds_NonXtal_Prot#'!$A:$AL,11,FALSE)</f>
        <v>77</v>
      </c>
      <c r="AG242" s="5" t="str">
        <f>VLOOKUP($A242,'SegEnds_NonXtal_Prot#'!$A:$AL,14,FALSE)</f>
        <v>-</v>
      </c>
      <c r="AH242" s="5">
        <f>VLOOKUP($A242,'SegEnds_NonXtal_Prot#'!$A:$AL,17,FALSE)</f>
        <v>123</v>
      </c>
      <c r="AI242" s="5">
        <f>VLOOKUP($A242,'SegEnds_NonXtal_Prot#'!$A:$AL,20,FALSE)</f>
        <v>131</v>
      </c>
      <c r="AJ242" s="5">
        <f>VLOOKUP($A242,'SegEnds_NonXtal_Prot#'!$A:$AL,23,FALSE)</f>
        <v>158</v>
      </c>
      <c r="AK242" s="5">
        <f>VLOOKUP($A242,'SegEnds_NonXtal_Prot#'!$A:$AL,26,FALSE)</f>
        <v>172</v>
      </c>
      <c r="AL242" s="5">
        <f>VLOOKUP($A242,'SegEnds_NonXtal_Prot#'!$A:$AL,29,FALSE)</f>
        <v>219</v>
      </c>
      <c r="AM242" s="5">
        <f>VLOOKUP($A242,'SegEnds_NonXtal_Prot#'!$A:$AL,32,FALSE)</f>
        <v>265</v>
      </c>
      <c r="AN242" s="5">
        <f>VLOOKUP($A242,'SegEnds_NonXtal_Prot#'!$A:$AL,35,FALSE)</f>
        <v>295</v>
      </c>
      <c r="AO242" s="5">
        <f>VLOOKUP($A242,'SegEnds_NonXtal_Prot#'!$A:$AL,38,FALSE)</f>
        <v>310</v>
      </c>
      <c r="AP242" s="5">
        <f t="shared" si="88"/>
        <v>27</v>
      </c>
      <c r="AQ242" s="4" t="str">
        <f t="shared" si="89"/>
        <v>-</v>
      </c>
      <c r="AR242" s="4">
        <f t="shared" si="90"/>
        <v>30</v>
      </c>
      <c r="AS242" s="4" t="str">
        <f t="shared" si="91"/>
        <v>-</v>
      </c>
      <c r="AT242" s="4">
        <f t="shared" si="92"/>
        <v>38</v>
      </c>
      <c r="AU242" s="4">
        <f t="shared" si="93"/>
        <v>7</v>
      </c>
      <c r="AV242" s="4">
        <f t="shared" si="94"/>
        <v>26</v>
      </c>
      <c r="AW242" s="4">
        <f t="shared" si="95"/>
        <v>2</v>
      </c>
      <c r="AX242" s="4">
        <f t="shared" si="96"/>
        <v>42</v>
      </c>
      <c r="AY242" s="4">
        <f t="shared" si="97"/>
        <v>37</v>
      </c>
      <c r="AZ242" s="4">
        <f t="shared" si="98"/>
        <v>25</v>
      </c>
      <c r="BA242" s="4">
        <f t="shared" si="99"/>
        <v>14</v>
      </c>
    </row>
    <row r="243" spans="1:53" x14ac:dyDescent="0.2">
      <c r="A243" s="1" t="str">
        <f>'SegEnds_NonXtal_Prot#'!A229</f>
        <v>psyr_human</v>
      </c>
      <c r="B243" s="1" t="str">
        <f t="shared" si="75"/>
        <v>LDHYLFPIVYIFVIIVSIPANIGSLCVSFLQSELGIYLFSLSLSDLLYALTLPLWIDYTWNSPALCKGSAFLMYMNFYSSTAFLTCIAVDRYLAVVYTRRFALMVSLSIWILETIFNAVMLWEDEKWQINLNLFRTCTGYAIPLVTILICNRKVYQAVRHENKEKKRIIKLLVSITVTFVLCFTPFHVMLLIRCILEHAHSNSGKRTYTMYRITVALTSLNCVADPILYCFVTETGRYDMWNILK</v>
      </c>
      <c r="C243" s="29" t="str">
        <f>IF(ISERROR(MATCH(A243,'SegEnds_Xtal_Prot#'!B:B, 0)), "NoXtal", "Xtal")</f>
        <v>NoXtal</v>
      </c>
      <c r="D243" s="4" t="str">
        <f>VLOOKUP(A243,Classification!A:D,2,FALSE)</f>
        <v>A</v>
      </c>
      <c r="E243" s="5" t="str">
        <f>VLOOKUP(A243,Seqs!A:B,2,FALSE)</f>
        <v>MNSTCIEEQHDLDHYLFPIVYIFVIIVSIPANIGSLCVSFLQAKKESELGIYLFSLSLSDLLYALTLPLWIDYTWNKDNWTFSPALCKGSAFLMYMNFYSSTAFLTCIAVDRYLAVVYPLKFFFLRTRRFALMVSLSIWILETIFNAVMLWEDETVVEYCDAEKSNFTLCYDKYPLEKWQINLNLFRTCTGYAIPLVTILICNRKVYQAVRHNKATENKEKKRIIKLLVSITVTFVLCFTPFHVMLLIRCILEHAVNFEDHSNSGKRTYTMYRITVALTSLNCVADPILYCFVTETGRYDMWNILKFCTGRCNTSQRQRKRILSVSTKDTMELEVLE</v>
      </c>
      <c r="F243" s="5" t="str">
        <f t="shared" si="76"/>
        <v>LDHYLFPIVYIFVIIVSIPANIGSLCVSFLQ</v>
      </c>
      <c r="G243" s="4" t="str">
        <f t="shared" si="77"/>
        <v/>
      </c>
      <c r="H243" s="4" t="str">
        <f t="shared" si="78"/>
        <v>SELGIYLFSLSLSDLLYALTLPLWIDYTWN</v>
      </c>
      <c r="I243" s="4" t="str">
        <f t="shared" si="79"/>
        <v>NWTF</v>
      </c>
      <c r="J243" s="4" t="str">
        <f t="shared" si="80"/>
        <v>SPALCKGSAFLMYMNFYSSTAFLTCIAVDRYLAVVY</v>
      </c>
      <c r="K243" s="4" t="str">
        <f t="shared" si="81"/>
        <v>PLKFFFLR</v>
      </c>
      <c r="L243" s="4" t="str">
        <f t="shared" si="82"/>
        <v>TRRFALMVSLSIWILETIFNAVMLWED</v>
      </c>
      <c r="M243" s="4" t="str">
        <f t="shared" si="83"/>
        <v>CYD</v>
      </c>
      <c r="N243" s="4" t="str">
        <f t="shared" si="84"/>
        <v>EKWQINLNLFRTCTGYAIPLVTILICNRKVYQAVRH</v>
      </c>
      <c r="O243" s="4" t="str">
        <f t="shared" si="85"/>
        <v>ENKEKKRIIKLLVSITVTFVLCFTPFHVMLLIRCILEHA</v>
      </c>
      <c r="P243" s="4" t="str">
        <f t="shared" si="86"/>
        <v>HSNSGKRTYTMYRITVALTSLNCVADPILYCFV</v>
      </c>
      <c r="Q243" s="4" t="str">
        <f t="shared" si="87"/>
        <v>TETGRYDMWNILK</v>
      </c>
      <c r="R243" s="5">
        <f>VLOOKUP($A243,'SegEnds_NonXtal_Prot#'!$A:$AL,3,FALSE)</f>
        <v>12</v>
      </c>
      <c r="S243" s="5" t="str">
        <f>VLOOKUP($A243,'SegEnds_NonXtal_Prot#'!$A:$AL,6,FALSE)</f>
        <v>-</v>
      </c>
      <c r="T243" s="5">
        <f>VLOOKUP($A243,'SegEnds_NonXtal_Prot#'!$A:$AL,9,FALSE)</f>
        <v>47</v>
      </c>
      <c r="U243" s="5">
        <f>VLOOKUP($A243,'SegEnds_NonXtal_Prot#'!$A:$AL,12,FALSE)</f>
        <v>79</v>
      </c>
      <c r="V243" s="5">
        <f>VLOOKUP($A243,'SegEnds_NonXtal_Prot#'!$A:$AL,15,FALSE)</f>
        <v>83</v>
      </c>
      <c r="W243" s="5">
        <f>VLOOKUP($A243,'SegEnds_NonXtal_Prot#'!$A:$AL,18,FALSE)</f>
        <v>119</v>
      </c>
      <c r="X243" s="5">
        <f>VLOOKUP($A243,'SegEnds_NonXtal_Prot#'!$A:$AL,21,FALSE)</f>
        <v>127</v>
      </c>
      <c r="Y243" s="5">
        <f>VLOOKUP($A243,'SegEnds_NonXtal_Prot#'!$A:$AL,24,FALSE)</f>
        <v>170</v>
      </c>
      <c r="Z243" s="5">
        <f>VLOOKUP($A243,'SegEnds_NonXtal_Prot#'!$A:$AL,27,FALSE)</f>
        <v>177</v>
      </c>
      <c r="AA243" s="5">
        <f>VLOOKUP($A243,'SegEnds_NonXtal_Prot#'!$A:$AL,30,FALSE)</f>
        <v>217</v>
      </c>
      <c r="AB243" s="5">
        <f>VLOOKUP($A243,'SegEnds_NonXtal_Prot#'!$A:$AL,33,FALSE)</f>
        <v>261</v>
      </c>
      <c r="AC243" s="5">
        <f>VLOOKUP($A243,'SegEnds_NonXtal_Prot#'!$A:$AL,36,FALSE)</f>
        <v>294</v>
      </c>
      <c r="AD243" s="5">
        <f>VLOOKUP($A243,'SegEnds_NonXtal_Prot#'!$A:$AL,5,FALSE)</f>
        <v>42</v>
      </c>
      <c r="AE243" s="5" t="str">
        <f>VLOOKUP($A243,'SegEnds_NonXtal_Prot#'!$A:$AL,8,FALSE)</f>
        <v>-</v>
      </c>
      <c r="AF243" s="5">
        <f>VLOOKUP($A243,'SegEnds_NonXtal_Prot#'!$A:$AL,11,FALSE)</f>
        <v>76</v>
      </c>
      <c r="AG243" s="5">
        <f>VLOOKUP($A243,'SegEnds_NonXtal_Prot#'!$A:$AL,14,FALSE)</f>
        <v>82</v>
      </c>
      <c r="AH243" s="5">
        <f>VLOOKUP($A243,'SegEnds_NonXtal_Prot#'!$A:$AL,17,FALSE)</f>
        <v>118</v>
      </c>
      <c r="AI243" s="5">
        <f>VLOOKUP($A243,'SegEnds_NonXtal_Prot#'!$A:$AL,20,FALSE)</f>
        <v>126</v>
      </c>
      <c r="AJ243" s="5">
        <f>VLOOKUP($A243,'SegEnds_NonXtal_Prot#'!$A:$AL,23,FALSE)</f>
        <v>153</v>
      </c>
      <c r="AK243" s="5">
        <f>VLOOKUP($A243,'SegEnds_NonXtal_Prot#'!$A:$AL,26,FALSE)</f>
        <v>172</v>
      </c>
      <c r="AL243" s="5">
        <f>VLOOKUP($A243,'SegEnds_NonXtal_Prot#'!$A:$AL,29,FALSE)</f>
        <v>212</v>
      </c>
      <c r="AM243" s="5">
        <f>VLOOKUP($A243,'SegEnds_NonXtal_Prot#'!$A:$AL,32,FALSE)</f>
        <v>255</v>
      </c>
      <c r="AN243" s="5">
        <f>VLOOKUP($A243,'SegEnds_NonXtal_Prot#'!$A:$AL,35,FALSE)</f>
        <v>293</v>
      </c>
      <c r="AO243" s="5">
        <f>VLOOKUP($A243,'SegEnds_NonXtal_Prot#'!$A:$AL,38,FALSE)</f>
        <v>306</v>
      </c>
      <c r="AP243" s="5">
        <f t="shared" si="88"/>
        <v>30</v>
      </c>
      <c r="AQ243" s="4" t="str">
        <f t="shared" si="89"/>
        <v>-</v>
      </c>
      <c r="AR243" s="4">
        <f t="shared" si="90"/>
        <v>29</v>
      </c>
      <c r="AS243" s="4">
        <f t="shared" si="91"/>
        <v>3</v>
      </c>
      <c r="AT243" s="4">
        <f t="shared" si="92"/>
        <v>35</v>
      </c>
      <c r="AU243" s="4">
        <f t="shared" si="93"/>
        <v>7</v>
      </c>
      <c r="AV243" s="4">
        <f t="shared" si="94"/>
        <v>26</v>
      </c>
      <c r="AW243" s="4">
        <f t="shared" si="95"/>
        <v>2</v>
      </c>
      <c r="AX243" s="4">
        <f t="shared" si="96"/>
        <v>35</v>
      </c>
      <c r="AY243" s="4">
        <f t="shared" si="97"/>
        <v>38</v>
      </c>
      <c r="AZ243" s="4">
        <f t="shared" si="98"/>
        <v>32</v>
      </c>
      <c r="BA243" s="4">
        <f t="shared" si="99"/>
        <v>12</v>
      </c>
    </row>
    <row r="244" spans="1:53" x14ac:dyDescent="0.2">
      <c r="A244" s="1" t="str">
        <f>'SegEnds_NonXtal_Prot#'!A230</f>
        <v>ptafr_human</v>
      </c>
      <c r="B244" s="1" t="str">
        <f t="shared" si="75"/>
        <v>SEFRYTLFPIVYSIIFVLGVIANGYVLWVFARLNEIKIFMVNLTMADMLFLITLPLWIVYYQNPKFLCNVAGCLFFINTYCSVAFLGVITYNRFQAVTRTRKRGISLSLVIWVAIVGAASYFLILDEKGSVPVLIIHIFIVFSFFLVFLIILFCNLVIIRTLLMQQRNAEVKRRALWMVCTVLAVFIICFVPHHVVQLPWTLADSKFHQAINDAHQVTLCLLSTNCVLDPVIYCFLTKKFRKHLTEK</v>
      </c>
      <c r="C244" s="29" t="str">
        <f>IF(ISERROR(MATCH(A244,'SegEnds_Xtal_Prot#'!B:B, 0)), "NoXtal", "Xtal")</f>
        <v>NoXtal</v>
      </c>
      <c r="D244" s="4" t="str">
        <f>VLOOKUP(A244,Classification!A:D,2,FALSE)</f>
        <v>A</v>
      </c>
      <c r="E244" s="5" t="str">
        <f>VLOOKUP(A244,Seqs!A:B,2,FALSE)</f>
        <v>MEPHDSSHMDSEFRYTLFPIVYSIIFVLGVIANGYVLWVFARLYPCKKFNEIKIFMVNLTMADMLFLITLPLWIVYYQNQGNWILPKFLCNVAGCLFFINTYCSVAFLGVITYNRFQAVTRPIKTAQANTRKRGISLSLVIWVAIVGAASYFLILDSTNTVPDSAGSGNVTRCFEHYEKGSVPVLIIHIFIVFSFFLVFLIILFCNLVIIRTLLMQPVQQQRNAEVKRRALWMVCTVLAVFIICFVPHHVVQLPWTLAELGFQDSKFHQAINDAHQVTLCLLSTNCVLDPVIYCFLTKKFRKHLTEKFYSMRSSRKCSRATTDTVTEVVVPFNQIPGNSLKN</v>
      </c>
      <c r="F244" s="5" t="str">
        <f t="shared" si="76"/>
        <v>SEFRYTLFPIVYSIIFVLGVIANGYVLWVFARL</v>
      </c>
      <c r="G244" s="4" t="str">
        <f t="shared" si="77"/>
        <v/>
      </c>
      <c r="H244" s="4" t="str">
        <f t="shared" si="78"/>
        <v>NEIKIFMVNLTMADMLFLITLPLWIVYYQN</v>
      </c>
      <c r="I244" s="4" t="str">
        <f t="shared" si="79"/>
        <v>NWIL</v>
      </c>
      <c r="J244" s="4" t="str">
        <f t="shared" si="80"/>
        <v>PKFLCNVAGCLFFINTYCSVAFLGVITYNRFQAVTR</v>
      </c>
      <c r="K244" s="4" t="str">
        <f t="shared" si="81"/>
        <v>PIKTAQAN</v>
      </c>
      <c r="L244" s="4" t="str">
        <f t="shared" si="82"/>
        <v>TRKRGISLSLVIWVAIVGAASYFLILD</v>
      </c>
      <c r="M244" s="4" t="str">
        <f t="shared" si="83"/>
        <v>CFE</v>
      </c>
      <c r="N244" s="4" t="str">
        <f t="shared" si="84"/>
        <v>EKGSVPVLIIHIFIVFSFFLVFLIILFCNLVIIRTLLMQ</v>
      </c>
      <c r="O244" s="4" t="str">
        <f t="shared" si="85"/>
        <v>QRNAEVKRRALWMVCTVLAVFIICFVPHHVVQLPWTLA</v>
      </c>
      <c r="P244" s="4" t="str">
        <f t="shared" si="86"/>
        <v>DSKFHQAINDAHQVTLCLLSTNCVLDPVIYCFL</v>
      </c>
      <c r="Q244" s="4" t="str">
        <f t="shared" si="87"/>
        <v>TKKFRKHLTEK</v>
      </c>
      <c r="R244" s="5">
        <f>VLOOKUP($A244,'SegEnds_NonXtal_Prot#'!$A:$AL,3,FALSE)</f>
        <v>11</v>
      </c>
      <c r="S244" s="5" t="str">
        <f>VLOOKUP($A244,'SegEnds_NonXtal_Prot#'!$A:$AL,6,FALSE)</f>
        <v>-</v>
      </c>
      <c r="T244" s="5">
        <f>VLOOKUP($A244,'SegEnds_NonXtal_Prot#'!$A:$AL,9,FALSE)</f>
        <v>50</v>
      </c>
      <c r="U244" s="5">
        <f>VLOOKUP($A244,'SegEnds_NonXtal_Prot#'!$A:$AL,12,FALSE)</f>
        <v>82</v>
      </c>
      <c r="V244" s="5">
        <f>VLOOKUP($A244,'SegEnds_NonXtal_Prot#'!$A:$AL,15,FALSE)</f>
        <v>86</v>
      </c>
      <c r="W244" s="5">
        <f>VLOOKUP($A244,'SegEnds_NonXtal_Prot#'!$A:$AL,18,FALSE)</f>
        <v>122</v>
      </c>
      <c r="X244" s="5">
        <f>VLOOKUP($A244,'SegEnds_NonXtal_Prot#'!$A:$AL,21,FALSE)</f>
        <v>130</v>
      </c>
      <c r="Y244" s="5">
        <f>VLOOKUP($A244,'SegEnds_NonXtal_Prot#'!$A:$AL,24,FALSE)</f>
        <v>173</v>
      </c>
      <c r="Z244" s="5">
        <f>VLOOKUP($A244,'SegEnds_NonXtal_Prot#'!$A:$AL,27,FALSE)</f>
        <v>178</v>
      </c>
      <c r="AA244" s="5">
        <f>VLOOKUP($A244,'SegEnds_NonXtal_Prot#'!$A:$AL,30,FALSE)</f>
        <v>221</v>
      </c>
      <c r="AB244" s="5">
        <f>VLOOKUP($A244,'SegEnds_NonXtal_Prot#'!$A:$AL,33,FALSE)</f>
        <v>264</v>
      </c>
      <c r="AC244" s="5">
        <f>VLOOKUP($A244,'SegEnds_NonXtal_Prot#'!$A:$AL,36,FALSE)</f>
        <v>297</v>
      </c>
      <c r="AD244" s="5">
        <f>VLOOKUP($A244,'SegEnds_NonXtal_Prot#'!$A:$AL,5,FALSE)</f>
        <v>43</v>
      </c>
      <c r="AE244" s="5" t="str">
        <f>VLOOKUP($A244,'SegEnds_NonXtal_Prot#'!$A:$AL,8,FALSE)</f>
        <v>-</v>
      </c>
      <c r="AF244" s="5">
        <f>VLOOKUP($A244,'SegEnds_NonXtal_Prot#'!$A:$AL,11,FALSE)</f>
        <v>79</v>
      </c>
      <c r="AG244" s="5">
        <f>VLOOKUP($A244,'SegEnds_NonXtal_Prot#'!$A:$AL,14,FALSE)</f>
        <v>85</v>
      </c>
      <c r="AH244" s="5">
        <f>VLOOKUP($A244,'SegEnds_NonXtal_Prot#'!$A:$AL,17,FALSE)</f>
        <v>121</v>
      </c>
      <c r="AI244" s="5">
        <f>VLOOKUP($A244,'SegEnds_NonXtal_Prot#'!$A:$AL,20,FALSE)</f>
        <v>129</v>
      </c>
      <c r="AJ244" s="5">
        <f>VLOOKUP($A244,'SegEnds_NonXtal_Prot#'!$A:$AL,23,FALSE)</f>
        <v>156</v>
      </c>
      <c r="AK244" s="5">
        <f>VLOOKUP($A244,'SegEnds_NonXtal_Prot#'!$A:$AL,26,FALSE)</f>
        <v>175</v>
      </c>
      <c r="AL244" s="5">
        <f>VLOOKUP($A244,'SegEnds_NonXtal_Prot#'!$A:$AL,29,FALSE)</f>
        <v>216</v>
      </c>
      <c r="AM244" s="5">
        <f>VLOOKUP($A244,'SegEnds_NonXtal_Prot#'!$A:$AL,32,FALSE)</f>
        <v>258</v>
      </c>
      <c r="AN244" s="5">
        <f>VLOOKUP($A244,'SegEnds_NonXtal_Prot#'!$A:$AL,35,FALSE)</f>
        <v>296</v>
      </c>
      <c r="AO244" s="5">
        <f>VLOOKUP($A244,'SegEnds_NonXtal_Prot#'!$A:$AL,38,FALSE)</f>
        <v>307</v>
      </c>
      <c r="AP244" s="5">
        <f t="shared" si="88"/>
        <v>32</v>
      </c>
      <c r="AQ244" s="4" t="str">
        <f t="shared" si="89"/>
        <v>-</v>
      </c>
      <c r="AR244" s="4">
        <f t="shared" si="90"/>
        <v>29</v>
      </c>
      <c r="AS244" s="4">
        <f t="shared" si="91"/>
        <v>3</v>
      </c>
      <c r="AT244" s="4">
        <f t="shared" si="92"/>
        <v>35</v>
      </c>
      <c r="AU244" s="4">
        <f t="shared" si="93"/>
        <v>7</v>
      </c>
      <c r="AV244" s="4">
        <f t="shared" si="94"/>
        <v>26</v>
      </c>
      <c r="AW244" s="4">
        <f t="shared" si="95"/>
        <v>2</v>
      </c>
      <c r="AX244" s="4">
        <f t="shared" si="96"/>
        <v>38</v>
      </c>
      <c r="AY244" s="4">
        <f t="shared" si="97"/>
        <v>37</v>
      </c>
      <c r="AZ244" s="4">
        <f t="shared" si="98"/>
        <v>32</v>
      </c>
      <c r="BA244" s="4">
        <f t="shared" si="99"/>
        <v>10</v>
      </c>
    </row>
    <row r="245" spans="1:53" x14ac:dyDescent="0.2">
      <c r="A245" s="1" t="str">
        <f>'SegEnds_NonXtal_Prot#'!A231</f>
        <v>qrfpr_human</v>
      </c>
      <c r="B245" s="1" t="str">
        <f t="shared" si="75"/>
        <v>AKLALVLTGVLIFALALFGNALVFYVVTRSTVTNIFICSLALSDLLITFFCIPVTMLQNISGAFICKMVPFVQSTAVVTEILTMTCIAVERHQGLVHTNRRAFTMLGVVWLVAVIVGSPMWHVQPVHQKIYTTFILVILFLLPLMVMLILYSKIGYELWIKKRVGDGKEMSKIARKKKRAVIMMVTVVALFAVCWAPFHVVHMMIEYSDVTIKMIFAIVQIIGFSNSICNPIVYAFMNENFKKNVLSAV</v>
      </c>
      <c r="C245" s="29" t="str">
        <f>IF(ISERROR(MATCH(A245,'SegEnds_Xtal_Prot#'!B:B, 0)), "NoXtal", "Xtal")</f>
        <v>NoXtal</v>
      </c>
      <c r="D245" s="4" t="str">
        <f>VLOOKUP(A245,Classification!A:D,2,FALSE)</f>
        <v>A</v>
      </c>
      <c r="E245" s="5" t="str">
        <f>VLOOKUP(A245,Seqs!A:B,2,FALSE)</f>
        <v>MQALNITPEQFSRLLRDHNLTREQFIALYRLRPLVYTPELPGRAKLALVLTGVLIFALALFGNALVFYVVTRSKAMRTVTNIFICSLALSDLLITFFCIPVTMLQNISDNWLGGAFICKMVPFVQSTAVVTEILTMTCIAVERHQGLVHPFKMKWQYTNRRAFTMLGVVWLVAVIVGSPMWHVQQLEIKYDFLYEKEHICCLEEWTSPVHQKIYTTFILVILFLLPLMVMLILYSKIGYELWIKKRVGDGSVLRTIHGKEMSKIARKKKRAVIMMVTVVALFAVCWAPFHVVHMMIEYSNFEKEYDDVTIKMIFAIVQIIGFSNSICNPIVYAFMNENFKKNVLSAVCYCIVNKTFSPAQRHGNSGITMMRKKAKFSLRENPVEETKGEAFSDGNIEVKLCEQTEEKKKLKRHLALFRSELAENSPLDSGH</v>
      </c>
      <c r="F245" s="5" t="str">
        <f t="shared" si="76"/>
        <v>AKLALVLTGVLIFALALFGNALVFYVVTRS</v>
      </c>
      <c r="G245" s="4" t="str">
        <f t="shared" si="77"/>
        <v>KAMR</v>
      </c>
      <c r="H245" s="4" t="str">
        <f t="shared" si="78"/>
        <v>TVTNIFICSLALSDLLITFFCIPVTMLQNIS</v>
      </c>
      <c r="I245" s="4" t="str">
        <f t="shared" si="79"/>
        <v>NWLG</v>
      </c>
      <c r="J245" s="4" t="str">
        <f t="shared" si="80"/>
        <v>GAFICKMVPFVQSTAVVTEILTMTCIAVERHQGLVH</v>
      </c>
      <c r="K245" s="4" t="str">
        <f t="shared" si="81"/>
        <v>PFKMKWQY</v>
      </c>
      <c r="L245" s="4" t="str">
        <f t="shared" si="82"/>
        <v>TNRRAFTMLGVVWLVAVIVGSPMWHVQ</v>
      </c>
      <c r="M245" s="4" t="str">
        <f t="shared" si="83"/>
        <v>CLE</v>
      </c>
      <c r="N245" s="4" t="str">
        <f t="shared" si="84"/>
        <v>PVHQKIYTTFILVILFLLPLMVMLILYSKIGYELWIKKRVGDG</v>
      </c>
      <c r="O245" s="4" t="str">
        <f t="shared" si="85"/>
        <v>KEMSKIARKKKRAVIMMVTVVALFAVCWAPFHVVHMMIEYS</v>
      </c>
      <c r="P245" s="4" t="str">
        <f t="shared" si="86"/>
        <v>DVTIKMIFAIVQIIGFSNSICNPIVYAFM</v>
      </c>
      <c r="Q245" s="4" t="str">
        <f t="shared" si="87"/>
        <v>NENFKKNVLSAV</v>
      </c>
      <c r="R245" s="5">
        <f>VLOOKUP($A245,'SegEnds_NonXtal_Prot#'!$A:$AL,3,FALSE)</f>
        <v>44</v>
      </c>
      <c r="S245" s="5">
        <f>VLOOKUP($A245,'SegEnds_NonXtal_Prot#'!$A:$AL,6,FALSE)</f>
        <v>74</v>
      </c>
      <c r="T245" s="5">
        <f>VLOOKUP($A245,'SegEnds_NonXtal_Prot#'!$A:$AL,9,FALSE)</f>
        <v>78</v>
      </c>
      <c r="U245" s="5">
        <f>VLOOKUP($A245,'SegEnds_NonXtal_Prot#'!$A:$AL,12,FALSE)</f>
        <v>110</v>
      </c>
      <c r="V245" s="5">
        <f>VLOOKUP($A245,'SegEnds_NonXtal_Prot#'!$A:$AL,15,FALSE)</f>
        <v>114</v>
      </c>
      <c r="W245" s="5">
        <f>VLOOKUP($A245,'SegEnds_NonXtal_Prot#'!$A:$AL,18,FALSE)</f>
        <v>150</v>
      </c>
      <c r="X245" s="5">
        <f>VLOOKUP($A245,'SegEnds_NonXtal_Prot#'!$A:$AL,21,FALSE)</f>
        <v>158</v>
      </c>
      <c r="Y245" s="5">
        <f>VLOOKUP($A245,'SegEnds_NonXtal_Prot#'!$A:$AL,24,FALSE)</f>
        <v>201</v>
      </c>
      <c r="Z245" s="5">
        <f>VLOOKUP($A245,'SegEnds_NonXtal_Prot#'!$A:$AL,27,FALSE)</f>
        <v>208</v>
      </c>
      <c r="AA245" s="5">
        <f>VLOOKUP($A245,'SegEnds_NonXtal_Prot#'!$A:$AL,30,FALSE)</f>
        <v>259</v>
      </c>
      <c r="AB245" s="5">
        <f>VLOOKUP($A245,'SegEnds_NonXtal_Prot#'!$A:$AL,33,FALSE)</f>
        <v>307</v>
      </c>
      <c r="AC245" s="5">
        <f>VLOOKUP($A245,'SegEnds_NonXtal_Prot#'!$A:$AL,36,FALSE)</f>
        <v>336</v>
      </c>
      <c r="AD245" s="5">
        <f>VLOOKUP($A245,'SegEnds_NonXtal_Prot#'!$A:$AL,5,FALSE)</f>
        <v>73</v>
      </c>
      <c r="AE245" s="5">
        <f>VLOOKUP($A245,'SegEnds_NonXtal_Prot#'!$A:$AL,8,FALSE)</f>
        <v>77</v>
      </c>
      <c r="AF245" s="5">
        <f>VLOOKUP($A245,'SegEnds_NonXtal_Prot#'!$A:$AL,11,FALSE)</f>
        <v>108</v>
      </c>
      <c r="AG245" s="5">
        <f>VLOOKUP($A245,'SegEnds_NonXtal_Prot#'!$A:$AL,14,FALSE)</f>
        <v>113</v>
      </c>
      <c r="AH245" s="5">
        <f>VLOOKUP($A245,'SegEnds_NonXtal_Prot#'!$A:$AL,17,FALSE)</f>
        <v>149</v>
      </c>
      <c r="AI245" s="5">
        <f>VLOOKUP($A245,'SegEnds_NonXtal_Prot#'!$A:$AL,20,FALSE)</f>
        <v>157</v>
      </c>
      <c r="AJ245" s="5">
        <f>VLOOKUP($A245,'SegEnds_NonXtal_Prot#'!$A:$AL,23,FALSE)</f>
        <v>184</v>
      </c>
      <c r="AK245" s="5">
        <f>VLOOKUP($A245,'SegEnds_NonXtal_Prot#'!$A:$AL,26,FALSE)</f>
        <v>203</v>
      </c>
      <c r="AL245" s="5">
        <f>VLOOKUP($A245,'SegEnds_NonXtal_Prot#'!$A:$AL,29,FALSE)</f>
        <v>250</v>
      </c>
      <c r="AM245" s="5">
        <f>VLOOKUP($A245,'SegEnds_NonXtal_Prot#'!$A:$AL,32,FALSE)</f>
        <v>299</v>
      </c>
      <c r="AN245" s="5">
        <f>VLOOKUP($A245,'SegEnds_NonXtal_Prot#'!$A:$AL,35,FALSE)</f>
        <v>335</v>
      </c>
      <c r="AO245" s="5">
        <f>VLOOKUP($A245,'SegEnds_NonXtal_Prot#'!$A:$AL,38,FALSE)</f>
        <v>347</v>
      </c>
      <c r="AP245" s="5">
        <f t="shared" si="88"/>
        <v>29</v>
      </c>
      <c r="AQ245" s="4">
        <f t="shared" si="89"/>
        <v>3</v>
      </c>
      <c r="AR245" s="4">
        <f t="shared" si="90"/>
        <v>30</v>
      </c>
      <c r="AS245" s="4">
        <f t="shared" si="91"/>
        <v>3</v>
      </c>
      <c r="AT245" s="4">
        <f t="shared" si="92"/>
        <v>35</v>
      </c>
      <c r="AU245" s="4">
        <f t="shared" si="93"/>
        <v>7</v>
      </c>
      <c r="AV245" s="4">
        <f t="shared" si="94"/>
        <v>26</v>
      </c>
      <c r="AW245" s="4">
        <f t="shared" si="95"/>
        <v>2</v>
      </c>
      <c r="AX245" s="4">
        <f t="shared" si="96"/>
        <v>42</v>
      </c>
      <c r="AY245" s="4">
        <f t="shared" si="97"/>
        <v>40</v>
      </c>
      <c r="AZ245" s="4">
        <f t="shared" si="98"/>
        <v>28</v>
      </c>
      <c r="BA245" s="4">
        <f t="shared" si="99"/>
        <v>11</v>
      </c>
    </row>
    <row r="246" spans="1:53" x14ac:dyDescent="0.2">
      <c r="A246" s="1" t="str">
        <f>'SegEnds_NonXtal_Prot#'!A232</f>
        <v>rl3r2_human</v>
      </c>
      <c r="B246" s="1" t="str">
        <f t="shared" si="75"/>
        <v>ALRLMVALAYGLVGAIGLLGNLAVLWVLSNCGPPSDTFVFNLALADLGLALTLPFWAAESALGGALCKMVLTATVLNVYASIFLITALSVARYWVVAMSLFWARIATLAVWAAAALVTVPTAVFGWLGAYQLQRVVLAFMVPLGVITTSYLLLLAFLQRQDSRVVARSVRILVASFFLCWFPNHVVTLWGVLVKFDNSTFYTIQTYVFPVTTCLAHSNSCLNPVLYCLLRREPRQALAGTFRDL</v>
      </c>
      <c r="C246" s="29" t="str">
        <f>IF(ISERROR(MATCH(A246,'SegEnds_Xtal_Prot#'!B:B, 0)), "NoXtal", "Xtal")</f>
        <v>NoXtal</v>
      </c>
      <c r="D246" s="4" t="str">
        <f>VLOOKUP(A246,Classification!A:D,2,FALSE)</f>
        <v>A</v>
      </c>
      <c r="E246" s="5" t="str">
        <f>VLOOKUP(A246,Seqs!A:B,2,FALSE)</f>
        <v>MPTLNTSASPPTFFWANASGGSVLSADDAPMPVKFLALRLMVALAYGLVGAIGLLGNLAVLWVLSNCARRAPGPPSDTFVFNLALADLGLALTLPFWAAESALDFHWPFGGALCKMVLTATVLNVYASIFLITALSVARYWVVAMAAGPGTHLSLFWARIATLAVWAAAALVTVPTAVFGVEGEVCGVRLCLLRFPSRYWLGAYQLQRVVLAFMVPLGVITTSYLLLLAFLQRRQRRRQDSRVVARSVRILVASFFLCWFPNHVVTLWGVLVKFDLVPWNSTFYTIQTYVFPVTTCLAHSNSCLNPVLYCLLRREPRQALAGTFRDLRLRLWPQGGGWVQQVALKQVGRRWVASNPRESRPSTLLTNLDRGTPG</v>
      </c>
      <c r="F246" s="5" t="str">
        <f t="shared" si="76"/>
        <v>ALRLMVALAYGLVGAIGLLGNLAVLWVLSNC</v>
      </c>
      <c r="G246" s="4" t="str">
        <f t="shared" si="77"/>
        <v>RRAP</v>
      </c>
      <c r="H246" s="4" t="str">
        <f t="shared" si="78"/>
        <v>GPPSDTFVFNLALADLGLALTLPFWAAESAL</v>
      </c>
      <c r="I246" s="4" t="str">
        <f t="shared" si="79"/>
        <v>HWPF</v>
      </c>
      <c r="J246" s="4" t="str">
        <f t="shared" si="80"/>
        <v>GGALCKMVLTATVLNVYASIFLITALSVARYWVVAM</v>
      </c>
      <c r="K246" s="4" t="str">
        <f t="shared" si="81"/>
        <v>AAGPGTHL</v>
      </c>
      <c r="L246" s="4" t="str">
        <f t="shared" si="82"/>
        <v>SLFWARIATLAVWAAAALVTVPTAVFG</v>
      </c>
      <c r="M246" s="4" t="str">
        <f t="shared" si="83"/>
        <v>CLL</v>
      </c>
      <c r="N246" s="4" t="str">
        <f t="shared" si="84"/>
        <v>WLGAYQLQRVVLAFMVPLGVITTSYLLLLAFLQR</v>
      </c>
      <c r="O246" s="4" t="str">
        <f t="shared" si="85"/>
        <v>QDSRVVARSVRILVASFFLCWFPNHVVTLWGVLVKFD</v>
      </c>
      <c r="P246" s="4" t="str">
        <f t="shared" si="86"/>
        <v>NSTFYTIQTYVFPVTTCLAHSNSCLNPVLYCLL</v>
      </c>
      <c r="Q246" s="4" t="str">
        <f t="shared" si="87"/>
        <v>RREPRQALAGTFRDL</v>
      </c>
      <c r="R246" s="5">
        <f>VLOOKUP($A246,'SegEnds_NonXtal_Prot#'!$A:$AL,3,FALSE)</f>
        <v>37</v>
      </c>
      <c r="S246" s="5">
        <f>VLOOKUP($A246,'SegEnds_NonXtal_Prot#'!$A:$AL,6,FALSE)</f>
        <v>69</v>
      </c>
      <c r="T246" s="5">
        <f>VLOOKUP($A246,'SegEnds_NonXtal_Prot#'!$A:$AL,9,FALSE)</f>
        <v>73</v>
      </c>
      <c r="U246" s="5">
        <f>VLOOKUP($A246,'SegEnds_NonXtal_Prot#'!$A:$AL,12,FALSE)</f>
        <v>106</v>
      </c>
      <c r="V246" s="5">
        <f>VLOOKUP($A246,'SegEnds_NonXtal_Prot#'!$A:$AL,15,FALSE)</f>
        <v>110</v>
      </c>
      <c r="W246" s="5">
        <f>VLOOKUP($A246,'SegEnds_NonXtal_Prot#'!$A:$AL,18,FALSE)</f>
        <v>146</v>
      </c>
      <c r="X246" s="5">
        <f>VLOOKUP($A246,'SegEnds_NonXtal_Prot#'!$A:$AL,21,FALSE)</f>
        <v>154</v>
      </c>
      <c r="Y246" s="5">
        <f>VLOOKUP($A246,'SegEnds_NonXtal_Prot#'!$A:$AL,24,FALSE)</f>
        <v>191</v>
      </c>
      <c r="Z246" s="5">
        <f>VLOOKUP($A246,'SegEnds_NonXtal_Prot#'!$A:$AL,27,FALSE)</f>
        <v>200</v>
      </c>
      <c r="AA246" s="5">
        <f>VLOOKUP($A246,'SegEnds_NonXtal_Prot#'!$A:$AL,30,FALSE)</f>
        <v>239</v>
      </c>
      <c r="AB246" s="5">
        <f>VLOOKUP($A246,'SegEnds_NonXtal_Prot#'!$A:$AL,33,FALSE)</f>
        <v>280</v>
      </c>
      <c r="AC246" s="5">
        <f>VLOOKUP($A246,'SegEnds_NonXtal_Prot#'!$A:$AL,36,FALSE)</f>
        <v>313</v>
      </c>
      <c r="AD246" s="5">
        <f>VLOOKUP($A246,'SegEnds_NonXtal_Prot#'!$A:$AL,5,FALSE)</f>
        <v>67</v>
      </c>
      <c r="AE246" s="5">
        <f>VLOOKUP($A246,'SegEnds_NonXtal_Prot#'!$A:$AL,8,FALSE)</f>
        <v>72</v>
      </c>
      <c r="AF246" s="5">
        <f>VLOOKUP($A246,'SegEnds_NonXtal_Prot#'!$A:$AL,11,FALSE)</f>
        <v>103</v>
      </c>
      <c r="AG246" s="5">
        <f>VLOOKUP($A246,'SegEnds_NonXtal_Prot#'!$A:$AL,14,FALSE)</f>
        <v>109</v>
      </c>
      <c r="AH246" s="5">
        <f>VLOOKUP($A246,'SegEnds_NonXtal_Prot#'!$A:$AL,17,FALSE)</f>
        <v>145</v>
      </c>
      <c r="AI246" s="5">
        <f>VLOOKUP($A246,'SegEnds_NonXtal_Prot#'!$A:$AL,20,FALSE)</f>
        <v>153</v>
      </c>
      <c r="AJ246" s="5">
        <f>VLOOKUP($A246,'SegEnds_NonXtal_Prot#'!$A:$AL,23,FALSE)</f>
        <v>180</v>
      </c>
      <c r="AK246" s="5">
        <f>VLOOKUP($A246,'SegEnds_NonXtal_Prot#'!$A:$AL,26,FALSE)</f>
        <v>193</v>
      </c>
      <c r="AL246" s="5">
        <f>VLOOKUP($A246,'SegEnds_NonXtal_Prot#'!$A:$AL,29,FALSE)</f>
        <v>233</v>
      </c>
      <c r="AM246" s="5">
        <f>VLOOKUP($A246,'SegEnds_NonXtal_Prot#'!$A:$AL,32,FALSE)</f>
        <v>275</v>
      </c>
      <c r="AN246" s="5">
        <f>VLOOKUP($A246,'SegEnds_NonXtal_Prot#'!$A:$AL,35,FALSE)</f>
        <v>312</v>
      </c>
      <c r="AO246" s="5">
        <f>VLOOKUP($A246,'SegEnds_NonXtal_Prot#'!$A:$AL,38,FALSE)</f>
        <v>327</v>
      </c>
      <c r="AP246" s="5">
        <f t="shared" si="88"/>
        <v>30</v>
      </c>
      <c r="AQ246" s="4">
        <f t="shared" si="89"/>
        <v>3</v>
      </c>
      <c r="AR246" s="4">
        <f t="shared" si="90"/>
        <v>30</v>
      </c>
      <c r="AS246" s="4">
        <f t="shared" si="91"/>
        <v>3</v>
      </c>
      <c r="AT246" s="4">
        <f t="shared" si="92"/>
        <v>35</v>
      </c>
      <c r="AU246" s="4">
        <f t="shared" si="93"/>
        <v>7</v>
      </c>
      <c r="AV246" s="4">
        <f t="shared" si="94"/>
        <v>26</v>
      </c>
      <c r="AW246" s="4">
        <f t="shared" si="95"/>
        <v>2</v>
      </c>
      <c r="AX246" s="4">
        <f t="shared" si="96"/>
        <v>33</v>
      </c>
      <c r="AY246" s="4">
        <f t="shared" si="97"/>
        <v>36</v>
      </c>
      <c r="AZ246" s="4">
        <f t="shared" si="98"/>
        <v>32</v>
      </c>
      <c r="BA246" s="4">
        <f t="shared" si="99"/>
        <v>14</v>
      </c>
    </row>
    <row r="247" spans="1:53" x14ac:dyDescent="0.2">
      <c r="A247" s="1" t="str">
        <f>'SegEnds_NonXtal_Prot#'!A233</f>
        <v>s1pr4_human</v>
      </c>
      <c r="B247" s="1" t="str">
        <f t="shared" si="75"/>
        <v>DGGLGALRGLSVAASCLVVLENLLVLAAITSHRWVYYCLVNITLSDLLTGAAYLANVLLAPAQWFLREGLLFTALAASTFSLLFTAGERFATMVRKTSRVYGFIGLCWLLAALLGMLPLLGSKRYILFCLVIFAGVLATIMGLYGAIFRLVQASRPAARRKARRLLKTVLMILLAFLVCWGPLFGLLLADVFGEYLRGMDWILALAVLNSAVNPIIYSFRSREVCRAVLSFLC</v>
      </c>
      <c r="C247" s="29" t="str">
        <f>IF(ISERROR(MATCH(A247,'SegEnds_Xtal_Prot#'!B:B, 0)), "NoXtal", "Xtal")</f>
        <v>NoXtal</v>
      </c>
      <c r="D247" s="4" t="str">
        <f>VLOOKUP(A247,Classification!A:D,2,FALSE)</f>
        <v>A</v>
      </c>
      <c r="E247" s="5" t="str">
        <f>VLOOKUP(A247,Seqs!A:B,2,FALSE)</f>
        <v>MNATGTPVAPESCQQLAAGGHSRLIVLHYNHSGRLAGRGGPEDGGLGALRGLSVAASCLVVLENLLVLAAITSHMRSRRWVYYCLVNITLSDLLTGAAYLANVLLSGARTFRLAPAQWFLREGLLFTALAASTFSLLFTAGERFATMVRPVAESGATKTSRVYGFIGLCWLLAALLGMLPLLGWNCLCAFDRCSSLLPLYSKRYILFCLVIFAGVLATIMGLYGAIFRLVQASGQKAPRPAARRKARRLLKTVLMILLAFLVCWGPLFGLLLADVFGSNLWAQEYLRGMDWILALAVLNSAVNPIIYSFRSREVCRAVLSFLCCGCLRLGMRGPGDCLARAVEAHSGASTTDSSLRPRDSFRGSRSLSFRMREPLSSISSVRSI</v>
      </c>
      <c r="F247" s="5" t="str">
        <f t="shared" si="76"/>
        <v>DGGLGALRGLSVAASCLVVLENLLVLAAITSH</v>
      </c>
      <c r="G247" s="4" t="str">
        <f t="shared" si="77"/>
        <v>MRSR</v>
      </c>
      <c r="H247" s="4" t="str">
        <f t="shared" si="78"/>
        <v>RWVYYCLVNITLSDLLTGAAYLANVLL</v>
      </c>
      <c r="I247" s="4" t="str">
        <f t="shared" si="79"/>
        <v>GARTFRL</v>
      </c>
      <c r="J247" s="4" t="str">
        <f t="shared" si="80"/>
        <v>APAQWFLREGLLFTALAASTFSLLFTAGERFATMVR</v>
      </c>
      <c r="K247" s="4" t="str">
        <f t="shared" si="81"/>
        <v>PVAESGAT</v>
      </c>
      <c r="L247" s="4" t="str">
        <f t="shared" si="82"/>
        <v>KTSRVYGFIGLCWLLAALLGMLPLLG</v>
      </c>
      <c r="M247" s="4" t="str">
        <f t="shared" si="83"/>
        <v/>
      </c>
      <c r="N247" s="4" t="str">
        <f t="shared" si="84"/>
        <v>SKRYILFCLVIFAGVLATIMGLYGAIFRLVQAS</v>
      </c>
      <c r="O247" s="4" t="str">
        <f t="shared" si="85"/>
        <v>RPAARRKARRLLKTVLMILLAFLVCWGPLFGLLLADVFG</v>
      </c>
      <c r="P247" s="4" t="str">
        <f t="shared" si="86"/>
        <v>EYLRGMDWILALAVLNSAVNPIIYSFR</v>
      </c>
      <c r="Q247" s="4" t="str">
        <f t="shared" si="87"/>
        <v>SREVCRAVLSFLC</v>
      </c>
      <c r="R247" s="5">
        <f>VLOOKUP($A247,'SegEnds_NonXtal_Prot#'!$A:$AL,3,FALSE)</f>
        <v>43</v>
      </c>
      <c r="S247" s="5">
        <f>VLOOKUP($A247,'SegEnds_NonXtal_Prot#'!$A:$AL,6,FALSE)</f>
        <v>75</v>
      </c>
      <c r="T247" s="5">
        <f>VLOOKUP($A247,'SegEnds_NonXtal_Prot#'!$A:$AL,9,FALSE)</f>
        <v>79</v>
      </c>
      <c r="U247" s="5">
        <f>VLOOKUP($A247,'SegEnds_NonXtal_Prot#'!$A:$AL,12,FALSE)</f>
        <v>107</v>
      </c>
      <c r="V247" s="5">
        <f>VLOOKUP($A247,'SegEnds_NonXtal_Prot#'!$A:$AL,15,FALSE)</f>
        <v>114</v>
      </c>
      <c r="W247" s="5">
        <f>VLOOKUP($A247,'SegEnds_NonXtal_Prot#'!$A:$AL,18,FALSE)</f>
        <v>150</v>
      </c>
      <c r="X247" s="5">
        <f>VLOOKUP($A247,'SegEnds_NonXtal_Prot#'!$A:$AL,21,FALSE)</f>
        <v>158</v>
      </c>
      <c r="Y247" s="5" t="str">
        <f>VLOOKUP($A247,'SegEnds_NonXtal_Prot#'!$A:$AL,24,FALSE)</f>
        <v>-</v>
      </c>
      <c r="Z247" s="5">
        <f>VLOOKUP($A247,'SegEnds_NonXtal_Prot#'!$A:$AL,27,FALSE)</f>
        <v>201</v>
      </c>
      <c r="AA247" s="5">
        <f>VLOOKUP($A247,'SegEnds_NonXtal_Prot#'!$A:$AL,30,FALSE)</f>
        <v>239</v>
      </c>
      <c r="AB247" s="5">
        <f>VLOOKUP($A247,'SegEnds_NonXtal_Prot#'!$A:$AL,33,FALSE)</f>
        <v>284</v>
      </c>
      <c r="AC247" s="5">
        <f>VLOOKUP($A247,'SegEnds_NonXtal_Prot#'!$A:$AL,36,FALSE)</f>
        <v>311</v>
      </c>
      <c r="AD247" s="5">
        <f>VLOOKUP($A247,'SegEnds_NonXtal_Prot#'!$A:$AL,5,FALSE)</f>
        <v>74</v>
      </c>
      <c r="AE247" s="5">
        <f>VLOOKUP($A247,'SegEnds_NonXtal_Prot#'!$A:$AL,8,FALSE)</f>
        <v>78</v>
      </c>
      <c r="AF247" s="5">
        <f>VLOOKUP($A247,'SegEnds_NonXtal_Prot#'!$A:$AL,11,FALSE)</f>
        <v>105</v>
      </c>
      <c r="AG247" s="5">
        <f>VLOOKUP($A247,'SegEnds_NonXtal_Prot#'!$A:$AL,14,FALSE)</f>
        <v>113</v>
      </c>
      <c r="AH247" s="5">
        <f>VLOOKUP($A247,'SegEnds_NonXtal_Prot#'!$A:$AL,17,FALSE)</f>
        <v>149</v>
      </c>
      <c r="AI247" s="5">
        <f>VLOOKUP($A247,'SegEnds_NonXtal_Prot#'!$A:$AL,20,FALSE)</f>
        <v>157</v>
      </c>
      <c r="AJ247" s="5">
        <f>VLOOKUP($A247,'SegEnds_NonXtal_Prot#'!$A:$AL,23,FALSE)</f>
        <v>183</v>
      </c>
      <c r="AK247" s="5" t="str">
        <f>VLOOKUP($A247,'SegEnds_NonXtal_Prot#'!$A:$AL,26,FALSE)</f>
        <v>-</v>
      </c>
      <c r="AL247" s="5">
        <f>VLOOKUP($A247,'SegEnds_NonXtal_Prot#'!$A:$AL,29,FALSE)</f>
        <v>233</v>
      </c>
      <c r="AM247" s="5">
        <f>VLOOKUP($A247,'SegEnds_NonXtal_Prot#'!$A:$AL,32,FALSE)</f>
        <v>277</v>
      </c>
      <c r="AN247" s="5">
        <f>VLOOKUP($A247,'SegEnds_NonXtal_Prot#'!$A:$AL,35,FALSE)</f>
        <v>310</v>
      </c>
      <c r="AO247" s="5">
        <f>VLOOKUP($A247,'SegEnds_NonXtal_Prot#'!$A:$AL,38,FALSE)</f>
        <v>323</v>
      </c>
      <c r="AP247" s="5">
        <f t="shared" si="88"/>
        <v>31</v>
      </c>
      <c r="AQ247" s="4">
        <f t="shared" si="89"/>
        <v>3</v>
      </c>
      <c r="AR247" s="4">
        <f t="shared" si="90"/>
        <v>26</v>
      </c>
      <c r="AS247" s="4">
        <f t="shared" si="91"/>
        <v>6</v>
      </c>
      <c r="AT247" s="4">
        <f t="shared" si="92"/>
        <v>35</v>
      </c>
      <c r="AU247" s="4">
        <f t="shared" si="93"/>
        <v>7</v>
      </c>
      <c r="AV247" s="4">
        <f t="shared" si="94"/>
        <v>25</v>
      </c>
      <c r="AW247" s="4" t="str">
        <f t="shared" si="95"/>
        <v>-</v>
      </c>
      <c r="AX247" s="4">
        <f t="shared" si="96"/>
        <v>32</v>
      </c>
      <c r="AY247" s="4">
        <f t="shared" si="97"/>
        <v>38</v>
      </c>
      <c r="AZ247" s="4">
        <f t="shared" si="98"/>
        <v>26</v>
      </c>
      <c r="BA247" s="4">
        <f t="shared" si="99"/>
        <v>12</v>
      </c>
    </row>
    <row r="248" spans="1:53" x14ac:dyDescent="0.2">
      <c r="A248" s="1" t="str">
        <f>'SegEnds_NonXtal_Prot#'!A234</f>
        <v>ssr1_human</v>
      </c>
      <c r="B248" s="1" t="str">
        <f t="shared" si="75"/>
        <v>GSAILISFIYSVVCLVGLCGNSMVIYVILRYTATNIYILNLAIADELLMLSVPFLVTSTLLGALLCRLVLSVDAVNMFTSIYCLTVLSVDRYVAVVHRPTVAKVVNLGVWVLSLLVILPIVVFSAQRWLVGFVLYTFLMGFLLPVGAICLCYVLIIAKMRMVWQQRKRSERKITLMVMMVVMVFVICWMPFYVVQLVNVFAATVSQLSVILGYANSCANPILYGFLSDNFKRSFQRILC</v>
      </c>
      <c r="C248" s="29" t="str">
        <f>IF(ISERROR(MATCH(A248,'SegEnds_Xtal_Prot#'!B:B, 0)), "NoXtal", "Xtal")</f>
        <v>NoXtal</v>
      </c>
      <c r="D248" s="4" t="str">
        <f>VLOOKUP(A248,Classification!A:D,2,FALSE)</f>
        <v>A</v>
      </c>
      <c r="E248" s="5" t="str">
        <f>VLOOKUP(A248,Seqs!A:B,2,FALSE)</f>
        <v>MFPNGTASSPSSSPSPSPGSCGEGGGSRGPGAGAADGMEEPGRNASQNGTLSEGQGSAILISFIYSVVCLVGLCGNSMVIYVILRYAKMKTATNIYILNLAIADELLMLSVPFLVTSTLLRHWPFGALLCRLVLSVDAVNMFTSIYCLTVLSVDRYVAVVHPIKAARYRRPTVAKVVNLGVWVLSLLVILPIVVFSRTAANSDGTVACNMLMPEPAQRWLVGFVLYTFLMGFLLPVGAICLCYVLIIAKMRMVALKAGWQQRKRSERKITLMVMMVVMVFVICWMPFYVVQLVNVFAEQDDATVSQLSVILGYANSCANPILYGFLSDNFKRSFQRILCLSWMDNAAEEPVDYYATALKSRAYSVEDFQPENLESGGVFRNGTCTSRITTL</v>
      </c>
      <c r="F248" s="5" t="str">
        <f t="shared" si="76"/>
        <v>GSAILISFIYSVVCLVGLCGNSMVIYVILRY</v>
      </c>
      <c r="G248" s="4" t="str">
        <f t="shared" si="77"/>
        <v>AKMK</v>
      </c>
      <c r="H248" s="4" t="str">
        <f t="shared" si="78"/>
        <v>TATNIYILNLAIADELLMLSVPFLVTSTLL</v>
      </c>
      <c r="I248" s="4" t="str">
        <f t="shared" si="79"/>
        <v>HWPF</v>
      </c>
      <c r="J248" s="4" t="str">
        <f t="shared" si="80"/>
        <v>GALLCRLVLSVDAVNMFTSIYCLTVLSVDRYVAVVH</v>
      </c>
      <c r="K248" s="4" t="str">
        <f t="shared" si="81"/>
        <v>PIKAARYR</v>
      </c>
      <c r="L248" s="4" t="str">
        <f t="shared" si="82"/>
        <v>RPTVAKVVNLGVWVLSLLVILPIVVFS</v>
      </c>
      <c r="M248" s="4" t="str">
        <f t="shared" si="83"/>
        <v>CNM</v>
      </c>
      <c r="N248" s="4" t="str">
        <f t="shared" si="84"/>
        <v>AQRWLVGFVLYTFLMGFLLPVGAICLCYVLIIAKMRMV</v>
      </c>
      <c r="O248" s="4" t="str">
        <f t="shared" si="85"/>
        <v>WQQRKRSERKITLMVMMVVMVFVICWMPFYVVQLVNVFA</v>
      </c>
      <c r="P248" s="4" t="str">
        <f t="shared" si="86"/>
        <v>ATVSQLSVILGYANSCANPILYGFL</v>
      </c>
      <c r="Q248" s="4" t="str">
        <f t="shared" si="87"/>
        <v>SDNFKRSFQRILC</v>
      </c>
      <c r="R248" s="5">
        <f>VLOOKUP($A248,'SegEnds_NonXtal_Prot#'!$A:$AL,3,FALSE)</f>
        <v>56</v>
      </c>
      <c r="S248" s="5">
        <f>VLOOKUP($A248,'SegEnds_NonXtal_Prot#'!$A:$AL,6,FALSE)</f>
        <v>87</v>
      </c>
      <c r="T248" s="5">
        <f>VLOOKUP($A248,'SegEnds_NonXtal_Prot#'!$A:$AL,9,FALSE)</f>
        <v>91</v>
      </c>
      <c r="U248" s="5">
        <f>VLOOKUP($A248,'SegEnds_NonXtal_Prot#'!$A:$AL,12,FALSE)</f>
        <v>122</v>
      </c>
      <c r="V248" s="5">
        <f>VLOOKUP($A248,'SegEnds_NonXtal_Prot#'!$A:$AL,15,FALSE)</f>
        <v>126</v>
      </c>
      <c r="W248" s="5">
        <f>VLOOKUP($A248,'SegEnds_NonXtal_Prot#'!$A:$AL,18,FALSE)</f>
        <v>162</v>
      </c>
      <c r="X248" s="5">
        <f>VLOOKUP($A248,'SegEnds_NonXtal_Prot#'!$A:$AL,21,FALSE)</f>
        <v>170</v>
      </c>
      <c r="Y248" s="5">
        <f>VLOOKUP($A248,'SegEnds_NonXtal_Prot#'!$A:$AL,24,FALSE)</f>
        <v>208</v>
      </c>
      <c r="Z248" s="5">
        <f>VLOOKUP($A248,'SegEnds_NonXtal_Prot#'!$A:$AL,27,FALSE)</f>
        <v>216</v>
      </c>
      <c r="AA248" s="5">
        <f>VLOOKUP($A248,'SegEnds_NonXtal_Prot#'!$A:$AL,30,FALSE)</f>
        <v>259</v>
      </c>
      <c r="AB248" s="5">
        <f>VLOOKUP($A248,'SegEnds_NonXtal_Prot#'!$A:$AL,33,FALSE)</f>
        <v>302</v>
      </c>
      <c r="AC248" s="5">
        <f>VLOOKUP($A248,'SegEnds_NonXtal_Prot#'!$A:$AL,36,FALSE)</f>
        <v>327</v>
      </c>
      <c r="AD248" s="5">
        <f>VLOOKUP($A248,'SegEnds_NonXtal_Prot#'!$A:$AL,5,FALSE)</f>
        <v>86</v>
      </c>
      <c r="AE248" s="5">
        <f>VLOOKUP($A248,'SegEnds_NonXtal_Prot#'!$A:$AL,8,FALSE)</f>
        <v>90</v>
      </c>
      <c r="AF248" s="5">
        <f>VLOOKUP($A248,'SegEnds_NonXtal_Prot#'!$A:$AL,11,FALSE)</f>
        <v>120</v>
      </c>
      <c r="AG248" s="5">
        <f>VLOOKUP($A248,'SegEnds_NonXtal_Prot#'!$A:$AL,14,FALSE)</f>
        <v>125</v>
      </c>
      <c r="AH248" s="5">
        <f>VLOOKUP($A248,'SegEnds_NonXtal_Prot#'!$A:$AL,17,FALSE)</f>
        <v>161</v>
      </c>
      <c r="AI248" s="5">
        <f>VLOOKUP($A248,'SegEnds_NonXtal_Prot#'!$A:$AL,20,FALSE)</f>
        <v>169</v>
      </c>
      <c r="AJ248" s="5">
        <f>VLOOKUP($A248,'SegEnds_NonXtal_Prot#'!$A:$AL,23,FALSE)</f>
        <v>196</v>
      </c>
      <c r="AK248" s="5">
        <f>VLOOKUP($A248,'SegEnds_NonXtal_Prot#'!$A:$AL,26,FALSE)</f>
        <v>210</v>
      </c>
      <c r="AL248" s="5">
        <f>VLOOKUP($A248,'SegEnds_NonXtal_Prot#'!$A:$AL,29,FALSE)</f>
        <v>253</v>
      </c>
      <c r="AM248" s="5">
        <f>VLOOKUP($A248,'SegEnds_NonXtal_Prot#'!$A:$AL,32,FALSE)</f>
        <v>297</v>
      </c>
      <c r="AN248" s="5">
        <f>VLOOKUP($A248,'SegEnds_NonXtal_Prot#'!$A:$AL,35,FALSE)</f>
        <v>326</v>
      </c>
      <c r="AO248" s="5">
        <f>VLOOKUP($A248,'SegEnds_NonXtal_Prot#'!$A:$AL,38,FALSE)</f>
        <v>339</v>
      </c>
      <c r="AP248" s="5">
        <f t="shared" si="88"/>
        <v>30</v>
      </c>
      <c r="AQ248" s="4">
        <f t="shared" si="89"/>
        <v>3</v>
      </c>
      <c r="AR248" s="4">
        <f t="shared" si="90"/>
        <v>29</v>
      </c>
      <c r="AS248" s="4">
        <f t="shared" si="91"/>
        <v>3</v>
      </c>
      <c r="AT248" s="4">
        <f t="shared" si="92"/>
        <v>35</v>
      </c>
      <c r="AU248" s="4">
        <f t="shared" si="93"/>
        <v>7</v>
      </c>
      <c r="AV248" s="4">
        <f t="shared" si="94"/>
        <v>26</v>
      </c>
      <c r="AW248" s="4">
        <f t="shared" si="95"/>
        <v>2</v>
      </c>
      <c r="AX248" s="4">
        <f t="shared" si="96"/>
        <v>37</v>
      </c>
      <c r="AY248" s="4">
        <f t="shared" si="97"/>
        <v>38</v>
      </c>
      <c r="AZ248" s="4">
        <f t="shared" si="98"/>
        <v>24</v>
      </c>
      <c r="BA248" s="4">
        <f t="shared" si="99"/>
        <v>12</v>
      </c>
    </row>
    <row r="249" spans="1:53" x14ac:dyDescent="0.2">
      <c r="A249" s="1" t="str">
        <f>'SegEnds_NonXtal_Prot#'!A235</f>
        <v>ssr2_human</v>
      </c>
      <c r="B249" s="1" t="str">
        <f t="shared" si="75"/>
        <v>TSNAVLTFIYFVVCIIGLCGNTLVIYVILRYTITNIYILNLAIADELFMLGLPFLAMQVALGKAICRVVMTVDGINQFTSIFCLTVMSIDRYLAVVHRPRTAKMITMAVWGVSLLVILPIMIYASGAWYTGFIIYTFILGFLVPLTIICLCYLFIIIKVKSSSSKRKKSEKKVTRMVSIVVAVFIFCWLPFYIFNVSSVSMTPALKGMFDFVVVLTYANSCANPILYAFLSDNFKKSFQNVLC</v>
      </c>
      <c r="C249" s="29" t="str">
        <f>IF(ISERROR(MATCH(A249,'SegEnds_Xtal_Prot#'!B:B, 0)), "NoXtal", "Xtal")</f>
        <v>NoXtal</v>
      </c>
      <c r="D249" s="4" t="str">
        <f>VLOOKUP(A249,Classification!A:D,2,FALSE)</f>
        <v>A</v>
      </c>
      <c r="E249" s="5" t="str">
        <f>VLOOKUP(A249,Seqs!A:B,2,FALSE)</f>
        <v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</v>
      </c>
      <c r="F249" s="5" t="str">
        <f t="shared" si="76"/>
        <v>TSNAVLTFIYFVVCIIGLCGNTLVIYVILRY</v>
      </c>
      <c r="G249" s="4" t="str">
        <f t="shared" si="77"/>
        <v>AKMK</v>
      </c>
      <c r="H249" s="4" t="str">
        <f t="shared" si="78"/>
        <v>TITNIYILNLAIADELFMLGLPFLAMQVAL</v>
      </c>
      <c r="I249" s="4" t="str">
        <f t="shared" si="79"/>
        <v>HWPF</v>
      </c>
      <c r="J249" s="4" t="str">
        <f t="shared" si="80"/>
        <v>GKAICRVVMTVDGINQFTSIFCLTVMSIDRYLAVVH</v>
      </c>
      <c r="K249" s="4" t="str">
        <f t="shared" si="81"/>
        <v>PIKSAKWR</v>
      </c>
      <c r="L249" s="4" t="str">
        <f t="shared" si="82"/>
        <v>RPRTAKMITMAVWGVSLLVILPIMIYA</v>
      </c>
      <c r="M249" s="4" t="str">
        <f t="shared" si="83"/>
        <v>CTI</v>
      </c>
      <c r="N249" s="4" t="str">
        <f t="shared" si="84"/>
        <v>SGAWYTGFIIYTFILGFLVPLTIICLCYLFIIIKVKSS</v>
      </c>
      <c r="O249" s="4" t="str">
        <f t="shared" si="85"/>
        <v>SSKRKKSEKKVTRMVSIVVAVFIFCWLPFYIFNVSSVSM</v>
      </c>
      <c r="P249" s="4" t="str">
        <f t="shared" si="86"/>
        <v>TPALKGMFDFVVVLTYANSCANPILYAFL</v>
      </c>
      <c r="Q249" s="4" t="str">
        <f t="shared" si="87"/>
        <v>SDNFKKSFQNVLC</v>
      </c>
      <c r="R249" s="5">
        <f>VLOOKUP($A249,'SegEnds_NonXtal_Prot#'!$A:$AL,3,FALSE)</f>
        <v>41</v>
      </c>
      <c r="S249" s="5">
        <f>VLOOKUP($A249,'SegEnds_NonXtal_Prot#'!$A:$AL,6,FALSE)</f>
        <v>72</v>
      </c>
      <c r="T249" s="5">
        <f>VLOOKUP($A249,'SegEnds_NonXtal_Prot#'!$A:$AL,9,FALSE)</f>
        <v>76</v>
      </c>
      <c r="U249" s="5">
        <f>VLOOKUP($A249,'SegEnds_NonXtal_Prot#'!$A:$AL,12,FALSE)</f>
        <v>107</v>
      </c>
      <c r="V249" s="5">
        <f>VLOOKUP($A249,'SegEnds_NonXtal_Prot#'!$A:$AL,15,FALSE)</f>
        <v>111</v>
      </c>
      <c r="W249" s="5">
        <f>VLOOKUP($A249,'SegEnds_NonXtal_Prot#'!$A:$AL,18,FALSE)</f>
        <v>147</v>
      </c>
      <c r="X249" s="5">
        <f>VLOOKUP($A249,'SegEnds_NonXtal_Prot#'!$A:$AL,21,FALSE)</f>
        <v>155</v>
      </c>
      <c r="Y249" s="5">
        <f>VLOOKUP($A249,'SegEnds_NonXtal_Prot#'!$A:$AL,24,FALSE)</f>
        <v>193</v>
      </c>
      <c r="Z249" s="5">
        <f>VLOOKUP($A249,'SegEnds_NonXtal_Prot#'!$A:$AL,27,FALSE)</f>
        <v>201</v>
      </c>
      <c r="AA249" s="5">
        <f>VLOOKUP($A249,'SegEnds_NonXtal_Prot#'!$A:$AL,30,FALSE)</f>
        <v>244</v>
      </c>
      <c r="AB249" s="5">
        <f>VLOOKUP($A249,'SegEnds_NonXtal_Prot#'!$A:$AL,33,FALSE)</f>
        <v>287</v>
      </c>
      <c r="AC249" s="5">
        <f>VLOOKUP($A249,'SegEnds_NonXtal_Prot#'!$A:$AL,36,FALSE)</f>
        <v>316</v>
      </c>
      <c r="AD249" s="5">
        <f>VLOOKUP($A249,'SegEnds_NonXtal_Prot#'!$A:$AL,5,FALSE)</f>
        <v>71</v>
      </c>
      <c r="AE249" s="5">
        <f>VLOOKUP($A249,'SegEnds_NonXtal_Prot#'!$A:$AL,8,FALSE)</f>
        <v>75</v>
      </c>
      <c r="AF249" s="5">
        <f>VLOOKUP($A249,'SegEnds_NonXtal_Prot#'!$A:$AL,11,FALSE)</f>
        <v>105</v>
      </c>
      <c r="AG249" s="5">
        <f>VLOOKUP($A249,'SegEnds_NonXtal_Prot#'!$A:$AL,14,FALSE)</f>
        <v>110</v>
      </c>
      <c r="AH249" s="5">
        <f>VLOOKUP($A249,'SegEnds_NonXtal_Prot#'!$A:$AL,17,FALSE)</f>
        <v>146</v>
      </c>
      <c r="AI249" s="5">
        <f>VLOOKUP($A249,'SegEnds_NonXtal_Prot#'!$A:$AL,20,FALSE)</f>
        <v>154</v>
      </c>
      <c r="AJ249" s="5">
        <f>VLOOKUP($A249,'SegEnds_NonXtal_Prot#'!$A:$AL,23,FALSE)</f>
        <v>181</v>
      </c>
      <c r="AK249" s="5">
        <f>VLOOKUP($A249,'SegEnds_NonXtal_Prot#'!$A:$AL,26,FALSE)</f>
        <v>195</v>
      </c>
      <c r="AL249" s="5">
        <f>VLOOKUP($A249,'SegEnds_NonXtal_Prot#'!$A:$AL,29,FALSE)</f>
        <v>238</v>
      </c>
      <c r="AM249" s="5">
        <f>VLOOKUP($A249,'SegEnds_NonXtal_Prot#'!$A:$AL,32,FALSE)</f>
        <v>282</v>
      </c>
      <c r="AN249" s="5">
        <f>VLOOKUP($A249,'SegEnds_NonXtal_Prot#'!$A:$AL,35,FALSE)</f>
        <v>315</v>
      </c>
      <c r="AO249" s="5">
        <f>VLOOKUP($A249,'SegEnds_NonXtal_Prot#'!$A:$AL,38,FALSE)</f>
        <v>328</v>
      </c>
      <c r="AP249" s="5">
        <f t="shared" si="88"/>
        <v>30</v>
      </c>
      <c r="AQ249" s="4">
        <f t="shared" si="89"/>
        <v>3</v>
      </c>
      <c r="AR249" s="4">
        <f t="shared" si="90"/>
        <v>29</v>
      </c>
      <c r="AS249" s="4">
        <f t="shared" si="91"/>
        <v>3</v>
      </c>
      <c r="AT249" s="4">
        <f t="shared" si="92"/>
        <v>35</v>
      </c>
      <c r="AU249" s="4">
        <f t="shared" si="93"/>
        <v>7</v>
      </c>
      <c r="AV249" s="4">
        <f t="shared" si="94"/>
        <v>26</v>
      </c>
      <c r="AW249" s="4">
        <f t="shared" si="95"/>
        <v>2</v>
      </c>
      <c r="AX249" s="4">
        <f t="shared" si="96"/>
        <v>37</v>
      </c>
      <c r="AY249" s="4">
        <f t="shared" si="97"/>
        <v>38</v>
      </c>
      <c r="AZ249" s="4">
        <f t="shared" si="98"/>
        <v>28</v>
      </c>
      <c r="BA249" s="4">
        <f t="shared" si="99"/>
        <v>12</v>
      </c>
    </row>
    <row r="250" spans="1:53" x14ac:dyDescent="0.2">
      <c r="A250" s="1" t="str">
        <f>'SegEnds_NonXtal_Prot#'!A236</f>
        <v>ssr3_human</v>
      </c>
      <c r="B250" s="1" t="str">
        <f t="shared" si="75"/>
        <v>VSGVLIPLVYLVVCVVGLLGNSLVIYVVLRHSVTNVYILNLALADELFMLGLPFLAAQNALGSLMCRLVMAVDGINQFTSIFCLTVMSVDRYLAVVHTAPVARTVSAAVWVASAVVVLPVVVFSAAAWRAGFIIYTAALGFFGPLLVICLCYLLIVVKVRSAGRRVQRRRRSERRVTRMVVAVVALFVLCWMPFYVLNIVNVVCEPAFFGLYFLVVALPYANSCANPILYGFLSYRFKQGFRRVLL</v>
      </c>
      <c r="C250" s="29" t="str">
        <f>IF(ISERROR(MATCH(A250,'SegEnds_Xtal_Prot#'!B:B, 0)), "NoXtal", "Xtal")</f>
        <v>NoXtal</v>
      </c>
      <c r="D250" s="4" t="str">
        <f>VLOOKUP(A250,Classification!A:D,2,FALSE)</f>
        <v>A</v>
      </c>
      <c r="E250" s="5" t="str">
        <f>VLOOKUP(A250,Seqs!A:B,2,FALSE)</f>
        <v>MDMLHPSSVSTTSEPENASSAWPPDATLGNVSAGPSPAGLAVSGVLIPLVYLVVCVVGLLGNSLVIYVVLRHTASPSVTNVYILNLALADELFMLGLPFLAAQNALSYWPFGSLMCRLVMAVDGINQFTSIFCLTVMSVDRYLAVVHPTRSARWRTAPVARTVSAAVWVASAVVVLPVVVFSGVPRGMSTCHMQWPEPAAAWRAGFIIYTAALGFFGPLLVICLCYLLIVVKVRSAGRRVWAPSCQRRRRSERRVTRMVVAVVALFVLCWMPFYVLNIVNVVCPLPEEPAFFGLYFLVVALPYANSCANPILYGFLSYRFKQGFRRVLLRPSRRVRSQEPTVGPPEKTEEEDEEEEDGEESREGGKGKEMNGRVSQITQPGTSGQERPPSRVASKEQQLLPQEASTGEKSSTMRISYL</v>
      </c>
      <c r="F250" s="5" t="str">
        <f t="shared" si="76"/>
        <v>VSGVLIPLVYLVVCVVGLLGNSLVIYVVLRH</v>
      </c>
      <c r="G250" s="4" t="str">
        <f t="shared" si="77"/>
        <v>TASP</v>
      </c>
      <c r="H250" s="4" t="str">
        <f t="shared" si="78"/>
        <v>SVTNVYILNLALADELFMLGLPFLAAQNAL</v>
      </c>
      <c r="I250" s="4" t="str">
        <f t="shared" si="79"/>
        <v>YWPF</v>
      </c>
      <c r="J250" s="4" t="str">
        <f t="shared" si="80"/>
        <v>GSLMCRLVMAVDGINQFTSIFCLTVMSVDRYLAVVH</v>
      </c>
      <c r="K250" s="4" t="str">
        <f t="shared" si="81"/>
        <v>PTRSARWR</v>
      </c>
      <c r="L250" s="4" t="str">
        <f t="shared" si="82"/>
        <v>TAPVARTVSAAVWVASAVVVLPVVVFS</v>
      </c>
      <c r="M250" s="4" t="str">
        <f t="shared" si="83"/>
        <v>CHM</v>
      </c>
      <c r="N250" s="4" t="str">
        <f t="shared" si="84"/>
        <v>AAAWRAGFIIYTAALGFFGPLLVICLCYLLIVVKVRSAGRRV</v>
      </c>
      <c r="O250" s="4" t="str">
        <f t="shared" si="85"/>
        <v>QRRRRSERRVTRMVVAVVALFVLCWMPFYVLNIVNVVC</v>
      </c>
      <c r="P250" s="4" t="str">
        <f t="shared" si="86"/>
        <v>EPAFFGLYFLVVALPYANSCANPILYGFL</v>
      </c>
      <c r="Q250" s="4" t="str">
        <f t="shared" si="87"/>
        <v>SYRFKQGFRRVLL</v>
      </c>
      <c r="R250" s="5">
        <f>VLOOKUP($A250,'SegEnds_NonXtal_Prot#'!$A:$AL,3,FALSE)</f>
        <v>42</v>
      </c>
      <c r="S250" s="5">
        <f>VLOOKUP($A250,'SegEnds_NonXtal_Prot#'!$A:$AL,6,FALSE)</f>
        <v>73</v>
      </c>
      <c r="T250" s="5">
        <f>VLOOKUP($A250,'SegEnds_NonXtal_Prot#'!$A:$AL,9,FALSE)</f>
        <v>77</v>
      </c>
      <c r="U250" s="5">
        <f>VLOOKUP($A250,'SegEnds_NonXtal_Prot#'!$A:$AL,12,FALSE)</f>
        <v>108</v>
      </c>
      <c r="V250" s="5">
        <f>VLOOKUP($A250,'SegEnds_NonXtal_Prot#'!$A:$AL,15,FALSE)</f>
        <v>112</v>
      </c>
      <c r="W250" s="5">
        <f>VLOOKUP($A250,'SegEnds_NonXtal_Prot#'!$A:$AL,18,FALSE)</f>
        <v>148</v>
      </c>
      <c r="X250" s="5">
        <f>VLOOKUP($A250,'SegEnds_NonXtal_Prot#'!$A:$AL,21,FALSE)</f>
        <v>156</v>
      </c>
      <c r="Y250" s="5">
        <f>VLOOKUP($A250,'SegEnds_NonXtal_Prot#'!$A:$AL,24,FALSE)</f>
        <v>191</v>
      </c>
      <c r="Z250" s="5">
        <f>VLOOKUP($A250,'SegEnds_NonXtal_Prot#'!$A:$AL,27,FALSE)</f>
        <v>199</v>
      </c>
      <c r="AA250" s="5">
        <f>VLOOKUP($A250,'SegEnds_NonXtal_Prot#'!$A:$AL,30,FALSE)</f>
        <v>246</v>
      </c>
      <c r="AB250" s="5">
        <f>VLOOKUP($A250,'SegEnds_NonXtal_Prot#'!$A:$AL,33,FALSE)</f>
        <v>288</v>
      </c>
      <c r="AC250" s="5">
        <f>VLOOKUP($A250,'SegEnds_NonXtal_Prot#'!$A:$AL,36,FALSE)</f>
        <v>317</v>
      </c>
      <c r="AD250" s="5">
        <f>VLOOKUP($A250,'SegEnds_NonXtal_Prot#'!$A:$AL,5,FALSE)</f>
        <v>72</v>
      </c>
      <c r="AE250" s="5">
        <f>VLOOKUP($A250,'SegEnds_NonXtal_Prot#'!$A:$AL,8,FALSE)</f>
        <v>76</v>
      </c>
      <c r="AF250" s="5">
        <f>VLOOKUP($A250,'SegEnds_NonXtal_Prot#'!$A:$AL,11,FALSE)</f>
        <v>106</v>
      </c>
      <c r="AG250" s="5">
        <f>VLOOKUP($A250,'SegEnds_NonXtal_Prot#'!$A:$AL,14,FALSE)</f>
        <v>111</v>
      </c>
      <c r="AH250" s="5">
        <f>VLOOKUP($A250,'SegEnds_NonXtal_Prot#'!$A:$AL,17,FALSE)</f>
        <v>147</v>
      </c>
      <c r="AI250" s="5">
        <f>VLOOKUP($A250,'SegEnds_NonXtal_Prot#'!$A:$AL,20,FALSE)</f>
        <v>155</v>
      </c>
      <c r="AJ250" s="5">
        <f>VLOOKUP($A250,'SegEnds_NonXtal_Prot#'!$A:$AL,23,FALSE)</f>
        <v>182</v>
      </c>
      <c r="AK250" s="5">
        <f>VLOOKUP($A250,'SegEnds_NonXtal_Prot#'!$A:$AL,26,FALSE)</f>
        <v>193</v>
      </c>
      <c r="AL250" s="5">
        <f>VLOOKUP($A250,'SegEnds_NonXtal_Prot#'!$A:$AL,29,FALSE)</f>
        <v>240</v>
      </c>
      <c r="AM250" s="5">
        <f>VLOOKUP($A250,'SegEnds_NonXtal_Prot#'!$A:$AL,32,FALSE)</f>
        <v>283</v>
      </c>
      <c r="AN250" s="5">
        <f>VLOOKUP($A250,'SegEnds_NonXtal_Prot#'!$A:$AL,35,FALSE)</f>
        <v>316</v>
      </c>
      <c r="AO250" s="5">
        <f>VLOOKUP($A250,'SegEnds_NonXtal_Prot#'!$A:$AL,38,FALSE)</f>
        <v>329</v>
      </c>
      <c r="AP250" s="5">
        <f t="shared" si="88"/>
        <v>30</v>
      </c>
      <c r="AQ250" s="4">
        <f t="shared" si="89"/>
        <v>3</v>
      </c>
      <c r="AR250" s="4">
        <f t="shared" si="90"/>
        <v>29</v>
      </c>
      <c r="AS250" s="4">
        <f t="shared" si="91"/>
        <v>3</v>
      </c>
      <c r="AT250" s="4">
        <f t="shared" si="92"/>
        <v>35</v>
      </c>
      <c r="AU250" s="4">
        <f t="shared" si="93"/>
        <v>7</v>
      </c>
      <c r="AV250" s="4">
        <f t="shared" si="94"/>
        <v>26</v>
      </c>
      <c r="AW250" s="4">
        <f t="shared" si="95"/>
        <v>2</v>
      </c>
      <c r="AX250" s="4">
        <f t="shared" si="96"/>
        <v>41</v>
      </c>
      <c r="AY250" s="4">
        <f t="shared" si="97"/>
        <v>37</v>
      </c>
      <c r="AZ250" s="4">
        <f t="shared" si="98"/>
        <v>28</v>
      </c>
      <c r="BA250" s="4">
        <f t="shared" si="99"/>
        <v>12</v>
      </c>
    </row>
    <row r="251" spans="1:53" x14ac:dyDescent="0.2">
      <c r="A251" s="1" t="str">
        <f>'SegEnds_NonXtal_Prot#'!A237</f>
        <v>ssr4_human</v>
      </c>
      <c r="B251" s="1" t="str">
        <f t="shared" si="75"/>
        <v>AGPGDARAAGMVAIQCIYALVCLVGLVGNALVIFVILRYTATNIYLLNLAVADELFMLSVPFVASSAALGSVLCRAVLSVDGLNMFTSVFCLTVLSVDRYVAVVHRPSVAKLINLGVWLASLLVTLPIAIFAHPAWSAVFVVYTFLLGFLLPVLAIGLCYLLIVGKMRAVWQQRRRSEKKITRLVLMVVVVFVLCWMPFYVVQLLNLFVATVNHVSLILSYANSCANPILYGFLSDNFRRFFQRVLCL</v>
      </c>
      <c r="C251" s="29" t="str">
        <f>IF(ISERROR(MATCH(A251,'SegEnds_Xtal_Prot#'!B:B, 0)), "NoXtal", "Xtal")</f>
        <v>NoXtal</v>
      </c>
      <c r="D251" s="4" t="str">
        <f>VLOOKUP(A251,Classification!A:D,2,FALSE)</f>
        <v>A</v>
      </c>
      <c r="E251" s="5" t="str">
        <f>VLOOKUP(A251,Seqs!A:B,2,FALSE)</f>
        <v>MSAPSTLPPGGEEGLGTAWPSAANASSAPAEAEEAVAGPGDARAAGMVAIQCIYALVCLVGLVGNALVIFVILRYAKMKTATNIYLLNLAVADELFMLSVPFVASSAALRHWPFGSVLCRAVLSVDGLNMFTSVFCLTVLSVDRYVAVVHPLRAATYRRPSVAKLINLGVWLASLLVTLPIAIFADTRPARGGQAVACNLQWPHPAWSAVFVVYTFLLGFLLPVLAIGLCYLLIVGKMRAVALRAGWQQRRRSEKKITRLVLMVVVVFVLCWMPFYVVQLLNLFVTSLDATVNHVSLILSYANSCANPILYGFLSDNFRRFFQRVLCLRCCLLEGAGGAEEEPLDYYATALKSKGGAGCMCPPLPCQQEALQPEPGRKRIPLTRTTTF</v>
      </c>
      <c r="F251" s="5" t="str">
        <f t="shared" si="76"/>
        <v>AGPGDARAAGMVAIQCIYALVCLVGLVGNALVIFVILRY</v>
      </c>
      <c r="G251" s="4" t="str">
        <f t="shared" si="77"/>
        <v>AKMK</v>
      </c>
      <c r="H251" s="4" t="str">
        <f t="shared" si="78"/>
        <v>TATNIYLLNLAVADELFMLSVPFVASSAAL</v>
      </c>
      <c r="I251" s="4" t="str">
        <f t="shared" si="79"/>
        <v>HWPF</v>
      </c>
      <c r="J251" s="4" t="str">
        <f t="shared" si="80"/>
        <v>GSVLCRAVLSVDGLNMFTSVFCLTVLSVDRYVAVVH</v>
      </c>
      <c r="K251" s="4" t="str">
        <f t="shared" si="81"/>
        <v>PLRAATYR</v>
      </c>
      <c r="L251" s="4" t="str">
        <f t="shared" si="82"/>
        <v>RPSVAKLINLGVWLASLLVTLPIAIFA</v>
      </c>
      <c r="M251" s="4" t="str">
        <f t="shared" si="83"/>
        <v>CNL</v>
      </c>
      <c r="N251" s="4" t="str">
        <f t="shared" si="84"/>
        <v>HPAWSAVFVVYTFLLGFLLPVLAIGLCYLLIVGKMRAV</v>
      </c>
      <c r="O251" s="4" t="str">
        <f t="shared" si="85"/>
        <v>WQQRRRSEKKITRLVLMVVVVFVLCWMPFYVVQLLNLFV</v>
      </c>
      <c r="P251" s="4" t="str">
        <f t="shared" si="86"/>
        <v>ATVNHVSLILSYANSCANPILYGFL</v>
      </c>
      <c r="Q251" s="4" t="str">
        <f t="shared" si="87"/>
        <v>SDNFRRFFQRVLCL</v>
      </c>
      <c r="R251" s="5">
        <f>VLOOKUP($A251,'SegEnds_NonXtal_Prot#'!$A:$AL,3,FALSE)</f>
        <v>37</v>
      </c>
      <c r="S251" s="5">
        <f>VLOOKUP($A251,'SegEnds_NonXtal_Prot#'!$A:$AL,6,FALSE)</f>
        <v>76</v>
      </c>
      <c r="T251" s="5">
        <f>VLOOKUP($A251,'SegEnds_NonXtal_Prot#'!$A:$AL,9,FALSE)</f>
        <v>80</v>
      </c>
      <c r="U251" s="5">
        <f>VLOOKUP($A251,'SegEnds_NonXtal_Prot#'!$A:$AL,12,FALSE)</f>
        <v>111</v>
      </c>
      <c r="V251" s="5">
        <f>VLOOKUP($A251,'SegEnds_NonXtal_Prot#'!$A:$AL,15,FALSE)</f>
        <v>115</v>
      </c>
      <c r="W251" s="5">
        <f>VLOOKUP($A251,'SegEnds_NonXtal_Prot#'!$A:$AL,18,FALSE)</f>
        <v>151</v>
      </c>
      <c r="X251" s="5">
        <f>VLOOKUP($A251,'SegEnds_NonXtal_Prot#'!$A:$AL,21,FALSE)</f>
        <v>159</v>
      </c>
      <c r="Y251" s="5">
        <f>VLOOKUP($A251,'SegEnds_NonXtal_Prot#'!$A:$AL,24,FALSE)</f>
        <v>198</v>
      </c>
      <c r="Z251" s="5">
        <f>VLOOKUP($A251,'SegEnds_NonXtal_Prot#'!$A:$AL,27,FALSE)</f>
        <v>204</v>
      </c>
      <c r="AA251" s="5">
        <f>VLOOKUP($A251,'SegEnds_NonXtal_Prot#'!$A:$AL,30,FALSE)</f>
        <v>247</v>
      </c>
      <c r="AB251" s="5">
        <f>VLOOKUP($A251,'SegEnds_NonXtal_Prot#'!$A:$AL,33,FALSE)</f>
        <v>290</v>
      </c>
      <c r="AC251" s="5">
        <f>VLOOKUP($A251,'SegEnds_NonXtal_Prot#'!$A:$AL,36,FALSE)</f>
        <v>315</v>
      </c>
      <c r="AD251" s="5">
        <f>VLOOKUP($A251,'SegEnds_NonXtal_Prot#'!$A:$AL,5,FALSE)</f>
        <v>75</v>
      </c>
      <c r="AE251" s="5">
        <f>VLOOKUP($A251,'SegEnds_NonXtal_Prot#'!$A:$AL,8,FALSE)</f>
        <v>79</v>
      </c>
      <c r="AF251" s="5">
        <f>VLOOKUP($A251,'SegEnds_NonXtal_Prot#'!$A:$AL,11,FALSE)</f>
        <v>109</v>
      </c>
      <c r="AG251" s="5">
        <f>VLOOKUP($A251,'SegEnds_NonXtal_Prot#'!$A:$AL,14,FALSE)</f>
        <v>114</v>
      </c>
      <c r="AH251" s="5">
        <f>VLOOKUP($A251,'SegEnds_NonXtal_Prot#'!$A:$AL,17,FALSE)</f>
        <v>150</v>
      </c>
      <c r="AI251" s="5">
        <f>VLOOKUP($A251,'SegEnds_NonXtal_Prot#'!$A:$AL,20,FALSE)</f>
        <v>158</v>
      </c>
      <c r="AJ251" s="5">
        <f>VLOOKUP($A251,'SegEnds_NonXtal_Prot#'!$A:$AL,23,FALSE)</f>
        <v>185</v>
      </c>
      <c r="AK251" s="5">
        <f>VLOOKUP($A251,'SegEnds_NonXtal_Prot#'!$A:$AL,26,FALSE)</f>
        <v>200</v>
      </c>
      <c r="AL251" s="5">
        <f>VLOOKUP($A251,'SegEnds_NonXtal_Prot#'!$A:$AL,29,FALSE)</f>
        <v>241</v>
      </c>
      <c r="AM251" s="5">
        <f>VLOOKUP($A251,'SegEnds_NonXtal_Prot#'!$A:$AL,32,FALSE)</f>
        <v>285</v>
      </c>
      <c r="AN251" s="5">
        <f>VLOOKUP($A251,'SegEnds_NonXtal_Prot#'!$A:$AL,35,FALSE)</f>
        <v>314</v>
      </c>
      <c r="AO251" s="5">
        <f>VLOOKUP($A251,'SegEnds_NonXtal_Prot#'!$A:$AL,38,FALSE)</f>
        <v>328</v>
      </c>
      <c r="AP251" s="5">
        <f t="shared" si="88"/>
        <v>38</v>
      </c>
      <c r="AQ251" s="4">
        <f t="shared" si="89"/>
        <v>3</v>
      </c>
      <c r="AR251" s="4">
        <f t="shared" si="90"/>
        <v>29</v>
      </c>
      <c r="AS251" s="4">
        <f t="shared" si="91"/>
        <v>3</v>
      </c>
      <c r="AT251" s="4">
        <f t="shared" si="92"/>
        <v>35</v>
      </c>
      <c r="AU251" s="4">
        <f t="shared" si="93"/>
        <v>7</v>
      </c>
      <c r="AV251" s="4">
        <f t="shared" si="94"/>
        <v>26</v>
      </c>
      <c r="AW251" s="4">
        <f t="shared" si="95"/>
        <v>2</v>
      </c>
      <c r="AX251" s="4">
        <f t="shared" si="96"/>
        <v>37</v>
      </c>
      <c r="AY251" s="4">
        <f t="shared" si="97"/>
        <v>38</v>
      </c>
      <c r="AZ251" s="4">
        <f t="shared" si="98"/>
        <v>24</v>
      </c>
      <c r="BA251" s="4">
        <f t="shared" si="99"/>
        <v>13</v>
      </c>
    </row>
    <row r="252" spans="1:53" x14ac:dyDescent="0.2">
      <c r="A252" s="1" t="str">
        <f>'SegEnds_NonXtal_Prot#'!A238</f>
        <v>ssr5_human</v>
      </c>
      <c r="B252" s="1" t="str">
        <f t="shared" si="75"/>
        <v>ARAVLVPVLYLLVCAAGLGGNTLVIYVVLRFTVTNIYILNLAVADVLYMLGLPFLATQNAAGPVLCRLVMTLDGVNQFTSVFCLTVMSVDRYLAVVHRPRVAKLASAAAWVLSLCMSLPLLVFAVGLWGAVFIIYTAVLGFFAPLLVICLCYLLIVVKVRAAGVRVSERKVTRMVLVVVLVFAGCWLPFFTVNIVNLAVEPASAGLYFFVVILSYANSCANPVLYGFLSDNFRQSFQKVLC</v>
      </c>
      <c r="C252" s="29" t="str">
        <f>IF(ISERROR(MATCH(A252,'SegEnds_Xtal_Prot#'!B:B, 0)), "NoXtal", "Xtal")</f>
        <v>NoXtal</v>
      </c>
      <c r="D252" s="4" t="str">
        <f>VLOOKUP(A252,Classification!A:D,2,FALSE)</f>
        <v>A</v>
      </c>
      <c r="E252" s="5" t="str">
        <f>VLOOKUP(A252,Seqs!A:B,2,FALSE)</f>
        <v>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</v>
      </c>
      <c r="F252" s="5" t="str">
        <f t="shared" si="76"/>
        <v>ARAVLVPVLYLLVCAAGLGGNTLVIYVVLRF</v>
      </c>
      <c r="G252" s="4" t="str">
        <f t="shared" si="77"/>
        <v>AKMK</v>
      </c>
      <c r="H252" s="4" t="str">
        <f t="shared" si="78"/>
        <v>TVTNIYILNLAVADVLYMLGLPFLATQNAA</v>
      </c>
      <c r="I252" s="4" t="str">
        <f t="shared" si="79"/>
        <v>FWPF</v>
      </c>
      <c r="J252" s="4" t="str">
        <f t="shared" si="80"/>
        <v>GPVLCRLVMTLDGVNQFTSVFCLTVMSVDRYLAVVH</v>
      </c>
      <c r="K252" s="4" t="str">
        <f t="shared" si="81"/>
        <v>PLSSARWR</v>
      </c>
      <c r="L252" s="4" t="str">
        <f t="shared" si="82"/>
        <v>RPRVAKLASAAAWVLSLCMSLPLLVFA</v>
      </c>
      <c r="M252" s="4" t="str">
        <f t="shared" si="83"/>
        <v>CNA</v>
      </c>
      <c r="N252" s="4" t="str">
        <f t="shared" si="84"/>
        <v>VGLWGAVFIIYTAVLGFFAPLLVICLCYLLIVVKVRAAGVRV</v>
      </c>
      <c r="O252" s="4" t="str">
        <f t="shared" si="85"/>
        <v>SERKVTRMVLVVVLVFAGCWLPFFTVNIVNLAV</v>
      </c>
      <c r="P252" s="4" t="str">
        <f t="shared" si="86"/>
        <v>EPASAGLYFFVVILSYANSCANPVLYGFL</v>
      </c>
      <c r="Q252" s="4" t="str">
        <f t="shared" si="87"/>
        <v>SDNFRQSFQKVLC</v>
      </c>
      <c r="R252" s="5">
        <f>VLOOKUP($A252,'SegEnds_NonXtal_Prot#'!$A:$AL,3,FALSE)</f>
        <v>38</v>
      </c>
      <c r="S252" s="5">
        <f>VLOOKUP($A252,'SegEnds_NonXtal_Prot#'!$A:$AL,6,FALSE)</f>
        <v>69</v>
      </c>
      <c r="T252" s="5">
        <f>VLOOKUP($A252,'SegEnds_NonXtal_Prot#'!$A:$AL,9,FALSE)</f>
        <v>73</v>
      </c>
      <c r="U252" s="5">
        <f>VLOOKUP($A252,'SegEnds_NonXtal_Prot#'!$A:$AL,12,FALSE)</f>
        <v>104</v>
      </c>
      <c r="V252" s="5">
        <f>VLOOKUP($A252,'SegEnds_NonXtal_Prot#'!$A:$AL,15,FALSE)</f>
        <v>108</v>
      </c>
      <c r="W252" s="5">
        <f>VLOOKUP($A252,'SegEnds_NonXtal_Prot#'!$A:$AL,18,FALSE)</f>
        <v>144</v>
      </c>
      <c r="X252" s="5">
        <f>VLOOKUP($A252,'SegEnds_NonXtal_Prot#'!$A:$AL,21,FALSE)</f>
        <v>152</v>
      </c>
      <c r="Y252" s="5">
        <f>VLOOKUP($A252,'SegEnds_NonXtal_Prot#'!$A:$AL,24,FALSE)</f>
        <v>186</v>
      </c>
      <c r="Z252" s="5">
        <f>VLOOKUP($A252,'SegEnds_NonXtal_Prot#'!$A:$AL,27,FALSE)</f>
        <v>194</v>
      </c>
      <c r="AA252" s="5">
        <f>VLOOKUP($A252,'SegEnds_NonXtal_Prot#'!$A:$AL,30,FALSE)</f>
        <v>242</v>
      </c>
      <c r="AB252" s="5">
        <f>VLOOKUP($A252,'SegEnds_NonXtal_Prot#'!$A:$AL,33,FALSE)</f>
        <v>279</v>
      </c>
      <c r="AC252" s="5">
        <f>VLOOKUP($A252,'SegEnds_NonXtal_Prot#'!$A:$AL,36,FALSE)</f>
        <v>308</v>
      </c>
      <c r="AD252" s="5">
        <f>VLOOKUP($A252,'SegEnds_NonXtal_Prot#'!$A:$AL,5,FALSE)</f>
        <v>68</v>
      </c>
      <c r="AE252" s="5">
        <f>VLOOKUP($A252,'SegEnds_NonXtal_Prot#'!$A:$AL,8,FALSE)</f>
        <v>72</v>
      </c>
      <c r="AF252" s="5">
        <f>VLOOKUP($A252,'SegEnds_NonXtal_Prot#'!$A:$AL,11,FALSE)</f>
        <v>102</v>
      </c>
      <c r="AG252" s="5">
        <f>VLOOKUP($A252,'SegEnds_NonXtal_Prot#'!$A:$AL,14,FALSE)</f>
        <v>107</v>
      </c>
      <c r="AH252" s="5">
        <f>VLOOKUP($A252,'SegEnds_NonXtal_Prot#'!$A:$AL,17,FALSE)</f>
        <v>143</v>
      </c>
      <c r="AI252" s="5">
        <f>VLOOKUP($A252,'SegEnds_NonXtal_Prot#'!$A:$AL,20,FALSE)</f>
        <v>151</v>
      </c>
      <c r="AJ252" s="5">
        <f>VLOOKUP($A252,'SegEnds_NonXtal_Prot#'!$A:$AL,23,FALSE)</f>
        <v>178</v>
      </c>
      <c r="AK252" s="5">
        <f>VLOOKUP($A252,'SegEnds_NonXtal_Prot#'!$A:$AL,26,FALSE)</f>
        <v>188</v>
      </c>
      <c r="AL252" s="5">
        <f>VLOOKUP($A252,'SegEnds_NonXtal_Prot#'!$A:$AL,29,FALSE)</f>
        <v>235</v>
      </c>
      <c r="AM252" s="5">
        <f>VLOOKUP($A252,'SegEnds_NonXtal_Prot#'!$A:$AL,32,FALSE)</f>
        <v>274</v>
      </c>
      <c r="AN252" s="5">
        <f>VLOOKUP($A252,'SegEnds_NonXtal_Prot#'!$A:$AL,35,FALSE)</f>
        <v>307</v>
      </c>
      <c r="AO252" s="5">
        <f>VLOOKUP($A252,'SegEnds_NonXtal_Prot#'!$A:$AL,38,FALSE)</f>
        <v>320</v>
      </c>
      <c r="AP252" s="5">
        <f t="shared" si="88"/>
        <v>30</v>
      </c>
      <c r="AQ252" s="4">
        <f t="shared" si="89"/>
        <v>3</v>
      </c>
      <c r="AR252" s="4">
        <f t="shared" si="90"/>
        <v>29</v>
      </c>
      <c r="AS252" s="4">
        <f t="shared" si="91"/>
        <v>3</v>
      </c>
      <c r="AT252" s="4">
        <f t="shared" si="92"/>
        <v>35</v>
      </c>
      <c r="AU252" s="4">
        <f t="shared" si="93"/>
        <v>7</v>
      </c>
      <c r="AV252" s="4">
        <f t="shared" si="94"/>
        <v>26</v>
      </c>
      <c r="AW252" s="4">
        <f t="shared" si="95"/>
        <v>2</v>
      </c>
      <c r="AX252" s="4">
        <f t="shared" si="96"/>
        <v>41</v>
      </c>
      <c r="AY252" s="4">
        <f t="shared" si="97"/>
        <v>32</v>
      </c>
      <c r="AZ252" s="4">
        <f t="shared" si="98"/>
        <v>28</v>
      </c>
      <c r="BA252" s="4">
        <f t="shared" si="99"/>
        <v>12</v>
      </c>
    </row>
    <row r="253" spans="1:53" x14ac:dyDescent="0.2">
      <c r="A253" s="1" t="str">
        <f>'SegEnds_NonXtal_Prot#'!A239</f>
        <v>sucr1_human</v>
      </c>
      <c r="B253" s="1" t="str">
        <f t="shared" si="75"/>
        <v>LEKYYLSIFYGIEFVVGVLGNTIVVYGYIFSNSSNIYLFNLSVSDLAFLCTLPMLIRSYANGDVLCISNRYVLHANLYTSILFLTFISIDRYLIIKYKKEFAILISLAIWVLVTLELLPILPLIPNYNLIYSMCLTLLGFLIPLFVMCFFYYKIALFLKQRVATALPLEKPLNLVIMAVVIFSVLFTPYHVMRNVRIASRLGYQCTQVVINSFYIVTRPLAFLNSVINPVFYFLLGDHFRDMLMNQLR</v>
      </c>
      <c r="C253" s="29" t="str">
        <f>IF(ISERROR(MATCH(A253,'SegEnds_Xtal_Prot#'!B:B, 0)), "NoXtal", "Xtal")</f>
        <v>NoXtal</v>
      </c>
      <c r="D253" s="4" t="str">
        <f>VLOOKUP(A253,Classification!A:D,2,FALSE)</f>
        <v>A</v>
      </c>
      <c r="E253" s="5" t="str">
        <f>VLOOKUP(A253,Seqs!A:B,2,FALSE)</f>
        <v>MLGIMAWNATCKNWLAAEAALEKYYLSIFYGIEFVVGVLGNTIVVYGYIFSLKNWNSSNIYLFNLSVSDLAFLCTLPMLIRSYANGNWIYGDVLCISNRYVLHANLYTSILFLTFISIDRYLIIKYPFREHLLQKKEFAILISLAIWVLVTLELLPILPLINPVITDNGTTCNDFASSGDPNYNLIYSMCLTLLGFLIPLFVMCFFYYKIALFLKQRNRQVATALPLEKPLNLVIMAVVIFSVLFTPYHVMRNVRIASRLGSWKQYQCTQVVINSFYIVTRPLAFLNSVINPVFYFLLGDHFRDMLMNQLRHNFKSLTSFSRWAHELLLSFREK</v>
      </c>
      <c r="F253" s="5" t="str">
        <f t="shared" si="76"/>
        <v>LEKYYLSIFYGIEFVVGVLGNTIVVYGYIFS</v>
      </c>
      <c r="G253" s="4" t="str">
        <f t="shared" si="77"/>
        <v/>
      </c>
      <c r="H253" s="4" t="str">
        <f t="shared" si="78"/>
        <v>NSSNIYLFNLSVSDLAFLCTLPMLIRSYAN</v>
      </c>
      <c r="I253" s="4" t="str">
        <f t="shared" si="79"/>
        <v>NWIY</v>
      </c>
      <c r="J253" s="4" t="str">
        <f t="shared" si="80"/>
        <v>GDVLCISNRYVLHANLYTSILFLTFISIDRYLIIKY</v>
      </c>
      <c r="K253" s="4" t="str">
        <f t="shared" si="81"/>
        <v>PFREHLLQ</v>
      </c>
      <c r="L253" s="4" t="str">
        <f t="shared" si="82"/>
        <v>KKEFAILISLAIWVLVTLELLPILPLI</v>
      </c>
      <c r="M253" s="4" t="str">
        <f t="shared" si="83"/>
        <v>CND</v>
      </c>
      <c r="N253" s="4" t="str">
        <f t="shared" si="84"/>
        <v>PNYNLIYSMCLTLLGFLIPLFVMCFFYYKIALFLKQR</v>
      </c>
      <c r="O253" s="4" t="str">
        <f t="shared" si="85"/>
        <v>VATALPLEKPLNLVIMAVVIFSVLFTPYHVMRNVRIASRLG</v>
      </c>
      <c r="P253" s="4" t="str">
        <f t="shared" si="86"/>
        <v>YQCTQVVINSFYIVTRPLAFLNSVINPVFYFLL</v>
      </c>
      <c r="Q253" s="4" t="str">
        <f t="shared" si="87"/>
        <v>GDHFRDMLMNQLR</v>
      </c>
      <c r="R253" s="5">
        <f>VLOOKUP($A253,'SegEnds_NonXtal_Prot#'!$A:$AL,3,FALSE)</f>
        <v>21</v>
      </c>
      <c r="S253" s="5" t="str">
        <f>VLOOKUP($A253,'SegEnds_NonXtal_Prot#'!$A:$AL,6,FALSE)</f>
        <v>-</v>
      </c>
      <c r="T253" s="5">
        <f>VLOOKUP($A253,'SegEnds_NonXtal_Prot#'!$A:$AL,9,FALSE)</f>
        <v>56</v>
      </c>
      <c r="U253" s="5">
        <f>VLOOKUP($A253,'SegEnds_NonXtal_Prot#'!$A:$AL,12,FALSE)</f>
        <v>87</v>
      </c>
      <c r="V253" s="5">
        <f>VLOOKUP($A253,'SegEnds_NonXtal_Prot#'!$A:$AL,15,FALSE)</f>
        <v>91</v>
      </c>
      <c r="W253" s="5">
        <f>VLOOKUP($A253,'SegEnds_NonXtal_Prot#'!$A:$AL,18,FALSE)</f>
        <v>127</v>
      </c>
      <c r="X253" s="5">
        <f>VLOOKUP($A253,'SegEnds_NonXtal_Prot#'!$A:$AL,21,FALSE)</f>
        <v>135</v>
      </c>
      <c r="Y253" s="5">
        <f>VLOOKUP($A253,'SegEnds_NonXtal_Prot#'!$A:$AL,24,FALSE)</f>
        <v>172</v>
      </c>
      <c r="Z253" s="5">
        <f>VLOOKUP($A253,'SegEnds_NonXtal_Prot#'!$A:$AL,27,FALSE)</f>
        <v>181</v>
      </c>
      <c r="AA253" s="5">
        <f>VLOOKUP($A253,'SegEnds_NonXtal_Prot#'!$A:$AL,30,FALSE)</f>
        <v>221</v>
      </c>
      <c r="AB253" s="5">
        <f>VLOOKUP($A253,'SegEnds_NonXtal_Prot#'!$A:$AL,33,FALSE)</f>
        <v>266</v>
      </c>
      <c r="AC253" s="5">
        <f>VLOOKUP($A253,'SegEnds_NonXtal_Prot#'!$A:$AL,36,FALSE)</f>
        <v>299</v>
      </c>
      <c r="AD253" s="5">
        <f>VLOOKUP($A253,'SegEnds_NonXtal_Prot#'!$A:$AL,5,FALSE)</f>
        <v>51</v>
      </c>
      <c r="AE253" s="5" t="str">
        <f>VLOOKUP($A253,'SegEnds_NonXtal_Prot#'!$A:$AL,8,FALSE)</f>
        <v>-</v>
      </c>
      <c r="AF253" s="5">
        <f>VLOOKUP($A253,'SegEnds_NonXtal_Prot#'!$A:$AL,11,FALSE)</f>
        <v>85</v>
      </c>
      <c r="AG253" s="5">
        <f>VLOOKUP($A253,'SegEnds_NonXtal_Prot#'!$A:$AL,14,FALSE)</f>
        <v>90</v>
      </c>
      <c r="AH253" s="5">
        <f>VLOOKUP($A253,'SegEnds_NonXtal_Prot#'!$A:$AL,17,FALSE)</f>
        <v>126</v>
      </c>
      <c r="AI253" s="5">
        <f>VLOOKUP($A253,'SegEnds_NonXtal_Prot#'!$A:$AL,20,FALSE)</f>
        <v>134</v>
      </c>
      <c r="AJ253" s="5">
        <f>VLOOKUP($A253,'SegEnds_NonXtal_Prot#'!$A:$AL,23,FALSE)</f>
        <v>161</v>
      </c>
      <c r="AK253" s="5">
        <f>VLOOKUP($A253,'SegEnds_NonXtal_Prot#'!$A:$AL,26,FALSE)</f>
        <v>174</v>
      </c>
      <c r="AL253" s="5">
        <f>VLOOKUP($A253,'SegEnds_NonXtal_Prot#'!$A:$AL,29,FALSE)</f>
        <v>217</v>
      </c>
      <c r="AM253" s="5">
        <f>VLOOKUP($A253,'SegEnds_NonXtal_Prot#'!$A:$AL,32,FALSE)</f>
        <v>261</v>
      </c>
      <c r="AN253" s="5">
        <f>VLOOKUP($A253,'SegEnds_NonXtal_Prot#'!$A:$AL,35,FALSE)</f>
        <v>298</v>
      </c>
      <c r="AO253" s="5">
        <f>VLOOKUP($A253,'SegEnds_NonXtal_Prot#'!$A:$AL,38,FALSE)</f>
        <v>311</v>
      </c>
      <c r="AP253" s="5">
        <f t="shared" si="88"/>
        <v>30</v>
      </c>
      <c r="AQ253" s="4" t="str">
        <f t="shared" si="89"/>
        <v>-</v>
      </c>
      <c r="AR253" s="4">
        <f t="shared" si="90"/>
        <v>29</v>
      </c>
      <c r="AS253" s="4">
        <f t="shared" si="91"/>
        <v>3</v>
      </c>
      <c r="AT253" s="4">
        <f t="shared" si="92"/>
        <v>35</v>
      </c>
      <c r="AU253" s="4">
        <f t="shared" si="93"/>
        <v>7</v>
      </c>
      <c r="AV253" s="4">
        <f t="shared" si="94"/>
        <v>26</v>
      </c>
      <c r="AW253" s="4">
        <f t="shared" si="95"/>
        <v>2</v>
      </c>
      <c r="AX253" s="4">
        <f t="shared" si="96"/>
        <v>36</v>
      </c>
      <c r="AY253" s="4">
        <f t="shared" si="97"/>
        <v>40</v>
      </c>
      <c r="AZ253" s="4">
        <f t="shared" si="98"/>
        <v>32</v>
      </c>
      <c r="BA253" s="4">
        <f t="shared" si="99"/>
        <v>12</v>
      </c>
    </row>
    <row r="254" spans="1:53" x14ac:dyDescent="0.2">
      <c r="A254" s="1" t="str">
        <f>'SegEnds_NonXtal_Prot#'!A240</f>
        <v>t2r10_human</v>
      </c>
      <c r="B254" s="1" t="str">
        <f t="shared" si="75"/>
        <v>EGIFIFVVVSESVFGVLGNGFIGLVNCIDCASTIGFILTGLAISRIFLIWIIITDGFIQIFSSGNLIEYISYFWVIGNQSSMWFATSLSIFYFLKIANSRTNMVLPFMIVFLLISSLLNFAYIAYKSEYFIKQILLNLGVIFFFTLSLITCIFLIISLWRHNRQMSNTEAHVKAMKVLISFIILFILYFIGMAIEISCNKLLLMFGMTTTAIYPWGHSFILILGNSKLKQASLRVLQQ</v>
      </c>
      <c r="C254" s="29" t="str">
        <f>IF(ISERROR(MATCH(A254,'SegEnds_Xtal_Prot#'!B:B, 0)), "NoXtal", "Xtal")</f>
        <v>NoXtal</v>
      </c>
      <c r="D254" s="4" t="str">
        <f>VLOOKUP(A254,Classification!A:D,2,FALSE)</f>
        <v>T</v>
      </c>
      <c r="E254" s="5" t="str">
        <f>VLOOKUP(A254,Seqs!A:B,2,FALSE)</f>
        <v>MLRVVEGIFIFVVVSESVFGVLGNGFIGLVNCIDCAKNKLSTIGFILTGLAISRIFLIWIIITDGFIQIFSPNIYASGNLIEYISYFWVIGNQSSMWFATSLSIFYFLKIANFSNYIFLWLKSRTNMVLPFMIVFLLISSLLNFAYIAKILNDYKTKNDTVWDLNMYKSEYFIKQILLNLGVIFFFTLSLITCIFLIISLWRHNRQMQSNVTGLRDSNTEAHVKAMKVLISFIILFILYFIGMAIEISCFTVRENKLLLMFGMTTTAIYPWGHSFILILGNSKLKQASLRVLQQLKCCEKRKNLRVT</v>
      </c>
      <c r="F254" s="5" t="str">
        <f t="shared" si="76"/>
        <v>EGIFIFVVVSESVFGVLGNGFIGLVNCIDCA</v>
      </c>
      <c r="G254" s="4" t="str">
        <f t="shared" si="77"/>
        <v>KNKL</v>
      </c>
      <c r="H254" s="4" t="str">
        <f t="shared" si="78"/>
        <v>STIGFILTGLAISRIFLIWIIITDGFIQIFS</v>
      </c>
      <c r="I254" s="4" t="str">
        <f t="shared" si="79"/>
        <v/>
      </c>
      <c r="J254" s="4" t="str">
        <f t="shared" si="80"/>
        <v>SGNLIEYISYFWVIGNQSSMWFATSLSIFYFLKIAN</v>
      </c>
      <c r="K254" s="4" t="str">
        <f t="shared" si="81"/>
        <v>NYIFLWLK</v>
      </c>
      <c r="L254" s="4" t="str">
        <f t="shared" si="82"/>
        <v>SRTNMVLPFMIVFLLISSLLNFAYIA</v>
      </c>
      <c r="M254" s="4" t="str">
        <f t="shared" si="83"/>
        <v/>
      </c>
      <c r="N254" s="4" t="str">
        <f t="shared" si="84"/>
        <v>YKSEYFIKQILLNLGVIFFFTLSLITCIFLIISLWRHNRQM</v>
      </c>
      <c r="O254" s="4" t="str">
        <f t="shared" si="85"/>
        <v>SNTEAHVKAMKVLISFIILFILYFIGMAIEISC</v>
      </c>
      <c r="P254" s="4" t="str">
        <f t="shared" si="86"/>
        <v>NKLLLMFGMTTTAIYPWGHSFILILG</v>
      </c>
      <c r="Q254" s="4" t="str">
        <f t="shared" si="87"/>
        <v>NSKLKQASLRVLQQ</v>
      </c>
      <c r="R254" s="5">
        <f>VLOOKUP($A254,'SegEnds_NonXtal_Prot#'!$A:$AL,3,FALSE)</f>
        <v>6</v>
      </c>
      <c r="S254" s="5">
        <f>VLOOKUP($A254,'SegEnds_NonXtal_Prot#'!$A:$AL,6,FALSE)</f>
        <v>37</v>
      </c>
      <c r="T254" s="5">
        <f>VLOOKUP($A254,'SegEnds_NonXtal_Prot#'!$A:$AL,9,FALSE)</f>
        <v>41</v>
      </c>
      <c r="U254" s="5" t="str">
        <f>VLOOKUP($A254,'SegEnds_NonXtal_Prot#'!$A:$AL,12,FALSE)</f>
        <v>-</v>
      </c>
      <c r="V254" s="5">
        <f>VLOOKUP($A254,'SegEnds_NonXtal_Prot#'!$A:$AL,15,FALSE)</f>
        <v>77</v>
      </c>
      <c r="W254" s="5">
        <f>VLOOKUP($A254,'SegEnds_NonXtal_Prot#'!$A:$AL,18,FALSE)</f>
        <v>115</v>
      </c>
      <c r="X254" s="5">
        <f>VLOOKUP($A254,'SegEnds_NonXtal_Prot#'!$A:$AL,21,FALSE)</f>
        <v>123</v>
      </c>
      <c r="Y254" s="5" t="str">
        <f>VLOOKUP($A254,'SegEnds_NonXtal_Prot#'!$A:$AL,24,FALSE)</f>
        <v>-</v>
      </c>
      <c r="Z254" s="5">
        <f>VLOOKUP($A254,'SegEnds_NonXtal_Prot#'!$A:$AL,27,FALSE)</f>
        <v>167</v>
      </c>
      <c r="AA254" s="5">
        <f>VLOOKUP($A254,'SegEnds_NonXtal_Prot#'!$A:$AL,30,FALSE)</f>
        <v>217</v>
      </c>
      <c r="AB254" s="5">
        <f>VLOOKUP($A254,'SegEnds_NonXtal_Prot#'!$A:$AL,33,FALSE)</f>
        <v>255</v>
      </c>
      <c r="AC254" s="5">
        <f>VLOOKUP($A254,'SegEnds_NonXtal_Prot#'!$A:$AL,36,FALSE)</f>
        <v>281</v>
      </c>
      <c r="AD254" s="5">
        <f>VLOOKUP($A254,'SegEnds_NonXtal_Prot#'!$A:$AL,5,FALSE)</f>
        <v>36</v>
      </c>
      <c r="AE254" s="5">
        <f>VLOOKUP($A254,'SegEnds_NonXtal_Prot#'!$A:$AL,8,FALSE)</f>
        <v>40</v>
      </c>
      <c r="AF254" s="5">
        <f>VLOOKUP($A254,'SegEnds_NonXtal_Prot#'!$A:$AL,11,FALSE)</f>
        <v>71</v>
      </c>
      <c r="AG254" s="5" t="str">
        <f>VLOOKUP($A254,'SegEnds_NonXtal_Prot#'!$A:$AL,14,FALSE)</f>
        <v>-</v>
      </c>
      <c r="AH254" s="5">
        <f>VLOOKUP($A254,'SegEnds_NonXtal_Prot#'!$A:$AL,17,FALSE)</f>
        <v>112</v>
      </c>
      <c r="AI254" s="5">
        <f>VLOOKUP($A254,'SegEnds_NonXtal_Prot#'!$A:$AL,20,FALSE)</f>
        <v>122</v>
      </c>
      <c r="AJ254" s="5">
        <f>VLOOKUP($A254,'SegEnds_NonXtal_Prot#'!$A:$AL,23,FALSE)</f>
        <v>148</v>
      </c>
      <c r="AK254" s="5" t="str">
        <f>VLOOKUP($A254,'SegEnds_NonXtal_Prot#'!$A:$AL,26,FALSE)</f>
        <v>-</v>
      </c>
      <c r="AL254" s="5">
        <f>VLOOKUP($A254,'SegEnds_NonXtal_Prot#'!$A:$AL,29,FALSE)</f>
        <v>207</v>
      </c>
      <c r="AM254" s="5">
        <f>VLOOKUP($A254,'SegEnds_NonXtal_Prot#'!$A:$AL,32,FALSE)</f>
        <v>249</v>
      </c>
      <c r="AN254" s="5">
        <f>VLOOKUP($A254,'SegEnds_NonXtal_Prot#'!$A:$AL,35,FALSE)</f>
        <v>280</v>
      </c>
      <c r="AO254" s="5">
        <f>VLOOKUP($A254,'SegEnds_NonXtal_Prot#'!$A:$AL,38,FALSE)</f>
        <v>294</v>
      </c>
      <c r="AP254" s="5">
        <f t="shared" si="88"/>
        <v>30</v>
      </c>
      <c r="AQ254" s="4">
        <f t="shared" si="89"/>
        <v>3</v>
      </c>
      <c r="AR254" s="4">
        <f t="shared" si="90"/>
        <v>30</v>
      </c>
      <c r="AS254" s="4" t="str">
        <f t="shared" si="91"/>
        <v>-</v>
      </c>
      <c r="AT254" s="4">
        <f t="shared" si="92"/>
        <v>35</v>
      </c>
      <c r="AU254" s="4">
        <f t="shared" si="93"/>
        <v>7</v>
      </c>
      <c r="AV254" s="4">
        <f t="shared" si="94"/>
        <v>25</v>
      </c>
      <c r="AW254" s="4" t="str">
        <f t="shared" si="95"/>
        <v>-</v>
      </c>
      <c r="AX254" s="4">
        <f t="shared" si="96"/>
        <v>40</v>
      </c>
      <c r="AY254" s="4">
        <f t="shared" si="97"/>
        <v>32</v>
      </c>
      <c r="AZ254" s="4">
        <f t="shared" si="98"/>
        <v>25</v>
      </c>
      <c r="BA254" s="4">
        <f t="shared" si="99"/>
        <v>13</v>
      </c>
    </row>
    <row r="255" spans="1:53" x14ac:dyDescent="0.2">
      <c r="A255" s="1" t="str">
        <f>'SegEnds_NonXtal_Prot#'!A241</f>
        <v>t2r13_human</v>
      </c>
      <c r="B255" s="1" t="str">
        <f t="shared" si="75"/>
        <v>PSIFTLVIIAEFIIGNLSNGFIVLINCIDWVLSSVDKLLIILAISRIGLIWEILVSWFLALHYSGTGLRIMIFSWIVSNHFNLWLATIFSIFYLLKIASWRVNKVILMILLGTLVFLFLNLIQINMFETFSVSVKFTMTMFSLTPFTVAFISFLLLIFSLQKHLQKMPRTKVHTNALKIVISFLLFYASFFLCVLISWISNTVIYMLCETIGVFSPSSHSFLLILGNAKLRQAFLLVAAK</v>
      </c>
      <c r="C255" s="29" t="str">
        <f>IF(ISERROR(MATCH(A255,'SegEnds_Xtal_Prot#'!B:B, 0)), "NoXtal", "Xtal")</f>
        <v>NoXtal</v>
      </c>
      <c r="D255" s="4" t="str">
        <f>VLOOKUP(A255,Classification!A:D,2,FALSE)</f>
        <v>T</v>
      </c>
      <c r="E255" s="5" t="str">
        <f>VLOOKUP(A255,Seqs!A:B,2,FALSE)</f>
        <v>MESALPSIFTLVIIAEFIIGNLSNGFIVLINCIDWVSKRELSSVDKLLIILAISRIGLIWEILVSWFLALHYLAIFVSGTGLRIMIFSWIVSNHFNLWLATIFSIFYLLKIASFSSPAFLYLKWRVNKVILMILLGTLVFLFLNLIQINMHIKDWLDRYERNTTWNFSMSDFETFSVSVKFTMTMFSLTPFTVAFISFLLLIFSLQKHLQKMQLNYKGHRDPRTKVHTNALKIVISFLLFYASFFLCVLISWISELYQNTVIYMLCETIGVFSPSSHSFLLILGNAKLRQAFLLVAAKVWAKR</v>
      </c>
      <c r="F255" s="5" t="str">
        <f t="shared" si="76"/>
        <v>PSIFTLVIIAEFIIGNLSNGFIVLINCIDWV</v>
      </c>
      <c r="G255" s="4" t="str">
        <f t="shared" si="77"/>
        <v>SKRE</v>
      </c>
      <c r="H255" s="4" t="str">
        <f t="shared" si="78"/>
        <v>LSSVDKLLIILAISRIGLIWEILVSWFLALHY</v>
      </c>
      <c r="I255" s="4" t="str">
        <f t="shared" si="79"/>
        <v/>
      </c>
      <c r="J255" s="4" t="str">
        <f t="shared" si="80"/>
        <v>SGTGLRIMIFSWIVSNHFNLWLATIFSIFYLLKIAS</v>
      </c>
      <c r="K255" s="4" t="str">
        <f t="shared" si="81"/>
        <v>SPAFLYLK</v>
      </c>
      <c r="L255" s="4" t="str">
        <f t="shared" si="82"/>
        <v>WRVNKVILMILLGTLVFLFLNLIQINM</v>
      </c>
      <c r="M255" s="4" t="str">
        <f t="shared" si="83"/>
        <v/>
      </c>
      <c r="N255" s="4" t="str">
        <f t="shared" si="84"/>
        <v>FETFSVSVKFTMTMFSLTPFTVAFISFLLLIFSLQKHLQKM</v>
      </c>
      <c r="O255" s="4" t="str">
        <f t="shared" si="85"/>
        <v>PRTKVHTNALKIVISFLLFYASFFLCVLISWIS</v>
      </c>
      <c r="P255" s="4" t="str">
        <f t="shared" si="86"/>
        <v>NTVIYMLCETIGVFSPSSHSFLLILG</v>
      </c>
      <c r="Q255" s="4" t="str">
        <f t="shared" si="87"/>
        <v>NAKLRQAFLLVAAK</v>
      </c>
      <c r="R255" s="5">
        <f>VLOOKUP($A255,'SegEnds_NonXtal_Prot#'!$A:$AL,3,FALSE)</f>
        <v>6</v>
      </c>
      <c r="S255" s="5">
        <f>VLOOKUP($A255,'SegEnds_NonXtal_Prot#'!$A:$AL,6,FALSE)</f>
        <v>37</v>
      </c>
      <c r="T255" s="5">
        <f>VLOOKUP($A255,'SegEnds_NonXtal_Prot#'!$A:$AL,9,FALSE)</f>
        <v>41</v>
      </c>
      <c r="U255" s="5" t="str">
        <f>VLOOKUP($A255,'SegEnds_NonXtal_Prot#'!$A:$AL,12,FALSE)</f>
        <v>-</v>
      </c>
      <c r="V255" s="5">
        <f>VLOOKUP($A255,'SegEnds_NonXtal_Prot#'!$A:$AL,15,FALSE)</f>
        <v>78</v>
      </c>
      <c r="W255" s="5">
        <f>VLOOKUP($A255,'SegEnds_NonXtal_Prot#'!$A:$AL,18,FALSE)</f>
        <v>116</v>
      </c>
      <c r="X255" s="5">
        <f>VLOOKUP($A255,'SegEnds_NonXtal_Prot#'!$A:$AL,21,FALSE)</f>
        <v>124</v>
      </c>
      <c r="Y255" s="5" t="str">
        <f>VLOOKUP($A255,'SegEnds_NonXtal_Prot#'!$A:$AL,24,FALSE)</f>
        <v>-</v>
      </c>
      <c r="Z255" s="5">
        <f>VLOOKUP($A255,'SegEnds_NonXtal_Prot#'!$A:$AL,27,FALSE)</f>
        <v>172</v>
      </c>
      <c r="AA255" s="5">
        <f>VLOOKUP($A255,'SegEnds_NonXtal_Prot#'!$A:$AL,30,FALSE)</f>
        <v>222</v>
      </c>
      <c r="AB255" s="5">
        <f>VLOOKUP($A255,'SegEnds_NonXtal_Prot#'!$A:$AL,33,FALSE)</f>
        <v>259</v>
      </c>
      <c r="AC255" s="5">
        <f>VLOOKUP($A255,'SegEnds_NonXtal_Prot#'!$A:$AL,36,FALSE)</f>
        <v>285</v>
      </c>
      <c r="AD255" s="5">
        <f>VLOOKUP($A255,'SegEnds_NonXtal_Prot#'!$A:$AL,5,FALSE)</f>
        <v>36</v>
      </c>
      <c r="AE255" s="5">
        <f>VLOOKUP($A255,'SegEnds_NonXtal_Prot#'!$A:$AL,8,FALSE)</f>
        <v>40</v>
      </c>
      <c r="AF255" s="5">
        <f>VLOOKUP($A255,'SegEnds_NonXtal_Prot#'!$A:$AL,11,FALSE)</f>
        <v>72</v>
      </c>
      <c r="AG255" s="5" t="str">
        <f>VLOOKUP($A255,'SegEnds_NonXtal_Prot#'!$A:$AL,14,FALSE)</f>
        <v>-</v>
      </c>
      <c r="AH255" s="5">
        <f>VLOOKUP($A255,'SegEnds_NonXtal_Prot#'!$A:$AL,17,FALSE)</f>
        <v>113</v>
      </c>
      <c r="AI255" s="5">
        <f>VLOOKUP($A255,'SegEnds_NonXtal_Prot#'!$A:$AL,20,FALSE)</f>
        <v>123</v>
      </c>
      <c r="AJ255" s="5">
        <f>VLOOKUP($A255,'SegEnds_NonXtal_Prot#'!$A:$AL,23,FALSE)</f>
        <v>150</v>
      </c>
      <c r="AK255" s="5" t="str">
        <f>VLOOKUP($A255,'SegEnds_NonXtal_Prot#'!$A:$AL,26,FALSE)</f>
        <v>-</v>
      </c>
      <c r="AL255" s="5">
        <f>VLOOKUP($A255,'SegEnds_NonXtal_Prot#'!$A:$AL,29,FALSE)</f>
        <v>212</v>
      </c>
      <c r="AM255" s="5">
        <f>VLOOKUP($A255,'SegEnds_NonXtal_Prot#'!$A:$AL,32,FALSE)</f>
        <v>254</v>
      </c>
      <c r="AN255" s="5">
        <f>VLOOKUP($A255,'SegEnds_NonXtal_Prot#'!$A:$AL,35,FALSE)</f>
        <v>284</v>
      </c>
      <c r="AO255" s="5">
        <f>VLOOKUP($A255,'SegEnds_NonXtal_Prot#'!$A:$AL,38,FALSE)</f>
        <v>298</v>
      </c>
      <c r="AP255" s="5">
        <f t="shared" si="88"/>
        <v>30</v>
      </c>
      <c r="AQ255" s="4">
        <f t="shared" si="89"/>
        <v>3</v>
      </c>
      <c r="AR255" s="4">
        <f t="shared" si="90"/>
        <v>31</v>
      </c>
      <c r="AS255" s="4" t="str">
        <f t="shared" si="91"/>
        <v>-</v>
      </c>
      <c r="AT255" s="4">
        <f t="shared" si="92"/>
        <v>35</v>
      </c>
      <c r="AU255" s="4">
        <f t="shared" si="93"/>
        <v>7</v>
      </c>
      <c r="AV255" s="4">
        <f t="shared" si="94"/>
        <v>26</v>
      </c>
      <c r="AW255" s="4" t="str">
        <f t="shared" si="95"/>
        <v>-</v>
      </c>
      <c r="AX255" s="4">
        <f t="shared" si="96"/>
        <v>40</v>
      </c>
      <c r="AY255" s="4">
        <f t="shared" si="97"/>
        <v>32</v>
      </c>
      <c r="AZ255" s="4">
        <f t="shared" si="98"/>
        <v>25</v>
      </c>
      <c r="BA255" s="4">
        <f t="shared" si="99"/>
        <v>13</v>
      </c>
    </row>
    <row r="256" spans="1:53" x14ac:dyDescent="0.2">
      <c r="A256" s="1" t="str">
        <f>'SegEnds_NonXtal_Prot#'!A242</f>
        <v>t2r14_human</v>
      </c>
      <c r="B256" s="1" t="str">
        <f t="shared" si="75"/>
        <v>KSIFTFVLIVEFIIGNLGNSFIALVNCIDWVISSVDRILTALAISRISLVWLIFGSWCVSVFFTEKMFRMLTNIWTVINHFSVWLATGLGTFYFLKIANWRVKKVVLVLLLVTSVFLFLNIALINIFTRFSSLIVLTSTVFIFIPFTLSLAMFLLLIFSMWKHRKKMDASTKAHRGVKSVITFFLLYAIFSLSFFISVWTEENLIILSQVMGMAYPSCHSCVLILGNKKLRQASLSVLLW</v>
      </c>
      <c r="C256" s="29" t="str">
        <f>IF(ISERROR(MATCH(A256,'SegEnds_Xtal_Prot#'!B:B, 0)), "NoXtal", "Xtal")</f>
        <v>NoXtal</v>
      </c>
      <c r="D256" s="4" t="str">
        <f>VLOOKUP(A256,Classification!A:D,2,FALSE)</f>
        <v>T</v>
      </c>
      <c r="E256" s="5" t="str">
        <f>VLOOKUP(A256,Seqs!A:B,2,FALSE)</f>
        <v>MGGVIKSIFTFVLIVEFIIGNLGNSFIALVNCIDWVKGRKISSVDRILTALAISRISLVWLIFGSWCVSVFFPALFATEKMFRMLTNIWTVINHFSVWLATGLGTFYFLKIANFSNSIFLYLKWRVKKVVLVLLLVTSVFLFLNIALINIHINASINGYRRNKTCSSDSSNFTRFSSLIVLTSTVFIFIPFTLSLAMFLLLIFSMWKHRKKMQHTVKISGDASTKAHRGVKSVITFFLLYAIFSLSFFISVWTSERLEENLIILSQVMGMAYPSCHSCVLILGNKKLRQASLSVLLWLRYMFKDGEPSGHKEFRESS</v>
      </c>
      <c r="F256" s="5" t="str">
        <f t="shared" si="76"/>
        <v>KSIFTFVLIVEFIIGNLGNSFIALVNCIDWV</v>
      </c>
      <c r="G256" s="4" t="str">
        <f t="shared" si="77"/>
        <v>KGRK</v>
      </c>
      <c r="H256" s="4" t="str">
        <f t="shared" si="78"/>
        <v>ISSVDRILTALAISRISLVWLIFGSWCVSVFF</v>
      </c>
      <c r="I256" s="4" t="str">
        <f t="shared" si="79"/>
        <v/>
      </c>
      <c r="J256" s="4" t="str">
        <f t="shared" si="80"/>
        <v>TEKMFRMLTNIWTVINHFSVWLATGLGTFYFLKIAN</v>
      </c>
      <c r="K256" s="4" t="str">
        <f t="shared" si="81"/>
        <v>NSIFLYLK</v>
      </c>
      <c r="L256" s="4" t="str">
        <f t="shared" si="82"/>
        <v>WRVKKVVLVLLLVTSVFLFLNIALINI</v>
      </c>
      <c r="M256" s="4" t="str">
        <f t="shared" si="83"/>
        <v/>
      </c>
      <c r="N256" s="4" t="str">
        <f t="shared" si="84"/>
        <v>FTRFSSLIVLTSTVFIFIPFTLSLAMFLLLIFSMWKHRKKM</v>
      </c>
      <c r="O256" s="4" t="str">
        <f t="shared" si="85"/>
        <v>DASTKAHRGVKSVITFFLLYAIFSLSFFISVWT</v>
      </c>
      <c r="P256" s="4" t="str">
        <f t="shared" si="86"/>
        <v>EENLIILSQVMGMAYPSCHSCVLILG</v>
      </c>
      <c r="Q256" s="4" t="str">
        <f t="shared" si="87"/>
        <v>NKKLRQASLSVLLW</v>
      </c>
      <c r="R256" s="5">
        <f>VLOOKUP($A256,'SegEnds_NonXtal_Prot#'!$A:$AL,3,FALSE)</f>
        <v>6</v>
      </c>
      <c r="S256" s="5">
        <f>VLOOKUP($A256,'SegEnds_NonXtal_Prot#'!$A:$AL,6,FALSE)</f>
        <v>37</v>
      </c>
      <c r="T256" s="5">
        <f>VLOOKUP($A256,'SegEnds_NonXtal_Prot#'!$A:$AL,9,FALSE)</f>
        <v>41</v>
      </c>
      <c r="U256" s="5" t="str">
        <f>VLOOKUP($A256,'SegEnds_NonXtal_Prot#'!$A:$AL,12,FALSE)</f>
        <v>-</v>
      </c>
      <c r="V256" s="5">
        <f>VLOOKUP($A256,'SegEnds_NonXtal_Prot#'!$A:$AL,15,FALSE)</f>
        <v>78</v>
      </c>
      <c r="W256" s="5">
        <f>VLOOKUP($A256,'SegEnds_NonXtal_Prot#'!$A:$AL,18,FALSE)</f>
        <v>116</v>
      </c>
      <c r="X256" s="5">
        <f>VLOOKUP($A256,'SegEnds_NonXtal_Prot#'!$A:$AL,21,FALSE)</f>
        <v>124</v>
      </c>
      <c r="Y256" s="5" t="str">
        <f>VLOOKUP($A256,'SegEnds_NonXtal_Prot#'!$A:$AL,24,FALSE)</f>
        <v>-</v>
      </c>
      <c r="Z256" s="5">
        <f>VLOOKUP($A256,'SegEnds_NonXtal_Prot#'!$A:$AL,27,FALSE)</f>
        <v>172</v>
      </c>
      <c r="AA256" s="5">
        <f>VLOOKUP($A256,'SegEnds_NonXtal_Prot#'!$A:$AL,30,FALSE)</f>
        <v>221</v>
      </c>
      <c r="AB256" s="5">
        <f>VLOOKUP($A256,'SegEnds_NonXtal_Prot#'!$A:$AL,33,FALSE)</f>
        <v>258</v>
      </c>
      <c r="AC256" s="5">
        <f>VLOOKUP($A256,'SegEnds_NonXtal_Prot#'!$A:$AL,36,FALSE)</f>
        <v>284</v>
      </c>
      <c r="AD256" s="5">
        <f>VLOOKUP($A256,'SegEnds_NonXtal_Prot#'!$A:$AL,5,FALSE)</f>
        <v>36</v>
      </c>
      <c r="AE256" s="5">
        <f>VLOOKUP($A256,'SegEnds_NonXtal_Prot#'!$A:$AL,8,FALSE)</f>
        <v>40</v>
      </c>
      <c r="AF256" s="5">
        <f>VLOOKUP($A256,'SegEnds_NonXtal_Prot#'!$A:$AL,11,FALSE)</f>
        <v>72</v>
      </c>
      <c r="AG256" s="5" t="str">
        <f>VLOOKUP($A256,'SegEnds_NonXtal_Prot#'!$A:$AL,14,FALSE)</f>
        <v>-</v>
      </c>
      <c r="AH256" s="5">
        <f>VLOOKUP($A256,'SegEnds_NonXtal_Prot#'!$A:$AL,17,FALSE)</f>
        <v>113</v>
      </c>
      <c r="AI256" s="5">
        <f>VLOOKUP($A256,'SegEnds_NonXtal_Prot#'!$A:$AL,20,FALSE)</f>
        <v>123</v>
      </c>
      <c r="AJ256" s="5">
        <f>VLOOKUP($A256,'SegEnds_NonXtal_Prot#'!$A:$AL,23,FALSE)</f>
        <v>150</v>
      </c>
      <c r="AK256" s="5" t="str">
        <f>VLOOKUP($A256,'SegEnds_NonXtal_Prot#'!$A:$AL,26,FALSE)</f>
        <v>-</v>
      </c>
      <c r="AL256" s="5">
        <f>VLOOKUP($A256,'SegEnds_NonXtal_Prot#'!$A:$AL,29,FALSE)</f>
        <v>212</v>
      </c>
      <c r="AM256" s="5">
        <f>VLOOKUP($A256,'SegEnds_NonXtal_Prot#'!$A:$AL,32,FALSE)</f>
        <v>253</v>
      </c>
      <c r="AN256" s="5">
        <f>VLOOKUP($A256,'SegEnds_NonXtal_Prot#'!$A:$AL,35,FALSE)</f>
        <v>283</v>
      </c>
      <c r="AO256" s="5">
        <f>VLOOKUP($A256,'SegEnds_NonXtal_Prot#'!$A:$AL,38,FALSE)</f>
        <v>297</v>
      </c>
      <c r="AP256" s="5">
        <f t="shared" si="88"/>
        <v>30</v>
      </c>
      <c r="AQ256" s="4">
        <f t="shared" si="89"/>
        <v>3</v>
      </c>
      <c r="AR256" s="4">
        <f t="shared" si="90"/>
        <v>31</v>
      </c>
      <c r="AS256" s="4" t="str">
        <f t="shared" si="91"/>
        <v>-</v>
      </c>
      <c r="AT256" s="4">
        <f t="shared" si="92"/>
        <v>35</v>
      </c>
      <c r="AU256" s="4">
        <f t="shared" si="93"/>
        <v>7</v>
      </c>
      <c r="AV256" s="4">
        <f t="shared" si="94"/>
        <v>26</v>
      </c>
      <c r="AW256" s="4" t="str">
        <f t="shared" si="95"/>
        <v>-</v>
      </c>
      <c r="AX256" s="4">
        <f t="shared" si="96"/>
        <v>40</v>
      </c>
      <c r="AY256" s="4">
        <f t="shared" si="97"/>
        <v>32</v>
      </c>
      <c r="AZ256" s="4">
        <f t="shared" si="98"/>
        <v>25</v>
      </c>
      <c r="BA256" s="4">
        <f t="shared" si="99"/>
        <v>13</v>
      </c>
    </row>
    <row r="257" spans="1:53" x14ac:dyDescent="0.2">
      <c r="A257" s="1" t="str">
        <f>'SegEnds_NonXtal_Prot#'!A243</f>
        <v>t2r16_human</v>
      </c>
      <c r="B257" s="1" t="str">
        <f t="shared" si="75"/>
        <v>TVFFMIIYVLESLTIIVQSSLIVAVLGREWLLMPVDMILISLGISRFCLQWASMLNNFCSYFVLCNLTITWEFFNILTFWLNSLLTVFYCIKVSSWRILRLFPWILLGSLMITCVTIIPSAILENFHQYQFQAHTVALVIPFILFLASTIFLMASLTKQIQHHPSMKARFTALRSLAVLFIVFTSYFLTILITIIGKRCWLWVWEAFVYAFILMHSTSLMLSSPTLKRILKGKC</v>
      </c>
      <c r="C257" s="29" t="str">
        <f>IF(ISERROR(MATCH(A257,'SegEnds_Xtal_Prot#'!B:B, 0)), "NoXtal", "Xtal")</f>
        <v>NoXtal</v>
      </c>
      <c r="D257" s="4" t="str">
        <f>VLOOKUP(A257,Classification!A:D,2,FALSE)</f>
        <v>T</v>
      </c>
      <c r="E257" s="5" t="str">
        <f>VLOOKUP(A257,Seqs!A:B,2,FALSE)</f>
        <v>MIPIQLTVFFMIIYVLESLTIIVQSSLIVAVLGREWLQVRRLMPVDMILISLGISRFCLQWASMLNNFCSYFNLNYVLCNLTITWEFFNILTFWLNSLLTVFYCIKVSSFTHHIFLWLRWRILRLFPWILLGSLMITCVTIIPSAIGNYIQIQLLTMEHLPRNSTVTDKLENFHQYQFQAHTVALVIPFILFLASTIFLMASLTKQIQHHSTGHCNPSMKARFTALRSLAVLFIVFTSYFLTILITIIGTLFDKRCWLWVWEAFVYAFILMHSTSLMLSSPTLKRILKGKC</v>
      </c>
      <c r="F257" s="5" t="str">
        <f t="shared" si="76"/>
        <v>TVFFMIIYVLESLTIIVQSSLIVAVLGREWL</v>
      </c>
      <c r="G257" s="4" t="str">
        <f t="shared" si="77"/>
        <v>QVRR</v>
      </c>
      <c r="H257" s="4" t="str">
        <f t="shared" si="78"/>
        <v>LMPVDMILISLGISRFCLQWASMLNNFCSYF</v>
      </c>
      <c r="I257" s="4" t="str">
        <f t="shared" si="79"/>
        <v/>
      </c>
      <c r="J257" s="4" t="str">
        <f t="shared" si="80"/>
        <v>VLCNLTITWEFFNILTFWLNSLLTVFYCIKVSS</v>
      </c>
      <c r="K257" s="4" t="str">
        <f t="shared" si="81"/>
        <v>HHIFLWLR</v>
      </c>
      <c r="L257" s="4" t="str">
        <f t="shared" si="82"/>
        <v>WRILRLFPWILLGSLMITCVTIIPSAI</v>
      </c>
      <c r="M257" s="4" t="str">
        <f t="shared" si="83"/>
        <v/>
      </c>
      <c r="N257" s="4" t="str">
        <f t="shared" si="84"/>
        <v>LENFHQYQFQAHTVALVIPFILFLASTIFLMASLTKQIQHH</v>
      </c>
      <c r="O257" s="4" t="str">
        <f t="shared" si="85"/>
        <v>PSMKARFTALRSLAVLFIVFTSYFLTILITIIG</v>
      </c>
      <c r="P257" s="4" t="str">
        <f t="shared" si="86"/>
        <v>KRCWLWVWEAFVYAFILMHSTSLMLS</v>
      </c>
      <c r="Q257" s="4" t="str">
        <f t="shared" si="87"/>
        <v>SPTLKRILKGKC</v>
      </c>
      <c r="R257" s="5">
        <f>VLOOKUP($A257,'SegEnds_NonXtal_Prot#'!$A:$AL,3,FALSE)</f>
        <v>7</v>
      </c>
      <c r="S257" s="5">
        <f>VLOOKUP($A257,'SegEnds_NonXtal_Prot#'!$A:$AL,6,FALSE)</f>
        <v>38</v>
      </c>
      <c r="T257" s="5">
        <f>VLOOKUP($A257,'SegEnds_NonXtal_Prot#'!$A:$AL,9,FALSE)</f>
        <v>42</v>
      </c>
      <c r="U257" s="5" t="str">
        <f>VLOOKUP($A257,'SegEnds_NonXtal_Prot#'!$A:$AL,12,FALSE)</f>
        <v>-</v>
      </c>
      <c r="V257" s="5">
        <f>VLOOKUP($A257,'SegEnds_NonXtal_Prot#'!$A:$AL,15,FALSE)</f>
        <v>77</v>
      </c>
      <c r="W257" s="5">
        <f>VLOOKUP($A257,'SegEnds_NonXtal_Prot#'!$A:$AL,18,FALSE)</f>
        <v>112</v>
      </c>
      <c r="X257" s="5">
        <f>VLOOKUP($A257,'SegEnds_NonXtal_Prot#'!$A:$AL,21,FALSE)</f>
        <v>120</v>
      </c>
      <c r="Y257" s="5" t="str">
        <f>VLOOKUP($A257,'SegEnds_NonXtal_Prot#'!$A:$AL,24,FALSE)</f>
        <v>-</v>
      </c>
      <c r="Z257" s="5">
        <f>VLOOKUP($A257,'SegEnds_NonXtal_Prot#'!$A:$AL,27,FALSE)</f>
        <v>170</v>
      </c>
      <c r="AA257" s="5">
        <f>VLOOKUP($A257,'SegEnds_NonXtal_Prot#'!$A:$AL,30,FALSE)</f>
        <v>217</v>
      </c>
      <c r="AB257" s="5">
        <f>VLOOKUP($A257,'SegEnds_NonXtal_Prot#'!$A:$AL,33,FALSE)</f>
        <v>254</v>
      </c>
      <c r="AC257" s="5">
        <f>VLOOKUP($A257,'SegEnds_NonXtal_Prot#'!$A:$AL,36,FALSE)</f>
        <v>280</v>
      </c>
      <c r="AD257" s="5">
        <f>VLOOKUP($A257,'SegEnds_NonXtal_Prot#'!$A:$AL,5,FALSE)</f>
        <v>37</v>
      </c>
      <c r="AE257" s="5">
        <f>VLOOKUP($A257,'SegEnds_NonXtal_Prot#'!$A:$AL,8,FALSE)</f>
        <v>41</v>
      </c>
      <c r="AF257" s="5">
        <f>VLOOKUP($A257,'SegEnds_NonXtal_Prot#'!$A:$AL,11,FALSE)</f>
        <v>72</v>
      </c>
      <c r="AG257" s="5" t="str">
        <f>VLOOKUP($A257,'SegEnds_NonXtal_Prot#'!$A:$AL,14,FALSE)</f>
        <v>-</v>
      </c>
      <c r="AH257" s="5">
        <f>VLOOKUP($A257,'SegEnds_NonXtal_Prot#'!$A:$AL,17,FALSE)</f>
        <v>109</v>
      </c>
      <c r="AI257" s="5">
        <f>VLOOKUP($A257,'SegEnds_NonXtal_Prot#'!$A:$AL,20,FALSE)</f>
        <v>119</v>
      </c>
      <c r="AJ257" s="5">
        <f>VLOOKUP($A257,'SegEnds_NonXtal_Prot#'!$A:$AL,23,FALSE)</f>
        <v>146</v>
      </c>
      <c r="AK257" s="5" t="str">
        <f>VLOOKUP($A257,'SegEnds_NonXtal_Prot#'!$A:$AL,26,FALSE)</f>
        <v>-</v>
      </c>
      <c r="AL257" s="5">
        <f>VLOOKUP($A257,'SegEnds_NonXtal_Prot#'!$A:$AL,29,FALSE)</f>
        <v>210</v>
      </c>
      <c r="AM257" s="5">
        <f>VLOOKUP($A257,'SegEnds_NonXtal_Prot#'!$A:$AL,32,FALSE)</f>
        <v>249</v>
      </c>
      <c r="AN257" s="5">
        <f>VLOOKUP($A257,'SegEnds_NonXtal_Prot#'!$A:$AL,35,FALSE)</f>
        <v>279</v>
      </c>
      <c r="AO257" s="5">
        <f>VLOOKUP($A257,'SegEnds_NonXtal_Prot#'!$A:$AL,38,FALSE)</f>
        <v>291</v>
      </c>
      <c r="AP257" s="5">
        <f t="shared" si="88"/>
        <v>30</v>
      </c>
      <c r="AQ257" s="4">
        <f t="shared" si="89"/>
        <v>3</v>
      </c>
      <c r="AR257" s="4">
        <f t="shared" si="90"/>
        <v>30</v>
      </c>
      <c r="AS257" s="4" t="str">
        <f t="shared" si="91"/>
        <v>-</v>
      </c>
      <c r="AT257" s="4">
        <f t="shared" si="92"/>
        <v>32</v>
      </c>
      <c r="AU257" s="4">
        <f t="shared" si="93"/>
        <v>7</v>
      </c>
      <c r="AV257" s="4">
        <f t="shared" si="94"/>
        <v>26</v>
      </c>
      <c r="AW257" s="4" t="str">
        <f t="shared" si="95"/>
        <v>-</v>
      </c>
      <c r="AX257" s="4">
        <f t="shared" si="96"/>
        <v>40</v>
      </c>
      <c r="AY257" s="4">
        <f t="shared" si="97"/>
        <v>32</v>
      </c>
      <c r="AZ257" s="4">
        <f t="shared" si="98"/>
        <v>25</v>
      </c>
      <c r="BA257" s="4">
        <f t="shared" si="99"/>
        <v>11</v>
      </c>
    </row>
    <row r="258" spans="1:53" x14ac:dyDescent="0.2">
      <c r="A258" s="1" t="str">
        <f>'SegEnds_NonXtal_Prot#'!A244</f>
        <v>t2r19_human</v>
      </c>
      <c r="B258" s="1" t="str">
        <f t="shared" ref="B258:B321" si="100">F258&amp;H258&amp;J258&amp;L258&amp;N258&amp;O258&amp;P258&amp;Q258</f>
        <v>LIISSILVVFAFVLGNVANGFIALVNVIDWVISSAEQILTALVVSRIGLLWVMLFLWYATVFGLEVRIVASNAWAVTNHFSMWLAASLSIFCLLKIANKRIKSVVLVILLGPLVFLICNLAVITMDERVWRNAIHLSSLTVTTLANLIPFTLSLICFLLLICSLCKHLKKMPSTKVHIKALQTVTSFLMLFAIYFLCIITSTWNSKLVLLLCQTVAIMYPSFHSFILIMGSRKLKQTFLSVLWQ</v>
      </c>
      <c r="C258" s="29" t="str">
        <f>IF(ISERROR(MATCH(A258,'SegEnds_Xtal_Prot#'!B:B, 0)), "NoXtal", "Xtal")</f>
        <v>NoXtal</v>
      </c>
      <c r="D258" s="4" t="str">
        <f>VLOOKUP(A258,Classification!A:D,2,FALSE)</f>
        <v>T</v>
      </c>
      <c r="E258" s="5" t="str">
        <f>VLOOKUP(A258,Seqs!A:B,2,FALSE)</f>
        <v>MMCFLLIISSILVVFAFVLGNVANGFIALVNVIDWVNTRKISSAEQILTALVVSRIGLLWVMLFLWYATVFNSALYGLEVRIVASNAWAVTNHFSMWLAASLSIFCLLKIANFSNLISLHLKKRIKSVVLVILLGPLVFLICNLAVITMDERVWTKEYEGNVTWKIKLRNAIHLSSLTVTTLANLIPFTLSLICFLLLICSLCKHLKKMRLHSKGSQDPSTKVHIKALQTVTSFLMLFAIYFLCIITSTWNLRTQQSKLVLLLCQTVAIMYPSFHSFILIMGSRKLKQTFLSVLWQMTR</v>
      </c>
      <c r="F258" s="5" t="str">
        <f t="shared" ref="F258:F321" si="101">IFERROR(MID($E258,R258,(AP258+1)),"")</f>
        <v>LIISSILVVFAFVLGNVANGFIALVNVIDWV</v>
      </c>
      <c r="G258" s="4" t="str">
        <f t="shared" ref="G258:G321" si="102">IFERROR(MID($E258,S258,(AQ258+1)),"")</f>
        <v>NTRK</v>
      </c>
      <c r="H258" s="4" t="str">
        <f t="shared" ref="H258:H321" si="103">IFERROR(MID($E258,T258,(AR258+1)),"")</f>
        <v>ISSAEQILTALVVSRIGLLWVMLFLWYATVF</v>
      </c>
      <c r="I258" s="4" t="str">
        <f t="shared" ref="I258:I321" si="104">IFERROR(MID($E258,U258,(AS258+1)),"")</f>
        <v/>
      </c>
      <c r="J258" s="4" t="str">
        <f t="shared" ref="J258:J321" si="105">IFERROR(MID($E258,V258,(AT258+1)),"")</f>
        <v>GLEVRIVASNAWAVTNHFSMWLAASLSIFCLLKIAN</v>
      </c>
      <c r="K258" s="4" t="str">
        <f t="shared" ref="K258:K321" si="106">IFERROR(MID($E258,W258,(AU258+1)),"")</f>
        <v>NLISLHLK</v>
      </c>
      <c r="L258" s="4" t="str">
        <f t="shared" ref="L258:L321" si="107">IFERROR(MID($E258,X258,(AV258+1)),"")</f>
        <v>KRIKSVVLVILLGPLVFLICNLAVITMDERVW</v>
      </c>
      <c r="M258" s="4" t="str">
        <f t="shared" ref="M258:M321" si="108">IFERROR(MID($E258,Y258,(AW258+1)),"")</f>
        <v/>
      </c>
      <c r="N258" s="4" t="str">
        <f t="shared" ref="N258:N321" si="109">IFERROR(MID($E258,Z258,(AX258+1)),"")</f>
        <v>RNAIHLSSLTVTTLANLIPFTLSLICFLLLICSLCKHLKKM</v>
      </c>
      <c r="O258" s="4" t="str">
        <f t="shared" ref="O258:O321" si="110">IFERROR(MID($E258,AA258,(AY258+1)),"")</f>
        <v>PSTKVHIKALQTVTSFLMLFAIYFLCIITSTWN</v>
      </c>
      <c r="P258" s="4" t="str">
        <f t="shared" ref="P258:P321" si="111">IFERROR(MID($E258,AB258,(AZ258+1)),"")</f>
        <v>SKLVLLLCQTVAIMYPSFHSFILIMG</v>
      </c>
      <c r="Q258" s="4" t="str">
        <f t="shared" ref="Q258:Q321" si="112">IFERROR(MID($E258,AC258,(BA258+1)),"")</f>
        <v>SRKLKQTFLSVLWQ</v>
      </c>
      <c r="R258" s="5">
        <f>VLOOKUP($A258,'SegEnds_NonXtal_Prot#'!$A:$AL,3,FALSE)</f>
        <v>6</v>
      </c>
      <c r="S258" s="5">
        <f>VLOOKUP($A258,'SegEnds_NonXtal_Prot#'!$A:$AL,6,FALSE)</f>
        <v>37</v>
      </c>
      <c r="T258" s="5">
        <f>VLOOKUP($A258,'SegEnds_NonXtal_Prot#'!$A:$AL,9,FALSE)</f>
        <v>41</v>
      </c>
      <c r="U258" s="5" t="str">
        <f>VLOOKUP($A258,'SegEnds_NonXtal_Prot#'!$A:$AL,12,FALSE)</f>
        <v>-</v>
      </c>
      <c r="V258" s="5">
        <f>VLOOKUP($A258,'SegEnds_NonXtal_Prot#'!$A:$AL,15,FALSE)</f>
        <v>77</v>
      </c>
      <c r="W258" s="5">
        <f>VLOOKUP($A258,'SegEnds_NonXtal_Prot#'!$A:$AL,18,FALSE)</f>
        <v>115</v>
      </c>
      <c r="X258" s="5">
        <f>VLOOKUP($A258,'SegEnds_NonXtal_Prot#'!$A:$AL,21,FALSE)</f>
        <v>123</v>
      </c>
      <c r="Y258" s="5" t="str">
        <f>VLOOKUP($A258,'SegEnds_NonXtal_Prot#'!$A:$AL,24,FALSE)</f>
        <v>-</v>
      </c>
      <c r="Z258" s="5">
        <f>VLOOKUP($A258,'SegEnds_NonXtal_Prot#'!$A:$AL,27,FALSE)</f>
        <v>169</v>
      </c>
      <c r="AA258" s="5">
        <f>VLOOKUP($A258,'SegEnds_NonXtal_Prot#'!$A:$AL,30,FALSE)</f>
        <v>219</v>
      </c>
      <c r="AB258" s="5">
        <f>VLOOKUP($A258,'SegEnds_NonXtal_Prot#'!$A:$AL,33,FALSE)</f>
        <v>257</v>
      </c>
      <c r="AC258" s="5">
        <f>VLOOKUP($A258,'SegEnds_NonXtal_Prot#'!$A:$AL,36,FALSE)</f>
        <v>283</v>
      </c>
      <c r="AD258" s="5">
        <f>VLOOKUP($A258,'SegEnds_NonXtal_Prot#'!$A:$AL,5,FALSE)</f>
        <v>36</v>
      </c>
      <c r="AE258" s="5">
        <f>VLOOKUP($A258,'SegEnds_NonXtal_Prot#'!$A:$AL,8,FALSE)</f>
        <v>40</v>
      </c>
      <c r="AF258" s="5">
        <f>VLOOKUP($A258,'SegEnds_NonXtal_Prot#'!$A:$AL,11,FALSE)</f>
        <v>71</v>
      </c>
      <c r="AG258" s="5" t="str">
        <f>VLOOKUP($A258,'SegEnds_NonXtal_Prot#'!$A:$AL,14,FALSE)</f>
        <v>-</v>
      </c>
      <c r="AH258" s="5">
        <f>VLOOKUP($A258,'SegEnds_NonXtal_Prot#'!$A:$AL,17,FALSE)</f>
        <v>112</v>
      </c>
      <c r="AI258" s="5">
        <f>VLOOKUP($A258,'SegEnds_NonXtal_Prot#'!$A:$AL,20,FALSE)</f>
        <v>122</v>
      </c>
      <c r="AJ258" s="5">
        <f>VLOOKUP($A258,'SegEnds_NonXtal_Prot#'!$A:$AL,23,FALSE)</f>
        <v>154</v>
      </c>
      <c r="AK258" s="5" t="str">
        <f>VLOOKUP($A258,'SegEnds_NonXtal_Prot#'!$A:$AL,26,FALSE)</f>
        <v>-</v>
      </c>
      <c r="AL258" s="5">
        <f>VLOOKUP($A258,'SegEnds_NonXtal_Prot#'!$A:$AL,29,FALSE)</f>
        <v>209</v>
      </c>
      <c r="AM258" s="5">
        <f>VLOOKUP($A258,'SegEnds_NonXtal_Prot#'!$A:$AL,32,FALSE)</f>
        <v>251</v>
      </c>
      <c r="AN258" s="5">
        <f>VLOOKUP($A258,'SegEnds_NonXtal_Prot#'!$A:$AL,35,FALSE)</f>
        <v>282</v>
      </c>
      <c r="AO258" s="5">
        <f>VLOOKUP($A258,'SegEnds_NonXtal_Prot#'!$A:$AL,38,FALSE)</f>
        <v>296</v>
      </c>
      <c r="AP258" s="5">
        <f t="shared" ref="AP258:AP321" si="113">IFERROR(AD258-R258,"-")</f>
        <v>30</v>
      </c>
      <c r="AQ258" s="4">
        <f t="shared" ref="AQ258:AQ321" si="114">IFERROR(AE258-S258,"-")</f>
        <v>3</v>
      </c>
      <c r="AR258" s="4">
        <f t="shared" ref="AR258:AR321" si="115">IFERROR(AF258-T258,"-")</f>
        <v>30</v>
      </c>
      <c r="AS258" s="4" t="str">
        <f t="shared" ref="AS258:AS321" si="116">IFERROR(AG258-U258,"-")</f>
        <v>-</v>
      </c>
      <c r="AT258" s="4">
        <f t="shared" ref="AT258:AT321" si="117">IFERROR(AH258-V258,"-")</f>
        <v>35</v>
      </c>
      <c r="AU258" s="4">
        <f t="shared" ref="AU258:AU321" si="118">IFERROR(AI258-W258,"-")</f>
        <v>7</v>
      </c>
      <c r="AV258" s="4">
        <f t="shared" ref="AV258:AV321" si="119">IFERROR(AJ258-X258,"-")</f>
        <v>31</v>
      </c>
      <c r="AW258" s="4" t="str">
        <f t="shared" ref="AW258:AW321" si="120">IFERROR(AK258-Y258,"-")</f>
        <v>-</v>
      </c>
      <c r="AX258" s="4">
        <f t="shared" ref="AX258:AX321" si="121">IFERROR(AL258-Z258,"-")</f>
        <v>40</v>
      </c>
      <c r="AY258" s="4">
        <f t="shared" ref="AY258:AY321" si="122">IFERROR(AM258-AA258,"-")</f>
        <v>32</v>
      </c>
      <c r="AZ258" s="4">
        <f t="shared" ref="AZ258:AZ321" si="123">IFERROR(AN258-AB258,"-")</f>
        <v>25</v>
      </c>
      <c r="BA258" s="4">
        <f t="shared" ref="BA258:BA321" si="124">IFERROR(AO258-AC258,"-")</f>
        <v>13</v>
      </c>
    </row>
    <row r="259" spans="1:53" x14ac:dyDescent="0.2">
      <c r="A259" s="1" t="str">
        <f>'SegEnds_NonXtal_Prot#'!A246</f>
        <v>t2r30_human</v>
      </c>
      <c r="B259" s="1" t="str">
        <f t="shared" si="100"/>
        <v>PIIFSILIVVIFVIGNFANGFIALVNSIEWVISFVDQILTALAVSRVGLLWVLLLHWYATQLSVEVRITAYNVWAVTNHFSSWLATSLSMFYLLRIANRRVKSVVLVILLGPLLFLVCHLFVINMRSAMYHSNMTLTMLANFVPLTLTLISFLLLICSLCKHLKKMPSTKVHIKALQTVTSFLLLCAIYFLSMIISVCNKQPVFMFCQAIIFSYPSTHPFILILGNKKLKQIFLSVLRH</v>
      </c>
      <c r="C259" s="29" t="str">
        <f>IF(ISERROR(MATCH(A259,'SegEnds_Xtal_Prot#'!B:B, 0)), "NoXtal", "Xtal")</f>
        <v>NoXtal</v>
      </c>
      <c r="D259" s="4" t="str">
        <f>VLOOKUP(A259,Classification!A:D,2,FALSE)</f>
        <v>T</v>
      </c>
      <c r="E259" s="5" t="str">
        <f>VLOOKUP(A259,Seqs!A:B,2,FALSE)</f>
        <v>MITFLPIIFSILIVVIFVIGNFANGFIALVNSIEWVKRQKISFVDQILTALAVSRVGLLWVLLLHWYATQLNPAFYSVEVRITAYNVWAVTNHFSSWLATSLSMFYLLRIANFSNLIFLRIKRRVKSVVLVILLGPLLFLVCHLFVINMDETVWTKEYEGNVTWKIKLRSAMYHSNMTLTMLANFVPLTLTLISFLLLICSLCKHLKKMQLHGKGSQDPSTKVHIKALQTVTSFLLLCAIYFLSMIISVCNFGRLEKQPVFMFCQAIIFSYPSTHPFILILGNKKLKQIFLSVLRHVRYWVKDRSLRLHRFTRGALCVF</v>
      </c>
      <c r="F259" s="5" t="str">
        <f t="shared" si="101"/>
        <v>PIIFSILIVVIFVIGNFANGFIALVNSIEWV</v>
      </c>
      <c r="G259" s="4" t="str">
        <f t="shared" si="102"/>
        <v>KRQK</v>
      </c>
      <c r="H259" s="4" t="str">
        <f t="shared" si="103"/>
        <v>ISFVDQILTALAVSRVGLLWVLLLHWYATQL</v>
      </c>
      <c r="I259" s="4" t="str">
        <f t="shared" si="104"/>
        <v/>
      </c>
      <c r="J259" s="4" t="str">
        <f t="shared" si="105"/>
        <v>SVEVRITAYNVWAVTNHFSSWLATSLSMFYLLRIAN</v>
      </c>
      <c r="K259" s="4" t="str">
        <f t="shared" si="106"/>
        <v>NLIFLRIK</v>
      </c>
      <c r="L259" s="4" t="str">
        <f t="shared" si="107"/>
        <v>RRVKSVVLVILLGPLLFLVCHLFVINM</v>
      </c>
      <c r="M259" s="4" t="str">
        <f t="shared" si="108"/>
        <v/>
      </c>
      <c r="N259" s="4" t="str">
        <f t="shared" si="109"/>
        <v>RSAMYHSNMTLTMLANFVPLTLTLISFLLLICSLCKHLKKM</v>
      </c>
      <c r="O259" s="4" t="str">
        <f t="shared" si="110"/>
        <v>PSTKVHIKALQTVTSFLLLCAIYFLSMIISVCN</v>
      </c>
      <c r="P259" s="4" t="str">
        <f t="shared" si="111"/>
        <v>KQPVFMFCQAIIFSYPSTHPFILILG</v>
      </c>
      <c r="Q259" s="4" t="str">
        <f t="shared" si="112"/>
        <v>NKKLKQIFLSVLRH</v>
      </c>
      <c r="R259" s="5">
        <f>VLOOKUP($A259,'SegEnds_NonXtal_Prot#'!$A:$AL,3,FALSE)</f>
        <v>6</v>
      </c>
      <c r="S259" s="5">
        <f>VLOOKUP($A259,'SegEnds_NonXtal_Prot#'!$A:$AL,6,FALSE)</f>
        <v>37</v>
      </c>
      <c r="T259" s="5">
        <f>VLOOKUP($A259,'SegEnds_NonXtal_Prot#'!$A:$AL,9,FALSE)</f>
        <v>41</v>
      </c>
      <c r="U259" s="5" t="str">
        <f>VLOOKUP($A259,'SegEnds_NonXtal_Prot#'!$A:$AL,12,FALSE)</f>
        <v>-</v>
      </c>
      <c r="V259" s="5">
        <f>VLOOKUP($A259,'SegEnds_NonXtal_Prot#'!$A:$AL,15,FALSE)</f>
        <v>77</v>
      </c>
      <c r="W259" s="5">
        <f>VLOOKUP($A259,'SegEnds_NonXtal_Prot#'!$A:$AL,18,FALSE)</f>
        <v>115</v>
      </c>
      <c r="X259" s="5">
        <f>VLOOKUP($A259,'SegEnds_NonXtal_Prot#'!$A:$AL,21,FALSE)</f>
        <v>123</v>
      </c>
      <c r="Y259" s="5" t="str">
        <f>VLOOKUP($A259,'SegEnds_NonXtal_Prot#'!$A:$AL,24,FALSE)</f>
        <v>-</v>
      </c>
      <c r="Z259" s="5">
        <f>VLOOKUP($A259,'SegEnds_NonXtal_Prot#'!$A:$AL,27,FALSE)</f>
        <v>169</v>
      </c>
      <c r="AA259" s="5">
        <f>VLOOKUP($A259,'SegEnds_NonXtal_Prot#'!$A:$AL,30,FALSE)</f>
        <v>219</v>
      </c>
      <c r="AB259" s="5">
        <f>VLOOKUP($A259,'SegEnds_NonXtal_Prot#'!$A:$AL,33,FALSE)</f>
        <v>257</v>
      </c>
      <c r="AC259" s="5">
        <f>VLOOKUP($A259,'SegEnds_NonXtal_Prot#'!$A:$AL,36,FALSE)</f>
        <v>283</v>
      </c>
      <c r="AD259" s="5">
        <f>VLOOKUP($A259,'SegEnds_NonXtal_Prot#'!$A:$AL,5,FALSE)</f>
        <v>36</v>
      </c>
      <c r="AE259" s="5">
        <f>VLOOKUP($A259,'SegEnds_NonXtal_Prot#'!$A:$AL,8,FALSE)</f>
        <v>40</v>
      </c>
      <c r="AF259" s="5">
        <f>VLOOKUP($A259,'SegEnds_NonXtal_Prot#'!$A:$AL,11,FALSE)</f>
        <v>71</v>
      </c>
      <c r="AG259" s="5" t="str">
        <f>VLOOKUP($A259,'SegEnds_NonXtal_Prot#'!$A:$AL,14,FALSE)</f>
        <v>-</v>
      </c>
      <c r="AH259" s="5">
        <f>VLOOKUP($A259,'SegEnds_NonXtal_Prot#'!$A:$AL,17,FALSE)</f>
        <v>112</v>
      </c>
      <c r="AI259" s="5">
        <f>VLOOKUP($A259,'SegEnds_NonXtal_Prot#'!$A:$AL,20,FALSE)</f>
        <v>122</v>
      </c>
      <c r="AJ259" s="5">
        <f>VLOOKUP($A259,'SegEnds_NonXtal_Prot#'!$A:$AL,23,FALSE)</f>
        <v>149</v>
      </c>
      <c r="AK259" s="5" t="str">
        <f>VLOOKUP($A259,'SegEnds_NonXtal_Prot#'!$A:$AL,26,FALSE)</f>
        <v>-</v>
      </c>
      <c r="AL259" s="5">
        <f>VLOOKUP($A259,'SegEnds_NonXtal_Prot#'!$A:$AL,29,FALSE)</f>
        <v>209</v>
      </c>
      <c r="AM259" s="5">
        <f>VLOOKUP($A259,'SegEnds_NonXtal_Prot#'!$A:$AL,32,FALSE)</f>
        <v>251</v>
      </c>
      <c r="AN259" s="5">
        <f>VLOOKUP($A259,'SegEnds_NonXtal_Prot#'!$A:$AL,35,FALSE)</f>
        <v>282</v>
      </c>
      <c r="AO259" s="5">
        <f>VLOOKUP($A259,'SegEnds_NonXtal_Prot#'!$A:$AL,38,FALSE)</f>
        <v>296</v>
      </c>
      <c r="AP259" s="5">
        <f t="shared" si="113"/>
        <v>30</v>
      </c>
      <c r="AQ259" s="4">
        <f t="shared" si="114"/>
        <v>3</v>
      </c>
      <c r="AR259" s="4">
        <f t="shared" si="115"/>
        <v>30</v>
      </c>
      <c r="AS259" s="4" t="str">
        <f t="shared" si="116"/>
        <v>-</v>
      </c>
      <c r="AT259" s="4">
        <f t="shared" si="117"/>
        <v>35</v>
      </c>
      <c r="AU259" s="4">
        <f t="shared" si="118"/>
        <v>7</v>
      </c>
      <c r="AV259" s="4">
        <f t="shared" si="119"/>
        <v>26</v>
      </c>
      <c r="AW259" s="4" t="str">
        <f t="shared" si="120"/>
        <v>-</v>
      </c>
      <c r="AX259" s="4">
        <f t="shared" si="121"/>
        <v>40</v>
      </c>
      <c r="AY259" s="4">
        <f t="shared" si="122"/>
        <v>32</v>
      </c>
      <c r="AZ259" s="4">
        <f t="shared" si="123"/>
        <v>25</v>
      </c>
      <c r="BA259" s="4">
        <f t="shared" si="124"/>
        <v>13</v>
      </c>
    </row>
    <row r="260" spans="1:53" x14ac:dyDescent="0.2">
      <c r="A260" s="1" t="str">
        <f>'SegEnds_NonXtal_Prot#'!A247</f>
        <v>t2r31_human</v>
      </c>
      <c r="B260" s="1" t="str">
        <f t="shared" si="100"/>
        <v>PIIFSSVVVVLFVIGNFANGFIALVNSIERVISFADQILTALAVSRVGLLWVLLLNWYSTVFSVEVRTTAYNVWAVTGHFSNWLATSLSIFYLLKIANRRVKSVILVMLLGPLLFLACQLFVINMRSAVYLSDATVTTLGNLVPFTLTLLCFLLLICSLCKHLKKMPSTKVHIKALQTVIFFLLLCAVYFLSIMISVWSNKPVFMFCKAIRFSYPSIHPFILIWGNKKLKQTFLSVLRQ</v>
      </c>
      <c r="C260" s="29" t="str">
        <f>IF(ISERROR(MATCH(A260,'SegEnds_Xtal_Prot#'!B:B, 0)), "NoXtal", "Xtal")</f>
        <v>NoXtal</v>
      </c>
      <c r="D260" s="4" t="str">
        <f>VLOOKUP(A260,Classification!A:D,2,FALSE)</f>
        <v>T</v>
      </c>
      <c r="E260" s="5" t="str">
        <f>VLOOKUP(A260,Seqs!A:B,2,FALSE)</f>
        <v>MTTFIPIIFSSVVVVLFVIGNFANGFIALVNSIERVKRQKISFADQILTALAVSRVGLLWVLLLNWYSTVFNPAFYSVEVRTTAYNVWAVTGHFSNWLATSLSIFYLLKIANFSNLIFLHLKRRVKSVILVMLLGPLLFLACQLFVINMKEIVRTKEYEGNLTWKIKLRSAVYLSDATVTTLGNLVPFTLTLLCFLLLICSLCKHLKKMQLHGKGSQDPSTKVHIKALQTVIFFLLLCAVYFLSIMISVWSFGSLENKPVFMFCKAIRFSYPSIHPFILIWGNKKLKQTFLSVLRQVRYWVKGEKPSSP</v>
      </c>
      <c r="F260" s="5" t="str">
        <f t="shared" si="101"/>
        <v>PIIFSSVVVVLFVIGNFANGFIALVNSIERV</v>
      </c>
      <c r="G260" s="4" t="str">
        <f t="shared" si="102"/>
        <v>KRQK</v>
      </c>
      <c r="H260" s="4" t="str">
        <f t="shared" si="103"/>
        <v>ISFADQILTALAVSRVGLLWVLLLNWYSTVF</v>
      </c>
      <c r="I260" s="4" t="str">
        <f t="shared" si="104"/>
        <v/>
      </c>
      <c r="J260" s="4" t="str">
        <f t="shared" si="105"/>
        <v>SVEVRTTAYNVWAVTGHFSNWLATSLSIFYLLKIAN</v>
      </c>
      <c r="K260" s="4" t="str">
        <f t="shared" si="106"/>
        <v>NLIFLHLK</v>
      </c>
      <c r="L260" s="4" t="str">
        <f t="shared" si="107"/>
        <v>RRVKSVILVMLLGPLLFLACQLFVINM</v>
      </c>
      <c r="M260" s="4" t="str">
        <f t="shared" si="108"/>
        <v/>
      </c>
      <c r="N260" s="4" t="str">
        <f t="shared" si="109"/>
        <v>RSAVYLSDATVTTLGNLVPFTLTLLCFLLLICSLCKHLKKM</v>
      </c>
      <c r="O260" s="4" t="str">
        <f t="shared" si="110"/>
        <v>PSTKVHIKALQTVIFFLLLCAVYFLSIMISVWS</v>
      </c>
      <c r="P260" s="4" t="str">
        <f t="shared" si="111"/>
        <v>NKPVFMFCKAIRFSYPSIHPFILIWG</v>
      </c>
      <c r="Q260" s="4" t="str">
        <f t="shared" si="112"/>
        <v>NKKLKQTFLSVLRQ</v>
      </c>
      <c r="R260" s="5">
        <f>VLOOKUP($A260,'SegEnds_NonXtal_Prot#'!$A:$AL,3,FALSE)</f>
        <v>6</v>
      </c>
      <c r="S260" s="5">
        <f>VLOOKUP($A260,'SegEnds_NonXtal_Prot#'!$A:$AL,6,FALSE)</f>
        <v>37</v>
      </c>
      <c r="T260" s="5">
        <f>VLOOKUP($A260,'SegEnds_NonXtal_Prot#'!$A:$AL,9,FALSE)</f>
        <v>41</v>
      </c>
      <c r="U260" s="5" t="str">
        <f>VLOOKUP($A260,'SegEnds_NonXtal_Prot#'!$A:$AL,12,FALSE)</f>
        <v>-</v>
      </c>
      <c r="V260" s="5">
        <f>VLOOKUP($A260,'SegEnds_NonXtal_Prot#'!$A:$AL,15,FALSE)</f>
        <v>77</v>
      </c>
      <c r="W260" s="5">
        <f>VLOOKUP($A260,'SegEnds_NonXtal_Prot#'!$A:$AL,18,FALSE)</f>
        <v>115</v>
      </c>
      <c r="X260" s="5">
        <f>VLOOKUP($A260,'SegEnds_NonXtal_Prot#'!$A:$AL,21,FALSE)</f>
        <v>123</v>
      </c>
      <c r="Y260" s="5" t="str">
        <f>VLOOKUP($A260,'SegEnds_NonXtal_Prot#'!$A:$AL,24,FALSE)</f>
        <v>-</v>
      </c>
      <c r="Z260" s="5">
        <f>VLOOKUP($A260,'SegEnds_NonXtal_Prot#'!$A:$AL,27,FALSE)</f>
        <v>169</v>
      </c>
      <c r="AA260" s="5">
        <f>VLOOKUP($A260,'SegEnds_NonXtal_Prot#'!$A:$AL,30,FALSE)</f>
        <v>219</v>
      </c>
      <c r="AB260" s="5">
        <f>VLOOKUP($A260,'SegEnds_NonXtal_Prot#'!$A:$AL,33,FALSE)</f>
        <v>257</v>
      </c>
      <c r="AC260" s="5">
        <f>VLOOKUP($A260,'SegEnds_NonXtal_Prot#'!$A:$AL,36,FALSE)</f>
        <v>283</v>
      </c>
      <c r="AD260" s="5">
        <f>VLOOKUP($A260,'SegEnds_NonXtal_Prot#'!$A:$AL,5,FALSE)</f>
        <v>36</v>
      </c>
      <c r="AE260" s="5">
        <f>VLOOKUP($A260,'SegEnds_NonXtal_Prot#'!$A:$AL,8,FALSE)</f>
        <v>40</v>
      </c>
      <c r="AF260" s="5">
        <f>VLOOKUP($A260,'SegEnds_NonXtal_Prot#'!$A:$AL,11,FALSE)</f>
        <v>71</v>
      </c>
      <c r="AG260" s="5" t="str">
        <f>VLOOKUP($A260,'SegEnds_NonXtal_Prot#'!$A:$AL,14,FALSE)</f>
        <v>-</v>
      </c>
      <c r="AH260" s="5">
        <f>VLOOKUP($A260,'SegEnds_NonXtal_Prot#'!$A:$AL,17,FALSE)</f>
        <v>112</v>
      </c>
      <c r="AI260" s="5">
        <f>VLOOKUP($A260,'SegEnds_NonXtal_Prot#'!$A:$AL,20,FALSE)</f>
        <v>122</v>
      </c>
      <c r="AJ260" s="5">
        <f>VLOOKUP($A260,'SegEnds_NonXtal_Prot#'!$A:$AL,23,FALSE)</f>
        <v>149</v>
      </c>
      <c r="AK260" s="5" t="str">
        <f>VLOOKUP($A260,'SegEnds_NonXtal_Prot#'!$A:$AL,26,FALSE)</f>
        <v>-</v>
      </c>
      <c r="AL260" s="5">
        <f>VLOOKUP($A260,'SegEnds_NonXtal_Prot#'!$A:$AL,29,FALSE)</f>
        <v>209</v>
      </c>
      <c r="AM260" s="5">
        <f>VLOOKUP($A260,'SegEnds_NonXtal_Prot#'!$A:$AL,32,FALSE)</f>
        <v>251</v>
      </c>
      <c r="AN260" s="5">
        <f>VLOOKUP($A260,'SegEnds_NonXtal_Prot#'!$A:$AL,35,FALSE)</f>
        <v>282</v>
      </c>
      <c r="AO260" s="5">
        <f>VLOOKUP($A260,'SegEnds_NonXtal_Prot#'!$A:$AL,38,FALSE)</f>
        <v>296</v>
      </c>
      <c r="AP260" s="5">
        <f t="shared" si="113"/>
        <v>30</v>
      </c>
      <c r="AQ260" s="4">
        <f t="shared" si="114"/>
        <v>3</v>
      </c>
      <c r="AR260" s="4">
        <f t="shared" si="115"/>
        <v>30</v>
      </c>
      <c r="AS260" s="4" t="str">
        <f t="shared" si="116"/>
        <v>-</v>
      </c>
      <c r="AT260" s="4">
        <f t="shared" si="117"/>
        <v>35</v>
      </c>
      <c r="AU260" s="4">
        <f t="shared" si="118"/>
        <v>7</v>
      </c>
      <c r="AV260" s="4">
        <f t="shared" si="119"/>
        <v>26</v>
      </c>
      <c r="AW260" s="4" t="str">
        <f t="shared" si="120"/>
        <v>-</v>
      </c>
      <c r="AX260" s="4">
        <f t="shared" si="121"/>
        <v>40</v>
      </c>
      <c r="AY260" s="4">
        <f t="shared" si="122"/>
        <v>32</v>
      </c>
      <c r="AZ260" s="4">
        <f t="shared" si="123"/>
        <v>25</v>
      </c>
      <c r="BA260" s="4">
        <f t="shared" si="124"/>
        <v>13</v>
      </c>
    </row>
    <row r="261" spans="1:53" x14ac:dyDescent="0.2">
      <c r="A261" s="1" t="str">
        <f>'SegEnds_NonXtal_Prot#'!A248</f>
        <v>t2r38_human</v>
      </c>
      <c r="B261" s="1" t="str">
        <f t="shared" si="100"/>
        <v>RSTFLFISVLEFAVGFLTNAFVFLVNFWDVVLSNSDCVLLCLSISRLFLHGLLFLSAIQLTHFSEPLNHSYQAIIMLWMIANQANLWLAACLSLLYCSKLIRSWVSRKISQMLLGIILCSCICTVLCVWKDLNLFYSFLFCYLWSVPPFLLFLVSSGMLTVSLGRHMRTMPSLEAHIKALKSLVSFFCFFVISSCAAFISVPLDKIGVMVCVGIMAACPSGHAAILISGNAKLRRAVMTILLW</v>
      </c>
      <c r="C261" s="29" t="str">
        <f>IF(ISERROR(MATCH(A261,'SegEnds_Xtal_Prot#'!B:B, 0)), "NoXtal", "Xtal")</f>
        <v>NoXtal</v>
      </c>
      <c r="D261" s="4" t="str">
        <f>VLOOKUP(A261,Classification!A:D,2,FALSE)</f>
        <v>T</v>
      </c>
      <c r="E261" s="5" t="str">
        <f>VLOOKUP(A261,Seqs!A:B,2,FALSE)</f>
        <v>MLTLTRIRTVSYEVRSTFLFISVLEFAVGFLTNAFVFLVNFWDVVKRQALSNSDCVLLCLSISRLFLHGLLFLSAIQLTHFQKLSEPLNHSYQAIIMLWMIANQANLWLAACLSLLYCSKLIRFSHTFLICLASWVSRKISQMLLGIILCSCICTVLCVWCFFSRPHFTVTTVLFMNNNTRLNWQIKDLNLFYSFLFCYLWSVPPFLLFLVSSGMLTVSLGRHMRTMKVYTRNSRDPSLEAHIKALKSLVSFFCFFVISSCAAFISVPLLILWRDKIGVMVCVGIMAACPSGHAAILISGNAKLRRAVMTILLWAQSSLKVRADHKADSRTLC</v>
      </c>
      <c r="F261" s="5" t="str">
        <f t="shared" si="101"/>
        <v>RSTFLFISVLEFAVGFLTNAFVFLVNFWDVV</v>
      </c>
      <c r="G261" s="4" t="str">
        <f t="shared" si="102"/>
        <v>KRQA</v>
      </c>
      <c r="H261" s="4" t="str">
        <f t="shared" si="103"/>
        <v>LSNSDCVLLCLSISRLFLHGLLFLSAIQLTHF</v>
      </c>
      <c r="I261" s="4" t="str">
        <f t="shared" si="104"/>
        <v/>
      </c>
      <c r="J261" s="4" t="str">
        <f t="shared" si="105"/>
        <v>SEPLNHSYQAIIMLWMIANQANLWLAACLSLLYCSKLIR</v>
      </c>
      <c r="K261" s="4" t="str">
        <f t="shared" si="106"/>
        <v>HTFLICLA</v>
      </c>
      <c r="L261" s="4" t="str">
        <f t="shared" si="107"/>
        <v>SWVSRKISQMLLGIILCSCICTVLCVW</v>
      </c>
      <c r="M261" s="4" t="str">
        <f t="shared" si="108"/>
        <v/>
      </c>
      <c r="N261" s="4" t="str">
        <f t="shared" si="109"/>
        <v>KDLNLFYSFLFCYLWSVPPFLLFLVSSGMLTVSLGRHMRTM</v>
      </c>
      <c r="O261" s="4" t="str">
        <f t="shared" si="110"/>
        <v>PSLEAHIKALKSLVSFFCFFVISSCAAFISVPL</v>
      </c>
      <c r="P261" s="4" t="str">
        <f t="shared" si="111"/>
        <v>DKIGVMVCVGIMAACPSGHAAILISG</v>
      </c>
      <c r="Q261" s="4" t="str">
        <f t="shared" si="112"/>
        <v>NAKLRRAVMTILLW</v>
      </c>
      <c r="R261" s="5">
        <f>VLOOKUP($A261,'SegEnds_NonXtal_Prot#'!$A:$AL,3,FALSE)</f>
        <v>15</v>
      </c>
      <c r="S261" s="5">
        <f>VLOOKUP($A261,'SegEnds_NonXtal_Prot#'!$A:$AL,6,FALSE)</f>
        <v>46</v>
      </c>
      <c r="T261" s="5">
        <f>VLOOKUP($A261,'SegEnds_NonXtal_Prot#'!$A:$AL,9,FALSE)</f>
        <v>50</v>
      </c>
      <c r="U261" s="5" t="str">
        <f>VLOOKUP($A261,'SegEnds_NonXtal_Prot#'!$A:$AL,12,FALSE)</f>
        <v>-</v>
      </c>
      <c r="V261" s="5">
        <f>VLOOKUP($A261,'SegEnds_NonXtal_Prot#'!$A:$AL,15,FALSE)</f>
        <v>85</v>
      </c>
      <c r="W261" s="5">
        <f>VLOOKUP($A261,'SegEnds_NonXtal_Prot#'!$A:$AL,18,FALSE)</f>
        <v>126</v>
      </c>
      <c r="X261" s="5">
        <f>VLOOKUP($A261,'SegEnds_NonXtal_Prot#'!$A:$AL,21,FALSE)</f>
        <v>134</v>
      </c>
      <c r="Y261" s="5" t="str">
        <f>VLOOKUP($A261,'SegEnds_NonXtal_Prot#'!$A:$AL,24,FALSE)</f>
        <v>-</v>
      </c>
      <c r="Z261" s="5">
        <f>VLOOKUP($A261,'SegEnds_NonXtal_Prot#'!$A:$AL,27,FALSE)</f>
        <v>187</v>
      </c>
      <c r="AA261" s="5">
        <f>VLOOKUP($A261,'SegEnds_NonXtal_Prot#'!$A:$AL,30,FALSE)</f>
        <v>237</v>
      </c>
      <c r="AB261" s="5">
        <f>VLOOKUP($A261,'SegEnds_NonXtal_Prot#'!$A:$AL,33,FALSE)</f>
        <v>275</v>
      </c>
      <c r="AC261" s="5">
        <f>VLOOKUP($A261,'SegEnds_NonXtal_Prot#'!$A:$AL,36,FALSE)</f>
        <v>301</v>
      </c>
      <c r="AD261" s="5">
        <f>VLOOKUP($A261,'SegEnds_NonXtal_Prot#'!$A:$AL,5,FALSE)</f>
        <v>45</v>
      </c>
      <c r="AE261" s="5">
        <f>VLOOKUP($A261,'SegEnds_NonXtal_Prot#'!$A:$AL,8,FALSE)</f>
        <v>49</v>
      </c>
      <c r="AF261" s="5">
        <f>VLOOKUP($A261,'SegEnds_NonXtal_Prot#'!$A:$AL,11,FALSE)</f>
        <v>81</v>
      </c>
      <c r="AG261" s="5" t="str">
        <f>VLOOKUP($A261,'SegEnds_NonXtal_Prot#'!$A:$AL,14,FALSE)</f>
        <v>-</v>
      </c>
      <c r="AH261" s="5">
        <f>VLOOKUP($A261,'SegEnds_NonXtal_Prot#'!$A:$AL,17,FALSE)</f>
        <v>123</v>
      </c>
      <c r="AI261" s="5">
        <f>VLOOKUP($A261,'SegEnds_NonXtal_Prot#'!$A:$AL,20,FALSE)</f>
        <v>133</v>
      </c>
      <c r="AJ261" s="5">
        <f>VLOOKUP($A261,'SegEnds_NonXtal_Prot#'!$A:$AL,23,FALSE)</f>
        <v>160</v>
      </c>
      <c r="AK261" s="5" t="str">
        <f>VLOOKUP($A261,'SegEnds_NonXtal_Prot#'!$A:$AL,26,FALSE)</f>
        <v>-</v>
      </c>
      <c r="AL261" s="5">
        <f>VLOOKUP($A261,'SegEnds_NonXtal_Prot#'!$A:$AL,29,FALSE)</f>
        <v>227</v>
      </c>
      <c r="AM261" s="5">
        <f>VLOOKUP($A261,'SegEnds_NonXtal_Prot#'!$A:$AL,32,FALSE)</f>
        <v>269</v>
      </c>
      <c r="AN261" s="5">
        <f>VLOOKUP($A261,'SegEnds_NonXtal_Prot#'!$A:$AL,35,FALSE)</f>
        <v>300</v>
      </c>
      <c r="AO261" s="5">
        <f>VLOOKUP($A261,'SegEnds_NonXtal_Prot#'!$A:$AL,38,FALSE)</f>
        <v>314</v>
      </c>
      <c r="AP261" s="5">
        <f t="shared" si="113"/>
        <v>30</v>
      </c>
      <c r="AQ261" s="4">
        <f t="shared" si="114"/>
        <v>3</v>
      </c>
      <c r="AR261" s="4">
        <f t="shared" si="115"/>
        <v>31</v>
      </c>
      <c r="AS261" s="4" t="str">
        <f t="shared" si="116"/>
        <v>-</v>
      </c>
      <c r="AT261" s="4">
        <f t="shared" si="117"/>
        <v>38</v>
      </c>
      <c r="AU261" s="4">
        <f t="shared" si="118"/>
        <v>7</v>
      </c>
      <c r="AV261" s="4">
        <f t="shared" si="119"/>
        <v>26</v>
      </c>
      <c r="AW261" s="4" t="str">
        <f t="shared" si="120"/>
        <v>-</v>
      </c>
      <c r="AX261" s="4">
        <f t="shared" si="121"/>
        <v>40</v>
      </c>
      <c r="AY261" s="4">
        <f t="shared" si="122"/>
        <v>32</v>
      </c>
      <c r="AZ261" s="4">
        <f t="shared" si="123"/>
        <v>25</v>
      </c>
      <c r="BA261" s="4">
        <f t="shared" si="124"/>
        <v>13</v>
      </c>
    </row>
    <row r="262" spans="1:53" x14ac:dyDescent="0.2">
      <c r="A262" s="1" t="str">
        <f>'SegEnds_NonXtal_Prot#'!A249</f>
        <v>t2r39_human</v>
      </c>
      <c r="B262" s="1" t="str">
        <f t="shared" si="100"/>
        <v>ITLILAVLLAEYLIGIIANGFIMAIHAAEWVVSTSGRILVFLSVSRIALQSLMMLEITISSTFYSEDAVYYAFKISFIFLNFCSLWFAAWLSFFYFVKIANWRITGLIPWLLWLSVFISFSHSMFCINSEINVVGLAFFFNLGIVTPLIMFILTATLLILSLKRHTLHMPSMEAHMGAIKAISYFLILYIFNAVALFIYLSNNSLWNNLCQIIMAAYPASHSILLIQDNPGLRRAWKRLQLR</v>
      </c>
      <c r="C262" s="29" t="str">
        <f>IF(ISERROR(MATCH(A262,'SegEnds_Xtal_Prot#'!B:B, 0)), "NoXtal", "Xtal")</f>
        <v>NoXtal</v>
      </c>
      <c r="D262" s="4" t="str">
        <f>VLOOKUP(A262,Classification!A:D,2,FALSE)</f>
        <v>T</v>
      </c>
      <c r="E262" s="5" t="str">
        <f>VLOOKUP(A262,Seqs!A:B,2,FALSE)</f>
        <v>MLGRCFPPDTKEKQQLRMTKLCDPAESELSPFLITLILAVLLAEYLIGIIANGFIMAIHAAEWVQNKAVSTSGRILVFLSVSRIALQSLMMLEITISSTSLSFYSEDAVYYAFKISFIFLNFCSLWFAAWLSFFYFVKIANFSYPLFLKLRWRITGLIPWLLWLSVFISFSHSMFCINICTVYCNNSFPIHSSNSTKKTYLSEINVVGLAFFFNLGIVTPLIMFILTATLLILSLKRHTLHMGSNATGSNDPSMEAHMGAIKAISYFLILYIFNAVALFIYLSNMFDINSLWNNLCQIIMAAYPASHSILLIQDNPGLRRAWKRLQLRLHLYPKEWTL</v>
      </c>
      <c r="F262" s="5" t="str">
        <f t="shared" si="101"/>
        <v>ITLILAVLLAEYLIGIIANGFIMAIHAAEWV</v>
      </c>
      <c r="G262" s="4" t="str">
        <f t="shared" si="102"/>
        <v>QNKA</v>
      </c>
      <c r="H262" s="4" t="str">
        <f t="shared" si="103"/>
        <v>VSTSGRILVFLSVSRIALQSLMMLEITISST</v>
      </c>
      <c r="I262" s="4" t="str">
        <f t="shared" si="104"/>
        <v/>
      </c>
      <c r="J262" s="4" t="str">
        <f t="shared" si="105"/>
        <v>FYSEDAVYYAFKISFIFLNFCSLWFAAWLSFFYFVKIAN</v>
      </c>
      <c r="K262" s="4" t="str">
        <f t="shared" si="106"/>
        <v>YPLFLKLR</v>
      </c>
      <c r="L262" s="4" t="str">
        <f t="shared" si="107"/>
        <v>WRITGLIPWLLWLSVFISFSHSMFCIN</v>
      </c>
      <c r="M262" s="4" t="str">
        <f t="shared" si="108"/>
        <v/>
      </c>
      <c r="N262" s="4" t="str">
        <f t="shared" si="109"/>
        <v>SEINVVGLAFFFNLGIVTPLIMFILTATLLILSLKRHTLHM</v>
      </c>
      <c r="O262" s="4" t="str">
        <f t="shared" si="110"/>
        <v>PSMEAHMGAIKAISYFLILYIFNAVALFIYLSN</v>
      </c>
      <c r="P262" s="4" t="str">
        <f t="shared" si="111"/>
        <v>NSLWNNLCQIIMAAYPASHSILLIQD</v>
      </c>
      <c r="Q262" s="4" t="str">
        <f t="shared" si="112"/>
        <v>NPGLRRAWKRLQLR</v>
      </c>
      <c r="R262" s="5">
        <f>VLOOKUP($A262,'SegEnds_NonXtal_Prot#'!$A:$AL,3,FALSE)</f>
        <v>34</v>
      </c>
      <c r="S262" s="5">
        <f>VLOOKUP($A262,'SegEnds_NonXtal_Prot#'!$A:$AL,6,FALSE)</f>
        <v>65</v>
      </c>
      <c r="T262" s="5">
        <f>VLOOKUP($A262,'SegEnds_NonXtal_Prot#'!$A:$AL,9,FALSE)</f>
        <v>69</v>
      </c>
      <c r="U262" s="5" t="str">
        <f>VLOOKUP($A262,'SegEnds_NonXtal_Prot#'!$A:$AL,12,FALSE)</f>
        <v>-</v>
      </c>
      <c r="V262" s="5">
        <f>VLOOKUP($A262,'SegEnds_NonXtal_Prot#'!$A:$AL,15,FALSE)</f>
        <v>103</v>
      </c>
      <c r="W262" s="5">
        <f>VLOOKUP($A262,'SegEnds_NonXtal_Prot#'!$A:$AL,18,FALSE)</f>
        <v>144</v>
      </c>
      <c r="X262" s="5">
        <f>VLOOKUP($A262,'SegEnds_NonXtal_Prot#'!$A:$AL,21,FALSE)</f>
        <v>152</v>
      </c>
      <c r="Y262" s="5" t="str">
        <f>VLOOKUP($A262,'SegEnds_NonXtal_Prot#'!$A:$AL,24,FALSE)</f>
        <v>-</v>
      </c>
      <c r="Z262" s="5">
        <f>VLOOKUP($A262,'SegEnds_NonXtal_Prot#'!$A:$AL,27,FALSE)</f>
        <v>202</v>
      </c>
      <c r="AA262" s="5">
        <f>VLOOKUP($A262,'SegEnds_NonXtal_Prot#'!$A:$AL,30,FALSE)</f>
        <v>252</v>
      </c>
      <c r="AB262" s="5">
        <f>VLOOKUP($A262,'SegEnds_NonXtal_Prot#'!$A:$AL,33,FALSE)</f>
        <v>289</v>
      </c>
      <c r="AC262" s="5">
        <f>VLOOKUP($A262,'SegEnds_NonXtal_Prot#'!$A:$AL,36,FALSE)</f>
        <v>315</v>
      </c>
      <c r="AD262" s="5">
        <f>VLOOKUP($A262,'SegEnds_NonXtal_Prot#'!$A:$AL,5,FALSE)</f>
        <v>64</v>
      </c>
      <c r="AE262" s="5">
        <f>VLOOKUP($A262,'SegEnds_NonXtal_Prot#'!$A:$AL,8,FALSE)</f>
        <v>68</v>
      </c>
      <c r="AF262" s="5">
        <f>VLOOKUP($A262,'SegEnds_NonXtal_Prot#'!$A:$AL,11,FALSE)</f>
        <v>99</v>
      </c>
      <c r="AG262" s="5" t="str">
        <f>VLOOKUP($A262,'SegEnds_NonXtal_Prot#'!$A:$AL,14,FALSE)</f>
        <v>-</v>
      </c>
      <c r="AH262" s="5">
        <f>VLOOKUP($A262,'SegEnds_NonXtal_Prot#'!$A:$AL,17,FALSE)</f>
        <v>141</v>
      </c>
      <c r="AI262" s="5">
        <f>VLOOKUP($A262,'SegEnds_NonXtal_Prot#'!$A:$AL,20,FALSE)</f>
        <v>151</v>
      </c>
      <c r="AJ262" s="5">
        <f>VLOOKUP($A262,'SegEnds_NonXtal_Prot#'!$A:$AL,23,FALSE)</f>
        <v>178</v>
      </c>
      <c r="AK262" s="5" t="str">
        <f>VLOOKUP($A262,'SegEnds_NonXtal_Prot#'!$A:$AL,26,FALSE)</f>
        <v>-</v>
      </c>
      <c r="AL262" s="5">
        <f>VLOOKUP($A262,'SegEnds_NonXtal_Prot#'!$A:$AL,29,FALSE)</f>
        <v>242</v>
      </c>
      <c r="AM262" s="5">
        <f>VLOOKUP($A262,'SegEnds_NonXtal_Prot#'!$A:$AL,32,FALSE)</f>
        <v>284</v>
      </c>
      <c r="AN262" s="5">
        <f>VLOOKUP($A262,'SegEnds_NonXtal_Prot#'!$A:$AL,35,FALSE)</f>
        <v>314</v>
      </c>
      <c r="AO262" s="5">
        <f>VLOOKUP($A262,'SegEnds_NonXtal_Prot#'!$A:$AL,38,FALSE)</f>
        <v>328</v>
      </c>
      <c r="AP262" s="5">
        <f t="shared" si="113"/>
        <v>30</v>
      </c>
      <c r="AQ262" s="4">
        <f t="shared" si="114"/>
        <v>3</v>
      </c>
      <c r="AR262" s="4">
        <f t="shared" si="115"/>
        <v>30</v>
      </c>
      <c r="AS262" s="4" t="str">
        <f t="shared" si="116"/>
        <v>-</v>
      </c>
      <c r="AT262" s="4">
        <f t="shared" si="117"/>
        <v>38</v>
      </c>
      <c r="AU262" s="4">
        <f t="shared" si="118"/>
        <v>7</v>
      </c>
      <c r="AV262" s="4">
        <f t="shared" si="119"/>
        <v>26</v>
      </c>
      <c r="AW262" s="4" t="str">
        <f t="shared" si="120"/>
        <v>-</v>
      </c>
      <c r="AX262" s="4">
        <f t="shared" si="121"/>
        <v>40</v>
      </c>
      <c r="AY262" s="4">
        <f t="shared" si="122"/>
        <v>32</v>
      </c>
      <c r="AZ262" s="4">
        <f t="shared" si="123"/>
        <v>25</v>
      </c>
      <c r="BA262" s="4">
        <f t="shared" si="124"/>
        <v>13</v>
      </c>
    </row>
    <row r="263" spans="1:53" x14ac:dyDescent="0.2">
      <c r="A263" s="1" t="str">
        <f>'SegEnds_NonXtal_Prot#'!A250</f>
        <v>t2r40_human</v>
      </c>
      <c r="B263" s="1" t="str">
        <f t="shared" si="100"/>
        <v>VTFTLVVSGIECITGILGSGFITAIYGAEWALPTGDRIMLMLSFSRLLLQIWMMLENIFSLLVYNQNSVYILFKVITVFLNHSNLWFAAWLKVFYCLRIANRKIIVLMPWLLRLSVLVSLSFSFPLSRSETNMVNLVFFYNMGIFVPLIMFILAATLLILSLKRHTLHMPSMKAHIGAIKATSYFLILYIFNAIALFLSTSNYSSWNILCKIIMAAYPAGHSVQLILGNPGLRRAWKRFQHQ</v>
      </c>
      <c r="C263" s="29" t="str">
        <f>IF(ISERROR(MATCH(A263,'SegEnds_Xtal_Prot#'!B:B, 0)), "NoXtal", "Xtal")</f>
        <v>NoXtal</v>
      </c>
      <c r="D263" s="4" t="str">
        <f>VLOOKUP(A263,Classification!A:D,2,FALSE)</f>
        <v>T</v>
      </c>
      <c r="E263" s="5" t="str">
        <f>VLOOKUP(A263,Seqs!A:B,2,FALSE)</f>
        <v>MATVNTDATDKDISKFKVTFTLVVSGIECITGILGSGFITAIYGAEWARGKTLPTGDRIMLMLSFSRLLLQIWMMLENIFSLLFRIVYNQNSVYILFKVITVFLNHSNLWFAAWLKVFYCLRIANFNHPLFFLMKRKIIVLMPWLLRLSVLVSLSFSFPLSRDVFNVYVNSSIPIPSSNSTEKKYFSETNMVNLVFFYNMGIFVPLIMFILAATLLILSLKRHTLHMGSNATGSRDPSMKAHIGAIKATSYFLILYIFNAIALFLSTSNIFDTYSSWNILCKIIMAAYPAGHSVQLILGNPGLRRAWKRFQHQVPLYLKGQTL</v>
      </c>
      <c r="F263" s="5" t="str">
        <f t="shared" si="101"/>
        <v>VTFTLVVSGIECITGILGSGFITAIYGAEWA</v>
      </c>
      <c r="G263" s="4" t="str">
        <f t="shared" si="102"/>
        <v>RGKT</v>
      </c>
      <c r="H263" s="4" t="str">
        <f t="shared" si="103"/>
        <v>LPTGDRIMLMLSFSRLLLQIWMMLENIFSLL</v>
      </c>
      <c r="I263" s="4" t="str">
        <f t="shared" si="104"/>
        <v/>
      </c>
      <c r="J263" s="4" t="str">
        <f t="shared" si="105"/>
        <v>VYNQNSVYILFKVITVFLNHSNLWFAAWLKVFYCLRIAN</v>
      </c>
      <c r="K263" s="4" t="str">
        <f t="shared" si="106"/>
        <v>HPLFFLMK</v>
      </c>
      <c r="L263" s="4" t="str">
        <f t="shared" si="107"/>
        <v>RKIIVLMPWLLRLSVLVSLSFSFPLSR</v>
      </c>
      <c r="M263" s="4" t="str">
        <f t="shared" si="108"/>
        <v/>
      </c>
      <c r="N263" s="4" t="str">
        <f t="shared" si="109"/>
        <v>SETNMVNLVFFYNMGIFVPLIMFILAATLLILSLKRHTLHM</v>
      </c>
      <c r="O263" s="4" t="str">
        <f t="shared" si="110"/>
        <v>PSMKAHIGAIKATSYFLILYIFNAIALFLSTSN</v>
      </c>
      <c r="P263" s="4" t="str">
        <f t="shared" si="111"/>
        <v>YSSWNILCKIIMAAYPAGHSVQLILG</v>
      </c>
      <c r="Q263" s="4" t="str">
        <f t="shared" si="112"/>
        <v>NPGLRRAWKRFQHQ</v>
      </c>
      <c r="R263" s="5">
        <f>VLOOKUP($A263,'SegEnds_NonXtal_Prot#'!$A:$AL,3,FALSE)</f>
        <v>18</v>
      </c>
      <c r="S263" s="5">
        <f>VLOOKUP($A263,'SegEnds_NonXtal_Prot#'!$A:$AL,6,FALSE)</f>
        <v>49</v>
      </c>
      <c r="T263" s="5">
        <f>VLOOKUP($A263,'SegEnds_NonXtal_Prot#'!$A:$AL,9,FALSE)</f>
        <v>53</v>
      </c>
      <c r="U263" s="5" t="str">
        <f>VLOOKUP($A263,'SegEnds_NonXtal_Prot#'!$A:$AL,12,FALSE)</f>
        <v>-</v>
      </c>
      <c r="V263" s="5">
        <f>VLOOKUP($A263,'SegEnds_NonXtal_Prot#'!$A:$AL,15,FALSE)</f>
        <v>87</v>
      </c>
      <c r="W263" s="5">
        <f>VLOOKUP($A263,'SegEnds_NonXtal_Prot#'!$A:$AL,18,FALSE)</f>
        <v>128</v>
      </c>
      <c r="X263" s="5">
        <f>VLOOKUP($A263,'SegEnds_NonXtal_Prot#'!$A:$AL,21,FALSE)</f>
        <v>136</v>
      </c>
      <c r="Y263" s="5" t="str">
        <f>VLOOKUP($A263,'SegEnds_NonXtal_Prot#'!$A:$AL,24,FALSE)</f>
        <v>-</v>
      </c>
      <c r="Z263" s="5">
        <f>VLOOKUP($A263,'SegEnds_NonXtal_Prot#'!$A:$AL,27,FALSE)</f>
        <v>187</v>
      </c>
      <c r="AA263" s="5">
        <f>VLOOKUP($A263,'SegEnds_NonXtal_Prot#'!$A:$AL,30,FALSE)</f>
        <v>237</v>
      </c>
      <c r="AB263" s="5">
        <f>VLOOKUP($A263,'SegEnds_NonXtal_Prot#'!$A:$AL,33,FALSE)</f>
        <v>274</v>
      </c>
      <c r="AC263" s="5">
        <f>VLOOKUP($A263,'SegEnds_NonXtal_Prot#'!$A:$AL,36,FALSE)</f>
        <v>300</v>
      </c>
      <c r="AD263" s="5">
        <f>VLOOKUP($A263,'SegEnds_NonXtal_Prot#'!$A:$AL,5,FALSE)</f>
        <v>48</v>
      </c>
      <c r="AE263" s="5">
        <f>VLOOKUP($A263,'SegEnds_NonXtal_Prot#'!$A:$AL,8,FALSE)</f>
        <v>52</v>
      </c>
      <c r="AF263" s="5">
        <f>VLOOKUP($A263,'SegEnds_NonXtal_Prot#'!$A:$AL,11,FALSE)</f>
        <v>83</v>
      </c>
      <c r="AG263" s="5" t="str">
        <f>VLOOKUP($A263,'SegEnds_NonXtal_Prot#'!$A:$AL,14,FALSE)</f>
        <v>-</v>
      </c>
      <c r="AH263" s="5">
        <f>VLOOKUP($A263,'SegEnds_NonXtal_Prot#'!$A:$AL,17,FALSE)</f>
        <v>125</v>
      </c>
      <c r="AI263" s="5">
        <f>VLOOKUP($A263,'SegEnds_NonXtal_Prot#'!$A:$AL,20,FALSE)</f>
        <v>135</v>
      </c>
      <c r="AJ263" s="5">
        <f>VLOOKUP($A263,'SegEnds_NonXtal_Prot#'!$A:$AL,23,FALSE)</f>
        <v>162</v>
      </c>
      <c r="AK263" s="5" t="str">
        <f>VLOOKUP($A263,'SegEnds_NonXtal_Prot#'!$A:$AL,26,FALSE)</f>
        <v>-</v>
      </c>
      <c r="AL263" s="5">
        <f>VLOOKUP($A263,'SegEnds_NonXtal_Prot#'!$A:$AL,29,FALSE)</f>
        <v>227</v>
      </c>
      <c r="AM263" s="5">
        <f>VLOOKUP($A263,'SegEnds_NonXtal_Prot#'!$A:$AL,32,FALSE)</f>
        <v>269</v>
      </c>
      <c r="AN263" s="5">
        <f>VLOOKUP($A263,'SegEnds_NonXtal_Prot#'!$A:$AL,35,FALSE)</f>
        <v>299</v>
      </c>
      <c r="AO263" s="5">
        <f>VLOOKUP($A263,'SegEnds_NonXtal_Prot#'!$A:$AL,38,FALSE)</f>
        <v>313</v>
      </c>
      <c r="AP263" s="5">
        <f t="shared" si="113"/>
        <v>30</v>
      </c>
      <c r="AQ263" s="4">
        <f t="shared" si="114"/>
        <v>3</v>
      </c>
      <c r="AR263" s="4">
        <f t="shared" si="115"/>
        <v>30</v>
      </c>
      <c r="AS263" s="4" t="str">
        <f t="shared" si="116"/>
        <v>-</v>
      </c>
      <c r="AT263" s="4">
        <f t="shared" si="117"/>
        <v>38</v>
      </c>
      <c r="AU263" s="4">
        <f t="shared" si="118"/>
        <v>7</v>
      </c>
      <c r="AV263" s="4">
        <f t="shared" si="119"/>
        <v>26</v>
      </c>
      <c r="AW263" s="4" t="str">
        <f t="shared" si="120"/>
        <v>-</v>
      </c>
      <c r="AX263" s="4">
        <f t="shared" si="121"/>
        <v>40</v>
      </c>
      <c r="AY263" s="4">
        <f t="shared" si="122"/>
        <v>32</v>
      </c>
      <c r="AZ263" s="4">
        <f t="shared" si="123"/>
        <v>25</v>
      </c>
      <c r="BA263" s="4">
        <f t="shared" si="124"/>
        <v>13</v>
      </c>
    </row>
    <row r="264" spans="1:53" x14ac:dyDescent="0.2">
      <c r="A264" s="1" t="str">
        <f>'SegEnds_NonXtal_Prot#'!A252</f>
        <v>t2r42_human</v>
      </c>
      <c r="B264" s="1" t="str">
        <f t="shared" si="100"/>
        <v>DKIFLILAIAEFIISMLGNVFIGLVNCSEGIVFSADFILTCLAISTIGQLLVILFDSFLVGLATYRLGKTVIMLWHMTNHLTTWLATCLSIFYFFKIAHWRMNGMIVMLLILSLFLLIFDSLVLLYDKLSILKTLLSLTSFIPFSLFLTSLLFLFLSLVRHTRNLSSTEAHRRAMKMVMSFLFLFIVHFFSLQVANGINNKYIKFVMLALNAFPSCHSFILILGNSKLRQTAVRLLWH</v>
      </c>
      <c r="C264" s="29" t="str">
        <f>IF(ISERROR(MATCH(A264,'SegEnds_Xtal_Prot#'!B:B, 0)), "NoXtal", "Xtal")</f>
        <v>NoXtal</v>
      </c>
      <c r="D264" s="4" t="str">
        <f>VLOOKUP(A264,Classification!A:D,2,FALSE)</f>
        <v>T</v>
      </c>
      <c r="E264" s="5" t="str">
        <f>VLOOKUP(A264,Seqs!A:B,2,FALSE)</f>
        <v>MATELDKIFLILAIAEFIISMLGNVFIGLVNCSEGIKNQKVFSADFILTCLAISTIGQLLVILFDSFLVGLASHLYTTYRLGKTVIMLWHMTNHLTTWLATCLSIFYFFKIAHFPHSLFLWLRWRMNGMIVMLLILSLFLLIFDSLVLEIFIDISLNIIDKSNLTLYLDESKTLYDKLSILKTLLSLTSFIPFSLFLTSLLFLFLSLVRHTRNLKLSSLGSRDSSTEAHRRAMKMVMSFLFLFIVHFFSLQVANGIFFMLWNNKYIKFVMLALNAFPSCHSFILILGNSKLRQTAVRLLWHLRNYTKTPNALPL</v>
      </c>
      <c r="F264" s="5" t="str">
        <f t="shared" si="101"/>
        <v>DKIFLILAIAEFIISMLGNVFIGLVNCSEGI</v>
      </c>
      <c r="G264" s="4" t="str">
        <f t="shared" si="102"/>
        <v>KNQK</v>
      </c>
      <c r="H264" s="4" t="str">
        <f t="shared" si="103"/>
        <v>VFSADFILTCLAISTIGQLLVILFDSFLVGLA</v>
      </c>
      <c r="I264" s="4" t="str">
        <f t="shared" si="104"/>
        <v/>
      </c>
      <c r="J264" s="4" t="str">
        <f t="shared" si="105"/>
        <v>TYRLGKTVIMLWHMTNHLTTWLATCLSIFYFFKIAH</v>
      </c>
      <c r="K264" s="4" t="str">
        <f t="shared" si="106"/>
        <v>HSLFLWLR</v>
      </c>
      <c r="L264" s="4" t="str">
        <f t="shared" si="107"/>
        <v>WRMNGMIVMLLILSLFLLIFDSLVL</v>
      </c>
      <c r="M264" s="4" t="str">
        <f t="shared" si="108"/>
        <v/>
      </c>
      <c r="N264" s="4" t="str">
        <f t="shared" si="109"/>
        <v>LYDKLSILKTLLSLTSFIPFSLFLTSLLFLFLSLVRHTRNL</v>
      </c>
      <c r="O264" s="4" t="str">
        <f t="shared" si="110"/>
        <v>SSTEAHRRAMKMVMSFLFLFIVHFFSLQVANGI</v>
      </c>
      <c r="P264" s="4" t="str">
        <f t="shared" si="111"/>
        <v>NNKYIKFVMLALNAFPSCHSFILILG</v>
      </c>
      <c r="Q264" s="4" t="str">
        <f t="shared" si="112"/>
        <v>NSKLRQTAVRLLWH</v>
      </c>
      <c r="R264" s="5">
        <f>VLOOKUP($A264,'SegEnds_NonXtal_Prot#'!$A:$AL,3,FALSE)</f>
        <v>6</v>
      </c>
      <c r="S264" s="5">
        <f>VLOOKUP($A264,'SegEnds_NonXtal_Prot#'!$A:$AL,6,FALSE)</f>
        <v>37</v>
      </c>
      <c r="T264" s="5">
        <f>VLOOKUP($A264,'SegEnds_NonXtal_Prot#'!$A:$AL,9,FALSE)</f>
        <v>41</v>
      </c>
      <c r="U264" s="5" t="str">
        <f>VLOOKUP($A264,'SegEnds_NonXtal_Prot#'!$A:$AL,12,FALSE)</f>
        <v>-</v>
      </c>
      <c r="V264" s="5">
        <f>VLOOKUP($A264,'SegEnds_NonXtal_Prot#'!$A:$AL,15,FALSE)</f>
        <v>78</v>
      </c>
      <c r="W264" s="5">
        <f>VLOOKUP($A264,'SegEnds_NonXtal_Prot#'!$A:$AL,18,FALSE)</f>
        <v>116</v>
      </c>
      <c r="X264" s="5">
        <f>VLOOKUP($A264,'SegEnds_NonXtal_Prot#'!$A:$AL,21,FALSE)</f>
        <v>124</v>
      </c>
      <c r="Y264" s="5" t="str">
        <f>VLOOKUP($A264,'SegEnds_NonXtal_Prot#'!$A:$AL,24,FALSE)</f>
        <v>-</v>
      </c>
      <c r="Z264" s="5">
        <f>VLOOKUP($A264,'SegEnds_NonXtal_Prot#'!$A:$AL,27,FALSE)</f>
        <v>174</v>
      </c>
      <c r="AA264" s="5">
        <f>VLOOKUP($A264,'SegEnds_NonXtal_Prot#'!$A:$AL,30,FALSE)</f>
        <v>224</v>
      </c>
      <c r="AB264" s="5">
        <f>VLOOKUP($A264,'SegEnds_NonXtal_Prot#'!$A:$AL,33,FALSE)</f>
        <v>262</v>
      </c>
      <c r="AC264" s="5">
        <f>VLOOKUP($A264,'SegEnds_NonXtal_Prot#'!$A:$AL,36,FALSE)</f>
        <v>288</v>
      </c>
      <c r="AD264" s="5">
        <f>VLOOKUP($A264,'SegEnds_NonXtal_Prot#'!$A:$AL,5,FALSE)</f>
        <v>36</v>
      </c>
      <c r="AE264" s="5">
        <f>VLOOKUP($A264,'SegEnds_NonXtal_Prot#'!$A:$AL,8,FALSE)</f>
        <v>40</v>
      </c>
      <c r="AF264" s="5">
        <f>VLOOKUP($A264,'SegEnds_NonXtal_Prot#'!$A:$AL,11,FALSE)</f>
        <v>72</v>
      </c>
      <c r="AG264" s="5" t="str">
        <f>VLOOKUP($A264,'SegEnds_NonXtal_Prot#'!$A:$AL,14,FALSE)</f>
        <v>-</v>
      </c>
      <c r="AH264" s="5">
        <f>VLOOKUP($A264,'SegEnds_NonXtal_Prot#'!$A:$AL,17,FALSE)</f>
        <v>113</v>
      </c>
      <c r="AI264" s="5">
        <f>VLOOKUP($A264,'SegEnds_NonXtal_Prot#'!$A:$AL,20,FALSE)</f>
        <v>123</v>
      </c>
      <c r="AJ264" s="5">
        <f>VLOOKUP($A264,'SegEnds_NonXtal_Prot#'!$A:$AL,23,FALSE)</f>
        <v>148</v>
      </c>
      <c r="AK264" s="5" t="str">
        <f>VLOOKUP($A264,'SegEnds_NonXtal_Prot#'!$A:$AL,26,FALSE)</f>
        <v>-</v>
      </c>
      <c r="AL264" s="5">
        <f>VLOOKUP($A264,'SegEnds_NonXtal_Prot#'!$A:$AL,29,FALSE)</f>
        <v>214</v>
      </c>
      <c r="AM264" s="5">
        <f>VLOOKUP($A264,'SegEnds_NonXtal_Prot#'!$A:$AL,32,FALSE)</f>
        <v>256</v>
      </c>
      <c r="AN264" s="5">
        <f>VLOOKUP($A264,'SegEnds_NonXtal_Prot#'!$A:$AL,35,FALSE)</f>
        <v>287</v>
      </c>
      <c r="AO264" s="5">
        <f>VLOOKUP($A264,'SegEnds_NonXtal_Prot#'!$A:$AL,38,FALSE)</f>
        <v>301</v>
      </c>
      <c r="AP264" s="5">
        <f t="shared" si="113"/>
        <v>30</v>
      </c>
      <c r="AQ264" s="4">
        <f t="shared" si="114"/>
        <v>3</v>
      </c>
      <c r="AR264" s="4">
        <f t="shared" si="115"/>
        <v>31</v>
      </c>
      <c r="AS264" s="4" t="str">
        <f t="shared" si="116"/>
        <v>-</v>
      </c>
      <c r="AT264" s="4">
        <f t="shared" si="117"/>
        <v>35</v>
      </c>
      <c r="AU264" s="4">
        <f t="shared" si="118"/>
        <v>7</v>
      </c>
      <c r="AV264" s="4">
        <f t="shared" si="119"/>
        <v>24</v>
      </c>
      <c r="AW264" s="4" t="str">
        <f t="shared" si="120"/>
        <v>-</v>
      </c>
      <c r="AX264" s="4">
        <f t="shared" si="121"/>
        <v>40</v>
      </c>
      <c r="AY264" s="4">
        <f t="shared" si="122"/>
        <v>32</v>
      </c>
      <c r="AZ264" s="4">
        <f t="shared" si="123"/>
        <v>25</v>
      </c>
      <c r="BA264" s="4">
        <f t="shared" si="124"/>
        <v>13</v>
      </c>
    </row>
    <row r="265" spans="1:53" x14ac:dyDescent="0.2">
      <c r="A265" s="1" t="str">
        <f>'SegEnds_NonXtal_Prot#'!A253</f>
        <v>t2r43_human</v>
      </c>
      <c r="B265" s="1" t="str">
        <f t="shared" si="100"/>
        <v>PIIFSSLVVVTFVIGNFANGFIALVNSIEWFISFADQILTALAVSRVGLLWVLLLNWYSTVLSVEVRTTAYNIWAVINHFSNWLATTLSIFYLLKIANRRVKSVILVMLLGPLLFLACHLFVINMKSAMYFSNMTVTMVANLVPFTLTLLSFMLLICSLCKHLKKMPSTKVHIKALQTVISFLLLCAIYFLSIMISVWSNKPVFMFCKAIRFSYPSIHPFILIWGNKKLKQTFLSVFWQ</v>
      </c>
      <c r="C265" s="29" t="str">
        <f>IF(ISERROR(MATCH(A265,'SegEnds_Xtal_Prot#'!B:B, 0)), "NoXtal", "Xtal")</f>
        <v>NoXtal</v>
      </c>
      <c r="D265" s="4" t="str">
        <f>VLOOKUP(A265,Classification!A:D,2,FALSE)</f>
        <v>T</v>
      </c>
      <c r="E265" s="5" t="str">
        <f>VLOOKUP(A265,Seqs!A:B,2,FALSE)</f>
        <v>MITFLPIIFSSLVVVTFVIGNFANGFIALVNSIEWFKRQKISFADQILTALAVSRVGLLWVLLLNWYSTVLNPAFNSVEVRTTAYNIWAVINHFSNWLATTLSIFYLLKIANFSNFIFLHLKRRVKSVILVMLLGPLLFLACHLFVINMNEIVRTKEFEGNMTWKIKLKSAMYFSNMTVTMVANLVPFTLTLLSFMLLICSLCKHLKKMQLHGKGSQDPSTKVHIKALQTVISFLLLCAIYFLSIMISVWSFGSLENKPVFMFCKAIRFSYPSIHPFILIWGNKKLKQTFLSVFWQMRYWVKGEKTSSP</v>
      </c>
      <c r="F265" s="5" t="str">
        <f t="shared" si="101"/>
        <v>PIIFSSLVVVTFVIGNFANGFIALVNSIEWF</v>
      </c>
      <c r="G265" s="4" t="str">
        <f t="shared" si="102"/>
        <v>KRQK</v>
      </c>
      <c r="H265" s="4" t="str">
        <f t="shared" si="103"/>
        <v>ISFADQILTALAVSRVGLLWVLLLNWYSTVL</v>
      </c>
      <c r="I265" s="4" t="str">
        <f t="shared" si="104"/>
        <v/>
      </c>
      <c r="J265" s="4" t="str">
        <f t="shared" si="105"/>
        <v>SVEVRTTAYNIWAVINHFSNWLATTLSIFYLLKIAN</v>
      </c>
      <c r="K265" s="4" t="str">
        <f t="shared" si="106"/>
        <v>NFIFLHLK</v>
      </c>
      <c r="L265" s="4" t="str">
        <f t="shared" si="107"/>
        <v>RRVKSVILVMLLGPLLFLACHLFVINM</v>
      </c>
      <c r="M265" s="4" t="str">
        <f t="shared" si="108"/>
        <v/>
      </c>
      <c r="N265" s="4" t="str">
        <f t="shared" si="109"/>
        <v>KSAMYFSNMTVTMVANLVPFTLTLLSFMLLICSLCKHLKKM</v>
      </c>
      <c r="O265" s="4" t="str">
        <f t="shared" si="110"/>
        <v>PSTKVHIKALQTVISFLLLCAIYFLSIMISVWS</v>
      </c>
      <c r="P265" s="4" t="str">
        <f t="shared" si="111"/>
        <v>NKPVFMFCKAIRFSYPSIHPFILIWG</v>
      </c>
      <c r="Q265" s="4" t="str">
        <f t="shared" si="112"/>
        <v>NKKLKQTFLSVFWQ</v>
      </c>
      <c r="R265" s="5">
        <f>VLOOKUP($A265,'SegEnds_NonXtal_Prot#'!$A:$AL,3,FALSE)</f>
        <v>6</v>
      </c>
      <c r="S265" s="5">
        <f>VLOOKUP($A265,'SegEnds_NonXtal_Prot#'!$A:$AL,6,FALSE)</f>
        <v>37</v>
      </c>
      <c r="T265" s="5">
        <f>VLOOKUP($A265,'SegEnds_NonXtal_Prot#'!$A:$AL,9,FALSE)</f>
        <v>41</v>
      </c>
      <c r="U265" s="5" t="str">
        <f>VLOOKUP($A265,'SegEnds_NonXtal_Prot#'!$A:$AL,12,FALSE)</f>
        <v>-</v>
      </c>
      <c r="V265" s="5">
        <f>VLOOKUP($A265,'SegEnds_NonXtal_Prot#'!$A:$AL,15,FALSE)</f>
        <v>77</v>
      </c>
      <c r="W265" s="5">
        <f>VLOOKUP($A265,'SegEnds_NonXtal_Prot#'!$A:$AL,18,FALSE)</f>
        <v>115</v>
      </c>
      <c r="X265" s="5">
        <f>VLOOKUP($A265,'SegEnds_NonXtal_Prot#'!$A:$AL,21,FALSE)</f>
        <v>123</v>
      </c>
      <c r="Y265" s="5" t="str">
        <f>VLOOKUP($A265,'SegEnds_NonXtal_Prot#'!$A:$AL,24,FALSE)</f>
        <v>-</v>
      </c>
      <c r="Z265" s="5">
        <f>VLOOKUP($A265,'SegEnds_NonXtal_Prot#'!$A:$AL,27,FALSE)</f>
        <v>169</v>
      </c>
      <c r="AA265" s="5">
        <f>VLOOKUP($A265,'SegEnds_NonXtal_Prot#'!$A:$AL,30,FALSE)</f>
        <v>219</v>
      </c>
      <c r="AB265" s="5">
        <f>VLOOKUP($A265,'SegEnds_NonXtal_Prot#'!$A:$AL,33,FALSE)</f>
        <v>257</v>
      </c>
      <c r="AC265" s="5">
        <f>VLOOKUP($A265,'SegEnds_NonXtal_Prot#'!$A:$AL,36,FALSE)</f>
        <v>283</v>
      </c>
      <c r="AD265" s="5">
        <f>VLOOKUP($A265,'SegEnds_NonXtal_Prot#'!$A:$AL,5,FALSE)</f>
        <v>36</v>
      </c>
      <c r="AE265" s="5">
        <f>VLOOKUP($A265,'SegEnds_NonXtal_Prot#'!$A:$AL,8,FALSE)</f>
        <v>40</v>
      </c>
      <c r="AF265" s="5">
        <f>VLOOKUP($A265,'SegEnds_NonXtal_Prot#'!$A:$AL,11,FALSE)</f>
        <v>71</v>
      </c>
      <c r="AG265" s="5" t="str">
        <f>VLOOKUP($A265,'SegEnds_NonXtal_Prot#'!$A:$AL,14,FALSE)</f>
        <v>-</v>
      </c>
      <c r="AH265" s="5">
        <f>VLOOKUP($A265,'SegEnds_NonXtal_Prot#'!$A:$AL,17,FALSE)</f>
        <v>112</v>
      </c>
      <c r="AI265" s="5">
        <f>VLOOKUP($A265,'SegEnds_NonXtal_Prot#'!$A:$AL,20,FALSE)</f>
        <v>122</v>
      </c>
      <c r="AJ265" s="5">
        <f>VLOOKUP($A265,'SegEnds_NonXtal_Prot#'!$A:$AL,23,FALSE)</f>
        <v>149</v>
      </c>
      <c r="AK265" s="5" t="str">
        <f>VLOOKUP($A265,'SegEnds_NonXtal_Prot#'!$A:$AL,26,FALSE)</f>
        <v>-</v>
      </c>
      <c r="AL265" s="5">
        <f>VLOOKUP($A265,'SegEnds_NonXtal_Prot#'!$A:$AL,29,FALSE)</f>
        <v>209</v>
      </c>
      <c r="AM265" s="5">
        <f>VLOOKUP($A265,'SegEnds_NonXtal_Prot#'!$A:$AL,32,FALSE)</f>
        <v>251</v>
      </c>
      <c r="AN265" s="5">
        <f>VLOOKUP($A265,'SegEnds_NonXtal_Prot#'!$A:$AL,35,FALSE)</f>
        <v>282</v>
      </c>
      <c r="AO265" s="5">
        <f>VLOOKUP($A265,'SegEnds_NonXtal_Prot#'!$A:$AL,38,FALSE)</f>
        <v>296</v>
      </c>
      <c r="AP265" s="5">
        <f t="shared" si="113"/>
        <v>30</v>
      </c>
      <c r="AQ265" s="4">
        <f t="shared" si="114"/>
        <v>3</v>
      </c>
      <c r="AR265" s="4">
        <f t="shared" si="115"/>
        <v>30</v>
      </c>
      <c r="AS265" s="4" t="str">
        <f t="shared" si="116"/>
        <v>-</v>
      </c>
      <c r="AT265" s="4">
        <f t="shared" si="117"/>
        <v>35</v>
      </c>
      <c r="AU265" s="4">
        <f t="shared" si="118"/>
        <v>7</v>
      </c>
      <c r="AV265" s="4">
        <f t="shared" si="119"/>
        <v>26</v>
      </c>
      <c r="AW265" s="4" t="str">
        <f t="shared" si="120"/>
        <v>-</v>
      </c>
      <c r="AX265" s="4">
        <f t="shared" si="121"/>
        <v>40</v>
      </c>
      <c r="AY265" s="4">
        <f t="shared" si="122"/>
        <v>32</v>
      </c>
      <c r="AZ265" s="4">
        <f t="shared" si="123"/>
        <v>25</v>
      </c>
      <c r="BA265" s="4">
        <f t="shared" si="124"/>
        <v>13</v>
      </c>
    </row>
    <row r="266" spans="1:53" x14ac:dyDescent="0.2">
      <c r="A266" s="1" t="str">
        <f>'SegEnds_NonXtal_Prot#'!A254</f>
        <v>t2r45_human</v>
      </c>
      <c r="B266" s="1" t="str">
        <f t="shared" si="100"/>
        <v>PIIFSILVVVTFVIGNFANGFIALVNSTEWVISFADQIVTALAVSRVGLLWVLLLNWYSTVLSVELRTTAYNIWAVTGHFSNWPATSLSIFYLLKIANRRVKSVILVVLLGPLLFLACHLFVVNMRRAMYLSDTTVTMLANLVPFTVTLISFLLLVCSLCKHLKKMKVHIKVLQTVISFFLLRAIYFVSVIISVWSFKNPVFMFCQAIGFSCSSAHPFILIWGNKKLKQTYLSVLWQ</v>
      </c>
      <c r="C266" s="29" t="str">
        <f>IF(ISERROR(MATCH(A266,'SegEnds_Xtal_Prot#'!B:B, 0)), "NoXtal", "Xtal")</f>
        <v>NoXtal</v>
      </c>
      <c r="D266" s="4" t="str">
        <f>VLOOKUP(A266,Classification!A:D,2,FALSE)</f>
        <v>T</v>
      </c>
      <c r="E266" s="5" t="str">
        <f>VLOOKUP(A266,Seqs!A:B,2,FALSE)</f>
        <v>MITFLPIIFSILVVVTFVIGNFANGFIALVNSTEWVKRQKISFADQIVTALAVSRVGLLWVLLLNWYSTVLNPAFCSVELRTTAYNIWAVTGHFSNWPATSLSIFYLLKIANFSNLIFLRLKRRVKSVILVVLLGPLLFLACHLFVVNMNQIVWTKEYEGNMTWKIKLRRAMYLSDTTVTMLANLVPFTVTLISFLLLVCSLCKHLKKMQLHGKGSQDPSTKVHIKVLQTVISFFLLRAIYFVSVIISVWSFKNLENKPVFMFCQAIGFSCSSAHPFILIWGNKKLKQTYLSVLWQMRY</v>
      </c>
      <c r="F266" s="5" t="str">
        <f t="shared" si="101"/>
        <v>PIIFSILVVVTFVIGNFANGFIALVNSTEWV</v>
      </c>
      <c r="G266" s="4" t="str">
        <f t="shared" si="102"/>
        <v>KRQK</v>
      </c>
      <c r="H266" s="4" t="str">
        <f t="shared" si="103"/>
        <v>ISFADQIVTALAVSRVGLLWVLLLNWYSTVL</v>
      </c>
      <c r="I266" s="4" t="str">
        <f t="shared" si="104"/>
        <v/>
      </c>
      <c r="J266" s="4" t="str">
        <f t="shared" si="105"/>
        <v>SVELRTTAYNIWAVTGHFSNWPATSLSIFYLLKIAN</v>
      </c>
      <c r="K266" s="4" t="str">
        <f t="shared" si="106"/>
        <v>NLIFLRLK</v>
      </c>
      <c r="L266" s="4" t="str">
        <f t="shared" si="107"/>
        <v>RRVKSVILVVLLGPLLFLACHLFVVNM</v>
      </c>
      <c r="M266" s="4" t="str">
        <f t="shared" si="108"/>
        <v/>
      </c>
      <c r="N266" s="4" t="str">
        <f t="shared" si="109"/>
        <v>RRAMYLSDTTVTMLANLVPFTVTLISFLLLVCSLCKHLKKM</v>
      </c>
      <c r="O266" s="4" t="str">
        <f t="shared" si="110"/>
        <v>KVHIKVLQTVISFFLLRAIYFVSVIISVWSFKN</v>
      </c>
      <c r="P266" s="4" t="str">
        <f t="shared" si="111"/>
        <v>PVFMFCQAIGFSCSSAHPFILIWG</v>
      </c>
      <c r="Q266" s="4" t="str">
        <f t="shared" si="112"/>
        <v>NKKLKQTYLSVLWQ</v>
      </c>
      <c r="R266" s="5">
        <f>VLOOKUP($A266,'SegEnds_NonXtal_Prot#'!$A:$AL,3,FALSE)</f>
        <v>6</v>
      </c>
      <c r="S266" s="5">
        <f>VLOOKUP($A266,'SegEnds_NonXtal_Prot#'!$A:$AL,6,FALSE)</f>
        <v>37</v>
      </c>
      <c r="T266" s="5">
        <f>VLOOKUP($A266,'SegEnds_NonXtal_Prot#'!$A:$AL,9,FALSE)</f>
        <v>41</v>
      </c>
      <c r="U266" s="5" t="str">
        <f>VLOOKUP($A266,'SegEnds_NonXtal_Prot#'!$A:$AL,12,FALSE)</f>
        <v>-</v>
      </c>
      <c r="V266" s="5">
        <f>VLOOKUP($A266,'SegEnds_NonXtal_Prot#'!$A:$AL,15,FALSE)</f>
        <v>77</v>
      </c>
      <c r="W266" s="5">
        <f>VLOOKUP($A266,'SegEnds_NonXtal_Prot#'!$A:$AL,18,FALSE)</f>
        <v>115</v>
      </c>
      <c r="X266" s="5">
        <f>VLOOKUP($A266,'SegEnds_NonXtal_Prot#'!$A:$AL,21,FALSE)</f>
        <v>123</v>
      </c>
      <c r="Y266" s="5" t="str">
        <f>VLOOKUP($A266,'SegEnds_NonXtal_Prot#'!$A:$AL,24,FALSE)</f>
        <v>-</v>
      </c>
      <c r="Z266" s="5">
        <f>VLOOKUP($A266,'SegEnds_NonXtal_Prot#'!$A:$AL,27,FALSE)</f>
        <v>169</v>
      </c>
      <c r="AA266" s="5">
        <f>VLOOKUP($A266,'SegEnds_NonXtal_Prot#'!$A:$AL,30,FALSE)</f>
        <v>222</v>
      </c>
      <c r="AB266" s="5">
        <f>VLOOKUP($A266,'SegEnds_NonXtal_Prot#'!$A:$AL,33,FALSE)</f>
        <v>259</v>
      </c>
      <c r="AC266" s="5">
        <f>VLOOKUP($A266,'SegEnds_NonXtal_Prot#'!$A:$AL,36,FALSE)</f>
        <v>283</v>
      </c>
      <c r="AD266" s="5">
        <f>VLOOKUP($A266,'SegEnds_NonXtal_Prot#'!$A:$AL,5,FALSE)</f>
        <v>36</v>
      </c>
      <c r="AE266" s="5">
        <f>VLOOKUP($A266,'SegEnds_NonXtal_Prot#'!$A:$AL,8,FALSE)</f>
        <v>40</v>
      </c>
      <c r="AF266" s="5">
        <f>VLOOKUP($A266,'SegEnds_NonXtal_Prot#'!$A:$AL,11,FALSE)</f>
        <v>71</v>
      </c>
      <c r="AG266" s="5" t="str">
        <f>VLOOKUP($A266,'SegEnds_NonXtal_Prot#'!$A:$AL,14,FALSE)</f>
        <v>-</v>
      </c>
      <c r="AH266" s="5">
        <f>VLOOKUP($A266,'SegEnds_NonXtal_Prot#'!$A:$AL,17,FALSE)</f>
        <v>112</v>
      </c>
      <c r="AI266" s="5">
        <f>VLOOKUP($A266,'SegEnds_NonXtal_Prot#'!$A:$AL,20,FALSE)</f>
        <v>122</v>
      </c>
      <c r="AJ266" s="5">
        <f>VLOOKUP($A266,'SegEnds_NonXtal_Prot#'!$A:$AL,23,FALSE)</f>
        <v>149</v>
      </c>
      <c r="AK266" s="5" t="str">
        <f>VLOOKUP($A266,'SegEnds_NonXtal_Prot#'!$A:$AL,26,FALSE)</f>
        <v>-</v>
      </c>
      <c r="AL266" s="5">
        <f>VLOOKUP($A266,'SegEnds_NonXtal_Prot#'!$A:$AL,29,FALSE)</f>
        <v>209</v>
      </c>
      <c r="AM266" s="5">
        <f>VLOOKUP($A266,'SegEnds_NonXtal_Prot#'!$A:$AL,32,FALSE)</f>
        <v>254</v>
      </c>
      <c r="AN266" s="5">
        <f>VLOOKUP($A266,'SegEnds_NonXtal_Prot#'!$A:$AL,35,FALSE)</f>
        <v>282</v>
      </c>
      <c r="AO266" s="5">
        <f>VLOOKUP($A266,'SegEnds_NonXtal_Prot#'!$A:$AL,38,FALSE)</f>
        <v>296</v>
      </c>
      <c r="AP266" s="5">
        <f t="shared" si="113"/>
        <v>30</v>
      </c>
      <c r="AQ266" s="4">
        <f t="shared" si="114"/>
        <v>3</v>
      </c>
      <c r="AR266" s="4">
        <f t="shared" si="115"/>
        <v>30</v>
      </c>
      <c r="AS266" s="4" t="str">
        <f t="shared" si="116"/>
        <v>-</v>
      </c>
      <c r="AT266" s="4">
        <f t="shared" si="117"/>
        <v>35</v>
      </c>
      <c r="AU266" s="4">
        <f t="shared" si="118"/>
        <v>7</v>
      </c>
      <c r="AV266" s="4">
        <f t="shared" si="119"/>
        <v>26</v>
      </c>
      <c r="AW266" s="4" t="str">
        <f t="shared" si="120"/>
        <v>-</v>
      </c>
      <c r="AX266" s="4">
        <f t="shared" si="121"/>
        <v>40</v>
      </c>
      <c r="AY266" s="4">
        <f t="shared" si="122"/>
        <v>32</v>
      </c>
      <c r="AZ266" s="4">
        <f t="shared" si="123"/>
        <v>23</v>
      </c>
      <c r="BA266" s="4">
        <f t="shared" si="124"/>
        <v>13</v>
      </c>
    </row>
    <row r="267" spans="1:53" x14ac:dyDescent="0.2">
      <c r="A267" s="1" t="str">
        <f>'SegEnds_NonXtal_Prot#'!A255</f>
        <v>t2r46_human</v>
      </c>
      <c r="B267" s="1" t="str">
        <f t="shared" si="100"/>
        <v>PIIFSILIVVTFVIGNFANGFIALVNSIEWFISFADQILTALAVSRVGLLWVLVLNWYATELSIEVRITAYNVWAVINHFSNWLATSLSIFYLLKIANRRVKSVVLVILLGPLLFLVCHLFVINMRSAMYLSNTTVTILANLVPFTLTLISFLLLICSLCKHLKKMPSMKVHIKALQTVTSFLLLCAIYFLSIIMSVWSNKPVFMFCEAIAFSYPSTHPFILIWGNKKLKQTFLSVLWH</v>
      </c>
      <c r="C267" s="29" t="str">
        <f>IF(ISERROR(MATCH(A267,'SegEnds_Xtal_Prot#'!B:B, 0)), "NoXtal", "Xtal")</f>
        <v>NoXtal</v>
      </c>
      <c r="D267" s="4" t="str">
        <f>VLOOKUP(A267,Classification!A:D,2,FALSE)</f>
        <v>T</v>
      </c>
      <c r="E267" s="5" t="str">
        <f>VLOOKUP(A267,Seqs!A:B,2,FALSE)</f>
        <v>MITFLPIIFSILIVVTFVIGNFANGFIALVNSIEWFKRQKISFADQILTALAVSRVGLLWVLVLNWYATELNPAFNSIEVRITAYNVWAVINHFSNWLATSLSIFYLLKIANFSNLIFLHLKRRVKSVVLVILLGPLLFLVCHLFVINMNQIIWTKEYEGNMTWKIKLRSAMYLSNTTVTILANLVPFTLTLISFLLLICSLCKHLKKMQLHGKGSQDPSMKVHIKALQTVTSFLLLCAIYFLSIIMSVWSFESLENKPVFMFCEAIAFSYPSTHPFILIWGNKKLKQTFLSVLWHVRYWVKGEKPSSS</v>
      </c>
      <c r="F267" s="5" t="str">
        <f t="shared" si="101"/>
        <v>PIIFSILIVVTFVIGNFANGFIALVNSIEWF</v>
      </c>
      <c r="G267" s="4" t="str">
        <f t="shared" si="102"/>
        <v>KRQK</v>
      </c>
      <c r="H267" s="4" t="str">
        <f t="shared" si="103"/>
        <v>ISFADQILTALAVSRVGLLWVLVLNWYATEL</v>
      </c>
      <c r="I267" s="4" t="str">
        <f t="shared" si="104"/>
        <v/>
      </c>
      <c r="J267" s="4" t="str">
        <f t="shared" si="105"/>
        <v>SIEVRITAYNVWAVINHFSNWLATSLSIFYLLKIAN</v>
      </c>
      <c r="K267" s="4" t="str">
        <f t="shared" si="106"/>
        <v>NLIFLHLK</v>
      </c>
      <c r="L267" s="4" t="str">
        <f t="shared" si="107"/>
        <v>RRVKSVVLVILLGPLLFLVCHLFVINM</v>
      </c>
      <c r="M267" s="4" t="str">
        <f t="shared" si="108"/>
        <v/>
      </c>
      <c r="N267" s="4" t="str">
        <f t="shared" si="109"/>
        <v>RSAMYLSNTTVTILANLVPFTLTLISFLLLICSLCKHLKKM</v>
      </c>
      <c r="O267" s="4" t="str">
        <f t="shared" si="110"/>
        <v>PSMKVHIKALQTVTSFLLLCAIYFLSIIMSVWS</v>
      </c>
      <c r="P267" s="4" t="str">
        <f t="shared" si="111"/>
        <v>NKPVFMFCEAIAFSYPSTHPFILIWG</v>
      </c>
      <c r="Q267" s="4" t="str">
        <f t="shared" si="112"/>
        <v>NKKLKQTFLSVLWH</v>
      </c>
      <c r="R267" s="5">
        <f>VLOOKUP($A267,'SegEnds_NonXtal_Prot#'!$A:$AL,3,FALSE)</f>
        <v>6</v>
      </c>
      <c r="S267" s="5">
        <f>VLOOKUP($A267,'SegEnds_NonXtal_Prot#'!$A:$AL,6,FALSE)</f>
        <v>37</v>
      </c>
      <c r="T267" s="5">
        <f>VLOOKUP($A267,'SegEnds_NonXtal_Prot#'!$A:$AL,9,FALSE)</f>
        <v>41</v>
      </c>
      <c r="U267" s="5" t="str">
        <f>VLOOKUP($A267,'SegEnds_NonXtal_Prot#'!$A:$AL,12,FALSE)</f>
        <v>-</v>
      </c>
      <c r="V267" s="5">
        <f>VLOOKUP($A267,'SegEnds_NonXtal_Prot#'!$A:$AL,15,FALSE)</f>
        <v>77</v>
      </c>
      <c r="W267" s="5">
        <f>VLOOKUP($A267,'SegEnds_NonXtal_Prot#'!$A:$AL,18,FALSE)</f>
        <v>115</v>
      </c>
      <c r="X267" s="5">
        <f>VLOOKUP($A267,'SegEnds_NonXtal_Prot#'!$A:$AL,21,FALSE)</f>
        <v>123</v>
      </c>
      <c r="Y267" s="5" t="str">
        <f>VLOOKUP($A267,'SegEnds_NonXtal_Prot#'!$A:$AL,24,FALSE)</f>
        <v>-</v>
      </c>
      <c r="Z267" s="5">
        <f>VLOOKUP($A267,'SegEnds_NonXtal_Prot#'!$A:$AL,27,FALSE)</f>
        <v>169</v>
      </c>
      <c r="AA267" s="5">
        <f>VLOOKUP($A267,'SegEnds_NonXtal_Prot#'!$A:$AL,30,FALSE)</f>
        <v>219</v>
      </c>
      <c r="AB267" s="5">
        <f>VLOOKUP($A267,'SegEnds_NonXtal_Prot#'!$A:$AL,33,FALSE)</f>
        <v>257</v>
      </c>
      <c r="AC267" s="5">
        <f>VLOOKUP($A267,'SegEnds_NonXtal_Prot#'!$A:$AL,36,FALSE)</f>
        <v>283</v>
      </c>
      <c r="AD267" s="5">
        <f>VLOOKUP($A267,'SegEnds_NonXtal_Prot#'!$A:$AL,5,FALSE)</f>
        <v>36</v>
      </c>
      <c r="AE267" s="5">
        <f>VLOOKUP($A267,'SegEnds_NonXtal_Prot#'!$A:$AL,8,FALSE)</f>
        <v>40</v>
      </c>
      <c r="AF267" s="5">
        <f>VLOOKUP($A267,'SegEnds_NonXtal_Prot#'!$A:$AL,11,FALSE)</f>
        <v>71</v>
      </c>
      <c r="AG267" s="5" t="str">
        <f>VLOOKUP($A267,'SegEnds_NonXtal_Prot#'!$A:$AL,14,FALSE)</f>
        <v>-</v>
      </c>
      <c r="AH267" s="5">
        <f>VLOOKUP($A267,'SegEnds_NonXtal_Prot#'!$A:$AL,17,FALSE)</f>
        <v>112</v>
      </c>
      <c r="AI267" s="5">
        <f>VLOOKUP($A267,'SegEnds_NonXtal_Prot#'!$A:$AL,20,FALSE)</f>
        <v>122</v>
      </c>
      <c r="AJ267" s="5">
        <f>VLOOKUP($A267,'SegEnds_NonXtal_Prot#'!$A:$AL,23,FALSE)</f>
        <v>149</v>
      </c>
      <c r="AK267" s="5" t="str">
        <f>VLOOKUP($A267,'SegEnds_NonXtal_Prot#'!$A:$AL,26,FALSE)</f>
        <v>-</v>
      </c>
      <c r="AL267" s="5">
        <f>VLOOKUP($A267,'SegEnds_NonXtal_Prot#'!$A:$AL,29,FALSE)</f>
        <v>209</v>
      </c>
      <c r="AM267" s="5">
        <f>VLOOKUP($A267,'SegEnds_NonXtal_Prot#'!$A:$AL,32,FALSE)</f>
        <v>251</v>
      </c>
      <c r="AN267" s="5">
        <f>VLOOKUP($A267,'SegEnds_NonXtal_Prot#'!$A:$AL,35,FALSE)</f>
        <v>282</v>
      </c>
      <c r="AO267" s="5">
        <f>VLOOKUP($A267,'SegEnds_NonXtal_Prot#'!$A:$AL,38,FALSE)</f>
        <v>296</v>
      </c>
      <c r="AP267" s="5">
        <f t="shared" si="113"/>
        <v>30</v>
      </c>
      <c r="AQ267" s="4">
        <f t="shared" si="114"/>
        <v>3</v>
      </c>
      <c r="AR267" s="4">
        <f t="shared" si="115"/>
        <v>30</v>
      </c>
      <c r="AS267" s="4" t="str">
        <f t="shared" si="116"/>
        <v>-</v>
      </c>
      <c r="AT267" s="4">
        <f t="shared" si="117"/>
        <v>35</v>
      </c>
      <c r="AU267" s="4">
        <f t="shared" si="118"/>
        <v>7</v>
      </c>
      <c r="AV267" s="4">
        <f t="shared" si="119"/>
        <v>26</v>
      </c>
      <c r="AW267" s="4" t="str">
        <f t="shared" si="120"/>
        <v>-</v>
      </c>
      <c r="AX267" s="4">
        <f t="shared" si="121"/>
        <v>40</v>
      </c>
      <c r="AY267" s="4">
        <f t="shared" si="122"/>
        <v>32</v>
      </c>
      <c r="AZ267" s="4">
        <f t="shared" si="123"/>
        <v>25</v>
      </c>
      <c r="BA267" s="4">
        <f t="shared" si="124"/>
        <v>13</v>
      </c>
    </row>
    <row r="268" spans="1:53" x14ac:dyDescent="0.2">
      <c r="A268" s="1" t="str">
        <f>'SegEnds_NonXtal_Prot#'!A256</f>
        <v>t2r50_human</v>
      </c>
      <c r="B268" s="1" t="str">
        <f t="shared" si="100"/>
        <v>YIFFSILIMVLFVLGNFANGFIALVNFIDWVISSADQILTALAVSRIGLLWALLLNWYLTVLSVELRITSYNAWVVTNHFSMWLAANLSIFYLLKIANRRVRSVILVILLGTLIFLVCHLLVANRNTVHLSYLTVTTLWSFIPFTLSLISFLMLICSLCKHLKKMLSTKVHIKALQTLISFLLLCAIFFLFLIVSVWSNDPVVMVSKAVGNIYLAFDSFILIWRTKKLKHTFLLILCQ</v>
      </c>
      <c r="C268" s="29" t="str">
        <f>IF(ISERROR(MATCH(A268,'SegEnds_Xtal_Prot#'!B:B, 0)), "NoXtal", "Xtal")</f>
        <v>NoXtal</v>
      </c>
      <c r="D268" s="4" t="str">
        <f>VLOOKUP(A268,Classification!A:D,2,FALSE)</f>
        <v>T</v>
      </c>
      <c r="E268" s="5" t="str">
        <f>VLOOKUP(A268,Seqs!A:B,2,FALSE)</f>
        <v>MITFLYIFFSILIMVLFVLGNFANGFIALVNFIDWVKRKKISSADQILTALAVSRIGLLWALLLNWYLTVLNPAFYSVELRITSYNAWVVTNHFSMWLAANLSIFYLLKIANFSNLLFLHLKRRVRSVILVILLGTLIFLVCHLLVANMDESMWAEEYEGNMTGKMKLRNTVHLSYLTVTTLWSFIPFTLSLISFLMLICSLCKHLKKMQLHGEGSQDLSTKVHIKALQTLISFLLLCAIFFLFLIVSVWSPRRLRNDPVVMVSKAVGNIYLAFDSFILIWRTKKLKHTFLLILCQIRC</v>
      </c>
      <c r="F268" s="5" t="str">
        <f t="shared" si="101"/>
        <v>YIFFSILIMVLFVLGNFANGFIALVNFIDWV</v>
      </c>
      <c r="G268" s="4" t="str">
        <f t="shared" si="102"/>
        <v>KRKK</v>
      </c>
      <c r="H268" s="4" t="str">
        <f t="shared" si="103"/>
        <v>ISSADQILTALAVSRIGLLWALLLNWYLTVL</v>
      </c>
      <c r="I268" s="4" t="str">
        <f t="shared" si="104"/>
        <v/>
      </c>
      <c r="J268" s="4" t="str">
        <f t="shared" si="105"/>
        <v>SVELRITSYNAWVVTNHFSMWLAANLSIFYLLKIAN</v>
      </c>
      <c r="K268" s="4" t="str">
        <f t="shared" si="106"/>
        <v>NLLFLHLK</v>
      </c>
      <c r="L268" s="4" t="str">
        <f t="shared" si="107"/>
        <v>RRVRSVILVILLGTLIFLVCHLLVAN</v>
      </c>
      <c r="M268" s="4" t="str">
        <f t="shared" si="108"/>
        <v/>
      </c>
      <c r="N268" s="4" t="str">
        <f t="shared" si="109"/>
        <v>RNTVHLSYLTVTTLWSFIPFTLSLISFLMLICSLCKHLKKM</v>
      </c>
      <c r="O268" s="4" t="str">
        <f t="shared" si="110"/>
        <v>LSTKVHIKALQTLISFLLLCAIFFLFLIVSVWS</v>
      </c>
      <c r="P268" s="4" t="str">
        <f t="shared" si="111"/>
        <v>NDPVVMVSKAVGNIYLAFDSFILIWR</v>
      </c>
      <c r="Q268" s="4" t="str">
        <f t="shared" si="112"/>
        <v>TKKLKHTFLLILCQ</v>
      </c>
      <c r="R268" s="5">
        <f>VLOOKUP($A268,'SegEnds_NonXtal_Prot#'!$A:$AL,3,FALSE)</f>
        <v>6</v>
      </c>
      <c r="S268" s="5">
        <f>VLOOKUP($A268,'SegEnds_NonXtal_Prot#'!$A:$AL,6,FALSE)</f>
        <v>37</v>
      </c>
      <c r="T268" s="5">
        <f>VLOOKUP($A268,'SegEnds_NonXtal_Prot#'!$A:$AL,9,FALSE)</f>
        <v>41</v>
      </c>
      <c r="U268" s="5" t="str">
        <f>VLOOKUP($A268,'SegEnds_NonXtal_Prot#'!$A:$AL,12,FALSE)</f>
        <v>-</v>
      </c>
      <c r="V268" s="5">
        <f>VLOOKUP($A268,'SegEnds_NonXtal_Prot#'!$A:$AL,15,FALSE)</f>
        <v>77</v>
      </c>
      <c r="W268" s="5">
        <f>VLOOKUP($A268,'SegEnds_NonXtal_Prot#'!$A:$AL,18,FALSE)</f>
        <v>115</v>
      </c>
      <c r="X268" s="5">
        <f>VLOOKUP($A268,'SegEnds_NonXtal_Prot#'!$A:$AL,21,FALSE)</f>
        <v>123</v>
      </c>
      <c r="Y268" s="5" t="str">
        <f>VLOOKUP($A268,'SegEnds_NonXtal_Prot#'!$A:$AL,24,FALSE)</f>
        <v>-</v>
      </c>
      <c r="Z268" s="5">
        <f>VLOOKUP($A268,'SegEnds_NonXtal_Prot#'!$A:$AL,27,FALSE)</f>
        <v>169</v>
      </c>
      <c r="AA268" s="5">
        <f>VLOOKUP($A268,'SegEnds_NonXtal_Prot#'!$A:$AL,30,FALSE)</f>
        <v>219</v>
      </c>
      <c r="AB268" s="5">
        <f>VLOOKUP($A268,'SegEnds_NonXtal_Prot#'!$A:$AL,33,FALSE)</f>
        <v>257</v>
      </c>
      <c r="AC268" s="5">
        <f>VLOOKUP($A268,'SegEnds_NonXtal_Prot#'!$A:$AL,36,FALSE)</f>
        <v>283</v>
      </c>
      <c r="AD268" s="5">
        <f>VLOOKUP($A268,'SegEnds_NonXtal_Prot#'!$A:$AL,5,FALSE)</f>
        <v>36</v>
      </c>
      <c r="AE268" s="5">
        <f>VLOOKUP($A268,'SegEnds_NonXtal_Prot#'!$A:$AL,8,FALSE)</f>
        <v>40</v>
      </c>
      <c r="AF268" s="5">
        <f>VLOOKUP($A268,'SegEnds_NonXtal_Prot#'!$A:$AL,11,FALSE)</f>
        <v>71</v>
      </c>
      <c r="AG268" s="5" t="str">
        <f>VLOOKUP($A268,'SegEnds_NonXtal_Prot#'!$A:$AL,14,FALSE)</f>
        <v>-</v>
      </c>
      <c r="AH268" s="5">
        <f>VLOOKUP($A268,'SegEnds_NonXtal_Prot#'!$A:$AL,17,FALSE)</f>
        <v>112</v>
      </c>
      <c r="AI268" s="5">
        <f>VLOOKUP($A268,'SegEnds_NonXtal_Prot#'!$A:$AL,20,FALSE)</f>
        <v>122</v>
      </c>
      <c r="AJ268" s="5">
        <f>VLOOKUP($A268,'SegEnds_NonXtal_Prot#'!$A:$AL,23,FALSE)</f>
        <v>148</v>
      </c>
      <c r="AK268" s="5" t="str">
        <f>VLOOKUP($A268,'SegEnds_NonXtal_Prot#'!$A:$AL,26,FALSE)</f>
        <v>-</v>
      </c>
      <c r="AL268" s="5">
        <f>VLOOKUP($A268,'SegEnds_NonXtal_Prot#'!$A:$AL,29,FALSE)</f>
        <v>209</v>
      </c>
      <c r="AM268" s="5">
        <f>VLOOKUP($A268,'SegEnds_NonXtal_Prot#'!$A:$AL,32,FALSE)</f>
        <v>251</v>
      </c>
      <c r="AN268" s="5">
        <f>VLOOKUP($A268,'SegEnds_NonXtal_Prot#'!$A:$AL,35,FALSE)</f>
        <v>282</v>
      </c>
      <c r="AO268" s="5">
        <f>VLOOKUP($A268,'SegEnds_NonXtal_Prot#'!$A:$AL,38,FALSE)</f>
        <v>296</v>
      </c>
      <c r="AP268" s="5">
        <f t="shared" si="113"/>
        <v>30</v>
      </c>
      <c r="AQ268" s="4">
        <f t="shared" si="114"/>
        <v>3</v>
      </c>
      <c r="AR268" s="4">
        <f t="shared" si="115"/>
        <v>30</v>
      </c>
      <c r="AS268" s="4" t="str">
        <f t="shared" si="116"/>
        <v>-</v>
      </c>
      <c r="AT268" s="4">
        <f t="shared" si="117"/>
        <v>35</v>
      </c>
      <c r="AU268" s="4">
        <f t="shared" si="118"/>
        <v>7</v>
      </c>
      <c r="AV268" s="4">
        <f t="shared" si="119"/>
        <v>25</v>
      </c>
      <c r="AW268" s="4" t="str">
        <f t="shared" si="120"/>
        <v>-</v>
      </c>
      <c r="AX268" s="4">
        <f t="shared" si="121"/>
        <v>40</v>
      </c>
      <c r="AY268" s="4">
        <f t="shared" si="122"/>
        <v>32</v>
      </c>
      <c r="AZ268" s="4">
        <f t="shared" si="123"/>
        <v>25</v>
      </c>
      <c r="BA268" s="4">
        <f t="shared" si="124"/>
        <v>13</v>
      </c>
    </row>
    <row r="269" spans="1:53" x14ac:dyDescent="0.2">
      <c r="A269" s="1" t="str">
        <f>'SegEnds_NonXtal_Prot#'!A257</f>
        <v>t2r60_human</v>
      </c>
      <c r="B269" s="1" t="str">
        <f t="shared" si="100"/>
        <v>AIILVTILLLLRLVAIAGNGFITAALGVEWVLLPCDKLLVSLGASRFCLQSVVMGKTIYVFLAFPYNPVLQFLAFQWDFLNAATLWSSTWLSVFYCVKIATHKLSGWLPWMLFSSVGLSSFTTILFFISYCEKFYLFPLKMITWTMPTAVFFICMILLITSLGRHRKKAPSVQAHIKALLALLSFAMLFISYFLSLVFSAAGLDFKFWVWESVIYLCAAVHPIILLFSNCRLRAVLKSRRSS</v>
      </c>
      <c r="C269" s="29" t="str">
        <f>IF(ISERROR(MATCH(A269,'SegEnds_Xtal_Prot#'!B:B, 0)), "NoXtal", "Xtal")</f>
        <v>NoXtal</v>
      </c>
      <c r="D269" s="4" t="str">
        <f>VLOOKUP(A269,Classification!A:D,2,FALSE)</f>
        <v>T</v>
      </c>
      <c r="E269" s="5" t="str">
        <f>VLOOKUP(A269,Seqs!A:B,2,FALSE)</f>
        <v>MNGDHMVLGSSVTDKKAIILVTILLLLRLVAIAGNGFITAALGVEWVLRRMLLPCDKLLVSLGASRFCLQSVVMGKTIYVFLHPMAFPYNPVLQFLAFQWDFLNAATLWSSTWLSVFYCVKIATFTHPVFFWLKHKLSGWLPWMLFSSVGLSSFTTILFFIGNHRMYQNYLRNHLQPWNVTGDSIRSYCEKFYLFPLKMITWTMPTAVFFICMILLITSLGRHRKKALLTTSGFREPSVQAHIKALLALLSFAMLFISYFLSLVFSAAGIFPPLDFKFWVWESVIYLCAAVHPIILLFSNCRLRAVLKSRRSSRCGTP</v>
      </c>
      <c r="F269" s="5" t="str">
        <f t="shared" si="101"/>
        <v>AIILVTILLLLRLVAIAGNGFITAALGVEWV</v>
      </c>
      <c r="G269" s="4" t="str">
        <f t="shared" si="102"/>
        <v>LRRM</v>
      </c>
      <c r="H269" s="4" t="str">
        <f t="shared" si="103"/>
        <v>LLPCDKLLVSLGASRFCLQSVVMGKTIYVFL</v>
      </c>
      <c r="I269" s="4" t="str">
        <f t="shared" si="104"/>
        <v/>
      </c>
      <c r="J269" s="4" t="str">
        <f t="shared" si="105"/>
        <v>AFPYNPVLQFLAFQWDFLNAATLWSSTWLSVFYCVKIAT</v>
      </c>
      <c r="K269" s="4" t="str">
        <f t="shared" si="106"/>
        <v>HPVFFWLK</v>
      </c>
      <c r="L269" s="4" t="str">
        <f t="shared" si="107"/>
        <v>HKLSGWLPWMLFSSVGLSSFTTILFFI</v>
      </c>
      <c r="M269" s="4" t="str">
        <f t="shared" si="108"/>
        <v/>
      </c>
      <c r="N269" s="4" t="str">
        <f t="shared" si="109"/>
        <v>SYCEKFYLFPLKMITWTMPTAVFFICMILLITSLGRHRKKA</v>
      </c>
      <c r="O269" s="4" t="str">
        <f t="shared" si="110"/>
        <v>PSVQAHIKALLALLSFAMLFISYFLSLVFSAAG</v>
      </c>
      <c r="P269" s="4" t="str">
        <f t="shared" si="111"/>
        <v>LDFKFWVWESVIYLCAAVHPIILLFS</v>
      </c>
      <c r="Q269" s="4" t="str">
        <f t="shared" si="112"/>
        <v>NCRLRAVLKSRRSS</v>
      </c>
      <c r="R269" s="5">
        <f>VLOOKUP($A269,'SegEnds_NonXtal_Prot#'!$A:$AL,3,FALSE)</f>
        <v>17</v>
      </c>
      <c r="S269" s="5">
        <f>VLOOKUP($A269,'SegEnds_NonXtal_Prot#'!$A:$AL,6,FALSE)</f>
        <v>48</v>
      </c>
      <c r="T269" s="5">
        <f>VLOOKUP($A269,'SegEnds_NonXtal_Prot#'!$A:$AL,9,FALSE)</f>
        <v>52</v>
      </c>
      <c r="U269" s="5" t="str">
        <f>VLOOKUP($A269,'SegEnds_NonXtal_Prot#'!$A:$AL,12,FALSE)</f>
        <v>-</v>
      </c>
      <c r="V269" s="5">
        <f>VLOOKUP($A269,'SegEnds_NonXtal_Prot#'!$A:$AL,15,FALSE)</f>
        <v>86</v>
      </c>
      <c r="W269" s="5">
        <f>VLOOKUP($A269,'SegEnds_NonXtal_Prot#'!$A:$AL,18,FALSE)</f>
        <v>127</v>
      </c>
      <c r="X269" s="5">
        <f>VLOOKUP($A269,'SegEnds_NonXtal_Prot#'!$A:$AL,21,FALSE)</f>
        <v>135</v>
      </c>
      <c r="Y269" s="5" t="str">
        <f>VLOOKUP($A269,'SegEnds_NonXtal_Prot#'!$A:$AL,24,FALSE)</f>
        <v>-</v>
      </c>
      <c r="Z269" s="5">
        <f>VLOOKUP($A269,'SegEnds_NonXtal_Prot#'!$A:$AL,27,FALSE)</f>
        <v>187</v>
      </c>
      <c r="AA269" s="5">
        <f>VLOOKUP($A269,'SegEnds_NonXtal_Prot#'!$A:$AL,30,FALSE)</f>
        <v>237</v>
      </c>
      <c r="AB269" s="5">
        <f>VLOOKUP($A269,'SegEnds_NonXtal_Prot#'!$A:$AL,33,FALSE)</f>
        <v>274</v>
      </c>
      <c r="AC269" s="5">
        <f>VLOOKUP($A269,'SegEnds_NonXtal_Prot#'!$A:$AL,36,FALSE)</f>
        <v>300</v>
      </c>
      <c r="AD269" s="5">
        <f>VLOOKUP($A269,'SegEnds_NonXtal_Prot#'!$A:$AL,5,FALSE)</f>
        <v>47</v>
      </c>
      <c r="AE269" s="5">
        <f>VLOOKUP($A269,'SegEnds_NonXtal_Prot#'!$A:$AL,8,FALSE)</f>
        <v>51</v>
      </c>
      <c r="AF269" s="5">
        <f>VLOOKUP($A269,'SegEnds_NonXtal_Prot#'!$A:$AL,11,FALSE)</f>
        <v>82</v>
      </c>
      <c r="AG269" s="5" t="str">
        <f>VLOOKUP($A269,'SegEnds_NonXtal_Prot#'!$A:$AL,14,FALSE)</f>
        <v>-</v>
      </c>
      <c r="AH269" s="5">
        <f>VLOOKUP($A269,'SegEnds_NonXtal_Prot#'!$A:$AL,17,FALSE)</f>
        <v>124</v>
      </c>
      <c r="AI269" s="5">
        <f>VLOOKUP($A269,'SegEnds_NonXtal_Prot#'!$A:$AL,20,FALSE)</f>
        <v>134</v>
      </c>
      <c r="AJ269" s="5">
        <f>VLOOKUP($A269,'SegEnds_NonXtal_Prot#'!$A:$AL,23,FALSE)</f>
        <v>161</v>
      </c>
      <c r="AK269" s="5" t="str">
        <f>VLOOKUP($A269,'SegEnds_NonXtal_Prot#'!$A:$AL,26,FALSE)</f>
        <v>-</v>
      </c>
      <c r="AL269" s="5">
        <f>VLOOKUP($A269,'SegEnds_NonXtal_Prot#'!$A:$AL,29,FALSE)</f>
        <v>227</v>
      </c>
      <c r="AM269" s="5">
        <f>VLOOKUP($A269,'SegEnds_NonXtal_Prot#'!$A:$AL,32,FALSE)</f>
        <v>269</v>
      </c>
      <c r="AN269" s="5">
        <f>VLOOKUP($A269,'SegEnds_NonXtal_Prot#'!$A:$AL,35,FALSE)</f>
        <v>299</v>
      </c>
      <c r="AO269" s="5">
        <f>VLOOKUP($A269,'SegEnds_NonXtal_Prot#'!$A:$AL,38,FALSE)</f>
        <v>313</v>
      </c>
      <c r="AP269" s="5">
        <f t="shared" si="113"/>
        <v>30</v>
      </c>
      <c r="AQ269" s="4">
        <f t="shared" si="114"/>
        <v>3</v>
      </c>
      <c r="AR269" s="4">
        <f t="shared" si="115"/>
        <v>30</v>
      </c>
      <c r="AS269" s="4" t="str">
        <f t="shared" si="116"/>
        <v>-</v>
      </c>
      <c r="AT269" s="4">
        <f t="shared" si="117"/>
        <v>38</v>
      </c>
      <c r="AU269" s="4">
        <f t="shared" si="118"/>
        <v>7</v>
      </c>
      <c r="AV269" s="4">
        <f t="shared" si="119"/>
        <v>26</v>
      </c>
      <c r="AW269" s="4" t="str">
        <f t="shared" si="120"/>
        <v>-</v>
      </c>
      <c r="AX269" s="4">
        <f t="shared" si="121"/>
        <v>40</v>
      </c>
      <c r="AY269" s="4">
        <f t="shared" si="122"/>
        <v>32</v>
      </c>
      <c r="AZ269" s="4">
        <f t="shared" si="123"/>
        <v>25</v>
      </c>
      <c r="BA269" s="4">
        <f t="shared" si="124"/>
        <v>13</v>
      </c>
    </row>
    <row r="270" spans="1:53" x14ac:dyDescent="0.2">
      <c r="A270" s="1" t="str">
        <f>'SegEnds_NonXtal_Prot#'!A258</f>
        <v>ta2r_human</v>
      </c>
      <c r="B270" s="1" t="str">
        <f t="shared" si="100"/>
        <v>EERRLIASPWFAASFCVVGLASNLLALSVLAGASSFLTFLCGLVLTDFLGLLVTGTIVVSQHAAVDPGCRLCRFMGVVMIFFGLSPLLLGAAMASERYLGITRSQRRAWATVGLVWAAALALGLLPLLGGGLSVGLSFLLNTVSVATLCHVYHGQEAAQQRPEVEMMAQLLGIMVVASVCWLPLLVFIAQTVLRNPPAGQLSRTTEKELLIYLRVATWNQILDPWVYILFRRAVLRRLQPRLS</v>
      </c>
      <c r="C270" s="29" t="str">
        <f>IF(ISERROR(MATCH(A270,'SegEnds_Xtal_Prot#'!B:B, 0)), "NoXtal", "Xtal")</f>
        <v>NoXtal</v>
      </c>
      <c r="D270" s="4" t="str">
        <f>VLOOKUP(A270,Classification!A:D,2,FALSE)</f>
        <v>A</v>
      </c>
      <c r="E270" s="5" t="str">
        <f>VLOOKUP(A270,Seqs!A:B,2,FALSE)</f>
        <v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</v>
      </c>
      <c r="F270" s="5" t="str">
        <f t="shared" si="101"/>
        <v>EERRLIASPWFAASFCVVGLASNLLALSVLAGA</v>
      </c>
      <c r="G270" s="4" t="str">
        <f t="shared" si="102"/>
        <v/>
      </c>
      <c r="H270" s="4" t="str">
        <f t="shared" si="103"/>
        <v>SSFLTFLCGLVLTDFLGLLVTGTIVVSQHAA</v>
      </c>
      <c r="I270" s="4" t="str">
        <f t="shared" si="104"/>
        <v>EWHA</v>
      </c>
      <c r="J270" s="4" t="str">
        <f t="shared" si="105"/>
        <v>VDPGCRLCRFMGVVMIFFGLSPLLLGAAMASERYLGITR</v>
      </c>
      <c r="K270" s="4" t="str">
        <f t="shared" si="106"/>
        <v>PFSRPAVA</v>
      </c>
      <c r="L270" s="4" t="str">
        <f t="shared" si="107"/>
        <v>SQRRAWATVGLVWAAALALGLLPLLG</v>
      </c>
      <c r="M270" s="4" t="str">
        <f t="shared" si="108"/>
        <v>CFL</v>
      </c>
      <c r="N270" s="4" t="str">
        <f t="shared" si="109"/>
        <v>GGLSVGLSFLLNTVSVATLCHVYHGQEAAQQRP</v>
      </c>
      <c r="O270" s="4" t="str">
        <f t="shared" si="110"/>
        <v>EVEMMAQLLGIMVVASVCWLPLLVFIAQTVLRNPP</v>
      </c>
      <c r="P270" s="4" t="str">
        <f t="shared" si="111"/>
        <v>AGQLSRTTEKELLIYLRVATWNQILDPWVYILF</v>
      </c>
      <c r="Q270" s="4" t="str">
        <f t="shared" si="112"/>
        <v>RRAVLRRLQPRLS</v>
      </c>
      <c r="R270" s="5">
        <f>VLOOKUP($A270,'SegEnds_NonXtal_Prot#'!$A:$AL,3,FALSE)</f>
        <v>20</v>
      </c>
      <c r="S270" s="5" t="str">
        <f>VLOOKUP($A270,'SegEnds_NonXtal_Prot#'!$A:$AL,6,FALSE)</f>
        <v>-</v>
      </c>
      <c r="T270" s="5">
        <f>VLOOKUP($A270,'SegEnds_NonXtal_Prot#'!$A:$AL,9,FALSE)</f>
        <v>61</v>
      </c>
      <c r="U270" s="5">
        <f>VLOOKUP($A270,'SegEnds_NonXtal_Prot#'!$A:$AL,12,FALSE)</f>
        <v>94</v>
      </c>
      <c r="V270" s="5">
        <f>VLOOKUP($A270,'SegEnds_NonXtal_Prot#'!$A:$AL,15,FALSE)</f>
        <v>98</v>
      </c>
      <c r="W270" s="5">
        <f>VLOOKUP($A270,'SegEnds_NonXtal_Prot#'!$A:$AL,18,FALSE)</f>
        <v>137</v>
      </c>
      <c r="X270" s="5">
        <f>VLOOKUP($A270,'SegEnds_NonXtal_Prot#'!$A:$AL,21,FALSE)</f>
        <v>145</v>
      </c>
      <c r="Y270" s="5">
        <f>VLOOKUP($A270,'SegEnds_NonXtal_Prot#'!$A:$AL,24,FALSE)</f>
        <v>183</v>
      </c>
      <c r="Z270" s="5">
        <f>VLOOKUP($A270,'SegEnds_NonXtal_Prot#'!$A:$AL,27,FALSE)</f>
        <v>204</v>
      </c>
      <c r="AA270" s="5">
        <f>VLOOKUP($A270,'SegEnds_NonXtal_Prot#'!$A:$AL,30,FALSE)</f>
        <v>240</v>
      </c>
      <c r="AB270" s="5">
        <f>VLOOKUP($A270,'SegEnds_NonXtal_Prot#'!$A:$AL,33,FALSE)</f>
        <v>279</v>
      </c>
      <c r="AC270" s="5">
        <f>VLOOKUP($A270,'SegEnds_NonXtal_Prot#'!$A:$AL,36,FALSE)</f>
        <v>312</v>
      </c>
      <c r="AD270" s="5">
        <f>VLOOKUP($A270,'SegEnds_NonXtal_Prot#'!$A:$AL,5,FALSE)</f>
        <v>52</v>
      </c>
      <c r="AE270" s="5" t="str">
        <f>VLOOKUP($A270,'SegEnds_NonXtal_Prot#'!$A:$AL,8,FALSE)</f>
        <v>-</v>
      </c>
      <c r="AF270" s="5">
        <f>VLOOKUP($A270,'SegEnds_NonXtal_Prot#'!$A:$AL,11,FALSE)</f>
        <v>91</v>
      </c>
      <c r="AG270" s="5">
        <f>VLOOKUP($A270,'SegEnds_NonXtal_Prot#'!$A:$AL,14,FALSE)</f>
        <v>97</v>
      </c>
      <c r="AH270" s="5">
        <f>VLOOKUP($A270,'SegEnds_NonXtal_Prot#'!$A:$AL,17,FALSE)</f>
        <v>136</v>
      </c>
      <c r="AI270" s="5">
        <f>VLOOKUP($A270,'SegEnds_NonXtal_Prot#'!$A:$AL,20,FALSE)</f>
        <v>144</v>
      </c>
      <c r="AJ270" s="5">
        <f>VLOOKUP($A270,'SegEnds_NonXtal_Prot#'!$A:$AL,23,FALSE)</f>
        <v>170</v>
      </c>
      <c r="AK270" s="5">
        <f>VLOOKUP($A270,'SegEnds_NonXtal_Prot#'!$A:$AL,26,FALSE)</f>
        <v>185</v>
      </c>
      <c r="AL270" s="5">
        <f>VLOOKUP($A270,'SegEnds_NonXtal_Prot#'!$A:$AL,29,FALSE)</f>
        <v>236</v>
      </c>
      <c r="AM270" s="5">
        <f>VLOOKUP($A270,'SegEnds_NonXtal_Prot#'!$A:$AL,32,FALSE)</f>
        <v>274</v>
      </c>
      <c r="AN270" s="5">
        <f>VLOOKUP($A270,'SegEnds_NonXtal_Prot#'!$A:$AL,35,FALSE)</f>
        <v>311</v>
      </c>
      <c r="AO270" s="5">
        <f>VLOOKUP($A270,'SegEnds_NonXtal_Prot#'!$A:$AL,38,FALSE)</f>
        <v>324</v>
      </c>
      <c r="AP270" s="5">
        <f t="shared" si="113"/>
        <v>32</v>
      </c>
      <c r="AQ270" s="4" t="str">
        <f t="shared" si="114"/>
        <v>-</v>
      </c>
      <c r="AR270" s="4">
        <f t="shared" si="115"/>
        <v>30</v>
      </c>
      <c r="AS270" s="4">
        <f t="shared" si="116"/>
        <v>3</v>
      </c>
      <c r="AT270" s="4">
        <f t="shared" si="117"/>
        <v>38</v>
      </c>
      <c r="AU270" s="4">
        <f t="shared" si="118"/>
        <v>7</v>
      </c>
      <c r="AV270" s="4">
        <f t="shared" si="119"/>
        <v>25</v>
      </c>
      <c r="AW270" s="4">
        <f t="shared" si="120"/>
        <v>2</v>
      </c>
      <c r="AX270" s="4">
        <f t="shared" si="121"/>
        <v>32</v>
      </c>
      <c r="AY270" s="4">
        <f t="shared" si="122"/>
        <v>34</v>
      </c>
      <c r="AZ270" s="4">
        <f t="shared" si="123"/>
        <v>32</v>
      </c>
      <c r="BA270" s="4">
        <f t="shared" si="124"/>
        <v>12</v>
      </c>
    </row>
    <row r="271" spans="1:53" x14ac:dyDescent="0.2">
      <c r="A271" s="1" t="str">
        <f>'SegEnds_NonXtal_Prot#'!A259</f>
        <v>ta2r1_human</v>
      </c>
      <c r="B271" s="1" t="str">
        <f t="shared" si="100"/>
        <v>LIIYFLLAVIQFLLGIFTNGIIVVVNGIDLIMAPLDLLLSCLAVSRIFLQLFIFYVNVIVIFMCSANCAILLFINELELWLATWLGVFYCAKVASMRISKLVPWMILGSLLYVSMICVFHSKKEDTLAIQIFSFVAEFSVPLLIFLFAVLLLIFSLGRHTRQMPGRGAPISALLSILSFLILYFSHCMIKVFLSSLRRFIFLFFILVIGIYPSGHSLILILGNPKLKQNAKKFLLH</v>
      </c>
      <c r="C271" s="29" t="str">
        <f>IF(ISERROR(MATCH(A271,'SegEnds_Xtal_Prot#'!B:B, 0)), "NoXtal", "Xtal")</f>
        <v>NoXtal</v>
      </c>
      <c r="D271" s="4" t="str">
        <f>VLOOKUP(A271,Classification!A:D,2,FALSE)</f>
        <v>T</v>
      </c>
      <c r="E271" s="5" t="str">
        <f>VLOOKUP(A271,Seqs!A:B,2,FALSE)</f>
        <v>MLESHLIIYFLLAVIQFLLGIFTNGIIVVVNGIDLIKHRKMAPLDLLLSCLAVSRIFLQLFIFYVNVIVIFFIEFIMCSANCAILLFINELELWLATWLGVFYCAKVASVRHPLFIWLKMRISKLVPWMILGSLLYVSMICVFHSKYAGFMVPYFLRKFFSQNATIQKEDTLAIQIFSFVAEFSVPLLIFLFAVLLLIFSLGRHTRQMRNTVAGSRVPGRGAPISALLSILSFLILYFSHCMIKVFLSSLKFHIRRFIFLFFILVIGIYPSGHSLILILGNPKLKQNAKKFLLHSKCCQ</v>
      </c>
      <c r="F271" s="5" t="str">
        <f t="shared" si="101"/>
        <v>LIIYFLLAVIQFLLGIFTNGIIVVVNGIDLI</v>
      </c>
      <c r="G271" s="4" t="str">
        <f t="shared" si="102"/>
        <v>KHRK</v>
      </c>
      <c r="H271" s="4" t="str">
        <f t="shared" si="103"/>
        <v>MAPLDLLLSCLAVSRIFLQLFIFYVNVIVIF</v>
      </c>
      <c r="I271" s="4" t="str">
        <f t="shared" si="104"/>
        <v/>
      </c>
      <c r="J271" s="4" t="str">
        <f t="shared" si="105"/>
        <v>MCSANCAILLFINELELWLATWLGVFYCAKVAS</v>
      </c>
      <c r="K271" s="4" t="str">
        <f t="shared" si="106"/>
        <v>HPLFIWLK</v>
      </c>
      <c r="L271" s="4" t="str">
        <f t="shared" si="107"/>
        <v>MRISKLVPWMILGSLLYVSMICVFHSK</v>
      </c>
      <c r="M271" s="4" t="str">
        <f t="shared" si="108"/>
        <v/>
      </c>
      <c r="N271" s="4" t="str">
        <f t="shared" si="109"/>
        <v>KEDTLAIQIFSFVAEFSVPLLIFLFAVLLLIFSLGRHTRQM</v>
      </c>
      <c r="O271" s="4" t="str">
        <f t="shared" si="110"/>
        <v>PGRGAPISALLSILSFLILYFSHCMIKVFLSSL</v>
      </c>
      <c r="P271" s="4" t="str">
        <f t="shared" si="111"/>
        <v>RRFIFLFFILVIGIYPSGHSLILILG</v>
      </c>
      <c r="Q271" s="4" t="str">
        <f t="shared" si="112"/>
        <v>NPKLKQNAKKFLLH</v>
      </c>
      <c r="R271" s="5">
        <f>VLOOKUP($A271,'SegEnds_NonXtal_Prot#'!$A:$AL,3,FALSE)</f>
        <v>6</v>
      </c>
      <c r="S271" s="5">
        <f>VLOOKUP($A271,'SegEnds_NonXtal_Prot#'!$A:$AL,6,FALSE)</f>
        <v>37</v>
      </c>
      <c r="T271" s="5">
        <f>VLOOKUP($A271,'SegEnds_NonXtal_Prot#'!$A:$AL,9,FALSE)</f>
        <v>41</v>
      </c>
      <c r="U271" s="5" t="str">
        <f>VLOOKUP($A271,'SegEnds_NonXtal_Prot#'!$A:$AL,12,FALSE)</f>
        <v>-</v>
      </c>
      <c r="V271" s="5">
        <f>VLOOKUP($A271,'SegEnds_NonXtal_Prot#'!$A:$AL,15,FALSE)</f>
        <v>77</v>
      </c>
      <c r="W271" s="5">
        <f>VLOOKUP($A271,'SegEnds_NonXtal_Prot#'!$A:$AL,18,FALSE)</f>
        <v>112</v>
      </c>
      <c r="X271" s="5">
        <f>VLOOKUP($A271,'SegEnds_NonXtal_Prot#'!$A:$AL,21,FALSE)</f>
        <v>120</v>
      </c>
      <c r="Y271" s="5" t="str">
        <f>VLOOKUP($A271,'SegEnds_NonXtal_Prot#'!$A:$AL,24,FALSE)</f>
        <v>-</v>
      </c>
      <c r="Z271" s="5">
        <f>VLOOKUP($A271,'SegEnds_NonXtal_Prot#'!$A:$AL,27,FALSE)</f>
        <v>168</v>
      </c>
      <c r="AA271" s="5">
        <f>VLOOKUP($A271,'SegEnds_NonXtal_Prot#'!$A:$AL,30,FALSE)</f>
        <v>218</v>
      </c>
      <c r="AB271" s="5">
        <f>VLOOKUP($A271,'SegEnds_NonXtal_Prot#'!$A:$AL,33,FALSE)</f>
        <v>255</v>
      </c>
      <c r="AC271" s="5">
        <f>VLOOKUP($A271,'SegEnds_NonXtal_Prot#'!$A:$AL,36,FALSE)</f>
        <v>281</v>
      </c>
      <c r="AD271" s="5">
        <f>VLOOKUP($A271,'SegEnds_NonXtal_Prot#'!$A:$AL,5,FALSE)</f>
        <v>36</v>
      </c>
      <c r="AE271" s="5">
        <f>VLOOKUP($A271,'SegEnds_NonXtal_Prot#'!$A:$AL,8,FALSE)</f>
        <v>40</v>
      </c>
      <c r="AF271" s="5">
        <f>VLOOKUP($A271,'SegEnds_NonXtal_Prot#'!$A:$AL,11,FALSE)</f>
        <v>71</v>
      </c>
      <c r="AG271" s="5" t="str">
        <f>VLOOKUP($A271,'SegEnds_NonXtal_Prot#'!$A:$AL,14,FALSE)</f>
        <v>-</v>
      </c>
      <c r="AH271" s="5">
        <f>VLOOKUP($A271,'SegEnds_NonXtal_Prot#'!$A:$AL,17,FALSE)</f>
        <v>109</v>
      </c>
      <c r="AI271" s="5">
        <f>VLOOKUP($A271,'SegEnds_NonXtal_Prot#'!$A:$AL,20,FALSE)</f>
        <v>119</v>
      </c>
      <c r="AJ271" s="5">
        <f>VLOOKUP($A271,'SegEnds_NonXtal_Prot#'!$A:$AL,23,FALSE)</f>
        <v>146</v>
      </c>
      <c r="AK271" s="5" t="str">
        <f>VLOOKUP($A271,'SegEnds_NonXtal_Prot#'!$A:$AL,26,FALSE)</f>
        <v>-</v>
      </c>
      <c r="AL271" s="5">
        <f>VLOOKUP($A271,'SegEnds_NonXtal_Prot#'!$A:$AL,29,FALSE)</f>
        <v>208</v>
      </c>
      <c r="AM271" s="5">
        <f>VLOOKUP($A271,'SegEnds_NonXtal_Prot#'!$A:$AL,32,FALSE)</f>
        <v>250</v>
      </c>
      <c r="AN271" s="5">
        <f>VLOOKUP($A271,'SegEnds_NonXtal_Prot#'!$A:$AL,35,FALSE)</f>
        <v>280</v>
      </c>
      <c r="AO271" s="5">
        <f>VLOOKUP($A271,'SegEnds_NonXtal_Prot#'!$A:$AL,38,FALSE)</f>
        <v>294</v>
      </c>
      <c r="AP271" s="5">
        <f t="shared" si="113"/>
        <v>30</v>
      </c>
      <c r="AQ271" s="4">
        <f t="shared" si="114"/>
        <v>3</v>
      </c>
      <c r="AR271" s="4">
        <f t="shared" si="115"/>
        <v>30</v>
      </c>
      <c r="AS271" s="4" t="str">
        <f t="shared" si="116"/>
        <v>-</v>
      </c>
      <c r="AT271" s="4">
        <f t="shared" si="117"/>
        <v>32</v>
      </c>
      <c r="AU271" s="4">
        <f t="shared" si="118"/>
        <v>7</v>
      </c>
      <c r="AV271" s="4">
        <f t="shared" si="119"/>
        <v>26</v>
      </c>
      <c r="AW271" s="4" t="str">
        <f t="shared" si="120"/>
        <v>-</v>
      </c>
      <c r="AX271" s="4">
        <f t="shared" si="121"/>
        <v>40</v>
      </c>
      <c r="AY271" s="4">
        <f t="shared" si="122"/>
        <v>32</v>
      </c>
      <c r="AZ271" s="4">
        <f t="shared" si="123"/>
        <v>25</v>
      </c>
      <c r="BA271" s="4">
        <f t="shared" si="124"/>
        <v>13</v>
      </c>
    </row>
    <row r="272" spans="1:53" x14ac:dyDescent="0.2">
      <c r="A272" s="1" t="str">
        <f>'SegEnds_NonXtal_Prot#'!A260</f>
        <v>ta2r3_human</v>
      </c>
      <c r="B272" s="1" t="str">
        <f t="shared" si="100"/>
        <v>EGVFLILSGTQFTLGILVNCFIELVNGSSWFMSLSDFIITTLALLRIILLCIILTDSFLIEFSSGIIMQIIDVSWTFTNHLSIWLATCLGVLYCLKIASWRVSRVMVWMLLGALLLSCGSTASLINKRSEYYLIHVLGTLWYLPPLIVSLASYSLLIFSLGRHTRQMPTTEAHKRAIRIILSFFFLFLLYFLAFLIASFGTKMAKMIGEVMTMFYPAGHSFILILGNSKLKQTFVVMLRC</v>
      </c>
      <c r="C272" s="29" t="str">
        <f>IF(ISERROR(MATCH(A272,'SegEnds_Xtal_Prot#'!B:B, 0)), "NoXtal", "Xtal")</f>
        <v>NoXtal</v>
      </c>
      <c r="D272" s="4" t="str">
        <f>VLOOKUP(A272,Classification!A:D,2,FALSE)</f>
        <v>T</v>
      </c>
      <c r="E272" s="5" t="str">
        <f>VLOOKUP(A272,Seqs!A:B,2,FALSE)</f>
        <v>MMGLTEGVFLILSGTQFTLGILVNCFIELVNGSSWFKTKRMSLSDFIITTLALLRIILLCIILTDSFLIEFSPNTHDSGIIMQIIDVSWTFTNHLSIWLATCLGVLYCLKIASFSHPTFLWLKWRVSRVMVWMLLGALLLSCGSTASLINEFKLYSVFRGIEATRNVTEHFRKKRSEYYLIHVLGTLWYLPPLIVSLASYSLLIFSLGRHTRQMLQNGTSSRDPTTEAHKRAIRIILSFFFLFLLYFLAFLIASFGNFLPKTKMAKMIGEVMTMFYPAGHSFILILGNSKLKQTFVVMLRCESGHLKPGSKGPIFS</v>
      </c>
      <c r="F272" s="5" t="str">
        <f t="shared" si="101"/>
        <v>EGVFLILSGTQFTLGILVNCFIELVNGSSWF</v>
      </c>
      <c r="G272" s="4" t="str">
        <f t="shared" si="102"/>
        <v>KTKR</v>
      </c>
      <c r="H272" s="4" t="str">
        <f t="shared" si="103"/>
        <v>MSLSDFIITTLALLRIILLCIILTDSFLIEFS</v>
      </c>
      <c r="I272" s="4" t="str">
        <f t="shared" si="104"/>
        <v/>
      </c>
      <c r="J272" s="4" t="str">
        <f t="shared" si="105"/>
        <v>SGIIMQIIDVSWTFTNHLSIWLATCLGVLYCLKIAS</v>
      </c>
      <c r="K272" s="4" t="str">
        <f t="shared" si="106"/>
        <v>HPTFLWLK</v>
      </c>
      <c r="L272" s="4" t="str">
        <f t="shared" si="107"/>
        <v>WRVSRVMVWMLLGALLLSCGSTASLIN</v>
      </c>
      <c r="M272" s="4" t="str">
        <f t="shared" si="108"/>
        <v/>
      </c>
      <c r="N272" s="4" t="str">
        <f t="shared" si="109"/>
        <v>KRSEYYLIHVLGTLWYLPPLIVSLASYSLLIFSLGRHTRQM</v>
      </c>
      <c r="O272" s="4" t="str">
        <f t="shared" si="110"/>
        <v>PTTEAHKRAIRIILSFFFLFLLYFLAFLIASFG</v>
      </c>
      <c r="P272" s="4" t="str">
        <f t="shared" si="111"/>
        <v>TKMAKMIGEVMTMFYPAGHSFILILG</v>
      </c>
      <c r="Q272" s="4" t="str">
        <f t="shared" si="112"/>
        <v>NSKLKQTFVVMLRC</v>
      </c>
      <c r="R272" s="5">
        <f>VLOOKUP($A272,'SegEnds_NonXtal_Prot#'!$A:$AL,3,FALSE)</f>
        <v>6</v>
      </c>
      <c r="S272" s="5">
        <f>VLOOKUP($A272,'SegEnds_NonXtal_Prot#'!$A:$AL,6,FALSE)</f>
        <v>37</v>
      </c>
      <c r="T272" s="5">
        <f>VLOOKUP($A272,'SegEnds_NonXtal_Prot#'!$A:$AL,9,FALSE)</f>
        <v>41</v>
      </c>
      <c r="U272" s="5" t="str">
        <f>VLOOKUP($A272,'SegEnds_NonXtal_Prot#'!$A:$AL,12,FALSE)</f>
        <v>-</v>
      </c>
      <c r="V272" s="5">
        <f>VLOOKUP($A272,'SegEnds_NonXtal_Prot#'!$A:$AL,15,FALSE)</f>
        <v>78</v>
      </c>
      <c r="W272" s="5">
        <f>VLOOKUP($A272,'SegEnds_NonXtal_Prot#'!$A:$AL,18,FALSE)</f>
        <v>116</v>
      </c>
      <c r="X272" s="5">
        <f>VLOOKUP($A272,'SegEnds_NonXtal_Prot#'!$A:$AL,21,FALSE)</f>
        <v>124</v>
      </c>
      <c r="Y272" s="5" t="str">
        <f>VLOOKUP($A272,'SegEnds_NonXtal_Prot#'!$A:$AL,24,FALSE)</f>
        <v>-</v>
      </c>
      <c r="Z272" s="5">
        <f>VLOOKUP($A272,'SegEnds_NonXtal_Prot#'!$A:$AL,27,FALSE)</f>
        <v>174</v>
      </c>
      <c r="AA272" s="5">
        <f>VLOOKUP($A272,'SegEnds_NonXtal_Prot#'!$A:$AL,30,FALSE)</f>
        <v>224</v>
      </c>
      <c r="AB272" s="5">
        <f>VLOOKUP($A272,'SegEnds_NonXtal_Prot#'!$A:$AL,33,FALSE)</f>
        <v>262</v>
      </c>
      <c r="AC272" s="5">
        <f>VLOOKUP($A272,'SegEnds_NonXtal_Prot#'!$A:$AL,36,FALSE)</f>
        <v>288</v>
      </c>
      <c r="AD272" s="5">
        <f>VLOOKUP($A272,'SegEnds_NonXtal_Prot#'!$A:$AL,5,FALSE)</f>
        <v>36</v>
      </c>
      <c r="AE272" s="5">
        <f>VLOOKUP($A272,'SegEnds_NonXtal_Prot#'!$A:$AL,8,FALSE)</f>
        <v>40</v>
      </c>
      <c r="AF272" s="5">
        <f>VLOOKUP($A272,'SegEnds_NonXtal_Prot#'!$A:$AL,11,FALSE)</f>
        <v>72</v>
      </c>
      <c r="AG272" s="5" t="str">
        <f>VLOOKUP($A272,'SegEnds_NonXtal_Prot#'!$A:$AL,14,FALSE)</f>
        <v>-</v>
      </c>
      <c r="AH272" s="5">
        <f>VLOOKUP($A272,'SegEnds_NonXtal_Prot#'!$A:$AL,17,FALSE)</f>
        <v>113</v>
      </c>
      <c r="AI272" s="5">
        <f>VLOOKUP($A272,'SegEnds_NonXtal_Prot#'!$A:$AL,20,FALSE)</f>
        <v>123</v>
      </c>
      <c r="AJ272" s="5">
        <f>VLOOKUP($A272,'SegEnds_NonXtal_Prot#'!$A:$AL,23,FALSE)</f>
        <v>150</v>
      </c>
      <c r="AK272" s="5" t="str">
        <f>VLOOKUP($A272,'SegEnds_NonXtal_Prot#'!$A:$AL,26,FALSE)</f>
        <v>-</v>
      </c>
      <c r="AL272" s="5">
        <f>VLOOKUP($A272,'SegEnds_NonXtal_Prot#'!$A:$AL,29,FALSE)</f>
        <v>214</v>
      </c>
      <c r="AM272" s="5">
        <f>VLOOKUP($A272,'SegEnds_NonXtal_Prot#'!$A:$AL,32,FALSE)</f>
        <v>256</v>
      </c>
      <c r="AN272" s="5">
        <f>VLOOKUP($A272,'SegEnds_NonXtal_Prot#'!$A:$AL,35,FALSE)</f>
        <v>287</v>
      </c>
      <c r="AO272" s="5">
        <f>VLOOKUP($A272,'SegEnds_NonXtal_Prot#'!$A:$AL,38,FALSE)</f>
        <v>301</v>
      </c>
      <c r="AP272" s="5">
        <f t="shared" si="113"/>
        <v>30</v>
      </c>
      <c r="AQ272" s="4">
        <f t="shared" si="114"/>
        <v>3</v>
      </c>
      <c r="AR272" s="4">
        <f t="shared" si="115"/>
        <v>31</v>
      </c>
      <c r="AS272" s="4" t="str">
        <f t="shared" si="116"/>
        <v>-</v>
      </c>
      <c r="AT272" s="4">
        <f t="shared" si="117"/>
        <v>35</v>
      </c>
      <c r="AU272" s="4">
        <f t="shared" si="118"/>
        <v>7</v>
      </c>
      <c r="AV272" s="4">
        <f t="shared" si="119"/>
        <v>26</v>
      </c>
      <c r="AW272" s="4" t="str">
        <f t="shared" si="120"/>
        <v>-</v>
      </c>
      <c r="AX272" s="4">
        <f t="shared" si="121"/>
        <v>40</v>
      </c>
      <c r="AY272" s="4">
        <f t="shared" si="122"/>
        <v>32</v>
      </c>
      <c r="AZ272" s="4">
        <f t="shared" si="123"/>
        <v>25</v>
      </c>
      <c r="BA272" s="4">
        <f t="shared" si="124"/>
        <v>13</v>
      </c>
    </row>
    <row r="273" spans="1:53" x14ac:dyDescent="0.2">
      <c r="A273" s="1" t="str">
        <f>'SegEnds_NonXtal_Prot#'!A261</f>
        <v>ta2r4_human</v>
      </c>
      <c r="B273" s="1" t="str">
        <f t="shared" si="100"/>
        <v>YFSAIIASVILNFVGIIMNLFITVVNCKTWVISSSDRILFSLGITRFLMLGLFLVNTIYFVSSVYLSAFFVLCFMFLDSSSVWFVTLLNILYCVKITNRNISPKIPRLLLACVLISAFTTCLYIISEGILSLVVSLVLSSSLQFIINVTSASLLIHSLRRHIQKMPQTEAHVGAMKLMVYFLILYIPYSVATLVQYLPDMGTKSICLIFATLYSPGHSVLIIITHPKLKTTAKKILCF</v>
      </c>
      <c r="C273" s="29" t="str">
        <f>IF(ISERROR(MATCH(A273,'SegEnds_Xtal_Prot#'!B:B, 0)), "NoXtal", "Xtal")</f>
        <v>NoXtal</v>
      </c>
      <c r="D273" s="4" t="str">
        <f>VLOOKUP(A273,Classification!A:D,2,FALSE)</f>
        <v>T</v>
      </c>
      <c r="E273" s="5" t="str">
        <f>VLOOKUP(A273,Seqs!A:B,2,FALSE)</f>
        <v>MLRLFYFSAIIASVILNFVGIIMNLFITVVNCKTWVKSHRISSSDRILFSLGITRFLMLGLFLVNTIYFVSSNTERSVYLSAFFVLCFMFLDSSSVWFVTLLNILYCVKITNFQHSVFLLLKRNISPKIPRLLLACVLISAFTTCLYITLSQASPFPELVTTRNNTSFNISEGILSLVVSLVLSSSLQFIINVTSASLLIHSLRRHIQKMQKNATGFWNPQTEAHVGAMKLMVYFLILYIPYSVATLVQYLPFYAGMDMGTKSICLIFATLYSPGHSVLIIITHPKLKTTAKKILCFKK</v>
      </c>
      <c r="F273" s="5" t="str">
        <f t="shared" si="101"/>
        <v>YFSAIIASVILNFVGIIMNLFITVVNCKTWV</v>
      </c>
      <c r="G273" s="4" t="str">
        <f t="shared" si="102"/>
        <v>KSHR</v>
      </c>
      <c r="H273" s="4" t="str">
        <f t="shared" si="103"/>
        <v>ISSSDRILFSLGITRFLMLGLFLVNTIYFVS</v>
      </c>
      <c r="I273" s="4" t="str">
        <f t="shared" si="104"/>
        <v/>
      </c>
      <c r="J273" s="4" t="str">
        <f t="shared" si="105"/>
        <v>SVYLSAFFVLCFMFLDSSSVWFVTLLNILYCVKITN</v>
      </c>
      <c r="K273" s="4" t="str">
        <f t="shared" si="106"/>
        <v>HSVFLLLK</v>
      </c>
      <c r="L273" s="4" t="str">
        <f t="shared" si="107"/>
        <v>RNISPKIPRLLLACVLISAFTTCLYI</v>
      </c>
      <c r="M273" s="4" t="str">
        <f t="shared" si="108"/>
        <v/>
      </c>
      <c r="N273" s="4" t="str">
        <f t="shared" si="109"/>
        <v>ISEGILSLVVSLVLSSSLQFIINVTSASLLIHSLRRHIQKM</v>
      </c>
      <c r="O273" s="4" t="str">
        <f t="shared" si="110"/>
        <v>PQTEAHVGAMKLMVYFLILYIPYSVATLVQYLP</v>
      </c>
      <c r="P273" s="4" t="str">
        <f t="shared" si="111"/>
        <v>DMGTKSICLIFATLYSPGHSVLIIIT</v>
      </c>
      <c r="Q273" s="4" t="str">
        <f t="shared" si="112"/>
        <v>HPKLKTTAKKILCF</v>
      </c>
      <c r="R273" s="5">
        <f>VLOOKUP($A273,'SegEnds_NonXtal_Prot#'!$A:$AL,3,FALSE)</f>
        <v>6</v>
      </c>
      <c r="S273" s="5">
        <f>VLOOKUP($A273,'SegEnds_NonXtal_Prot#'!$A:$AL,6,FALSE)</f>
        <v>37</v>
      </c>
      <c r="T273" s="5">
        <f>VLOOKUP($A273,'SegEnds_NonXtal_Prot#'!$A:$AL,9,FALSE)</f>
        <v>41</v>
      </c>
      <c r="U273" s="5" t="str">
        <f>VLOOKUP($A273,'SegEnds_NonXtal_Prot#'!$A:$AL,12,FALSE)</f>
        <v>-</v>
      </c>
      <c r="V273" s="5">
        <f>VLOOKUP($A273,'SegEnds_NonXtal_Prot#'!$A:$AL,15,FALSE)</f>
        <v>77</v>
      </c>
      <c r="W273" s="5">
        <f>VLOOKUP($A273,'SegEnds_NonXtal_Prot#'!$A:$AL,18,FALSE)</f>
        <v>115</v>
      </c>
      <c r="X273" s="5">
        <f>VLOOKUP($A273,'SegEnds_NonXtal_Prot#'!$A:$AL,21,FALSE)</f>
        <v>123</v>
      </c>
      <c r="Y273" s="5" t="str">
        <f>VLOOKUP($A273,'SegEnds_NonXtal_Prot#'!$A:$AL,24,FALSE)</f>
        <v>-</v>
      </c>
      <c r="Z273" s="5">
        <f>VLOOKUP($A273,'SegEnds_NonXtal_Prot#'!$A:$AL,27,FALSE)</f>
        <v>170</v>
      </c>
      <c r="AA273" s="5">
        <f>VLOOKUP($A273,'SegEnds_NonXtal_Prot#'!$A:$AL,30,FALSE)</f>
        <v>220</v>
      </c>
      <c r="AB273" s="5">
        <f>VLOOKUP($A273,'SegEnds_NonXtal_Prot#'!$A:$AL,33,FALSE)</f>
        <v>258</v>
      </c>
      <c r="AC273" s="5">
        <f>VLOOKUP($A273,'SegEnds_NonXtal_Prot#'!$A:$AL,36,FALSE)</f>
        <v>284</v>
      </c>
      <c r="AD273" s="5">
        <f>VLOOKUP($A273,'SegEnds_NonXtal_Prot#'!$A:$AL,5,FALSE)</f>
        <v>36</v>
      </c>
      <c r="AE273" s="5">
        <f>VLOOKUP($A273,'SegEnds_NonXtal_Prot#'!$A:$AL,8,FALSE)</f>
        <v>40</v>
      </c>
      <c r="AF273" s="5">
        <f>VLOOKUP($A273,'SegEnds_NonXtal_Prot#'!$A:$AL,11,FALSE)</f>
        <v>71</v>
      </c>
      <c r="AG273" s="5" t="str">
        <f>VLOOKUP($A273,'SegEnds_NonXtal_Prot#'!$A:$AL,14,FALSE)</f>
        <v>-</v>
      </c>
      <c r="AH273" s="5">
        <f>VLOOKUP($A273,'SegEnds_NonXtal_Prot#'!$A:$AL,17,FALSE)</f>
        <v>112</v>
      </c>
      <c r="AI273" s="5">
        <f>VLOOKUP($A273,'SegEnds_NonXtal_Prot#'!$A:$AL,20,FALSE)</f>
        <v>122</v>
      </c>
      <c r="AJ273" s="5">
        <f>VLOOKUP($A273,'SegEnds_NonXtal_Prot#'!$A:$AL,23,FALSE)</f>
        <v>148</v>
      </c>
      <c r="AK273" s="5" t="str">
        <f>VLOOKUP($A273,'SegEnds_NonXtal_Prot#'!$A:$AL,26,FALSE)</f>
        <v>-</v>
      </c>
      <c r="AL273" s="5">
        <f>VLOOKUP($A273,'SegEnds_NonXtal_Prot#'!$A:$AL,29,FALSE)</f>
        <v>210</v>
      </c>
      <c r="AM273" s="5">
        <f>VLOOKUP($A273,'SegEnds_NonXtal_Prot#'!$A:$AL,32,FALSE)</f>
        <v>252</v>
      </c>
      <c r="AN273" s="5">
        <f>VLOOKUP($A273,'SegEnds_NonXtal_Prot#'!$A:$AL,35,FALSE)</f>
        <v>283</v>
      </c>
      <c r="AO273" s="5">
        <f>VLOOKUP($A273,'SegEnds_NonXtal_Prot#'!$A:$AL,38,FALSE)</f>
        <v>297</v>
      </c>
      <c r="AP273" s="5">
        <f t="shared" si="113"/>
        <v>30</v>
      </c>
      <c r="AQ273" s="4">
        <f t="shared" si="114"/>
        <v>3</v>
      </c>
      <c r="AR273" s="4">
        <f t="shared" si="115"/>
        <v>30</v>
      </c>
      <c r="AS273" s="4" t="str">
        <f t="shared" si="116"/>
        <v>-</v>
      </c>
      <c r="AT273" s="4">
        <f t="shared" si="117"/>
        <v>35</v>
      </c>
      <c r="AU273" s="4">
        <f t="shared" si="118"/>
        <v>7</v>
      </c>
      <c r="AV273" s="4">
        <f t="shared" si="119"/>
        <v>25</v>
      </c>
      <c r="AW273" s="4" t="str">
        <f t="shared" si="120"/>
        <v>-</v>
      </c>
      <c r="AX273" s="4">
        <f t="shared" si="121"/>
        <v>40</v>
      </c>
      <c r="AY273" s="4">
        <f t="shared" si="122"/>
        <v>32</v>
      </c>
      <c r="AZ273" s="4">
        <f t="shared" si="123"/>
        <v>25</v>
      </c>
      <c r="BA273" s="4">
        <f t="shared" si="124"/>
        <v>13</v>
      </c>
    </row>
    <row r="274" spans="1:53" x14ac:dyDescent="0.2">
      <c r="A274" s="1" t="str">
        <f>'SegEnds_NonXtal_Prot#'!A263</f>
        <v>ta2r7_human</v>
      </c>
      <c r="B274" s="1" t="str">
        <f t="shared" si="100"/>
        <v>QTTLLFLAVGEFSVGILGNAFIGLVNCMDWVIASIDLILTSLAISRICLLCVILLDCFILVLYTGKEMRIIDFFWTLTNHLSIWFATCLSIYYFFKIGNWRIDRVISWILLGCVVLSVFISLPATENKTQHASTKLFLNLATLLPFCVCLMSFFLLILSLRRHIRRMPSTEAHVRALKAVISFLLLFIAYYLSFLIATSSTELAVIFGESIALIYPSSHSFILILGNNKLRHASLKVIWK</v>
      </c>
      <c r="C274" s="29" t="str">
        <f>IF(ISERROR(MATCH(A274,'SegEnds_Xtal_Prot#'!B:B, 0)), "NoXtal", "Xtal")</f>
        <v>NoXtal</v>
      </c>
      <c r="D274" s="4" t="str">
        <f>VLOOKUP(A274,Classification!A:D,2,FALSE)</f>
        <v>T</v>
      </c>
      <c r="E274" s="5" t="str">
        <f>VLOOKUP(A274,Seqs!A:B,2,FALSE)</f>
        <v>MADKVQTTLLFLAVGEFSVGILGNAFIGLVNCMDWVKKRKIASIDLILTSLAISRICLLCVILLDCFILVLYPDVYATGKEMRIIDFFWTLTNHLSIWFATCLSIYYFFKIGNFFHPLFLWMKWRIDRVISWILLGCVVLSVFISLPATENLNADFRFCVKAKRKTNLTWSCRVNKTQHASTKLFLNLATLLPFCVCLMSFFLLILSLRRHIRRMQLSATGCRDPSTEAHVRALKAVISFLLLFIAYYLSFLIATSSYFMPETELAVIFGESIALIYPSSHSFILILGNNKLRHASLKVIWKVMSILKGRKFQQHKQI</v>
      </c>
      <c r="F274" s="5" t="str">
        <f t="shared" si="101"/>
        <v>QTTLLFLAVGEFSVGILGNAFIGLVNCMDWV</v>
      </c>
      <c r="G274" s="4" t="str">
        <f t="shared" si="102"/>
        <v>KKRK</v>
      </c>
      <c r="H274" s="4" t="str">
        <f t="shared" si="103"/>
        <v>IASIDLILTSLAISRICLLCVILLDCFILVLY</v>
      </c>
      <c r="I274" s="4" t="str">
        <f t="shared" si="104"/>
        <v/>
      </c>
      <c r="J274" s="4" t="str">
        <f t="shared" si="105"/>
        <v>TGKEMRIIDFFWTLTNHLSIWFATCLSIYYFFKIGN</v>
      </c>
      <c r="K274" s="4" t="str">
        <f t="shared" si="106"/>
        <v>HPLFLWMK</v>
      </c>
      <c r="L274" s="4" t="str">
        <f t="shared" si="107"/>
        <v>WRIDRVISWILLGCVVLSVFISLPATE</v>
      </c>
      <c r="M274" s="4" t="str">
        <f t="shared" si="108"/>
        <v/>
      </c>
      <c r="N274" s="4" t="str">
        <f t="shared" si="109"/>
        <v>NKTQHASTKLFLNLATLLPFCVCLMSFFLLILSLRRHIRRM</v>
      </c>
      <c r="O274" s="4" t="str">
        <f t="shared" si="110"/>
        <v>PSTEAHVRALKAVISFLLLFIAYYLSFLIATSS</v>
      </c>
      <c r="P274" s="4" t="str">
        <f t="shared" si="111"/>
        <v>TELAVIFGESIALIYPSSHSFILILG</v>
      </c>
      <c r="Q274" s="4" t="str">
        <f t="shared" si="112"/>
        <v>NNKLRHASLKVIWK</v>
      </c>
      <c r="R274" s="5">
        <f>VLOOKUP($A274,'SegEnds_NonXtal_Prot#'!$A:$AL,3,FALSE)</f>
        <v>6</v>
      </c>
      <c r="S274" s="5">
        <f>VLOOKUP($A274,'SegEnds_NonXtal_Prot#'!$A:$AL,6,FALSE)</f>
        <v>37</v>
      </c>
      <c r="T274" s="5">
        <f>VLOOKUP($A274,'SegEnds_NonXtal_Prot#'!$A:$AL,9,FALSE)</f>
        <v>41</v>
      </c>
      <c r="U274" s="5" t="str">
        <f>VLOOKUP($A274,'SegEnds_NonXtal_Prot#'!$A:$AL,12,FALSE)</f>
        <v>-</v>
      </c>
      <c r="V274" s="5">
        <f>VLOOKUP($A274,'SegEnds_NonXtal_Prot#'!$A:$AL,15,FALSE)</f>
        <v>78</v>
      </c>
      <c r="W274" s="5">
        <f>VLOOKUP($A274,'SegEnds_NonXtal_Prot#'!$A:$AL,18,FALSE)</f>
        <v>116</v>
      </c>
      <c r="X274" s="5">
        <f>VLOOKUP($A274,'SegEnds_NonXtal_Prot#'!$A:$AL,21,FALSE)</f>
        <v>124</v>
      </c>
      <c r="Y274" s="5" t="str">
        <f>VLOOKUP($A274,'SegEnds_NonXtal_Prot#'!$A:$AL,24,FALSE)</f>
        <v>-</v>
      </c>
      <c r="Z274" s="5">
        <f>VLOOKUP($A274,'SegEnds_NonXtal_Prot#'!$A:$AL,27,FALSE)</f>
        <v>175</v>
      </c>
      <c r="AA274" s="5">
        <f>VLOOKUP($A274,'SegEnds_NonXtal_Prot#'!$A:$AL,30,FALSE)</f>
        <v>225</v>
      </c>
      <c r="AB274" s="5">
        <f>VLOOKUP($A274,'SegEnds_NonXtal_Prot#'!$A:$AL,33,FALSE)</f>
        <v>263</v>
      </c>
      <c r="AC274" s="5">
        <f>VLOOKUP($A274,'SegEnds_NonXtal_Prot#'!$A:$AL,36,FALSE)</f>
        <v>289</v>
      </c>
      <c r="AD274" s="5">
        <f>VLOOKUP($A274,'SegEnds_NonXtal_Prot#'!$A:$AL,5,FALSE)</f>
        <v>36</v>
      </c>
      <c r="AE274" s="5">
        <f>VLOOKUP($A274,'SegEnds_NonXtal_Prot#'!$A:$AL,8,FALSE)</f>
        <v>40</v>
      </c>
      <c r="AF274" s="5">
        <f>VLOOKUP($A274,'SegEnds_NonXtal_Prot#'!$A:$AL,11,FALSE)</f>
        <v>72</v>
      </c>
      <c r="AG274" s="5" t="str">
        <f>VLOOKUP($A274,'SegEnds_NonXtal_Prot#'!$A:$AL,14,FALSE)</f>
        <v>-</v>
      </c>
      <c r="AH274" s="5">
        <f>VLOOKUP($A274,'SegEnds_NonXtal_Prot#'!$A:$AL,17,FALSE)</f>
        <v>113</v>
      </c>
      <c r="AI274" s="5">
        <f>VLOOKUP($A274,'SegEnds_NonXtal_Prot#'!$A:$AL,20,FALSE)</f>
        <v>123</v>
      </c>
      <c r="AJ274" s="5">
        <f>VLOOKUP($A274,'SegEnds_NonXtal_Prot#'!$A:$AL,23,FALSE)</f>
        <v>150</v>
      </c>
      <c r="AK274" s="5" t="str">
        <f>VLOOKUP($A274,'SegEnds_NonXtal_Prot#'!$A:$AL,26,FALSE)</f>
        <v>-</v>
      </c>
      <c r="AL274" s="5">
        <f>VLOOKUP($A274,'SegEnds_NonXtal_Prot#'!$A:$AL,29,FALSE)</f>
        <v>215</v>
      </c>
      <c r="AM274" s="5">
        <f>VLOOKUP($A274,'SegEnds_NonXtal_Prot#'!$A:$AL,32,FALSE)</f>
        <v>257</v>
      </c>
      <c r="AN274" s="5">
        <f>VLOOKUP($A274,'SegEnds_NonXtal_Prot#'!$A:$AL,35,FALSE)</f>
        <v>288</v>
      </c>
      <c r="AO274" s="5">
        <f>VLOOKUP($A274,'SegEnds_NonXtal_Prot#'!$A:$AL,38,FALSE)</f>
        <v>302</v>
      </c>
      <c r="AP274" s="5">
        <f t="shared" si="113"/>
        <v>30</v>
      </c>
      <c r="AQ274" s="4">
        <f t="shared" si="114"/>
        <v>3</v>
      </c>
      <c r="AR274" s="4">
        <f t="shared" si="115"/>
        <v>31</v>
      </c>
      <c r="AS274" s="4" t="str">
        <f t="shared" si="116"/>
        <v>-</v>
      </c>
      <c r="AT274" s="4">
        <f t="shared" si="117"/>
        <v>35</v>
      </c>
      <c r="AU274" s="4">
        <f t="shared" si="118"/>
        <v>7</v>
      </c>
      <c r="AV274" s="4">
        <f t="shared" si="119"/>
        <v>26</v>
      </c>
      <c r="AW274" s="4" t="str">
        <f t="shared" si="120"/>
        <v>-</v>
      </c>
      <c r="AX274" s="4">
        <f t="shared" si="121"/>
        <v>40</v>
      </c>
      <c r="AY274" s="4">
        <f t="shared" si="122"/>
        <v>32</v>
      </c>
      <c r="AZ274" s="4">
        <f t="shared" si="123"/>
        <v>25</v>
      </c>
      <c r="BA274" s="4">
        <f t="shared" si="124"/>
        <v>13</v>
      </c>
    </row>
    <row r="275" spans="1:53" x14ac:dyDescent="0.2">
      <c r="A275" s="1" t="str">
        <f>'SegEnds_NonXtal_Prot#'!A264</f>
        <v>ta2r8_human</v>
      </c>
      <c r="B275" s="1" t="str">
        <f t="shared" si="100"/>
        <v>DNIFIILITGEFILGILGNGYIALVNWIDWIISTVDYILTNLVIARICLISVMVVNGIVIVLVYTKNKQQIVIFTFWTFANYLNMWITTCLNVFYFLKIASWKIDMVVHWILLGCFAISLLVSLIAAISKIPYFEPLTLFNLFAIVPFIVSLISFFLLVRSLWRHTKQIPSTEVHVRAIKTMTSFIFFFFLYYISSILMTFSYKLAVEFGEIAAILYPLGHSLILIVLNNKLRQTFVRMLTC</v>
      </c>
      <c r="C275" s="29" t="str">
        <f>IF(ISERROR(MATCH(A275,'SegEnds_Xtal_Prot#'!B:B, 0)), "NoXtal", "Xtal")</f>
        <v>NoXtal</v>
      </c>
      <c r="D275" s="4" t="str">
        <f>VLOOKUP(A275,Classification!A:D,2,FALSE)</f>
        <v>T</v>
      </c>
      <c r="E275" s="5" t="str">
        <f>VLOOKUP(A275,Seqs!A:B,2,FALSE)</f>
        <v>MFSPADNIFIILITGEFILGILGNGYIALVNWIDWIKKKKISTVDYILTNLVIARICLISVMVVNGIVIVLNPDVYTKNKQQIVIFTFWTFANYLNMWITTCLNVFYFLKIASSSHPLFLWLKWKIDMVVHWILLGCFAISLLVSLIAAIVLSCDYRFHAIAKHKRNITEMFHVSKIPYFEPLTLFNLFAIVPFIVSLISFFLLVRSLWRHTKQIKLYATGSRDPSTEVHVRAIKTMTSFIFFFFLYYISSILMTFSYLMTKYKLAVEFGEIAAILYPLGHSLILIVLNNKLRQTFVRMLTCRKIACMI</v>
      </c>
      <c r="F275" s="5" t="str">
        <f t="shared" si="101"/>
        <v>DNIFIILITGEFILGILGNGYIALVNWIDWI</v>
      </c>
      <c r="G275" s="4" t="str">
        <f t="shared" si="102"/>
        <v>KKKK</v>
      </c>
      <c r="H275" s="4" t="str">
        <f t="shared" si="103"/>
        <v>ISTVDYILTNLVIARICLISVMVVNGIVIVL</v>
      </c>
      <c r="I275" s="4" t="str">
        <f t="shared" si="104"/>
        <v/>
      </c>
      <c r="J275" s="4" t="str">
        <f t="shared" si="105"/>
        <v>VYTKNKQQIVIFTFWTFANYLNMWITTCLNVFYFLKIAS</v>
      </c>
      <c r="K275" s="4" t="str">
        <f t="shared" si="106"/>
        <v>HPLFLWLK</v>
      </c>
      <c r="L275" s="4" t="str">
        <f t="shared" si="107"/>
        <v>WKIDMVVHWILLGCFAISLLVSLIAAI</v>
      </c>
      <c r="M275" s="4" t="str">
        <f t="shared" si="108"/>
        <v/>
      </c>
      <c r="N275" s="4" t="str">
        <f t="shared" si="109"/>
        <v>SKIPYFEPLTLFNLFAIVPFIVSLISFFLLVRSLWRHTKQI</v>
      </c>
      <c r="O275" s="4" t="str">
        <f t="shared" si="110"/>
        <v>PSTEVHVRAIKTMTSFIFFFFLYYISSILMTFS</v>
      </c>
      <c r="P275" s="4" t="str">
        <f t="shared" si="111"/>
        <v>YKLAVEFGEIAAILYPLGHSLILIVL</v>
      </c>
      <c r="Q275" s="4" t="str">
        <f t="shared" si="112"/>
        <v>NNKLRQTFVRMLTC</v>
      </c>
      <c r="R275" s="5">
        <f>VLOOKUP($A275,'SegEnds_NonXtal_Prot#'!$A:$AL,3,FALSE)</f>
        <v>6</v>
      </c>
      <c r="S275" s="5">
        <f>VLOOKUP($A275,'SegEnds_NonXtal_Prot#'!$A:$AL,6,FALSE)</f>
        <v>37</v>
      </c>
      <c r="T275" s="5">
        <f>VLOOKUP($A275,'SegEnds_NonXtal_Prot#'!$A:$AL,9,FALSE)</f>
        <v>41</v>
      </c>
      <c r="U275" s="5" t="str">
        <f>VLOOKUP($A275,'SegEnds_NonXtal_Prot#'!$A:$AL,12,FALSE)</f>
        <v>-</v>
      </c>
      <c r="V275" s="5">
        <f>VLOOKUP($A275,'SegEnds_NonXtal_Prot#'!$A:$AL,15,FALSE)</f>
        <v>75</v>
      </c>
      <c r="W275" s="5">
        <f>VLOOKUP($A275,'SegEnds_NonXtal_Prot#'!$A:$AL,18,FALSE)</f>
        <v>116</v>
      </c>
      <c r="X275" s="5">
        <f>VLOOKUP($A275,'SegEnds_NonXtal_Prot#'!$A:$AL,21,FALSE)</f>
        <v>124</v>
      </c>
      <c r="Y275" s="5" t="str">
        <f>VLOOKUP($A275,'SegEnds_NonXtal_Prot#'!$A:$AL,24,FALSE)</f>
        <v>-</v>
      </c>
      <c r="Z275" s="5">
        <f>VLOOKUP($A275,'SegEnds_NonXtal_Prot#'!$A:$AL,27,FALSE)</f>
        <v>175</v>
      </c>
      <c r="AA275" s="5">
        <f>VLOOKUP($A275,'SegEnds_NonXtal_Prot#'!$A:$AL,30,FALSE)</f>
        <v>225</v>
      </c>
      <c r="AB275" s="5">
        <f>VLOOKUP($A275,'SegEnds_NonXtal_Prot#'!$A:$AL,33,FALSE)</f>
        <v>263</v>
      </c>
      <c r="AC275" s="5">
        <f>VLOOKUP($A275,'SegEnds_NonXtal_Prot#'!$A:$AL,36,FALSE)</f>
        <v>289</v>
      </c>
      <c r="AD275" s="5">
        <f>VLOOKUP($A275,'SegEnds_NonXtal_Prot#'!$A:$AL,5,FALSE)</f>
        <v>36</v>
      </c>
      <c r="AE275" s="5">
        <f>VLOOKUP($A275,'SegEnds_NonXtal_Prot#'!$A:$AL,8,FALSE)</f>
        <v>40</v>
      </c>
      <c r="AF275" s="5">
        <f>VLOOKUP($A275,'SegEnds_NonXtal_Prot#'!$A:$AL,11,FALSE)</f>
        <v>71</v>
      </c>
      <c r="AG275" s="5" t="str">
        <f>VLOOKUP($A275,'SegEnds_NonXtal_Prot#'!$A:$AL,14,FALSE)</f>
        <v>-</v>
      </c>
      <c r="AH275" s="5">
        <f>VLOOKUP($A275,'SegEnds_NonXtal_Prot#'!$A:$AL,17,FALSE)</f>
        <v>113</v>
      </c>
      <c r="AI275" s="5">
        <f>VLOOKUP($A275,'SegEnds_NonXtal_Prot#'!$A:$AL,20,FALSE)</f>
        <v>123</v>
      </c>
      <c r="AJ275" s="5">
        <f>VLOOKUP($A275,'SegEnds_NonXtal_Prot#'!$A:$AL,23,FALSE)</f>
        <v>150</v>
      </c>
      <c r="AK275" s="5" t="str">
        <f>VLOOKUP($A275,'SegEnds_NonXtal_Prot#'!$A:$AL,26,FALSE)</f>
        <v>-</v>
      </c>
      <c r="AL275" s="5">
        <f>VLOOKUP($A275,'SegEnds_NonXtal_Prot#'!$A:$AL,29,FALSE)</f>
        <v>215</v>
      </c>
      <c r="AM275" s="5">
        <f>VLOOKUP($A275,'SegEnds_NonXtal_Prot#'!$A:$AL,32,FALSE)</f>
        <v>257</v>
      </c>
      <c r="AN275" s="5">
        <f>VLOOKUP($A275,'SegEnds_NonXtal_Prot#'!$A:$AL,35,FALSE)</f>
        <v>288</v>
      </c>
      <c r="AO275" s="5">
        <f>VLOOKUP($A275,'SegEnds_NonXtal_Prot#'!$A:$AL,38,FALSE)</f>
        <v>302</v>
      </c>
      <c r="AP275" s="5">
        <f t="shared" si="113"/>
        <v>30</v>
      </c>
      <c r="AQ275" s="4">
        <f t="shared" si="114"/>
        <v>3</v>
      </c>
      <c r="AR275" s="4">
        <f t="shared" si="115"/>
        <v>30</v>
      </c>
      <c r="AS275" s="4" t="str">
        <f t="shared" si="116"/>
        <v>-</v>
      </c>
      <c r="AT275" s="4">
        <f t="shared" si="117"/>
        <v>38</v>
      </c>
      <c r="AU275" s="4">
        <f t="shared" si="118"/>
        <v>7</v>
      </c>
      <c r="AV275" s="4">
        <f t="shared" si="119"/>
        <v>26</v>
      </c>
      <c r="AW275" s="4" t="str">
        <f t="shared" si="120"/>
        <v>-</v>
      </c>
      <c r="AX275" s="4">
        <f t="shared" si="121"/>
        <v>40</v>
      </c>
      <c r="AY275" s="4">
        <f t="shared" si="122"/>
        <v>32</v>
      </c>
      <c r="AZ275" s="4">
        <f t="shared" si="123"/>
        <v>25</v>
      </c>
      <c r="BA275" s="4">
        <f t="shared" si="124"/>
        <v>13</v>
      </c>
    </row>
    <row r="276" spans="1:53" x14ac:dyDescent="0.2">
      <c r="A276" s="1" t="str">
        <f>'SegEnds_NonXtal_Prot#'!A265</f>
        <v>ta2r9_human</v>
      </c>
      <c r="B276" s="1" t="str">
        <f t="shared" si="100"/>
        <v>EAIYIILIAGELTIGIWGNGFIVLVNCIDWLISLIDIILISLAISRICLLCVISLDGFFMLLTYGNSVLVSIVNVVWTFANNSSLWFTSCLSIFYLLKIANLKINKVMLAILLGSFLISLIISVPKNDSKIPGTFKQLTLNLGVMVPFILCLISFFLLLFSLVRHTKQIPSTEAHMRAIKAVIIFLLLLIVYYPVFLVMTSSGKLVLMIGDIVTVIFPSSHSFILIMGNSKLREAFLKMLRF</v>
      </c>
      <c r="C276" s="29" t="str">
        <f>IF(ISERROR(MATCH(A276,'SegEnds_Xtal_Prot#'!B:B, 0)), "NoXtal", "Xtal")</f>
        <v>NoXtal</v>
      </c>
      <c r="D276" s="4" t="str">
        <f>VLOOKUP(A276,Classification!A:D,2,FALSE)</f>
        <v>T</v>
      </c>
      <c r="E276" s="5" t="str">
        <f>VLOOKUP(A276,Seqs!A:B,2,FALSE)</f>
        <v>MPSAIEAIYIILIAGELTIGIWGNGFIVLVNCIDWLKRRDISLIDIILISLAISRICLLCVISLDGFFMLLFPGTYGNSVLVSIVNVVWTFANNSSLWFTSCLSIFYLLKIANISHPFFFWLKLKINKVMLAILLGSFLISLIISVPKNDDMWYHLFKVSHEENITWKFKVSKIPGTFKQLTLNLGVMVPFILCLISFFLLLFSLVRHTKQIRLHATGFRDPSTEAHMRAIKAVIIFLLLLIVYYPVFLVMTSSALIPQGKLVLMIGDIVTVIFPSSHSFILIMGNSKLREAFLKMLRFVKCFLRRRKPFVP</v>
      </c>
      <c r="F276" s="5" t="str">
        <f t="shared" si="101"/>
        <v>EAIYIILIAGELTIGIWGNGFIVLVNCIDWL</v>
      </c>
      <c r="G276" s="4" t="str">
        <f t="shared" si="102"/>
        <v>KRRD</v>
      </c>
      <c r="H276" s="4" t="str">
        <f t="shared" si="103"/>
        <v>ISLIDIILISLAISRICLLCVISLDGFFMLL</v>
      </c>
      <c r="I276" s="4" t="str">
        <f t="shared" si="104"/>
        <v/>
      </c>
      <c r="J276" s="4" t="str">
        <f t="shared" si="105"/>
        <v>TYGNSVLVSIVNVVWTFANNSSLWFTSCLSIFYLLKIAN</v>
      </c>
      <c r="K276" s="4" t="str">
        <f t="shared" si="106"/>
        <v>HPFFFWLK</v>
      </c>
      <c r="L276" s="4" t="str">
        <f t="shared" si="107"/>
        <v>LKINKVMLAILLGSFLISLIISVPKND</v>
      </c>
      <c r="M276" s="4" t="str">
        <f t="shared" si="108"/>
        <v/>
      </c>
      <c r="N276" s="4" t="str">
        <f t="shared" si="109"/>
        <v>SKIPGTFKQLTLNLGVMVPFILCLISFFLLLFSLVRHTKQI</v>
      </c>
      <c r="O276" s="4" t="str">
        <f t="shared" si="110"/>
        <v>PSTEAHMRAIKAVIIFLLLLIVYYPVFLVMTSS</v>
      </c>
      <c r="P276" s="4" t="str">
        <f t="shared" si="111"/>
        <v>GKLVLMIGDIVTVIFPSSHSFILIMG</v>
      </c>
      <c r="Q276" s="4" t="str">
        <f t="shared" si="112"/>
        <v>NSKLREAFLKMLRF</v>
      </c>
      <c r="R276" s="5">
        <f>VLOOKUP($A276,'SegEnds_NonXtal_Prot#'!$A:$AL,3,FALSE)</f>
        <v>6</v>
      </c>
      <c r="S276" s="5">
        <f>VLOOKUP($A276,'SegEnds_NonXtal_Prot#'!$A:$AL,6,FALSE)</f>
        <v>37</v>
      </c>
      <c r="T276" s="5">
        <f>VLOOKUP($A276,'SegEnds_NonXtal_Prot#'!$A:$AL,9,FALSE)</f>
        <v>41</v>
      </c>
      <c r="U276" s="5" t="str">
        <f>VLOOKUP($A276,'SegEnds_NonXtal_Prot#'!$A:$AL,12,FALSE)</f>
        <v>-</v>
      </c>
      <c r="V276" s="5">
        <f>VLOOKUP($A276,'SegEnds_NonXtal_Prot#'!$A:$AL,15,FALSE)</f>
        <v>75</v>
      </c>
      <c r="W276" s="5">
        <f>VLOOKUP($A276,'SegEnds_NonXtal_Prot#'!$A:$AL,18,FALSE)</f>
        <v>116</v>
      </c>
      <c r="X276" s="5">
        <f>VLOOKUP($A276,'SegEnds_NonXtal_Prot#'!$A:$AL,21,FALSE)</f>
        <v>124</v>
      </c>
      <c r="Y276" s="5" t="str">
        <f>VLOOKUP($A276,'SegEnds_NonXtal_Prot#'!$A:$AL,24,FALSE)</f>
        <v>-</v>
      </c>
      <c r="Z276" s="5">
        <f>VLOOKUP($A276,'SegEnds_NonXtal_Prot#'!$A:$AL,27,FALSE)</f>
        <v>172</v>
      </c>
      <c r="AA276" s="5">
        <f>VLOOKUP($A276,'SegEnds_NonXtal_Prot#'!$A:$AL,30,FALSE)</f>
        <v>222</v>
      </c>
      <c r="AB276" s="5">
        <f>VLOOKUP($A276,'SegEnds_NonXtal_Prot#'!$A:$AL,33,FALSE)</f>
        <v>260</v>
      </c>
      <c r="AC276" s="5">
        <f>VLOOKUP($A276,'SegEnds_NonXtal_Prot#'!$A:$AL,36,FALSE)</f>
        <v>286</v>
      </c>
      <c r="AD276" s="5">
        <f>VLOOKUP($A276,'SegEnds_NonXtal_Prot#'!$A:$AL,5,FALSE)</f>
        <v>36</v>
      </c>
      <c r="AE276" s="5">
        <f>VLOOKUP($A276,'SegEnds_NonXtal_Prot#'!$A:$AL,8,FALSE)</f>
        <v>40</v>
      </c>
      <c r="AF276" s="5">
        <f>VLOOKUP($A276,'SegEnds_NonXtal_Prot#'!$A:$AL,11,FALSE)</f>
        <v>71</v>
      </c>
      <c r="AG276" s="5" t="str">
        <f>VLOOKUP($A276,'SegEnds_NonXtal_Prot#'!$A:$AL,14,FALSE)</f>
        <v>-</v>
      </c>
      <c r="AH276" s="5">
        <f>VLOOKUP($A276,'SegEnds_NonXtal_Prot#'!$A:$AL,17,FALSE)</f>
        <v>113</v>
      </c>
      <c r="AI276" s="5">
        <f>VLOOKUP($A276,'SegEnds_NonXtal_Prot#'!$A:$AL,20,FALSE)</f>
        <v>123</v>
      </c>
      <c r="AJ276" s="5">
        <f>VLOOKUP($A276,'SegEnds_NonXtal_Prot#'!$A:$AL,23,FALSE)</f>
        <v>150</v>
      </c>
      <c r="AK276" s="5" t="str">
        <f>VLOOKUP($A276,'SegEnds_NonXtal_Prot#'!$A:$AL,26,FALSE)</f>
        <v>-</v>
      </c>
      <c r="AL276" s="5">
        <f>VLOOKUP($A276,'SegEnds_NonXtal_Prot#'!$A:$AL,29,FALSE)</f>
        <v>212</v>
      </c>
      <c r="AM276" s="5">
        <f>VLOOKUP($A276,'SegEnds_NonXtal_Prot#'!$A:$AL,32,FALSE)</f>
        <v>254</v>
      </c>
      <c r="AN276" s="5">
        <f>VLOOKUP($A276,'SegEnds_NonXtal_Prot#'!$A:$AL,35,FALSE)</f>
        <v>285</v>
      </c>
      <c r="AO276" s="5">
        <f>VLOOKUP($A276,'SegEnds_NonXtal_Prot#'!$A:$AL,38,FALSE)</f>
        <v>299</v>
      </c>
      <c r="AP276" s="5">
        <f t="shared" si="113"/>
        <v>30</v>
      </c>
      <c r="AQ276" s="4">
        <f t="shared" si="114"/>
        <v>3</v>
      </c>
      <c r="AR276" s="4">
        <f t="shared" si="115"/>
        <v>30</v>
      </c>
      <c r="AS276" s="4" t="str">
        <f t="shared" si="116"/>
        <v>-</v>
      </c>
      <c r="AT276" s="4">
        <f t="shared" si="117"/>
        <v>38</v>
      </c>
      <c r="AU276" s="4">
        <f t="shared" si="118"/>
        <v>7</v>
      </c>
      <c r="AV276" s="4">
        <f t="shared" si="119"/>
        <v>26</v>
      </c>
      <c r="AW276" s="4" t="str">
        <f t="shared" si="120"/>
        <v>-</v>
      </c>
      <c r="AX276" s="4">
        <f t="shared" si="121"/>
        <v>40</v>
      </c>
      <c r="AY276" s="4">
        <f t="shared" si="122"/>
        <v>32</v>
      </c>
      <c r="AZ276" s="4">
        <f t="shared" si="123"/>
        <v>25</v>
      </c>
      <c r="BA276" s="4">
        <f t="shared" si="124"/>
        <v>13</v>
      </c>
    </row>
    <row r="277" spans="1:53" x14ac:dyDescent="0.2">
      <c r="A277" s="1" t="str">
        <f>'SegEnds_NonXtal_Prot#'!A266</f>
        <v>taar1_human</v>
      </c>
      <c r="B277" s="1" t="str">
        <f t="shared" si="100"/>
        <v>NDVRASLYSLMVLIILTTLVGNLIVIVSISHFTPTNWLIHSMATVDFLLGCLVMPYSMVRSAEGEVFCKIHTSTDIMLSSASIFHLSFISIDRYYAVCDNILVICVMIFISWSVPAVFAFGMIFLSKISGVLTFMTSFYIPGSIMLCVYYRIYLIAKEQARLISDMKNGISQSKERKAVKTLGIVMGVFLICWCPFFICTVMDPFLPPTLNDVLIWFGYLNSTFNPMVYAFFYPWFRKALKMML</v>
      </c>
      <c r="C277" s="29" t="str">
        <f>IF(ISERROR(MATCH(A277,'SegEnds_Xtal_Prot#'!B:B, 0)), "NoXtal", "Xtal")</f>
        <v>NoXtal</v>
      </c>
      <c r="D277" s="4" t="str">
        <f>VLOOKUP(A277,Classification!A:D,2,FALSE)</f>
        <v>A</v>
      </c>
      <c r="E277" s="5" t="str">
        <f>VLOOKUP(A277,Seqs!A:B,2,FALSE)</f>
        <v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</v>
      </c>
      <c r="F277" s="5" t="str">
        <f t="shared" si="101"/>
        <v>NDVRASLYSLMVLIILTTLVGNLIVIVSISHF</v>
      </c>
      <c r="G277" s="4" t="str">
        <f t="shared" si="102"/>
        <v>KQLH</v>
      </c>
      <c r="H277" s="4" t="str">
        <f t="shared" si="103"/>
        <v>TPTNWLIHSMATVDFLLGCLVMPYSMVRSAE</v>
      </c>
      <c r="I277" s="4" t="str">
        <f t="shared" si="104"/>
        <v>CWYF</v>
      </c>
      <c r="J277" s="4" t="str">
        <f t="shared" si="105"/>
        <v>GEVFCKIHTSTDIMLSSASIFHLSFISIDRYYAVCD</v>
      </c>
      <c r="K277" s="4" t="str">
        <f t="shared" si="106"/>
        <v>PLRYKAKM</v>
      </c>
      <c r="L277" s="4" t="str">
        <f t="shared" si="107"/>
        <v>NILVICVMIFISWSVPAVFAFGMIFL</v>
      </c>
      <c r="M277" s="4" t="str">
        <f t="shared" si="108"/>
        <v>CSV</v>
      </c>
      <c r="N277" s="4" t="str">
        <f t="shared" si="109"/>
        <v>SKISGVLTFMTSFYIPGSIMLCVYYRIYLIAKEQARLISD</v>
      </c>
      <c r="O277" s="4" t="str">
        <f t="shared" si="110"/>
        <v>MKNGISQSKERKAVKTLGIVMGVFLICWCPFFICTVMDPFL</v>
      </c>
      <c r="P277" s="4" t="str">
        <f t="shared" si="111"/>
        <v>PPTLNDVLIWFGYLNSTFNPMVYAFF</v>
      </c>
      <c r="Q277" s="4" t="str">
        <f t="shared" si="112"/>
        <v>YPWFRKALKMML</v>
      </c>
      <c r="R277" s="5">
        <f>VLOOKUP($A277,'SegEnds_NonXtal_Prot#'!$A:$AL,3,FALSE)</f>
        <v>20</v>
      </c>
      <c r="S277" s="5">
        <f>VLOOKUP($A277,'SegEnds_NonXtal_Prot#'!$A:$AL,6,FALSE)</f>
        <v>52</v>
      </c>
      <c r="T277" s="5">
        <f>VLOOKUP($A277,'SegEnds_NonXtal_Prot#'!$A:$AL,9,FALSE)</f>
        <v>56</v>
      </c>
      <c r="U277" s="5">
        <f>VLOOKUP($A277,'SegEnds_NonXtal_Prot#'!$A:$AL,12,FALSE)</f>
        <v>88</v>
      </c>
      <c r="V277" s="5">
        <f>VLOOKUP($A277,'SegEnds_NonXtal_Prot#'!$A:$AL,15,FALSE)</f>
        <v>92</v>
      </c>
      <c r="W277" s="5">
        <f>VLOOKUP($A277,'SegEnds_NonXtal_Prot#'!$A:$AL,18,FALSE)</f>
        <v>128</v>
      </c>
      <c r="X277" s="5">
        <f>VLOOKUP($A277,'SegEnds_NonXtal_Prot#'!$A:$AL,21,FALSE)</f>
        <v>136</v>
      </c>
      <c r="Y277" s="5">
        <f>VLOOKUP($A277,'SegEnds_NonXtal_Prot#'!$A:$AL,24,FALSE)</f>
        <v>182</v>
      </c>
      <c r="Z277" s="5">
        <f>VLOOKUP($A277,'SegEnds_NonXtal_Prot#'!$A:$AL,27,FALSE)</f>
        <v>187</v>
      </c>
      <c r="AA277" s="5">
        <f>VLOOKUP($A277,'SegEnds_NonXtal_Prot#'!$A:$AL,30,FALSE)</f>
        <v>237</v>
      </c>
      <c r="AB277" s="5">
        <f>VLOOKUP($A277,'SegEnds_NonXtal_Prot#'!$A:$AL,33,FALSE)</f>
        <v>282</v>
      </c>
      <c r="AC277" s="5">
        <f>VLOOKUP($A277,'SegEnds_NonXtal_Prot#'!$A:$AL,36,FALSE)</f>
        <v>308</v>
      </c>
      <c r="AD277" s="5">
        <f>VLOOKUP($A277,'SegEnds_NonXtal_Prot#'!$A:$AL,5,FALSE)</f>
        <v>51</v>
      </c>
      <c r="AE277" s="5">
        <f>VLOOKUP($A277,'SegEnds_NonXtal_Prot#'!$A:$AL,8,FALSE)</f>
        <v>55</v>
      </c>
      <c r="AF277" s="5">
        <f>VLOOKUP($A277,'SegEnds_NonXtal_Prot#'!$A:$AL,11,FALSE)</f>
        <v>86</v>
      </c>
      <c r="AG277" s="5">
        <f>VLOOKUP($A277,'SegEnds_NonXtal_Prot#'!$A:$AL,14,FALSE)</f>
        <v>91</v>
      </c>
      <c r="AH277" s="5">
        <f>VLOOKUP($A277,'SegEnds_NonXtal_Prot#'!$A:$AL,17,FALSE)</f>
        <v>127</v>
      </c>
      <c r="AI277" s="5">
        <f>VLOOKUP($A277,'SegEnds_NonXtal_Prot#'!$A:$AL,20,FALSE)</f>
        <v>135</v>
      </c>
      <c r="AJ277" s="5">
        <f>VLOOKUP($A277,'SegEnds_NonXtal_Prot#'!$A:$AL,23,FALSE)</f>
        <v>161</v>
      </c>
      <c r="AK277" s="5">
        <f>VLOOKUP($A277,'SegEnds_NonXtal_Prot#'!$A:$AL,26,FALSE)</f>
        <v>184</v>
      </c>
      <c r="AL277" s="5">
        <f>VLOOKUP($A277,'SegEnds_NonXtal_Prot#'!$A:$AL,29,FALSE)</f>
        <v>226</v>
      </c>
      <c r="AM277" s="5">
        <f>VLOOKUP($A277,'SegEnds_NonXtal_Prot#'!$A:$AL,32,FALSE)</f>
        <v>277</v>
      </c>
      <c r="AN277" s="5">
        <f>VLOOKUP($A277,'SegEnds_NonXtal_Prot#'!$A:$AL,35,FALSE)</f>
        <v>307</v>
      </c>
      <c r="AO277" s="5">
        <f>VLOOKUP($A277,'SegEnds_NonXtal_Prot#'!$A:$AL,38,FALSE)</f>
        <v>319</v>
      </c>
      <c r="AP277" s="5">
        <f t="shared" si="113"/>
        <v>31</v>
      </c>
      <c r="AQ277" s="4">
        <f t="shared" si="114"/>
        <v>3</v>
      </c>
      <c r="AR277" s="4">
        <f t="shared" si="115"/>
        <v>30</v>
      </c>
      <c r="AS277" s="4">
        <f t="shared" si="116"/>
        <v>3</v>
      </c>
      <c r="AT277" s="4">
        <f t="shared" si="117"/>
        <v>35</v>
      </c>
      <c r="AU277" s="4">
        <f t="shared" si="118"/>
        <v>7</v>
      </c>
      <c r="AV277" s="4">
        <f t="shared" si="119"/>
        <v>25</v>
      </c>
      <c r="AW277" s="4">
        <f t="shared" si="120"/>
        <v>2</v>
      </c>
      <c r="AX277" s="4">
        <f t="shared" si="121"/>
        <v>39</v>
      </c>
      <c r="AY277" s="4">
        <f t="shared" si="122"/>
        <v>40</v>
      </c>
      <c r="AZ277" s="4">
        <f t="shared" si="123"/>
        <v>25</v>
      </c>
      <c r="BA277" s="4">
        <f t="shared" si="124"/>
        <v>11</v>
      </c>
    </row>
    <row r="278" spans="1:53" x14ac:dyDescent="0.2">
      <c r="A278" s="1" t="str">
        <f>'SegEnds_NonXtal_Prot#'!A267</f>
        <v>taar2_human</v>
      </c>
      <c r="B278" s="1" t="str">
        <f t="shared" si="100"/>
        <v>NERSLGVRVAMYSFMAGSIFITIFGNLAMIISISYFTPTNFLILSMAITDFLLGFTIMPYSMIRSVEGLTFCKIYYSFDLMLSITSIFHLCSVAIDRFYAICYTIPVIKRLLLLCWSVPGAFAFGVVFSENKLWGTTLFMAGFFTPGSMMVGIYGKIFAVSRKHAHAINNQNNQVKKDKKAAKTLGIVIGVFLLCWFPCFFTILLDPFLPVVLFDALTWFGYFNSTCNPLIYGFYPWFRRALKYILL</v>
      </c>
      <c r="C278" s="29" t="str">
        <f>IF(ISERROR(MATCH(A278,'SegEnds_Xtal_Prot#'!B:B, 0)), "NoXtal", "Xtal")</f>
        <v>NoXtal</v>
      </c>
      <c r="D278" s="4" t="str">
        <f>VLOOKUP(A278,Classification!A:D,2,FALSE)</f>
        <v>A</v>
      </c>
      <c r="E278" s="5" t="str">
        <f>VLOOKUP(A278,Seqs!A:B,2,FALSE)</f>
        <v>MAVSSEQHELSHFKRTQTKKEKFNCSEYGNRSCPENERSLGVRVAMYSFMAGSIFITIFGNLAMIISISYFKQLHTPTNFLILSMAITDFLLGFTIMPYSMIRSVENCWYFGLTFCKIYYSFDLMLSITSIFHLCSVAIDRFYAICYPLLYSTKITIPVIKRLLLLCWSVPGAFAFGVVFSEAYADGIEGYDILVACSSSCPVMFNKLWGTTLFMAGFFTPGSMMVGIYGKIFAVSRKHAHAINNLRENQNNQVKKDKKAAKTLGIVIGVFLLCWFPCFFTILLDPFLNFSTPVVLFDALTWFGYFNSTCNPLIYGFFYPWFRRALKYILLGKIFSSCFHNTILCMQKESE</v>
      </c>
      <c r="F278" s="5" t="str">
        <f t="shared" si="101"/>
        <v>NERSLGVRVAMYSFMAGSIFITIFGNLAMIISISYF</v>
      </c>
      <c r="G278" s="4" t="str">
        <f t="shared" si="102"/>
        <v>KQLH</v>
      </c>
      <c r="H278" s="4" t="str">
        <f t="shared" si="103"/>
        <v>TPTNFLILSMAITDFLLGFTIMPYSMIRSVE</v>
      </c>
      <c r="I278" s="4" t="str">
        <f t="shared" si="104"/>
        <v>CWYF</v>
      </c>
      <c r="J278" s="4" t="str">
        <f t="shared" si="105"/>
        <v>GLTFCKIYYSFDLMLSITSIFHLCSVAIDRFYAICY</v>
      </c>
      <c r="K278" s="4" t="str">
        <f t="shared" si="106"/>
        <v>PLLYSTKI</v>
      </c>
      <c r="L278" s="4" t="str">
        <f t="shared" si="107"/>
        <v>TIPVIKRLLLLCWSVPGAFAFGVVFSE</v>
      </c>
      <c r="M278" s="4" t="str">
        <f t="shared" si="108"/>
        <v>CPV</v>
      </c>
      <c r="N278" s="4" t="str">
        <f t="shared" si="109"/>
        <v>NKLWGTTLFMAGFFTPGSMMVGIYGKIFAVSRKHAHAIN</v>
      </c>
      <c r="O278" s="4" t="str">
        <f t="shared" si="110"/>
        <v>NQNNQVKKDKKAAKTLGIVIGVFLLCWFPCFFTILLDPFL</v>
      </c>
      <c r="P278" s="4" t="str">
        <f t="shared" si="111"/>
        <v>PVVLFDALTWFGYFNSTCNPLIYGF</v>
      </c>
      <c r="Q278" s="4" t="str">
        <f t="shared" si="112"/>
        <v>YPWFRRALKYILL</v>
      </c>
      <c r="R278" s="5">
        <f>VLOOKUP($A278,'SegEnds_NonXtal_Prot#'!$A:$AL,3,FALSE)</f>
        <v>36</v>
      </c>
      <c r="S278" s="5">
        <f>VLOOKUP($A278,'SegEnds_NonXtal_Prot#'!$A:$AL,6,FALSE)</f>
        <v>72</v>
      </c>
      <c r="T278" s="5">
        <f>VLOOKUP($A278,'SegEnds_NonXtal_Prot#'!$A:$AL,9,FALSE)</f>
        <v>76</v>
      </c>
      <c r="U278" s="5">
        <f>VLOOKUP($A278,'SegEnds_NonXtal_Prot#'!$A:$AL,12,FALSE)</f>
        <v>108</v>
      </c>
      <c r="V278" s="5">
        <f>VLOOKUP($A278,'SegEnds_NonXtal_Prot#'!$A:$AL,15,FALSE)</f>
        <v>112</v>
      </c>
      <c r="W278" s="5">
        <f>VLOOKUP($A278,'SegEnds_NonXtal_Prot#'!$A:$AL,18,FALSE)</f>
        <v>148</v>
      </c>
      <c r="X278" s="5">
        <f>VLOOKUP($A278,'SegEnds_NonXtal_Prot#'!$A:$AL,21,FALSE)</f>
        <v>156</v>
      </c>
      <c r="Y278" s="5">
        <f>VLOOKUP($A278,'SegEnds_NonXtal_Prot#'!$A:$AL,24,FALSE)</f>
        <v>201</v>
      </c>
      <c r="Z278" s="5">
        <f>VLOOKUP($A278,'SegEnds_NonXtal_Prot#'!$A:$AL,27,FALSE)</f>
        <v>206</v>
      </c>
      <c r="AA278" s="5">
        <f>VLOOKUP($A278,'SegEnds_NonXtal_Prot#'!$A:$AL,30,FALSE)</f>
        <v>249</v>
      </c>
      <c r="AB278" s="5">
        <f>VLOOKUP($A278,'SegEnds_NonXtal_Prot#'!$A:$AL,33,FALSE)</f>
        <v>293</v>
      </c>
      <c r="AC278" s="5">
        <f>VLOOKUP($A278,'SegEnds_NonXtal_Prot#'!$A:$AL,36,FALSE)</f>
        <v>319</v>
      </c>
      <c r="AD278" s="5">
        <f>VLOOKUP($A278,'SegEnds_NonXtal_Prot#'!$A:$AL,5,FALSE)</f>
        <v>71</v>
      </c>
      <c r="AE278" s="5">
        <f>VLOOKUP($A278,'SegEnds_NonXtal_Prot#'!$A:$AL,8,FALSE)</f>
        <v>75</v>
      </c>
      <c r="AF278" s="5">
        <f>VLOOKUP($A278,'SegEnds_NonXtal_Prot#'!$A:$AL,11,FALSE)</f>
        <v>106</v>
      </c>
      <c r="AG278" s="5">
        <f>VLOOKUP($A278,'SegEnds_NonXtal_Prot#'!$A:$AL,14,FALSE)</f>
        <v>111</v>
      </c>
      <c r="AH278" s="5">
        <f>VLOOKUP($A278,'SegEnds_NonXtal_Prot#'!$A:$AL,17,FALSE)</f>
        <v>147</v>
      </c>
      <c r="AI278" s="5">
        <f>VLOOKUP($A278,'SegEnds_NonXtal_Prot#'!$A:$AL,20,FALSE)</f>
        <v>155</v>
      </c>
      <c r="AJ278" s="5">
        <f>VLOOKUP($A278,'SegEnds_NonXtal_Prot#'!$A:$AL,23,FALSE)</f>
        <v>182</v>
      </c>
      <c r="AK278" s="5">
        <f>VLOOKUP($A278,'SegEnds_NonXtal_Prot#'!$A:$AL,26,FALSE)</f>
        <v>203</v>
      </c>
      <c r="AL278" s="5">
        <f>VLOOKUP($A278,'SegEnds_NonXtal_Prot#'!$A:$AL,29,FALSE)</f>
        <v>244</v>
      </c>
      <c r="AM278" s="5">
        <f>VLOOKUP($A278,'SegEnds_NonXtal_Prot#'!$A:$AL,32,FALSE)</f>
        <v>288</v>
      </c>
      <c r="AN278" s="5">
        <f>VLOOKUP($A278,'SegEnds_NonXtal_Prot#'!$A:$AL,35,FALSE)</f>
        <v>317</v>
      </c>
      <c r="AO278" s="5">
        <f>VLOOKUP($A278,'SegEnds_NonXtal_Prot#'!$A:$AL,38,FALSE)</f>
        <v>331</v>
      </c>
      <c r="AP278" s="5">
        <f t="shared" si="113"/>
        <v>35</v>
      </c>
      <c r="AQ278" s="4">
        <f t="shared" si="114"/>
        <v>3</v>
      </c>
      <c r="AR278" s="4">
        <f t="shared" si="115"/>
        <v>30</v>
      </c>
      <c r="AS278" s="4">
        <f t="shared" si="116"/>
        <v>3</v>
      </c>
      <c r="AT278" s="4">
        <f t="shared" si="117"/>
        <v>35</v>
      </c>
      <c r="AU278" s="4">
        <f t="shared" si="118"/>
        <v>7</v>
      </c>
      <c r="AV278" s="4">
        <f t="shared" si="119"/>
        <v>26</v>
      </c>
      <c r="AW278" s="4">
        <f t="shared" si="120"/>
        <v>2</v>
      </c>
      <c r="AX278" s="4">
        <f t="shared" si="121"/>
        <v>38</v>
      </c>
      <c r="AY278" s="4">
        <f t="shared" si="122"/>
        <v>39</v>
      </c>
      <c r="AZ278" s="4">
        <f t="shared" si="123"/>
        <v>24</v>
      </c>
      <c r="BA278" s="4">
        <f t="shared" si="124"/>
        <v>12</v>
      </c>
    </row>
    <row r="279" spans="1:53" x14ac:dyDescent="0.2">
      <c r="A279" s="1" t="str">
        <f>'SegEnds_NonXtal_Prot#'!A268</f>
        <v>taar3_human</v>
      </c>
      <c r="B279" s="1" t="str">
        <f t="shared" si="100"/>
        <v>HQPLFSCPGDNVFGYDWSHDYPLFGNLVIMVSISHFSPTNFLILSMATTDFLLGFVIMPYSIMRSVEGDGFCKFHTSFDMMLRLTSIFHLCSIAIDRFYAVCYTNSTIKQLLAFCWSVPALFSFGLVLSENKFWGTILFTTCFFTPGSIMVGIYGKIFIVSKQHARVISHVKKHLSKKKDRKAAKTLGIVMGVFLACWLPCFLAVLIDPYLPILILDLLVWLRYFNSTCNPLIHGFNPWFQKAFKYIVS</v>
      </c>
      <c r="C279" s="29" t="str">
        <f>IF(ISERROR(MATCH(A279,'SegEnds_Xtal_Prot#'!B:B, 0)), "NoXtal", "Xtal")</f>
        <v>NoXtal</v>
      </c>
      <c r="D279" s="4" t="str">
        <f>VLOOKUP(A279,Classification!A:D,2,FALSE)</f>
        <v>A</v>
      </c>
      <c r="E279" s="5" t="str">
        <f>VLOOKUP(A279,Seqs!A:B,2,FALSE)</f>
        <v>MDLTYIPEDLSSCPKFVNKILSSHQPLFSCPGDNVFGYDWSHDYPLFGNLVIMVSISHFKQLHSPTNFLILSMATTDFLLGFVIMPYSIMRSVESCWYFGDGFCKFHTSFDMMLRLTSIFHLCSIAIDRFYAVCYPLHYTTKMTNSTIKQLLAFCWSVPALFSFGLVLSEADVSGMQSYKILVACFNFCALTFNKFWGTILFTTCFFTPGSIMVGIYGKIFIVSKQHARVISHVPENTKGAVKKHLSKKKDRKAAKTLGIVMGVFLACWLPCFLAVLIDPYLDYSTPILILDLLVWLRYFNSTCNPLIHGFFNPWFQKAFKYIVSGKIFSSHSETANLFPEAH</v>
      </c>
      <c r="F279" s="5" t="str">
        <f t="shared" si="101"/>
        <v>HQPLFSCPGDNVFGYDWSHDYPLFGNLVIMVSISHF</v>
      </c>
      <c r="G279" s="4" t="str">
        <f t="shared" si="102"/>
        <v>KQLH</v>
      </c>
      <c r="H279" s="4" t="str">
        <f t="shared" si="103"/>
        <v>SPTNFLILSMATTDFLLGFVIMPYSIMRSVE</v>
      </c>
      <c r="I279" s="4" t="str">
        <f t="shared" si="104"/>
        <v>CWYF</v>
      </c>
      <c r="J279" s="4" t="str">
        <f t="shared" si="105"/>
        <v>GDGFCKFHTSFDMMLRLTSIFHLCSIAIDRFYAVCY</v>
      </c>
      <c r="K279" s="4" t="str">
        <f t="shared" si="106"/>
        <v>PLHYTTKM</v>
      </c>
      <c r="L279" s="4" t="str">
        <f t="shared" si="107"/>
        <v>TNSTIKQLLAFCWSVPALFSFGLVLSE</v>
      </c>
      <c r="M279" s="4" t="str">
        <f t="shared" si="108"/>
        <v>CAL</v>
      </c>
      <c r="N279" s="4" t="str">
        <f t="shared" si="109"/>
        <v>NKFWGTILFTTCFFTPGSIMVGIYGKIFIVSKQHARVISH</v>
      </c>
      <c r="O279" s="4" t="str">
        <f t="shared" si="110"/>
        <v>VKKHLSKKKDRKAAKTLGIVMGVFLACWLPCFLAVLIDPYL</v>
      </c>
      <c r="P279" s="4" t="str">
        <f t="shared" si="111"/>
        <v>PILILDLLVWLRYFNSTCNPLIHGF</v>
      </c>
      <c r="Q279" s="4" t="str">
        <f t="shared" si="112"/>
        <v>NPWFQKAFKYIVS</v>
      </c>
      <c r="R279" s="5">
        <f>VLOOKUP($A279,'SegEnds_NonXtal_Prot#'!$A:$AL,3,FALSE)</f>
        <v>24</v>
      </c>
      <c r="S279" s="5">
        <f>VLOOKUP($A279,'SegEnds_NonXtal_Prot#'!$A:$AL,6,FALSE)</f>
        <v>60</v>
      </c>
      <c r="T279" s="5">
        <f>VLOOKUP($A279,'SegEnds_NonXtal_Prot#'!$A:$AL,9,FALSE)</f>
        <v>64</v>
      </c>
      <c r="U279" s="5">
        <f>VLOOKUP($A279,'SegEnds_NonXtal_Prot#'!$A:$AL,12,FALSE)</f>
        <v>96</v>
      </c>
      <c r="V279" s="5">
        <f>VLOOKUP($A279,'SegEnds_NonXtal_Prot#'!$A:$AL,15,FALSE)</f>
        <v>100</v>
      </c>
      <c r="W279" s="5">
        <f>VLOOKUP($A279,'SegEnds_NonXtal_Prot#'!$A:$AL,18,FALSE)</f>
        <v>136</v>
      </c>
      <c r="X279" s="5">
        <f>VLOOKUP($A279,'SegEnds_NonXtal_Prot#'!$A:$AL,21,FALSE)</f>
        <v>144</v>
      </c>
      <c r="Y279" s="5">
        <f>VLOOKUP($A279,'SegEnds_NonXtal_Prot#'!$A:$AL,24,FALSE)</f>
        <v>189</v>
      </c>
      <c r="Z279" s="5">
        <f>VLOOKUP($A279,'SegEnds_NonXtal_Prot#'!$A:$AL,27,FALSE)</f>
        <v>194</v>
      </c>
      <c r="AA279" s="5">
        <f>VLOOKUP($A279,'SegEnds_NonXtal_Prot#'!$A:$AL,30,FALSE)</f>
        <v>242</v>
      </c>
      <c r="AB279" s="5">
        <f>VLOOKUP($A279,'SegEnds_NonXtal_Prot#'!$A:$AL,33,FALSE)</f>
        <v>287</v>
      </c>
      <c r="AC279" s="5">
        <f>VLOOKUP($A279,'SegEnds_NonXtal_Prot#'!$A:$AL,36,FALSE)</f>
        <v>313</v>
      </c>
      <c r="AD279" s="5">
        <f>VLOOKUP($A279,'SegEnds_NonXtal_Prot#'!$A:$AL,5,FALSE)</f>
        <v>59</v>
      </c>
      <c r="AE279" s="5">
        <f>VLOOKUP($A279,'SegEnds_NonXtal_Prot#'!$A:$AL,8,FALSE)</f>
        <v>63</v>
      </c>
      <c r="AF279" s="5">
        <f>VLOOKUP($A279,'SegEnds_NonXtal_Prot#'!$A:$AL,11,FALSE)</f>
        <v>94</v>
      </c>
      <c r="AG279" s="5">
        <f>VLOOKUP($A279,'SegEnds_NonXtal_Prot#'!$A:$AL,14,FALSE)</f>
        <v>99</v>
      </c>
      <c r="AH279" s="5">
        <f>VLOOKUP($A279,'SegEnds_NonXtal_Prot#'!$A:$AL,17,FALSE)</f>
        <v>135</v>
      </c>
      <c r="AI279" s="5">
        <f>VLOOKUP($A279,'SegEnds_NonXtal_Prot#'!$A:$AL,20,FALSE)</f>
        <v>143</v>
      </c>
      <c r="AJ279" s="5">
        <f>VLOOKUP($A279,'SegEnds_NonXtal_Prot#'!$A:$AL,23,FALSE)</f>
        <v>170</v>
      </c>
      <c r="AK279" s="5">
        <f>VLOOKUP($A279,'SegEnds_NonXtal_Prot#'!$A:$AL,26,FALSE)</f>
        <v>191</v>
      </c>
      <c r="AL279" s="5">
        <f>VLOOKUP($A279,'SegEnds_NonXtal_Prot#'!$A:$AL,29,FALSE)</f>
        <v>233</v>
      </c>
      <c r="AM279" s="5">
        <f>VLOOKUP($A279,'SegEnds_NonXtal_Prot#'!$A:$AL,32,FALSE)</f>
        <v>282</v>
      </c>
      <c r="AN279" s="5">
        <f>VLOOKUP($A279,'SegEnds_NonXtal_Prot#'!$A:$AL,35,FALSE)</f>
        <v>311</v>
      </c>
      <c r="AO279" s="5">
        <f>VLOOKUP($A279,'SegEnds_NonXtal_Prot#'!$A:$AL,38,FALSE)</f>
        <v>325</v>
      </c>
      <c r="AP279" s="5">
        <f t="shared" si="113"/>
        <v>35</v>
      </c>
      <c r="AQ279" s="4">
        <f t="shared" si="114"/>
        <v>3</v>
      </c>
      <c r="AR279" s="4">
        <f t="shared" si="115"/>
        <v>30</v>
      </c>
      <c r="AS279" s="4">
        <f t="shared" si="116"/>
        <v>3</v>
      </c>
      <c r="AT279" s="4">
        <f t="shared" si="117"/>
        <v>35</v>
      </c>
      <c r="AU279" s="4">
        <f t="shared" si="118"/>
        <v>7</v>
      </c>
      <c r="AV279" s="4">
        <f t="shared" si="119"/>
        <v>26</v>
      </c>
      <c r="AW279" s="4">
        <f t="shared" si="120"/>
        <v>2</v>
      </c>
      <c r="AX279" s="4">
        <f t="shared" si="121"/>
        <v>39</v>
      </c>
      <c r="AY279" s="4">
        <f t="shared" si="122"/>
        <v>40</v>
      </c>
      <c r="AZ279" s="4">
        <f t="shared" si="123"/>
        <v>24</v>
      </c>
      <c r="BA279" s="4">
        <f t="shared" si="124"/>
        <v>12</v>
      </c>
    </row>
    <row r="280" spans="1:53" x14ac:dyDescent="0.2">
      <c r="A280" s="1" t="str">
        <f>'SegEnds_NonXtal_Prot#'!A269</f>
        <v>taar5_human</v>
      </c>
      <c r="B280" s="1" t="str">
        <f t="shared" si="100"/>
        <v>LGIQLVIYLACAAGMLIIVLGNVFVAFAVSYFTPTNFLLLSLALADMFLGLLVLPLSTIRSVEGDFLCRLHTYLDTLFCLTSIFHLCFISIDRHCAICDTVRVALRYILAGWGVPAAYTSLFLYTLNKFWGWLNFPLFFVPCLIMISLYVKIFVVATRQAQQITSLAGAAKHERKAAKTLGIAVGIYLLCWLPFTIDTMVDSLLPPLVFDIFIWFAYFNSACNPIIYVFSYQWFRKALKLTL</v>
      </c>
      <c r="C280" s="29" t="str">
        <f>IF(ISERROR(MATCH(A280,'SegEnds_Xtal_Prot#'!B:B, 0)), "NoXtal", "Xtal")</f>
        <v>NoXtal</v>
      </c>
      <c r="D280" s="4" t="str">
        <f>VLOOKUP(A280,Classification!A:D,2,FALSE)</f>
        <v>A</v>
      </c>
      <c r="E280" s="5" t="str">
        <f>VLOOKUP(A280,Seqs!A:B,2,FALSE)</f>
        <v>MRAVFIQGAEEHPAAFCYQVNGSCPRTVHTLGIQLVIYLACAAGMLIIVLGNVFVAFAVSYFKALHTPTNFLLLSLALADMFLGLLVLPLSTIRSVESCWFFGDFLCRLHTYLDTLFCLTSIFHLCFISIDRHCAICDPLLYPSKFTVRVALRYILAGWGVPAAYTSLFLYTDVVETRLSQWLEEMPCVGSCQLLLNKFWGWLNFPLFFVPCLIMISLYVKIFVVATRQAQQITTLSKSLAGAAKHERKAAKTLGIAVGIYLLCWLPFTIDTMVDSLLHFITPPLVFDIFIWFAYFNSACNPIIYVFSYQWFRKALKLTLSQKVFSPQTRTVDLYQE</v>
      </c>
      <c r="F280" s="5" t="str">
        <f t="shared" si="101"/>
        <v>LGIQLVIYLACAAGMLIIVLGNVFVAFAVSYF</v>
      </c>
      <c r="G280" s="4" t="str">
        <f t="shared" si="102"/>
        <v>KALH</v>
      </c>
      <c r="H280" s="4" t="str">
        <f t="shared" si="103"/>
        <v>TPTNFLLLSLALADMFLGLLVLPLSTIRSVE</v>
      </c>
      <c r="I280" s="4" t="str">
        <f t="shared" si="104"/>
        <v>CWFF</v>
      </c>
      <c r="J280" s="4" t="str">
        <f t="shared" si="105"/>
        <v>GDFLCRLHTYLDTLFCLTSIFHLCFISIDRHCAICD</v>
      </c>
      <c r="K280" s="4" t="str">
        <f t="shared" si="106"/>
        <v>PLLYPSKF</v>
      </c>
      <c r="L280" s="4" t="str">
        <f t="shared" si="107"/>
        <v>TVRVALRYILAGWGVPAAYTSLFLYT</v>
      </c>
      <c r="M280" s="4" t="str">
        <f t="shared" si="108"/>
        <v>CQL</v>
      </c>
      <c r="N280" s="4" t="str">
        <f t="shared" si="109"/>
        <v>LNKFWGWLNFPLFFVPCLIMISLYVKIFVVATRQAQQIT</v>
      </c>
      <c r="O280" s="4" t="str">
        <f t="shared" si="110"/>
        <v>SLAGAAKHERKAAKTLGIAVGIYLLCWLPFTIDTMVDSLL</v>
      </c>
      <c r="P280" s="4" t="str">
        <f t="shared" si="111"/>
        <v>PPLVFDIFIWFAYFNSACNPIIYVFS</v>
      </c>
      <c r="Q280" s="4" t="str">
        <f t="shared" si="112"/>
        <v>YQWFRKALKLTL</v>
      </c>
      <c r="R280" s="5">
        <f>VLOOKUP($A280,'SegEnds_NonXtal_Prot#'!$A:$AL,3,FALSE)</f>
        <v>31</v>
      </c>
      <c r="S280" s="5">
        <f>VLOOKUP($A280,'SegEnds_NonXtal_Prot#'!$A:$AL,6,FALSE)</f>
        <v>63</v>
      </c>
      <c r="T280" s="5">
        <f>VLOOKUP($A280,'SegEnds_NonXtal_Prot#'!$A:$AL,9,FALSE)</f>
        <v>67</v>
      </c>
      <c r="U280" s="5">
        <f>VLOOKUP($A280,'SegEnds_NonXtal_Prot#'!$A:$AL,12,FALSE)</f>
        <v>99</v>
      </c>
      <c r="V280" s="5">
        <f>VLOOKUP($A280,'SegEnds_NonXtal_Prot#'!$A:$AL,15,FALSE)</f>
        <v>103</v>
      </c>
      <c r="W280" s="5">
        <f>VLOOKUP($A280,'SegEnds_NonXtal_Prot#'!$A:$AL,18,FALSE)</f>
        <v>139</v>
      </c>
      <c r="X280" s="5">
        <f>VLOOKUP($A280,'SegEnds_NonXtal_Prot#'!$A:$AL,21,FALSE)</f>
        <v>147</v>
      </c>
      <c r="Y280" s="5">
        <f>VLOOKUP($A280,'SegEnds_NonXtal_Prot#'!$A:$AL,24,FALSE)</f>
        <v>192</v>
      </c>
      <c r="Z280" s="5">
        <f>VLOOKUP($A280,'SegEnds_NonXtal_Prot#'!$A:$AL,27,FALSE)</f>
        <v>196</v>
      </c>
      <c r="AA280" s="5">
        <f>VLOOKUP($A280,'SegEnds_NonXtal_Prot#'!$A:$AL,30,FALSE)</f>
        <v>239</v>
      </c>
      <c r="AB280" s="5">
        <f>VLOOKUP($A280,'SegEnds_NonXtal_Prot#'!$A:$AL,33,FALSE)</f>
        <v>283</v>
      </c>
      <c r="AC280" s="5">
        <f>VLOOKUP($A280,'SegEnds_NonXtal_Prot#'!$A:$AL,36,FALSE)</f>
        <v>309</v>
      </c>
      <c r="AD280" s="5">
        <f>VLOOKUP($A280,'SegEnds_NonXtal_Prot#'!$A:$AL,5,FALSE)</f>
        <v>62</v>
      </c>
      <c r="AE280" s="5">
        <f>VLOOKUP($A280,'SegEnds_NonXtal_Prot#'!$A:$AL,8,FALSE)</f>
        <v>66</v>
      </c>
      <c r="AF280" s="5">
        <f>VLOOKUP($A280,'SegEnds_NonXtal_Prot#'!$A:$AL,11,FALSE)</f>
        <v>97</v>
      </c>
      <c r="AG280" s="5">
        <f>VLOOKUP($A280,'SegEnds_NonXtal_Prot#'!$A:$AL,14,FALSE)</f>
        <v>102</v>
      </c>
      <c r="AH280" s="5">
        <f>VLOOKUP($A280,'SegEnds_NonXtal_Prot#'!$A:$AL,17,FALSE)</f>
        <v>138</v>
      </c>
      <c r="AI280" s="5">
        <f>VLOOKUP($A280,'SegEnds_NonXtal_Prot#'!$A:$AL,20,FALSE)</f>
        <v>146</v>
      </c>
      <c r="AJ280" s="5">
        <f>VLOOKUP($A280,'SegEnds_NonXtal_Prot#'!$A:$AL,23,FALSE)</f>
        <v>172</v>
      </c>
      <c r="AK280" s="5">
        <f>VLOOKUP($A280,'SegEnds_NonXtal_Prot#'!$A:$AL,26,FALSE)</f>
        <v>194</v>
      </c>
      <c r="AL280" s="5">
        <f>VLOOKUP($A280,'SegEnds_NonXtal_Prot#'!$A:$AL,29,FALSE)</f>
        <v>234</v>
      </c>
      <c r="AM280" s="5">
        <f>VLOOKUP($A280,'SegEnds_NonXtal_Prot#'!$A:$AL,32,FALSE)</f>
        <v>278</v>
      </c>
      <c r="AN280" s="5">
        <f>VLOOKUP($A280,'SegEnds_NonXtal_Prot#'!$A:$AL,35,FALSE)</f>
        <v>308</v>
      </c>
      <c r="AO280" s="5">
        <f>VLOOKUP($A280,'SegEnds_NonXtal_Prot#'!$A:$AL,38,FALSE)</f>
        <v>320</v>
      </c>
      <c r="AP280" s="5">
        <f t="shared" si="113"/>
        <v>31</v>
      </c>
      <c r="AQ280" s="4">
        <f t="shared" si="114"/>
        <v>3</v>
      </c>
      <c r="AR280" s="4">
        <f t="shared" si="115"/>
        <v>30</v>
      </c>
      <c r="AS280" s="4">
        <f t="shared" si="116"/>
        <v>3</v>
      </c>
      <c r="AT280" s="4">
        <f t="shared" si="117"/>
        <v>35</v>
      </c>
      <c r="AU280" s="4">
        <f t="shared" si="118"/>
        <v>7</v>
      </c>
      <c r="AV280" s="4">
        <f t="shared" si="119"/>
        <v>25</v>
      </c>
      <c r="AW280" s="4">
        <f t="shared" si="120"/>
        <v>2</v>
      </c>
      <c r="AX280" s="4">
        <f t="shared" si="121"/>
        <v>38</v>
      </c>
      <c r="AY280" s="4">
        <f t="shared" si="122"/>
        <v>39</v>
      </c>
      <c r="AZ280" s="4">
        <f t="shared" si="123"/>
        <v>25</v>
      </c>
      <c r="BA280" s="4">
        <f t="shared" si="124"/>
        <v>11</v>
      </c>
    </row>
    <row r="281" spans="1:53" x14ac:dyDescent="0.2">
      <c r="A281" s="1" t="str">
        <f>'SegEnds_NonXtal_Prot#'!A270</f>
        <v>taar6_human</v>
      </c>
      <c r="B281" s="1" t="str">
        <f t="shared" si="100"/>
        <v>PGSRVILYIVFGFGAVLAVFGNLLVMISILHFSPTNFLVASLACADFLVGVTVMPFSMVRTVEGRSFCTFHTCCDVAFCYSSLFHLCFISIDRYIAVTDTVSVSGICISVSWILPLMYSGAVFYTVNQNWVLTDFLSFFIPTFIMIILYGNIFLVARRQAKKIENSYKARVARRERKAAKTLGVTVVAFMISWLPYSIDSLIDAFMPACIYEICCWCAYYNSAMNPLIYALFYPWFRKAIKVIV</v>
      </c>
      <c r="C281" s="29" t="str">
        <f>IF(ISERROR(MATCH(A281,'SegEnds_Xtal_Prot#'!B:B, 0)), "NoXtal", "Xtal")</f>
        <v>NoXtal</v>
      </c>
      <c r="D281" s="4" t="str">
        <f>VLOOKUP(A281,Classification!A:D,2,FALSE)</f>
        <v>A</v>
      </c>
      <c r="E281" s="5" t="str">
        <f>VLOOKUP(A281,Seqs!A:B,2,FALSE)</f>
        <v>MSSNSSLLVAVQLCYANVNGSCVKIPFSPGSRVILYIVFGFGAVLAVFGNLLVMISILHFKQLHSPTNFLVASLACADFLVGVTVMPFSMVRTVESCWYFGRSFCTFHTCCDVAFCYSSLFHLCFISIDRYIAVTDPLVYPTKFTVSVSGICISVSWILPLMYSGAVFYTGVYDDGLEELSDALNCIGGCQTVVNQNWVLTDFLSFFIPTFIMIILYGNIFLVARRQAKKIENTGSKTESSSESYKARVARRERKAAKTLGVTVVAFMISWLPYSIDSLIDAFMGFITPACIYEICCWCAYYNSAMNPLIYALFYPWFRKAIKVIVTGQVLKNSSATMNLFSEHI</v>
      </c>
      <c r="F281" s="5" t="str">
        <f t="shared" si="101"/>
        <v>PGSRVILYIVFGFGAVLAVFGNLLVMISILHF</v>
      </c>
      <c r="G281" s="4" t="str">
        <f t="shared" si="102"/>
        <v>KQLH</v>
      </c>
      <c r="H281" s="4" t="str">
        <f t="shared" si="103"/>
        <v>SPTNFLVASLACADFLVGVTVMPFSMVRTVE</v>
      </c>
      <c r="I281" s="4" t="str">
        <f t="shared" si="104"/>
        <v>CWYF</v>
      </c>
      <c r="J281" s="4" t="str">
        <f t="shared" si="105"/>
        <v>GRSFCTFHTCCDVAFCYSSLFHLCFISIDRYIAVTD</v>
      </c>
      <c r="K281" s="4" t="str">
        <f t="shared" si="106"/>
        <v>PLVYPTKF</v>
      </c>
      <c r="L281" s="4" t="str">
        <f t="shared" si="107"/>
        <v>TVSVSGICISVSWILPLMYSGAVFYT</v>
      </c>
      <c r="M281" s="4" t="str">
        <f t="shared" si="108"/>
        <v>CQT</v>
      </c>
      <c r="N281" s="4" t="str">
        <f t="shared" si="109"/>
        <v>VNQNWVLTDFLSFFIPTFIMIILYGNIFLVARRQAKKIEN</v>
      </c>
      <c r="O281" s="4" t="str">
        <f t="shared" si="110"/>
        <v>SYKARVARRERKAAKTLGVTVVAFMISWLPYSIDSLIDAFM</v>
      </c>
      <c r="P281" s="4" t="str">
        <f t="shared" si="111"/>
        <v>PACIYEICCWCAYYNSAMNPLIYALF</v>
      </c>
      <c r="Q281" s="4" t="str">
        <f t="shared" si="112"/>
        <v>YPWFRKAIKVIV</v>
      </c>
      <c r="R281" s="5">
        <f>VLOOKUP($A281,'SegEnds_NonXtal_Prot#'!$A:$AL,3,FALSE)</f>
        <v>29</v>
      </c>
      <c r="S281" s="5">
        <f>VLOOKUP($A281,'SegEnds_NonXtal_Prot#'!$A:$AL,6,FALSE)</f>
        <v>61</v>
      </c>
      <c r="T281" s="5">
        <f>VLOOKUP($A281,'SegEnds_NonXtal_Prot#'!$A:$AL,9,FALSE)</f>
        <v>65</v>
      </c>
      <c r="U281" s="5">
        <f>VLOOKUP($A281,'SegEnds_NonXtal_Prot#'!$A:$AL,12,FALSE)</f>
        <v>97</v>
      </c>
      <c r="V281" s="5">
        <f>VLOOKUP($A281,'SegEnds_NonXtal_Prot#'!$A:$AL,15,FALSE)</f>
        <v>101</v>
      </c>
      <c r="W281" s="5">
        <f>VLOOKUP($A281,'SegEnds_NonXtal_Prot#'!$A:$AL,18,FALSE)</f>
        <v>137</v>
      </c>
      <c r="X281" s="5">
        <f>VLOOKUP($A281,'SegEnds_NonXtal_Prot#'!$A:$AL,21,FALSE)</f>
        <v>145</v>
      </c>
      <c r="Y281" s="5">
        <f>VLOOKUP($A281,'SegEnds_NonXtal_Prot#'!$A:$AL,24,FALSE)</f>
        <v>190</v>
      </c>
      <c r="Z281" s="5">
        <f>VLOOKUP($A281,'SegEnds_NonXtal_Prot#'!$A:$AL,27,FALSE)</f>
        <v>194</v>
      </c>
      <c r="AA281" s="5">
        <f>VLOOKUP($A281,'SegEnds_NonXtal_Prot#'!$A:$AL,30,FALSE)</f>
        <v>244</v>
      </c>
      <c r="AB281" s="5">
        <f>VLOOKUP($A281,'SegEnds_NonXtal_Prot#'!$A:$AL,33,FALSE)</f>
        <v>289</v>
      </c>
      <c r="AC281" s="5">
        <f>VLOOKUP($A281,'SegEnds_NonXtal_Prot#'!$A:$AL,36,FALSE)</f>
        <v>315</v>
      </c>
      <c r="AD281" s="5">
        <f>VLOOKUP($A281,'SegEnds_NonXtal_Prot#'!$A:$AL,5,FALSE)</f>
        <v>60</v>
      </c>
      <c r="AE281" s="5">
        <f>VLOOKUP($A281,'SegEnds_NonXtal_Prot#'!$A:$AL,8,FALSE)</f>
        <v>64</v>
      </c>
      <c r="AF281" s="5">
        <f>VLOOKUP($A281,'SegEnds_NonXtal_Prot#'!$A:$AL,11,FALSE)</f>
        <v>95</v>
      </c>
      <c r="AG281" s="5">
        <f>VLOOKUP($A281,'SegEnds_NonXtal_Prot#'!$A:$AL,14,FALSE)</f>
        <v>100</v>
      </c>
      <c r="AH281" s="5">
        <f>VLOOKUP($A281,'SegEnds_NonXtal_Prot#'!$A:$AL,17,FALSE)</f>
        <v>136</v>
      </c>
      <c r="AI281" s="5">
        <f>VLOOKUP($A281,'SegEnds_NonXtal_Prot#'!$A:$AL,20,FALSE)</f>
        <v>144</v>
      </c>
      <c r="AJ281" s="5">
        <f>VLOOKUP($A281,'SegEnds_NonXtal_Prot#'!$A:$AL,23,FALSE)</f>
        <v>170</v>
      </c>
      <c r="AK281" s="5">
        <f>VLOOKUP($A281,'SegEnds_NonXtal_Prot#'!$A:$AL,26,FALSE)</f>
        <v>192</v>
      </c>
      <c r="AL281" s="5">
        <f>VLOOKUP($A281,'SegEnds_NonXtal_Prot#'!$A:$AL,29,FALSE)</f>
        <v>233</v>
      </c>
      <c r="AM281" s="5">
        <f>VLOOKUP($A281,'SegEnds_NonXtal_Prot#'!$A:$AL,32,FALSE)</f>
        <v>284</v>
      </c>
      <c r="AN281" s="5">
        <f>VLOOKUP($A281,'SegEnds_NonXtal_Prot#'!$A:$AL,35,FALSE)</f>
        <v>314</v>
      </c>
      <c r="AO281" s="5">
        <f>VLOOKUP($A281,'SegEnds_NonXtal_Prot#'!$A:$AL,38,FALSE)</f>
        <v>326</v>
      </c>
      <c r="AP281" s="5">
        <f t="shared" si="113"/>
        <v>31</v>
      </c>
      <c r="AQ281" s="4">
        <f t="shared" si="114"/>
        <v>3</v>
      </c>
      <c r="AR281" s="4">
        <f t="shared" si="115"/>
        <v>30</v>
      </c>
      <c r="AS281" s="4">
        <f t="shared" si="116"/>
        <v>3</v>
      </c>
      <c r="AT281" s="4">
        <f t="shared" si="117"/>
        <v>35</v>
      </c>
      <c r="AU281" s="4">
        <f t="shared" si="118"/>
        <v>7</v>
      </c>
      <c r="AV281" s="4">
        <f t="shared" si="119"/>
        <v>25</v>
      </c>
      <c r="AW281" s="4">
        <f t="shared" si="120"/>
        <v>2</v>
      </c>
      <c r="AX281" s="4">
        <f t="shared" si="121"/>
        <v>39</v>
      </c>
      <c r="AY281" s="4">
        <f t="shared" si="122"/>
        <v>40</v>
      </c>
      <c r="AZ281" s="4">
        <f t="shared" si="123"/>
        <v>25</v>
      </c>
      <c r="BA281" s="4">
        <f t="shared" si="124"/>
        <v>11</v>
      </c>
    </row>
    <row r="282" spans="1:53" x14ac:dyDescent="0.2">
      <c r="A282" s="1" t="str">
        <f>'SegEnds_NonXtal_Prot#'!A271</f>
        <v>taar8_human</v>
      </c>
      <c r="B282" s="1" t="str">
        <f t="shared" si="100"/>
        <v>PGSRVILYTAFSFGSLLAVFGNLLVMTSVLHFSPTNFLIASLACADFLVGVTVMLFSMVRTVEGAKFCTLHSCCDVAFCYSSVLHLCFICIDRYIVVTDTVSVSGICISVSWILPLTYSGAVFYTVSQGWVLIDFLLFFIPTLVMIILYSKIFLIAKQQAIKIETSYKIRVAKRERKAAKTLGVTVLAFVISWLPYTVDILIDAFMPAYIYEICCWSAYYNSAMNPLIYALFYPWFRKAIKLIL</v>
      </c>
      <c r="C282" s="29" t="str">
        <f>IF(ISERROR(MATCH(A282,'SegEnds_Xtal_Prot#'!B:B, 0)), "NoXtal", "Xtal")</f>
        <v>NoXtal</v>
      </c>
      <c r="D282" s="4" t="str">
        <f>VLOOKUP(A282,Classification!A:D,2,FALSE)</f>
        <v>A</v>
      </c>
      <c r="E282" s="5" t="str">
        <f>VLOOKUP(A282,Seqs!A:B,2,FALSE)</f>
        <v>MTSNFSQPVVQLCYEDVNGSCIETPYSPGSRVILYTAFSFGSLLAVFGNLLVMTSVLHFKQLHSPTNFLIASLACADFLVGVTVMLFSMVRTVESCWYFGAKFCTLHSCCDVAFCYSSVLHLCFICIDRYIVVTDPLVYATKFTVSVSGICISVSWILPLTYSGAVFYTGVNDDGLEELVSALNCVGGCQIIVSQGWVLIDFLLFFIPTLVMIILYSKIFLIAKQQAIKIETTSSKVESSSESYKIRVAKRERKAAKTLGVTVLAFVISWLPYTVDILIDAFMGFLTPAYIYEICCWSAYYNSAMNPLIYALFYPWFRKAIKLILSGDVLKASSSTISLFLE</v>
      </c>
      <c r="F282" s="5" t="str">
        <f t="shared" si="101"/>
        <v>PGSRVILYTAFSFGSLLAVFGNLLVMTSVLHF</v>
      </c>
      <c r="G282" s="4" t="str">
        <f t="shared" si="102"/>
        <v>KQLH</v>
      </c>
      <c r="H282" s="4" t="str">
        <f t="shared" si="103"/>
        <v>SPTNFLIASLACADFLVGVTVMLFSMVRTVE</v>
      </c>
      <c r="I282" s="4" t="str">
        <f t="shared" si="104"/>
        <v>CWYF</v>
      </c>
      <c r="J282" s="4" t="str">
        <f t="shared" si="105"/>
        <v>GAKFCTLHSCCDVAFCYSSVLHLCFICIDRYIVVTD</v>
      </c>
      <c r="K282" s="4" t="str">
        <f t="shared" si="106"/>
        <v>PLVYATKF</v>
      </c>
      <c r="L282" s="4" t="str">
        <f t="shared" si="107"/>
        <v>TVSVSGICISVSWILPLTYSGAVFYT</v>
      </c>
      <c r="M282" s="4" t="str">
        <f t="shared" si="108"/>
        <v>CQI</v>
      </c>
      <c r="N282" s="4" t="str">
        <f t="shared" si="109"/>
        <v>VSQGWVLIDFLLFFIPTLVMIILYSKIFLIAKQQAIKIET</v>
      </c>
      <c r="O282" s="4" t="str">
        <f t="shared" si="110"/>
        <v>SYKIRVAKRERKAAKTLGVTVLAFVISWLPYTVDILIDAFM</v>
      </c>
      <c r="P282" s="4" t="str">
        <f t="shared" si="111"/>
        <v>PAYIYEICCWSAYYNSAMNPLIYALF</v>
      </c>
      <c r="Q282" s="4" t="str">
        <f t="shared" si="112"/>
        <v>YPWFRKAIKLIL</v>
      </c>
      <c r="R282" s="5">
        <f>VLOOKUP($A282,'SegEnds_NonXtal_Prot#'!$A:$AL,3,FALSE)</f>
        <v>28</v>
      </c>
      <c r="S282" s="5">
        <f>VLOOKUP($A282,'SegEnds_NonXtal_Prot#'!$A:$AL,6,FALSE)</f>
        <v>60</v>
      </c>
      <c r="T282" s="5">
        <f>VLOOKUP($A282,'SegEnds_NonXtal_Prot#'!$A:$AL,9,FALSE)</f>
        <v>64</v>
      </c>
      <c r="U282" s="5">
        <f>VLOOKUP($A282,'SegEnds_NonXtal_Prot#'!$A:$AL,12,FALSE)</f>
        <v>96</v>
      </c>
      <c r="V282" s="5">
        <f>VLOOKUP($A282,'SegEnds_NonXtal_Prot#'!$A:$AL,15,FALSE)</f>
        <v>100</v>
      </c>
      <c r="W282" s="5">
        <f>VLOOKUP($A282,'SegEnds_NonXtal_Prot#'!$A:$AL,18,FALSE)</f>
        <v>136</v>
      </c>
      <c r="X282" s="5">
        <f>VLOOKUP($A282,'SegEnds_NonXtal_Prot#'!$A:$AL,21,FALSE)</f>
        <v>144</v>
      </c>
      <c r="Y282" s="5">
        <f>VLOOKUP($A282,'SegEnds_NonXtal_Prot#'!$A:$AL,24,FALSE)</f>
        <v>189</v>
      </c>
      <c r="Z282" s="5">
        <f>VLOOKUP($A282,'SegEnds_NonXtal_Prot#'!$A:$AL,27,FALSE)</f>
        <v>193</v>
      </c>
      <c r="AA282" s="5">
        <f>VLOOKUP($A282,'SegEnds_NonXtal_Prot#'!$A:$AL,30,FALSE)</f>
        <v>243</v>
      </c>
      <c r="AB282" s="5">
        <f>VLOOKUP($A282,'SegEnds_NonXtal_Prot#'!$A:$AL,33,FALSE)</f>
        <v>288</v>
      </c>
      <c r="AC282" s="5">
        <f>VLOOKUP($A282,'SegEnds_NonXtal_Prot#'!$A:$AL,36,FALSE)</f>
        <v>314</v>
      </c>
      <c r="AD282" s="5">
        <f>VLOOKUP($A282,'SegEnds_NonXtal_Prot#'!$A:$AL,5,FALSE)</f>
        <v>59</v>
      </c>
      <c r="AE282" s="5">
        <f>VLOOKUP($A282,'SegEnds_NonXtal_Prot#'!$A:$AL,8,FALSE)</f>
        <v>63</v>
      </c>
      <c r="AF282" s="5">
        <f>VLOOKUP($A282,'SegEnds_NonXtal_Prot#'!$A:$AL,11,FALSE)</f>
        <v>94</v>
      </c>
      <c r="AG282" s="5">
        <f>VLOOKUP($A282,'SegEnds_NonXtal_Prot#'!$A:$AL,14,FALSE)</f>
        <v>99</v>
      </c>
      <c r="AH282" s="5">
        <f>VLOOKUP($A282,'SegEnds_NonXtal_Prot#'!$A:$AL,17,FALSE)</f>
        <v>135</v>
      </c>
      <c r="AI282" s="5">
        <f>VLOOKUP($A282,'SegEnds_NonXtal_Prot#'!$A:$AL,20,FALSE)</f>
        <v>143</v>
      </c>
      <c r="AJ282" s="5">
        <f>VLOOKUP($A282,'SegEnds_NonXtal_Prot#'!$A:$AL,23,FALSE)</f>
        <v>169</v>
      </c>
      <c r="AK282" s="5">
        <f>VLOOKUP($A282,'SegEnds_NonXtal_Prot#'!$A:$AL,26,FALSE)</f>
        <v>191</v>
      </c>
      <c r="AL282" s="5">
        <f>VLOOKUP($A282,'SegEnds_NonXtal_Prot#'!$A:$AL,29,FALSE)</f>
        <v>232</v>
      </c>
      <c r="AM282" s="5">
        <f>VLOOKUP($A282,'SegEnds_NonXtal_Prot#'!$A:$AL,32,FALSE)</f>
        <v>283</v>
      </c>
      <c r="AN282" s="5">
        <f>VLOOKUP($A282,'SegEnds_NonXtal_Prot#'!$A:$AL,35,FALSE)</f>
        <v>313</v>
      </c>
      <c r="AO282" s="5">
        <f>VLOOKUP($A282,'SegEnds_NonXtal_Prot#'!$A:$AL,38,FALSE)</f>
        <v>325</v>
      </c>
      <c r="AP282" s="5">
        <f t="shared" si="113"/>
        <v>31</v>
      </c>
      <c r="AQ282" s="4">
        <f t="shared" si="114"/>
        <v>3</v>
      </c>
      <c r="AR282" s="4">
        <f t="shared" si="115"/>
        <v>30</v>
      </c>
      <c r="AS282" s="4">
        <f t="shared" si="116"/>
        <v>3</v>
      </c>
      <c r="AT282" s="4">
        <f t="shared" si="117"/>
        <v>35</v>
      </c>
      <c r="AU282" s="4">
        <f t="shared" si="118"/>
        <v>7</v>
      </c>
      <c r="AV282" s="4">
        <f t="shared" si="119"/>
        <v>25</v>
      </c>
      <c r="AW282" s="4">
        <f t="shared" si="120"/>
        <v>2</v>
      </c>
      <c r="AX282" s="4">
        <f t="shared" si="121"/>
        <v>39</v>
      </c>
      <c r="AY282" s="4">
        <f t="shared" si="122"/>
        <v>40</v>
      </c>
      <c r="AZ282" s="4">
        <f t="shared" si="123"/>
        <v>25</v>
      </c>
      <c r="BA282" s="4">
        <f t="shared" si="124"/>
        <v>11</v>
      </c>
    </row>
    <row r="283" spans="1:53" x14ac:dyDescent="0.2">
      <c r="A283" s="1" t="str">
        <f>'SegEnds_NonXtal_Prot#'!A272</f>
        <v>taar9_human</v>
      </c>
      <c r="B283" s="1" t="str">
        <f t="shared" si="100"/>
        <v>PGPRSILYAVLGFGAVLAAFGNLLVMIAILHFTPTNFLIASLACADFLVGVTVMPFSTVRSVEGDSYCKFHTCFDTSFCFASLFHLCCISVDRYIAVTDTVSVSGICIVLSWFFSVTYSFSIFYTLNQNWVLLCFLLFFIPNVAMVFIYSKIFLVAKHQARKIESSYKERVAKRERKAAKTLGIAMAAFLVSWLPYLVDAVIDAYMPPYVYEILVWCVYYNSAMNPLIYAFFYQWFGKAIKLIV</v>
      </c>
      <c r="C283" s="29" t="str">
        <f>IF(ISERROR(MATCH(A283,'SegEnds_Xtal_Prot#'!B:B, 0)), "NoXtal", "Xtal")</f>
        <v>NoXtal</v>
      </c>
      <c r="D283" s="4" t="str">
        <f>VLOOKUP(A283,Classification!A:D,2,FALSE)</f>
        <v>A</v>
      </c>
      <c r="E283" s="5" t="str">
        <f>VLOOKUP(A283,Seqs!A:B,2,FALSE)</f>
        <v>MVNNFSQAEAVELCYKNVNESCIKTPYSPGPRSILYAVLGFGAVLAAFGNLLVMIAILHFKQLHTPTNFLIASLACADFLVGVTVMPFSTVRSVESCWYFGDSYCKFHTCFDTSFCFASLFHLCCISVDRYIAVTDPLTYPTKFTVSVSGICIVLSWFFSVTYSFSIFYTGANEEGIEELVVALTCVGGCQAPLNQNWVLLCFLLFFIPNVAMVFIYSKIFLVAKHQARKIESTASQAQSSSESYKERVAKRERKAAKTLGIAMAAFLVSWLPYLVDAVIDAYMNFITPPYVYEILVWCVYYNSAMNPLIYAFFYQWFGKAIKLIVSGKVLRTDSSTTNLFSEEVETD</v>
      </c>
      <c r="F283" s="5" t="str">
        <f t="shared" si="101"/>
        <v>PGPRSILYAVLGFGAVLAAFGNLLVMIAILHF</v>
      </c>
      <c r="G283" s="4" t="str">
        <f t="shared" si="102"/>
        <v>KQLH</v>
      </c>
      <c r="H283" s="4" t="str">
        <f t="shared" si="103"/>
        <v>TPTNFLIASLACADFLVGVTVMPFSTVRSVE</v>
      </c>
      <c r="I283" s="4" t="str">
        <f t="shared" si="104"/>
        <v>CWYF</v>
      </c>
      <c r="J283" s="4" t="str">
        <f t="shared" si="105"/>
        <v>GDSYCKFHTCFDTSFCFASLFHLCCISVDRYIAVTD</v>
      </c>
      <c r="K283" s="4" t="str">
        <f t="shared" si="106"/>
        <v>PLTYPTKF</v>
      </c>
      <c r="L283" s="4" t="str">
        <f t="shared" si="107"/>
        <v>TVSVSGICIVLSWFFSVTYSFSIFYT</v>
      </c>
      <c r="M283" s="4" t="str">
        <f t="shared" si="108"/>
        <v>CQA</v>
      </c>
      <c r="N283" s="4" t="str">
        <f t="shared" si="109"/>
        <v>LNQNWVLLCFLLFFIPNVAMVFIYSKIFLVAKHQARKIES</v>
      </c>
      <c r="O283" s="4" t="str">
        <f t="shared" si="110"/>
        <v>SYKERVAKRERKAAKTLGIAMAAFLVSWLPYLVDAVIDAYM</v>
      </c>
      <c r="P283" s="4" t="str">
        <f t="shared" si="111"/>
        <v>PPYVYEILVWCVYYNSAMNPLIYAFF</v>
      </c>
      <c r="Q283" s="4" t="str">
        <f t="shared" si="112"/>
        <v>YQWFGKAIKLIV</v>
      </c>
      <c r="R283" s="5">
        <f>VLOOKUP($A283,'SegEnds_NonXtal_Prot#'!$A:$AL,3,FALSE)</f>
        <v>29</v>
      </c>
      <c r="S283" s="5">
        <f>VLOOKUP($A283,'SegEnds_NonXtal_Prot#'!$A:$AL,6,FALSE)</f>
        <v>61</v>
      </c>
      <c r="T283" s="5">
        <f>VLOOKUP($A283,'SegEnds_NonXtal_Prot#'!$A:$AL,9,FALSE)</f>
        <v>65</v>
      </c>
      <c r="U283" s="5">
        <f>VLOOKUP($A283,'SegEnds_NonXtal_Prot#'!$A:$AL,12,FALSE)</f>
        <v>97</v>
      </c>
      <c r="V283" s="5">
        <f>VLOOKUP($A283,'SegEnds_NonXtal_Prot#'!$A:$AL,15,FALSE)</f>
        <v>101</v>
      </c>
      <c r="W283" s="5">
        <f>VLOOKUP($A283,'SegEnds_NonXtal_Prot#'!$A:$AL,18,FALSE)</f>
        <v>137</v>
      </c>
      <c r="X283" s="5">
        <f>VLOOKUP($A283,'SegEnds_NonXtal_Prot#'!$A:$AL,21,FALSE)</f>
        <v>145</v>
      </c>
      <c r="Y283" s="5">
        <f>VLOOKUP($A283,'SegEnds_NonXtal_Prot#'!$A:$AL,24,FALSE)</f>
        <v>190</v>
      </c>
      <c r="Z283" s="5">
        <f>VLOOKUP($A283,'SegEnds_NonXtal_Prot#'!$A:$AL,27,FALSE)</f>
        <v>194</v>
      </c>
      <c r="AA283" s="5">
        <f>VLOOKUP($A283,'SegEnds_NonXtal_Prot#'!$A:$AL,30,FALSE)</f>
        <v>244</v>
      </c>
      <c r="AB283" s="5">
        <f>VLOOKUP($A283,'SegEnds_NonXtal_Prot#'!$A:$AL,33,FALSE)</f>
        <v>289</v>
      </c>
      <c r="AC283" s="5">
        <f>VLOOKUP($A283,'SegEnds_NonXtal_Prot#'!$A:$AL,36,FALSE)</f>
        <v>315</v>
      </c>
      <c r="AD283" s="5">
        <f>VLOOKUP($A283,'SegEnds_NonXtal_Prot#'!$A:$AL,5,FALSE)</f>
        <v>60</v>
      </c>
      <c r="AE283" s="5">
        <f>VLOOKUP($A283,'SegEnds_NonXtal_Prot#'!$A:$AL,8,FALSE)</f>
        <v>64</v>
      </c>
      <c r="AF283" s="5">
        <f>VLOOKUP($A283,'SegEnds_NonXtal_Prot#'!$A:$AL,11,FALSE)</f>
        <v>95</v>
      </c>
      <c r="AG283" s="5">
        <f>VLOOKUP($A283,'SegEnds_NonXtal_Prot#'!$A:$AL,14,FALSE)</f>
        <v>100</v>
      </c>
      <c r="AH283" s="5">
        <f>VLOOKUP($A283,'SegEnds_NonXtal_Prot#'!$A:$AL,17,FALSE)</f>
        <v>136</v>
      </c>
      <c r="AI283" s="5">
        <f>VLOOKUP($A283,'SegEnds_NonXtal_Prot#'!$A:$AL,20,FALSE)</f>
        <v>144</v>
      </c>
      <c r="AJ283" s="5">
        <f>VLOOKUP($A283,'SegEnds_NonXtal_Prot#'!$A:$AL,23,FALSE)</f>
        <v>170</v>
      </c>
      <c r="AK283" s="5">
        <f>VLOOKUP($A283,'SegEnds_NonXtal_Prot#'!$A:$AL,26,FALSE)</f>
        <v>192</v>
      </c>
      <c r="AL283" s="5">
        <f>VLOOKUP($A283,'SegEnds_NonXtal_Prot#'!$A:$AL,29,FALSE)</f>
        <v>233</v>
      </c>
      <c r="AM283" s="5">
        <f>VLOOKUP($A283,'SegEnds_NonXtal_Prot#'!$A:$AL,32,FALSE)</f>
        <v>284</v>
      </c>
      <c r="AN283" s="5">
        <f>VLOOKUP($A283,'SegEnds_NonXtal_Prot#'!$A:$AL,35,FALSE)</f>
        <v>314</v>
      </c>
      <c r="AO283" s="5">
        <f>VLOOKUP($A283,'SegEnds_NonXtal_Prot#'!$A:$AL,38,FALSE)</f>
        <v>326</v>
      </c>
      <c r="AP283" s="5">
        <f t="shared" si="113"/>
        <v>31</v>
      </c>
      <c r="AQ283" s="4">
        <f t="shared" si="114"/>
        <v>3</v>
      </c>
      <c r="AR283" s="4">
        <f t="shared" si="115"/>
        <v>30</v>
      </c>
      <c r="AS283" s="4">
        <f t="shared" si="116"/>
        <v>3</v>
      </c>
      <c r="AT283" s="4">
        <f t="shared" si="117"/>
        <v>35</v>
      </c>
      <c r="AU283" s="4">
        <f t="shared" si="118"/>
        <v>7</v>
      </c>
      <c r="AV283" s="4">
        <f t="shared" si="119"/>
        <v>25</v>
      </c>
      <c r="AW283" s="4">
        <f t="shared" si="120"/>
        <v>2</v>
      </c>
      <c r="AX283" s="4">
        <f t="shared" si="121"/>
        <v>39</v>
      </c>
      <c r="AY283" s="4">
        <f t="shared" si="122"/>
        <v>40</v>
      </c>
      <c r="AZ283" s="4">
        <f t="shared" si="123"/>
        <v>25</v>
      </c>
      <c r="BA283" s="4">
        <f t="shared" si="124"/>
        <v>11</v>
      </c>
    </row>
    <row r="284" spans="1:53" x14ac:dyDescent="0.2">
      <c r="A284" s="1" t="str">
        <f>'SegEnds_NonXtal_Prot#'!A273</f>
        <v>trfr_human</v>
      </c>
      <c r="B284" s="1" t="str">
        <f t="shared" si="100"/>
        <v>LEYQVVTILLVLIICGLGIVGNIMVVLVVMRTTPTNCYLVSLAVADLMVLVAAGLPNITDSIGYVGCLCITYLQYLGINASSCSITAFTIERYIAICHTFSRAKKIIIFVWAFTSLYCMLWFFLLSRNYYSPIYLMDFGVFYVVPMILATVLYGFIARILFLNPIPSDPKENSTVSSRKQVTKMLAVVVILFALLWMPYRTLVVVNSFLENWFLLFCRICIYLNSAINPVIYNLMSQKFRAAFRKLCN</v>
      </c>
      <c r="C284" s="29" t="str">
        <f>IF(ISERROR(MATCH(A284,'SegEnds_Xtal_Prot#'!B:B, 0)), "NoXtal", "Xtal")</f>
        <v>NoXtal</v>
      </c>
      <c r="D284" s="4" t="str">
        <f>VLOOKUP(A284,Classification!A:D,2,FALSE)</f>
        <v>A</v>
      </c>
      <c r="E284" s="5" t="str">
        <f>VLOOKUP(A284,Seqs!A:B,2,FALSE)</f>
        <v>MENETVSELNQTQLQPRAVVALEYQVVTILLVLIICGLGIVGNIMVVLVVMRTKHMRTPTNCYLVSLAVADLMVLVAAGLPNITDSIYGSWVYGYVGCLCITYLQYLGINASSCSITAFTIERYIAICHPIKAQFLCTFSRAKKIIIFVWAFTSLYCMLWFFLLDLNISTYKDAIVISCGYKISRNYYSPIYLMDFGVFYVVPMILATVLYGFIARILFLNPIPSDPKENSKTWKNDSTHQNTNLNVNTSNRCFNSTVSSRKQVTKMLAVVVILFALLWMPYRTLVVVNSFLSSPFQENWFLLFCRICIYLNSAINPVIYNLMSQKFRAAFRKLCNCKQKPTEKPANYSVALNYSVIKESDHFSTELDDITVTDTYLSATKVSFDDTCLASEVSFSQS</v>
      </c>
      <c r="F284" s="5" t="str">
        <f t="shared" si="101"/>
        <v>LEYQVVTILLVLIICGLGIVGNIMVVLVVMRT</v>
      </c>
      <c r="G284" s="4" t="str">
        <f t="shared" si="102"/>
        <v>KHMR</v>
      </c>
      <c r="H284" s="4" t="str">
        <f t="shared" si="103"/>
        <v>TPTNCYLVSLAVADLMVLVAAGLPNITDSI</v>
      </c>
      <c r="I284" s="4" t="str">
        <f t="shared" si="104"/>
        <v>SWVY</v>
      </c>
      <c r="J284" s="4" t="str">
        <f t="shared" si="105"/>
        <v>GYVGCLCITYLQYLGINASSCSITAFTIERYIAICH</v>
      </c>
      <c r="K284" s="4" t="str">
        <f t="shared" si="106"/>
        <v>PIKAQFLC</v>
      </c>
      <c r="L284" s="4" t="str">
        <f t="shared" si="107"/>
        <v>TFSRAKKIIIFVWAFTSLYCMLWFFLL</v>
      </c>
      <c r="M284" s="4" t="str">
        <f t="shared" si="108"/>
        <v>CGY</v>
      </c>
      <c r="N284" s="4" t="str">
        <f t="shared" si="109"/>
        <v>SRNYYSPIYLMDFGVFYVVPMILATVLYGFIARILFLNPIPSDPKE</v>
      </c>
      <c r="O284" s="4" t="str">
        <f t="shared" si="110"/>
        <v>NSTVSSRKQVTKMLAVVVILFALLWMPYRTLVVVNSFL</v>
      </c>
      <c r="P284" s="4" t="str">
        <f t="shared" si="111"/>
        <v>ENWFLLFCRICIYLNSAINPVIYNLM</v>
      </c>
      <c r="Q284" s="4" t="str">
        <f t="shared" si="112"/>
        <v>SQKFRAAFRKLCN</v>
      </c>
      <c r="R284" s="5">
        <f>VLOOKUP($A284,'SegEnds_NonXtal_Prot#'!$A:$AL,3,FALSE)</f>
        <v>22</v>
      </c>
      <c r="S284" s="5">
        <f>VLOOKUP($A284,'SegEnds_NonXtal_Prot#'!$A:$AL,6,FALSE)</f>
        <v>54</v>
      </c>
      <c r="T284" s="5">
        <f>VLOOKUP($A284,'SegEnds_NonXtal_Prot#'!$A:$AL,9,FALSE)</f>
        <v>58</v>
      </c>
      <c r="U284" s="5">
        <f>VLOOKUP($A284,'SegEnds_NonXtal_Prot#'!$A:$AL,12,FALSE)</f>
        <v>90</v>
      </c>
      <c r="V284" s="5">
        <f>VLOOKUP($A284,'SegEnds_NonXtal_Prot#'!$A:$AL,15,FALSE)</f>
        <v>94</v>
      </c>
      <c r="W284" s="5">
        <f>VLOOKUP($A284,'SegEnds_NonXtal_Prot#'!$A:$AL,18,FALSE)</f>
        <v>130</v>
      </c>
      <c r="X284" s="5">
        <f>VLOOKUP($A284,'SegEnds_NonXtal_Prot#'!$A:$AL,21,FALSE)</f>
        <v>138</v>
      </c>
      <c r="Y284" s="5">
        <f>VLOOKUP($A284,'SegEnds_NonXtal_Prot#'!$A:$AL,24,FALSE)</f>
        <v>179</v>
      </c>
      <c r="Z284" s="5">
        <f>VLOOKUP($A284,'SegEnds_NonXtal_Prot#'!$A:$AL,27,FALSE)</f>
        <v>184</v>
      </c>
      <c r="AA284" s="5">
        <f>VLOOKUP($A284,'SegEnds_NonXtal_Prot#'!$A:$AL,30,FALSE)</f>
        <v>255</v>
      </c>
      <c r="AB284" s="5">
        <f>VLOOKUP($A284,'SegEnds_NonXtal_Prot#'!$A:$AL,33,FALSE)</f>
        <v>298</v>
      </c>
      <c r="AC284" s="5">
        <f>VLOOKUP($A284,'SegEnds_NonXtal_Prot#'!$A:$AL,36,FALSE)</f>
        <v>324</v>
      </c>
      <c r="AD284" s="5">
        <f>VLOOKUP($A284,'SegEnds_NonXtal_Prot#'!$A:$AL,5,FALSE)</f>
        <v>53</v>
      </c>
      <c r="AE284" s="5">
        <f>VLOOKUP($A284,'SegEnds_NonXtal_Prot#'!$A:$AL,8,FALSE)</f>
        <v>57</v>
      </c>
      <c r="AF284" s="5">
        <f>VLOOKUP($A284,'SegEnds_NonXtal_Prot#'!$A:$AL,11,FALSE)</f>
        <v>87</v>
      </c>
      <c r="AG284" s="5">
        <f>VLOOKUP($A284,'SegEnds_NonXtal_Prot#'!$A:$AL,14,FALSE)</f>
        <v>93</v>
      </c>
      <c r="AH284" s="5">
        <f>VLOOKUP($A284,'SegEnds_NonXtal_Prot#'!$A:$AL,17,FALSE)</f>
        <v>129</v>
      </c>
      <c r="AI284" s="5">
        <f>VLOOKUP($A284,'SegEnds_NonXtal_Prot#'!$A:$AL,20,FALSE)</f>
        <v>137</v>
      </c>
      <c r="AJ284" s="5">
        <f>VLOOKUP($A284,'SegEnds_NonXtal_Prot#'!$A:$AL,23,FALSE)</f>
        <v>164</v>
      </c>
      <c r="AK284" s="5">
        <f>VLOOKUP($A284,'SegEnds_NonXtal_Prot#'!$A:$AL,26,FALSE)</f>
        <v>181</v>
      </c>
      <c r="AL284" s="5">
        <f>VLOOKUP($A284,'SegEnds_NonXtal_Prot#'!$A:$AL,29,FALSE)</f>
        <v>229</v>
      </c>
      <c r="AM284" s="5">
        <f>VLOOKUP($A284,'SegEnds_NonXtal_Prot#'!$A:$AL,32,FALSE)</f>
        <v>292</v>
      </c>
      <c r="AN284" s="5">
        <f>VLOOKUP($A284,'SegEnds_NonXtal_Prot#'!$A:$AL,35,FALSE)</f>
        <v>323</v>
      </c>
      <c r="AO284" s="5">
        <f>VLOOKUP($A284,'SegEnds_NonXtal_Prot#'!$A:$AL,38,FALSE)</f>
        <v>336</v>
      </c>
      <c r="AP284" s="5">
        <f t="shared" si="113"/>
        <v>31</v>
      </c>
      <c r="AQ284" s="4">
        <f t="shared" si="114"/>
        <v>3</v>
      </c>
      <c r="AR284" s="4">
        <f t="shared" si="115"/>
        <v>29</v>
      </c>
      <c r="AS284" s="4">
        <f t="shared" si="116"/>
        <v>3</v>
      </c>
      <c r="AT284" s="4">
        <f t="shared" si="117"/>
        <v>35</v>
      </c>
      <c r="AU284" s="4">
        <f t="shared" si="118"/>
        <v>7</v>
      </c>
      <c r="AV284" s="4">
        <f t="shared" si="119"/>
        <v>26</v>
      </c>
      <c r="AW284" s="4">
        <f t="shared" si="120"/>
        <v>2</v>
      </c>
      <c r="AX284" s="4">
        <f t="shared" si="121"/>
        <v>45</v>
      </c>
      <c r="AY284" s="4">
        <f t="shared" si="122"/>
        <v>37</v>
      </c>
      <c r="AZ284" s="4">
        <f t="shared" si="123"/>
        <v>25</v>
      </c>
      <c r="BA284" s="4">
        <f t="shared" si="124"/>
        <v>12</v>
      </c>
    </row>
    <row r="285" spans="1:53" x14ac:dyDescent="0.2">
      <c r="A285" s="1" t="str">
        <f>'SegEnds_NonXtal_Prot#'!A274</f>
        <v>tshr_human</v>
      </c>
      <c r="B285" s="1" t="str">
        <f t="shared" si="100"/>
        <v>EDIMGYKFLRIVVWFVSLLALLGNVFVLLILLTSVPRFLMCNLAFADFCMGMYLLLIASVDLYTGPGCNTAGFFTVFASELSVYTLTVITLERWYAITFRLRHACAIMVGGWVCCFLLALLPLVGPLALAYIVFVLTLNIVAFVIVCCCYVKIYITVRNPGDKDTKIAKRMAVLIFTDFICMAPISFYALSAILNVSNSKILLVLFYPLNSCANPFLYAIFTKAFQRDVFILLSKFGICKRQAQ</v>
      </c>
      <c r="C285" s="29" t="str">
        <f>IF(ISERROR(MATCH(A285,'SegEnds_Xtal_Prot#'!B:B, 0)), "NoXtal", "Xtal")</f>
        <v>NoXtal</v>
      </c>
      <c r="D285" s="4" t="str">
        <f>VLOOKUP(A285,Classification!A:D,2,FALSE)</f>
        <v>A</v>
      </c>
      <c r="E285" s="5" t="str">
        <f>VLOOKUP(A285,Seqs!A:B,2,FALSE)</f>
        <v>MRPADLLQLVLLLDLPRDLGGMGCSSPPCECHQEEDFRVTCKDIQRIPSLPPSTQTLKLIETHLRTIPSHAFSNLPNISRIYVSIDVTLQQLESHSFYNLSKVTHIEIRNTRNLTYIDPDALKELPLLKFLGIFNTGLKMFPDLTKVYSTDIFFILEITDNPYMTSIPVNAFQGLCNETLTLKLYNNGFTSVQGYAFNGTKLDAVYLNKNKYLTVIDKDAFGGVYSGPSLLDVSQTSVTALPSKGLEHLKELIARNTWTLKKLPLSLSFLHLTRADLSYPSHCCAFKNQKKIRGILESLMCNESSMQSLRQRKSVNALNSPLHQEYEENLGDSIVGYKEKSKFQDTHNNAHYYVFFEEQEDEIIGFGQELKNPQEETLQAFDSHYDYTICGDSEDMVCTPKSDEFNPCEDIMGYKFLRIVVWFVSLLALLGNVFVLLILLTSHYKLNVPRFLMCNLAFADFCMGMYLLLIASVDLYTHSEYYNHAIDWQTGPGCNTAGFFTVFASELSVYTLTVITLERWYAITFAMRLDRKIRLRHACAIMVGGWVCCFLLALLPLVGISSYAKVSICLPMDTETPLALAYIVFVLTLNIVAFVIVCCCYVKIYITVRNPQYNPGDKDTKIAKRMAVLIFTDFICMAPISFYALSAILNKPLITVSNSKILLVLFYPLNSCANPFLYAIFTKAFQRDVFILLSKFGICKRQAQAYRGQRVPPKNSTDIQVQKVTHDMRQGLHNMEDVYELIENSHLTPKKQGQISEEYMQTVL</v>
      </c>
      <c r="F285" s="5" t="str">
        <f t="shared" si="101"/>
        <v>EDIMGYKFLRIVVWFVSLLALLGNVFVLLILLTS</v>
      </c>
      <c r="G285" s="4" t="str">
        <f t="shared" si="102"/>
        <v>YKLN</v>
      </c>
      <c r="H285" s="4" t="str">
        <f t="shared" si="103"/>
        <v>VPRFLMCNLAFADFCMGMYLLLIASVDLYT</v>
      </c>
      <c r="I285" s="4" t="str">
        <f t="shared" si="104"/>
        <v>DWQT</v>
      </c>
      <c r="J285" s="4" t="str">
        <f t="shared" si="105"/>
        <v>GPGCNTAGFFTVFASELSVYTLTVITLERWYAITF</v>
      </c>
      <c r="K285" s="4" t="str">
        <f t="shared" si="106"/>
        <v>AMRLDRKI</v>
      </c>
      <c r="L285" s="4" t="str">
        <f t="shared" si="107"/>
        <v>RLRHACAIMVGGWVCCFLLALLPLVG</v>
      </c>
      <c r="M285" s="4" t="str">
        <f t="shared" si="108"/>
        <v>CLP</v>
      </c>
      <c r="N285" s="4" t="str">
        <f t="shared" si="109"/>
        <v>PLALAYIVFVLTLNIVAFVIVCCCYVKIYITVRN</v>
      </c>
      <c r="O285" s="4" t="str">
        <f t="shared" si="110"/>
        <v>PGDKDTKIAKRMAVLIFTDFICMAPISFYALSAILN</v>
      </c>
      <c r="P285" s="4" t="str">
        <f t="shared" si="111"/>
        <v>VSNSKILLVLFYPLNSCANPFLYAIF</v>
      </c>
      <c r="Q285" s="4" t="str">
        <f t="shared" si="112"/>
        <v>TKAFQRDVFILLSKFGICKRQAQ</v>
      </c>
      <c r="R285" s="5">
        <f>VLOOKUP($A285,'SegEnds_NonXtal_Prot#'!$A:$AL,3,FALSE)</f>
        <v>409</v>
      </c>
      <c r="S285" s="5">
        <f>VLOOKUP($A285,'SegEnds_NonXtal_Prot#'!$A:$AL,6,FALSE)</f>
        <v>444</v>
      </c>
      <c r="T285" s="5">
        <f>VLOOKUP($A285,'SegEnds_NonXtal_Prot#'!$A:$AL,9,FALSE)</f>
        <v>448</v>
      </c>
      <c r="U285" s="5">
        <f>VLOOKUP($A285,'SegEnds_NonXtal_Prot#'!$A:$AL,12,FALSE)</f>
        <v>487</v>
      </c>
      <c r="V285" s="5">
        <f>VLOOKUP($A285,'SegEnds_NonXtal_Prot#'!$A:$AL,15,FALSE)</f>
        <v>491</v>
      </c>
      <c r="W285" s="5">
        <f>VLOOKUP($A285,'SegEnds_NonXtal_Prot#'!$A:$AL,18,FALSE)</f>
        <v>526</v>
      </c>
      <c r="X285" s="5">
        <f>VLOOKUP($A285,'SegEnds_NonXtal_Prot#'!$A:$AL,21,FALSE)</f>
        <v>534</v>
      </c>
      <c r="Y285" s="5">
        <f>VLOOKUP($A285,'SegEnds_NonXtal_Prot#'!$A:$AL,24,FALSE)</f>
        <v>569</v>
      </c>
      <c r="Z285" s="5">
        <f>VLOOKUP($A285,'SegEnds_NonXtal_Prot#'!$A:$AL,27,FALSE)</f>
        <v>577</v>
      </c>
      <c r="AA285" s="5">
        <f>VLOOKUP($A285,'SegEnds_NonXtal_Prot#'!$A:$AL,30,FALSE)</f>
        <v>615</v>
      </c>
      <c r="AB285" s="5">
        <f>VLOOKUP($A285,'SegEnds_NonXtal_Prot#'!$A:$AL,33,FALSE)</f>
        <v>656</v>
      </c>
      <c r="AC285" s="5">
        <f>VLOOKUP($A285,'SegEnds_NonXtal_Prot#'!$A:$AL,36,FALSE)</f>
        <v>682</v>
      </c>
      <c r="AD285" s="5">
        <f>VLOOKUP($A285,'SegEnds_NonXtal_Prot#'!$A:$AL,5,FALSE)</f>
        <v>442</v>
      </c>
      <c r="AE285" s="5">
        <f>VLOOKUP($A285,'SegEnds_NonXtal_Prot#'!$A:$AL,8,FALSE)</f>
        <v>447</v>
      </c>
      <c r="AF285" s="5">
        <f>VLOOKUP($A285,'SegEnds_NonXtal_Prot#'!$A:$AL,11,FALSE)</f>
        <v>477</v>
      </c>
      <c r="AG285" s="5">
        <f>VLOOKUP($A285,'SegEnds_NonXtal_Prot#'!$A:$AL,14,FALSE)</f>
        <v>490</v>
      </c>
      <c r="AH285" s="5">
        <f>VLOOKUP($A285,'SegEnds_NonXtal_Prot#'!$A:$AL,17,FALSE)</f>
        <v>525</v>
      </c>
      <c r="AI285" s="5">
        <f>VLOOKUP($A285,'SegEnds_NonXtal_Prot#'!$A:$AL,20,FALSE)</f>
        <v>533</v>
      </c>
      <c r="AJ285" s="5">
        <f>VLOOKUP($A285,'SegEnds_NonXtal_Prot#'!$A:$AL,23,FALSE)</f>
        <v>559</v>
      </c>
      <c r="AK285" s="5">
        <f>VLOOKUP($A285,'SegEnds_NonXtal_Prot#'!$A:$AL,26,FALSE)</f>
        <v>571</v>
      </c>
      <c r="AL285" s="5">
        <f>VLOOKUP($A285,'SegEnds_NonXtal_Prot#'!$A:$AL,29,FALSE)</f>
        <v>610</v>
      </c>
      <c r="AM285" s="5">
        <f>VLOOKUP($A285,'SegEnds_NonXtal_Prot#'!$A:$AL,32,FALSE)</f>
        <v>650</v>
      </c>
      <c r="AN285" s="5">
        <f>VLOOKUP($A285,'SegEnds_NonXtal_Prot#'!$A:$AL,35,FALSE)</f>
        <v>681</v>
      </c>
      <c r="AO285" s="5">
        <f>VLOOKUP($A285,'SegEnds_NonXtal_Prot#'!$A:$AL,38,FALSE)</f>
        <v>704</v>
      </c>
      <c r="AP285" s="5">
        <f t="shared" si="113"/>
        <v>33</v>
      </c>
      <c r="AQ285" s="4">
        <f t="shared" si="114"/>
        <v>3</v>
      </c>
      <c r="AR285" s="4">
        <f t="shared" si="115"/>
        <v>29</v>
      </c>
      <c r="AS285" s="4">
        <f t="shared" si="116"/>
        <v>3</v>
      </c>
      <c r="AT285" s="4">
        <f t="shared" si="117"/>
        <v>34</v>
      </c>
      <c r="AU285" s="4">
        <f t="shared" si="118"/>
        <v>7</v>
      </c>
      <c r="AV285" s="4">
        <f t="shared" si="119"/>
        <v>25</v>
      </c>
      <c r="AW285" s="4">
        <f t="shared" si="120"/>
        <v>2</v>
      </c>
      <c r="AX285" s="4">
        <f t="shared" si="121"/>
        <v>33</v>
      </c>
      <c r="AY285" s="4">
        <f t="shared" si="122"/>
        <v>35</v>
      </c>
      <c r="AZ285" s="4">
        <f t="shared" si="123"/>
        <v>25</v>
      </c>
      <c r="BA285" s="4">
        <f t="shared" si="124"/>
        <v>22</v>
      </c>
    </row>
    <row r="286" spans="1:53" x14ac:dyDescent="0.2">
      <c r="A286" s="1" t="str">
        <f>'SegEnds_NonXtal_Prot#'!A275</f>
        <v>v2r_human</v>
      </c>
      <c r="B286" s="1" t="str">
        <f t="shared" si="100"/>
        <v>PLLARAELALLSIVFVAVALSNGLVLAALARRWAPIHVFIGHLCLADLAVALFQVLPQLAWKARGPDALCRAVKYLQMVGMYASSYMILAMTLDRHRAICRSGAHWNRPVLVAWAFSLLLSLPQLFIFPWGRRTYVTWIALMVFVAPTLGIAACQVLIFREIHASLVPGPSERAHVSAAVAKTVRMTLVIVVVYVLCWAPFFLVQLWAAWDEGAPFVLLMLLASLNSCTNPWIYASFSSSVSSELRSLL</v>
      </c>
      <c r="C286" s="29" t="str">
        <f>IF(ISERROR(MATCH(A286,'SegEnds_Xtal_Prot#'!B:B, 0)), "NoXtal", "Xtal")</f>
        <v>NoXtal</v>
      </c>
      <c r="D286" s="4" t="str">
        <f>VLOOKUP(A286,Classification!A:D,2,FALSE)</f>
        <v>A</v>
      </c>
      <c r="E286" s="5" t="str">
        <f>VLOOKUP(A286,Seqs!A:B,2,FALSE)</f>
        <v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</v>
      </c>
      <c r="F286" s="5" t="str">
        <f t="shared" si="101"/>
        <v>PLLARAELALLSIVFVAVALSNGLVLAALARR</v>
      </c>
      <c r="G286" s="4" t="str">
        <f t="shared" si="102"/>
        <v>RRGH</v>
      </c>
      <c r="H286" s="4" t="str">
        <f t="shared" si="103"/>
        <v>WAPIHVFIGHLCLADLAVALFQVLPQLAWKA</v>
      </c>
      <c r="I286" s="4" t="str">
        <f t="shared" si="104"/>
        <v>TDRF</v>
      </c>
      <c r="J286" s="4" t="str">
        <f t="shared" si="105"/>
        <v>RGPDALCRAVKYLQMVGMYASSYMILAMTLDRHRAICR</v>
      </c>
      <c r="K286" s="4" t="str">
        <f t="shared" si="106"/>
        <v>PMLAYRHG</v>
      </c>
      <c r="L286" s="4" t="str">
        <f t="shared" si="107"/>
        <v>SGAHWNRPVLVAWAFSLLLSLPQLFIF</v>
      </c>
      <c r="M286" s="4" t="str">
        <f t="shared" si="108"/>
        <v>CWA</v>
      </c>
      <c r="N286" s="4" t="str">
        <f t="shared" si="109"/>
        <v>PWGRRTYVTWIALMVFVAPTLGIAACQVLIFREIHASLVPGPSER</v>
      </c>
      <c r="O286" s="4" t="str">
        <f t="shared" si="110"/>
        <v>AHVSAAVAKTVRMTLVIVVVYVLCWAPFFLVQLWAAWD</v>
      </c>
      <c r="P286" s="4" t="str">
        <f t="shared" si="111"/>
        <v>EGAPFVLLMLLASLNSCTNPWIYASF</v>
      </c>
      <c r="Q286" s="4" t="str">
        <f t="shared" si="112"/>
        <v>SSSVSSELRSLL</v>
      </c>
      <c r="R286" s="5">
        <f>VLOOKUP($A286,'SegEnds_NonXtal_Prot#'!$A:$AL,3,FALSE)</f>
        <v>34</v>
      </c>
      <c r="S286" s="5">
        <f>VLOOKUP($A286,'SegEnds_NonXtal_Prot#'!$A:$AL,6,FALSE)</f>
        <v>67</v>
      </c>
      <c r="T286" s="5">
        <f>VLOOKUP($A286,'SegEnds_NonXtal_Prot#'!$A:$AL,9,FALSE)</f>
        <v>71</v>
      </c>
      <c r="U286" s="5">
        <f>VLOOKUP($A286,'SegEnds_NonXtal_Prot#'!$A:$AL,12,FALSE)</f>
        <v>102</v>
      </c>
      <c r="V286" s="5">
        <f>VLOOKUP($A286,'SegEnds_NonXtal_Prot#'!$A:$AL,15,FALSE)</f>
        <v>106</v>
      </c>
      <c r="W286" s="5">
        <f>VLOOKUP($A286,'SegEnds_NonXtal_Prot#'!$A:$AL,18,FALSE)</f>
        <v>144</v>
      </c>
      <c r="X286" s="5">
        <f>VLOOKUP($A286,'SegEnds_NonXtal_Prot#'!$A:$AL,21,FALSE)</f>
        <v>152</v>
      </c>
      <c r="Y286" s="5">
        <f>VLOOKUP($A286,'SegEnds_NonXtal_Prot#'!$A:$AL,24,FALSE)</f>
        <v>192</v>
      </c>
      <c r="Z286" s="5">
        <f>VLOOKUP($A286,'SegEnds_NonXtal_Prot#'!$A:$AL,27,FALSE)</f>
        <v>199</v>
      </c>
      <c r="AA286" s="5">
        <f>VLOOKUP($A286,'SegEnds_NonXtal_Prot#'!$A:$AL,30,FALSE)</f>
        <v>260</v>
      </c>
      <c r="AB286" s="5">
        <f>VLOOKUP($A286,'SegEnds_NonXtal_Prot#'!$A:$AL,33,FALSE)</f>
        <v>303</v>
      </c>
      <c r="AC286" s="5">
        <f>VLOOKUP($A286,'SegEnds_NonXtal_Prot#'!$A:$AL,36,FALSE)</f>
        <v>329</v>
      </c>
      <c r="AD286" s="5">
        <f>VLOOKUP($A286,'SegEnds_NonXtal_Prot#'!$A:$AL,5,FALSE)</f>
        <v>65</v>
      </c>
      <c r="AE286" s="5">
        <f>VLOOKUP($A286,'SegEnds_NonXtal_Prot#'!$A:$AL,8,FALSE)</f>
        <v>70</v>
      </c>
      <c r="AF286" s="5">
        <f>VLOOKUP($A286,'SegEnds_NonXtal_Prot#'!$A:$AL,11,FALSE)</f>
        <v>101</v>
      </c>
      <c r="AG286" s="5">
        <f>VLOOKUP($A286,'SegEnds_NonXtal_Prot#'!$A:$AL,14,FALSE)</f>
        <v>105</v>
      </c>
      <c r="AH286" s="5">
        <f>VLOOKUP($A286,'SegEnds_NonXtal_Prot#'!$A:$AL,17,FALSE)</f>
        <v>143</v>
      </c>
      <c r="AI286" s="5">
        <f>VLOOKUP($A286,'SegEnds_NonXtal_Prot#'!$A:$AL,20,FALSE)</f>
        <v>151</v>
      </c>
      <c r="AJ286" s="5">
        <f>VLOOKUP($A286,'SegEnds_NonXtal_Prot#'!$A:$AL,23,FALSE)</f>
        <v>178</v>
      </c>
      <c r="AK286" s="5">
        <f>VLOOKUP($A286,'SegEnds_NonXtal_Prot#'!$A:$AL,26,FALSE)</f>
        <v>194</v>
      </c>
      <c r="AL286" s="5">
        <f>VLOOKUP($A286,'SegEnds_NonXtal_Prot#'!$A:$AL,29,FALSE)</f>
        <v>243</v>
      </c>
      <c r="AM286" s="5">
        <f>VLOOKUP($A286,'SegEnds_NonXtal_Prot#'!$A:$AL,32,FALSE)</f>
        <v>297</v>
      </c>
      <c r="AN286" s="5">
        <f>VLOOKUP($A286,'SegEnds_NonXtal_Prot#'!$A:$AL,35,FALSE)</f>
        <v>328</v>
      </c>
      <c r="AO286" s="5">
        <f>VLOOKUP($A286,'SegEnds_NonXtal_Prot#'!$A:$AL,38,FALSE)</f>
        <v>340</v>
      </c>
      <c r="AP286" s="5">
        <f t="shared" si="113"/>
        <v>31</v>
      </c>
      <c r="AQ286" s="4">
        <f t="shared" si="114"/>
        <v>3</v>
      </c>
      <c r="AR286" s="4">
        <f t="shared" si="115"/>
        <v>30</v>
      </c>
      <c r="AS286" s="4">
        <f t="shared" si="116"/>
        <v>3</v>
      </c>
      <c r="AT286" s="4">
        <f t="shared" si="117"/>
        <v>37</v>
      </c>
      <c r="AU286" s="4">
        <f t="shared" si="118"/>
        <v>7</v>
      </c>
      <c r="AV286" s="4">
        <f t="shared" si="119"/>
        <v>26</v>
      </c>
      <c r="AW286" s="4">
        <f t="shared" si="120"/>
        <v>2</v>
      </c>
      <c r="AX286" s="4">
        <f t="shared" si="121"/>
        <v>44</v>
      </c>
      <c r="AY286" s="4">
        <f t="shared" si="122"/>
        <v>37</v>
      </c>
      <c r="AZ286" s="4">
        <f t="shared" si="123"/>
        <v>25</v>
      </c>
      <c r="BA286" s="4">
        <f t="shared" si="124"/>
        <v>11</v>
      </c>
    </row>
    <row r="287" spans="1:53" x14ac:dyDescent="0.2">
      <c r="A287" s="1" t="str">
        <f>'SegEnds_NonXtal_Prot#'!A277</f>
        <v>ccrl2_human</v>
      </c>
      <c r="B287" s="1" t="str">
        <f t="shared" si="100"/>
        <v>KYDAQALSAQLVPSLCSAVFVIGVLDNLLVVLILVKYRVENIYLLNLAVSNLCFLLTLPFWAHAKILIGLYFVGLYSETFFNCLLTVQRYLVFLHRVPCGIITSVLAWVTAILATLPEFVVYDETFWKHFLTLKMNISVLVLPLFIFTFLYVQMRKTLRFRYSLFKLVFAIMVVFLLMWAPYNIAFFLSTFKEHFDCKSSYNLDKSVHITKLIATTHCCINPLLYAFLDGTFSKYLCRCFH</v>
      </c>
      <c r="C287" s="29" t="str">
        <f>IF(ISERROR(MATCH(A287,'SegEnds_Xtal_Prot#'!B:B, 0)), "NoXtal", "Xtal")</f>
        <v>NoXtal</v>
      </c>
      <c r="D287" s="4" t="str">
        <f>VLOOKUP(A287,Classification!A:D,2,FALSE)</f>
        <v>A</v>
      </c>
      <c r="E287" s="5" t="str">
        <f>VLOOKUP(A287,Seqs!A:B,2,FALSE)</f>
        <v>MANYTLAPEDEYDVLIEGELESDEAEQCDKYDAQALSAQLVPSLCSAVFVIGVLDNLLVVLILVKYKGLKRVENIYLLNLAVSNLCFLLTLPFWAHAGGDPMCKILIGLYFVGLYSETFFNCLLTVQRYLVFLHKGNFFSARRRVPCGIITSVLAWVTAILATLPEFVVYKPQMEDQKYKCAFSRTPFLPADETFWKHFLTLKMNISVLVLPLFIFTFLYVQMRKTLRFREQRYSLFKLVFAIMVVFLLMWAPYNIAFFLSTFKEHFSLSDCKSSYNLDKSVHITKLIATTHCCINPLLYAFLDGTFSKYLCRCFHLRSNTPLQPRGQSAQGTSREEPDHSTEV</v>
      </c>
      <c r="F287" s="5" t="str">
        <f t="shared" si="101"/>
        <v>KYDAQALSAQLVPSLCSAVFVIGVLDNLLVVLILVKY</v>
      </c>
      <c r="G287" s="4" t="str">
        <f t="shared" si="102"/>
        <v>KGLK</v>
      </c>
      <c r="H287" s="4" t="str">
        <f t="shared" si="103"/>
        <v>RVENIYLLNLAVSNLCFLLTLPFWAHA</v>
      </c>
      <c r="I287" s="4" t="str">
        <f t="shared" si="104"/>
        <v/>
      </c>
      <c r="J287" s="4" t="str">
        <f t="shared" si="105"/>
        <v>KILIGLYFVGLYSETFFNCLLTVQRYLVFLH</v>
      </c>
      <c r="K287" s="4" t="str">
        <f t="shared" si="106"/>
        <v>KGNFFSARR</v>
      </c>
      <c r="L287" s="4" t="str">
        <f t="shared" si="107"/>
        <v>RVPCGIITSVLAWVTAILATLPEFVVY</v>
      </c>
      <c r="M287" s="4" t="str">
        <f t="shared" si="108"/>
        <v>CAF</v>
      </c>
      <c r="N287" s="4" t="str">
        <f t="shared" si="109"/>
        <v>DETFWKHFLTLKMNISVLVLPLFIFTFLYVQMRKTLRF</v>
      </c>
      <c r="O287" s="4" t="str">
        <f t="shared" si="110"/>
        <v>RYSLFKLVFAIMVVFLLMWAPYNIAFFLSTFKEHF</v>
      </c>
      <c r="P287" s="4" t="str">
        <f t="shared" si="111"/>
        <v>DCKSSYNLDKSVHITKLIATTHCCINPLLYAFL</v>
      </c>
      <c r="Q287" s="4" t="str">
        <f t="shared" si="112"/>
        <v>DGTFSKYLCRCFH</v>
      </c>
      <c r="R287" s="5">
        <f>VLOOKUP($A287,'SegEnds_NonXtal_Prot#'!$A:$AL,3,FALSE)</f>
        <v>30</v>
      </c>
      <c r="S287" s="5">
        <f>VLOOKUP($A287,'SegEnds_NonXtal_Prot#'!$A:$AL,6,FALSE)</f>
        <v>67</v>
      </c>
      <c r="T287" s="5">
        <f>VLOOKUP($A287,'SegEnds_NonXtal_Prot#'!$A:$AL,9,FALSE)</f>
        <v>71</v>
      </c>
      <c r="U287" s="5" t="str">
        <f>VLOOKUP($A287,'SegEnds_NonXtal_Prot#'!$A:$AL,12,FALSE)</f>
        <v>-</v>
      </c>
      <c r="V287" s="5">
        <f>VLOOKUP($A287,'SegEnds_NonXtal_Prot#'!$A:$AL,15,FALSE)</f>
        <v>104</v>
      </c>
      <c r="W287" s="5">
        <f>VLOOKUP($A287,'SegEnds_NonXtal_Prot#'!$A:$AL,18,FALSE)</f>
        <v>135</v>
      </c>
      <c r="X287" s="5">
        <f>VLOOKUP($A287,'SegEnds_NonXtal_Prot#'!$A:$AL,21,FALSE)</f>
        <v>144</v>
      </c>
      <c r="Y287" s="5">
        <f>VLOOKUP($A287,'SegEnds_NonXtal_Prot#'!$A:$AL,24,FALSE)</f>
        <v>181</v>
      </c>
      <c r="Z287" s="5">
        <f>VLOOKUP($A287,'SegEnds_NonXtal_Prot#'!$A:$AL,27,FALSE)</f>
        <v>192</v>
      </c>
      <c r="AA287" s="5">
        <f>VLOOKUP($A287,'SegEnds_NonXtal_Prot#'!$A:$AL,30,FALSE)</f>
        <v>233</v>
      </c>
      <c r="AB287" s="5">
        <f>VLOOKUP($A287,'SegEnds_NonXtal_Prot#'!$A:$AL,33,FALSE)</f>
        <v>271</v>
      </c>
      <c r="AC287" s="5">
        <f>VLOOKUP($A287,'SegEnds_NonXtal_Prot#'!$A:$AL,36,FALSE)</f>
        <v>304</v>
      </c>
      <c r="AD287" s="5">
        <f>VLOOKUP($A287,'SegEnds_NonXtal_Prot#'!$A:$AL,5,FALSE)</f>
        <v>66</v>
      </c>
      <c r="AE287" s="5">
        <f>VLOOKUP($A287,'SegEnds_NonXtal_Prot#'!$A:$AL,8,FALSE)</f>
        <v>70</v>
      </c>
      <c r="AF287" s="5">
        <f>VLOOKUP($A287,'SegEnds_NonXtal_Prot#'!$A:$AL,11,FALSE)</f>
        <v>97</v>
      </c>
      <c r="AG287" s="5" t="str">
        <f>VLOOKUP($A287,'SegEnds_NonXtal_Prot#'!$A:$AL,14,FALSE)</f>
        <v>-</v>
      </c>
      <c r="AH287" s="5">
        <f>VLOOKUP($A287,'SegEnds_NonXtal_Prot#'!$A:$AL,17,FALSE)</f>
        <v>134</v>
      </c>
      <c r="AI287" s="5">
        <f>VLOOKUP($A287,'SegEnds_NonXtal_Prot#'!$A:$AL,20,FALSE)</f>
        <v>143</v>
      </c>
      <c r="AJ287" s="5">
        <f>VLOOKUP($A287,'SegEnds_NonXtal_Prot#'!$A:$AL,23,FALSE)</f>
        <v>170</v>
      </c>
      <c r="AK287" s="5">
        <f>VLOOKUP($A287,'SegEnds_NonXtal_Prot#'!$A:$AL,26,FALSE)</f>
        <v>183</v>
      </c>
      <c r="AL287" s="5">
        <f>VLOOKUP($A287,'SegEnds_NonXtal_Prot#'!$A:$AL,29,FALSE)</f>
        <v>229</v>
      </c>
      <c r="AM287" s="5">
        <f>VLOOKUP($A287,'SegEnds_NonXtal_Prot#'!$A:$AL,32,FALSE)</f>
        <v>267</v>
      </c>
      <c r="AN287" s="5">
        <f>VLOOKUP($A287,'SegEnds_NonXtal_Prot#'!$A:$AL,35,FALSE)</f>
        <v>303</v>
      </c>
      <c r="AO287" s="5">
        <f>VLOOKUP($A287,'SegEnds_NonXtal_Prot#'!$A:$AL,38,FALSE)</f>
        <v>316</v>
      </c>
      <c r="AP287" s="5">
        <f t="shared" si="113"/>
        <v>36</v>
      </c>
      <c r="AQ287" s="4">
        <f t="shared" si="114"/>
        <v>3</v>
      </c>
      <c r="AR287" s="4">
        <f t="shared" si="115"/>
        <v>26</v>
      </c>
      <c r="AS287" s="4" t="str">
        <f t="shared" si="116"/>
        <v>-</v>
      </c>
      <c r="AT287" s="4">
        <f t="shared" si="117"/>
        <v>30</v>
      </c>
      <c r="AU287" s="4">
        <f t="shared" si="118"/>
        <v>8</v>
      </c>
      <c r="AV287" s="4">
        <f t="shared" si="119"/>
        <v>26</v>
      </c>
      <c r="AW287" s="4">
        <f t="shared" si="120"/>
        <v>2</v>
      </c>
      <c r="AX287" s="4">
        <f t="shared" si="121"/>
        <v>37</v>
      </c>
      <c r="AY287" s="4">
        <f t="shared" si="122"/>
        <v>34</v>
      </c>
      <c r="AZ287" s="4">
        <f t="shared" si="123"/>
        <v>32</v>
      </c>
      <c r="BA287" s="4">
        <f t="shared" si="124"/>
        <v>12</v>
      </c>
    </row>
    <row r="288" spans="1:53" x14ac:dyDescent="0.2">
      <c r="A288" s="1" t="str">
        <f>'SegEnds_NonXtal_Prot#'!A278</f>
        <v>drd2_human</v>
      </c>
      <c r="B288" s="1" t="str">
        <f t="shared" si="100"/>
        <v>RPHYNYYATLLTLLIAVIVFGNVLVCMAVSRETTTNYLIVSLAVADLLVATLVMPWVVYLEVVSRIHCDIFVTLDVMMCTASILNLCAISIDRYTAVAMSKRRVTVMISIVWVLSFTISCPLLFGNPAFVVYSSIVSFYVPFIVTLLVYIKIYIVLRRRRKRVNTKKLSQQKEKKATQMLAIVLGVFIICWLPFFITHILNIHCPPVLYSAFTWLGYVNSAVNPIIYTTFNIEFRKAFLKILH</v>
      </c>
      <c r="C288" s="29" t="str">
        <f>IF(ISERROR(MATCH(A288,'SegEnds_Xtal_Prot#'!B:B, 0)), "NoXtal", "Xtal")</f>
        <v>NoXtal</v>
      </c>
      <c r="D288" s="4" t="str">
        <f>VLOOKUP(A288,Classification!A:D,2,FALSE)</f>
        <v>A</v>
      </c>
      <c r="E288" s="5" t="str">
        <f>VLOOKUP(A288,Seqs!A:B,2,FALSE)</f>
        <v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v>
      </c>
      <c r="F288" s="5" t="str">
        <f t="shared" si="101"/>
        <v>RPHYNYYATLLTLLIAVIVFGNVLVCMAVSRE</v>
      </c>
      <c r="G288" s="4" t="str">
        <f t="shared" si="102"/>
        <v>KALQ</v>
      </c>
      <c r="H288" s="4" t="str">
        <f t="shared" si="103"/>
        <v>TTTNYLIVSLAVADLLVATLVMPWVVYLEVV</v>
      </c>
      <c r="I288" s="4" t="str">
        <f t="shared" si="104"/>
        <v>EWKF</v>
      </c>
      <c r="J288" s="4" t="str">
        <f t="shared" si="105"/>
        <v>SRIHCDIFVTLDVMMCTASILNLCAISIDRYTAVAM</v>
      </c>
      <c r="K288" s="4" t="str">
        <f t="shared" si="106"/>
        <v>PMLYNTRYS</v>
      </c>
      <c r="L288" s="4" t="str">
        <f t="shared" si="107"/>
        <v>SKRRVTVMISIVWVLSFTISCPLLFG</v>
      </c>
      <c r="M288" s="4" t="str">
        <f t="shared" si="108"/>
        <v>CII</v>
      </c>
      <c r="N288" s="4" t="str">
        <f t="shared" si="109"/>
        <v>NPAFVVYSSIVSFYVPFIVTLLVYIKIYIVLRRRRKRVNTK</v>
      </c>
      <c r="O288" s="4" t="str">
        <f t="shared" si="110"/>
        <v>KLSQQKEKKATQMLAIVLGVFIICWLPFFITHILNIHC</v>
      </c>
      <c r="P288" s="4" t="str">
        <f t="shared" si="111"/>
        <v>PPVLYSAFTWLGYVNSAVNPIIYTTF</v>
      </c>
      <c r="Q288" s="4" t="str">
        <f t="shared" si="112"/>
        <v>NIEFRKAFLKILH</v>
      </c>
      <c r="R288" s="5">
        <f>VLOOKUP($A288,'SegEnds_NonXtal_Prot#'!$A:$AL,3,FALSE)</f>
        <v>31</v>
      </c>
      <c r="S288" s="5">
        <f>VLOOKUP($A288,'SegEnds_NonXtal_Prot#'!$A:$AL,6,FALSE)</f>
        <v>63</v>
      </c>
      <c r="T288" s="5">
        <f>VLOOKUP($A288,'SegEnds_NonXtal_Prot#'!$A:$AL,9,FALSE)</f>
        <v>67</v>
      </c>
      <c r="U288" s="5">
        <f>VLOOKUP($A288,'SegEnds_NonXtal_Prot#'!$A:$AL,12,FALSE)</f>
        <v>99</v>
      </c>
      <c r="V288" s="5">
        <f>VLOOKUP($A288,'SegEnds_NonXtal_Prot#'!$A:$AL,15,FALSE)</f>
        <v>103</v>
      </c>
      <c r="W288" s="5">
        <f>VLOOKUP($A288,'SegEnds_NonXtal_Prot#'!$A:$AL,18,FALSE)</f>
        <v>139</v>
      </c>
      <c r="X288" s="5">
        <f>VLOOKUP($A288,'SegEnds_NonXtal_Prot#'!$A:$AL,21,FALSE)</f>
        <v>148</v>
      </c>
      <c r="Y288" s="5">
        <f>VLOOKUP($A288,'SegEnds_NonXtal_Prot#'!$A:$AL,24,FALSE)</f>
        <v>182</v>
      </c>
      <c r="Z288" s="5">
        <f>VLOOKUP($A288,'SegEnds_NonXtal_Prot#'!$A:$AL,27,FALSE)</f>
        <v>186</v>
      </c>
      <c r="AA288" s="5">
        <f>VLOOKUP($A288,'SegEnds_NonXtal_Prot#'!$A:$AL,30,FALSE)</f>
        <v>362</v>
      </c>
      <c r="AB288" s="5">
        <f>VLOOKUP($A288,'SegEnds_NonXtal_Prot#'!$A:$AL,33,FALSE)</f>
        <v>404</v>
      </c>
      <c r="AC288" s="5">
        <f>VLOOKUP($A288,'SegEnds_NonXtal_Prot#'!$A:$AL,36,FALSE)</f>
        <v>430</v>
      </c>
      <c r="AD288" s="5">
        <f>VLOOKUP($A288,'SegEnds_NonXtal_Prot#'!$A:$AL,5,FALSE)</f>
        <v>62</v>
      </c>
      <c r="AE288" s="5">
        <f>VLOOKUP($A288,'SegEnds_NonXtal_Prot#'!$A:$AL,8,FALSE)</f>
        <v>66</v>
      </c>
      <c r="AF288" s="5">
        <f>VLOOKUP($A288,'SegEnds_NonXtal_Prot#'!$A:$AL,11,FALSE)</f>
        <v>97</v>
      </c>
      <c r="AG288" s="5">
        <f>VLOOKUP($A288,'SegEnds_NonXtal_Prot#'!$A:$AL,14,FALSE)</f>
        <v>102</v>
      </c>
      <c r="AH288" s="5">
        <f>VLOOKUP($A288,'SegEnds_NonXtal_Prot#'!$A:$AL,17,FALSE)</f>
        <v>138</v>
      </c>
      <c r="AI288" s="5">
        <f>VLOOKUP($A288,'SegEnds_NonXtal_Prot#'!$A:$AL,20,FALSE)</f>
        <v>147</v>
      </c>
      <c r="AJ288" s="5">
        <f>VLOOKUP($A288,'SegEnds_NonXtal_Prot#'!$A:$AL,23,FALSE)</f>
        <v>173</v>
      </c>
      <c r="AK288" s="5">
        <f>VLOOKUP($A288,'SegEnds_NonXtal_Prot#'!$A:$AL,26,FALSE)</f>
        <v>184</v>
      </c>
      <c r="AL288" s="5">
        <f>VLOOKUP($A288,'SegEnds_NonXtal_Prot#'!$A:$AL,29,FALSE)</f>
        <v>226</v>
      </c>
      <c r="AM288" s="5">
        <f>VLOOKUP($A288,'SegEnds_NonXtal_Prot#'!$A:$AL,32,FALSE)</f>
        <v>399</v>
      </c>
      <c r="AN288" s="5">
        <f>VLOOKUP($A288,'SegEnds_NonXtal_Prot#'!$A:$AL,35,FALSE)</f>
        <v>429</v>
      </c>
      <c r="AO288" s="5">
        <f>VLOOKUP($A288,'SegEnds_NonXtal_Prot#'!$A:$AL,38,FALSE)</f>
        <v>442</v>
      </c>
      <c r="AP288" s="5">
        <f t="shared" si="113"/>
        <v>31</v>
      </c>
      <c r="AQ288" s="4">
        <f t="shared" si="114"/>
        <v>3</v>
      </c>
      <c r="AR288" s="4">
        <f t="shared" si="115"/>
        <v>30</v>
      </c>
      <c r="AS288" s="4">
        <f t="shared" si="116"/>
        <v>3</v>
      </c>
      <c r="AT288" s="4">
        <f t="shared" si="117"/>
        <v>35</v>
      </c>
      <c r="AU288" s="4">
        <f t="shared" si="118"/>
        <v>8</v>
      </c>
      <c r="AV288" s="4">
        <f t="shared" si="119"/>
        <v>25</v>
      </c>
      <c r="AW288" s="4">
        <f t="shared" si="120"/>
        <v>2</v>
      </c>
      <c r="AX288" s="4">
        <f t="shared" si="121"/>
        <v>40</v>
      </c>
      <c r="AY288" s="4">
        <f t="shared" si="122"/>
        <v>37</v>
      </c>
      <c r="AZ288" s="4">
        <f t="shared" si="123"/>
        <v>25</v>
      </c>
      <c r="BA288" s="4">
        <f t="shared" si="124"/>
        <v>12</v>
      </c>
    </row>
    <row r="289" spans="1:53" x14ac:dyDescent="0.2">
      <c r="A289" s="1" t="str">
        <f>'SegEnds_NonXtal_Prot#'!A279</f>
        <v>gpr27_human</v>
      </c>
      <c r="B289" s="1" t="str">
        <f t="shared" si="100"/>
        <v>LGLKLATLSLLLCVSLAGNVLFALLIVRERAPYYLLLDLCLADGLRALACLPAVMLAARRAPPGALGCKLLAFLAALFCFHAAFLLLGVGVTRYLAIAHGWPCAAMLVCAAWALALAAAFPPVLDGEQRPDGAPGALGFLLLLAVVVGATHLVYLRLLFFIHDRRKMRLEEFKTEKRLCKMFYAVTLLFLLLWGPYVVASYLRVLVPQAYLTASVWLTFAQAGINPVVCFLFNRELRDCFRAQF</v>
      </c>
      <c r="C289" s="29" t="str">
        <f>IF(ISERROR(MATCH(A289,'SegEnds_Xtal_Prot#'!B:B, 0)), "NoXtal", "Xtal")</f>
        <v>NoXtal</v>
      </c>
      <c r="D289" s="4" t="str">
        <f>VLOOKUP(A289,Classification!A:D,2,FALSE)</f>
        <v>A</v>
      </c>
      <c r="E289" s="5" t="str">
        <f>VLOOKUP(A289,Seqs!A:B,2,FALSE)</f>
        <v>MANASEPGGSGGGEAAALGLKLATLSLLLCVSLAGNVLFALLIVRERSLHRAPYYLLLDLCLADGLRALACLPAVMLAARRAAAAAGAPPGALGCKLLAFLAALFCFHAAFLLLGVGVTRYLAIAHHRFYAERLAGWPCAAMLVCAAWALALAAAFPPVLDGGGDDEDAPCALEQRPDGAPGALGFLLLLAVVVGATHLVYLRLLFFIHDRRKMRPARLVPAVSHDWTFHGPGATGQAAANWTAGFGRGPTPPALVGIRPAGPGRGARRLLVLEEFKTEKRLCKMFYAVTLLFLLLWGPYVVASYLRVLVRPGAVPQAYLTASVWLTFAQAGINPVVCFLFNRELRDCFRAQFPCCQSPRTTQATHPCDLKGIGL</v>
      </c>
      <c r="F289" s="5" t="str">
        <f t="shared" si="101"/>
        <v>LGLKLATLSLLLCVSLAGNVLFALLIVRE</v>
      </c>
      <c r="G289" s="4" t="str">
        <f t="shared" si="102"/>
        <v>RSLH</v>
      </c>
      <c r="H289" s="4" t="str">
        <f t="shared" si="103"/>
        <v>RAPYYLLLDLCLADGLRALACLPAVMLAARR</v>
      </c>
      <c r="I289" s="4" t="str">
        <f t="shared" si="104"/>
        <v/>
      </c>
      <c r="J289" s="4" t="str">
        <f t="shared" si="105"/>
        <v>APPGALGCKLLAFLAALFCFHAAFLLLGVGVTRYLAIAH</v>
      </c>
      <c r="K289" s="4" t="str">
        <f t="shared" si="106"/>
        <v>HRFYAERLA</v>
      </c>
      <c r="L289" s="4" t="str">
        <f t="shared" si="107"/>
        <v>GWPCAAMLVCAAWALALAAAFPPVLDG</v>
      </c>
      <c r="M289" s="4" t="str">
        <f t="shared" si="108"/>
        <v>CAL</v>
      </c>
      <c r="N289" s="4" t="str">
        <f t="shared" si="109"/>
        <v>EQRPDGAPGALGFLLLLAVVVGATHLVYLRLLFFIHDRRKMR</v>
      </c>
      <c r="O289" s="4" t="str">
        <f t="shared" si="110"/>
        <v>LEEFKTEKRLCKMFYAVTLLFLLLWGPYVVASYLRVLV</v>
      </c>
      <c r="P289" s="4" t="str">
        <f t="shared" si="111"/>
        <v>PQAYLTASVWLTFAQAGINPVVCFLF</v>
      </c>
      <c r="Q289" s="4" t="str">
        <f t="shared" si="112"/>
        <v>NRELRDCFRAQF</v>
      </c>
      <c r="R289" s="5">
        <f>VLOOKUP($A289,'SegEnds_NonXtal_Prot#'!$A:$AL,3,FALSE)</f>
        <v>18</v>
      </c>
      <c r="S289" s="5">
        <f>VLOOKUP($A289,'SegEnds_NonXtal_Prot#'!$A:$AL,6,FALSE)</f>
        <v>47</v>
      </c>
      <c r="T289" s="5">
        <f>VLOOKUP($A289,'SegEnds_NonXtal_Prot#'!$A:$AL,9,FALSE)</f>
        <v>51</v>
      </c>
      <c r="U289" s="5" t="str">
        <f>VLOOKUP($A289,'SegEnds_NonXtal_Prot#'!$A:$AL,12,FALSE)</f>
        <v>-</v>
      </c>
      <c r="V289" s="5">
        <f>VLOOKUP($A289,'SegEnds_NonXtal_Prot#'!$A:$AL,15,FALSE)</f>
        <v>88</v>
      </c>
      <c r="W289" s="5">
        <f>VLOOKUP($A289,'SegEnds_NonXtal_Prot#'!$A:$AL,18,FALSE)</f>
        <v>127</v>
      </c>
      <c r="X289" s="5">
        <f>VLOOKUP($A289,'SegEnds_NonXtal_Prot#'!$A:$AL,21,FALSE)</f>
        <v>136</v>
      </c>
      <c r="Y289" s="5">
        <f>VLOOKUP($A289,'SegEnds_NonXtal_Prot#'!$A:$AL,24,FALSE)</f>
        <v>171</v>
      </c>
      <c r="Z289" s="5">
        <f>VLOOKUP($A289,'SegEnds_NonXtal_Prot#'!$A:$AL,27,FALSE)</f>
        <v>174</v>
      </c>
      <c r="AA289" s="5">
        <f>VLOOKUP($A289,'SegEnds_NonXtal_Prot#'!$A:$AL,30,FALSE)</f>
        <v>273</v>
      </c>
      <c r="AB289" s="5">
        <f>VLOOKUP($A289,'SegEnds_NonXtal_Prot#'!$A:$AL,33,FALSE)</f>
        <v>316</v>
      </c>
      <c r="AC289" s="5">
        <f>VLOOKUP($A289,'SegEnds_NonXtal_Prot#'!$A:$AL,36,FALSE)</f>
        <v>342</v>
      </c>
      <c r="AD289" s="5">
        <f>VLOOKUP($A289,'SegEnds_NonXtal_Prot#'!$A:$AL,5,FALSE)</f>
        <v>46</v>
      </c>
      <c r="AE289" s="5">
        <f>VLOOKUP($A289,'SegEnds_NonXtal_Prot#'!$A:$AL,8,FALSE)</f>
        <v>50</v>
      </c>
      <c r="AF289" s="5">
        <f>VLOOKUP($A289,'SegEnds_NonXtal_Prot#'!$A:$AL,11,FALSE)</f>
        <v>81</v>
      </c>
      <c r="AG289" s="5" t="str">
        <f>VLOOKUP($A289,'SegEnds_NonXtal_Prot#'!$A:$AL,14,FALSE)</f>
        <v>-</v>
      </c>
      <c r="AH289" s="5">
        <f>VLOOKUP($A289,'SegEnds_NonXtal_Prot#'!$A:$AL,17,FALSE)</f>
        <v>126</v>
      </c>
      <c r="AI289" s="5">
        <f>VLOOKUP($A289,'SegEnds_NonXtal_Prot#'!$A:$AL,20,FALSE)</f>
        <v>135</v>
      </c>
      <c r="AJ289" s="5">
        <f>VLOOKUP($A289,'SegEnds_NonXtal_Prot#'!$A:$AL,23,FALSE)</f>
        <v>162</v>
      </c>
      <c r="AK289" s="5">
        <f>VLOOKUP($A289,'SegEnds_NonXtal_Prot#'!$A:$AL,26,FALSE)</f>
        <v>173</v>
      </c>
      <c r="AL289" s="5">
        <f>VLOOKUP($A289,'SegEnds_NonXtal_Prot#'!$A:$AL,29,FALSE)</f>
        <v>215</v>
      </c>
      <c r="AM289" s="5">
        <f>VLOOKUP($A289,'SegEnds_NonXtal_Prot#'!$A:$AL,32,FALSE)</f>
        <v>310</v>
      </c>
      <c r="AN289" s="5">
        <f>VLOOKUP($A289,'SegEnds_NonXtal_Prot#'!$A:$AL,35,FALSE)</f>
        <v>341</v>
      </c>
      <c r="AO289" s="5">
        <f>VLOOKUP($A289,'SegEnds_NonXtal_Prot#'!$A:$AL,38,FALSE)</f>
        <v>353</v>
      </c>
      <c r="AP289" s="5">
        <f t="shared" si="113"/>
        <v>28</v>
      </c>
      <c r="AQ289" s="4">
        <f t="shared" si="114"/>
        <v>3</v>
      </c>
      <c r="AR289" s="4">
        <f t="shared" si="115"/>
        <v>30</v>
      </c>
      <c r="AS289" s="4" t="str">
        <f t="shared" si="116"/>
        <v>-</v>
      </c>
      <c r="AT289" s="4">
        <f t="shared" si="117"/>
        <v>38</v>
      </c>
      <c r="AU289" s="4">
        <f t="shared" si="118"/>
        <v>8</v>
      </c>
      <c r="AV289" s="4">
        <f t="shared" si="119"/>
        <v>26</v>
      </c>
      <c r="AW289" s="4">
        <f t="shared" si="120"/>
        <v>2</v>
      </c>
      <c r="AX289" s="4">
        <f t="shared" si="121"/>
        <v>41</v>
      </c>
      <c r="AY289" s="4">
        <f t="shared" si="122"/>
        <v>37</v>
      </c>
      <c r="AZ289" s="4">
        <f t="shared" si="123"/>
        <v>25</v>
      </c>
      <c r="BA289" s="4">
        <f t="shared" si="124"/>
        <v>11</v>
      </c>
    </row>
    <row r="290" spans="1:53" x14ac:dyDescent="0.2">
      <c r="A290" s="1" t="str">
        <f>'SegEnds_NonXtal_Prot#'!A280</f>
        <v>hrh3_human</v>
      </c>
      <c r="B290" s="1" t="str">
        <f t="shared" si="100"/>
        <v>VLAALMALLIVATVLGNALVMLAFVADTQNNFFLLNLAISDFLVGAFCIPLYVPYVLTGRGLCKLWLVVDYLLCTSSAFNIVLISYDRFLSVTRDTRRAVRKMLLVWVLAFLLYGPAILSNWYFLITASTLEFFTPFLSVTFFNLSIYLNIQRRTRLRLDGRFRLSRDRKVAKSLAVIVSIFGLCWAPYTLLMIIRAACPDYWYETSFWLLWANSAVNPVLYPLCHHSFRRAFTKLLC</v>
      </c>
      <c r="C290" s="29" t="str">
        <f>IF(ISERROR(MATCH(A290,'SegEnds_Xtal_Prot#'!B:B, 0)), "NoXtal", "Xtal")</f>
        <v>NoXtal</v>
      </c>
      <c r="D290" s="4" t="str">
        <f>VLOOKUP(A290,Classification!A:D,2,FALSE)</f>
        <v>A</v>
      </c>
      <c r="E290" s="5" t="str">
        <f>VLOOKUP(A290,Seqs!A:B,2,FALSE)</f>
        <v>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SLEHCWK</v>
      </c>
      <c r="F290" s="5" t="str">
        <f t="shared" si="101"/>
        <v>VLAALMALLIVATVLGNALVMLAFVAD</v>
      </c>
      <c r="G290" s="4" t="str">
        <f t="shared" si="102"/>
        <v>SSLR</v>
      </c>
      <c r="H290" s="4" t="str">
        <f t="shared" si="103"/>
        <v>TQNNFFLLNLAISDFLVGAFCIPLYVPYVLT</v>
      </c>
      <c r="I290" s="4" t="str">
        <f t="shared" si="104"/>
        <v>RWTF</v>
      </c>
      <c r="J290" s="4" t="str">
        <f t="shared" si="105"/>
        <v>GRGLCKLWLVVDYLLCTSSAFNIVLISYDRFLSVTR</v>
      </c>
      <c r="K290" s="4" t="str">
        <f t="shared" si="106"/>
        <v>AVSYRAQQG</v>
      </c>
      <c r="L290" s="4" t="str">
        <f t="shared" si="107"/>
        <v>DTRRAVRKMLLVWVLAFLLYGPAILS</v>
      </c>
      <c r="M290" s="4" t="str">
        <f t="shared" si="108"/>
        <v>CYA</v>
      </c>
      <c r="N290" s="4" t="str">
        <f t="shared" si="109"/>
        <v>NWYFLITASTLEFFTPFLSVTFFNLSIYLNIQRRTRLRLDG</v>
      </c>
      <c r="O290" s="4" t="str">
        <f t="shared" si="110"/>
        <v>RFRLSRDRKVAKSLAVIVSIFGLCWAPYTLLMIIRAAC</v>
      </c>
      <c r="P290" s="4" t="str">
        <f t="shared" si="111"/>
        <v>PDYWYETSFWLLWANSAVNPVLYPLC</v>
      </c>
      <c r="Q290" s="4" t="str">
        <f t="shared" si="112"/>
        <v>HHSFRRAFTKLLC</v>
      </c>
      <c r="R290" s="5">
        <f>VLOOKUP($A290,'SegEnds_NonXtal_Prot#'!$A:$AL,3,FALSE)</f>
        <v>36</v>
      </c>
      <c r="S290" s="5">
        <f>VLOOKUP($A290,'SegEnds_NonXtal_Prot#'!$A:$AL,6,FALSE)</f>
        <v>63</v>
      </c>
      <c r="T290" s="5">
        <f>VLOOKUP($A290,'SegEnds_NonXtal_Prot#'!$A:$AL,9,FALSE)</f>
        <v>67</v>
      </c>
      <c r="U290" s="5">
        <f>VLOOKUP($A290,'SegEnds_NonXtal_Prot#'!$A:$AL,12,FALSE)</f>
        <v>99</v>
      </c>
      <c r="V290" s="5">
        <f>VLOOKUP($A290,'SegEnds_NonXtal_Prot#'!$A:$AL,15,FALSE)</f>
        <v>103</v>
      </c>
      <c r="W290" s="5">
        <f>VLOOKUP($A290,'SegEnds_NonXtal_Prot#'!$A:$AL,18,FALSE)</f>
        <v>139</v>
      </c>
      <c r="X290" s="5">
        <f>VLOOKUP($A290,'SegEnds_NonXtal_Prot#'!$A:$AL,21,FALSE)</f>
        <v>148</v>
      </c>
      <c r="Y290" s="5">
        <f>VLOOKUP($A290,'SegEnds_NonXtal_Prot#'!$A:$AL,24,FALSE)</f>
        <v>188</v>
      </c>
      <c r="Z290" s="5">
        <f>VLOOKUP($A290,'SegEnds_NonXtal_Prot#'!$A:$AL,27,FALSE)</f>
        <v>195</v>
      </c>
      <c r="AA290" s="5">
        <f>VLOOKUP($A290,'SegEnds_NonXtal_Prot#'!$A:$AL,30,FALSE)</f>
        <v>347</v>
      </c>
      <c r="AB290" s="5">
        <f>VLOOKUP($A290,'SegEnds_NonXtal_Prot#'!$A:$AL,33,FALSE)</f>
        <v>390</v>
      </c>
      <c r="AC290" s="5">
        <f>VLOOKUP($A290,'SegEnds_NonXtal_Prot#'!$A:$AL,36,FALSE)</f>
        <v>416</v>
      </c>
      <c r="AD290" s="5">
        <f>VLOOKUP($A290,'SegEnds_NonXtal_Prot#'!$A:$AL,5,FALSE)</f>
        <v>62</v>
      </c>
      <c r="AE290" s="5">
        <f>VLOOKUP($A290,'SegEnds_NonXtal_Prot#'!$A:$AL,8,FALSE)</f>
        <v>66</v>
      </c>
      <c r="AF290" s="5">
        <f>VLOOKUP($A290,'SegEnds_NonXtal_Prot#'!$A:$AL,11,FALSE)</f>
        <v>97</v>
      </c>
      <c r="AG290" s="5">
        <f>VLOOKUP($A290,'SegEnds_NonXtal_Prot#'!$A:$AL,14,FALSE)</f>
        <v>102</v>
      </c>
      <c r="AH290" s="5">
        <f>VLOOKUP($A290,'SegEnds_NonXtal_Prot#'!$A:$AL,17,FALSE)</f>
        <v>138</v>
      </c>
      <c r="AI290" s="5">
        <f>VLOOKUP($A290,'SegEnds_NonXtal_Prot#'!$A:$AL,20,FALSE)</f>
        <v>147</v>
      </c>
      <c r="AJ290" s="5">
        <f>VLOOKUP($A290,'SegEnds_NonXtal_Prot#'!$A:$AL,23,FALSE)</f>
        <v>173</v>
      </c>
      <c r="AK290" s="5">
        <f>VLOOKUP($A290,'SegEnds_NonXtal_Prot#'!$A:$AL,26,FALSE)</f>
        <v>190</v>
      </c>
      <c r="AL290" s="5">
        <f>VLOOKUP($A290,'SegEnds_NonXtal_Prot#'!$A:$AL,29,FALSE)</f>
        <v>235</v>
      </c>
      <c r="AM290" s="5">
        <f>VLOOKUP($A290,'SegEnds_NonXtal_Prot#'!$A:$AL,32,FALSE)</f>
        <v>384</v>
      </c>
      <c r="AN290" s="5">
        <f>VLOOKUP($A290,'SegEnds_NonXtal_Prot#'!$A:$AL,35,FALSE)</f>
        <v>415</v>
      </c>
      <c r="AO290" s="5">
        <f>VLOOKUP($A290,'SegEnds_NonXtal_Prot#'!$A:$AL,38,FALSE)</f>
        <v>428</v>
      </c>
      <c r="AP290" s="5">
        <f t="shared" si="113"/>
        <v>26</v>
      </c>
      <c r="AQ290" s="4">
        <f t="shared" si="114"/>
        <v>3</v>
      </c>
      <c r="AR290" s="4">
        <f t="shared" si="115"/>
        <v>30</v>
      </c>
      <c r="AS290" s="4">
        <f t="shared" si="116"/>
        <v>3</v>
      </c>
      <c r="AT290" s="4">
        <f t="shared" si="117"/>
        <v>35</v>
      </c>
      <c r="AU290" s="4">
        <f t="shared" si="118"/>
        <v>8</v>
      </c>
      <c r="AV290" s="4">
        <f t="shared" si="119"/>
        <v>25</v>
      </c>
      <c r="AW290" s="4">
        <f t="shared" si="120"/>
        <v>2</v>
      </c>
      <c r="AX290" s="4">
        <f t="shared" si="121"/>
        <v>40</v>
      </c>
      <c r="AY290" s="4">
        <f t="shared" si="122"/>
        <v>37</v>
      </c>
      <c r="AZ290" s="4">
        <f t="shared" si="123"/>
        <v>25</v>
      </c>
      <c r="BA290" s="4">
        <f t="shared" si="124"/>
        <v>12</v>
      </c>
    </row>
    <row r="291" spans="1:53" x14ac:dyDescent="0.2">
      <c r="A291" s="1" t="str">
        <f>'SegEnds_NonXtal_Prot#'!A281</f>
        <v>hrh4_human</v>
      </c>
      <c r="B291" s="1" t="str">
        <f t="shared" si="100"/>
        <v>LSTRVTLAFFMSLVAFAIMLGNALVILAFVVDHRSSYFFLNLAISDFFVGVISIPLYIPHTLGKEICVFWLTTDYLLCTASVYNIVLISYDRYLSVSNGVLKIVTLMVAVWVLAFLVNGPMILVEWYILAITSFLEFVIPVILVAYFNMNIYWSLWKRDHLSRCQSHVELLRARRLAKSLAILLGVFAVCWAPYSLFTIVLSFYKSVWYRIAFWLQWFNSFVNPLLYPLCHKRFQKAFLKIF</v>
      </c>
      <c r="C291" s="29" t="str">
        <f>IF(ISERROR(MATCH(A291,'SegEnds_Xtal_Prot#'!B:B, 0)), "NoXtal", "Xtal")</f>
        <v>NoXtal</v>
      </c>
      <c r="D291" s="4" t="str">
        <f>VLOOKUP(A291,Classification!A:D,2,FALSE)</f>
        <v>A</v>
      </c>
      <c r="E291" s="5" t="str">
        <f>VLOOKUP(A291,Seqs!A:B,2,FALSE)</f>
        <v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</v>
      </c>
      <c r="F291" s="5" t="str">
        <f t="shared" si="101"/>
        <v>LSTRVTLAFFMSLVAFAIMLGNALVILAFVVD</v>
      </c>
      <c r="G291" s="4" t="str">
        <f t="shared" si="102"/>
        <v>KNLR</v>
      </c>
      <c r="H291" s="4" t="str">
        <f t="shared" si="103"/>
        <v>HRSSYFFLNLAISDFFVGVISIPLYIPHTL</v>
      </c>
      <c r="I291" s="4" t="str">
        <f t="shared" si="104"/>
        <v>EWDF</v>
      </c>
      <c r="J291" s="4" t="str">
        <f t="shared" si="105"/>
        <v>GKEICVFWLTTDYLLCTASVYNIVLISYDRYLSVSN</v>
      </c>
      <c r="K291" s="4" t="str">
        <f t="shared" si="106"/>
        <v>AVSYRTQHT</v>
      </c>
      <c r="L291" s="4" t="str">
        <f t="shared" si="107"/>
        <v>GVLKIVTLMVAVWVLAFLVNGPMILV</v>
      </c>
      <c r="M291" s="4" t="str">
        <f t="shared" si="108"/>
        <v>CEP</v>
      </c>
      <c r="N291" s="4" t="str">
        <f t="shared" si="109"/>
        <v>EWYILAITSFLEFVIPVILVAYFNMNIYWSLWKRDHLSRCQS</v>
      </c>
      <c r="O291" s="4" t="str">
        <f t="shared" si="110"/>
        <v>HVELLRARRLAKSLAILLGVFAVCWAPYSLFTIVLSFY</v>
      </c>
      <c r="P291" s="4" t="str">
        <f t="shared" si="111"/>
        <v>KSVWYRIAFWLQWFNSFVNPLLYPLC</v>
      </c>
      <c r="Q291" s="4" t="str">
        <f t="shared" si="112"/>
        <v>HKRFQKAFLKIF</v>
      </c>
      <c r="R291" s="5">
        <f>VLOOKUP($A291,'SegEnds_NonXtal_Prot#'!$A:$AL,3,FALSE)</f>
        <v>12</v>
      </c>
      <c r="S291" s="5">
        <f>VLOOKUP($A291,'SegEnds_NonXtal_Prot#'!$A:$AL,6,FALSE)</f>
        <v>44</v>
      </c>
      <c r="T291" s="5">
        <f>VLOOKUP($A291,'SegEnds_NonXtal_Prot#'!$A:$AL,9,FALSE)</f>
        <v>48</v>
      </c>
      <c r="U291" s="5">
        <f>VLOOKUP($A291,'SegEnds_NonXtal_Prot#'!$A:$AL,12,FALSE)</f>
        <v>79</v>
      </c>
      <c r="V291" s="5">
        <f>VLOOKUP($A291,'SegEnds_NonXtal_Prot#'!$A:$AL,15,FALSE)</f>
        <v>83</v>
      </c>
      <c r="W291" s="5">
        <f>VLOOKUP($A291,'SegEnds_NonXtal_Prot#'!$A:$AL,18,FALSE)</f>
        <v>119</v>
      </c>
      <c r="X291" s="5">
        <f>VLOOKUP($A291,'SegEnds_NonXtal_Prot#'!$A:$AL,21,FALSE)</f>
        <v>128</v>
      </c>
      <c r="Y291" s="5">
        <f>VLOOKUP($A291,'SegEnds_NonXtal_Prot#'!$A:$AL,24,FALSE)</f>
        <v>164</v>
      </c>
      <c r="Z291" s="5">
        <f>VLOOKUP($A291,'SegEnds_NonXtal_Prot#'!$A:$AL,27,FALSE)</f>
        <v>171</v>
      </c>
      <c r="AA291" s="5">
        <f>VLOOKUP($A291,'SegEnds_NonXtal_Prot#'!$A:$AL,30,FALSE)</f>
        <v>292</v>
      </c>
      <c r="AB291" s="5">
        <f>VLOOKUP($A291,'SegEnds_NonXtal_Prot#'!$A:$AL,33,FALSE)</f>
        <v>336</v>
      </c>
      <c r="AC291" s="5">
        <f>VLOOKUP($A291,'SegEnds_NonXtal_Prot#'!$A:$AL,36,FALSE)</f>
        <v>362</v>
      </c>
      <c r="AD291" s="5">
        <f>VLOOKUP($A291,'SegEnds_NonXtal_Prot#'!$A:$AL,5,FALSE)</f>
        <v>43</v>
      </c>
      <c r="AE291" s="5">
        <f>VLOOKUP($A291,'SegEnds_NonXtal_Prot#'!$A:$AL,8,FALSE)</f>
        <v>47</v>
      </c>
      <c r="AF291" s="5">
        <f>VLOOKUP($A291,'SegEnds_NonXtal_Prot#'!$A:$AL,11,FALSE)</f>
        <v>77</v>
      </c>
      <c r="AG291" s="5">
        <f>VLOOKUP($A291,'SegEnds_NonXtal_Prot#'!$A:$AL,14,FALSE)</f>
        <v>82</v>
      </c>
      <c r="AH291" s="5">
        <f>VLOOKUP($A291,'SegEnds_NonXtal_Prot#'!$A:$AL,17,FALSE)</f>
        <v>118</v>
      </c>
      <c r="AI291" s="5">
        <f>VLOOKUP($A291,'SegEnds_NonXtal_Prot#'!$A:$AL,20,FALSE)</f>
        <v>127</v>
      </c>
      <c r="AJ291" s="5">
        <f>VLOOKUP($A291,'SegEnds_NonXtal_Prot#'!$A:$AL,23,FALSE)</f>
        <v>153</v>
      </c>
      <c r="AK291" s="5">
        <f>VLOOKUP($A291,'SegEnds_NonXtal_Prot#'!$A:$AL,26,FALSE)</f>
        <v>166</v>
      </c>
      <c r="AL291" s="5">
        <f>VLOOKUP($A291,'SegEnds_NonXtal_Prot#'!$A:$AL,29,FALSE)</f>
        <v>212</v>
      </c>
      <c r="AM291" s="5">
        <f>VLOOKUP($A291,'SegEnds_NonXtal_Prot#'!$A:$AL,32,FALSE)</f>
        <v>329</v>
      </c>
      <c r="AN291" s="5">
        <f>VLOOKUP($A291,'SegEnds_NonXtal_Prot#'!$A:$AL,35,FALSE)</f>
        <v>361</v>
      </c>
      <c r="AO291" s="5">
        <f>VLOOKUP($A291,'SegEnds_NonXtal_Prot#'!$A:$AL,38,FALSE)</f>
        <v>373</v>
      </c>
      <c r="AP291" s="5">
        <f t="shared" si="113"/>
        <v>31</v>
      </c>
      <c r="AQ291" s="4">
        <f t="shared" si="114"/>
        <v>3</v>
      </c>
      <c r="AR291" s="4">
        <f t="shared" si="115"/>
        <v>29</v>
      </c>
      <c r="AS291" s="4">
        <f t="shared" si="116"/>
        <v>3</v>
      </c>
      <c r="AT291" s="4">
        <f t="shared" si="117"/>
        <v>35</v>
      </c>
      <c r="AU291" s="4">
        <f t="shared" si="118"/>
        <v>8</v>
      </c>
      <c r="AV291" s="4">
        <f t="shared" si="119"/>
        <v>25</v>
      </c>
      <c r="AW291" s="4">
        <f t="shared" si="120"/>
        <v>2</v>
      </c>
      <c r="AX291" s="4">
        <f t="shared" si="121"/>
        <v>41</v>
      </c>
      <c r="AY291" s="4">
        <f t="shared" si="122"/>
        <v>37</v>
      </c>
      <c r="AZ291" s="4">
        <f t="shared" si="123"/>
        <v>25</v>
      </c>
      <c r="BA291" s="4">
        <f t="shared" si="124"/>
        <v>11</v>
      </c>
    </row>
    <row r="292" spans="1:53" x14ac:dyDescent="0.2">
      <c r="A292" s="1" t="str">
        <f>'SegEnds_NonXtal_Prot#'!A282</f>
        <v>p2ry6_human</v>
      </c>
      <c r="B292" s="1" t="str">
        <f t="shared" si="100"/>
        <v>FKQLLLPPVYSAVLAAGLPLNICVITQICTSTRTAVYTLNLALADLLYACSLPLLIYNYAQGDFACRLVRFLFYANLHGSILFLTCISFQRYLGICHGRRAAWLVCVAVWLAVTTQCLPTAIFAATHYMPYGMALTVIGFLLPFAALLACYCLLACRLCRQDGPARRGKAARMAVVVAAAFAISFLPFHITKTAYLAVRSTPCTVLEAFAAAYKGTRPFASANSVLDPILFYFTQKKFRRRPHELLQ</v>
      </c>
      <c r="C292" s="29" t="str">
        <f>IF(ISERROR(MATCH(A292,'SegEnds_Xtal_Prot#'!B:B, 0)), "NoXtal", "Xtal")</f>
        <v>NoXtal</v>
      </c>
      <c r="D292" s="4" t="str">
        <f>VLOOKUP(A292,Classification!A:D,2,FALSE)</f>
        <v>A</v>
      </c>
      <c r="E292" s="5" t="str">
        <f>VLOOKUP(A292,Seqs!A:B,2,FALSE)</f>
        <v>MEWDNGTGQALGLPPTTCVYRENFKQLLLPPVYSAVLAAGLPLNICVITQICTSRRALTRTAVYTLNLALADLLYACSLPLLIYNYAQGDHWPFGDFACRLVRFLFYANLHGSILFLTCISFQRYLGICHPLAPWHKRGGRRAAWLVCVAVWLAVTTQCLPTAIFAATGIQRNRTVCYDLSPPALATHYMPYGMALTVIGFLLPFAALLACYCLLACRLCRQDGPAEPVAQERRGKAARMAVVVAAAFAISFLPFHITKTAYLAVRSTPGVPCTVLEAFAAAYKGTRPFASANSVLDPILFYFTQKKFRRRPHELLQKLTAKWQRQGR</v>
      </c>
      <c r="F292" s="5" t="str">
        <f t="shared" si="101"/>
        <v>FKQLLLPPVYSAVLAAGLPLNICVITQICTS</v>
      </c>
      <c r="G292" s="4" t="str">
        <f t="shared" si="102"/>
        <v>RRAL</v>
      </c>
      <c r="H292" s="4" t="str">
        <f t="shared" si="103"/>
        <v>TRTAVYTLNLALADLLYACSLPLLIYNYAQ</v>
      </c>
      <c r="I292" s="4" t="str">
        <f t="shared" si="104"/>
        <v>HWPF</v>
      </c>
      <c r="J292" s="4" t="str">
        <f t="shared" si="105"/>
        <v>GDFACRLVRFLFYANLHGSILFLTCISFQRYLGICH</v>
      </c>
      <c r="K292" s="4" t="str">
        <f t="shared" si="106"/>
        <v>PLAPWHKRG</v>
      </c>
      <c r="L292" s="4" t="str">
        <f t="shared" si="107"/>
        <v>GRRAAWLVCVAVWLAVTTQCLPTAIFA</v>
      </c>
      <c r="M292" s="4" t="str">
        <f t="shared" si="108"/>
        <v>CYD</v>
      </c>
      <c r="N292" s="4" t="str">
        <f t="shared" si="109"/>
        <v>ATHYMPYGMALTVIGFLLPFAALLACYCLLACRLCRQDGPA</v>
      </c>
      <c r="O292" s="4" t="str">
        <f t="shared" si="110"/>
        <v>RRGKAARMAVVVAAAFAISFLPFHITKTAYLAVRST</v>
      </c>
      <c r="P292" s="4" t="str">
        <f t="shared" si="111"/>
        <v>PCTVLEAFAAAYKGTRPFASANSVLDPILFYFT</v>
      </c>
      <c r="Q292" s="4" t="str">
        <f t="shared" si="112"/>
        <v>QKKFRRRPHELLQ</v>
      </c>
      <c r="R292" s="5">
        <f>VLOOKUP($A292,'SegEnds_NonXtal_Prot#'!$A:$AL,3,FALSE)</f>
        <v>24</v>
      </c>
      <c r="S292" s="5">
        <f>VLOOKUP($A292,'SegEnds_NonXtal_Prot#'!$A:$AL,6,FALSE)</f>
        <v>55</v>
      </c>
      <c r="T292" s="5">
        <f>VLOOKUP($A292,'SegEnds_NonXtal_Prot#'!$A:$AL,9,FALSE)</f>
        <v>59</v>
      </c>
      <c r="U292" s="5">
        <f>VLOOKUP($A292,'SegEnds_NonXtal_Prot#'!$A:$AL,12,FALSE)</f>
        <v>91</v>
      </c>
      <c r="V292" s="5">
        <f>VLOOKUP($A292,'SegEnds_NonXtal_Prot#'!$A:$AL,15,FALSE)</f>
        <v>95</v>
      </c>
      <c r="W292" s="5">
        <f>VLOOKUP($A292,'SegEnds_NonXtal_Prot#'!$A:$AL,18,FALSE)</f>
        <v>131</v>
      </c>
      <c r="X292" s="5">
        <f>VLOOKUP($A292,'SegEnds_NonXtal_Prot#'!$A:$AL,21,FALSE)</f>
        <v>140</v>
      </c>
      <c r="Y292" s="5">
        <f>VLOOKUP($A292,'SegEnds_NonXtal_Prot#'!$A:$AL,24,FALSE)</f>
        <v>177</v>
      </c>
      <c r="Z292" s="5">
        <f>VLOOKUP($A292,'SegEnds_NonXtal_Prot#'!$A:$AL,27,FALSE)</f>
        <v>186</v>
      </c>
      <c r="AA292" s="5">
        <f>VLOOKUP($A292,'SegEnds_NonXtal_Prot#'!$A:$AL,30,FALSE)</f>
        <v>233</v>
      </c>
      <c r="AB292" s="5">
        <f>VLOOKUP($A292,'SegEnds_NonXtal_Prot#'!$A:$AL,33,FALSE)</f>
        <v>272</v>
      </c>
      <c r="AC292" s="5">
        <f>VLOOKUP($A292,'SegEnds_NonXtal_Prot#'!$A:$AL,36,FALSE)</f>
        <v>305</v>
      </c>
      <c r="AD292" s="5">
        <f>VLOOKUP($A292,'SegEnds_NonXtal_Prot#'!$A:$AL,5,FALSE)</f>
        <v>54</v>
      </c>
      <c r="AE292" s="5">
        <f>VLOOKUP($A292,'SegEnds_NonXtal_Prot#'!$A:$AL,8,FALSE)</f>
        <v>58</v>
      </c>
      <c r="AF292" s="5">
        <f>VLOOKUP($A292,'SegEnds_NonXtal_Prot#'!$A:$AL,11,FALSE)</f>
        <v>88</v>
      </c>
      <c r="AG292" s="5">
        <f>VLOOKUP($A292,'SegEnds_NonXtal_Prot#'!$A:$AL,14,FALSE)</f>
        <v>94</v>
      </c>
      <c r="AH292" s="5">
        <f>VLOOKUP($A292,'SegEnds_NonXtal_Prot#'!$A:$AL,17,FALSE)</f>
        <v>130</v>
      </c>
      <c r="AI292" s="5">
        <f>VLOOKUP($A292,'SegEnds_NonXtal_Prot#'!$A:$AL,20,FALSE)</f>
        <v>139</v>
      </c>
      <c r="AJ292" s="5">
        <f>VLOOKUP($A292,'SegEnds_NonXtal_Prot#'!$A:$AL,23,FALSE)</f>
        <v>166</v>
      </c>
      <c r="AK292" s="5">
        <f>VLOOKUP($A292,'SegEnds_NonXtal_Prot#'!$A:$AL,26,FALSE)</f>
        <v>179</v>
      </c>
      <c r="AL292" s="5">
        <f>VLOOKUP($A292,'SegEnds_NonXtal_Prot#'!$A:$AL,29,FALSE)</f>
        <v>226</v>
      </c>
      <c r="AM292" s="5">
        <f>VLOOKUP($A292,'SegEnds_NonXtal_Prot#'!$A:$AL,32,FALSE)</f>
        <v>268</v>
      </c>
      <c r="AN292" s="5">
        <f>VLOOKUP($A292,'SegEnds_NonXtal_Prot#'!$A:$AL,35,FALSE)</f>
        <v>304</v>
      </c>
      <c r="AO292" s="5">
        <f>VLOOKUP($A292,'SegEnds_NonXtal_Prot#'!$A:$AL,38,FALSE)</f>
        <v>317</v>
      </c>
      <c r="AP292" s="5">
        <f t="shared" si="113"/>
        <v>30</v>
      </c>
      <c r="AQ292" s="4">
        <f t="shared" si="114"/>
        <v>3</v>
      </c>
      <c r="AR292" s="4">
        <f t="shared" si="115"/>
        <v>29</v>
      </c>
      <c r="AS292" s="4">
        <f t="shared" si="116"/>
        <v>3</v>
      </c>
      <c r="AT292" s="4">
        <f t="shared" si="117"/>
        <v>35</v>
      </c>
      <c r="AU292" s="4">
        <f t="shared" si="118"/>
        <v>8</v>
      </c>
      <c r="AV292" s="4">
        <f t="shared" si="119"/>
        <v>26</v>
      </c>
      <c r="AW292" s="4">
        <f t="shared" si="120"/>
        <v>2</v>
      </c>
      <c r="AX292" s="4">
        <f t="shared" si="121"/>
        <v>40</v>
      </c>
      <c r="AY292" s="4">
        <f t="shared" si="122"/>
        <v>35</v>
      </c>
      <c r="AZ292" s="4">
        <f t="shared" si="123"/>
        <v>32</v>
      </c>
      <c r="BA292" s="4">
        <f t="shared" si="124"/>
        <v>12</v>
      </c>
    </row>
    <row r="293" spans="1:53" x14ac:dyDescent="0.2">
      <c r="A293" s="1" t="str">
        <f>'SegEnds_NonXtal_Prot#'!A283</f>
        <v>ccr6_human</v>
      </c>
      <c r="B293" s="1" t="str">
        <f t="shared" si="100"/>
        <v>VRQFSRLFVPIAYSLICVFGLLGNILVVITFAFYSMTDVYLLNMAIADILFVLTLPFWAVSHATSNATCKLLKGIYAINFNCGMLLLTCISMDRYIAIVQTLPRSKIICLVVWGLSVIISSSTFVFNRWKLLMLGLELLFGFFIPLMFMIFCYTFIVKTLVQARHKAIRVIIAVVLVFLACQIPHNMVLLVTAANLGKMSCQSEKLIGYTKTVTEVLAFLHCCLNPVLYAFIGQKFRNYFLKILKDLWCVRRK</v>
      </c>
      <c r="C293" s="29" t="str">
        <f>IF(ISERROR(MATCH(A293,'SegEnds_Xtal_Prot#'!B:B, 0)), "NoXtal", "Xtal")</f>
        <v>NoXtal</v>
      </c>
      <c r="D293" s="4" t="str">
        <f>VLOOKUP(A293,Classification!A:D,2,FALSE)</f>
        <v>A</v>
      </c>
      <c r="E293" s="5" t="str">
        <f>VLOOKUP(A293,Seqs!A:B,2,FALSE)</f>
        <v>MSGESMNFSDVFDSSEDYFVSVNTSYYSVDSEMLLCSLQEVRQFSRLFVPIAYSLICVFGLLGNILVVITFAFYKKARSMTDVYLLNMAIADILFVLTLPFWAVSHATGAWVFSNATCKLLKGIYAINFNCGMLLLTCISMDRYIAIVQATKSFRLRSRTLPRSKIICLVVWGLSVIISSSTFVFNQKYNTQGSDVCEPKYQTVSEPIRWKLLMLGLELLFGFFIPLMFMIFCYTFIVKTLVQAQNSKRHKAIRVIIAVVLVFLACQIPHNMVLLVTAANLGKMNRSCQSEKLIGYTKTVTEVLAFLHCCLNPVLYAFIGQKFRNYFLKILKDLWCVRRKYKSSGFSCAGRYSENISRQTSETADNDNASSFTM</v>
      </c>
      <c r="F293" s="5" t="str">
        <f t="shared" si="101"/>
        <v>VRQFSRLFVPIAYSLICVFGLLGNILVVITFAFY</v>
      </c>
      <c r="G293" s="4" t="str">
        <f t="shared" si="102"/>
        <v>KKAR</v>
      </c>
      <c r="H293" s="4" t="str">
        <f t="shared" si="103"/>
        <v>SMTDVYLLNMAIADILFVLTLPFWAVSHAT</v>
      </c>
      <c r="I293" s="4" t="str">
        <f t="shared" si="104"/>
        <v>AWVF</v>
      </c>
      <c r="J293" s="4" t="str">
        <f t="shared" si="105"/>
        <v>SNATCKLLKGIYAINFNCGMLLLTCISMDRYIAIVQ</v>
      </c>
      <c r="K293" s="4" t="str">
        <f t="shared" si="106"/>
        <v>ATKSFRLRS</v>
      </c>
      <c r="L293" s="4" t="str">
        <f t="shared" si="107"/>
        <v>TLPRSKIICLVVWGLSVIISSSTFVFN</v>
      </c>
      <c r="M293" s="4" t="str">
        <f t="shared" si="108"/>
        <v>CEP</v>
      </c>
      <c r="N293" s="4" t="str">
        <f t="shared" si="109"/>
        <v>RWKLLMLGLELLFGFFIPLMFMIFCYTFIVKTLVQA</v>
      </c>
      <c r="O293" s="4" t="str">
        <f t="shared" si="110"/>
        <v>RHKAIRVIIAVVLVFLACQIPHNMVLLVTAANLGKM</v>
      </c>
      <c r="P293" s="4" t="str">
        <f t="shared" si="111"/>
        <v>SCQSEKLIGYTKTVTEVLAFLHCCLNPVLYAFI</v>
      </c>
      <c r="Q293" s="4" t="str">
        <f t="shared" si="112"/>
        <v>GQKFRNYFLKILKDLWCVRRK</v>
      </c>
      <c r="R293" s="5">
        <f>VLOOKUP($A293,'SegEnds_NonXtal_Prot#'!$A:$AL,3,FALSE)</f>
        <v>41</v>
      </c>
      <c r="S293" s="5">
        <f>VLOOKUP($A293,'SegEnds_NonXtal_Prot#'!$A:$AL,6,FALSE)</f>
        <v>75</v>
      </c>
      <c r="T293" s="5">
        <f>VLOOKUP($A293,'SegEnds_NonXtal_Prot#'!$A:$AL,9,FALSE)</f>
        <v>79</v>
      </c>
      <c r="U293" s="5">
        <f>VLOOKUP($A293,'SegEnds_NonXtal_Prot#'!$A:$AL,12,FALSE)</f>
        <v>110</v>
      </c>
      <c r="V293" s="5">
        <f>VLOOKUP($A293,'SegEnds_NonXtal_Prot#'!$A:$AL,15,FALSE)</f>
        <v>114</v>
      </c>
      <c r="W293" s="5">
        <f>VLOOKUP($A293,'SegEnds_NonXtal_Prot#'!$A:$AL,18,FALSE)</f>
        <v>150</v>
      </c>
      <c r="X293" s="5">
        <f>VLOOKUP($A293,'SegEnds_NonXtal_Prot#'!$A:$AL,21,FALSE)</f>
        <v>160</v>
      </c>
      <c r="Y293" s="5">
        <f>VLOOKUP($A293,'SegEnds_NonXtal_Prot#'!$A:$AL,24,FALSE)</f>
        <v>197</v>
      </c>
      <c r="Z293" s="5">
        <f>VLOOKUP($A293,'SegEnds_NonXtal_Prot#'!$A:$AL,27,FALSE)</f>
        <v>209</v>
      </c>
      <c r="AA293" s="5">
        <f>VLOOKUP($A293,'SegEnds_NonXtal_Prot#'!$A:$AL,30,FALSE)</f>
        <v>249</v>
      </c>
      <c r="AB293" s="5">
        <f>VLOOKUP($A293,'SegEnds_NonXtal_Prot#'!$A:$AL,33,FALSE)</f>
        <v>287</v>
      </c>
      <c r="AC293" s="5">
        <f>VLOOKUP($A293,'SegEnds_NonXtal_Prot#'!$A:$AL,36,FALSE)</f>
        <v>320</v>
      </c>
      <c r="AD293" s="5">
        <f>VLOOKUP($A293,'SegEnds_NonXtal_Prot#'!$A:$AL,5,FALSE)</f>
        <v>74</v>
      </c>
      <c r="AE293" s="5">
        <f>VLOOKUP($A293,'SegEnds_NonXtal_Prot#'!$A:$AL,8,FALSE)</f>
        <v>78</v>
      </c>
      <c r="AF293" s="5">
        <f>VLOOKUP($A293,'SegEnds_NonXtal_Prot#'!$A:$AL,11,FALSE)</f>
        <v>108</v>
      </c>
      <c r="AG293" s="5">
        <f>VLOOKUP($A293,'SegEnds_NonXtal_Prot#'!$A:$AL,14,FALSE)</f>
        <v>113</v>
      </c>
      <c r="AH293" s="5">
        <f>VLOOKUP($A293,'SegEnds_NonXtal_Prot#'!$A:$AL,17,FALSE)</f>
        <v>149</v>
      </c>
      <c r="AI293" s="5">
        <f>VLOOKUP($A293,'SegEnds_NonXtal_Prot#'!$A:$AL,20,FALSE)</f>
        <v>158</v>
      </c>
      <c r="AJ293" s="5">
        <f>VLOOKUP($A293,'SegEnds_NonXtal_Prot#'!$A:$AL,23,FALSE)</f>
        <v>186</v>
      </c>
      <c r="AK293" s="5">
        <f>VLOOKUP($A293,'SegEnds_NonXtal_Prot#'!$A:$AL,26,FALSE)</f>
        <v>199</v>
      </c>
      <c r="AL293" s="5">
        <f>VLOOKUP($A293,'SegEnds_NonXtal_Prot#'!$A:$AL,29,FALSE)</f>
        <v>244</v>
      </c>
      <c r="AM293" s="5">
        <f>VLOOKUP($A293,'SegEnds_NonXtal_Prot#'!$A:$AL,32,FALSE)</f>
        <v>284</v>
      </c>
      <c r="AN293" s="5">
        <f>VLOOKUP($A293,'SegEnds_NonXtal_Prot#'!$A:$AL,35,FALSE)</f>
        <v>319</v>
      </c>
      <c r="AO293" s="5">
        <f>VLOOKUP($A293,'SegEnds_NonXtal_Prot#'!$A:$AL,38,FALSE)</f>
        <v>340</v>
      </c>
      <c r="AP293" s="5">
        <f t="shared" si="113"/>
        <v>33</v>
      </c>
      <c r="AQ293" s="4">
        <f t="shared" si="114"/>
        <v>3</v>
      </c>
      <c r="AR293" s="4">
        <f t="shared" si="115"/>
        <v>29</v>
      </c>
      <c r="AS293" s="4">
        <f t="shared" si="116"/>
        <v>3</v>
      </c>
      <c r="AT293" s="4">
        <f t="shared" si="117"/>
        <v>35</v>
      </c>
      <c r="AU293" s="4">
        <f t="shared" si="118"/>
        <v>8</v>
      </c>
      <c r="AV293" s="4">
        <f t="shared" si="119"/>
        <v>26</v>
      </c>
      <c r="AW293" s="4">
        <f t="shared" si="120"/>
        <v>2</v>
      </c>
      <c r="AX293" s="4">
        <f t="shared" si="121"/>
        <v>35</v>
      </c>
      <c r="AY293" s="4">
        <f t="shared" si="122"/>
        <v>35</v>
      </c>
      <c r="AZ293" s="4">
        <f t="shared" si="123"/>
        <v>32</v>
      </c>
      <c r="BA293" s="4">
        <f t="shared" si="124"/>
        <v>20</v>
      </c>
    </row>
    <row r="294" spans="1:53" x14ac:dyDescent="0.2">
      <c r="A294" s="1" t="str">
        <f>'SegEnds_NonXtal_Prot#'!A284</f>
        <v>ccr7_human</v>
      </c>
      <c r="B294" s="1" t="str">
        <f t="shared" si="100"/>
        <v>VRNFKAWFLPIMYSIICFVGLLGNGLVVLTYIYFTMTDTYLLNLAVADILFLLTLPFWAYSAAKGVHFCKLIFAIYKMSFFSGMLLLLCISIDRYVAIVQVLLISKLSCVGIWILATVLSIPELLYSEAFITIQVAQMVIGFLVPLLAMSFCYLVIIRTLLQARNKAIKVIIAVVVVFIVFQLPYNGVVLAQTVANFNITCELSKQLNIAYDVTYSLACVRCCVNPFLYAFIGVKFRNDLFKLFKDLGCLSQE</v>
      </c>
      <c r="C294" s="29" t="str">
        <f>IF(ISERROR(MATCH(A294,'SegEnds_Xtal_Prot#'!B:B, 0)), "NoXtal", "Xtal")</f>
        <v>NoXtal</v>
      </c>
      <c r="D294" s="4" t="str">
        <f>VLOOKUP(A294,Classification!A:D,2,FALSE)</f>
        <v>A</v>
      </c>
      <c r="E294" s="5" t="str">
        <f>VLOOKUP(A294,Seqs!A:B,2,FALSE)</f>
        <v>MDLGKPMKSVLVVALLVIFQVCLCQDEVTDDYIGDNTTVDYTLFESLCSKKDVRNFKAWFLPIMYSIICFVGLLGNGLVVLTYIYFKRLKTMTDTYLLNLAVADILFLLTLPFWAYSAAKSWVFGVHFCKLIFAIYKMSFFSGMLLLLCISIDRYVAIVQAVSAHRHRARVLLISKLSCVGIWILATVLSIPELLYSDLQRSSSEQAMRCSLITEHVEAFITIQVAQMVIGFLVPLLAMSFCYLVIIRTLLQARNFERNKAIKVIIAVVVVFIVFQLPYNGVVLAQTVANFNITSSTCELSKQLNIAYDVTYSLACVRCCVNPFLYAFIGVKFRNDLFKLFKDLGCLSQEQLRQWSSCRHIRRSSMSVEAETTTTFSP</v>
      </c>
      <c r="F294" s="5" t="str">
        <f t="shared" si="101"/>
        <v>VRNFKAWFLPIMYSIICFVGLLGNGLVVLTYIYF</v>
      </c>
      <c r="G294" s="4" t="str">
        <f t="shared" si="102"/>
        <v>KRLK</v>
      </c>
      <c r="H294" s="4" t="str">
        <f t="shared" si="103"/>
        <v>TMTDTYLLNLAVADILFLLTLPFWAYSAAK</v>
      </c>
      <c r="I294" s="4" t="str">
        <f t="shared" si="104"/>
        <v>SWVF</v>
      </c>
      <c r="J294" s="4" t="str">
        <f t="shared" si="105"/>
        <v>GVHFCKLIFAIYKMSFFSGMLLLLCISIDRYVAIVQ</v>
      </c>
      <c r="K294" s="4" t="str">
        <f t="shared" si="106"/>
        <v>AVSAHRHRA</v>
      </c>
      <c r="L294" s="4" t="str">
        <f t="shared" si="107"/>
        <v>VLLISKLSCVGIWILATVLSIPELLYS</v>
      </c>
      <c r="M294" s="4" t="str">
        <f t="shared" si="108"/>
        <v>CSL</v>
      </c>
      <c r="N294" s="4" t="str">
        <f t="shared" si="109"/>
        <v>EAFITIQVAQMVIGFLVPLLAMSFCYLVIIRTLLQA</v>
      </c>
      <c r="O294" s="4" t="str">
        <f t="shared" si="110"/>
        <v>RNKAIKVIIAVVVVFIVFQLPYNGVVLAQTVANFNI</v>
      </c>
      <c r="P294" s="4" t="str">
        <f t="shared" si="111"/>
        <v>TCELSKQLNIAYDVTYSLACVRCCVNPFLYAFI</v>
      </c>
      <c r="Q294" s="4" t="str">
        <f t="shared" si="112"/>
        <v>GVKFRNDLFKLFKDLGCLSQE</v>
      </c>
      <c r="R294" s="5">
        <f>VLOOKUP($A294,'SegEnds_NonXtal_Prot#'!$A:$AL,3,FALSE)</f>
        <v>53</v>
      </c>
      <c r="S294" s="5">
        <f>VLOOKUP($A294,'SegEnds_NonXtal_Prot#'!$A:$AL,6,FALSE)</f>
        <v>87</v>
      </c>
      <c r="T294" s="5">
        <f>VLOOKUP($A294,'SegEnds_NonXtal_Prot#'!$A:$AL,9,FALSE)</f>
        <v>91</v>
      </c>
      <c r="U294" s="5">
        <f>VLOOKUP($A294,'SegEnds_NonXtal_Prot#'!$A:$AL,12,FALSE)</f>
        <v>121</v>
      </c>
      <c r="V294" s="5">
        <f>VLOOKUP($A294,'SegEnds_NonXtal_Prot#'!$A:$AL,15,FALSE)</f>
        <v>125</v>
      </c>
      <c r="W294" s="5">
        <f>VLOOKUP($A294,'SegEnds_NonXtal_Prot#'!$A:$AL,18,FALSE)</f>
        <v>161</v>
      </c>
      <c r="X294" s="5">
        <f>VLOOKUP($A294,'SegEnds_NonXtal_Prot#'!$A:$AL,21,FALSE)</f>
        <v>171</v>
      </c>
      <c r="Y294" s="5">
        <f>VLOOKUP($A294,'SegEnds_NonXtal_Prot#'!$A:$AL,24,FALSE)</f>
        <v>210</v>
      </c>
      <c r="Z294" s="5">
        <f>VLOOKUP($A294,'SegEnds_NonXtal_Prot#'!$A:$AL,27,FALSE)</f>
        <v>218</v>
      </c>
      <c r="AA294" s="5">
        <f>VLOOKUP($A294,'SegEnds_NonXtal_Prot#'!$A:$AL,30,FALSE)</f>
        <v>258</v>
      </c>
      <c r="AB294" s="5">
        <f>VLOOKUP($A294,'SegEnds_NonXtal_Prot#'!$A:$AL,33,FALSE)</f>
        <v>297</v>
      </c>
      <c r="AC294" s="5">
        <f>VLOOKUP($A294,'SegEnds_NonXtal_Prot#'!$A:$AL,36,FALSE)</f>
        <v>330</v>
      </c>
      <c r="AD294" s="5">
        <f>VLOOKUP($A294,'SegEnds_NonXtal_Prot#'!$A:$AL,5,FALSE)</f>
        <v>86</v>
      </c>
      <c r="AE294" s="5">
        <f>VLOOKUP($A294,'SegEnds_NonXtal_Prot#'!$A:$AL,8,FALSE)</f>
        <v>90</v>
      </c>
      <c r="AF294" s="5">
        <f>VLOOKUP($A294,'SegEnds_NonXtal_Prot#'!$A:$AL,11,FALSE)</f>
        <v>120</v>
      </c>
      <c r="AG294" s="5">
        <f>VLOOKUP($A294,'SegEnds_NonXtal_Prot#'!$A:$AL,14,FALSE)</f>
        <v>124</v>
      </c>
      <c r="AH294" s="5">
        <f>VLOOKUP($A294,'SegEnds_NonXtal_Prot#'!$A:$AL,17,FALSE)</f>
        <v>160</v>
      </c>
      <c r="AI294" s="5">
        <f>VLOOKUP($A294,'SegEnds_NonXtal_Prot#'!$A:$AL,20,FALSE)</f>
        <v>169</v>
      </c>
      <c r="AJ294" s="5">
        <f>VLOOKUP($A294,'SegEnds_NonXtal_Prot#'!$A:$AL,23,FALSE)</f>
        <v>197</v>
      </c>
      <c r="AK294" s="5">
        <f>VLOOKUP($A294,'SegEnds_NonXtal_Prot#'!$A:$AL,26,FALSE)</f>
        <v>212</v>
      </c>
      <c r="AL294" s="5">
        <f>VLOOKUP($A294,'SegEnds_NonXtal_Prot#'!$A:$AL,29,FALSE)</f>
        <v>253</v>
      </c>
      <c r="AM294" s="5">
        <f>VLOOKUP($A294,'SegEnds_NonXtal_Prot#'!$A:$AL,32,FALSE)</f>
        <v>293</v>
      </c>
      <c r="AN294" s="5">
        <f>VLOOKUP($A294,'SegEnds_NonXtal_Prot#'!$A:$AL,35,FALSE)</f>
        <v>329</v>
      </c>
      <c r="AO294" s="5">
        <f>VLOOKUP($A294,'SegEnds_NonXtal_Prot#'!$A:$AL,38,FALSE)</f>
        <v>350</v>
      </c>
      <c r="AP294" s="5">
        <f t="shared" si="113"/>
        <v>33</v>
      </c>
      <c r="AQ294" s="4">
        <f t="shared" si="114"/>
        <v>3</v>
      </c>
      <c r="AR294" s="4">
        <f t="shared" si="115"/>
        <v>29</v>
      </c>
      <c r="AS294" s="4">
        <f t="shared" si="116"/>
        <v>3</v>
      </c>
      <c r="AT294" s="4">
        <f t="shared" si="117"/>
        <v>35</v>
      </c>
      <c r="AU294" s="4">
        <f t="shared" si="118"/>
        <v>8</v>
      </c>
      <c r="AV294" s="4">
        <f t="shared" si="119"/>
        <v>26</v>
      </c>
      <c r="AW294" s="4">
        <f t="shared" si="120"/>
        <v>2</v>
      </c>
      <c r="AX294" s="4">
        <f t="shared" si="121"/>
        <v>35</v>
      </c>
      <c r="AY294" s="4">
        <f t="shared" si="122"/>
        <v>35</v>
      </c>
      <c r="AZ294" s="4">
        <f t="shared" si="123"/>
        <v>32</v>
      </c>
      <c r="BA294" s="4">
        <f t="shared" si="124"/>
        <v>20</v>
      </c>
    </row>
    <row r="295" spans="1:53" x14ac:dyDescent="0.2">
      <c r="A295" s="1" t="str">
        <f>'SegEnds_NonXtal_Prot#'!A285</f>
        <v>cxcr6_human</v>
      </c>
      <c r="B295" s="1" t="str">
        <f t="shared" si="100"/>
        <v>FLQFSKVFLPCMYLVVFVCGLVGNSLVLVISIFYSLTDVFLVNLPLADLVFVCTLPFWAYAGIHGQVMCKSLLGIYTINFYTSMLILTCITVDRFIVVVKRMTWGKVTSLLIWVISLLVSLPQIIYGAISTVVLATQMTLGFFLPLLTMIVCYSVIIKTLLHAKHRSLKIIFLVMAVFLLTQMPFNLMKFIRSTHMTSFHYTIMVTEAIAYLRACLNPVLYAFVSLKFRKNFWKLVKDIGCLPYL</v>
      </c>
      <c r="C295" s="29" t="str">
        <f>IF(ISERROR(MATCH(A295,'SegEnds_Xtal_Prot#'!B:B, 0)), "NoXtal", "Xtal")</f>
        <v>NoXtal</v>
      </c>
      <c r="D295" s="4" t="str">
        <f>VLOOKUP(A295,Classification!A:D,2,FALSE)</f>
        <v>A</v>
      </c>
      <c r="E295" s="5" t="str">
        <f>VLOOKUP(A295,Seqs!A:B,2,FALSE)</f>
        <v>MAEHDYHEDYGFSSFNDSSQEEHQDFLQFSKVFLPCMYLVVFVCGLVGNSLVLVISIFYHKLQSLTDVFLVNLPLADLVFVCTLPFWAYAGIHEWVFGQVMCKSLLGIYTINFYTSMLILTCITVDRFIVVVKATKAYNQQAKRMTWGKVTSLLIWVISLLVSLPQIIYGNVFNLDKLICGYHDEAISTVVLATQMTLGFFLPLLTMIVCYSVIIKTLLHAGGFQKHRSLKIIFLVMAVFLLTQMPFNLMKFIRSTHWEYYAMTSFHYTIMVTEAIAYLRACLNPVLYAFVSLKFRKNFWKLVKDIGCLPYLGVSHQWKSSEDNSKTFSASHNVEATSMFQL</v>
      </c>
      <c r="F295" s="5" t="str">
        <f t="shared" si="101"/>
        <v>FLQFSKVFLPCMYLVVFVCGLVGNSLVLVISIFY</v>
      </c>
      <c r="G295" s="4" t="str">
        <f t="shared" si="102"/>
        <v>HKLQ</v>
      </c>
      <c r="H295" s="4" t="str">
        <f t="shared" si="103"/>
        <v>SLTDVFLVNLPLADLVFVCTLPFWAYAGIH</v>
      </c>
      <c r="I295" s="4" t="str">
        <f t="shared" si="104"/>
        <v>EWVF</v>
      </c>
      <c r="J295" s="4" t="str">
        <f t="shared" si="105"/>
        <v>GQVMCKSLLGIYTINFYTSMLILTCITVDRFIVVVK</v>
      </c>
      <c r="K295" s="4" t="str">
        <f t="shared" si="106"/>
        <v>ATKAYNQQA</v>
      </c>
      <c r="L295" s="4" t="str">
        <f t="shared" si="107"/>
        <v>RMTWGKVTSLLIWVISLLVSLPQIIYG</v>
      </c>
      <c r="M295" s="4" t="str">
        <f t="shared" si="108"/>
        <v>CGY</v>
      </c>
      <c r="N295" s="4" t="str">
        <f t="shared" si="109"/>
        <v>AISTVVLATQMTLGFFLPLLTMIVCYSVIIKTLLHA</v>
      </c>
      <c r="O295" s="4" t="str">
        <f t="shared" si="110"/>
        <v>KHRSLKIIFLVMAVFLLTQMPFNLMKFIRSTH</v>
      </c>
      <c r="P295" s="4" t="str">
        <f t="shared" si="111"/>
        <v>MTSFHYTIMVTEAIAYLRACLNPVLYAFV</v>
      </c>
      <c r="Q295" s="4" t="str">
        <f t="shared" si="112"/>
        <v>SLKFRKNFWKLVKDIGCLPYL</v>
      </c>
      <c r="R295" s="5">
        <f>VLOOKUP($A295,'SegEnds_NonXtal_Prot#'!$A:$AL,3,FALSE)</f>
        <v>26</v>
      </c>
      <c r="S295" s="5">
        <f>VLOOKUP($A295,'SegEnds_NonXtal_Prot#'!$A:$AL,6,FALSE)</f>
        <v>60</v>
      </c>
      <c r="T295" s="5">
        <f>VLOOKUP($A295,'SegEnds_NonXtal_Prot#'!$A:$AL,9,FALSE)</f>
        <v>64</v>
      </c>
      <c r="U295" s="5">
        <f>VLOOKUP($A295,'SegEnds_NonXtal_Prot#'!$A:$AL,12,FALSE)</f>
        <v>94</v>
      </c>
      <c r="V295" s="5">
        <f>VLOOKUP($A295,'SegEnds_NonXtal_Prot#'!$A:$AL,15,FALSE)</f>
        <v>98</v>
      </c>
      <c r="W295" s="5">
        <f>VLOOKUP($A295,'SegEnds_NonXtal_Prot#'!$A:$AL,18,FALSE)</f>
        <v>134</v>
      </c>
      <c r="X295" s="5">
        <f>VLOOKUP($A295,'SegEnds_NonXtal_Prot#'!$A:$AL,21,FALSE)</f>
        <v>144</v>
      </c>
      <c r="Y295" s="5">
        <f>VLOOKUP($A295,'SegEnds_NonXtal_Prot#'!$A:$AL,24,FALSE)</f>
        <v>180</v>
      </c>
      <c r="Z295" s="5">
        <f>VLOOKUP($A295,'SegEnds_NonXtal_Prot#'!$A:$AL,27,FALSE)</f>
        <v>186</v>
      </c>
      <c r="AA295" s="5">
        <f>VLOOKUP($A295,'SegEnds_NonXtal_Prot#'!$A:$AL,30,FALSE)</f>
        <v>226</v>
      </c>
      <c r="AB295" s="5">
        <f>VLOOKUP($A295,'SegEnds_NonXtal_Prot#'!$A:$AL,33,FALSE)</f>
        <v>263</v>
      </c>
      <c r="AC295" s="5">
        <f>VLOOKUP($A295,'SegEnds_NonXtal_Prot#'!$A:$AL,36,FALSE)</f>
        <v>292</v>
      </c>
      <c r="AD295" s="5">
        <f>VLOOKUP($A295,'SegEnds_NonXtal_Prot#'!$A:$AL,5,FALSE)</f>
        <v>59</v>
      </c>
      <c r="AE295" s="5">
        <f>VLOOKUP($A295,'SegEnds_NonXtal_Prot#'!$A:$AL,8,FALSE)</f>
        <v>63</v>
      </c>
      <c r="AF295" s="5">
        <f>VLOOKUP($A295,'SegEnds_NonXtal_Prot#'!$A:$AL,11,FALSE)</f>
        <v>93</v>
      </c>
      <c r="AG295" s="5">
        <f>VLOOKUP($A295,'SegEnds_NonXtal_Prot#'!$A:$AL,14,FALSE)</f>
        <v>97</v>
      </c>
      <c r="AH295" s="5">
        <f>VLOOKUP($A295,'SegEnds_NonXtal_Prot#'!$A:$AL,17,FALSE)</f>
        <v>133</v>
      </c>
      <c r="AI295" s="5">
        <f>VLOOKUP($A295,'SegEnds_NonXtal_Prot#'!$A:$AL,20,FALSE)</f>
        <v>142</v>
      </c>
      <c r="AJ295" s="5">
        <f>VLOOKUP($A295,'SegEnds_NonXtal_Prot#'!$A:$AL,23,FALSE)</f>
        <v>170</v>
      </c>
      <c r="AK295" s="5">
        <f>VLOOKUP($A295,'SegEnds_NonXtal_Prot#'!$A:$AL,26,FALSE)</f>
        <v>182</v>
      </c>
      <c r="AL295" s="5">
        <f>VLOOKUP($A295,'SegEnds_NonXtal_Prot#'!$A:$AL,29,FALSE)</f>
        <v>221</v>
      </c>
      <c r="AM295" s="5">
        <f>VLOOKUP($A295,'SegEnds_NonXtal_Prot#'!$A:$AL,32,FALSE)</f>
        <v>257</v>
      </c>
      <c r="AN295" s="5">
        <f>VLOOKUP($A295,'SegEnds_NonXtal_Prot#'!$A:$AL,35,FALSE)</f>
        <v>291</v>
      </c>
      <c r="AO295" s="5">
        <f>VLOOKUP($A295,'SegEnds_NonXtal_Prot#'!$A:$AL,38,FALSE)</f>
        <v>312</v>
      </c>
      <c r="AP295" s="5">
        <f t="shared" si="113"/>
        <v>33</v>
      </c>
      <c r="AQ295" s="4">
        <f t="shared" si="114"/>
        <v>3</v>
      </c>
      <c r="AR295" s="4">
        <f t="shared" si="115"/>
        <v>29</v>
      </c>
      <c r="AS295" s="4">
        <f t="shared" si="116"/>
        <v>3</v>
      </c>
      <c r="AT295" s="4">
        <f t="shared" si="117"/>
        <v>35</v>
      </c>
      <c r="AU295" s="4">
        <f t="shared" si="118"/>
        <v>8</v>
      </c>
      <c r="AV295" s="4">
        <f t="shared" si="119"/>
        <v>26</v>
      </c>
      <c r="AW295" s="4">
        <f t="shared" si="120"/>
        <v>2</v>
      </c>
      <c r="AX295" s="4">
        <f t="shared" si="121"/>
        <v>35</v>
      </c>
      <c r="AY295" s="4">
        <f t="shared" si="122"/>
        <v>31</v>
      </c>
      <c r="AZ295" s="4">
        <f t="shared" si="123"/>
        <v>28</v>
      </c>
      <c r="BA295" s="4">
        <f t="shared" si="124"/>
        <v>20</v>
      </c>
    </row>
    <row r="296" spans="1:53" x14ac:dyDescent="0.2">
      <c r="A296" s="1" t="str">
        <f>'SegEnds_NonXtal_Prot#'!A286</f>
        <v>drd3_human</v>
      </c>
      <c r="B296" s="1" t="str">
        <f t="shared" si="100"/>
        <v>ARPHAYYALSYCALILAIVFGNGLVCMAVLKETTTNYLVVSLAVADLLVATLVMPWVVYLEVTSRICCDVFVTLDVMMCTASILNLCAISIDRYTAVVMSCRRVALMITAVWVLAFAVSCPLLFGNPDFVIYSSVVSFYLPFGVTVLVYARIYVVLKQRRRKRILTRRGVPLREKKATQMVAIVLGAFIVCWLPFFLTHVLNTHSPELYSATTWLGYVNSALNPVIYTTFNIEFRKAFLKILS</v>
      </c>
      <c r="C296" s="29" t="str">
        <f>IF(ISERROR(MATCH(A296,'SegEnds_Xtal_Prot#'!B:B, 0)), "NoXtal", "Xtal")</f>
        <v>Xtal</v>
      </c>
      <c r="D296" s="4" t="str">
        <f>VLOOKUP(A296,Classification!A:D,2,FALSE)</f>
        <v>A</v>
      </c>
      <c r="E296" s="5" t="str">
        <f>VLOOKUP(A296,Seqs!A:B,2,FALSE)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F296" s="5" t="str">
        <f t="shared" si="101"/>
        <v>ARPHAYYALSYCALILAIVFGNGLVCMAVLKE</v>
      </c>
      <c r="G296" s="4" t="str">
        <f t="shared" si="102"/>
        <v>RALQ</v>
      </c>
      <c r="H296" s="4" t="str">
        <f t="shared" si="103"/>
        <v>TTTNYLVVSLAVADLLVATLVMPWVVYLEVT</v>
      </c>
      <c r="I296" s="4" t="str">
        <f t="shared" si="104"/>
        <v>VWNF</v>
      </c>
      <c r="J296" s="4" t="str">
        <f t="shared" si="105"/>
        <v>SRICCDVFVTLDVMMCTASILNLCAISIDRYTAVVM</v>
      </c>
      <c r="K296" s="4" t="str">
        <f t="shared" si="106"/>
        <v>PVHYQHGTG</v>
      </c>
      <c r="L296" s="4" t="str">
        <f t="shared" si="107"/>
        <v>SCRRVALMITAVWVLAFAVSCPLLFG</v>
      </c>
      <c r="M296" s="4" t="str">
        <f t="shared" si="108"/>
        <v>CSI</v>
      </c>
      <c r="N296" s="4" t="str">
        <f t="shared" si="109"/>
        <v>NPDFVIYSSVVSFYLPFGVTVLVYARIYVVLKQRRRKRILTR</v>
      </c>
      <c r="O296" s="4" t="str">
        <f t="shared" si="110"/>
        <v>RGVPLREKKATQMVAIVLGAFIVCWLPFFLTHVLNTH</v>
      </c>
      <c r="P296" s="4" t="str">
        <f t="shared" si="111"/>
        <v>SPELYSATTWLGYVNSALNPVIYTTF</v>
      </c>
      <c r="Q296" s="4" t="str">
        <f t="shared" si="112"/>
        <v>NIEFRKAFLKILS</v>
      </c>
      <c r="R296" s="5">
        <f>VLOOKUP($A296,'SegEnds_NonXtal_Prot#'!$A:$AL,3,FALSE)</f>
        <v>26</v>
      </c>
      <c r="S296" s="5">
        <f>VLOOKUP($A296,'SegEnds_NonXtal_Prot#'!$A:$AL,6,FALSE)</f>
        <v>58</v>
      </c>
      <c r="T296" s="5">
        <f>VLOOKUP($A296,'SegEnds_NonXtal_Prot#'!$A:$AL,9,FALSE)</f>
        <v>62</v>
      </c>
      <c r="U296" s="5">
        <f>VLOOKUP($A296,'SegEnds_NonXtal_Prot#'!$A:$AL,12,FALSE)</f>
        <v>95</v>
      </c>
      <c r="V296" s="5">
        <f>VLOOKUP($A296,'SegEnds_NonXtal_Prot#'!$A:$AL,15,FALSE)</f>
        <v>99</v>
      </c>
      <c r="W296" s="5">
        <f>VLOOKUP($A296,'SegEnds_NonXtal_Prot#'!$A:$AL,18,FALSE)</f>
        <v>135</v>
      </c>
      <c r="X296" s="5">
        <f>VLOOKUP($A296,'SegEnds_NonXtal_Prot#'!$A:$AL,21,FALSE)</f>
        <v>146</v>
      </c>
      <c r="Y296" s="5">
        <f>VLOOKUP($A296,'SegEnds_NonXtal_Prot#'!$A:$AL,24,FALSE)</f>
        <v>181</v>
      </c>
      <c r="Z296" s="5">
        <f>VLOOKUP($A296,'SegEnds_NonXtal_Prot#'!$A:$AL,27,FALSE)</f>
        <v>185</v>
      </c>
      <c r="AA296" s="5">
        <f>VLOOKUP($A296,'SegEnds_NonXtal_Prot#'!$A:$AL,30,FALSE)</f>
        <v>318</v>
      </c>
      <c r="AB296" s="5">
        <f>VLOOKUP($A296,'SegEnds_NonXtal_Prot#'!$A:$AL,33,FALSE)</f>
        <v>361</v>
      </c>
      <c r="AC296" s="5">
        <f>VLOOKUP($A296,'SegEnds_NonXtal_Prot#'!$A:$AL,36,FALSE)</f>
        <v>387</v>
      </c>
      <c r="AD296" s="5">
        <f>VLOOKUP($A296,'SegEnds_NonXtal_Prot#'!$A:$AL,5,FALSE)</f>
        <v>57</v>
      </c>
      <c r="AE296" s="5">
        <f>VLOOKUP($A296,'SegEnds_NonXtal_Prot#'!$A:$AL,8,FALSE)</f>
        <v>61</v>
      </c>
      <c r="AF296" s="5">
        <f>VLOOKUP($A296,'SegEnds_NonXtal_Prot#'!$A:$AL,11,FALSE)</f>
        <v>92</v>
      </c>
      <c r="AG296" s="5">
        <f>VLOOKUP($A296,'SegEnds_NonXtal_Prot#'!$A:$AL,14,FALSE)</f>
        <v>98</v>
      </c>
      <c r="AH296" s="5">
        <f>VLOOKUP($A296,'SegEnds_NonXtal_Prot#'!$A:$AL,17,FALSE)</f>
        <v>134</v>
      </c>
      <c r="AI296" s="5">
        <f>VLOOKUP($A296,'SegEnds_NonXtal_Prot#'!$A:$AL,20,FALSE)</f>
        <v>143</v>
      </c>
      <c r="AJ296" s="5">
        <f>VLOOKUP($A296,'SegEnds_NonXtal_Prot#'!$A:$AL,23,FALSE)</f>
        <v>171</v>
      </c>
      <c r="AK296" s="5">
        <f>VLOOKUP($A296,'SegEnds_NonXtal_Prot#'!$A:$AL,26,FALSE)</f>
        <v>183</v>
      </c>
      <c r="AL296" s="5">
        <f>VLOOKUP($A296,'SegEnds_NonXtal_Prot#'!$A:$AL,29,FALSE)</f>
        <v>226</v>
      </c>
      <c r="AM296" s="5">
        <f>VLOOKUP($A296,'SegEnds_NonXtal_Prot#'!$A:$AL,32,FALSE)</f>
        <v>354</v>
      </c>
      <c r="AN296" s="5">
        <f>VLOOKUP($A296,'SegEnds_NonXtal_Prot#'!$A:$AL,35,FALSE)</f>
        <v>386</v>
      </c>
      <c r="AO296" s="5">
        <f>VLOOKUP($A296,'SegEnds_NonXtal_Prot#'!$A:$AL,38,FALSE)</f>
        <v>399</v>
      </c>
      <c r="AP296" s="5">
        <f t="shared" si="113"/>
        <v>31</v>
      </c>
      <c r="AQ296" s="4">
        <f t="shared" si="114"/>
        <v>3</v>
      </c>
      <c r="AR296" s="4">
        <f t="shared" si="115"/>
        <v>30</v>
      </c>
      <c r="AS296" s="4">
        <f t="shared" si="116"/>
        <v>3</v>
      </c>
      <c r="AT296" s="4">
        <f t="shared" si="117"/>
        <v>35</v>
      </c>
      <c r="AU296" s="4">
        <f t="shared" si="118"/>
        <v>8</v>
      </c>
      <c r="AV296" s="4">
        <f t="shared" si="119"/>
        <v>25</v>
      </c>
      <c r="AW296" s="4">
        <f t="shared" si="120"/>
        <v>2</v>
      </c>
      <c r="AX296" s="4">
        <f t="shared" si="121"/>
        <v>41</v>
      </c>
      <c r="AY296" s="4">
        <f t="shared" si="122"/>
        <v>36</v>
      </c>
      <c r="AZ296" s="4">
        <f t="shared" si="123"/>
        <v>25</v>
      </c>
      <c r="BA296" s="4">
        <f t="shared" si="124"/>
        <v>12</v>
      </c>
    </row>
    <row r="297" spans="1:53" x14ac:dyDescent="0.2">
      <c r="A297" s="1" t="str">
        <f>'SegEnds_NonXtal_Prot#'!A287</f>
        <v>ackr1_human</v>
      </c>
      <c r="B297" s="1" t="str">
        <f t="shared" si="100"/>
        <v>SCNLLDDSALPFFILTSVLGILASSTVLFMLFRPCPGWPVLAQLAVGSALFSIVVPVLAPGLGSLCSLGYCVWYGSAFAQALLLGCHASLGHRLGAGVPGLTLGLTVGIWGVAALLTLPVTLASTELKALQATHTVACLAIFVLLPLGLFGAKGLKPGPWMNILWAWFIFWWPHGVVLGLDFLVRSKTCLAQQALDLLLNLAEALAILHCVATPLLLALFCHQATRTLLPSLPLPEGWSSH</v>
      </c>
      <c r="C297" s="29" t="str">
        <f>IF(ISERROR(MATCH(A297,'SegEnds_Xtal_Prot#'!B:B, 0)), "NoXtal", "Xtal")</f>
        <v>NoXtal</v>
      </c>
      <c r="D297" s="4" t="str">
        <f>VLOOKUP(A297,Classification!A:D,2,FALSE)</f>
        <v>A</v>
      </c>
      <c r="E297" s="5" t="str">
        <f>VLOOKUP(A297,Seqs!A:B,2,FALSE)</f>
        <v>MGNCLHRAELSPSTENSSQLDFEDVWNSSYGVNDSFPDGDYGANLEAAAPCHSCNLLDDSALPFFILTSVLGILASSTVLFMLFRPLFRWQLCPGWPVLAQLAVGSALFSIVVPVLAPGLGSTRSSALCSLGYCVWYGSAFAQALLLGCHASLGHRLGAGQVPGLTLGLTVGIWGVAALLTLPVTLASGASGGLCTLIYSTELKALQATHTVACLAIFVLLPLGLFGAKGLKKALGMGPGPWMNILWAWFIFWWPHGVVLGLDFLVRSKLLLLSTCLAQQALDLLLNLAEALAILHCVATPLLLALFCHQATRTLLPSLPLPEGWSSHLDTLGSKS</v>
      </c>
      <c r="F297" s="5" t="str">
        <f t="shared" si="101"/>
        <v>SCNLLDDSALPFFILTSVLGILASSTVLFMLFRP</v>
      </c>
      <c r="G297" s="4" t="str">
        <f t="shared" si="102"/>
        <v/>
      </c>
      <c r="H297" s="4" t="str">
        <f t="shared" si="103"/>
        <v>CPGWPVLAQLAVGSALFSIVVPVLAPGLGS</v>
      </c>
      <c r="I297" s="4" t="str">
        <f t="shared" si="104"/>
        <v/>
      </c>
      <c r="J297" s="4" t="str">
        <f t="shared" si="105"/>
        <v>LCSLGYCVWYGSAFAQALLLGCHASLGHRLGAG</v>
      </c>
      <c r="K297" s="4" t="str">
        <f t="shared" si="106"/>
        <v/>
      </c>
      <c r="L297" s="4" t="str">
        <f t="shared" si="107"/>
        <v>VPGLTLGLTVGIWGVAALLTLPVTLAS</v>
      </c>
      <c r="M297" s="4" t="str">
        <f t="shared" si="108"/>
        <v>CTL</v>
      </c>
      <c r="N297" s="4" t="str">
        <f t="shared" si="109"/>
        <v>TELKALQATHTVACLAIFVLLPLGLFGAKGLK</v>
      </c>
      <c r="O297" s="4" t="str">
        <f t="shared" si="110"/>
        <v>PGPWMNILWAWFIFWWPHGVVLGLDFLVRSK</v>
      </c>
      <c r="P297" s="4" t="str">
        <f t="shared" si="111"/>
        <v>TCLAQQALDLLLNLAEALAILHCVATPLLLALF</v>
      </c>
      <c r="Q297" s="4" t="str">
        <f t="shared" si="112"/>
        <v>CHQATRTLLPSLPLPEGWSSH</v>
      </c>
      <c r="R297" s="5">
        <f>VLOOKUP($A297,'SegEnds_NonXtal_Prot#'!$A:$AL,3,FALSE)</f>
        <v>53</v>
      </c>
      <c r="S297" s="5" t="str">
        <f>VLOOKUP($A297,'SegEnds_NonXtal_Prot#'!$A:$AL,6,FALSE)</f>
        <v>-</v>
      </c>
      <c r="T297" s="5">
        <f>VLOOKUP($A297,'SegEnds_NonXtal_Prot#'!$A:$AL,9,FALSE)</f>
        <v>93</v>
      </c>
      <c r="U297" s="5" t="str">
        <f>VLOOKUP($A297,'SegEnds_NonXtal_Prot#'!$A:$AL,12,FALSE)</f>
        <v>-</v>
      </c>
      <c r="V297" s="5">
        <f>VLOOKUP($A297,'SegEnds_NonXtal_Prot#'!$A:$AL,15,FALSE)</f>
        <v>128</v>
      </c>
      <c r="W297" s="5" t="str">
        <f>VLOOKUP($A297,'SegEnds_NonXtal_Prot#'!$A:$AL,18,FALSE)</f>
        <v>-</v>
      </c>
      <c r="X297" s="5">
        <f>VLOOKUP($A297,'SegEnds_NonXtal_Prot#'!$A:$AL,21,FALSE)</f>
        <v>162</v>
      </c>
      <c r="Y297" s="5">
        <f>VLOOKUP($A297,'SegEnds_NonXtal_Prot#'!$A:$AL,24,FALSE)</f>
        <v>195</v>
      </c>
      <c r="Z297" s="5">
        <f>VLOOKUP($A297,'SegEnds_NonXtal_Prot#'!$A:$AL,27,FALSE)</f>
        <v>201</v>
      </c>
      <c r="AA297" s="5">
        <f>VLOOKUP($A297,'SegEnds_NonXtal_Prot#'!$A:$AL,30,FALSE)</f>
        <v>239</v>
      </c>
      <c r="AB297" s="5">
        <f>VLOOKUP($A297,'SegEnds_NonXtal_Prot#'!$A:$AL,33,FALSE)</f>
        <v>275</v>
      </c>
      <c r="AC297" s="5">
        <f>VLOOKUP($A297,'SegEnds_NonXtal_Prot#'!$A:$AL,36,FALSE)</f>
        <v>308</v>
      </c>
      <c r="AD297" s="5">
        <f>VLOOKUP($A297,'SegEnds_NonXtal_Prot#'!$A:$AL,5,FALSE)</f>
        <v>86</v>
      </c>
      <c r="AE297" s="5" t="str">
        <f>VLOOKUP($A297,'SegEnds_NonXtal_Prot#'!$A:$AL,8,FALSE)</f>
        <v>-</v>
      </c>
      <c r="AF297" s="5">
        <f>VLOOKUP($A297,'SegEnds_NonXtal_Prot#'!$A:$AL,11,FALSE)</f>
        <v>122</v>
      </c>
      <c r="AG297" s="5" t="str">
        <f>VLOOKUP($A297,'SegEnds_NonXtal_Prot#'!$A:$AL,14,FALSE)</f>
        <v>-</v>
      </c>
      <c r="AH297" s="5">
        <f>VLOOKUP($A297,'SegEnds_NonXtal_Prot#'!$A:$AL,17,FALSE)</f>
        <v>160</v>
      </c>
      <c r="AI297" s="5" t="str">
        <f>VLOOKUP($A297,'SegEnds_NonXtal_Prot#'!$A:$AL,20,FALSE)</f>
        <v>-</v>
      </c>
      <c r="AJ297" s="5">
        <f>VLOOKUP($A297,'SegEnds_NonXtal_Prot#'!$A:$AL,23,FALSE)</f>
        <v>188</v>
      </c>
      <c r="AK297" s="5">
        <f>VLOOKUP($A297,'SegEnds_NonXtal_Prot#'!$A:$AL,26,FALSE)</f>
        <v>197</v>
      </c>
      <c r="AL297" s="5">
        <f>VLOOKUP($A297,'SegEnds_NonXtal_Prot#'!$A:$AL,29,FALSE)</f>
        <v>232</v>
      </c>
      <c r="AM297" s="5">
        <f>VLOOKUP($A297,'SegEnds_NonXtal_Prot#'!$A:$AL,32,FALSE)</f>
        <v>269</v>
      </c>
      <c r="AN297" s="5">
        <f>VLOOKUP($A297,'SegEnds_NonXtal_Prot#'!$A:$AL,35,FALSE)</f>
        <v>307</v>
      </c>
      <c r="AO297" s="5">
        <f>VLOOKUP($A297,'SegEnds_NonXtal_Prot#'!$A:$AL,38,FALSE)</f>
        <v>328</v>
      </c>
      <c r="AP297" s="5">
        <f t="shared" si="113"/>
        <v>33</v>
      </c>
      <c r="AQ297" s="4" t="str">
        <f t="shared" si="114"/>
        <v>-</v>
      </c>
      <c r="AR297" s="4">
        <f t="shared" si="115"/>
        <v>29</v>
      </c>
      <c r="AS297" s="4" t="str">
        <f t="shared" si="116"/>
        <v>-</v>
      </c>
      <c r="AT297" s="4">
        <f t="shared" si="117"/>
        <v>32</v>
      </c>
      <c r="AU297" s="4" t="str">
        <f t="shared" si="118"/>
        <v>-</v>
      </c>
      <c r="AV297" s="4">
        <f t="shared" si="119"/>
        <v>26</v>
      </c>
      <c r="AW297" s="4">
        <f t="shared" si="120"/>
        <v>2</v>
      </c>
      <c r="AX297" s="4">
        <f t="shared" si="121"/>
        <v>31</v>
      </c>
      <c r="AY297" s="4">
        <f t="shared" si="122"/>
        <v>30</v>
      </c>
      <c r="AZ297" s="4">
        <f t="shared" si="123"/>
        <v>32</v>
      </c>
      <c r="BA297" s="4">
        <f t="shared" si="124"/>
        <v>20</v>
      </c>
    </row>
    <row r="298" spans="1:53" x14ac:dyDescent="0.2">
      <c r="A298" s="1" t="str">
        <f>'SegEnds_NonXtal_Prot#'!A288</f>
        <v>ackr3_human</v>
      </c>
      <c r="B298" s="1" t="str">
        <f t="shared" si="100"/>
        <v>VLLYTLSFIYIFIFVIGMIANSVVVWVNIQAYDTHCYILNLAIADLWVVLTIPVWVVSLVQGELTCKVTHLIFSINLFGSIFFLTCMSVDRYLSITYKKMVRRVVCILVWLLAFCVSLPDTYYLWLIGMELVSVVLGFAVPFSIIAVFYFLLARAISASKHSSRKIIFSYVVVFLVCWLPYHVAVLLDIFSILHTCRLEHALFTALHVTQCLSLVHCCVNPVLYSFINRNYRYELMKAFIFK</v>
      </c>
      <c r="C298" s="29" t="str">
        <f>IF(ISERROR(MATCH(A298,'SegEnds_Xtal_Prot#'!B:B, 0)), "NoXtal", "Xtal")</f>
        <v>NoXtal</v>
      </c>
      <c r="D298" s="4" t="str">
        <f>VLOOKUP(A298,Classification!A:D,2,FALSE)</f>
        <v>A</v>
      </c>
      <c r="E298" s="5" t="str">
        <f>VLOOKUP(A298,Seqs!A:B,2,FALSE)</f>
        <v>MDLHLFDYSEPGNFSDISWPCNSSDCIVVDTVMCPNMPNKSVLLYTLSFIYIFIFVIGMIANSVVVWVNIQAKTTGYDTHCYILNLAIADLWVVLTIPVWVVSLVQHNQWPMGELTCKVTHLIFSINLFGSIFFLTCMSVDRYLSITYFTNTPSSRKKMVRRVVCILVWLLAFCVSLPDTYYLKTVTSASNNETYCRSFYPEHSIKEWLIGMELVSVVLGFAVPFSIIAVFYFLLARAISASSDQEKHSSRKIIFSYVVVFLVCWLPYHVAVLLDIFSILHYIPFTCRLEHALFTALHVTQCLSLVHCCVNPVLYSFINRNYRYELMKAFIFKYSAKTGLTKLIDASRVSETEYSALEQSTK</v>
      </c>
      <c r="F298" s="5" t="str">
        <f t="shared" si="101"/>
        <v>VLLYTLSFIYIFIFVIGMIANSVVVWVNIQA</v>
      </c>
      <c r="G298" s="4" t="str">
        <f t="shared" si="102"/>
        <v>KTTG</v>
      </c>
      <c r="H298" s="4" t="str">
        <f t="shared" si="103"/>
        <v>YDTHCYILNLAIADLWVVLTIPVWVVSLVQ</v>
      </c>
      <c r="I298" s="4" t="str">
        <f t="shared" si="104"/>
        <v>QWPM</v>
      </c>
      <c r="J298" s="4" t="str">
        <f t="shared" si="105"/>
        <v>GELTCKVTHLIFSINLFGSIFFLTCMSVDRYLSITY</v>
      </c>
      <c r="K298" s="4" t="str">
        <f t="shared" si="106"/>
        <v/>
      </c>
      <c r="L298" s="4" t="str">
        <f t="shared" si="107"/>
        <v>KKMVRRVVCILVWLLAFCVSLPDTYYL</v>
      </c>
      <c r="M298" s="4" t="str">
        <f t="shared" si="108"/>
        <v>CRS</v>
      </c>
      <c r="N298" s="4" t="str">
        <f t="shared" si="109"/>
        <v>WLIGMELVSVVLGFAVPFSIIAVFYFLLARAISAS</v>
      </c>
      <c r="O298" s="4" t="str">
        <f t="shared" si="110"/>
        <v>KHSSRKIIFSYVVVFLVCWLPYHVAVLLDIFSILH</v>
      </c>
      <c r="P298" s="4" t="str">
        <f t="shared" si="111"/>
        <v>TCRLEHALFTALHVTQCLSLVHCCVNPVLYSFI</v>
      </c>
      <c r="Q298" s="4" t="str">
        <f t="shared" si="112"/>
        <v>NRNYRYELMKAFIFK</v>
      </c>
      <c r="R298" s="5">
        <f>VLOOKUP($A298,'SegEnds_NonXtal_Prot#'!$A:$AL,3,FALSE)</f>
        <v>42</v>
      </c>
      <c r="S298" s="5">
        <f>VLOOKUP($A298,'SegEnds_NonXtal_Prot#'!$A:$AL,6,FALSE)</f>
        <v>73</v>
      </c>
      <c r="T298" s="5">
        <f>VLOOKUP($A298,'SegEnds_NonXtal_Prot#'!$A:$AL,9,FALSE)</f>
        <v>77</v>
      </c>
      <c r="U298" s="5">
        <f>VLOOKUP($A298,'SegEnds_NonXtal_Prot#'!$A:$AL,12,FALSE)</f>
        <v>109</v>
      </c>
      <c r="V298" s="5">
        <f>VLOOKUP($A298,'SegEnds_NonXtal_Prot#'!$A:$AL,15,FALSE)</f>
        <v>113</v>
      </c>
      <c r="W298" s="5" t="str">
        <f>VLOOKUP($A298,'SegEnds_NonXtal_Prot#'!$A:$AL,18,FALSE)</f>
        <v>-</v>
      </c>
      <c r="X298" s="5">
        <f>VLOOKUP($A298,'SegEnds_NonXtal_Prot#'!$A:$AL,21,FALSE)</f>
        <v>157</v>
      </c>
      <c r="Y298" s="5">
        <f>VLOOKUP($A298,'SegEnds_NonXtal_Prot#'!$A:$AL,24,FALSE)</f>
        <v>196</v>
      </c>
      <c r="Z298" s="5">
        <f>VLOOKUP($A298,'SegEnds_NonXtal_Prot#'!$A:$AL,27,FALSE)</f>
        <v>208</v>
      </c>
      <c r="AA298" s="5">
        <f>VLOOKUP($A298,'SegEnds_NonXtal_Prot#'!$A:$AL,30,FALSE)</f>
        <v>247</v>
      </c>
      <c r="AB298" s="5">
        <f>VLOOKUP($A298,'SegEnds_NonXtal_Prot#'!$A:$AL,33,FALSE)</f>
        <v>286</v>
      </c>
      <c r="AC298" s="5">
        <f>VLOOKUP($A298,'SegEnds_NonXtal_Prot#'!$A:$AL,36,FALSE)</f>
        <v>319</v>
      </c>
      <c r="AD298" s="5">
        <f>VLOOKUP($A298,'SegEnds_NonXtal_Prot#'!$A:$AL,5,FALSE)</f>
        <v>72</v>
      </c>
      <c r="AE298" s="5">
        <f>VLOOKUP($A298,'SegEnds_NonXtal_Prot#'!$A:$AL,8,FALSE)</f>
        <v>76</v>
      </c>
      <c r="AF298" s="5">
        <f>VLOOKUP($A298,'SegEnds_NonXtal_Prot#'!$A:$AL,11,FALSE)</f>
        <v>106</v>
      </c>
      <c r="AG298" s="5">
        <f>VLOOKUP($A298,'SegEnds_NonXtal_Prot#'!$A:$AL,14,FALSE)</f>
        <v>112</v>
      </c>
      <c r="AH298" s="5">
        <f>VLOOKUP($A298,'SegEnds_NonXtal_Prot#'!$A:$AL,17,FALSE)</f>
        <v>148</v>
      </c>
      <c r="AI298" s="5" t="str">
        <f>VLOOKUP($A298,'SegEnds_NonXtal_Prot#'!$A:$AL,20,FALSE)</f>
        <v>-</v>
      </c>
      <c r="AJ298" s="5">
        <f>VLOOKUP($A298,'SegEnds_NonXtal_Prot#'!$A:$AL,23,FALSE)</f>
        <v>183</v>
      </c>
      <c r="AK298" s="5">
        <f>VLOOKUP($A298,'SegEnds_NonXtal_Prot#'!$A:$AL,26,FALSE)</f>
        <v>198</v>
      </c>
      <c r="AL298" s="5">
        <f>VLOOKUP($A298,'SegEnds_NonXtal_Prot#'!$A:$AL,29,FALSE)</f>
        <v>242</v>
      </c>
      <c r="AM298" s="5">
        <f>VLOOKUP($A298,'SegEnds_NonXtal_Prot#'!$A:$AL,32,FALSE)</f>
        <v>281</v>
      </c>
      <c r="AN298" s="5">
        <f>VLOOKUP($A298,'SegEnds_NonXtal_Prot#'!$A:$AL,35,FALSE)</f>
        <v>318</v>
      </c>
      <c r="AO298" s="5">
        <f>VLOOKUP($A298,'SegEnds_NonXtal_Prot#'!$A:$AL,38,FALSE)</f>
        <v>333</v>
      </c>
      <c r="AP298" s="5">
        <f t="shared" si="113"/>
        <v>30</v>
      </c>
      <c r="AQ298" s="4">
        <f t="shared" si="114"/>
        <v>3</v>
      </c>
      <c r="AR298" s="4">
        <f t="shared" si="115"/>
        <v>29</v>
      </c>
      <c r="AS298" s="4">
        <f t="shared" si="116"/>
        <v>3</v>
      </c>
      <c r="AT298" s="4">
        <f t="shared" si="117"/>
        <v>35</v>
      </c>
      <c r="AU298" s="4" t="str">
        <f t="shared" si="118"/>
        <v>-</v>
      </c>
      <c r="AV298" s="4">
        <f t="shared" si="119"/>
        <v>26</v>
      </c>
      <c r="AW298" s="4">
        <f t="shared" si="120"/>
        <v>2</v>
      </c>
      <c r="AX298" s="4">
        <f t="shared" si="121"/>
        <v>34</v>
      </c>
      <c r="AY298" s="4">
        <f t="shared" si="122"/>
        <v>34</v>
      </c>
      <c r="AZ298" s="4">
        <f t="shared" si="123"/>
        <v>32</v>
      </c>
      <c r="BA298" s="4">
        <f t="shared" si="124"/>
        <v>14</v>
      </c>
    </row>
    <row r="299" spans="1:53" x14ac:dyDescent="0.2">
      <c r="A299" s="1" t="str">
        <f>'SegEnds_NonXtal_Prot#'!A289</f>
        <v>ackr4_human</v>
      </c>
      <c r="B299" s="1" t="str">
        <f t="shared" si="100"/>
        <v>VREFAKVFLPVFLTIVFVIGLAGNSMVVAIYAYYTKTDVYILNLAVADLLLLFTLPFWAVNAVHGKIMCKITSALYTLNFVSGMQFLACISIDRYVAVTKVGKPCWIICFCVWMAAILLSIPQLVFYSMKALIQMLEICIGFVVPFLIMGVCYFITARTLMKMISRPLKVLLTVVIVFIVTQLPYNIVKFCRAIDIIYSCNMSKRMDIAIQVTESIALFHSCLNPILYVFMGASFKNYVMKVAKKYGSWRRQ</v>
      </c>
      <c r="C299" s="29" t="str">
        <f>IF(ISERROR(MATCH(A299,'SegEnds_Xtal_Prot#'!B:B, 0)), "NoXtal", "Xtal")</f>
        <v>NoXtal</v>
      </c>
      <c r="D299" s="4" t="str">
        <f>VLOOKUP(A299,Classification!A:D,2,FALSE)</f>
        <v>A</v>
      </c>
      <c r="E299" s="5" t="str">
        <f>VLOOKUP(A299,Seqs!A:B,2,FALSE)</f>
        <v>MALEQNQSTDYYYEENEMNGTYDYSQYELICIKEDVREFAKVFLPVFLTIVFVIGLAGNSMVVAIYAYYKKQRTKTDVYILNLAVADLLLLFTLPFWAVNAVHGWVLGKIMCKITSALYTLNFVSGMQFLACISIDRYVAVTKVPSQSGVGKPCWIICFCVWMAAILLSIPQLVFYTVNDNARCIPIFPRYLGTSMKALIQMLEICIGFVVPFLIMGVCYFITARTLMKMPNIKISRPLKVLLTVVIVFIVTQLPYNIVKFCRAIDIIYSLITSCNMSKRMDIAIQVTESIALFHSCLNPILYVFMGASFKNYVMKVAKKYGSWRRQRQSVEEFPFDSEGPTEPTSTFSI</v>
      </c>
      <c r="F299" s="5" t="str">
        <f t="shared" si="101"/>
        <v>VREFAKVFLPVFLTIVFVIGLAGNSMVVAIYAYY</v>
      </c>
      <c r="G299" s="4" t="str">
        <f t="shared" si="102"/>
        <v>KKQR</v>
      </c>
      <c r="H299" s="4" t="str">
        <f t="shared" si="103"/>
        <v>TKTDVYILNLAVADLLLLFTLPFWAVNAVH</v>
      </c>
      <c r="I299" s="4" t="str">
        <f t="shared" si="104"/>
        <v>GWVL</v>
      </c>
      <c r="J299" s="4" t="str">
        <f t="shared" si="105"/>
        <v>GKIMCKITSALYTLNFVSGMQFLACISIDRYVAVTK</v>
      </c>
      <c r="K299" s="4" t="str">
        <f t="shared" si="106"/>
        <v/>
      </c>
      <c r="L299" s="4" t="str">
        <f t="shared" si="107"/>
        <v>VGKPCWIICFCVWMAAILLSIPQLVFY</v>
      </c>
      <c r="M299" s="4" t="str">
        <f t="shared" si="108"/>
        <v>CIP</v>
      </c>
      <c r="N299" s="4" t="str">
        <f t="shared" si="109"/>
        <v>SMKALIQMLEICIGFVVPFLIMGVCYFITARTLMKM</v>
      </c>
      <c r="O299" s="4" t="str">
        <f t="shared" si="110"/>
        <v>ISRPLKVLLTVVIVFIVTQLPYNIVKFCRAIDIIY</v>
      </c>
      <c r="P299" s="4" t="str">
        <f t="shared" si="111"/>
        <v>SCNMSKRMDIAIQVTESIALFHSCLNPILYVFM</v>
      </c>
      <c r="Q299" s="4" t="str">
        <f t="shared" si="112"/>
        <v>GASFKNYVMKVAKKYGSWRRQ</v>
      </c>
      <c r="R299" s="5">
        <f>VLOOKUP($A299,'SegEnds_NonXtal_Prot#'!$A:$AL,3,FALSE)</f>
        <v>36</v>
      </c>
      <c r="S299" s="5">
        <f>VLOOKUP($A299,'SegEnds_NonXtal_Prot#'!$A:$AL,6,FALSE)</f>
        <v>70</v>
      </c>
      <c r="T299" s="5">
        <f>VLOOKUP($A299,'SegEnds_NonXtal_Prot#'!$A:$AL,9,FALSE)</f>
        <v>74</v>
      </c>
      <c r="U299" s="5">
        <f>VLOOKUP($A299,'SegEnds_NonXtal_Prot#'!$A:$AL,12,FALSE)</f>
        <v>104</v>
      </c>
      <c r="V299" s="5">
        <f>VLOOKUP($A299,'SegEnds_NonXtal_Prot#'!$A:$AL,15,FALSE)</f>
        <v>108</v>
      </c>
      <c r="W299" s="5" t="str">
        <f>VLOOKUP($A299,'SegEnds_NonXtal_Prot#'!$A:$AL,18,FALSE)</f>
        <v>-</v>
      </c>
      <c r="X299" s="5">
        <f>VLOOKUP($A299,'SegEnds_NonXtal_Prot#'!$A:$AL,21,FALSE)</f>
        <v>150</v>
      </c>
      <c r="Y299" s="5">
        <f>VLOOKUP($A299,'SegEnds_NonXtal_Prot#'!$A:$AL,24,FALSE)</f>
        <v>184</v>
      </c>
      <c r="Z299" s="5">
        <f>VLOOKUP($A299,'SegEnds_NonXtal_Prot#'!$A:$AL,27,FALSE)</f>
        <v>195</v>
      </c>
      <c r="AA299" s="5">
        <f>VLOOKUP($A299,'SegEnds_NonXtal_Prot#'!$A:$AL,30,FALSE)</f>
        <v>235</v>
      </c>
      <c r="AB299" s="5">
        <f>VLOOKUP($A299,'SegEnds_NonXtal_Prot#'!$A:$AL,33,FALSE)</f>
        <v>274</v>
      </c>
      <c r="AC299" s="5">
        <f>VLOOKUP($A299,'SegEnds_NonXtal_Prot#'!$A:$AL,36,FALSE)</f>
        <v>307</v>
      </c>
      <c r="AD299" s="5">
        <f>VLOOKUP($A299,'SegEnds_NonXtal_Prot#'!$A:$AL,5,FALSE)</f>
        <v>69</v>
      </c>
      <c r="AE299" s="5">
        <f>VLOOKUP($A299,'SegEnds_NonXtal_Prot#'!$A:$AL,8,FALSE)</f>
        <v>73</v>
      </c>
      <c r="AF299" s="5">
        <f>VLOOKUP($A299,'SegEnds_NonXtal_Prot#'!$A:$AL,11,FALSE)</f>
        <v>103</v>
      </c>
      <c r="AG299" s="5">
        <f>VLOOKUP($A299,'SegEnds_NonXtal_Prot#'!$A:$AL,14,FALSE)</f>
        <v>107</v>
      </c>
      <c r="AH299" s="5">
        <f>VLOOKUP($A299,'SegEnds_NonXtal_Prot#'!$A:$AL,17,FALSE)</f>
        <v>143</v>
      </c>
      <c r="AI299" s="5" t="str">
        <f>VLOOKUP($A299,'SegEnds_NonXtal_Prot#'!$A:$AL,20,FALSE)</f>
        <v>-</v>
      </c>
      <c r="AJ299" s="5">
        <f>VLOOKUP($A299,'SegEnds_NonXtal_Prot#'!$A:$AL,23,FALSE)</f>
        <v>176</v>
      </c>
      <c r="AK299" s="5">
        <f>VLOOKUP($A299,'SegEnds_NonXtal_Prot#'!$A:$AL,26,FALSE)</f>
        <v>186</v>
      </c>
      <c r="AL299" s="5">
        <f>VLOOKUP($A299,'SegEnds_NonXtal_Prot#'!$A:$AL,29,FALSE)</f>
        <v>230</v>
      </c>
      <c r="AM299" s="5">
        <f>VLOOKUP($A299,'SegEnds_NonXtal_Prot#'!$A:$AL,32,FALSE)</f>
        <v>269</v>
      </c>
      <c r="AN299" s="5">
        <f>VLOOKUP($A299,'SegEnds_NonXtal_Prot#'!$A:$AL,35,FALSE)</f>
        <v>306</v>
      </c>
      <c r="AO299" s="5">
        <f>VLOOKUP($A299,'SegEnds_NonXtal_Prot#'!$A:$AL,38,FALSE)</f>
        <v>327</v>
      </c>
      <c r="AP299" s="5">
        <f t="shared" si="113"/>
        <v>33</v>
      </c>
      <c r="AQ299" s="4">
        <f t="shared" si="114"/>
        <v>3</v>
      </c>
      <c r="AR299" s="4">
        <f t="shared" si="115"/>
        <v>29</v>
      </c>
      <c r="AS299" s="4">
        <f t="shared" si="116"/>
        <v>3</v>
      </c>
      <c r="AT299" s="4">
        <f t="shared" si="117"/>
        <v>35</v>
      </c>
      <c r="AU299" s="4" t="str">
        <f t="shared" si="118"/>
        <v>-</v>
      </c>
      <c r="AV299" s="4">
        <f t="shared" si="119"/>
        <v>26</v>
      </c>
      <c r="AW299" s="4">
        <f t="shared" si="120"/>
        <v>2</v>
      </c>
      <c r="AX299" s="4">
        <f t="shared" si="121"/>
        <v>35</v>
      </c>
      <c r="AY299" s="4">
        <f t="shared" si="122"/>
        <v>34</v>
      </c>
      <c r="AZ299" s="4">
        <f t="shared" si="123"/>
        <v>32</v>
      </c>
      <c r="BA299" s="4">
        <f t="shared" si="124"/>
        <v>20</v>
      </c>
    </row>
    <row r="300" spans="1:53" x14ac:dyDescent="0.2">
      <c r="A300" s="1" t="str">
        <f>'SegEnds_NonXtal_Prot#'!A290</f>
        <v>agra1_human</v>
      </c>
      <c r="B300" s="1" t="str">
        <f t="shared" si="100"/>
        <v>SLPRYPGEFLHPVVYACTAVMLLCLLASFVTYIVHQSAISRKGRHTLLNFCFHAALTFTVFAGGIILCQAVGIVLHYSTLSTMLWIGVTARNIYKQVTKQPLLRFYLVSGGVPFIICGVTAATNIRNYWEPSLGAFYGPAAIITLVTCVYFLGTYVQLRRHPSFQAQLRAAAFTLFLFTATWAFGALFLDMVFSCLYGAFCVTLGLFVLIHHCAKREDVWQCWWACCPPRKD</v>
      </c>
      <c r="C300" s="29" t="str">
        <f>IF(ISERROR(MATCH(A300,'SegEnds_Xtal_Prot#'!B:B, 0)), "NoXtal", "Xtal")</f>
        <v>NoXtal</v>
      </c>
      <c r="D300" s="4" t="str">
        <f>VLOOKUP(A300,Classification!A:D,2,FALSE)</f>
        <v>B2</v>
      </c>
      <c r="E300" s="5" t="str">
        <f>VLOOKUP(A300,Seqs!A:B,2,FALSE)</f>
        <v>MDLKTVLSLPRYPGEFLHPVVYACTAVMLLCLLASFVTYIVHQSAIRISRKGRHTLLNFCFHAALTFTVFAGGINRTKYPILCQAVGIVLHYSTLSTMLWIGVTARNIYKQVTKKAPLCLDTDQPPYPRQPLLRFYLVSGGVPFIICGVTAATNIRNYGTEDEDTAYCWMAWEPSLGAFYGPAAIITLVTCVYFLGTYVQLRRHPGRRYELRTQPEEQRRLATPEGGRGIRPGTPPAHDAPGASVLQNEHSFQAQLRAAAFTLFLFTATWAFGALAVSQGHFLDMVFSCLYGAFCVTLGLFVLIHHCAKREDVWQCWWACCPPRKDAHPALDANGAALGRAACLHSPGLGQPRGFAHPPGPCKMTNLQAAQGHASCLSPATPCCAKMHCEPLTADEAHVHLQEEGAFGHDPHLHGCLQGRTKPPYFSRHPAEEPEYAYHIPSSLDGSPRSSRTDSPPSSLDGPAGTHTLACCTQGDPFPMVTQPEGSDGSPALYSCPTQPGREAALGPGHLEMLRRTQSLPFGGPSQNGLPKGKLLEGLPFGTDGTGNIRTGPWKNETTV</v>
      </c>
      <c r="F300" s="5" t="str">
        <f t="shared" si="101"/>
        <v>SLPRYPGEFLHPVVYACTAVMLLCLLASFVTYIVHQSA</v>
      </c>
      <c r="G300" s="4" t="str">
        <f t="shared" si="102"/>
        <v/>
      </c>
      <c r="H300" s="4" t="str">
        <f t="shared" si="103"/>
        <v>ISRKGRHTLLNFCFHAALTFTVFAGGI</v>
      </c>
      <c r="I300" s="4" t="str">
        <f t="shared" si="104"/>
        <v/>
      </c>
      <c r="J300" s="4" t="str">
        <f t="shared" si="105"/>
        <v>ILCQAVGIVLHYSTLSTMLWIGVTARNIYKQVTK</v>
      </c>
      <c r="K300" s="4" t="str">
        <f t="shared" si="106"/>
        <v/>
      </c>
      <c r="L300" s="4" t="str">
        <f t="shared" si="107"/>
        <v>QPLLRFYLVSGGVPFIICGVTAATNIRNY</v>
      </c>
      <c r="M300" s="4" t="str">
        <f t="shared" si="108"/>
        <v>CWM</v>
      </c>
      <c r="N300" s="4" t="str">
        <f t="shared" si="109"/>
        <v>WEPSLGAFYGPAAIITLVTCVYFLGTYVQLRRHP</v>
      </c>
      <c r="O300" s="4" t="str">
        <f t="shared" si="110"/>
        <v>SFQAQLRAAAFTLFLFTATWAFGAL</v>
      </c>
      <c r="P300" s="4" t="str">
        <f t="shared" si="111"/>
        <v>FLDMVFSCLYGAFCVTLGLFVLIHHCAK</v>
      </c>
      <c r="Q300" s="4" t="str">
        <f t="shared" si="112"/>
        <v>REDVWQCWWACCPPRKD</v>
      </c>
      <c r="R300" s="5">
        <f>VLOOKUP($A300,'SegEnds_NonXtal_Prot#'!$A:$AL,3,FALSE)</f>
        <v>8</v>
      </c>
      <c r="S300" s="5" t="str">
        <f>VLOOKUP($A300,'SegEnds_NonXtal_Prot#'!$A:$AL,6,FALSE)</f>
        <v>-</v>
      </c>
      <c r="T300" s="5">
        <f>VLOOKUP($A300,'SegEnds_NonXtal_Prot#'!$A:$AL,9,FALSE)</f>
        <v>48</v>
      </c>
      <c r="U300" s="5" t="str">
        <f>VLOOKUP($A300,'SegEnds_NonXtal_Prot#'!$A:$AL,12,FALSE)</f>
        <v>-</v>
      </c>
      <c r="V300" s="5">
        <f>VLOOKUP($A300,'SegEnds_NonXtal_Prot#'!$A:$AL,15,FALSE)</f>
        <v>81</v>
      </c>
      <c r="W300" s="5" t="str">
        <f>VLOOKUP($A300,'SegEnds_NonXtal_Prot#'!$A:$AL,18,FALSE)</f>
        <v>-</v>
      </c>
      <c r="X300" s="5">
        <f>VLOOKUP($A300,'SegEnds_NonXtal_Prot#'!$A:$AL,21,FALSE)</f>
        <v>130</v>
      </c>
      <c r="Y300" s="5">
        <f>VLOOKUP($A300,'SegEnds_NonXtal_Prot#'!$A:$AL,24,FALSE)</f>
        <v>168</v>
      </c>
      <c r="Z300" s="5">
        <f>VLOOKUP($A300,'SegEnds_NonXtal_Prot#'!$A:$AL,27,FALSE)</f>
        <v>172</v>
      </c>
      <c r="AA300" s="5">
        <f>VLOOKUP($A300,'SegEnds_NonXtal_Prot#'!$A:$AL,30,FALSE)</f>
        <v>251</v>
      </c>
      <c r="AB300" s="5">
        <f>VLOOKUP($A300,'SegEnds_NonXtal_Prot#'!$A:$AL,33,FALSE)</f>
        <v>282</v>
      </c>
      <c r="AC300" s="5">
        <f>VLOOKUP($A300,'SegEnds_NonXtal_Prot#'!$A:$AL,36,FALSE)</f>
        <v>310</v>
      </c>
      <c r="AD300" s="5">
        <f>VLOOKUP($A300,'SegEnds_NonXtal_Prot#'!$A:$AL,5,FALSE)</f>
        <v>45</v>
      </c>
      <c r="AE300" s="5" t="str">
        <f>VLOOKUP($A300,'SegEnds_NonXtal_Prot#'!$A:$AL,8,FALSE)</f>
        <v>-</v>
      </c>
      <c r="AF300" s="5">
        <f>VLOOKUP($A300,'SegEnds_NonXtal_Prot#'!$A:$AL,11,FALSE)</f>
        <v>74</v>
      </c>
      <c r="AG300" s="5" t="str">
        <f>VLOOKUP($A300,'SegEnds_NonXtal_Prot#'!$A:$AL,14,FALSE)</f>
        <v>-</v>
      </c>
      <c r="AH300" s="5">
        <f>VLOOKUP($A300,'SegEnds_NonXtal_Prot#'!$A:$AL,17,FALSE)</f>
        <v>114</v>
      </c>
      <c r="AI300" s="5" t="str">
        <f>VLOOKUP($A300,'SegEnds_NonXtal_Prot#'!$A:$AL,20,FALSE)</f>
        <v>-</v>
      </c>
      <c r="AJ300" s="5">
        <f>VLOOKUP($A300,'SegEnds_NonXtal_Prot#'!$A:$AL,23,FALSE)</f>
        <v>158</v>
      </c>
      <c r="AK300" s="5">
        <f>VLOOKUP($A300,'SegEnds_NonXtal_Prot#'!$A:$AL,26,FALSE)</f>
        <v>170</v>
      </c>
      <c r="AL300" s="5">
        <f>VLOOKUP($A300,'SegEnds_NonXtal_Prot#'!$A:$AL,29,FALSE)</f>
        <v>205</v>
      </c>
      <c r="AM300" s="5">
        <f>VLOOKUP($A300,'SegEnds_NonXtal_Prot#'!$A:$AL,32,FALSE)</f>
        <v>275</v>
      </c>
      <c r="AN300" s="5">
        <f>VLOOKUP($A300,'SegEnds_NonXtal_Prot#'!$A:$AL,35,FALSE)</f>
        <v>309</v>
      </c>
      <c r="AO300" s="5">
        <f>VLOOKUP($A300,'SegEnds_NonXtal_Prot#'!$A:$AL,38,FALSE)</f>
        <v>326</v>
      </c>
      <c r="AP300" s="5">
        <f t="shared" si="113"/>
        <v>37</v>
      </c>
      <c r="AQ300" s="4" t="str">
        <f t="shared" si="114"/>
        <v>-</v>
      </c>
      <c r="AR300" s="4">
        <f t="shared" si="115"/>
        <v>26</v>
      </c>
      <c r="AS300" s="4" t="str">
        <f t="shared" si="116"/>
        <v>-</v>
      </c>
      <c r="AT300" s="4">
        <f t="shared" si="117"/>
        <v>33</v>
      </c>
      <c r="AU300" s="4" t="str">
        <f t="shared" si="118"/>
        <v>-</v>
      </c>
      <c r="AV300" s="4">
        <f t="shared" si="119"/>
        <v>28</v>
      </c>
      <c r="AW300" s="4">
        <f t="shared" si="120"/>
        <v>2</v>
      </c>
      <c r="AX300" s="4">
        <f t="shared" si="121"/>
        <v>33</v>
      </c>
      <c r="AY300" s="4">
        <f t="shared" si="122"/>
        <v>24</v>
      </c>
      <c r="AZ300" s="4">
        <f t="shared" si="123"/>
        <v>27</v>
      </c>
      <c r="BA300" s="4">
        <f t="shared" si="124"/>
        <v>16</v>
      </c>
    </row>
    <row r="301" spans="1:53" x14ac:dyDescent="0.2">
      <c r="A301" s="1" t="str">
        <f>'SegEnds_NonXtal_Prot#'!A291</f>
        <v>agra2_human</v>
      </c>
      <c r="B301" s="1" t="str">
        <f t="shared" si="100"/>
        <v>REVGGAGAGLHPVVYPCTALLLLCLFATIITYILNHSSVSRKGWHMLLNLCFHIAMTSAVFAGGIMVCQAVGITLHYSSLSTLLWMGVKARVLHKELTWSPMLRFYLIAGGIPLIICGITAAVNIHNYWRPSLGAFYIPVALILLITWIYFLCAGLRLRGPLSPGVQLGALVTTHFLYLAMWACGALLPRVVCSCLYGVAASALGLFVFTHHCARRRDVRASWRACCPPASP</v>
      </c>
      <c r="C301" s="29" t="str">
        <f>IF(ISERROR(MATCH(A301,'SegEnds_Xtal_Prot#'!B:B, 0)), "NoXtal", "Xtal")</f>
        <v>NoXtal</v>
      </c>
      <c r="D301" s="4" t="str">
        <f>VLOOKUP(A301,Classification!A:D,2,FALSE)</f>
        <v>B2</v>
      </c>
      <c r="E301" s="5" t="str">
        <f>VLOOKUP(A301,Seqs!A:B,2,FALSE)</f>
        <v>MGAGGRRMRGAPARLLLPLLPWLLLLLAPEARGAPGCPLSIRSCKCSGERPKGLSGGVPGPARRRVVCSGGDLPEPPEPGLLPNGTVTLLLSNNKITGLRNGSFLGLSLLEKLDLRNNIISTVQPGAFLGLGELKRLDLSNNRIGCLTSETFQGLPRLLRLNISGNIFSSLQPGVFDELPALKVVDLGTEFLTCDCHLRWLLPWAQNRSLQLSEHTLCAYPSALHAQALGSLQEAQLCCEGALELHTHHLIPSLRQVVFQGDRLPFQCSASYLGNDTRIRWYHNRAPVEGDEQAGILLAESLIHDCTFITSELTLSHIGVWASGEWECTVSMAQGNASKKVEIVVLETSASYCPAERVANNRGDFRWPRTLAGITAYQSCLQYPFTSVPLGGGAPGTRASRRCDRAGRWEPGDYSHCLYTNDITRVLYTFVLMPINASNALTLAHQLRVYTAEAASFSDMMDVVYVAQMIQKFLGYVDQIKELVEVMVDMASNLMLVDEHLLWLAQREDKACSRIVGALERIGGAALSPHAQHISVNARNVALEAYLIKPHSYVGLTCTAFQRREGGVPGTRPGSPGQNPPPEPEPPADQQLRFRCTTGRPNVSLSSFHIKNSVALASIQLPPSLFSSLPAALAPPVPPDCTLQLLVFRNGRLFHSHSNTSRPGAAGPGKRRGVATPVIFAGTSGCGVGNLTEPVAVSLRHWAEGAEPVAAWWSQEGPGEAGGWTSEGCQLRSSQPNVSALHCQHLGNVAVLMELSAFPREVGGAGAGLHPVVYPCTALLLLCLFATIITYILNHSSIRVSRKGWHMLLNLCFHIAMTSAVFAGGITLTNYQMVCQAVGITLHYSSLSTLLWMGVKARVLHKELTWRAPPPQEGDPALPTPSPMLRFYLIAGGIPLIICGITAAVNIHNYRDHSPYCWLVWRPSLGAFYIPVALILLITWIYFLCAGLRLRGPLAQNPKAGNSRASLEAGEELRGSTRLRGSGPLLSDSGSLLATGSARVGTPGPPEDGDSLYSPGVQLGALVTTHFLYLAMWACGALAVSQRWLPRVVCSCLYGVAASALGLFVFTHHCARRRDVRASWRACCPPASPAAPHAPPRALPAAAEDGSPVFGEGPPSLKSSPSGSSGHPLALGPCKLTNLQLAQSQVCEAGAAAGGEGEPEPAGTRGNLAHRHPNNVHHGRRAHKSRAKGHRAGEACGKNRLKALRGGAAGALELLSSESGSLHNSPTDSYLGSSRNSPGAGLQLEGEPMLTPSEGSDTSAAPLSEAGRAGQRRSASRDSLKGGGALEKESHRRSYPLNAASLNGAPKGGKYDDVTLMGAEVASGGCMKTGLWKSETTV</v>
      </c>
      <c r="F301" s="5" t="str">
        <f t="shared" si="101"/>
        <v>REVGGAGAGLHPVVYPCTALLLLCLFATIITYILNHSS</v>
      </c>
      <c r="G301" s="4" t="str">
        <f t="shared" si="102"/>
        <v/>
      </c>
      <c r="H301" s="4" t="str">
        <f t="shared" si="103"/>
        <v>VSRKGWHMLLNLCFHIAMTSAVFAGGI</v>
      </c>
      <c r="I301" s="4" t="str">
        <f t="shared" si="104"/>
        <v/>
      </c>
      <c r="J301" s="4" t="str">
        <f t="shared" si="105"/>
        <v>MVCQAVGITLHYSSLSTLLWMGVKARVLHKELTW</v>
      </c>
      <c r="K301" s="4" t="str">
        <f t="shared" si="106"/>
        <v/>
      </c>
      <c r="L301" s="4" t="str">
        <f t="shared" si="107"/>
        <v>SPMLRFYLIAGGIPLIICGITAAVNIHNY</v>
      </c>
      <c r="M301" s="4" t="str">
        <f t="shared" si="108"/>
        <v>CWL</v>
      </c>
      <c r="N301" s="4" t="str">
        <f t="shared" si="109"/>
        <v>WRPSLGAFYIPVALILLITWIYFLCAGLRLRGPL</v>
      </c>
      <c r="O301" s="4" t="str">
        <f t="shared" si="110"/>
        <v>SPGVQLGALVTTHFLYLAMWACGAL</v>
      </c>
      <c r="P301" s="4" t="str">
        <f t="shared" si="111"/>
        <v>LPRVVCSCLYGVAASALGLFVFTHHCAR</v>
      </c>
      <c r="Q301" s="4" t="str">
        <f t="shared" si="112"/>
        <v>RRDVRASWRACCPPASP</v>
      </c>
      <c r="R301" s="5">
        <f>VLOOKUP($A301,'SegEnds_NonXtal_Prot#'!$A:$AL,3,FALSE)</f>
        <v>760</v>
      </c>
      <c r="S301" s="5" t="str">
        <f>VLOOKUP($A301,'SegEnds_NonXtal_Prot#'!$A:$AL,6,FALSE)</f>
        <v>-</v>
      </c>
      <c r="T301" s="5">
        <f>VLOOKUP($A301,'SegEnds_NonXtal_Prot#'!$A:$AL,9,FALSE)</f>
        <v>800</v>
      </c>
      <c r="U301" s="5" t="str">
        <f>VLOOKUP($A301,'SegEnds_NonXtal_Prot#'!$A:$AL,12,FALSE)</f>
        <v>-</v>
      </c>
      <c r="V301" s="5">
        <f>VLOOKUP($A301,'SegEnds_NonXtal_Prot#'!$A:$AL,15,FALSE)</f>
        <v>833</v>
      </c>
      <c r="W301" s="5" t="str">
        <f>VLOOKUP($A301,'SegEnds_NonXtal_Prot#'!$A:$AL,18,FALSE)</f>
        <v>-</v>
      </c>
      <c r="X301" s="5">
        <f>VLOOKUP($A301,'SegEnds_NonXtal_Prot#'!$A:$AL,21,FALSE)</f>
        <v>882</v>
      </c>
      <c r="Y301" s="5">
        <f>VLOOKUP($A301,'SegEnds_NonXtal_Prot#'!$A:$AL,24,FALSE)</f>
        <v>917</v>
      </c>
      <c r="Z301" s="5">
        <f>VLOOKUP($A301,'SegEnds_NonXtal_Prot#'!$A:$AL,27,FALSE)</f>
        <v>921</v>
      </c>
      <c r="AA301" s="5">
        <f>VLOOKUP($A301,'SegEnds_NonXtal_Prot#'!$A:$AL,30,FALSE)</f>
        <v>1014</v>
      </c>
      <c r="AB301" s="5">
        <f>VLOOKUP($A301,'SegEnds_NonXtal_Prot#'!$A:$AL,33,FALSE)</f>
        <v>1045</v>
      </c>
      <c r="AC301" s="5">
        <f>VLOOKUP($A301,'SegEnds_NonXtal_Prot#'!$A:$AL,36,FALSE)</f>
        <v>1073</v>
      </c>
      <c r="AD301" s="5">
        <f>VLOOKUP($A301,'SegEnds_NonXtal_Prot#'!$A:$AL,5,FALSE)</f>
        <v>797</v>
      </c>
      <c r="AE301" s="5" t="str">
        <f>VLOOKUP($A301,'SegEnds_NonXtal_Prot#'!$A:$AL,8,FALSE)</f>
        <v>-</v>
      </c>
      <c r="AF301" s="5">
        <f>VLOOKUP($A301,'SegEnds_NonXtal_Prot#'!$A:$AL,11,FALSE)</f>
        <v>826</v>
      </c>
      <c r="AG301" s="5" t="str">
        <f>VLOOKUP($A301,'SegEnds_NonXtal_Prot#'!$A:$AL,14,FALSE)</f>
        <v>-</v>
      </c>
      <c r="AH301" s="5">
        <f>VLOOKUP($A301,'SegEnds_NonXtal_Prot#'!$A:$AL,17,FALSE)</f>
        <v>866</v>
      </c>
      <c r="AI301" s="5" t="str">
        <f>VLOOKUP($A301,'SegEnds_NonXtal_Prot#'!$A:$AL,20,FALSE)</f>
        <v>-</v>
      </c>
      <c r="AJ301" s="5">
        <f>VLOOKUP($A301,'SegEnds_NonXtal_Prot#'!$A:$AL,23,FALSE)</f>
        <v>910</v>
      </c>
      <c r="AK301" s="5">
        <f>VLOOKUP($A301,'SegEnds_NonXtal_Prot#'!$A:$AL,26,FALSE)</f>
        <v>919</v>
      </c>
      <c r="AL301" s="5">
        <f>VLOOKUP($A301,'SegEnds_NonXtal_Prot#'!$A:$AL,29,FALSE)</f>
        <v>954</v>
      </c>
      <c r="AM301" s="5">
        <f>VLOOKUP($A301,'SegEnds_NonXtal_Prot#'!$A:$AL,32,FALSE)</f>
        <v>1038</v>
      </c>
      <c r="AN301" s="5">
        <f>VLOOKUP($A301,'SegEnds_NonXtal_Prot#'!$A:$AL,35,FALSE)</f>
        <v>1072</v>
      </c>
      <c r="AO301" s="5">
        <f>VLOOKUP($A301,'SegEnds_NonXtal_Prot#'!$A:$AL,38,FALSE)</f>
        <v>1089</v>
      </c>
      <c r="AP301" s="5">
        <f t="shared" si="113"/>
        <v>37</v>
      </c>
      <c r="AQ301" s="4" t="str">
        <f t="shared" si="114"/>
        <v>-</v>
      </c>
      <c r="AR301" s="4">
        <f t="shared" si="115"/>
        <v>26</v>
      </c>
      <c r="AS301" s="4" t="str">
        <f t="shared" si="116"/>
        <v>-</v>
      </c>
      <c r="AT301" s="4">
        <f t="shared" si="117"/>
        <v>33</v>
      </c>
      <c r="AU301" s="4" t="str">
        <f t="shared" si="118"/>
        <v>-</v>
      </c>
      <c r="AV301" s="4">
        <f t="shared" si="119"/>
        <v>28</v>
      </c>
      <c r="AW301" s="4">
        <f t="shared" si="120"/>
        <v>2</v>
      </c>
      <c r="AX301" s="4">
        <f t="shared" si="121"/>
        <v>33</v>
      </c>
      <c r="AY301" s="4">
        <f t="shared" si="122"/>
        <v>24</v>
      </c>
      <c r="AZ301" s="4">
        <f t="shared" si="123"/>
        <v>27</v>
      </c>
      <c r="BA301" s="4">
        <f t="shared" si="124"/>
        <v>16</v>
      </c>
    </row>
    <row r="302" spans="1:53" x14ac:dyDescent="0.2">
      <c r="A302" s="1" t="str">
        <f>'SegEnds_NonXtal_Prot#'!A292</f>
        <v>agra3_human</v>
      </c>
      <c r="B302" s="1" t="str">
        <f t="shared" si="100"/>
        <v>ELYTQAASLLHPVVYTTAIILLLCLLAVIVSYIYHHSLISLKSWHMLVNLCFHIFLTCVVFVGGISICQAVGIILHYSTLATVLWVGVTARNIYKQVTKRPMLRFYLIGGGIPIIVCGITAAANIKNYWEPSLGAFYGPASFITFVNCMYFLSIFIQLKRHPTFHSQLLGASLTLLLYVALWMFGALPLDLVFSFVFGATSLSFSAFFVVHHCVNREDVRLAWIMTCCPGRS</v>
      </c>
      <c r="C302" s="29" t="str">
        <f>IF(ISERROR(MATCH(A302,'SegEnds_Xtal_Prot#'!B:B, 0)), "NoXtal", "Xtal")</f>
        <v>NoXtal</v>
      </c>
      <c r="D302" s="4" t="str">
        <f>VLOOKUP(A302,Classification!A:D,2,FALSE)</f>
        <v>B2</v>
      </c>
      <c r="E302" s="5" t="str">
        <f>VLOOKUP(A302,Seqs!A:B,2,FALSE)</f>
        <v>MEPPGRRRGRAQPPLLLPLSLLALLALLGGGGGGGAAALPAGCKHDGRPRGAGRAAGAAEGKVVCSSLELAQVLPPDTLPNRTVTLILSNNKISELKNGSFSGLSLLERLDLRNNLISSIDPGAFWGLSSLKRLDLTNNRIGCLNADIFRGLTNLVRLNLSGNLFSSLSQGTFDYLASLRSLEFQTEYLLCDCNILWMHRWVKEKNITVRDTRCVYPKSLQAQPVTGVKQELLTCDPPLELPSFYMTPSHRQVVFEGDSLPFQCMASYIDQDMQVLWYQDGRIVETDESQGIFVEKNMIHNCSLIASALTISNIQAGSTGNWGCHVQTKRGNNTRTVDIVVLESSAQYCPPERVVNNKGDFRWPRTLAGITAYLQCTRNTHGSGIYPGNPQDERKAWRRCDRGGFWADDDYSRCQYANDVTRVLYMFNQMPLNLTNAVATARQLLAYTVEAANFSDKMDVIFVAEMIEKFGRFTKEEKSKELGDVMVDIASNIMLADERVLWLAQREAKACSRIVQCLQRIATYRLAGGAHVYSTYSPNIALEAYVIKSTGFTGMTCTVFQKVAASDRTGLSDYGRRDPEGNLDKQLSFKCNVSNTFSSLALKNTIVEASIQLPPSLFSPKQKRELRPTDDSLYKLQLIAFRNGKLFPATGNSTNLADDGKRRTVVTPVILTKIDGVNVDTHHIPVNVTLRRIAHGADAVAARWDFDLLNGQGGWKSDGCHILYSDENITTIQCYSLSNYAVLMDLTGSELYTQAASLLHPVVYTTAIILLLCLLAVIVSYIYHHSLIRISLKSWHMLVNLCFHIFLTCVVFVGGITQTRNASICQAVGIILHYSTLATVLWVGVTARNIYKQVTKKAKRCQDPDEPPPPPRPMLRFYLIGGGIPIIVCGITAAANIKNYGSRPNAPYCWMAWEPSLGAFYGPASFITFVNCMYFLSIFIQLKRHPERKYELKEPTEEQQRLAANENGEINHQDSMSLSLISTSALENEHTFHSQLLGASLTLLLYVALWMFGALAVSLYYPLDLVFSFVFGATSLSFSAFFVVHHCVNREDVRLAWIMTCCPGRSSYSVQVNVQPPNSNGTNGEAPKCPNSSAESSCTNKSASSFKNSSQGCKLTNLQAAAAQCHANSLPLNSTPQLDNSLTEHSMDNDIKMHVAPLEVQFRTNVHSSRHHKNRSKGHRASRLTVLREYAYDVPTSVEGSVQNGLPKSRLGNNEGHSRSRRAYLAYRERQYNPPQQDSSDACSTLPKSSRNFEKPVSTTSKKDALRKPAVVELENQQKSYGLNLAIQNGPIKSNGQEGPLLGTDSTGNVRTGLWKHETTV</v>
      </c>
      <c r="F302" s="5" t="str">
        <f t="shared" si="101"/>
        <v>ELYTQAASLLHPVVYTTAIILLLCLLAVIVSYIYHHSL</v>
      </c>
      <c r="G302" s="4" t="str">
        <f t="shared" si="102"/>
        <v/>
      </c>
      <c r="H302" s="4" t="str">
        <f t="shared" si="103"/>
        <v>ISLKSWHMLVNLCFHIFLTCVVFVGGI</v>
      </c>
      <c r="I302" s="4" t="str">
        <f t="shared" si="104"/>
        <v/>
      </c>
      <c r="J302" s="4" t="str">
        <f t="shared" si="105"/>
        <v>SICQAVGIILHYSTLATVLWVGVTARNIYKQVTK</v>
      </c>
      <c r="K302" s="4" t="str">
        <f t="shared" si="106"/>
        <v/>
      </c>
      <c r="L302" s="4" t="str">
        <f t="shared" si="107"/>
        <v>RPMLRFYLIGGGIPIIVCGITAAANIKNY</v>
      </c>
      <c r="M302" s="4" t="str">
        <f t="shared" si="108"/>
        <v>CWM</v>
      </c>
      <c r="N302" s="4" t="str">
        <f t="shared" si="109"/>
        <v>WEPSLGAFYGPASFITFVNCMYFLSIFIQLKRHP</v>
      </c>
      <c r="O302" s="4" t="str">
        <f t="shared" si="110"/>
        <v>TFHSQLLGASLTLLLYVALWMFGAL</v>
      </c>
      <c r="P302" s="4" t="str">
        <f t="shared" si="111"/>
        <v>PLDLVFSFVFGATSLSFSAFFVVHHCVN</v>
      </c>
      <c r="Q302" s="4" t="str">
        <f t="shared" si="112"/>
        <v>REDVRLAWIMTCCPGRS</v>
      </c>
      <c r="R302" s="5">
        <f>VLOOKUP($A302,'SegEnds_NonXtal_Prot#'!$A:$AL,3,FALSE)</f>
        <v>750</v>
      </c>
      <c r="S302" s="5" t="str">
        <f>VLOOKUP($A302,'SegEnds_NonXtal_Prot#'!$A:$AL,6,FALSE)</f>
        <v>-</v>
      </c>
      <c r="T302" s="5">
        <f>VLOOKUP($A302,'SegEnds_NonXtal_Prot#'!$A:$AL,9,FALSE)</f>
        <v>790</v>
      </c>
      <c r="U302" s="5" t="str">
        <f>VLOOKUP($A302,'SegEnds_NonXtal_Prot#'!$A:$AL,12,FALSE)</f>
        <v>-</v>
      </c>
      <c r="V302" s="5">
        <f>VLOOKUP($A302,'SegEnds_NonXtal_Prot#'!$A:$AL,15,FALSE)</f>
        <v>823</v>
      </c>
      <c r="W302" s="5" t="str">
        <f>VLOOKUP($A302,'SegEnds_NonXtal_Prot#'!$A:$AL,18,FALSE)</f>
        <v>-</v>
      </c>
      <c r="X302" s="5">
        <f>VLOOKUP($A302,'SegEnds_NonXtal_Prot#'!$A:$AL,21,FALSE)</f>
        <v>872</v>
      </c>
      <c r="Y302" s="5">
        <f>VLOOKUP($A302,'SegEnds_NonXtal_Prot#'!$A:$AL,24,FALSE)</f>
        <v>909</v>
      </c>
      <c r="Z302" s="5">
        <f>VLOOKUP($A302,'SegEnds_NonXtal_Prot#'!$A:$AL,27,FALSE)</f>
        <v>913</v>
      </c>
      <c r="AA302" s="5">
        <f>VLOOKUP($A302,'SegEnds_NonXtal_Prot#'!$A:$AL,30,FALSE)</f>
        <v>991</v>
      </c>
      <c r="AB302" s="5">
        <f>VLOOKUP($A302,'SegEnds_NonXtal_Prot#'!$A:$AL,33,FALSE)</f>
        <v>1022</v>
      </c>
      <c r="AC302" s="5">
        <f>VLOOKUP($A302,'SegEnds_NonXtal_Prot#'!$A:$AL,36,FALSE)</f>
        <v>1050</v>
      </c>
      <c r="AD302" s="5">
        <f>VLOOKUP($A302,'SegEnds_NonXtal_Prot#'!$A:$AL,5,FALSE)</f>
        <v>787</v>
      </c>
      <c r="AE302" s="5" t="str">
        <f>VLOOKUP($A302,'SegEnds_NonXtal_Prot#'!$A:$AL,8,FALSE)</f>
        <v>-</v>
      </c>
      <c r="AF302" s="5">
        <f>VLOOKUP($A302,'SegEnds_NonXtal_Prot#'!$A:$AL,11,FALSE)</f>
        <v>816</v>
      </c>
      <c r="AG302" s="5" t="str">
        <f>VLOOKUP($A302,'SegEnds_NonXtal_Prot#'!$A:$AL,14,FALSE)</f>
        <v>-</v>
      </c>
      <c r="AH302" s="5">
        <f>VLOOKUP($A302,'SegEnds_NonXtal_Prot#'!$A:$AL,17,FALSE)</f>
        <v>856</v>
      </c>
      <c r="AI302" s="5" t="str">
        <f>VLOOKUP($A302,'SegEnds_NonXtal_Prot#'!$A:$AL,20,FALSE)</f>
        <v>-</v>
      </c>
      <c r="AJ302" s="5">
        <f>VLOOKUP($A302,'SegEnds_NonXtal_Prot#'!$A:$AL,23,FALSE)</f>
        <v>900</v>
      </c>
      <c r="AK302" s="5">
        <f>VLOOKUP($A302,'SegEnds_NonXtal_Prot#'!$A:$AL,26,FALSE)</f>
        <v>911</v>
      </c>
      <c r="AL302" s="5">
        <f>VLOOKUP($A302,'SegEnds_NonXtal_Prot#'!$A:$AL,29,FALSE)</f>
        <v>946</v>
      </c>
      <c r="AM302" s="5">
        <f>VLOOKUP($A302,'SegEnds_NonXtal_Prot#'!$A:$AL,32,FALSE)</f>
        <v>1015</v>
      </c>
      <c r="AN302" s="5">
        <f>VLOOKUP($A302,'SegEnds_NonXtal_Prot#'!$A:$AL,35,FALSE)</f>
        <v>1049</v>
      </c>
      <c r="AO302" s="5">
        <f>VLOOKUP($A302,'SegEnds_NonXtal_Prot#'!$A:$AL,38,FALSE)</f>
        <v>1066</v>
      </c>
      <c r="AP302" s="5">
        <f t="shared" si="113"/>
        <v>37</v>
      </c>
      <c r="AQ302" s="4" t="str">
        <f t="shared" si="114"/>
        <v>-</v>
      </c>
      <c r="AR302" s="4">
        <f t="shared" si="115"/>
        <v>26</v>
      </c>
      <c r="AS302" s="4" t="str">
        <f t="shared" si="116"/>
        <v>-</v>
      </c>
      <c r="AT302" s="4">
        <f t="shared" si="117"/>
        <v>33</v>
      </c>
      <c r="AU302" s="4" t="str">
        <f t="shared" si="118"/>
        <v>-</v>
      </c>
      <c r="AV302" s="4">
        <f t="shared" si="119"/>
        <v>28</v>
      </c>
      <c r="AW302" s="4">
        <f t="shared" si="120"/>
        <v>2</v>
      </c>
      <c r="AX302" s="4">
        <f t="shared" si="121"/>
        <v>33</v>
      </c>
      <c r="AY302" s="4">
        <f t="shared" si="122"/>
        <v>24</v>
      </c>
      <c r="AZ302" s="4">
        <f t="shared" si="123"/>
        <v>27</v>
      </c>
      <c r="BA302" s="4">
        <f t="shared" si="124"/>
        <v>16</v>
      </c>
    </row>
    <row r="303" spans="1:53" x14ac:dyDescent="0.2">
      <c r="A303" s="1" t="str">
        <f>'SegEnds_NonXtal_Prot#'!A294</f>
        <v>agrb3_human</v>
      </c>
      <c r="B303" s="1" t="str">
        <f t="shared" si="100"/>
        <v>QPREIIMESSGTPSVTLIVGSGLSCLALITLAVVYAALSERSIILINFCLSIISSNILILVGQTQSICTTTTAFLHFFFLASFCWVLTEAWQSYMAVTGLIRKRFLCLGWGLPALVVATSVGFTRTKGEGGLLYAFVGPAAAVVLVNMVIGILVFNKLVSRDNAMASLWSSCVVLPLLALTWMSAVLSILFQILFAVFDSLQGFVIVMVHCILRREVQDAFRCRLRNCQD</v>
      </c>
      <c r="C303" s="29" t="str">
        <f>IF(ISERROR(MATCH(A303,'SegEnds_Xtal_Prot#'!B:B, 0)), "NoXtal", "Xtal")</f>
        <v>NoXtal</v>
      </c>
      <c r="D303" s="4" t="str">
        <f>VLOOKUP(A303,Classification!A:D,2,FALSE)</f>
        <v>B2</v>
      </c>
      <c r="E303" s="5" t="str">
        <f>VLOOKUP(A303,Seqs!A:B,2,FALSE)</f>
        <v>MKAVRNLLIYIFSTYLLVMFGFNAAQDFWCSTLVKGVIYGSYSVSEMFPKNFTNCTWTLENPDPTKYSIYLKFSKKDLSCSNFSLLAYQFDHFSHEKIKDLLRKNHSIMQLCNSKNAFVFLQYDKNFIQIRRVFPTNFPGLQKKGEEDQKSFFEFLVLNKVSPSQFGCHVLCTWLESCLKSENGRTESCGIMYTKCTCPQHLGEWGIDDQSLILLNNVVLPLNEQTEGCLTQELQTTQVCNLTREAKRPPKEEFGMMGDHTIKSQRPRSVHEKRVPQEQADAAKFMAQTGESGVEEWSQWSTCSVTCGQGSQVRTRTCVSPYGTHCSGPLRESRVCNNTALCPVHGVWEEWSPWSLCSFTCGRGQRTRTRSCTPPQYGGRPCEGPETHHKPCNIALCPVDGQWQEWSSWSQCSVTCSNGTQQRSRQCTAAAHGGSECRGPWAESRECYNPECTANGQWNQWGHWSGCSKSCDGGWERRIRTCQGAVITGQQCEGTGEEVRRCNEQRCPAPYEICPEDYLMSMVWKRTPAGDLAFNQCPLNATGTTSRRCSLSLHGVAFWEQPSFARCISNEYRHLQHSIKEHLAKGQRMLAGDGMSQVTKTLLDLTQRKNFYAGDLLMSVEILRNVTDTFKRASYIPASDGVQNFFQIVSNLLDEENKEKWEDAQQIYPGSIELMQVIEDFIHIVGMGMMDFQNSYLMTGNVVASIQKLPAASVLTDINFPMKGRKGMVDWARNSEDRVVIPKSIFTPVSSKELDESSVFVLGAVLYKNLDLILPTLRNYTVINSKIIVVTIRPEPKTTDSFLEIELAHLANGTLNPYCVLWDDSKTNESLGTWSTQGCKTVLTDASHTKCLCDRLSTFAILAQQPREIIMESSGTPSVTLIVGSGLSCLALITLAVVYAALWRYIRSERSIILINFCLSIISSNILILVGQTQTHNKSICTTTTAFLHFFFLASFCWVLTEAWQSYMAVTGKIRTRLIRKRFLCLGWGLPALVVATSVGFTRTKGYGTDHYCWLSLEGGLLYAFVGPAAAVVLVNMVIGILVFNKLVSRDGILDKKLKHRAGQMSEPHSGLTLKCAKCGVVSTTALSATTASNAMASLWSSCVVLPLLALTWMSAVLAMTDKRSILFQILFAVFDSLQGFVIVMVHCILRREVQDAFRCRLRNCQDPINADSSSSFPNGHAQIMTDFEKDVDIACRSVLHKDIGPCRAATITGTLSRISLNDDEEEKGTNPEGLSYSTLPGNVISKVIIQQPTGLHMPMSMNELSNPCLKKENSELRRTVYLCTDDNLRGADMDIVHPQERMMESDYIVMPRSSVNNQPSMKEESKMNIGMETLPHERLLHYKVNPEFNMNPPVMDQFNMNLEQHLAPQEHMQNLPFEPRTAVKNFMASELDDNAGLSRSETGSTISMSSLERRKSRYSDLDFEKVMHTRKRHMELFQELNQKFQTLDRFRDIPNTSSMENPAPNKNPWDTFKNPSEYPHYTTINVLDTEAKDALELRPAEWEKCLNLPLDVQEGDFQTEV</v>
      </c>
      <c r="F303" s="5" t="str">
        <f t="shared" si="101"/>
        <v>QPREIIMESSGTPSVTLIVGSGLSCLALITLAVVYAAL</v>
      </c>
      <c r="G303" s="4" t="str">
        <f t="shared" si="102"/>
        <v/>
      </c>
      <c r="H303" s="4" t="str">
        <f t="shared" si="103"/>
        <v>SERSIILINFCLSIISSNILILVGQTQ</v>
      </c>
      <c r="I303" s="4" t="str">
        <f t="shared" si="104"/>
        <v/>
      </c>
      <c r="J303" s="4" t="str">
        <f t="shared" si="105"/>
        <v>SICTTTTAFLHFFFLASFCWVLTEAWQSYMAVTG</v>
      </c>
      <c r="K303" s="4" t="str">
        <f t="shared" si="106"/>
        <v/>
      </c>
      <c r="L303" s="4" t="str">
        <f t="shared" si="107"/>
        <v>LIRKRFLCLGWGLPALVVATSVGFTRTKG</v>
      </c>
      <c r="M303" s="4" t="str">
        <f t="shared" si="108"/>
        <v>CWL</v>
      </c>
      <c r="N303" s="4" t="str">
        <f t="shared" si="109"/>
        <v>EGGLLYAFVGPAAAVVLVNMVIGILVFNKLVSRD</v>
      </c>
      <c r="O303" s="4" t="str">
        <f t="shared" si="110"/>
        <v>NAMASLWSSCVVLPLLALTWMSAVL</v>
      </c>
      <c r="P303" s="4" t="str">
        <f t="shared" si="111"/>
        <v>SILFQILFAVFDSLQGFVIVMVHCIL</v>
      </c>
      <c r="Q303" s="4" t="str">
        <f t="shared" si="112"/>
        <v>RREVQDAFRCRLRNCQD</v>
      </c>
      <c r="R303" s="5">
        <f>VLOOKUP($A303,'SegEnds_NonXtal_Prot#'!$A:$AL,3,FALSE)</f>
        <v>865</v>
      </c>
      <c r="S303" s="5" t="str">
        <f>VLOOKUP($A303,'SegEnds_NonXtal_Prot#'!$A:$AL,6,FALSE)</f>
        <v>-</v>
      </c>
      <c r="T303" s="5">
        <f>VLOOKUP($A303,'SegEnds_NonXtal_Prot#'!$A:$AL,9,FALSE)</f>
        <v>908</v>
      </c>
      <c r="U303" s="5" t="str">
        <f>VLOOKUP($A303,'SegEnds_NonXtal_Prot#'!$A:$AL,12,FALSE)</f>
        <v>-</v>
      </c>
      <c r="V303" s="5">
        <f>VLOOKUP($A303,'SegEnds_NonXtal_Prot#'!$A:$AL,15,FALSE)</f>
        <v>939</v>
      </c>
      <c r="W303" s="5" t="str">
        <f>VLOOKUP($A303,'SegEnds_NonXtal_Prot#'!$A:$AL,18,FALSE)</f>
        <v>-</v>
      </c>
      <c r="X303" s="5">
        <f>VLOOKUP($A303,'SegEnds_NonXtal_Prot#'!$A:$AL,21,FALSE)</f>
        <v>978</v>
      </c>
      <c r="Y303" s="5">
        <f>VLOOKUP($A303,'SegEnds_NonXtal_Prot#'!$A:$AL,24,FALSE)</f>
        <v>1013</v>
      </c>
      <c r="Z303" s="5">
        <f>VLOOKUP($A303,'SegEnds_NonXtal_Prot#'!$A:$AL,27,FALSE)</f>
        <v>1018</v>
      </c>
      <c r="AA303" s="5">
        <f>VLOOKUP($A303,'SegEnds_NonXtal_Prot#'!$A:$AL,30,FALSE)</f>
        <v>1094</v>
      </c>
      <c r="AB303" s="5">
        <f>VLOOKUP($A303,'SegEnds_NonXtal_Prot#'!$A:$AL,33,FALSE)</f>
        <v>1125</v>
      </c>
      <c r="AC303" s="5">
        <f>VLOOKUP($A303,'SegEnds_NonXtal_Prot#'!$A:$AL,36,FALSE)</f>
        <v>1151</v>
      </c>
      <c r="AD303" s="5">
        <f>VLOOKUP($A303,'SegEnds_NonXtal_Prot#'!$A:$AL,5,FALSE)</f>
        <v>902</v>
      </c>
      <c r="AE303" s="5" t="str">
        <f>VLOOKUP($A303,'SegEnds_NonXtal_Prot#'!$A:$AL,8,FALSE)</f>
        <v>-</v>
      </c>
      <c r="AF303" s="5">
        <f>VLOOKUP($A303,'SegEnds_NonXtal_Prot#'!$A:$AL,11,FALSE)</f>
        <v>934</v>
      </c>
      <c r="AG303" s="5" t="str">
        <f>VLOOKUP($A303,'SegEnds_NonXtal_Prot#'!$A:$AL,14,FALSE)</f>
        <v>-</v>
      </c>
      <c r="AH303" s="5">
        <f>VLOOKUP($A303,'SegEnds_NonXtal_Prot#'!$A:$AL,17,FALSE)</f>
        <v>972</v>
      </c>
      <c r="AI303" s="5" t="str">
        <f>VLOOKUP($A303,'SegEnds_NonXtal_Prot#'!$A:$AL,20,FALSE)</f>
        <v>-</v>
      </c>
      <c r="AJ303" s="5">
        <f>VLOOKUP($A303,'SegEnds_NonXtal_Prot#'!$A:$AL,23,FALSE)</f>
        <v>1006</v>
      </c>
      <c r="AK303" s="5">
        <f>VLOOKUP($A303,'SegEnds_NonXtal_Prot#'!$A:$AL,26,FALSE)</f>
        <v>1015</v>
      </c>
      <c r="AL303" s="5">
        <f>VLOOKUP($A303,'SegEnds_NonXtal_Prot#'!$A:$AL,29,FALSE)</f>
        <v>1051</v>
      </c>
      <c r="AM303" s="5">
        <f>VLOOKUP($A303,'SegEnds_NonXtal_Prot#'!$A:$AL,32,FALSE)</f>
        <v>1118</v>
      </c>
      <c r="AN303" s="5">
        <f>VLOOKUP($A303,'SegEnds_NonXtal_Prot#'!$A:$AL,35,FALSE)</f>
        <v>1150</v>
      </c>
      <c r="AO303" s="5">
        <f>VLOOKUP($A303,'SegEnds_NonXtal_Prot#'!$A:$AL,38,FALSE)</f>
        <v>1167</v>
      </c>
      <c r="AP303" s="5">
        <f t="shared" si="113"/>
        <v>37</v>
      </c>
      <c r="AQ303" s="4" t="str">
        <f t="shared" si="114"/>
        <v>-</v>
      </c>
      <c r="AR303" s="4">
        <f t="shared" si="115"/>
        <v>26</v>
      </c>
      <c r="AS303" s="4" t="str">
        <f t="shared" si="116"/>
        <v>-</v>
      </c>
      <c r="AT303" s="4">
        <f t="shared" si="117"/>
        <v>33</v>
      </c>
      <c r="AU303" s="4" t="str">
        <f t="shared" si="118"/>
        <v>-</v>
      </c>
      <c r="AV303" s="4">
        <f t="shared" si="119"/>
        <v>28</v>
      </c>
      <c r="AW303" s="4">
        <f t="shared" si="120"/>
        <v>2</v>
      </c>
      <c r="AX303" s="4">
        <f t="shared" si="121"/>
        <v>33</v>
      </c>
      <c r="AY303" s="4">
        <f t="shared" si="122"/>
        <v>24</v>
      </c>
      <c r="AZ303" s="4">
        <f t="shared" si="123"/>
        <v>25</v>
      </c>
      <c r="BA303" s="4">
        <f t="shared" si="124"/>
        <v>16</v>
      </c>
    </row>
    <row r="304" spans="1:53" x14ac:dyDescent="0.2">
      <c r="A304" s="1" t="str">
        <f>'SegEnds_NonXtal_Prot#'!A295</f>
        <v>agrd1_human</v>
      </c>
      <c r="B304" s="1" t="str">
        <f t="shared" si="100"/>
        <v>VPLELARGHQVALSSISYVGCSLSVLCLVATLVTFAVLTIRNQRYHIHANLSFAVLVAQVLLLISFRLTPCQVMAVLLHYFFLSAFAWMLVEGLHLYSMVIKSKHRYYYGMGWGFPLLICIISLSFAMDSYASGAIWAFVAPALFVIVVNIGILIAVTRVISQISAFKLTAKAVAVLLPILGTSWVFGVLAVVFQYMFATLNSLQGLFIFLFHCLLNSEVRAAFKHKTKVWSL</v>
      </c>
      <c r="C304" s="29" t="str">
        <f>IF(ISERROR(MATCH(A304,'SegEnds_Xtal_Prot#'!B:B, 0)), "NoXtal", "Xtal")</f>
        <v>NoXtal</v>
      </c>
      <c r="D304" s="4" t="str">
        <f>VLOOKUP(A304,Classification!A:D,2,FALSE)</f>
        <v>B2</v>
      </c>
      <c r="E304" s="5" t="str">
        <f>VLOOKUP(A304,Seqs!A:B,2,FALSE)</f>
        <v>MEKLLRLCCWYSWLLLFYYNFQVRGVYSRSQDHPGFQVLASASHYWPLENVDGIHELQDTTGDIVEGKVNKGIYLKEEKGVTLLYYGRYNSSCISKPEQCGPEGVTFSFFWKTQGEQSRPIPSAYGGQVISNGFKVCSSGGRGSVELYTRDNSMTWEASFSPPGPYWTHVLFTWKSKEGLKVYVNGTLSTSDPSGKVSRDYGESNVNLVIGSEQDQAKCYENGAFDEFIIWERALTPDEIAMYFTAAIGKHALLSSTLPSLFMTSTASPVMPTDAYHPIITNLTEERKTFQSPGVILSYLQNVSLSLPSKSLSEQTALNLTKTFLKAVGEILLLPGWIALSEDSAVVLSLIDTIDTVMGHVSSNLHGSTPQVTVEGSSAMAEFSVAKILPKTVNSSHYRFPAHGQSFIQIPHEAFHRHAWSTVVGLLYHSMHYYLNNIWPAHTKIAEAMHHQDCLLFATSHLISLEVSPPPTLSQNLSGSPLITVHLKHRLTRKQHSEATNSSNRVFVYCAFLDFSSGEGVWSNHGCALTRGNLTYSVCRCTHLTNFAILMQVVPLELARGHQVALSSISYVGCSLSVLCLVATLVTFAVLSSVSTIRNQRYHIHANLSFAVLVAQVLLLISFRLEPGTTPCQVMAVLLHYFFLSAFAWMLVEGLHLYSMVIKVFGSEDSKHRYYYGMGWGFPLLICIISLSFAMDSYGTSNNCWLSLASGAIWAFVAPALFVIVVNIGILIAVTRVISQISADNYKIHGDPSAFKLTAKAVAVLLPILGTSWVFGVLAVNGCAVVFQYMFATLNSLQGLFIFLFHCLLNSEVRAAFKHKTKVWSLTSSSARTSNAKPFHSDLMNGTRPGMASTKLSPWDKSSHSAHRVDLSAV</v>
      </c>
      <c r="F304" s="5" t="str">
        <f t="shared" si="101"/>
        <v>VPLELARGHQVALSSISYVGCSLSVLCLVATLVTFAVL</v>
      </c>
      <c r="G304" s="4" t="str">
        <f t="shared" si="102"/>
        <v>SSVS</v>
      </c>
      <c r="H304" s="4" t="str">
        <f t="shared" si="103"/>
        <v>TIRNQRYHIHANLSFAVLVAQVLLLISFRL</v>
      </c>
      <c r="I304" s="4" t="str">
        <f t="shared" si="104"/>
        <v/>
      </c>
      <c r="J304" s="4" t="str">
        <f t="shared" si="105"/>
        <v>TPCQVMAVLLHYFFLSAFAWMLVEGLHLYSMVIK</v>
      </c>
      <c r="K304" s="4" t="str">
        <f t="shared" si="106"/>
        <v/>
      </c>
      <c r="L304" s="4" t="str">
        <f t="shared" si="107"/>
        <v>SKHRYYYGMGWGFPLLICIISLSFAMDSY</v>
      </c>
      <c r="M304" s="4" t="str">
        <f t="shared" si="108"/>
        <v>CWL</v>
      </c>
      <c r="N304" s="4" t="str">
        <f t="shared" si="109"/>
        <v>ASGAIWAFVAPALFVIVVNIGILIAVTRVISQIS</v>
      </c>
      <c r="O304" s="4" t="str">
        <f t="shared" si="110"/>
        <v>AFKLTAKAVAVLLPILGTSWVFGVL</v>
      </c>
      <c r="P304" s="4" t="str">
        <f t="shared" si="111"/>
        <v>AVVFQYMFATLNSLQGLFIFLFHCLL</v>
      </c>
      <c r="Q304" s="4" t="str">
        <f t="shared" si="112"/>
        <v>NSEVRAAFKHKTKVWSL</v>
      </c>
      <c r="R304" s="5">
        <f>VLOOKUP($A304,'SegEnds_NonXtal_Prot#'!$A:$AL,3,FALSE)</f>
        <v>554</v>
      </c>
      <c r="S304" s="5">
        <f>VLOOKUP($A304,'SegEnds_NonXtal_Prot#'!$A:$AL,6,FALSE)</f>
        <v>592</v>
      </c>
      <c r="T304" s="5">
        <f>VLOOKUP($A304,'SegEnds_NonXtal_Prot#'!$A:$AL,9,FALSE)</f>
        <v>596</v>
      </c>
      <c r="U304" s="5" t="str">
        <f>VLOOKUP($A304,'SegEnds_NonXtal_Prot#'!$A:$AL,12,FALSE)</f>
        <v>-</v>
      </c>
      <c r="V304" s="5">
        <f>VLOOKUP($A304,'SegEnds_NonXtal_Prot#'!$A:$AL,15,FALSE)</f>
        <v>630</v>
      </c>
      <c r="W304" s="5" t="str">
        <f>VLOOKUP($A304,'SegEnds_NonXtal_Prot#'!$A:$AL,18,FALSE)</f>
        <v>-</v>
      </c>
      <c r="X304" s="5">
        <f>VLOOKUP($A304,'SegEnds_NonXtal_Prot#'!$A:$AL,21,FALSE)</f>
        <v>670</v>
      </c>
      <c r="Y304" s="5">
        <f>VLOOKUP($A304,'SegEnds_NonXtal_Prot#'!$A:$AL,24,FALSE)</f>
        <v>704</v>
      </c>
      <c r="Z304" s="5">
        <f>VLOOKUP($A304,'SegEnds_NonXtal_Prot#'!$A:$AL,27,FALSE)</f>
        <v>709</v>
      </c>
      <c r="AA304" s="5">
        <f>VLOOKUP($A304,'SegEnds_NonXtal_Prot#'!$A:$AL,30,FALSE)</f>
        <v>754</v>
      </c>
      <c r="AB304" s="5">
        <f>VLOOKUP($A304,'SegEnds_NonXtal_Prot#'!$A:$AL,33,FALSE)</f>
        <v>784</v>
      </c>
      <c r="AC304" s="5">
        <f>VLOOKUP($A304,'SegEnds_NonXtal_Prot#'!$A:$AL,36,FALSE)</f>
        <v>810</v>
      </c>
      <c r="AD304" s="5">
        <f>VLOOKUP($A304,'SegEnds_NonXtal_Prot#'!$A:$AL,5,FALSE)</f>
        <v>591</v>
      </c>
      <c r="AE304" s="5">
        <f>VLOOKUP($A304,'SegEnds_NonXtal_Prot#'!$A:$AL,8,FALSE)</f>
        <v>595</v>
      </c>
      <c r="AF304" s="5">
        <f>VLOOKUP($A304,'SegEnds_NonXtal_Prot#'!$A:$AL,11,FALSE)</f>
        <v>625</v>
      </c>
      <c r="AG304" s="5" t="str">
        <f>VLOOKUP($A304,'SegEnds_NonXtal_Prot#'!$A:$AL,14,FALSE)</f>
        <v>-</v>
      </c>
      <c r="AH304" s="5">
        <f>VLOOKUP($A304,'SegEnds_NonXtal_Prot#'!$A:$AL,17,FALSE)</f>
        <v>663</v>
      </c>
      <c r="AI304" s="5" t="str">
        <f>VLOOKUP($A304,'SegEnds_NonXtal_Prot#'!$A:$AL,20,FALSE)</f>
        <v>-</v>
      </c>
      <c r="AJ304" s="5">
        <f>VLOOKUP($A304,'SegEnds_NonXtal_Prot#'!$A:$AL,23,FALSE)</f>
        <v>698</v>
      </c>
      <c r="AK304" s="5">
        <f>VLOOKUP($A304,'SegEnds_NonXtal_Prot#'!$A:$AL,26,FALSE)</f>
        <v>706</v>
      </c>
      <c r="AL304" s="5">
        <f>VLOOKUP($A304,'SegEnds_NonXtal_Prot#'!$A:$AL,29,FALSE)</f>
        <v>742</v>
      </c>
      <c r="AM304" s="5">
        <f>VLOOKUP($A304,'SegEnds_NonXtal_Prot#'!$A:$AL,32,FALSE)</f>
        <v>778</v>
      </c>
      <c r="AN304" s="5">
        <f>VLOOKUP($A304,'SegEnds_NonXtal_Prot#'!$A:$AL,35,FALSE)</f>
        <v>809</v>
      </c>
      <c r="AO304" s="5">
        <f>VLOOKUP($A304,'SegEnds_NonXtal_Prot#'!$A:$AL,38,FALSE)</f>
        <v>826</v>
      </c>
      <c r="AP304" s="5">
        <f t="shared" si="113"/>
        <v>37</v>
      </c>
      <c r="AQ304" s="4">
        <f t="shared" si="114"/>
        <v>3</v>
      </c>
      <c r="AR304" s="4">
        <f t="shared" si="115"/>
        <v>29</v>
      </c>
      <c r="AS304" s="4" t="str">
        <f t="shared" si="116"/>
        <v>-</v>
      </c>
      <c r="AT304" s="4">
        <f t="shared" si="117"/>
        <v>33</v>
      </c>
      <c r="AU304" s="4" t="str">
        <f t="shared" si="118"/>
        <v>-</v>
      </c>
      <c r="AV304" s="4">
        <f t="shared" si="119"/>
        <v>28</v>
      </c>
      <c r="AW304" s="4">
        <f t="shared" si="120"/>
        <v>2</v>
      </c>
      <c r="AX304" s="4">
        <f t="shared" si="121"/>
        <v>33</v>
      </c>
      <c r="AY304" s="4">
        <f t="shared" si="122"/>
        <v>24</v>
      </c>
      <c r="AZ304" s="4">
        <f t="shared" si="123"/>
        <v>25</v>
      </c>
      <c r="BA304" s="4">
        <f t="shared" si="124"/>
        <v>16</v>
      </c>
    </row>
    <row r="305" spans="1:53" x14ac:dyDescent="0.2">
      <c r="A305" s="1" t="str">
        <f>'SegEnds_NonXtal_Prot#'!A296</f>
        <v>agrd2_human</v>
      </c>
      <c r="B305" s="1" t="str">
        <f t="shared" si="100"/>
        <v>YEVQRGPEEESLLRTLSFVGCGVSFCALTTTFLLFLVASERTTVHKNLTFSLASAEGFLMTSEWAVACVAVTVAMHFLFLVAFSWMLVEGLLLWRKVVAPGMRLYHATGWGVPVGIVAVTLAMLPHDYHTNAIWAFVGPVLFVLTANTCILARVVMITVSSAKPVLVLLPVLGLTWLAGILVHLAWAYAAVGLNSIQGLYIFLVYAACNEEVRSALQRMAEKKVA</v>
      </c>
      <c r="C305" s="29" t="str">
        <f>IF(ISERROR(MATCH(A305,'SegEnds_Xtal_Prot#'!B:B, 0)), "NoXtal", "Xtal")</f>
        <v>NoXtal</v>
      </c>
      <c r="D305" s="4" t="str">
        <f>VLOOKUP(A305,Classification!A:D,2,FALSE)</f>
        <v>B2</v>
      </c>
      <c r="E305" s="5" t="str">
        <f>VLOOKUP(A305,Seqs!A:B,2,FALSE)</f>
        <v>MDAPWGAGERWLHGAAVDRSGVSLGPPPTPQVNQGTLGPQVAPVAAGEVVKTAGGVCKFSGQRLSWWQAQESCEQQFGHLALQPPDGVLASRLRDPVWVGQREAPLRRPPQRRARTTAVLVFDERTADRAARLRSPLPELAALTACTHVQWDCASPDPAALFSVAAPALPNALQLRAFAEPGGVVRAALVVRGQHAPFLAAFRADGRWHHVCATWEQRGGRWALFSDGRRRAGARGLGAGHPVPSGGILVLGQDQDSLGGGFSVRHALSGNLTDFHLWARALSPAQLHRARACAPPSEGLLFRWDPGALDVTPSLLPTVWVRLLCPVPSEECPTWNPGPRSEGSELCLEPQPFLCCYRTEPYRRLQDAQSWPGQDVISRVNALANDIVLLPDPLSEVHGALSPAEASSFLGLLEHVLAMEMAPLGPAALLAVVRFLKRVVALGAGDPELLLTGPWEQLSQGVVSVASLVLEEQVADTWLSLREVIGGPMALVASVQRLAPLLSTSMTSERPRMRIQHRHAGLSGVTVIHSWFTSRVFQHTLEGPDLEPQAPASSEEANRVQRFLSTQVGSAIISSEVWDVTGEVNVAMTFHLQHRAQSPLFPPHPPSPYTGGAWATTGCSVAALYLDSTACFCNHSTSFAILLQIYEVQRGPEEESLLRTLSFVGCGVSFCALTTTFLLFLVAGVPKSERTTVHKNLTFSLASAEGFLMTSEWAKANEVACVAVTVAMHFLFLVAFSWMLVEGLLLWRKVVAVSMHPGPGMRLYHATGWGVPVGIVAVTLAMLPHDYVAPGHCWLNVHTNAIWAFVGPVLFVLTANTCILARVVMITVSSARRRARMLSPQPCLQQQIWTQIWATVKPVLVLLPVLGLTWLAGILVHLSPAWAYAAVGLNSIQGLYIFLVYAACNEEVRSALQRMAEKKVAEVLRALGVWGGAAKEHSLPFSVLPLFLPPKPSTPRHPLKAPA</v>
      </c>
      <c r="F305" s="5" t="str">
        <f t="shared" si="101"/>
        <v>YEVQRGPEEESLLRTLSFVGCGVSFCALTTTFLLFLVA</v>
      </c>
      <c r="G305" s="4" t="str">
        <f t="shared" si="102"/>
        <v/>
      </c>
      <c r="H305" s="4" t="str">
        <f t="shared" si="103"/>
        <v>SERTTVHKNLTFSLASAEGFLMTSEWA</v>
      </c>
      <c r="I305" s="4" t="str">
        <f t="shared" si="104"/>
        <v/>
      </c>
      <c r="J305" s="4" t="str">
        <f t="shared" si="105"/>
        <v>VACVAVTVAMHFLFLVAFSWMLVEGLLLWRKVVA</v>
      </c>
      <c r="K305" s="4" t="str">
        <f t="shared" si="106"/>
        <v/>
      </c>
      <c r="L305" s="4" t="str">
        <f t="shared" si="107"/>
        <v>PGMRLYHATGWGVPVGIVAVTLAMLPHDY</v>
      </c>
      <c r="M305" s="4" t="str">
        <f t="shared" si="108"/>
        <v>CWL</v>
      </c>
      <c r="N305" s="4" t="str">
        <f t="shared" si="109"/>
        <v>HTNAIWAFVGPVLFVLTANTCILARVVMITVSSA</v>
      </c>
      <c r="O305" s="4" t="str">
        <f t="shared" si="110"/>
        <v>KPVLVLLPVLGLTWLAGILVHL</v>
      </c>
      <c r="P305" s="4" t="str">
        <f t="shared" si="111"/>
        <v>AWAYAAVGLNSIQGLYIFLVYAAC</v>
      </c>
      <c r="Q305" s="4" t="str">
        <f t="shared" si="112"/>
        <v>NEEVRSALQRMAEKKVA</v>
      </c>
      <c r="R305" s="5">
        <f>VLOOKUP($A305,'SegEnds_NonXtal_Prot#'!$A:$AL,3,FALSE)</f>
        <v>646</v>
      </c>
      <c r="S305" s="5" t="str">
        <f>VLOOKUP($A305,'SegEnds_NonXtal_Prot#'!$A:$AL,6,FALSE)</f>
        <v>-</v>
      </c>
      <c r="T305" s="5">
        <f>VLOOKUP($A305,'SegEnds_NonXtal_Prot#'!$A:$AL,9,FALSE)</f>
        <v>688</v>
      </c>
      <c r="U305" s="5" t="str">
        <f>VLOOKUP($A305,'SegEnds_NonXtal_Prot#'!$A:$AL,12,FALSE)</f>
        <v>-</v>
      </c>
      <c r="V305" s="5">
        <f>VLOOKUP($A305,'SegEnds_NonXtal_Prot#'!$A:$AL,15,FALSE)</f>
        <v>719</v>
      </c>
      <c r="W305" s="5" t="str">
        <f>VLOOKUP($A305,'SegEnds_NonXtal_Prot#'!$A:$AL,18,FALSE)</f>
        <v>-</v>
      </c>
      <c r="X305" s="5">
        <f>VLOOKUP($A305,'SegEnds_NonXtal_Prot#'!$A:$AL,21,FALSE)</f>
        <v>759</v>
      </c>
      <c r="Y305" s="5">
        <f>VLOOKUP($A305,'SegEnds_NonXtal_Prot#'!$A:$AL,24,FALSE)</f>
        <v>793</v>
      </c>
      <c r="Z305" s="5">
        <f>VLOOKUP($A305,'SegEnds_NonXtal_Prot#'!$A:$AL,27,FALSE)</f>
        <v>798</v>
      </c>
      <c r="AA305" s="5">
        <f>VLOOKUP($A305,'SegEnds_NonXtal_Prot#'!$A:$AL,30,FALSE)</f>
        <v>857</v>
      </c>
      <c r="AB305" s="5">
        <f>VLOOKUP($A305,'SegEnds_NonXtal_Prot#'!$A:$AL,33,FALSE)</f>
        <v>881</v>
      </c>
      <c r="AC305" s="5">
        <f>VLOOKUP($A305,'SegEnds_NonXtal_Prot#'!$A:$AL,36,FALSE)</f>
        <v>905</v>
      </c>
      <c r="AD305" s="5">
        <f>VLOOKUP($A305,'SegEnds_NonXtal_Prot#'!$A:$AL,5,FALSE)</f>
        <v>683</v>
      </c>
      <c r="AE305" s="5" t="str">
        <f>VLOOKUP($A305,'SegEnds_NonXtal_Prot#'!$A:$AL,8,FALSE)</f>
        <v>-</v>
      </c>
      <c r="AF305" s="5">
        <f>VLOOKUP($A305,'SegEnds_NonXtal_Prot#'!$A:$AL,11,FALSE)</f>
        <v>714</v>
      </c>
      <c r="AG305" s="5" t="str">
        <f>VLOOKUP($A305,'SegEnds_NonXtal_Prot#'!$A:$AL,14,FALSE)</f>
        <v>-</v>
      </c>
      <c r="AH305" s="5">
        <f>VLOOKUP($A305,'SegEnds_NonXtal_Prot#'!$A:$AL,17,FALSE)</f>
        <v>752</v>
      </c>
      <c r="AI305" s="5" t="str">
        <f>VLOOKUP($A305,'SegEnds_NonXtal_Prot#'!$A:$AL,20,FALSE)</f>
        <v>-</v>
      </c>
      <c r="AJ305" s="5">
        <f>VLOOKUP($A305,'SegEnds_NonXtal_Prot#'!$A:$AL,23,FALSE)</f>
        <v>787</v>
      </c>
      <c r="AK305" s="5">
        <f>VLOOKUP($A305,'SegEnds_NonXtal_Prot#'!$A:$AL,26,FALSE)</f>
        <v>795</v>
      </c>
      <c r="AL305" s="5">
        <f>VLOOKUP($A305,'SegEnds_NonXtal_Prot#'!$A:$AL,29,FALSE)</f>
        <v>831</v>
      </c>
      <c r="AM305" s="5">
        <f>VLOOKUP($A305,'SegEnds_NonXtal_Prot#'!$A:$AL,32,FALSE)</f>
        <v>878</v>
      </c>
      <c r="AN305" s="5">
        <f>VLOOKUP($A305,'SegEnds_NonXtal_Prot#'!$A:$AL,35,FALSE)</f>
        <v>904</v>
      </c>
      <c r="AO305" s="5">
        <f>VLOOKUP($A305,'SegEnds_NonXtal_Prot#'!$A:$AL,38,FALSE)</f>
        <v>921</v>
      </c>
      <c r="AP305" s="5">
        <f t="shared" si="113"/>
        <v>37</v>
      </c>
      <c r="AQ305" s="4" t="str">
        <f t="shared" si="114"/>
        <v>-</v>
      </c>
      <c r="AR305" s="4">
        <f t="shared" si="115"/>
        <v>26</v>
      </c>
      <c r="AS305" s="4" t="str">
        <f t="shared" si="116"/>
        <v>-</v>
      </c>
      <c r="AT305" s="4">
        <f t="shared" si="117"/>
        <v>33</v>
      </c>
      <c r="AU305" s="4" t="str">
        <f t="shared" si="118"/>
        <v>-</v>
      </c>
      <c r="AV305" s="4">
        <f t="shared" si="119"/>
        <v>28</v>
      </c>
      <c r="AW305" s="4">
        <f t="shared" si="120"/>
        <v>2</v>
      </c>
      <c r="AX305" s="4">
        <f t="shared" si="121"/>
        <v>33</v>
      </c>
      <c r="AY305" s="4">
        <f t="shared" si="122"/>
        <v>21</v>
      </c>
      <c r="AZ305" s="4">
        <f t="shared" si="123"/>
        <v>23</v>
      </c>
      <c r="BA305" s="4">
        <f t="shared" si="124"/>
        <v>16</v>
      </c>
    </row>
    <row r="306" spans="1:53" x14ac:dyDescent="0.2">
      <c r="A306" s="1" t="str">
        <f>'SegEnds_NonXtal_Prot#'!A297</f>
        <v>agre1_human</v>
      </c>
      <c r="B306" s="1" t="str">
        <f t="shared" si="100"/>
        <v>IMASGELTMDFSLYIISHVGIIISLVCLVLAIATFLLCNHNTYLHLHLCVCLLLAKTLFLAGIHKMGCAIIAGFLHYLFLACFFWMLVEAVILFLMVRNKMLHICAFGYGLPMLVVVISASVQPQGYETGFIWSFLGPVCTVIVINSLLLTWTLWILRQRLDTRLLTFKAFAQLFILGCSWVLGIFAGVMAYLFTIINSLQGAFIFLIHCLLNGQVREEYKRWITGKTK</v>
      </c>
      <c r="C306" s="29" t="str">
        <f>IF(ISERROR(MATCH(A306,'SegEnds_Xtal_Prot#'!B:B, 0)), "NoXtal", "Xtal")</f>
        <v>NoXtal</v>
      </c>
      <c r="D306" s="4" t="str">
        <f>VLOOKUP(A306,Classification!A:D,2,FALSE)</f>
        <v>B2</v>
      </c>
      <c r="E306" s="5" t="str">
        <f>VLOOKUP(A306,Seqs!A:B,2,FALSE)</f>
        <v>MRGFNLLLFWGCCVMHSWEGHIRPTRKPNTKGNNCRDSTLCPAYATCTNTVDSYYCACKQGFLSSNGQNHFKDPGVRCKDIDECSQSPQPCGPNSSCKNLSGRYKCSCLDGFSSPTGNDWVPGKPGNFSCTDINECLTSSVCPEHSDCVNSMGSYSCSCQVGFISRNSTCEDVDECADPRACPEHATCNNTVGNYSCFCNPGFESSSGHLSFQGLKASCEDIDECTEMCPINSTCTNTPGSYFCTCHPGFAPSNGQLNFTDQGVECRDIDECRQDPSTCGPNSICTNALGSYSCGCIAGFHPNPEGSQKDGNFSCQRVLFKCKEDVIPDNKQIQQCQEGTAVKPAYVSFCAQINNIFSVLDKVCENKTTVVSLKNTTESFVPVLKQISTWTKFTKEETSSLATVFLESVESMTLASFWKPSANITPAVRTEYLDIESKVINKECSEENVTLDLVAKGDKMKIGCSTIEESESTETTGVAFVSFVGMESVLNERFFKDHQAPLTTSEIKLKMNSRVVGGIMTGEKKDGFSDPIIYTLENIQPKQKFERPICVSWSTDVKGGRWTSFGCVILEASETYTICSCNQMANLAVIMASGELTMDFSLYIISHVGIIISLVCLVLAIATFLLCRSIRNHNTYLHLHLCVCLLLAKTLFLAGIHKTDNKMGCAIIAGFLHYLFLACFFWMLVEAVILFLMVRNLKVVNYFSSRNIKMLHICAFGYGLPMLVVVISASVQPQGYGMHNRCWLNTETGFIWSFLGPVCTVIVINSLLLTWTLWILRQRLSSVNAEVSTLKDTRLLTFKAFAQLFILGCSWVLGIFQIGPVAGVMAYLFTIINSLQGAFIFLIHCLLNGQVREEYKRWITGKTKPSSQSQTSRILLSSMPSASKTG</v>
      </c>
      <c r="F306" s="5" t="str">
        <f t="shared" si="101"/>
        <v>IMASGELTMDFSLYIISHVGIIISLVCLVLAIATFLLC</v>
      </c>
      <c r="G306" s="4" t="str">
        <f t="shared" si="102"/>
        <v/>
      </c>
      <c r="H306" s="4" t="str">
        <f t="shared" si="103"/>
        <v>NHNTYLHLHLCVCLLLAKTLFLAGIHK</v>
      </c>
      <c r="I306" s="4" t="str">
        <f t="shared" si="104"/>
        <v/>
      </c>
      <c r="J306" s="4" t="str">
        <f t="shared" si="105"/>
        <v>MGCAIIAGFLHYLFLACFFWMLVEAVILFLMVRN</v>
      </c>
      <c r="K306" s="4" t="str">
        <f t="shared" si="106"/>
        <v/>
      </c>
      <c r="L306" s="4" t="str">
        <f t="shared" si="107"/>
        <v>KMLHICAFGYGLPMLVVVISASVQPQGY</v>
      </c>
      <c r="M306" s="4" t="str">
        <f t="shared" si="108"/>
        <v>CWL</v>
      </c>
      <c r="N306" s="4" t="str">
        <f t="shared" si="109"/>
        <v>ETGFIWSFLGPVCTVIVINSLLLTWTLWILRQRL</v>
      </c>
      <c r="O306" s="4" t="str">
        <f t="shared" si="110"/>
        <v>DTRLLTFKAFAQLFILGCSWVLGIF</v>
      </c>
      <c r="P306" s="4" t="str">
        <f t="shared" si="111"/>
        <v>AGVMAYLFTIINSLQGAFIFLIHCLL</v>
      </c>
      <c r="Q306" s="4" t="str">
        <f t="shared" si="112"/>
        <v>NGQVREEYKRWITGKTK</v>
      </c>
      <c r="R306" s="5">
        <f>VLOOKUP($A306,'SegEnds_NonXtal_Prot#'!$A:$AL,3,FALSE)</f>
        <v>590</v>
      </c>
      <c r="S306" s="5" t="str">
        <f>VLOOKUP($A306,'SegEnds_NonXtal_Prot#'!$A:$AL,6,FALSE)</f>
        <v>-</v>
      </c>
      <c r="T306" s="5">
        <f>VLOOKUP($A306,'SegEnds_NonXtal_Prot#'!$A:$AL,9,FALSE)</f>
        <v>632</v>
      </c>
      <c r="U306" s="5" t="str">
        <f>VLOOKUP($A306,'SegEnds_NonXtal_Prot#'!$A:$AL,12,FALSE)</f>
        <v>-</v>
      </c>
      <c r="V306" s="5">
        <f>VLOOKUP($A306,'SegEnds_NonXtal_Prot#'!$A:$AL,15,FALSE)</f>
        <v>663</v>
      </c>
      <c r="W306" s="5" t="str">
        <f>VLOOKUP($A306,'SegEnds_NonXtal_Prot#'!$A:$AL,18,FALSE)</f>
        <v>-</v>
      </c>
      <c r="X306" s="5">
        <f>VLOOKUP($A306,'SegEnds_NonXtal_Prot#'!$A:$AL,21,FALSE)</f>
        <v>709</v>
      </c>
      <c r="Y306" s="5">
        <f>VLOOKUP($A306,'SegEnds_NonXtal_Prot#'!$A:$AL,24,FALSE)</f>
        <v>742</v>
      </c>
      <c r="Z306" s="5">
        <f>VLOOKUP($A306,'SegEnds_NonXtal_Prot#'!$A:$AL,27,FALSE)</f>
        <v>747</v>
      </c>
      <c r="AA306" s="5">
        <f>VLOOKUP($A306,'SegEnds_NonXtal_Prot#'!$A:$AL,30,FALSE)</f>
        <v>792</v>
      </c>
      <c r="AB306" s="5">
        <f>VLOOKUP($A306,'SegEnds_NonXtal_Prot#'!$A:$AL,33,FALSE)</f>
        <v>822</v>
      </c>
      <c r="AC306" s="5">
        <f>VLOOKUP($A306,'SegEnds_NonXtal_Prot#'!$A:$AL,36,FALSE)</f>
        <v>848</v>
      </c>
      <c r="AD306" s="5">
        <f>VLOOKUP($A306,'SegEnds_NonXtal_Prot#'!$A:$AL,5,FALSE)</f>
        <v>627</v>
      </c>
      <c r="AE306" s="5" t="str">
        <f>VLOOKUP($A306,'SegEnds_NonXtal_Prot#'!$A:$AL,8,FALSE)</f>
        <v>-</v>
      </c>
      <c r="AF306" s="5">
        <f>VLOOKUP($A306,'SegEnds_NonXtal_Prot#'!$A:$AL,11,FALSE)</f>
        <v>658</v>
      </c>
      <c r="AG306" s="5" t="str">
        <f>VLOOKUP($A306,'SegEnds_NonXtal_Prot#'!$A:$AL,14,FALSE)</f>
        <v>-</v>
      </c>
      <c r="AH306" s="5">
        <f>VLOOKUP($A306,'SegEnds_NonXtal_Prot#'!$A:$AL,17,FALSE)</f>
        <v>696</v>
      </c>
      <c r="AI306" s="5" t="str">
        <f>VLOOKUP($A306,'SegEnds_NonXtal_Prot#'!$A:$AL,20,FALSE)</f>
        <v>-</v>
      </c>
      <c r="AJ306" s="5">
        <f>VLOOKUP($A306,'SegEnds_NonXtal_Prot#'!$A:$AL,23,FALSE)</f>
        <v>736</v>
      </c>
      <c r="AK306" s="5">
        <f>VLOOKUP($A306,'SegEnds_NonXtal_Prot#'!$A:$AL,26,FALSE)</f>
        <v>744</v>
      </c>
      <c r="AL306" s="5">
        <f>VLOOKUP($A306,'SegEnds_NonXtal_Prot#'!$A:$AL,29,FALSE)</f>
        <v>780</v>
      </c>
      <c r="AM306" s="5">
        <f>VLOOKUP($A306,'SegEnds_NonXtal_Prot#'!$A:$AL,32,FALSE)</f>
        <v>816</v>
      </c>
      <c r="AN306" s="5">
        <f>VLOOKUP($A306,'SegEnds_NonXtal_Prot#'!$A:$AL,35,FALSE)</f>
        <v>847</v>
      </c>
      <c r="AO306" s="5">
        <f>VLOOKUP($A306,'SegEnds_NonXtal_Prot#'!$A:$AL,38,FALSE)</f>
        <v>864</v>
      </c>
      <c r="AP306" s="5">
        <f t="shared" si="113"/>
        <v>37</v>
      </c>
      <c r="AQ306" s="4" t="str">
        <f t="shared" si="114"/>
        <v>-</v>
      </c>
      <c r="AR306" s="4">
        <f t="shared" si="115"/>
        <v>26</v>
      </c>
      <c r="AS306" s="4" t="str">
        <f t="shared" si="116"/>
        <v>-</v>
      </c>
      <c r="AT306" s="4">
        <f t="shared" si="117"/>
        <v>33</v>
      </c>
      <c r="AU306" s="4" t="str">
        <f t="shared" si="118"/>
        <v>-</v>
      </c>
      <c r="AV306" s="4">
        <f t="shared" si="119"/>
        <v>27</v>
      </c>
      <c r="AW306" s="4">
        <f t="shared" si="120"/>
        <v>2</v>
      </c>
      <c r="AX306" s="4">
        <f t="shared" si="121"/>
        <v>33</v>
      </c>
      <c r="AY306" s="4">
        <f t="shared" si="122"/>
        <v>24</v>
      </c>
      <c r="AZ306" s="4">
        <f t="shared" si="123"/>
        <v>25</v>
      </c>
      <c r="BA306" s="4">
        <f t="shared" si="124"/>
        <v>16</v>
      </c>
    </row>
    <row r="307" spans="1:53" x14ac:dyDescent="0.2">
      <c r="A307" s="1" t="str">
        <f>'SegEnds_NonXtal_Prot#'!A298</f>
        <v>agre2_human</v>
      </c>
      <c r="B307" s="1" t="str">
        <f t="shared" si="100"/>
        <v>MAHYDVQEEDPVLTVITYMGLSVSLLCLLLAALTFLLCNTSTSLHLQLSLCLFLAHLLFLVAIDQVLCSIIAGTLHYLYLATLTWMLLEALYLFLTARNNRFMKKLMFPVGYGVPAVTVAISAASRPHLYEKGFIWGFLGPVCAIFSVNLVLFLVTLWILKNRLNTRMLAFKATAQLFILGCTWCLGILQVGPAARVMAYLFTIINSLQGVFIFLVYCLLSQQVREQYGKWSKGIRK</v>
      </c>
      <c r="C307" s="29" t="str">
        <f>IF(ISERROR(MATCH(A307,'SegEnds_Xtal_Prot#'!B:B, 0)), "NoXtal", "Xtal")</f>
        <v>NoXtal</v>
      </c>
      <c r="D307" s="4" t="str">
        <f>VLOOKUP(A307,Classification!A:D,2,FALSE)</f>
        <v>B2</v>
      </c>
      <c r="E307" s="5" t="str">
        <f>VLOOKUP(A307,Seqs!A:B,2,FALSE)</f>
        <v>MGGRVFLVFLAFCVWLTLPGAETQDSRGCARWCPQDSSCVNATACRCNPGFSSFSEIITTPMETCDDINECATLSKVSCGKFSDCWNTEGSYDCVCSPGYEPVSGAKTFKNESENTCQDVDECQQNPRLCKSYGTCVNTLGSYTCQCLPGFKLKPEDPKLCTDVNECTSGQNPCHSSTHCLNNVGSYQCRCRPGWQPIPGSPNGPNNTVCEDVDECSSGQHQCDSSTVCFNTVGSYSCRCRPGWKPRHGIPNNQKDTVCEDMTFSTWTPPPGVHSQTLSRFFDKVQDLGRDYKPGLANNTIQSILQALDELLEAPGDLETLPRLQQHCVASHLLDGLEDVLRGLSKNLSNGLLNFSYPAGTELSLEVQKQVDRSVTLRQNQAVMQLDWNQAQKSGDPGPSVVGLVSIPGMGKLLAEAPLVLEPEKQMLLHETHQGLLQDGSPILLSDVISAFLSNNDTQNLSSPVTFTFSHRSVIPRQKVLCVFWEHGQNGCGHWATTGCSTIGTRDTSTICRCTHLSSFAVLMAHYDVQEEDPVLTVITYMGLSVSLLCLLLAALTFLLCKAIQNTSTSLHLQLSLCLFLAHLLFLVAIDQTGHKVLCSIIAGTLHYLYLATLTWMLLEALYLFLTARNLTVVNYSSINRFMKKLMFPVGYGVPAVTVAISAASRPHLYGTPSRCWLQPEKGFIWGFLGPVCAIFSVNLVLFLVTLWILKNRLSSLNSEVSTLRNTRMLAFKATAQLFILGCTWCLGILQVGPAARVMAYLFTIINSLQGVFIFLVYCLLSQQVREQYGKWSKGIRKLKTESEMHTLSSSAKADTSKPSTVN</v>
      </c>
      <c r="F307" s="5" t="str">
        <f t="shared" si="101"/>
        <v>MAHYDVQEEDPVLTVITYMGLSVSLLCLLLAALTFLLC</v>
      </c>
      <c r="G307" s="4" t="str">
        <f t="shared" si="102"/>
        <v>KAIQ</v>
      </c>
      <c r="H307" s="4" t="str">
        <f t="shared" si="103"/>
        <v>NTSTSLHLQLSLCLFLAHLLFLVAIDQ</v>
      </c>
      <c r="I307" s="4" t="str">
        <f t="shared" si="104"/>
        <v/>
      </c>
      <c r="J307" s="4" t="str">
        <f t="shared" si="105"/>
        <v>VLCSIIAGTLHYLYLATLTWMLLEALYLFLTARN</v>
      </c>
      <c r="K307" s="4" t="str">
        <f t="shared" si="106"/>
        <v/>
      </c>
      <c r="L307" s="4" t="str">
        <f t="shared" si="107"/>
        <v>NRFMKKLMFPVGYGVPAVTVAISAASRPHLY</v>
      </c>
      <c r="M307" s="4" t="str">
        <f t="shared" si="108"/>
        <v>CWL</v>
      </c>
      <c r="N307" s="4" t="str">
        <f t="shared" si="109"/>
        <v>EKGFIWGFLGPVCAIFSVNLVLFLVTLWILKNRL</v>
      </c>
      <c r="O307" s="4" t="str">
        <f t="shared" si="110"/>
        <v>NTRMLAFKATAQLFILGCTWCLGILQVGPA</v>
      </c>
      <c r="P307" s="4" t="str">
        <f t="shared" si="111"/>
        <v>ARVMAYLFTIINSLQGVFIFLVYCLL</v>
      </c>
      <c r="Q307" s="4" t="str">
        <f t="shared" si="112"/>
        <v>SQQVREQYGKWSKGIRK</v>
      </c>
      <c r="R307" s="5">
        <f>VLOOKUP($A307,'SegEnds_NonXtal_Prot#'!$A:$AL,3,FALSE)</f>
        <v>524</v>
      </c>
      <c r="S307" s="5">
        <f>VLOOKUP($A307,'SegEnds_NonXtal_Prot#'!$A:$AL,6,FALSE)</f>
        <v>562</v>
      </c>
      <c r="T307" s="5">
        <f>VLOOKUP($A307,'SegEnds_NonXtal_Prot#'!$A:$AL,9,FALSE)</f>
        <v>566</v>
      </c>
      <c r="U307" s="5" t="str">
        <f>VLOOKUP($A307,'SegEnds_NonXtal_Prot#'!$A:$AL,12,FALSE)</f>
        <v>-</v>
      </c>
      <c r="V307" s="5">
        <f>VLOOKUP($A307,'SegEnds_NonXtal_Prot#'!$A:$AL,15,FALSE)</f>
        <v>597</v>
      </c>
      <c r="W307" s="5" t="str">
        <f>VLOOKUP($A307,'SegEnds_NonXtal_Prot#'!$A:$AL,18,FALSE)</f>
        <v>-</v>
      </c>
      <c r="X307" s="5">
        <f>VLOOKUP($A307,'SegEnds_NonXtal_Prot#'!$A:$AL,21,FALSE)</f>
        <v>640</v>
      </c>
      <c r="Y307" s="5">
        <f>VLOOKUP($A307,'SegEnds_NonXtal_Prot#'!$A:$AL,24,FALSE)</f>
        <v>676</v>
      </c>
      <c r="Z307" s="5">
        <f>VLOOKUP($A307,'SegEnds_NonXtal_Prot#'!$A:$AL,27,FALSE)</f>
        <v>681</v>
      </c>
      <c r="AA307" s="5">
        <f>VLOOKUP($A307,'SegEnds_NonXtal_Prot#'!$A:$AL,30,FALSE)</f>
        <v>726</v>
      </c>
      <c r="AB307" s="5">
        <f>VLOOKUP($A307,'SegEnds_NonXtal_Prot#'!$A:$AL,33,FALSE)</f>
        <v>756</v>
      </c>
      <c r="AC307" s="5">
        <f>VLOOKUP($A307,'SegEnds_NonXtal_Prot#'!$A:$AL,36,FALSE)</f>
        <v>782</v>
      </c>
      <c r="AD307" s="5">
        <f>VLOOKUP($A307,'SegEnds_NonXtal_Prot#'!$A:$AL,5,FALSE)</f>
        <v>561</v>
      </c>
      <c r="AE307" s="5">
        <f>VLOOKUP($A307,'SegEnds_NonXtal_Prot#'!$A:$AL,8,FALSE)</f>
        <v>565</v>
      </c>
      <c r="AF307" s="5">
        <f>VLOOKUP($A307,'SegEnds_NonXtal_Prot#'!$A:$AL,11,FALSE)</f>
        <v>592</v>
      </c>
      <c r="AG307" s="5" t="str">
        <f>VLOOKUP($A307,'SegEnds_NonXtal_Prot#'!$A:$AL,14,FALSE)</f>
        <v>-</v>
      </c>
      <c r="AH307" s="5">
        <f>VLOOKUP($A307,'SegEnds_NonXtal_Prot#'!$A:$AL,17,FALSE)</f>
        <v>630</v>
      </c>
      <c r="AI307" s="5" t="str">
        <f>VLOOKUP($A307,'SegEnds_NonXtal_Prot#'!$A:$AL,20,FALSE)</f>
        <v>-</v>
      </c>
      <c r="AJ307" s="5">
        <f>VLOOKUP($A307,'SegEnds_NonXtal_Prot#'!$A:$AL,23,FALSE)</f>
        <v>670</v>
      </c>
      <c r="AK307" s="5">
        <f>VLOOKUP($A307,'SegEnds_NonXtal_Prot#'!$A:$AL,26,FALSE)</f>
        <v>678</v>
      </c>
      <c r="AL307" s="5">
        <f>VLOOKUP($A307,'SegEnds_NonXtal_Prot#'!$A:$AL,29,FALSE)</f>
        <v>714</v>
      </c>
      <c r="AM307" s="5">
        <f>VLOOKUP($A307,'SegEnds_NonXtal_Prot#'!$A:$AL,32,FALSE)</f>
        <v>755</v>
      </c>
      <c r="AN307" s="5">
        <f>VLOOKUP($A307,'SegEnds_NonXtal_Prot#'!$A:$AL,35,FALSE)</f>
        <v>781</v>
      </c>
      <c r="AO307" s="5">
        <f>VLOOKUP($A307,'SegEnds_NonXtal_Prot#'!$A:$AL,38,FALSE)</f>
        <v>798</v>
      </c>
      <c r="AP307" s="5">
        <f t="shared" si="113"/>
        <v>37</v>
      </c>
      <c r="AQ307" s="4">
        <f t="shared" si="114"/>
        <v>3</v>
      </c>
      <c r="AR307" s="4">
        <f t="shared" si="115"/>
        <v>26</v>
      </c>
      <c r="AS307" s="4" t="str">
        <f t="shared" si="116"/>
        <v>-</v>
      </c>
      <c r="AT307" s="4">
        <f t="shared" si="117"/>
        <v>33</v>
      </c>
      <c r="AU307" s="4" t="str">
        <f t="shared" si="118"/>
        <v>-</v>
      </c>
      <c r="AV307" s="4">
        <f t="shared" si="119"/>
        <v>30</v>
      </c>
      <c r="AW307" s="4">
        <f t="shared" si="120"/>
        <v>2</v>
      </c>
      <c r="AX307" s="4">
        <f t="shared" si="121"/>
        <v>33</v>
      </c>
      <c r="AY307" s="4">
        <f t="shared" si="122"/>
        <v>29</v>
      </c>
      <c r="AZ307" s="4">
        <f t="shared" si="123"/>
        <v>25</v>
      </c>
      <c r="BA307" s="4">
        <f t="shared" si="124"/>
        <v>16</v>
      </c>
    </row>
    <row r="308" spans="1:53" x14ac:dyDescent="0.2">
      <c r="A308" s="1" t="str">
        <f>'SegEnds_NonXtal_Prot#'!A299</f>
        <v>agre3_human</v>
      </c>
      <c r="B308" s="1" t="str">
        <f t="shared" si="100"/>
        <v>LMALTSQEEDPVLTVITYVGLSVSLLCLLLAALTFLLCNTSTSLHLQLSLCLFLAHLLFLVGIDRVLCSIIAGALHYLYLAAFTWMLLEGVHLFLTARNLMKWIMFPVGYGVPAVTVAISAASWPHLYDQGFMWSFLGPVCAIFSANLVLFILVFWILKRKLNTRMLAFKATAQLFILGCTWCLGLLAQVMAYLFTIINSLQGFFIFLVYCLLSQQVQKQYQKWFREIVK</v>
      </c>
      <c r="C308" s="29" t="str">
        <f>IF(ISERROR(MATCH(A308,'SegEnds_Xtal_Prot#'!B:B, 0)), "NoXtal", "Xtal")</f>
        <v>NoXtal</v>
      </c>
      <c r="D308" s="4" t="str">
        <f>VLOOKUP(A308,Classification!A:D,2,FALSE)</f>
        <v>B2</v>
      </c>
      <c r="E308" s="5" t="str">
        <f>VLOOKUP(A308,Seqs!A:B,2,FALSE)</f>
        <v>MQGPLLLPGLCFLLSLFGAVTQKTKTSCAKCPPNASCVNNTHCTCNHGYTSGSGQKLFTFPLETCNDINECTPPYSVYCGFNAVCYNVEGSFYCQCVPGYRLHSGNEQFSNSNENTCQDTTSSKTTEGRKELQKIVDKFESLLTNQTLWRTEGRQEISSTATTILRDVESKVLETALKDPEQKVLKIQNDSVAIETQAITDNCSEERKTFNLNVQMNSMDIRCSDIIQGDTQGPSAIAFISYSSLGNIINATFFEEMDKKDQVYLNSQVVSAAIGPKRNVSLSKSVTLTFQHVKMTPSTKKVFCVYWKSTGQGSQWSRDGCFLIHVNKSHTMCNCSHLSSFAVLMALTSQEEDPVLTVITYVGLSVSLLCLLLAALTFLLCKAIRNTSTSLHLQLSLCLFLAHLLFLVGIDRTEPKVLCSIIAGALHYLYLAAFTWMLLEGVHLFLTARNLTVVNYSSINRLMKWIMFPVGYGVPAVTVAISAASWPHLYGTADRCWLHLDQGFMWSFLGPVCAIFSANLVLFILVFWILKRKLSSLNSEVSTIQNTRMLAFKATAQLFILGCTWCLGLLQVGPAAQVMAYLFTIINSLQGFFIFLVYCLLSQQVQKQYQKWFREIVKSKSESETYTLSSKMGPDSKPSEGDVFPGQVKRKY</v>
      </c>
      <c r="F308" s="5" t="str">
        <f t="shared" si="101"/>
        <v>LMALTSQEEDPVLTVITYVGLSVSLLCLLLAALTFLLC</v>
      </c>
      <c r="G308" s="4" t="str">
        <f t="shared" si="102"/>
        <v>KAIR</v>
      </c>
      <c r="H308" s="4" t="str">
        <f t="shared" si="103"/>
        <v>NTSTSLHLQLSLCLFLAHLLFLVGIDR</v>
      </c>
      <c r="I308" s="4" t="str">
        <f t="shared" si="104"/>
        <v/>
      </c>
      <c r="J308" s="4" t="str">
        <f t="shared" si="105"/>
        <v>VLCSIIAGALHYLYLAAFTWMLLEGVHLFLTARN</v>
      </c>
      <c r="K308" s="4" t="str">
        <f t="shared" si="106"/>
        <v/>
      </c>
      <c r="L308" s="4" t="str">
        <f t="shared" si="107"/>
        <v>LMKWIMFPVGYGVPAVTVAISAASWPHLY</v>
      </c>
      <c r="M308" s="4" t="str">
        <f t="shared" si="108"/>
        <v>CWL</v>
      </c>
      <c r="N308" s="4" t="str">
        <f t="shared" si="109"/>
        <v>DQGFMWSFLGPVCAIFSANLVLFILVFWILKRKL</v>
      </c>
      <c r="O308" s="4" t="str">
        <f t="shared" si="110"/>
        <v>NTRMLAFKATAQLFILGCTWCLGLL</v>
      </c>
      <c r="P308" s="4" t="str">
        <f t="shared" si="111"/>
        <v>AQVMAYLFTIINSLQGFFIFLVYCLL</v>
      </c>
      <c r="Q308" s="4" t="str">
        <f t="shared" si="112"/>
        <v>SQQVQKQYQKWFREIVK</v>
      </c>
      <c r="R308" s="5">
        <f>VLOOKUP($A308,'SegEnds_NonXtal_Prot#'!$A:$AL,3,FALSE)</f>
        <v>344</v>
      </c>
      <c r="S308" s="5">
        <f>VLOOKUP($A308,'SegEnds_NonXtal_Prot#'!$A:$AL,6,FALSE)</f>
        <v>382</v>
      </c>
      <c r="T308" s="5">
        <f>VLOOKUP($A308,'SegEnds_NonXtal_Prot#'!$A:$AL,9,FALSE)</f>
        <v>386</v>
      </c>
      <c r="U308" s="5" t="str">
        <f>VLOOKUP($A308,'SegEnds_NonXtal_Prot#'!$A:$AL,12,FALSE)</f>
        <v>-</v>
      </c>
      <c r="V308" s="5">
        <f>VLOOKUP($A308,'SegEnds_NonXtal_Prot#'!$A:$AL,15,FALSE)</f>
        <v>417</v>
      </c>
      <c r="W308" s="5" t="str">
        <f>VLOOKUP($A308,'SegEnds_NonXtal_Prot#'!$A:$AL,18,FALSE)</f>
        <v>-</v>
      </c>
      <c r="X308" s="5">
        <f>VLOOKUP($A308,'SegEnds_NonXtal_Prot#'!$A:$AL,21,FALSE)</f>
        <v>462</v>
      </c>
      <c r="Y308" s="5">
        <f>VLOOKUP($A308,'SegEnds_NonXtal_Prot#'!$A:$AL,24,FALSE)</f>
        <v>496</v>
      </c>
      <c r="Z308" s="5">
        <f>VLOOKUP($A308,'SegEnds_NonXtal_Prot#'!$A:$AL,27,FALSE)</f>
        <v>501</v>
      </c>
      <c r="AA308" s="5">
        <f>VLOOKUP($A308,'SegEnds_NonXtal_Prot#'!$A:$AL,30,FALSE)</f>
        <v>546</v>
      </c>
      <c r="AB308" s="5">
        <f>VLOOKUP($A308,'SegEnds_NonXtal_Prot#'!$A:$AL,33,FALSE)</f>
        <v>576</v>
      </c>
      <c r="AC308" s="5">
        <f>VLOOKUP($A308,'SegEnds_NonXtal_Prot#'!$A:$AL,36,FALSE)</f>
        <v>602</v>
      </c>
      <c r="AD308" s="5">
        <f>VLOOKUP($A308,'SegEnds_NonXtal_Prot#'!$A:$AL,5,FALSE)</f>
        <v>381</v>
      </c>
      <c r="AE308" s="5">
        <f>VLOOKUP($A308,'SegEnds_NonXtal_Prot#'!$A:$AL,8,FALSE)</f>
        <v>385</v>
      </c>
      <c r="AF308" s="5">
        <f>VLOOKUP($A308,'SegEnds_NonXtal_Prot#'!$A:$AL,11,FALSE)</f>
        <v>412</v>
      </c>
      <c r="AG308" s="5" t="str">
        <f>VLOOKUP($A308,'SegEnds_NonXtal_Prot#'!$A:$AL,14,FALSE)</f>
        <v>-</v>
      </c>
      <c r="AH308" s="5">
        <f>VLOOKUP($A308,'SegEnds_NonXtal_Prot#'!$A:$AL,17,FALSE)</f>
        <v>450</v>
      </c>
      <c r="AI308" s="5" t="str">
        <f>VLOOKUP($A308,'SegEnds_NonXtal_Prot#'!$A:$AL,20,FALSE)</f>
        <v>-</v>
      </c>
      <c r="AJ308" s="5">
        <f>VLOOKUP($A308,'SegEnds_NonXtal_Prot#'!$A:$AL,23,FALSE)</f>
        <v>490</v>
      </c>
      <c r="AK308" s="5">
        <f>VLOOKUP($A308,'SegEnds_NonXtal_Prot#'!$A:$AL,26,FALSE)</f>
        <v>498</v>
      </c>
      <c r="AL308" s="5">
        <f>VLOOKUP($A308,'SegEnds_NonXtal_Prot#'!$A:$AL,29,FALSE)</f>
        <v>534</v>
      </c>
      <c r="AM308" s="5">
        <f>VLOOKUP($A308,'SegEnds_NonXtal_Prot#'!$A:$AL,32,FALSE)</f>
        <v>570</v>
      </c>
      <c r="AN308" s="5">
        <f>VLOOKUP($A308,'SegEnds_NonXtal_Prot#'!$A:$AL,35,FALSE)</f>
        <v>601</v>
      </c>
      <c r="AO308" s="5">
        <f>VLOOKUP($A308,'SegEnds_NonXtal_Prot#'!$A:$AL,38,FALSE)</f>
        <v>618</v>
      </c>
      <c r="AP308" s="5">
        <f t="shared" si="113"/>
        <v>37</v>
      </c>
      <c r="AQ308" s="4">
        <f t="shared" si="114"/>
        <v>3</v>
      </c>
      <c r="AR308" s="4">
        <f t="shared" si="115"/>
        <v>26</v>
      </c>
      <c r="AS308" s="4" t="str">
        <f t="shared" si="116"/>
        <v>-</v>
      </c>
      <c r="AT308" s="4">
        <f t="shared" si="117"/>
        <v>33</v>
      </c>
      <c r="AU308" s="4" t="str">
        <f t="shared" si="118"/>
        <v>-</v>
      </c>
      <c r="AV308" s="4">
        <f t="shared" si="119"/>
        <v>28</v>
      </c>
      <c r="AW308" s="4">
        <f t="shared" si="120"/>
        <v>2</v>
      </c>
      <c r="AX308" s="4">
        <f t="shared" si="121"/>
        <v>33</v>
      </c>
      <c r="AY308" s="4">
        <f t="shared" si="122"/>
        <v>24</v>
      </c>
      <c r="AZ308" s="4">
        <f t="shared" si="123"/>
        <v>25</v>
      </c>
      <c r="BA308" s="4">
        <f t="shared" si="124"/>
        <v>16</v>
      </c>
    </row>
    <row r="309" spans="1:53" x14ac:dyDescent="0.2">
      <c r="A309" s="1" t="str">
        <f>'SegEnds_NonXtal_Prot#'!A300</f>
        <v>agre4_human</v>
      </c>
      <c r="B309" s="1" t="str">
        <f t="shared" si="100"/>
        <v>VLVALAPKEDPVLTVITQVGLTISLLCLFLAILTFLLCNTSTSLHLELSLCLFLAHLLFLTGINRVLCSIIAGLLHFLYLACFTWMLLEGLHLFLTVRNGRFKKRFMYPVGYGIPAVIIAVSAIVGPQNYDKGFIWSFMGPVAVIILINLVFYFQVLWILRSKLDTRVMTFKAISQLFILGCSWGLGFFMVEEVGKTIGSIIAYSFTIINTLQGVLLFVVHCLLNRQVRLIILSVISLVPK</v>
      </c>
      <c r="C309" s="29" t="str">
        <f>IF(ISERROR(MATCH(A309,'SegEnds_Xtal_Prot#'!B:B, 0)), "NoXtal", "Xtal")</f>
        <v>NoXtal</v>
      </c>
      <c r="D309" s="4" t="str">
        <f>VLOOKUP(A309,Classification!A:D,2,FALSE)</f>
        <v>B2</v>
      </c>
      <c r="E309" s="5" t="str">
        <f>VLOOKUP(A309,Seqs!A:B,2,FALSE)</f>
        <v>MGSRFLLVLLSGASCPPCPKYASCHNSTHCTCEDGFRARSGRTYFHDSSEKCEDINECETGLAKCKYKAYCRNKVGGYICSCLVKYTLFNFLAGIIDYDHPDCYENNSQGTTQSNVDIWVSGVKPGFGKQLPGDKRTKHICVYWEGSEGGWSTEGCSHVHSNGSYTKCKCFHLSSFAVLVALAPKEDPVLTVITQVGLTISLLCLFLAILTFLLCRPIQNTSTSLHLELSLCLFLAHLLFLTGINRTEPEVLCSIIAGLLHFLYLACFTWMLLEGLHLFLTVRNLKVANYTSTGRFKKRFMYPVGYGIPAVIIAVSAIVGPQNYGTFTCWLKLDKGFIWSFMGPVAVIILINLVFYFQVLWILRSKLSSLNKEVSTIQDTRVMTFKAISQLFILGCSWGLGFFMVEEVGKTIGSIIAYSFTIINTLQGVLLFVVHCLLNRQVRLIILSVISLVPKSN</v>
      </c>
      <c r="F309" s="5" t="str">
        <f t="shared" si="101"/>
        <v>VLVALAPKEDPVLTVITQVGLTISLLCLFLAILTFLLC</v>
      </c>
      <c r="G309" s="4" t="str">
        <f t="shared" si="102"/>
        <v>RPIQ</v>
      </c>
      <c r="H309" s="4" t="str">
        <f t="shared" si="103"/>
        <v>NTSTSLHLELSLCLFLAHLLFLTGINR</v>
      </c>
      <c r="I309" s="4" t="str">
        <f t="shared" si="104"/>
        <v/>
      </c>
      <c r="J309" s="4" t="str">
        <f t="shared" si="105"/>
        <v>VLCSIIAGLLHFLYLACFTWMLLEGLHLFLTVRN</v>
      </c>
      <c r="K309" s="4" t="str">
        <f t="shared" si="106"/>
        <v/>
      </c>
      <c r="L309" s="4" t="str">
        <f t="shared" si="107"/>
        <v>GRFKKRFMYPVGYGIPAVIIAVSAIVGPQNY</v>
      </c>
      <c r="M309" s="4" t="str">
        <f t="shared" si="108"/>
        <v>CWL</v>
      </c>
      <c r="N309" s="4" t="str">
        <f t="shared" si="109"/>
        <v>DKGFIWSFMGPVAVIILINLVFYFQVLWILRSKL</v>
      </c>
      <c r="O309" s="4" t="str">
        <f t="shared" si="110"/>
        <v>DTRVMTFKAISQLFILGCSWGLGFFMVEEV</v>
      </c>
      <c r="P309" s="4" t="str">
        <f t="shared" si="111"/>
        <v>GKTIGSIIAYSFTIINTLQGVLLFVVHCLL</v>
      </c>
      <c r="Q309" s="4" t="str">
        <f t="shared" si="112"/>
        <v>NRQVRLIILSVISLVPK</v>
      </c>
      <c r="R309" s="5">
        <f>VLOOKUP($A309,'SegEnds_NonXtal_Prot#'!$A:$AL,3,FALSE)</f>
        <v>178</v>
      </c>
      <c r="S309" s="5">
        <f>VLOOKUP($A309,'SegEnds_NonXtal_Prot#'!$A:$AL,6,FALSE)</f>
        <v>216</v>
      </c>
      <c r="T309" s="5">
        <f>VLOOKUP($A309,'SegEnds_NonXtal_Prot#'!$A:$AL,9,FALSE)</f>
        <v>220</v>
      </c>
      <c r="U309" s="5" t="str">
        <f>VLOOKUP($A309,'SegEnds_NonXtal_Prot#'!$A:$AL,12,FALSE)</f>
        <v>-</v>
      </c>
      <c r="V309" s="5">
        <f>VLOOKUP($A309,'SegEnds_NonXtal_Prot#'!$A:$AL,15,FALSE)</f>
        <v>251</v>
      </c>
      <c r="W309" s="5" t="str">
        <f>VLOOKUP($A309,'SegEnds_NonXtal_Prot#'!$A:$AL,18,FALSE)</f>
        <v>-</v>
      </c>
      <c r="X309" s="5">
        <f>VLOOKUP($A309,'SegEnds_NonXtal_Prot#'!$A:$AL,21,FALSE)</f>
        <v>294</v>
      </c>
      <c r="Y309" s="5">
        <f>VLOOKUP($A309,'SegEnds_NonXtal_Prot#'!$A:$AL,24,FALSE)</f>
        <v>329</v>
      </c>
      <c r="Z309" s="5">
        <f>VLOOKUP($A309,'SegEnds_NonXtal_Prot#'!$A:$AL,27,FALSE)</f>
        <v>334</v>
      </c>
      <c r="AA309" s="5">
        <f>VLOOKUP($A309,'SegEnds_NonXtal_Prot#'!$A:$AL,30,FALSE)</f>
        <v>379</v>
      </c>
      <c r="AB309" s="5">
        <f>VLOOKUP($A309,'SegEnds_NonXtal_Prot#'!$A:$AL,33,FALSE)</f>
        <v>409</v>
      </c>
      <c r="AC309" s="5">
        <f>VLOOKUP($A309,'SegEnds_NonXtal_Prot#'!$A:$AL,36,FALSE)</f>
        <v>439</v>
      </c>
      <c r="AD309" s="5">
        <f>VLOOKUP($A309,'SegEnds_NonXtal_Prot#'!$A:$AL,5,FALSE)</f>
        <v>215</v>
      </c>
      <c r="AE309" s="5">
        <f>VLOOKUP($A309,'SegEnds_NonXtal_Prot#'!$A:$AL,8,FALSE)</f>
        <v>219</v>
      </c>
      <c r="AF309" s="5">
        <f>VLOOKUP($A309,'SegEnds_NonXtal_Prot#'!$A:$AL,11,FALSE)</f>
        <v>246</v>
      </c>
      <c r="AG309" s="5" t="str">
        <f>VLOOKUP($A309,'SegEnds_NonXtal_Prot#'!$A:$AL,14,FALSE)</f>
        <v>-</v>
      </c>
      <c r="AH309" s="5">
        <f>VLOOKUP($A309,'SegEnds_NonXtal_Prot#'!$A:$AL,17,FALSE)</f>
        <v>284</v>
      </c>
      <c r="AI309" s="5" t="str">
        <f>VLOOKUP($A309,'SegEnds_NonXtal_Prot#'!$A:$AL,20,FALSE)</f>
        <v>-</v>
      </c>
      <c r="AJ309" s="5">
        <f>VLOOKUP($A309,'SegEnds_NonXtal_Prot#'!$A:$AL,23,FALSE)</f>
        <v>324</v>
      </c>
      <c r="AK309" s="5">
        <f>VLOOKUP($A309,'SegEnds_NonXtal_Prot#'!$A:$AL,26,FALSE)</f>
        <v>331</v>
      </c>
      <c r="AL309" s="5">
        <f>VLOOKUP($A309,'SegEnds_NonXtal_Prot#'!$A:$AL,29,FALSE)</f>
        <v>367</v>
      </c>
      <c r="AM309" s="5">
        <f>VLOOKUP($A309,'SegEnds_NonXtal_Prot#'!$A:$AL,32,FALSE)</f>
        <v>408</v>
      </c>
      <c r="AN309" s="5">
        <f>VLOOKUP($A309,'SegEnds_NonXtal_Prot#'!$A:$AL,35,FALSE)</f>
        <v>438</v>
      </c>
      <c r="AO309" s="5">
        <f>VLOOKUP($A309,'SegEnds_NonXtal_Prot#'!$A:$AL,38,FALSE)</f>
        <v>455</v>
      </c>
      <c r="AP309" s="5">
        <f t="shared" si="113"/>
        <v>37</v>
      </c>
      <c r="AQ309" s="4">
        <f t="shared" si="114"/>
        <v>3</v>
      </c>
      <c r="AR309" s="4">
        <f t="shared" si="115"/>
        <v>26</v>
      </c>
      <c r="AS309" s="4" t="str">
        <f t="shared" si="116"/>
        <v>-</v>
      </c>
      <c r="AT309" s="4">
        <f t="shared" si="117"/>
        <v>33</v>
      </c>
      <c r="AU309" s="4" t="str">
        <f t="shared" si="118"/>
        <v>-</v>
      </c>
      <c r="AV309" s="4">
        <f t="shared" si="119"/>
        <v>30</v>
      </c>
      <c r="AW309" s="4">
        <f t="shared" si="120"/>
        <v>2</v>
      </c>
      <c r="AX309" s="4">
        <f t="shared" si="121"/>
        <v>33</v>
      </c>
      <c r="AY309" s="4">
        <f t="shared" si="122"/>
        <v>29</v>
      </c>
      <c r="AZ309" s="4">
        <f t="shared" si="123"/>
        <v>29</v>
      </c>
      <c r="BA309" s="4">
        <f t="shared" si="124"/>
        <v>16</v>
      </c>
    </row>
    <row r="310" spans="1:53" x14ac:dyDescent="0.2">
      <c r="A310" s="1" t="str">
        <f>'SegEnds_NonXtal_Prot#'!A301</f>
        <v>agrf1_human</v>
      </c>
      <c r="B310" s="1" t="str">
        <f t="shared" si="100"/>
        <v>MSPFVPSTIFPVVKWITYVGLGISIGSLILCLIIEALFQTSHTRRICMVNIALSLLIADVWFIVGGVCTAAVFFTHFFYLSLFFWMLMLGILLAYRIILLMMAVGFCLGYGCPLIISVITIAVTQPSNGSKPLLAFVVPALAIVAVNFVVVLLVLTKLWRPTTIIRVGKSLLILTPLLGLTWGFGIGNLAWHVIFALLNAFQGFFILCFGILLDSKLRQLLFNKLSALSS</v>
      </c>
      <c r="C310" s="29" t="str">
        <f>IF(ISERROR(MATCH(A310,'SegEnds_Xtal_Prot#'!B:B, 0)), "NoXtal", "Xtal")</f>
        <v>NoXtal</v>
      </c>
      <c r="D310" s="4" t="str">
        <f>VLOOKUP(A310,Classification!A:D,2,FALSE)</f>
        <v>B2</v>
      </c>
      <c r="E310" s="5" t="str">
        <f>VLOOKUP(A310,Seqs!A:B,2,FALSE)</f>
        <v>MKVGVLWLISFFTFTDGHGGFLGKNDGIKTKKELIVNKKKHLGPVEEYQLLLQVTYRDSKEKRDLRNFLKLLKPPLLWSHGLIRIIRAKATTDCNSLNGVLQCTCEDSYTWFPPSCLDPQNCYLHTAGALPSCECHLNNLSQSVNFCERTKIWGTFKINERFTNDLLNSSSAIYSKYANGIEIQLKKAYERIQGFESVQVTQFRNGSIVAGYEVVGSSSASELLSAIEHVAEKAKTALHKLFPLEDGSFRVFGKAQCNDIVFGFGSKDDEYTLPCSSGYRGNITAKCESSGWQVIRETCVLSLLEELNKNFSMIVGNATEAAVSSFVQNLSVIIRQNPSTTVGNLASVVSILSNISSLSLASHFRVSNSTMEDVISIADNILNSASVTNWTVLLREEKYASSRLLETLENISTLVPPTALPLNFSRKFIDWKGIPVNKSQLKRGYSYQIKMCPQNTSIPIRGRVLIGSDQFQRSLPETIISMASLTLGNILPVSKNGNAQVNGPVISTVIQNYSINEVFLFFSKIESNLSQPHCVFWDFSHLQWNDAGCHLVNETQDIVTCQCTHLTSFSILMSPFVPSTIFPVVKWITYVGLGISIGSLILCLIIEALFWKQIKKSQTSHTRRICMVNIALSLLIADVWFIVGATVDTTVNPSGVCTAAVFFTHFFYLSLFFWMLMLGILLAYRIILVFHHMAQHLMMAVGFCLGYGCPLIISVITIAVTQPSNTYKRKDVCWLNWSNGSKPLLAFVVPALAIVAVNFVVVLLVLTKLWRPTVGERLSRDDKATIIRVGKSLLILTPLLGLTWGFGIGTIVDSQNLAWHVIFALLNAFQGFFILCFGILLDSKLRQLLFNKLSALSSWKQTEKQNSSDLSAKPKFSKPFNPLQNKGHYAFSHTGDSSDNIMLTQFVSNE</v>
      </c>
      <c r="F310" s="5" t="str">
        <f t="shared" si="101"/>
        <v>MSPFVPSTIFPVVKWITYVGLGISIGSLILCLIIEALF</v>
      </c>
      <c r="G310" s="4" t="str">
        <f t="shared" si="102"/>
        <v/>
      </c>
      <c r="H310" s="4" t="str">
        <f t="shared" si="103"/>
        <v>QTSHTRRICMVNIALSLLIADVWFIVG</v>
      </c>
      <c r="I310" s="4" t="str">
        <f t="shared" si="104"/>
        <v/>
      </c>
      <c r="J310" s="4" t="str">
        <f t="shared" si="105"/>
        <v>GVCTAAVFFTHFFYLSLFFWMLMLGILLAYRIIL</v>
      </c>
      <c r="K310" s="4" t="str">
        <f t="shared" si="106"/>
        <v/>
      </c>
      <c r="L310" s="4" t="str">
        <f t="shared" si="107"/>
        <v>LMMAVGFCLGYGCPLIISVITIAVTQPSN</v>
      </c>
      <c r="M310" s="4" t="str">
        <f t="shared" si="108"/>
        <v>CWL</v>
      </c>
      <c r="N310" s="4" t="str">
        <f t="shared" si="109"/>
        <v>GSKPLLAFVVPALAIVAVNFVVVLLVLTKLWRPT</v>
      </c>
      <c r="O310" s="4" t="str">
        <f t="shared" si="110"/>
        <v>TIIRVGKSLLILTPLLGLTWGFGIG</v>
      </c>
      <c r="P310" s="4" t="str">
        <f t="shared" si="111"/>
        <v>NLAWHVIFALLNAFQGFFILCFGILL</v>
      </c>
      <c r="Q310" s="4" t="str">
        <f t="shared" si="112"/>
        <v>DSKLRQLLFNKLSALSS</v>
      </c>
      <c r="R310" s="5">
        <f>VLOOKUP($A310,'SegEnds_NonXtal_Prot#'!$A:$AL,3,FALSE)</f>
        <v>573</v>
      </c>
      <c r="S310" s="5" t="str">
        <f>VLOOKUP($A310,'SegEnds_NonXtal_Prot#'!$A:$AL,6,FALSE)</f>
        <v>-</v>
      </c>
      <c r="T310" s="5">
        <f>VLOOKUP($A310,'SegEnds_NonXtal_Prot#'!$A:$AL,9,FALSE)</f>
        <v>618</v>
      </c>
      <c r="U310" s="5" t="str">
        <f>VLOOKUP($A310,'SegEnds_NonXtal_Prot#'!$A:$AL,12,FALSE)</f>
        <v>-</v>
      </c>
      <c r="V310" s="5">
        <f>VLOOKUP($A310,'SegEnds_NonXtal_Prot#'!$A:$AL,15,FALSE)</f>
        <v>655</v>
      </c>
      <c r="W310" s="5" t="str">
        <f>VLOOKUP($A310,'SegEnds_NonXtal_Prot#'!$A:$AL,18,FALSE)</f>
        <v>-</v>
      </c>
      <c r="X310" s="5">
        <f>VLOOKUP($A310,'SegEnds_NonXtal_Prot#'!$A:$AL,21,FALSE)</f>
        <v>697</v>
      </c>
      <c r="Y310" s="5">
        <f>VLOOKUP($A310,'SegEnds_NonXtal_Prot#'!$A:$AL,24,FALSE)</f>
        <v>733</v>
      </c>
      <c r="Z310" s="5">
        <f>VLOOKUP($A310,'SegEnds_NonXtal_Prot#'!$A:$AL,27,FALSE)</f>
        <v>740</v>
      </c>
      <c r="AA310" s="5">
        <f>VLOOKUP($A310,'SegEnds_NonXtal_Prot#'!$A:$AL,30,FALSE)</f>
        <v>785</v>
      </c>
      <c r="AB310" s="5">
        <f>VLOOKUP($A310,'SegEnds_NonXtal_Prot#'!$A:$AL,33,FALSE)</f>
        <v>816</v>
      </c>
      <c r="AC310" s="5">
        <f>VLOOKUP($A310,'SegEnds_NonXtal_Prot#'!$A:$AL,36,FALSE)</f>
        <v>842</v>
      </c>
      <c r="AD310" s="5">
        <f>VLOOKUP($A310,'SegEnds_NonXtal_Prot#'!$A:$AL,5,FALSE)</f>
        <v>610</v>
      </c>
      <c r="AE310" s="5" t="str">
        <f>VLOOKUP($A310,'SegEnds_NonXtal_Prot#'!$A:$AL,8,FALSE)</f>
        <v>-</v>
      </c>
      <c r="AF310" s="5">
        <f>VLOOKUP($A310,'SegEnds_NonXtal_Prot#'!$A:$AL,11,FALSE)</f>
        <v>644</v>
      </c>
      <c r="AG310" s="5" t="str">
        <f>VLOOKUP($A310,'SegEnds_NonXtal_Prot#'!$A:$AL,14,FALSE)</f>
        <v>-</v>
      </c>
      <c r="AH310" s="5">
        <f>VLOOKUP($A310,'SegEnds_NonXtal_Prot#'!$A:$AL,17,FALSE)</f>
        <v>688</v>
      </c>
      <c r="AI310" s="5" t="str">
        <f>VLOOKUP($A310,'SegEnds_NonXtal_Prot#'!$A:$AL,20,FALSE)</f>
        <v>-</v>
      </c>
      <c r="AJ310" s="5">
        <f>VLOOKUP($A310,'SegEnds_NonXtal_Prot#'!$A:$AL,23,FALSE)</f>
        <v>725</v>
      </c>
      <c r="AK310" s="5">
        <f>VLOOKUP($A310,'SegEnds_NonXtal_Prot#'!$A:$AL,26,FALSE)</f>
        <v>735</v>
      </c>
      <c r="AL310" s="5">
        <f>VLOOKUP($A310,'SegEnds_NonXtal_Prot#'!$A:$AL,29,FALSE)</f>
        <v>773</v>
      </c>
      <c r="AM310" s="5">
        <f>VLOOKUP($A310,'SegEnds_NonXtal_Prot#'!$A:$AL,32,FALSE)</f>
        <v>809</v>
      </c>
      <c r="AN310" s="5">
        <f>VLOOKUP($A310,'SegEnds_NonXtal_Prot#'!$A:$AL,35,FALSE)</f>
        <v>841</v>
      </c>
      <c r="AO310" s="5">
        <f>VLOOKUP($A310,'SegEnds_NonXtal_Prot#'!$A:$AL,38,FALSE)</f>
        <v>858</v>
      </c>
      <c r="AP310" s="5">
        <f t="shared" si="113"/>
        <v>37</v>
      </c>
      <c r="AQ310" s="4" t="str">
        <f t="shared" si="114"/>
        <v>-</v>
      </c>
      <c r="AR310" s="4">
        <f t="shared" si="115"/>
        <v>26</v>
      </c>
      <c r="AS310" s="4" t="str">
        <f t="shared" si="116"/>
        <v>-</v>
      </c>
      <c r="AT310" s="4">
        <f t="shared" si="117"/>
        <v>33</v>
      </c>
      <c r="AU310" s="4" t="str">
        <f t="shared" si="118"/>
        <v>-</v>
      </c>
      <c r="AV310" s="4">
        <f t="shared" si="119"/>
        <v>28</v>
      </c>
      <c r="AW310" s="4">
        <f t="shared" si="120"/>
        <v>2</v>
      </c>
      <c r="AX310" s="4">
        <f t="shared" si="121"/>
        <v>33</v>
      </c>
      <c r="AY310" s="4">
        <f t="shared" si="122"/>
        <v>24</v>
      </c>
      <c r="AZ310" s="4">
        <f t="shared" si="123"/>
        <v>25</v>
      </c>
      <c r="BA310" s="4">
        <f t="shared" si="124"/>
        <v>16</v>
      </c>
    </row>
    <row r="311" spans="1:53" x14ac:dyDescent="0.2">
      <c r="A311" s="1" t="str">
        <f>'SegEnds_NonXtal_Prot#'!A302</f>
        <v>agrf2_human</v>
      </c>
      <c r="B311" s="1" t="str">
        <f t="shared" si="100"/>
        <v>ILMSPHILESLILTYITYVGLGISICSLILCLSIEVLVEITYLRHVCIVNIAATLLMADVWFIVAKGCVAATFFVHFFYLSVFFWMLAKALLILYGIMILVASLFSVGYGCPLAIAAITVAATEPGKMTKALLAFVIPALAIVVVNLITVTLVIVKTQRAAKNIAILTPLLGLTWGFGVATVIDDRSLAFHIIFSLLNAFQVSPDASDQVQS</v>
      </c>
      <c r="C311" s="29" t="str">
        <f>IF(ISERROR(MATCH(A311,'SegEnds_Xtal_Prot#'!B:B, 0)), "NoXtal", "Xtal")</f>
        <v>NoXtal</v>
      </c>
      <c r="D311" s="4" t="str">
        <f>VLOOKUP(A311,Classification!A:D,2,FALSE)</f>
        <v>B2</v>
      </c>
      <c r="E311" s="5" t="str">
        <f>VLOOKUP(A311,Seqs!A:B,2,FALSE)</f>
        <v>MGLTAYGNRRVQPGELPFGANLTLIHTRAQPVICSKLLLTKRVSPISFFLSKFQNSWGEDGWVQLDQLPSPNAVSSDQVHCSAGCTHRKCGWAASKSKEKVPARPHGVCDGVCTDYSQCTQPCPPDTQGNMGFSCRQKTWHKITDTCQTLNALNIFEEDSRLVQPFEDNIKISVYTGKSETITDMLLQKCPTDLSCVIRNIQQSPWIPGNIAVIVQLLHNISTAIWTGVDEAKMQSYSTIANHILNSKSISNWTFIPDRNSSYILLHSVNSFARRLFIDKHPVDISDVFIHTMGTTISGDNIGKNFTFSMRINDTSNEVTGRVLISRDELRKVPSPSQVISIAFPTIGAILEASLLENVTVNGLVLSAILPKELKRISLIFEKISKSEERRTQCVGWHSVENRWDQQACKMIQENSQQAVCKCRPSKLFTSFSILMSPHILESLILTYITYVGLGISICSLILCLSIEVLVWSQVTKTEITYLRHVCIVNIAATLLMADVWFIVASFLSGPITHHKGCVAATFFVHFFYLSVFFWMLAKALLILYGIMIVFHTLPKSVLVASLFSVGYGCPLAIAAITVAATEPGKGYLRPEICWLNWDMTKALLAFVIPALAIVVVNLITVTLVIVKTQRAAIGNSMFQEVRAIVRISKNIAILTPLLGLTWGFGVATVIDDRSLAFHIIFSLLNAFQVSPDASDQVQSERIHEDVL</v>
      </c>
      <c r="F311" s="5" t="str">
        <f t="shared" si="101"/>
        <v>ILMSPHILESLILTYITYVGLGISICSLILCLSIEVLV</v>
      </c>
      <c r="G311" s="4" t="str">
        <f t="shared" si="102"/>
        <v/>
      </c>
      <c r="H311" s="4" t="str">
        <f t="shared" si="103"/>
        <v>EITYLRHVCIVNIAATLLMADVWFIVA</v>
      </c>
      <c r="I311" s="4" t="str">
        <f t="shared" si="104"/>
        <v/>
      </c>
      <c r="J311" s="4" t="str">
        <f t="shared" si="105"/>
        <v>KGCVAATFFVHFFYLSVFFWMLAKALLILYGIMI</v>
      </c>
      <c r="K311" s="4" t="str">
        <f t="shared" si="106"/>
        <v/>
      </c>
      <c r="L311" s="4" t="str">
        <f t="shared" si="107"/>
        <v>LVASLFSVGYGCPLAIAAITVAATEPGK</v>
      </c>
      <c r="M311" s="4" t="str">
        <f t="shared" si="108"/>
        <v>CWL</v>
      </c>
      <c r="N311" s="4" t="str">
        <f t="shared" si="109"/>
        <v>MTKALLAFVIPALAIVVVNLITVTLVIVKTQRAA</v>
      </c>
      <c r="O311" s="4" t="str">
        <f t="shared" si="110"/>
        <v>KNIAILTPLLGLTWGFGVATVIDDR</v>
      </c>
      <c r="P311" s="4" t="str">
        <f t="shared" si="111"/>
        <v>SLAFHIIFSLLNAFQVSPDASDQVQS</v>
      </c>
      <c r="Q311" s="4" t="str">
        <f t="shared" si="112"/>
        <v/>
      </c>
      <c r="R311" s="5">
        <f>VLOOKUP($A311,'SegEnds_NonXtal_Prot#'!$A:$AL,3,FALSE)</f>
        <v>434</v>
      </c>
      <c r="S311" s="5" t="str">
        <f>VLOOKUP($A311,'SegEnds_NonXtal_Prot#'!$A:$AL,6,FALSE)</f>
        <v>-</v>
      </c>
      <c r="T311" s="5">
        <f>VLOOKUP($A311,'SegEnds_NonXtal_Prot#'!$A:$AL,9,FALSE)</f>
        <v>479</v>
      </c>
      <c r="U311" s="5" t="str">
        <f>VLOOKUP($A311,'SegEnds_NonXtal_Prot#'!$A:$AL,12,FALSE)</f>
        <v>-</v>
      </c>
      <c r="V311" s="5">
        <f>VLOOKUP($A311,'SegEnds_NonXtal_Prot#'!$A:$AL,15,FALSE)</f>
        <v>516</v>
      </c>
      <c r="W311" s="5" t="str">
        <f>VLOOKUP($A311,'SegEnds_NonXtal_Prot#'!$A:$AL,18,FALSE)</f>
        <v>-</v>
      </c>
      <c r="X311" s="5">
        <f>VLOOKUP($A311,'SegEnds_NonXtal_Prot#'!$A:$AL,21,FALSE)</f>
        <v>559</v>
      </c>
      <c r="Y311" s="5">
        <f>VLOOKUP($A311,'SegEnds_NonXtal_Prot#'!$A:$AL,24,FALSE)</f>
        <v>594</v>
      </c>
      <c r="Z311" s="5">
        <f>VLOOKUP($A311,'SegEnds_NonXtal_Prot#'!$A:$AL,27,FALSE)</f>
        <v>600</v>
      </c>
      <c r="AA311" s="5">
        <f>VLOOKUP($A311,'SegEnds_NonXtal_Prot#'!$A:$AL,30,FALSE)</f>
        <v>650</v>
      </c>
      <c r="AB311" s="5">
        <f>VLOOKUP($A311,'SegEnds_NonXtal_Prot#'!$A:$AL,33,FALSE)</f>
        <v>675</v>
      </c>
      <c r="AC311" s="5" t="str">
        <f>VLOOKUP($A311,'SegEnds_NonXtal_Prot#'!$A:$AL,36,FALSE)</f>
        <v>-</v>
      </c>
      <c r="AD311" s="5">
        <f>VLOOKUP($A311,'SegEnds_NonXtal_Prot#'!$A:$AL,5,FALSE)</f>
        <v>471</v>
      </c>
      <c r="AE311" s="5" t="str">
        <f>VLOOKUP($A311,'SegEnds_NonXtal_Prot#'!$A:$AL,8,FALSE)</f>
        <v>-</v>
      </c>
      <c r="AF311" s="5">
        <f>VLOOKUP($A311,'SegEnds_NonXtal_Prot#'!$A:$AL,11,FALSE)</f>
        <v>505</v>
      </c>
      <c r="AG311" s="5" t="str">
        <f>VLOOKUP($A311,'SegEnds_NonXtal_Prot#'!$A:$AL,14,FALSE)</f>
        <v>-</v>
      </c>
      <c r="AH311" s="5">
        <f>VLOOKUP($A311,'SegEnds_NonXtal_Prot#'!$A:$AL,17,FALSE)</f>
        <v>549</v>
      </c>
      <c r="AI311" s="5" t="str">
        <f>VLOOKUP($A311,'SegEnds_NonXtal_Prot#'!$A:$AL,20,FALSE)</f>
        <v>-</v>
      </c>
      <c r="AJ311" s="5">
        <f>VLOOKUP($A311,'SegEnds_NonXtal_Prot#'!$A:$AL,23,FALSE)</f>
        <v>586</v>
      </c>
      <c r="AK311" s="5">
        <f>VLOOKUP($A311,'SegEnds_NonXtal_Prot#'!$A:$AL,26,FALSE)</f>
        <v>596</v>
      </c>
      <c r="AL311" s="5">
        <f>VLOOKUP($A311,'SegEnds_NonXtal_Prot#'!$A:$AL,29,FALSE)</f>
        <v>633</v>
      </c>
      <c r="AM311" s="5">
        <f>VLOOKUP($A311,'SegEnds_NonXtal_Prot#'!$A:$AL,32,FALSE)</f>
        <v>674</v>
      </c>
      <c r="AN311" s="5">
        <f>VLOOKUP($A311,'SegEnds_NonXtal_Prot#'!$A:$AL,35,FALSE)</f>
        <v>700</v>
      </c>
      <c r="AO311" s="5" t="str">
        <f>VLOOKUP($A311,'SegEnds_NonXtal_Prot#'!$A:$AL,38,FALSE)</f>
        <v>-</v>
      </c>
      <c r="AP311" s="5">
        <f t="shared" si="113"/>
        <v>37</v>
      </c>
      <c r="AQ311" s="4" t="str">
        <f t="shared" si="114"/>
        <v>-</v>
      </c>
      <c r="AR311" s="4">
        <f t="shared" si="115"/>
        <v>26</v>
      </c>
      <c r="AS311" s="4" t="str">
        <f t="shared" si="116"/>
        <v>-</v>
      </c>
      <c r="AT311" s="4">
        <f t="shared" si="117"/>
        <v>33</v>
      </c>
      <c r="AU311" s="4" t="str">
        <f t="shared" si="118"/>
        <v>-</v>
      </c>
      <c r="AV311" s="4">
        <f t="shared" si="119"/>
        <v>27</v>
      </c>
      <c r="AW311" s="4">
        <f t="shared" si="120"/>
        <v>2</v>
      </c>
      <c r="AX311" s="4">
        <f t="shared" si="121"/>
        <v>33</v>
      </c>
      <c r="AY311" s="4">
        <f t="shared" si="122"/>
        <v>24</v>
      </c>
      <c r="AZ311" s="4">
        <f t="shared" si="123"/>
        <v>25</v>
      </c>
      <c r="BA311" s="4" t="str">
        <f t="shared" si="124"/>
        <v>-</v>
      </c>
    </row>
    <row r="312" spans="1:53" x14ac:dyDescent="0.2">
      <c r="A312" s="1" t="str">
        <f>'SegEnds_NonXtal_Prot#'!A303</f>
        <v>agrf3_human</v>
      </c>
      <c r="B312" s="1" t="str">
        <f t="shared" si="100"/>
        <v>LMSPHTVPEEPALALLTQVGLGASILALLVCLGVYWLVKISYFRHAALLNMVFCLLAADTCFLGAPLCLAAAFLCHFLYLATFFWMLAQALVLAHQLLFRVLPLMVLLGYLCPLGLAGVTLGLYLPQGKGGALYTFVGPVLAIIGVNGLVLAMAMLKLLRPSALLGVIKALLILTPIFGLTWGLGLASTVPHYIFTILNTLQGVFILLFGCLMDRKIQEALRKRFCRAQA</v>
      </c>
      <c r="C312" s="29" t="str">
        <f>IF(ISERROR(MATCH(A312,'SegEnds_Xtal_Prot#'!B:B, 0)), "NoXtal", "Xtal")</f>
        <v>NoXtal</v>
      </c>
      <c r="D312" s="4" t="str">
        <f>VLOOKUP(A312,Classification!A:D,2,FALSE)</f>
        <v>B2</v>
      </c>
      <c r="E312" s="5" t="str">
        <f>VLOOKUP(A312,Seqs!A:B,2,FALSE)</f>
        <v>MVCSAAPLLLLATTLPLLGSPVAQASQPVSETGVRPREGLQRRQWGPLIGRDKAWNERIDRPFPACPIPLSSSFGRWPKGQTMWAQTSTLTLTEEELGQSQAGGESGSGQLLDQENGAGESALVSVYVHLDFPDKTWPPELSRTLTLPAASASSSPRPLLTGLRLTTECNVNHKGNFYCACLSGYQWNTSICLHYPPCQSLHNHQPCGCLVFSHPEPGYCQLLPPGSPVTCLPAVPGILNLNSQLQMPGDTLSLTLHLSQEATNLSWFLRHPGSPSPILLQPGTQVSVTSSHGQAALSVSNMSHHWAGEYMSCFEAQGFKWNLYEVVRVPLKATDVARLPYQLSISCATSPGFQLSCCIPSTNLAYTAAWSPGEGSKASSFNESGSQCFVLAVQRCPMADTTYACDLQSLGLAPLRVPISITIIQDGDITCPEDASVLTWNVTKAGHVAQAPCPESKRGIVRRLCGADGVWGPVHSSCTDARLLALFTRTKLLQAGQGSPAEEVPQILAQLPGQAAEASSPSDLLTLLSTMKYVAKVVAEARIQLDRRALKNLLIATDKVLDMDTRSLWTLAQARKPWAGSTLLLAVETLACSLCPQDHPFAFSLPNVLLQSQLFGPTFPADYSISFPTRPPLQAQIPRHSLAPLVRNGTEISITSLVLRKLDHLLPSNYGQGLGDSLYATPGLVLVISIMAGDRAFSQGEVIMDFGNTDGSPHCVFWDHSLFQGRGGWSKEGCQAQVASASPTAQCLCQHLTAFSVLMSPHTVPEEPALALLTQVGLGASILALLVCLGVYWLVWRVVVRNKISYFRHAALLNMVFCLLAADTCFLGAPFLSPGPRSPLCLAAAFLCHFLYLATFFWMLAQALVLAHQLLFVFHQLAKHRVLPLMVLLGYLCPLGLAGVTLGLYLPQGQYLREGECWLDGKGGALYTFVGPVLAIIGVNGLVLAMAMLKLLRPSLSEGPPAEKRQALLGVIKALLILTPIFGLTWGLGLATLLEEVSTVPHYIFTILNTLQGVFILLFGCLMDRKIQEALRKRFCRAQAPSSTISLVSCCLQILSCASKSMSEGIPWPSSEDMGTARS</v>
      </c>
      <c r="F312" s="5" t="str">
        <f t="shared" si="101"/>
        <v>LMSPHTVPEEPALALLTQVGLGASILALLVCLGVYWLV</v>
      </c>
      <c r="G312" s="4" t="str">
        <f t="shared" si="102"/>
        <v/>
      </c>
      <c r="H312" s="4" t="str">
        <f t="shared" si="103"/>
        <v>KISYFRHAALLNMVFCLLAADTCFLGA</v>
      </c>
      <c r="I312" s="4" t="str">
        <f t="shared" si="104"/>
        <v/>
      </c>
      <c r="J312" s="4" t="str">
        <f t="shared" si="105"/>
        <v>PLCLAAAFLCHFLYLATFFWMLAQALVLAHQLLF</v>
      </c>
      <c r="K312" s="4" t="str">
        <f t="shared" si="106"/>
        <v/>
      </c>
      <c r="L312" s="4" t="str">
        <f t="shared" si="107"/>
        <v>RVLPLMVLLGYLCPLGLAGVTLGLYLPQG</v>
      </c>
      <c r="M312" s="4" t="str">
        <f t="shared" si="108"/>
        <v>CWL</v>
      </c>
      <c r="N312" s="4" t="str">
        <f t="shared" si="109"/>
        <v>KGGALYTFVGPVLAIIGVNGLVLAMAMLKLLRPS</v>
      </c>
      <c r="O312" s="4" t="str">
        <f t="shared" si="110"/>
        <v>ALLGVIKALLILTPIFGLTWGLGLA</v>
      </c>
      <c r="P312" s="4" t="str">
        <f t="shared" si="111"/>
        <v>STVPHYIFTILNTLQGVFILLFGCLM</v>
      </c>
      <c r="Q312" s="4" t="str">
        <f t="shared" si="112"/>
        <v>DRKIQEALRKRFCRAQA</v>
      </c>
      <c r="R312" s="5">
        <f>VLOOKUP($A312,'SegEnds_NonXtal_Prot#'!$A:$AL,3,FALSE)</f>
        <v>758</v>
      </c>
      <c r="S312" s="5" t="str">
        <f>VLOOKUP($A312,'SegEnds_NonXtal_Prot#'!$A:$AL,6,FALSE)</f>
        <v>-</v>
      </c>
      <c r="T312" s="5">
        <f>VLOOKUP($A312,'SegEnds_NonXtal_Prot#'!$A:$AL,9,FALSE)</f>
        <v>803</v>
      </c>
      <c r="U312" s="5" t="str">
        <f>VLOOKUP($A312,'SegEnds_NonXtal_Prot#'!$A:$AL,12,FALSE)</f>
        <v>-</v>
      </c>
      <c r="V312" s="5">
        <f>VLOOKUP($A312,'SegEnds_NonXtal_Prot#'!$A:$AL,15,FALSE)</f>
        <v>839</v>
      </c>
      <c r="W312" s="5" t="str">
        <f>VLOOKUP($A312,'SegEnds_NonXtal_Prot#'!$A:$AL,18,FALSE)</f>
        <v>-</v>
      </c>
      <c r="X312" s="5">
        <f>VLOOKUP($A312,'SegEnds_NonXtal_Prot#'!$A:$AL,21,FALSE)</f>
        <v>881</v>
      </c>
      <c r="Y312" s="5">
        <f>VLOOKUP($A312,'SegEnds_NonXtal_Prot#'!$A:$AL,24,FALSE)</f>
        <v>917</v>
      </c>
      <c r="Z312" s="5">
        <f>VLOOKUP($A312,'SegEnds_NonXtal_Prot#'!$A:$AL,27,FALSE)</f>
        <v>922</v>
      </c>
      <c r="AA312" s="5">
        <f>VLOOKUP($A312,'SegEnds_NonXtal_Prot#'!$A:$AL,30,FALSE)</f>
        <v>967</v>
      </c>
      <c r="AB312" s="5">
        <f>VLOOKUP($A312,'SegEnds_NonXtal_Prot#'!$A:$AL,33,FALSE)</f>
        <v>998</v>
      </c>
      <c r="AC312" s="5">
        <f>VLOOKUP($A312,'SegEnds_NonXtal_Prot#'!$A:$AL,36,FALSE)</f>
        <v>1024</v>
      </c>
      <c r="AD312" s="5">
        <f>VLOOKUP($A312,'SegEnds_NonXtal_Prot#'!$A:$AL,5,FALSE)</f>
        <v>795</v>
      </c>
      <c r="AE312" s="5" t="str">
        <f>VLOOKUP($A312,'SegEnds_NonXtal_Prot#'!$A:$AL,8,FALSE)</f>
        <v>-</v>
      </c>
      <c r="AF312" s="5">
        <f>VLOOKUP($A312,'SegEnds_NonXtal_Prot#'!$A:$AL,11,FALSE)</f>
        <v>829</v>
      </c>
      <c r="AG312" s="5" t="str">
        <f>VLOOKUP($A312,'SegEnds_NonXtal_Prot#'!$A:$AL,14,FALSE)</f>
        <v>-</v>
      </c>
      <c r="AH312" s="5">
        <f>VLOOKUP($A312,'SegEnds_NonXtal_Prot#'!$A:$AL,17,FALSE)</f>
        <v>872</v>
      </c>
      <c r="AI312" s="5" t="str">
        <f>VLOOKUP($A312,'SegEnds_NonXtal_Prot#'!$A:$AL,20,FALSE)</f>
        <v>-</v>
      </c>
      <c r="AJ312" s="5">
        <f>VLOOKUP($A312,'SegEnds_NonXtal_Prot#'!$A:$AL,23,FALSE)</f>
        <v>909</v>
      </c>
      <c r="AK312" s="5">
        <f>VLOOKUP($A312,'SegEnds_NonXtal_Prot#'!$A:$AL,26,FALSE)</f>
        <v>919</v>
      </c>
      <c r="AL312" s="5">
        <f>VLOOKUP($A312,'SegEnds_NonXtal_Prot#'!$A:$AL,29,FALSE)</f>
        <v>955</v>
      </c>
      <c r="AM312" s="5">
        <f>VLOOKUP($A312,'SegEnds_NonXtal_Prot#'!$A:$AL,32,FALSE)</f>
        <v>991</v>
      </c>
      <c r="AN312" s="5">
        <f>VLOOKUP($A312,'SegEnds_NonXtal_Prot#'!$A:$AL,35,FALSE)</f>
        <v>1023</v>
      </c>
      <c r="AO312" s="5">
        <f>VLOOKUP($A312,'SegEnds_NonXtal_Prot#'!$A:$AL,38,FALSE)</f>
        <v>1040</v>
      </c>
      <c r="AP312" s="5">
        <f t="shared" si="113"/>
        <v>37</v>
      </c>
      <c r="AQ312" s="4" t="str">
        <f t="shared" si="114"/>
        <v>-</v>
      </c>
      <c r="AR312" s="4">
        <f t="shared" si="115"/>
        <v>26</v>
      </c>
      <c r="AS312" s="4" t="str">
        <f t="shared" si="116"/>
        <v>-</v>
      </c>
      <c r="AT312" s="4">
        <f t="shared" si="117"/>
        <v>33</v>
      </c>
      <c r="AU312" s="4" t="str">
        <f t="shared" si="118"/>
        <v>-</v>
      </c>
      <c r="AV312" s="4">
        <f t="shared" si="119"/>
        <v>28</v>
      </c>
      <c r="AW312" s="4">
        <f t="shared" si="120"/>
        <v>2</v>
      </c>
      <c r="AX312" s="4">
        <f t="shared" si="121"/>
        <v>33</v>
      </c>
      <c r="AY312" s="4">
        <f t="shared" si="122"/>
        <v>24</v>
      </c>
      <c r="AZ312" s="4">
        <f t="shared" si="123"/>
        <v>25</v>
      </c>
      <c r="BA312" s="4">
        <f t="shared" si="124"/>
        <v>16</v>
      </c>
    </row>
    <row r="313" spans="1:53" x14ac:dyDescent="0.2">
      <c r="A313" s="1" t="str">
        <f>'SegEnds_NonXtal_Prot#'!A304</f>
        <v>agrf4_human</v>
      </c>
      <c r="B313" s="1" t="str">
        <f t="shared" si="100"/>
        <v>ILMSSKSMTDKVLDYITCIGLSVSILSLVLCLIIEATVEISYMRHVCIVNIAVSLLTANVWFIIGNMCVAVTFFSHFFYLSLFFWMLFKALLIIYGILVRMMVIGFAIGYGCPLIIAVTTVAITEPEKNTKALLAFAIPAFVIVAVNLIVVLVVAVNTQRPSIIMRISKNVAILTPLLGLTWGFGIASLTFHIIFALLNAFQGFFILLFGTIMDHKIRDALRMRMSSLKG</v>
      </c>
      <c r="C313" s="29" t="str">
        <f>IF(ISERROR(MATCH(A313,'SegEnds_Xtal_Prot#'!B:B, 0)), "NoXtal", "Xtal")</f>
        <v>NoXtal</v>
      </c>
      <c r="D313" s="4" t="str">
        <f>VLOOKUP(A313,Classification!A:D,2,FALSE)</f>
        <v>B2</v>
      </c>
      <c r="E313" s="5" t="str">
        <f>VLOOKUP(A313,Seqs!A:B,2,FALSE)</f>
        <v>MKMKSQATMICCLVFFLSTECSHYRSKIHLKAGDKLQSPEGKPKTGRIQEKCEGPCISSSNCSQPCAKDFHGEIGFTCNQKKWQKSAETCTSLSVEKLFKDSTGASRLSVAAPSIPLHILDFRAPETIESVAQGIRKNCPFDYACITDMVKSSETTSGNIAFIVELLKNISTDLSDNVTREKMKSYSEVANHILDTAAISNWAFIPNKNASSDLLQSVNLFARQLHIHNNSENIVNELFIQTKGFHINHNTSEKSLNFSMSMNNTTEDILGMVQIPRQELRKLWPNASQAISIAFPTLGAILREAHLQNVSLPRQVNGLVLSVVLPERLQEIILTFEKINKTRNARAQCVGWHSKKRRWDEKACQMMLDIRNEVKCRCNYTSVVMSFSILMSSKSMTDKVLDYITCIGLSVSILSLVLCLIIEATVWSRVVVTEISYMRHVCIVNIAVSLLTANVWFIIGSHFNIKAQDYNMCVAVTFFSHFFYLSLFFWMLFKALLIIYGILVIFRRMMKSRMMVIGFAIGYGCPLIIAVTTVAITEPEKGYMRPEACWLNWDNTKALLAFAIPAFVIVAVNLIVVLVVAVNTQRPSIGSSKSQDVVIIMRISKNVAILTPLLGLTWGFGIATLIEGTSLTFHIIFALLNAFQGFFILLFGTIMDHKIRDALRMRMSSLKGKSRAAENASLGPTNGSKLMNRQG</v>
      </c>
      <c r="F313" s="5" t="str">
        <f t="shared" si="101"/>
        <v>ILMSSKSMTDKVLDYITCIGLSVSILSLVLCLIIEATV</v>
      </c>
      <c r="G313" s="4" t="str">
        <f t="shared" si="102"/>
        <v/>
      </c>
      <c r="H313" s="4" t="str">
        <f t="shared" si="103"/>
        <v>EISYMRHVCIVNIAVSLLTANVWFIIG</v>
      </c>
      <c r="I313" s="4" t="str">
        <f t="shared" si="104"/>
        <v/>
      </c>
      <c r="J313" s="4" t="str">
        <f t="shared" si="105"/>
        <v>NMCVAVTFFSHFFYLSLFFWMLFKALLIIYGILV</v>
      </c>
      <c r="K313" s="4" t="str">
        <f t="shared" si="106"/>
        <v/>
      </c>
      <c r="L313" s="4" t="str">
        <f t="shared" si="107"/>
        <v>RMMVIGFAIGYGCPLIIAVTTVAITEPEK</v>
      </c>
      <c r="M313" s="4" t="str">
        <f t="shared" si="108"/>
        <v>CWL</v>
      </c>
      <c r="N313" s="4" t="str">
        <f t="shared" si="109"/>
        <v>NTKALLAFAIPAFVIVAVNLIVVLVVAVNTQRPS</v>
      </c>
      <c r="O313" s="4" t="str">
        <f t="shared" si="110"/>
        <v>IIMRISKNVAILTPLLGLTWGFGIA</v>
      </c>
      <c r="P313" s="4" t="str">
        <f t="shared" si="111"/>
        <v>SLTFHIIFALLNAFQGFFILLFGTIM</v>
      </c>
      <c r="Q313" s="4" t="str">
        <f t="shared" si="112"/>
        <v>DHKIRDALRMRMSSLKG</v>
      </c>
      <c r="R313" s="5">
        <f>VLOOKUP($A313,'SegEnds_NonXtal_Prot#'!$A:$AL,3,FALSE)</f>
        <v>389</v>
      </c>
      <c r="S313" s="5" t="str">
        <f>VLOOKUP($A313,'SegEnds_NonXtal_Prot#'!$A:$AL,6,FALSE)</f>
        <v>-</v>
      </c>
      <c r="T313" s="5">
        <f>VLOOKUP($A313,'SegEnds_NonXtal_Prot#'!$A:$AL,9,FALSE)</f>
        <v>434</v>
      </c>
      <c r="U313" s="5" t="str">
        <f>VLOOKUP($A313,'SegEnds_NonXtal_Prot#'!$A:$AL,12,FALSE)</f>
        <v>-</v>
      </c>
      <c r="V313" s="5">
        <f>VLOOKUP($A313,'SegEnds_NonXtal_Prot#'!$A:$AL,15,FALSE)</f>
        <v>471</v>
      </c>
      <c r="W313" s="5" t="str">
        <f>VLOOKUP($A313,'SegEnds_NonXtal_Prot#'!$A:$AL,18,FALSE)</f>
        <v>-</v>
      </c>
      <c r="X313" s="5">
        <f>VLOOKUP($A313,'SegEnds_NonXtal_Prot#'!$A:$AL,21,FALSE)</f>
        <v>513</v>
      </c>
      <c r="Y313" s="5">
        <f>VLOOKUP($A313,'SegEnds_NonXtal_Prot#'!$A:$AL,24,FALSE)</f>
        <v>549</v>
      </c>
      <c r="Z313" s="5">
        <f>VLOOKUP($A313,'SegEnds_NonXtal_Prot#'!$A:$AL,27,FALSE)</f>
        <v>555</v>
      </c>
      <c r="AA313" s="5">
        <f>VLOOKUP($A313,'SegEnds_NonXtal_Prot#'!$A:$AL,30,FALSE)</f>
        <v>599</v>
      </c>
      <c r="AB313" s="5">
        <f>VLOOKUP($A313,'SegEnds_NonXtal_Prot#'!$A:$AL,33,FALSE)</f>
        <v>630</v>
      </c>
      <c r="AC313" s="5">
        <f>VLOOKUP($A313,'SegEnds_NonXtal_Prot#'!$A:$AL,36,FALSE)</f>
        <v>656</v>
      </c>
      <c r="AD313" s="5">
        <f>VLOOKUP($A313,'SegEnds_NonXtal_Prot#'!$A:$AL,5,FALSE)</f>
        <v>426</v>
      </c>
      <c r="AE313" s="5" t="str">
        <f>VLOOKUP($A313,'SegEnds_NonXtal_Prot#'!$A:$AL,8,FALSE)</f>
        <v>-</v>
      </c>
      <c r="AF313" s="5">
        <f>VLOOKUP($A313,'SegEnds_NonXtal_Prot#'!$A:$AL,11,FALSE)</f>
        <v>460</v>
      </c>
      <c r="AG313" s="5" t="str">
        <f>VLOOKUP($A313,'SegEnds_NonXtal_Prot#'!$A:$AL,14,FALSE)</f>
        <v>-</v>
      </c>
      <c r="AH313" s="5">
        <f>VLOOKUP($A313,'SegEnds_NonXtal_Prot#'!$A:$AL,17,FALSE)</f>
        <v>504</v>
      </c>
      <c r="AI313" s="5" t="str">
        <f>VLOOKUP($A313,'SegEnds_NonXtal_Prot#'!$A:$AL,20,FALSE)</f>
        <v>-</v>
      </c>
      <c r="AJ313" s="5">
        <f>VLOOKUP($A313,'SegEnds_NonXtal_Prot#'!$A:$AL,23,FALSE)</f>
        <v>541</v>
      </c>
      <c r="AK313" s="5">
        <f>VLOOKUP($A313,'SegEnds_NonXtal_Prot#'!$A:$AL,26,FALSE)</f>
        <v>551</v>
      </c>
      <c r="AL313" s="5">
        <f>VLOOKUP($A313,'SegEnds_NonXtal_Prot#'!$A:$AL,29,FALSE)</f>
        <v>588</v>
      </c>
      <c r="AM313" s="5">
        <f>VLOOKUP($A313,'SegEnds_NonXtal_Prot#'!$A:$AL,32,FALSE)</f>
        <v>623</v>
      </c>
      <c r="AN313" s="5">
        <f>VLOOKUP($A313,'SegEnds_NonXtal_Prot#'!$A:$AL,35,FALSE)</f>
        <v>655</v>
      </c>
      <c r="AO313" s="5">
        <f>VLOOKUP($A313,'SegEnds_NonXtal_Prot#'!$A:$AL,38,FALSE)</f>
        <v>672</v>
      </c>
      <c r="AP313" s="5">
        <f t="shared" si="113"/>
        <v>37</v>
      </c>
      <c r="AQ313" s="4" t="str">
        <f t="shared" si="114"/>
        <v>-</v>
      </c>
      <c r="AR313" s="4">
        <f t="shared" si="115"/>
        <v>26</v>
      </c>
      <c r="AS313" s="4" t="str">
        <f t="shared" si="116"/>
        <v>-</v>
      </c>
      <c r="AT313" s="4">
        <f t="shared" si="117"/>
        <v>33</v>
      </c>
      <c r="AU313" s="4" t="str">
        <f t="shared" si="118"/>
        <v>-</v>
      </c>
      <c r="AV313" s="4">
        <f t="shared" si="119"/>
        <v>28</v>
      </c>
      <c r="AW313" s="4">
        <f t="shared" si="120"/>
        <v>2</v>
      </c>
      <c r="AX313" s="4">
        <f t="shared" si="121"/>
        <v>33</v>
      </c>
      <c r="AY313" s="4">
        <f t="shared" si="122"/>
        <v>24</v>
      </c>
      <c r="AZ313" s="4">
        <f t="shared" si="123"/>
        <v>25</v>
      </c>
      <c r="BA313" s="4">
        <f t="shared" si="124"/>
        <v>16</v>
      </c>
    </row>
    <row r="314" spans="1:53" x14ac:dyDescent="0.2">
      <c r="A314" s="1" t="str">
        <f>'SegEnds_NonXtal_Prot#'!A305</f>
        <v>agrf5_human</v>
      </c>
      <c r="B314" s="1" t="str">
        <f t="shared" si="100"/>
        <v>DSPDPSSLLGILLDIISYVGVGFSILSLAACLVVEAVVKNRTSYMRHTCIVNIAASLLVANTWFIVVTACVAATFFIHFFYLSVFFWMLTLGLMLFYRLVFTQKAIAFCLGYGCPLAISVITLGATQPREDTKALLAFAIPALIIVVVNITITIVVITKILRPSSLFQISKSIGVLTPLLGLTWGFGLTNLVFHIIFAILNVFQGLFILLFGCLWDLKVQEALLNKFSLSRW</v>
      </c>
      <c r="C314" s="29" t="str">
        <f>IF(ISERROR(MATCH(A314,'SegEnds_Xtal_Prot#'!B:B, 0)), "NoXtal", "Xtal")</f>
        <v>NoXtal</v>
      </c>
      <c r="D314" s="4" t="str">
        <f>VLOOKUP(A314,Classification!A:D,2,FALSE)</f>
        <v>B2</v>
      </c>
      <c r="E314" s="5" t="str">
        <f>VLOOKUP(A314,Seqs!A:B,2,FALSE)</f>
        <v>MKSPRRTTLCLMFIVIYSSKAALNWNYESTIHPLSLHEHEPAGEEALRQKRAVATKSPTAEEYTVNIEISFENASFLDPIKAYLNSLSFPIHGNNTDQITDILSINVTTVCRPAGNEIWCSCETGYGWPRERCLHNLICQERDVFLPGHHCSCLKELPPNGPFCLLQEDVTLNMRVRLNVGFQEDLMNTSSALYRSYKTDLETAFRKGYGILPGFKGVTVTGFKSGSVVVTYEVKTTPPSLELIHKANEQVVQSLNQTYKMDYNSFQAVTINESNFFVTPEIIFEGDTVSLVCEKEVLSSNVSWRYEEQQLEIQNSSRFSIYTALFNNMTSVSKLTIHNITPGDAGEYVCKLILDIFEYECKKKIDVMPIQILANEEMKVMCDNNPVSLNCCSQGNVNWSKVEWKQEGKINIPGTPETDIDSSCSRYTLKADGTQCPSGSSGTTVIYTCEFISAYGARGSANIKVTFISVANLTITPDPISVSEGQNFSIKCISDVSNYDEVYWNTSAGIKIYQRFYTTRRYLDGAESVLTVKTSTREWNGTYHCIFRYKNSYSIATKDVIVHPLPLKLNIMVDPLEATVSCSGSHHIKCCIEEDGDYKVTFHTGSSSLPAAKEVNKKQVCYKHNFNASSVSWCSKTVDVCCHFTNAANNSVWSPSMKLNLVPGENITCQDPVIGVGEPGKVIQKLCRFSNVPSSPESPIGGTITYKCVGSQWEEKRNDCISAPINSLLQMAKALIKSPSQDEMLPTYLKDLSISIDKAEHEISSSPGSLGAIINILDLLSTVPTQVNSEMMTHVLSTVNVILGKPVLNTWKVLQQQWTNQSSQLLHSVERFSQALQSGDSPPLSFSQTNVQMSSMVIKSSHPETYQQRFVFPYFDLWGNVVIDKSYLENLQSDSSIVTMAFPTLQAILAQDIQENNFAESLVMTTTVSHNTTMPFRISMTFKNNSPSGGETKCVFWNFRLANNTGGWDSSGCYVEEGDGDNVTCICDHLTSFSILMSPDSPDPSSLLGILLDIISYVGVGFSILSLAACLVVEAVVWKSVTKNRTSYMRHTCIVNIAASLLVANTWFIVVAAIQDNRYILCKTACVAATFFIHFFYLSVFFWMLTLGLMLFYRLVFILHETSRSTQKAIAFCLGYGCPLAISVITLGATQPREVYTRKNVCWLNWEDTKALLAFAIPALIIVVVNITITIVVITKILRPSIGDKPCKQEKSSLFQISKSIGVLTPLLGLTWGFGLTTVFPGTNLVFHIIFAILNVFQGLFILLFGCLWDLKVQEALLNKFSLSRWSSQHSKSTSLGSSTPVFSMSSPISRRFNNLFGKTGTYNVSTPEATSSSLENSSSASSLLN</v>
      </c>
      <c r="F314" s="5" t="str">
        <f t="shared" si="101"/>
        <v>DSPDPSSLLGILLDIISYVGVGFSILSLAACLVVEAVV</v>
      </c>
      <c r="G314" s="4" t="str">
        <f t="shared" si="102"/>
        <v>KSVT</v>
      </c>
      <c r="H314" s="4" t="str">
        <f t="shared" si="103"/>
        <v>KNRTSYMRHTCIVNIAASLLVANTWFIVV</v>
      </c>
      <c r="I314" s="4" t="str">
        <f t="shared" si="104"/>
        <v/>
      </c>
      <c r="J314" s="4" t="str">
        <f t="shared" si="105"/>
        <v>TACVAATFFIHFFYLSVFFWMLTLGLMLFYRLVF</v>
      </c>
      <c r="K314" s="4" t="str">
        <f t="shared" si="106"/>
        <v/>
      </c>
      <c r="L314" s="4" t="str">
        <f t="shared" si="107"/>
        <v>TQKAIAFCLGYGCPLAISVITLGATQPRE</v>
      </c>
      <c r="M314" s="4" t="str">
        <f t="shared" si="108"/>
        <v>CWL</v>
      </c>
      <c r="N314" s="4" t="str">
        <f t="shared" si="109"/>
        <v>DTKALLAFAIPALIIVVVNITITIVVITKILRPS</v>
      </c>
      <c r="O314" s="4" t="str">
        <f t="shared" si="110"/>
        <v>SLFQISKSIGVLTPLLGLTWGFGLT</v>
      </c>
      <c r="P314" s="4" t="str">
        <f t="shared" si="111"/>
        <v>NLVFHIIFAILNVFQGLFILLFGCLW</v>
      </c>
      <c r="Q314" s="4" t="str">
        <f t="shared" si="112"/>
        <v>DLKVQEALLNKFSLSRW</v>
      </c>
      <c r="R314" s="5">
        <f>VLOOKUP($A314,'SegEnds_NonXtal_Prot#'!$A:$AL,3,FALSE)</f>
        <v>1000</v>
      </c>
      <c r="S314" s="5">
        <f>VLOOKUP($A314,'SegEnds_NonXtal_Prot#'!$A:$AL,6,FALSE)</f>
        <v>1039</v>
      </c>
      <c r="T314" s="5">
        <f>VLOOKUP($A314,'SegEnds_NonXtal_Prot#'!$A:$AL,9,FALSE)</f>
        <v>1043</v>
      </c>
      <c r="U314" s="5" t="str">
        <f>VLOOKUP($A314,'SegEnds_NonXtal_Prot#'!$A:$AL,12,FALSE)</f>
        <v>-</v>
      </c>
      <c r="V314" s="5">
        <f>VLOOKUP($A314,'SegEnds_NonXtal_Prot#'!$A:$AL,15,FALSE)</f>
        <v>1084</v>
      </c>
      <c r="W314" s="5" t="str">
        <f>VLOOKUP($A314,'SegEnds_NonXtal_Prot#'!$A:$AL,18,FALSE)</f>
        <v>-</v>
      </c>
      <c r="X314" s="5">
        <f>VLOOKUP($A314,'SegEnds_NonXtal_Prot#'!$A:$AL,21,FALSE)</f>
        <v>1126</v>
      </c>
      <c r="Y314" s="5">
        <f>VLOOKUP($A314,'SegEnds_NonXtal_Prot#'!$A:$AL,24,FALSE)</f>
        <v>1162</v>
      </c>
      <c r="Z314" s="5">
        <f>VLOOKUP($A314,'SegEnds_NonXtal_Prot#'!$A:$AL,27,FALSE)</f>
        <v>1168</v>
      </c>
      <c r="AA314" s="5">
        <f>VLOOKUP($A314,'SegEnds_NonXtal_Prot#'!$A:$AL,30,FALSE)</f>
        <v>1213</v>
      </c>
      <c r="AB314" s="5">
        <f>VLOOKUP($A314,'SegEnds_NonXtal_Prot#'!$A:$AL,33,FALSE)</f>
        <v>1244</v>
      </c>
      <c r="AC314" s="5">
        <f>VLOOKUP($A314,'SegEnds_NonXtal_Prot#'!$A:$AL,36,FALSE)</f>
        <v>1270</v>
      </c>
      <c r="AD314" s="5">
        <f>VLOOKUP($A314,'SegEnds_NonXtal_Prot#'!$A:$AL,5,FALSE)</f>
        <v>1037</v>
      </c>
      <c r="AE314" s="5">
        <f>VLOOKUP($A314,'SegEnds_NonXtal_Prot#'!$A:$AL,8,FALSE)</f>
        <v>1042</v>
      </c>
      <c r="AF314" s="5">
        <f>VLOOKUP($A314,'SegEnds_NonXtal_Prot#'!$A:$AL,11,FALSE)</f>
        <v>1071</v>
      </c>
      <c r="AG314" s="5" t="str">
        <f>VLOOKUP($A314,'SegEnds_NonXtal_Prot#'!$A:$AL,14,FALSE)</f>
        <v>-</v>
      </c>
      <c r="AH314" s="5">
        <f>VLOOKUP($A314,'SegEnds_NonXtal_Prot#'!$A:$AL,17,FALSE)</f>
        <v>1117</v>
      </c>
      <c r="AI314" s="5" t="str">
        <f>VLOOKUP($A314,'SegEnds_NonXtal_Prot#'!$A:$AL,20,FALSE)</f>
        <v>-</v>
      </c>
      <c r="AJ314" s="5">
        <f>VLOOKUP($A314,'SegEnds_NonXtal_Prot#'!$A:$AL,23,FALSE)</f>
        <v>1154</v>
      </c>
      <c r="AK314" s="5">
        <f>VLOOKUP($A314,'SegEnds_NonXtal_Prot#'!$A:$AL,26,FALSE)</f>
        <v>1164</v>
      </c>
      <c r="AL314" s="5">
        <f>VLOOKUP($A314,'SegEnds_NonXtal_Prot#'!$A:$AL,29,FALSE)</f>
        <v>1201</v>
      </c>
      <c r="AM314" s="5">
        <f>VLOOKUP($A314,'SegEnds_NonXtal_Prot#'!$A:$AL,32,FALSE)</f>
        <v>1237</v>
      </c>
      <c r="AN314" s="5">
        <f>VLOOKUP($A314,'SegEnds_NonXtal_Prot#'!$A:$AL,35,FALSE)</f>
        <v>1269</v>
      </c>
      <c r="AO314" s="5">
        <f>VLOOKUP($A314,'SegEnds_NonXtal_Prot#'!$A:$AL,38,FALSE)</f>
        <v>1286</v>
      </c>
      <c r="AP314" s="5">
        <f t="shared" si="113"/>
        <v>37</v>
      </c>
      <c r="AQ314" s="4">
        <f t="shared" si="114"/>
        <v>3</v>
      </c>
      <c r="AR314" s="4">
        <f t="shared" si="115"/>
        <v>28</v>
      </c>
      <c r="AS314" s="4" t="str">
        <f t="shared" si="116"/>
        <v>-</v>
      </c>
      <c r="AT314" s="4">
        <f t="shared" si="117"/>
        <v>33</v>
      </c>
      <c r="AU314" s="4" t="str">
        <f t="shared" si="118"/>
        <v>-</v>
      </c>
      <c r="AV314" s="4">
        <f t="shared" si="119"/>
        <v>28</v>
      </c>
      <c r="AW314" s="4">
        <f t="shared" si="120"/>
        <v>2</v>
      </c>
      <c r="AX314" s="4">
        <f t="shared" si="121"/>
        <v>33</v>
      </c>
      <c r="AY314" s="4">
        <f t="shared" si="122"/>
        <v>24</v>
      </c>
      <c r="AZ314" s="4">
        <f t="shared" si="123"/>
        <v>25</v>
      </c>
      <c r="BA314" s="4">
        <f t="shared" si="124"/>
        <v>16</v>
      </c>
    </row>
    <row r="315" spans="1:53" x14ac:dyDescent="0.2">
      <c r="A315" s="1" t="str">
        <f>'SegEnds_NonXtal_Prot#'!A306</f>
        <v>agrg1_human</v>
      </c>
      <c r="B315" s="1" t="str">
        <f t="shared" si="100"/>
        <v>SSVEVDAVHKHYLSLLSYVGCVVSALACLVTIAAYLCSCRRKPRDYTIKVHMNLLLAVFLLDTSFLLSEPVAGCRASAIFLHFSLLTCLSWMGLEGYNLYRLVVEGYLLKLSAMGWGFPIFLVTLVALVDVDNYSLVSYITNLGLFSLVFLFNMAMLATMVVQILRLRQKWSHVLTLLGLSLVLGLPWALIFFFQLVVLYLFSIITSFQGFLIFIWYWSMRLQARGGPSPLKSNSDS</v>
      </c>
      <c r="C315" s="29" t="str">
        <f>IF(ISERROR(MATCH(A315,'SegEnds_Xtal_Prot#'!B:B, 0)), "NoXtal", "Xtal")</f>
        <v>NoXtal</v>
      </c>
      <c r="D315" s="4" t="str">
        <f>VLOOKUP(A315,Classification!A:D,2,FALSE)</f>
        <v>B2</v>
      </c>
      <c r="E315" s="5" t="str">
        <f>VLOOKUP(A315,Seqs!A:B,2,FALSE)</f>
        <v>MTPQSLLQTTLFLLSLLFLVQGAHGRGHREDFRFCSQRNQTHRSSLHYKPTPDLRISIENSEEALTVHAPFPAAHPASRSFPDPRGLYHFCLYWNRHAGRLHLLYGKRDFLLSDKASSLLCFQHQEESLAQGPPLLATSVTSWWSPQNISLPSAASFTFSFHSPPHTAAHNASVDMCELKRDLQLLSQFLKHPQKASRRPSAAPASQQLQSLESKLTSVRFMGDMVSFEEDRINATVWKLQPTAGLQDLHIHSRQEEEQSEIMEYSVLLPRTLFQRTKGRSGEAEKRLLLVDFSSQALFQDKNSSQVLGEKVLGIVVQNTKVANLTEPVVLTFQHQLQPKNVTLQCVFWVEDPTLSSPGHWSSAGCETVRRETQTSCFCNHLTYFAVLMVSSVEVDAVHKHYLSLLSYVGCVVSALACLVTIAAYLCSRVPLPCRRKPRDYTIKVHMNLLLAVFLLDTSFLLSEPVALTGSEAGCRASAIFLHFSLLTCLSWMGLEGYNLYRLVVEVFGTYVPGYLLKLSAMGWGFPIFLVTLVALVDVDNYGPIILAVHRTPEGVIYPSMCWIRDSLVSYITNLGLFSLVFLFNMAMLATMVVQILRLRPHTQKWSHVLTLLGLSLVLGLPWALIFFSFASGTFQLVVLYLFSIITSFQGFLIFIWYWSMRLQARGGPSPLKSNSDSARLPISSGSTSSSRI</v>
      </c>
      <c r="F315" s="5" t="str">
        <f t="shared" si="101"/>
        <v>SSVEVDAVHKHYLSLLSYVGCVVSALACLVTIAAYLCS</v>
      </c>
      <c r="G315" s="4" t="str">
        <f t="shared" si="102"/>
        <v>VPLP</v>
      </c>
      <c r="H315" s="4" t="str">
        <f t="shared" si="103"/>
        <v>CRRKPRDYTIKVHMNLLLAVFLLDTSFLLSEPV</v>
      </c>
      <c r="I315" s="4" t="str">
        <f t="shared" si="104"/>
        <v/>
      </c>
      <c r="J315" s="4" t="str">
        <f t="shared" si="105"/>
        <v>AGCRASAIFLHFSLLTCLSWMGLEGYNLYRLVVE</v>
      </c>
      <c r="K315" s="4" t="str">
        <f t="shared" si="106"/>
        <v/>
      </c>
      <c r="L315" s="4" t="str">
        <f t="shared" si="107"/>
        <v>GYLLKLSAMGWGFPIFLVTLVALVDVDNY</v>
      </c>
      <c r="M315" s="4" t="str">
        <f t="shared" si="108"/>
        <v>CWI</v>
      </c>
      <c r="N315" s="4" t="str">
        <f t="shared" si="109"/>
        <v>SLVSYITNLGLFSLVFLFNMAMLATMVVQILRLR</v>
      </c>
      <c r="O315" s="4" t="str">
        <f t="shared" si="110"/>
        <v>QKWSHVLTLLGLSLVLGLPWALIFF</v>
      </c>
      <c r="P315" s="4" t="str">
        <f t="shared" si="111"/>
        <v>FQLVVLYLFSIITSFQGFLIFIWYWSM</v>
      </c>
      <c r="Q315" s="4" t="str">
        <f t="shared" si="112"/>
        <v>RLQARGGPSPLKSNSDS</v>
      </c>
      <c r="R315" s="5">
        <f>VLOOKUP($A315,'SegEnds_NonXtal_Prot#'!$A:$AL,3,FALSE)</f>
        <v>391</v>
      </c>
      <c r="S315" s="5">
        <f>VLOOKUP($A315,'SegEnds_NonXtal_Prot#'!$A:$AL,6,FALSE)</f>
        <v>430</v>
      </c>
      <c r="T315" s="5">
        <f>VLOOKUP($A315,'SegEnds_NonXtal_Prot#'!$A:$AL,9,FALSE)</f>
        <v>434</v>
      </c>
      <c r="U315" s="5" t="str">
        <f>VLOOKUP($A315,'SegEnds_NonXtal_Prot#'!$A:$AL,12,FALSE)</f>
        <v>-</v>
      </c>
      <c r="V315" s="5">
        <f>VLOOKUP($A315,'SegEnds_NonXtal_Prot#'!$A:$AL,15,FALSE)</f>
        <v>473</v>
      </c>
      <c r="W315" s="5" t="str">
        <f>VLOOKUP($A315,'SegEnds_NonXtal_Prot#'!$A:$AL,18,FALSE)</f>
        <v>-</v>
      </c>
      <c r="X315" s="5">
        <f>VLOOKUP($A315,'SegEnds_NonXtal_Prot#'!$A:$AL,21,FALSE)</f>
        <v>514</v>
      </c>
      <c r="Y315" s="5">
        <f>VLOOKUP($A315,'SegEnds_NonXtal_Prot#'!$A:$AL,24,FALSE)</f>
        <v>562</v>
      </c>
      <c r="Z315" s="5">
        <f>VLOOKUP($A315,'SegEnds_NonXtal_Prot#'!$A:$AL,27,FALSE)</f>
        <v>567</v>
      </c>
      <c r="AA315" s="5">
        <f>VLOOKUP($A315,'SegEnds_NonXtal_Prot#'!$A:$AL,30,FALSE)</f>
        <v>604</v>
      </c>
      <c r="AB315" s="5">
        <f>VLOOKUP($A315,'SegEnds_NonXtal_Prot#'!$A:$AL,33,FALSE)</f>
        <v>635</v>
      </c>
      <c r="AC315" s="5">
        <f>VLOOKUP($A315,'SegEnds_NonXtal_Prot#'!$A:$AL,36,FALSE)</f>
        <v>662</v>
      </c>
      <c r="AD315" s="5">
        <f>VLOOKUP($A315,'SegEnds_NonXtal_Prot#'!$A:$AL,5,FALSE)</f>
        <v>428</v>
      </c>
      <c r="AE315" s="5">
        <f>VLOOKUP($A315,'SegEnds_NonXtal_Prot#'!$A:$AL,8,FALSE)</f>
        <v>433</v>
      </c>
      <c r="AF315" s="5">
        <f>VLOOKUP($A315,'SegEnds_NonXtal_Prot#'!$A:$AL,11,FALSE)</f>
        <v>466</v>
      </c>
      <c r="AG315" s="5" t="str">
        <f>VLOOKUP($A315,'SegEnds_NonXtal_Prot#'!$A:$AL,14,FALSE)</f>
        <v>-</v>
      </c>
      <c r="AH315" s="5">
        <f>VLOOKUP($A315,'SegEnds_NonXtal_Prot#'!$A:$AL,17,FALSE)</f>
        <v>506</v>
      </c>
      <c r="AI315" s="5" t="str">
        <f>VLOOKUP($A315,'SegEnds_NonXtal_Prot#'!$A:$AL,20,FALSE)</f>
        <v>-</v>
      </c>
      <c r="AJ315" s="5">
        <f>VLOOKUP($A315,'SegEnds_NonXtal_Prot#'!$A:$AL,23,FALSE)</f>
        <v>542</v>
      </c>
      <c r="AK315" s="5">
        <f>VLOOKUP($A315,'SegEnds_NonXtal_Prot#'!$A:$AL,26,FALSE)</f>
        <v>564</v>
      </c>
      <c r="AL315" s="5">
        <f>VLOOKUP($A315,'SegEnds_NonXtal_Prot#'!$A:$AL,29,FALSE)</f>
        <v>600</v>
      </c>
      <c r="AM315" s="5">
        <f>VLOOKUP($A315,'SegEnds_NonXtal_Prot#'!$A:$AL,32,FALSE)</f>
        <v>628</v>
      </c>
      <c r="AN315" s="5">
        <f>VLOOKUP($A315,'SegEnds_NonXtal_Prot#'!$A:$AL,35,FALSE)</f>
        <v>661</v>
      </c>
      <c r="AO315" s="5">
        <f>VLOOKUP($A315,'SegEnds_NonXtal_Prot#'!$A:$AL,38,FALSE)</f>
        <v>678</v>
      </c>
      <c r="AP315" s="5">
        <f t="shared" si="113"/>
        <v>37</v>
      </c>
      <c r="AQ315" s="4">
        <f t="shared" si="114"/>
        <v>3</v>
      </c>
      <c r="AR315" s="4">
        <f t="shared" si="115"/>
        <v>32</v>
      </c>
      <c r="AS315" s="4" t="str">
        <f t="shared" si="116"/>
        <v>-</v>
      </c>
      <c r="AT315" s="4">
        <f t="shared" si="117"/>
        <v>33</v>
      </c>
      <c r="AU315" s="4" t="str">
        <f t="shared" si="118"/>
        <v>-</v>
      </c>
      <c r="AV315" s="4">
        <f t="shared" si="119"/>
        <v>28</v>
      </c>
      <c r="AW315" s="4">
        <f t="shared" si="120"/>
        <v>2</v>
      </c>
      <c r="AX315" s="4">
        <f t="shared" si="121"/>
        <v>33</v>
      </c>
      <c r="AY315" s="4">
        <f t="shared" si="122"/>
        <v>24</v>
      </c>
      <c r="AZ315" s="4">
        <f t="shared" si="123"/>
        <v>26</v>
      </c>
      <c r="BA315" s="4">
        <f t="shared" si="124"/>
        <v>16</v>
      </c>
    </row>
    <row r="316" spans="1:53" x14ac:dyDescent="0.2">
      <c r="A316" s="1" t="str">
        <f>'SegEnds_NonXtal_Prot#'!A307</f>
        <v>agrg2_human</v>
      </c>
      <c r="B316" s="1" t="str">
        <f t="shared" si="100"/>
        <v>SRTSVLPAQMMALTFITYIGCGLSSIFLSVTLVTYIAFDYPSKILIQLCAALLLLNLVFLLDSWIGLCISVAVFLHYFLLVSFTWMGLEAFHMYLALVKKYILKFCIVGWGVPAVVVTIILTISPDNYNAVFYITVVGYFCVIFLLNVSMFIVVLVQLCRIKTSIQDLRSIAGLTFLLGITWGFAFFNVTFMYLFAIFNTLQGFFIFIFYCVAKENVRKQWRRYLCCGKL</v>
      </c>
      <c r="C316" s="29" t="str">
        <f>IF(ISERROR(MATCH(A316,'SegEnds_Xtal_Prot#'!B:B, 0)), "NoXtal", "Xtal")</f>
        <v>NoXtal</v>
      </c>
      <c r="D316" s="4" t="str">
        <f>VLOOKUP(A316,Classification!A:D,2,FALSE)</f>
        <v>B2</v>
      </c>
      <c r="E316" s="5" t="str">
        <f>VLOOKUP(A316,Seqs!A:B,2,FALSE)</f>
        <v>MVFSVRQCGHVGRTEEVLLTFKIFLVIICLHVVLVTSLEEDTDNSSLSPPPAKLSVVSFAPSSNGTPEVETTSLNDVTLSLLPSNETEKTKITIVKTFNASGVKPQRNICNLSSICNDSAFFRGEIMFQYDKESTVPQNQHITNGTLTGVLSLSELKRSELNKTLQTLSETYFIMCATAEAQSTLNCTFTIKLNNTMNACAVIAALERVKIRPMEHCCCSVRIPCPSSPEELEKLQCDLQDPIVCLADHPRGPPFSSSQSIPVVPRATVLSQVPKATSFAEPPDYSPVTHNVPSPIGEIQPLSPQPSAPIASSPAIDMPPQSETISSPMPQTHVSGTPPPVKASFSSPTVSAPANVNTTSAPPVQTDIVNTSSISDLENQVLQMEKALSLGSLEPNLAGEMINQVSRLLHSPPDMLAPLAQRLLKVVDDIGLQLNFSNTTISLTSPSLALAVIRVNASSFNTTTFVAQDPANLQVSLETQAPENSIGTITLPSSLMNNLPAHDMELASRVQFNFFETPALFQDPSLENLSLISYVISSSVANLTVRNLTRNVTVTLKHINPSQDELTVRCVFWDLGRNGGRGGWSDNGCSVKDRRLNETICTCSHLTSFGVLLDLSRTSVLPAQMMALTFITYIGCGLSSIFLSVTLVTYIAFEKIRRDYPSKILIQLCAALLLLNLVFLLDSWIALYKMQGLCISVAVFLHYFLLVSFTWMGLEAFHMYLALVKVFNTYIRKYILKFCIVGWGVPAVVVTIILTISPDNYGLGSYGKFPNGSPDDFCWINNNAVFYITVVGYFCVIFLLNVSMFIVVLVQLCRIKKKKQLGAQRKTSIQDLRSIAGLTFLLGITWGFAFFAWGPVNVTFMYLFAIFNTLQGFFIFIFYCVAKENVRKQWRRYLCCGKLRLAENSDWSKTATNGLKKQTVNQGVSSSSNSLQSSSNSTNSTTLLVNNDCSVHASGNGNASTERNGVSFSVQNGDVCLHDFTGKQHMFNEKEDSCNGKGRMALRRTSKRGSLHFIEQM</v>
      </c>
      <c r="F316" s="5" t="str">
        <f t="shared" si="101"/>
        <v>SRTSVLPAQMMALTFITYIGCGLSSIFLSVTLVTYIAF</v>
      </c>
      <c r="G316" s="4" t="str">
        <f t="shared" si="102"/>
        <v/>
      </c>
      <c r="H316" s="4" t="str">
        <f t="shared" si="103"/>
        <v>DYPSKILIQLCAALLLLNLVFLLDSWI</v>
      </c>
      <c r="I316" s="4" t="str">
        <f t="shared" si="104"/>
        <v/>
      </c>
      <c r="J316" s="4" t="str">
        <f t="shared" si="105"/>
        <v>GLCISVAVFLHYFLLVSFTWMGLEAFHMYLALVK</v>
      </c>
      <c r="K316" s="4" t="str">
        <f t="shared" si="106"/>
        <v/>
      </c>
      <c r="L316" s="4" t="str">
        <f t="shared" si="107"/>
        <v>KYILKFCIVGWGVPAVVVTIILTISPDNY</v>
      </c>
      <c r="M316" s="4" t="str">
        <f t="shared" si="108"/>
        <v>CWI</v>
      </c>
      <c r="N316" s="4" t="str">
        <f t="shared" si="109"/>
        <v>NAVFYITVVGYFCVIFLLNVSMFIVVLVQLCRIK</v>
      </c>
      <c r="O316" s="4" t="str">
        <f t="shared" si="110"/>
        <v>TSIQDLRSIAGLTFLLGITWGFAFF</v>
      </c>
      <c r="P316" s="4" t="str">
        <f t="shared" si="111"/>
        <v>NVTFMYLFAIFNTLQGFFIFIFYCVA</v>
      </c>
      <c r="Q316" s="4" t="str">
        <f t="shared" si="112"/>
        <v>KENVRKQWRRYLCCGKL</v>
      </c>
      <c r="R316" s="5">
        <f>VLOOKUP($A316,'SegEnds_NonXtal_Prot#'!$A:$AL,3,FALSE)</f>
        <v>616</v>
      </c>
      <c r="S316" s="5" t="str">
        <f>VLOOKUP($A316,'SegEnds_NonXtal_Prot#'!$A:$AL,6,FALSE)</f>
        <v>-</v>
      </c>
      <c r="T316" s="5">
        <f>VLOOKUP($A316,'SegEnds_NonXtal_Prot#'!$A:$AL,9,FALSE)</f>
        <v>659</v>
      </c>
      <c r="U316" s="5" t="str">
        <f>VLOOKUP($A316,'SegEnds_NonXtal_Prot#'!$A:$AL,12,FALSE)</f>
        <v>-</v>
      </c>
      <c r="V316" s="5">
        <f>VLOOKUP($A316,'SegEnds_NonXtal_Prot#'!$A:$AL,15,FALSE)</f>
        <v>692</v>
      </c>
      <c r="W316" s="5" t="str">
        <f>VLOOKUP($A316,'SegEnds_NonXtal_Prot#'!$A:$AL,18,FALSE)</f>
        <v>-</v>
      </c>
      <c r="X316" s="5">
        <f>VLOOKUP($A316,'SegEnds_NonXtal_Prot#'!$A:$AL,21,FALSE)</f>
        <v>733</v>
      </c>
      <c r="Y316" s="5">
        <f>VLOOKUP($A316,'SegEnds_NonXtal_Prot#'!$A:$AL,24,FALSE)</f>
        <v>778</v>
      </c>
      <c r="Z316" s="5">
        <f>VLOOKUP($A316,'SegEnds_NonXtal_Prot#'!$A:$AL,27,FALSE)</f>
        <v>783</v>
      </c>
      <c r="AA316" s="5">
        <f>VLOOKUP($A316,'SegEnds_NonXtal_Prot#'!$A:$AL,30,FALSE)</f>
        <v>827</v>
      </c>
      <c r="AB316" s="5">
        <f>VLOOKUP($A316,'SegEnds_NonXtal_Prot#'!$A:$AL,33,FALSE)</f>
        <v>857</v>
      </c>
      <c r="AC316" s="5">
        <f>VLOOKUP($A316,'SegEnds_NonXtal_Prot#'!$A:$AL,36,FALSE)</f>
        <v>883</v>
      </c>
      <c r="AD316" s="5">
        <f>VLOOKUP($A316,'SegEnds_NonXtal_Prot#'!$A:$AL,5,FALSE)</f>
        <v>653</v>
      </c>
      <c r="AE316" s="5" t="str">
        <f>VLOOKUP($A316,'SegEnds_NonXtal_Prot#'!$A:$AL,8,FALSE)</f>
        <v>-</v>
      </c>
      <c r="AF316" s="5">
        <f>VLOOKUP($A316,'SegEnds_NonXtal_Prot#'!$A:$AL,11,FALSE)</f>
        <v>685</v>
      </c>
      <c r="AG316" s="5" t="str">
        <f>VLOOKUP($A316,'SegEnds_NonXtal_Prot#'!$A:$AL,14,FALSE)</f>
        <v>-</v>
      </c>
      <c r="AH316" s="5">
        <f>VLOOKUP($A316,'SegEnds_NonXtal_Prot#'!$A:$AL,17,FALSE)</f>
        <v>725</v>
      </c>
      <c r="AI316" s="5" t="str">
        <f>VLOOKUP($A316,'SegEnds_NonXtal_Prot#'!$A:$AL,20,FALSE)</f>
        <v>-</v>
      </c>
      <c r="AJ316" s="5">
        <f>VLOOKUP($A316,'SegEnds_NonXtal_Prot#'!$A:$AL,23,FALSE)</f>
        <v>761</v>
      </c>
      <c r="AK316" s="5">
        <f>VLOOKUP($A316,'SegEnds_NonXtal_Prot#'!$A:$AL,26,FALSE)</f>
        <v>780</v>
      </c>
      <c r="AL316" s="5">
        <f>VLOOKUP($A316,'SegEnds_NonXtal_Prot#'!$A:$AL,29,FALSE)</f>
        <v>816</v>
      </c>
      <c r="AM316" s="5">
        <f>VLOOKUP($A316,'SegEnds_NonXtal_Prot#'!$A:$AL,32,FALSE)</f>
        <v>851</v>
      </c>
      <c r="AN316" s="5">
        <f>VLOOKUP($A316,'SegEnds_NonXtal_Prot#'!$A:$AL,35,FALSE)</f>
        <v>882</v>
      </c>
      <c r="AO316" s="5">
        <f>VLOOKUP($A316,'SegEnds_NonXtal_Prot#'!$A:$AL,38,FALSE)</f>
        <v>899</v>
      </c>
      <c r="AP316" s="5">
        <f t="shared" si="113"/>
        <v>37</v>
      </c>
      <c r="AQ316" s="4" t="str">
        <f t="shared" si="114"/>
        <v>-</v>
      </c>
      <c r="AR316" s="4">
        <f t="shared" si="115"/>
        <v>26</v>
      </c>
      <c r="AS316" s="4" t="str">
        <f t="shared" si="116"/>
        <v>-</v>
      </c>
      <c r="AT316" s="4">
        <f t="shared" si="117"/>
        <v>33</v>
      </c>
      <c r="AU316" s="4" t="str">
        <f t="shared" si="118"/>
        <v>-</v>
      </c>
      <c r="AV316" s="4">
        <f t="shared" si="119"/>
        <v>28</v>
      </c>
      <c r="AW316" s="4">
        <f t="shared" si="120"/>
        <v>2</v>
      </c>
      <c r="AX316" s="4">
        <f t="shared" si="121"/>
        <v>33</v>
      </c>
      <c r="AY316" s="4">
        <f t="shared" si="122"/>
        <v>24</v>
      </c>
      <c r="AZ316" s="4">
        <f t="shared" si="123"/>
        <v>25</v>
      </c>
      <c r="BA316" s="4">
        <f t="shared" si="124"/>
        <v>16</v>
      </c>
    </row>
    <row r="317" spans="1:53" x14ac:dyDescent="0.2">
      <c r="A317" s="1" t="str">
        <f>'SegEnds_NonXtal_Prot#'!A308</f>
        <v>agrg3_human</v>
      </c>
      <c r="B317" s="1" t="str">
        <f t="shared" si="100"/>
        <v>LRPTLDQSTVHILTRISQAGCGVSMIFLAFTIILYAFLEDAPKIHVALGGSLFLLNLAFLVNVGSAACWARGAVFHYFLLCAFTWMGLEAFHLYLLAVRHYFLKLSLVGWGLPALMVIGTGSANSYGLEGTTMYALYITVHGYFLITFLFGMVVLALVVWKIKNRKKVLTLLGLSSLVGVTWGLGLSTVYIFALFNSLQGVFICCWFTILYLPSQSTTVSSSTARLD</v>
      </c>
      <c r="C317" s="29" t="str">
        <f>IF(ISERROR(MATCH(A317,'SegEnds_Xtal_Prot#'!B:B, 0)), "NoXtal", "Xtal")</f>
        <v>NoXtal</v>
      </c>
      <c r="D317" s="4" t="str">
        <f>VLOOKUP(A317,Classification!A:D,2,FALSE)</f>
        <v>B2</v>
      </c>
      <c r="E317" s="5" t="str">
        <f>VLOOKUP(A317,Seqs!A:B,2,FALSE)</f>
        <v>MATPRGLGALLLLLLLPTSGQEKPTEGPRNTCLGSNNMYDIFNLNDKALCFTKCRQSGSDSCNVENLQRYWLNYEAHLMKEGLTQKVNTPFLKALVQNLSTNTAEDFYFSLEPSQVPRQVMKDEDKPPDRVRLPKSLFRSLPGNRSVVRLAVTILDIGPGTLFKGPRLGLGDGSGVLNNRLVGLSVGQMHVTKLAEPLEIVFSHQRPPPNMTLTCVFWDVTKGTTGDWSSEGCSTEVRPEGTVCCCDHLTFFALLLRPTLDQSTVHILTRISQAGCGVSMIFLAFTIILYAFLRLSRERFKSEDAPKIHVALGGSLFLLNLAFLVNVGSGSKGSDAACWARGAVFHYFLLCAFTWMGLEAFHLYLLAVRVFNTYFGHYFLKLSLVGWGLPALMVIGTGSANSYGLYTIRDRENRTSLELCWFREGTTMYALYITVHGYFLITFLFGMVVLALVVWKIFTLSRATAVKERGKNRKKVLTLLGLSSLVGVTWGLAIFTPLGLSTVYIFALFNSLQGVFICCWFTILYLPSQSTTVSSSTARLDQAHSASQE</v>
      </c>
      <c r="F317" s="5" t="str">
        <f t="shared" si="101"/>
        <v>LRPTLDQSTVHILTRISQAGCGVSMIFLAFTIILYAFL</v>
      </c>
      <c r="G317" s="4" t="str">
        <f t="shared" si="102"/>
        <v/>
      </c>
      <c r="H317" s="4" t="str">
        <f t="shared" si="103"/>
        <v>EDAPKIHVALGGSLFLLNLAFLVNVGS</v>
      </c>
      <c r="I317" s="4" t="str">
        <f t="shared" si="104"/>
        <v/>
      </c>
      <c r="J317" s="4" t="str">
        <f t="shared" si="105"/>
        <v>AACWARGAVFHYFLLCAFTWMGLEAFHLYLLAVR</v>
      </c>
      <c r="K317" s="4" t="str">
        <f t="shared" si="106"/>
        <v/>
      </c>
      <c r="L317" s="4" t="str">
        <f t="shared" si="107"/>
        <v>HYFLKLSLVGWGLPALMVIGTGSANSYGL</v>
      </c>
      <c r="M317" s="4" t="str">
        <f t="shared" si="108"/>
        <v>CWF</v>
      </c>
      <c r="N317" s="4" t="str">
        <f t="shared" si="109"/>
        <v>EGTTMYALYITVHGYFLITFLFGMVVLALVVWKI</v>
      </c>
      <c r="O317" s="4" t="str">
        <f t="shared" si="110"/>
        <v>KNRKKVLTLLGLSSLVGVTWGL</v>
      </c>
      <c r="P317" s="4" t="str">
        <f t="shared" si="111"/>
        <v>GLSTVYIFALFNSLQGVFICCWFTIL</v>
      </c>
      <c r="Q317" s="4" t="str">
        <f t="shared" si="112"/>
        <v>YLPSQSTTVSSSTARLD</v>
      </c>
      <c r="R317" s="5">
        <f>VLOOKUP($A317,'SegEnds_NonXtal_Prot#'!$A:$AL,3,FALSE)</f>
        <v>256</v>
      </c>
      <c r="S317" s="5" t="str">
        <f>VLOOKUP($A317,'SegEnds_NonXtal_Prot#'!$A:$AL,6,FALSE)</f>
        <v>-</v>
      </c>
      <c r="T317" s="5">
        <f>VLOOKUP($A317,'SegEnds_NonXtal_Prot#'!$A:$AL,9,FALSE)</f>
        <v>303</v>
      </c>
      <c r="U317" s="5" t="str">
        <f>VLOOKUP($A317,'SegEnds_NonXtal_Prot#'!$A:$AL,12,FALSE)</f>
        <v>-</v>
      </c>
      <c r="V317" s="5">
        <f>VLOOKUP($A317,'SegEnds_NonXtal_Prot#'!$A:$AL,15,FALSE)</f>
        <v>336</v>
      </c>
      <c r="W317" s="5" t="str">
        <f>VLOOKUP($A317,'SegEnds_NonXtal_Prot#'!$A:$AL,18,FALSE)</f>
        <v>-</v>
      </c>
      <c r="X317" s="5">
        <f>VLOOKUP($A317,'SegEnds_NonXtal_Prot#'!$A:$AL,21,FALSE)</f>
        <v>377</v>
      </c>
      <c r="Y317" s="5">
        <f>VLOOKUP($A317,'SegEnds_NonXtal_Prot#'!$A:$AL,24,FALSE)</f>
        <v>420</v>
      </c>
      <c r="Z317" s="5">
        <f>VLOOKUP($A317,'SegEnds_NonXtal_Prot#'!$A:$AL,27,FALSE)</f>
        <v>424</v>
      </c>
      <c r="AA317" s="5">
        <f>VLOOKUP($A317,'SegEnds_NonXtal_Prot#'!$A:$AL,30,FALSE)</f>
        <v>471</v>
      </c>
      <c r="AB317" s="5">
        <f>VLOOKUP($A317,'SegEnds_NonXtal_Prot#'!$A:$AL,33,FALSE)</f>
        <v>499</v>
      </c>
      <c r="AC317" s="5">
        <f>VLOOKUP($A317,'SegEnds_NonXtal_Prot#'!$A:$AL,36,FALSE)</f>
        <v>525</v>
      </c>
      <c r="AD317" s="5">
        <f>VLOOKUP($A317,'SegEnds_NonXtal_Prot#'!$A:$AL,5,FALSE)</f>
        <v>293</v>
      </c>
      <c r="AE317" s="5" t="str">
        <f>VLOOKUP($A317,'SegEnds_NonXtal_Prot#'!$A:$AL,8,FALSE)</f>
        <v>-</v>
      </c>
      <c r="AF317" s="5">
        <f>VLOOKUP($A317,'SegEnds_NonXtal_Prot#'!$A:$AL,11,FALSE)</f>
        <v>329</v>
      </c>
      <c r="AG317" s="5" t="str">
        <f>VLOOKUP($A317,'SegEnds_NonXtal_Prot#'!$A:$AL,14,FALSE)</f>
        <v>-</v>
      </c>
      <c r="AH317" s="5">
        <f>VLOOKUP($A317,'SegEnds_NonXtal_Prot#'!$A:$AL,17,FALSE)</f>
        <v>369</v>
      </c>
      <c r="AI317" s="5" t="str">
        <f>VLOOKUP($A317,'SegEnds_NonXtal_Prot#'!$A:$AL,20,FALSE)</f>
        <v>-</v>
      </c>
      <c r="AJ317" s="5">
        <f>VLOOKUP($A317,'SegEnds_NonXtal_Prot#'!$A:$AL,23,FALSE)</f>
        <v>405</v>
      </c>
      <c r="AK317" s="5">
        <f>VLOOKUP($A317,'SegEnds_NonXtal_Prot#'!$A:$AL,26,FALSE)</f>
        <v>422</v>
      </c>
      <c r="AL317" s="5">
        <f>VLOOKUP($A317,'SegEnds_NonXtal_Prot#'!$A:$AL,29,FALSE)</f>
        <v>457</v>
      </c>
      <c r="AM317" s="5">
        <f>VLOOKUP($A317,'SegEnds_NonXtal_Prot#'!$A:$AL,32,FALSE)</f>
        <v>492</v>
      </c>
      <c r="AN317" s="5">
        <f>VLOOKUP($A317,'SegEnds_NonXtal_Prot#'!$A:$AL,35,FALSE)</f>
        <v>524</v>
      </c>
      <c r="AO317" s="5">
        <f>VLOOKUP($A317,'SegEnds_NonXtal_Prot#'!$A:$AL,38,FALSE)</f>
        <v>541</v>
      </c>
      <c r="AP317" s="5">
        <f t="shared" si="113"/>
        <v>37</v>
      </c>
      <c r="AQ317" s="4" t="str">
        <f t="shared" si="114"/>
        <v>-</v>
      </c>
      <c r="AR317" s="4">
        <f t="shared" si="115"/>
        <v>26</v>
      </c>
      <c r="AS317" s="4" t="str">
        <f t="shared" si="116"/>
        <v>-</v>
      </c>
      <c r="AT317" s="4">
        <f t="shared" si="117"/>
        <v>33</v>
      </c>
      <c r="AU317" s="4" t="str">
        <f t="shared" si="118"/>
        <v>-</v>
      </c>
      <c r="AV317" s="4">
        <f t="shared" si="119"/>
        <v>28</v>
      </c>
      <c r="AW317" s="4">
        <f t="shared" si="120"/>
        <v>2</v>
      </c>
      <c r="AX317" s="4">
        <f t="shared" si="121"/>
        <v>33</v>
      </c>
      <c r="AY317" s="4">
        <f t="shared" si="122"/>
        <v>21</v>
      </c>
      <c r="AZ317" s="4">
        <f t="shared" si="123"/>
        <v>25</v>
      </c>
      <c r="BA317" s="4">
        <f t="shared" si="124"/>
        <v>16</v>
      </c>
    </row>
    <row r="318" spans="1:53" x14ac:dyDescent="0.2">
      <c r="A318" s="1" t="str">
        <f>'SegEnds_NonXtal_Prot#'!A309</f>
        <v>agrg4_human</v>
      </c>
      <c r="B318" s="1" t="str">
        <f t="shared" si="100"/>
        <v>SRSTVDSVNEQILALITYTGCGISSIFLGVAVVTYIAFDYPAKILINLCTALLMLNLVFLINSWLGVCITAAVALHYFLLVSFTWMGLEAVHMYLALVKNYILKFCLVGWGIPAIMVAITVSVKKDLYDSIFYISVVAYFCLIFLMNLSMFCTVLVQLNSVKMILHDLKGTMSLTFLLGLTWGFAFFRNFFLYLFAIFNTLQGFFIFVFHCVMKESVREQWQIHLCCGWL</v>
      </c>
      <c r="C318" s="29" t="str">
        <f>IF(ISERROR(MATCH(A318,'SegEnds_Xtal_Prot#'!B:B, 0)), "NoXtal", "Xtal")</f>
        <v>NoXtal</v>
      </c>
      <c r="D318" s="4" t="str">
        <f>VLOOKUP(A318,Classification!A:D,2,FALSE)</f>
        <v>B2</v>
      </c>
      <c r="E318" s="5" t="str">
        <f>VLOOKUP(A318,Seqs!A:B,2,FALSE)</f>
        <v>MKEHIIYQKLYGLILMSSFIFLSDTLSLKGKKLDFFGRGDTYVSLIDTIPELSRFTACIDLVFMDDNSRYWMAFSYITNNALLGREDIDLGLAGDHQQLILYRLGKTFSIRHHLASFQWHTICLIWDGVKGKLELFLNKERILEVTDQPHNLTPHGTLFLGHFLKNESSEVKSMMRSFPGSLYYFQLWDHILENEEFMKCLDGNIVSWEEDVWLVNKIIPTVDRTLRCFVPENMTIQEKSTTVSQQIDMTTPSQITGVKPQNTAHSSTLLSQSIPIFATDYTTISYSNTTSPPLETMTAQKILKTLVDETATFAVDVLSTSSAISLPTQSISIDNTTNSMKKTKSPSSESTKTTKMVEAMATEIFQPPTPSNFLSTSRFTKNSVVSTTSAIKSQSAVTKTTSLFSTIESTSMSTTPCLKQKSTNTGALPISTAGQEFIESTAAGTVPWFTVEKTSPASTHVGTASSFPPEPVLISTAAPVDSVFPRNQTAFPLATTDMKIAFTVHSLTLPTRLIETTPAPRTAETELTSTNFQDVSLPRVEDAMSTSMSKETSSKTFSFLTSFSFTGTESVQTVIDAEATRTALTPEITLASTVAETMLSSTITGRVYTQNTPTADGHLLTLMSTRSASTSKAPESGPTSTTDEAAHLFSSNETIWTSRPDQALLASMNTTTILTFVPNENFTSAFHENTTYTEYLSATTNITPLKASPEGKGTTANDATTARYTTAVSKLTSPWFANFSIVSGTTSITNMPEFKLTTLLLKTIPMSTKPANELPLTPRETVVPSVDIISTLACIQPNFSTEESASETTQTEINGAIVFGGTTTPVPKSATTQRLNATVTRKEATSHYLMRKSTIAAVAEVSPFSTMLEVTDESAQRVTASVTVSSFPDIEKLSTPLDNKTATTEVRESWLLTKLVKTTPRSSYNEMTEMFNFNHTYVAHWTSETSEGISAGSPTSGSTHIFGEPLGASTTRISETSFSTTPTDRTATSLSDGILPPQPTAAHSSATPVPVTHMFSLPVNGSSVVAEETEVTMSEPSTLARAFSTSVLSDVSNLSSTTMTTALVPPLDQTASTTIVIVPTHGDLIRTTSEATVISVRKTSMAVPSLTETPFHSLRLSTPVTAKAETTLFSTSVDTVTPSTHTLVCSKPPPDNIPPASSTHVISTTSTPEATQPISQVEETSTYALSFPYTFSGGGVVASLATGTTETSVVDETTPSHISANKLTTSVNSHISSSATYRVHTPVSIQLVTSTSVLSSDKDQMTISLGKTPRTMEVTEMSPSKNSFISYSRGTPSLEMTDTGFPETTKISSHQTHSPSEIPLGTPSDGNLASSPTSGSTQITPTLTSSNTVGVHIPEMSTSLGKTALPSQALTITTFLCPEKESTSALPAYTPRTVEMIVNSTYVTHSVSYGQDTSFVDTTTSSSTRISNPMDINTTFSHLHSLRTQPEVTSVASFISESTQTFPESLSLSTAGLYNDGFTVLSDRITTAFSVPNVPTMLPRESSMATSTPIYQMSSLPVNVTAFTSKKVSDTPPIVITKSSKTMHPGCLKSPCTATSGPMSEMSSIPVNNSAFTPATVSSDTSTRVGLFSTLLSSVTPRTTMTMQTSTLDVTPVIYAGATSKNKMVSSAFTTEMIEAPSRITPTTFLSPTEPTLPFVKTVPTTIMAGIVTPFVGTTAFSPLSSKSTGAISSIPKTTFSPFLSATQQSSQADEATTLGILSGITNRSLSTVNSGTGVALTDTYSRITVPENMLSPTHADSLHTSFNIQVSPSLTSFKSASGPTKNVKTTTNCFSSNTRKMTSLLEKTSLTNYATSLNTPVSYPPWTPSSATLPSLTSFVYSPHSTEAEISTPKTSPPPTSQMVEFPVLGTRMTSSNTQPLLMTSWNIPTAEGSQFPISTTINVPTSNEMETETLHLVPGPLSTFTASQTGLVSKDVMAMSSIPMSGILPNHGLSENPSLSTSLRAITSTLADVKHTFEKMTTSVTPGTTLPSILSGATSGSVISKSPILTWLLSSLPSGSPPATVSNAPHVMTSSTVEVSKSTFLTSDMISAHPFTNLTTLPSATMSTILTRTIPTPTLGGITTGFPTSLPMSINVTDDIVYISTHPEASSRTTITANPRTVSHPSSFSRKTMSPSTTDHTLSVGAMPLPSSTITSSWNRIPTASSPSTLIIPKPTLDSLLNIMTTTSTVPGASFPLISTGVTYPFTATVSSPISSFFETTWLDSTPSFLSTEASTSPTATKSTVSFYNVEMSFSVFVEEPRIPITSVINEFTENSLNSIFQNSEFSLATLETQIKSRDISEEEMVMDRAILEQREGQEMATISYVPYSCVCQVIIKASSSLASSELMRKIKSKIHGNFTHGNFTQDQLTLLVNCEHVAVKKLEPGNCKADETASKYKGTYKWLLTNPTETAQTRCIKNEDGNATRFCSISINTGKSQWEKPKFKQCKLLQELPDKIVDLANITISDENAEDVAEHILNLINESPALGKEETKIIVSKISDISQCDEISMNLTHVMLQIINVVLEKQNNSASDLHEISNEILRIIERTGHKMEFSGQIANLTVAGLALAVLRGDHTFDGMAFSIHSYEEGTDPEIFLGNVPVGGILASIYLPKSLTERIPLSNLQTILFNFFGQTSLFKTKNVTKALTTYVVSASISDDMFIQNLADPVVITLQHIGGNQNYGQVHCAFWDFENNNGLGGWNSSGCKVKETNVNYTICQCDHLTHFGVLMDLSRSTVDSVNEQILALITYTGCGISSIFLGVAVVTYIAFHKLRKDYPAKILINLCTALLMLNLVFLINSWLSSFQKVGVCITAAVALHYFLLVSFTWMGLEAVHMYLALVKVFNIYIPNYILKFCLVGWGIPAIMVAITVSVKKDLYGTLSPTTPFCWIKDDSIFYISVVAYFCLIFLMNLSMFCTVLVQLNSVKSQIQKTRRKMILHDLKGTMSLTFLLGLTWGFAFFAWGPMRNFFLYLFAIFNTLQGFFIFVFHCVMKESVREQWQIHLCCGWLRLDNSSDGSSRCQIKVGYKQEGLKKIFEHKLLTPSLKSTATSSTFKSLGSAQGTPSEISFPNDDFDKDPYCSSP</v>
      </c>
      <c r="F318" s="5" t="str">
        <f t="shared" si="101"/>
        <v>SRSTVDSVNEQILALITYTGCGISSIFLGVAVVTYIAF</v>
      </c>
      <c r="G318" s="4" t="str">
        <f t="shared" si="102"/>
        <v/>
      </c>
      <c r="H318" s="4" t="str">
        <f t="shared" si="103"/>
        <v>DYPAKILINLCTALLMLNLVFLINSWL</v>
      </c>
      <c r="I318" s="4" t="str">
        <f t="shared" si="104"/>
        <v/>
      </c>
      <c r="J318" s="4" t="str">
        <f t="shared" si="105"/>
        <v>GVCITAAVALHYFLLVSFTWMGLEAVHMYLALVK</v>
      </c>
      <c r="K318" s="4" t="str">
        <f t="shared" si="106"/>
        <v/>
      </c>
      <c r="L318" s="4" t="str">
        <f t="shared" si="107"/>
        <v>NYILKFCLVGWGIPAIMVAITVSVKKDLY</v>
      </c>
      <c r="M318" s="4" t="str">
        <f t="shared" si="108"/>
        <v>CWI</v>
      </c>
      <c r="N318" s="4" t="str">
        <f t="shared" si="109"/>
        <v>DSIFYISVVAYFCLIFLMNLSMFCTVLVQLNSVK</v>
      </c>
      <c r="O318" s="4" t="str">
        <f t="shared" si="110"/>
        <v>MILHDLKGTMSLTFLLGLTWGFAFF</v>
      </c>
      <c r="P318" s="4" t="str">
        <f t="shared" si="111"/>
        <v>RNFFLYLFAIFNTLQGFFIFVFHCVM</v>
      </c>
      <c r="Q318" s="4" t="str">
        <f t="shared" si="112"/>
        <v>KESVREQWQIHLCCGWL</v>
      </c>
      <c r="R318" s="5">
        <f>VLOOKUP($A318,'SegEnds_NonXtal_Prot#'!$A:$AL,3,FALSE)</f>
        <v>2731</v>
      </c>
      <c r="S318" s="5" t="str">
        <f>VLOOKUP($A318,'SegEnds_NonXtal_Prot#'!$A:$AL,6,FALSE)</f>
        <v>-</v>
      </c>
      <c r="T318" s="5">
        <f>VLOOKUP($A318,'SegEnds_NonXtal_Prot#'!$A:$AL,9,FALSE)</f>
        <v>2774</v>
      </c>
      <c r="U318" s="5" t="str">
        <f>VLOOKUP($A318,'SegEnds_NonXtal_Prot#'!$A:$AL,12,FALSE)</f>
        <v>-</v>
      </c>
      <c r="V318" s="5">
        <f>VLOOKUP($A318,'SegEnds_NonXtal_Prot#'!$A:$AL,15,FALSE)</f>
        <v>2807</v>
      </c>
      <c r="W318" s="5" t="str">
        <f>VLOOKUP($A318,'SegEnds_NonXtal_Prot#'!$A:$AL,18,FALSE)</f>
        <v>-</v>
      </c>
      <c r="X318" s="5">
        <f>VLOOKUP($A318,'SegEnds_NonXtal_Prot#'!$A:$AL,21,FALSE)</f>
        <v>2848</v>
      </c>
      <c r="Y318" s="5">
        <f>VLOOKUP($A318,'SegEnds_NonXtal_Prot#'!$A:$AL,24,FALSE)</f>
        <v>2886</v>
      </c>
      <c r="Z318" s="5">
        <f>VLOOKUP($A318,'SegEnds_NonXtal_Prot#'!$A:$AL,27,FALSE)</f>
        <v>2891</v>
      </c>
      <c r="AA318" s="5">
        <f>VLOOKUP($A318,'SegEnds_NonXtal_Prot#'!$A:$AL,30,FALSE)</f>
        <v>2934</v>
      </c>
      <c r="AB318" s="5">
        <f>VLOOKUP($A318,'SegEnds_NonXtal_Prot#'!$A:$AL,33,FALSE)</f>
        <v>2964</v>
      </c>
      <c r="AC318" s="5">
        <f>VLOOKUP($A318,'SegEnds_NonXtal_Prot#'!$A:$AL,36,FALSE)</f>
        <v>2990</v>
      </c>
      <c r="AD318" s="5">
        <f>VLOOKUP($A318,'SegEnds_NonXtal_Prot#'!$A:$AL,5,FALSE)</f>
        <v>2768</v>
      </c>
      <c r="AE318" s="5" t="str">
        <f>VLOOKUP($A318,'SegEnds_NonXtal_Prot#'!$A:$AL,8,FALSE)</f>
        <v>-</v>
      </c>
      <c r="AF318" s="5">
        <f>VLOOKUP($A318,'SegEnds_NonXtal_Prot#'!$A:$AL,11,FALSE)</f>
        <v>2800</v>
      </c>
      <c r="AG318" s="5" t="str">
        <f>VLOOKUP($A318,'SegEnds_NonXtal_Prot#'!$A:$AL,14,FALSE)</f>
        <v>-</v>
      </c>
      <c r="AH318" s="5">
        <f>VLOOKUP($A318,'SegEnds_NonXtal_Prot#'!$A:$AL,17,FALSE)</f>
        <v>2840</v>
      </c>
      <c r="AI318" s="5" t="str">
        <f>VLOOKUP($A318,'SegEnds_NonXtal_Prot#'!$A:$AL,20,FALSE)</f>
        <v>-</v>
      </c>
      <c r="AJ318" s="5">
        <f>VLOOKUP($A318,'SegEnds_NonXtal_Prot#'!$A:$AL,23,FALSE)</f>
        <v>2876</v>
      </c>
      <c r="AK318" s="5">
        <f>VLOOKUP($A318,'SegEnds_NonXtal_Prot#'!$A:$AL,26,FALSE)</f>
        <v>2888</v>
      </c>
      <c r="AL318" s="5">
        <f>VLOOKUP($A318,'SegEnds_NonXtal_Prot#'!$A:$AL,29,FALSE)</f>
        <v>2924</v>
      </c>
      <c r="AM318" s="5">
        <f>VLOOKUP($A318,'SegEnds_NonXtal_Prot#'!$A:$AL,32,FALSE)</f>
        <v>2958</v>
      </c>
      <c r="AN318" s="5">
        <f>VLOOKUP($A318,'SegEnds_NonXtal_Prot#'!$A:$AL,35,FALSE)</f>
        <v>2989</v>
      </c>
      <c r="AO318" s="5">
        <f>VLOOKUP($A318,'SegEnds_NonXtal_Prot#'!$A:$AL,38,FALSE)</f>
        <v>3006</v>
      </c>
      <c r="AP318" s="5">
        <f t="shared" si="113"/>
        <v>37</v>
      </c>
      <c r="AQ318" s="4" t="str">
        <f t="shared" si="114"/>
        <v>-</v>
      </c>
      <c r="AR318" s="4">
        <f t="shared" si="115"/>
        <v>26</v>
      </c>
      <c r="AS318" s="4" t="str">
        <f t="shared" si="116"/>
        <v>-</v>
      </c>
      <c r="AT318" s="4">
        <f t="shared" si="117"/>
        <v>33</v>
      </c>
      <c r="AU318" s="4" t="str">
        <f t="shared" si="118"/>
        <v>-</v>
      </c>
      <c r="AV318" s="4">
        <f t="shared" si="119"/>
        <v>28</v>
      </c>
      <c r="AW318" s="4">
        <f t="shared" si="120"/>
        <v>2</v>
      </c>
      <c r="AX318" s="4">
        <f t="shared" si="121"/>
        <v>33</v>
      </c>
      <c r="AY318" s="4">
        <f t="shared" si="122"/>
        <v>24</v>
      </c>
      <c r="AZ318" s="4">
        <f t="shared" si="123"/>
        <v>25</v>
      </c>
      <c r="BA318" s="4">
        <f t="shared" si="124"/>
        <v>16</v>
      </c>
    </row>
    <row r="319" spans="1:53" x14ac:dyDescent="0.2">
      <c r="A319" s="1" t="str">
        <f>'SegEnds_NonXtal_Prot#'!A310</f>
        <v>agrg5_human</v>
      </c>
      <c r="B319" s="1" t="str">
        <f t="shared" si="100"/>
        <v>SPALVPAELLAPLTYISLVGCSISIVASLITVLLHFHFDSLTRIHMNLHASVLLLNIAFLLSPAFSACTALAAALHYALLSCLTWMAIEGFNLYLLLGRRYVFKLGVLGWGAPALLVLLSLSVKSSVYPVVHSVLVMGYGGLTSLFNLVVLAWALWTLRRLRRACHDTVTVLGLTVLLGTTWALAFFLLPQLFLFTILNSLYGFFLFLWFCSQRCRSEAEAKAQIEAFSS</v>
      </c>
      <c r="C319" s="29" t="str">
        <f>IF(ISERROR(MATCH(A319,'SegEnds_Xtal_Prot#'!B:B, 0)), "NoXtal", "Xtal")</f>
        <v>NoXtal</v>
      </c>
      <c r="D319" s="4" t="str">
        <f>VLOOKUP(A319,Classification!A:D,2,FALSE)</f>
        <v>B2</v>
      </c>
      <c r="E319" s="5" t="str">
        <f>VLOOKUP(A319,Seqs!A:B,2,FALSE)</f>
        <v>MDHCGALFLCLCLLTLQNATTETWEELLSYMENMQVSRGRSSVFSSRQLHQLEQMLLNTSFPGYNLTLQTPTIQSLAFKLSCDFSGLSLTSATLKRVPQAGGQHARGQHAMQFPAELTRDACKTRPRELRLICIYFSNTHFFKDENNSSLLNNYVLGAQLSHGHVNNLRDPVNISFWHNQSLEGYTLTCVFWKEGARKQPWGGWSPEGCRTEQPSHSQVLCRCNHLTYFAVLMQLSPALVPAELLAPLTYISLVGCSISIVASLITVLLHFHFRKQSDSLTRIHMNLHASVLLLNIAFLLSPAFAMSPVPGSACTALAAALHYALLSCLTWMAIEGFNLYLLLGRVYNIYIRRYVFKLGVLGWGAPALLVLLSLSVKSSVYGPCTIPVFDSWENGTGFQNMSICWVRSPVVHSVLVMGYGGLTSLFNLVVLAWALWTLRRLRERADAPSVRACHDTVTVLGLTVLLGTTWALAFFSFGVFLLPQLFLFTILNSLYGFFLFLWFCSQRCRSEAEAKAQIEAFSSSQTTQ</v>
      </c>
      <c r="F319" s="5" t="str">
        <f t="shared" si="101"/>
        <v>SPALVPAELLAPLTYISLVGCSISIVASLITVLLHFHF</v>
      </c>
      <c r="G319" s="4" t="str">
        <f t="shared" si="102"/>
        <v/>
      </c>
      <c r="H319" s="4" t="str">
        <f t="shared" si="103"/>
        <v>DSLTRIHMNLHASVLLLNIAFLLSPAF</v>
      </c>
      <c r="I319" s="4" t="str">
        <f t="shared" si="104"/>
        <v/>
      </c>
      <c r="J319" s="4" t="str">
        <f t="shared" si="105"/>
        <v>SACTALAAALHYALLSCLTWMAIEGFNLYLLLGR</v>
      </c>
      <c r="K319" s="4" t="str">
        <f t="shared" si="106"/>
        <v/>
      </c>
      <c r="L319" s="4" t="str">
        <f t="shared" si="107"/>
        <v>RYVFKLGVLGWGAPALLVLLSLSVKSSVY</v>
      </c>
      <c r="M319" s="4" t="str">
        <f t="shared" si="108"/>
        <v>CWV</v>
      </c>
      <c r="N319" s="4" t="str">
        <f t="shared" si="109"/>
        <v>PVVHSVLVMGYGGLTSLFNLVVLAWALWTLRRLR</v>
      </c>
      <c r="O319" s="4" t="str">
        <f t="shared" si="110"/>
        <v>RACHDTVTVLGLTVLLGTTWALAFF</v>
      </c>
      <c r="P319" s="4" t="str">
        <f t="shared" si="111"/>
        <v>LLPQLFLFTILNSLYGFFLFLWFCSQ</v>
      </c>
      <c r="Q319" s="4" t="str">
        <f t="shared" si="112"/>
        <v>RCRSEAEAKAQIEAFSS</v>
      </c>
      <c r="R319" s="5">
        <f>VLOOKUP($A319,'SegEnds_NonXtal_Prot#'!$A:$AL,3,FALSE)</f>
        <v>236</v>
      </c>
      <c r="S319" s="5" t="str">
        <f>VLOOKUP($A319,'SegEnds_NonXtal_Prot#'!$A:$AL,6,FALSE)</f>
        <v>-</v>
      </c>
      <c r="T319" s="5">
        <f>VLOOKUP($A319,'SegEnds_NonXtal_Prot#'!$A:$AL,9,FALSE)</f>
        <v>278</v>
      </c>
      <c r="U319" s="5" t="str">
        <f>VLOOKUP($A319,'SegEnds_NonXtal_Prot#'!$A:$AL,12,FALSE)</f>
        <v>-</v>
      </c>
      <c r="V319" s="5">
        <f>VLOOKUP($A319,'SegEnds_NonXtal_Prot#'!$A:$AL,15,FALSE)</f>
        <v>312</v>
      </c>
      <c r="W319" s="5" t="str">
        <f>VLOOKUP($A319,'SegEnds_NonXtal_Prot#'!$A:$AL,18,FALSE)</f>
        <v>-</v>
      </c>
      <c r="X319" s="5">
        <f>VLOOKUP($A319,'SegEnds_NonXtal_Prot#'!$A:$AL,21,FALSE)</f>
        <v>353</v>
      </c>
      <c r="Y319" s="5">
        <f>VLOOKUP($A319,'SegEnds_NonXtal_Prot#'!$A:$AL,24,FALSE)</f>
        <v>404</v>
      </c>
      <c r="Z319" s="5">
        <f>VLOOKUP($A319,'SegEnds_NonXtal_Prot#'!$A:$AL,27,FALSE)</f>
        <v>409</v>
      </c>
      <c r="AA319" s="5">
        <f>VLOOKUP($A319,'SegEnds_NonXtal_Prot#'!$A:$AL,30,FALSE)</f>
        <v>451</v>
      </c>
      <c r="AB319" s="5">
        <f>VLOOKUP($A319,'SegEnds_NonXtal_Prot#'!$A:$AL,33,FALSE)</f>
        <v>481</v>
      </c>
      <c r="AC319" s="5">
        <f>VLOOKUP($A319,'SegEnds_NonXtal_Prot#'!$A:$AL,36,FALSE)</f>
        <v>507</v>
      </c>
      <c r="AD319" s="5">
        <f>VLOOKUP($A319,'SegEnds_NonXtal_Prot#'!$A:$AL,5,FALSE)</f>
        <v>273</v>
      </c>
      <c r="AE319" s="5" t="str">
        <f>VLOOKUP($A319,'SegEnds_NonXtal_Prot#'!$A:$AL,8,FALSE)</f>
        <v>-</v>
      </c>
      <c r="AF319" s="5">
        <f>VLOOKUP($A319,'SegEnds_NonXtal_Prot#'!$A:$AL,11,FALSE)</f>
        <v>304</v>
      </c>
      <c r="AG319" s="5" t="str">
        <f>VLOOKUP($A319,'SegEnds_NonXtal_Prot#'!$A:$AL,14,FALSE)</f>
        <v>-</v>
      </c>
      <c r="AH319" s="5">
        <f>VLOOKUP($A319,'SegEnds_NonXtal_Prot#'!$A:$AL,17,FALSE)</f>
        <v>345</v>
      </c>
      <c r="AI319" s="5" t="str">
        <f>VLOOKUP($A319,'SegEnds_NonXtal_Prot#'!$A:$AL,20,FALSE)</f>
        <v>-</v>
      </c>
      <c r="AJ319" s="5">
        <f>VLOOKUP($A319,'SegEnds_NonXtal_Prot#'!$A:$AL,23,FALSE)</f>
        <v>381</v>
      </c>
      <c r="AK319" s="5">
        <f>VLOOKUP($A319,'SegEnds_NonXtal_Prot#'!$A:$AL,26,FALSE)</f>
        <v>406</v>
      </c>
      <c r="AL319" s="5">
        <f>VLOOKUP($A319,'SegEnds_NonXtal_Prot#'!$A:$AL,29,FALSE)</f>
        <v>442</v>
      </c>
      <c r="AM319" s="5">
        <f>VLOOKUP($A319,'SegEnds_NonXtal_Prot#'!$A:$AL,32,FALSE)</f>
        <v>475</v>
      </c>
      <c r="AN319" s="5">
        <f>VLOOKUP($A319,'SegEnds_NonXtal_Prot#'!$A:$AL,35,FALSE)</f>
        <v>506</v>
      </c>
      <c r="AO319" s="5">
        <f>VLOOKUP($A319,'SegEnds_NonXtal_Prot#'!$A:$AL,38,FALSE)</f>
        <v>523</v>
      </c>
      <c r="AP319" s="5">
        <f t="shared" si="113"/>
        <v>37</v>
      </c>
      <c r="AQ319" s="4" t="str">
        <f t="shared" si="114"/>
        <v>-</v>
      </c>
      <c r="AR319" s="4">
        <f t="shared" si="115"/>
        <v>26</v>
      </c>
      <c r="AS319" s="4" t="str">
        <f t="shared" si="116"/>
        <v>-</v>
      </c>
      <c r="AT319" s="4">
        <f t="shared" si="117"/>
        <v>33</v>
      </c>
      <c r="AU319" s="4" t="str">
        <f t="shared" si="118"/>
        <v>-</v>
      </c>
      <c r="AV319" s="4">
        <f t="shared" si="119"/>
        <v>28</v>
      </c>
      <c r="AW319" s="4">
        <f t="shared" si="120"/>
        <v>2</v>
      </c>
      <c r="AX319" s="4">
        <f t="shared" si="121"/>
        <v>33</v>
      </c>
      <c r="AY319" s="4">
        <f t="shared" si="122"/>
        <v>24</v>
      </c>
      <c r="AZ319" s="4">
        <f t="shared" si="123"/>
        <v>25</v>
      </c>
      <c r="BA319" s="4">
        <f t="shared" si="124"/>
        <v>16</v>
      </c>
    </row>
    <row r="320" spans="1:53" x14ac:dyDescent="0.2">
      <c r="A320" s="1" t="str">
        <f>'SegEnds_NonXtal_Prot#'!A311</f>
        <v>agrg7_human</v>
      </c>
      <c r="B320" s="1" t="str">
        <f t="shared" si="100"/>
        <v>MTFKKDYQYPKSLDILSNVGCALSVTGLALTVIFQIVTTSVTWVLVNLCISMLIFNLLFVFGIENSNINIPNPMCTAIAALLHYFLLVTFTWNALSAAQLYYLLIRPRHFILFISLIGWGVPAIVVAITVGVIYSQNKSPLLWSFIVPVTIILISNVVMFITISIKVLWKNSSMKKIVSTLSVAVVFGITWILAYLMLVNDSIRIVFSYIFCLFNTTQGLQIFILYTVRTKVFQSEASKVLMLLSS</v>
      </c>
      <c r="C320" s="29" t="str">
        <f>IF(ISERROR(MATCH(A320,'SegEnds_Xtal_Prot#'!B:B, 0)), "NoXtal", "Xtal")</f>
        <v>NoXtal</v>
      </c>
      <c r="D320" s="4" t="str">
        <f>VLOOKUP(A320,Classification!A:D,2,FALSE)</f>
        <v>B2</v>
      </c>
      <c r="E320" s="5" t="str">
        <f>VLOOKUP(A320,Seqs!A:B,2,FALSE)</f>
        <v>MASCRAWNLRVLVAVVCGLLTGIILGLGIWRIVIRIQRGKSTSSSSTPTEFCRNGGTWENGRCICTEEWKGLRCTIANFCENSTYMGFTFARIPVGRYGPSLQTCGKDTPNAGNPMAVRLCSLSLYGEIELQKVTIGNCNENLETLEKQVKDVTAPLNNISSEVQILTSDANKLTAENITSATRVVGQIFNTSRNASPEAKKVAIVTVSQLLDASEDAFQRVAATANDDALTTLIEQMETYSLSLGNQSVVEPNIAIQSANFSSENAVGPSNVRFSVQKGASSSLVSSSTFIHTNVDGLNPDAQTELQVLLNMTKNYTKTCGFVVYQNDKLFQSKTFTAKSDFSQKIISSKTDENEQDQSASVDMVFSPKYNQKEFQLYSYACVYWNLSAKDWDTYGCQKDKGTDGFLRCRCNHTTNFAVLMTFKKDYQYPKSLDILSNVGCALSVTGLALTVIFQIVTRKVRKTSVTWVLVNLCISMLIFNLLFVFGIENSNKNLQTSDGDINNIDFDNNDIPRTDTINIPNPMCTAIAALLHYFLLVTFTWNALSAAQLYYLLIRTMKPLPRHFILFISLIGWGVPAIVVAITVGVIYSQNGNNPQWELDYRQEKICWLAIPEPNGVIKSPLLWSFIVPVTIILISNVVMFITISIKVLWKNNQNLTSTKKVSSMKKIVSTLSVAVVFGITWILAYLMLVNDDSIRIVFSYIFCLFNTTQGLQIFILYTVRTKVFQSEASKVLMLLSSIGRRKSLPSVTRPRLRVKMYNFLRSLPTLHERFRLLETSPSTEEITLSESDNAKESI</v>
      </c>
      <c r="F320" s="5" t="str">
        <f t="shared" si="101"/>
        <v>MTFKKDYQYPKSLDILSNVGCALSVTGLALTVIFQIVT</v>
      </c>
      <c r="G320" s="4" t="str">
        <f t="shared" si="102"/>
        <v/>
      </c>
      <c r="H320" s="4" t="str">
        <f t="shared" si="103"/>
        <v>TSVTWVLVNLCISMLIFNLLFVFGIENSN</v>
      </c>
      <c r="I320" s="4" t="str">
        <f t="shared" si="104"/>
        <v/>
      </c>
      <c r="J320" s="4" t="str">
        <f t="shared" si="105"/>
        <v>INIPNPMCTAIAALLHYFLLVTFTWNALSAAQLYYLLIR</v>
      </c>
      <c r="K320" s="4" t="str">
        <f t="shared" si="106"/>
        <v/>
      </c>
      <c r="L320" s="4" t="str">
        <f t="shared" si="107"/>
        <v>PRHFILFISLIGWGVPAIVVAITVGVIYSQN</v>
      </c>
      <c r="M320" s="4" t="str">
        <f t="shared" si="108"/>
        <v>CWL</v>
      </c>
      <c r="N320" s="4" t="str">
        <f t="shared" si="109"/>
        <v>KSPLLWSFIVPVTIILISNVVMFITISIKVLWKN</v>
      </c>
      <c r="O320" s="4" t="str">
        <f t="shared" si="110"/>
        <v>SSMKKIVSTLSVAVVFGITWILAYLMLVND</v>
      </c>
      <c r="P320" s="4" t="str">
        <f t="shared" si="111"/>
        <v>SIRIVFSYIFCLFNTTQGLQIFILYTVR</v>
      </c>
      <c r="Q320" s="4" t="str">
        <f t="shared" si="112"/>
        <v>TKVFQSEASKVLMLLSS</v>
      </c>
      <c r="R320" s="5">
        <f>VLOOKUP($A320,'SegEnds_NonXtal_Prot#'!$A:$AL,3,FALSE)</f>
        <v>422</v>
      </c>
      <c r="S320" s="5" t="str">
        <f>VLOOKUP($A320,'SegEnds_NonXtal_Prot#'!$A:$AL,6,FALSE)</f>
        <v>-</v>
      </c>
      <c r="T320" s="5">
        <f>VLOOKUP($A320,'SegEnds_NonXtal_Prot#'!$A:$AL,9,FALSE)</f>
        <v>465</v>
      </c>
      <c r="U320" s="5" t="str">
        <f>VLOOKUP($A320,'SegEnds_NonXtal_Prot#'!$A:$AL,12,FALSE)</f>
        <v>-</v>
      </c>
      <c r="V320" s="5">
        <f>VLOOKUP($A320,'SegEnds_NonXtal_Prot#'!$A:$AL,15,FALSE)</f>
        <v>519</v>
      </c>
      <c r="W320" s="5" t="str">
        <f>VLOOKUP($A320,'SegEnds_NonXtal_Prot#'!$A:$AL,18,FALSE)</f>
        <v>-</v>
      </c>
      <c r="X320" s="5">
        <f>VLOOKUP($A320,'SegEnds_NonXtal_Prot#'!$A:$AL,21,FALSE)</f>
        <v>563</v>
      </c>
      <c r="Y320" s="5">
        <f>VLOOKUP($A320,'SegEnds_NonXtal_Prot#'!$A:$AL,24,FALSE)</f>
        <v>609</v>
      </c>
      <c r="Z320" s="5">
        <f>VLOOKUP($A320,'SegEnds_NonXtal_Prot#'!$A:$AL,27,FALSE)</f>
        <v>621</v>
      </c>
      <c r="AA320" s="5">
        <f>VLOOKUP($A320,'SegEnds_NonXtal_Prot#'!$A:$AL,30,FALSE)</f>
        <v>665</v>
      </c>
      <c r="AB320" s="5">
        <f>VLOOKUP($A320,'SegEnds_NonXtal_Prot#'!$A:$AL,33,FALSE)</f>
        <v>696</v>
      </c>
      <c r="AC320" s="5">
        <f>VLOOKUP($A320,'SegEnds_NonXtal_Prot#'!$A:$AL,36,FALSE)</f>
        <v>724</v>
      </c>
      <c r="AD320" s="5">
        <f>VLOOKUP($A320,'SegEnds_NonXtal_Prot#'!$A:$AL,5,FALSE)</f>
        <v>459</v>
      </c>
      <c r="AE320" s="5" t="str">
        <f>VLOOKUP($A320,'SegEnds_NonXtal_Prot#'!$A:$AL,8,FALSE)</f>
        <v>-</v>
      </c>
      <c r="AF320" s="5">
        <f>VLOOKUP($A320,'SegEnds_NonXtal_Prot#'!$A:$AL,11,FALSE)</f>
        <v>493</v>
      </c>
      <c r="AG320" s="5" t="str">
        <f>VLOOKUP($A320,'SegEnds_NonXtal_Prot#'!$A:$AL,14,FALSE)</f>
        <v>-</v>
      </c>
      <c r="AH320" s="5">
        <f>VLOOKUP($A320,'SegEnds_NonXtal_Prot#'!$A:$AL,17,FALSE)</f>
        <v>557</v>
      </c>
      <c r="AI320" s="5" t="str">
        <f>VLOOKUP($A320,'SegEnds_NonXtal_Prot#'!$A:$AL,20,FALSE)</f>
        <v>-</v>
      </c>
      <c r="AJ320" s="5">
        <f>VLOOKUP($A320,'SegEnds_NonXtal_Prot#'!$A:$AL,23,FALSE)</f>
        <v>593</v>
      </c>
      <c r="AK320" s="5">
        <f>VLOOKUP($A320,'SegEnds_NonXtal_Prot#'!$A:$AL,26,FALSE)</f>
        <v>611</v>
      </c>
      <c r="AL320" s="5">
        <f>VLOOKUP($A320,'SegEnds_NonXtal_Prot#'!$A:$AL,29,FALSE)</f>
        <v>654</v>
      </c>
      <c r="AM320" s="5">
        <f>VLOOKUP($A320,'SegEnds_NonXtal_Prot#'!$A:$AL,32,FALSE)</f>
        <v>694</v>
      </c>
      <c r="AN320" s="5">
        <f>VLOOKUP($A320,'SegEnds_NonXtal_Prot#'!$A:$AL,35,FALSE)</f>
        <v>723</v>
      </c>
      <c r="AO320" s="5">
        <f>VLOOKUP($A320,'SegEnds_NonXtal_Prot#'!$A:$AL,38,FALSE)</f>
        <v>740</v>
      </c>
      <c r="AP320" s="5">
        <f t="shared" si="113"/>
        <v>37</v>
      </c>
      <c r="AQ320" s="4" t="str">
        <f t="shared" si="114"/>
        <v>-</v>
      </c>
      <c r="AR320" s="4">
        <f t="shared" si="115"/>
        <v>28</v>
      </c>
      <c r="AS320" s="4" t="str">
        <f t="shared" si="116"/>
        <v>-</v>
      </c>
      <c r="AT320" s="4">
        <f t="shared" si="117"/>
        <v>38</v>
      </c>
      <c r="AU320" s="4" t="str">
        <f t="shared" si="118"/>
        <v>-</v>
      </c>
      <c r="AV320" s="4">
        <f t="shared" si="119"/>
        <v>30</v>
      </c>
      <c r="AW320" s="4">
        <f t="shared" si="120"/>
        <v>2</v>
      </c>
      <c r="AX320" s="4">
        <f t="shared" si="121"/>
        <v>33</v>
      </c>
      <c r="AY320" s="4">
        <f t="shared" si="122"/>
        <v>29</v>
      </c>
      <c r="AZ320" s="4">
        <f t="shared" si="123"/>
        <v>27</v>
      </c>
      <c r="BA320" s="4">
        <f t="shared" si="124"/>
        <v>16</v>
      </c>
    </row>
    <row r="321" spans="1:53" x14ac:dyDescent="0.2">
      <c r="A321" s="1" t="str">
        <f>'SegEnds_NonXtal_Prot#'!A312</f>
        <v>agrl1_human</v>
      </c>
      <c r="B321" s="1" t="str">
        <f t="shared" si="100"/>
        <v>REIYQGRINELLLSVITWVGIVISLVCLAICISTFCFLTDRNTIHKNLCINLFLAELLFLVGIDKIACPIFAGLLHYFFLAAFSWLCLEGVHLYLLLVERTKYYYLGGYCFPALVVGIAAAIDYRSYDNYFIWSFIGPVSFVIVVNLVFLMVTLHKMIRSSNIKSWALGAIALLFLLGLTWAFGLLSVVMAYLFTTFNAFQGVFIFVFHCALQKKVHKEYSKCLRHSYC</v>
      </c>
      <c r="C321" s="29" t="str">
        <f>IF(ISERROR(MATCH(A321,'SegEnds_Xtal_Prot#'!B:B, 0)), "NoXtal", "Xtal")</f>
        <v>NoXtal</v>
      </c>
      <c r="D321" s="4" t="str">
        <f>VLOOKUP(A321,Classification!A:D,2,FALSE)</f>
        <v>B2</v>
      </c>
      <c r="E321" s="5" t="str">
        <f>VLOOKUP(A321,Seqs!A:B,2,FALSE)</f>
        <v>MARLAAVLWNLCVTAVLVTSATQGLSRAGLPFGLMRRELACEGYPIELRCPGSDVIMVENANYGRTDDKICDADPFQMENVQCYLPDAFKIMSQRCNNRTQCVVVAGSDAFPDPCPGTYKYLEVQYDCVPYKVEQKVFVCPGTLQKVLEPTSTHESEHQSGAWCKDPLQAGDRIYVMPWIPYRTDTLTEYASWEDYVAARHTTTYRLPNRVDGTGFVVYDGAVFYNKERTRNIVKYDLRTRIKSGETVINTANYHDTSPYRWGGKTDIDLAVDENGLWVIYATEGNNGRLVVSQLNPYTLRFEGTWETGYDKRSASNAFMVCGVLYVLRSVYVDDDSEAAGNRVDYAFNTNANREEPVSLTFPNPYQFISSVDYNPRDNQLYVWNNYFVVRYSLEFGPPDPSAGPATSPPLSTTTTARPTPLTSTASPAATTPLRRAPLTTHPVGAINQLGPDLPPATAPVPSTRRPPAPNLHVSPELFCEPREVRRVQWPATQQGMLVERPCPKGTRGIASFQCLPALGLWNPRGPDLSNCTSPWVNQVAQKIKSGENAANIASELARHTRGSIYAGDVSSSVKLMEQLLDILDAQLQALRPIERESAGKNYNKMHKRERTCKDYIKAVVETVDNLLRPEALESWKDMNATEQVHTATMLLDVLEEGAFLLADNVREPARFLAAKENVVLEVTVLNTEGQVQELVFPQEEYPRKNSIQLSAKTIKQNSRNGVVKVVFILYNNLGLFLSTENATVKLAGEAGPGGPGGASLVVNSQVIAASINKESSRVFLMDPVIFTVAHLEDKNHFNANCSFWNYSERSMLGYWSTQGCRLVESNKTHTTCACSHLTNFAVLMAHREIYQGRINELLLSVITWVGIVISLVCLAICISTFCFLRGLQTDRNTIHKNLCINLFLAELLFLVGIDKTQYEIACPIFAGLLHYFFLAAFSWLCLEGVHLYLLLVEVFESEYSRTKYYYLGGYCFPALVVGIAAAIDYRSYGTEKACWLRVDNYFIWSFIGPVSFVIVVNLVFLMVTLHKMIRSSSVLKPDSSRLDNIKSWALGAIALLFLLGLTWAFGLLFINKESVVMAYLFTTFNAFQGVFIFVFHCALQKKVHKEYSKCLRHSYCCIRSPPGGTHGSLKTSAMRSNTRYYTGTQSRIRRMWNDTVRKQTESSFMAGDINSTPTLNRGTMGNHLLTNPVLQPRGGTSPYNTLIAESVGFNPSSPPVFNSPGSYREPKHPLGGREACGMDTLPLNGNFNNSYSLRSGDFPPGDGGPEPPRGRNLADAAAFEKMIISELVHNNLRGSSSAAKGPPPPEPPVPPVPGGGGEEEAGGPGGADRAEIELLYKALEEPLLLPRAQSVLYQSDLDESESCTAEDGATSRPLSSPPGRDSLYASGANLRDSPSYPDSSPEGPSEALPPPPPAPPGPPEIYYTSRPPALVARNPLQGYYQVRRPSHEGYLAAPGLEGPGPDGDGQMQLVTSL</v>
      </c>
      <c r="F321" s="5" t="str">
        <f t="shared" si="101"/>
        <v>REIYQGRINELLLSVITWVGIVISLVCLAICISTFCFL</v>
      </c>
      <c r="G321" s="4" t="str">
        <f t="shared" si="102"/>
        <v>RGLQ</v>
      </c>
      <c r="H321" s="4" t="str">
        <f t="shared" si="103"/>
        <v>TDRNTIHKNLCINLFLAELLFLVGIDK</v>
      </c>
      <c r="I321" s="4" t="str">
        <f t="shared" si="104"/>
        <v/>
      </c>
      <c r="J321" s="4" t="str">
        <f t="shared" si="105"/>
        <v>IACPIFAGLLHYFFLAAFSWLCLEGVHLYLLLVE</v>
      </c>
      <c r="K321" s="4" t="str">
        <f t="shared" si="106"/>
        <v/>
      </c>
      <c r="L321" s="4" t="str">
        <f t="shared" si="107"/>
        <v>RTKYYYLGGYCFPALVVGIAAAIDYRSY</v>
      </c>
      <c r="M321" s="4" t="str">
        <f t="shared" si="108"/>
        <v>CWL</v>
      </c>
      <c r="N321" s="4" t="str">
        <f t="shared" si="109"/>
        <v>DNYFIWSFIGPVSFVIVVNLVFLMVTLHKMIRSS</v>
      </c>
      <c r="O321" s="4" t="str">
        <f t="shared" si="110"/>
        <v>NIKSWALGAIALLFLLGLTWAFGLL</v>
      </c>
      <c r="P321" s="4" t="str">
        <f t="shared" si="111"/>
        <v>SVVMAYLFTTFNAFQGVFIFVFHCAL</v>
      </c>
      <c r="Q321" s="4" t="str">
        <f t="shared" si="112"/>
        <v>QKKVHKEYSKCLRHSYC</v>
      </c>
      <c r="R321" s="5">
        <f>VLOOKUP($A321,'SegEnds_NonXtal_Prot#'!$A:$AL,3,FALSE)</f>
        <v>848</v>
      </c>
      <c r="S321" s="5">
        <f>VLOOKUP($A321,'SegEnds_NonXtal_Prot#'!$A:$AL,6,FALSE)</f>
        <v>886</v>
      </c>
      <c r="T321" s="5">
        <f>VLOOKUP($A321,'SegEnds_NonXtal_Prot#'!$A:$AL,9,FALSE)</f>
        <v>890</v>
      </c>
      <c r="U321" s="5" t="str">
        <f>VLOOKUP($A321,'SegEnds_NonXtal_Prot#'!$A:$AL,12,FALSE)</f>
        <v>-</v>
      </c>
      <c r="V321" s="5">
        <f>VLOOKUP($A321,'SegEnds_NonXtal_Prot#'!$A:$AL,15,FALSE)</f>
        <v>921</v>
      </c>
      <c r="W321" s="5" t="str">
        <f>VLOOKUP($A321,'SegEnds_NonXtal_Prot#'!$A:$AL,18,FALSE)</f>
        <v>-</v>
      </c>
      <c r="X321" s="5">
        <f>VLOOKUP($A321,'SegEnds_NonXtal_Prot#'!$A:$AL,21,FALSE)</f>
        <v>962</v>
      </c>
      <c r="Y321" s="5">
        <f>VLOOKUP($A321,'SegEnds_NonXtal_Prot#'!$A:$AL,24,FALSE)</f>
        <v>995</v>
      </c>
      <c r="Z321" s="5">
        <f>VLOOKUP($A321,'SegEnds_NonXtal_Prot#'!$A:$AL,27,FALSE)</f>
        <v>1000</v>
      </c>
      <c r="AA321" s="5">
        <f>VLOOKUP($A321,'SegEnds_NonXtal_Prot#'!$A:$AL,30,FALSE)</f>
        <v>1045</v>
      </c>
      <c r="AB321" s="5">
        <f>VLOOKUP($A321,'SegEnds_NonXtal_Prot#'!$A:$AL,33,FALSE)</f>
        <v>1075</v>
      </c>
      <c r="AC321" s="5">
        <f>VLOOKUP($A321,'SegEnds_NonXtal_Prot#'!$A:$AL,36,FALSE)</f>
        <v>1101</v>
      </c>
      <c r="AD321" s="5">
        <f>VLOOKUP($A321,'SegEnds_NonXtal_Prot#'!$A:$AL,5,FALSE)</f>
        <v>885</v>
      </c>
      <c r="AE321" s="5">
        <f>VLOOKUP($A321,'SegEnds_NonXtal_Prot#'!$A:$AL,8,FALSE)</f>
        <v>889</v>
      </c>
      <c r="AF321" s="5">
        <f>VLOOKUP($A321,'SegEnds_NonXtal_Prot#'!$A:$AL,11,FALSE)</f>
        <v>916</v>
      </c>
      <c r="AG321" s="5" t="str">
        <f>VLOOKUP($A321,'SegEnds_NonXtal_Prot#'!$A:$AL,14,FALSE)</f>
        <v>-</v>
      </c>
      <c r="AH321" s="5">
        <f>VLOOKUP($A321,'SegEnds_NonXtal_Prot#'!$A:$AL,17,FALSE)</f>
        <v>954</v>
      </c>
      <c r="AI321" s="5" t="str">
        <f>VLOOKUP($A321,'SegEnds_NonXtal_Prot#'!$A:$AL,20,FALSE)</f>
        <v>-</v>
      </c>
      <c r="AJ321" s="5">
        <f>VLOOKUP($A321,'SegEnds_NonXtal_Prot#'!$A:$AL,23,FALSE)</f>
        <v>989</v>
      </c>
      <c r="AK321" s="5">
        <f>VLOOKUP($A321,'SegEnds_NonXtal_Prot#'!$A:$AL,26,FALSE)</f>
        <v>997</v>
      </c>
      <c r="AL321" s="5">
        <f>VLOOKUP($A321,'SegEnds_NonXtal_Prot#'!$A:$AL,29,FALSE)</f>
        <v>1033</v>
      </c>
      <c r="AM321" s="5">
        <f>VLOOKUP($A321,'SegEnds_NonXtal_Prot#'!$A:$AL,32,FALSE)</f>
        <v>1069</v>
      </c>
      <c r="AN321" s="5">
        <f>VLOOKUP($A321,'SegEnds_NonXtal_Prot#'!$A:$AL,35,FALSE)</f>
        <v>1100</v>
      </c>
      <c r="AO321" s="5">
        <f>VLOOKUP($A321,'SegEnds_NonXtal_Prot#'!$A:$AL,38,FALSE)</f>
        <v>1117</v>
      </c>
      <c r="AP321" s="5">
        <f t="shared" si="113"/>
        <v>37</v>
      </c>
      <c r="AQ321" s="4">
        <f t="shared" si="114"/>
        <v>3</v>
      </c>
      <c r="AR321" s="4">
        <f t="shared" si="115"/>
        <v>26</v>
      </c>
      <c r="AS321" s="4" t="str">
        <f t="shared" si="116"/>
        <v>-</v>
      </c>
      <c r="AT321" s="4">
        <f t="shared" si="117"/>
        <v>33</v>
      </c>
      <c r="AU321" s="4" t="str">
        <f t="shared" si="118"/>
        <v>-</v>
      </c>
      <c r="AV321" s="4">
        <f t="shared" si="119"/>
        <v>27</v>
      </c>
      <c r="AW321" s="4">
        <f t="shared" si="120"/>
        <v>2</v>
      </c>
      <c r="AX321" s="4">
        <f t="shared" si="121"/>
        <v>33</v>
      </c>
      <c r="AY321" s="4">
        <f t="shared" si="122"/>
        <v>24</v>
      </c>
      <c r="AZ321" s="4">
        <f t="shared" si="123"/>
        <v>25</v>
      </c>
      <c r="BA321" s="4">
        <f t="shared" si="124"/>
        <v>16</v>
      </c>
    </row>
    <row r="322" spans="1:53" x14ac:dyDescent="0.2">
      <c r="A322" s="1" t="str">
        <f>'SegEnds_NonXtal_Prot#'!A313</f>
        <v>agrl2_human</v>
      </c>
      <c r="B322" s="1" t="str">
        <f t="shared" ref="B322:B385" si="125">F322&amp;H322&amp;J322&amp;L322&amp;N322&amp;O322&amp;P322&amp;Q322</f>
        <v>EIAYKDGVHELLLTVITWVGIVISLVCLAICIFTFCFFSDRNTIHKNLCINLFIAEFIFLIGIDKIACPIFAGLLHFFFLAAFAWMCLEGVQLYLMLVERKKYYYVAGYLFPATVVGVSAAIDYKSYDNYFIWSFIGPVTFIILLNIIFLVITLCKMVKHSNIKSWVLGAFALLCLLGLTWSFGLLTIVMAYLFTIFNAFQGVFIFIFHCALQKKVRKEYGKCFRHSYC</v>
      </c>
      <c r="C322" s="29" t="str">
        <f>IF(ISERROR(MATCH(A322,'SegEnds_Xtal_Prot#'!B:B, 0)), "NoXtal", "Xtal")</f>
        <v>NoXtal</v>
      </c>
      <c r="D322" s="4" t="str">
        <f>VLOOKUP(A322,Classification!A:D,2,FALSE)</f>
        <v>B2</v>
      </c>
      <c r="E322" s="5" t="str">
        <f>VLOOKUP(A322,Seqs!A:B,2,FALSE)</f>
        <v>MVSSGCRMRSLWFIIVISFLPNTEGFSRAALPFGLVRRELSCEGYSIDLRCPGSDVIMIESANYGRTDDKICDADPFQMENTDCYLPDAFKIMTQRCNNRTQCIVVTGSDVFPDPCPGTYKYLEVQYECVPYIFVCPGTLKAIVDSPCIYEAEQKAGAWCKDPLQAADKIYFMPWTPYRTDTLIEYASLEDFQNSRQTTTYKLPNRVDGTGFVVYDGAVFFNKERTRNIVKFDLRTRIKSGEAIINYANYHDTSPYRWGGKTDIDLAVDENGLWVIYATEQNNGMIVISQLNPYTLRFEATWETVYDKRAASNAFMICGVLYVVRSVYQDNESETGKNSIDYIYNTRLNRGEYVDVPFPNQYQYIAAVDYNPRDNQLYVWNNNFILRYSLEFGPPDPAQVPTTAVTITSSAELFKTIISTTSTTSQKGPMSTTVAGSQEGSKGTKPPPAVSTTKIPPITNIFPLPERFCEALDSKGIKWPQTQRGMMVERPCPKGTRGTASYLCMISTGTWNPKGPDLSNCTSHWVNQLAQKIRSGENAASLANELAKHTKGPVFAGDVSSSVRLMEQLVDILDAQLQELKPSEKDSAGRSYNKLQKREKTCRAYLKAIVDTVDNLLRPEALESWKHMNSSEQAHTATMLLDTLEEGAFVLADNLLEPTRVSMPTENIVLEVAVLSTEGQIQDFKFPLGIKGAGSSIQLSANTVKQNSRNGLAKLVFIIYRSLGQFLSTENATIKLGADFIGRNSTIAVNSHVISVSINKESSRVYLTDPVLFTLPHIDPDNYFNANCSFWNYSERTMMGYWSTQGCKLVDTNKTRTTCACSHLTNFAILMAHREIAYKDGVHELLLTVITWVGIVISLVCLAICIFTFCFFRGLQSDRNTIHKNLCINLFIAEFIFLIGIDKTKYAIACPIFAGLLHFFFLAAFAWMCLEGVQLYLMLVEVFESEYSRKKYYYVAGYLFPATVVGVSAAIDYKSYGTEKACWLHVDNYFIWSFIGPVTFIILLNIIFLVITLCKMVKHSNTLKPDSSRLENIKSWVLGAFALLCLLGLTWSFGLLFINEETIVMAYLFTIFNAFQGVFIFIFHCALQKKVRKEYGKCFRHSYCCGGLPTESPHSSVKASTTRTSARYSSGTQSRIRRMWNDTVRKQSESSFISGDINSTSTLNQGMTGNYLLTNPLLRPHGTNNPYNTLLAETVVCNAPSAPVFNSPGHSLNNARDTSAMDTLPLNGNFNNSYSLHKGDYNDSVQVVDCGLSLNDTAFEKMIISELVHNNLRGSSKTHNLELTLPVKPVIGGSSSEDDAIVADASSLMHSDNPGLELHHKELEAPLIPQRTHSLLYQPQKKVKSEGTDSYVSQLTAEAEDHLQSPNRDSLYTSMPNLRDSPYPESSPDMEEDLSPSRRSENEDIYYKSMPNLGAGHQLQMCYQISRGNSDGYIIPINKEGCIPEGDVREGQMQLVTSL</v>
      </c>
      <c r="F322" s="5" t="str">
        <f t="shared" ref="F322:F385" si="126">IFERROR(MID($E322,R322,(AP322+1)),"")</f>
        <v>EIAYKDGVHELLLTVITWVGIVISLVCLAICIFTFCFF</v>
      </c>
      <c r="G322" s="4" t="str">
        <f t="shared" ref="G322:G385" si="127">IFERROR(MID($E322,S322,(AQ322+1)),"")</f>
        <v/>
      </c>
      <c r="H322" s="4" t="str">
        <f t="shared" ref="H322:H385" si="128">IFERROR(MID($E322,T322,(AR322+1)),"")</f>
        <v>SDRNTIHKNLCINLFIAEFIFLIGIDK</v>
      </c>
      <c r="I322" s="4" t="str">
        <f t="shared" ref="I322:I385" si="129">IFERROR(MID($E322,U322,(AS322+1)),"")</f>
        <v/>
      </c>
      <c r="J322" s="4" t="str">
        <f t="shared" ref="J322:J385" si="130">IFERROR(MID($E322,V322,(AT322+1)),"")</f>
        <v>IACPIFAGLLHFFFLAAFAWMCLEGVQLYLMLVE</v>
      </c>
      <c r="K322" s="4" t="str">
        <f t="shared" ref="K322:K385" si="131">IFERROR(MID($E322,W322,(AU322+1)),"")</f>
        <v/>
      </c>
      <c r="L322" s="4" t="str">
        <f t="shared" ref="L322:L385" si="132">IFERROR(MID($E322,X322,(AV322+1)),"")</f>
        <v>RKKYYYVAGYLFPATVVGVSAAIDYKSY</v>
      </c>
      <c r="M322" s="4" t="str">
        <f t="shared" ref="M322:M385" si="133">IFERROR(MID($E322,Y322,(AW322+1)),"")</f>
        <v>CWL</v>
      </c>
      <c r="N322" s="4" t="str">
        <f t="shared" ref="N322:N385" si="134">IFERROR(MID($E322,Z322,(AX322+1)),"")</f>
        <v>DNYFIWSFIGPVTFIILLNIIFLVITLCKMVKHS</v>
      </c>
      <c r="O322" s="4" t="str">
        <f t="shared" ref="O322:O385" si="135">IFERROR(MID($E322,AA322,(AY322+1)),"")</f>
        <v>NIKSWVLGAFALLCLLGLTWSFGLL</v>
      </c>
      <c r="P322" s="4" t="str">
        <f t="shared" ref="P322:P385" si="136">IFERROR(MID($E322,AB322,(AZ322+1)),"")</f>
        <v>TIVMAYLFTIFNAFQGVFIFIFHCAL</v>
      </c>
      <c r="Q322" s="4" t="str">
        <f t="shared" ref="Q322:Q385" si="137">IFERROR(MID($E322,AC322,(BA322+1)),"")</f>
        <v>QKKVRKEYGKCFRHSYC</v>
      </c>
      <c r="R322" s="5">
        <f>VLOOKUP($A322,'SegEnds_NonXtal_Prot#'!$A:$AL,3,FALSE)</f>
        <v>835</v>
      </c>
      <c r="S322" s="5" t="str">
        <f>VLOOKUP($A322,'SegEnds_NonXtal_Prot#'!$A:$AL,6,FALSE)</f>
        <v>-</v>
      </c>
      <c r="T322" s="5">
        <f>VLOOKUP($A322,'SegEnds_NonXtal_Prot#'!$A:$AL,9,FALSE)</f>
        <v>877</v>
      </c>
      <c r="U322" s="5" t="str">
        <f>VLOOKUP($A322,'SegEnds_NonXtal_Prot#'!$A:$AL,12,FALSE)</f>
        <v>-</v>
      </c>
      <c r="V322" s="5">
        <f>VLOOKUP($A322,'SegEnds_NonXtal_Prot#'!$A:$AL,15,FALSE)</f>
        <v>908</v>
      </c>
      <c r="W322" s="5" t="str">
        <f>VLOOKUP($A322,'SegEnds_NonXtal_Prot#'!$A:$AL,18,FALSE)</f>
        <v>-</v>
      </c>
      <c r="X322" s="5">
        <f>VLOOKUP($A322,'SegEnds_NonXtal_Prot#'!$A:$AL,21,FALSE)</f>
        <v>949</v>
      </c>
      <c r="Y322" s="5">
        <f>VLOOKUP($A322,'SegEnds_NonXtal_Prot#'!$A:$AL,24,FALSE)</f>
        <v>982</v>
      </c>
      <c r="Z322" s="5">
        <f>VLOOKUP($A322,'SegEnds_NonXtal_Prot#'!$A:$AL,27,FALSE)</f>
        <v>987</v>
      </c>
      <c r="AA322" s="5">
        <f>VLOOKUP($A322,'SegEnds_NonXtal_Prot#'!$A:$AL,30,FALSE)</f>
        <v>1032</v>
      </c>
      <c r="AB322" s="5">
        <f>VLOOKUP($A322,'SegEnds_NonXtal_Prot#'!$A:$AL,33,FALSE)</f>
        <v>1062</v>
      </c>
      <c r="AC322" s="5">
        <f>VLOOKUP($A322,'SegEnds_NonXtal_Prot#'!$A:$AL,36,FALSE)</f>
        <v>1088</v>
      </c>
      <c r="AD322" s="5">
        <f>VLOOKUP($A322,'SegEnds_NonXtal_Prot#'!$A:$AL,5,FALSE)</f>
        <v>872</v>
      </c>
      <c r="AE322" s="5" t="str">
        <f>VLOOKUP($A322,'SegEnds_NonXtal_Prot#'!$A:$AL,8,FALSE)</f>
        <v>-</v>
      </c>
      <c r="AF322" s="5">
        <f>VLOOKUP($A322,'SegEnds_NonXtal_Prot#'!$A:$AL,11,FALSE)</f>
        <v>903</v>
      </c>
      <c r="AG322" s="5" t="str">
        <f>VLOOKUP($A322,'SegEnds_NonXtal_Prot#'!$A:$AL,14,FALSE)</f>
        <v>-</v>
      </c>
      <c r="AH322" s="5">
        <f>VLOOKUP($A322,'SegEnds_NonXtal_Prot#'!$A:$AL,17,FALSE)</f>
        <v>941</v>
      </c>
      <c r="AI322" s="5" t="str">
        <f>VLOOKUP($A322,'SegEnds_NonXtal_Prot#'!$A:$AL,20,FALSE)</f>
        <v>-</v>
      </c>
      <c r="AJ322" s="5">
        <f>VLOOKUP($A322,'SegEnds_NonXtal_Prot#'!$A:$AL,23,FALSE)</f>
        <v>976</v>
      </c>
      <c r="AK322" s="5">
        <f>VLOOKUP($A322,'SegEnds_NonXtal_Prot#'!$A:$AL,26,FALSE)</f>
        <v>984</v>
      </c>
      <c r="AL322" s="5">
        <f>VLOOKUP($A322,'SegEnds_NonXtal_Prot#'!$A:$AL,29,FALSE)</f>
        <v>1020</v>
      </c>
      <c r="AM322" s="5">
        <f>VLOOKUP($A322,'SegEnds_NonXtal_Prot#'!$A:$AL,32,FALSE)</f>
        <v>1056</v>
      </c>
      <c r="AN322" s="5">
        <f>VLOOKUP($A322,'SegEnds_NonXtal_Prot#'!$A:$AL,35,FALSE)</f>
        <v>1087</v>
      </c>
      <c r="AO322" s="5">
        <f>VLOOKUP($A322,'SegEnds_NonXtal_Prot#'!$A:$AL,38,FALSE)</f>
        <v>1104</v>
      </c>
      <c r="AP322" s="5">
        <f t="shared" ref="AP322:AP385" si="138">IFERROR(AD322-R322,"-")</f>
        <v>37</v>
      </c>
      <c r="AQ322" s="4" t="str">
        <f t="shared" ref="AQ322:AQ385" si="139">IFERROR(AE322-S322,"-")</f>
        <v>-</v>
      </c>
      <c r="AR322" s="4">
        <f t="shared" ref="AR322:AR385" si="140">IFERROR(AF322-T322,"-")</f>
        <v>26</v>
      </c>
      <c r="AS322" s="4" t="str">
        <f t="shared" ref="AS322:AS385" si="141">IFERROR(AG322-U322,"-")</f>
        <v>-</v>
      </c>
      <c r="AT322" s="4">
        <f t="shared" ref="AT322:AT385" si="142">IFERROR(AH322-V322,"-")</f>
        <v>33</v>
      </c>
      <c r="AU322" s="4" t="str">
        <f t="shared" ref="AU322:AU385" si="143">IFERROR(AI322-W322,"-")</f>
        <v>-</v>
      </c>
      <c r="AV322" s="4">
        <f t="shared" ref="AV322:AV385" si="144">IFERROR(AJ322-X322,"-")</f>
        <v>27</v>
      </c>
      <c r="AW322" s="4">
        <f t="shared" ref="AW322:AW385" si="145">IFERROR(AK322-Y322,"-")</f>
        <v>2</v>
      </c>
      <c r="AX322" s="4">
        <f t="shared" ref="AX322:AX385" si="146">IFERROR(AL322-Z322,"-")</f>
        <v>33</v>
      </c>
      <c r="AY322" s="4">
        <f t="shared" ref="AY322:AY385" si="147">IFERROR(AM322-AA322,"-")</f>
        <v>24</v>
      </c>
      <c r="AZ322" s="4">
        <f t="shared" ref="AZ322:AZ385" si="148">IFERROR(AN322-AB322,"-")</f>
        <v>25</v>
      </c>
      <c r="BA322" s="4">
        <f t="shared" ref="BA322:BA385" si="149">IFERROR(AO322-AC322,"-")</f>
        <v>16</v>
      </c>
    </row>
    <row r="323" spans="1:53" x14ac:dyDescent="0.2">
      <c r="A323" s="1" t="str">
        <f>'SegEnds_NonXtal_Prot#'!A314</f>
        <v>agrl3_human</v>
      </c>
      <c r="B323" s="1" t="str">
        <f t="shared" si="125"/>
        <v>EVKHSDAVHDLLLDVITWVGILLSLVCLLICIFTFCFFSDRNTIHKNLCISLFVAELLFLIGINRIACAVFAALLHFFFLAAFTWMFLEGVQLYIMLVESRRKYFYLVGYGMPALIVAVSAAVDYRSYDTYFIWSFIGPATLIIMLNVIFLGIALYKMFHHTNIKSWVIGAIALLCLLGLTWAFGLMTVIMAYLFTIFNSLQGMFIFIFHCVLQKKVRKEYGKCLRTHCC</v>
      </c>
      <c r="C323" s="29" t="str">
        <f>IF(ISERROR(MATCH(A323,'SegEnds_Xtal_Prot#'!B:B, 0)), "NoXtal", "Xtal")</f>
        <v>NoXtal</v>
      </c>
      <c r="D323" s="4" t="str">
        <f>VLOOKUP(A323,Classification!A:D,2,FALSE)</f>
        <v>B2</v>
      </c>
      <c r="E323" s="5" t="str">
        <f>VLOOKUP(A323,Seqs!A:B,2,FALSE)</f>
        <v>MWPSQLLIFMMLLAPIIHAFSRAPIPMAVVRRELSCESYPIELRCPGTDVIMIESANYGRTDDKICDSDPAQMENIRCYLPDAYKIMSQRCNNRTQCAVVAGPDVFPDPCPGTYKYLEVQYECVPYKVEQKVFLCPGLLKGVYQSEHLFESDHQSGAWCKDPLQASDKIYYMPWTPYRTDTLTEYSSKDDFIAGRPTTTYKLPHRVDGTGFVVYDGALFFNKERTRNIVKFDLRTRIKSGEAIIANANYHDTSPYRWGGKSDIDLAVDENGLWVIYATEQNNGKIVISQLNPYTLRIEGTWDTAYDKRSASNAFMICGILYVVKSVYEDDDNEATGNKIDYIYNTDQSKDSLVDVPFPNSYQYIAAVDYNPRDNLLYVWNNYHVVKYSLDFGPLDSRSGQAHHGQVSYISPPIHLDSELERPSVKDISTTGPLGMGSTTTSTTLRTTTLSPGRSTTPSVSGRRNRSTSTPSPAVEVLDDMTTHLPSASSQIPALEESCEAVEAREIMWFKTRQGQIAKQPCPAGTIGVSTYLCLAPDGIWDPQGPDLSNCSSPWVNHITQKLKSGETAANIARELAEQTRNHLNAGDITYSVRAMDQLVGLLDVQLRNLTPGGKDSAARSLNKAMVETVNNLLQPQALNAWRDLTTSDQLRAATMLLHTVEESAFVLADNLLKTDIVRENTDNIKLEVARLSTEGNLEDLKFPENMGHGSTIQLSANTLKQNGRNGEIRVAFVLYNNLGPYLSTENASMKLGTEALSTNHSVIVNSPVITAAINKEFSNKVYLADPVVFTVKHIKQSEENFNPNCSFWSYSKRTMTGYWSTQGCRLLTTNKTHTTCSCNHLTNFAVLMAHVEVKHSDAVHDLLLDVITWVGILLSLVCLLICIFTFCFFRGLQSDRNTIHKNLCISLFVAELLFLIGINRTDQPIACAVFAALLHFFFLAAFTWMFLEGVQLYIMLVEVFESEHSRRKYFYLVGYGMPALIVAVSAAVDYRSYGTDKVCWLRLDTYFIWSFIGPATLIIMLNVIFLGIALYKMFHHTAILKPESGCLDNIKSWVIGAIALLCLLGLTWAFGLMYINESTVIMAYLFTIFNSLQGMFIFIFHCVLQKKVRKEYGKCLRTHCCSGKSTESSIGSGKTSGSRTPGRYSTGSQSRIRRMWNDTVRKQSESSFITGDINSSASLNREGLLNNARDTSVMDTLPLNGNHGNSYSIASGEYLSNCVQIIDRGYNHNETALEKKILKELTSNYIPSYLNNHERSSEQNRNLMNKLVNNLGSGREDDAIVLDDATSFNHEESLGLELIHEESDAPLLPPRVYSTENHQPHHYTRRRIPQDHSESFFPLLTNEHTEDLQSPHRDSLYTSMPTLAGVAATESVTTSTQTEPPPAKCGDAEDVYYKSMPNLGSRNHVHQLHTYYQLGRGSSDGFIVPPNKDGTPPEGSSKGPAHLVTSL</v>
      </c>
      <c r="F323" s="5" t="str">
        <f t="shared" si="126"/>
        <v>EVKHSDAVHDLLLDVITWVGILLSLVCLLICIFTFCFF</v>
      </c>
      <c r="G323" s="4" t="str">
        <f t="shared" si="127"/>
        <v>RGLQ</v>
      </c>
      <c r="H323" s="4" t="str">
        <f t="shared" si="128"/>
        <v>SDRNTIHKNLCISLFVAELLFLIGINR</v>
      </c>
      <c r="I323" s="4" t="str">
        <f t="shared" si="129"/>
        <v/>
      </c>
      <c r="J323" s="4" t="str">
        <f t="shared" si="130"/>
        <v>IACAVFAALLHFFFLAAFTWMFLEGVQLYIMLVE</v>
      </c>
      <c r="K323" s="4" t="str">
        <f t="shared" si="131"/>
        <v/>
      </c>
      <c r="L323" s="4" t="str">
        <f t="shared" si="132"/>
        <v>SRRKYFYLVGYGMPALIVAVSAAVDYRSY</v>
      </c>
      <c r="M323" s="4" t="str">
        <f t="shared" si="133"/>
        <v>CWL</v>
      </c>
      <c r="N323" s="4" t="str">
        <f t="shared" si="134"/>
        <v>DTYFIWSFIGPATLIIMLNVIFLGIALYKMFHHT</v>
      </c>
      <c r="O323" s="4" t="str">
        <f t="shared" si="135"/>
        <v>NIKSWVIGAIALLCLLGLTWAFGLM</v>
      </c>
      <c r="P323" s="4" t="str">
        <f t="shared" si="136"/>
        <v>TVIMAYLFTIFNSLQGMFIFIFHCVL</v>
      </c>
      <c r="Q323" s="4" t="str">
        <f t="shared" si="137"/>
        <v>QKKVRKEYGKCLRTHCC</v>
      </c>
      <c r="R323" s="5">
        <f>VLOOKUP($A323,'SegEnds_NonXtal_Prot#'!$A:$AL,3,FALSE)</f>
        <v>852</v>
      </c>
      <c r="S323" s="5">
        <f>VLOOKUP($A323,'SegEnds_NonXtal_Prot#'!$A:$AL,6,FALSE)</f>
        <v>890</v>
      </c>
      <c r="T323" s="5">
        <f>VLOOKUP($A323,'SegEnds_NonXtal_Prot#'!$A:$AL,9,FALSE)</f>
        <v>894</v>
      </c>
      <c r="U323" s="5" t="str">
        <f>VLOOKUP($A323,'SegEnds_NonXtal_Prot#'!$A:$AL,12,FALSE)</f>
        <v>-</v>
      </c>
      <c r="V323" s="5">
        <f>VLOOKUP($A323,'SegEnds_NonXtal_Prot#'!$A:$AL,15,FALSE)</f>
        <v>925</v>
      </c>
      <c r="W323" s="5" t="str">
        <f>VLOOKUP($A323,'SegEnds_NonXtal_Prot#'!$A:$AL,18,FALSE)</f>
        <v>-</v>
      </c>
      <c r="X323" s="5">
        <f>VLOOKUP($A323,'SegEnds_NonXtal_Prot#'!$A:$AL,21,FALSE)</f>
        <v>965</v>
      </c>
      <c r="Y323" s="5">
        <f>VLOOKUP($A323,'SegEnds_NonXtal_Prot#'!$A:$AL,24,FALSE)</f>
        <v>999</v>
      </c>
      <c r="Z323" s="5">
        <f>VLOOKUP($A323,'SegEnds_NonXtal_Prot#'!$A:$AL,27,FALSE)</f>
        <v>1004</v>
      </c>
      <c r="AA323" s="5">
        <f>VLOOKUP($A323,'SegEnds_NonXtal_Prot#'!$A:$AL,30,FALSE)</f>
        <v>1049</v>
      </c>
      <c r="AB323" s="5">
        <f>VLOOKUP($A323,'SegEnds_NonXtal_Prot#'!$A:$AL,33,FALSE)</f>
        <v>1079</v>
      </c>
      <c r="AC323" s="5">
        <f>VLOOKUP($A323,'SegEnds_NonXtal_Prot#'!$A:$AL,36,FALSE)</f>
        <v>1105</v>
      </c>
      <c r="AD323" s="5">
        <f>VLOOKUP($A323,'SegEnds_NonXtal_Prot#'!$A:$AL,5,FALSE)</f>
        <v>889</v>
      </c>
      <c r="AE323" s="5">
        <f>VLOOKUP($A323,'SegEnds_NonXtal_Prot#'!$A:$AL,8,FALSE)</f>
        <v>893</v>
      </c>
      <c r="AF323" s="5">
        <f>VLOOKUP($A323,'SegEnds_NonXtal_Prot#'!$A:$AL,11,FALSE)</f>
        <v>920</v>
      </c>
      <c r="AG323" s="5" t="str">
        <f>VLOOKUP($A323,'SegEnds_NonXtal_Prot#'!$A:$AL,14,FALSE)</f>
        <v>-</v>
      </c>
      <c r="AH323" s="5">
        <f>VLOOKUP($A323,'SegEnds_NonXtal_Prot#'!$A:$AL,17,FALSE)</f>
        <v>958</v>
      </c>
      <c r="AI323" s="5" t="str">
        <f>VLOOKUP($A323,'SegEnds_NonXtal_Prot#'!$A:$AL,20,FALSE)</f>
        <v>-</v>
      </c>
      <c r="AJ323" s="5">
        <f>VLOOKUP($A323,'SegEnds_NonXtal_Prot#'!$A:$AL,23,FALSE)</f>
        <v>993</v>
      </c>
      <c r="AK323" s="5">
        <f>VLOOKUP($A323,'SegEnds_NonXtal_Prot#'!$A:$AL,26,FALSE)</f>
        <v>1001</v>
      </c>
      <c r="AL323" s="5">
        <f>VLOOKUP($A323,'SegEnds_NonXtal_Prot#'!$A:$AL,29,FALSE)</f>
        <v>1037</v>
      </c>
      <c r="AM323" s="5">
        <f>VLOOKUP($A323,'SegEnds_NonXtal_Prot#'!$A:$AL,32,FALSE)</f>
        <v>1073</v>
      </c>
      <c r="AN323" s="5">
        <f>VLOOKUP($A323,'SegEnds_NonXtal_Prot#'!$A:$AL,35,FALSE)</f>
        <v>1104</v>
      </c>
      <c r="AO323" s="5">
        <f>VLOOKUP($A323,'SegEnds_NonXtal_Prot#'!$A:$AL,38,FALSE)</f>
        <v>1121</v>
      </c>
      <c r="AP323" s="5">
        <f t="shared" si="138"/>
        <v>37</v>
      </c>
      <c r="AQ323" s="4">
        <f t="shared" si="139"/>
        <v>3</v>
      </c>
      <c r="AR323" s="4">
        <f t="shared" si="140"/>
        <v>26</v>
      </c>
      <c r="AS323" s="4" t="str">
        <f t="shared" si="141"/>
        <v>-</v>
      </c>
      <c r="AT323" s="4">
        <f t="shared" si="142"/>
        <v>33</v>
      </c>
      <c r="AU323" s="4" t="str">
        <f t="shared" si="143"/>
        <v>-</v>
      </c>
      <c r="AV323" s="4">
        <f t="shared" si="144"/>
        <v>28</v>
      </c>
      <c r="AW323" s="4">
        <f t="shared" si="145"/>
        <v>2</v>
      </c>
      <c r="AX323" s="4">
        <f t="shared" si="146"/>
        <v>33</v>
      </c>
      <c r="AY323" s="4">
        <f t="shared" si="147"/>
        <v>24</v>
      </c>
      <c r="AZ323" s="4">
        <f t="shared" si="148"/>
        <v>25</v>
      </c>
      <c r="BA323" s="4">
        <f t="shared" si="149"/>
        <v>16</v>
      </c>
    </row>
    <row r="324" spans="1:53" x14ac:dyDescent="0.2">
      <c r="A324" s="1" t="str">
        <f>'SegEnds_NonXtal_Prot#'!A315</f>
        <v>agrl4_human</v>
      </c>
      <c r="B324" s="1" t="str">
        <f t="shared" si="125"/>
        <v>SGPSIGIKDYNILTRITQLGIIISLICLAICIFTFWFFSTRTTIHKNLCCSLFLAELVFLVGINTLFCSIIAGLLHYFFLAAFAWMCIEGIHLYLIVVGFLHKNFYIFGYLSPAVVVGFSAALGYRYYENNFIWSFIGPACLIILVNLLAFGVIIYKVFRHTNIRSCARGALALLFLLGTTWIFGVLSVVTAYLFTVSNAFQGMFIFLFLCVLSRKIQEEYYRLFKNVPC</v>
      </c>
      <c r="C324" s="29" t="str">
        <f>IF(ISERROR(MATCH(A324,'SegEnds_Xtal_Prot#'!B:B, 0)), "NoXtal", "Xtal")</f>
        <v>NoXtal</v>
      </c>
      <c r="D324" s="4" t="str">
        <f>VLOOKUP(A324,Classification!A:D,2,FALSE)</f>
        <v>B2</v>
      </c>
      <c r="E324" s="5" t="str">
        <f>VLOOKUP(A324,Seqs!A:B,2,FALSE)</f>
        <v>MKRLPLLVVFSTLLNCSYTQNCTKTPCLPNAKCEIRNGIEACYCNMGFSGNGVTICEDDNECGNLTQSCGENANCTNTEGSYYCMCVPGFRSSSNQDRFITNDGTVCIENVNANCHLDNVCIAANINKTLTKIRSIKEPVALLQEVYRNSVTDLSPTDIITYIEILAESSSLLGYKNNTISAKDTLSNSTLTEFVKTVNNFVQRDTFVVWDKLSVNHRRTHLTKLMHTVEQATLRISQSFQKTTEFDTNSTDIALKVFFFDSYNMKHIHPHMNMDGDYINIFPKRKAAYDSNGNVAVAFVYYKSIGPLLSSSDNFLLKPQNYDNSEEEERVISSVISVSMSSNPPTLYELEKITFTLSHRKVTDRYRSLCAFWNYSPDTMNGSWSSEGCELTYSNETHTSCRCNHLTHFAILMSSGPSIGIKDYNILTRITQLGIIISLICLAICIFTFWFFSEIQSTRTTIHKNLCCSLFLAELVFLVGINTNTNKLFCSIIAGLLHYFFLAAFAWMCIEGIHLYLIVVGVIYNKGFLHKNFYIFGYLSPAVVVGFSAALGYRYYGTTKVCWLSTENNFIWSFIGPACLIILVNLLAFGVIIYKVFRHTAGLKPEVSCFENIRSCARGALALLFLLGTTWIFGVLHVVHASVVTAYLFTVSNAFQGMFIFLFLCVLSRKIQEEYYRLFKNVPCCFGCLR</v>
      </c>
      <c r="F324" s="5" t="str">
        <f t="shared" si="126"/>
        <v>SGPSIGIKDYNILTRITQLGIIISLICLAICIFTFWFF</v>
      </c>
      <c r="G324" s="4" t="str">
        <f t="shared" si="127"/>
        <v/>
      </c>
      <c r="H324" s="4" t="str">
        <f t="shared" si="128"/>
        <v>STRTTIHKNLCCSLFLAELVFLVGINT</v>
      </c>
      <c r="I324" s="4" t="str">
        <f t="shared" si="129"/>
        <v/>
      </c>
      <c r="J324" s="4" t="str">
        <f t="shared" si="130"/>
        <v>LFCSIIAGLLHYFFLAAFAWMCIEGIHLYLIVVG</v>
      </c>
      <c r="K324" s="4" t="str">
        <f t="shared" si="131"/>
        <v/>
      </c>
      <c r="L324" s="4" t="str">
        <f t="shared" si="132"/>
        <v>FLHKNFYIFGYLSPAVVVGFSAALGYRYY</v>
      </c>
      <c r="M324" s="4" t="str">
        <f t="shared" si="133"/>
        <v>CWL</v>
      </c>
      <c r="N324" s="4" t="str">
        <f t="shared" si="134"/>
        <v>ENNFIWSFIGPACLIILVNLLAFGVIIYKVFRHT</v>
      </c>
      <c r="O324" s="4" t="str">
        <f t="shared" si="135"/>
        <v>NIRSCARGALALLFLLGTTWIFGVL</v>
      </c>
      <c r="P324" s="4" t="str">
        <f t="shared" si="136"/>
        <v>SVVTAYLFTVSNAFQGMFIFLFLCVL</v>
      </c>
      <c r="Q324" s="4" t="str">
        <f t="shared" si="137"/>
        <v>SRKIQEEYYRLFKNVPC</v>
      </c>
      <c r="R324" s="5">
        <f>VLOOKUP($A324,'SegEnds_NonXtal_Prot#'!$A:$AL,3,FALSE)</f>
        <v>415</v>
      </c>
      <c r="S324" s="5" t="str">
        <f>VLOOKUP($A324,'SegEnds_NonXtal_Prot#'!$A:$AL,6,FALSE)</f>
        <v>-</v>
      </c>
      <c r="T324" s="5">
        <f>VLOOKUP($A324,'SegEnds_NonXtal_Prot#'!$A:$AL,9,FALSE)</f>
        <v>457</v>
      </c>
      <c r="U324" s="5" t="str">
        <f>VLOOKUP($A324,'SegEnds_NonXtal_Prot#'!$A:$AL,12,FALSE)</f>
        <v>-</v>
      </c>
      <c r="V324" s="5">
        <f>VLOOKUP($A324,'SegEnds_NonXtal_Prot#'!$A:$AL,15,FALSE)</f>
        <v>488</v>
      </c>
      <c r="W324" s="5" t="str">
        <f>VLOOKUP($A324,'SegEnds_NonXtal_Prot#'!$A:$AL,18,FALSE)</f>
        <v>-</v>
      </c>
      <c r="X324" s="5">
        <f>VLOOKUP($A324,'SegEnds_NonXtal_Prot#'!$A:$AL,21,FALSE)</f>
        <v>528</v>
      </c>
      <c r="Y324" s="5">
        <f>VLOOKUP($A324,'SegEnds_NonXtal_Prot#'!$A:$AL,24,FALSE)</f>
        <v>562</v>
      </c>
      <c r="Z324" s="5">
        <f>VLOOKUP($A324,'SegEnds_NonXtal_Prot#'!$A:$AL,27,FALSE)</f>
        <v>567</v>
      </c>
      <c r="AA324" s="5">
        <f>VLOOKUP($A324,'SegEnds_NonXtal_Prot#'!$A:$AL,30,FALSE)</f>
        <v>612</v>
      </c>
      <c r="AB324" s="5">
        <f>VLOOKUP($A324,'SegEnds_NonXtal_Prot#'!$A:$AL,33,FALSE)</f>
        <v>642</v>
      </c>
      <c r="AC324" s="5">
        <f>VLOOKUP($A324,'SegEnds_NonXtal_Prot#'!$A:$AL,36,FALSE)</f>
        <v>668</v>
      </c>
      <c r="AD324" s="5">
        <f>VLOOKUP($A324,'SegEnds_NonXtal_Prot#'!$A:$AL,5,FALSE)</f>
        <v>452</v>
      </c>
      <c r="AE324" s="5" t="str">
        <f>VLOOKUP($A324,'SegEnds_NonXtal_Prot#'!$A:$AL,8,FALSE)</f>
        <v>-</v>
      </c>
      <c r="AF324" s="5">
        <f>VLOOKUP($A324,'SegEnds_NonXtal_Prot#'!$A:$AL,11,FALSE)</f>
        <v>483</v>
      </c>
      <c r="AG324" s="5" t="str">
        <f>VLOOKUP($A324,'SegEnds_NonXtal_Prot#'!$A:$AL,14,FALSE)</f>
        <v>-</v>
      </c>
      <c r="AH324" s="5">
        <f>VLOOKUP($A324,'SegEnds_NonXtal_Prot#'!$A:$AL,17,FALSE)</f>
        <v>521</v>
      </c>
      <c r="AI324" s="5" t="str">
        <f>VLOOKUP($A324,'SegEnds_NonXtal_Prot#'!$A:$AL,20,FALSE)</f>
        <v>-</v>
      </c>
      <c r="AJ324" s="5">
        <f>VLOOKUP($A324,'SegEnds_NonXtal_Prot#'!$A:$AL,23,FALSE)</f>
        <v>556</v>
      </c>
      <c r="AK324" s="5">
        <f>VLOOKUP($A324,'SegEnds_NonXtal_Prot#'!$A:$AL,26,FALSE)</f>
        <v>564</v>
      </c>
      <c r="AL324" s="5">
        <f>VLOOKUP($A324,'SegEnds_NonXtal_Prot#'!$A:$AL,29,FALSE)</f>
        <v>600</v>
      </c>
      <c r="AM324" s="5">
        <f>VLOOKUP($A324,'SegEnds_NonXtal_Prot#'!$A:$AL,32,FALSE)</f>
        <v>636</v>
      </c>
      <c r="AN324" s="5">
        <f>VLOOKUP($A324,'SegEnds_NonXtal_Prot#'!$A:$AL,35,FALSE)</f>
        <v>667</v>
      </c>
      <c r="AO324" s="5">
        <f>VLOOKUP($A324,'SegEnds_NonXtal_Prot#'!$A:$AL,38,FALSE)</f>
        <v>684</v>
      </c>
      <c r="AP324" s="5">
        <f t="shared" si="138"/>
        <v>37</v>
      </c>
      <c r="AQ324" s="4" t="str">
        <f t="shared" si="139"/>
        <v>-</v>
      </c>
      <c r="AR324" s="4">
        <f t="shared" si="140"/>
        <v>26</v>
      </c>
      <c r="AS324" s="4" t="str">
        <f t="shared" si="141"/>
        <v>-</v>
      </c>
      <c r="AT324" s="4">
        <f t="shared" si="142"/>
        <v>33</v>
      </c>
      <c r="AU324" s="4" t="str">
        <f t="shared" si="143"/>
        <v>-</v>
      </c>
      <c r="AV324" s="4">
        <f t="shared" si="144"/>
        <v>28</v>
      </c>
      <c r="AW324" s="4">
        <f t="shared" si="145"/>
        <v>2</v>
      </c>
      <c r="AX324" s="4">
        <f t="shared" si="146"/>
        <v>33</v>
      </c>
      <c r="AY324" s="4">
        <f t="shared" si="147"/>
        <v>24</v>
      </c>
      <c r="AZ324" s="4">
        <f t="shared" si="148"/>
        <v>25</v>
      </c>
      <c r="BA324" s="4">
        <f t="shared" si="149"/>
        <v>16</v>
      </c>
    </row>
    <row r="325" spans="1:53" x14ac:dyDescent="0.2">
      <c r="A325" s="1" t="str">
        <f>'SegEnds_NonXtal_Prot#'!A316</f>
        <v>bai1_human</v>
      </c>
      <c r="B325" s="1" t="str">
        <f t="shared" si="125"/>
        <v>LSADANMEKATLPSVTLIVGCGVSSLTLLMLVIIYVSVSERSVILINFCLSIISSNALILIGQTQVVCTLVAAFLHFFFLSSFCWVLTEAWQSYMAVTGLIRKRFLCLGWGLPALVVAISVGFTKAKGEGGLLYAFVGPAAAVVLVNMVIGILVFNKLVSKDRAGASLWSSCVVLPLLALTWMSAVLSALFQILFAVFDSLEGFVIVMVHCILRREVQDAVKCRVVDRQE</v>
      </c>
      <c r="C325" s="29" t="str">
        <f>IF(ISERROR(MATCH(A325,'SegEnds_Xtal_Prot#'!B:B, 0)), "NoXtal", "Xtal")</f>
        <v>NoXtal</v>
      </c>
      <c r="D325" s="4" t="str">
        <f>VLOOKUP(A325,Classification!A:D,2,FALSE)</f>
        <v>B2</v>
      </c>
      <c r="E325" s="5" t="str">
        <f>VLOOKUP(A325,Seqs!A:B,2,FALSE)</f>
        <v>MRGQAAAPGPVWILAPLLLLLLLLGRRARAAAGADAGPGPEPCATLVQGKFFGYFSAAAVFPANASRCSWTLRNPDPRRYTLYMKVAKAPVPCSGPGRVRTYQFDSFLESTRTYLGVESFDEVLRLCDPSAPLAFLQASKQFLQMRRQQPPQHDGLRPRAGPPGPTDDFSVEYLVVGNRNPSRAACQMLCRWLDACLAGSRSSHPCGIMQTPCACLGGEAGGPAAGPLAPRGDVCLRDAVAGGPENCLTSLTQDRGGHGATGGWKLWSLWGECTRDCGGGLQTRTRTCLPAPGVEGGGCEGVLEEGRQCNREACGPAGRTSSRSQSLRSTDARRREELGDELQQFGFPAPQTGDPAAEEWSPWSVCSSTCGEGWQTRTRFCVSSSYSTQCSGPLREQRLCNNSAVCPVHGAWDEWSPWSLCSSTCGRGFRDRTRTCRPPQFGGNPCEGPEKQTKFCNIALCPGRAVDGNWNEWSSWSACSASCSQGRQQRTRECNGPSYGGAECQGHWVETRDCFLQQCPVDGKWQAWASWGSCSVTCGAGSQRRERVCSGPFFGGAACQGPQDEYRQCGTQRCPEPHEICDEDNFGAVIWKETPAGEVAAVRCPRNATGLILRRCELDEEGIAYWEPPTYIRCVSIDYRNIQMMTREHLAKAQRGLPGEGVSEVIQTLVEISQDGTSYSGDLLSTIDVLRNMTEIFRRAYYSPTPGDVQNFVQILSNLLAEENRDKWEEAQLAGPNAKELFRLVEDFVDVIGFRMKDLRDAYQVTDNLVLSIHKLPASGATDISFPMKGWRATGDWAKVPEDRVTVSKSVFSTGLTEADEASVFVVGTVLYRNLGSFLALQRNTTVLNSKVISVTVKPPPRSLRTPLEIEFAHMYNGTTNQTCILWDETDVPSSSAPPQLGPWSWRGCRTVPLDALRTRCLCDRLSTFAILAQLSADANMEKATLPSVTLIVGCGVSSLTLLMLVIIYVSVWRYIRSERSVILINFCLSIISSNALILIGQTQTRNKVVCTLVAAFLHFFFLSSFCWVLTEAWQSYMAVTGHLRNRLIRKRFLCLGWGLPALVVAISVGFTKAKGYSTMNYCWLSLEGGLLYAFVGPAAAVVLVNMVIGILVFNKLVSKDGITDKKLKERAGASLWSSCVVLPLLALTWMSAVLAVTDRRSALFQILFAVFDSLEGFVIVMVHCILRREVQDAVKCRVVDRQEEGNGDSGGSFQNGHAQLMTDFEKDVDLACRSVLNKDIAACRTATITGTLKRPSLPEEEKLKLAHAKGPPTNFNSLPANVSKLHLHGSPRYPGGPLPDFPNHSLTLKRDKAPKSSFVGDGDIFKKLDSELSRAQEKALDTSYVILPTATATLRPKPKEEPKYSIHIDQMPQTRLIHLSTAPEASLPARSPPSRQPPSGGPPEAPPAQPPPPPPPPPPPPQQPLPPPPNLEPAPPSLGDPGEPAAHPGPSTGPSTKNENVATLSVSSLERRKSRYAELDFEKIMHTRKRHQDMFQDLNRKLQHAAEKDKEVLGPDSKPEKQQTPNKRPWESLRKAHGTPTWVKKELEPLQPSPLELRSVEWERSGATIPLVGQDIIDLQTEV</v>
      </c>
      <c r="F325" s="5" t="str">
        <f t="shared" si="126"/>
        <v>LSADANMEKATLPSVTLIVGCGVSSLTLLMLVIIYVSV</v>
      </c>
      <c r="G325" s="4" t="str">
        <f t="shared" si="127"/>
        <v/>
      </c>
      <c r="H325" s="4" t="str">
        <f t="shared" si="128"/>
        <v>SERSVILINFCLSIISSNALILIGQTQ</v>
      </c>
      <c r="I325" s="4" t="str">
        <f t="shared" si="129"/>
        <v/>
      </c>
      <c r="J325" s="4" t="str">
        <f t="shared" si="130"/>
        <v>VVCTLVAAFLHFFFLSSFCWVLTEAWQSYMAVTG</v>
      </c>
      <c r="K325" s="4" t="str">
        <f t="shared" si="131"/>
        <v/>
      </c>
      <c r="L325" s="4" t="str">
        <f t="shared" si="132"/>
        <v>LIRKRFLCLGWGLPALVVAISVGFTKAKG</v>
      </c>
      <c r="M325" s="4" t="str">
        <f t="shared" si="133"/>
        <v>CWL</v>
      </c>
      <c r="N325" s="4" t="str">
        <f t="shared" si="134"/>
        <v>EGGLLYAFVGPAAAVVLVNMVIGILVFNKLVSKD</v>
      </c>
      <c r="O325" s="4" t="str">
        <f t="shared" si="135"/>
        <v>RAGASLWSSCVVLPLLALTWMSAVL</v>
      </c>
      <c r="P325" s="4" t="str">
        <f t="shared" si="136"/>
        <v>SALFQILFAVFDSLEGFVIVMVHCIL</v>
      </c>
      <c r="Q325" s="4" t="str">
        <f t="shared" si="137"/>
        <v>RREVQDAVKCRVVDRQE</v>
      </c>
      <c r="R325" s="5">
        <f>VLOOKUP($A325,'SegEnds_NonXtal_Prot#'!$A:$AL,3,FALSE)</f>
        <v>935</v>
      </c>
      <c r="S325" s="5" t="str">
        <f>VLOOKUP($A325,'SegEnds_NonXtal_Prot#'!$A:$AL,6,FALSE)</f>
        <v>-</v>
      </c>
      <c r="T325" s="5">
        <f>VLOOKUP($A325,'SegEnds_NonXtal_Prot#'!$A:$AL,9,FALSE)</f>
        <v>978</v>
      </c>
      <c r="U325" s="5" t="str">
        <f>VLOOKUP($A325,'SegEnds_NonXtal_Prot#'!$A:$AL,12,FALSE)</f>
        <v>-</v>
      </c>
      <c r="V325" s="5">
        <f>VLOOKUP($A325,'SegEnds_NonXtal_Prot#'!$A:$AL,15,FALSE)</f>
        <v>1009</v>
      </c>
      <c r="W325" s="5" t="str">
        <f>VLOOKUP($A325,'SegEnds_NonXtal_Prot#'!$A:$AL,18,FALSE)</f>
        <v>-</v>
      </c>
      <c r="X325" s="5">
        <f>VLOOKUP($A325,'SegEnds_NonXtal_Prot#'!$A:$AL,21,FALSE)</f>
        <v>1048</v>
      </c>
      <c r="Y325" s="5">
        <f>VLOOKUP($A325,'SegEnds_NonXtal_Prot#'!$A:$AL,24,FALSE)</f>
        <v>1083</v>
      </c>
      <c r="Z325" s="5">
        <f>VLOOKUP($A325,'SegEnds_NonXtal_Prot#'!$A:$AL,27,FALSE)</f>
        <v>1088</v>
      </c>
      <c r="AA325" s="5">
        <f>VLOOKUP($A325,'SegEnds_NonXtal_Prot#'!$A:$AL,30,FALSE)</f>
        <v>1131</v>
      </c>
      <c r="AB325" s="5">
        <f>VLOOKUP($A325,'SegEnds_NonXtal_Prot#'!$A:$AL,33,FALSE)</f>
        <v>1162</v>
      </c>
      <c r="AC325" s="5">
        <f>VLOOKUP($A325,'SegEnds_NonXtal_Prot#'!$A:$AL,36,FALSE)</f>
        <v>1188</v>
      </c>
      <c r="AD325" s="5">
        <f>VLOOKUP($A325,'SegEnds_NonXtal_Prot#'!$A:$AL,5,FALSE)</f>
        <v>972</v>
      </c>
      <c r="AE325" s="5" t="str">
        <f>VLOOKUP($A325,'SegEnds_NonXtal_Prot#'!$A:$AL,8,FALSE)</f>
        <v>-</v>
      </c>
      <c r="AF325" s="5">
        <f>VLOOKUP($A325,'SegEnds_NonXtal_Prot#'!$A:$AL,11,FALSE)</f>
        <v>1004</v>
      </c>
      <c r="AG325" s="5" t="str">
        <f>VLOOKUP($A325,'SegEnds_NonXtal_Prot#'!$A:$AL,14,FALSE)</f>
        <v>-</v>
      </c>
      <c r="AH325" s="5">
        <f>VLOOKUP($A325,'SegEnds_NonXtal_Prot#'!$A:$AL,17,FALSE)</f>
        <v>1042</v>
      </c>
      <c r="AI325" s="5" t="str">
        <f>VLOOKUP($A325,'SegEnds_NonXtal_Prot#'!$A:$AL,20,FALSE)</f>
        <v>-</v>
      </c>
      <c r="AJ325" s="5">
        <f>VLOOKUP($A325,'SegEnds_NonXtal_Prot#'!$A:$AL,23,FALSE)</f>
        <v>1076</v>
      </c>
      <c r="AK325" s="5">
        <f>VLOOKUP($A325,'SegEnds_NonXtal_Prot#'!$A:$AL,26,FALSE)</f>
        <v>1085</v>
      </c>
      <c r="AL325" s="5">
        <f>VLOOKUP($A325,'SegEnds_NonXtal_Prot#'!$A:$AL,29,FALSE)</f>
        <v>1121</v>
      </c>
      <c r="AM325" s="5">
        <f>VLOOKUP($A325,'SegEnds_NonXtal_Prot#'!$A:$AL,32,FALSE)</f>
        <v>1155</v>
      </c>
      <c r="AN325" s="5">
        <f>VLOOKUP($A325,'SegEnds_NonXtal_Prot#'!$A:$AL,35,FALSE)</f>
        <v>1187</v>
      </c>
      <c r="AO325" s="5">
        <f>VLOOKUP($A325,'SegEnds_NonXtal_Prot#'!$A:$AL,38,FALSE)</f>
        <v>1204</v>
      </c>
      <c r="AP325" s="5">
        <f t="shared" si="138"/>
        <v>37</v>
      </c>
      <c r="AQ325" s="4" t="str">
        <f t="shared" si="139"/>
        <v>-</v>
      </c>
      <c r="AR325" s="4">
        <f t="shared" si="140"/>
        <v>26</v>
      </c>
      <c r="AS325" s="4" t="str">
        <f t="shared" si="141"/>
        <v>-</v>
      </c>
      <c r="AT325" s="4">
        <f t="shared" si="142"/>
        <v>33</v>
      </c>
      <c r="AU325" s="4" t="str">
        <f t="shared" si="143"/>
        <v>-</v>
      </c>
      <c r="AV325" s="4">
        <f t="shared" si="144"/>
        <v>28</v>
      </c>
      <c r="AW325" s="4">
        <f t="shared" si="145"/>
        <v>2</v>
      </c>
      <c r="AX325" s="4">
        <f t="shared" si="146"/>
        <v>33</v>
      </c>
      <c r="AY325" s="4">
        <f t="shared" si="147"/>
        <v>24</v>
      </c>
      <c r="AZ325" s="4">
        <f t="shared" si="148"/>
        <v>25</v>
      </c>
      <c r="BA325" s="4">
        <f t="shared" si="149"/>
        <v>16</v>
      </c>
    </row>
    <row r="326" spans="1:53" x14ac:dyDescent="0.2">
      <c r="A326" s="1" t="str">
        <f>'SegEnds_NonXtal_Prot#'!A317</f>
        <v>calcr_human</v>
      </c>
      <c r="B326" s="1" t="str">
        <f t="shared" si="125"/>
        <v>TMCNAFTPEKLKNAYVLYYLAIVGHSLSIFTLVISLGIFVFFCQRVTLHKNMFLTYILNSMIIIIHLVEVDPVSCKILHFFHQYMMACNYFWMLCEGIYLHTLIVVRLRWYYLLGWGFPLVPTTIHAITRAVYFLYIIHGPVMAALVVNFFFLLNIVRVLVTKMRYLKAVKATMILVPLLGIQFVVFPWKMLGKIYDYVMHSLIHFQGFFVATIYCFCNNEVQTTVKRQWAQFKIQWNQRWGRR</v>
      </c>
      <c r="C326" s="29" t="str">
        <f>IF(ISERROR(MATCH(A326,'SegEnds_Xtal_Prot#'!B:B, 0)), "NoXtal", "Xtal")</f>
        <v>Xtal</v>
      </c>
      <c r="D326" s="4" t="str">
        <f>VLOOKUP(A326,Classification!A:D,2,FALSE)</f>
        <v>B1</v>
      </c>
      <c r="E326" s="5" t="str">
        <f>VLOOKUP(A326,Seqs!A:B,2,FALSE)</f>
        <v>MRFTFTSRCLALFLLLNHPTPILPAFSNQTYPTIEPKPFLYVVGRKKMMDAQYKCYDRMQQLPAYQGEGPYCNRTWDGWLCWDDTPAGVLSYQFCPDYFPDFDPSEKVTKYCDEKGVWFKHPENNRTWSNYTMCNAFTPEKLKNAYVLYYLAIVGHSLSIFTLVISLGIFVFFRSLGCQRVTLHKNMFLTYILNSMIIIIHLVEVVPNGELVRRDPVSCKILHFFHQYMMACNYFWMLCEGIYLHTLIVVAVFTEKQRLRWYYLLGWGFPLVPTTIHAITRAVYFNDNCWLSVETHLLYIIHGPVMAALVVNFFFLLNIVRVLVTKMRETHEAESHMYLKAVKATMILVPLLGIQFVVFPWRPSNKMLGKIYDYVMHSLIHFQGFFVATIYCFCNNEVQTTVKRQWAQFKIQWNQRWGRRPSNRSARAAAAAAEAGDIPIYICHQEPRNEPANNQGEESAEIIPLNIIEQESSA</v>
      </c>
      <c r="F326" s="5" t="str">
        <f t="shared" si="126"/>
        <v>TMCNAFTPEKLKNAYVLYYLAIVGHSLSIFTLVISLGIFVFF</v>
      </c>
      <c r="G326" s="4" t="str">
        <f t="shared" si="127"/>
        <v>RSLG</v>
      </c>
      <c r="H326" s="4" t="str">
        <f t="shared" si="128"/>
        <v>CQRVTLHKNMFLTYILNSMIIIIHLVEV</v>
      </c>
      <c r="I326" s="4" t="str">
        <f t="shared" si="129"/>
        <v/>
      </c>
      <c r="J326" s="4" t="str">
        <f t="shared" si="130"/>
        <v>DPVSCKILHFFHQYMMACNYFWMLCEGIYLHTLIVV</v>
      </c>
      <c r="K326" s="4" t="str">
        <f t="shared" si="131"/>
        <v/>
      </c>
      <c r="L326" s="4" t="str">
        <f t="shared" si="132"/>
        <v>RLRWYYLLGWGFPLVPTTIHAITRAVYF</v>
      </c>
      <c r="M326" s="4" t="str">
        <f t="shared" si="133"/>
        <v>CWL</v>
      </c>
      <c r="N326" s="4" t="str">
        <f t="shared" si="134"/>
        <v>LYIIHGPVMAALVVNFFFLLNIVRVLVTKMR</v>
      </c>
      <c r="O326" s="4" t="str">
        <f t="shared" si="135"/>
        <v>YLKAVKATMILVPLLGIQFVVFPW</v>
      </c>
      <c r="P326" s="4" t="str">
        <f t="shared" si="136"/>
        <v>KMLGKIYDYVMHSLIHFQGFFVATIYCFC</v>
      </c>
      <c r="Q326" s="4" t="str">
        <f t="shared" si="137"/>
        <v>NNEVQTTVKRQWAQFKIQWNQRWGRR</v>
      </c>
      <c r="R326" s="5">
        <f>VLOOKUP($A326,'SegEnds_NonXtal_Prot#'!$A:$AL,3,FALSE)</f>
        <v>132</v>
      </c>
      <c r="S326" s="5">
        <f>VLOOKUP($A326,'SegEnds_NonXtal_Prot#'!$A:$AL,6,FALSE)</f>
        <v>174</v>
      </c>
      <c r="T326" s="5">
        <f>VLOOKUP($A326,'SegEnds_NonXtal_Prot#'!$A:$AL,9,FALSE)</f>
        <v>178</v>
      </c>
      <c r="U326" s="5" t="str">
        <f>VLOOKUP($A326,'SegEnds_NonXtal_Prot#'!$A:$AL,12,FALSE)</f>
        <v>-</v>
      </c>
      <c r="V326" s="5">
        <f>VLOOKUP($A326,'SegEnds_NonXtal_Prot#'!$A:$AL,15,FALSE)</f>
        <v>215</v>
      </c>
      <c r="W326" s="5" t="str">
        <f>VLOOKUP($A326,'SegEnds_NonXtal_Prot#'!$A:$AL,18,FALSE)</f>
        <v>-</v>
      </c>
      <c r="X326" s="5">
        <f>VLOOKUP($A326,'SegEnds_NonXtal_Prot#'!$A:$AL,21,FALSE)</f>
        <v>258</v>
      </c>
      <c r="Y326" s="5">
        <f>VLOOKUP($A326,'SegEnds_NonXtal_Prot#'!$A:$AL,24,FALSE)</f>
        <v>289</v>
      </c>
      <c r="Z326" s="5">
        <f>VLOOKUP($A326,'SegEnds_NonXtal_Prot#'!$A:$AL,27,FALSE)</f>
        <v>298</v>
      </c>
      <c r="AA326" s="5">
        <f>VLOOKUP($A326,'SegEnds_NonXtal_Prot#'!$A:$AL,30,FALSE)</f>
        <v>338</v>
      </c>
      <c r="AB326" s="5">
        <f>VLOOKUP($A326,'SegEnds_NonXtal_Prot#'!$A:$AL,33,FALSE)</f>
        <v>366</v>
      </c>
      <c r="AC326" s="5">
        <f>VLOOKUP($A326,'SegEnds_NonXtal_Prot#'!$A:$AL,36,FALSE)</f>
        <v>395</v>
      </c>
      <c r="AD326" s="5">
        <f>VLOOKUP($A326,'SegEnds_NonXtal_Prot#'!$A:$AL,5,FALSE)</f>
        <v>173</v>
      </c>
      <c r="AE326" s="5">
        <f>VLOOKUP($A326,'SegEnds_NonXtal_Prot#'!$A:$AL,8,FALSE)</f>
        <v>177</v>
      </c>
      <c r="AF326" s="5">
        <f>VLOOKUP($A326,'SegEnds_NonXtal_Prot#'!$A:$AL,11,FALSE)</f>
        <v>205</v>
      </c>
      <c r="AG326" s="5" t="str">
        <f>VLOOKUP($A326,'SegEnds_NonXtal_Prot#'!$A:$AL,14,FALSE)</f>
        <v>-</v>
      </c>
      <c r="AH326" s="5">
        <f>VLOOKUP($A326,'SegEnds_NonXtal_Prot#'!$A:$AL,17,FALSE)</f>
        <v>250</v>
      </c>
      <c r="AI326" s="5" t="str">
        <f>VLOOKUP($A326,'SegEnds_NonXtal_Prot#'!$A:$AL,20,FALSE)</f>
        <v>-</v>
      </c>
      <c r="AJ326" s="5">
        <f>VLOOKUP($A326,'SegEnds_NonXtal_Prot#'!$A:$AL,23,FALSE)</f>
        <v>285</v>
      </c>
      <c r="AK326" s="5">
        <f>VLOOKUP($A326,'SegEnds_NonXtal_Prot#'!$A:$AL,26,FALSE)</f>
        <v>291</v>
      </c>
      <c r="AL326" s="5">
        <f>VLOOKUP($A326,'SegEnds_NonXtal_Prot#'!$A:$AL,29,FALSE)</f>
        <v>328</v>
      </c>
      <c r="AM326" s="5">
        <f>VLOOKUP($A326,'SegEnds_NonXtal_Prot#'!$A:$AL,32,FALSE)</f>
        <v>361</v>
      </c>
      <c r="AN326" s="5">
        <f>VLOOKUP($A326,'SegEnds_NonXtal_Prot#'!$A:$AL,35,FALSE)</f>
        <v>394</v>
      </c>
      <c r="AO326" s="5">
        <f>VLOOKUP($A326,'SegEnds_NonXtal_Prot#'!$A:$AL,38,FALSE)</f>
        <v>420</v>
      </c>
      <c r="AP326" s="5">
        <f t="shared" si="138"/>
        <v>41</v>
      </c>
      <c r="AQ326" s="4">
        <f t="shared" si="139"/>
        <v>3</v>
      </c>
      <c r="AR326" s="4">
        <f t="shared" si="140"/>
        <v>27</v>
      </c>
      <c r="AS326" s="4" t="str">
        <f t="shared" si="141"/>
        <v>-</v>
      </c>
      <c r="AT326" s="4">
        <f t="shared" si="142"/>
        <v>35</v>
      </c>
      <c r="AU326" s="4" t="str">
        <f t="shared" si="143"/>
        <v>-</v>
      </c>
      <c r="AV326" s="4">
        <f t="shared" si="144"/>
        <v>27</v>
      </c>
      <c r="AW326" s="4">
        <f t="shared" si="145"/>
        <v>2</v>
      </c>
      <c r="AX326" s="4">
        <f t="shared" si="146"/>
        <v>30</v>
      </c>
      <c r="AY326" s="4">
        <f t="shared" si="147"/>
        <v>23</v>
      </c>
      <c r="AZ326" s="4">
        <f t="shared" si="148"/>
        <v>28</v>
      </c>
      <c r="BA326" s="4">
        <f t="shared" si="149"/>
        <v>25</v>
      </c>
    </row>
    <row r="327" spans="1:53" x14ac:dyDescent="0.2">
      <c r="A327" s="1" t="str">
        <f>'SegEnds_NonXtal_Prot#'!A319</f>
        <v>casr_human</v>
      </c>
      <c r="B327" s="1" t="str">
        <f t="shared" si="125"/>
        <v>PFGIALTLFAVLGIFLTAFVLGVFIKFNRELSYLLLFSLLCCFSSSLFFIDWTCRLRQPAFGISFVLCISCILVKTNRVLLVFGLNLQFLLVFLCTFMQIVICVIWLYTALMALGFLIGYTCLLAAICFFFAFKSEAKFITFSMLIFFIVWISFIPAYASVSAVEVIAILAASFGLLACIFFNKIYIILFKPSRNTIEEVRCS</v>
      </c>
      <c r="C327" s="29" t="str">
        <f>IF(ISERROR(MATCH(A327,'SegEnds_Xtal_Prot#'!B:B, 0)), "NoXtal", "Xtal")</f>
        <v>NoXtal</v>
      </c>
      <c r="D327" s="4" t="str">
        <f>VLOOKUP(A327,Classification!A:D,2,FALSE)</f>
        <v>C</v>
      </c>
      <c r="E327" s="5" t="str">
        <f>VLOOKUP(A327,Seqs!A:B,2,FALSE)</f>
        <v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QPLLPLQCGETDLDLTVQETGLQGPVGGDQRPEVEDPEELSPALVVSSSQSFVISGGGSTVTENVVNS</v>
      </c>
      <c r="F327" s="5" t="str">
        <f t="shared" si="126"/>
        <v>PFGIALTLFAVLGIFLTAFVLGVFIKF</v>
      </c>
      <c r="G327" s="4" t="str">
        <f t="shared" si="127"/>
        <v>TPIVKAT</v>
      </c>
      <c r="H327" s="4" t="str">
        <f t="shared" si="128"/>
        <v>NRELSYLLLFSLLCCFSSSLFFI</v>
      </c>
      <c r="I327" s="4" t="str">
        <f t="shared" si="129"/>
        <v/>
      </c>
      <c r="J327" s="4" t="str">
        <f t="shared" si="130"/>
        <v>DWTCRLRQPAFGISFVLCISCILVKTNRVLLVF</v>
      </c>
      <c r="K327" s="4" t="str">
        <f t="shared" si="131"/>
        <v/>
      </c>
      <c r="L327" s="4" t="str">
        <f t="shared" si="132"/>
        <v>GLNLQFLLVFLCTFMQIVICVIWLYTA</v>
      </c>
      <c r="M327" s="4" t="str">
        <f t="shared" si="133"/>
        <v>CHE</v>
      </c>
      <c r="N327" s="4" t="str">
        <f t="shared" si="134"/>
        <v>LMALGFLIGYTCLLAAICFFFAFKS</v>
      </c>
      <c r="O327" s="4" t="str">
        <f t="shared" si="135"/>
        <v>EAKFITFSMLIFFIVWISFIPAYAS</v>
      </c>
      <c r="P327" s="4" t="str">
        <f t="shared" si="136"/>
        <v>VSAVEVIAILAASFGLLACIFFNKIYIILF</v>
      </c>
      <c r="Q327" s="4" t="str">
        <f t="shared" si="137"/>
        <v>KPSRNTIEEVRCS</v>
      </c>
      <c r="R327" s="5">
        <f>VLOOKUP($A327,'SegEnds_NonXtal_Prot#'!$A:$AL,3,FALSE)</f>
        <v>611</v>
      </c>
      <c r="S327" s="5">
        <f>VLOOKUP($A327,'SegEnds_NonXtal_Prot#'!$A:$AL,6,FALSE)</f>
        <v>640</v>
      </c>
      <c r="T327" s="5">
        <f>VLOOKUP($A327,'SegEnds_NonXtal_Prot#'!$A:$AL,9,FALSE)</f>
        <v>647</v>
      </c>
      <c r="U327" s="5" t="str">
        <f>VLOOKUP($A327,'SegEnds_NonXtal_Prot#'!$A:$AL,12,FALSE)</f>
        <v>-</v>
      </c>
      <c r="V327" s="5">
        <f>VLOOKUP($A327,'SegEnds_NonXtal_Prot#'!$A:$AL,15,FALSE)</f>
        <v>674</v>
      </c>
      <c r="W327" s="5" t="str">
        <f>VLOOKUP($A327,'SegEnds_NonXtal_Prot#'!$A:$AL,18,FALSE)</f>
        <v>-</v>
      </c>
      <c r="X327" s="5">
        <f>VLOOKUP($A327,'SegEnds_NonXtal_Prot#'!$A:$AL,21,FALSE)</f>
        <v>720</v>
      </c>
      <c r="Y327" s="5">
        <f>VLOOKUP($A327,'SegEnds_NonXtal_Prot#'!$A:$AL,24,FALSE)</f>
        <v>765</v>
      </c>
      <c r="Z327" s="5">
        <f>VLOOKUP($A327,'SegEnds_NonXtal_Prot#'!$A:$AL,27,FALSE)</f>
        <v>770</v>
      </c>
      <c r="AA327" s="5">
        <f>VLOOKUP($A327,'SegEnds_NonXtal_Prot#'!$A:$AL,30,FALSE)</f>
        <v>803</v>
      </c>
      <c r="AB327" s="5">
        <f>VLOOKUP($A327,'SegEnds_NonXtal_Prot#'!$A:$AL,33,FALSE)</f>
        <v>833</v>
      </c>
      <c r="AC327" s="5">
        <f>VLOOKUP($A327,'SegEnds_NonXtal_Prot#'!$A:$AL,36,FALSE)</f>
        <v>863</v>
      </c>
      <c r="AD327" s="5">
        <f>VLOOKUP($A327,'SegEnds_NonXtal_Prot#'!$A:$AL,5,FALSE)</f>
        <v>637</v>
      </c>
      <c r="AE327" s="5">
        <f>VLOOKUP($A327,'SegEnds_NonXtal_Prot#'!$A:$AL,8,FALSE)</f>
        <v>646</v>
      </c>
      <c r="AF327" s="5">
        <f>VLOOKUP($A327,'SegEnds_NonXtal_Prot#'!$A:$AL,11,FALSE)</f>
        <v>669</v>
      </c>
      <c r="AG327" s="5" t="str">
        <f>VLOOKUP($A327,'SegEnds_NonXtal_Prot#'!$A:$AL,14,FALSE)</f>
        <v>-</v>
      </c>
      <c r="AH327" s="5">
        <f>VLOOKUP($A327,'SegEnds_NonXtal_Prot#'!$A:$AL,17,FALSE)</f>
        <v>706</v>
      </c>
      <c r="AI327" s="5" t="str">
        <f>VLOOKUP($A327,'SegEnds_NonXtal_Prot#'!$A:$AL,20,FALSE)</f>
        <v>-</v>
      </c>
      <c r="AJ327" s="5">
        <f>VLOOKUP($A327,'SegEnds_NonXtal_Prot#'!$A:$AL,23,FALSE)</f>
        <v>746</v>
      </c>
      <c r="AK327" s="5">
        <f>VLOOKUP($A327,'SegEnds_NonXtal_Prot#'!$A:$AL,26,FALSE)</f>
        <v>767</v>
      </c>
      <c r="AL327" s="5">
        <f>VLOOKUP($A327,'SegEnds_NonXtal_Prot#'!$A:$AL,29,FALSE)</f>
        <v>794</v>
      </c>
      <c r="AM327" s="5">
        <f>VLOOKUP($A327,'SegEnds_NonXtal_Prot#'!$A:$AL,32,FALSE)</f>
        <v>827</v>
      </c>
      <c r="AN327" s="5">
        <f>VLOOKUP($A327,'SegEnds_NonXtal_Prot#'!$A:$AL,35,FALSE)</f>
        <v>862</v>
      </c>
      <c r="AO327" s="5">
        <f>VLOOKUP($A327,'SegEnds_NonXtal_Prot#'!$A:$AL,38,FALSE)</f>
        <v>875</v>
      </c>
      <c r="AP327" s="5">
        <f t="shared" si="138"/>
        <v>26</v>
      </c>
      <c r="AQ327" s="4">
        <f t="shared" si="139"/>
        <v>6</v>
      </c>
      <c r="AR327" s="4">
        <f t="shared" si="140"/>
        <v>22</v>
      </c>
      <c r="AS327" s="4" t="str">
        <f t="shared" si="141"/>
        <v>-</v>
      </c>
      <c r="AT327" s="4">
        <f t="shared" si="142"/>
        <v>32</v>
      </c>
      <c r="AU327" s="4" t="str">
        <f t="shared" si="143"/>
        <v>-</v>
      </c>
      <c r="AV327" s="4">
        <f t="shared" si="144"/>
        <v>26</v>
      </c>
      <c r="AW327" s="4">
        <f t="shared" si="145"/>
        <v>2</v>
      </c>
      <c r="AX327" s="4">
        <f t="shared" si="146"/>
        <v>24</v>
      </c>
      <c r="AY327" s="4">
        <f t="shared" si="147"/>
        <v>24</v>
      </c>
      <c r="AZ327" s="4">
        <f t="shared" si="148"/>
        <v>29</v>
      </c>
      <c r="BA327" s="4">
        <f t="shared" si="149"/>
        <v>12</v>
      </c>
    </row>
    <row r="328" spans="1:53" x14ac:dyDescent="0.2">
      <c r="A328" s="1" t="str">
        <f>'SegEnds_NonXtal_Prot#'!A320</f>
        <v>ccr10_human</v>
      </c>
      <c r="B328" s="1" t="str">
        <f t="shared" si="125"/>
        <v>VQAFSRAFQPSVSLTVAALGLAGNGLVLATHLAARSPTSAHLLQLALADLLLALTLPFAAAGALQGSATCRTISGLYSASFHAGFLFLACISADRYVAIARTPGRAHLVSVIVWLLSLLLALPALLFSTVKGASAVAQVALGFALPLGVMVACYALLGRTLLAARRRALRVVVALVAAFVVLQLPYSLALLLDTADLLAASCPASKRKDVALLVTSGLALARCGLNPVLYAFLGLRFRQDLRRLLRGGSCPSGP</v>
      </c>
      <c r="C328" s="29" t="str">
        <f>IF(ISERROR(MATCH(A328,'SegEnds_Xtal_Prot#'!B:B, 0)), "NoXtal", "Xtal")</f>
        <v>NoXtal</v>
      </c>
      <c r="D328" s="4" t="str">
        <f>VLOOKUP(A328,Classification!A:D,2,FALSE)</f>
        <v>A</v>
      </c>
      <c r="E328" s="5" t="str">
        <f>VLOOKUP(A328,Seqs!A:B,2,FALSE)</f>
        <v>MGTEATEQVSWGHYSGDEEDAYSAEPLPELCYKADVQAFSRAFQPSVSLTVAALGLAGNGLVLATHLAARRAARSPTSAHLLQLALADLLLALTLPFAAAGALQGWSLGSATCRTISGLYSASFHAGFLFLACISADRYVAIARALPAGPRPSTPGRAHLVSVIVWLLSLLLALPALLFSQDGQREGQRRCRLIFPEGLTQTVKGASAVAQVALGFALPLGVMVACYALLGRTLLAARGPERRRALRVVVALVAAFVVLQLPYSLALLLDTADLLAARERSCPASKRKDVALLVTSGLALARCGLNPVLYAFLGLRFRQDLRRLLRGGSCPSGPQPRRGCPRRPRLSSCSAPTETHSLSWDN</v>
      </c>
      <c r="F328" s="5" t="str">
        <f t="shared" si="126"/>
        <v>VQAFSRAFQPSVSLTVAALGLAGNGLVLATHLAA</v>
      </c>
      <c r="G328" s="4" t="str">
        <f t="shared" si="127"/>
        <v>RRAA</v>
      </c>
      <c r="H328" s="4" t="str">
        <f t="shared" si="128"/>
        <v>RSPTSAHLLQLALADLLLALTLPFAAAGALQ</v>
      </c>
      <c r="I328" s="4" t="str">
        <f t="shared" si="129"/>
        <v>GWSL</v>
      </c>
      <c r="J328" s="4" t="str">
        <f t="shared" si="130"/>
        <v>GSATCRTISGLYSASFHAGFLFLACISADRYVAIAR</v>
      </c>
      <c r="K328" s="4" t="str">
        <f t="shared" si="131"/>
        <v/>
      </c>
      <c r="L328" s="4" t="str">
        <f t="shared" si="132"/>
        <v>TPGRAHLVSVIVWLLSLLLALPALLFS</v>
      </c>
      <c r="M328" s="4" t="str">
        <f t="shared" si="133"/>
        <v>CRL</v>
      </c>
      <c r="N328" s="4" t="str">
        <f t="shared" si="134"/>
        <v>TVKGASAVAQVALGFALPLGVMVACYALLGRTLLAA</v>
      </c>
      <c r="O328" s="4" t="str">
        <f t="shared" si="135"/>
        <v>RRRALRVVVALVAAFVVLQLPYSLALLLDTADLLAA</v>
      </c>
      <c r="P328" s="4" t="str">
        <f t="shared" si="136"/>
        <v>SCPASKRKDVALLVTSGLALARCGLNPVLYAFL</v>
      </c>
      <c r="Q328" s="4" t="str">
        <f t="shared" si="137"/>
        <v>GLRFRQDLRRLLRGGSCPSGP</v>
      </c>
      <c r="R328" s="5">
        <f>VLOOKUP($A328,'SegEnds_NonXtal_Prot#'!$A:$AL,3,FALSE)</f>
        <v>36</v>
      </c>
      <c r="S328" s="5">
        <f>VLOOKUP($A328,'SegEnds_NonXtal_Prot#'!$A:$AL,6,FALSE)</f>
        <v>70</v>
      </c>
      <c r="T328" s="5">
        <f>VLOOKUP($A328,'SegEnds_NonXtal_Prot#'!$A:$AL,9,FALSE)</f>
        <v>74</v>
      </c>
      <c r="U328" s="5">
        <f>VLOOKUP($A328,'SegEnds_NonXtal_Prot#'!$A:$AL,12,FALSE)</f>
        <v>105</v>
      </c>
      <c r="V328" s="5">
        <f>VLOOKUP($A328,'SegEnds_NonXtal_Prot#'!$A:$AL,15,FALSE)</f>
        <v>109</v>
      </c>
      <c r="W328" s="5" t="str">
        <f>VLOOKUP($A328,'SegEnds_NonXtal_Prot#'!$A:$AL,18,FALSE)</f>
        <v>-</v>
      </c>
      <c r="X328" s="5">
        <f>VLOOKUP($A328,'SegEnds_NonXtal_Prot#'!$A:$AL,21,FALSE)</f>
        <v>154</v>
      </c>
      <c r="Y328" s="5">
        <f>VLOOKUP($A328,'SegEnds_NonXtal_Prot#'!$A:$AL,24,FALSE)</f>
        <v>191</v>
      </c>
      <c r="Z328" s="5">
        <f>VLOOKUP($A328,'SegEnds_NonXtal_Prot#'!$A:$AL,27,FALSE)</f>
        <v>202</v>
      </c>
      <c r="AA328" s="5">
        <f>VLOOKUP($A328,'SegEnds_NonXtal_Prot#'!$A:$AL,30,FALSE)</f>
        <v>242</v>
      </c>
      <c r="AB328" s="5">
        <f>VLOOKUP($A328,'SegEnds_NonXtal_Prot#'!$A:$AL,33,FALSE)</f>
        <v>281</v>
      </c>
      <c r="AC328" s="5">
        <f>VLOOKUP($A328,'SegEnds_NonXtal_Prot#'!$A:$AL,36,FALSE)</f>
        <v>314</v>
      </c>
      <c r="AD328" s="5">
        <f>VLOOKUP($A328,'SegEnds_NonXtal_Prot#'!$A:$AL,5,FALSE)</f>
        <v>69</v>
      </c>
      <c r="AE328" s="5">
        <f>VLOOKUP($A328,'SegEnds_NonXtal_Prot#'!$A:$AL,8,FALSE)</f>
        <v>73</v>
      </c>
      <c r="AF328" s="5">
        <f>VLOOKUP($A328,'SegEnds_NonXtal_Prot#'!$A:$AL,11,FALSE)</f>
        <v>104</v>
      </c>
      <c r="AG328" s="5">
        <f>VLOOKUP($A328,'SegEnds_NonXtal_Prot#'!$A:$AL,14,FALSE)</f>
        <v>108</v>
      </c>
      <c r="AH328" s="5">
        <f>VLOOKUP($A328,'SegEnds_NonXtal_Prot#'!$A:$AL,17,FALSE)</f>
        <v>144</v>
      </c>
      <c r="AI328" s="5" t="str">
        <f>VLOOKUP($A328,'SegEnds_NonXtal_Prot#'!$A:$AL,20,FALSE)</f>
        <v>-</v>
      </c>
      <c r="AJ328" s="5">
        <f>VLOOKUP($A328,'SegEnds_NonXtal_Prot#'!$A:$AL,23,FALSE)</f>
        <v>180</v>
      </c>
      <c r="AK328" s="5">
        <f>VLOOKUP($A328,'SegEnds_NonXtal_Prot#'!$A:$AL,26,FALSE)</f>
        <v>193</v>
      </c>
      <c r="AL328" s="5">
        <f>VLOOKUP($A328,'SegEnds_NonXtal_Prot#'!$A:$AL,29,FALSE)</f>
        <v>237</v>
      </c>
      <c r="AM328" s="5">
        <f>VLOOKUP($A328,'SegEnds_NonXtal_Prot#'!$A:$AL,32,FALSE)</f>
        <v>277</v>
      </c>
      <c r="AN328" s="5">
        <f>VLOOKUP($A328,'SegEnds_NonXtal_Prot#'!$A:$AL,35,FALSE)</f>
        <v>313</v>
      </c>
      <c r="AO328" s="5">
        <f>VLOOKUP($A328,'SegEnds_NonXtal_Prot#'!$A:$AL,38,FALSE)</f>
        <v>334</v>
      </c>
      <c r="AP328" s="5">
        <f t="shared" si="138"/>
        <v>33</v>
      </c>
      <c r="AQ328" s="4">
        <f t="shared" si="139"/>
        <v>3</v>
      </c>
      <c r="AR328" s="4">
        <f t="shared" si="140"/>
        <v>30</v>
      </c>
      <c r="AS328" s="4">
        <f t="shared" si="141"/>
        <v>3</v>
      </c>
      <c r="AT328" s="4">
        <f t="shared" si="142"/>
        <v>35</v>
      </c>
      <c r="AU328" s="4" t="str">
        <f t="shared" si="143"/>
        <v>-</v>
      </c>
      <c r="AV328" s="4">
        <f t="shared" si="144"/>
        <v>26</v>
      </c>
      <c r="AW328" s="4">
        <f t="shared" si="145"/>
        <v>2</v>
      </c>
      <c r="AX328" s="4">
        <f t="shared" si="146"/>
        <v>35</v>
      </c>
      <c r="AY328" s="4">
        <f t="shared" si="147"/>
        <v>35</v>
      </c>
      <c r="AZ328" s="4">
        <f t="shared" si="148"/>
        <v>32</v>
      </c>
      <c r="BA328" s="4">
        <f t="shared" si="149"/>
        <v>20</v>
      </c>
    </row>
    <row r="329" spans="1:53" x14ac:dyDescent="0.2">
      <c r="A329" s="1" t="str">
        <f>'SegEnds_NonXtal_Prot#'!A321</f>
        <v>cd97_human</v>
      </c>
      <c r="B329" s="1" t="str">
        <f t="shared" si="125"/>
        <v>ILMAHYDVEDWKLTLITRVGLALSLFCLLLCILTFLLVGSRTTIHLHLCICLFVGSTIFLAGIENLRCRLVAGLLHYCFLAAFCWMSLEGLELYFLVVRQGLSTRWLCLIGYGVPLLIVGVSAAIYSKGYEQGFLWSFLGPVTFIILCNAVIFVTTVWKLTQKFKARALTITAIAQLFLLGCTWVFGLFIFDDRSLVLTYVFTILNCLQGAFLYLLHCLLNKKVREEYRKWACLVAG</v>
      </c>
      <c r="C329" s="29" t="str">
        <f>IF(ISERROR(MATCH(A329,'SegEnds_Xtal_Prot#'!B:B, 0)), "NoXtal", "Xtal")</f>
        <v>NoXtal</v>
      </c>
      <c r="D329" s="4" t="str">
        <f>VLOOKUP(A329,Classification!A:D,2,FALSE)</f>
        <v>B2</v>
      </c>
      <c r="E329" s="5" t="str">
        <f>VLOOKUP(A329,Seqs!A:B,2,FALSE)</f>
        <v>MGGRVFLAFCVWLTLPGAETQDSRGCARWCPQNSSCVNATACRCNPGFSSFSEIITTPTETCDDINECATPSKVSCGKFSDCWNTEGSYDCVCSPGYEPVSGAKTFKNESENTCQDVDECQQNPRLCKSYGTCVNTLGSYTCQCLPGFKFIPEDPKVCTDVNECTSGQNPCHSSTHCLNNVGSYQCRCRPGWQPIPGSPNGPNNTVCEDVDECSSGQHQCDSSTVCFNTVGSYSCRCRPGWKPRHGIPNNQKDTVCEDMTFSTWTPPPGVHSQTLSRFFDKVQDLGRDSKTSSAEVTIQNVIKLVDELMEAPGDVEALAPPVRHLIATQLLSNLEDIMRILAKSLPKGPFTYISPSNTELTLMIQERGDKNVTMGQSSARMKLNWAVAAGAEDPGPAVAGILSIQNMTTLLANASLNLHSKKQAELEEIYESSIRGVQLRRLSAVNSIFLSHNNTKELNSPILFAFSHLESSDGEAGRDPPAKDVMPGPRQELLCAFWKSDSDRGGHWATEGCQVLGSKNGSTTCQCSHLSSFAILMAHYDVEDWKLTLITRVGLALSLFCLLLCILTFLLVRPIQGSRTTIHLHLCICLFVGSTIFLAGIENEGGQVGLRCRLVAGLLHYCFLAAFCWMSLEGLELYFLVVRVFQGQGLSTRWLCLIGYGVPLLIVGVSAAIYSKGYGRPRYCWLDFEQGFLWSFLGPVTFIILCNAVIFVTTVWKLTQKFSEINPDMKKLKKARALTITAIAQLFLLGCTWVFGLFIFDDRSLVLTYVFTILNCLQGAFLYLLHCLLNKKVREEYRKWACLVAGGSKYSEFTSTTSGTGHNQTRALRASESGI</v>
      </c>
      <c r="F329" s="5" t="str">
        <f t="shared" si="126"/>
        <v>ILMAHYDVEDWKLTLITRVGLALSLFCLLLCILTFLLV</v>
      </c>
      <c r="G329" s="4" t="str">
        <f t="shared" si="127"/>
        <v/>
      </c>
      <c r="H329" s="4" t="str">
        <f t="shared" si="128"/>
        <v>GSRTTIHLHLCICLFVGSTIFLAGIEN</v>
      </c>
      <c r="I329" s="4" t="str">
        <f t="shared" si="129"/>
        <v/>
      </c>
      <c r="J329" s="4" t="str">
        <f t="shared" si="130"/>
        <v>LRCRLVAGLLHYCFLAAFCWMSLEGLELYFLVVR</v>
      </c>
      <c r="K329" s="4" t="str">
        <f t="shared" si="131"/>
        <v/>
      </c>
      <c r="L329" s="4" t="str">
        <f t="shared" si="132"/>
        <v>QGLSTRWLCLIGYGVPLLIVGVSAAIYSKGY</v>
      </c>
      <c r="M329" s="4" t="str">
        <f t="shared" si="133"/>
        <v>CWL</v>
      </c>
      <c r="N329" s="4" t="str">
        <f t="shared" si="134"/>
        <v>EQGFLWSFLGPVTFIILCNAVIFVTTVWKLTQKF</v>
      </c>
      <c r="O329" s="4" t="str">
        <f t="shared" si="135"/>
        <v>KARALTITAIAQLFLLGCTWVFGLFIFDDR</v>
      </c>
      <c r="P329" s="4" t="str">
        <f t="shared" si="136"/>
        <v>SLVLTYVFTILNCLQGAFLYLLHCLL</v>
      </c>
      <c r="Q329" s="4" t="str">
        <f t="shared" si="137"/>
        <v>NKKVREEYRKWACLVAG</v>
      </c>
      <c r="R329" s="5">
        <f>VLOOKUP($A329,'SegEnds_NonXtal_Prot#'!$A:$AL,3,FALSE)</f>
        <v>535</v>
      </c>
      <c r="S329" s="5" t="str">
        <f>VLOOKUP($A329,'SegEnds_NonXtal_Prot#'!$A:$AL,6,FALSE)</f>
        <v>-</v>
      </c>
      <c r="T329" s="5">
        <f>VLOOKUP($A329,'SegEnds_NonXtal_Prot#'!$A:$AL,9,FALSE)</f>
        <v>577</v>
      </c>
      <c r="U329" s="5" t="str">
        <f>VLOOKUP($A329,'SegEnds_NonXtal_Prot#'!$A:$AL,12,FALSE)</f>
        <v>-</v>
      </c>
      <c r="V329" s="5">
        <f>VLOOKUP($A329,'SegEnds_NonXtal_Prot#'!$A:$AL,15,FALSE)</f>
        <v>610</v>
      </c>
      <c r="W329" s="5" t="str">
        <f>VLOOKUP($A329,'SegEnds_NonXtal_Prot#'!$A:$AL,18,FALSE)</f>
        <v>-</v>
      </c>
      <c r="X329" s="5">
        <f>VLOOKUP($A329,'SegEnds_NonXtal_Prot#'!$A:$AL,21,FALSE)</f>
        <v>648</v>
      </c>
      <c r="Y329" s="5">
        <f>VLOOKUP($A329,'SegEnds_NonXtal_Prot#'!$A:$AL,24,FALSE)</f>
        <v>684</v>
      </c>
      <c r="Z329" s="5">
        <f>VLOOKUP($A329,'SegEnds_NonXtal_Prot#'!$A:$AL,27,FALSE)</f>
        <v>689</v>
      </c>
      <c r="AA329" s="5">
        <f>VLOOKUP($A329,'SegEnds_NonXtal_Prot#'!$A:$AL,30,FALSE)</f>
        <v>734</v>
      </c>
      <c r="AB329" s="5">
        <f>VLOOKUP($A329,'SegEnds_NonXtal_Prot#'!$A:$AL,33,FALSE)</f>
        <v>764</v>
      </c>
      <c r="AC329" s="5">
        <f>VLOOKUP($A329,'SegEnds_NonXtal_Prot#'!$A:$AL,36,FALSE)</f>
        <v>790</v>
      </c>
      <c r="AD329" s="5">
        <f>VLOOKUP($A329,'SegEnds_NonXtal_Prot#'!$A:$AL,5,FALSE)</f>
        <v>572</v>
      </c>
      <c r="AE329" s="5" t="str">
        <f>VLOOKUP($A329,'SegEnds_NonXtal_Prot#'!$A:$AL,8,FALSE)</f>
        <v>-</v>
      </c>
      <c r="AF329" s="5">
        <f>VLOOKUP($A329,'SegEnds_NonXtal_Prot#'!$A:$AL,11,FALSE)</f>
        <v>603</v>
      </c>
      <c r="AG329" s="5" t="str">
        <f>VLOOKUP($A329,'SegEnds_NonXtal_Prot#'!$A:$AL,14,FALSE)</f>
        <v>-</v>
      </c>
      <c r="AH329" s="5">
        <f>VLOOKUP($A329,'SegEnds_NonXtal_Prot#'!$A:$AL,17,FALSE)</f>
        <v>643</v>
      </c>
      <c r="AI329" s="5" t="str">
        <f>VLOOKUP($A329,'SegEnds_NonXtal_Prot#'!$A:$AL,20,FALSE)</f>
        <v>-</v>
      </c>
      <c r="AJ329" s="5">
        <f>VLOOKUP($A329,'SegEnds_NonXtal_Prot#'!$A:$AL,23,FALSE)</f>
        <v>678</v>
      </c>
      <c r="AK329" s="5">
        <f>VLOOKUP($A329,'SegEnds_NonXtal_Prot#'!$A:$AL,26,FALSE)</f>
        <v>686</v>
      </c>
      <c r="AL329" s="5">
        <f>VLOOKUP($A329,'SegEnds_NonXtal_Prot#'!$A:$AL,29,FALSE)</f>
        <v>722</v>
      </c>
      <c r="AM329" s="5">
        <f>VLOOKUP($A329,'SegEnds_NonXtal_Prot#'!$A:$AL,32,FALSE)</f>
        <v>763</v>
      </c>
      <c r="AN329" s="5">
        <f>VLOOKUP($A329,'SegEnds_NonXtal_Prot#'!$A:$AL,35,FALSE)</f>
        <v>789</v>
      </c>
      <c r="AO329" s="5">
        <f>VLOOKUP($A329,'SegEnds_NonXtal_Prot#'!$A:$AL,38,FALSE)</f>
        <v>806</v>
      </c>
      <c r="AP329" s="5">
        <f t="shared" si="138"/>
        <v>37</v>
      </c>
      <c r="AQ329" s="4" t="str">
        <f t="shared" si="139"/>
        <v>-</v>
      </c>
      <c r="AR329" s="4">
        <f t="shared" si="140"/>
        <v>26</v>
      </c>
      <c r="AS329" s="4" t="str">
        <f t="shared" si="141"/>
        <v>-</v>
      </c>
      <c r="AT329" s="4">
        <f t="shared" si="142"/>
        <v>33</v>
      </c>
      <c r="AU329" s="4" t="str">
        <f t="shared" si="143"/>
        <v>-</v>
      </c>
      <c r="AV329" s="4">
        <f t="shared" si="144"/>
        <v>30</v>
      </c>
      <c r="AW329" s="4">
        <f t="shared" si="145"/>
        <v>2</v>
      </c>
      <c r="AX329" s="4">
        <f t="shared" si="146"/>
        <v>33</v>
      </c>
      <c r="AY329" s="4">
        <f t="shared" si="147"/>
        <v>29</v>
      </c>
      <c r="AZ329" s="4">
        <f t="shared" si="148"/>
        <v>25</v>
      </c>
      <c r="BA329" s="4">
        <f t="shared" si="149"/>
        <v>16</v>
      </c>
    </row>
    <row r="330" spans="1:53" x14ac:dyDescent="0.2">
      <c r="A330" s="1" t="str">
        <f>'SegEnds_NonXtal_Prot#'!A322</f>
        <v>celr1_human</v>
      </c>
      <c r="B330" s="1" t="str">
        <f t="shared" si="125"/>
        <v>DISRRENGEVLPLKIVTYAAVSLSLAALLVAFVLLSLVSNLHSIHKHLAVALFLSQLVFVIGINQFLCTVVAILLHYIYMSTFAWTLVESLHVYRMLTEPMRFYYVVGWGIPAIVTGLAVGLDPQGYQDTLIWSFAGPIGAVIIINTVTSVLSAKVSCQRKGIVSLLRTAFLLLLLISATWLLGLLALSFHYLFAIFSGLQGPFVLLFHCVLNQEVRKHLKGVLGGRKL</v>
      </c>
      <c r="C330" s="29" t="str">
        <f>IF(ISERROR(MATCH(A330,'SegEnds_Xtal_Prot#'!B:B, 0)), "NoXtal", "Xtal")</f>
        <v>NoXtal</v>
      </c>
      <c r="D330" s="4" t="str">
        <f>VLOOKUP(A330,Classification!A:D,2,FALSE)</f>
        <v>B2</v>
      </c>
      <c r="E330" s="5" t="str">
        <f>VLOOKUP(A330,Seqs!A:B,2,FALSE)</f>
        <v>MAPPPPPVLPVLLLLAAAAALPAMGLRAAAWEPRVPGGTRAFALRPGCTYAVGAACTPRAPRELLDVGRDGRLAGRRRVSGAGRPLPLQVRLVARSAPTALSRRLRARTHLPGCGARARLCGTGARLCGALCFPVPGGCAAAQHSALAAPTTLPACRCPPRPRPRCPGRPICLPPGGSVRLRLLCALRRAAGAVRVGLALEAATAGTPSASPSPSPPLPPNLPEARAGPARRARRGTSGRGSLKFPMPNYQVALFENEPAGTLILQLHAHYTIEGEEERVSYYMEGLFDERSRGYFRIDSATGAVSTDSVLDRETKETHVLRVKAVDYSTPPRSATTYITVLVKDTNDHSPVFEQSEYRERVRENLEVGYEVLTIRASDRDSPINANLRYRVLGGAWDVFQLNESSGVVSTRAVLDREEAAEYQLLVEANDQGRNPGPLSATATVYIEVEDENDNYPQFSEQNYVVQVPEDVGLNTAVLRVQATDRDQGQNAAIHYSILSGNVAGQFYLHSLSGILDVINPLDFEDVQKYSLSIKAQDGGRPPLINSSGVVSVQVLDVNDNEPIFVSSPFQATVLENVPLGYPVVHIQAVDADSGENARLHYRLVDTASTFLGGGSAGPKNPAPTPDFPFQIHNSSGWITVCAELDREEVEHYSFGVEAVDHGSPPMSSSTSVSITVLDVNDNDPVFTQPTYELRLNEDAAVGSSVLTLQARDRDANSVITYQLTGGNTRNRFALSSQRGGGLITLALPLDYKQEQQYVLAVTASDGTRSHTAHVLINVTDANTHRPVFQSSHYTVSVSEDRPVGTSIATLSANDEDTGENARITYVIQDPVPQFRIDPDSGTMYTMMELDYENQVAYTLTIMAQDNGIPQKSDTTTLEILILDANDNAPQFLWDFYQGSIFEDAPPSTSILQVSATDRDSGPNGRLLYTFQGGDDGDGDFYIEPTSGVIRTQRRLDRENVAVYNLWALAVDRGSPTPLSASVEIQVTILDINDNAPMFEKDELELFVEENNPVGSVVAKIRANDPDEGPNAQIMYQIVEGDMRHFFQLDLLNGDLRAMVELDFEVRREYVLVVQATSAPLVSRATVHILLVDQNDNPPVLPDFQILFNNYVTNKSNSFPTGVIGCIPAHDPDVSDSLNYTFVQGNELRLLLLDPATGELQLSRDLDNNRPLEALMEVSVSDGIHSVTAFCTLRVTIITDDMLTNSITVRLENMSQEKFLSPLLALFVEGVAAVLSTTKDDVFVFNVQNDTDVSSNILNVTFSALLPGGVRGQFFPSEDLQEQIYLNRTLLTTISTQRVLPFDDNICLREPCENYMKCVSVLRFDSSAPFLSSTTVLFRPIHPINGLRCRCPPGFTGDYCETEIDLCYSDPCGANGRCRSREGGYTCECFEDFTGEHCEVDARSGRCANGVCKNGGTCVNLLIGGFHCVCPPGEYERPYCEVTTRSFPPQSFVTFRGLRQRFHFTISLTFATQERNGLLLYNGRFNEKHDFIALEIVDEQVQLTFSAGETTTTVAPKVPSGVSDGRWHSVQVQYYNKPNIGHLGLPHGPSGEKMAVVTVDDCDTTMAVRFGKDIGNYSCAAQGTQTGSKKSLDLTGPLLLGGVPNLPEDFPVHNRQFVGCMRNLSVDGKNVDMAGFIANNGTREGCAARRNFCDGRRCQNGGTCVNRWNMYLCECPLRFGGKNCEQAMPHPQLFSGESVVSWSDLNIIISVPWYLGLMFRTRKEDSVLMEATSGGPTSFRLQILNNYLQFEVSHGPSDVESVMLSGLRVTDGEWHHLLIELKNVKEDSEMKHLVTMTLDYGMDQNKADIGGMLPGLTVRSVVVGGASEDKVSVRRGFRGCMQGVRMGGTPTNVATLNMNNALKVRVKDGCDVDDPCTSSPCPPNSRCHDAWEDYSCVCDKGYLGINCVDACHLNPCENMGACVRSPGSPQGYVCECGPSHYGPYCENKLDLPCPRGWWGNPVCGPCHCAVSKGFDPDCNKTNGQCQCKENYYKLLAQDTCLPCDCFPHGSHSRTCDMATGQCACKPGVIGRQCNRCDNPFAEVTTLGCEVIYNGCPKAFEAGIWWPQTKFGQPAAVPCPKGSVGNAVRHCSGEKGWLPPELFNCTTISFVDLRAMNEKLSRNETQVDGARALQLVRALRSATQHTGTLFGNDVRTAYQLLGHVLQHESWQQGFDLAATQDADFHEDVIHSGSALLAPATRAAWEQIQRSEGGTAQLLRRLEGYFSNVARNVRRTYLRPFVIVTANMILAVDIFDKFNFTGARVPRFDTIHEEFPRELESSVSFPADFFRPPEEKEGPLLRPAGRRTTPQTTRPGPGTEREAPISRRRRHPDDAGQFAVALVIIYRTLGQLLPERYDPDRRSLRLPHRPIINTPMVSTLVYSEGAPLPRPLERPVLVEFALLEVEERTKPVCVFWNHSLAVGGTGGWSARGCELLSRNRTHVACQCSHTASFAVLMDISRRENGEVLPLKIVTYAAVSLSLAALLVAFVLLSLVRMLRSNLHSIHKHLAVALFLSQLVFVIGINQTENPFLCTVVAILLHYIYMSTFAWTLVESLHVYRMLTEVRNIDTGPMRFYYVVGWGIPAIVTGLAVGLDPQGYGNPDFCWLSLQDTLIWSFAGPIGAVIIINTVTSVLSAKVSCQRKHHYYGKKGIVSLLRTAFLLLLLISATWLLGLLAVNRDALSFHYLFAIFSGLQGPFVLLFHCVLNQEVRKHLKGVLGGRKLHLEDSATTRATLLTRSLNCNTTFGDGPDMLRTDLGESTASLDSIVRDEGIQKLGVSSGLVRGSHGEPDASLMPRSCKDPPGHDSDSDSELSLDEQSSSYASSHSSDSEDDGVGAEEKWDPARGAVHSTPKGDAVANHVPAGWPDQSLAESDSEDPSGKPRLKVETKVSVELHREEQGSHRGEYPPDQESGGAARLASSQPPEQRKGILKNKVTYPPPLTLTEQTLKGRLREKLADCEQSPTSSRTSSLGSGGPDCAITVKSPGREPGRDHLNGVAMNVRTGSAQADGSDSEKP</v>
      </c>
      <c r="F330" s="5" t="str">
        <f t="shared" si="126"/>
        <v>DISRRENGEVLPLKIVTYAAVSLSLAALLVAFVLLSLV</v>
      </c>
      <c r="G330" s="4" t="str">
        <f t="shared" si="127"/>
        <v>RMLR</v>
      </c>
      <c r="H330" s="4" t="str">
        <f t="shared" si="128"/>
        <v>SNLHSIHKHLAVALFLSQLVFVIGINQ</v>
      </c>
      <c r="I330" s="4" t="str">
        <f t="shared" si="129"/>
        <v/>
      </c>
      <c r="J330" s="4" t="str">
        <f t="shared" si="130"/>
        <v>FLCTVVAILLHYIYMSTFAWTLVESLHVYRMLTE</v>
      </c>
      <c r="K330" s="4" t="str">
        <f t="shared" si="131"/>
        <v/>
      </c>
      <c r="L330" s="4" t="str">
        <f t="shared" si="132"/>
        <v>PMRFYYVVGWGIPAIVTGLAVGLDPQGY</v>
      </c>
      <c r="M330" s="4" t="str">
        <f t="shared" si="133"/>
        <v>CWL</v>
      </c>
      <c r="N330" s="4" t="str">
        <f t="shared" si="134"/>
        <v>QDTLIWSFAGPIGAVIIINTVTSVLSAKVSCQRK</v>
      </c>
      <c r="O330" s="4" t="str">
        <f t="shared" si="135"/>
        <v>GIVSLLRTAFLLLLLISATWLLGLL</v>
      </c>
      <c r="P330" s="4" t="str">
        <f t="shared" si="136"/>
        <v>ALSFHYLFAIFSGLQGPFVLLFHCVL</v>
      </c>
      <c r="Q330" s="4" t="str">
        <f t="shared" si="137"/>
        <v>NQEVRKHLKGVLGGRKL</v>
      </c>
      <c r="R330" s="5">
        <f>VLOOKUP($A330,'SegEnds_NonXtal_Prot#'!$A:$AL,3,FALSE)</f>
        <v>2456</v>
      </c>
      <c r="S330" s="5">
        <f>VLOOKUP($A330,'SegEnds_NonXtal_Prot#'!$A:$AL,6,FALSE)</f>
        <v>2494</v>
      </c>
      <c r="T330" s="5">
        <f>VLOOKUP($A330,'SegEnds_NonXtal_Prot#'!$A:$AL,9,FALSE)</f>
        <v>2498</v>
      </c>
      <c r="U330" s="5" t="str">
        <f>VLOOKUP($A330,'SegEnds_NonXtal_Prot#'!$A:$AL,12,FALSE)</f>
        <v>-</v>
      </c>
      <c r="V330" s="5">
        <f>VLOOKUP($A330,'SegEnds_NonXtal_Prot#'!$A:$AL,15,FALSE)</f>
        <v>2529</v>
      </c>
      <c r="W330" s="5" t="str">
        <f>VLOOKUP($A330,'SegEnds_NonXtal_Prot#'!$A:$AL,18,FALSE)</f>
        <v>-</v>
      </c>
      <c r="X330" s="5">
        <f>VLOOKUP($A330,'SegEnds_NonXtal_Prot#'!$A:$AL,21,FALSE)</f>
        <v>2570</v>
      </c>
      <c r="Y330" s="5">
        <f>VLOOKUP($A330,'SegEnds_NonXtal_Prot#'!$A:$AL,24,FALSE)</f>
        <v>2603</v>
      </c>
      <c r="Z330" s="5">
        <f>VLOOKUP($A330,'SegEnds_NonXtal_Prot#'!$A:$AL,27,FALSE)</f>
        <v>2608</v>
      </c>
      <c r="AA330" s="5">
        <f>VLOOKUP($A330,'SegEnds_NonXtal_Prot#'!$A:$AL,30,FALSE)</f>
        <v>2649</v>
      </c>
      <c r="AB330" s="5">
        <f>VLOOKUP($A330,'SegEnds_NonXtal_Prot#'!$A:$AL,33,FALSE)</f>
        <v>2679</v>
      </c>
      <c r="AC330" s="5">
        <f>VLOOKUP($A330,'SegEnds_NonXtal_Prot#'!$A:$AL,36,FALSE)</f>
        <v>2705</v>
      </c>
      <c r="AD330" s="5">
        <f>VLOOKUP($A330,'SegEnds_NonXtal_Prot#'!$A:$AL,5,FALSE)</f>
        <v>2493</v>
      </c>
      <c r="AE330" s="5">
        <f>VLOOKUP($A330,'SegEnds_NonXtal_Prot#'!$A:$AL,8,FALSE)</f>
        <v>2497</v>
      </c>
      <c r="AF330" s="5">
        <f>VLOOKUP($A330,'SegEnds_NonXtal_Prot#'!$A:$AL,11,FALSE)</f>
        <v>2524</v>
      </c>
      <c r="AG330" s="5" t="str">
        <f>VLOOKUP($A330,'SegEnds_NonXtal_Prot#'!$A:$AL,14,FALSE)</f>
        <v>-</v>
      </c>
      <c r="AH330" s="5">
        <f>VLOOKUP($A330,'SegEnds_NonXtal_Prot#'!$A:$AL,17,FALSE)</f>
        <v>2562</v>
      </c>
      <c r="AI330" s="5" t="str">
        <f>VLOOKUP($A330,'SegEnds_NonXtal_Prot#'!$A:$AL,20,FALSE)</f>
        <v>-</v>
      </c>
      <c r="AJ330" s="5">
        <f>VLOOKUP($A330,'SegEnds_NonXtal_Prot#'!$A:$AL,23,FALSE)</f>
        <v>2597</v>
      </c>
      <c r="AK330" s="5">
        <f>VLOOKUP($A330,'SegEnds_NonXtal_Prot#'!$A:$AL,26,FALSE)</f>
        <v>2605</v>
      </c>
      <c r="AL330" s="5">
        <f>VLOOKUP($A330,'SegEnds_NonXtal_Prot#'!$A:$AL,29,FALSE)</f>
        <v>2641</v>
      </c>
      <c r="AM330" s="5">
        <f>VLOOKUP($A330,'SegEnds_NonXtal_Prot#'!$A:$AL,32,FALSE)</f>
        <v>2673</v>
      </c>
      <c r="AN330" s="5">
        <f>VLOOKUP($A330,'SegEnds_NonXtal_Prot#'!$A:$AL,35,FALSE)</f>
        <v>2704</v>
      </c>
      <c r="AO330" s="5">
        <f>VLOOKUP($A330,'SegEnds_NonXtal_Prot#'!$A:$AL,38,FALSE)</f>
        <v>2721</v>
      </c>
      <c r="AP330" s="5">
        <f t="shared" si="138"/>
        <v>37</v>
      </c>
      <c r="AQ330" s="4">
        <f t="shared" si="139"/>
        <v>3</v>
      </c>
      <c r="AR330" s="4">
        <f t="shared" si="140"/>
        <v>26</v>
      </c>
      <c r="AS330" s="4" t="str">
        <f t="shared" si="141"/>
        <v>-</v>
      </c>
      <c r="AT330" s="4">
        <f t="shared" si="142"/>
        <v>33</v>
      </c>
      <c r="AU330" s="4" t="str">
        <f t="shared" si="143"/>
        <v>-</v>
      </c>
      <c r="AV330" s="4">
        <f t="shared" si="144"/>
        <v>27</v>
      </c>
      <c r="AW330" s="4">
        <f t="shared" si="145"/>
        <v>2</v>
      </c>
      <c r="AX330" s="4">
        <f t="shared" si="146"/>
        <v>33</v>
      </c>
      <c r="AY330" s="4">
        <f t="shared" si="147"/>
        <v>24</v>
      </c>
      <c r="AZ330" s="4">
        <f t="shared" si="148"/>
        <v>25</v>
      </c>
      <c r="BA330" s="4">
        <f t="shared" si="149"/>
        <v>16</v>
      </c>
    </row>
    <row r="331" spans="1:53" x14ac:dyDescent="0.2">
      <c r="A331" s="1" t="str">
        <f>'SegEnds_NonXtal_Prot#'!A323</f>
        <v>celr2_human</v>
      </c>
      <c r="B331" s="1" t="str">
        <f t="shared" si="125"/>
        <v>DVSRRENGEILPLKTLTYVALGVTLAALLLTFFFLTLLSNQHGIRRNLTAALGLAQLVFLLGINQFACTVIAILLHFLYLCTFSWALLEALHLYRALTEPMRFYYMLGWGVPAFITGLAVGLDPEGYYDTLIWSFAGPVAFAVSMSVFLYILAARASCAAQGPVSGLQPSFAVLLLLSATWLLALLTLLFHYLFATCNCIQGPFIFLSYVVLSKEVRKALKLACSRKPS</v>
      </c>
      <c r="C331" s="29" t="str">
        <f>IF(ISERROR(MATCH(A331,'SegEnds_Xtal_Prot#'!B:B, 0)), "NoXtal", "Xtal")</f>
        <v>NoXtal</v>
      </c>
      <c r="D331" s="4" t="str">
        <f>VLOOKUP(A331,Classification!A:D,2,FALSE)</f>
        <v>B2</v>
      </c>
      <c r="E331" s="5" t="str">
        <f>VLOOKUP(A331,Seqs!A:B,2,FALSE)</f>
        <v>MRSPATGVPLPTPPPPLLLLLLLLLPPPLLGDQVGPCRSLGSRGRGSSGACAPMGWLCPSSASNLWLYTSRCRDAGTELTGHLVPHHDGLRVWCPESEAHIPLPPAPEGCPWSCRLLGIGGHLSPQGKLTLPEEHPCLKAPRLRCQSCKLAQAPGLRAGERSPEESLGGRRKRNVNTAPQFQPPSYQATVPENQPAGTPVASLRAIDPDEGEAGRLEYTMDALFDSRSNQFFSLDPVTGAVTTAEELDRETKSTHVFRVTAQDHGMPRRSALATLTILVTDTNDHDPVFEQQEYKESLRENLEVGYEVLTVRATDGDAPPNANILYRLLEGSGGSPSEVFEIDPRSGVIRTRGPVDREEVESYQLTVEASDQGRDPGPRSTTAAVFLSVEDDNDNAPQFSEKRYVVQVREDVTPGAPVLRVTASDRDKGSNAVVHYSIMSGNARGQFYLDAQTGALDVVSPLDYETTKEYTLRVRAQDGGRPPLSNVSGLVTVQVLDINDNAPIFVSTPFQATVLESVPLGYLVLHVQAIDADAGDNARLEYRLAGVGHDFPFTINNGTGWISVAAELDREEVDFYSFGVEARDHGTPALTASASVSVTV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GNFEILFNNYVTNRSSSFPGGAIGRVPAHDPDISDSLTYSFERGNELSLVLLNASTGELKLSRALDNNRPLEAIMSVLVSDGVHSVTAQCALRVTIITDEMLTHSITLRLEDMSPERFLSPLLGLFIQAVAATLATPPDHVVVFNVQRDTDAPGGHILNVSLSVGQPPGPGGGPPFLPSEDLQERLYLNRSLLTAISAQRVLPFDDNICLREPCENYMRCVSVLRFDSSAPFIASSSVLFRPIHPVGGLRCRCPPGFTGDYCETEVDLCYSRPCGPHGRCRSREGGYTCLCRDGYTGEHCEVSARSGRCTPGVCKNGGTCVNLLVGGFKCDCPSGDFEKPYCQVTTRSFPAHSFITFRGLRQRFHFTLALSFATKERDGLLLYNGRFNEKHDFVALEVIQEQVQLTFSAGESTTTVSPFVPGGVSDGQWHTVQLKYYNKPLLGQTGLPQGPSEQKVAVVTVDGCDTGVALRFGSVLGNYSCAAQGTQGGSKKSLDLTGPLLLGGVPDLPESFPVRMRQFVGCMRNLQVDSRHIDMADFIANNGTVPGCPAKKNVCDSNTCHNGGTCVNQWDAFSCECPLGFGGKSCAQEMANPQHFLGSSLVAWHGLSLPISQPWYLSLMFRTRQADGVLLQAITRGRSTITLQLREGHVMLSVEGTGLQASSLRLEPGRANDGDWHHAQLALGASGGPGHAILSFDYGQQRAEGNLGPRLHGLHLSNITVGGIPGPAGGVARGFRGCLQGVRVSDTPEGVNSLDPSHGESINVEQGCSLPDPCDSNPCPANSYCSNDWDSYSCSCDPGYYGDNCTNVCDLNPCEHQSVCTRKPSAPHGYTCECPPNYLGPYCETRIDQPCPRGWWGHPTCGPCNCDVSKGFDPDCNKTSGECHCKENHYRPPGSPTCLLCDCYPTGSLSRVCDPEDGQCPCKPGVIGRQCDRCDNPFAEVTTNGCEVNYDSCPRAIEAGIWWPRTRFGLPAAAPCPKGSFGTAVRHCDEHRGWLPPNLFNCTSITFSELKGFAERLQRNESGLDSGRSQQLALLLRNATQHTAGYFGSDVKVAYQLATRLLAHESTQRGFGLSATQDVHFTENLLRVGSALLDTANKRHWELIQQTEGGTAWLLQHYEAYASALAQNMRHTYLSPFTIVTPNIVISVVRLDKGNFAGAKLPRYEALRGEQPPDLETTVILPESVFRETPPVVRPAGPGEAQEPEELARRQRRHPELSQGEAVASVIIYRTLAGLLPHNYDPDKRSLRVPKRPIINTPVVSISVHDDEELLPRALDKPVTVQFRLLETEERTKPICVFWNHSILVSGTGGWSARGCEVVFRNESHVSCQCNHMTSFAVLMDVSRRENGEILPLKTLTYVALGVTLAALLLTFFFLTLLRILRSNQHGIRRNLTAALGLAQLVFLLGINQADLPFACTVIAILLHFLYLCTFSWALLEALHLYRALTEVRDVNTGPMRFYYMLGWGVPAFITGLAVGLDPEGYGNPDFCWLSIYDTLIWSFAGPVAFAVSMSVFLYILAARASCAAQRQGFEKKGPVSGLQPSFAVLLLLSATWLLALLSVNSDTLLFHYLFATCNCIQGPFIFLSYVVLSKEVRKALKLACSRKPSPDPALTTKSTLTSSYNCPSPYADGRLYQPYGDSAGSLHSTSRSGKSQPSYIPFLLREESALNPGQGPPGLGDPGSLFLEGQDQQHDPDTDSDSDLSLEDDQSGSYASTHSSDSEEEEEEEEEEAAFPGEQGWDSLLGPGAERLPLHSTPKDGGPGPGKAPWPGDFGTTAKESSGNGAPEERLRENGDALSREGSLGPLPGSSAQPHKGILKKKCLPTISEKSSLLRLPLEQCTGSSRGSSASEGSRGGPPPRPPPRQSLQEQLNGVMPIAMSIKAGTVDEDSSGSEFLFFNFLH</v>
      </c>
      <c r="F331" s="5" t="str">
        <f t="shared" si="126"/>
        <v>DVSRRENGEILPLKTLTYVALGVTLAALLLTFFFLTLL</v>
      </c>
      <c r="G331" s="4" t="str">
        <f t="shared" si="127"/>
        <v>RILR</v>
      </c>
      <c r="H331" s="4" t="str">
        <f t="shared" si="128"/>
        <v>SNQHGIRRNLTAALGLAQLVFLLGINQ</v>
      </c>
      <c r="I331" s="4" t="str">
        <f t="shared" si="129"/>
        <v/>
      </c>
      <c r="J331" s="4" t="str">
        <f t="shared" si="130"/>
        <v>FACTVIAILLHFLYLCTFSWALLEALHLYRALTE</v>
      </c>
      <c r="K331" s="4" t="str">
        <f t="shared" si="131"/>
        <v/>
      </c>
      <c r="L331" s="4" t="str">
        <f t="shared" si="132"/>
        <v>PMRFYYMLGWGVPAFITGLAVGLDPEGY</v>
      </c>
      <c r="M331" s="4" t="str">
        <f t="shared" si="133"/>
        <v>CWL</v>
      </c>
      <c r="N331" s="4" t="str">
        <f t="shared" si="134"/>
        <v>YDTLIWSFAGPVAFAVSMSVFLYILAARASCAAQ</v>
      </c>
      <c r="O331" s="4" t="str">
        <f t="shared" si="135"/>
        <v>GPVSGLQPSFAVLLLLSATWLLALL</v>
      </c>
      <c r="P331" s="4" t="str">
        <f t="shared" si="136"/>
        <v>TLLFHYLFATCNCIQGPFIFLSYVVL</v>
      </c>
      <c r="Q331" s="4" t="str">
        <f t="shared" si="137"/>
        <v>SKEVRKALKLACSRKPS</v>
      </c>
      <c r="R331" s="5">
        <f>VLOOKUP($A331,'SegEnds_NonXtal_Prot#'!$A:$AL,3,FALSE)</f>
        <v>2364</v>
      </c>
      <c r="S331" s="5">
        <f>VLOOKUP($A331,'SegEnds_NonXtal_Prot#'!$A:$AL,6,FALSE)</f>
        <v>2402</v>
      </c>
      <c r="T331" s="5">
        <f>VLOOKUP($A331,'SegEnds_NonXtal_Prot#'!$A:$AL,9,FALSE)</f>
        <v>2406</v>
      </c>
      <c r="U331" s="5" t="str">
        <f>VLOOKUP($A331,'SegEnds_NonXtal_Prot#'!$A:$AL,12,FALSE)</f>
        <v>-</v>
      </c>
      <c r="V331" s="5">
        <f>VLOOKUP($A331,'SegEnds_NonXtal_Prot#'!$A:$AL,15,FALSE)</f>
        <v>2437</v>
      </c>
      <c r="W331" s="5" t="str">
        <f>VLOOKUP($A331,'SegEnds_NonXtal_Prot#'!$A:$AL,18,FALSE)</f>
        <v>-</v>
      </c>
      <c r="X331" s="5">
        <f>VLOOKUP($A331,'SegEnds_NonXtal_Prot#'!$A:$AL,21,FALSE)</f>
        <v>2478</v>
      </c>
      <c r="Y331" s="5">
        <f>VLOOKUP($A331,'SegEnds_NonXtal_Prot#'!$A:$AL,24,FALSE)</f>
        <v>2511</v>
      </c>
      <c r="Z331" s="5">
        <f>VLOOKUP($A331,'SegEnds_NonXtal_Prot#'!$A:$AL,27,FALSE)</f>
        <v>2516</v>
      </c>
      <c r="AA331" s="5">
        <f>VLOOKUP($A331,'SegEnds_NonXtal_Prot#'!$A:$AL,30,FALSE)</f>
        <v>2557</v>
      </c>
      <c r="AB331" s="5">
        <f>VLOOKUP($A331,'SegEnds_NonXtal_Prot#'!$A:$AL,33,FALSE)</f>
        <v>2587</v>
      </c>
      <c r="AC331" s="5">
        <f>VLOOKUP($A331,'SegEnds_NonXtal_Prot#'!$A:$AL,36,FALSE)</f>
        <v>2613</v>
      </c>
      <c r="AD331" s="5">
        <f>VLOOKUP($A331,'SegEnds_NonXtal_Prot#'!$A:$AL,5,FALSE)</f>
        <v>2401</v>
      </c>
      <c r="AE331" s="5">
        <f>VLOOKUP($A331,'SegEnds_NonXtal_Prot#'!$A:$AL,8,FALSE)</f>
        <v>2405</v>
      </c>
      <c r="AF331" s="5">
        <f>VLOOKUP($A331,'SegEnds_NonXtal_Prot#'!$A:$AL,11,FALSE)</f>
        <v>2432</v>
      </c>
      <c r="AG331" s="5" t="str">
        <f>VLOOKUP($A331,'SegEnds_NonXtal_Prot#'!$A:$AL,14,FALSE)</f>
        <v>-</v>
      </c>
      <c r="AH331" s="5">
        <f>VLOOKUP($A331,'SegEnds_NonXtal_Prot#'!$A:$AL,17,FALSE)</f>
        <v>2470</v>
      </c>
      <c r="AI331" s="5" t="str">
        <f>VLOOKUP($A331,'SegEnds_NonXtal_Prot#'!$A:$AL,20,FALSE)</f>
        <v>-</v>
      </c>
      <c r="AJ331" s="5">
        <f>VLOOKUP($A331,'SegEnds_NonXtal_Prot#'!$A:$AL,23,FALSE)</f>
        <v>2505</v>
      </c>
      <c r="AK331" s="5">
        <f>VLOOKUP($A331,'SegEnds_NonXtal_Prot#'!$A:$AL,26,FALSE)</f>
        <v>2513</v>
      </c>
      <c r="AL331" s="5">
        <f>VLOOKUP($A331,'SegEnds_NonXtal_Prot#'!$A:$AL,29,FALSE)</f>
        <v>2549</v>
      </c>
      <c r="AM331" s="5">
        <f>VLOOKUP($A331,'SegEnds_NonXtal_Prot#'!$A:$AL,32,FALSE)</f>
        <v>2581</v>
      </c>
      <c r="AN331" s="5">
        <f>VLOOKUP($A331,'SegEnds_NonXtal_Prot#'!$A:$AL,35,FALSE)</f>
        <v>2612</v>
      </c>
      <c r="AO331" s="5">
        <f>VLOOKUP($A331,'SegEnds_NonXtal_Prot#'!$A:$AL,38,FALSE)</f>
        <v>2629</v>
      </c>
      <c r="AP331" s="5">
        <f t="shared" si="138"/>
        <v>37</v>
      </c>
      <c r="AQ331" s="4">
        <f t="shared" si="139"/>
        <v>3</v>
      </c>
      <c r="AR331" s="4">
        <f t="shared" si="140"/>
        <v>26</v>
      </c>
      <c r="AS331" s="4" t="str">
        <f t="shared" si="141"/>
        <v>-</v>
      </c>
      <c r="AT331" s="4">
        <f t="shared" si="142"/>
        <v>33</v>
      </c>
      <c r="AU331" s="4" t="str">
        <f t="shared" si="143"/>
        <v>-</v>
      </c>
      <c r="AV331" s="4">
        <f t="shared" si="144"/>
        <v>27</v>
      </c>
      <c r="AW331" s="4">
        <f t="shared" si="145"/>
        <v>2</v>
      </c>
      <c r="AX331" s="4">
        <f t="shared" si="146"/>
        <v>33</v>
      </c>
      <c r="AY331" s="4">
        <f t="shared" si="147"/>
        <v>24</v>
      </c>
      <c r="AZ331" s="4">
        <f t="shared" si="148"/>
        <v>25</v>
      </c>
      <c r="BA331" s="4">
        <f t="shared" si="149"/>
        <v>16</v>
      </c>
    </row>
    <row r="332" spans="1:53" x14ac:dyDescent="0.2">
      <c r="A332" s="1" t="str">
        <f>'SegEnds_NonXtal_Prot#'!A325</f>
        <v>crfr1_human</v>
      </c>
      <c r="B332" s="1" t="str">
        <f t="shared" si="125"/>
        <v>QEILNEEKKSKVHYHVAVIINYLGHCISLVALLVAFVLFLRLCLRNIIHWNLISAFILRNATWFVVQLTVGWCRLVTAAYNYFHVTNFFWMFGEGCYLHTAIVLLRKWMFICIGWGVPFPIIVAWAIGKLYYDTDYIYQGPMILVLLINFIFLFNIVRILMTKLSETIQYRKAVKATLVLLPLLGITYMLFFVVSRVVFIYFNSFLESFQGFFVSVFYCFLNSEVRSAIRKRWHRWQDKHSIRARVA</v>
      </c>
      <c r="C332" s="29" t="str">
        <f>IF(ISERROR(MATCH(A332,'SegEnds_Xtal_Prot#'!B:B, 0)), "NoXtal", "Xtal")</f>
        <v>Xtal</v>
      </c>
      <c r="D332" s="4" t="str">
        <f>VLOOKUP(A332,Classification!A:D,2,FALSE)</f>
        <v>B1</v>
      </c>
      <c r="E332" s="5" t="str">
        <f>VLOOKUP(A332,Seqs!A:B,2,FALSE)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F332" s="5" t="str">
        <f t="shared" si="126"/>
        <v>QEILNEEKKSKVHYHVAVIINYLGHCISLVALLVAFVLFLRL</v>
      </c>
      <c r="G332" s="4" t="str">
        <f t="shared" si="127"/>
        <v>RSIR</v>
      </c>
      <c r="H332" s="4" t="str">
        <f t="shared" si="128"/>
        <v>CLRNIIHWNLISAFILRNATWFVVQLT</v>
      </c>
      <c r="I332" s="4" t="str">
        <f t="shared" si="129"/>
        <v/>
      </c>
      <c r="J332" s="4" t="str">
        <f t="shared" si="130"/>
        <v>VGWCRLVTAAYNYFHVTNFFWMFGEGCYLHTAIVL</v>
      </c>
      <c r="K332" s="4" t="str">
        <f t="shared" si="131"/>
        <v/>
      </c>
      <c r="L332" s="4" t="str">
        <f t="shared" si="132"/>
        <v>LRKWMFICIGWGVPFPIIVAWAIGKLYYD</v>
      </c>
      <c r="M332" s="4" t="str">
        <f t="shared" si="133"/>
        <v>CWF</v>
      </c>
      <c r="N332" s="4" t="str">
        <f t="shared" si="134"/>
        <v>TDYIYQGPMILVLLINFIFLFNIVRILMTKL</v>
      </c>
      <c r="O332" s="4" t="str">
        <f t="shared" si="135"/>
        <v>SETIQYRKAVKATLVLLPLLGITYMLFFV</v>
      </c>
      <c r="P332" s="4" t="str">
        <f t="shared" si="136"/>
        <v>VSRVVFIYFNSFLESFQGFFVSVFYCFL</v>
      </c>
      <c r="Q332" s="4" t="str">
        <f t="shared" si="137"/>
        <v>NSEVRSAIRKRWHRWQDKHSIRARVA</v>
      </c>
      <c r="R332" s="5">
        <f>VLOOKUP($A332,'SegEnds_NonXtal_Prot#'!$A:$AL,3,FALSE)</f>
        <v>103</v>
      </c>
      <c r="S332" s="5">
        <f>VLOOKUP($A332,'SegEnds_NonXtal_Prot#'!$A:$AL,6,FALSE)</f>
        <v>145</v>
      </c>
      <c r="T332" s="5">
        <f>VLOOKUP($A332,'SegEnds_NonXtal_Prot#'!$A:$AL,9,FALSE)</f>
        <v>149</v>
      </c>
      <c r="U332" s="5" t="str">
        <f>VLOOKUP($A332,'SegEnds_NonXtal_Prot#'!$A:$AL,12,FALSE)</f>
        <v>-</v>
      </c>
      <c r="V332" s="5">
        <f>VLOOKUP($A332,'SegEnds_NonXtal_Prot#'!$A:$AL,15,FALSE)</f>
        <v>185</v>
      </c>
      <c r="W332" s="5" t="str">
        <f>VLOOKUP($A332,'SegEnds_NonXtal_Prot#'!$A:$AL,18,FALSE)</f>
        <v>-</v>
      </c>
      <c r="X332" s="5">
        <f>VLOOKUP($A332,'SegEnds_NonXtal_Prot#'!$A:$AL,21,FALSE)</f>
        <v>226</v>
      </c>
      <c r="Y332" s="5">
        <f>VLOOKUP($A332,'SegEnds_NonXtal_Prot#'!$A:$AL,24,FALSE)</f>
        <v>258</v>
      </c>
      <c r="Z332" s="5">
        <f>VLOOKUP($A332,'SegEnds_NonXtal_Prot#'!$A:$AL,27,FALSE)</f>
        <v>268</v>
      </c>
      <c r="AA332" s="5">
        <f>VLOOKUP($A332,'SegEnds_NonXtal_Prot#'!$A:$AL,30,FALSE)</f>
        <v>304</v>
      </c>
      <c r="AB332" s="5">
        <f>VLOOKUP($A332,'SegEnds_NonXtal_Prot#'!$A:$AL,33,FALSE)</f>
        <v>339</v>
      </c>
      <c r="AC332" s="5">
        <f>VLOOKUP($A332,'SegEnds_NonXtal_Prot#'!$A:$AL,36,FALSE)</f>
        <v>367</v>
      </c>
      <c r="AD332" s="5">
        <f>VLOOKUP($A332,'SegEnds_NonXtal_Prot#'!$A:$AL,5,FALSE)</f>
        <v>144</v>
      </c>
      <c r="AE332" s="5">
        <f>VLOOKUP($A332,'SegEnds_NonXtal_Prot#'!$A:$AL,8,FALSE)</f>
        <v>148</v>
      </c>
      <c r="AF332" s="5">
        <f>VLOOKUP($A332,'SegEnds_NonXtal_Prot#'!$A:$AL,11,FALSE)</f>
        <v>175</v>
      </c>
      <c r="AG332" s="5" t="str">
        <f>VLOOKUP($A332,'SegEnds_NonXtal_Prot#'!$A:$AL,14,FALSE)</f>
        <v>-</v>
      </c>
      <c r="AH332" s="5">
        <f>VLOOKUP($A332,'SegEnds_NonXtal_Prot#'!$A:$AL,17,FALSE)</f>
        <v>219</v>
      </c>
      <c r="AI332" s="5" t="str">
        <f>VLOOKUP($A332,'SegEnds_NonXtal_Prot#'!$A:$AL,20,FALSE)</f>
        <v>-</v>
      </c>
      <c r="AJ332" s="5">
        <f>VLOOKUP($A332,'SegEnds_NonXtal_Prot#'!$A:$AL,23,FALSE)</f>
        <v>254</v>
      </c>
      <c r="AK332" s="5">
        <f>VLOOKUP($A332,'SegEnds_NonXtal_Prot#'!$A:$AL,26,FALSE)</f>
        <v>260</v>
      </c>
      <c r="AL332" s="5">
        <f>VLOOKUP($A332,'SegEnds_NonXtal_Prot#'!$A:$AL,29,FALSE)</f>
        <v>298</v>
      </c>
      <c r="AM332" s="5">
        <f>VLOOKUP($A332,'SegEnds_NonXtal_Prot#'!$A:$AL,32,FALSE)</f>
        <v>332</v>
      </c>
      <c r="AN332" s="5">
        <f>VLOOKUP($A332,'SegEnds_NonXtal_Prot#'!$A:$AL,35,FALSE)</f>
        <v>366</v>
      </c>
      <c r="AO332" s="5">
        <f>VLOOKUP($A332,'SegEnds_NonXtal_Prot#'!$A:$AL,38,FALSE)</f>
        <v>392</v>
      </c>
      <c r="AP332" s="5">
        <f t="shared" si="138"/>
        <v>41</v>
      </c>
      <c r="AQ332" s="4">
        <f t="shared" si="139"/>
        <v>3</v>
      </c>
      <c r="AR332" s="4">
        <f t="shared" si="140"/>
        <v>26</v>
      </c>
      <c r="AS332" s="4" t="str">
        <f t="shared" si="141"/>
        <v>-</v>
      </c>
      <c r="AT332" s="4">
        <f t="shared" si="142"/>
        <v>34</v>
      </c>
      <c r="AU332" s="4" t="str">
        <f t="shared" si="143"/>
        <v>-</v>
      </c>
      <c r="AV332" s="4">
        <f t="shared" si="144"/>
        <v>28</v>
      </c>
      <c r="AW332" s="4">
        <f t="shared" si="145"/>
        <v>2</v>
      </c>
      <c r="AX332" s="4">
        <f t="shared" si="146"/>
        <v>30</v>
      </c>
      <c r="AY332" s="4">
        <f t="shared" si="147"/>
        <v>28</v>
      </c>
      <c r="AZ332" s="4">
        <f t="shared" si="148"/>
        <v>27</v>
      </c>
      <c r="BA332" s="4">
        <f t="shared" si="149"/>
        <v>25</v>
      </c>
    </row>
    <row r="333" spans="1:53" x14ac:dyDescent="0.2">
      <c r="A333" s="1" t="str">
        <f>'SegEnds_NonXtal_Prot#'!A326</f>
        <v>crfr2_human</v>
      </c>
      <c r="B333" s="1" t="str">
        <f t="shared" si="125"/>
        <v>PILDDKQRKYDLHYRIALVVNYLGHCVSVAALVAAFLLFLALCLRNVIHWNLITTFILRNVMWFLLQLVEVWCRCITTIFNYFVVTNFFWMFVEGCYLHTAIVMLRKCLFLFIGWCIPFPIIVAWAIGKLYYEVDYIYQGPIILVLLINFVFLFNIVRILMTKLSETIQYRKAVKATLVLLPLLGITYMLFFVLSQIMFIYFNSFLQSFQGFFVSVFYCFFNGEVRSAVRKRWHRWQDHHSLRVPMA</v>
      </c>
      <c r="C333" s="29" t="str">
        <f>IF(ISERROR(MATCH(A333,'SegEnds_Xtal_Prot#'!B:B, 0)), "NoXtal", "Xtal")</f>
        <v>NoXtal</v>
      </c>
      <c r="D333" s="4" t="str">
        <f>VLOOKUP(A333,Classification!A:D,2,FALSE)</f>
        <v>B1</v>
      </c>
      <c r="E333" s="5" t="str">
        <f>VLOOKUP(A333,Seqs!A:B,2,FALSE)</f>
        <v>MDAALLHSLLEANCSLALAEELLLDGWGPPLDPEGPYSYCNTTLDQIGTCWPRSAAGALVERPCPEYFNGVKYNTTRNAYRECLENGTWASKINYSQCEPILDDKQRKYDLHYRIALVVNYLGHCVSVAALVAAFLLFLALRSIRCLRNVIHWNLITTFILRNVMWFLLQLVDHEVHESNEVWCRCITTIFNYFVVTNFFWMFVEGCYLHTAIVMTYSTERLRKCLFLFIGWCIPFPIIVAWAIGKLYYENEQCWFGKEPGDLVDYIYQGPIILVLLINFVFLFNIVRILMTKLRASTTSETIQYRKAVKATLVLLPLLGITYMLFFVNPGEDDLSQIMFIYFNSFLQSFQGFFVSVFYCFFNGEVRSAVRKRWHRWQDHHSLRVPMARAMSIPTSPTRISFHSIKQTAAV</v>
      </c>
      <c r="F333" s="5" t="str">
        <f t="shared" si="126"/>
        <v>PILDDKQRKYDLHYRIALVVNYLGHCVSVAALVAAFLLFLAL</v>
      </c>
      <c r="G333" s="4" t="str">
        <f t="shared" si="127"/>
        <v>RSIR</v>
      </c>
      <c r="H333" s="4" t="str">
        <f t="shared" si="128"/>
        <v>CLRNVIHWNLITTFILRNVMWFLLQLV</v>
      </c>
      <c r="I333" s="4" t="str">
        <f t="shared" si="129"/>
        <v/>
      </c>
      <c r="J333" s="4" t="str">
        <f t="shared" si="130"/>
        <v>EVWCRCITTIFNYFVVTNFFWMFVEGCYLHTAIVM</v>
      </c>
      <c r="K333" s="4" t="str">
        <f t="shared" si="131"/>
        <v/>
      </c>
      <c r="L333" s="4" t="str">
        <f t="shared" si="132"/>
        <v>LRKCLFLFIGWCIPFPIIVAWAIGKLYYE</v>
      </c>
      <c r="M333" s="4" t="str">
        <f t="shared" si="133"/>
        <v>CWF</v>
      </c>
      <c r="N333" s="4" t="str">
        <f t="shared" si="134"/>
        <v>VDYIYQGPIILVLLINFVFLFNIVRILMTKL</v>
      </c>
      <c r="O333" s="4" t="str">
        <f t="shared" si="135"/>
        <v>SETIQYRKAVKATLVLLPLLGITYMLFFV</v>
      </c>
      <c r="P333" s="4" t="str">
        <f t="shared" si="136"/>
        <v>LSQIMFIYFNSFLQSFQGFFVSVFYCFF</v>
      </c>
      <c r="Q333" s="4" t="str">
        <f t="shared" si="137"/>
        <v>NGEVRSAVRKRWHRWQDHHSLRVPMA</v>
      </c>
      <c r="R333" s="5">
        <f>VLOOKUP($A333,'SegEnds_NonXtal_Prot#'!$A:$AL,3,FALSE)</f>
        <v>100</v>
      </c>
      <c r="S333" s="5">
        <f>VLOOKUP($A333,'SegEnds_NonXtal_Prot#'!$A:$AL,6,FALSE)</f>
        <v>142</v>
      </c>
      <c r="T333" s="5">
        <f>VLOOKUP($A333,'SegEnds_NonXtal_Prot#'!$A:$AL,9,FALSE)</f>
        <v>146</v>
      </c>
      <c r="U333" s="5" t="str">
        <f>VLOOKUP($A333,'SegEnds_NonXtal_Prot#'!$A:$AL,12,FALSE)</f>
        <v>-</v>
      </c>
      <c r="V333" s="5">
        <f>VLOOKUP($A333,'SegEnds_NonXtal_Prot#'!$A:$AL,15,FALSE)</f>
        <v>181</v>
      </c>
      <c r="W333" s="5" t="str">
        <f>VLOOKUP($A333,'SegEnds_NonXtal_Prot#'!$A:$AL,18,FALSE)</f>
        <v>-</v>
      </c>
      <c r="X333" s="5">
        <f>VLOOKUP($A333,'SegEnds_NonXtal_Prot#'!$A:$AL,21,FALSE)</f>
        <v>222</v>
      </c>
      <c r="Y333" s="5">
        <f>VLOOKUP($A333,'SegEnds_NonXtal_Prot#'!$A:$AL,24,FALSE)</f>
        <v>254</v>
      </c>
      <c r="Z333" s="5">
        <f>VLOOKUP($A333,'SegEnds_NonXtal_Prot#'!$A:$AL,27,FALSE)</f>
        <v>264</v>
      </c>
      <c r="AA333" s="5">
        <f>VLOOKUP($A333,'SegEnds_NonXtal_Prot#'!$A:$AL,30,FALSE)</f>
        <v>300</v>
      </c>
      <c r="AB333" s="5">
        <f>VLOOKUP($A333,'SegEnds_NonXtal_Prot#'!$A:$AL,33,FALSE)</f>
        <v>335</v>
      </c>
      <c r="AC333" s="5">
        <f>VLOOKUP($A333,'SegEnds_NonXtal_Prot#'!$A:$AL,36,FALSE)</f>
        <v>363</v>
      </c>
      <c r="AD333" s="5">
        <f>VLOOKUP($A333,'SegEnds_NonXtal_Prot#'!$A:$AL,5,FALSE)</f>
        <v>141</v>
      </c>
      <c r="AE333" s="5">
        <f>VLOOKUP($A333,'SegEnds_NonXtal_Prot#'!$A:$AL,8,FALSE)</f>
        <v>145</v>
      </c>
      <c r="AF333" s="5">
        <f>VLOOKUP($A333,'SegEnds_NonXtal_Prot#'!$A:$AL,11,FALSE)</f>
        <v>172</v>
      </c>
      <c r="AG333" s="5" t="str">
        <f>VLOOKUP($A333,'SegEnds_NonXtal_Prot#'!$A:$AL,14,FALSE)</f>
        <v>-</v>
      </c>
      <c r="AH333" s="5">
        <f>VLOOKUP($A333,'SegEnds_NonXtal_Prot#'!$A:$AL,17,FALSE)</f>
        <v>215</v>
      </c>
      <c r="AI333" s="5" t="str">
        <f>VLOOKUP($A333,'SegEnds_NonXtal_Prot#'!$A:$AL,20,FALSE)</f>
        <v>-</v>
      </c>
      <c r="AJ333" s="5">
        <f>VLOOKUP($A333,'SegEnds_NonXtal_Prot#'!$A:$AL,23,FALSE)</f>
        <v>250</v>
      </c>
      <c r="AK333" s="5">
        <f>VLOOKUP($A333,'SegEnds_NonXtal_Prot#'!$A:$AL,26,FALSE)</f>
        <v>256</v>
      </c>
      <c r="AL333" s="5">
        <f>VLOOKUP($A333,'SegEnds_NonXtal_Prot#'!$A:$AL,29,FALSE)</f>
        <v>294</v>
      </c>
      <c r="AM333" s="5">
        <f>VLOOKUP($A333,'SegEnds_NonXtal_Prot#'!$A:$AL,32,FALSE)</f>
        <v>328</v>
      </c>
      <c r="AN333" s="5">
        <f>VLOOKUP($A333,'SegEnds_NonXtal_Prot#'!$A:$AL,35,FALSE)</f>
        <v>362</v>
      </c>
      <c r="AO333" s="5">
        <f>VLOOKUP($A333,'SegEnds_NonXtal_Prot#'!$A:$AL,38,FALSE)</f>
        <v>388</v>
      </c>
      <c r="AP333" s="5">
        <f t="shared" si="138"/>
        <v>41</v>
      </c>
      <c r="AQ333" s="4">
        <f t="shared" si="139"/>
        <v>3</v>
      </c>
      <c r="AR333" s="4">
        <f t="shared" si="140"/>
        <v>26</v>
      </c>
      <c r="AS333" s="4" t="str">
        <f t="shared" si="141"/>
        <v>-</v>
      </c>
      <c r="AT333" s="4">
        <f t="shared" si="142"/>
        <v>34</v>
      </c>
      <c r="AU333" s="4" t="str">
        <f t="shared" si="143"/>
        <v>-</v>
      </c>
      <c r="AV333" s="4">
        <f t="shared" si="144"/>
        <v>28</v>
      </c>
      <c r="AW333" s="4">
        <f t="shared" si="145"/>
        <v>2</v>
      </c>
      <c r="AX333" s="4">
        <f t="shared" si="146"/>
        <v>30</v>
      </c>
      <c r="AY333" s="4">
        <f t="shared" si="147"/>
        <v>28</v>
      </c>
      <c r="AZ333" s="4">
        <f t="shared" si="148"/>
        <v>27</v>
      </c>
      <c r="BA333" s="4">
        <f t="shared" si="149"/>
        <v>25</v>
      </c>
    </row>
    <row r="334" spans="1:53" x14ac:dyDescent="0.2">
      <c r="A334" s="1" t="str">
        <f>'SegEnds_NonXtal_Prot#'!A327</f>
        <v>fzd1_human</v>
      </c>
      <c r="B334" s="1" t="str">
        <f t="shared" si="125"/>
        <v>PEELRFSRTWIGIWSVLCCASTLFTVLTYLVDYPERPIIFLSGCYTAVAVAYIAGFEGCTILFMMLYFFSMASSIWWVILSLTWFLAAGMKWGIEANSQYFHLAAWAVPAIKTITILALVDALRGFVLAPLFVYLFIGTSFLLAGFVSLFRIRTIMTEKLEKLMVRIGVFSVLYTVPATIVIACYFYEQAFRDQWERSWVAQSCKSYAIPCFTVFMIKYLMTLIVGITSGFWIWSGKTLNSWRKFYTRLT</v>
      </c>
      <c r="C334" s="29" t="str">
        <f>IF(ISERROR(MATCH(A334,'SegEnds_Xtal_Prot#'!B:B, 0)), "NoXtal", "Xtal")</f>
        <v>NoXtal</v>
      </c>
      <c r="D334" s="4" t="str">
        <f>VLOOKUP(A334,Classification!A:D,2,FALSE)</f>
        <v>F</v>
      </c>
      <c r="E334" s="5" t="str">
        <f>VLOOKUP(A334,Seqs!A:B,2,FALSE)</f>
        <v>MAEEEAPKKSRAAGGGASWELCAGALSARLAEEGSGDAGGRRRPPVDPRRLARQLLLLLWLLEAPLLLGVRAQAAGQGPGQGPGPGQQPPPPPQQQQSGQQYNGERGISVPDHGYCQPISIPLCTDIAYNQTIMPNLLGHTNQEDAGLEVHQFYPLVKVQCSAELKFFLCSMYAPVCTVLEQALPPCRSLCERARQGCEALMNKFGFQWPDTLKCEKFPVHGAGELCVGQNTSDKGTPTPSLLPEFWTSNPQHGGGGHRGGFPGGAGASERGKFSCPRALKVPSYLNYHFLGEKDCGAPCEPTKVYGLMYFGPEELRFSRTWIGIWSVLCCASTLFTVLTYLVDMRRFSYPERPIIFLSGCYTAVAVAYIAGFLLEDRVVCNDKFAEDGARTVAQGTKKEGCTILFMMLYFFSMASSIWWVILSLTWFLAAGMKWGHEAIEANSQYFHLAAWAVPAIKTITILALGQVDGDVLSGVCFVGLNNVDALRGFVLAPLFVYLFIGTSFLLAGFVSLFRIRTIMKHDGTKTEKLEKLMVRIGVFSVLYTVPATIVIACYFYEQAFRDQWERSWVAQSCKSYAIPCPHLQAGGGAPPHPPMSPDFTVFMIKYLMTLIVGITSGFWIWSGKTLNSWRKFYTRLTNSKQGETTV</v>
      </c>
      <c r="F334" s="5" t="str">
        <f t="shared" si="126"/>
        <v>PEELRFSRTWIGIWSVLCCASTLFTVLTYLVD</v>
      </c>
      <c r="G334" s="4" t="str">
        <f t="shared" si="127"/>
        <v>MRRFS</v>
      </c>
      <c r="H334" s="4" t="str">
        <f t="shared" si="128"/>
        <v>YPERPIIFLSGCYTAVAVAYIAGF</v>
      </c>
      <c r="I334" s="4" t="str">
        <f t="shared" si="129"/>
        <v/>
      </c>
      <c r="J334" s="4" t="str">
        <f t="shared" si="130"/>
        <v>EGCTILFMMLYFFSMASSIWWVILSLTWFLAAGMKWG</v>
      </c>
      <c r="K334" s="4" t="str">
        <f t="shared" si="131"/>
        <v/>
      </c>
      <c r="L334" s="4" t="str">
        <f t="shared" si="132"/>
        <v>IEANSQYFHLAAWAVPAIKTITILAL</v>
      </c>
      <c r="M334" s="4" t="str">
        <f t="shared" si="133"/>
        <v>CFV</v>
      </c>
      <c r="N334" s="4" t="str">
        <f t="shared" si="134"/>
        <v>VDALRGFVLAPLFVYLFIGTSFLLAGFVSLFRIRTIM</v>
      </c>
      <c r="O334" s="4" t="str">
        <f t="shared" si="135"/>
        <v>TEKLEKLMVRIGVFSVLYTVPATIVIACYFYEQAFRDQWERSWVAQSCKSYAIPC</v>
      </c>
      <c r="P334" s="4" t="str">
        <f t="shared" si="136"/>
        <v>FTVFMIKYLMTLIVGITSGFWIW</v>
      </c>
      <c r="Q334" s="4" t="str">
        <f t="shared" si="137"/>
        <v>SGKTLNSWRKFYTRLT</v>
      </c>
      <c r="R334" s="5">
        <f>VLOOKUP($A334,'SegEnds_NonXtal_Prot#'!$A:$AL,3,FALSE)</f>
        <v>313</v>
      </c>
      <c r="S334" s="5">
        <f>VLOOKUP($A334,'SegEnds_NonXtal_Prot#'!$A:$AL,6,FALSE)</f>
        <v>345</v>
      </c>
      <c r="T334" s="5">
        <f>VLOOKUP($A334,'SegEnds_NonXtal_Prot#'!$A:$AL,9,FALSE)</f>
        <v>350</v>
      </c>
      <c r="U334" s="5" t="str">
        <f>VLOOKUP($A334,'SegEnds_NonXtal_Prot#'!$A:$AL,12,FALSE)</f>
        <v>-</v>
      </c>
      <c r="V334" s="5">
        <f>VLOOKUP($A334,'SegEnds_NonXtal_Prot#'!$A:$AL,15,FALSE)</f>
        <v>400</v>
      </c>
      <c r="W334" s="5" t="str">
        <f>VLOOKUP($A334,'SegEnds_NonXtal_Prot#'!$A:$AL,18,FALSE)</f>
        <v>-</v>
      </c>
      <c r="X334" s="5">
        <f>VLOOKUP($A334,'SegEnds_NonXtal_Prot#'!$A:$AL,21,FALSE)</f>
        <v>440</v>
      </c>
      <c r="Y334" s="5">
        <f>VLOOKUP($A334,'SegEnds_NonXtal_Prot#'!$A:$AL,24,FALSE)</f>
        <v>477</v>
      </c>
      <c r="Z334" s="5">
        <f>VLOOKUP($A334,'SegEnds_NonXtal_Prot#'!$A:$AL,27,FALSE)</f>
        <v>484</v>
      </c>
      <c r="AA334" s="5">
        <f>VLOOKUP($A334,'SegEnds_NonXtal_Prot#'!$A:$AL,30,FALSE)</f>
        <v>527</v>
      </c>
      <c r="AB334" s="5">
        <f>VLOOKUP($A334,'SegEnds_NonXtal_Prot#'!$A:$AL,33,FALSE)</f>
        <v>600</v>
      </c>
      <c r="AC334" s="5">
        <f>VLOOKUP($A334,'SegEnds_NonXtal_Prot#'!$A:$AL,36,FALSE)</f>
        <v>623</v>
      </c>
      <c r="AD334" s="5">
        <f>VLOOKUP($A334,'SegEnds_NonXtal_Prot#'!$A:$AL,5,FALSE)</f>
        <v>344</v>
      </c>
      <c r="AE334" s="5">
        <f>VLOOKUP($A334,'SegEnds_NonXtal_Prot#'!$A:$AL,8,FALSE)</f>
        <v>349</v>
      </c>
      <c r="AF334" s="5">
        <f>VLOOKUP($A334,'SegEnds_NonXtal_Prot#'!$A:$AL,11,FALSE)</f>
        <v>373</v>
      </c>
      <c r="AG334" s="5" t="str">
        <f>VLOOKUP($A334,'SegEnds_NonXtal_Prot#'!$A:$AL,14,FALSE)</f>
        <v>-</v>
      </c>
      <c r="AH334" s="5">
        <f>VLOOKUP($A334,'SegEnds_NonXtal_Prot#'!$A:$AL,17,FALSE)</f>
        <v>436</v>
      </c>
      <c r="AI334" s="5" t="str">
        <f>VLOOKUP($A334,'SegEnds_NonXtal_Prot#'!$A:$AL,20,FALSE)</f>
        <v>-</v>
      </c>
      <c r="AJ334" s="5">
        <f>VLOOKUP($A334,'SegEnds_NonXtal_Prot#'!$A:$AL,23,FALSE)</f>
        <v>465</v>
      </c>
      <c r="AK334" s="5">
        <f>VLOOKUP($A334,'SegEnds_NonXtal_Prot#'!$A:$AL,26,FALSE)</f>
        <v>479</v>
      </c>
      <c r="AL334" s="5">
        <f>VLOOKUP($A334,'SegEnds_NonXtal_Prot#'!$A:$AL,29,FALSE)</f>
        <v>520</v>
      </c>
      <c r="AM334" s="5">
        <f>VLOOKUP($A334,'SegEnds_NonXtal_Prot#'!$A:$AL,32,FALSE)</f>
        <v>581</v>
      </c>
      <c r="AN334" s="5">
        <f>VLOOKUP($A334,'SegEnds_NonXtal_Prot#'!$A:$AL,35,FALSE)</f>
        <v>622</v>
      </c>
      <c r="AO334" s="5">
        <f>VLOOKUP($A334,'SegEnds_NonXtal_Prot#'!$A:$AL,38,FALSE)</f>
        <v>638</v>
      </c>
      <c r="AP334" s="5">
        <f t="shared" si="138"/>
        <v>31</v>
      </c>
      <c r="AQ334" s="4">
        <f t="shared" si="139"/>
        <v>4</v>
      </c>
      <c r="AR334" s="4">
        <f t="shared" si="140"/>
        <v>23</v>
      </c>
      <c r="AS334" s="4" t="str">
        <f t="shared" si="141"/>
        <v>-</v>
      </c>
      <c r="AT334" s="4">
        <f t="shared" si="142"/>
        <v>36</v>
      </c>
      <c r="AU334" s="4" t="str">
        <f t="shared" si="143"/>
        <v>-</v>
      </c>
      <c r="AV334" s="4">
        <f t="shared" si="144"/>
        <v>25</v>
      </c>
      <c r="AW334" s="4">
        <f t="shared" si="145"/>
        <v>2</v>
      </c>
      <c r="AX334" s="4">
        <f t="shared" si="146"/>
        <v>36</v>
      </c>
      <c r="AY334" s="4">
        <f t="shared" si="147"/>
        <v>54</v>
      </c>
      <c r="AZ334" s="4">
        <f t="shared" si="148"/>
        <v>22</v>
      </c>
      <c r="BA334" s="4">
        <f t="shared" si="149"/>
        <v>15</v>
      </c>
    </row>
    <row r="335" spans="1:53" x14ac:dyDescent="0.2">
      <c r="A335" s="1" t="str">
        <f>'SegEnds_NonXtal_Prot#'!A328</f>
        <v>fzd10_human</v>
      </c>
      <c r="B335" s="1" t="str">
        <f t="shared" si="125"/>
        <v>REDKRFAVVWLAIWAVLCFFSSAFTVLTFLIDYPERPIIFLSMCYCVYSVGYLIRLTGCTLVFLVLYYFGMASSLWWVVLTLTWFLAAGKKWGIEANSSYFHLAAWAIPAVKTILILVMVNALTGFVLIPLACYLVIGTSFILSGFVALFHIRRVMTDKLEKLMVRIGLFSVLYTVPATCVIACYFYERLNMDYWKILAAQHKCKMNNQTKVEIFMVKIFMLLVVGITSGMWIWTSKTLQSWQQVCSRRL</v>
      </c>
      <c r="C335" s="29" t="str">
        <f>IF(ISERROR(MATCH(A335,'SegEnds_Xtal_Prot#'!B:B, 0)), "NoXtal", "Xtal")</f>
        <v>NoXtal</v>
      </c>
      <c r="D335" s="4" t="str">
        <f>VLOOKUP(A335,Classification!A:D,2,FALSE)</f>
        <v>F</v>
      </c>
      <c r="E335" s="5" t="str">
        <f>VLOOKUP(A335,Seqs!A:B,2,FALSE)</f>
        <v>MQRPGPRLWLVLQVMGSCAAISSMDMERPGDGKCQPIEIPMCKDIGYNMTRMPNLMGHENQREAAIQLHEFAPLVEYGCHGHLRFFLCSLYAPMCTEQVSTPIPACRVMCEQARLKCSPIMEQFNFKWPDSLDCRKLPNKNDPNYLCMEAPNNGSDEPTRGSGLFPPLFRPQRPHSAQEHPLKDGGPGRGGCDNPGKFHHVEKSASCAPLCTPGVDVYWSREDKRFAVVWLAIWAVLCFFSSAFTVLTFLIDPARFRYPERPIIFLSMCYCVYSVGYLIRLFAGAESIACDRDSGQLYVIQEGLESTGCTLVFLVLYYFGMASSLWWVVLTLTWFLAAGKKWGHEAIEANSSYFHLAAWAIPAVKTILILVMRRVAGDELTGVCYVGSMDVNALTGFVLIPLACYLVIGTSFILSGFVALFHIRRVMKTGGENTDKLEKLMVRIGLFSVLYTVPATCVIACYFYERLNMDYWKILAAQHKCKMNNQTKTLDCLMAASIPAVEIFMVKIFMLLVVGITSGMWIWTSKTLQSWQQVCSRRLKKKSRRKPASVITSGGIYKKAQHPQKTHHGKYEIPAQSPTCV</v>
      </c>
      <c r="F335" s="5" t="str">
        <f t="shared" si="126"/>
        <v>REDKRFAVVWLAIWAVLCFFSSAFTVLTFLID</v>
      </c>
      <c r="G335" s="4" t="str">
        <f t="shared" si="127"/>
        <v>PARFR</v>
      </c>
      <c r="H335" s="4" t="str">
        <f t="shared" si="128"/>
        <v>YPERPIIFLSMCYCVYSVGYLIRL</v>
      </c>
      <c r="I335" s="4" t="str">
        <f t="shared" si="129"/>
        <v/>
      </c>
      <c r="J335" s="4" t="str">
        <f t="shared" si="130"/>
        <v>TGCTLVFLVLYYFGMASSLWWVVLTLTWFLAAGKKWG</v>
      </c>
      <c r="K335" s="4" t="str">
        <f t="shared" si="131"/>
        <v/>
      </c>
      <c r="L335" s="4" t="str">
        <f t="shared" si="132"/>
        <v>IEANSSYFHLAAWAIPAVKTILILVM</v>
      </c>
      <c r="M335" s="4" t="str">
        <f t="shared" si="133"/>
        <v>CYV</v>
      </c>
      <c r="N335" s="4" t="str">
        <f t="shared" si="134"/>
        <v>VNALTGFVLIPLACYLVIGTSFILSGFVALFHIRRVM</v>
      </c>
      <c r="O335" s="4" t="str">
        <f t="shared" si="135"/>
        <v>TDKLEKLMVRIGLFSVLYTVPATCVIACYFYERLNMDYWKILAAQHKCKMNNQTK</v>
      </c>
      <c r="P335" s="4" t="str">
        <f t="shared" si="136"/>
        <v>VEIFMVKIFMLLVVGITSGMWIW</v>
      </c>
      <c r="Q335" s="4" t="str">
        <f t="shared" si="137"/>
        <v>TSKTLQSWQQVCSRRL</v>
      </c>
      <c r="R335" s="5">
        <f>VLOOKUP($A335,'SegEnds_NonXtal_Prot#'!$A:$AL,3,FALSE)</f>
        <v>221</v>
      </c>
      <c r="S335" s="5">
        <f>VLOOKUP($A335,'SegEnds_NonXtal_Prot#'!$A:$AL,6,FALSE)</f>
        <v>253</v>
      </c>
      <c r="T335" s="5">
        <f>VLOOKUP($A335,'SegEnds_NonXtal_Prot#'!$A:$AL,9,FALSE)</f>
        <v>258</v>
      </c>
      <c r="U335" s="5" t="str">
        <f>VLOOKUP($A335,'SegEnds_NonXtal_Prot#'!$A:$AL,12,FALSE)</f>
        <v>-</v>
      </c>
      <c r="V335" s="5">
        <f>VLOOKUP($A335,'SegEnds_NonXtal_Prot#'!$A:$AL,15,FALSE)</f>
        <v>307</v>
      </c>
      <c r="W335" s="5" t="str">
        <f>VLOOKUP($A335,'SegEnds_NonXtal_Prot#'!$A:$AL,18,FALSE)</f>
        <v>-</v>
      </c>
      <c r="X335" s="5">
        <f>VLOOKUP($A335,'SegEnds_NonXtal_Prot#'!$A:$AL,21,FALSE)</f>
        <v>347</v>
      </c>
      <c r="Y335" s="5">
        <f>VLOOKUP($A335,'SegEnds_NonXtal_Prot#'!$A:$AL,24,FALSE)</f>
        <v>384</v>
      </c>
      <c r="Z335" s="5">
        <f>VLOOKUP($A335,'SegEnds_NonXtal_Prot#'!$A:$AL,27,FALSE)</f>
        <v>391</v>
      </c>
      <c r="AA335" s="5">
        <f>VLOOKUP($A335,'SegEnds_NonXtal_Prot#'!$A:$AL,30,FALSE)</f>
        <v>434</v>
      </c>
      <c r="AB335" s="5">
        <f>VLOOKUP($A335,'SegEnds_NonXtal_Prot#'!$A:$AL,33,FALSE)</f>
        <v>501</v>
      </c>
      <c r="AC335" s="5">
        <f>VLOOKUP($A335,'SegEnds_NonXtal_Prot#'!$A:$AL,36,FALSE)</f>
        <v>524</v>
      </c>
      <c r="AD335" s="5">
        <f>VLOOKUP($A335,'SegEnds_NonXtal_Prot#'!$A:$AL,5,FALSE)</f>
        <v>252</v>
      </c>
      <c r="AE335" s="5">
        <f>VLOOKUP($A335,'SegEnds_NonXtal_Prot#'!$A:$AL,8,FALSE)</f>
        <v>257</v>
      </c>
      <c r="AF335" s="5">
        <f>VLOOKUP($A335,'SegEnds_NonXtal_Prot#'!$A:$AL,11,FALSE)</f>
        <v>281</v>
      </c>
      <c r="AG335" s="5" t="str">
        <f>VLOOKUP($A335,'SegEnds_NonXtal_Prot#'!$A:$AL,14,FALSE)</f>
        <v>-</v>
      </c>
      <c r="AH335" s="5">
        <f>VLOOKUP($A335,'SegEnds_NonXtal_Prot#'!$A:$AL,17,FALSE)</f>
        <v>343</v>
      </c>
      <c r="AI335" s="5" t="str">
        <f>VLOOKUP($A335,'SegEnds_NonXtal_Prot#'!$A:$AL,20,FALSE)</f>
        <v>-</v>
      </c>
      <c r="AJ335" s="5">
        <f>VLOOKUP($A335,'SegEnds_NonXtal_Prot#'!$A:$AL,23,FALSE)</f>
        <v>372</v>
      </c>
      <c r="AK335" s="5">
        <f>VLOOKUP($A335,'SegEnds_NonXtal_Prot#'!$A:$AL,26,FALSE)</f>
        <v>386</v>
      </c>
      <c r="AL335" s="5">
        <f>VLOOKUP($A335,'SegEnds_NonXtal_Prot#'!$A:$AL,29,FALSE)</f>
        <v>427</v>
      </c>
      <c r="AM335" s="5">
        <f>VLOOKUP($A335,'SegEnds_NonXtal_Prot#'!$A:$AL,32,FALSE)</f>
        <v>488</v>
      </c>
      <c r="AN335" s="5">
        <f>VLOOKUP($A335,'SegEnds_NonXtal_Prot#'!$A:$AL,35,FALSE)</f>
        <v>523</v>
      </c>
      <c r="AO335" s="5">
        <f>VLOOKUP($A335,'SegEnds_NonXtal_Prot#'!$A:$AL,38,FALSE)</f>
        <v>539</v>
      </c>
      <c r="AP335" s="5">
        <f t="shared" si="138"/>
        <v>31</v>
      </c>
      <c r="AQ335" s="4">
        <f t="shared" si="139"/>
        <v>4</v>
      </c>
      <c r="AR335" s="4">
        <f t="shared" si="140"/>
        <v>23</v>
      </c>
      <c r="AS335" s="4" t="str">
        <f t="shared" si="141"/>
        <v>-</v>
      </c>
      <c r="AT335" s="4">
        <f t="shared" si="142"/>
        <v>36</v>
      </c>
      <c r="AU335" s="4" t="str">
        <f t="shared" si="143"/>
        <v>-</v>
      </c>
      <c r="AV335" s="4">
        <f t="shared" si="144"/>
        <v>25</v>
      </c>
      <c r="AW335" s="4">
        <f t="shared" si="145"/>
        <v>2</v>
      </c>
      <c r="AX335" s="4">
        <f t="shared" si="146"/>
        <v>36</v>
      </c>
      <c r="AY335" s="4">
        <f t="shared" si="147"/>
        <v>54</v>
      </c>
      <c r="AZ335" s="4">
        <f t="shared" si="148"/>
        <v>22</v>
      </c>
      <c r="BA335" s="4">
        <f t="shared" si="149"/>
        <v>15</v>
      </c>
    </row>
    <row r="336" spans="1:53" x14ac:dyDescent="0.2">
      <c r="A336" s="1" t="str">
        <f>'SegEnds_NonXtal_Prot#'!A329</f>
        <v>fzd2_human</v>
      </c>
      <c r="B336" s="1" t="str">
        <f t="shared" si="125"/>
        <v>QEETRFARLWILTWSVLCCASTFFTVTTYLVDYPERPIIFLSGCYTMVSVAYIAGFEGCTILFMMLYFFSMASSIWWVILSLTWFLAAGMKWGIEANSQYFHLAAWAVPAVKTITILAMLDPLRGFVLAPLFVYLFIGTSFLLAGFVSLFRIRTIMTEKLERLMVRIGVFSVLYTVPATIVIACYFYEQAFREHWERSWVSQHCKSLAIPCFTVYMIKYLMTLIVGITSGFWIWSGKTLHSWRKFYTRLT</v>
      </c>
      <c r="C336" s="29" t="str">
        <f>IF(ISERROR(MATCH(A336,'SegEnds_Xtal_Prot#'!B:B, 0)), "NoXtal", "Xtal")</f>
        <v>NoXtal</v>
      </c>
      <c r="D336" s="4" t="str">
        <f>VLOOKUP(A336,Classification!A:D,2,FALSE)</f>
        <v>F</v>
      </c>
      <c r="E336" s="5" t="str">
        <f>VLOOKUP(A336,Seqs!A:B,2,FALSE)</f>
        <v>MRPRSALPRLLLPLLLLPAAGPAQFHGEKGISIPDHGFCQPISIPLCTDIAYNQTIMPNLLGHTNQEDAGLEVHQFYPLVKVQCSPELRFFLCSMYAPVCTVLEQAIPPCRSICERARQGCEALMNKFGFQWPERLRCEHFPRHGAEQICVGQNHSEDGAPALLTTAPPPGLQPGAGGTPGGPGGGGAPPRYATLEHPFHCPRVLKVPSYLSYKFLGERDCAAPCEPARPDGSMFFSQEETRFARLWILTWSVLCCASTFFTVTTYLVDMQRFRYPERPIIFLSGCYTMVSVAYIAGFVLQERVVCNERFSEDGYRTVVQGTKKEGCTILFMMLYFFSMASSIWWVILSLTWFLAAGMKWGHEAIEANSQYFHLAAWAVPAVKTITILAMGQIDGDLLSGVCFVGLNSLDPLRGFVLAPLFVYLFIGTSFLLAGFVSLFRIRTIMKHDGTKTEKLERLMVRIGVFSVLYTVPATIVIACYFYEQAFREHWERSWVSQHCKSLAIPCPAHYTPRMSPDFTVYMIKYLMTLIVGITSGFWIWSGKTLHSWRKFYTRLTNSRHGETTV</v>
      </c>
      <c r="F336" s="5" t="str">
        <f t="shared" si="126"/>
        <v>QEETRFARLWILTWSVLCCASTFFTVTTYLVD</v>
      </c>
      <c r="G336" s="4" t="str">
        <f t="shared" si="127"/>
        <v>MQRFR</v>
      </c>
      <c r="H336" s="4" t="str">
        <f t="shared" si="128"/>
        <v>YPERPIIFLSGCYTMVSVAYIAGF</v>
      </c>
      <c r="I336" s="4" t="str">
        <f t="shared" si="129"/>
        <v/>
      </c>
      <c r="J336" s="4" t="str">
        <f t="shared" si="130"/>
        <v>EGCTILFMMLYFFSMASSIWWVILSLTWFLAAGMKWG</v>
      </c>
      <c r="K336" s="4" t="str">
        <f t="shared" si="131"/>
        <v/>
      </c>
      <c r="L336" s="4" t="str">
        <f t="shared" si="132"/>
        <v>IEANSQYFHLAAWAVPAVKTITILAM</v>
      </c>
      <c r="M336" s="4" t="str">
        <f t="shared" si="133"/>
        <v>CFV</v>
      </c>
      <c r="N336" s="4" t="str">
        <f t="shared" si="134"/>
        <v>LDPLRGFVLAPLFVYLFIGTSFLLAGFVSLFRIRTIM</v>
      </c>
      <c r="O336" s="4" t="str">
        <f t="shared" si="135"/>
        <v>TEKLERLMVRIGVFSVLYTVPATIVIACYFYEQAFREHWERSWVSQHCKSLAIPC</v>
      </c>
      <c r="P336" s="4" t="str">
        <f t="shared" si="136"/>
        <v>FTVYMIKYLMTLIVGITSGFWIW</v>
      </c>
      <c r="Q336" s="4" t="str">
        <f t="shared" si="137"/>
        <v>SGKTLHSWRKFYTRLT</v>
      </c>
      <c r="R336" s="5">
        <f>VLOOKUP($A336,'SegEnds_NonXtal_Prot#'!$A:$AL,3,FALSE)</f>
        <v>238</v>
      </c>
      <c r="S336" s="5">
        <f>VLOOKUP($A336,'SegEnds_NonXtal_Prot#'!$A:$AL,6,FALSE)</f>
        <v>270</v>
      </c>
      <c r="T336" s="5">
        <f>VLOOKUP($A336,'SegEnds_NonXtal_Prot#'!$A:$AL,9,FALSE)</f>
        <v>275</v>
      </c>
      <c r="U336" s="5" t="str">
        <f>VLOOKUP($A336,'SegEnds_NonXtal_Prot#'!$A:$AL,12,FALSE)</f>
        <v>-</v>
      </c>
      <c r="V336" s="5">
        <f>VLOOKUP($A336,'SegEnds_NonXtal_Prot#'!$A:$AL,15,FALSE)</f>
        <v>325</v>
      </c>
      <c r="W336" s="5" t="str">
        <f>VLOOKUP($A336,'SegEnds_NonXtal_Prot#'!$A:$AL,18,FALSE)</f>
        <v>-</v>
      </c>
      <c r="X336" s="5">
        <f>VLOOKUP($A336,'SegEnds_NonXtal_Prot#'!$A:$AL,21,FALSE)</f>
        <v>365</v>
      </c>
      <c r="Y336" s="5">
        <f>VLOOKUP($A336,'SegEnds_NonXtal_Prot#'!$A:$AL,24,FALSE)</f>
        <v>402</v>
      </c>
      <c r="Z336" s="5">
        <f>VLOOKUP($A336,'SegEnds_NonXtal_Prot#'!$A:$AL,27,FALSE)</f>
        <v>409</v>
      </c>
      <c r="AA336" s="5">
        <f>VLOOKUP($A336,'SegEnds_NonXtal_Prot#'!$A:$AL,30,FALSE)</f>
        <v>452</v>
      </c>
      <c r="AB336" s="5">
        <f>VLOOKUP($A336,'SegEnds_NonXtal_Prot#'!$A:$AL,33,FALSE)</f>
        <v>518</v>
      </c>
      <c r="AC336" s="5">
        <f>VLOOKUP($A336,'SegEnds_NonXtal_Prot#'!$A:$AL,36,FALSE)</f>
        <v>541</v>
      </c>
      <c r="AD336" s="5">
        <f>VLOOKUP($A336,'SegEnds_NonXtal_Prot#'!$A:$AL,5,FALSE)</f>
        <v>269</v>
      </c>
      <c r="AE336" s="5">
        <f>VLOOKUP($A336,'SegEnds_NonXtal_Prot#'!$A:$AL,8,FALSE)</f>
        <v>274</v>
      </c>
      <c r="AF336" s="5">
        <f>VLOOKUP($A336,'SegEnds_NonXtal_Prot#'!$A:$AL,11,FALSE)</f>
        <v>298</v>
      </c>
      <c r="AG336" s="5" t="str">
        <f>VLOOKUP($A336,'SegEnds_NonXtal_Prot#'!$A:$AL,14,FALSE)</f>
        <v>-</v>
      </c>
      <c r="AH336" s="5">
        <f>VLOOKUP($A336,'SegEnds_NonXtal_Prot#'!$A:$AL,17,FALSE)</f>
        <v>361</v>
      </c>
      <c r="AI336" s="5" t="str">
        <f>VLOOKUP($A336,'SegEnds_NonXtal_Prot#'!$A:$AL,20,FALSE)</f>
        <v>-</v>
      </c>
      <c r="AJ336" s="5">
        <f>VLOOKUP($A336,'SegEnds_NonXtal_Prot#'!$A:$AL,23,FALSE)</f>
        <v>390</v>
      </c>
      <c r="AK336" s="5">
        <f>VLOOKUP($A336,'SegEnds_NonXtal_Prot#'!$A:$AL,26,FALSE)</f>
        <v>404</v>
      </c>
      <c r="AL336" s="5">
        <f>VLOOKUP($A336,'SegEnds_NonXtal_Prot#'!$A:$AL,29,FALSE)</f>
        <v>445</v>
      </c>
      <c r="AM336" s="5">
        <f>VLOOKUP($A336,'SegEnds_NonXtal_Prot#'!$A:$AL,32,FALSE)</f>
        <v>506</v>
      </c>
      <c r="AN336" s="5">
        <f>VLOOKUP($A336,'SegEnds_NonXtal_Prot#'!$A:$AL,35,FALSE)</f>
        <v>540</v>
      </c>
      <c r="AO336" s="5">
        <f>VLOOKUP($A336,'SegEnds_NonXtal_Prot#'!$A:$AL,38,FALSE)</f>
        <v>556</v>
      </c>
      <c r="AP336" s="5">
        <f t="shared" si="138"/>
        <v>31</v>
      </c>
      <c r="AQ336" s="4">
        <f t="shared" si="139"/>
        <v>4</v>
      </c>
      <c r="AR336" s="4">
        <f t="shared" si="140"/>
        <v>23</v>
      </c>
      <c r="AS336" s="4" t="str">
        <f t="shared" si="141"/>
        <v>-</v>
      </c>
      <c r="AT336" s="4">
        <f t="shared" si="142"/>
        <v>36</v>
      </c>
      <c r="AU336" s="4" t="str">
        <f t="shared" si="143"/>
        <v>-</v>
      </c>
      <c r="AV336" s="4">
        <f t="shared" si="144"/>
        <v>25</v>
      </c>
      <c r="AW336" s="4">
        <f t="shared" si="145"/>
        <v>2</v>
      </c>
      <c r="AX336" s="4">
        <f t="shared" si="146"/>
        <v>36</v>
      </c>
      <c r="AY336" s="4">
        <f t="shared" si="147"/>
        <v>54</v>
      </c>
      <c r="AZ336" s="4">
        <f t="shared" si="148"/>
        <v>22</v>
      </c>
      <c r="BA336" s="4">
        <f t="shared" si="149"/>
        <v>15</v>
      </c>
    </row>
    <row r="337" spans="1:53" x14ac:dyDescent="0.2">
      <c r="A337" s="1" t="str">
        <f>'SegEnds_NonXtal_Prot#'!A330</f>
        <v>fzd3_human</v>
      </c>
      <c r="B337" s="1" t="str">
        <f t="shared" si="125"/>
        <v>REELSFARYFIGLISIICLSATLFTFLTFLIDYPERPIIFYAVCYMMVSLIFFIGFKACTMLFMILYFFTMAGSVWWVILTITWFLAAVPKWGIEKKALLFHASAWGIPGTLTIILLAMVDALRYFVLAPLCLYVVVGVSLLLAGIISLNRVRIEIQDKLVKFMIRIGVFSILYLVPLLVVIGCYFYEQAYRGIWETTWIQERCREYHIPCLILFLMKYLMALIVGIPSVFWVGSKKTCFEWASFFHGRR</v>
      </c>
      <c r="C337" s="29" t="str">
        <f>IF(ISERROR(MATCH(A337,'SegEnds_Xtal_Prot#'!B:B, 0)), "NoXtal", "Xtal")</f>
        <v>NoXtal</v>
      </c>
      <c r="D337" s="4" t="str">
        <f>VLOOKUP(A337,Classification!A:D,2,FALSE)</f>
        <v>F</v>
      </c>
      <c r="E337" s="5" t="str">
        <f>VLOOKUP(A337,Seqs!A:B,2,FALSE)</f>
        <v>MAMTWIVFSLWPLTVFMGHIGGHSLFSCEPITLRMCQDLPYNTTFMPNLLNHYDQQTAALAMEPFHPMVNLDCSRDFRPFLCALYAPICMEYGRVTLPCRRLCQRAYSECSKLMEMFGVPWPEDMECSRFPDCDEPYPRLVDLNLAGEPTEGAPVAVQRDYGFWCPRELKIDPDLGYSFLHVRDCSPPCPNMYFRREELSFARYFIGLISIICLSATLFTFLTFLIDVTRFRYPERPIIFYAVCYMMVSLIFFIGFLLEDRVACNASIPAQYKASTVTQGSHNKACTMLFMILYFFTMAGSVWWVILTITWFLAAVPKWGSEAIEKKALLFHASAWGIPGTLTIILLAMNKIEGDNISGVCFVGLYDVDALRYFVLAPLCLYVVVGVSLLLAGIISLNRVRIEIPLEKENQDKLVKFMIRIGVFSILYLVPLLVVIGCYFYEQAYRGIWETTWIQERCREYHIPCPYQVTQMSRPDLILFLMKYLMALIVGIPSVFWVGSKKTCFEWASFFHGRRKKEIVNESRQVLQEPDFAQSLLRDPNTPIIRKSRGTSTQGTSTHASSTQLAMVDDQRSKAGSIHSKVSSYHGSLHRSRDGRYTPCSYRGMEERLPHGSMSRLTDHSRHSSSHRLNEQSRHSSIRDLSNNPMTHITHGTSMNRVIEEDGTSA</v>
      </c>
      <c r="F337" s="5" t="str">
        <f t="shared" si="126"/>
        <v>REELSFARYFIGLISIICLSATLFTFLTFLID</v>
      </c>
      <c r="G337" s="4" t="str">
        <f t="shared" si="127"/>
        <v>VTRFR</v>
      </c>
      <c r="H337" s="4" t="str">
        <f t="shared" si="128"/>
        <v>YPERPIIFYAVCYMMVSLIFFIGF</v>
      </c>
      <c r="I337" s="4" t="str">
        <f t="shared" si="129"/>
        <v/>
      </c>
      <c r="J337" s="4" t="str">
        <f t="shared" si="130"/>
        <v>KACTMLFMILYFFTMAGSVWWVILTITWFLAAVPKWG</v>
      </c>
      <c r="K337" s="4" t="str">
        <f t="shared" si="131"/>
        <v/>
      </c>
      <c r="L337" s="4" t="str">
        <f t="shared" si="132"/>
        <v>IEKKALLFHASAWGIPGTLTIILLAM</v>
      </c>
      <c r="M337" s="4" t="str">
        <f t="shared" si="133"/>
        <v>CFV</v>
      </c>
      <c r="N337" s="4" t="str">
        <f t="shared" si="134"/>
        <v>VDALRYFVLAPLCLYVVVGVSLLLAGIISLNRVRIEI</v>
      </c>
      <c r="O337" s="4" t="str">
        <f t="shared" si="135"/>
        <v>QDKLVKFMIRIGVFSILYLVPLLVVIGCYFYEQAYRGIWETTWIQERCREYHIPC</v>
      </c>
      <c r="P337" s="4" t="str">
        <f t="shared" si="136"/>
        <v>LILFLMKYLMALIVGIPSVFWVG</v>
      </c>
      <c r="Q337" s="4" t="str">
        <f t="shared" si="137"/>
        <v>SKKTCFEWASFFHGRR</v>
      </c>
      <c r="R337" s="5">
        <f>VLOOKUP($A337,'SegEnds_NonXtal_Prot#'!$A:$AL,3,FALSE)</f>
        <v>196</v>
      </c>
      <c r="S337" s="5">
        <f>VLOOKUP($A337,'SegEnds_NonXtal_Prot#'!$A:$AL,6,FALSE)</f>
        <v>228</v>
      </c>
      <c r="T337" s="5">
        <f>VLOOKUP($A337,'SegEnds_NonXtal_Prot#'!$A:$AL,9,FALSE)</f>
        <v>233</v>
      </c>
      <c r="U337" s="5" t="str">
        <f>VLOOKUP($A337,'SegEnds_NonXtal_Prot#'!$A:$AL,12,FALSE)</f>
        <v>-</v>
      </c>
      <c r="V337" s="5">
        <f>VLOOKUP($A337,'SegEnds_NonXtal_Prot#'!$A:$AL,15,FALSE)</f>
        <v>284</v>
      </c>
      <c r="W337" s="5" t="str">
        <f>VLOOKUP($A337,'SegEnds_NonXtal_Prot#'!$A:$AL,18,FALSE)</f>
        <v>-</v>
      </c>
      <c r="X337" s="5">
        <f>VLOOKUP($A337,'SegEnds_NonXtal_Prot#'!$A:$AL,21,FALSE)</f>
        <v>324</v>
      </c>
      <c r="Y337" s="5">
        <f>VLOOKUP($A337,'SegEnds_NonXtal_Prot#'!$A:$AL,24,FALSE)</f>
        <v>361</v>
      </c>
      <c r="Z337" s="5">
        <f>VLOOKUP($A337,'SegEnds_NonXtal_Prot#'!$A:$AL,27,FALSE)</f>
        <v>368</v>
      </c>
      <c r="AA337" s="5">
        <f>VLOOKUP($A337,'SegEnds_NonXtal_Prot#'!$A:$AL,30,FALSE)</f>
        <v>411</v>
      </c>
      <c r="AB337" s="5">
        <f>VLOOKUP($A337,'SegEnds_NonXtal_Prot#'!$A:$AL,33,FALSE)</f>
        <v>477</v>
      </c>
      <c r="AC337" s="5">
        <f>VLOOKUP($A337,'SegEnds_NonXtal_Prot#'!$A:$AL,36,FALSE)</f>
        <v>500</v>
      </c>
      <c r="AD337" s="5">
        <f>VLOOKUP($A337,'SegEnds_NonXtal_Prot#'!$A:$AL,5,FALSE)</f>
        <v>227</v>
      </c>
      <c r="AE337" s="5">
        <f>VLOOKUP($A337,'SegEnds_NonXtal_Prot#'!$A:$AL,8,FALSE)</f>
        <v>232</v>
      </c>
      <c r="AF337" s="5">
        <f>VLOOKUP($A337,'SegEnds_NonXtal_Prot#'!$A:$AL,11,FALSE)</f>
        <v>256</v>
      </c>
      <c r="AG337" s="5" t="str">
        <f>VLOOKUP($A337,'SegEnds_NonXtal_Prot#'!$A:$AL,14,FALSE)</f>
        <v>-</v>
      </c>
      <c r="AH337" s="5">
        <f>VLOOKUP($A337,'SegEnds_NonXtal_Prot#'!$A:$AL,17,FALSE)</f>
        <v>320</v>
      </c>
      <c r="AI337" s="5" t="str">
        <f>VLOOKUP($A337,'SegEnds_NonXtal_Prot#'!$A:$AL,20,FALSE)</f>
        <v>-</v>
      </c>
      <c r="AJ337" s="5">
        <f>VLOOKUP($A337,'SegEnds_NonXtal_Prot#'!$A:$AL,23,FALSE)</f>
        <v>349</v>
      </c>
      <c r="AK337" s="5">
        <f>VLOOKUP($A337,'SegEnds_NonXtal_Prot#'!$A:$AL,26,FALSE)</f>
        <v>363</v>
      </c>
      <c r="AL337" s="5">
        <f>VLOOKUP($A337,'SegEnds_NonXtal_Prot#'!$A:$AL,29,FALSE)</f>
        <v>404</v>
      </c>
      <c r="AM337" s="5">
        <f>VLOOKUP($A337,'SegEnds_NonXtal_Prot#'!$A:$AL,32,FALSE)</f>
        <v>465</v>
      </c>
      <c r="AN337" s="5">
        <f>VLOOKUP($A337,'SegEnds_NonXtal_Prot#'!$A:$AL,35,FALSE)</f>
        <v>499</v>
      </c>
      <c r="AO337" s="5">
        <f>VLOOKUP($A337,'SegEnds_NonXtal_Prot#'!$A:$AL,38,FALSE)</f>
        <v>515</v>
      </c>
      <c r="AP337" s="5">
        <f t="shared" si="138"/>
        <v>31</v>
      </c>
      <c r="AQ337" s="4">
        <f t="shared" si="139"/>
        <v>4</v>
      </c>
      <c r="AR337" s="4">
        <f t="shared" si="140"/>
        <v>23</v>
      </c>
      <c r="AS337" s="4" t="str">
        <f t="shared" si="141"/>
        <v>-</v>
      </c>
      <c r="AT337" s="4">
        <f t="shared" si="142"/>
        <v>36</v>
      </c>
      <c r="AU337" s="4" t="str">
        <f t="shared" si="143"/>
        <v>-</v>
      </c>
      <c r="AV337" s="4">
        <f t="shared" si="144"/>
        <v>25</v>
      </c>
      <c r="AW337" s="4">
        <f t="shared" si="145"/>
        <v>2</v>
      </c>
      <c r="AX337" s="4">
        <f t="shared" si="146"/>
        <v>36</v>
      </c>
      <c r="AY337" s="4">
        <f t="shared" si="147"/>
        <v>54</v>
      </c>
      <c r="AZ337" s="4">
        <f t="shared" si="148"/>
        <v>22</v>
      </c>
      <c r="BA337" s="4">
        <f t="shared" si="149"/>
        <v>15</v>
      </c>
    </row>
    <row r="338" spans="1:53" x14ac:dyDescent="0.2">
      <c r="A338" s="1" t="str">
        <f>'SegEnds_NonXtal_Prot#'!A331</f>
        <v>fzd4_human</v>
      </c>
      <c r="B338" s="1" t="str">
        <f t="shared" si="125"/>
        <v>RSAKEFTDIWMAVWASLCFISTAFTVLTFLIDYPERPIIFLSMCYNIYSIAYIVRLTGCAIIFLLMYFFGMASSIWWVILTLTWFLAAGLKWGIEMHSSYFHIAAWAIPAVKTIVILIMLDALTGFVVAPLFTYLVIGTLFIAAGLVALFKIRSNLTDKLERLMVKIGVFSVLYTVPATCVIACYFYEISNWALFRYSAMAVEMLKIFMSLLVGITSGMWIWSAKTLHTWQKCSNRLV</v>
      </c>
      <c r="C338" s="29" t="str">
        <f>IF(ISERROR(MATCH(A338,'SegEnds_Xtal_Prot#'!B:B, 0)), "NoXtal", "Xtal")</f>
        <v>NoXtal</v>
      </c>
      <c r="D338" s="4" t="str">
        <f>VLOOKUP(A338,Classification!A:D,2,FALSE)</f>
        <v>F</v>
      </c>
      <c r="E338" s="5" t="str">
        <f>VLOOKUP(A338,Seqs!A:B,2,FALSE)</f>
        <v>MAWRGAGPSVPGAPGGVGLSLGLLLQLLLLLGPARGFGDEEERRCDPIRISMCQNLGYNVTKMPNLVGHELQTDAELQLTTFTPLIQYGCSSQLQFFLCSVYVPMCTEKINIPIGPCGGMCLSVKRRCEPVLKEFGFAWPESLNCSKFPPQNDHNHMCMEGPGDEEVPLPHKTPIQPGEECHSVGTNSDQYIWVKRSLNCVLKCGYDAGLYSRSAKEFTDIWMAVWASLCFISTAFTVLTFLIDSSRFSYPERPIIFLSMCYNIYSIAYIVRLTVGRERISCDFEEAAEPVLIQEGLKNTGCAIIFLLMYFFGMASSIWWVILTLTWFLAAGLKWGHEAIEMHSSYFHIAAWAIPAVKTIVILIMRLVDADELTGLCYVGNQNLDALTGFVVAPLFTYLVIGTLFIAAGLVALFKIRSNLQKDGTKTDKLERLMVKIGVFSVLYTVPATCVIACYFYEISNWALFRYSADDSNMAVEMLKIFMSLLVGITSGMWIWSAKTLHTWQKCSNRLVNSGKVKREKRGNGWVKPGKGSETVV</v>
      </c>
      <c r="F338" s="5" t="str">
        <f t="shared" si="126"/>
        <v>RSAKEFTDIWMAVWASLCFISTAFTVLTFLID</v>
      </c>
      <c r="G338" s="4" t="str">
        <f t="shared" si="127"/>
        <v>SSRFS</v>
      </c>
      <c r="H338" s="4" t="str">
        <f t="shared" si="128"/>
        <v>YPERPIIFLSMCYNIYSIAYIVRL</v>
      </c>
      <c r="I338" s="4" t="str">
        <f t="shared" si="129"/>
        <v/>
      </c>
      <c r="J338" s="4" t="str">
        <f t="shared" si="130"/>
        <v>TGCAIIFLLMYFFGMASSIWWVILTLTWFLAAGLKWG</v>
      </c>
      <c r="K338" s="4" t="str">
        <f t="shared" si="131"/>
        <v/>
      </c>
      <c r="L338" s="4" t="str">
        <f t="shared" si="132"/>
        <v>IEMHSSYFHIAAWAIPAVKTIVILIM</v>
      </c>
      <c r="M338" s="4" t="str">
        <f t="shared" si="133"/>
        <v>CYV</v>
      </c>
      <c r="N338" s="4" t="str">
        <f t="shared" si="134"/>
        <v>LDALTGFVVAPLFTYLVIGTLFIAAGLVALFKIRSNL</v>
      </c>
      <c r="O338" s="4" t="str">
        <f t="shared" si="135"/>
        <v>TDKLERLMVKIGVFSVLYTVPATCVIACYFYEISNWALFRYSA</v>
      </c>
      <c r="P338" s="4" t="str">
        <f t="shared" si="136"/>
        <v>MAVEMLKIFMSLLVGITSGMWIW</v>
      </c>
      <c r="Q338" s="4" t="str">
        <f t="shared" si="137"/>
        <v>SAKTLHTWQKCSNRLV</v>
      </c>
      <c r="R338" s="5">
        <f>VLOOKUP($A338,'SegEnds_NonXtal_Prot#'!$A:$AL,3,FALSE)</f>
        <v>213</v>
      </c>
      <c r="S338" s="5">
        <f>VLOOKUP($A338,'SegEnds_NonXtal_Prot#'!$A:$AL,6,FALSE)</f>
        <v>245</v>
      </c>
      <c r="T338" s="5">
        <f>VLOOKUP($A338,'SegEnds_NonXtal_Prot#'!$A:$AL,9,FALSE)</f>
        <v>250</v>
      </c>
      <c r="U338" s="5" t="str">
        <f>VLOOKUP($A338,'SegEnds_NonXtal_Prot#'!$A:$AL,12,FALSE)</f>
        <v>-</v>
      </c>
      <c r="V338" s="5">
        <f>VLOOKUP($A338,'SegEnds_NonXtal_Prot#'!$A:$AL,15,FALSE)</f>
        <v>300</v>
      </c>
      <c r="W338" s="5" t="str">
        <f>VLOOKUP($A338,'SegEnds_NonXtal_Prot#'!$A:$AL,18,FALSE)</f>
        <v>-</v>
      </c>
      <c r="X338" s="5">
        <f>VLOOKUP($A338,'SegEnds_NonXtal_Prot#'!$A:$AL,21,FALSE)</f>
        <v>340</v>
      </c>
      <c r="Y338" s="5">
        <f>VLOOKUP($A338,'SegEnds_NonXtal_Prot#'!$A:$AL,24,FALSE)</f>
        <v>377</v>
      </c>
      <c r="Z338" s="5">
        <f>VLOOKUP($A338,'SegEnds_NonXtal_Prot#'!$A:$AL,27,FALSE)</f>
        <v>384</v>
      </c>
      <c r="AA338" s="5">
        <f>VLOOKUP($A338,'SegEnds_NonXtal_Prot#'!$A:$AL,30,FALSE)</f>
        <v>427</v>
      </c>
      <c r="AB338" s="5">
        <f>VLOOKUP($A338,'SegEnds_NonXtal_Prot#'!$A:$AL,33,FALSE)</f>
        <v>474</v>
      </c>
      <c r="AC338" s="5">
        <f>VLOOKUP($A338,'SegEnds_NonXtal_Prot#'!$A:$AL,36,FALSE)</f>
        <v>497</v>
      </c>
      <c r="AD338" s="5">
        <f>VLOOKUP($A338,'SegEnds_NonXtal_Prot#'!$A:$AL,5,FALSE)</f>
        <v>244</v>
      </c>
      <c r="AE338" s="5">
        <f>VLOOKUP($A338,'SegEnds_NonXtal_Prot#'!$A:$AL,8,FALSE)</f>
        <v>249</v>
      </c>
      <c r="AF338" s="5">
        <f>VLOOKUP($A338,'SegEnds_NonXtal_Prot#'!$A:$AL,11,FALSE)</f>
        <v>273</v>
      </c>
      <c r="AG338" s="5" t="str">
        <f>VLOOKUP($A338,'SegEnds_NonXtal_Prot#'!$A:$AL,14,FALSE)</f>
        <v>-</v>
      </c>
      <c r="AH338" s="5">
        <f>VLOOKUP($A338,'SegEnds_NonXtal_Prot#'!$A:$AL,17,FALSE)</f>
        <v>336</v>
      </c>
      <c r="AI338" s="5" t="str">
        <f>VLOOKUP($A338,'SegEnds_NonXtal_Prot#'!$A:$AL,20,FALSE)</f>
        <v>-</v>
      </c>
      <c r="AJ338" s="5">
        <f>VLOOKUP($A338,'SegEnds_NonXtal_Prot#'!$A:$AL,23,FALSE)</f>
        <v>365</v>
      </c>
      <c r="AK338" s="5">
        <f>VLOOKUP($A338,'SegEnds_NonXtal_Prot#'!$A:$AL,26,FALSE)</f>
        <v>379</v>
      </c>
      <c r="AL338" s="5">
        <f>VLOOKUP($A338,'SegEnds_NonXtal_Prot#'!$A:$AL,29,FALSE)</f>
        <v>420</v>
      </c>
      <c r="AM338" s="5">
        <f>VLOOKUP($A338,'SegEnds_NonXtal_Prot#'!$A:$AL,32,FALSE)</f>
        <v>469</v>
      </c>
      <c r="AN338" s="5">
        <f>VLOOKUP($A338,'SegEnds_NonXtal_Prot#'!$A:$AL,35,FALSE)</f>
        <v>496</v>
      </c>
      <c r="AO338" s="5">
        <f>VLOOKUP($A338,'SegEnds_NonXtal_Prot#'!$A:$AL,38,FALSE)</f>
        <v>512</v>
      </c>
      <c r="AP338" s="5">
        <f t="shared" si="138"/>
        <v>31</v>
      </c>
      <c r="AQ338" s="4">
        <f t="shared" si="139"/>
        <v>4</v>
      </c>
      <c r="AR338" s="4">
        <f t="shared" si="140"/>
        <v>23</v>
      </c>
      <c r="AS338" s="4" t="str">
        <f t="shared" si="141"/>
        <v>-</v>
      </c>
      <c r="AT338" s="4">
        <f t="shared" si="142"/>
        <v>36</v>
      </c>
      <c r="AU338" s="4" t="str">
        <f t="shared" si="143"/>
        <v>-</v>
      </c>
      <c r="AV338" s="4">
        <f t="shared" si="144"/>
        <v>25</v>
      </c>
      <c r="AW338" s="4">
        <f t="shared" si="145"/>
        <v>2</v>
      </c>
      <c r="AX338" s="4">
        <f t="shared" si="146"/>
        <v>36</v>
      </c>
      <c r="AY338" s="4">
        <f t="shared" si="147"/>
        <v>42</v>
      </c>
      <c r="AZ338" s="4">
        <f t="shared" si="148"/>
        <v>22</v>
      </c>
      <c r="BA338" s="4">
        <f t="shared" si="149"/>
        <v>15</v>
      </c>
    </row>
    <row r="339" spans="1:53" x14ac:dyDescent="0.2">
      <c r="A339" s="1" t="str">
        <f>'SegEnds_NonXtal_Prot#'!A332</f>
        <v>fzd5_human</v>
      </c>
      <c r="B339" s="1" t="str">
        <f t="shared" si="125"/>
        <v>ADERTFATFWIGLWSVLCFISTSTTVATFLIDYPERPIIFLSACYLCVSLGFLVRLALCTIVFLLVYFFGMASSIWWVILSLTWFLAAGMKWGIAGYAQYFHLAAWLIPSVKSITALALLNSLRGFVLGPLVLYLLVGTLFLLAGFVSLFRIRSVITDKLEKLMIRIGIFTLLYTVPASIVVACYLYEQHYRESWEAALTCACPGHDTGQPYWVLMLKYFMCLVVGITSGVWIWSGKTVESWRRFTSRCC</v>
      </c>
      <c r="C339" s="29" t="str">
        <f>IF(ISERROR(MATCH(A339,'SegEnds_Xtal_Prot#'!B:B, 0)), "NoXtal", "Xtal")</f>
        <v>NoXtal</v>
      </c>
      <c r="D339" s="4" t="str">
        <f>VLOOKUP(A339,Classification!A:D,2,FALSE)</f>
        <v>F</v>
      </c>
      <c r="E339" s="5" t="str">
        <f>VLOOKUP(A339,Seqs!A:B,2,FALSE)</f>
        <v>MARPDPSAPPSLLLLLLAQLVGRAAAASKAPVCQEITVPMCRGIGYNLTHMPNQFNHDTQDEAGLEVHQFWPLVEIQCSPDLRFFLCSMYTPICLPDYHKPLPPCRSVCERAKAGCSPLMRQYGFAWPERMSCDRLPVLGRDAEVLCMDYNRSEATTAPPRPFPAKPTLPGPPGAPASGGECPAGGPFVCKCREPFVPILKESHPLYNKVRTGQVPNCAVPCYQPSFSADERTFATFWIGLWSVLCFISTSTTVATFLIDMERFRYPERPIIFLSACYLCVSLGFLVRLVVGHASVACSREHNHIHYETTGPALCTIVFLLVYFFGMASSIWWVILSLTWFLAAGMKWGNEAIAGYAQYFHLAAWLIPSVKSITALALSSVDGDPVAGICYVGNQNLNSLRGFVLGPLVLYLLVGTLFLLAGFVSLFRIRSVIKQGGTKTDKLEKLMIRIGIFTLLYTVPASIVVACYLYEQHYRESWEAALTCACPGHDTGQPRAKPEYWVLMLKYFMCLVVGITSGVWIWSGKTVESWRRFTSRCCCRPRRGHKSGGAMAAGDYPEASAALTGRTGPPGPAATYHKQVSLSHV</v>
      </c>
      <c r="F339" s="5" t="str">
        <f t="shared" si="126"/>
        <v>ADERTFATFWIGLWSVLCFISTSTTVATFLID</v>
      </c>
      <c r="G339" s="4" t="str">
        <f t="shared" si="127"/>
        <v>MERFR</v>
      </c>
      <c r="H339" s="4" t="str">
        <f t="shared" si="128"/>
        <v>YPERPIIFLSACYLCVSLGFLVRL</v>
      </c>
      <c r="I339" s="4" t="str">
        <f t="shared" si="129"/>
        <v/>
      </c>
      <c r="J339" s="4" t="str">
        <f t="shared" si="130"/>
        <v>ALCTIVFLLVYFFGMASSIWWVILSLTWFLAAGMKWG</v>
      </c>
      <c r="K339" s="4" t="str">
        <f t="shared" si="131"/>
        <v/>
      </c>
      <c r="L339" s="4" t="str">
        <f t="shared" si="132"/>
        <v>IAGYAQYFHLAAWLIPSVKSITALAL</v>
      </c>
      <c r="M339" s="4" t="str">
        <f t="shared" si="133"/>
        <v>CYV</v>
      </c>
      <c r="N339" s="4" t="str">
        <f t="shared" si="134"/>
        <v>LNSLRGFVLGPLVLYLLVGTLFLLAGFVSLFRIRSVI</v>
      </c>
      <c r="O339" s="4" t="str">
        <f t="shared" si="135"/>
        <v>TDKLEKLMIRIGIFTLLYTVPASIVVACYLYEQHYRESWEAALTCACPGHDTGQP</v>
      </c>
      <c r="P339" s="4" t="str">
        <f t="shared" si="136"/>
        <v>YWVLMLKYFMCLVVGITSGVWIW</v>
      </c>
      <c r="Q339" s="4" t="str">
        <f t="shared" si="137"/>
        <v>SGKTVESWRRFTSRCC</v>
      </c>
      <c r="R339" s="5">
        <f>VLOOKUP($A339,'SegEnds_NonXtal_Prot#'!$A:$AL,3,FALSE)</f>
        <v>229</v>
      </c>
      <c r="S339" s="5">
        <f>VLOOKUP($A339,'SegEnds_NonXtal_Prot#'!$A:$AL,6,FALSE)</f>
        <v>261</v>
      </c>
      <c r="T339" s="5">
        <f>VLOOKUP($A339,'SegEnds_NonXtal_Prot#'!$A:$AL,9,FALSE)</f>
        <v>266</v>
      </c>
      <c r="U339" s="5" t="str">
        <f>VLOOKUP($A339,'SegEnds_NonXtal_Prot#'!$A:$AL,12,FALSE)</f>
        <v>-</v>
      </c>
      <c r="V339" s="5">
        <f>VLOOKUP($A339,'SegEnds_NonXtal_Prot#'!$A:$AL,15,FALSE)</f>
        <v>313</v>
      </c>
      <c r="W339" s="5" t="str">
        <f>VLOOKUP($A339,'SegEnds_NonXtal_Prot#'!$A:$AL,18,FALSE)</f>
        <v>-</v>
      </c>
      <c r="X339" s="5">
        <f>VLOOKUP($A339,'SegEnds_NonXtal_Prot#'!$A:$AL,21,FALSE)</f>
        <v>353</v>
      </c>
      <c r="Y339" s="5">
        <f>VLOOKUP($A339,'SegEnds_NonXtal_Prot#'!$A:$AL,24,FALSE)</f>
        <v>390</v>
      </c>
      <c r="Z339" s="5">
        <f>VLOOKUP($A339,'SegEnds_NonXtal_Prot#'!$A:$AL,27,FALSE)</f>
        <v>397</v>
      </c>
      <c r="AA339" s="5">
        <f>VLOOKUP($A339,'SegEnds_NonXtal_Prot#'!$A:$AL,30,FALSE)</f>
        <v>440</v>
      </c>
      <c r="AB339" s="5">
        <f>VLOOKUP($A339,'SegEnds_NonXtal_Prot#'!$A:$AL,33,FALSE)</f>
        <v>500</v>
      </c>
      <c r="AC339" s="5">
        <f>VLOOKUP($A339,'SegEnds_NonXtal_Prot#'!$A:$AL,36,FALSE)</f>
        <v>523</v>
      </c>
      <c r="AD339" s="5">
        <f>VLOOKUP($A339,'SegEnds_NonXtal_Prot#'!$A:$AL,5,FALSE)</f>
        <v>260</v>
      </c>
      <c r="AE339" s="5">
        <f>VLOOKUP($A339,'SegEnds_NonXtal_Prot#'!$A:$AL,8,FALSE)</f>
        <v>265</v>
      </c>
      <c r="AF339" s="5">
        <f>VLOOKUP($A339,'SegEnds_NonXtal_Prot#'!$A:$AL,11,FALSE)</f>
        <v>289</v>
      </c>
      <c r="AG339" s="5" t="str">
        <f>VLOOKUP($A339,'SegEnds_NonXtal_Prot#'!$A:$AL,14,FALSE)</f>
        <v>-</v>
      </c>
      <c r="AH339" s="5">
        <f>VLOOKUP($A339,'SegEnds_NonXtal_Prot#'!$A:$AL,17,FALSE)</f>
        <v>349</v>
      </c>
      <c r="AI339" s="5" t="str">
        <f>VLOOKUP($A339,'SegEnds_NonXtal_Prot#'!$A:$AL,20,FALSE)</f>
        <v>-</v>
      </c>
      <c r="AJ339" s="5">
        <f>VLOOKUP($A339,'SegEnds_NonXtal_Prot#'!$A:$AL,23,FALSE)</f>
        <v>378</v>
      </c>
      <c r="AK339" s="5">
        <f>VLOOKUP($A339,'SegEnds_NonXtal_Prot#'!$A:$AL,26,FALSE)</f>
        <v>392</v>
      </c>
      <c r="AL339" s="5">
        <f>VLOOKUP($A339,'SegEnds_NonXtal_Prot#'!$A:$AL,29,FALSE)</f>
        <v>433</v>
      </c>
      <c r="AM339" s="5">
        <f>VLOOKUP($A339,'SegEnds_NonXtal_Prot#'!$A:$AL,32,FALSE)</f>
        <v>494</v>
      </c>
      <c r="AN339" s="5">
        <f>VLOOKUP($A339,'SegEnds_NonXtal_Prot#'!$A:$AL,35,FALSE)</f>
        <v>522</v>
      </c>
      <c r="AO339" s="5">
        <f>VLOOKUP($A339,'SegEnds_NonXtal_Prot#'!$A:$AL,38,FALSE)</f>
        <v>538</v>
      </c>
      <c r="AP339" s="5">
        <f t="shared" si="138"/>
        <v>31</v>
      </c>
      <c r="AQ339" s="4">
        <f t="shared" si="139"/>
        <v>4</v>
      </c>
      <c r="AR339" s="4">
        <f t="shared" si="140"/>
        <v>23</v>
      </c>
      <c r="AS339" s="4" t="str">
        <f t="shared" si="141"/>
        <v>-</v>
      </c>
      <c r="AT339" s="4">
        <f t="shared" si="142"/>
        <v>36</v>
      </c>
      <c r="AU339" s="4" t="str">
        <f t="shared" si="143"/>
        <v>-</v>
      </c>
      <c r="AV339" s="4">
        <f t="shared" si="144"/>
        <v>25</v>
      </c>
      <c r="AW339" s="4">
        <f t="shared" si="145"/>
        <v>2</v>
      </c>
      <c r="AX339" s="4">
        <f t="shared" si="146"/>
        <v>36</v>
      </c>
      <c r="AY339" s="4">
        <f t="shared" si="147"/>
        <v>54</v>
      </c>
      <c r="AZ339" s="4">
        <f t="shared" si="148"/>
        <v>22</v>
      </c>
      <c r="BA339" s="4">
        <f t="shared" si="149"/>
        <v>15</v>
      </c>
    </row>
    <row r="340" spans="1:53" x14ac:dyDescent="0.2">
      <c r="A340" s="1" t="str">
        <f>'SegEnds_NonXtal_Prot#'!A333</f>
        <v>fzd6_human</v>
      </c>
      <c r="B340" s="1" t="str">
        <f t="shared" si="125"/>
        <v>SDELEFAKSFIGTVSIFCLCATLFTFLTFLIDYPERPIIYYSVCYSIVSLMYFIGFKACTVLFMLLYFFTMAGTVWWVILTITWFLAAGRKWSIEQKAVWFHAVAWGTPGFLTVMLLAMLDASRYFVLLPLCLCVFVGLSLLLAGIISLNHVRQVIQEKLKKFMIRIGVFSGLYLVPLVTLLGCYVYEQVNRITWEITWVSDHCRQYHIPCLALFMIKYLMTLIVGISAVFWVGSKKTCTEWAGFFKRNR</v>
      </c>
      <c r="C340" s="29" t="str">
        <f>IF(ISERROR(MATCH(A340,'SegEnds_Xtal_Prot#'!B:B, 0)), "NoXtal", "Xtal")</f>
        <v>NoXtal</v>
      </c>
      <c r="D340" s="4" t="str">
        <f>VLOOKUP(A340,Classification!A:D,2,FALSE)</f>
        <v>F</v>
      </c>
      <c r="E340" s="5" t="str">
        <f>VLOOKUP(A340,Seqs!A:B,2,FALSE)</f>
        <v>MEMFTFLLTCIFLPLLRGHSLFTCEPITVPRCMKMAYNMTFFPNLMGHYDQSIAAVEMEHFLPLANLECSPNIETFLCKAFVPTCIEQIHVVPPCRKLCEKVYSDCKKLIDTFGIRWPEELECDRLQYCDETVPVTFDPHTEFLGPQKKTEQVQRDIGFWCPRHLKTSGGQGYKFLGIDQCAPPCPNMYFKSDELEFAKSFIGTVSIFCLCATLFTFLTFLIDVRRFRYPERPIIYYSVCYSIVSLMYFIGFLLGDSTACNKADEKLELGDTVVLGSQNKACTVLFMLLYFFTMAGTVWWVILTITWFLAAGRKWSCEAIEQKAVWFHAVAWGTPGFLTVMLLAMNKVEGDNISGVCFVGLYDLDASRYFVLLPLCLCVFVGLSLLLAGIISLNHVRQVIQHDGRNQEKLKKFMIRIGVFSGLYLVPLVTLLGCYVYEQVNRITWEITWVSDHCRQYHIPCPYQAKAKARPELALFMIKYLMTLIVGISAVFWVGSKKTCTEWAGFFKRNRKRDPISESRRVLQESCEFFLKHNSKVKHKKKHYKPSSHKLKVISKSMGTSTGATANHGTSAVAITSHDYLGQETLTEIQTSPETSMREVKADGASTPRLREQDCGEPASPAASISRLSGEQVDGKGQAGSVSESARSEGRISPKSDITDTGLAQSNNLQVPSSSEPSSLKGSTSLLVHPVSGVRKEQGGGCHSDT</v>
      </c>
      <c r="F340" s="5" t="str">
        <f t="shared" si="126"/>
        <v>SDELEFAKSFIGTVSIFCLCATLFTFLTFLID</v>
      </c>
      <c r="G340" s="4" t="str">
        <f t="shared" si="127"/>
        <v>VRRFR</v>
      </c>
      <c r="H340" s="4" t="str">
        <f t="shared" si="128"/>
        <v>YPERPIIYYSVCYSIVSLMYFIGF</v>
      </c>
      <c r="I340" s="4" t="str">
        <f t="shared" si="129"/>
        <v/>
      </c>
      <c r="J340" s="4" t="str">
        <f t="shared" si="130"/>
        <v>KACTVLFMLLYFFTMAGTVWWVILTITWFLAAGRKWS</v>
      </c>
      <c r="K340" s="4" t="str">
        <f t="shared" si="131"/>
        <v/>
      </c>
      <c r="L340" s="4" t="str">
        <f t="shared" si="132"/>
        <v>IEQKAVWFHAVAWGTPGFLTVMLLAM</v>
      </c>
      <c r="M340" s="4" t="str">
        <f t="shared" si="133"/>
        <v>CFV</v>
      </c>
      <c r="N340" s="4" t="str">
        <f t="shared" si="134"/>
        <v>LDASRYFVLLPLCLCVFVGLSLLLAGIISLNHVRQVI</v>
      </c>
      <c r="O340" s="4" t="str">
        <f t="shared" si="135"/>
        <v>QEKLKKFMIRIGVFSGLYLVPLVTLLGCYVYEQVNRITWEITWVSDHCRQYHIPC</v>
      </c>
      <c r="P340" s="4" t="str">
        <f t="shared" si="136"/>
        <v>LALFMIKYLMTLIVGISAVFWVG</v>
      </c>
      <c r="Q340" s="4" t="str">
        <f t="shared" si="137"/>
        <v>SKKTCTEWAGFFKRNR</v>
      </c>
      <c r="R340" s="5">
        <f>VLOOKUP($A340,'SegEnds_NonXtal_Prot#'!$A:$AL,3,FALSE)</f>
        <v>192</v>
      </c>
      <c r="S340" s="5">
        <f>VLOOKUP($A340,'SegEnds_NonXtal_Prot#'!$A:$AL,6,FALSE)</f>
        <v>224</v>
      </c>
      <c r="T340" s="5">
        <f>VLOOKUP($A340,'SegEnds_NonXtal_Prot#'!$A:$AL,9,FALSE)</f>
        <v>229</v>
      </c>
      <c r="U340" s="5" t="str">
        <f>VLOOKUP($A340,'SegEnds_NonXtal_Prot#'!$A:$AL,12,FALSE)</f>
        <v>-</v>
      </c>
      <c r="V340" s="5">
        <f>VLOOKUP($A340,'SegEnds_NonXtal_Prot#'!$A:$AL,15,FALSE)</f>
        <v>280</v>
      </c>
      <c r="W340" s="5" t="str">
        <f>VLOOKUP($A340,'SegEnds_NonXtal_Prot#'!$A:$AL,18,FALSE)</f>
        <v>-</v>
      </c>
      <c r="X340" s="5">
        <f>VLOOKUP($A340,'SegEnds_NonXtal_Prot#'!$A:$AL,21,FALSE)</f>
        <v>320</v>
      </c>
      <c r="Y340" s="5">
        <f>VLOOKUP($A340,'SegEnds_NonXtal_Prot#'!$A:$AL,24,FALSE)</f>
        <v>357</v>
      </c>
      <c r="Z340" s="5">
        <f>VLOOKUP($A340,'SegEnds_NonXtal_Prot#'!$A:$AL,27,FALSE)</f>
        <v>364</v>
      </c>
      <c r="AA340" s="5">
        <f>VLOOKUP($A340,'SegEnds_NonXtal_Prot#'!$A:$AL,30,FALSE)</f>
        <v>407</v>
      </c>
      <c r="AB340" s="5">
        <f>VLOOKUP($A340,'SegEnds_NonXtal_Prot#'!$A:$AL,33,FALSE)</f>
        <v>473</v>
      </c>
      <c r="AC340" s="5">
        <f>VLOOKUP($A340,'SegEnds_NonXtal_Prot#'!$A:$AL,36,FALSE)</f>
        <v>496</v>
      </c>
      <c r="AD340" s="5">
        <f>VLOOKUP($A340,'SegEnds_NonXtal_Prot#'!$A:$AL,5,FALSE)</f>
        <v>223</v>
      </c>
      <c r="AE340" s="5">
        <f>VLOOKUP($A340,'SegEnds_NonXtal_Prot#'!$A:$AL,8,FALSE)</f>
        <v>228</v>
      </c>
      <c r="AF340" s="5">
        <f>VLOOKUP($A340,'SegEnds_NonXtal_Prot#'!$A:$AL,11,FALSE)</f>
        <v>252</v>
      </c>
      <c r="AG340" s="5" t="str">
        <f>VLOOKUP($A340,'SegEnds_NonXtal_Prot#'!$A:$AL,14,FALSE)</f>
        <v>-</v>
      </c>
      <c r="AH340" s="5">
        <f>VLOOKUP($A340,'SegEnds_NonXtal_Prot#'!$A:$AL,17,FALSE)</f>
        <v>316</v>
      </c>
      <c r="AI340" s="5" t="str">
        <f>VLOOKUP($A340,'SegEnds_NonXtal_Prot#'!$A:$AL,20,FALSE)</f>
        <v>-</v>
      </c>
      <c r="AJ340" s="5">
        <f>VLOOKUP($A340,'SegEnds_NonXtal_Prot#'!$A:$AL,23,FALSE)</f>
        <v>345</v>
      </c>
      <c r="AK340" s="5">
        <f>VLOOKUP($A340,'SegEnds_NonXtal_Prot#'!$A:$AL,26,FALSE)</f>
        <v>359</v>
      </c>
      <c r="AL340" s="5">
        <f>VLOOKUP($A340,'SegEnds_NonXtal_Prot#'!$A:$AL,29,FALSE)</f>
        <v>400</v>
      </c>
      <c r="AM340" s="5">
        <f>VLOOKUP($A340,'SegEnds_NonXtal_Prot#'!$A:$AL,32,FALSE)</f>
        <v>461</v>
      </c>
      <c r="AN340" s="5">
        <f>VLOOKUP($A340,'SegEnds_NonXtal_Prot#'!$A:$AL,35,FALSE)</f>
        <v>495</v>
      </c>
      <c r="AO340" s="5">
        <f>VLOOKUP($A340,'SegEnds_NonXtal_Prot#'!$A:$AL,38,FALSE)</f>
        <v>511</v>
      </c>
      <c r="AP340" s="5">
        <f t="shared" si="138"/>
        <v>31</v>
      </c>
      <c r="AQ340" s="4">
        <f t="shared" si="139"/>
        <v>4</v>
      </c>
      <c r="AR340" s="4">
        <f t="shared" si="140"/>
        <v>23</v>
      </c>
      <c r="AS340" s="4" t="str">
        <f t="shared" si="141"/>
        <v>-</v>
      </c>
      <c r="AT340" s="4">
        <f t="shared" si="142"/>
        <v>36</v>
      </c>
      <c r="AU340" s="4" t="str">
        <f t="shared" si="143"/>
        <v>-</v>
      </c>
      <c r="AV340" s="4">
        <f t="shared" si="144"/>
        <v>25</v>
      </c>
      <c r="AW340" s="4">
        <f t="shared" si="145"/>
        <v>2</v>
      </c>
      <c r="AX340" s="4">
        <f t="shared" si="146"/>
        <v>36</v>
      </c>
      <c r="AY340" s="4">
        <f t="shared" si="147"/>
        <v>54</v>
      </c>
      <c r="AZ340" s="4">
        <f t="shared" si="148"/>
        <v>22</v>
      </c>
      <c r="BA340" s="4">
        <f t="shared" si="149"/>
        <v>15</v>
      </c>
    </row>
    <row r="341" spans="1:53" x14ac:dyDescent="0.2">
      <c r="A341" s="1" t="str">
        <f>'SegEnds_NonXtal_Prot#'!A334</f>
        <v>fzd7_human</v>
      </c>
      <c r="B341" s="1" t="str">
        <f t="shared" si="125"/>
        <v>EEERRFARLWVGVWSVLCCASTLFTVLTYLVDYPERPIIFLSGCYFMVAVAHVAGFEGCTILFMVLYFFGMASSIWWVILSLTWFLAAGMKWGIEANSQYFHLAAWAVPAVKTITILAMVDALRGFVLAPLFVYLFIGTSFLLAGFVSLFRIRTIMTEKLEKLMVRIGVFSVLYTVPATIVLACYFYEQAFREHWERTWLLQTCKSYAVPCFTVFMIKYLMTMIVGITTGFWIWSGKTLQSWRRFYHRLS</v>
      </c>
      <c r="C341" s="29" t="str">
        <f>IF(ISERROR(MATCH(A341,'SegEnds_Xtal_Prot#'!B:B, 0)), "NoXtal", "Xtal")</f>
        <v>NoXtal</v>
      </c>
      <c r="D341" s="4" t="str">
        <f>VLOOKUP(A341,Classification!A:D,2,FALSE)</f>
        <v>F</v>
      </c>
      <c r="E341" s="5" t="str">
        <f>VLOOKUP(A341,Seqs!A:B,2,FALSE)</f>
        <v>MRDPGAAAPLSSLGLCALVLALLGALSAGAGAQPYHGEKGISVPDHGFCQPISIPLCTDIAYNQTILPNLLGHTNQEDAGLEVHQFYPLVKVQCSPELRFFLCSMYAPVCTVLDQAIPPCRSLCERARQGCEALMNKFGFQWPERLRCENFPVHGAGEICVGQNTSDGSGGPGGGPTAYPTAPYLPDLPFTALPPGASDGRGRPAFPFSCPRQLKVPPYLGYRFLGERDCGAPCEPGRANGLMYFKEEERRFARLWVGVWSVLCCASTLFTVLTYLVDMRRFSYPERPIIFLSGCYFMVAVAHVAGFLLEDRAVCVERFSDDGYRTVAQGTKKEGCTILFMVLYFFGMASSIWWVILSLTWFLAAGMKWGHEAIEANSQYFHLAAWAVPAVKTITILAMGQVDGDLLSGVCYVGLSSVDALRGFVLAPLFVYLFIGTSFLLAGFVSLFRIRTIMKHDGTKTEKLEKLMVRIGVFSVLYTVPATIVLACYFYEQAFREHWERTWLLQTCKSYAVPCPPGHFPPMSPDFTVFMIKYLMTMIVGITTGFWIWSGKTLQSWRRFYHRLSHSSKGETAV</v>
      </c>
      <c r="F341" s="5" t="str">
        <f t="shared" si="126"/>
        <v>EEERRFARLWVGVWSVLCCASTLFTVLTYLVD</v>
      </c>
      <c r="G341" s="4" t="str">
        <f t="shared" si="127"/>
        <v>MRRFS</v>
      </c>
      <c r="H341" s="4" t="str">
        <f t="shared" si="128"/>
        <v>YPERPIIFLSGCYFMVAVAHVAGF</v>
      </c>
      <c r="I341" s="4" t="str">
        <f t="shared" si="129"/>
        <v/>
      </c>
      <c r="J341" s="4" t="str">
        <f t="shared" si="130"/>
        <v>EGCTILFMVLYFFGMASSIWWVILSLTWFLAAGMKWG</v>
      </c>
      <c r="K341" s="4" t="str">
        <f t="shared" si="131"/>
        <v/>
      </c>
      <c r="L341" s="4" t="str">
        <f t="shared" si="132"/>
        <v>IEANSQYFHLAAWAVPAVKTITILAM</v>
      </c>
      <c r="M341" s="4" t="str">
        <f t="shared" si="133"/>
        <v>CYV</v>
      </c>
      <c r="N341" s="4" t="str">
        <f t="shared" si="134"/>
        <v>VDALRGFVLAPLFVYLFIGTSFLLAGFVSLFRIRTIM</v>
      </c>
      <c r="O341" s="4" t="str">
        <f t="shared" si="135"/>
        <v>TEKLEKLMVRIGVFSVLYTVPATIVLACYFYEQAFREHWERTWLLQTCKSYAVPC</v>
      </c>
      <c r="P341" s="4" t="str">
        <f t="shared" si="136"/>
        <v>FTVFMIKYLMTMIVGITTGFWIW</v>
      </c>
      <c r="Q341" s="4" t="str">
        <f t="shared" si="137"/>
        <v>SGKTLQSWRRFYHRLS</v>
      </c>
      <c r="R341" s="5">
        <f>VLOOKUP($A341,'SegEnds_NonXtal_Prot#'!$A:$AL,3,FALSE)</f>
        <v>247</v>
      </c>
      <c r="S341" s="5">
        <f>VLOOKUP($A341,'SegEnds_NonXtal_Prot#'!$A:$AL,6,FALSE)</f>
        <v>279</v>
      </c>
      <c r="T341" s="5">
        <f>VLOOKUP($A341,'SegEnds_NonXtal_Prot#'!$A:$AL,9,FALSE)</f>
        <v>284</v>
      </c>
      <c r="U341" s="5" t="str">
        <f>VLOOKUP($A341,'SegEnds_NonXtal_Prot#'!$A:$AL,12,FALSE)</f>
        <v>-</v>
      </c>
      <c r="V341" s="5">
        <f>VLOOKUP($A341,'SegEnds_NonXtal_Prot#'!$A:$AL,15,FALSE)</f>
        <v>334</v>
      </c>
      <c r="W341" s="5" t="str">
        <f>VLOOKUP($A341,'SegEnds_NonXtal_Prot#'!$A:$AL,18,FALSE)</f>
        <v>-</v>
      </c>
      <c r="X341" s="5">
        <f>VLOOKUP($A341,'SegEnds_NonXtal_Prot#'!$A:$AL,21,FALSE)</f>
        <v>374</v>
      </c>
      <c r="Y341" s="5">
        <f>VLOOKUP($A341,'SegEnds_NonXtal_Prot#'!$A:$AL,24,FALSE)</f>
        <v>411</v>
      </c>
      <c r="Z341" s="5">
        <f>VLOOKUP($A341,'SegEnds_NonXtal_Prot#'!$A:$AL,27,FALSE)</f>
        <v>418</v>
      </c>
      <c r="AA341" s="5">
        <f>VLOOKUP($A341,'SegEnds_NonXtal_Prot#'!$A:$AL,30,FALSE)</f>
        <v>461</v>
      </c>
      <c r="AB341" s="5">
        <f>VLOOKUP($A341,'SegEnds_NonXtal_Prot#'!$A:$AL,33,FALSE)</f>
        <v>527</v>
      </c>
      <c r="AC341" s="5">
        <f>VLOOKUP($A341,'SegEnds_NonXtal_Prot#'!$A:$AL,36,FALSE)</f>
        <v>550</v>
      </c>
      <c r="AD341" s="5">
        <f>VLOOKUP($A341,'SegEnds_NonXtal_Prot#'!$A:$AL,5,FALSE)</f>
        <v>278</v>
      </c>
      <c r="AE341" s="5">
        <f>VLOOKUP($A341,'SegEnds_NonXtal_Prot#'!$A:$AL,8,FALSE)</f>
        <v>283</v>
      </c>
      <c r="AF341" s="5">
        <f>VLOOKUP($A341,'SegEnds_NonXtal_Prot#'!$A:$AL,11,FALSE)</f>
        <v>307</v>
      </c>
      <c r="AG341" s="5" t="str">
        <f>VLOOKUP($A341,'SegEnds_NonXtal_Prot#'!$A:$AL,14,FALSE)</f>
        <v>-</v>
      </c>
      <c r="AH341" s="5">
        <f>VLOOKUP($A341,'SegEnds_NonXtal_Prot#'!$A:$AL,17,FALSE)</f>
        <v>370</v>
      </c>
      <c r="AI341" s="5" t="str">
        <f>VLOOKUP($A341,'SegEnds_NonXtal_Prot#'!$A:$AL,20,FALSE)</f>
        <v>-</v>
      </c>
      <c r="AJ341" s="5">
        <f>VLOOKUP($A341,'SegEnds_NonXtal_Prot#'!$A:$AL,23,FALSE)</f>
        <v>399</v>
      </c>
      <c r="AK341" s="5">
        <f>VLOOKUP($A341,'SegEnds_NonXtal_Prot#'!$A:$AL,26,FALSE)</f>
        <v>413</v>
      </c>
      <c r="AL341" s="5">
        <f>VLOOKUP($A341,'SegEnds_NonXtal_Prot#'!$A:$AL,29,FALSE)</f>
        <v>454</v>
      </c>
      <c r="AM341" s="5">
        <f>VLOOKUP($A341,'SegEnds_NonXtal_Prot#'!$A:$AL,32,FALSE)</f>
        <v>515</v>
      </c>
      <c r="AN341" s="5">
        <f>VLOOKUP($A341,'SegEnds_NonXtal_Prot#'!$A:$AL,35,FALSE)</f>
        <v>549</v>
      </c>
      <c r="AO341" s="5">
        <f>VLOOKUP($A341,'SegEnds_NonXtal_Prot#'!$A:$AL,38,FALSE)</f>
        <v>565</v>
      </c>
      <c r="AP341" s="5">
        <f t="shared" si="138"/>
        <v>31</v>
      </c>
      <c r="AQ341" s="4">
        <f t="shared" si="139"/>
        <v>4</v>
      </c>
      <c r="AR341" s="4">
        <f t="shared" si="140"/>
        <v>23</v>
      </c>
      <c r="AS341" s="4" t="str">
        <f t="shared" si="141"/>
        <v>-</v>
      </c>
      <c r="AT341" s="4">
        <f t="shared" si="142"/>
        <v>36</v>
      </c>
      <c r="AU341" s="4" t="str">
        <f t="shared" si="143"/>
        <v>-</v>
      </c>
      <c r="AV341" s="4">
        <f t="shared" si="144"/>
        <v>25</v>
      </c>
      <c r="AW341" s="4">
        <f t="shared" si="145"/>
        <v>2</v>
      </c>
      <c r="AX341" s="4">
        <f t="shared" si="146"/>
        <v>36</v>
      </c>
      <c r="AY341" s="4">
        <f t="shared" si="147"/>
        <v>54</v>
      </c>
      <c r="AZ341" s="4">
        <f t="shared" si="148"/>
        <v>22</v>
      </c>
      <c r="BA341" s="4">
        <f t="shared" si="149"/>
        <v>15</v>
      </c>
    </row>
    <row r="342" spans="1:53" x14ac:dyDescent="0.2">
      <c r="A342" s="1" t="str">
        <f>'SegEnds_NonXtal_Prot#'!A335</f>
        <v>fzd8_human</v>
      </c>
      <c r="B342" s="1" t="str">
        <f t="shared" si="125"/>
        <v>QDERAFTVFWIGLWSVLCFVSTFATVSTFLIDYPERPIIFLSACYLFVSVGYLVRLALCTVVFLLVYFFGMASSIWWVILSLTWFLAAGMKWGIAGYSQYFHLAAWLVPSVKSIAVLALLDNLRGFVLAPLVIYLFIGTMFLLAGFVSLFRIRSVITHKLEKLMIRLGLFTVLYTVPAAVVVACLFYEQHNRPRWEATHNCPCLRDLQPDQYAVFMLKYFMCLVVGITSGVWVWSGKTLESWRSLCTRCC</v>
      </c>
      <c r="C342" s="29" t="str">
        <f>IF(ISERROR(MATCH(A342,'SegEnds_Xtal_Prot#'!B:B, 0)), "NoXtal", "Xtal")</f>
        <v>NoXtal</v>
      </c>
      <c r="D342" s="4" t="str">
        <f>VLOOKUP(A342,Classification!A:D,2,FALSE)</f>
        <v>F</v>
      </c>
      <c r="E342" s="5" t="str">
        <f>VLOOKUP(A342,Seqs!A:B,2,FALSE)</f>
        <v>MEWGYLLEVTSLLAALALLQRSSGAAAASAKELACQEITVPLCKGIGYNYTYMPNQFNHDTQDEAGLEVHQFWPLVEIQCSPDLKFFLCSMYTPICLEDYKKPLPPCRSVCERAKAGCAPLMRQYGFAWPDRMRCDRLPEQGNPDTLCMDYNRTDLTTAAPSPPRRLPPPPPGEQPPSGSGHGRPPGARPPHRGGGRGGGGGDAAAPPARGGGGGGKARPPGGGAAPCEPGCQCRAPMVSVSSERHPLYNRVKTGQIANCALPCHNPFFSQDERAFTVFWIGLWSVLCFVSTFATVSTFLIDMERFKYPERPIIFLSACYLFVSVGYLVRLVAGHEKVACSGGAPGAGGAGGAGGAAAGAGAAGAGAGGPGGRGEYEELGAVEQHVRYETTGPALCTVVFLLVYFFGMASSIWWVILSLTWFLAAGMKWGNEAIAGYSQYFHLAAWLVPSVKSIAVLALSSVDGDPVAGICYVGNQSLDNLRGFVLAPLVIYLFIGTMFLLAGFVSLFRIRSVIKQQDGPTKTHKLEKLMIRLGLFTVLYTVPAAVVVACLFYEQHNRPRWEATHNCPCLRDLQPDQARRPDYAVFMLKYFMCLVVGITSGVWVWSGKTLESWRSLCTRCCWASKGAAVGGGAGATAAGGGGGPGGGGGGGPGGGGGPGGGGGSLYSDVSTGLTWRSGTASSVSYPKQMPLSQV</v>
      </c>
      <c r="F342" s="5" t="str">
        <f t="shared" si="126"/>
        <v>QDERAFTVFWIGLWSVLCFVSTFATVSTFLID</v>
      </c>
      <c r="G342" s="4" t="str">
        <f t="shared" si="127"/>
        <v>MERFK</v>
      </c>
      <c r="H342" s="4" t="str">
        <f t="shared" si="128"/>
        <v>YPERPIIFLSACYLFVSVGYLVRL</v>
      </c>
      <c r="I342" s="4" t="str">
        <f t="shared" si="129"/>
        <v/>
      </c>
      <c r="J342" s="4" t="str">
        <f t="shared" si="130"/>
        <v>ALCTVVFLLVYFFGMASSIWWVILSLTWFLAAGMKWG</v>
      </c>
      <c r="K342" s="4" t="str">
        <f t="shared" si="131"/>
        <v/>
      </c>
      <c r="L342" s="4" t="str">
        <f t="shared" si="132"/>
        <v>IAGYSQYFHLAAWLVPSVKSIAVLAL</v>
      </c>
      <c r="M342" s="4" t="str">
        <f t="shared" si="133"/>
        <v>CYV</v>
      </c>
      <c r="N342" s="4" t="str">
        <f t="shared" si="134"/>
        <v>LDNLRGFVLAPLVIYLFIGTMFLLAGFVSLFRIRSVI</v>
      </c>
      <c r="O342" s="4" t="str">
        <f t="shared" si="135"/>
        <v>THKLEKLMIRLGLFTVLYTVPAAVVVACLFYEQHNRPRWEATHNCPCLRDLQPDQ</v>
      </c>
      <c r="P342" s="4" t="str">
        <f t="shared" si="136"/>
        <v>YAVFMLKYFMCLVVGITSGVWVW</v>
      </c>
      <c r="Q342" s="4" t="str">
        <f t="shared" si="137"/>
        <v>SGKTLESWRSLCTRCC</v>
      </c>
      <c r="R342" s="5">
        <f>VLOOKUP($A342,'SegEnds_NonXtal_Prot#'!$A:$AL,3,FALSE)</f>
        <v>271</v>
      </c>
      <c r="S342" s="5">
        <f>VLOOKUP($A342,'SegEnds_NonXtal_Prot#'!$A:$AL,6,FALSE)</f>
        <v>303</v>
      </c>
      <c r="T342" s="5">
        <f>VLOOKUP($A342,'SegEnds_NonXtal_Prot#'!$A:$AL,9,FALSE)</f>
        <v>308</v>
      </c>
      <c r="U342" s="5" t="str">
        <f>VLOOKUP($A342,'SegEnds_NonXtal_Prot#'!$A:$AL,12,FALSE)</f>
        <v>-</v>
      </c>
      <c r="V342" s="5">
        <f>VLOOKUP($A342,'SegEnds_NonXtal_Prot#'!$A:$AL,15,FALSE)</f>
        <v>394</v>
      </c>
      <c r="W342" s="5" t="str">
        <f>VLOOKUP($A342,'SegEnds_NonXtal_Prot#'!$A:$AL,18,FALSE)</f>
        <v>-</v>
      </c>
      <c r="X342" s="5">
        <f>VLOOKUP($A342,'SegEnds_NonXtal_Prot#'!$A:$AL,21,FALSE)</f>
        <v>434</v>
      </c>
      <c r="Y342" s="5">
        <f>VLOOKUP($A342,'SegEnds_NonXtal_Prot#'!$A:$AL,24,FALSE)</f>
        <v>471</v>
      </c>
      <c r="Z342" s="5">
        <f>VLOOKUP($A342,'SegEnds_NonXtal_Prot#'!$A:$AL,27,FALSE)</f>
        <v>478</v>
      </c>
      <c r="AA342" s="5">
        <f>VLOOKUP($A342,'SegEnds_NonXtal_Prot#'!$A:$AL,30,FALSE)</f>
        <v>523</v>
      </c>
      <c r="AB342" s="5">
        <f>VLOOKUP($A342,'SegEnds_NonXtal_Prot#'!$A:$AL,33,FALSE)</f>
        <v>583</v>
      </c>
      <c r="AC342" s="5">
        <f>VLOOKUP($A342,'SegEnds_NonXtal_Prot#'!$A:$AL,36,FALSE)</f>
        <v>606</v>
      </c>
      <c r="AD342" s="5">
        <f>VLOOKUP($A342,'SegEnds_NonXtal_Prot#'!$A:$AL,5,FALSE)</f>
        <v>302</v>
      </c>
      <c r="AE342" s="5">
        <f>VLOOKUP($A342,'SegEnds_NonXtal_Prot#'!$A:$AL,8,FALSE)</f>
        <v>307</v>
      </c>
      <c r="AF342" s="5">
        <f>VLOOKUP($A342,'SegEnds_NonXtal_Prot#'!$A:$AL,11,FALSE)</f>
        <v>331</v>
      </c>
      <c r="AG342" s="5" t="str">
        <f>VLOOKUP($A342,'SegEnds_NonXtal_Prot#'!$A:$AL,14,FALSE)</f>
        <v>-</v>
      </c>
      <c r="AH342" s="5">
        <f>VLOOKUP($A342,'SegEnds_NonXtal_Prot#'!$A:$AL,17,FALSE)</f>
        <v>430</v>
      </c>
      <c r="AI342" s="5" t="str">
        <f>VLOOKUP($A342,'SegEnds_NonXtal_Prot#'!$A:$AL,20,FALSE)</f>
        <v>-</v>
      </c>
      <c r="AJ342" s="5">
        <f>VLOOKUP($A342,'SegEnds_NonXtal_Prot#'!$A:$AL,23,FALSE)</f>
        <v>459</v>
      </c>
      <c r="AK342" s="5">
        <f>VLOOKUP($A342,'SegEnds_NonXtal_Prot#'!$A:$AL,26,FALSE)</f>
        <v>473</v>
      </c>
      <c r="AL342" s="5">
        <f>VLOOKUP($A342,'SegEnds_NonXtal_Prot#'!$A:$AL,29,FALSE)</f>
        <v>514</v>
      </c>
      <c r="AM342" s="5">
        <f>VLOOKUP($A342,'SegEnds_NonXtal_Prot#'!$A:$AL,32,FALSE)</f>
        <v>577</v>
      </c>
      <c r="AN342" s="5">
        <f>VLOOKUP($A342,'SegEnds_NonXtal_Prot#'!$A:$AL,35,FALSE)</f>
        <v>605</v>
      </c>
      <c r="AO342" s="5">
        <f>VLOOKUP($A342,'SegEnds_NonXtal_Prot#'!$A:$AL,38,FALSE)</f>
        <v>621</v>
      </c>
      <c r="AP342" s="5">
        <f t="shared" si="138"/>
        <v>31</v>
      </c>
      <c r="AQ342" s="4">
        <f t="shared" si="139"/>
        <v>4</v>
      </c>
      <c r="AR342" s="4">
        <f t="shared" si="140"/>
        <v>23</v>
      </c>
      <c r="AS342" s="4" t="str">
        <f t="shared" si="141"/>
        <v>-</v>
      </c>
      <c r="AT342" s="4">
        <f t="shared" si="142"/>
        <v>36</v>
      </c>
      <c r="AU342" s="4" t="str">
        <f t="shared" si="143"/>
        <v>-</v>
      </c>
      <c r="AV342" s="4">
        <f t="shared" si="144"/>
        <v>25</v>
      </c>
      <c r="AW342" s="4">
        <f t="shared" si="145"/>
        <v>2</v>
      </c>
      <c r="AX342" s="4">
        <f t="shared" si="146"/>
        <v>36</v>
      </c>
      <c r="AY342" s="4">
        <f t="shared" si="147"/>
        <v>54</v>
      </c>
      <c r="AZ342" s="4">
        <f t="shared" si="148"/>
        <v>22</v>
      </c>
      <c r="BA342" s="4">
        <f t="shared" si="149"/>
        <v>15</v>
      </c>
    </row>
    <row r="343" spans="1:53" x14ac:dyDescent="0.2">
      <c r="A343" s="1" t="str">
        <f>'SegEnds_NonXtal_Prot#'!A336</f>
        <v>fzd9_human</v>
      </c>
      <c r="B343" s="1" t="str">
        <f t="shared" si="125"/>
        <v>RRDKDFALVWMAVWSALCFFSTAFTVLTFLLEYPERPIIFLSMCYNVYSLAFLIRATGCTLVFLLLYYFGMASSLWWVVLTLTWFLAAGKKWGIEAHGSYFHMAAWGLPALKTIVILTLAAALTGFVLVPLSGYLVLGSSFLLTGFVALFHIRKIMTEKLEKLMVKIGVFSILYTVPATCVIVCYVYERLNMDFWRLRATEQPCAAAAGPGVAVFMLKIFMSLVVGITSGVWVWSSKTFQTWQSLCYRKI</v>
      </c>
      <c r="C343" s="29" t="str">
        <f>IF(ISERROR(MATCH(A343,'SegEnds_Xtal_Prot#'!B:B, 0)), "NoXtal", "Xtal")</f>
        <v>NoXtal</v>
      </c>
      <c r="D343" s="4" t="str">
        <f>VLOOKUP(A343,Classification!A:D,2,FALSE)</f>
        <v>F</v>
      </c>
      <c r="E343" s="5" t="str">
        <f>VLOOKUP(A343,Seqs!A:B,2,FALSE)</f>
        <v>MAVAPLRGALLLWQLLAAGGAALEIGRFDPERGRGAAPCQAVEIPMCRGIGYNLTRMPNLLGHTSQGEAAAELAEFAPLVQYGCHSHLRFFLCSLYAPMCTDQVSTPIPACRPMCEQARLRCAPIMEQFNFGWPDSLDCARLPTRNDPHALCMEAPENATAGPAEPHKGLGMLPVAPRPARPPGDLGPGAGGSGTCENPEKFQYVEKSRSCAPRCGPGVEVFWSRRDKDFALVWMAVWSALCFFSTAFTVLTFLLEPHRFQYPERPIIFLSMCYNVYSLAFLIRAVAGAQSVACDQEAGALYVIQEGLENTGCTLVFLLLYYFGMASSLWWVVLTLTWFLAAGKKWGHEAIEAHGSYFHMAAWGLPALKTIVILTLRKVAGDELTGLCYVASTDAAALTGFVLVPLSGYLVLGSSFLLTGFVALFHIRKIMKTGGTNTEKLEKLMVKIGVFSILYTVPATCVIVCYVYERLNMDFWRLRATEQPCAAAAGPGGRRDCSLPGGSVPTVAVFMLKIFMSLVVGITSGVWVWSSKTFQTWQSLCYRKIAAGRARAKACRAPGSYGRGTHCHYKAPTVVLHMTKTDPSLENPTHL</v>
      </c>
      <c r="F343" s="5" t="str">
        <f t="shared" si="126"/>
        <v>RRDKDFALVWMAVWSALCFFSTAFTVLTFLLE</v>
      </c>
      <c r="G343" s="4" t="str">
        <f t="shared" si="127"/>
        <v>PHRFQ</v>
      </c>
      <c r="H343" s="4" t="str">
        <f t="shared" si="128"/>
        <v>YPERPIIFLSMCYNVYSLAFLIRA</v>
      </c>
      <c r="I343" s="4" t="str">
        <f t="shared" si="129"/>
        <v/>
      </c>
      <c r="J343" s="4" t="str">
        <f t="shared" si="130"/>
        <v>TGCTLVFLLLYYFGMASSLWWVVLTLTWFLAAGKKWG</v>
      </c>
      <c r="K343" s="4" t="str">
        <f t="shared" si="131"/>
        <v/>
      </c>
      <c r="L343" s="4" t="str">
        <f t="shared" si="132"/>
        <v>IEAHGSYFHMAAWGLPALKTIVILTL</v>
      </c>
      <c r="M343" s="4" t="str">
        <f t="shared" si="133"/>
        <v>CYV</v>
      </c>
      <c r="N343" s="4" t="str">
        <f t="shared" si="134"/>
        <v>AAALTGFVLVPLSGYLVLGSSFLLTGFVALFHIRKIM</v>
      </c>
      <c r="O343" s="4" t="str">
        <f t="shared" si="135"/>
        <v>TEKLEKLMVKIGVFSILYTVPATCVIVCYVYERLNMDFWRLRATEQPCAAAAGPG</v>
      </c>
      <c r="P343" s="4" t="str">
        <f t="shared" si="136"/>
        <v>VAVFMLKIFMSLVVGITSGVWVW</v>
      </c>
      <c r="Q343" s="4" t="str">
        <f t="shared" si="137"/>
        <v>SSKTFQTWQSLCYRKI</v>
      </c>
      <c r="R343" s="5">
        <f>VLOOKUP($A343,'SegEnds_NonXtal_Prot#'!$A:$AL,3,FALSE)</f>
        <v>225</v>
      </c>
      <c r="S343" s="5">
        <f>VLOOKUP($A343,'SegEnds_NonXtal_Prot#'!$A:$AL,6,FALSE)</f>
        <v>257</v>
      </c>
      <c r="T343" s="5">
        <f>VLOOKUP($A343,'SegEnds_NonXtal_Prot#'!$A:$AL,9,FALSE)</f>
        <v>262</v>
      </c>
      <c r="U343" s="5" t="str">
        <f>VLOOKUP($A343,'SegEnds_NonXtal_Prot#'!$A:$AL,12,FALSE)</f>
        <v>-</v>
      </c>
      <c r="V343" s="5">
        <f>VLOOKUP($A343,'SegEnds_NonXtal_Prot#'!$A:$AL,15,FALSE)</f>
        <v>311</v>
      </c>
      <c r="W343" s="5" t="str">
        <f>VLOOKUP($A343,'SegEnds_NonXtal_Prot#'!$A:$AL,18,FALSE)</f>
        <v>-</v>
      </c>
      <c r="X343" s="5">
        <f>VLOOKUP($A343,'SegEnds_NonXtal_Prot#'!$A:$AL,21,FALSE)</f>
        <v>351</v>
      </c>
      <c r="Y343" s="5">
        <f>VLOOKUP($A343,'SegEnds_NonXtal_Prot#'!$A:$AL,24,FALSE)</f>
        <v>388</v>
      </c>
      <c r="Z343" s="5">
        <f>VLOOKUP($A343,'SegEnds_NonXtal_Prot#'!$A:$AL,27,FALSE)</f>
        <v>395</v>
      </c>
      <c r="AA343" s="5">
        <f>VLOOKUP($A343,'SegEnds_NonXtal_Prot#'!$A:$AL,30,FALSE)</f>
        <v>438</v>
      </c>
      <c r="AB343" s="5">
        <f>VLOOKUP($A343,'SegEnds_NonXtal_Prot#'!$A:$AL,33,FALSE)</f>
        <v>507</v>
      </c>
      <c r="AC343" s="5">
        <f>VLOOKUP($A343,'SegEnds_NonXtal_Prot#'!$A:$AL,36,FALSE)</f>
        <v>530</v>
      </c>
      <c r="AD343" s="5">
        <f>VLOOKUP($A343,'SegEnds_NonXtal_Prot#'!$A:$AL,5,FALSE)</f>
        <v>256</v>
      </c>
      <c r="AE343" s="5">
        <f>VLOOKUP($A343,'SegEnds_NonXtal_Prot#'!$A:$AL,8,FALSE)</f>
        <v>261</v>
      </c>
      <c r="AF343" s="5">
        <f>VLOOKUP($A343,'SegEnds_NonXtal_Prot#'!$A:$AL,11,FALSE)</f>
        <v>285</v>
      </c>
      <c r="AG343" s="5" t="str">
        <f>VLOOKUP($A343,'SegEnds_NonXtal_Prot#'!$A:$AL,14,FALSE)</f>
        <v>-</v>
      </c>
      <c r="AH343" s="5">
        <f>VLOOKUP($A343,'SegEnds_NonXtal_Prot#'!$A:$AL,17,FALSE)</f>
        <v>347</v>
      </c>
      <c r="AI343" s="5" t="str">
        <f>VLOOKUP($A343,'SegEnds_NonXtal_Prot#'!$A:$AL,20,FALSE)</f>
        <v>-</v>
      </c>
      <c r="AJ343" s="5">
        <f>VLOOKUP($A343,'SegEnds_NonXtal_Prot#'!$A:$AL,23,FALSE)</f>
        <v>376</v>
      </c>
      <c r="AK343" s="5">
        <f>VLOOKUP($A343,'SegEnds_NonXtal_Prot#'!$A:$AL,26,FALSE)</f>
        <v>390</v>
      </c>
      <c r="AL343" s="5">
        <f>VLOOKUP($A343,'SegEnds_NonXtal_Prot#'!$A:$AL,29,FALSE)</f>
        <v>431</v>
      </c>
      <c r="AM343" s="5">
        <f>VLOOKUP($A343,'SegEnds_NonXtal_Prot#'!$A:$AL,32,FALSE)</f>
        <v>492</v>
      </c>
      <c r="AN343" s="5">
        <f>VLOOKUP($A343,'SegEnds_NonXtal_Prot#'!$A:$AL,35,FALSE)</f>
        <v>529</v>
      </c>
      <c r="AO343" s="5">
        <f>VLOOKUP($A343,'SegEnds_NonXtal_Prot#'!$A:$AL,38,FALSE)</f>
        <v>545</v>
      </c>
      <c r="AP343" s="5">
        <f t="shared" si="138"/>
        <v>31</v>
      </c>
      <c r="AQ343" s="4">
        <f t="shared" si="139"/>
        <v>4</v>
      </c>
      <c r="AR343" s="4">
        <f t="shared" si="140"/>
        <v>23</v>
      </c>
      <c r="AS343" s="4" t="str">
        <f t="shared" si="141"/>
        <v>-</v>
      </c>
      <c r="AT343" s="4">
        <f t="shared" si="142"/>
        <v>36</v>
      </c>
      <c r="AU343" s="4" t="str">
        <f t="shared" si="143"/>
        <v>-</v>
      </c>
      <c r="AV343" s="4">
        <f t="shared" si="144"/>
        <v>25</v>
      </c>
      <c r="AW343" s="4">
        <f t="shared" si="145"/>
        <v>2</v>
      </c>
      <c r="AX343" s="4">
        <f t="shared" si="146"/>
        <v>36</v>
      </c>
      <c r="AY343" s="4">
        <f t="shared" si="147"/>
        <v>54</v>
      </c>
      <c r="AZ343" s="4">
        <f t="shared" si="148"/>
        <v>22</v>
      </c>
      <c r="BA343" s="4">
        <f t="shared" si="149"/>
        <v>15</v>
      </c>
    </row>
    <row r="344" spans="1:53" x14ac:dyDescent="0.2">
      <c r="A344" s="1" t="str">
        <f>'SegEnds_NonXtal_Prot#'!A337</f>
        <v>g137a_human</v>
      </c>
      <c r="B344" s="1" t="str">
        <f t="shared" si="125"/>
        <v>PAVTLGLTAAYTTLYALLFFSVYAQLWLVLLYGHKRLSYQTVFLTVFLALCLLWAALRTTLFSFYFRDTKVKRRPEMSRGLLAVRGAFVGASLLFLLVNVLCARVLVSDSLFVICALSLAACLCLVARNVSDQADLVNDLGNKGYLVFGLIGHCEDEGCSWEHSRGESTRCQDQAAPSPTEYPGPSPPHPRPLCQVCLPLLAQDPGGRG</v>
      </c>
      <c r="C344" s="29" t="str">
        <f>IF(ISERROR(MATCH(A344,'SegEnds_Xtal_Prot#'!B:B, 0)), "NoXtal", "Xtal")</f>
        <v>NoXtal</v>
      </c>
      <c r="D344" s="4" t="str">
        <f>VLOOKUP(A344,Classification!A:D,2,FALSE)</f>
        <v>O</v>
      </c>
      <c r="E344" s="5" t="str">
        <f>VLOOKUP(A344,Seqs!A:B,2,FALSE)</f>
        <v>MESNLSGLVPAAGLVPALPPAVTLGLTAAYTTLYALLFFSVYAQLWLVLLYGHKRLSYQTVFLALCLLWAALRTTLFSFYFRDTPRANRLGPLPFWLLYCCPVCLQFFTLTLMNLYFAQVVFKAKVKRRPEMSRGLLAVRGAFVGASLLFLLVNVLCAVLSHRRRAQPWALLLVRVLVSDSLFVICALSLAACLCLVARRAPSTSIYLEAKGTSVCQAAAMGGAMVLLYASRACYNLTALALAPQSRLDTFDYDWYNVSDQADLVNDLGNKGYLVFGLILFVWELLPTTLLVGFFRVHRPPQDLSTSHILNGQVFASRSYFFDRAGHCEDEGCSWEHSRGESTRCQDQAATTTVSTPPHRRDPPPSPTEYPGPSPPHPRPLCQVCLPLLAQDPGGRGYPLLWPAPCCSCHSELVPSP</v>
      </c>
      <c r="F344" s="5" t="str">
        <f t="shared" si="126"/>
        <v>PAVTLGLTAAYTTLYALLFFSVYAQLWLVLLYGHKRLSYQTVFL</v>
      </c>
      <c r="G344" s="4" t="str">
        <f t="shared" si="127"/>
        <v/>
      </c>
      <c r="H344" s="4" t="str">
        <f t="shared" si="128"/>
        <v>TVFLALCLLWAALRTTLFSFYFRDT</v>
      </c>
      <c r="I344" s="4" t="str">
        <f t="shared" si="129"/>
        <v/>
      </c>
      <c r="J344" s="4" t="str">
        <f t="shared" si="130"/>
        <v>KVKRRPEMSRGLLAVRGAFVGASLLFLLVNVLCA</v>
      </c>
      <c r="K344" s="4" t="str">
        <f t="shared" si="131"/>
        <v/>
      </c>
      <c r="L344" s="4" t="str">
        <f t="shared" si="132"/>
        <v>RVLVSDSLFVICALSLAACLCLVAR</v>
      </c>
      <c r="M344" s="4" t="str">
        <f t="shared" si="133"/>
        <v/>
      </c>
      <c r="N344" s="4" t="str">
        <f t="shared" si="134"/>
        <v>NVSDQADLVNDLGNKGYLVFGLI</v>
      </c>
      <c r="O344" s="4" t="str">
        <f t="shared" si="135"/>
        <v>GHCEDEGCSWEHSRGESTRCQDQAA</v>
      </c>
      <c r="P344" s="4" t="str">
        <f t="shared" si="136"/>
        <v>PSPTEYPGPSPPHPRPLCQVCL</v>
      </c>
      <c r="Q344" s="4" t="str">
        <f t="shared" si="137"/>
        <v>PLLAQDPGGRG</v>
      </c>
      <c r="R344" s="5">
        <f>VLOOKUP($A344,'SegEnds_NonXtal_Prot#'!$A:$AL,3,FALSE)</f>
        <v>20</v>
      </c>
      <c r="S344" s="5" t="str">
        <f>VLOOKUP($A344,'SegEnds_NonXtal_Prot#'!$A:$AL,6,FALSE)</f>
        <v>-</v>
      </c>
      <c r="T344" s="5">
        <f>VLOOKUP($A344,'SegEnds_NonXtal_Prot#'!$A:$AL,9,FALSE)</f>
        <v>60</v>
      </c>
      <c r="U344" s="5" t="str">
        <f>VLOOKUP($A344,'SegEnds_NonXtal_Prot#'!$A:$AL,12,FALSE)</f>
        <v>-</v>
      </c>
      <c r="V344" s="5">
        <f>VLOOKUP($A344,'SegEnds_NonXtal_Prot#'!$A:$AL,15,FALSE)</f>
        <v>125</v>
      </c>
      <c r="W344" s="5" t="str">
        <f>VLOOKUP($A344,'SegEnds_NonXtal_Prot#'!$A:$AL,18,FALSE)</f>
        <v>-</v>
      </c>
      <c r="X344" s="5">
        <f>VLOOKUP($A344,'SegEnds_NonXtal_Prot#'!$A:$AL,21,FALSE)</f>
        <v>175</v>
      </c>
      <c r="Y344" s="5" t="str">
        <f>VLOOKUP($A344,'SegEnds_NonXtal_Prot#'!$A:$AL,24,FALSE)</f>
        <v>-</v>
      </c>
      <c r="Z344" s="5">
        <f>VLOOKUP($A344,'SegEnds_NonXtal_Prot#'!$A:$AL,27,FALSE)</f>
        <v>257</v>
      </c>
      <c r="AA344" s="5">
        <f>VLOOKUP($A344,'SegEnds_NonXtal_Prot#'!$A:$AL,30,FALSE)</f>
        <v>326</v>
      </c>
      <c r="AB344" s="5">
        <f>VLOOKUP($A344,'SegEnds_NonXtal_Prot#'!$A:$AL,33,FALSE)</f>
        <v>365</v>
      </c>
      <c r="AC344" s="5">
        <f>VLOOKUP($A344,'SegEnds_NonXtal_Prot#'!$A:$AL,36,FALSE)</f>
        <v>387</v>
      </c>
      <c r="AD344" s="5">
        <f>VLOOKUP($A344,'SegEnds_NonXtal_Prot#'!$A:$AL,5,FALSE)</f>
        <v>63</v>
      </c>
      <c r="AE344" s="5" t="str">
        <f>VLOOKUP($A344,'SegEnds_NonXtal_Prot#'!$A:$AL,8,FALSE)</f>
        <v>-</v>
      </c>
      <c r="AF344" s="5">
        <f>VLOOKUP($A344,'SegEnds_NonXtal_Prot#'!$A:$AL,11,FALSE)</f>
        <v>84</v>
      </c>
      <c r="AG344" s="5" t="str">
        <f>VLOOKUP($A344,'SegEnds_NonXtal_Prot#'!$A:$AL,14,FALSE)</f>
        <v>-</v>
      </c>
      <c r="AH344" s="5">
        <f>VLOOKUP($A344,'SegEnds_NonXtal_Prot#'!$A:$AL,17,FALSE)</f>
        <v>158</v>
      </c>
      <c r="AI344" s="5" t="str">
        <f>VLOOKUP($A344,'SegEnds_NonXtal_Prot#'!$A:$AL,20,FALSE)</f>
        <v>-</v>
      </c>
      <c r="AJ344" s="5">
        <f>VLOOKUP($A344,'SegEnds_NonXtal_Prot#'!$A:$AL,23,FALSE)</f>
        <v>199</v>
      </c>
      <c r="AK344" s="5" t="str">
        <f>VLOOKUP($A344,'SegEnds_NonXtal_Prot#'!$A:$AL,26,FALSE)</f>
        <v>-</v>
      </c>
      <c r="AL344" s="5">
        <f>VLOOKUP($A344,'SegEnds_NonXtal_Prot#'!$A:$AL,29,FALSE)</f>
        <v>279</v>
      </c>
      <c r="AM344" s="5">
        <f>VLOOKUP($A344,'SegEnds_NonXtal_Prot#'!$A:$AL,32,FALSE)</f>
        <v>350</v>
      </c>
      <c r="AN344" s="5">
        <f>VLOOKUP($A344,'SegEnds_NonXtal_Prot#'!$A:$AL,35,FALSE)</f>
        <v>386</v>
      </c>
      <c r="AO344" s="5">
        <f>VLOOKUP($A344,'SegEnds_NonXtal_Prot#'!$A:$AL,38,FALSE)</f>
        <v>397</v>
      </c>
      <c r="AP344" s="5">
        <f t="shared" si="138"/>
        <v>43</v>
      </c>
      <c r="AQ344" s="4" t="str">
        <f t="shared" si="139"/>
        <v>-</v>
      </c>
      <c r="AR344" s="4">
        <f t="shared" si="140"/>
        <v>24</v>
      </c>
      <c r="AS344" s="4" t="str">
        <f t="shared" si="141"/>
        <v>-</v>
      </c>
      <c r="AT344" s="4">
        <f t="shared" si="142"/>
        <v>33</v>
      </c>
      <c r="AU344" s="4" t="str">
        <f t="shared" si="143"/>
        <v>-</v>
      </c>
      <c r="AV344" s="4">
        <f t="shared" si="144"/>
        <v>24</v>
      </c>
      <c r="AW344" s="4" t="str">
        <f t="shared" si="145"/>
        <v>-</v>
      </c>
      <c r="AX344" s="4">
        <f t="shared" si="146"/>
        <v>22</v>
      </c>
      <c r="AY344" s="4">
        <f t="shared" si="147"/>
        <v>24</v>
      </c>
      <c r="AZ344" s="4">
        <f t="shared" si="148"/>
        <v>21</v>
      </c>
      <c r="BA344" s="4">
        <f t="shared" si="149"/>
        <v>10</v>
      </c>
    </row>
    <row r="345" spans="1:53" x14ac:dyDescent="0.2">
      <c r="A345" s="1" t="str">
        <f>'SegEnds_NonXtal_Prot#'!A338</f>
        <v>gabr1_human</v>
      </c>
      <c r="B345" s="1" t="str">
        <f t="shared" si="125"/>
        <v>KLFISVSVLSSLGIVLAVVCLSFNIYNQPNLNNLTAVGCSLALAAVFPLGPFVCQARLWLLGLGFSLGYGSMFTKIWWVHTVFEPWKLYATVGLLVGMDVLTLAIWQIVDNTWLGIFYGYKGLLLLLGIFLAYETDHRAVGMAIYNVAVLCLITAPVTMIAFAFASLAIVFSSYITLVVLFVPKMRRLITRGEWQSEAQDTMK</v>
      </c>
      <c r="C345" s="29" t="str">
        <f>IF(ISERROR(MATCH(A345,'SegEnds_Xtal_Prot#'!B:B, 0)), "NoXtal", "Xtal")</f>
        <v>NoXtal</v>
      </c>
      <c r="D345" s="4" t="str">
        <f>VLOOKUP(A345,Classification!A:D,2,FALSE)</f>
        <v>C</v>
      </c>
      <c r="E345" s="5" t="str">
        <f>VLOOKUP(A345,Seqs!A:B,2,FALSE)</f>
        <v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v>
      </c>
      <c r="F345" s="5" t="str">
        <f t="shared" si="126"/>
        <v>KLFISVSVLSSLGIVLAVVCLSFNIYN</v>
      </c>
      <c r="G345" s="4" t="str">
        <f t="shared" si="127"/>
        <v>VRYIQNS</v>
      </c>
      <c r="H345" s="4" t="str">
        <f t="shared" si="128"/>
        <v>QPNLNNLTAVGCSLALAAVFPLG</v>
      </c>
      <c r="I345" s="4" t="str">
        <f t="shared" si="129"/>
        <v/>
      </c>
      <c r="J345" s="4" t="str">
        <f t="shared" si="130"/>
        <v>PFVCQARLWLLGLGFSLGYGSMFTKIWWVHTVF</v>
      </c>
      <c r="K345" s="4" t="str">
        <f t="shared" si="131"/>
        <v/>
      </c>
      <c r="L345" s="4" t="str">
        <f t="shared" si="132"/>
        <v>EPWKLYATVGLLVGMDVLTLAIWQIVD</v>
      </c>
      <c r="M345" s="4" t="str">
        <f t="shared" si="133"/>
        <v>CSS</v>
      </c>
      <c r="N345" s="4" t="str">
        <f t="shared" si="134"/>
        <v>NTWLGIFYGYKGLLLLLGIFLAYET</v>
      </c>
      <c r="O345" s="4" t="str">
        <f t="shared" si="135"/>
        <v>DHRAVGMAIYNVAVLCLITAPVTMI</v>
      </c>
      <c r="P345" s="4" t="str">
        <f t="shared" si="136"/>
        <v>AFAFASLAIVFSSYITLVVLFVPKMRRLIT</v>
      </c>
      <c r="Q345" s="4" t="str">
        <f t="shared" si="137"/>
        <v>RGEWQSEAQDTMK</v>
      </c>
      <c r="R345" s="5">
        <f>VLOOKUP($A345,'SegEnds_NonXtal_Prot#'!$A:$AL,3,FALSE)</f>
        <v>590</v>
      </c>
      <c r="S345" s="5">
        <f>VLOOKUP($A345,'SegEnds_NonXtal_Prot#'!$A:$AL,6,FALSE)</f>
        <v>619</v>
      </c>
      <c r="T345" s="5">
        <f>VLOOKUP($A345,'SegEnds_NonXtal_Prot#'!$A:$AL,9,FALSE)</f>
        <v>626</v>
      </c>
      <c r="U345" s="5" t="str">
        <f>VLOOKUP($A345,'SegEnds_NonXtal_Prot#'!$A:$AL,12,FALSE)</f>
        <v>-</v>
      </c>
      <c r="V345" s="5">
        <f>VLOOKUP($A345,'SegEnds_NonXtal_Prot#'!$A:$AL,15,FALSE)</f>
        <v>660</v>
      </c>
      <c r="W345" s="5" t="str">
        <f>VLOOKUP($A345,'SegEnds_NonXtal_Prot#'!$A:$AL,18,FALSE)</f>
        <v>-</v>
      </c>
      <c r="X345" s="5">
        <f>VLOOKUP($A345,'SegEnds_NonXtal_Prot#'!$A:$AL,21,FALSE)</f>
        <v>706</v>
      </c>
      <c r="Y345" s="5">
        <f>VLOOKUP($A345,'SegEnds_NonXtal_Prot#'!$A:$AL,24,FALSE)</f>
        <v>761</v>
      </c>
      <c r="Z345" s="5">
        <f>VLOOKUP($A345,'SegEnds_NonXtal_Prot#'!$A:$AL,27,FALSE)</f>
        <v>767</v>
      </c>
      <c r="AA345" s="5">
        <f>VLOOKUP($A345,'SegEnds_NonXtal_Prot#'!$A:$AL,30,FALSE)</f>
        <v>801</v>
      </c>
      <c r="AB345" s="5">
        <f>VLOOKUP($A345,'SegEnds_NonXtal_Prot#'!$A:$AL,33,FALSE)</f>
        <v>833</v>
      </c>
      <c r="AC345" s="5">
        <f>VLOOKUP($A345,'SegEnds_NonXtal_Prot#'!$A:$AL,36,FALSE)</f>
        <v>863</v>
      </c>
      <c r="AD345" s="5">
        <f>VLOOKUP($A345,'SegEnds_NonXtal_Prot#'!$A:$AL,5,FALSE)</f>
        <v>616</v>
      </c>
      <c r="AE345" s="5">
        <f>VLOOKUP($A345,'SegEnds_NonXtal_Prot#'!$A:$AL,8,FALSE)</f>
        <v>625</v>
      </c>
      <c r="AF345" s="5">
        <f>VLOOKUP($A345,'SegEnds_NonXtal_Prot#'!$A:$AL,11,FALSE)</f>
        <v>648</v>
      </c>
      <c r="AG345" s="5" t="str">
        <f>VLOOKUP($A345,'SegEnds_NonXtal_Prot#'!$A:$AL,14,FALSE)</f>
        <v>-</v>
      </c>
      <c r="AH345" s="5">
        <f>VLOOKUP($A345,'SegEnds_NonXtal_Prot#'!$A:$AL,17,FALSE)</f>
        <v>692</v>
      </c>
      <c r="AI345" s="5" t="str">
        <f>VLOOKUP($A345,'SegEnds_NonXtal_Prot#'!$A:$AL,20,FALSE)</f>
        <v>-</v>
      </c>
      <c r="AJ345" s="5">
        <f>VLOOKUP($A345,'SegEnds_NonXtal_Prot#'!$A:$AL,23,FALSE)</f>
        <v>732</v>
      </c>
      <c r="AK345" s="5">
        <f>VLOOKUP($A345,'SegEnds_NonXtal_Prot#'!$A:$AL,26,FALSE)</f>
        <v>763</v>
      </c>
      <c r="AL345" s="5">
        <f>VLOOKUP($A345,'SegEnds_NonXtal_Prot#'!$A:$AL,29,FALSE)</f>
        <v>791</v>
      </c>
      <c r="AM345" s="5">
        <f>VLOOKUP($A345,'SegEnds_NonXtal_Prot#'!$A:$AL,32,FALSE)</f>
        <v>825</v>
      </c>
      <c r="AN345" s="5">
        <f>VLOOKUP($A345,'SegEnds_NonXtal_Prot#'!$A:$AL,35,FALSE)</f>
        <v>862</v>
      </c>
      <c r="AO345" s="5">
        <f>VLOOKUP($A345,'SegEnds_NonXtal_Prot#'!$A:$AL,38,FALSE)</f>
        <v>875</v>
      </c>
      <c r="AP345" s="5">
        <f t="shared" si="138"/>
        <v>26</v>
      </c>
      <c r="AQ345" s="4">
        <f t="shared" si="139"/>
        <v>6</v>
      </c>
      <c r="AR345" s="4">
        <f t="shared" si="140"/>
        <v>22</v>
      </c>
      <c r="AS345" s="4" t="str">
        <f t="shared" si="141"/>
        <v>-</v>
      </c>
      <c r="AT345" s="4">
        <f t="shared" si="142"/>
        <v>32</v>
      </c>
      <c r="AU345" s="4" t="str">
        <f t="shared" si="143"/>
        <v>-</v>
      </c>
      <c r="AV345" s="4">
        <f t="shared" si="144"/>
        <v>26</v>
      </c>
      <c r="AW345" s="4">
        <f t="shared" si="145"/>
        <v>2</v>
      </c>
      <c r="AX345" s="4">
        <f t="shared" si="146"/>
        <v>24</v>
      </c>
      <c r="AY345" s="4">
        <f t="shared" si="147"/>
        <v>24</v>
      </c>
      <c r="AZ345" s="4">
        <f t="shared" si="148"/>
        <v>29</v>
      </c>
      <c r="BA345" s="4">
        <f t="shared" si="149"/>
        <v>12</v>
      </c>
    </row>
    <row r="346" spans="1:53" x14ac:dyDescent="0.2">
      <c r="A346" s="1" t="str">
        <f>'SegEnds_NonXtal_Prot#'!A339</f>
        <v>gabr2_human</v>
      </c>
      <c r="B346" s="1" t="str">
        <f t="shared" si="125"/>
        <v>PLYSILSALTILGMIMASAFLFFNIKNSPYMNNLIILGGMLSYASIFLFGETLCTVRTWILTVGYTTAFGAMFAKTWRVHAIFKDQKLLVIVGGMLLIDLCILICWQAVDTIWLGIVYAYKGLLMLFGCFLAWETDSKYIGMSVYNVGIMCIIGAAVSFLQFCIVALVIIFCSTITLCLVFVPKLITLRTNPDAATQNRRFQF</v>
      </c>
      <c r="C346" s="29" t="str">
        <f>IF(ISERROR(MATCH(A346,'SegEnds_Xtal_Prot#'!B:B, 0)), "NoXtal", "Xtal")</f>
        <v>NoXtal</v>
      </c>
      <c r="D346" s="4" t="str">
        <f>VLOOKUP(A346,Classification!A:D,2,FALSE)</f>
        <v>C</v>
      </c>
      <c r="E346" s="5" t="str">
        <f>VLOOKUP(A346,Seqs!A:B,2,FALSE)</f>
        <v>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KYSMEPDPAGRDISIRPLLEHCENTHMTIWLGIVYAYKGLLMLFGCFLAWETRNVSIPALNDSKYIGMSVYNVGIMCIIGAAVSFLTRDQPNVQFCIVALVIIFCSTITLCLVFVPKLITLRTNPDAATQNRRFQFTQNQKKEDSKTSTSVTSVNQASTSRLEGLQSENHRLRMKITELDKDLEEVTMQLQDTPEKTTYIKQNHYQELNDILNLGNFTESTDGGKAILKNHLDQNPQLQWNTTEPSRTCKDPIEDINSPEHIQRRLSLQLPILHHAYLPSIGGVDASCVSPCVSPTASPRHRHVPPSFRVMVSGL</v>
      </c>
      <c r="F346" s="5" t="str">
        <f t="shared" si="126"/>
        <v>PLYSILSALTILGMIMASAFLFFNIKN</v>
      </c>
      <c r="G346" s="4" t="str">
        <f t="shared" si="127"/>
        <v>QKLIKMS</v>
      </c>
      <c r="H346" s="4" t="str">
        <f t="shared" si="128"/>
        <v>SPYMNNLIILGGMLSYASIFLFG</v>
      </c>
      <c r="I346" s="4" t="str">
        <f t="shared" si="129"/>
        <v/>
      </c>
      <c r="J346" s="4" t="str">
        <f t="shared" si="130"/>
        <v>ETLCTVRTWILTVGYTTAFGAMFAKTWRVHAIF</v>
      </c>
      <c r="K346" s="4" t="str">
        <f t="shared" si="131"/>
        <v/>
      </c>
      <c r="L346" s="4" t="str">
        <f t="shared" si="132"/>
        <v>KDQKLLVIVGGMLLIDLCILICWQAVD</v>
      </c>
      <c r="M346" s="4" t="str">
        <f t="shared" si="133"/>
        <v>CEN</v>
      </c>
      <c r="N346" s="4" t="str">
        <f t="shared" si="134"/>
        <v>TIWLGIVYAYKGLLMLFGCFLAWET</v>
      </c>
      <c r="O346" s="4" t="str">
        <f t="shared" si="135"/>
        <v>DSKYIGMSVYNVGIMCIIGAAVSFL</v>
      </c>
      <c r="P346" s="4" t="str">
        <f t="shared" si="136"/>
        <v>QFCIVALVIIFCSTITLCLVFVPKLITLRT</v>
      </c>
      <c r="Q346" s="4" t="str">
        <f t="shared" si="137"/>
        <v>NPDAATQNRRFQF</v>
      </c>
      <c r="R346" s="5">
        <f>VLOOKUP($A346,'SegEnds_NonXtal_Prot#'!$A:$AL,3,FALSE)</f>
        <v>480</v>
      </c>
      <c r="S346" s="5">
        <f>VLOOKUP($A346,'SegEnds_NonXtal_Prot#'!$A:$AL,6,FALSE)</f>
        <v>509</v>
      </c>
      <c r="T346" s="5">
        <f>VLOOKUP($A346,'SegEnds_NonXtal_Prot#'!$A:$AL,9,FALSE)</f>
        <v>516</v>
      </c>
      <c r="U346" s="5" t="str">
        <f>VLOOKUP($A346,'SegEnds_NonXtal_Prot#'!$A:$AL,12,FALSE)</f>
        <v>-</v>
      </c>
      <c r="V346" s="5">
        <f>VLOOKUP($A346,'SegEnds_NonXtal_Prot#'!$A:$AL,15,FALSE)</f>
        <v>550</v>
      </c>
      <c r="W346" s="5" t="str">
        <f>VLOOKUP($A346,'SegEnds_NonXtal_Prot#'!$A:$AL,18,FALSE)</f>
        <v>-</v>
      </c>
      <c r="X346" s="5">
        <f>VLOOKUP($A346,'SegEnds_NonXtal_Prot#'!$A:$AL,21,FALSE)</f>
        <v>593</v>
      </c>
      <c r="Y346" s="5">
        <f>VLOOKUP($A346,'SegEnds_NonXtal_Prot#'!$A:$AL,24,FALSE)</f>
        <v>648</v>
      </c>
      <c r="Z346" s="5">
        <f>VLOOKUP($A346,'SegEnds_NonXtal_Prot#'!$A:$AL,27,FALSE)</f>
        <v>654</v>
      </c>
      <c r="AA346" s="5">
        <f>VLOOKUP($A346,'SegEnds_NonXtal_Prot#'!$A:$AL,30,FALSE)</f>
        <v>688</v>
      </c>
      <c r="AB346" s="5">
        <f>VLOOKUP($A346,'SegEnds_NonXtal_Prot#'!$A:$AL,33,FALSE)</f>
        <v>720</v>
      </c>
      <c r="AC346" s="5">
        <f>VLOOKUP($A346,'SegEnds_NonXtal_Prot#'!$A:$AL,36,FALSE)</f>
        <v>750</v>
      </c>
      <c r="AD346" s="5">
        <f>VLOOKUP($A346,'SegEnds_NonXtal_Prot#'!$A:$AL,5,FALSE)</f>
        <v>506</v>
      </c>
      <c r="AE346" s="5">
        <f>VLOOKUP($A346,'SegEnds_NonXtal_Prot#'!$A:$AL,8,FALSE)</f>
        <v>515</v>
      </c>
      <c r="AF346" s="5">
        <f>VLOOKUP($A346,'SegEnds_NonXtal_Prot#'!$A:$AL,11,FALSE)</f>
        <v>538</v>
      </c>
      <c r="AG346" s="5" t="str">
        <f>VLOOKUP($A346,'SegEnds_NonXtal_Prot#'!$A:$AL,14,FALSE)</f>
        <v>-</v>
      </c>
      <c r="AH346" s="5">
        <f>VLOOKUP($A346,'SegEnds_NonXtal_Prot#'!$A:$AL,17,FALSE)</f>
        <v>582</v>
      </c>
      <c r="AI346" s="5" t="str">
        <f>VLOOKUP($A346,'SegEnds_NonXtal_Prot#'!$A:$AL,20,FALSE)</f>
        <v>-</v>
      </c>
      <c r="AJ346" s="5">
        <f>VLOOKUP($A346,'SegEnds_NonXtal_Prot#'!$A:$AL,23,FALSE)</f>
        <v>619</v>
      </c>
      <c r="AK346" s="5">
        <f>VLOOKUP($A346,'SegEnds_NonXtal_Prot#'!$A:$AL,26,FALSE)</f>
        <v>650</v>
      </c>
      <c r="AL346" s="5">
        <f>VLOOKUP($A346,'SegEnds_NonXtal_Prot#'!$A:$AL,29,FALSE)</f>
        <v>678</v>
      </c>
      <c r="AM346" s="5">
        <f>VLOOKUP($A346,'SegEnds_NonXtal_Prot#'!$A:$AL,32,FALSE)</f>
        <v>712</v>
      </c>
      <c r="AN346" s="5">
        <f>VLOOKUP($A346,'SegEnds_NonXtal_Prot#'!$A:$AL,35,FALSE)</f>
        <v>749</v>
      </c>
      <c r="AO346" s="5">
        <f>VLOOKUP($A346,'SegEnds_NonXtal_Prot#'!$A:$AL,38,FALSE)</f>
        <v>762</v>
      </c>
      <c r="AP346" s="5">
        <f t="shared" si="138"/>
        <v>26</v>
      </c>
      <c r="AQ346" s="4">
        <f t="shared" si="139"/>
        <v>6</v>
      </c>
      <c r="AR346" s="4">
        <f t="shared" si="140"/>
        <v>22</v>
      </c>
      <c r="AS346" s="4" t="str">
        <f t="shared" si="141"/>
        <v>-</v>
      </c>
      <c r="AT346" s="4">
        <f t="shared" si="142"/>
        <v>32</v>
      </c>
      <c r="AU346" s="4" t="str">
        <f t="shared" si="143"/>
        <v>-</v>
      </c>
      <c r="AV346" s="4">
        <f t="shared" si="144"/>
        <v>26</v>
      </c>
      <c r="AW346" s="4">
        <f t="shared" si="145"/>
        <v>2</v>
      </c>
      <c r="AX346" s="4">
        <f t="shared" si="146"/>
        <v>24</v>
      </c>
      <c r="AY346" s="4">
        <f t="shared" si="147"/>
        <v>24</v>
      </c>
      <c r="AZ346" s="4">
        <f t="shared" si="148"/>
        <v>29</v>
      </c>
      <c r="BA346" s="4">
        <f t="shared" si="149"/>
        <v>12</v>
      </c>
    </row>
    <row r="347" spans="1:53" x14ac:dyDescent="0.2">
      <c r="A347" s="1" t="str">
        <f>'SegEnds_NonXtal_Prot#'!A340</f>
        <v>ghrhr_human</v>
      </c>
      <c r="B347" s="1" t="str">
        <f t="shared" si="125"/>
        <v>LAEEESYFSTVKIIYTVGHSISIVALFVAITILVALCPRNYVHTQLFTTFILKAGAVFLKDAALSTVLCKVSVAASHFATMTNFSWLLAEAVYLNCLLASRAFWWLVLAGWGLPVLFTGTWVSCKLAFEYWWIIKGPIVLSVGVNFGLFLNIIRILVRKLHTQSQYWRLSKSTLFLIPLFGIHYIIFNFLGIRLPLELGLGSFQGFIVAILYCFLNQEVRTEISRKWHGHDPELLPAWRTR</v>
      </c>
      <c r="C347" s="29" t="str">
        <f>IF(ISERROR(MATCH(A347,'SegEnds_Xtal_Prot#'!B:B, 0)), "NoXtal", "Xtal")</f>
        <v>NoXtal</v>
      </c>
      <c r="D347" s="4" t="str">
        <f>VLOOKUP(A347,Classification!A:D,2,FALSE)</f>
        <v>B1</v>
      </c>
      <c r="E347" s="5" t="str">
        <f>VLOOKUP(A347,Seqs!A:B,2,FALSE)</f>
        <v>MDRRMWGAHVFCVLSPLPTVLGHMHPECDFITQLREDESACLQAAEEMPNTTLGCPATWDGLLCWPTAGSGEWVTLPCPDFFSHFSSESGAVKRDCTITGWSEPFPPYPVACPVPLELLAEEESYFSTVKIIYTVGHSISIVALFVAITILVALRRLHCPRNYVHTQLFTTFILKAGAVFLKDAALFHSDDTDHCSFSTVLCKVSVAASHFATMTNFSWLLAEAVYLNCLLASTSPSSRRAFWWLVLAGWGLPVLFTGTWVSCKLAFEDIACWDLDDTSPYWWIIKGPIVLSVGVNFGLFLNIIRILVRKLEPAQGSLHTQSQYWRLSKSTLFLIPLFGIHYIIFNFLPDNAGLGIRLPLELGLGSFQGFIVAILYCFLNQEVRTEISRKWHGHDPELLPAWRTRAKWTTPSRSAAKVLTSMC</v>
      </c>
      <c r="F347" s="5" t="str">
        <f t="shared" si="126"/>
        <v>LAEEESYFSTVKIIYTVGHSISIVALFVAITILVAL</v>
      </c>
      <c r="G347" s="4" t="str">
        <f t="shared" si="127"/>
        <v>RRLH</v>
      </c>
      <c r="H347" s="4" t="str">
        <f t="shared" si="128"/>
        <v>CPRNYVHTQLFTTFILKAGAVFLKDAAL</v>
      </c>
      <c r="I347" s="4" t="str">
        <f t="shared" si="129"/>
        <v/>
      </c>
      <c r="J347" s="4" t="str">
        <f t="shared" si="130"/>
        <v>STVLCKVSVAASHFATMTNFSWLLAEAVYLNCLLAS</v>
      </c>
      <c r="K347" s="4" t="str">
        <f t="shared" si="131"/>
        <v/>
      </c>
      <c r="L347" s="4" t="str">
        <f t="shared" si="132"/>
        <v>RAFWWLVLAGWGLPVLFTGTWVSCKLAFE</v>
      </c>
      <c r="M347" s="4" t="str">
        <f t="shared" si="133"/>
        <v>CWD</v>
      </c>
      <c r="N347" s="4" t="str">
        <f t="shared" si="134"/>
        <v>YWWIIKGPIVLSVGVNFGLFLNIIRILVRKL</v>
      </c>
      <c r="O347" s="4" t="str">
        <f t="shared" si="135"/>
        <v>HTQSQYWRLSKSTLFLIPLFGIHYIIFNF</v>
      </c>
      <c r="P347" s="4" t="str">
        <f t="shared" si="136"/>
        <v>LGIRLPLELGLGSFQGFIVAILYCFL</v>
      </c>
      <c r="Q347" s="4" t="str">
        <f t="shared" si="137"/>
        <v>NQEVRTEISRKWHGHDPELLPAWRTR</v>
      </c>
      <c r="R347" s="5">
        <f>VLOOKUP($A347,'SegEnds_NonXtal_Prot#'!$A:$AL,3,FALSE)</f>
        <v>119</v>
      </c>
      <c r="S347" s="5">
        <f>VLOOKUP($A347,'SegEnds_NonXtal_Prot#'!$A:$AL,6,FALSE)</f>
        <v>155</v>
      </c>
      <c r="T347" s="5">
        <f>VLOOKUP($A347,'SegEnds_NonXtal_Prot#'!$A:$AL,9,FALSE)</f>
        <v>159</v>
      </c>
      <c r="U347" s="5" t="str">
        <f>VLOOKUP($A347,'SegEnds_NonXtal_Prot#'!$A:$AL,12,FALSE)</f>
        <v>-</v>
      </c>
      <c r="V347" s="5">
        <f>VLOOKUP($A347,'SegEnds_NonXtal_Prot#'!$A:$AL,15,FALSE)</f>
        <v>198</v>
      </c>
      <c r="W347" s="5" t="str">
        <f>VLOOKUP($A347,'SegEnds_NonXtal_Prot#'!$A:$AL,18,FALSE)</f>
        <v>-</v>
      </c>
      <c r="X347" s="5">
        <f>VLOOKUP($A347,'SegEnds_NonXtal_Prot#'!$A:$AL,21,FALSE)</f>
        <v>240</v>
      </c>
      <c r="Y347" s="5">
        <f>VLOOKUP($A347,'SegEnds_NonXtal_Prot#'!$A:$AL,24,FALSE)</f>
        <v>272</v>
      </c>
      <c r="Z347" s="5">
        <f>VLOOKUP($A347,'SegEnds_NonXtal_Prot#'!$A:$AL,27,FALSE)</f>
        <v>281</v>
      </c>
      <c r="AA347" s="5">
        <f>VLOOKUP($A347,'SegEnds_NonXtal_Prot#'!$A:$AL,30,FALSE)</f>
        <v>319</v>
      </c>
      <c r="AB347" s="5">
        <f>VLOOKUP($A347,'SegEnds_NonXtal_Prot#'!$A:$AL,33,FALSE)</f>
        <v>354</v>
      </c>
      <c r="AC347" s="5">
        <f>VLOOKUP($A347,'SegEnds_NonXtal_Prot#'!$A:$AL,36,FALSE)</f>
        <v>380</v>
      </c>
      <c r="AD347" s="5">
        <f>VLOOKUP($A347,'SegEnds_NonXtal_Prot#'!$A:$AL,5,FALSE)</f>
        <v>154</v>
      </c>
      <c r="AE347" s="5">
        <f>VLOOKUP($A347,'SegEnds_NonXtal_Prot#'!$A:$AL,8,FALSE)</f>
        <v>158</v>
      </c>
      <c r="AF347" s="5">
        <f>VLOOKUP($A347,'SegEnds_NonXtal_Prot#'!$A:$AL,11,FALSE)</f>
        <v>186</v>
      </c>
      <c r="AG347" s="5" t="str">
        <f>VLOOKUP($A347,'SegEnds_NonXtal_Prot#'!$A:$AL,14,FALSE)</f>
        <v>-</v>
      </c>
      <c r="AH347" s="5">
        <f>VLOOKUP($A347,'SegEnds_NonXtal_Prot#'!$A:$AL,17,FALSE)</f>
        <v>233</v>
      </c>
      <c r="AI347" s="5" t="str">
        <f>VLOOKUP($A347,'SegEnds_NonXtal_Prot#'!$A:$AL,20,FALSE)</f>
        <v>-</v>
      </c>
      <c r="AJ347" s="5">
        <f>VLOOKUP($A347,'SegEnds_NonXtal_Prot#'!$A:$AL,23,FALSE)</f>
        <v>268</v>
      </c>
      <c r="AK347" s="5">
        <f>VLOOKUP($A347,'SegEnds_NonXtal_Prot#'!$A:$AL,26,FALSE)</f>
        <v>274</v>
      </c>
      <c r="AL347" s="5">
        <f>VLOOKUP($A347,'SegEnds_NonXtal_Prot#'!$A:$AL,29,FALSE)</f>
        <v>311</v>
      </c>
      <c r="AM347" s="5">
        <f>VLOOKUP($A347,'SegEnds_NonXtal_Prot#'!$A:$AL,32,FALSE)</f>
        <v>347</v>
      </c>
      <c r="AN347" s="5">
        <f>VLOOKUP($A347,'SegEnds_NonXtal_Prot#'!$A:$AL,35,FALSE)</f>
        <v>379</v>
      </c>
      <c r="AO347" s="5">
        <f>VLOOKUP($A347,'SegEnds_NonXtal_Prot#'!$A:$AL,38,FALSE)</f>
        <v>405</v>
      </c>
      <c r="AP347" s="5">
        <f t="shared" si="138"/>
        <v>35</v>
      </c>
      <c r="AQ347" s="4">
        <f t="shared" si="139"/>
        <v>3</v>
      </c>
      <c r="AR347" s="4">
        <f t="shared" si="140"/>
        <v>27</v>
      </c>
      <c r="AS347" s="4" t="str">
        <f t="shared" si="141"/>
        <v>-</v>
      </c>
      <c r="AT347" s="4">
        <f t="shared" si="142"/>
        <v>35</v>
      </c>
      <c r="AU347" s="4" t="str">
        <f t="shared" si="143"/>
        <v>-</v>
      </c>
      <c r="AV347" s="4">
        <f t="shared" si="144"/>
        <v>28</v>
      </c>
      <c r="AW347" s="4">
        <f t="shared" si="145"/>
        <v>2</v>
      </c>
      <c r="AX347" s="4">
        <f t="shared" si="146"/>
        <v>30</v>
      </c>
      <c r="AY347" s="4">
        <f t="shared" si="147"/>
        <v>28</v>
      </c>
      <c r="AZ347" s="4">
        <f t="shared" si="148"/>
        <v>25</v>
      </c>
      <c r="BA347" s="4">
        <f t="shared" si="149"/>
        <v>25</v>
      </c>
    </row>
    <row r="348" spans="1:53" x14ac:dyDescent="0.2">
      <c r="A348" s="1" t="str">
        <f>'SegEnds_NonXtal_Prot#'!A341</f>
        <v>gipr_human</v>
      </c>
      <c r="B348" s="1" t="str">
        <f t="shared" si="125"/>
        <v>FLDQRLILERLQVMYTVGYSLSLATLLLALLILSLFCTRNYIHINLFTSFMLRAAAILSRDRLLAACRTAQIVTQYCVGANYTWLLVEGVYLHSLLVLGHFRYYLLLGWGAPALFVIPWVIVRYLYEIWWIIRTPILMTILINFLIFIRILGILLSKLRTDYRLRLARSTLTLVPLLGVHEVVFAPRGALRFAKLGFEIFLSSFQGFLVSVLYCFINKEVQSEIRRGWHHCRLRRSLGEEQR</v>
      </c>
      <c r="C348" s="29" t="str">
        <f>IF(ISERROR(MATCH(A348,'SegEnds_Xtal_Prot#'!B:B, 0)), "NoXtal", "Xtal")</f>
        <v>NoXtal</v>
      </c>
      <c r="D348" s="4" t="str">
        <f>VLOOKUP(A348,Classification!A:D,2,FALSE)</f>
        <v>B1</v>
      </c>
      <c r="E348" s="5" t="str">
        <f>VLOOKUP(A348,Seqs!A:B,2,FALSE)</f>
        <v>MTTSPILQLLLRLSLCGLLLQRAETGSKGQTAGELYQRWERYRRECQETLAAAEPPSGLACNGSFDMYVCWDYAAPNATARASCPWYLPWHHHVAAGFVLRQCGSDGQWGLWRDHTQCENPEKNEAFLDQRLILERLQVMYTVGYSLSLATLLLALLILSLFRRLHCTRNYIHINLFTSFMLRAAAILSRDRLLPRPGPYLGDQALALWNQALAACRTAQIVTQYCVGANYTWLLVEGVYLHSLLVLVGGSEEGHFRYYLLLGWGAPALFVIPWVIVRYLYENTQCWERNEVKAIWWIIRTPILMTILINFLIFIRILGILLSKLRTRQMRCRDYRLRLARSTLTLVPLLGVHEVVFAPVTEEQARGALRFAKLGFEIFLSSFQGFLVSVLYCFINKEVQSEIRRGWHHCRLRRSLGEEQRQLPERAFRALPSGSGPGEVPTSRGLSSGTLPGPGNEASRELESYC</v>
      </c>
      <c r="F348" s="5" t="str">
        <f t="shared" si="126"/>
        <v>FLDQRLILERLQVMYTVGYSLSLATLLLALLILSLF</v>
      </c>
      <c r="G348" s="4" t="str">
        <f t="shared" si="127"/>
        <v>RRLH</v>
      </c>
      <c r="H348" s="4" t="str">
        <f t="shared" si="128"/>
        <v>CTRNYIHINLFTSFMLRAAAILSRDRLL</v>
      </c>
      <c r="I348" s="4" t="str">
        <f t="shared" si="129"/>
        <v/>
      </c>
      <c r="J348" s="4" t="str">
        <f t="shared" si="130"/>
        <v>AACRTAQIVTQYCVGANYTWLLVEGVYLHSLLVL</v>
      </c>
      <c r="K348" s="4" t="str">
        <f t="shared" si="131"/>
        <v/>
      </c>
      <c r="L348" s="4" t="str">
        <f t="shared" si="132"/>
        <v>GHFRYYLLLGWGAPALFVIPWVIVRYLYE</v>
      </c>
      <c r="M348" s="4" t="str">
        <f t="shared" si="133"/>
        <v>CWE</v>
      </c>
      <c r="N348" s="4" t="str">
        <f t="shared" si="134"/>
        <v>IWWIIRTPILMTILINFLIFIRILGILLSKLRT</v>
      </c>
      <c r="O348" s="4" t="str">
        <f t="shared" si="135"/>
        <v>DYRLRLARSTLTLVPLLGVHEVVFAP</v>
      </c>
      <c r="P348" s="4" t="str">
        <f t="shared" si="136"/>
        <v>RGALRFAKLGFEIFLSSFQGFLVSVLYCFI</v>
      </c>
      <c r="Q348" s="4" t="str">
        <f t="shared" si="137"/>
        <v>NKEVQSEIRRGWHHCRLRRSLGEEQR</v>
      </c>
      <c r="R348" s="5">
        <f>VLOOKUP($A348,'SegEnds_NonXtal_Prot#'!$A:$AL,3,FALSE)</f>
        <v>127</v>
      </c>
      <c r="S348" s="5">
        <f>VLOOKUP($A348,'SegEnds_NonXtal_Prot#'!$A:$AL,6,FALSE)</f>
        <v>163</v>
      </c>
      <c r="T348" s="5">
        <f>VLOOKUP($A348,'SegEnds_NonXtal_Prot#'!$A:$AL,9,FALSE)</f>
        <v>167</v>
      </c>
      <c r="U348" s="5" t="str">
        <f>VLOOKUP($A348,'SegEnds_NonXtal_Prot#'!$A:$AL,12,FALSE)</f>
        <v>-</v>
      </c>
      <c r="V348" s="5">
        <f>VLOOKUP($A348,'SegEnds_NonXtal_Prot#'!$A:$AL,15,FALSE)</f>
        <v>214</v>
      </c>
      <c r="W348" s="5" t="str">
        <f>VLOOKUP($A348,'SegEnds_NonXtal_Prot#'!$A:$AL,18,FALSE)</f>
        <v>-</v>
      </c>
      <c r="X348" s="5">
        <f>VLOOKUP($A348,'SegEnds_NonXtal_Prot#'!$A:$AL,21,FALSE)</f>
        <v>254</v>
      </c>
      <c r="Y348" s="5">
        <f>VLOOKUP($A348,'SegEnds_NonXtal_Prot#'!$A:$AL,24,FALSE)</f>
        <v>286</v>
      </c>
      <c r="Z348" s="5">
        <f>VLOOKUP($A348,'SegEnds_NonXtal_Prot#'!$A:$AL,27,FALSE)</f>
        <v>295</v>
      </c>
      <c r="AA348" s="5">
        <f>VLOOKUP($A348,'SegEnds_NonXtal_Prot#'!$A:$AL,30,FALSE)</f>
        <v>334</v>
      </c>
      <c r="AB348" s="5">
        <f>VLOOKUP($A348,'SegEnds_NonXtal_Prot#'!$A:$AL,33,FALSE)</f>
        <v>366</v>
      </c>
      <c r="AC348" s="5">
        <f>VLOOKUP($A348,'SegEnds_NonXtal_Prot#'!$A:$AL,36,FALSE)</f>
        <v>396</v>
      </c>
      <c r="AD348" s="5">
        <f>VLOOKUP($A348,'SegEnds_NonXtal_Prot#'!$A:$AL,5,FALSE)</f>
        <v>162</v>
      </c>
      <c r="AE348" s="5">
        <f>VLOOKUP($A348,'SegEnds_NonXtal_Prot#'!$A:$AL,8,FALSE)</f>
        <v>166</v>
      </c>
      <c r="AF348" s="5">
        <f>VLOOKUP($A348,'SegEnds_NonXtal_Prot#'!$A:$AL,11,FALSE)</f>
        <v>194</v>
      </c>
      <c r="AG348" s="5" t="str">
        <f>VLOOKUP($A348,'SegEnds_NonXtal_Prot#'!$A:$AL,14,FALSE)</f>
        <v>-</v>
      </c>
      <c r="AH348" s="5">
        <f>VLOOKUP($A348,'SegEnds_NonXtal_Prot#'!$A:$AL,17,FALSE)</f>
        <v>247</v>
      </c>
      <c r="AI348" s="5" t="str">
        <f>VLOOKUP($A348,'SegEnds_NonXtal_Prot#'!$A:$AL,20,FALSE)</f>
        <v>-</v>
      </c>
      <c r="AJ348" s="5">
        <f>VLOOKUP($A348,'SegEnds_NonXtal_Prot#'!$A:$AL,23,FALSE)</f>
        <v>282</v>
      </c>
      <c r="AK348" s="5">
        <f>VLOOKUP($A348,'SegEnds_NonXtal_Prot#'!$A:$AL,26,FALSE)</f>
        <v>288</v>
      </c>
      <c r="AL348" s="5">
        <f>VLOOKUP($A348,'SegEnds_NonXtal_Prot#'!$A:$AL,29,FALSE)</f>
        <v>327</v>
      </c>
      <c r="AM348" s="5">
        <f>VLOOKUP($A348,'SegEnds_NonXtal_Prot#'!$A:$AL,32,FALSE)</f>
        <v>359</v>
      </c>
      <c r="AN348" s="5">
        <f>VLOOKUP($A348,'SegEnds_NonXtal_Prot#'!$A:$AL,35,FALSE)</f>
        <v>395</v>
      </c>
      <c r="AO348" s="5">
        <f>VLOOKUP($A348,'SegEnds_NonXtal_Prot#'!$A:$AL,38,FALSE)</f>
        <v>421</v>
      </c>
      <c r="AP348" s="5">
        <f t="shared" si="138"/>
        <v>35</v>
      </c>
      <c r="AQ348" s="4">
        <f t="shared" si="139"/>
        <v>3</v>
      </c>
      <c r="AR348" s="4">
        <f t="shared" si="140"/>
        <v>27</v>
      </c>
      <c r="AS348" s="4" t="str">
        <f t="shared" si="141"/>
        <v>-</v>
      </c>
      <c r="AT348" s="4">
        <f t="shared" si="142"/>
        <v>33</v>
      </c>
      <c r="AU348" s="4" t="str">
        <f t="shared" si="143"/>
        <v>-</v>
      </c>
      <c r="AV348" s="4">
        <f t="shared" si="144"/>
        <v>28</v>
      </c>
      <c r="AW348" s="4">
        <f t="shared" si="145"/>
        <v>2</v>
      </c>
      <c r="AX348" s="4">
        <f t="shared" si="146"/>
        <v>32</v>
      </c>
      <c r="AY348" s="4">
        <f t="shared" si="147"/>
        <v>25</v>
      </c>
      <c r="AZ348" s="4">
        <f t="shared" si="148"/>
        <v>29</v>
      </c>
      <c r="BA348" s="4">
        <f t="shared" si="149"/>
        <v>25</v>
      </c>
    </row>
    <row r="349" spans="1:53" x14ac:dyDescent="0.2">
      <c r="A349" s="1" t="str">
        <f>'SegEnds_NonXtal_Prot#'!A342</f>
        <v>glp1r_human</v>
      </c>
      <c r="B349" s="1" t="str">
        <f t="shared" si="125"/>
        <v>EEQLLFLYIIYTVGYALSFSALVIASAILLGFCTRNYIHLNLFASFILRALSVFIKDAALLSCRLVFLLMQYCVAANYYWLLVEGVYLYTLLAFEQWIFRLYVSIGWGVPLLFVVPWGIVKYLYEYWLIIRLPILFAIGVNFLIFVRVICIVVSKLKADIKCRLAKSTLTLIPLLGTHEVIFAFVMDEHRGTLRFIKLFTELSFTSFQGLMVAILYCFVNNEVQLEFRKSWERWRLEHLHIQRDS</v>
      </c>
      <c r="C349" s="29" t="str">
        <f>IF(ISERROR(MATCH(A349,'SegEnds_Xtal_Prot#'!B:B, 0)), "NoXtal", "Xtal")</f>
        <v>Xtal</v>
      </c>
      <c r="D349" s="4" t="str">
        <f>VLOOKUP(A349,Classification!A:D,2,FALSE)</f>
        <v>B1</v>
      </c>
      <c r="E349" s="5" t="str">
        <f>VLOOKUP(A349,Seqs!A:B,2,FALSE)</f>
        <v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</v>
      </c>
      <c r="F349" s="5" t="str">
        <f t="shared" si="126"/>
        <v>EEQLLFLYIIYTVGYALSFSALVIASAILLGF</v>
      </c>
      <c r="G349" s="4" t="str">
        <f t="shared" si="127"/>
        <v>RHLH</v>
      </c>
      <c r="H349" s="4" t="str">
        <f t="shared" si="128"/>
        <v>CTRNYIHLNLFASFILRALSVFIKDAAL</v>
      </c>
      <c r="I349" s="4" t="str">
        <f t="shared" si="129"/>
        <v/>
      </c>
      <c r="J349" s="4" t="str">
        <f t="shared" si="130"/>
        <v>LSCRLVFLLMQYCVAANYYWLLVEGVYLYTLLAF</v>
      </c>
      <c r="K349" s="4" t="str">
        <f t="shared" si="131"/>
        <v/>
      </c>
      <c r="L349" s="4" t="str">
        <f t="shared" si="132"/>
        <v>EQWIFRLYVSIGWGVPLLFVVPWGIVKYLYE</v>
      </c>
      <c r="M349" s="4" t="str">
        <f t="shared" si="133"/>
        <v>CWT</v>
      </c>
      <c r="N349" s="4" t="str">
        <f t="shared" si="134"/>
        <v>YWLIIRLPILFAIGVNFLIFVRVICIVVSKLKA</v>
      </c>
      <c r="O349" s="4" t="str">
        <f t="shared" si="135"/>
        <v>DIKCRLAKSTLTLIPLLGTHEVIFAFVMDEH</v>
      </c>
      <c r="P349" s="4" t="str">
        <f t="shared" si="136"/>
        <v>RGTLRFIKLFTELSFTSFQGLMVAILYCFV</v>
      </c>
      <c r="Q349" s="4" t="str">
        <f t="shared" si="137"/>
        <v>NNEVQLEFRKSWERWRLEHLHIQRDS</v>
      </c>
      <c r="R349" s="5">
        <f>VLOOKUP($A349,'SegEnds_NonXtal_Prot#'!$A:$AL,3,FALSE)</f>
        <v>138</v>
      </c>
      <c r="S349" s="5">
        <f>VLOOKUP($A349,'SegEnds_NonXtal_Prot#'!$A:$AL,6,FALSE)</f>
        <v>170</v>
      </c>
      <c r="T349" s="5">
        <f>VLOOKUP($A349,'SegEnds_NonXtal_Prot#'!$A:$AL,9,FALSE)</f>
        <v>174</v>
      </c>
      <c r="U349" s="5" t="str">
        <f>VLOOKUP($A349,'SegEnds_NonXtal_Prot#'!$A:$AL,12,FALSE)</f>
        <v>-</v>
      </c>
      <c r="V349" s="5">
        <f>VLOOKUP($A349,'SegEnds_NonXtal_Prot#'!$A:$AL,15,FALSE)</f>
        <v>224</v>
      </c>
      <c r="W349" s="5" t="str">
        <f>VLOOKUP($A349,'SegEnds_NonXtal_Prot#'!$A:$AL,18,FALSE)</f>
        <v>-</v>
      </c>
      <c r="X349" s="5">
        <f>VLOOKUP($A349,'SegEnds_NonXtal_Prot#'!$A:$AL,21,FALSE)</f>
        <v>262</v>
      </c>
      <c r="Y349" s="5">
        <f>VLOOKUP($A349,'SegEnds_NonXtal_Prot#'!$A:$AL,24,FALSE)</f>
        <v>296</v>
      </c>
      <c r="Z349" s="5">
        <f>VLOOKUP($A349,'SegEnds_NonXtal_Prot#'!$A:$AL,27,FALSE)</f>
        <v>305</v>
      </c>
      <c r="AA349" s="5">
        <f>VLOOKUP($A349,'SegEnds_NonXtal_Prot#'!$A:$AL,30,FALSE)</f>
        <v>344</v>
      </c>
      <c r="AB349" s="5">
        <f>VLOOKUP($A349,'SegEnds_NonXtal_Prot#'!$A:$AL,33,FALSE)</f>
        <v>376</v>
      </c>
      <c r="AC349" s="5">
        <f>VLOOKUP($A349,'SegEnds_NonXtal_Prot#'!$A:$AL,36,FALSE)</f>
        <v>406</v>
      </c>
      <c r="AD349" s="5">
        <f>VLOOKUP($A349,'SegEnds_NonXtal_Prot#'!$A:$AL,5,FALSE)</f>
        <v>169</v>
      </c>
      <c r="AE349" s="5">
        <f>VLOOKUP($A349,'SegEnds_NonXtal_Prot#'!$A:$AL,8,FALSE)</f>
        <v>173</v>
      </c>
      <c r="AF349" s="5">
        <f>VLOOKUP($A349,'SegEnds_NonXtal_Prot#'!$A:$AL,11,FALSE)</f>
        <v>201</v>
      </c>
      <c r="AG349" s="5" t="str">
        <f>VLOOKUP($A349,'SegEnds_NonXtal_Prot#'!$A:$AL,14,FALSE)</f>
        <v>-</v>
      </c>
      <c r="AH349" s="5">
        <f>VLOOKUP($A349,'SegEnds_NonXtal_Prot#'!$A:$AL,17,FALSE)</f>
        <v>257</v>
      </c>
      <c r="AI349" s="5" t="str">
        <f>VLOOKUP($A349,'SegEnds_NonXtal_Prot#'!$A:$AL,20,FALSE)</f>
        <v>-</v>
      </c>
      <c r="AJ349" s="5">
        <f>VLOOKUP($A349,'SegEnds_NonXtal_Prot#'!$A:$AL,23,FALSE)</f>
        <v>292</v>
      </c>
      <c r="AK349" s="5">
        <f>VLOOKUP($A349,'SegEnds_NonXtal_Prot#'!$A:$AL,26,FALSE)</f>
        <v>298</v>
      </c>
      <c r="AL349" s="5">
        <f>VLOOKUP($A349,'SegEnds_NonXtal_Prot#'!$A:$AL,29,FALSE)</f>
        <v>337</v>
      </c>
      <c r="AM349" s="5">
        <f>VLOOKUP($A349,'SegEnds_NonXtal_Prot#'!$A:$AL,32,FALSE)</f>
        <v>374</v>
      </c>
      <c r="AN349" s="5">
        <f>VLOOKUP($A349,'SegEnds_NonXtal_Prot#'!$A:$AL,35,FALSE)</f>
        <v>405</v>
      </c>
      <c r="AO349" s="5">
        <f>VLOOKUP($A349,'SegEnds_NonXtal_Prot#'!$A:$AL,38,FALSE)</f>
        <v>431</v>
      </c>
      <c r="AP349" s="5">
        <f t="shared" si="138"/>
        <v>31</v>
      </c>
      <c r="AQ349" s="4">
        <f t="shared" si="139"/>
        <v>3</v>
      </c>
      <c r="AR349" s="4">
        <f t="shared" si="140"/>
        <v>27</v>
      </c>
      <c r="AS349" s="4" t="str">
        <f t="shared" si="141"/>
        <v>-</v>
      </c>
      <c r="AT349" s="4">
        <f t="shared" si="142"/>
        <v>33</v>
      </c>
      <c r="AU349" s="4" t="str">
        <f t="shared" si="143"/>
        <v>-</v>
      </c>
      <c r="AV349" s="4">
        <f t="shared" si="144"/>
        <v>30</v>
      </c>
      <c r="AW349" s="4">
        <f t="shared" si="145"/>
        <v>2</v>
      </c>
      <c r="AX349" s="4">
        <f t="shared" si="146"/>
        <v>32</v>
      </c>
      <c r="AY349" s="4">
        <f t="shared" si="147"/>
        <v>30</v>
      </c>
      <c r="AZ349" s="4">
        <f t="shared" si="148"/>
        <v>29</v>
      </c>
      <c r="BA349" s="4">
        <f t="shared" si="149"/>
        <v>25</v>
      </c>
    </row>
    <row r="350" spans="1:53" x14ac:dyDescent="0.2">
      <c r="A350" s="1" t="str">
        <f>'SegEnds_NonXtal_Prot#'!A343</f>
        <v>glp2r_human</v>
      </c>
      <c r="B350" s="1" t="str">
        <f t="shared" si="125"/>
        <v>NVDRYALLSTLQLMYTVGYSFSLISLFLALTLLLFLCTRNYIHMNLFASFILRTLAVLVKDVVFTSCRSVQVLLHYFVGANYLWLLVEGLYLHTLLEPRLWPRYLLLGWAFPVLFVVPWGFARAHLEIWWIIRGPMMLCVTVNFFIFLKILKLLISKLKADYKYRLAKSTLVLIPLLGVHEILFSFEGFAKLIRLFIQLTLSSFHGFLVALQYGFANGEVKAELRKYWVRFLLARHSGCRAC</v>
      </c>
      <c r="C350" s="29" t="str">
        <f>IF(ISERROR(MATCH(A350,'SegEnds_Xtal_Prot#'!B:B, 0)), "NoXtal", "Xtal")</f>
        <v>NoXtal</v>
      </c>
      <c r="D350" s="4" t="str">
        <f>VLOOKUP(A350,Classification!A:D,2,FALSE)</f>
        <v>B1</v>
      </c>
      <c r="E350" s="5" t="str">
        <f>VLOOKUP(A350,Seqs!A:B,2,FALSE)</f>
        <v>MKLGSSRAGPGRGSAGLLPGVHELPMGIPAPWGTSPLSFHRKCSLWAPGRPFLTLVLLVSIKQVTGSLLEETTRKWAQYKQACLRDLLKEPSGIFCNGTFDQYVCWPHSSPGNVSVPCPSYLPWWSEESSGRAYRHCLAQGTWQTIENATDIWQDDSECSENHSFKQNVDRYALLSTLQLMYTVGYSFSLISLFLALTLLLFLRKLHCTRNYIHMNLFASFILRTLAVLVKDVVFYNSYSKRPDNENGWMSYLSEMSTSCRSVQVLLHYFVGANYLWLLVEGLYLHTLLEPTVLPERRLWPRYLLLGWAFPVLFVVPWGFARAHLENTGCWTTNGNKKIWWIIRGPMMLCVTVNFFIFLKILKLLISKLKAHQMCFRDYKYRLAKSTLVLIPLLGVHEILFSFITDDQVEGFAKLIRLFIQLTLSSFHGFLVALQYGFANGEVKAELRKYWVRFLLARHSGCRACVLGKDFRFLGKCPKKLSEGDGAEKLRKLQPSLNSGRLLHLAMRGLGELGAQPQQDHARWPRGSSLSECSEGDVTMANTMEEILEESEI</v>
      </c>
      <c r="F350" s="5" t="str">
        <f t="shared" si="126"/>
        <v>NVDRYALLSTLQLMYTVGYSFSLISLFLALTLLLFL</v>
      </c>
      <c r="G350" s="4" t="str">
        <f t="shared" si="127"/>
        <v>RKLH</v>
      </c>
      <c r="H350" s="4" t="str">
        <f t="shared" si="128"/>
        <v>CTRNYIHMNLFASFILRTLAVLVKDVVF</v>
      </c>
      <c r="I350" s="4" t="str">
        <f t="shared" si="129"/>
        <v/>
      </c>
      <c r="J350" s="4" t="str">
        <f t="shared" si="130"/>
        <v>TSCRSVQVLLHYFVGANYLWLLVEGLYLHTLLEP</v>
      </c>
      <c r="K350" s="4" t="str">
        <f t="shared" si="131"/>
        <v/>
      </c>
      <c r="L350" s="4" t="str">
        <f t="shared" si="132"/>
        <v>RLWPRYLLLGWAFPVLFVVPWGFARAHLE</v>
      </c>
      <c r="M350" s="4" t="str">
        <f t="shared" si="133"/>
        <v>CWT</v>
      </c>
      <c r="N350" s="4" t="str">
        <f t="shared" si="134"/>
        <v>IWWIIRGPMMLCVTVNFFIFLKILKLLISKLKA</v>
      </c>
      <c r="O350" s="4" t="str">
        <f t="shared" si="135"/>
        <v>DYKYRLAKSTLVLIPLLGVHEILFSF</v>
      </c>
      <c r="P350" s="4" t="str">
        <f t="shared" si="136"/>
        <v>EGFAKLIRLFIQLTLSSFHGFLVALQYGFA</v>
      </c>
      <c r="Q350" s="4" t="str">
        <f t="shared" si="137"/>
        <v>NGEVKAELRKYWVRFLLARHSGCRAC</v>
      </c>
      <c r="R350" s="5">
        <f>VLOOKUP($A350,'SegEnds_NonXtal_Prot#'!$A:$AL,3,FALSE)</f>
        <v>168</v>
      </c>
      <c r="S350" s="5">
        <f>VLOOKUP($A350,'SegEnds_NonXtal_Prot#'!$A:$AL,6,FALSE)</f>
        <v>204</v>
      </c>
      <c r="T350" s="5">
        <f>VLOOKUP($A350,'SegEnds_NonXtal_Prot#'!$A:$AL,9,FALSE)</f>
        <v>208</v>
      </c>
      <c r="U350" s="5" t="str">
        <f>VLOOKUP($A350,'SegEnds_NonXtal_Prot#'!$A:$AL,12,FALSE)</f>
        <v>-</v>
      </c>
      <c r="V350" s="5">
        <f>VLOOKUP($A350,'SegEnds_NonXtal_Prot#'!$A:$AL,15,FALSE)</f>
        <v>258</v>
      </c>
      <c r="W350" s="5" t="str">
        <f>VLOOKUP($A350,'SegEnds_NonXtal_Prot#'!$A:$AL,18,FALSE)</f>
        <v>-</v>
      </c>
      <c r="X350" s="5">
        <f>VLOOKUP($A350,'SegEnds_NonXtal_Prot#'!$A:$AL,21,FALSE)</f>
        <v>298</v>
      </c>
      <c r="Y350" s="5">
        <f>VLOOKUP($A350,'SegEnds_NonXtal_Prot#'!$A:$AL,24,FALSE)</f>
        <v>330</v>
      </c>
      <c r="Z350" s="5">
        <f>VLOOKUP($A350,'SegEnds_NonXtal_Prot#'!$A:$AL,27,FALSE)</f>
        <v>339</v>
      </c>
      <c r="AA350" s="5">
        <f>VLOOKUP($A350,'SegEnds_NonXtal_Prot#'!$A:$AL,30,FALSE)</f>
        <v>378</v>
      </c>
      <c r="AB350" s="5">
        <f>VLOOKUP($A350,'SegEnds_NonXtal_Prot#'!$A:$AL,33,FALSE)</f>
        <v>410</v>
      </c>
      <c r="AC350" s="5">
        <f>VLOOKUP($A350,'SegEnds_NonXtal_Prot#'!$A:$AL,36,FALSE)</f>
        <v>440</v>
      </c>
      <c r="AD350" s="5">
        <f>VLOOKUP($A350,'SegEnds_NonXtal_Prot#'!$A:$AL,5,FALSE)</f>
        <v>203</v>
      </c>
      <c r="AE350" s="5">
        <f>VLOOKUP($A350,'SegEnds_NonXtal_Prot#'!$A:$AL,8,FALSE)</f>
        <v>207</v>
      </c>
      <c r="AF350" s="5">
        <f>VLOOKUP($A350,'SegEnds_NonXtal_Prot#'!$A:$AL,11,FALSE)</f>
        <v>235</v>
      </c>
      <c r="AG350" s="5" t="str">
        <f>VLOOKUP($A350,'SegEnds_NonXtal_Prot#'!$A:$AL,14,FALSE)</f>
        <v>-</v>
      </c>
      <c r="AH350" s="5">
        <f>VLOOKUP($A350,'SegEnds_NonXtal_Prot#'!$A:$AL,17,FALSE)</f>
        <v>291</v>
      </c>
      <c r="AI350" s="5" t="str">
        <f>VLOOKUP($A350,'SegEnds_NonXtal_Prot#'!$A:$AL,20,FALSE)</f>
        <v>-</v>
      </c>
      <c r="AJ350" s="5">
        <f>VLOOKUP($A350,'SegEnds_NonXtal_Prot#'!$A:$AL,23,FALSE)</f>
        <v>326</v>
      </c>
      <c r="AK350" s="5">
        <f>VLOOKUP($A350,'SegEnds_NonXtal_Prot#'!$A:$AL,26,FALSE)</f>
        <v>332</v>
      </c>
      <c r="AL350" s="5">
        <f>VLOOKUP($A350,'SegEnds_NonXtal_Prot#'!$A:$AL,29,FALSE)</f>
        <v>371</v>
      </c>
      <c r="AM350" s="5">
        <f>VLOOKUP($A350,'SegEnds_NonXtal_Prot#'!$A:$AL,32,FALSE)</f>
        <v>403</v>
      </c>
      <c r="AN350" s="5">
        <f>VLOOKUP($A350,'SegEnds_NonXtal_Prot#'!$A:$AL,35,FALSE)</f>
        <v>439</v>
      </c>
      <c r="AO350" s="5">
        <f>VLOOKUP($A350,'SegEnds_NonXtal_Prot#'!$A:$AL,38,FALSE)</f>
        <v>465</v>
      </c>
      <c r="AP350" s="5">
        <f t="shared" si="138"/>
        <v>35</v>
      </c>
      <c r="AQ350" s="4">
        <f t="shared" si="139"/>
        <v>3</v>
      </c>
      <c r="AR350" s="4">
        <f t="shared" si="140"/>
        <v>27</v>
      </c>
      <c r="AS350" s="4" t="str">
        <f t="shared" si="141"/>
        <v>-</v>
      </c>
      <c r="AT350" s="4">
        <f t="shared" si="142"/>
        <v>33</v>
      </c>
      <c r="AU350" s="4" t="str">
        <f t="shared" si="143"/>
        <v>-</v>
      </c>
      <c r="AV350" s="4">
        <f t="shared" si="144"/>
        <v>28</v>
      </c>
      <c r="AW350" s="4">
        <f t="shared" si="145"/>
        <v>2</v>
      </c>
      <c r="AX350" s="4">
        <f t="shared" si="146"/>
        <v>32</v>
      </c>
      <c r="AY350" s="4">
        <f t="shared" si="147"/>
        <v>25</v>
      </c>
      <c r="AZ350" s="4">
        <f t="shared" si="148"/>
        <v>29</v>
      </c>
      <c r="BA350" s="4">
        <f t="shared" si="149"/>
        <v>25</v>
      </c>
    </row>
    <row r="351" spans="1:53" x14ac:dyDescent="0.2">
      <c r="A351" s="1" t="str">
        <f>'SegEnds_NonXtal_Prot#'!A345</f>
        <v>gp107_human</v>
      </c>
      <c r="B351" s="1" t="str">
        <f t="shared" si="125"/>
        <v>GAVSFQFFFNISTDDQEGLYSLYFHKCLGKELPSDKFTFSMAFFFFLSGTIWIHILRKRRNDVFKEGWAVVYYITHLLKGALLFITIALIGTGWAFIKHNVAYIIIESTEEGTTEYGLWKDSLFQADLELLASSCPPASVSQRAGITLAKLKLFRHYYVLIVCYIYFTRIIAFFVLTGYKFRPASDNPYLQLSQEEDLEMESVVT</v>
      </c>
      <c r="C351" s="29" t="str">
        <f>IF(ISERROR(MATCH(A351,'SegEnds_Xtal_Prot#'!B:B, 0)), "NoXtal", "Xtal")</f>
        <v>NoXtal</v>
      </c>
      <c r="D351" s="4" t="str">
        <f>VLOOKUP(A351,Classification!A:D,2,FALSE)</f>
        <v>O</v>
      </c>
      <c r="E351" s="5" t="str">
        <f>VLOOKUP(A351,Seqs!A:B,2,FALSE)</f>
        <v>MAALAPVGSPASRGPRLAAGLRLLPMLGLLQLLAEPGLGRVHHLALKDDVRHKVHLNTFGFFKDGYMVVNVSSLSLNEPEDKDVTIGFSLDRTKNDGFSSYLDEDVNYCILKKQSVSVTLLILDISRSEVRVKSPPEAGTQLPKIIFSRDEKVLGQSQEPNVNPASAGNQTQKTQDGGKSKRSTVDSKAMGEKSFSVHNNGGAVSFQFFFNISTDDQEGLYSLYFHKCLGKELPSDKFTFSLDIEITEKNPDSYLSAGEIPLPKLYISMAFFFFLSGTIWIHILRKRRNDVFKIHWLMAALPFTKSLSLVFHAIDYHYISSQGFPIEGWAVVYYITHLLKGALLFITIALIGTGWAFIKHILSDKDKKIFMIVIPLQVLANVAYIIIESTEEGTTEYGLWKDSLFLVDLLCCGAILFPVVWSIRHLQEASATDGKGDSMGPLQQRANLRAGSRIESHHFAQADLELLASSCPPASVSQRAGITAAINLAKLKLFRHYYVLIVCYIYFTRIIAFLLKLAVPFQWKWLYQLLDETATLVFFVLTGYKFRPASDNPYLQLSQEEEDLEMESVVTTSGVMESMKKVKKVTNGSVEPQGEWEGAV</v>
      </c>
      <c r="F351" s="5" t="str">
        <f t="shared" si="126"/>
        <v>GAVSFQFFFNISTDDQEGLYSLYFHKCLGKELPSDKFTFS</v>
      </c>
      <c r="G351" s="4" t="str">
        <f t="shared" si="127"/>
        <v/>
      </c>
      <c r="H351" s="4" t="str">
        <f t="shared" si="128"/>
        <v>MAFFFFLSGTIWIHILRKRRNDVFK</v>
      </c>
      <c r="I351" s="4" t="str">
        <f t="shared" si="129"/>
        <v/>
      </c>
      <c r="J351" s="4" t="str">
        <f t="shared" si="130"/>
        <v>EGWAVVYYITHLLKGALLFITIALIGTGWAFIKH</v>
      </c>
      <c r="K351" s="4" t="str">
        <f t="shared" si="131"/>
        <v/>
      </c>
      <c r="L351" s="4" t="str">
        <f t="shared" si="132"/>
        <v>NVAYIIIESTEEGTTEYGLWKDSLF</v>
      </c>
      <c r="M351" s="4" t="str">
        <f t="shared" si="133"/>
        <v/>
      </c>
      <c r="N351" s="4" t="str">
        <f t="shared" si="134"/>
        <v>QADLELLASSCPPASVSQRAGIT</v>
      </c>
      <c r="O351" s="4" t="str">
        <f t="shared" si="135"/>
        <v>LAKLKLFRHYYVLIVCYIYFTRIIA</v>
      </c>
      <c r="P351" s="4" t="str">
        <f t="shared" si="136"/>
        <v>FFVLTGYKFRPASDNPYLQLSQ</v>
      </c>
      <c r="Q351" s="4" t="str">
        <f t="shared" si="137"/>
        <v>EEDLEMESVVT</v>
      </c>
      <c r="R351" s="5">
        <f>VLOOKUP($A351,'SegEnds_NonXtal_Prot#'!$A:$AL,3,FALSE)</f>
        <v>202</v>
      </c>
      <c r="S351" s="5" t="str">
        <f>VLOOKUP($A351,'SegEnds_NonXtal_Prot#'!$A:$AL,6,FALSE)</f>
        <v>-</v>
      </c>
      <c r="T351" s="5">
        <f>VLOOKUP($A351,'SegEnds_NonXtal_Prot#'!$A:$AL,9,FALSE)</f>
        <v>269</v>
      </c>
      <c r="U351" s="5" t="str">
        <f>VLOOKUP($A351,'SegEnds_NonXtal_Prot#'!$A:$AL,12,FALSE)</f>
        <v>-</v>
      </c>
      <c r="V351" s="5">
        <f>VLOOKUP($A351,'SegEnds_NonXtal_Prot#'!$A:$AL,15,FALSE)</f>
        <v>327</v>
      </c>
      <c r="W351" s="5" t="str">
        <f>VLOOKUP($A351,'SegEnds_NonXtal_Prot#'!$A:$AL,18,FALSE)</f>
        <v>-</v>
      </c>
      <c r="X351" s="5">
        <f>VLOOKUP($A351,'SegEnds_NonXtal_Prot#'!$A:$AL,21,FALSE)</f>
        <v>381</v>
      </c>
      <c r="Y351" s="5" t="str">
        <f>VLOOKUP($A351,'SegEnds_NonXtal_Prot#'!$A:$AL,24,FALSE)</f>
        <v>-</v>
      </c>
      <c r="Z351" s="5">
        <f>VLOOKUP($A351,'SegEnds_NonXtal_Prot#'!$A:$AL,27,FALSE)</f>
        <v>461</v>
      </c>
      <c r="AA351" s="5">
        <f>VLOOKUP($A351,'SegEnds_NonXtal_Prot#'!$A:$AL,30,FALSE)</f>
        <v>488</v>
      </c>
      <c r="AB351" s="5">
        <f>VLOOKUP($A351,'SegEnds_NonXtal_Prot#'!$A:$AL,33,FALSE)</f>
        <v>538</v>
      </c>
      <c r="AC351" s="5">
        <f>VLOOKUP($A351,'SegEnds_NonXtal_Prot#'!$A:$AL,36,FALSE)</f>
        <v>561</v>
      </c>
      <c r="AD351" s="5">
        <f>VLOOKUP($A351,'SegEnds_NonXtal_Prot#'!$A:$AL,5,FALSE)</f>
        <v>241</v>
      </c>
      <c r="AE351" s="5" t="str">
        <f>VLOOKUP($A351,'SegEnds_NonXtal_Prot#'!$A:$AL,8,FALSE)</f>
        <v>-</v>
      </c>
      <c r="AF351" s="5">
        <f>VLOOKUP($A351,'SegEnds_NonXtal_Prot#'!$A:$AL,11,FALSE)</f>
        <v>293</v>
      </c>
      <c r="AG351" s="5" t="str">
        <f>VLOOKUP($A351,'SegEnds_NonXtal_Prot#'!$A:$AL,14,FALSE)</f>
        <v>-</v>
      </c>
      <c r="AH351" s="5">
        <f>VLOOKUP($A351,'SegEnds_NonXtal_Prot#'!$A:$AL,17,FALSE)</f>
        <v>360</v>
      </c>
      <c r="AI351" s="5" t="str">
        <f>VLOOKUP($A351,'SegEnds_NonXtal_Prot#'!$A:$AL,20,FALSE)</f>
        <v>-</v>
      </c>
      <c r="AJ351" s="5">
        <f>VLOOKUP($A351,'SegEnds_NonXtal_Prot#'!$A:$AL,23,FALSE)</f>
        <v>405</v>
      </c>
      <c r="AK351" s="5" t="str">
        <f>VLOOKUP($A351,'SegEnds_NonXtal_Prot#'!$A:$AL,26,FALSE)</f>
        <v>-</v>
      </c>
      <c r="AL351" s="5">
        <f>VLOOKUP($A351,'SegEnds_NonXtal_Prot#'!$A:$AL,29,FALSE)</f>
        <v>483</v>
      </c>
      <c r="AM351" s="5">
        <f>VLOOKUP($A351,'SegEnds_NonXtal_Prot#'!$A:$AL,32,FALSE)</f>
        <v>512</v>
      </c>
      <c r="AN351" s="5">
        <f>VLOOKUP($A351,'SegEnds_NonXtal_Prot#'!$A:$AL,35,FALSE)</f>
        <v>559</v>
      </c>
      <c r="AO351" s="5">
        <f>VLOOKUP($A351,'SegEnds_NonXtal_Prot#'!$A:$AL,38,FALSE)</f>
        <v>571</v>
      </c>
      <c r="AP351" s="5">
        <f t="shared" si="138"/>
        <v>39</v>
      </c>
      <c r="AQ351" s="4" t="str">
        <f t="shared" si="139"/>
        <v>-</v>
      </c>
      <c r="AR351" s="4">
        <f t="shared" si="140"/>
        <v>24</v>
      </c>
      <c r="AS351" s="4" t="str">
        <f t="shared" si="141"/>
        <v>-</v>
      </c>
      <c r="AT351" s="4">
        <f t="shared" si="142"/>
        <v>33</v>
      </c>
      <c r="AU351" s="4" t="str">
        <f t="shared" si="143"/>
        <v>-</v>
      </c>
      <c r="AV351" s="4">
        <f t="shared" si="144"/>
        <v>24</v>
      </c>
      <c r="AW351" s="4" t="str">
        <f t="shared" si="145"/>
        <v>-</v>
      </c>
      <c r="AX351" s="4">
        <f t="shared" si="146"/>
        <v>22</v>
      </c>
      <c r="AY351" s="4">
        <f t="shared" si="147"/>
        <v>24</v>
      </c>
      <c r="AZ351" s="4">
        <f t="shared" si="148"/>
        <v>21</v>
      </c>
      <c r="BA351" s="4">
        <f t="shared" si="149"/>
        <v>10</v>
      </c>
    </row>
    <row r="352" spans="1:53" x14ac:dyDescent="0.2">
      <c r="A352" s="1" t="str">
        <f>'SegEnds_NonXtal_Prot#'!A346</f>
        <v>agrg6_human</v>
      </c>
      <c r="B352" s="1" t="str">
        <f t="shared" si="125"/>
        <v>SASQLDARNTKVLTFISYIGCGISAIFSAATLLTYVAFRDYPSKILMNLSTALLFLNLLFLLDGWIGLCIAVAVLLHFFLLATFTWMGLEAIHMYIALVKRYILKFCIIGWGLPALVVSVVLASRNNNEPVIFYVTCAGYFGVMFFLNIAMFIVVMVQICGRNEVLRNLRSVVSLTFLLGMTWGFAFFNIPFMYLFSIFNSLQGLFIFIFHCAMKENVQKQWRQHLCCGRF</v>
      </c>
      <c r="C352" s="29" t="str">
        <f>IF(ISERROR(MATCH(A352,'SegEnds_Xtal_Prot#'!B:B, 0)), "NoXtal", "Xtal")</f>
        <v>NoXtal</v>
      </c>
      <c r="D352" s="4" t="str">
        <f>VLOOKUP(A352,Classification!A:D,2,FALSE)</f>
        <v>B2</v>
      </c>
      <c r="E352" s="5" t="str">
        <f>VLOOKUP(A352,Seqs!A:B,2,FALSE)</f>
        <v>MMFRSDRMWSCHWKWKPSPLLFLFALYIMCVPHSVWGCANCRVVLSNPSGTFTSPCYPNDYPNSQACMWTLRAPTGYIIQITFNDFDIEEAPNCIYDSLSLDNGESQTKFCGATAKGLSFNSSANEMHVSFSSDFSIQKKGFNASYIRVAVSLRNQKVILPQTSDAYQVSVAKSISIPELSAFTLCFEATKVGHEDSDWTAFSYSNASFTQLLSFGKAKSGYFLSISDSKCLLNNALPVKEKEDIFAESFEQLCLVWNNSLGSIGVNFKRNYETVPCDSTISKVIPGNGKLLLGSNQNEIVSLKGDIYNFRLWNFTMNAKILSNLSCNVKGNVVDWQNDFWNIPNLALKAESNLSCGSYLIPLPAAELASCADLGTLCQATVNSPSTTPPTVTTNMPVTNRIDKQRNDGIIYRISVVIQNILRHPEVKVQSKVAEWLNSTFQNWNYTVYVVNISFHLSAGEDKIKVKRSLEDEPRLVLWALLVYNATNNTNLEGKIIQQKLLKNNESLDEGLRLHTVNVRQLGHCLAMEEPKGYYWPSIQPSEYVLPCPDKPGFSASRICFYNATNPLVTYWGPVDISNCLKEANEVANQILNLTADGQNLTSANITNIVEQVKRIVNKEENIDITLGSTLMNIFSNILSSSDSDLLESSSEALKTIDELAFKIDLNSTSHVNITTRNLALSVSSLLPGTNAISNFSIGLPSNNESYFQMDFESGQVDPLASVILPPNLLENLSPEDSVLVRRAQFTFFNKTGLFQDVGPQRKTLVSYVMACSIGNITIQNLKDPVQIKIKHTRTQEVHHPICAFWDLNKNKSFGGWNTSGCVAHRDSDASETVCLCNHFTHFGVLMDLPRSASQLDARNTKVLTFISYIGCGISAIFSAATLLTYVAFEKLRRDYPSKILMNLSTALLFLNLLFLLDGWITSFNVDGLCIAVAVLLHFFLLATFTWMGLEAIHMYIALVKVFNTYIRRYILKFCIIGWGLPALVVSVVLASRNNNEVYGKESYGKEKGDEFCWIQDPVIFYVTCAGYFGVMFFLNIAMFIVVMVQICGRNGKRSNRTLREEVLRNLRSVVSLTFLLGMTWGFAFFAWGPLNIPFMYLFSIFNSLQGLFIFIFHCAMKENVQKQWRQHLCCGRFRLADNSDWSKTATNIIKKSSDNLGKSLSSSSIGSNSTYLTSKSKSSSTTYFKRNSHTDNVSYEHSFNKSGSLRQCFHGQVLVKTGPC</v>
      </c>
      <c r="F352" s="5" t="str">
        <f t="shared" si="126"/>
        <v>SASQLDARNTKVLTFISYIGCGISAIFSAATLLTYVAF</v>
      </c>
      <c r="G352" s="4" t="str">
        <f t="shared" si="127"/>
        <v>EKLR</v>
      </c>
      <c r="H352" s="4" t="str">
        <f t="shared" si="128"/>
        <v>RDYPSKILMNLSTALLFLNLLFLLDGWI</v>
      </c>
      <c r="I352" s="4" t="str">
        <f t="shared" si="129"/>
        <v/>
      </c>
      <c r="J352" s="4" t="str">
        <f t="shared" si="130"/>
        <v>GLCIAVAVLLHFFLLATFTWMGLEAIHMYIALVK</v>
      </c>
      <c r="K352" s="4" t="str">
        <f t="shared" si="131"/>
        <v/>
      </c>
      <c r="L352" s="4" t="str">
        <f t="shared" si="132"/>
        <v>RYILKFCIIGWGLPALVVSVVLASRNNNE</v>
      </c>
      <c r="M352" s="4" t="str">
        <f t="shared" si="133"/>
        <v>CWI</v>
      </c>
      <c r="N352" s="4" t="str">
        <f t="shared" si="134"/>
        <v>PVIFYVTCAGYFGVMFFLNIAMFIVVMVQICGRN</v>
      </c>
      <c r="O352" s="4" t="str">
        <f t="shared" si="135"/>
        <v>EVLRNLRSVVSLTFLLGMTWGFAFF</v>
      </c>
      <c r="P352" s="4" t="str">
        <f t="shared" si="136"/>
        <v>NIPFMYLFSIFNSLQGLFIFIFHCAM</v>
      </c>
      <c r="Q352" s="4" t="str">
        <f t="shared" si="137"/>
        <v>KENVQKQWRQHLCCGRF</v>
      </c>
      <c r="R352" s="5">
        <f>VLOOKUP($A352,'SegEnds_NonXtal_Prot#'!$A:$AL,3,FALSE)</f>
        <v>852</v>
      </c>
      <c r="S352" s="5">
        <f>VLOOKUP($A352,'SegEnds_NonXtal_Prot#'!$A:$AL,6,FALSE)</f>
        <v>890</v>
      </c>
      <c r="T352" s="5">
        <f>VLOOKUP($A352,'SegEnds_NonXtal_Prot#'!$A:$AL,9,FALSE)</f>
        <v>894</v>
      </c>
      <c r="U352" s="5" t="str">
        <f>VLOOKUP($A352,'SegEnds_NonXtal_Prot#'!$A:$AL,12,FALSE)</f>
        <v>-</v>
      </c>
      <c r="V352" s="5">
        <f>VLOOKUP($A352,'SegEnds_NonXtal_Prot#'!$A:$AL,15,FALSE)</f>
        <v>928</v>
      </c>
      <c r="W352" s="5" t="str">
        <f>VLOOKUP($A352,'SegEnds_NonXtal_Prot#'!$A:$AL,18,FALSE)</f>
        <v>-</v>
      </c>
      <c r="X352" s="5">
        <f>VLOOKUP($A352,'SegEnds_NonXtal_Prot#'!$A:$AL,21,FALSE)</f>
        <v>969</v>
      </c>
      <c r="Y352" s="5">
        <f>VLOOKUP($A352,'SegEnds_NonXtal_Prot#'!$A:$AL,24,FALSE)</f>
        <v>1013</v>
      </c>
      <c r="Z352" s="5">
        <f>VLOOKUP($A352,'SegEnds_NonXtal_Prot#'!$A:$AL,27,FALSE)</f>
        <v>1018</v>
      </c>
      <c r="AA352" s="5">
        <f>VLOOKUP($A352,'SegEnds_NonXtal_Prot#'!$A:$AL,30,FALSE)</f>
        <v>1062</v>
      </c>
      <c r="AB352" s="5">
        <f>VLOOKUP($A352,'SegEnds_NonXtal_Prot#'!$A:$AL,33,FALSE)</f>
        <v>1092</v>
      </c>
      <c r="AC352" s="5">
        <f>VLOOKUP($A352,'SegEnds_NonXtal_Prot#'!$A:$AL,36,FALSE)</f>
        <v>1118</v>
      </c>
      <c r="AD352" s="5">
        <f>VLOOKUP($A352,'SegEnds_NonXtal_Prot#'!$A:$AL,5,FALSE)</f>
        <v>889</v>
      </c>
      <c r="AE352" s="5">
        <f>VLOOKUP($A352,'SegEnds_NonXtal_Prot#'!$A:$AL,8,FALSE)</f>
        <v>893</v>
      </c>
      <c r="AF352" s="5">
        <f>VLOOKUP($A352,'SegEnds_NonXtal_Prot#'!$A:$AL,11,FALSE)</f>
        <v>921</v>
      </c>
      <c r="AG352" s="5" t="str">
        <f>VLOOKUP($A352,'SegEnds_NonXtal_Prot#'!$A:$AL,14,FALSE)</f>
        <v>-</v>
      </c>
      <c r="AH352" s="5">
        <f>VLOOKUP($A352,'SegEnds_NonXtal_Prot#'!$A:$AL,17,FALSE)</f>
        <v>961</v>
      </c>
      <c r="AI352" s="5" t="str">
        <f>VLOOKUP($A352,'SegEnds_NonXtal_Prot#'!$A:$AL,20,FALSE)</f>
        <v>-</v>
      </c>
      <c r="AJ352" s="5">
        <f>VLOOKUP($A352,'SegEnds_NonXtal_Prot#'!$A:$AL,23,FALSE)</f>
        <v>997</v>
      </c>
      <c r="AK352" s="5">
        <f>VLOOKUP($A352,'SegEnds_NonXtal_Prot#'!$A:$AL,26,FALSE)</f>
        <v>1015</v>
      </c>
      <c r="AL352" s="5">
        <f>VLOOKUP($A352,'SegEnds_NonXtal_Prot#'!$A:$AL,29,FALSE)</f>
        <v>1051</v>
      </c>
      <c r="AM352" s="5">
        <f>VLOOKUP($A352,'SegEnds_NonXtal_Prot#'!$A:$AL,32,FALSE)</f>
        <v>1086</v>
      </c>
      <c r="AN352" s="5">
        <f>VLOOKUP($A352,'SegEnds_NonXtal_Prot#'!$A:$AL,35,FALSE)</f>
        <v>1117</v>
      </c>
      <c r="AO352" s="5">
        <f>VLOOKUP($A352,'SegEnds_NonXtal_Prot#'!$A:$AL,38,FALSE)</f>
        <v>1134</v>
      </c>
      <c r="AP352" s="5">
        <f t="shared" si="138"/>
        <v>37</v>
      </c>
      <c r="AQ352" s="4">
        <f t="shared" si="139"/>
        <v>3</v>
      </c>
      <c r="AR352" s="4">
        <f t="shared" si="140"/>
        <v>27</v>
      </c>
      <c r="AS352" s="4" t="str">
        <f t="shared" si="141"/>
        <v>-</v>
      </c>
      <c r="AT352" s="4">
        <f t="shared" si="142"/>
        <v>33</v>
      </c>
      <c r="AU352" s="4" t="str">
        <f t="shared" si="143"/>
        <v>-</v>
      </c>
      <c r="AV352" s="4">
        <f t="shared" si="144"/>
        <v>28</v>
      </c>
      <c r="AW352" s="4">
        <f t="shared" si="145"/>
        <v>2</v>
      </c>
      <c r="AX352" s="4">
        <f t="shared" si="146"/>
        <v>33</v>
      </c>
      <c r="AY352" s="4">
        <f t="shared" si="147"/>
        <v>24</v>
      </c>
      <c r="AZ352" s="4">
        <f t="shared" si="148"/>
        <v>25</v>
      </c>
      <c r="BA352" s="4">
        <f t="shared" si="149"/>
        <v>16</v>
      </c>
    </row>
    <row r="353" spans="1:53" x14ac:dyDescent="0.2">
      <c r="A353" s="1" t="str">
        <f>'SegEnds_NonXtal_Prot#'!A347</f>
        <v>gp132_human</v>
      </c>
      <c r="B353" s="1" t="str">
        <f t="shared" si="125"/>
        <v>ESRIVLVVVYSAVCTLGVPANCLTAWLALLQNVLAVYLLCLALCELLYTGTLPLWVIYIRNGLLACKVTAYIFFCNIYVSILFLCCISCDRFVAVVYRRRTAILISACIFILVGIVHYPVFQTEDSRIAGYYYARFTVGFAIPLSIIAFTNHRIFRSIKQSAAQKAKVKHSAIAVVVIFLVCFAPYHLVLLVKAAAFSYMCGLEERLYTASVVFLCLSTVNGVADPIIYVLATDHSRQEVSRIHK</v>
      </c>
      <c r="C353" s="29" t="str">
        <f>IF(ISERROR(MATCH(A353,'SegEnds_Xtal_Prot#'!B:B, 0)), "NoXtal", "Xtal")</f>
        <v>NoXtal</v>
      </c>
      <c r="D353" s="4" t="str">
        <f>VLOOKUP(A353,Classification!A:D,2,FALSE)</f>
        <v>A</v>
      </c>
      <c r="E353" s="5" t="str">
        <f>VLOOKUP(A353,Seqs!A:B,2,FALSE)</f>
        <v>MCPMLLKNGYNGNATPVTTTAPWASLGLSAKTCNNVSFEESRIVLVVVYSAVCTLGVPANCLTAWLALLQVLQGNVLAVYLLCLALCELLYTGTLPLWVIYIRNQHRWTLGLLACKVTAYIFFCNIYVSILFLCCISCDRFVAVVYALESRGRRRRRTAILISACIFILVGIVHYPVFQTEDKETCFDMLQMDSRIAGYYYARFTVGFAIPLSIIAFTNHRIFRSIKQSMGLSAAQKAKVKHSAIAVVVIFLVCFAPYHLVLLVKAAAFSYYRGDRNAMCGLEERLYTASVVFLCLSTVNGVADPIIYVLATDHSRQEVSRIHKGWKEWSMKTDVTRLTHSRDTEELQSPVALADHYTFSRPVHPPGSPCPAKRLIEESC</v>
      </c>
      <c r="F353" s="5" t="str">
        <f t="shared" si="126"/>
        <v>ESRIVLVVVYSAVCTLGVPANCLTAWLALLQ</v>
      </c>
      <c r="G353" s="4" t="str">
        <f t="shared" si="127"/>
        <v/>
      </c>
      <c r="H353" s="4" t="str">
        <f t="shared" si="128"/>
        <v>NVLAVYLLCLALCELLYTGTLPLWVIYIRN</v>
      </c>
      <c r="I353" s="4" t="str">
        <f t="shared" si="129"/>
        <v>RWTL</v>
      </c>
      <c r="J353" s="4" t="str">
        <f t="shared" si="130"/>
        <v>GLLACKVTAYIFFCNIYVSILFLCCISCDRFVAVVY</v>
      </c>
      <c r="K353" s="4" t="str">
        <f t="shared" si="131"/>
        <v/>
      </c>
      <c r="L353" s="4" t="str">
        <f t="shared" si="132"/>
        <v>RRRTAILISACIFILVGIVHYPVFQTE</v>
      </c>
      <c r="M353" s="4" t="str">
        <f t="shared" si="133"/>
        <v>CFD</v>
      </c>
      <c r="N353" s="4" t="str">
        <f t="shared" si="134"/>
        <v>DSRIAGYYYARFTVGFAIPLSIIAFTNHRIFRSIKQ</v>
      </c>
      <c r="O353" s="4" t="str">
        <f t="shared" si="135"/>
        <v>SAAQKAKVKHSAIAVVVIFLVCFAPYHLVLLVKAAAFSY</v>
      </c>
      <c r="P353" s="4" t="str">
        <f t="shared" si="136"/>
        <v>MCGLEERLYTASVVFLCLSTVNGVADPIIYVLA</v>
      </c>
      <c r="Q353" s="4" t="str">
        <f t="shared" si="137"/>
        <v>TDHSRQEVSRIHK</v>
      </c>
      <c r="R353" s="5">
        <f>VLOOKUP($A353,'SegEnds_NonXtal_Prot#'!$A:$AL,3,FALSE)</f>
        <v>40</v>
      </c>
      <c r="S353" s="5" t="str">
        <f>VLOOKUP($A353,'SegEnds_NonXtal_Prot#'!$A:$AL,6,FALSE)</f>
        <v>-</v>
      </c>
      <c r="T353" s="5">
        <f>VLOOKUP($A353,'SegEnds_NonXtal_Prot#'!$A:$AL,9,FALSE)</f>
        <v>75</v>
      </c>
      <c r="U353" s="5">
        <f>VLOOKUP($A353,'SegEnds_NonXtal_Prot#'!$A:$AL,12,FALSE)</f>
        <v>107</v>
      </c>
      <c r="V353" s="5">
        <f>VLOOKUP($A353,'SegEnds_NonXtal_Prot#'!$A:$AL,15,FALSE)</f>
        <v>111</v>
      </c>
      <c r="W353" s="5" t="str">
        <f>VLOOKUP($A353,'SegEnds_NonXtal_Prot#'!$A:$AL,18,FALSE)</f>
        <v>-</v>
      </c>
      <c r="X353" s="5">
        <f>VLOOKUP($A353,'SegEnds_NonXtal_Prot#'!$A:$AL,21,FALSE)</f>
        <v>155</v>
      </c>
      <c r="Y353" s="5">
        <f>VLOOKUP($A353,'SegEnds_NonXtal_Prot#'!$A:$AL,24,FALSE)</f>
        <v>186</v>
      </c>
      <c r="Z353" s="5">
        <f>VLOOKUP($A353,'SegEnds_NonXtal_Prot#'!$A:$AL,27,FALSE)</f>
        <v>193</v>
      </c>
      <c r="AA353" s="5">
        <f>VLOOKUP($A353,'SegEnds_NonXtal_Prot#'!$A:$AL,30,FALSE)</f>
        <v>233</v>
      </c>
      <c r="AB353" s="5">
        <f>VLOOKUP($A353,'SegEnds_NonXtal_Prot#'!$A:$AL,33,FALSE)</f>
        <v>279</v>
      </c>
      <c r="AC353" s="5">
        <f>VLOOKUP($A353,'SegEnds_NonXtal_Prot#'!$A:$AL,36,FALSE)</f>
        <v>312</v>
      </c>
      <c r="AD353" s="5">
        <f>VLOOKUP($A353,'SegEnds_NonXtal_Prot#'!$A:$AL,5,FALSE)</f>
        <v>70</v>
      </c>
      <c r="AE353" s="5" t="str">
        <f>VLOOKUP($A353,'SegEnds_NonXtal_Prot#'!$A:$AL,8,FALSE)</f>
        <v>-</v>
      </c>
      <c r="AF353" s="5">
        <f>VLOOKUP($A353,'SegEnds_NonXtal_Prot#'!$A:$AL,11,FALSE)</f>
        <v>104</v>
      </c>
      <c r="AG353" s="5">
        <f>VLOOKUP($A353,'SegEnds_NonXtal_Prot#'!$A:$AL,14,FALSE)</f>
        <v>110</v>
      </c>
      <c r="AH353" s="5">
        <f>VLOOKUP($A353,'SegEnds_NonXtal_Prot#'!$A:$AL,17,FALSE)</f>
        <v>146</v>
      </c>
      <c r="AI353" s="5" t="str">
        <f>VLOOKUP($A353,'SegEnds_NonXtal_Prot#'!$A:$AL,20,FALSE)</f>
        <v>-</v>
      </c>
      <c r="AJ353" s="5">
        <f>VLOOKUP($A353,'SegEnds_NonXtal_Prot#'!$A:$AL,23,FALSE)</f>
        <v>181</v>
      </c>
      <c r="AK353" s="5">
        <f>VLOOKUP($A353,'SegEnds_NonXtal_Prot#'!$A:$AL,26,FALSE)</f>
        <v>188</v>
      </c>
      <c r="AL353" s="5">
        <f>VLOOKUP($A353,'SegEnds_NonXtal_Prot#'!$A:$AL,29,FALSE)</f>
        <v>228</v>
      </c>
      <c r="AM353" s="5">
        <f>VLOOKUP($A353,'SegEnds_NonXtal_Prot#'!$A:$AL,32,FALSE)</f>
        <v>271</v>
      </c>
      <c r="AN353" s="5">
        <f>VLOOKUP($A353,'SegEnds_NonXtal_Prot#'!$A:$AL,35,FALSE)</f>
        <v>311</v>
      </c>
      <c r="AO353" s="5">
        <f>VLOOKUP($A353,'SegEnds_NonXtal_Prot#'!$A:$AL,38,FALSE)</f>
        <v>324</v>
      </c>
      <c r="AP353" s="5">
        <f t="shared" si="138"/>
        <v>30</v>
      </c>
      <c r="AQ353" s="4" t="str">
        <f t="shared" si="139"/>
        <v>-</v>
      </c>
      <c r="AR353" s="4">
        <f t="shared" si="140"/>
        <v>29</v>
      </c>
      <c r="AS353" s="4">
        <f t="shared" si="141"/>
        <v>3</v>
      </c>
      <c r="AT353" s="4">
        <f t="shared" si="142"/>
        <v>35</v>
      </c>
      <c r="AU353" s="4" t="str">
        <f t="shared" si="143"/>
        <v>-</v>
      </c>
      <c r="AV353" s="4">
        <f t="shared" si="144"/>
        <v>26</v>
      </c>
      <c r="AW353" s="4">
        <f t="shared" si="145"/>
        <v>2</v>
      </c>
      <c r="AX353" s="4">
        <f t="shared" si="146"/>
        <v>35</v>
      </c>
      <c r="AY353" s="4">
        <f t="shared" si="147"/>
        <v>38</v>
      </c>
      <c r="AZ353" s="4">
        <f t="shared" si="148"/>
        <v>32</v>
      </c>
      <c r="BA353" s="4">
        <f t="shared" si="149"/>
        <v>12</v>
      </c>
    </row>
    <row r="354" spans="1:53" x14ac:dyDescent="0.2">
      <c r="A354" s="1" t="str">
        <f>'SegEnds_NonXtal_Prot#'!A348</f>
        <v>gp135_human</v>
      </c>
      <c r="B354" s="1" t="str">
        <f t="shared" si="125"/>
        <v>VAAQALVLLLIFLLSSLGNCAVMGVIVKHTVTNAFILSLSLSDLLTALLCLPAAFLDLFTAGPWRGFCAASRFFSSCFGIVSTLSVALISLDRYCAIVRGRRRALQLLAGAWLTALGFSLPWELLGAQLGAAFSVGLVVACYLLPFLLMCFCHYHICKTVRLSDVRVVLRFFSEVRTATTVLIMIVFVICCWGPYCFLVLLAAARMQAPSLLSVVAVWLTWANGAINPVIYAIRNPNISMLLGRNR</v>
      </c>
      <c r="C354" s="29" t="str">
        <f>IF(ISERROR(MATCH(A354,'SegEnds_Xtal_Prot#'!B:B, 0)), "NoXtal", "Xtal")</f>
        <v>NoXtal</v>
      </c>
      <c r="D354" s="4" t="str">
        <f>VLOOKUP(A354,Classification!A:D,2,FALSE)</f>
        <v>A</v>
      </c>
      <c r="E354" s="5" t="str">
        <f>VLOOKUP(A354,Seqs!A:B,2,FALSE)</f>
        <v>MEEPQPPRPPASMALLGSQHSGAPSAAGPPGGTSSAATAAVLSFSTVATAALGNLSDASGGGTAAAPGGGGLGGSGAAREAGAAVRRPLGPEAAPLLSHGAAVAAQALVLLLIFLLSSLGNCAVMGVIVKHRQLRTVTNAFILSLSLSDLLTALLCLPAAFLDLFTPPGGSAPAAAAGPWRGFCAASRFFSSCFGIVSTLSVALISLDRYCAIVRPPREKIGRRRALQLLAGAWLTALGFSLPWELLGAPRELAAAQSFHGCLYRTSPDPAQLGAAFSVGLVVACYLLPFLLMCFCHYHICKTVRLSDVRVRPVNTYARVLRFFSEVRTATTVLIMIVFVICCWGPYCFLVLLAAARQAQTMQAPSLLSVVAVWLTWANGAINPVIYAIRNPNISMLLGRNREEGYRTRNVDAFLPSQGPGLQARSRSRLRNRYANRLGACNRMSSSNPASGVAGDVAMWARKNPVVLFCREGPPEPVTAVTKQPKSEAGDTSL</v>
      </c>
      <c r="F354" s="5" t="str">
        <f t="shared" si="126"/>
        <v>VAAQALVLLLIFLLSSLGNCAVMGVIVKH</v>
      </c>
      <c r="G354" s="4" t="str">
        <f t="shared" si="127"/>
        <v>RQLR</v>
      </c>
      <c r="H354" s="4" t="str">
        <f t="shared" si="128"/>
        <v>TVTNAFILSLSLSDLLTALLCLPAAFLDLFT</v>
      </c>
      <c r="I354" s="4" t="str">
        <f t="shared" si="129"/>
        <v/>
      </c>
      <c r="J354" s="4" t="str">
        <f t="shared" si="130"/>
        <v>AGPWRGFCAASRFFSSCFGIVSTLSVALISLDRYCAIVR</v>
      </c>
      <c r="K354" s="4" t="str">
        <f t="shared" si="131"/>
        <v/>
      </c>
      <c r="L354" s="4" t="str">
        <f t="shared" si="132"/>
        <v>GRRRALQLLAGAWLTALGFSLPWELLG</v>
      </c>
      <c r="M354" s="4" t="str">
        <f t="shared" si="133"/>
        <v>CLY</v>
      </c>
      <c r="N354" s="4" t="str">
        <f t="shared" si="134"/>
        <v>AQLGAAFSVGLVVACYLLPFLLMCFCHYHICKTVRLSDVRV</v>
      </c>
      <c r="O354" s="4" t="str">
        <f t="shared" si="135"/>
        <v>VLRFFSEVRTATTVLIMIVFVICCWGPYCFLVLLAAAR</v>
      </c>
      <c r="P354" s="4" t="str">
        <f t="shared" si="136"/>
        <v>MQAPSLLSVVAVWLTWANGAINPVIYAIR</v>
      </c>
      <c r="Q354" s="4" t="str">
        <f t="shared" si="137"/>
        <v>NPNISMLLGRNR</v>
      </c>
      <c r="R354" s="5">
        <f>VLOOKUP($A354,'SegEnds_NonXtal_Prot#'!$A:$AL,3,FALSE)</f>
        <v>103</v>
      </c>
      <c r="S354" s="5">
        <f>VLOOKUP($A354,'SegEnds_NonXtal_Prot#'!$A:$AL,6,FALSE)</f>
        <v>132</v>
      </c>
      <c r="T354" s="5">
        <f>VLOOKUP($A354,'SegEnds_NonXtal_Prot#'!$A:$AL,9,FALSE)</f>
        <v>136</v>
      </c>
      <c r="U354" s="5" t="str">
        <f>VLOOKUP($A354,'SegEnds_NonXtal_Prot#'!$A:$AL,12,FALSE)</f>
        <v>-</v>
      </c>
      <c r="V354" s="5">
        <f>VLOOKUP($A354,'SegEnds_NonXtal_Prot#'!$A:$AL,15,FALSE)</f>
        <v>177</v>
      </c>
      <c r="W354" s="5" t="str">
        <f>VLOOKUP($A354,'SegEnds_NonXtal_Prot#'!$A:$AL,18,FALSE)</f>
        <v>-</v>
      </c>
      <c r="X354" s="5">
        <f>VLOOKUP($A354,'SegEnds_NonXtal_Prot#'!$A:$AL,21,FALSE)</f>
        <v>222</v>
      </c>
      <c r="Y354" s="5">
        <f>VLOOKUP($A354,'SegEnds_NonXtal_Prot#'!$A:$AL,24,FALSE)</f>
        <v>262</v>
      </c>
      <c r="Z354" s="5">
        <f>VLOOKUP($A354,'SegEnds_NonXtal_Prot#'!$A:$AL,27,FALSE)</f>
        <v>271</v>
      </c>
      <c r="AA354" s="5">
        <f>VLOOKUP($A354,'SegEnds_NonXtal_Prot#'!$A:$AL,30,FALSE)</f>
        <v>320</v>
      </c>
      <c r="AB354" s="5">
        <f>VLOOKUP($A354,'SegEnds_NonXtal_Prot#'!$A:$AL,33,FALSE)</f>
        <v>362</v>
      </c>
      <c r="AC354" s="5">
        <f>VLOOKUP($A354,'SegEnds_NonXtal_Prot#'!$A:$AL,36,FALSE)</f>
        <v>391</v>
      </c>
      <c r="AD354" s="5">
        <f>VLOOKUP($A354,'SegEnds_NonXtal_Prot#'!$A:$AL,5,FALSE)</f>
        <v>131</v>
      </c>
      <c r="AE354" s="5">
        <f>VLOOKUP($A354,'SegEnds_NonXtal_Prot#'!$A:$AL,8,FALSE)</f>
        <v>135</v>
      </c>
      <c r="AF354" s="5">
        <f>VLOOKUP($A354,'SegEnds_NonXtal_Prot#'!$A:$AL,11,FALSE)</f>
        <v>166</v>
      </c>
      <c r="AG354" s="5" t="str">
        <f>VLOOKUP($A354,'SegEnds_NonXtal_Prot#'!$A:$AL,14,FALSE)</f>
        <v>-</v>
      </c>
      <c r="AH354" s="5">
        <f>VLOOKUP($A354,'SegEnds_NonXtal_Prot#'!$A:$AL,17,FALSE)</f>
        <v>215</v>
      </c>
      <c r="AI354" s="5" t="str">
        <f>VLOOKUP($A354,'SegEnds_NonXtal_Prot#'!$A:$AL,20,FALSE)</f>
        <v>-</v>
      </c>
      <c r="AJ354" s="5">
        <f>VLOOKUP($A354,'SegEnds_NonXtal_Prot#'!$A:$AL,23,FALSE)</f>
        <v>248</v>
      </c>
      <c r="AK354" s="5">
        <f>VLOOKUP($A354,'SegEnds_NonXtal_Prot#'!$A:$AL,26,FALSE)</f>
        <v>264</v>
      </c>
      <c r="AL354" s="5">
        <f>VLOOKUP($A354,'SegEnds_NonXtal_Prot#'!$A:$AL,29,FALSE)</f>
        <v>311</v>
      </c>
      <c r="AM354" s="5">
        <f>VLOOKUP($A354,'SegEnds_NonXtal_Prot#'!$A:$AL,32,FALSE)</f>
        <v>357</v>
      </c>
      <c r="AN354" s="5">
        <f>VLOOKUP($A354,'SegEnds_NonXtal_Prot#'!$A:$AL,35,FALSE)</f>
        <v>390</v>
      </c>
      <c r="AO354" s="5">
        <f>VLOOKUP($A354,'SegEnds_NonXtal_Prot#'!$A:$AL,38,FALSE)</f>
        <v>402</v>
      </c>
      <c r="AP354" s="5">
        <f t="shared" si="138"/>
        <v>28</v>
      </c>
      <c r="AQ354" s="4">
        <f t="shared" si="139"/>
        <v>3</v>
      </c>
      <c r="AR354" s="4">
        <f t="shared" si="140"/>
        <v>30</v>
      </c>
      <c r="AS354" s="4" t="str">
        <f t="shared" si="141"/>
        <v>-</v>
      </c>
      <c r="AT354" s="4">
        <f t="shared" si="142"/>
        <v>38</v>
      </c>
      <c r="AU354" s="4" t="str">
        <f t="shared" si="143"/>
        <v>-</v>
      </c>
      <c r="AV354" s="4">
        <f t="shared" si="144"/>
        <v>26</v>
      </c>
      <c r="AW354" s="4">
        <f t="shared" si="145"/>
        <v>2</v>
      </c>
      <c r="AX354" s="4">
        <f t="shared" si="146"/>
        <v>40</v>
      </c>
      <c r="AY354" s="4">
        <f t="shared" si="147"/>
        <v>37</v>
      </c>
      <c r="AZ354" s="4">
        <f t="shared" si="148"/>
        <v>28</v>
      </c>
      <c r="BA354" s="4">
        <f t="shared" si="149"/>
        <v>11</v>
      </c>
    </row>
    <row r="355" spans="1:53" x14ac:dyDescent="0.2">
      <c r="A355" s="1" t="str">
        <f>'SegEnds_NonXtal_Prot#'!A349</f>
        <v>gp143_human</v>
      </c>
      <c r="B355" s="1" t="str">
        <f t="shared" si="125"/>
        <v>PTRDAATQLVLSFQPRAFHALCLGSGGLRLALGLLQLLPGRSVRILRAAAACDLLGCLGMVIRSTVAFCVGSAMWIQLLYSACFWWLFCYAVDAYLVIRRSTILLYHIMAWGLATLLCVEGAAMLHAIPHYVTMYLPLLLVLVANPILMGAVIKIRFFKIMLVLIICWLSNIIFIMGILNPAQGFLLSLAFYGWTGCSLGFQSPRK</v>
      </c>
      <c r="C355" s="29" t="str">
        <f>IF(ISERROR(MATCH(A355,'SegEnds_Xtal_Prot#'!B:B, 0)), "NoXtal", "Xtal")</f>
        <v>NoXtal</v>
      </c>
      <c r="D355" s="4" t="str">
        <f>VLOOKUP(A355,Classification!A:D,2,FALSE)</f>
        <v>O</v>
      </c>
      <c r="E355" s="5" t="str">
        <f>VLOOKUP(A355,Seqs!A:B,2,FALSE)</f>
        <v>MASPRLGTFCCPTRDAATQLVLSFQPRAFHALCLGSGGLRLALGLLQLLPGRRPAGPGSPATSPPASVRILRAAAACDLLGCLGMVIRSTVWLGFPNFVDSVSDMNHTEIWPAAFCVGSAMWIQLLYSACFWWLFCYAVDAYLVIRRSAGLSTILLYHIMAWGLATLLCVEGAAMLYYPSVSRCERGLDHAIPHYVTMYLPLLLVLVANPILFQKTVTAVASLLKGRQGIYTENERRMGAVIKIRFFKIMLVLIICWLSNIINESLLFYLEMQTDINGGSLKPVRTAAKTTWFIMGILNPAQGFLLSLAFYGWTGCSLGFQSPRKEIQWESLTTSAAEGAHPSPLMPHENPASGKVSQVGGQTSDEALSMLSEGSDASTIEIHTASESCNKNEGDPALPTHGDL</v>
      </c>
      <c r="F355" s="5" t="str">
        <f t="shared" si="126"/>
        <v>PTRDAATQLVLSFQPRAFHALCLGSGGLRLALGLLQLLPGR</v>
      </c>
      <c r="G355" s="4" t="str">
        <f t="shared" si="127"/>
        <v/>
      </c>
      <c r="H355" s="4" t="str">
        <f t="shared" si="128"/>
        <v>SVRILRAAAACDLLGCLGMVIRSTV</v>
      </c>
      <c r="I355" s="4" t="str">
        <f t="shared" si="129"/>
        <v/>
      </c>
      <c r="J355" s="4" t="str">
        <f t="shared" si="130"/>
        <v>AFCVGSAMWIQLLYSACFWWLFCYAVDAYLVIRR</v>
      </c>
      <c r="K355" s="4" t="str">
        <f t="shared" si="131"/>
        <v/>
      </c>
      <c r="L355" s="4" t="str">
        <f t="shared" si="132"/>
        <v>STILLYHIMAWGLATLLCVEGAAML</v>
      </c>
      <c r="M355" s="4" t="str">
        <f t="shared" si="133"/>
        <v/>
      </c>
      <c r="N355" s="4" t="str">
        <f t="shared" si="134"/>
        <v>HAIPHYVTMYLPLLLVLVANPIL</v>
      </c>
      <c r="O355" s="4" t="str">
        <f t="shared" si="135"/>
        <v>MGAVIKIRFFKIMLVLIICWLSNII</v>
      </c>
      <c r="P355" s="4" t="str">
        <f t="shared" si="136"/>
        <v>FIMGILNPAQGFLLSLAFYGWT</v>
      </c>
      <c r="Q355" s="4" t="str">
        <f t="shared" si="137"/>
        <v>GCSLGFQSPRK</v>
      </c>
      <c r="R355" s="5">
        <f>VLOOKUP($A355,'SegEnds_NonXtal_Prot#'!$A:$AL,3,FALSE)</f>
        <v>12</v>
      </c>
      <c r="S355" s="5" t="str">
        <f>VLOOKUP($A355,'SegEnds_NonXtal_Prot#'!$A:$AL,6,FALSE)</f>
        <v>-</v>
      </c>
      <c r="T355" s="5">
        <f>VLOOKUP($A355,'SegEnds_NonXtal_Prot#'!$A:$AL,9,FALSE)</f>
        <v>67</v>
      </c>
      <c r="U355" s="5" t="str">
        <f>VLOOKUP($A355,'SegEnds_NonXtal_Prot#'!$A:$AL,12,FALSE)</f>
        <v>-</v>
      </c>
      <c r="V355" s="5">
        <f>VLOOKUP($A355,'SegEnds_NonXtal_Prot#'!$A:$AL,15,FALSE)</f>
        <v>114</v>
      </c>
      <c r="W355" s="5" t="str">
        <f>VLOOKUP($A355,'SegEnds_NonXtal_Prot#'!$A:$AL,18,FALSE)</f>
        <v>-</v>
      </c>
      <c r="X355" s="5">
        <f>VLOOKUP($A355,'SegEnds_NonXtal_Prot#'!$A:$AL,21,FALSE)</f>
        <v>152</v>
      </c>
      <c r="Y355" s="5" t="str">
        <f>VLOOKUP($A355,'SegEnds_NonXtal_Prot#'!$A:$AL,24,FALSE)</f>
        <v>-</v>
      </c>
      <c r="Z355" s="5">
        <f>VLOOKUP($A355,'SegEnds_NonXtal_Prot#'!$A:$AL,27,FALSE)</f>
        <v>190</v>
      </c>
      <c r="AA355" s="5">
        <f>VLOOKUP($A355,'SegEnds_NonXtal_Prot#'!$A:$AL,30,FALSE)</f>
        <v>238</v>
      </c>
      <c r="AB355" s="5">
        <f>VLOOKUP($A355,'SegEnds_NonXtal_Prot#'!$A:$AL,33,FALSE)</f>
        <v>293</v>
      </c>
      <c r="AC355" s="5">
        <f>VLOOKUP($A355,'SegEnds_NonXtal_Prot#'!$A:$AL,36,FALSE)</f>
        <v>315</v>
      </c>
      <c r="AD355" s="5">
        <f>VLOOKUP($A355,'SegEnds_NonXtal_Prot#'!$A:$AL,5,FALSE)</f>
        <v>52</v>
      </c>
      <c r="AE355" s="5" t="str">
        <f>VLOOKUP($A355,'SegEnds_NonXtal_Prot#'!$A:$AL,8,FALSE)</f>
        <v>-</v>
      </c>
      <c r="AF355" s="5">
        <f>VLOOKUP($A355,'SegEnds_NonXtal_Prot#'!$A:$AL,11,FALSE)</f>
        <v>91</v>
      </c>
      <c r="AG355" s="5" t="str">
        <f>VLOOKUP($A355,'SegEnds_NonXtal_Prot#'!$A:$AL,14,FALSE)</f>
        <v>-</v>
      </c>
      <c r="AH355" s="5">
        <f>VLOOKUP($A355,'SegEnds_NonXtal_Prot#'!$A:$AL,17,FALSE)</f>
        <v>147</v>
      </c>
      <c r="AI355" s="5" t="str">
        <f>VLOOKUP($A355,'SegEnds_NonXtal_Prot#'!$A:$AL,20,FALSE)</f>
        <v>-</v>
      </c>
      <c r="AJ355" s="5">
        <f>VLOOKUP($A355,'SegEnds_NonXtal_Prot#'!$A:$AL,23,FALSE)</f>
        <v>176</v>
      </c>
      <c r="AK355" s="5" t="str">
        <f>VLOOKUP($A355,'SegEnds_NonXtal_Prot#'!$A:$AL,26,FALSE)</f>
        <v>-</v>
      </c>
      <c r="AL355" s="5">
        <f>VLOOKUP($A355,'SegEnds_NonXtal_Prot#'!$A:$AL,29,FALSE)</f>
        <v>212</v>
      </c>
      <c r="AM355" s="5">
        <f>VLOOKUP($A355,'SegEnds_NonXtal_Prot#'!$A:$AL,32,FALSE)</f>
        <v>262</v>
      </c>
      <c r="AN355" s="5">
        <f>VLOOKUP($A355,'SegEnds_NonXtal_Prot#'!$A:$AL,35,FALSE)</f>
        <v>314</v>
      </c>
      <c r="AO355" s="5">
        <f>VLOOKUP($A355,'SegEnds_NonXtal_Prot#'!$A:$AL,38,FALSE)</f>
        <v>325</v>
      </c>
      <c r="AP355" s="5">
        <f t="shared" si="138"/>
        <v>40</v>
      </c>
      <c r="AQ355" s="4" t="str">
        <f t="shared" si="139"/>
        <v>-</v>
      </c>
      <c r="AR355" s="4">
        <f t="shared" si="140"/>
        <v>24</v>
      </c>
      <c r="AS355" s="4" t="str">
        <f t="shared" si="141"/>
        <v>-</v>
      </c>
      <c r="AT355" s="4">
        <f t="shared" si="142"/>
        <v>33</v>
      </c>
      <c r="AU355" s="4" t="str">
        <f t="shared" si="143"/>
        <v>-</v>
      </c>
      <c r="AV355" s="4">
        <f t="shared" si="144"/>
        <v>24</v>
      </c>
      <c r="AW355" s="4" t="str">
        <f t="shared" si="145"/>
        <v>-</v>
      </c>
      <c r="AX355" s="4">
        <f t="shared" si="146"/>
        <v>22</v>
      </c>
      <c r="AY355" s="4">
        <f t="shared" si="147"/>
        <v>24</v>
      </c>
      <c r="AZ355" s="4">
        <f t="shared" si="148"/>
        <v>21</v>
      </c>
      <c r="BA355" s="4">
        <f t="shared" si="149"/>
        <v>10</v>
      </c>
    </row>
    <row r="356" spans="1:53" x14ac:dyDescent="0.2">
      <c r="A356" s="1" t="str">
        <f>'SegEnds_NonXtal_Prot#'!A350</f>
        <v>gp146_human</v>
      </c>
      <c r="B356" s="1" t="str">
        <f t="shared" si="125"/>
        <v>GLSLLSLLGLVVGVPVGLCYNALLVLANLHSYFVNMAVAGLVLSALAPVHLLGPPSSRGGEVHVALQIPFNVSSLVAMYSTALLSLDHYIERALSVYNTRHVCGFVWGGALLTSFSSLLFYNAEAADATLVFIGYVVPALATLYALVLLSRVRREDRDTGRLEPSAHRLLVATVCTQFGLWTPHYLILLGHTVIISRDAHYLGLLHFVKDFSKLLAFSSSFVTPLLYRYMNQSFPSKLQRLMKKL</v>
      </c>
      <c r="C356" s="29" t="str">
        <f>IF(ISERROR(MATCH(A356,'SegEnds_Xtal_Prot#'!B:B, 0)), "NoXtal", "Xtal")</f>
        <v>NoXtal</v>
      </c>
      <c r="D356" s="4" t="str">
        <f>VLOOKUP(A356,Classification!A:D,2,FALSE)</f>
        <v>A</v>
      </c>
      <c r="E356" s="5" t="str">
        <f>VLOOKUP(A356,Seqs!A:B,2,FALSE)</f>
        <v>MWSCSWFNGTGLVEELPACQDLQLGLSLLSLLGLVVGVPVGLCYNALLVLANLHSKASMTMPDVYFVNMAVAGLVLSALAPVHLLGPPSSRWALWSVGGEVHVALQIPFNVSSLVAMYSTALLSLDHYIERALPRTYMASVYNTRHVCGFVWGGALLTSFSSLLFYICSHVSTRALECAKMQNAEAADATLVFIGYVVPALATLYALVLLSRVRREDTPLDRDTGRLEPSAHRLLVATVCTQFGLWTPHYLILLGHTVIISRGKPVDAHYLGLLHFVKDFSKLLAFSSSFVTPLLYRYMNQSFPSKLQRLMKKLPCGDRHCSPDHMGVQQVLA</v>
      </c>
      <c r="F356" s="5" t="str">
        <f t="shared" si="126"/>
        <v>GLSLLSLLGLVVGVPVGLCYNALLVLANLHS</v>
      </c>
      <c r="G356" s="4" t="str">
        <f t="shared" si="127"/>
        <v/>
      </c>
      <c r="H356" s="4" t="str">
        <f t="shared" si="128"/>
        <v>YFVNMAVAGLVLSALAPVHLLGPPSSR</v>
      </c>
      <c r="I356" s="4" t="str">
        <f t="shared" si="129"/>
        <v>LWSV</v>
      </c>
      <c r="J356" s="4" t="str">
        <f t="shared" si="130"/>
        <v>GGEVHVALQIPFNVSSLVAMYSTALLSLDHYIERAL</v>
      </c>
      <c r="K356" s="4" t="str">
        <f t="shared" si="131"/>
        <v/>
      </c>
      <c r="L356" s="4" t="str">
        <f t="shared" si="132"/>
        <v>SVYNTRHVCGFVWGGALLTSFSSLLFY</v>
      </c>
      <c r="M356" s="4" t="str">
        <f t="shared" si="133"/>
        <v/>
      </c>
      <c r="N356" s="4" t="str">
        <f t="shared" si="134"/>
        <v>NAEAADATLVFIGYVVPALATLYALVLLSRVRRED</v>
      </c>
      <c r="O356" s="4" t="str">
        <f t="shared" si="135"/>
        <v>RDTGRLEPSAHRLLVATVCTQFGLWTPHYLILLGHTVIISR</v>
      </c>
      <c r="P356" s="4" t="str">
        <f t="shared" si="136"/>
        <v>DAHYLGLLHFVKDFSKLLAFSSSFVTPLLYRYM</v>
      </c>
      <c r="Q356" s="4" t="str">
        <f t="shared" si="137"/>
        <v>NQSFPSKLQRLMKKL</v>
      </c>
      <c r="R356" s="5">
        <f>VLOOKUP($A356,'SegEnds_NonXtal_Prot#'!$A:$AL,3,FALSE)</f>
        <v>25</v>
      </c>
      <c r="S356" s="5" t="str">
        <f>VLOOKUP($A356,'SegEnds_NonXtal_Prot#'!$A:$AL,6,FALSE)</f>
        <v>-</v>
      </c>
      <c r="T356" s="5">
        <f>VLOOKUP($A356,'SegEnds_NonXtal_Prot#'!$A:$AL,9,FALSE)</f>
        <v>65</v>
      </c>
      <c r="U356" s="5">
        <f>VLOOKUP($A356,'SegEnds_NonXtal_Prot#'!$A:$AL,12,FALSE)</f>
        <v>94</v>
      </c>
      <c r="V356" s="5">
        <f>VLOOKUP($A356,'SegEnds_NonXtal_Prot#'!$A:$AL,15,FALSE)</f>
        <v>98</v>
      </c>
      <c r="W356" s="5" t="str">
        <f>VLOOKUP($A356,'SegEnds_NonXtal_Prot#'!$A:$AL,18,FALSE)</f>
        <v>-</v>
      </c>
      <c r="X356" s="5">
        <f>VLOOKUP($A356,'SegEnds_NonXtal_Prot#'!$A:$AL,21,FALSE)</f>
        <v>140</v>
      </c>
      <c r="Y356" s="5" t="str">
        <f>VLOOKUP($A356,'SegEnds_NonXtal_Prot#'!$A:$AL,24,FALSE)</f>
        <v>-</v>
      </c>
      <c r="Z356" s="5">
        <f>VLOOKUP($A356,'SegEnds_NonXtal_Prot#'!$A:$AL,27,FALSE)</f>
        <v>183</v>
      </c>
      <c r="AA356" s="5">
        <f>VLOOKUP($A356,'SegEnds_NonXtal_Prot#'!$A:$AL,30,FALSE)</f>
        <v>222</v>
      </c>
      <c r="AB356" s="5">
        <f>VLOOKUP($A356,'SegEnds_NonXtal_Prot#'!$A:$AL,33,FALSE)</f>
        <v>267</v>
      </c>
      <c r="AC356" s="5">
        <f>VLOOKUP($A356,'SegEnds_NonXtal_Prot#'!$A:$AL,36,FALSE)</f>
        <v>300</v>
      </c>
      <c r="AD356" s="5">
        <f>VLOOKUP($A356,'SegEnds_NonXtal_Prot#'!$A:$AL,5,FALSE)</f>
        <v>55</v>
      </c>
      <c r="AE356" s="5" t="str">
        <f>VLOOKUP($A356,'SegEnds_NonXtal_Prot#'!$A:$AL,8,FALSE)</f>
        <v>-</v>
      </c>
      <c r="AF356" s="5">
        <f>VLOOKUP($A356,'SegEnds_NonXtal_Prot#'!$A:$AL,11,FALSE)</f>
        <v>91</v>
      </c>
      <c r="AG356" s="5">
        <f>VLOOKUP($A356,'SegEnds_NonXtal_Prot#'!$A:$AL,14,FALSE)</f>
        <v>97</v>
      </c>
      <c r="AH356" s="5">
        <f>VLOOKUP($A356,'SegEnds_NonXtal_Prot#'!$A:$AL,17,FALSE)</f>
        <v>133</v>
      </c>
      <c r="AI356" s="5" t="str">
        <f>VLOOKUP($A356,'SegEnds_NonXtal_Prot#'!$A:$AL,20,FALSE)</f>
        <v>-</v>
      </c>
      <c r="AJ356" s="5">
        <f>VLOOKUP($A356,'SegEnds_NonXtal_Prot#'!$A:$AL,23,FALSE)</f>
        <v>166</v>
      </c>
      <c r="AK356" s="5" t="str">
        <f>VLOOKUP($A356,'SegEnds_NonXtal_Prot#'!$A:$AL,26,FALSE)</f>
        <v>-</v>
      </c>
      <c r="AL356" s="5">
        <f>VLOOKUP($A356,'SegEnds_NonXtal_Prot#'!$A:$AL,29,FALSE)</f>
        <v>217</v>
      </c>
      <c r="AM356" s="5">
        <f>VLOOKUP($A356,'SegEnds_NonXtal_Prot#'!$A:$AL,32,FALSE)</f>
        <v>262</v>
      </c>
      <c r="AN356" s="5">
        <f>VLOOKUP($A356,'SegEnds_NonXtal_Prot#'!$A:$AL,35,FALSE)</f>
        <v>299</v>
      </c>
      <c r="AO356" s="5">
        <f>VLOOKUP($A356,'SegEnds_NonXtal_Prot#'!$A:$AL,38,FALSE)</f>
        <v>314</v>
      </c>
      <c r="AP356" s="5">
        <f t="shared" si="138"/>
        <v>30</v>
      </c>
      <c r="AQ356" s="4" t="str">
        <f t="shared" si="139"/>
        <v>-</v>
      </c>
      <c r="AR356" s="4">
        <f t="shared" si="140"/>
        <v>26</v>
      </c>
      <c r="AS356" s="4">
        <f t="shared" si="141"/>
        <v>3</v>
      </c>
      <c r="AT356" s="4">
        <f t="shared" si="142"/>
        <v>35</v>
      </c>
      <c r="AU356" s="4" t="str">
        <f t="shared" si="143"/>
        <v>-</v>
      </c>
      <c r="AV356" s="4">
        <f t="shared" si="144"/>
        <v>26</v>
      </c>
      <c r="AW356" s="4" t="str">
        <f t="shared" si="145"/>
        <v>-</v>
      </c>
      <c r="AX356" s="4">
        <f t="shared" si="146"/>
        <v>34</v>
      </c>
      <c r="AY356" s="4">
        <f t="shared" si="147"/>
        <v>40</v>
      </c>
      <c r="AZ356" s="4">
        <f t="shared" si="148"/>
        <v>32</v>
      </c>
      <c r="BA356" s="4">
        <f t="shared" si="149"/>
        <v>14</v>
      </c>
    </row>
    <row r="357" spans="1:53" x14ac:dyDescent="0.2">
      <c r="A357" s="1" t="str">
        <f>'SegEnds_NonXtal_Prot#'!A351</f>
        <v>gp149_human</v>
      </c>
      <c r="B357" s="1" t="str">
        <f t="shared" si="125"/>
        <v>DSSLWKENHNSTDLLNPPGTLNIYLFCLTCLMVGSIYSLISLLKMQNRTVVSMLVASWSVDDLLQWPNEVPGYFQFLCTTSALMYLCQGLSSNLKATLLVSYNFYTMHRGRSGQVLGVVLTVWAASLLLSALPLCGVYALAFGLLVGLSVPLTHRLLCSEEPPRLHSNYQEISRGASTRSFTVSVAQKRFALILALTKVVLWLPMMMHMVVQNVVLPLETFSFLLTLLATTVTPVFVLSKRWTHLPCGCIINC</v>
      </c>
      <c r="C357" s="29" t="str">
        <f>IF(ISERROR(MATCH(A357,'SegEnds_Xtal_Prot#'!B:B, 0)), "NoXtal", "Xtal")</f>
        <v>NoXtal</v>
      </c>
      <c r="D357" s="4" t="str">
        <f>VLOOKUP(A357,Classification!A:D,2,FALSE)</f>
        <v>A</v>
      </c>
      <c r="E357" s="5" t="str">
        <f>VLOOKUP(A357,Seqs!A:B,2,FALSE)</f>
        <v>MSLFLSNLSTNDSSLWKENHNSTDLLNPPGTLNIYLFCLTCLMTFAALVGSIYSLISLLKMQNRTVVSMLVASWSVDDLMSVLSVTIFMFLQWPNEVPGYFQFLCTTSALMYLCQGLSSNLKATLLVSYNFYTMHRGVGSQTASRRSGQVLGVVLTVWAASLLLSALPLCGWGAFVRTPWGCLVDCSSSYVLFLSIVYALAFGLLVGLSVPLTHRLLCSEEPPRLHSNYQEISRGASIPGTPPTAGRVVSLSPEDAPGPSLRRSGGCSPSSDTVFGPGAPAAAGAEACRRENRGTLYGTRSFTVSVAQKRFALILALTKVVLWLPMMMHMVVQNVVGFQSLPLETFSFLLTLLATTVTPVFVLSKRWTHLPCGCIINCRQNAYAVASDGKKIKRKGFEFNLSFQKSYGIYKIAHEDYYDDDENSIFYHNLMNSECETTKDPQRDNRNIFNAIKVEISTTPSLDSSTQRGINKCTNTDITEAKQDSNNKKDAFSDKTGGDINYEETTFSEGPERRLSHEESQKPDLSDWEWCRSKSERTPRQRSGYALAIPLCAFQGTVSLHAPTGKTLSLSTYEVSAEGQKITPASKKIEVYRSKSVGHEPNSEDSSSTFVDTSVKIHLEVLEICDNEEALDTVSIISNISQSSTQVRSPSLRYSRKENRFVSCDLGETASYSLFLPTSNPDGDINISIPDTVEAHRQNSKRQHQERDGYQEEIQLLNKAYRKREEESKGS</v>
      </c>
      <c r="F357" s="5" t="str">
        <f t="shared" si="126"/>
        <v>DSSLWKENHNSTDLLNPPGTLNIYLFCLTCLM</v>
      </c>
      <c r="G357" s="4" t="str">
        <f t="shared" si="127"/>
        <v/>
      </c>
      <c r="H357" s="4" t="str">
        <f t="shared" si="128"/>
        <v>VGSIYSLISLLKMQNRTVVSMLVASWSVDDL</v>
      </c>
      <c r="I357" s="4" t="str">
        <f t="shared" si="129"/>
        <v>IFMF</v>
      </c>
      <c r="J357" s="4" t="str">
        <f t="shared" si="130"/>
        <v>LQWPNEVPGYFQFLCTTSALMYLCQGLSSNLKATLLVSYNFYTMHRG</v>
      </c>
      <c r="K357" s="4" t="str">
        <f t="shared" si="131"/>
        <v/>
      </c>
      <c r="L357" s="4" t="str">
        <f t="shared" si="132"/>
        <v>RSGQVLGVVLTVWAASLLLSALPLCG</v>
      </c>
      <c r="M357" s="4" t="str">
        <f t="shared" si="133"/>
        <v/>
      </c>
      <c r="N357" s="4" t="str">
        <f t="shared" si="134"/>
        <v>VYALAFGLLVGLSVPLTHRLLCSEEPPRLHSNYQEISRGAS</v>
      </c>
      <c r="O357" s="4" t="str">
        <f t="shared" si="135"/>
        <v>TRSFTVSVAQKRFALILALTKVVLWLPMMMHMVVQNVV</v>
      </c>
      <c r="P357" s="4" t="str">
        <f t="shared" si="136"/>
        <v>LPLETFSFLLTLLATTVTPVFVLSK</v>
      </c>
      <c r="Q357" s="4" t="str">
        <f t="shared" si="137"/>
        <v>RWTHLPCGCIINC</v>
      </c>
      <c r="R357" s="5">
        <f>VLOOKUP($A357,'SegEnds_NonXtal_Prot#'!$A:$AL,3,FALSE)</f>
        <v>12</v>
      </c>
      <c r="S357" s="5" t="str">
        <f>VLOOKUP($A357,'SegEnds_NonXtal_Prot#'!$A:$AL,6,FALSE)</f>
        <v>-</v>
      </c>
      <c r="T357" s="5">
        <f>VLOOKUP($A357,'SegEnds_NonXtal_Prot#'!$A:$AL,9,FALSE)</f>
        <v>49</v>
      </c>
      <c r="U357" s="5">
        <f>VLOOKUP($A357,'SegEnds_NonXtal_Prot#'!$A:$AL,12,FALSE)</f>
        <v>87</v>
      </c>
      <c r="V357" s="5">
        <f>VLOOKUP($A357,'SegEnds_NonXtal_Prot#'!$A:$AL,15,FALSE)</f>
        <v>91</v>
      </c>
      <c r="W357" s="5" t="str">
        <f>VLOOKUP($A357,'SegEnds_NonXtal_Prot#'!$A:$AL,18,FALSE)</f>
        <v>-</v>
      </c>
      <c r="X357" s="5">
        <f>VLOOKUP($A357,'SegEnds_NonXtal_Prot#'!$A:$AL,21,FALSE)</f>
        <v>146</v>
      </c>
      <c r="Y357" s="5" t="str">
        <f>VLOOKUP($A357,'SegEnds_NonXtal_Prot#'!$A:$AL,24,FALSE)</f>
        <v>-</v>
      </c>
      <c r="Z357" s="5">
        <f>VLOOKUP($A357,'SegEnds_NonXtal_Prot#'!$A:$AL,27,FALSE)</f>
        <v>197</v>
      </c>
      <c r="AA357" s="5">
        <f>VLOOKUP($A357,'SegEnds_NonXtal_Prot#'!$A:$AL,30,FALSE)</f>
        <v>299</v>
      </c>
      <c r="AB357" s="5">
        <f>VLOOKUP($A357,'SegEnds_NonXtal_Prot#'!$A:$AL,33,FALSE)</f>
        <v>341</v>
      </c>
      <c r="AC357" s="5">
        <f>VLOOKUP($A357,'SegEnds_NonXtal_Prot#'!$A:$AL,36,FALSE)</f>
        <v>366</v>
      </c>
      <c r="AD357" s="5">
        <f>VLOOKUP($A357,'SegEnds_NonXtal_Prot#'!$A:$AL,5,FALSE)</f>
        <v>43</v>
      </c>
      <c r="AE357" s="5" t="str">
        <f>VLOOKUP($A357,'SegEnds_NonXtal_Prot#'!$A:$AL,8,FALSE)</f>
        <v>-</v>
      </c>
      <c r="AF357" s="5">
        <f>VLOOKUP($A357,'SegEnds_NonXtal_Prot#'!$A:$AL,11,FALSE)</f>
        <v>79</v>
      </c>
      <c r="AG357" s="5">
        <f>VLOOKUP($A357,'SegEnds_NonXtal_Prot#'!$A:$AL,14,FALSE)</f>
        <v>90</v>
      </c>
      <c r="AH357" s="5">
        <f>VLOOKUP($A357,'SegEnds_NonXtal_Prot#'!$A:$AL,17,FALSE)</f>
        <v>137</v>
      </c>
      <c r="AI357" s="5" t="str">
        <f>VLOOKUP($A357,'SegEnds_NonXtal_Prot#'!$A:$AL,20,FALSE)</f>
        <v>-</v>
      </c>
      <c r="AJ357" s="5">
        <f>VLOOKUP($A357,'SegEnds_NonXtal_Prot#'!$A:$AL,23,FALSE)</f>
        <v>171</v>
      </c>
      <c r="AK357" s="5" t="str">
        <f>VLOOKUP($A357,'SegEnds_NonXtal_Prot#'!$A:$AL,26,FALSE)</f>
        <v>-</v>
      </c>
      <c r="AL357" s="5">
        <f>VLOOKUP($A357,'SegEnds_NonXtal_Prot#'!$A:$AL,29,FALSE)</f>
        <v>237</v>
      </c>
      <c r="AM357" s="5">
        <f>VLOOKUP($A357,'SegEnds_NonXtal_Prot#'!$A:$AL,32,FALSE)</f>
        <v>336</v>
      </c>
      <c r="AN357" s="5">
        <f>VLOOKUP($A357,'SegEnds_NonXtal_Prot#'!$A:$AL,35,FALSE)</f>
        <v>365</v>
      </c>
      <c r="AO357" s="5">
        <f>VLOOKUP($A357,'SegEnds_NonXtal_Prot#'!$A:$AL,38,FALSE)</f>
        <v>378</v>
      </c>
      <c r="AP357" s="5">
        <f t="shared" si="138"/>
        <v>31</v>
      </c>
      <c r="AQ357" s="4" t="str">
        <f t="shared" si="139"/>
        <v>-</v>
      </c>
      <c r="AR357" s="4">
        <f t="shared" si="140"/>
        <v>30</v>
      </c>
      <c r="AS357" s="4">
        <f t="shared" si="141"/>
        <v>3</v>
      </c>
      <c r="AT357" s="4">
        <f t="shared" si="142"/>
        <v>46</v>
      </c>
      <c r="AU357" s="4" t="str">
        <f t="shared" si="143"/>
        <v>-</v>
      </c>
      <c r="AV357" s="4">
        <f t="shared" si="144"/>
        <v>25</v>
      </c>
      <c r="AW357" s="4" t="str">
        <f t="shared" si="145"/>
        <v>-</v>
      </c>
      <c r="AX357" s="4">
        <f t="shared" si="146"/>
        <v>40</v>
      </c>
      <c r="AY357" s="4">
        <f t="shared" si="147"/>
        <v>37</v>
      </c>
      <c r="AZ357" s="4">
        <f t="shared" si="148"/>
        <v>24</v>
      </c>
      <c r="BA357" s="4">
        <f t="shared" si="149"/>
        <v>12</v>
      </c>
    </row>
    <row r="358" spans="1:53" x14ac:dyDescent="0.2">
      <c r="A358" s="1" t="str">
        <f>'SegEnds_NonXtal_Prot#'!A352</f>
        <v>gp150_human</v>
      </c>
      <c r="B358" s="1" t="str">
        <f t="shared" si="125"/>
        <v>SRRVRLVFLGVILVVAVAGNTTVLCRLCGGRKMDFLLVQLALADLYACGGTALSQLAWELLAATGDLACRFLQLLQASGRGASAHLVVLIALERRRAVRLRPLPARALAALGWLLALLLALPPAFVVRWHLQVYAFYEAVAGFVAPVTVLGVACGHLLSVWWRHRPQAPAPAPSALPRAKVQSLKMSLLLALLFVGCELPYFAARLAAAWSDWEGEGLSAALRVVAMANSALNPFVYLFFQAGDCRLRRQLR</v>
      </c>
      <c r="C358" s="29" t="str">
        <f>IF(ISERROR(MATCH(A358,'SegEnds_Xtal_Prot#'!B:B, 0)), "NoXtal", "Xtal")</f>
        <v>NoXtal</v>
      </c>
      <c r="D358" s="4" t="str">
        <f>VLOOKUP(A358,Classification!A:D,2,FALSE)</f>
        <v>A</v>
      </c>
      <c r="E358" s="5" t="str">
        <f>VLOOKUP(A358,Seqs!A:B,2,FALSE)</f>
        <v>MEDLFSPSILPPAPNISVPILLGWGLNLTLGQGAPASGPPSRRVRLVFLGVILVVAVAGNTTVLCRLCGGGGPWAGPKRRKMDFLLVQLALADLYACGGTALSQLAWELLGEPRAATGDLACRFLQLLQASGRGASAHLVVLIALERRRAVRLPHGRPLPARALAALGWLLALLLALPPAFVVRGDSPSPLPPPPPPTSLQPGAPPAARAWPGERRCHGIFAPLPRWHLQVYAFYEAVAGFVAPVTVLGVACGHLLSVWWRHRPQAPAAAAPWSASPGRAPAPSALPRAKVQSLKMSLLLALLFVGCELPYFAARLAAAWSSGPAGDWEGEGLSAALRVVAMANSALNPFVYLFFQAGDCRLRRQLRKRLGSLCCAPQGGAEDEEGPRGHQALYRQRWPHPHYHHARREPLDEGGLRPPPPRPRPLPCSCESAF</v>
      </c>
      <c r="F358" s="5" t="str">
        <f t="shared" si="126"/>
        <v>SRRVRLVFLGVILVVAVAGNTTVLCRLCGG</v>
      </c>
      <c r="G358" s="4" t="str">
        <f t="shared" si="127"/>
        <v/>
      </c>
      <c r="H358" s="4" t="str">
        <f t="shared" si="128"/>
        <v>RKMDFLLVQLALADLYACGGTALSQLAWELL</v>
      </c>
      <c r="I358" s="4" t="str">
        <f t="shared" si="129"/>
        <v/>
      </c>
      <c r="J358" s="4" t="str">
        <f t="shared" si="130"/>
        <v>AATGDLACRFLQLLQASGRGASAHLVVLIALERRRAVRL</v>
      </c>
      <c r="K358" s="4" t="str">
        <f t="shared" si="131"/>
        <v/>
      </c>
      <c r="L358" s="4" t="str">
        <f t="shared" si="132"/>
        <v>RPLPARALAALGWLLALLLALPPAFVV</v>
      </c>
      <c r="M358" s="4" t="str">
        <f t="shared" si="133"/>
        <v>CHG</v>
      </c>
      <c r="N358" s="4" t="str">
        <f t="shared" si="134"/>
        <v>RWHLQVYAFYEAVAGFVAPVTVLGVACGHLLSVWWRHRPQAPA</v>
      </c>
      <c r="O358" s="4" t="str">
        <f t="shared" si="135"/>
        <v>PAPSALPRAKVQSLKMSLLLALLFVGCELPYFAARLAAAWS</v>
      </c>
      <c r="P358" s="4" t="str">
        <f t="shared" si="136"/>
        <v>DWEGEGLSAALRVVAMANSALNPFVYLFF</v>
      </c>
      <c r="Q358" s="4" t="str">
        <f t="shared" si="137"/>
        <v>QAGDCRLRRQLR</v>
      </c>
      <c r="R358" s="5">
        <f>VLOOKUP($A358,'SegEnds_NonXtal_Prot#'!$A:$AL,3,FALSE)</f>
        <v>41</v>
      </c>
      <c r="S358" s="5" t="str">
        <f>VLOOKUP($A358,'SegEnds_NonXtal_Prot#'!$A:$AL,6,FALSE)</f>
        <v>-</v>
      </c>
      <c r="T358" s="5">
        <f>VLOOKUP($A358,'SegEnds_NonXtal_Prot#'!$A:$AL,9,FALSE)</f>
        <v>80</v>
      </c>
      <c r="U358" s="5" t="str">
        <f>VLOOKUP($A358,'SegEnds_NonXtal_Prot#'!$A:$AL,12,FALSE)</f>
        <v>-</v>
      </c>
      <c r="V358" s="5">
        <f>VLOOKUP($A358,'SegEnds_NonXtal_Prot#'!$A:$AL,15,FALSE)</f>
        <v>115</v>
      </c>
      <c r="W358" s="5" t="str">
        <f>VLOOKUP($A358,'SegEnds_NonXtal_Prot#'!$A:$AL,18,FALSE)</f>
        <v>-</v>
      </c>
      <c r="X358" s="5">
        <f>VLOOKUP($A358,'SegEnds_NonXtal_Prot#'!$A:$AL,21,FALSE)</f>
        <v>157</v>
      </c>
      <c r="Y358" s="5">
        <f>VLOOKUP($A358,'SegEnds_NonXtal_Prot#'!$A:$AL,24,FALSE)</f>
        <v>217</v>
      </c>
      <c r="Z358" s="5">
        <f>VLOOKUP($A358,'SegEnds_NonXtal_Prot#'!$A:$AL,27,FALSE)</f>
        <v>226</v>
      </c>
      <c r="AA358" s="5">
        <f>VLOOKUP($A358,'SegEnds_NonXtal_Prot#'!$A:$AL,30,FALSE)</f>
        <v>281</v>
      </c>
      <c r="AB358" s="5">
        <f>VLOOKUP($A358,'SegEnds_NonXtal_Prot#'!$A:$AL,33,FALSE)</f>
        <v>327</v>
      </c>
      <c r="AC358" s="5">
        <f>VLOOKUP($A358,'SegEnds_NonXtal_Prot#'!$A:$AL,36,FALSE)</f>
        <v>356</v>
      </c>
      <c r="AD358" s="5">
        <f>VLOOKUP($A358,'SegEnds_NonXtal_Prot#'!$A:$AL,5,FALSE)</f>
        <v>70</v>
      </c>
      <c r="AE358" s="5" t="str">
        <f>VLOOKUP($A358,'SegEnds_NonXtal_Prot#'!$A:$AL,8,FALSE)</f>
        <v>-</v>
      </c>
      <c r="AF358" s="5">
        <f>VLOOKUP($A358,'SegEnds_NonXtal_Prot#'!$A:$AL,11,FALSE)</f>
        <v>110</v>
      </c>
      <c r="AG358" s="5" t="str">
        <f>VLOOKUP($A358,'SegEnds_NonXtal_Prot#'!$A:$AL,14,FALSE)</f>
        <v>-</v>
      </c>
      <c r="AH358" s="5">
        <f>VLOOKUP($A358,'SegEnds_NonXtal_Prot#'!$A:$AL,17,FALSE)</f>
        <v>153</v>
      </c>
      <c r="AI358" s="5" t="str">
        <f>VLOOKUP($A358,'SegEnds_NonXtal_Prot#'!$A:$AL,20,FALSE)</f>
        <v>-</v>
      </c>
      <c r="AJ358" s="5">
        <f>VLOOKUP($A358,'SegEnds_NonXtal_Prot#'!$A:$AL,23,FALSE)</f>
        <v>183</v>
      </c>
      <c r="AK358" s="5">
        <f>VLOOKUP($A358,'SegEnds_NonXtal_Prot#'!$A:$AL,26,FALSE)</f>
        <v>219</v>
      </c>
      <c r="AL358" s="5">
        <f>VLOOKUP($A358,'SegEnds_NonXtal_Prot#'!$A:$AL,29,FALSE)</f>
        <v>268</v>
      </c>
      <c r="AM358" s="5">
        <f>VLOOKUP($A358,'SegEnds_NonXtal_Prot#'!$A:$AL,32,FALSE)</f>
        <v>321</v>
      </c>
      <c r="AN358" s="5">
        <f>VLOOKUP($A358,'SegEnds_NonXtal_Prot#'!$A:$AL,35,FALSE)</f>
        <v>355</v>
      </c>
      <c r="AO358" s="5">
        <f>VLOOKUP($A358,'SegEnds_NonXtal_Prot#'!$A:$AL,38,FALSE)</f>
        <v>367</v>
      </c>
      <c r="AP358" s="5">
        <f t="shared" si="138"/>
        <v>29</v>
      </c>
      <c r="AQ358" s="4" t="str">
        <f t="shared" si="139"/>
        <v>-</v>
      </c>
      <c r="AR358" s="4">
        <f t="shared" si="140"/>
        <v>30</v>
      </c>
      <c r="AS358" s="4" t="str">
        <f t="shared" si="141"/>
        <v>-</v>
      </c>
      <c r="AT358" s="4">
        <f t="shared" si="142"/>
        <v>38</v>
      </c>
      <c r="AU358" s="4" t="str">
        <f t="shared" si="143"/>
        <v>-</v>
      </c>
      <c r="AV358" s="4">
        <f t="shared" si="144"/>
        <v>26</v>
      </c>
      <c r="AW358" s="4">
        <f t="shared" si="145"/>
        <v>2</v>
      </c>
      <c r="AX358" s="4">
        <f t="shared" si="146"/>
        <v>42</v>
      </c>
      <c r="AY358" s="4">
        <f t="shared" si="147"/>
        <v>40</v>
      </c>
      <c r="AZ358" s="4">
        <f t="shared" si="148"/>
        <v>28</v>
      </c>
      <c r="BA358" s="4">
        <f t="shared" si="149"/>
        <v>11</v>
      </c>
    </row>
    <row r="359" spans="1:53" x14ac:dyDescent="0.2">
      <c r="A359" s="1" t="str">
        <f>'SegEnds_NonXtal_Prot#'!A353</f>
        <v>gp156_human</v>
      </c>
      <c r="B359" s="1" t="str">
        <f t="shared" si="125"/>
        <v>VLLGIVWTFLSCGLLLILFFLAFTIHCSPNLNIVTLLGSCLTYSSAYLFGETLIQTRLSMLCIGTSLVFGPILGKSWRLYKVFKDLQLLGLVAALLMADVILLMTWVLTDDVWIALIWGCKGLLLLYGAYLAGLTSLTIMVGVNLLVLAAGLLFVVTRYLVFGLTSGGIFVCTTTINCFIFIPQLKQWKAFEEENQTIRRMAK</v>
      </c>
      <c r="C359" s="29" t="str">
        <f>IF(ISERROR(MATCH(A359,'SegEnds_Xtal_Prot#'!B:B, 0)), "NoXtal", "Xtal")</f>
        <v>NoXtal</v>
      </c>
      <c r="D359" s="4" t="str">
        <f>VLOOKUP(A359,Classification!A:D,2,FALSE)</f>
        <v>C</v>
      </c>
      <c r="E359" s="5" t="str">
        <f>VLOOKUP(A359,Seqs!A:B,2,FALSE)</f>
        <v>MEPEINCSELCDSFPGQELDRRPLHDLCKTTITSSHHSSKTISSLSPVLLGIVWTFLSCGLLLILFFLAFTIHCRKNRIVKMSSPNLNIVTLLGSCLTYSSAYLFGIQDVLVGSSMETLIQTRLSMLCIGTSLVFGPILGKSWRLYKVFTQRVPDKRVIIKDLQLLGLVAALLMADVILLMTWVLTDPIQCLQILSVSMTVTGKDVSCTSTSTHFCASRYSDVWIALIWGCKGLLLLYGAYLAGLTGHVSSPPVNQSLTIMVGVNLLVLAAGLLFVVTRYLHSWPNLVFGLTSGGIFVCTTTINCFIFIPQLKQWKAFEEENQTIRRMAKYFSTPNKSFHTQYGEEENCHPRGEKSSMERLLTEKNAVIESLQEQVNNAKEKIVRLMSAECTYDLPEGAAPPASSPNKDVQAVASVHTLAAAQGPSGHLSDFQNDPGMAARDSQCTSGPSSYAQSLEGPGKDSSFSPGKEEKISDSKDFSDHLDSGCSQKPWTEQSLGPERGDQVPMNPSQSLLPERGGSDPQRQRHLENSEEPPERRSRVSSVIREKLQEVLQDLGLGPEASLSTAPSCHQQTWKNSAAFSPQKMPLSKELGFSPYMVRRRRAAQRARSHFPGSAPSSVGHRANRTVPGAHSRLHVQNGDSPSLAPQTTDSRVRRPSSRKPSLPSDPQDRPGTLEGSKQSQTEPEGARGSKAAFLRQPSGSGRAPSPAAPCLSKASPDLPEQWQLWPPVPSGCASLSSQHSYFDTESSSSDEFFCRCHRPYCEICFQSSSDSSDSGTSDTDPEPTGGLASWEKLWARSKPIVNFKDDLKPTLV</v>
      </c>
      <c r="F359" s="5" t="str">
        <f t="shared" si="126"/>
        <v>VLLGIVWTFLSCGLLLILFFLAFTIHC</v>
      </c>
      <c r="G359" s="4" t="str">
        <f t="shared" si="127"/>
        <v>NRIVKMS</v>
      </c>
      <c r="H359" s="4" t="str">
        <f t="shared" si="128"/>
        <v>SPNLNIVTLLGSCLTYSSAYLFG</v>
      </c>
      <c r="I359" s="4" t="str">
        <f t="shared" si="129"/>
        <v/>
      </c>
      <c r="J359" s="4" t="str">
        <f t="shared" si="130"/>
        <v>ETLIQTRLSMLCIGTSLVFGPILGKSWRLYKVF</v>
      </c>
      <c r="K359" s="4" t="str">
        <f t="shared" si="131"/>
        <v/>
      </c>
      <c r="L359" s="4" t="str">
        <f t="shared" si="132"/>
        <v>KDLQLLGLVAALLMADVILLMTWVLTD</v>
      </c>
      <c r="M359" s="4" t="str">
        <f t="shared" si="133"/>
        <v/>
      </c>
      <c r="N359" s="4" t="str">
        <f t="shared" si="134"/>
        <v>DVWIALIWGCKGLLLLYGAYLAGLT</v>
      </c>
      <c r="O359" s="4" t="str">
        <f t="shared" si="135"/>
        <v>SLTIMVGVNLLVLAAGLLFVVTRYL</v>
      </c>
      <c r="P359" s="4" t="str">
        <f t="shared" si="136"/>
        <v>VFGLTSGGIFVCTTTINCFIFIPQLKQWKA</v>
      </c>
      <c r="Q359" s="4" t="str">
        <f t="shared" si="137"/>
        <v>FEEENQTIRRMAK</v>
      </c>
      <c r="R359" s="5">
        <f>VLOOKUP($A359,'SegEnds_NonXtal_Prot#'!$A:$AL,3,FALSE)</f>
        <v>48</v>
      </c>
      <c r="S359" s="5">
        <f>VLOOKUP($A359,'SegEnds_NonXtal_Prot#'!$A:$AL,6,FALSE)</f>
        <v>77</v>
      </c>
      <c r="T359" s="5">
        <f>VLOOKUP($A359,'SegEnds_NonXtal_Prot#'!$A:$AL,9,FALSE)</f>
        <v>84</v>
      </c>
      <c r="U359" s="5" t="str">
        <f>VLOOKUP($A359,'SegEnds_NonXtal_Prot#'!$A:$AL,12,FALSE)</f>
        <v>-</v>
      </c>
      <c r="V359" s="5">
        <f>VLOOKUP($A359,'SegEnds_NonXtal_Prot#'!$A:$AL,15,FALSE)</f>
        <v>117</v>
      </c>
      <c r="W359" s="5" t="str">
        <f>VLOOKUP($A359,'SegEnds_NonXtal_Prot#'!$A:$AL,18,FALSE)</f>
        <v>-</v>
      </c>
      <c r="X359" s="5">
        <f>VLOOKUP($A359,'SegEnds_NonXtal_Prot#'!$A:$AL,21,FALSE)</f>
        <v>161</v>
      </c>
      <c r="Y359" s="5" t="str">
        <f>VLOOKUP($A359,'SegEnds_NonXtal_Prot#'!$A:$AL,24,FALSE)</f>
        <v>-</v>
      </c>
      <c r="Z359" s="5">
        <f>VLOOKUP($A359,'SegEnds_NonXtal_Prot#'!$A:$AL,27,FALSE)</f>
        <v>222</v>
      </c>
      <c r="AA359" s="5">
        <f>VLOOKUP($A359,'SegEnds_NonXtal_Prot#'!$A:$AL,30,FALSE)</f>
        <v>257</v>
      </c>
      <c r="AB359" s="5">
        <f>VLOOKUP($A359,'SegEnds_NonXtal_Prot#'!$A:$AL,33,FALSE)</f>
        <v>288</v>
      </c>
      <c r="AC359" s="5">
        <f>VLOOKUP($A359,'SegEnds_NonXtal_Prot#'!$A:$AL,36,FALSE)</f>
        <v>318</v>
      </c>
      <c r="AD359" s="5">
        <f>VLOOKUP($A359,'SegEnds_NonXtal_Prot#'!$A:$AL,5,FALSE)</f>
        <v>74</v>
      </c>
      <c r="AE359" s="5">
        <f>VLOOKUP($A359,'SegEnds_NonXtal_Prot#'!$A:$AL,8,FALSE)</f>
        <v>83</v>
      </c>
      <c r="AF359" s="5">
        <f>VLOOKUP($A359,'SegEnds_NonXtal_Prot#'!$A:$AL,11,FALSE)</f>
        <v>106</v>
      </c>
      <c r="AG359" s="5" t="str">
        <f>VLOOKUP($A359,'SegEnds_NonXtal_Prot#'!$A:$AL,14,FALSE)</f>
        <v>-</v>
      </c>
      <c r="AH359" s="5">
        <f>VLOOKUP($A359,'SegEnds_NonXtal_Prot#'!$A:$AL,17,FALSE)</f>
        <v>149</v>
      </c>
      <c r="AI359" s="5" t="str">
        <f>VLOOKUP($A359,'SegEnds_NonXtal_Prot#'!$A:$AL,20,FALSE)</f>
        <v>-</v>
      </c>
      <c r="AJ359" s="5">
        <f>VLOOKUP($A359,'SegEnds_NonXtal_Prot#'!$A:$AL,23,FALSE)</f>
        <v>187</v>
      </c>
      <c r="AK359" s="5" t="str">
        <f>VLOOKUP($A359,'SegEnds_NonXtal_Prot#'!$A:$AL,26,FALSE)</f>
        <v>-</v>
      </c>
      <c r="AL359" s="5">
        <f>VLOOKUP($A359,'SegEnds_NonXtal_Prot#'!$A:$AL,29,FALSE)</f>
        <v>246</v>
      </c>
      <c r="AM359" s="5">
        <f>VLOOKUP($A359,'SegEnds_NonXtal_Prot#'!$A:$AL,32,FALSE)</f>
        <v>281</v>
      </c>
      <c r="AN359" s="5">
        <f>VLOOKUP($A359,'SegEnds_NonXtal_Prot#'!$A:$AL,35,FALSE)</f>
        <v>317</v>
      </c>
      <c r="AO359" s="5">
        <f>VLOOKUP($A359,'SegEnds_NonXtal_Prot#'!$A:$AL,38,FALSE)</f>
        <v>330</v>
      </c>
      <c r="AP359" s="5">
        <f t="shared" si="138"/>
        <v>26</v>
      </c>
      <c r="AQ359" s="4">
        <f t="shared" si="139"/>
        <v>6</v>
      </c>
      <c r="AR359" s="4">
        <f t="shared" si="140"/>
        <v>22</v>
      </c>
      <c r="AS359" s="4" t="str">
        <f t="shared" si="141"/>
        <v>-</v>
      </c>
      <c r="AT359" s="4">
        <f t="shared" si="142"/>
        <v>32</v>
      </c>
      <c r="AU359" s="4" t="str">
        <f t="shared" si="143"/>
        <v>-</v>
      </c>
      <c r="AV359" s="4">
        <f t="shared" si="144"/>
        <v>26</v>
      </c>
      <c r="AW359" s="4" t="str">
        <f t="shared" si="145"/>
        <v>-</v>
      </c>
      <c r="AX359" s="4">
        <f t="shared" si="146"/>
        <v>24</v>
      </c>
      <c r="AY359" s="4">
        <f t="shared" si="147"/>
        <v>24</v>
      </c>
      <c r="AZ359" s="4">
        <f t="shared" si="148"/>
        <v>29</v>
      </c>
      <c r="BA359" s="4">
        <f t="shared" si="149"/>
        <v>12</v>
      </c>
    </row>
    <row r="360" spans="1:53" x14ac:dyDescent="0.2">
      <c r="A360" s="1" t="str">
        <f>'SegEnds_NonXtal_Prot#'!A354</f>
        <v>gp157_human</v>
      </c>
      <c r="B360" s="1" t="str">
        <f t="shared" si="125"/>
        <v>VPSERAVVLLSCALSALGSGLLVATHALWARRLLLFLSLADLLSAASYFYGVLQWDCVLQGALSTFANTSSFFWTVAIALYLYLSIVRHVVSWGVPLVITVAAVALKKIGYDASVGWCWIDLEAKDHVLWMLLTGKLSQEHRLLRHSSMADKKLVLIPLIFVVLHGIGNTFQGGANCIMFVLCVRTRLFSLCCCCCSSQ</v>
      </c>
      <c r="C360" s="29" t="str">
        <f>IF(ISERROR(MATCH(A360,'SegEnds_Xtal_Prot#'!B:B, 0)), "NoXtal", "Xtal")</f>
        <v>NoXtal</v>
      </c>
      <c r="D360" s="4" t="str">
        <f>VLOOKUP(A360,Classification!A:D,2,FALSE)</f>
        <v>O</v>
      </c>
      <c r="E360" s="5" t="str">
        <f>VLOOKUP(A360,Seqs!A:B,2,FALSE)</f>
        <v>MQPSPPPTELVPSERAVVLLSCALSALGSGLLVATHALWPDLRSRARRLLLFLSLADLLSAASYFYGVLQNFAGPSWDCVLQGALSTFANTSSFFWTVAIALYLYLSIVRAARGPRTDRLLWAFHVVSWGVPLVITVAAVALKKIGYDASDVSVGWCWIDLEAKDHVLWMLLTGKLWEMLAYVLLPLLYLLVRKHINRAHTALSEYRPILSQEHRLLRHSSMADKKLVLIPLIFIGLRVWSTVRFVLTLCGSPAVQTPVLVVLHGIGNTFQGGANCIMFVLCTRAVRTRLFSLCCCCCSSQPPTKSPAGTPKAPAPSKPGESQESQGTPGELPST</v>
      </c>
      <c r="F360" s="5" t="str">
        <f t="shared" si="126"/>
        <v>VPSERAVVLLSCALSALGSGLLVATHALW</v>
      </c>
      <c r="G360" s="4" t="str">
        <f t="shared" si="127"/>
        <v/>
      </c>
      <c r="H360" s="4" t="str">
        <f t="shared" si="128"/>
        <v>ARRLLLFLSLADLLSAASYFYGVLQ</v>
      </c>
      <c r="I360" s="4" t="str">
        <f t="shared" si="129"/>
        <v/>
      </c>
      <c r="J360" s="4" t="str">
        <f t="shared" si="130"/>
        <v>WDCVLQGALSTFANTSSFFWTVAIALYLYLSIVR</v>
      </c>
      <c r="K360" s="4" t="str">
        <f t="shared" si="131"/>
        <v/>
      </c>
      <c r="L360" s="4" t="str">
        <f t="shared" si="132"/>
        <v>HVVSWGVPLVITVAAVALKKIGYDA</v>
      </c>
      <c r="M360" s="4" t="str">
        <f t="shared" si="133"/>
        <v/>
      </c>
      <c r="N360" s="4" t="str">
        <f t="shared" si="134"/>
        <v>SVGWCWIDLEAKDHVLWMLLTGK</v>
      </c>
      <c r="O360" s="4" t="str">
        <f t="shared" si="135"/>
        <v>LSQEHRLLRHSSMADKKLVLIPLIF</v>
      </c>
      <c r="P360" s="4" t="str">
        <f t="shared" si="136"/>
        <v>VVLHGIGNTFQGGANCIMFVLC</v>
      </c>
      <c r="Q360" s="4" t="str">
        <f t="shared" si="137"/>
        <v>VRTRLFSLCCCCCSSQ</v>
      </c>
      <c r="R360" s="5">
        <f>VLOOKUP($A360,'SegEnds_NonXtal_Prot#'!$A:$AL,3,FALSE)</f>
        <v>11</v>
      </c>
      <c r="S360" s="5" t="str">
        <f>VLOOKUP($A360,'SegEnds_NonXtal_Prot#'!$A:$AL,6,FALSE)</f>
        <v>-</v>
      </c>
      <c r="T360" s="5">
        <f>VLOOKUP($A360,'SegEnds_NonXtal_Prot#'!$A:$AL,9,FALSE)</f>
        <v>46</v>
      </c>
      <c r="U360" s="5" t="str">
        <f>VLOOKUP($A360,'SegEnds_NonXtal_Prot#'!$A:$AL,12,FALSE)</f>
        <v>-</v>
      </c>
      <c r="V360" s="5">
        <f>VLOOKUP($A360,'SegEnds_NonXtal_Prot#'!$A:$AL,15,FALSE)</f>
        <v>77</v>
      </c>
      <c r="W360" s="5" t="str">
        <f>VLOOKUP($A360,'SegEnds_NonXtal_Prot#'!$A:$AL,18,FALSE)</f>
        <v>-</v>
      </c>
      <c r="X360" s="5">
        <f>VLOOKUP($A360,'SegEnds_NonXtal_Prot#'!$A:$AL,21,FALSE)</f>
        <v>125</v>
      </c>
      <c r="Y360" s="5" t="str">
        <f>VLOOKUP($A360,'SegEnds_NonXtal_Prot#'!$A:$AL,24,FALSE)</f>
        <v>-</v>
      </c>
      <c r="Z360" s="5">
        <f>VLOOKUP($A360,'SegEnds_NonXtal_Prot#'!$A:$AL,27,FALSE)</f>
        <v>153</v>
      </c>
      <c r="AA360" s="5">
        <f>VLOOKUP($A360,'SegEnds_NonXtal_Prot#'!$A:$AL,30,FALSE)</f>
        <v>210</v>
      </c>
      <c r="AB360" s="5">
        <f>VLOOKUP($A360,'SegEnds_NonXtal_Prot#'!$A:$AL,33,FALSE)</f>
        <v>261</v>
      </c>
      <c r="AC360" s="5">
        <f>VLOOKUP($A360,'SegEnds_NonXtal_Prot#'!$A:$AL,36,FALSE)</f>
        <v>286</v>
      </c>
      <c r="AD360" s="5">
        <f>VLOOKUP($A360,'SegEnds_NonXtal_Prot#'!$A:$AL,5,FALSE)</f>
        <v>39</v>
      </c>
      <c r="AE360" s="5" t="str">
        <f>VLOOKUP($A360,'SegEnds_NonXtal_Prot#'!$A:$AL,8,FALSE)</f>
        <v>-</v>
      </c>
      <c r="AF360" s="5">
        <f>VLOOKUP($A360,'SegEnds_NonXtal_Prot#'!$A:$AL,11,FALSE)</f>
        <v>70</v>
      </c>
      <c r="AG360" s="5" t="str">
        <f>VLOOKUP($A360,'SegEnds_NonXtal_Prot#'!$A:$AL,14,FALSE)</f>
        <v>-</v>
      </c>
      <c r="AH360" s="5">
        <f>VLOOKUP($A360,'SegEnds_NonXtal_Prot#'!$A:$AL,17,FALSE)</f>
        <v>110</v>
      </c>
      <c r="AI360" s="5" t="str">
        <f>VLOOKUP($A360,'SegEnds_NonXtal_Prot#'!$A:$AL,20,FALSE)</f>
        <v>-</v>
      </c>
      <c r="AJ360" s="5">
        <f>VLOOKUP($A360,'SegEnds_NonXtal_Prot#'!$A:$AL,23,FALSE)</f>
        <v>149</v>
      </c>
      <c r="AK360" s="5" t="str">
        <f>VLOOKUP($A360,'SegEnds_NonXtal_Prot#'!$A:$AL,26,FALSE)</f>
        <v>-</v>
      </c>
      <c r="AL360" s="5">
        <f>VLOOKUP($A360,'SegEnds_NonXtal_Prot#'!$A:$AL,29,FALSE)</f>
        <v>175</v>
      </c>
      <c r="AM360" s="5">
        <f>VLOOKUP($A360,'SegEnds_NonXtal_Prot#'!$A:$AL,32,FALSE)</f>
        <v>234</v>
      </c>
      <c r="AN360" s="5">
        <f>VLOOKUP($A360,'SegEnds_NonXtal_Prot#'!$A:$AL,35,FALSE)</f>
        <v>282</v>
      </c>
      <c r="AO360" s="5">
        <f>VLOOKUP($A360,'SegEnds_NonXtal_Prot#'!$A:$AL,38,FALSE)</f>
        <v>301</v>
      </c>
      <c r="AP360" s="5">
        <f t="shared" si="138"/>
        <v>28</v>
      </c>
      <c r="AQ360" s="4" t="str">
        <f t="shared" si="139"/>
        <v>-</v>
      </c>
      <c r="AR360" s="4">
        <f t="shared" si="140"/>
        <v>24</v>
      </c>
      <c r="AS360" s="4" t="str">
        <f t="shared" si="141"/>
        <v>-</v>
      </c>
      <c r="AT360" s="4">
        <f t="shared" si="142"/>
        <v>33</v>
      </c>
      <c r="AU360" s="4" t="str">
        <f t="shared" si="143"/>
        <v>-</v>
      </c>
      <c r="AV360" s="4">
        <f t="shared" si="144"/>
        <v>24</v>
      </c>
      <c r="AW360" s="4" t="str">
        <f t="shared" si="145"/>
        <v>-</v>
      </c>
      <c r="AX360" s="4">
        <f t="shared" si="146"/>
        <v>22</v>
      </c>
      <c r="AY360" s="4">
        <f t="shared" si="147"/>
        <v>24</v>
      </c>
      <c r="AZ360" s="4">
        <f t="shared" si="148"/>
        <v>21</v>
      </c>
      <c r="BA360" s="4">
        <f t="shared" si="149"/>
        <v>15</v>
      </c>
    </row>
    <row r="361" spans="1:53" x14ac:dyDescent="0.2">
      <c r="A361" s="1" t="str">
        <f>'SegEnds_NonXtal_Prot#'!A356</f>
        <v>gp160_human</v>
      </c>
      <c r="B361" s="1" t="str">
        <f t="shared" si="125"/>
        <v>TNQPLDVNYLLFLIILGKILLNILTLGMRRKNNFMEYFCISLAFVDLLLLVNISIILYFRDFRFTKYHICLFTQIISFTYGFLHYPVFLTACIDYCLNFSKQKLFYFFTVILIWISVLAYVLGDPAIQSYWLSFFMVMILFVAFITCWEEVTTLVQAIRITSYMNESHSSYTVRSKKIFLSKLIVCFLSTWLPFVLLQVIIVLLPAYIEMNIPWLYFVNSFLIATVYWFNCHKLNLKDIGLPLDP</v>
      </c>
      <c r="C361" s="29" t="str">
        <f>IF(ISERROR(MATCH(A361,'SegEnds_Xtal_Prot#'!B:B, 0)), "NoXtal", "Xtal")</f>
        <v>NoXtal</v>
      </c>
      <c r="D361" s="4" t="str">
        <f>VLOOKUP(A361,Classification!A:D,2,FALSE)</f>
        <v>A</v>
      </c>
      <c r="E361" s="5" t="str">
        <f>VLOOKUP(A361,Seqs!A:B,2,FALSE)</f>
        <v>MTALSSENCSFQYQLRQTNQPLDVNYLLFLIILGKILLNILTLGMRRKNTCQNFMEYFCISLAFVDLLLLVNISIILYFRDFVLLSIRFTKYHICLFTQIISFTYGFLHYPVFLTACIDYCLNFSKTTKLSFKCQKLFYFFTVILIWISVLAYVLGDPAIYQSLKAQNAYSRHCPFYVSIQSYWLSFFMVMILFVAFITCWEEVTTLVQAIRITSYMNETILYFPFSSHSSYTVRSKKIFLSKLIVCFLSTWLPFVLLQVIIVLLKVQIPAYIEMNIPWLYFVNSFLIATVYWFNCHKLNLKDIGLPLDPFVNWKCCFIPLTIPNLEQIEKPISIMIC</v>
      </c>
      <c r="F361" s="5" t="str">
        <f t="shared" si="126"/>
        <v>TNQPLDVNYLLFLIILGKILLNILTLGMRRKN</v>
      </c>
      <c r="G361" s="4" t="str">
        <f t="shared" si="127"/>
        <v/>
      </c>
      <c r="H361" s="4" t="str">
        <f t="shared" si="128"/>
        <v>NFMEYFCISLAFVDLLLLVNISIILYFRDF</v>
      </c>
      <c r="I361" s="4" t="str">
        <f t="shared" si="129"/>
        <v/>
      </c>
      <c r="J361" s="4" t="str">
        <f t="shared" si="130"/>
        <v>RFTKYHICLFTQIISFTYGFLHYPVFLTACIDYCLNFSK</v>
      </c>
      <c r="K361" s="4" t="str">
        <f t="shared" si="131"/>
        <v/>
      </c>
      <c r="L361" s="4" t="str">
        <f t="shared" si="132"/>
        <v>QKLFYFFTVILIWISVLAYVLGDPAI</v>
      </c>
      <c r="M361" s="4" t="str">
        <f t="shared" si="133"/>
        <v>CPF</v>
      </c>
      <c r="N361" s="4" t="str">
        <f t="shared" si="134"/>
        <v>QSYWLSFFMVMILFVAFITCWEEVTTLVQAIRITSYMNE</v>
      </c>
      <c r="O361" s="4" t="str">
        <f t="shared" si="135"/>
        <v>SHSSYTVRSKKIFLSKLIVCFLSTWLPFVLLQVIIVLL</v>
      </c>
      <c r="P361" s="4" t="str">
        <f t="shared" si="136"/>
        <v>PAYIEMNIPWLYFVNSFLIATVYWFN</v>
      </c>
      <c r="Q361" s="4" t="str">
        <f t="shared" si="137"/>
        <v>CHKLNLKDIGLPLDP</v>
      </c>
      <c r="R361" s="5">
        <f>VLOOKUP($A361,'SegEnds_NonXtal_Prot#'!$A:$AL,3,FALSE)</f>
        <v>18</v>
      </c>
      <c r="S361" s="5" t="str">
        <f>VLOOKUP($A361,'SegEnds_NonXtal_Prot#'!$A:$AL,6,FALSE)</f>
        <v>-</v>
      </c>
      <c r="T361" s="5">
        <f>VLOOKUP($A361,'SegEnds_NonXtal_Prot#'!$A:$AL,9,FALSE)</f>
        <v>53</v>
      </c>
      <c r="U361" s="5" t="str">
        <f>VLOOKUP($A361,'SegEnds_NonXtal_Prot#'!$A:$AL,12,FALSE)</f>
        <v>-</v>
      </c>
      <c r="V361" s="5">
        <f>VLOOKUP($A361,'SegEnds_NonXtal_Prot#'!$A:$AL,15,FALSE)</f>
        <v>88</v>
      </c>
      <c r="W361" s="5" t="str">
        <f>VLOOKUP($A361,'SegEnds_NonXtal_Prot#'!$A:$AL,18,FALSE)</f>
        <v>-</v>
      </c>
      <c r="X361" s="5">
        <f>VLOOKUP($A361,'SegEnds_NonXtal_Prot#'!$A:$AL,21,FALSE)</f>
        <v>135</v>
      </c>
      <c r="Y361" s="5">
        <f>VLOOKUP($A361,'SegEnds_NonXtal_Prot#'!$A:$AL,24,FALSE)</f>
        <v>174</v>
      </c>
      <c r="Z361" s="5">
        <f>VLOOKUP($A361,'SegEnds_NonXtal_Prot#'!$A:$AL,27,FALSE)</f>
        <v>181</v>
      </c>
      <c r="AA361" s="5">
        <f>VLOOKUP($A361,'SegEnds_NonXtal_Prot#'!$A:$AL,30,FALSE)</f>
        <v>228</v>
      </c>
      <c r="AB361" s="5">
        <f>VLOOKUP($A361,'SegEnds_NonXtal_Prot#'!$A:$AL,33,FALSE)</f>
        <v>270</v>
      </c>
      <c r="AC361" s="5">
        <f>VLOOKUP($A361,'SegEnds_NonXtal_Prot#'!$A:$AL,36,FALSE)</f>
        <v>296</v>
      </c>
      <c r="AD361" s="5">
        <f>VLOOKUP($A361,'SegEnds_NonXtal_Prot#'!$A:$AL,5,FALSE)</f>
        <v>49</v>
      </c>
      <c r="AE361" s="5" t="str">
        <f>VLOOKUP($A361,'SegEnds_NonXtal_Prot#'!$A:$AL,8,FALSE)</f>
        <v>-</v>
      </c>
      <c r="AF361" s="5">
        <f>VLOOKUP($A361,'SegEnds_NonXtal_Prot#'!$A:$AL,11,FALSE)</f>
        <v>82</v>
      </c>
      <c r="AG361" s="5" t="str">
        <f>VLOOKUP($A361,'SegEnds_NonXtal_Prot#'!$A:$AL,14,FALSE)</f>
        <v>-</v>
      </c>
      <c r="AH361" s="5">
        <f>VLOOKUP($A361,'SegEnds_NonXtal_Prot#'!$A:$AL,17,FALSE)</f>
        <v>126</v>
      </c>
      <c r="AI361" s="5" t="str">
        <f>VLOOKUP($A361,'SegEnds_NonXtal_Prot#'!$A:$AL,20,FALSE)</f>
        <v>-</v>
      </c>
      <c r="AJ361" s="5">
        <f>VLOOKUP($A361,'SegEnds_NonXtal_Prot#'!$A:$AL,23,FALSE)</f>
        <v>160</v>
      </c>
      <c r="AK361" s="5">
        <f>VLOOKUP($A361,'SegEnds_NonXtal_Prot#'!$A:$AL,26,FALSE)</f>
        <v>176</v>
      </c>
      <c r="AL361" s="5">
        <f>VLOOKUP($A361,'SegEnds_NonXtal_Prot#'!$A:$AL,29,FALSE)</f>
        <v>219</v>
      </c>
      <c r="AM361" s="5">
        <f>VLOOKUP($A361,'SegEnds_NonXtal_Prot#'!$A:$AL,32,FALSE)</f>
        <v>265</v>
      </c>
      <c r="AN361" s="5">
        <f>VLOOKUP($A361,'SegEnds_NonXtal_Prot#'!$A:$AL,35,FALSE)</f>
        <v>295</v>
      </c>
      <c r="AO361" s="5">
        <f>VLOOKUP($A361,'SegEnds_NonXtal_Prot#'!$A:$AL,38,FALSE)</f>
        <v>310</v>
      </c>
      <c r="AP361" s="5">
        <f t="shared" si="138"/>
        <v>31</v>
      </c>
      <c r="AQ361" s="4" t="str">
        <f t="shared" si="139"/>
        <v>-</v>
      </c>
      <c r="AR361" s="4">
        <f t="shared" si="140"/>
        <v>29</v>
      </c>
      <c r="AS361" s="4" t="str">
        <f t="shared" si="141"/>
        <v>-</v>
      </c>
      <c r="AT361" s="4">
        <f t="shared" si="142"/>
        <v>38</v>
      </c>
      <c r="AU361" s="4" t="str">
        <f t="shared" si="143"/>
        <v>-</v>
      </c>
      <c r="AV361" s="4">
        <f t="shared" si="144"/>
        <v>25</v>
      </c>
      <c r="AW361" s="4">
        <f t="shared" si="145"/>
        <v>2</v>
      </c>
      <c r="AX361" s="4">
        <f t="shared" si="146"/>
        <v>38</v>
      </c>
      <c r="AY361" s="4">
        <f t="shared" si="147"/>
        <v>37</v>
      </c>
      <c r="AZ361" s="4">
        <f t="shared" si="148"/>
        <v>25</v>
      </c>
      <c r="BA361" s="4">
        <f t="shared" si="149"/>
        <v>14</v>
      </c>
    </row>
    <row r="362" spans="1:53" x14ac:dyDescent="0.2">
      <c r="A362" s="1" t="str">
        <f>'SegEnds_NonXtal_Prot#'!A357</f>
        <v>gp176_human</v>
      </c>
      <c r="B362" s="1" t="str">
        <f t="shared" si="125"/>
        <v>RQFTTTVQVVIFIGSLLGNFMVLWSTCRTSVTNRFIKNLACSGICASLVCVPFDIILSTSYTMLFCKVVKFLHKVFCSVTILSFPAIALDRYYSVLYSDAKSRELVMYIWAHAVVASVPVFAVTSLGHLVYVLVYNITTVIVPVVVVFLFLILIRRALSASQKKKVIISIPYASQREAELHATLLSMVMVFILCSVPYATLVVYQTVLSVFLLLTAVWLPKVSLLANPVLFLTVNKSVRKCLIGTL</v>
      </c>
      <c r="C362" s="29" t="str">
        <f>IF(ISERROR(MATCH(A362,'SegEnds_Xtal_Prot#'!B:B, 0)), "NoXtal", "Xtal")</f>
        <v>NoXtal</v>
      </c>
      <c r="D362" s="4" t="str">
        <f>VLOOKUP(A362,Classification!A:D,2,FALSE)</f>
        <v>A</v>
      </c>
      <c r="E362" s="5" t="str">
        <f>VLOOKUP(A362,Seqs!A:B,2,FALSE)</f>
        <v>MGHNGSWISPNASEPHNASGAEAAGVNRSALGEFGEAQLYRQFTTTVQVVIFIGSLLGNFMVLWSTCRTTVFKSVTNRFIKNLACSGICASLVCVPFDIILSTSPHCCWWIYTMLFCKVVKFLHKVFCSVTILSFPAIALDRYYSVLYPLERKISDAKSRELVMYIWAHAVVASVPVFAVTNVADIYATSTCTEVWSNSLGHLVYVLVYNITTVIVPVVVVFLFLILIRRALSASQKKKVIIAALRTPQNTISIPYASQREAELHATLLSMVMVFILCSVPYATLVVYQTVLNVPDTSVFLLLTAVWLPKVSLLANPVLFLTVNKSVRKCLIGTLVQLHHRYSRRNVVSTGSGMAEASLEPSIRSGSQLLEMFHIGQQQIFKPTEDEEESEAKYIGSADFQAKEIFSTCLEGEQGPQFAPSAPPLSTVDSVSQVAPAAPVEPETFPDKYSLQFGFGPFELPPQWLSETRNSKKRLLPPLGNTPEELIQTKVPKVGRVERKMSRNNKVSIFPKVDS</v>
      </c>
      <c r="F362" s="5" t="str">
        <f t="shared" si="126"/>
        <v>RQFTTTVQVVIFIGSLLGNFMVLWSTCRT</v>
      </c>
      <c r="G362" s="4" t="str">
        <f t="shared" si="127"/>
        <v>TVFK</v>
      </c>
      <c r="H362" s="4" t="str">
        <f t="shared" si="128"/>
        <v>SVTNRFIKNLACSGICASLVCVPFDIILSTS</v>
      </c>
      <c r="I362" s="4" t="str">
        <f t="shared" si="129"/>
        <v>CWWI</v>
      </c>
      <c r="J362" s="4" t="str">
        <f t="shared" si="130"/>
        <v>YTMLFCKVVKFLHKVFCSVTILSFPAIALDRYYSVLY</v>
      </c>
      <c r="K362" s="4" t="str">
        <f t="shared" si="131"/>
        <v/>
      </c>
      <c r="L362" s="4" t="str">
        <f t="shared" si="132"/>
        <v>SDAKSRELVMYIWAHAVVASVPVFAVT</v>
      </c>
      <c r="M362" s="4" t="str">
        <f t="shared" si="133"/>
        <v>CTE</v>
      </c>
      <c r="N362" s="4" t="str">
        <f t="shared" si="134"/>
        <v>SLGHLVYVLVYNITTVIVPVVVVFLFLILIRRALSASQKKKVI</v>
      </c>
      <c r="O362" s="4" t="str">
        <f t="shared" si="135"/>
        <v>ISIPYASQREAELHATLLSMVMVFILCSVPYATLVVYQTVL</v>
      </c>
      <c r="P362" s="4" t="str">
        <f t="shared" si="136"/>
        <v>SVFLLLTAVWLPKVSLLANPVLFLTV</v>
      </c>
      <c r="Q362" s="4" t="str">
        <f t="shared" si="137"/>
        <v>NKSVRKCLIGTL</v>
      </c>
      <c r="R362" s="5">
        <f>VLOOKUP($A362,'SegEnds_NonXtal_Prot#'!$A:$AL,3,FALSE)</f>
        <v>41</v>
      </c>
      <c r="S362" s="5">
        <f>VLOOKUP($A362,'SegEnds_NonXtal_Prot#'!$A:$AL,6,FALSE)</f>
        <v>70</v>
      </c>
      <c r="T362" s="5">
        <f>VLOOKUP($A362,'SegEnds_NonXtal_Prot#'!$A:$AL,9,FALSE)</f>
        <v>74</v>
      </c>
      <c r="U362" s="5">
        <f>VLOOKUP($A362,'SegEnds_NonXtal_Prot#'!$A:$AL,12,FALSE)</f>
        <v>108</v>
      </c>
      <c r="V362" s="5">
        <f>VLOOKUP($A362,'SegEnds_NonXtal_Prot#'!$A:$AL,15,FALSE)</f>
        <v>112</v>
      </c>
      <c r="W362" s="5" t="str">
        <f>VLOOKUP($A362,'SegEnds_NonXtal_Prot#'!$A:$AL,18,FALSE)</f>
        <v>-</v>
      </c>
      <c r="X362" s="5">
        <f>VLOOKUP($A362,'SegEnds_NonXtal_Prot#'!$A:$AL,21,FALSE)</f>
        <v>155</v>
      </c>
      <c r="Y362" s="5">
        <f>VLOOKUP($A362,'SegEnds_NonXtal_Prot#'!$A:$AL,24,FALSE)</f>
        <v>192</v>
      </c>
      <c r="Z362" s="5">
        <f>VLOOKUP($A362,'SegEnds_NonXtal_Prot#'!$A:$AL,27,FALSE)</f>
        <v>199</v>
      </c>
      <c r="AA362" s="5">
        <f>VLOOKUP($A362,'SegEnds_NonXtal_Prot#'!$A:$AL,30,FALSE)</f>
        <v>252</v>
      </c>
      <c r="AB362" s="5">
        <f>VLOOKUP($A362,'SegEnds_NonXtal_Prot#'!$A:$AL,33,FALSE)</f>
        <v>298</v>
      </c>
      <c r="AC362" s="5">
        <f>VLOOKUP($A362,'SegEnds_NonXtal_Prot#'!$A:$AL,36,FALSE)</f>
        <v>324</v>
      </c>
      <c r="AD362" s="5">
        <f>VLOOKUP($A362,'SegEnds_NonXtal_Prot#'!$A:$AL,5,FALSE)</f>
        <v>69</v>
      </c>
      <c r="AE362" s="5">
        <f>VLOOKUP($A362,'SegEnds_NonXtal_Prot#'!$A:$AL,8,FALSE)</f>
        <v>73</v>
      </c>
      <c r="AF362" s="5">
        <f>VLOOKUP($A362,'SegEnds_NonXtal_Prot#'!$A:$AL,11,FALSE)</f>
        <v>104</v>
      </c>
      <c r="AG362" s="5">
        <f>VLOOKUP($A362,'SegEnds_NonXtal_Prot#'!$A:$AL,14,FALSE)</f>
        <v>111</v>
      </c>
      <c r="AH362" s="5">
        <f>VLOOKUP($A362,'SegEnds_NonXtal_Prot#'!$A:$AL,17,FALSE)</f>
        <v>148</v>
      </c>
      <c r="AI362" s="5" t="str">
        <f>VLOOKUP($A362,'SegEnds_NonXtal_Prot#'!$A:$AL,20,FALSE)</f>
        <v>-</v>
      </c>
      <c r="AJ362" s="5">
        <f>VLOOKUP($A362,'SegEnds_NonXtal_Prot#'!$A:$AL,23,FALSE)</f>
        <v>181</v>
      </c>
      <c r="AK362" s="5">
        <f>VLOOKUP($A362,'SegEnds_NonXtal_Prot#'!$A:$AL,26,FALSE)</f>
        <v>194</v>
      </c>
      <c r="AL362" s="5">
        <f>VLOOKUP($A362,'SegEnds_NonXtal_Prot#'!$A:$AL,29,FALSE)</f>
        <v>241</v>
      </c>
      <c r="AM362" s="5">
        <f>VLOOKUP($A362,'SegEnds_NonXtal_Prot#'!$A:$AL,32,FALSE)</f>
        <v>292</v>
      </c>
      <c r="AN362" s="5">
        <f>VLOOKUP($A362,'SegEnds_NonXtal_Prot#'!$A:$AL,35,FALSE)</f>
        <v>323</v>
      </c>
      <c r="AO362" s="5">
        <f>VLOOKUP($A362,'SegEnds_NonXtal_Prot#'!$A:$AL,38,FALSE)</f>
        <v>335</v>
      </c>
      <c r="AP362" s="5">
        <f t="shared" si="138"/>
        <v>28</v>
      </c>
      <c r="AQ362" s="4">
        <f t="shared" si="139"/>
        <v>3</v>
      </c>
      <c r="AR362" s="4">
        <f t="shared" si="140"/>
        <v>30</v>
      </c>
      <c r="AS362" s="4">
        <f t="shared" si="141"/>
        <v>3</v>
      </c>
      <c r="AT362" s="4">
        <f t="shared" si="142"/>
        <v>36</v>
      </c>
      <c r="AU362" s="4" t="str">
        <f t="shared" si="143"/>
        <v>-</v>
      </c>
      <c r="AV362" s="4">
        <f t="shared" si="144"/>
        <v>26</v>
      </c>
      <c r="AW362" s="4">
        <f t="shared" si="145"/>
        <v>2</v>
      </c>
      <c r="AX362" s="4">
        <f t="shared" si="146"/>
        <v>42</v>
      </c>
      <c r="AY362" s="4">
        <f t="shared" si="147"/>
        <v>40</v>
      </c>
      <c r="AZ362" s="4">
        <f t="shared" si="148"/>
        <v>25</v>
      </c>
      <c r="BA362" s="4">
        <f t="shared" si="149"/>
        <v>11</v>
      </c>
    </row>
    <row r="363" spans="1:53" x14ac:dyDescent="0.2">
      <c r="A363" s="1" t="str">
        <f>'SegEnds_NonXtal_Prot#'!A358</f>
        <v>gp179_human</v>
      </c>
      <c r="B363" s="1" t="str">
        <f t="shared" si="125"/>
        <v>VLRAAVLACQACCMLAIFLSMLVSYRCGVVLLETVLFGFLLLYFPVFILYVFRCIALRWVRLLGFAIVYGTIILKLYRVLQLFSRTAQRSALLSSGRLLRRLGLLLLPVLDRWDYIMVVAELLLLCWGSFLCYATEPRYMGIALHNELLLSAAFHTARFVTLLLFFFHTHSTVTTTLALIFIPKFWKLGAPPREEMVDEVCED</v>
      </c>
      <c r="C363" s="29" t="str">
        <f>IF(ISERROR(MATCH(A363,'SegEnds_Xtal_Prot#'!B:B, 0)), "NoXtal", "Xtal")</f>
        <v>NoXtal</v>
      </c>
      <c r="D363" s="4" t="str">
        <f>VLOOKUP(A363,Classification!A:D,2,FALSE)</f>
        <v>C</v>
      </c>
      <c r="E363" s="5" t="str">
        <f>VLOOKUP(A363,Seqs!A:B,2,FALSE)</f>
        <v>MGTRGAVMPPPMWGLLGCCFVCAWALGGPRPIRSLPPLSSQVKPGSVPMQVPLEGAEAALAYLYSGDAQQLSQVNCSERYEARGAGAMPGLPPSLQGAAGTLAQAANFLNMLLQANDIRESSVEEDVEWYQALVRSVAEGDPRVYRALLTFNPPPGASHLQLALQATRTGEETILQDLSGNWVQEENPPGDLDTPALKKRVLTNDLGSLGSPKWPQADGYVGDTQQVRLSPPFLECQEGRLRPGWLITLSATFYGLKPDLSPEVRGQVQMDVDLQSVDINQCASGPGWYSNTHLCDLNSTQCVPLESQGFVLGRYLCRCRPGFYGASPSGGLEESDFQTTGQFGFPEGRSGRLLQCLPCPEGCTSCMDATPCLVEEAAVLRAAVLACQACCMLAIFLSMLVSYRCRRNKRIWASGVVLLETVLFGFLLLYFPVFILYFKPSVFRCIALRWVRLLGFAIVYGTIILKLYRVLQLFLSRTAQRSALLSSGRLLRRLGLLLLPVLGFLAVWTVGALERGIQHAPLVIRGHTPSGRHFYLCHHDRWDYIMVVAELLLLCWGSFLCYATRAVLSAFHEPRYMGIALHNELLLSAAFHTARFVLVPSLHPDWTLLLFFFHTHSTVTTTLALIFIPKFWKLGAPPREEMVDEVCEDELDLQHSGSYLGSSIASAWSEHSLDPGDIRDELKKLYAQLEVHKTKEMAANNPHLPKKRGSSCQGLGRSFMRYLAEFPEALARQHSRDSGSPGHGSLPGSSRRRLLSSSLQEPEGTPALHKSRSTYDQRREQDPPLLDSLLRRKLAKKASRTESRESVEGPPALGFRSASAHNLTVGERLPRARPASLQKSLSVASSREKALLMASQAYLEETYRQAKEREERKKAKAAMASLVRRPSARRLERPRGAPLSAPPSPAKSSSVDSSHTSGRLHEEARRRLPHPPIRHQVSTPILALSGGLGEPRMLSPTSTLAPALLPALAPTPAPALAPVPVSPQSPNLLTYICPWENAELPAKQENVPQEGPSGPERGHHSPAPARARLWRALSVAVEKSRAGENEMDAEDAHHQREANDVDEDRPKIFPKSHSLKAPVQQGSMRSLGLAIKALTRSRSTYREKESVEESPEGQNSGTAGESMGAPSRSPRLGRPKAVSKQAALIPSDDKESLQNQQNAHTSRMLQVCQREGSREQEDRGRRMTQGLGERKAERAGKTGLAMLRQVSRDKNIKQSKETPVGWQELPKAGLQSLGSADHRVAEVCPWEVTESETRQPDSGNKAEICPWETSEGAPESRALRQDPGDSQKKRGEARGKSEPIDVVPMMRKKPERLVREQEAVCPWESADRGGLSPGSAPQDPGRIRDKSEAGDSVEARKVEKPGWEAAGPEAHTPDITKAEPCPWEASEGGEDGKPAQEAVKDLPQEKQKTRKATFWKEQKPGGDLESLCPWESTDFRGPSAVSIQAPGSSECSGSLGSGIAEVCLWEAGDAPAIQKAEICPWELDDNVMGQEMLSLGTGRESLQEKEKASRKGSFGEMGEQTVKAVQKLSQQQESVCPRESTVPGHSSPCLDNSSSKAGSQFLCNGGSRATQVCPQEDLRPEAQEATPAKTEICPWEVNERTREEWTSAQVPRGGESQKDKEKMPGKSEIEDVTAWEKPEGQIQKQEAVGPWESVDPGSFSPQPRPQDTERPQTLLQMSGSVGSKAADICPLDVEENLTAGKAEICPWEVGAGAGEERALGAEAIRKSPNDTGKVSADLGPRERAVTAPEKPQKPTPEWEVACPWGSVGPGACSQHPGTLDADGPKAGFQELDHMGCRPGEVCPWEAQEAATSEKAKICPWEVSEGTTGKGLDQKAGSESAEQREKALEKGRLTSLGEDVSKGMAKLCQQQETICIWENKDLRESPAQAPKISDLPSSMSSEVAEGHSLEATEKGDLRQDPKTGSFPEHITQEKAPAADTEEFTTEDGEKTSHELQSVCPWETTAPADSVSHLDRQRPDQPKASSQRLVSTGGRAADVCPWDVPDAGVYKSDSSAKAETCPWEVTERIPVKGVSRQDGKGDSQEEKGRAPEKSEPKGVPVQKKPEMADFRQQEAVCPWESQDGKGLSPQPAPDASDRSRGSSEAAGSVETRVAEVCLWEVVEAPSAKKAEICPWEAGGGAAEEGEQERESQGQGEMFLQKAGPGGTEEHFSKAAAKPREQEAVCPGEGTGSGGLLPQSGALDPELKVSPKEAGSMGSRMAELCQWEITDPEGNKIKGTMADICPGEETGVPSEESGLLALTATRREFFPTAPEKPLCLLVHGPLDHFFPESKIPCPKVSRPASTFTLEGVRELQGPSGLEPRTSLAPEPSLQEAESQSSSLTEDSGQVAFEAQYEEFTPPTVYPWDWE</v>
      </c>
      <c r="F363" s="5" t="str">
        <f t="shared" si="126"/>
        <v>VLRAAVLACQACCMLAIFLSMLVSYRC</v>
      </c>
      <c r="G363" s="4" t="str">
        <f t="shared" si="127"/>
        <v>NKRIWAS</v>
      </c>
      <c r="H363" s="4" t="str">
        <f t="shared" si="128"/>
        <v>GVVLLETVLFGFLLLYFPVFILY</v>
      </c>
      <c r="I363" s="4" t="str">
        <f t="shared" si="129"/>
        <v/>
      </c>
      <c r="J363" s="4" t="str">
        <f t="shared" si="130"/>
        <v>VFRCIALRWVRLLGFAIVYGTIILKLYRVLQLF</v>
      </c>
      <c r="K363" s="4" t="str">
        <f t="shared" si="131"/>
        <v/>
      </c>
      <c r="L363" s="4" t="str">
        <f t="shared" si="132"/>
        <v>SRTAQRSALLSSGRLLRRLGLLLLPVL</v>
      </c>
      <c r="M363" s="4" t="str">
        <f t="shared" si="133"/>
        <v>CHH</v>
      </c>
      <c r="N363" s="4" t="str">
        <f t="shared" si="134"/>
        <v>DRWDYIMVVAELLLLCWGSFLCYAT</v>
      </c>
      <c r="O363" s="4" t="str">
        <f t="shared" si="135"/>
        <v>EPRYMGIALHNELLLSAAFHTARFV</v>
      </c>
      <c r="P363" s="4" t="str">
        <f t="shared" si="136"/>
        <v>TLLLFFFHTHSTVTTTLALIFIPKFWKLGA</v>
      </c>
      <c r="Q363" s="4" t="str">
        <f t="shared" si="137"/>
        <v>PPREEMVDEVCED</v>
      </c>
      <c r="R363" s="5">
        <f>VLOOKUP($A363,'SegEnds_NonXtal_Prot#'!$A:$AL,3,FALSE)</f>
        <v>379</v>
      </c>
      <c r="S363" s="5">
        <f>VLOOKUP($A363,'SegEnds_NonXtal_Prot#'!$A:$AL,6,FALSE)</f>
        <v>408</v>
      </c>
      <c r="T363" s="5">
        <f>VLOOKUP($A363,'SegEnds_NonXtal_Prot#'!$A:$AL,9,FALSE)</f>
        <v>415</v>
      </c>
      <c r="U363" s="5" t="str">
        <f>VLOOKUP($A363,'SegEnds_NonXtal_Prot#'!$A:$AL,12,FALSE)</f>
        <v>-</v>
      </c>
      <c r="V363" s="5">
        <f>VLOOKUP($A363,'SegEnds_NonXtal_Prot#'!$A:$AL,15,FALSE)</f>
        <v>442</v>
      </c>
      <c r="W363" s="5" t="str">
        <f>VLOOKUP($A363,'SegEnds_NonXtal_Prot#'!$A:$AL,18,FALSE)</f>
        <v>-</v>
      </c>
      <c r="X363" s="5">
        <f>VLOOKUP($A363,'SegEnds_NonXtal_Prot#'!$A:$AL,21,FALSE)</f>
        <v>476</v>
      </c>
      <c r="Y363" s="5">
        <f>VLOOKUP($A363,'SegEnds_NonXtal_Prot#'!$A:$AL,24,FALSE)</f>
        <v>537</v>
      </c>
      <c r="Z363" s="5">
        <f>VLOOKUP($A363,'SegEnds_NonXtal_Prot#'!$A:$AL,27,FALSE)</f>
        <v>540</v>
      </c>
      <c r="AA363" s="5">
        <f>VLOOKUP($A363,'SegEnds_NonXtal_Prot#'!$A:$AL,30,FALSE)</f>
        <v>573</v>
      </c>
      <c r="AB363" s="5">
        <f>VLOOKUP($A363,'SegEnds_NonXtal_Prot#'!$A:$AL,33,FALSE)</f>
        <v>607</v>
      </c>
      <c r="AC363" s="5">
        <f>VLOOKUP($A363,'SegEnds_NonXtal_Prot#'!$A:$AL,36,FALSE)</f>
        <v>637</v>
      </c>
      <c r="AD363" s="5">
        <f>VLOOKUP($A363,'SegEnds_NonXtal_Prot#'!$A:$AL,5,FALSE)</f>
        <v>405</v>
      </c>
      <c r="AE363" s="5">
        <f>VLOOKUP($A363,'SegEnds_NonXtal_Prot#'!$A:$AL,8,FALSE)</f>
        <v>414</v>
      </c>
      <c r="AF363" s="5">
        <f>VLOOKUP($A363,'SegEnds_NonXtal_Prot#'!$A:$AL,11,FALSE)</f>
        <v>437</v>
      </c>
      <c r="AG363" s="5" t="str">
        <f>VLOOKUP($A363,'SegEnds_NonXtal_Prot#'!$A:$AL,14,FALSE)</f>
        <v>-</v>
      </c>
      <c r="AH363" s="5">
        <f>VLOOKUP($A363,'SegEnds_NonXtal_Prot#'!$A:$AL,17,FALSE)</f>
        <v>474</v>
      </c>
      <c r="AI363" s="5" t="str">
        <f>VLOOKUP($A363,'SegEnds_NonXtal_Prot#'!$A:$AL,20,FALSE)</f>
        <v>-</v>
      </c>
      <c r="AJ363" s="5">
        <f>VLOOKUP($A363,'SegEnds_NonXtal_Prot#'!$A:$AL,23,FALSE)</f>
        <v>502</v>
      </c>
      <c r="AK363" s="5">
        <f>VLOOKUP($A363,'SegEnds_NonXtal_Prot#'!$A:$AL,26,FALSE)</f>
        <v>539</v>
      </c>
      <c r="AL363" s="5">
        <f>VLOOKUP($A363,'SegEnds_NonXtal_Prot#'!$A:$AL,29,FALSE)</f>
        <v>564</v>
      </c>
      <c r="AM363" s="5">
        <f>VLOOKUP($A363,'SegEnds_NonXtal_Prot#'!$A:$AL,32,FALSE)</f>
        <v>597</v>
      </c>
      <c r="AN363" s="5">
        <f>VLOOKUP($A363,'SegEnds_NonXtal_Prot#'!$A:$AL,35,FALSE)</f>
        <v>636</v>
      </c>
      <c r="AO363" s="5">
        <f>VLOOKUP($A363,'SegEnds_NonXtal_Prot#'!$A:$AL,38,FALSE)</f>
        <v>649</v>
      </c>
      <c r="AP363" s="5">
        <f t="shared" si="138"/>
        <v>26</v>
      </c>
      <c r="AQ363" s="4">
        <f t="shared" si="139"/>
        <v>6</v>
      </c>
      <c r="AR363" s="4">
        <f t="shared" si="140"/>
        <v>22</v>
      </c>
      <c r="AS363" s="4" t="str">
        <f t="shared" si="141"/>
        <v>-</v>
      </c>
      <c r="AT363" s="4">
        <f t="shared" si="142"/>
        <v>32</v>
      </c>
      <c r="AU363" s="4" t="str">
        <f t="shared" si="143"/>
        <v>-</v>
      </c>
      <c r="AV363" s="4">
        <f t="shared" si="144"/>
        <v>26</v>
      </c>
      <c r="AW363" s="4">
        <f t="shared" si="145"/>
        <v>2</v>
      </c>
      <c r="AX363" s="4">
        <f t="shared" si="146"/>
        <v>24</v>
      </c>
      <c r="AY363" s="4">
        <f t="shared" si="147"/>
        <v>24</v>
      </c>
      <c r="AZ363" s="4">
        <f t="shared" si="148"/>
        <v>29</v>
      </c>
      <c r="BA363" s="4">
        <f t="shared" si="149"/>
        <v>12</v>
      </c>
    </row>
    <row r="364" spans="1:53" x14ac:dyDescent="0.2">
      <c r="A364" s="1" t="str">
        <f>'SegEnds_NonXtal_Prot#'!A359</f>
        <v>gpbar_human</v>
      </c>
      <c r="B364" s="1" t="str">
        <f t="shared" si="125"/>
        <v>PIPKGALGLSLALASLIITANLLLALGIAWDSPPAGCFFLSLLLAGLLTGLALPTLPGLWNQSCLLVYLAPNFSFLSLLANLLLVHGERYMAVLRPPGSIRLALLLTWAGPLLFASLPALGFPAPYLYLEVYGLLLPAVGAAAFLSVRVLATAHRQLQDICEPSALARALTWRQARAQAGAMLLFGLCWGPYVATLLLSVLAPPLGPGTLLSLLSLGSASAAAVPVAMGLGDQRYTAPWRAAAQ</v>
      </c>
      <c r="C364" s="29" t="str">
        <f>IF(ISERROR(MATCH(A364,'SegEnds_Xtal_Prot#'!B:B, 0)), "NoXtal", "Xtal")</f>
        <v>NoXtal</v>
      </c>
      <c r="D364" s="4" t="str">
        <f>VLOOKUP(A364,Classification!A:D,2,FALSE)</f>
        <v>A</v>
      </c>
      <c r="E364" s="5" t="str">
        <f>VLOOKUP(A364,Seqs!A:B,2,FALSE)</f>
        <v>MTPNSTGEVPSPIPKGALGLSLALASLIITANLLLALGIAWDRRLRSPPAGCFFLSLLLAGLLTGLALPTLPGLWNQSRRGYWSCLLVYLAPNFSFLSLLANLLLVHGERYMAVLRPLQPPGSIRLALLLTWAGPLLFASLPALGWNHWTPGANCSSQAIFPAPYLYLEVYGLLLPAVGAAAFLSVRVLATAHRQLQDICRLERAVCRDEPSALARALTWRQARAQAGAMLLFGLCWGPYVATLLLSVLAYEQRPPLGPGTLLSLLSLGSASAAAVPVAMGLGDQRYTAPWRAAAQRCLQGLWGRASRDSPGPSIAYHPSSQSSVDLDLN</v>
      </c>
      <c r="F364" s="5" t="str">
        <f t="shared" si="126"/>
        <v>PIPKGALGLSLALASLIITANLLLALGIAWD</v>
      </c>
      <c r="G364" s="4" t="str">
        <f t="shared" si="127"/>
        <v>RRLR</v>
      </c>
      <c r="H364" s="4" t="str">
        <f t="shared" si="128"/>
        <v>SPPAGCFFLSLLLAGLLTGLALPTLPGLWNQ</v>
      </c>
      <c r="I364" s="4" t="str">
        <f t="shared" si="129"/>
        <v/>
      </c>
      <c r="J364" s="4" t="str">
        <f t="shared" si="130"/>
        <v>SCLLVYLAPNFSFLSLLANLLLVHGERYMAVLR</v>
      </c>
      <c r="K364" s="4" t="str">
        <f t="shared" si="131"/>
        <v/>
      </c>
      <c r="L364" s="4" t="str">
        <f t="shared" si="132"/>
        <v>PPGSIRLALLLTWAGPLLFASLPALG</v>
      </c>
      <c r="M364" s="4" t="str">
        <f t="shared" si="133"/>
        <v>CSS</v>
      </c>
      <c r="N364" s="4" t="str">
        <f t="shared" si="134"/>
        <v>FPAPYLYLEVYGLLLPAVGAAAFLSVRVLATAHRQLQDIC</v>
      </c>
      <c r="O364" s="4" t="str">
        <f t="shared" si="135"/>
        <v>EPSALARALTWRQARAQAGAMLLFGLCWGPYVATLLLSVLA</v>
      </c>
      <c r="P364" s="4" t="str">
        <f t="shared" si="136"/>
        <v>PPLGPGTLLSLLSLGSASAAAVPVAMGLG</v>
      </c>
      <c r="Q364" s="4" t="str">
        <f t="shared" si="137"/>
        <v>DQRYTAPWRAAAQ</v>
      </c>
      <c r="R364" s="5">
        <f>VLOOKUP($A364,'SegEnds_NonXtal_Prot#'!$A:$AL,3,FALSE)</f>
        <v>12</v>
      </c>
      <c r="S364" s="5">
        <f>VLOOKUP($A364,'SegEnds_NonXtal_Prot#'!$A:$AL,6,FALSE)</f>
        <v>43</v>
      </c>
      <c r="T364" s="5">
        <f>VLOOKUP($A364,'SegEnds_NonXtal_Prot#'!$A:$AL,9,FALSE)</f>
        <v>47</v>
      </c>
      <c r="U364" s="5" t="str">
        <f>VLOOKUP($A364,'SegEnds_NonXtal_Prot#'!$A:$AL,12,FALSE)</f>
        <v>-</v>
      </c>
      <c r="V364" s="5">
        <f>VLOOKUP($A364,'SegEnds_NonXtal_Prot#'!$A:$AL,15,FALSE)</f>
        <v>84</v>
      </c>
      <c r="W364" s="5" t="str">
        <f>VLOOKUP($A364,'SegEnds_NonXtal_Prot#'!$A:$AL,18,FALSE)</f>
        <v>-</v>
      </c>
      <c r="X364" s="5">
        <f>VLOOKUP($A364,'SegEnds_NonXtal_Prot#'!$A:$AL,21,FALSE)</f>
        <v>120</v>
      </c>
      <c r="Y364" s="5">
        <f>VLOOKUP($A364,'SegEnds_NonXtal_Prot#'!$A:$AL,24,FALSE)</f>
        <v>155</v>
      </c>
      <c r="Z364" s="5">
        <f>VLOOKUP($A364,'SegEnds_NonXtal_Prot#'!$A:$AL,27,FALSE)</f>
        <v>161</v>
      </c>
      <c r="AA364" s="5">
        <f>VLOOKUP($A364,'SegEnds_NonXtal_Prot#'!$A:$AL,30,FALSE)</f>
        <v>210</v>
      </c>
      <c r="AB364" s="5">
        <f>VLOOKUP($A364,'SegEnds_NonXtal_Prot#'!$A:$AL,33,FALSE)</f>
        <v>255</v>
      </c>
      <c r="AC364" s="5">
        <f>VLOOKUP($A364,'SegEnds_NonXtal_Prot#'!$A:$AL,36,FALSE)</f>
        <v>284</v>
      </c>
      <c r="AD364" s="5">
        <f>VLOOKUP($A364,'SegEnds_NonXtal_Prot#'!$A:$AL,5,FALSE)</f>
        <v>42</v>
      </c>
      <c r="AE364" s="5">
        <f>VLOOKUP($A364,'SegEnds_NonXtal_Prot#'!$A:$AL,8,FALSE)</f>
        <v>46</v>
      </c>
      <c r="AF364" s="5">
        <f>VLOOKUP($A364,'SegEnds_NonXtal_Prot#'!$A:$AL,11,FALSE)</f>
        <v>77</v>
      </c>
      <c r="AG364" s="5" t="str">
        <f>VLOOKUP($A364,'SegEnds_NonXtal_Prot#'!$A:$AL,14,FALSE)</f>
        <v>-</v>
      </c>
      <c r="AH364" s="5">
        <f>VLOOKUP($A364,'SegEnds_NonXtal_Prot#'!$A:$AL,17,FALSE)</f>
        <v>116</v>
      </c>
      <c r="AI364" s="5" t="str">
        <f>VLOOKUP($A364,'SegEnds_NonXtal_Prot#'!$A:$AL,20,FALSE)</f>
        <v>-</v>
      </c>
      <c r="AJ364" s="5">
        <f>VLOOKUP($A364,'SegEnds_NonXtal_Prot#'!$A:$AL,23,FALSE)</f>
        <v>145</v>
      </c>
      <c r="AK364" s="5">
        <f>VLOOKUP($A364,'SegEnds_NonXtal_Prot#'!$A:$AL,26,FALSE)</f>
        <v>157</v>
      </c>
      <c r="AL364" s="5">
        <f>VLOOKUP($A364,'SegEnds_NonXtal_Prot#'!$A:$AL,29,FALSE)</f>
        <v>200</v>
      </c>
      <c r="AM364" s="5">
        <f>VLOOKUP($A364,'SegEnds_NonXtal_Prot#'!$A:$AL,32,FALSE)</f>
        <v>250</v>
      </c>
      <c r="AN364" s="5">
        <f>VLOOKUP($A364,'SegEnds_NonXtal_Prot#'!$A:$AL,35,FALSE)</f>
        <v>283</v>
      </c>
      <c r="AO364" s="5">
        <f>VLOOKUP($A364,'SegEnds_NonXtal_Prot#'!$A:$AL,38,FALSE)</f>
        <v>296</v>
      </c>
      <c r="AP364" s="5">
        <f t="shared" si="138"/>
        <v>30</v>
      </c>
      <c r="AQ364" s="4">
        <f t="shared" si="139"/>
        <v>3</v>
      </c>
      <c r="AR364" s="4">
        <f t="shared" si="140"/>
        <v>30</v>
      </c>
      <c r="AS364" s="4" t="str">
        <f t="shared" si="141"/>
        <v>-</v>
      </c>
      <c r="AT364" s="4">
        <f t="shared" si="142"/>
        <v>32</v>
      </c>
      <c r="AU364" s="4" t="str">
        <f t="shared" si="143"/>
        <v>-</v>
      </c>
      <c r="AV364" s="4">
        <f t="shared" si="144"/>
        <v>25</v>
      </c>
      <c r="AW364" s="4">
        <f t="shared" si="145"/>
        <v>2</v>
      </c>
      <c r="AX364" s="4">
        <f t="shared" si="146"/>
        <v>39</v>
      </c>
      <c r="AY364" s="4">
        <f t="shared" si="147"/>
        <v>40</v>
      </c>
      <c r="AZ364" s="4">
        <f t="shared" si="148"/>
        <v>28</v>
      </c>
      <c r="BA364" s="4">
        <f t="shared" si="149"/>
        <v>12</v>
      </c>
    </row>
    <row r="365" spans="1:53" x14ac:dyDescent="0.2">
      <c r="A365" s="1" t="str">
        <f>'SegEnds_NonXtal_Prot#'!A360</f>
        <v>gpc5b_human</v>
      </c>
      <c r="B365" s="1" t="str">
        <f t="shared" si="125"/>
        <v>IWGIVVEAVAGAGALITLLLMLILLVREKKSPVGLHFLFLLGTLGLFGLTFAFIETICSVRRFLWGVLFALCFSCLLSQAWRVRRLVAGWQLVGLALCLMLVQVIIAVEWLVLTPMDFVMALIYDMVLLVVTLGLALFTNGAFLLITAFLSVLIWVAWMTMYLFNDPTLAITLAASGWVFVIFHAIPEIHCTLLALQENTPNYFDTS</v>
      </c>
      <c r="C365" s="29" t="str">
        <f>IF(ISERROR(MATCH(A365,'SegEnds_Xtal_Prot#'!B:B, 0)), "NoXtal", "Xtal")</f>
        <v>NoXtal</v>
      </c>
      <c r="D365" s="4" t="str">
        <f>VLOOKUP(A365,Classification!A:D,2,FALSE)</f>
        <v>C</v>
      </c>
      <c r="E365" s="5" t="str">
        <f>VLOOKUP(A365,Seqs!A:B,2,FALSE)</f>
        <v>MFVASERKMRAHQVLTFLLLFVITSVASENASTSRGCGLDLLPQYVSLCDLDAIWGIVVEAVAGAGALITLLLMLILLVRLPFIKEKEKKSPVGLHFLFLLGTLGLFGLTFAFIIQEDETICSVRRFLWGVLFALCFSCLLSQAWRVRRLVRHGTGPAGWQLVGLALCLMLVQVIIAVEWLVLTVLRDTRPACAYEPMDFVMALIYDMVLLVVTLGLALFTLCGKFKRWKLNGAFLLITAFLSVLIWVAWMTMYLFGNVKLQQGDAWNDPTLAITLAASGWVFVIFHAIPEIHCTLLPALQENTPNYFDTSQPRMRETAFEEDVQLPRAYMENKAFSMDEHNAALRTAGFPNGSLGKRPSGSLGKRPSAPFRSNVYQPTEMAVVLNGGTIPTAPPSHTGRHLW</v>
      </c>
      <c r="F365" s="5" t="str">
        <f t="shared" si="126"/>
        <v>IWGIVVEAVAGAGALITLLLMLILLVR</v>
      </c>
      <c r="G365" s="4" t="str">
        <f t="shared" si="127"/>
        <v>LPFIKEK</v>
      </c>
      <c r="H365" s="4" t="str">
        <f t="shared" si="128"/>
        <v>EKKSPVGLHFLFLLGTLGLFGLTFAFI</v>
      </c>
      <c r="I365" s="4" t="str">
        <f t="shared" si="129"/>
        <v/>
      </c>
      <c r="J365" s="4" t="str">
        <f t="shared" si="130"/>
        <v>ETICSVRRFLWGVLFALCFSCLLSQAWRVRRLV</v>
      </c>
      <c r="K365" s="4" t="str">
        <f t="shared" si="131"/>
        <v/>
      </c>
      <c r="L365" s="4" t="str">
        <f t="shared" si="132"/>
        <v>AGWQLVGLALCLMLVQVIIAVEWLVLT</v>
      </c>
      <c r="M365" s="4" t="str">
        <f t="shared" si="133"/>
        <v>CAY</v>
      </c>
      <c r="N365" s="4" t="str">
        <f t="shared" si="134"/>
        <v>PMDFVMALIYDMVLLVVTLGLALFT</v>
      </c>
      <c r="O365" s="4" t="str">
        <f t="shared" si="135"/>
        <v>NGAFLLITAFLSVLIWVAWMTMYLF</v>
      </c>
      <c r="P365" s="4" t="str">
        <f t="shared" si="136"/>
        <v>NDPTLAITLAASGWVFVIFHAIPEIHCTLL</v>
      </c>
      <c r="Q365" s="4" t="str">
        <f t="shared" si="137"/>
        <v>ALQENTPNYFDTS</v>
      </c>
      <c r="R365" s="5">
        <f>VLOOKUP($A365,'SegEnds_NonXtal_Prot#'!$A:$AL,3,FALSE)</f>
        <v>54</v>
      </c>
      <c r="S365" s="5">
        <f>VLOOKUP($A365,'SegEnds_NonXtal_Prot#'!$A:$AL,6,FALSE)</f>
        <v>81</v>
      </c>
      <c r="T365" s="5">
        <f>VLOOKUP($A365,'SegEnds_NonXtal_Prot#'!$A:$AL,9,FALSE)</f>
        <v>88</v>
      </c>
      <c r="U365" s="5" t="str">
        <f>VLOOKUP($A365,'SegEnds_NonXtal_Prot#'!$A:$AL,12,FALSE)</f>
        <v>-</v>
      </c>
      <c r="V365" s="5">
        <f>VLOOKUP($A365,'SegEnds_NonXtal_Prot#'!$A:$AL,15,FALSE)</f>
        <v>119</v>
      </c>
      <c r="W365" s="5" t="str">
        <f>VLOOKUP($A365,'SegEnds_NonXtal_Prot#'!$A:$AL,18,FALSE)</f>
        <v>-</v>
      </c>
      <c r="X365" s="5">
        <f>VLOOKUP($A365,'SegEnds_NonXtal_Prot#'!$A:$AL,21,FALSE)</f>
        <v>158</v>
      </c>
      <c r="Y365" s="5">
        <f>VLOOKUP($A365,'SegEnds_NonXtal_Prot#'!$A:$AL,24,FALSE)</f>
        <v>193</v>
      </c>
      <c r="Z365" s="5">
        <f>VLOOKUP($A365,'SegEnds_NonXtal_Prot#'!$A:$AL,27,FALSE)</f>
        <v>197</v>
      </c>
      <c r="AA365" s="5">
        <f>VLOOKUP($A365,'SegEnds_NonXtal_Prot#'!$A:$AL,30,FALSE)</f>
        <v>232</v>
      </c>
      <c r="AB365" s="5">
        <f>VLOOKUP($A365,'SegEnds_NonXtal_Prot#'!$A:$AL,33,FALSE)</f>
        <v>268</v>
      </c>
      <c r="AC365" s="5">
        <f>VLOOKUP($A365,'SegEnds_NonXtal_Prot#'!$A:$AL,36,FALSE)</f>
        <v>299</v>
      </c>
      <c r="AD365" s="5">
        <f>VLOOKUP($A365,'SegEnds_NonXtal_Prot#'!$A:$AL,5,FALSE)</f>
        <v>80</v>
      </c>
      <c r="AE365" s="5">
        <f>VLOOKUP($A365,'SegEnds_NonXtal_Prot#'!$A:$AL,8,FALSE)</f>
        <v>87</v>
      </c>
      <c r="AF365" s="5">
        <f>VLOOKUP($A365,'SegEnds_NonXtal_Prot#'!$A:$AL,11,FALSE)</f>
        <v>114</v>
      </c>
      <c r="AG365" s="5" t="str">
        <f>VLOOKUP($A365,'SegEnds_NonXtal_Prot#'!$A:$AL,14,FALSE)</f>
        <v>-</v>
      </c>
      <c r="AH365" s="5">
        <f>VLOOKUP($A365,'SegEnds_NonXtal_Prot#'!$A:$AL,17,FALSE)</f>
        <v>151</v>
      </c>
      <c r="AI365" s="5" t="str">
        <f>VLOOKUP($A365,'SegEnds_NonXtal_Prot#'!$A:$AL,20,FALSE)</f>
        <v>-</v>
      </c>
      <c r="AJ365" s="5">
        <f>VLOOKUP($A365,'SegEnds_NonXtal_Prot#'!$A:$AL,23,FALSE)</f>
        <v>184</v>
      </c>
      <c r="AK365" s="5">
        <f>VLOOKUP($A365,'SegEnds_NonXtal_Prot#'!$A:$AL,26,FALSE)</f>
        <v>195</v>
      </c>
      <c r="AL365" s="5">
        <f>VLOOKUP($A365,'SegEnds_NonXtal_Prot#'!$A:$AL,29,FALSE)</f>
        <v>221</v>
      </c>
      <c r="AM365" s="5">
        <f>VLOOKUP($A365,'SegEnds_NonXtal_Prot#'!$A:$AL,32,FALSE)</f>
        <v>256</v>
      </c>
      <c r="AN365" s="5">
        <f>VLOOKUP($A365,'SegEnds_NonXtal_Prot#'!$A:$AL,35,FALSE)</f>
        <v>297</v>
      </c>
      <c r="AO365" s="5">
        <f>VLOOKUP($A365,'SegEnds_NonXtal_Prot#'!$A:$AL,38,FALSE)</f>
        <v>311</v>
      </c>
      <c r="AP365" s="5">
        <f t="shared" si="138"/>
        <v>26</v>
      </c>
      <c r="AQ365" s="4">
        <f t="shared" si="139"/>
        <v>6</v>
      </c>
      <c r="AR365" s="4">
        <f t="shared" si="140"/>
        <v>26</v>
      </c>
      <c r="AS365" s="4" t="str">
        <f t="shared" si="141"/>
        <v>-</v>
      </c>
      <c r="AT365" s="4">
        <f t="shared" si="142"/>
        <v>32</v>
      </c>
      <c r="AU365" s="4" t="str">
        <f t="shared" si="143"/>
        <v>-</v>
      </c>
      <c r="AV365" s="4">
        <f t="shared" si="144"/>
        <v>26</v>
      </c>
      <c r="AW365" s="4">
        <f t="shared" si="145"/>
        <v>2</v>
      </c>
      <c r="AX365" s="4">
        <f t="shared" si="146"/>
        <v>24</v>
      </c>
      <c r="AY365" s="4">
        <f t="shared" si="147"/>
        <v>24</v>
      </c>
      <c r="AZ365" s="4">
        <f t="shared" si="148"/>
        <v>29</v>
      </c>
      <c r="BA365" s="4">
        <f t="shared" si="149"/>
        <v>12</v>
      </c>
    </row>
    <row r="366" spans="1:53" x14ac:dyDescent="0.2">
      <c r="A366" s="1" t="str">
        <f>'SegEnds_NonXtal_Prot#'!A361</f>
        <v>gpc5c_human</v>
      </c>
      <c r="B366" s="1" t="str">
        <f t="shared" si="125"/>
        <v>AWGIVLEAVAGAGIVTTFVLTIILVASKKRSLLGTQVFFLLGTLGLFCLVFACVFSTCASRRFLFGVLFAICFSCLAAHVFALNFLARGWVIFTVALLLTLVEVIINTEWLIITNMDFVMALIYVMLLLLGAFLGAWPAHGVFVLLTTATSVAIWVVWIVMYTYDDPTLAIALAANAWAFVLFYVIPEVSQVTKSPEQSYQGDMYPT</v>
      </c>
      <c r="C366" s="29" t="str">
        <f>IF(ISERROR(MATCH(A366,'SegEnds_Xtal_Prot#'!B:B, 0)), "NoXtal", "Xtal")</f>
        <v>NoXtal</v>
      </c>
      <c r="D366" s="4" t="str">
        <f>VLOOKUP(A366,Classification!A:D,2,FALSE)</f>
        <v>C</v>
      </c>
      <c r="E366" s="5" t="str">
        <f>VLOOKUP(A366,Seqs!A:B,2,FALSE)</f>
        <v>MAIHKALVMCLGLPLFLFPGAWAQGHVPPGCSQGLNPLYYNLCDRSGAWGIVLEAVAGAGIVTTFVLTIILVASLPFVQDTKKRSLLGTQVFFLLGTLGLFCLVFACVVKPDFSTCASRRFLFGVLFAICFSCLAAHVFALNFLARKNHGPRGWVIFTVALLLTLVEVIINTEWLIITLVRGSGEGGPQGNSSAGWAVASPCAIANMDFVMALIYVMLLLLGAFLGAWPALCGRYKRWRKHGVFVLLTTATSVAIWVVWIVMYTYGNKQHNSPTWDDPTLAIALAANAWAFVLFYVIPEVSQVTKSSPEQSYQGDMYPTRGVGYETILKEQKGQSMFVENKAFSMDEPVAAKRPVSPYSGYNGQLLTSVYQPTEMALMHKVPSEGAYDIILPRATANSQVMGSANSTLRAEDMYSAQSHQAATPPKDGKNSQVFRNPYVWD</v>
      </c>
      <c r="F366" s="5" t="str">
        <f t="shared" si="126"/>
        <v>AWGIVLEAVAGAGIVTTFVLTIILVAS</v>
      </c>
      <c r="G366" s="4" t="str">
        <f t="shared" si="127"/>
        <v>LPFVQDT</v>
      </c>
      <c r="H366" s="4" t="str">
        <f t="shared" si="128"/>
        <v>KKRSLLGTQVFFLLGTLGLFCLVFACV</v>
      </c>
      <c r="I366" s="4" t="str">
        <f t="shared" si="129"/>
        <v/>
      </c>
      <c r="J366" s="4" t="str">
        <f t="shared" si="130"/>
        <v>FSTCASRRFLFGVLFAICFSCLAAHVFALNFLA</v>
      </c>
      <c r="K366" s="4" t="str">
        <f t="shared" si="131"/>
        <v/>
      </c>
      <c r="L366" s="4" t="str">
        <f t="shared" si="132"/>
        <v>RGWVIFTVALLLTLVEVIINTEWLIIT</v>
      </c>
      <c r="M366" s="4" t="str">
        <f t="shared" si="133"/>
        <v>CAI</v>
      </c>
      <c r="N366" s="4" t="str">
        <f t="shared" si="134"/>
        <v>NMDFVMALIYVMLLLLGAFLGAWPA</v>
      </c>
      <c r="O366" s="4" t="str">
        <f t="shared" si="135"/>
        <v>HGVFVLLTTATSVAIWVVWIVMYTY</v>
      </c>
      <c r="P366" s="4" t="str">
        <f t="shared" si="136"/>
        <v>DDPTLAIALAANAWAFVLFYVIPEVSQVTK</v>
      </c>
      <c r="Q366" s="4" t="str">
        <f t="shared" si="137"/>
        <v>SPEQSYQGDMYPT</v>
      </c>
      <c r="R366" s="5">
        <f>VLOOKUP($A366,'SegEnds_NonXtal_Prot#'!$A:$AL,3,FALSE)</f>
        <v>48</v>
      </c>
      <c r="S366" s="5">
        <f>VLOOKUP($A366,'SegEnds_NonXtal_Prot#'!$A:$AL,6,FALSE)</f>
        <v>75</v>
      </c>
      <c r="T366" s="5">
        <f>VLOOKUP($A366,'SegEnds_NonXtal_Prot#'!$A:$AL,9,FALSE)</f>
        <v>82</v>
      </c>
      <c r="U366" s="5" t="str">
        <f>VLOOKUP($A366,'SegEnds_NonXtal_Prot#'!$A:$AL,12,FALSE)</f>
        <v>-</v>
      </c>
      <c r="V366" s="5">
        <f>VLOOKUP($A366,'SegEnds_NonXtal_Prot#'!$A:$AL,15,FALSE)</f>
        <v>113</v>
      </c>
      <c r="W366" s="5" t="str">
        <f>VLOOKUP($A366,'SegEnds_NonXtal_Prot#'!$A:$AL,18,FALSE)</f>
        <v>-</v>
      </c>
      <c r="X366" s="5">
        <f>VLOOKUP($A366,'SegEnds_NonXtal_Prot#'!$A:$AL,21,FALSE)</f>
        <v>152</v>
      </c>
      <c r="Y366" s="5">
        <f>VLOOKUP($A366,'SegEnds_NonXtal_Prot#'!$A:$AL,24,FALSE)</f>
        <v>202</v>
      </c>
      <c r="Z366" s="5">
        <f>VLOOKUP($A366,'SegEnds_NonXtal_Prot#'!$A:$AL,27,FALSE)</f>
        <v>206</v>
      </c>
      <c r="AA366" s="5">
        <f>VLOOKUP($A366,'SegEnds_NonXtal_Prot#'!$A:$AL,30,FALSE)</f>
        <v>241</v>
      </c>
      <c r="AB366" s="5">
        <f>VLOOKUP($A366,'SegEnds_NonXtal_Prot#'!$A:$AL,33,FALSE)</f>
        <v>276</v>
      </c>
      <c r="AC366" s="5">
        <f>VLOOKUP($A366,'SegEnds_NonXtal_Prot#'!$A:$AL,36,FALSE)</f>
        <v>307</v>
      </c>
      <c r="AD366" s="5">
        <f>VLOOKUP($A366,'SegEnds_NonXtal_Prot#'!$A:$AL,5,FALSE)</f>
        <v>74</v>
      </c>
      <c r="AE366" s="5">
        <f>VLOOKUP($A366,'SegEnds_NonXtal_Prot#'!$A:$AL,8,FALSE)</f>
        <v>81</v>
      </c>
      <c r="AF366" s="5">
        <f>VLOOKUP($A366,'SegEnds_NonXtal_Prot#'!$A:$AL,11,FALSE)</f>
        <v>108</v>
      </c>
      <c r="AG366" s="5" t="str">
        <f>VLOOKUP($A366,'SegEnds_NonXtal_Prot#'!$A:$AL,14,FALSE)</f>
        <v>-</v>
      </c>
      <c r="AH366" s="5">
        <f>VLOOKUP($A366,'SegEnds_NonXtal_Prot#'!$A:$AL,17,FALSE)</f>
        <v>145</v>
      </c>
      <c r="AI366" s="5" t="str">
        <f>VLOOKUP($A366,'SegEnds_NonXtal_Prot#'!$A:$AL,20,FALSE)</f>
        <v>-</v>
      </c>
      <c r="AJ366" s="5">
        <f>VLOOKUP($A366,'SegEnds_NonXtal_Prot#'!$A:$AL,23,FALSE)</f>
        <v>178</v>
      </c>
      <c r="AK366" s="5">
        <f>VLOOKUP($A366,'SegEnds_NonXtal_Prot#'!$A:$AL,26,FALSE)</f>
        <v>204</v>
      </c>
      <c r="AL366" s="5">
        <f>VLOOKUP($A366,'SegEnds_NonXtal_Prot#'!$A:$AL,29,FALSE)</f>
        <v>230</v>
      </c>
      <c r="AM366" s="5">
        <f>VLOOKUP($A366,'SegEnds_NonXtal_Prot#'!$A:$AL,32,FALSE)</f>
        <v>265</v>
      </c>
      <c r="AN366" s="5">
        <f>VLOOKUP($A366,'SegEnds_NonXtal_Prot#'!$A:$AL,35,FALSE)</f>
        <v>305</v>
      </c>
      <c r="AO366" s="5">
        <f>VLOOKUP($A366,'SegEnds_NonXtal_Prot#'!$A:$AL,38,FALSE)</f>
        <v>319</v>
      </c>
      <c r="AP366" s="5">
        <f t="shared" si="138"/>
        <v>26</v>
      </c>
      <c r="AQ366" s="4">
        <f t="shared" si="139"/>
        <v>6</v>
      </c>
      <c r="AR366" s="4">
        <f t="shared" si="140"/>
        <v>26</v>
      </c>
      <c r="AS366" s="4" t="str">
        <f t="shared" si="141"/>
        <v>-</v>
      </c>
      <c r="AT366" s="4">
        <f t="shared" si="142"/>
        <v>32</v>
      </c>
      <c r="AU366" s="4" t="str">
        <f t="shared" si="143"/>
        <v>-</v>
      </c>
      <c r="AV366" s="4">
        <f t="shared" si="144"/>
        <v>26</v>
      </c>
      <c r="AW366" s="4">
        <f t="shared" si="145"/>
        <v>2</v>
      </c>
      <c r="AX366" s="4">
        <f t="shared" si="146"/>
        <v>24</v>
      </c>
      <c r="AY366" s="4">
        <f t="shared" si="147"/>
        <v>24</v>
      </c>
      <c r="AZ366" s="4">
        <f t="shared" si="148"/>
        <v>29</v>
      </c>
      <c r="BA366" s="4">
        <f t="shared" si="149"/>
        <v>12</v>
      </c>
    </row>
    <row r="367" spans="1:53" x14ac:dyDescent="0.2">
      <c r="A367" s="1" t="str">
        <f>'SegEnds_NonXtal_Prot#'!A362</f>
        <v>gpc5d_human</v>
      </c>
      <c r="B367" s="1" t="str">
        <f t="shared" si="125"/>
        <v>PWGIILESLAILGIVVTILLLLAFLFLSQWNVLPTQLLFLLSVLGLFGLAFAFIQQTAPVRYFLFGVLFALCFSCLLAHASNLVKLVSWTTILCIAIGCSLLQIIIATEYVTLINVDFVVLLVYVLFLMALTFFVSKATHGRLIFITVLFSIIIWVVWISMLLRDDPVVCIALVTNAWVFLLLYIVPELCILYRRQECPLQGNACP</v>
      </c>
      <c r="C367" s="29" t="str">
        <f>IF(ISERROR(MATCH(A367,'SegEnds_Xtal_Prot#'!B:B, 0)), "NoXtal", "Xtal")</f>
        <v>NoXtal</v>
      </c>
      <c r="D367" s="4" t="str">
        <f>VLOOKUP(A367,Classification!A:D,2,FALSE)</f>
        <v>C</v>
      </c>
      <c r="E367" s="5" t="str">
        <f>VLOOKUP(A367,Seqs!A:B,2,FALSE)</f>
        <v>MYKDCIESTGDYFLLCDAEGPWGIILESLAILGIVVTILLLLAFLFLMRKIQDCSQWNVLPTQLLFLLSVLGLFGLAFAFIIELNQQTAPVRYFLFGVLFALCFSCLLAHASNLVKLVRGCVSFSWTTILCIAIGCSLLQIIIATEYVTLIMTRGMMFVNMTPCQLNVDFVVLLVYVLFLMALTFFVSKATFCGPCENWKQHGRLIFITVLFSIIIWVVWISMLLRGNPQFQRQPQWDDPVVCIALVTNAWVFLLLYIVPELCILYRSCRQECPLQGNACPVTAYQHSFQVENQELSRARDSDGAEEDVALTSYGTPIQPQTVDPTQECFIPQAKLSPQQDAGGV</v>
      </c>
      <c r="F367" s="5" t="str">
        <f t="shared" si="126"/>
        <v>PWGIILESLAILGIVVTILLLLAFLFL</v>
      </c>
      <c r="G367" s="4" t="str">
        <f t="shared" si="127"/>
        <v>MRKIQDC</v>
      </c>
      <c r="H367" s="4" t="str">
        <f t="shared" si="128"/>
        <v>SQWNVLPTQLLFLLSVLGLFGLAFAFI</v>
      </c>
      <c r="I367" s="4" t="str">
        <f t="shared" si="129"/>
        <v/>
      </c>
      <c r="J367" s="4" t="str">
        <f t="shared" si="130"/>
        <v>QQTAPVRYFLFGVLFALCFSCLLAHASNLVKLV</v>
      </c>
      <c r="K367" s="4" t="str">
        <f t="shared" si="131"/>
        <v/>
      </c>
      <c r="L367" s="4" t="str">
        <f t="shared" si="132"/>
        <v>SWTTILCIAIGCSLLQIIIATEYVTLI</v>
      </c>
      <c r="M367" s="4" t="str">
        <f t="shared" si="133"/>
        <v/>
      </c>
      <c r="N367" s="4" t="str">
        <f t="shared" si="134"/>
        <v>NVDFVVLLVYVLFLMALTFFVSKAT</v>
      </c>
      <c r="O367" s="4" t="str">
        <f t="shared" si="135"/>
        <v>HGRLIFITVLFSIIIWVVWISMLLR</v>
      </c>
      <c r="P367" s="4" t="str">
        <f t="shared" si="136"/>
        <v>DDPVVCIALVTNAWVFLLLYIVPELCILYR</v>
      </c>
      <c r="Q367" s="4" t="str">
        <f t="shared" si="137"/>
        <v>RQECPLQGNACP</v>
      </c>
      <c r="R367" s="5">
        <f>VLOOKUP($A367,'SegEnds_NonXtal_Prot#'!$A:$AL,3,FALSE)</f>
        <v>21</v>
      </c>
      <c r="S367" s="5">
        <f>VLOOKUP($A367,'SegEnds_NonXtal_Prot#'!$A:$AL,6,FALSE)</f>
        <v>48</v>
      </c>
      <c r="T367" s="5">
        <f>VLOOKUP($A367,'SegEnds_NonXtal_Prot#'!$A:$AL,9,FALSE)</f>
        <v>55</v>
      </c>
      <c r="U367" s="5" t="str">
        <f>VLOOKUP($A367,'SegEnds_NonXtal_Prot#'!$A:$AL,12,FALSE)</f>
        <v>-</v>
      </c>
      <c r="V367" s="5">
        <f>VLOOKUP($A367,'SegEnds_NonXtal_Prot#'!$A:$AL,15,FALSE)</f>
        <v>86</v>
      </c>
      <c r="W367" s="5" t="str">
        <f>VLOOKUP($A367,'SegEnds_NonXtal_Prot#'!$A:$AL,18,FALSE)</f>
        <v>-</v>
      </c>
      <c r="X367" s="5">
        <f>VLOOKUP($A367,'SegEnds_NonXtal_Prot#'!$A:$AL,21,FALSE)</f>
        <v>125</v>
      </c>
      <c r="Y367" s="5" t="str">
        <f>VLOOKUP($A367,'SegEnds_NonXtal_Prot#'!$A:$AL,24,FALSE)</f>
        <v>-</v>
      </c>
      <c r="Z367" s="5">
        <f>VLOOKUP($A367,'SegEnds_NonXtal_Prot#'!$A:$AL,27,FALSE)</f>
        <v>167</v>
      </c>
      <c r="AA367" s="5">
        <f>VLOOKUP($A367,'SegEnds_NonXtal_Prot#'!$A:$AL,30,FALSE)</f>
        <v>202</v>
      </c>
      <c r="AB367" s="5">
        <f>VLOOKUP($A367,'SegEnds_NonXtal_Prot#'!$A:$AL,33,FALSE)</f>
        <v>238</v>
      </c>
      <c r="AC367" s="5">
        <f>VLOOKUP($A367,'SegEnds_NonXtal_Prot#'!$A:$AL,36,FALSE)</f>
        <v>270</v>
      </c>
      <c r="AD367" s="5">
        <f>VLOOKUP($A367,'SegEnds_NonXtal_Prot#'!$A:$AL,5,FALSE)</f>
        <v>47</v>
      </c>
      <c r="AE367" s="5">
        <f>VLOOKUP($A367,'SegEnds_NonXtal_Prot#'!$A:$AL,8,FALSE)</f>
        <v>54</v>
      </c>
      <c r="AF367" s="5">
        <f>VLOOKUP($A367,'SegEnds_NonXtal_Prot#'!$A:$AL,11,FALSE)</f>
        <v>81</v>
      </c>
      <c r="AG367" s="5" t="str">
        <f>VLOOKUP($A367,'SegEnds_NonXtal_Prot#'!$A:$AL,14,FALSE)</f>
        <v>-</v>
      </c>
      <c r="AH367" s="5">
        <f>VLOOKUP($A367,'SegEnds_NonXtal_Prot#'!$A:$AL,17,FALSE)</f>
        <v>118</v>
      </c>
      <c r="AI367" s="5" t="str">
        <f>VLOOKUP($A367,'SegEnds_NonXtal_Prot#'!$A:$AL,20,FALSE)</f>
        <v>-</v>
      </c>
      <c r="AJ367" s="5">
        <f>VLOOKUP($A367,'SegEnds_NonXtal_Prot#'!$A:$AL,23,FALSE)</f>
        <v>151</v>
      </c>
      <c r="AK367" s="5" t="str">
        <f>VLOOKUP($A367,'SegEnds_NonXtal_Prot#'!$A:$AL,26,FALSE)</f>
        <v>-</v>
      </c>
      <c r="AL367" s="5">
        <f>VLOOKUP($A367,'SegEnds_NonXtal_Prot#'!$A:$AL,29,FALSE)</f>
        <v>191</v>
      </c>
      <c r="AM367" s="5">
        <f>VLOOKUP($A367,'SegEnds_NonXtal_Prot#'!$A:$AL,32,FALSE)</f>
        <v>226</v>
      </c>
      <c r="AN367" s="5">
        <f>VLOOKUP($A367,'SegEnds_NonXtal_Prot#'!$A:$AL,35,FALSE)</f>
        <v>267</v>
      </c>
      <c r="AO367" s="5">
        <f>VLOOKUP($A367,'SegEnds_NonXtal_Prot#'!$A:$AL,38,FALSE)</f>
        <v>281</v>
      </c>
      <c r="AP367" s="5">
        <f t="shared" si="138"/>
        <v>26</v>
      </c>
      <c r="AQ367" s="4">
        <f t="shared" si="139"/>
        <v>6</v>
      </c>
      <c r="AR367" s="4">
        <f t="shared" si="140"/>
        <v>26</v>
      </c>
      <c r="AS367" s="4" t="str">
        <f t="shared" si="141"/>
        <v>-</v>
      </c>
      <c r="AT367" s="4">
        <f t="shared" si="142"/>
        <v>32</v>
      </c>
      <c r="AU367" s="4" t="str">
        <f t="shared" si="143"/>
        <v>-</v>
      </c>
      <c r="AV367" s="4">
        <f t="shared" si="144"/>
        <v>26</v>
      </c>
      <c r="AW367" s="4" t="str">
        <f t="shared" si="145"/>
        <v>-</v>
      </c>
      <c r="AX367" s="4">
        <f t="shared" si="146"/>
        <v>24</v>
      </c>
      <c r="AY367" s="4">
        <f t="shared" si="147"/>
        <v>24</v>
      </c>
      <c r="AZ367" s="4">
        <f t="shared" si="148"/>
        <v>29</v>
      </c>
      <c r="BA367" s="4">
        <f t="shared" si="149"/>
        <v>11</v>
      </c>
    </row>
    <row r="368" spans="1:53" x14ac:dyDescent="0.2">
      <c r="A368" s="1" t="str">
        <f>'SegEnds_NonXtal_Prot#'!A364</f>
        <v>gpr45_human</v>
      </c>
      <c r="B368" s="1" t="str">
        <f t="shared" si="125"/>
        <v>APLRISLAIVMLLMTVVGFLGNTVVCIIVYQRSAINLLLATLAFSDIMLSLCCMPFTAVTLITGDHFCRLSATLYWFFVLEGVAILLIISVDRFLIIVQNPRRAKVIIAVSWVLSFCIAGPSLTGDRAYVVTLVVAVFFAPFGVMLCAYMCILNTVRKNAVRVHNQSSVDLSFKTKAFTTILILFVGFSLCWLPHSVYSLLSVFSGSSFYATSTCVLWLSYLKSVFNPIVYCWRIKKFREACIELL</v>
      </c>
      <c r="C368" s="29" t="str">
        <f>IF(ISERROR(MATCH(A368,'SegEnds_Xtal_Prot#'!B:B, 0)), "NoXtal", "Xtal")</f>
        <v>NoXtal</v>
      </c>
      <c r="D368" s="4" t="str">
        <f>VLOOKUP(A368,Classification!A:D,2,FALSE)</f>
        <v>A</v>
      </c>
      <c r="E368" s="5" t="str">
        <f>VLOOKUP(A368,Seqs!A:B,2,FALSE)</f>
        <v>MACNSTSLEAYTYLLLNTSNASDSGSTQLPAPLRISLAIVMLLMTVVGFLGNTVVCIIVYQRPAMRSAINLLLATLAFSDIMLSLCCMPFTAVTLITVRWHFGDHFCRLSATLYWFFVLEGVAILLIISVDRFLIIVQRQDKLNPRRAKVIIAVSWVLSFCIAGPSLTGWTLVEVPARAPQCVLGYTELPADRAYVVTLVVAVFFAPFGVMLCAYMCILNTVRKNAVRVHNQSDSLDLRQLTRAGLRRLQRQQQVSVDLSFKTKAFTTILILFVGFSLCWLPHSVYSLLSVFSQRFYCGSSFYATSTCVLWLSYLKSVFNPIVYCWRIKKFREACIELLPQTFQILPKVPERIRRRIQPSTVYVCNENQSAV</v>
      </c>
      <c r="F368" s="5" t="str">
        <f t="shared" si="126"/>
        <v>APLRISLAIVMLLMTVVGFLGNTVVCIIVYQR</v>
      </c>
      <c r="G368" s="4" t="str">
        <f t="shared" si="127"/>
        <v>PAMR</v>
      </c>
      <c r="H368" s="4" t="str">
        <f t="shared" si="128"/>
        <v>SAINLLLATLAFSDIMLSLCCMPFTAVTLIT</v>
      </c>
      <c r="I368" s="4" t="str">
        <f t="shared" si="129"/>
        <v>RWHF</v>
      </c>
      <c r="J368" s="4" t="str">
        <f t="shared" si="130"/>
        <v>GDHFCRLSATLYWFFVLEGVAILLIISVDRFLIIVQ</v>
      </c>
      <c r="K368" s="4" t="str">
        <f t="shared" si="131"/>
        <v/>
      </c>
      <c r="L368" s="4" t="str">
        <f t="shared" si="132"/>
        <v>NPRRAKVIIAVSWVLSFCIAGPSLTG</v>
      </c>
      <c r="M368" s="4" t="str">
        <f t="shared" si="133"/>
        <v>CVL</v>
      </c>
      <c r="N368" s="4" t="str">
        <f t="shared" si="134"/>
        <v>DRAYVVTLVVAVFFAPFGVMLCAYMCILNTVRKNAVRVHNQS</v>
      </c>
      <c r="O368" s="4" t="str">
        <f t="shared" si="135"/>
        <v>SVDLSFKTKAFTTILILFVGFSLCWLPHSVYSLLSVFS</v>
      </c>
      <c r="P368" s="4" t="str">
        <f t="shared" si="136"/>
        <v>GSSFYATSTCVLWLSYLKSVFNPIVYCWR</v>
      </c>
      <c r="Q368" s="4" t="str">
        <f t="shared" si="137"/>
        <v>IKKFREACIELL</v>
      </c>
      <c r="R368" s="5">
        <f>VLOOKUP($A368,'SegEnds_NonXtal_Prot#'!$A:$AL,3,FALSE)</f>
        <v>31</v>
      </c>
      <c r="S368" s="5">
        <f>VLOOKUP($A368,'SegEnds_NonXtal_Prot#'!$A:$AL,6,FALSE)</f>
        <v>63</v>
      </c>
      <c r="T368" s="5">
        <f>VLOOKUP($A368,'SegEnds_NonXtal_Prot#'!$A:$AL,9,FALSE)</f>
        <v>67</v>
      </c>
      <c r="U368" s="5">
        <f>VLOOKUP($A368,'SegEnds_NonXtal_Prot#'!$A:$AL,12,FALSE)</f>
        <v>99</v>
      </c>
      <c r="V368" s="5">
        <f>VLOOKUP($A368,'SegEnds_NonXtal_Prot#'!$A:$AL,15,FALSE)</f>
        <v>103</v>
      </c>
      <c r="W368" s="5" t="str">
        <f>VLOOKUP($A368,'SegEnds_NonXtal_Prot#'!$A:$AL,18,FALSE)</f>
        <v>-</v>
      </c>
      <c r="X368" s="5">
        <f>VLOOKUP($A368,'SegEnds_NonXtal_Prot#'!$A:$AL,21,FALSE)</f>
        <v>144</v>
      </c>
      <c r="Y368" s="5">
        <f>VLOOKUP($A368,'SegEnds_NonXtal_Prot#'!$A:$AL,24,FALSE)</f>
        <v>182</v>
      </c>
      <c r="Z368" s="5">
        <f>VLOOKUP($A368,'SegEnds_NonXtal_Prot#'!$A:$AL,27,FALSE)</f>
        <v>192</v>
      </c>
      <c r="AA368" s="5">
        <f>VLOOKUP($A368,'SegEnds_NonXtal_Prot#'!$A:$AL,30,FALSE)</f>
        <v>256</v>
      </c>
      <c r="AB368" s="5">
        <f>VLOOKUP($A368,'SegEnds_NonXtal_Prot#'!$A:$AL,33,FALSE)</f>
        <v>299</v>
      </c>
      <c r="AC368" s="5">
        <f>VLOOKUP($A368,'SegEnds_NonXtal_Prot#'!$A:$AL,36,FALSE)</f>
        <v>328</v>
      </c>
      <c r="AD368" s="5">
        <f>VLOOKUP($A368,'SegEnds_NonXtal_Prot#'!$A:$AL,5,FALSE)</f>
        <v>62</v>
      </c>
      <c r="AE368" s="5">
        <f>VLOOKUP($A368,'SegEnds_NonXtal_Prot#'!$A:$AL,8,FALSE)</f>
        <v>66</v>
      </c>
      <c r="AF368" s="5">
        <f>VLOOKUP($A368,'SegEnds_NonXtal_Prot#'!$A:$AL,11,FALSE)</f>
        <v>97</v>
      </c>
      <c r="AG368" s="5">
        <f>VLOOKUP($A368,'SegEnds_NonXtal_Prot#'!$A:$AL,14,FALSE)</f>
        <v>102</v>
      </c>
      <c r="AH368" s="5">
        <f>VLOOKUP($A368,'SegEnds_NonXtal_Prot#'!$A:$AL,17,FALSE)</f>
        <v>138</v>
      </c>
      <c r="AI368" s="5" t="str">
        <f>VLOOKUP($A368,'SegEnds_NonXtal_Prot#'!$A:$AL,20,FALSE)</f>
        <v>-</v>
      </c>
      <c r="AJ368" s="5">
        <f>VLOOKUP($A368,'SegEnds_NonXtal_Prot#'!$A:$AL,23,FALSE)</f>
        <v>169</v>
      </c>
      <c r="AK368" s="5">
        <f>VLOOKUP($A368,'SegEnds_NonXtal_Prot#'!$A:$AL,26,FALSE)</f>
        <v>184</v>
      </c>
      <c r="AL368" s="5">
        <f>VLOOKUP($A368,'SegEnds_NonXtal_Prot#'!$A:$AL,29,FALSE)</f>
        <v>233</v>
      </c>
      <c r="AM368" s="5">
        <f>VLOOKUP($A368,'SegEnds_NonXtal_Prot#'!$A:$AL,32,FALSE)</f>
        <v>293</v>
      </c>
      <c r="AN368" s="5">
        <f>VLOOKUP($A368,'SegEnds_NonXtal_Prot#'!$A:$AL,35,FALSE)</f>
        <v>327</v>
      </c>
      <c r="AO368" s="5">
        <f>VLOOKUP($A368,'SegEnds_NonXtal_Prot#'!$A:$AL,38,FALSE)</f>
        <v>339</v>
      </c>
      <c r="AP368" s="5">
        <f t="shared" si="138"/>
        <v>31</v>
      </c>
      <c r="AQ368" s="4">
        <f t="shared" si="139"/>
        <v>3</v>
      </c>
      <c r="AR368" s="4">
        <f t="shared" si="140"/>
        <v>30</v>
      </c>
      <c r="AS368" s="4">
        <f t="shared" si="141"/>
        <v>3</v>
      </c>
      <c r="AT368" s="4">
        <f t="shared" si="142"/>
        <v>35</v>
      </c>
      <c r="AU368" s="4" t="str">
        <f t="shared" si="143"/>
        <v>-</v>
      </c>
      <c r="AV368" s="4">
        <f t="shared" si="144"/>
        <v>25</v>
      </c>
      <c r="AW368" s="4">
        <f t="shared" si="145"/>
        <v>2</v>
      </c>
      <c r="AX368" s="4">
        <f t="shared" si="146"/>
        <v>41</v>
      </c>
      <c r="AY368" s="4">
        <f t="shared" si="147"/>
        <v>37</v>
      </c>
      <c r="AZ368" s="4">
        <f t="shared" si="148"/>
        <v>28</v>
      </c>
      <c r="BA368" s="4">
        <f t="shared" si="149"/>
        <v>11</v>
      </c>
    </row>
    <row r="369" spans="1:53" x14ac:dyDescent="0.2">
      <c r="A369" s="1" t="str">
        <f>'SegEnds_NonXtal_Prot#'!A365</f>
        <v>gpr62_human</v>
      </c>
      <c r="B369" s="1" t="str">
        <f t="shared" si="125"/>
        <v>EVAGSLGLILAAVVEVGALLGNGALLVVVLRTLRDALYLAHLCVVDLLAAASIMPLGLLAAPPVRLGPAPCRAARFLSAALLPACTLGVAALGLARYRLIVHSRPPPVLVLTAVWAAAGLLGALSLLGLGPFRPLWALLAFALPALLLLGAYGGIFVVARRAALRPPRPALRPRLPGGKAALAPALAVGQFAACWLPYGCACLAPEAAVTWVAYSAFAAHPFLYGLLQRPVRLALGRLSR</v>
      </c>
      <c r="C369" s="29" t="str">
        <f>IF(ISERROR(MATCH(A369,'SegEnds_Xtal_Prot#'!B:B, 0)), "NoXtal", "Xtal")</f>
        <v>NoXtal</v>
      </c>
      <c r="D369" s="4" t="str">
        <f>VLOOKUP(A369,Classification!A:D,2,FALSE)</f>
        <v>A</v>
      </c>
      <c r="E369" s="5" t="str">
        <f>VLOOKUP(A369,Seqs!A:B,2,FALSE)</f>
        <v>MANSTGLNASEVAGSLGLILAAVVEVGALLGNGALLVVVLRTPGLRDALYLAHLCVVDLLAAASIMPLGLLAAPPPGLGRVRLGPAPCRAARFLSAALLPACTLGVAALGLARYRLIVHPLRPGSRPPPVLVLTAVWAAAGLLGALSLLGTPPAPPPAPARCSVLAGGLGPFRPLWALLAFALPALLLLGAYGGIFVVARRAALRPPRPARGSRLHSDSLDSRLSILPPLRPRLPGGKAALAPALAVGQFAACWLPYGCACLAPAARAAEAEAAVTWVAYSAFAAHPFLYGLLQRPVRLALGRLSRRALPGPVRACTPQAWHPRALLQCLQRPPEGPAVGPSEAPEQTPELAGGRSPAYQGPPESSLS</v>
      </c>
      <c r="F369" s="5" t="str">
        <f t="shared" si="126"/>
        <v>EVAGSLGLILAAVVEVGALLGNGALLVVVLRT</v>
      </c>
      <c r="G369" s="4" t="str">
        <f t="shared" si="127"/>
        <v/>
      </c>
      <c r="H369" s="4" t="str">
        <f t="shared" si="128"/>
        <v>LRDALYLAHLCVVDLLAAASIMPLGLLAAPP</v>
      </c>
      <c r="I369" s="4" t="str">
        <f t="shared" si="129"/>
        <v/>
      </c>
      <c r="J369" s="4" t="str">
        <f t="shared" si="130"/>
        <v>VRLGPAPCRAARFLSAALLPACTLGVAALGLARYRLIVH</v>
      </c>
      <c r="K369" s="4" t="str">
        <f t="shared" si="131"/>
        <v/>
      </c>
      <c r="L369" s="4" t="str">
        <f t="shared" si="132"/>
        <v>SRPPPVLVLTAVWAAAGLLGALSLLG</v>
      </c>
      <c r="M369" s="4" t="str">
        <f t="shared" si="133"/>
        <v>CSV</v>
      </c>
      <c r="N369" s="4" t="str">
        <f t="shared" si="134"/>
        <v>LGPFRPLWALLAFALPALLLLGAYGGIFVVARRAALRPPRPA</v>
      </c>
      <c r="O369" s="4" t="str">
        <f t="shared" si="135"/>
        <v>LRPRLPGGKAALAPALAVGQFAACWLPYGCACLAP</v>
      </c>
      <c r="P369" s="4" t="str">
        <f t="shared" si="136"/>
        <v>EAAVTWVAYSAFAAHPFLYGLL</v>
      </c>
      <c r="Q369" s="4" t="str">
        <f t="shared" si="137"/>
        <v>QRPVRLALGRLSR</v>
      </c>
      <c r="R369" s="5">
        <f>VLOOKUP($A369,'SegEnds_NonXtal_Prot#'!$A:$AL,3,FALSE)</f>
        <v>11</v>
      </c>
      <c r="S369" s="5" t="str">
        <f>VLOOKUP($A369,'SegEnds_NonXtal_Prot#'!$A:$AL,6,FALSE)</f>
        <v>-</v>
      </c>
      <c r="T369" s="5">
        <f>VLOOKUP($A369,'SegEnds_NonXtal_Prot#'!$A:$AL,9,FALSE)</f>
        <v>45</v>
      </c>
      <c r="U369" s="5" t="str">
        <f>VLOOKUP($A369,'SegEnds_NonXtal_Prot#'!$A:$AL,12,FALSE)</f>
        <v>-</v>
      </c>
      <c r="V369" s="5">
        <f>VLOOKUP($A369,'SegEnds_NonXtal_Prot#'!$A:$AL,15,FALSE)</f>
        <v>81</v>
      </c>
      <c r="W369" s="5" t="str">
        <f>VLOOKUP($A369,'SegEnds_NonXtal_Prot#'!$A:$AL,18,FALSE)</f>
        <v>-</v>
      </c>
      <c r="X369" s="5">
        <f>VLOOKUP($A369,'SegEnds_NonXtal_Prot#'!$A:$AL,21,FALSE)</f>
        <v>125</v>
      </c>
      <c r="Y369" s="5">
        <f>VLOOKUP($A369,'SegEnds_NonXtal_Prot#'!$A:$AL,24,FALSE)</f>
        <v>162</v>
      </c>
      <c r="Z369" s="5">
        <f>VLOOKUP($A369,'SegEnds_NonXtal_Prot#'!$A:$AL,27,FALSE)</f>
        <v>169</v>
      </c>
      <c r="AA369" s="5">
        <f>VLOOKUP($A369,'SegEnds_NonXtal_Prot#'!$A:$AL,30,FALSE)</f>
        <v>230</v>
      </c>
      <c r="AB369" s="5">
        <f>VLOOKUP($A369,'SegEnds_NonXtal_Prot#'!$A:$AL,33,FALSE)</f>
        <v>272</v>
      </c>
      <c r="AC369" s="5">
        <f>VLOOKUP($A369,'SegEnds_NonXtal_Prot#'!$A:$AL,36,FALSE)</f>
        <v>294</v>
      </c>
      <c r="AD369" s="5">
        <f>VLOOKUP($A369,'SegEnds_NonXtal_Prot#'!$A:$AL,5,FALSE)</f>
        <v>42</v>
      </c>
      <c r="AE369" s="5" t="str">
        <f>VLOOKUP($A369,'SegEnds_NonXtal_Prot#'!$A:$AL,8,FALSE)</f>
        <v>-</v>
      </c>
      <c r="AF369" s="5">
        <f>VLOOKUP($A369,'SegEnds_NonXtal_Prot#'!$A:$AL,11,FALSE)</f>
        <v>75</v>
      </c>
      <c r="AG369" s="5" t="str">
        <f>VLOOKUP($A369,'SegEnds_NonXtal_Prot#'!$A:$AL,14,FALSE)</f>
        <v>-</v>
      </c>
      <c r="AH369" s="5">
        <f>VLOOKUP($A369,'SegEnds_NonXtal_Prot#'!$A:$AL,17,FALSE)</f>
        <v>119</v>
      </c>
      <c r="AI369" s="5" t="str">
        <f>VLOOKUP($A369,'SegEnds_NonXtal_Prot#'!$A:$AL,20,FALSE)</f>
        <v>-</v>
      </c>
      <c r="AJ369" s="5">
        <f>VLOOKUP($A369,'SegEnds_NonXtal_Prot#'!$A:$AL,23,FALSE)</f>
        <v>150</v>
      </c>
      <c r="AK369" s="5">
        <f>VLOOKUP($A369,'SegEnds_NonXtal_Prot#'!$A:$AL,26,FALSE)</f>
        <v>164</v>
      </c>
      <c r="AL369" s="5">
        <f>VLOOKUP($A369,'SegEnds_NonXtal_Prot#'!$A:$AL,29,FALSE)</f>
        <v>210</v>
      </c>
      <c r="AM369" s="5">
        <f>VLOOKUP($A369,'SegEnds_NonXtal_Prot#'!$A:$AL,32,FALSE)</f>
        <v>264</v>
      </c>
      <c r="AN369" s="5">
        <f>VLOOKUP($A369,'SegEnds_NonXtal_Prot#'!$A:$AL,35,FALSE)</f>
        <v>293</v>
      </c>
      <c r="AO369" s="5">
        <f>VLOOKUP($A369,'SegEnds_NonXtal_Prot#'!$A:$AL,38,FALSE)</f>
        <v>306</v>
      </c>
      <c r="AP369" s="5">
        <f t="shared" si="138"/>
        <v>31</v>
      </c>
      <c r="AQ369" s="4" t="str">
        <f t="shared" si="139"/>
        <v>-</v>
      </c>
      <c r="AR369" s="4">
        <f t="shared" si="140"/>
        <v>30</v>
      </c>
      <c r="AS369" s="4" t="str">
        <f t="shared" si="141"/>
        <v>-</v>
      </c>
      <c r="AT369" s="4">
        <f t="shared" si="142"/>
        <v>38</v>
      </c>
      <c r="AU369" s="4" t="str">
        <f t="shared" si="143"/>
        <v>-</v>
      </c>
      <c r="AV369" s="4">
        <f t="shared" si="144"/>
        <v>25</v>
      </c>
      <c r="AW369" s="4">
        <f t="shared" si="145"/>
        <v>2</v>
      </c>
      <c r="AX369" s="4">
        <f t="shared" si="146"/>
        <v>41</v>
      </c>
      <c r="AY369" s="4">
        <f t="shared" si="147"/>
        <v>34</v>
      </c>
      <c r="AZ369" s="4">
        <f t="shared" si="148"/>
        <v>21</v>
      </c>
      <c r="BA369" s="4">
        <f t="shared" si="149"/>
        <v>12</v>
      </c>
    </row>
    <row r="370" spans="1:53" x14ac:dyDescent="0.2">
      <c r="A370" s="1" t="str">
        <f>'SegEnds_NonXtal_Prot#'!A366</f>
        <v>gpr63_human</v>
      </c>
      <c r="B370" s="1" t="str">
        <f t="shared" si="125"/>
        <v>QITLSAIMIFILFVSFLGNLVVCLMVYQKSAINILLASLAFADMLLAVLNMPFALVTILTGKFFCRVSAMFFWLFVIEGVAILLIISIDRFLIIVQNPYRAKVLIAVSWATSFCVAFPLAVGNYQAYVILISLISFFIPFLVILYSFMGILNTLRHNALRIHSYPSIDMGFKTRAFTTILILFAVFIVCWAPFTTYSLVATFSQHNFFEISTWLLWLCYLKSALNPLIYYWRIKKFHDACLDMM</v>
      </c>
      <c r="C370" s="29" t="str">
        <f>IF(ISERROR(MATCH(A370,'SegEnds_Xtal_Prot#'!B:B, 0)), "NoXtal", "Xtal")</f>
        <v>NoXtal</v>
      </c>
      <c r="D370" s="4" t="str">
        <f>VLOOKUP(A370,Classification!A:D,2,FALSE)</f>
        <v>A</v>
      </c>
      <c r="E370" s="5" t="str">
        <f>VLOOKUP(A370,Seqs!A:B,2,FALSE)</f>
        <v>MVFSAVLTAFHTGTSNTTFVVYENTYMNITLPPPFQHPDLSPLLRYSFETMAPTGLSSLTVNSTAVPTTPAAFKSLNLPLQITLSAIMIFILFVSFLGNLVVCLMVYQKAAMRSAINILLASLAFADMLLAVLNMPFALVTILTTRWIFGKFFCRVSAMFFWLFVIEGVAILLIISIDRFLIIVQRQDKLNPYRAKVLIAVSWATSFCVAFPLAVGNPDLQIPSRAPQCVFGYTTNPGYQAYVILISLISFFIPFLVILYSFMGILNTLRHNALRIHSYPEGICLSQASKLGLMSLQRPFQMSIDMGFKTRAFTTILILFAVFIVCWAPFTTYSLVATFSKHFYYQHNFFEISTWLLWLCYLKSALNPLIYYWRIKKFHDACLDMMPKSFKFLPQLPGHTKRRIRPSAVYVCGEHRTVV</v>
      </c>
      <c r="F370" s="5" t="str">
        <f t="shared" si="126"/>
        <v>QITLSAIMIFILFVSFLGNLVVCLMVYQK</v>
      </c>
      <c r="G370" s="4" t="str">
        <f t="shared" si="127"/>
        <v>AAMR</v>
      </c>
      <c r="H370" s="4" t="str">
        <f t="shared" si="128"/>
        <v>SAINILLASLAFADMLLAVLNMPFALVTILT</v>
      </c>
      <c r="I370" s="4" t="str">
        <f t="shared" si="129"/>
        <v>RWIF</v>
      </c>
      <c r="J370" s="4" t="str">
        <f t="shared" si="130"/>
        <v>GKFFCRVSAMFFWLFVIEGVAILLIISIDRFLIIVQ</v>
      </c>
      <c r="K370" s="4" t="str">
        <f t="shared" si="131"/>
        <v/>
      </c>
      <c r="L370" s="4" t="str">
        <f t="shared" si="132"/>
        <v>NPYRAKVLIAVSWATSFCVAFPLAVGN</v>
      </c>
      <c r="M370" s="4" t="str">
        <f t="shared" si="133"/>
        <v>CVF</v>
      </c>
      <c r="N370" s="4" t="str">
        <f t="shared" si="134"/>
        <v>YQAYVILISLISFFIPFLVILYSFMGILNTLRHNALRIHSYP</v>
      </c>
      <c r="O370" s="4" t="str">
        <f t="shared" si="135"/>
        <v>SIDMGFKTRAFTTILILFAVFIVCWAPFTTYSLVATFS</v>
      </c>
      <c r="P370" s="4" t="str">
        <f t="shared" si="136"/>
        <v>QHNFFEISTWLLWLCYLKSALNPLIYYWR</v>
      </c>
      <c r="Q370" s="4" t="str">
        <f t="shared" si="137"/>
        <v>IKKFHDACLDMM</v>
      </c>
      <c r="R370" s="5">
        <f>VLOOKUP($A370,'SegEnds_NonXtal_Prot#'!$A:$AL,3,FALSE)</f>
        <v>81</v>
      </c>
      <c r="S370" s="5">
        <f>VLOOKUP($A370,'SegEnds_NonXtal_Prot#'!$A:$AL,6,FALSE)</f>
        <v>110</v>
      </c>
      <c r="T370" s="5">
        <f>VLOOKUP($A370,'SegEnds_NonXtal_Prot#'!$A:$AL,9,FALSE)</f>
        <v>114</v>
      </c>
      <c r="U370" s="5">
        <f>VLOOKUP($A370,'SegEnds_NonXtal_Prot#'!$A:$AL,12,FALSE)</f>
        <v>146</v>
      </c>
      <c r="V370" s="5">
        <f>VLOOKUP($A370,'SegEnds_NonXtal_Prot#'!$A:$AL,15,FALSE)</f>
        <v>150</v>
      </c>
      <c r="W370" s="5" t="str">
        <f>VLOOKUP($A370,'SegEnds_NonXtal_Prot#'!$A:$AL,18,FALSE)</f>
        <v>-</v>
      </c>
      <c r="X370" s="5">
        <f>VLOOKUP($A370,'SegEnds_NonXtal_Prot#'!$A:$AL,21,FALSE)</f>
        <v>191</v>
      </c>
      <c r="Y370" s="5">
        <f>VLOOKUP($A370,'SegEnds_NonXtal_Prot#'!$A:$AL,24,FALSE)</f>
        <v>229</v>
      </c>
      <c r="Z370" s="5">
        <f>VLOOKUP($A370,'SegEnds_NonXtal_Prot#'!$A:$AL,27,FALSE)</f>
        <v>239</v>
      </c>
      <c r="AA370" s="5">
        <f>VLOOKUP($A370,'SegEnds_NonXtal_Prot#'!$A:$AL,30,FALSE)</f>
        <v>303</v>
      </c>
      <c r="AB370" s="5">
        <f>VLOOKUP($A370,'SegEnds_NonXtal_Prot#'!$A:$AL,33,FALSE)</f>
        <v>346</v>
      </c>
      <c r="AC370" s="5">
        <f>VLOOKUP($A370,'SegEnds_NonXtal_Prot#'!$A:$AL,36,FALSE)</f>
        <v>375</v>
      </c>
      <c r="AD370" s="5">
        <f>VLOOKUP($A370,'SegEnds_NonXtal_Prot#'!$A:$AL,5,FALSE)</f>
        <v>109</v>
      </c>
      <c r="AE370" s="5">
        <f>VLOOKUP($A370,'SegEnds_NonXtal_Prot#'!$A:$AL,8,FALSE)</f>
        <v>113</v>
      </c>
      <c r="AF370" s="5">
        <f>VLOOKUP($A370,'SegEnds_NonXtal_Prot#'!$A:$AL,11,FALSE)</f>
        <v>144</v>
      </c>
      <c r="AG370" s="5">
        <f>VLOOKUP($A370,'SegEnds_NonXtal_Prot#'!$A:$AL,14,FALSE)</f>
        <v>149</v>
      </c>
      <c r="AH370" s="5">
        <f>VLOOKUP($A370,'SegEnds_NonXtal_Prot#'!$A:$AL,17,FALSE)</f>
        <v>185</v>
      </c>
      <c r="AI370" s="5" t="str">
        <f>VLOOKUP($A370,'SegEnds_NonXtal_Prot#'!$A:$AL,20,FALSE)</f>
        <v>-</v>
      </c>
      <c r="AJ370" s="5">
        <f>VLOOKUP($A370,'SegEnds_NonXtal_Prot#'!$A:$AL,23,FALSE)</f>
        <v>217</v>
      </c>
      <c r="AK370" s="5">
        <f>VLOOKUP($A370,'SegEnds_NonXtal_Prot#'!$A:$AL,26,FALSE)</f>
        <v>231</v>
      </c>
      <c r="AL370" s="5">
        <f>VLOOKUP($A370,'SegEnds_NonXtal_Prot#'!$A:$AL,29,FALSE)</f>
        <v>280</v>
      </c>
      <c r="AM370" s="5">
        <f>VLOOKUP($A370,'SegEnds_NonXtal_Prot#'!$A:$AL,32,FALSE)</f>
        <v>340</v>
      </c>
      <c r="AN370" s="5">
        <f>VLOOKUP($A370,'SegEnds_NonXtal_Prot#'!$A:$AL,35,FALSE)</f>
        <v>374</v>
      </c>
      <c r="AO370" s="5">
        <f>VLOOKUP($A370,'SegEnds_NonXtal_Prot#'!$A:$AL,38,FALSE)</f>
        <v>386</v>
      </c>
      <c r="AP370" s="5">
        <f t="shared" si="138"/>
        <v>28</v>
      </c>
      <c r="AQ370" s="4">
        <f t="shared" si="139"/>
        <v>3</v>
      </c>
      <c r="AR370" s="4">
        <f t="shared" si="140"/>
        <v>30</v>
      </c>
      <c r="AS370" s="4">
        <f t="shared" si="141"/>
        <v>3</v>
      </c>
      <c r="AT370" s="4">
        <f t="shared" si="142"/>
        <v>35</v>
      </c>
      <c r="AU370" s="4" t="str">
        <f t="shared" si="143"/>
        <v>-</v>
      </c>
      <c r="AV370" s="4">
        <f t="shared" si="144"/>
        <v>26</v>
      </c>
      <c r="AW370" s="4">
        <f t="shared" si="145"/>
        <v>2</v>
      </c>
      <c r="AX370" s="4">
        <f t="shared" si="146"/>
        <v>41</v>
      </c>
      <c r="AY370" s="4">
        <f t="shared" si="147"/>
        <v>37</v>
      </c>
      <c r="AZ370" s="4">
        <f t="shared" si="148"/>
        <v>28</v>
      </c>
      <c r="BA370" s="4">
        <f t="shared" si="149"/>
        <v>11</v>
      </c>
    </row>
    <row r="371" spans="1:53" x14ac:dyDescent="0.2">
      <c r="A371" s="1" t="str">
        <f>'SegEnds_NonXtal_Prot#'!A368</f>
        <v>gpr83_human</v>
      </c>
      <c r="B371" s="1" t="str">
        <f t="shared" si="125"/>
        <v>VKALLIVAYSFIIVFSLFGNVLVCHVIFKNSATSLFIVNLAVADIMITLLNTPFTLVRFVNGKGMCHVSRFAQYCSLHVSALTLTAIAVDRHQVIMHSITKGVIYIAVIWTMATFFSLPHAICQDLFWKYLDLATFILLYILPLLIISVAYARVAKKLWLCNMIGDQYFALRRKKKKTIKMLMLVVVLFALCWFPLNCYVLLLSSKNNALYFAFHWFAMSSTCYNPFIYCWLNENFRIELKALL</v>
      </c>
      <c r="C371" s="29" t="str">
        <f>IF(ISERROR(MATCH(A371,'SegEnds_Xtal_Prot#'!B:B, 0)), "NoXtal", "Xtal")</f>
        <v>NoXtal</v>
      </c>
      <c r="D371" s="4" t="str">
        <f>VLOOKUP(A371,Classification!A:D,2,FALSE)</f>
        <v>A</v>
      </c>
      <c r="E371" s="5" t="str">
        <f>VLOOKUP(A371,Seqs!A:B,2,FALSE)</f>
        <v>MVPHLLLLCLLPLVRATEPHEGRADEQSAEAALAVPNASHFFSWNNYTFSDWQNFVGRRRYGAESQNPTVKALLIVAYSFIIVFSLFGNVLVCHVIFKNQRMHSATSLFIVNLAVADIMITLLNTPFTLVRFVNSTWIFGKGMCHVSRFAQYCSLHVSALTLTAIAVDRHQVIMHPLKPRISITKGVIYIAVIWTMATFFSLPHAICQKLFTFKYSEDIVRSLCLPDFPEPADLFWKYLDLATFILLYILPLLIISVAYARVAKKLWLCNMIGDVTTEQYFALRRKKKKTIKMLMLVVVLFALCWFPLNCYVLLLSSKVIRTNNALYFAFHWFAMSSTCYNPFIYCWLNENFRIELKALLSMCQRPPKPQEDRPPSPVPSFRVAWTEKNDGQRAPLANNLLPTSQLQSGKTDLSSVEPIVTMS</v>
      </c>
      <c r="F371" s="5" t="str">
        <f t="shared" si="126"/>
        <v>VKALLIVAYSFIIVFSLFGNVLVCHVIFKN</v>
      </c>
      <c r="G371" s="4" t="str">
        <f t="shared" si="127"/>
        <v>QRMH</v>
      </c>
      <c r="H371" s="4" t="str">
        <f t="shared" si="128"/>
        <v>SATSLFIVNLAVADIMITLLNTPFTLVRFVN</v>
      </c>
      <c r="I371" s="4" t="str">
        <f t="shared" si="129"/>
        <v>TWIF</v>
      </c>
      <c r="J371" s="4" t="str">
        <f t="shared" si="130"/>
        <v>GKGMCHVSRFAQYCSLHVSALTLTAIAVDRHQVIMH</v>
      </c>
      <c r="K371" s="4" t="str">
        <f t="shared" si="131"/>
        <v/>
      </c>
      <c r="L371" s="4" t="str">
        <f t="shared" si="132"/>
        <v>SITKGVIYIAVIWTMATFFSLPHAICQ</v>
      </c>
      <c r="M371" s="4" t="str">
        <f t="shared" si="133"/>
        <v>CLP</v>
      </c>
      <c r="N371" s="4" t="str">
        <f t="shared" si="134"/>
        <v>DLFWKYLDLATFILLYILPLLIISVAYARVAKKLWLCNMIGD</v>
      </c>
      <c r="O371" s="4" t="str">
        <f t="shared" si="135"/>
        <v>QYFALRRKKKKTIKMLMLVVVLFALCWFPLNCYVLLLSSK</v>
      </c>
      <c r="P371" s="4" t="str">
        <f t="shared" si="136"/>
        <v>NNALYFAFHWFAMSSTCYNPFIYCWL</v>
      </c>
      <c r="Q371" s="4" t="str">
        <f t="shared" si="137"/>
        <v>NENFRIELKALL</v>
      </c>
      <c r="R371" s="5">
        <f>VLOOKUP($A371,'SegEnds_NonXtal_Prot#'!$A:$AL,3,FALSE)</f>
        <v>70</v>
      </c>
      <c r="S371" s="5">
        <f>VLOOKUP($A371,'SegEnds_NonXtal_Prot#'!$A:$AL,6,FALSE)</f>
        <v>100</v>
      </c>
      <c r="T371" s="5">
        <f>VLOOKUP($A371,'SegEnds_NonXtal_Prot#'!$A:$AL,9,FALSE)</f>
        <v>104</v>
      </c>
      <c r="U371" s="5">
        <f>VLOOKUP($A371,'SegEnds_NonXtal_Prot#'!$A:$AL,12,FALSE)</f>
        <v>136</v>
      </c>
      <c r="V371" s="5">
        <f>VLOOKUP($A371,'SegEnds_NonXtal_Prot#'!$A:$AL,15,FALSE)</f>
        <v>140</v>
      </c>
      <c r="W371" s="5" t="str">
        <f>VLOOKUP($A371,'SegEnds_NonXtal_Prot#'!$A:$AL,18,FALSE)</f>
        <v>-</v>
      </c>
      <c r="X371" s="5">
        <f>VLOOKUP($A371,'SegEnds_NonXtal_Prot#'!$A:$AL,21,FALSE)</f>
        <v>182</v>
      </c>
      <c r="Y371" s="5">
        <f>VLOOKUP($A371,'SegEnds_NonXtal_Prot#'!$A:$AL,24,FALSE)</f>
        <v>224</v>
      </c>
      <c r="Z371" s="5">
        <f>VLOOKUP($A371,'SegEnds_NonXtal_Prot#'!$A:$AL,27,FALSE)</f>
        <v>233</v>
      </c>
      <c r="AA371" s="5">
        <f>VLOOKUP($A371,'SegEnds_NonXtal_Prot#'!$A:$AL,30,FALSE)</f>
        <v>279</v>
      </c>
      <c r="AB371" s="5">
        <f>VLOOKUP($A371,'SegEnds_NonXtal_Prot#'!$A:$AL,33,FALSE)</f>
        <v>323</v>
      </c>
      <c r="AC371" s="5">
        <f>VLOOKUP($A371,'SegEnds_NonXtal_Prot#'!$A:$AL,36,FALSE)</f>
        <v>349</v>
      </c>
      <c r="AD371" s="5">
        <f>VLOOKUP($A371,'SegEnds_NonXtal_Prot#'!$A:$AL,5,FALSE)</f>
        <v>99</v>
      </c>
      <c r="AE371" s="5">
        <f>VLOOKUP($A371,'SegEnds_NonXtal_Prot#'!$A:$AL,8,FALSE)</f>
        <v>103</v>
      </c>
      <c r="AF371" s="5">
        <f>VLOOKUP($A371,'SegEnds_NonXtal_Prot#'!$A:$AL,11,FALSE)</f>
        <v>134</v>
      </c>
      <c r="AG371" s="5">
        <f>VLOOKUP($A371,'SegEnds_NonXtal_Prot#'!$A:$AL,14,FALSE)</f>
        <v>139</v>
      </c>
      <c r="AH371" s="5">
        <f>VLOOKUP($A371,'SegEnds_NonXtal_Prot#'!$A:$AL,17,FALSE)</f>
        <v>175</v>
      </c>
      <c r="AI371" s="5" t="str">
        <f>VLOOKUP($A371,'SegEnds_NonXtal_Prot#'!$A:$AL,20,FALSE)</f>
        <v>-</v>
      </c>
      <c r="AJ371" s="5">
        <f>VLOOKUP($A371,'SegEnds_NonXtal_Prot#'!$A:$AL,23,FALSE)</f>
        <v>208</v>
      </c>
      <c r="AK371" s="5">
        <f>VLOOKUP($A371,'SegEnds_NonXtal_Prot#'!$A:$AL,26,FALSE)</f>
        <v>226</v>
      </c>
      <c r="AL371" s="5">
        <f>VLOOKUP($A371,'SegEnds_NonXtal_Prot#'!$A:$AL,29,FALSE)</f>
        <v>274</v>
      </c>
      <c r="AM371" s="5">
        <f>VLOOKUP($A371,'SegEnds_NonXtal_Prot#'!$A:$AL,32,FALSE)</f>
        <v>318</v>
      </c>
      <c r="AN371" s="5">
        <f>VLOOKUP($A371,'SegEnds_NonXtal_Prot#'!$A:$AL,35,FALSE)</f>
        <v>348</v>
      </c>
      <c r="AO371" s="5">
        <f>VLOOKUP($A371,'SegEnds_NonXtal_Prot#'!$A:$AL,38,FALSE)</f>
        <v>360</v>
      </c>
      <c r="AP371" s="5">
        <f t="shared" si="138"/>
        <v>29</v>
      </c>
      <c r="AQ371" s="4">
        <f t="shared" si="139"/>
        <v>3</v>
      </c>
      <c r="AR371" s="4">
        <f t="shared" si="140"/>
        <v>30</v>
      </c>
      <c r="AS371" s="4">
        <f t="shared" si="141"/>
        <v>3</v>
      </c>
      <c r="AT371" s="4">
        <f t="shared" si="142"/>
        <v>35</v>
      </c>
      <c r="AU371" s="4" t="str">
        <f t="shared" si="143"/>
        <v>-</v>
      </c>
      <c r="AV371" s="4">
        <f t="shared" si="144"/>
        <v>26</v>
      </c>
      <c r="AW371" s="4">
        <f t="shared" si="145"/>
        <v>2</v>
      </c>
      <c r="AX371" s="4">
        <f t="shared" si="146"/>
        <v>41</v>
      </c>
      <c r="AY371" s="4">
        <f t="shared" si="147"/>
        <v>39</v>
      </c>
      <c r="AZ371" s="4">
        <f t="shared" si="148"/>
        <v>25</v>
      </c>
      <c r="BA371" s="4">
        <f t="shared" si="149"/>
        <v>11</v>
      </c>
    </row>
    <row r="372" spans="1:53" x14ac:dyDescent="0.2">
      <c r="A372" s="1" t="str">
        <f>'SegEnds_NonXtal_Prot#'!A369</f>
        <v>gpr98_human</v>
      </c>
      <c r="B372" s="1" t="str">
        <f t="shared" si="125"/>
        <v>VYARTDNLSSYNEAFFTSGFICISGLCLAVLSHIFCARMFAAKLLTHMMAASLGTQILFLASAYAESCSAMAAVTHYLYLCQFSWMLIQSVNFWYVLVMRRYLLFFLLSWGLPAFVVILLIVILKGIYYAALFTAALVPLTCLVVVFVVFIHAYQVKPQWKATNAAEIPLILYLFALISVTWLWGGLHFWMLVLFVIFNSLQGLYVFMVYFILHNQMCCPMKASYTVEMN</v>
      </c>
      <c r="C372" s="29" t="str">
        <f>IF(ISERROR(MATCH(A372,'SegEnds_Xtal_Prot#'!B:B, 0)), "NoXtal", "Xtal")</f>
        <v>NoXtal</v>
      </c>
      <c r="D372" s="4" t="str">
        <f>VLOOKUP(A372,Classification!A:D,2,FALSE)</f>
        <v>B2</v>
      </c>
      <c r="E372" s="5" t="str">
        <f>VLOOKUP(A372,Seqs!A:B,2,FALSE)</f>
        <v>MSVFLGPGMPSASLLVNLLSALLILFVFGETEIRFTGQTEFVVNETSTTVIRLIIERIGEPANVTAIVSLYGEDAGDFFDTYAAAFIPAGETNRTVYIAVCDDDLPEPDETFIFHLTLQKPSANVKLGWPRTVTVTILSNDNAFGIISFNMLPSIAVSEPKGRNESMPLTLIREKGTYGMVMVTFEVEGGPNPPDEDLSPVKGNITFPPGRATVIYNLTVLDDEVPENDEIFLIQLKSVEGGAEINTSRNSIEIIIKKNDSPVRFLQSIYLVPEEDHILIIPVVRGKDNNGNLIGSDEYEVSISYAVTTGNSTAHAQQNLDFIDLQPNTTVVFPPFIHESHLKFQIVDDTIPEIAESFHIMLLKDTLQGDAVLISPSVVQVTIKPNDKPYGVLSFNSVLFERTVIIDEDRISRYEEITVVRNGGTHGNVSANWVLTRNSTDPSPVTADIRPSSGVLHFAQGQMLATIPLTVVDDDLPEEAEAYLLQILPHTIRGGAEVSEPAELLFYIQDSDDVYGLITFFPMENQKIESSPGERYLSLSFTRLGGTKGDVRLLYSVLYIPAGAVDPLQAKEGILNISRRNDLIFPEQKTQVTTKLPIRNDAFLQNGAHFLVQLETVELLNIIPLIPPISPRFGEICNISLLVTPAIANGEIGFLSNLPIILHEPEDFAAEVVYIPLHRDGTDGQATVYWSLKPSGFNSKAVTPDDIGPFNGSVLFLSGQSDTTINITIKGDDIPEMNETVTLSLDRVNVENQVLKSGYTSRDLIILENDDPGGVFEFSPASRGPYVIKEGESVELHIIRSRGSLVKQFLHYRVEPRDSNEFYGNTGVLEFKPGEREIVITLLARLDGIPELDEHYWVVLSSHGERESKLGSATIVNITILKNDDPHGIIEFVSDGLIVMINESKGDAIYSAVYDVVRNRGNFGDVSVSWVVSPDFTQDVFPVQGTVVFGDQEFSKNITIYSLPDEIPEEMEEFTVILLNGTGGAKVGNRTTATLRIRRNDDPIYFAEPRVVRVQEGETANFTVLRNGSVDVTCMVQYATKDGKATARERDFIPVEKGETLIFEVGSRQQSISIFVNEDGIPETDEPFYIILLNSTGDTVVYQYGVATVIIEANDDPNGIFSLEPIDKAVEEGKTNAFWILRHRGYFGSVSVSWQLFQNDSALQPGQEFYETSGTVNFMDGEEAKPIILHAFPDKIPEFNEFYFLKLVNISGGSPGPGGQLAETNLQVTVMVPFNDDPFGVFILDPECLEREVAEDVLSEDDMSYITNFTILRQQGVFGDVQLGWEILSSEFPAGLPPMIDFLLVGIFPTTVHLQQHMRRHHSGTDALYFTGLEGAFGTVNPKYHPSRNNTIANFTFSAWVMPNANTNGFIIAKDDGNGSIYYGVKIQTNESHVTLSLHYKTLGSNATYIAKTTVMKYLEESVWLHLLIILEDGIIEFYLDGNAMPRGIKSLKGEAITDGPGILRIGAGINGNDRFTGLMQDVRSYERKLTLEEIYELHAMPAKSDLHPISGYLEFRQGETNKSFIISARDDNDEEGEELFILKLVSVYGGARISEENTTARLTIQKSDNANGLFGFTGACIPEIAEEGSTISCVVERTRGALDYVHVFYTISQIETDGINYLVDDFANASGTITFLPWQRSEVLNIYVLDDDIPELNEYFRVTLVSAIPGDGKLGSTPTSGASIDPEKETTDITIKASDHPYGLLQFSTGLPPQPKDAMTLPASSVPHITVEEEDGEIRLLVIRAQGLLGRVTAEFRTVSLTAFSPEDYQNVAGTLEFQPGERYKYIFINITDNSIPELEKSFKVELLNLEGGVAELFRVDGSGSGDGDMEFFLPTIHKRASLGVASQILVTIAASDHAHGVFEFSPESLFVSGTEPEDGYSTVTLNVIRHHGTLSPVTLHWNIDSDPDGDLAFTSGNITFEIGQTSANITVEILPDEDPELDKAFSVSVLSVSSGSLGAHINATLTVLASDDPYGIFIFSEKNRPVKVEEATQNITLSIIRLKGLMGKVLVSYATLDDMEKPPYFPPNLARATQGRDYIPASGFALFGANQSEATIAISILDDDEPERSESVFIELLNSTLVAKVQSRSIPNSPRLGPKVETIAQLIIIANDDAFGTLQLSAPIVRVAENHVGPIINVTRTGGAFADVSVKFKAVPITAIAGEDYSIASSDVVLLEGETSKAVPIYVINDIYPELEESFLVQLMNETTGGARLGALTEAVIIIEASDDPYGLFGFQITKLIVEEPEFNSVKVNLPIIRNSGTLGNVTVQWVATINGQLATGDLRVVSGNVTFAPGETIQTLLLEVLADDVPEIEEVIQVQLTDASGGGTIGLDRIANIIIPANDDPYGTVAFAQMVYRVQEPLERSSCANITVRRSGGHFGRLLLFYSTSDIDVVALAMEEGQDLLSYYESPIQGVPDPLWRTWMNVSAVGEPLYTCATLCLKEQACSAFSFFSASEGPQCFWMTSWISPAVNNSDFWTYRKNMTRVASLFSGQAVAGSDYEPVTRQWAIMQEGDEFANLTVSILPDDFPEMDESFLISLLEVHLMNISASLKNQPTIGQPNISTVVIALNGDAFGVFVIYNISPNTSEDGLFVEVQEQPQTLVELMIHRTGGSLGQVAVEWRVVGGTATEGLDFIGAGEILTFAEGETKKTVILTILDDSEPEDDESIIVSLVYTEGGSRILPSSDTVRVNILANDNVAGIVSFQTASRSVIGHEGEILQFHVIRTFPGRGNVTVNWKIIGQNLELNFANFSGQLFFPEGSLNTTLFVHLLDDNIPEEKEVYQVILYDVRTQGVPPAGIALLDAQGYAAVLTVEASDEPHGVLNFALSSRFVLLQEANITIQLFINREFGSLGAINVTYTTVPGMLSLKNQTVGNLAEPEVDFVPIIGFLILEEGETAAAINITILEDDVPELEEYFLVNLTYVGLTMAASTSFPPRLDSEGLTAQVIIDANDGARGVIEWQQSRFEVNETHGSLTLVAQRSREPLGHVSLFVYAQNLEAQVGLDYIFTPMILHFADGERYKNVNIMILDDDIPEGDEKFQLILTNPSPGLELGKNTIALIIVLANDDGPGVLSFNNSEHFFLREPTALYVQESVAVLYIVREPAQGLFGTVTVQFIVTEVNSSNESKDLTPSKGYIVLEEGVRFKALQISAILDTEPEMDEYFVCTLFNPTGGARLGVHVQTLITVLQNQAPLGLFSISAVENRATSIDIEEANRTVYLNVSRTNGIDLAVSVQWETVSETAFGMRGMDVVFSVFQSFLDESASGWCFFTLENLIYGIMLRKSSVTVYRWQGIFIPVEDLNIENPKTCEAFNIGFSPYFVITHEERNEEKPSLNSVFTFTSGFKLFLVQTIIILESSQVRYFTSDSQDYLIIASQRDDSELTQVFRWNGGSFVLHQKLPVRGVLTVALFNKGGSVFLAISQANARLNSLLFRWSGSGFINFQEVPVSGTTEVEALSSANDIYLIFAENVFLGDQNSIDIFIWEMGQSSFRYFQSVDFAAVNRIHSFTPASGIAHILLIGQDMSALYCWNSERNQFSFVLEVPSAYDVASVTVKSLNSSKNLIALVGAHSHIYELAYISSHSDFIPSSGELIFEPGEREATIAVNILDDTVPEKEESFKVQLKNPKGGAEIGINDSVTITILSNDDAYGIVAFAQNSLYKQVEEMEQDSLVTLNVERLKGTYGRITIAWEADGSISDIFPTSGVILFTEGQVLSTITLTILADNIPELSEVVIVTLTRITTEGVEDSYKGATIDQDRSKSVITTLPNDSPFGLVGWRAASVFIRVAEPKENTTTLQLQIARDKGLLGDIAIHLRAQPNFLLHVDNQATENEDYVLQETIIIMKENIKEAHAEVSILPDDLPELEEGFIVTITEVNLVNSDFSTGQPSVRRPGMEIAEIMIEENDDPRGIFMFHVTRGAGEVITAYEVPPPLNVLQVPVVRLAGSFGAVNVYWKASPDSAGLEDFKPSHGILEFADKQVTAMIEITIIDDAEFELTETFNISLISVAGGGRLGDDVVVTVVIPQNDSPFGVFGFEEKTVMIDESLSSDDPDSYVTLTVVRSPGGKGTVRLEWTIDEKAKHNLSPLNGTLHFDETESQKTIVLHTLQDTVLEEDRRFTIQLISIDEVEISPVKGSASIIIRGDKRASGEVGIAPSSRHILIGEPSAKYNGTAIISLVRGPGILGEVTVFWRIFPPSVGEFAETSGKLTMRDEQSAVIVVIQALNDDIPEEKSFYEFQLTAVSEGGVLSESSSTANITVVASDSPYGRFAFSHEQLRVSEAQRVNITIIRSSGDFGHVRLWYKTMSGTAEAGLDFVPAAGELLFEAGEMRKSLHVEILDDDYPEGPEEFSLTITKVELQGRGYDFTIQENGLQIDQPPEIGNISIVRIIIMKNDNAEGIIEFDPKYTAFEVEEDVGLIMIPVVRLHGTYGYVTADFISQSSSASPGGVDYILHGSTVTFQHGQNLSFINISIIDDNESEFEEPIEILLTGATGGAVLGRHLVSRIIIAKSDSPFGVIRFLNQSKISIANPNSTMILSLVLERTGGLLGEIQVNWETVGPNSQEALLPQNRDIADPVSGLFYFGEGEGGVRTIILTIYPHEEIEVEETFIIKLHLVKGEAKLDSRAKDVTLTIQEFGDPNGVVQFAPETLSKKTYSEPLALEGPLLITFFVRRVKGTFGEIMVYWELSSEFDITEDFLSTSGFFTIADGESEASFDVHLLPDEVPEIEEDYVIQLVSVEGGAELDLEKSITWFSVYANDDPHGVFALYSDRQSILIGQNLIRSIQINITRLAGTFGDVAVGLRISSDHKEQPIVTENAERQLVVKDGATYKVDVVPIKNQVFLSLGSNFTLQLVTVMLVGGRFYGMPTILQEAKSAVLPVSEKAANSQVGFESTAFQLMNITAGTSHVMISRRGTYGALSVAWTTGYAPGLEIPEFIVVGNMTPTLGSLSFSHGEQRKGVFLWTFPSPGWPEAFVLHLSGVQSSAPGGAQLRSGFIVAEIEPMGVFQFSTSSRNIIVSEDTQMIRLHVQRLFGFHSDLIKVSYQTTAGSAKPLEDFEPVQNGELFFQKFQTEVDFEITIINDQLSEIEEFFYINLTSVEIRGLQKFDVNWSPRLNLDFSVAVITILDNDDLAGMDISFPETTVAVAVDTTLIPVETESTTYLSTSKTTTILQPTNVVAIVTEATGVSAIPEKLVTLHGTPAVSEKPDVATVTANVSIHGTFSLGPSIVYIEEEMKNGTFNTAEVLIRRTGGFTGNVSITVKTFGERCAQMEPNALPFRGIYGISNLTWAVEEEDFEEQTLTLIFLDGERERKVSVQILDDDEPEGQEFFYVFLTNPQGGAQIVEEKDDTGFAAFAMVIITGSDLHNGIIGFSEESQSGLELREGAVMRRLHLIVTRQPNRAFEDVKVFWRVTLNKTVVVLQKDGVNLVEELQSVSGTTTCTMGQTKCFISIELKPEKVPQVEVYFFVELYEATAGAAINNSARFAQIKILESDESQSLVYFSVGSRLAVAHKKATLISLQVARDSGTGLMMSVNFSTQELRSAETIGRTIISPAISGKDFVITEGTLVFEPGQRSTVLDVILTPETGSLNSFPKRFQIVLFDPKGGARIDKVYGTANITLVSDADSQAIWGLADQLHQPVNDDILNRVLHTISMKVATENTDEQLSAMMHLIEKITTEGKIQAFSVASRTLFYEILCSLINPKRKDTRGFSHFAEVTENFAFSLLTNVTCGSPGEKSKTILDSCPYLSILALHWYPQQINGHKFEGKEGDYIRIPERLLDVQDAEIMAGKSTCKLVQFTEYSSQQWFISGNNLPTLKNKVLSLSVKGQSSQLLTNDNEVLYRIYAAEPRIIPQTSLCLLWNQAAASWLSDSQFCKVVEETADYVECACSHMSVYAVYARTDNLSSYNEAFFTSGFICISGLCLAVLSHIFCARYSMFAAKLLTHMMAASLGTQILFLASAYASPQLAEESCSAMAAVTHYLYLCQFSWMLIQSVNFWYVLVMNDEHTERRYLLFFLLSWGLPAFVVILLIVILKGIYHQSMSQIYGLIHGDLCFIPNVYAALFTAALVPLTCLVVVFVVFIHAYQVKPQWKAYDDVFRGRTNAAEIPLILYLFALISVTWLWGGLHMAYRHFWMLVLFVIFNSLQGLYVFMVYFILHNQMCCPMKASYTVEMNGHPGPSTAFFTPGSGMPPAGGEISKSTQNLIGAMEEVPPDWERASFQQGSQASPDLKPSPQNGATFPSSGGYGQGSLIADEESQEFDDLIFALKTGAGLSVSDNESGQGSQEGGTLTDSQIVELRRIPIADTHL</v>
      </c>
      <c r="F372" s="5" t="str">
        <f t="shared" si="126"/>
        <v>VYARTDNLSSYNEAFFTSGFICISGLCLAVLSHIFCAR</v>
      </c>
      <c r="G372" s="4" t="str">
        <f t="shared" si="127"/>
        <v/>
      </c>
      <c r="H372" s="4" t="str">
        <f t="shared" si="128"/>
        <v>MFAAKLLTHMMAASLGTQILFLASAYA</v>
      </c>
      <c r="I372" s="4" t="str">
        <f t="shared" si="129"/>
        <v/>
      </c>
      <c r="J372" s="4" t="str">
        <f t="shared" si="130"/>
        <v>ESCSAMAAVTHYLYLCQFSWMLIQSVNFWYVLVM</v>
      </c>
      <c r="K372" s="4" t="str">
        <f t="shared" si="131"/>
        <v/>
      </c>
      <c r="L372" s="4" t="str">
        <f t="shared" si="132"/>
        <v>RRYLLFFLLSWGLPAFVVILLIVILKGIY</v>
      </c>
      <c r="M372" s="4" t="str">
        <f t="shared" si="133"/>
        <v>CFI</v>
      </c>
      <c r="N372" s="4" t="str">
        <f t="shared" si="134"/>
        <v>YAALFTAALVPLTCLVVVFVVFIHAYQVKPQWKA</v>
      </c>
      <c r="O372" s="4" t="str">
        <f t="shared" si="135"/>
        <v>TNAAEIPLILYLFALISVTWLWGGL</v>
      </c>
      <c r="P372" s="4" t="str">
        <f t="shared" si="136"/>
        <v>HFWMLVLFVIFNSLQGLYVFMVYFIL</v>
      </c>
      <c r="Q372" s="4" t="str">
        <f t="shared" si="137"/>
        <v>HNQMCCPMKASYTVEMN</v>
      </c>
      <c r="R372" s="5">
        <f>VLOOKUP($A372,'SegEnds_NonXtal_Prot#'!$A:$AL,3,FALSE)</f>
        <v>5895</v>
      </c>
      <c r="S372" s="5" t="str">
        <f>VLOOKUP($A372,'SegEnds_NonXtal_Prot#'!$A:$AL,6,FALSE)</f>
        <v>-</v>
      </c>
      <c r="T372" s="5">
        <f>VLOOKUP($A372,'SegEnds_NonXtal_Prot#'!$A:$AL,9,FALSE)</f>
        <v>5935</v>
      </c>
      <c r="U372" s="5" t="str">
        <f>VLOOKUP($A372,'SegEnds_NonXtal_Prot#'!$A:$AL,12,FALSE)</f>
        <v>-</v>
      </c>
      <c r="V372" s="5">
        <f>VLOOKUP($A372,'SegEnds_NonXtal_Prot#'!$A:$AL,15,FALSE)</f>
        <v>5968</v>
      </c>
      <c r="W372" s="5" t="str">
        <f>VLOOKUP($A372,'SegEnds_NonXtal_Prot#'!$A:$AL,18,FALSE)</f>
        <v>-</v>
      </c>
      <c r="X372" s="5">
        <f>VLOOKUP($A372,'SegEnds_NonXtal_Prot#'!$A:$AL,21,FALSE)</f>
        <v>6008</v>
      </c>
      <c r="Y372" s="5">
        <f>VLOOKUP($A372,'SegEnds_NonXtal_Prot#'!$A:$AL,24,FALSE)</f>
        <v>6052</v>
      </c>
      <c r="Z372" s="5">
        <f>VLOOKUP($A372,'SegEnds_NonXtal_Prot#'!$A:$AL,27,FALSE)</f>
        <v>6058</v>
      </c>
      <c r="AA372" s="5">
        <f>VLOOKUP($A372,'SegEnds_NonXtal_Prot#'!$A:$AL,30,FALSE)</f>
        <v>6100</v>
      </c>
      <c r="AB372" s="5">
        <f>VLOOKUP($A372,'SegEnds_NonXtal_Prot#'!$A:$AL,33,FALSE)</f>
        <v>6130</v>
      </c>
      <c r="AC372" s="5">
        <f>VLOOKUP($A372,'SegEnds_NonXtal_Prot#'!$A:$AL,36,FALSE)</f>
        <v>6156</v>
      </c>
      <c r="AD372" s="5">
        <f>VLOOKUP($A372,'SegEnds_NonXtal_Prot#'!$A:$AL,5,FALSE)</f>
        <v>5932</v>
      </c>
      <c r="AE372" s="5" t="str">
        <f>VLOOKUP($A372,'SegEnds_NonXtal_Prot#'!$A:$AL,8,FALSE)</f>
        <v>-</v>
      </c>
      <c r="AF372" s="5">
        <f>VLOOKUP($A372,'SegEnds_NonXtal_Prot#'!$A:$AL,11,FALSE)</f>
        <v>5961</v>
      </c>
      <c r="AG372" s="5" t="str">
        <f>VLOOKUP($A372,'SegEnds_NonXtal_Prot#'!$A:$AL,14,FALSE)</f>
        <v>-</v>
      </c>
      <c r="AH372" s="5">
        <f>VLOOKUP($A372,'SegEnds_NonXtal_Prot#'!$A:$AL,17,FALSE)</f>
        <v>6001</v>
      </c>
      <c r="AI372" s="5" t="str">
        <f>VLOOKUP($A372,'SegEnds_NonXtal_Prot#'!$A:$AL,20,FALSE)</f>
        <v>-</v>
      </c>
      <c r="AJ372" s="5">
        <f>VLOOKUP($A372,'SegEnds_NonXtal_Prot#'!$A:$AL,23,FALSE)</f>
        <v>6036</v>
      </c>
      <c r="AK372" s="5">
        <f>VLOOKUP($A372,'SegEnds_NonXtal_Prot#'!$A:$AL,26,FALSE)</f>
        <v>6054</v>
      </c>
      <c r="AL372" s="5">
        <f>VLOOKUP($A372,'SegEnds_NonXtal_Prot#'!$A:$AL,29,FALSE)</f>
        <v>6091</v>
      </c>
      <c r="AM372" s="5">
        <f>VLOOKUP($A372,'SegEnds_NonXtal_Prot#'!$A:$AL,32,FALSE)</f>
        <v>6124</v>
      </c>
      <c r="AN372" s="5">
        <f>VLOOKUP($A372,'SegEnds_NonXtal_Prot#'!$A:$AL,35,FALSE)</f>
        <v>6155</v>
      </c>
      <c r="AO372" s="5">
        <f>VLOOKUP($A372,'SegEnds_NonXtal_Prot#'!$A:$AL,38,FALSE)</f>
        <v>6172</v>
      </c>
      <c r="AP372" s="5">
        <f t="shared" si="138"/>
        <v>37</v>
      </c>
      <c r="AQ372" s="4" t="str">
        <f t="shared" si="139"/>
        <v>-</v>
      </c>
      <c r="AR372" s="4">
        <f t="shared" si="140"/>
        <v>26</v>
      </c>
      <c r="AS372" s="4" t="str">
        <f t="shared" si="141"/>
        <v>-</v>
      </c>
      <c r="AT372" s="4">
        <f t="shared" si="142"/>
        <v>33</v>
      </c>
      <c r="AU372" s="4" t="str">
        <f t="shared" si="143"/>
        <v>-</v>
      </c>
      <c r="AV372" s="4">
        <f t="shared" si="144"/>
        <v>28</v>
      </c>
      <c r="AW372" s="4">
        <f t="shared" si="145"/>
        <v>2</v>
      </c>
      <c r="AX372" s="4">
        <f t="shared" si="146"/>
        <v>33</v>
      </c>
      <c r="AY372" s="4">
        <f t="shared" si="147"/>
        <v>24</v>
      </c>
      <c r="AZ372" s="4">
        <f t="shared" si="148"/>
        <v>25</v>
      </c>
      <c r="BA372" s="4">
        <f t="shared" si="149"/>
        <v>16</v>
      </c>
    </row>
    <row r="373" spans="1:53" x14ac:dyDescent="0.2">
      <c r="A373" s="1" t="str">
        <f>'SegEnds_NonXtal_Prot#'!A370</f>
        <v>grm1_human</v>
      </c>
      <c r="B373" s="1" t="str">
        <f t="shared" si="125"/>
        <v>IESIIAIAFSCLGILVTLFVTLIFVLYSRELCYIILAGIFLGYVCPFTLITTSCYLQRLLVGLSSAMCYSALVTKTNRIARILSAWAQVIIASILISVQLTLVVTLIIMENLGVVAPLGYNGLLIMSCTYYAFKTEAKYIAFTMYTTCIIWLAFVPIYFGKIITTCFAVSLSVTVALGCMFTPKMYIIIAKPERNVRSAFTTS</v>
      </c>
      <c r="C373" s="29" t="str">
        <f>IF(ISERROR(MATCH(A373,'SegEnds_Xtal_Prot#'!B:B, 0)), "NoXtal", "Xtal")</f>
        <v>Xtal</v>
      </c>
      <c r="D373" s="4" t="str">
        <f>VLOOKUP(A373,Classification!A:D,2,FALSE)</f>
        <v>C</v>
      </c>
      <c r="E373" s="5" t="str">
        <f>VLOOKUP(A373,Seqs!A:B,2,FALSE)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F373" s="5" t="str">
        <f t="shared" si="126"/>
        <v>IESIIAIAFSCLGILVTLFVTLIFVLY</v>
      </c>
      <c r="G373" s="4" t="str">
        <f t="shared" si="127"/>
        <v>TPVVKSS</v>
      </c>
      <c r="H373" s="4" t="str">
        <f t="shared" si="128"/>
        <v>SRELCYIILAGIFLGYVCPFTLI</v>
      </c>
      <c r="I373" s="4" t="str">
        <f t="shared" si="129"/>
        <v/>
      </c>
      <c r="J373" s="4" t="str">
        <f t="shared" si="130"/>
        <v>TTSCYLQRLLVGLSSAMCYSALVTKTNRIARIL</v>
      </c>
      <c r="K373" s="4" t="str">
        <f t="shared" si="131"/>
        <v/>
      </c>
      <c r="L373" s="4" t="str">
        <f t="shared" si="132"/>
        <v>SAWAQVIIASILISVQLTLVVTLIIME</v>
      </c>
      <c r="M373" s="4" t="str">
        <f t="shared" si="133"/>
        <v>CNT</v>
      </c>
      <c r="N373" s="4" t="str">
        <f t="shared" si="134"/>
        <v>NLGVVAPLGYNGLLIMSCTYYAFKT</v>
      </c>
      <c r="O373" s="4" t="str">
        <f t="shared" si="135"/>
        <v>EAKYIAFTMYTTCIIWLAFVPIYFG</v>
      </c>
      <c r="P373" s="4" t="str">
        <f t="shared" si="136"/>
        <v>KIITTCFAVSLSVTVALGCMFTPKMYIIIA</v>
      </c>
      <c r="Q373" s="4" t="str">
        <f t="shared" si="137"/>
        <v>KPERNVRSAFTTS</v>
      </c>
      <c r="R373" s="5">
        <f>VLOOKUP($A373,'SegEnds_NonXtal_Prot#'!$A:$AL,3,FALSE)</f>
        <v>591</v>
      </c>
      <c r="S373" s="5">
        <f>VLOOKUP($A373,'SegEnds_NonXtal_Prot#'!$A:$AL,6,FALSE)</f>
        <v>620</v>
      </c>
      <c r="T373" s="5">
        <f>VLOOKUP($A373,'SegEnds_NonXtal_Prot#'!$A:$AL,9,FALSE)</f>
        <v>627</v>
      </c>
      <c r="U373" s="5" t="str">
        <f>VLOOKUP($A373,'SegEnds_NonXtal_Prot#'!$A:$AL,12,FALSE)</f>
        <v>-</v>
      </c>
      <c r="V373" s="5">
        <f>VLOOKUP($A373,'SegEnds_NonXtal_Prot#'!$A:$AL,15,FALSE)</f>
        <v>654</v>
      </c>
      <c r="W373" s="5" t="str">
        <f>VLOOKUP($A373,'SegEnds_NonXtal_Prot#'!$A:$AL,18,FALSE)</f>
        <v>-</v>
      </c>
      <c r="X373" s="5">
        <f>VLOOKUP($A373,'SegEnds_NonXtal_Prot#'!$A:$AL,21,FALSE)</f>
        <v>702</v>
      </c>
      <c r="Y373" s="5">
        <f>VLOOKUP($A373,'SegEnds_NonXtal_Prot#'!$A:$AL,24,FALSE)</f>
        <v>746</v>
      </c>
      <c r="Z373" s="5">
        <f>VLOOKUP($A373,'SegEnds_NonXtal_Prot#'!$A:$AL,27,FALSE)</f>
        <v>750</v>
      </c>
      <c r="AA373" s="5">
        <f>VLOOKUP($A373,'SegEnds_NonXtal_Prot#'!$A:$AL,30,FALSE)</f>
        <v>783</v>
      </c>
      <c r="AB373" s="5">
        <f>VLOOKUP($A373,'SegEnds_NonXtal_Prot#'!$A:$AL,33,FALSE)</f>
        <v>811</v>
      </c>
      <c r="AC373" s="5">
        <f>VLOOKUP($A373,'SegEnds_NonXtal_Prot#'!$A:$AL,36,FALSE)</f>
        <v>841</v>
      </c>
      <c r="AD373" s="5">
        <f>VLOOKUP($A373,'SegEnds_NonXtal_Prot#'!$A:$AL,5,FALSE)</f>
        <v>617</v>
      </c>
      <c r="AE373" s="5">
        <f>VLOOKUP($A373,'SegEnds_NonXtal_Prot#'!$A:$AL,8,FALSE)</f>
        <v>626</v>
      </c>
      <c r="AF373" s="5">
        <f>VLOOKUP($A373,'SegEnds_NonXtal_Prot#'!$A:$AL,11,FALSE)</f>
        <v>649</v>
      </c>
      <c r="AG373" s="5" t="str">
        <f>VLOOKUP($A373,'SegEnds_NonXtal_Prot#'!$A:$AL,14,FALSE)</f>
        <v>-</v>
      </c>
      <c r="AH373" s="5">
        <f>VLOOKUP($A373,'SegEnds_NonXtal_Prot#'!$A:$AL,17,FALSE)</f>
        <v>686</v>
      </c>
      <c r="AI373" s="5" t="str">
        <f>VLOOKUP($A373,'SegEnds_NonXtal_Prot#'!$A:$AL,20,FALSE)</f>
        <v>-</v>
      </c>
      <c r="AJ373" s="5">
        <f>VLOOKUP($A373,'SegEnds_NonXtal_Prot#'!$A:$AL,23,FALSE)</f>
        <v>728</v>
      </c>
      <c r="AK373" s="5">
        <f>VLOOKUP($A373,'SegEnds_NonXtal_Prot#'!$A:$AL,26,FALSE)</f>
        <v>748</v>
      </c>
      <c r="AL373" s="5">
        <f>VLOOKUP($A373,'SegEnds_NonXtal_Prot#'!$A:$AL,29,FALSE)</f>
        <v>774</v>
      </c>
      <c r="AM373" s="5">
        <f>VLOOKUP($A373,'SegEnds_NonXtal_Prot#'!$A:$AL,32,FALSE)</f>
        <v>807</v>
      </c>
      <c r="AN373" s="5">
        <f>VLOOKUP($A373,'SegEnds_NonXtal_Prot#'!$A:$AL,35,FALSE)</f>
        <v>840</v>
      </c>
      <c r="AO373" s="5">
        <f>VLOOKUP($A373,'SegEnds_NonXtal_Prot#'!$A:$AL,38,FALSE)</f>
        <v>853</v>
      </c>
      <c r="AP373" s="5">
        <f t="shared" si="138"/>
        <v>26</v>
      </c>
      <c r="AQ373" s="4">
        <f t="shared" si="139"/>
        <v>6</v>
      </c>
      <c r="AR373" s="4">
        <f t="shared" si="140"/>
        <v>22</v>
      </c>
      <c r="AS373" s="4" t="str">
        <f t="shared" si="141"/>
        <v>-</v>
      </c>
      <c r="AT373" s="4">
        <f t="shared" si="142"/>
        <v>32</v>
      </c>
      <c r="AU373" s="4" t="str">
        <f t="shared" si="143"/>
        <v>-</v>
      </c>
      <c r="AV373" s="4">
        <f t="shared" si="144"/>
        <v>26</v>
      </c>
      <c r="AW373" s="4">
        <f t="shared" si="145"/>
        <v>2</v>
      </c>
      <c r="AX373" s="4">
        <f t="shared" si="146"/>
        <v>24</v>
      </c>
      <c r="AY373" s="4">
        <f t="shared" si="147"/>
        <v>24</v>
      </c>
      <c r="AZ373" s="4">
        <f t="shared" si="148"/>
        <v>29</v>
      </c>
      <c r="BA373" s="4">
        <f t="shared" si="149"/>
        <v>12</v>
      </c>
    </row>
    <row r="374" spans="1:53" x14ac:dyDescent="0.2">
      <c r="A374" s="1" t="str">
        <f>'SegEnds_NonXtal_Prot#'!A371</f>
        <v>grm2_human</v>
      </c>
      <c r="B374" s="1" t="str">
        <f t="shared" si="125"/>
        <v>AWAVGPVTIACLGALATLFVLGVFVRHGRELCYILLGGVFLCYCMTFIFITAVCTLRRLGLGTAFSVCYSALLTKTNRIARIFSPASQVAICLALISGQLLIVVAWLVVEDASMLGSLAYNVLLIALCTLYAFKTEAKFIGFTMYTTCIIWLAFLPIFYVQTTTMCVSVSLSGSVVLGCLFAPKLHIILFQPQKNVVSHRAPT</v>
      </c>
      <c r="C374" s="29" t="str">
        <f>IF(ISERROR(MATCH(A374,'SegEnds_Xtal_Prot#'!B:B, 0)), "NoXtal", "Xtal")</f>
        <v>NoXtal</v>
      </c>
      <c r="D374" s="4" t="str">
        <f>VLOOKUP(A374,Classification!A:D,2,FALSE)</f>
        <v>C</v>
      </c>
      <c r="E374" s="5" t="str">
        <f>VLOOKUP(A374,Seqs!A:B,2,FALSE)</f>
        <v>MGSLLALLALLLLWGAVAEGPAKKVLTLEGDLVLGGLFPVHQKGGPAEDCGPVNEHRGIQRLEAMLFALDRINRDPHLLPGVRLGAHILDSCSKDTHALEQALDFVRASLSRGADGSRHICPDGSYATHGDAPTAITGVIGGSYSDVSIQVANLLRLFQIPQISYASTSAKLSDKSRYDYFARTVPPDFFQAKAMAEILRFFNWTYVSTVASEGDYGETGIEAFELEARARNICVATSEKVGRAMSRAAFEGVVRALLQKPSARVAVLFTRSEDARELLAASQRLNASFTWVASDGWGALESVVAGSEGAAEGAITIELASYPISDFASYFQSLDPWNNSRNPWFREFWEQRFRCSFRQRDCAAHSLRAVPFEQESKIMFVVNAVYAMAHALHNMHRALCPNTTRLCDAMRPVNGRRLYKDFVLNVKFDAPFRPADTHNEVRFDRFGDGIGRYNIFTYLRAGSGRYRYQKVGYWAEGLTLDTSLIPWASPSAGPLPASRCSEPCLQNEVKSVQPGEVCCWLCIPCQPYEYRLDEFTCADCGLGYWPNASLTGCFELPQEYIRWGDAWAVGPVTIACLGALATLFVLGVFVRHNATPVVKASGRELCYILLGGVFLCYCMTFIFIAKPSTAVCTLRRLGLGTAFSVCYSALLTKTNRIARIFGGAREGAQRPRFISPASQVAICLALISGQLLIVVAWLVVEAPGTGKETAPERREVVTLRCNHRDASMLGSLAYNVLLIALCTLYAFKTRKCPENFNEAKFIGFTMYTTCIIWLAFLPIFYVTSSDYRVQTTTMCVSVSLSGSVVLGCLFAPKLHIILFQPQKNVVSHRAPTSRFGSAAARASSSLGQGSGSQFVPTVCNGREVVDSTTSSL</v>
      </c>
      <c r="F374" s="5" t="str">
        <f t="shared" si="126"/>
        <v>AWAVGPVTIACLGALATLFVLGVFVRH</v>
      </c>
      <c r="G374" s="4" t="str">
        <f t="shared" si="127"/>
        <v>TPVVKAS</v>
      </c>
      <c r="H374" s="4" t="str">
        <f t="shared" si="128"/>
        <v>GRELCYILLGGVFLCYCMTFIFI</v>
      </c>
      <c r="I374" s="4" t="str">
        <f t="shared" si="129"/>
        <v/>
      </c>
      <c r="J374" s="4" t="str">
        <f t="shared" si="130"/>
        <v>TAVCTLRRLGLGTAFSVCYSALLTKTNRIARIF</v>
      </c>
      <c r="K374" s="4" t="str">
        <f t="shared" si="131"/>
        <v/>
      </c>
      <c r="L374" s="4" t="str">
        <f t="shared" si="132"/>
        <v>SPASQVAICLALISGQLLIVVAWLVVE</v>
      </c>
      <c r="M374" s="4" t="str">
        <f t="shared" si="133"/>
        <v>CNH</v>
      </c>
      <c r="N374" s="4" t="str">
        <f t="shared" si="134"/>
        <v>DASMLGSLAYNVLLIALCTLYAFKT</v>
      </c>
      <c r="O374" s="4" t="str">
        <f t="shared" si="135"/>
        <v>EAKFIGFTMYTTCIIWLAFLPIFYV</v>
      </c>
      <c r="P374" s="4" t="str">
        <f t="shared" si="136"/>
        <v>QTTTMCVSVSLSGSVVLGCLFAPKLHIILF</v>
      </c>
      <c r="Q374" s="4" t="str">
        <f t="shared" si="137"/>
        <v>QPQKNVVSHRAPT</v>
      </c>
      <c r="R374" s="5">
        <f>VLOOKUP($A374,'SegEnds_NonXtal_Prot#'!$A:$AL,3,FALSE)</f>
        <v>566</v>
      </c>
      <c r="S374" s="5">
        <f>VLOOKUP($A374,'SegEnds_NonXtal_Prot#'!$A:$AL,6,FALSE)</f>
        <v>595</v>
      </c>
      <c r="T374" s="5">
        <f>VLOOKUP($A374,'SegEnds_NonXtal_Prot#'!$A:$AL,9,FALSE)</f>
        <v>602</v>
      </c>
      <c r="U374" s="5" t="str">
        <f>VLOOKUP($A374,'SegEnds_NonXtal_Prot#'!$A:$AL,12,FALSE)</f>
        <v>-</v>
      </c>
      <c r="V374" s="5">
        <f>VLOOKUP($A374,'SegEnds_NonXtal_Prot#'!$A:$AL,15,FALSE)</f>
        <v>629</v>
      </c>
      <c r="W374" s="5" t="str">
        <f>VLOOKUP($A374,'SegEnds_NonXtal_Prot#'!$A:$AL,18,FALSE)</f>
        <v>-</v>
      </c>
      <c r="X374" s="5">
        <f>VLOOKUP($A374,'SegEnds_NonXtal_Prot#'!$A:$AL,21,FALSE)</f>
        <v>675</v>
      </c>
      <c r="Y374" s="5">
        <f>VLOOKUP($A374,'SegEnds_NonXtal_Prot#'!$A:$AL,24,FALSE)</f>
        <v>721</v>
      </c>
      <c r="Z374" s="5">
        <f>VLOOKUP($A374,'SegEnds_NonXtal_Prot#'!$A:$AL,27,FALSE)</f>
        <v>725</v>
      </c>
      <c r="AA374" s="5">
        <f>VLOOKUP($A374,'SegEnds_NonXtal_Prot#'!$A:$AL,30,FALSE)</f>
        <v>758</v>
      </c>
      <c r="AB374" s="5">
        <f>VLOOKUP($A374,'SegEnds_NonXtal_Prot#'!$A:$AL,33,FALSE)</f>
        <v>790</v>
      </c>
      <c r="AC374" s="5">
        <f>VLOOKUP($A374,'SegEnds_NonXtal_Prot#'!$A:$AL,36,FALSE)</f>
        <v>820</v>
      </c>
      <c r="AD374" s="5">
        <f>VLOOKUP($A374,'SegEnds_NonXtal_Prot#'!$A:$AL,5,FALSE)</f>
        <v>592</v>
      </c>
      <c r="AE374" s="5">
        <f>VLOOKUP($A374,'SegEnds_NonXtal_Prot#'!$A:$AL,8,FALSE)</f>
        <v>601</v>
      </c>
      <c r="AF374" s="5">
        <f>VLOOKUP($A374,'SegEnds_NonXtal_Prot#'!$A:$AL,11,FALSE)</f>
        <v>624</v>
      </c>
      <c r="AG374" s="5" t="str">
        <f>VLOOKUP($A374,'SegEnds_NonXtal_Prot#'!$A:$AL,14,FALSE)</f>
        <v>-</v>
      </c>
      <c r="AH374" s="5">
        <f>VLOOKUP($A374,'SegEnds_NonXtal_Prot#'!$A:$AL,17,FALSE)</f>
        <v>661</v>
      </c>
      <c r="AI374" s="5" t="str">
        <f>VLOOKUP($A374,'SegEnds_NonXtal_Prot#'!$A:$AL,20,FALSE)</f>
        <v>-</v>
      </c>
      <c r="AJ374" s="5">
        <f>VLOOKUP($A374,'SegEnds_NonXtal_Prot#'!$A:$AL,23,FALSE)</f>
        <v>701</v>
      </c>
      <c r="AK374" s="5">
        <f>VLOOKUP($A374,'SegEnds_NonXtal_Prot#'!$A:$AL,26,FALSE)</f>
        <v>723</v>
      </c>
      <c r="AL374" s="5">
        <f>VLOOKUP($A374,'SegEnds_NonXtal_Prot#'!$A:$AL,29,FALSE)</f>
        <v>749</v>
      </c>
      <c r="AM374" s="5">
        <f>VLOOKUP($A374,'SegEnds_NonXtal_Prot#'!$A:$AL,32,FALSE)</f>
        <v>782</v>
      </c>
      <c r="AN374" s="5">
        <f>VLOOKUP($A374,'SegEnds_NonXtal_Prot#'!$A:$AL,35,FALSE)</f>
        <v>819</v>
      </c>
      <c r="AO374" s="5">
        <f>VLOOKUP($A374,'SegEnds_NonXtal_Prot#'!$A:$AL,38,FALSE)</f>
        <v>832</v>
      </c>
      <c r="AP374" s="5">
        <f t="shared" si="138"/>
        <v>26</v>
      </c>
      <c r="AQ374" s="4">
        <f t="shared" si="139"/>
        <v>6</v>
      </c>
      <c r="AR374" s="4">
        <f t="shared" si="140"/>
        <v>22</v>
      </c>
      <c r="AS374" s="4" t="str">
        <f t="shared" si="141"/>
        <v>-</v>
      </c>
      <c r="AT374" s="4">
        <f t="shared" si="142"/>
        <v>32</v>
      </c>
      <c r="AU374" s="4" t="str">
        <f t="shared" si="143"/>
        <v>-</v>
      </c>
      <c r="AV374" s="4">
        <f t="shared" si="144"/>
        <v>26</v>
      </c>
      <c r="AW374" s="4">
        <f t="shared" si="145"/>
        <v>2</v>
      </c>
      <c r="AX374" s="4">
        <f t="shared" si="146"/>
        <v>24</v>
      </c>
      <c r="AY374" s="4">
        <f t="shared" si="147"/>
        <v>24</v>
      </c>
      <c r="AZ374" s="4">
        <f t="shared" si="148"/>
        <v>29</v>
      </c>
      <c r="BA374" s="4">
        <f t="shared" si="149"/>
        <v>12</v>
      </c>
    </row>
    <row r="375" spans="1:53" x14ac:dyDescent="0.2">
      <c r="A375" s="1" t="str">
        <f>'SegEnds_NonXtal_Prot#'!A372</f>
        <v>grm3_human</v>
      </c>
      <c r="B375" s="1" t="str">
        <f t="shared" si="125"/>
        <v>AWAIGPVTIACLGFMCTCMVVTVFIKHGRELCYILLFGVGLSYCMTFFFIPVICALRRLGLGSSFAICYSALLTKTNCIARIFSPSSQVFICLGLILVQIVMVSVWLILEDSSMLISLTYDVILVILCTVYAFKTEAKFIGFTMYTTCIIWLAFLPIFYVQTTTMCISVSLSGFVVLGCLFAPKVHIILFQPQKNVVTHRLHL</v>
      </c>
      <c r="C375" s="29" t="str">
        <f>IF(ISERROR(MATCH(A375,'SegEnds_Xtal_Prot#'!B:B, 0)), "NoXtal", "Xtal")</f>
        <v>NoXtal</v>
      </c>
      <c r="D375" s="4" t="str">
        <f>VLOOKUP(A375,Classification!A:D,2,FALSE)</f>
        <v>C</v>
      </c>
      <c r="E375" s="5" t="str">
        <f>VLOOKUP(A375,Seqs!A:B,2,FALSE)</f>
        <v>MKMLTRLQVLTLALFSKGFLLSLGDHNFLRREIKIEGDLVLGGLFPINEKGTGTEECGRINEDRGIQRLEAMLFAIDEINKDDYLLPGVKLGVHILDTCSRDTYALEQSLEFVRASLTKVDEAEYMCPDGSYAIQENIPLLIAGVIGGSYSSVSIQVANLLRLFQIPQISYASTSAKLSDKSRYDYFARTVPPDFYQAKAMAEILRFFNWTYVSTVASEGDYGETGIEAFEQEARLRNICIATAEKVGRSNIRKSYDSVIRELLQKPNARVVVLFMRSDDSRELIAAASRANASFTWVASDGWGAQESIIKGSEHVAYGAITLELASQPVRQFDRYFQSLNPYNNHRNPWFRDFWEQKFQCSLQNKRNHRRVCDKHLAIDSSNYEQESKIMFVVNAVYAMAHALHKMQRTLCPNTTKLCDAMKILDGKKLYKDYLLKINFTAPFNPNKDADSIVKFDTFGDGMGRYNVFNFQNVGGKYSYLKVGHWAETLSLDVNSIHWSRNSVPTSQCSDPCAPNEMKNMQPGDVCCWICIPCEPYEYLADEFTCMDCGSGQWPTADLTGCYDLPEDYIRWEDAWAIGPVTIACLGFMCTCMVVTVFIKHNNTPLVKASGRELCYILLFGVGLSYCMTFFFIAKPSPVICALRRLGLGSSFAICYSALLTKTNCIARIFDGVKNGAQRPKFISPSSQVFICLGLILVQIVMVSVWLILEAPGTRRYTLAEKRETVILKCNVKDSSMLISLTYDVILVILCTVYAFKTRKCPENFNEAKFIGFTMYTTCIIWLAFLPIFYVTSSDYRVQTTTMCISVSLSGFVVLGCLFAPKVHIILFQPQKNVVTHRLHLNRFSVSGTGTTYSQSSASTYVPTVCNGREVLDSTTSSL</v>
      </c>
      <c r="F375" s="5" t="str">
        <f t="shared" si="126"/>
        <v>AWAIGPVTIACLGFMCTCMVVTVFIKH</v>
      </c>
      <c r="G375" s="4" t="str">
        <f t="shared" si="127"/>
        <v>TPLVKAS</v>
      </c>
      <c r="H375" s="4" t="str">
        <f t="shared" si="128"/>
        <v>GRELCYILLFGVGLSYCMTFFFI</v>
      </c>
      <c r="I375" s="4" t="str">
        <f t="shared" si="129"/>
        <v/>
      </c>
      <c r="J375" s="4" t="str">
        <f t="shared" si="130"/>
        <v>PVICALRRLGLGSSFAICYSALLTKTNCIARIF</v>
      </c>
      <c r="K375" s="4" t="str">
        <f t="shared" si="131"/>
        <v/>
      </c>
      <c r="L375" s="4" t="str">
        <f t="shared" si="132"/>
        <v>SPSSQVFICLGLILVQIVMVSVWLILE</v>
      </c>
      <c r="M375" s="4" t="str">
        <f t="shared" si="133"/>
        <v>CNV</v>
      </c>
      <c r="N375" s="4" t="str">
        <f t="shared" si="134"/>
        <v>DSSMLISLTYDVILVILCTVYAFKT</v>
      </c>
      <c r="O375" s="4" t="str">
        <f t="shared" si="135"/>
        <v>EAKFIGFTMYTTCIIWLAFLPIFYV</v>
      </c>
      <c r="P375" s="4" t="str">
        <f t="shared" si="136"/>
        <v>QTTTMCISVSLSGFVVLGCLFAPKVHIILF</v>
      </c>
      <c r="Q375" s="4" t="str">
        <f t="shared" si="137"/>
        <v>QPQKNVVTHRLHL</v>
      </c>
      <c r="R375" s="5">
        <f>VLOOKUP($A375,'SegEnds_NonXtal_Prot#'!$A:$AL,3,FALSE)</f>
        <v>575</v>
      </c>
      <c r="S375" s="5">
        <f>VLOOKUP($A375,'SegEnds_NonXtal_Prot#'!$A:$AL,6,FALSE)</f>
        <v>604</v>
      </c>
      <c r="T375" s="5">
        <f>VLOOKUP($A375,'SegEnds_NonXtal_Prot#'!$A:$AL,9,FALSE)</f>
        <v>611</v>
      </c>
      <c r="U375" s="5" t="str">
        <f>VLOOKUP($A375,'SegEnds_NonXtal_Prot#'!$A:$AL,12,FALSE)</f>
        <v>-</v>
      </c>
      <c r="V375" s="5">
        <f>VLOOKUP($A375,'SegEnds_NonXtal_Prot#'!$A:$AL,15,FALSE)</f>
        <v>638</v>
      </c>
      <c r="W375" s="5" t="str">
        <f>VLOOKUP($A375,'SegEnds_NonXtal_Prot#'!$A:$AL,18,FALSE)</f>
        <v>-</v>
      </c>
      <c r="X375" s="5">
        <f>VLOOKUP($A375,'SegEnds_NonXtal_Prot#'!$A:$AL,21,FALSE)</f>
        <v>684</v>
      </c>
      <c r="Y375" s="5">
        <f>VLOOKUP($A375,'SegEnds_NonXtal_Prot#'!$A:$AL,24,FALSE)</f>
        <v>730</v>
      </c>
      <c r="Z375" s="5">
        <f>VLOOKUP($A375,'SegEnds_NonXtal_Prot#'!$A:$AL,27,FALSE)</f>
        <v>734</v>
      </c>
      <c r="AA375" s="5">
        <f>VLOOKUP($A375,'SegEnds_NonXtal_Prot#'!$A:$AL,30,FALSE)</f>
        <v>767</v>
      </c>
      <c r="AB375" s="5">
        <f>VLOOKUP($A375,'SegEnds_NonXtal_Prot#'!$A:$AL,33,FALSE)</f>
        <v>799</v>
      </c>
      <c r="AC375" s="5">
        <f>VLOOKUP($A375,'SegEnds_NonXtal_Prot#'!$A:$AL,36,FALSE)</f>
        <v>829</v>
      </c>
      <c r="AD375" s="5">
        <f>VLOOKUP($A375,'SegEnds_NonXtal_Prot#'!$A:$AL,5,FALSE)</f>
        <v>601</v>
      </c>
      <c r="AE375" s="5">
        <f>VLOOKUP($A375,'SegEnds_NonXtal_Prot#'!$A:$AL,8,FALSE)</f>
        <v>610</v>
      </c>
      <c r="AF375" s="5">
        <f>VLOOKUP($A375,'SegEnds_NonXtal_Prot#'!$A:$AL,11,FALSE)</f>
        <v>633</v>
      </c>
      <c r="AG375" s="5" t="str">
        <f>VLOOKUP($A375,'SegEnds_NonXtal_Prot#'!$A:$AL,14,FALSE)</f>
        <v>-</v>
      </c>
      <c r="AH375" s="5">
        <f>VLOOKUP($A375,'SegEnds_NonXtal_Prot#'!$A:$AL,17,FALSE)</f>
        <v>670</v>
      </c>
      <c r="AI375" s="5" t="str">
        <f>VLOOKUP($A375,'SegEnds_NonXtal_Prot#'!$A:$AL,20,FALSE)</f>
        <v>-</v>
      </c>
      <c r="AJ375" s="5">
        <f>VLOOKUP($A375,'SegEnds_NonXtal_Prot#'!$A:$AL,23,FALSE)</f>
        <v>710</v>
      </c>
      <c r="AK375" s="5">
        <f>VLOOKUP($A375,'SegEnds_NonXtal_Prot#'!$A:$AL,26,FALSE)</f>
        <v>732</v>
      </c>
      <c r="AL375" s="5">
        <f>VLOOKUP($A375,'SegEnds_NonXtal_Prot#'!$A:$AL,29,FALSE)</f>
        <v>758</v>
      </c>
      <c r="AM375" s="5">
        <f>VLOOKUP($A375,'SegEnds_NonXtal_Prot#'!$A:$AL,32,FALSE)</f>
        <v>791</v>
      </c>
      <c r="AN375" s="5">
        <f>VLOOKUP($A375,'SegEnds_NonXtal_Prot#'!$A:$AL,35,FALSE)</f>
        <v>828</v>
      </c>
      <c r="AO375" s="5">
        <f>VLOOKUP($A375,'SegEnds_NonXtal_Prot#'!$A:$AL,38,FALSE)</f>
        <v>841</v>
      </c>
      <c r="AP375" s="5">
        <f t="shared" si="138"/>
        <v>26</v>
      </c>
      <c r="AQ375" s="4">
        <f t="shared" si="139"/>
        <v>6</v>
      </c>
      <c r="AR375" s="4">
        <f t="shared" si="140"/>
        <v>22</v>
      </c>
      <c r="AS375" s="4" t="str">
        <f t="shared" si="141"/>
        <v>-</v>
      </c>
      <c r="AT375" s="4">
        <f t="shared" si="142"/>
        <v>32</v>
      </c>
      <c r="AU375" s="4" t="str">
        <f t="shared" si="143"/>
        <v>-</v>
      </c>
      <c r="AV375" s="4">
        <f t="shared" si="144"/>
        <v>26</v>
      </c>
      <c r="AW375" s="4">
        <f t="shared" si="145"/>
        <v>2</v>
      </c>
      <c r="AX375" s="4">
        <f t="shared" si="146"/>
        <v>24</v>
      </c>
      <c r="AY375" s="4">
        <f t="shared" si="147"/>
        <v>24</v>
      </c>
      <c r="AZ375" s="4">
        <f t="shared" si="148"/>
        <v>29</v>
      </c>
      <c r="BA375" s="4">
        <f t="shared" si="149"/>
        <v>12</v>
      </c>
    </row>
    <row r="376" spans="1:53" x14ac:dyDescent="0.2">
      <c r="A376" s="1" t="str">
        <f>'SegEnds_NonXtal_Prot#'!A373</f>
        <v>grm4_human</v>
      </c>
      <c r="B376" s="1" t="str">
        <f t="shared" si="125"/>
        <v>PWAVLPLFLAVVGIAATLFVVITFVRYGRELSYVLLAGIFLCYATTFLMILGTCSLRRIFLGLGMSISYAALLTKTNRIYRIFSPASQLAITFSLISLQLLGICVWFVVDDLSLICLLGYSMLLMVTCTVYAIKTEAKPIGFTMYTTCIVWLAFIPIFFGQTTTLTVSVSLSASVSLGMLYMPKVYIILFHPEQNVPKRKRSL</v>
      </c>
      <c r="C376" s="29" t="str">
        <f>IF(ISERROR(MATCH(A376,'SegEnds_Xtal_Prot#'!B:B, 0)), "NoXtal", "Xtal")</f>
        <v>NoXtal</v>
      </c>
      <c r="D376" s="4" t="str">
        <f>VLOOKUP(A376,Classification!A:D,2,FALSE)</f>
        <v>C</v>
      </c>
      <c r="E376" s="5" t="str">
        <f>VLOOKUP(A376,Seqs!A:B,2,FALSE)</f>
        <v>MPGKRGLGWWWARLPLCLLLSLYGPWMPSSLGKPKGHPHMNSIRIDGDITLGGLFPVHGRGSEGKPCGELKKEKGIHRLEAMLFALDRINNDPDLLPNITLGARILDTCSRDTHALEQSLTFVQALIEKDGTEVRCGSGGPPIITKPERVVGVIGASGSSVSIMVANILRLFKIPQISYASTAPDLSDNSRYDFFSRVVPSDTYQAQAMVDIVRALKWNYVSTVASEGSYGESGVEAFIQKSREDGGVCIAQSVKIPREPKAGEFDKIIRRLLETSNARAVIIFANEDDIRRVLEAARRANQTGHFFWMGSDSWGSKIAPVLHLEEVAEGAVTILPKRMSVRGFDRYFSSRTLDNNRRNIWFAEFWEDNFHCKLSRHALKKGSHVKKCTNRERIGQDSAYEQEGKVQFVIDAVYAMGHALHAMHRDLCPGRVGLCPRMDPVDGTQLLKYIRNVNFSGIAGNPVTFNENGDAPGRYDIYQYQLRNDSAEYKVIGSWTDHLHLRIERMHWPGSGQQLPRSICSLPCQPGERKKTVKGMPCCWHCEPCTGYQYQVDRYTCKTCPYDMRPTENRTGCRPIPIIKLEWGSPWAVLPLFLAVVGIAATLFVVITFVRYNDTPIVKASGRELSYVLLAGIFLCYATTFLMIAEPDLGTCSLRRIFLGLGMSISYAALLTKTNRIYRIFEQGKRSVSAPRFISPASQLAITFSLISLQLLGICVWFVVDPSHSVVDFQDQRTLDPRFARGVLKCDISDLSLICLLGYSMLLMVTCTVYAIKTRGVPETFNEAKPIGFTMYTTCIVWLAFIPIFFGTSQSADKLYIQTTTLTVSVSLSASVSLGMLYMPKVYIILFHPEQNVPKRKRSLKAVVTAATMSNKFTQKGNFRPNGEAKSELCENLEAPALATKQTYVTYTNHAI</v>
      </c>
      <c r="F376" s="5" t="str">
        <f t="shared" si="126"/>
        <v>PWAVLPLFLAVVGIAATLFVVITFVRY</v>
      </c>
      <c r="G376" s="4" t="str">
        <f t="shared" si="127"/>
        <v>TPIVKAS</v>
      </c>
      <c r="H376" s="4" t="str">
        <f t="shared" si="128"/>
        <v>GRELSYVLLAGIFLCYATTFLMI</v>
      </c>
      <c r="I376" s="4" t="str">
        <f t="shared" si="129"/>
        <v/>
      </c>
      <c r="J376" s="4" t="str">
        <f t="shared" si="130"/>
        <v>LGTCSLRRIFLGLGMSISYAALLTKTNRIYRIF</v>
      </c>
      <c r="K376" s="4" t="str">
        <f t="shared" si="131"/>
        <v/>
      </c>
      <c r="L376" s="4" t="str">
        <f t="shared" si="132"/>
        <v>SPASQLAITFSLISLQLLGICVWFVVD</v>
      </c>
      <c r="M376" s="4" t="str">
        <f t="shared" si="133"/>
        <v>CDI</v>
      </c>
      <c r="N376" s="4" t="str">
        <f t="shared" si="134"/>
        <v>DLSLICLLGYSMLLMVTCTVYAIKT</v>
      </c>
      <c r="O376" s="4" t="str">
        <f t="shared" si="135"/>
        <v>EAKPIGFTMYTTCIVWLAFIPIFFG</v>
      </c>
      <c r="P376" s="4" t="str">
        <f t="shared" si="136"/>
        <v>QTTTLTVSVSLSASVSLGMLYMPKVYIILF</v>
      </c>
      <c r="Q376" s="4" t="str">
        <f t="shared" si="137"/>
        <v>HPEQNVPKRKRSL</v>
      </c>
      <c r="R376" s="5">
        <f>VLOOKUP($A376,'SegEnds_NonXtal_Prot#'!$A:$AL,3,FALSE)</f>
        <v>586</v>
      </c>
      <c r="S376" s="5">
        <f>VLOOKUP($A376,'SegEnds_NonXtal_Prot#'!$A:$AL,6,FALSE)</f>
        <v>615</v>
      </c>
      <c r="T376" s="5">
        <f>VLOOKUP($A376,'SegEnds_NonXtal_Prot#'!$A:$AL,9,FALSE)</f>
        <v>622</v>
      </c>
      <c r="U376" s="5" t="str">
        <f>VLOOKUP($A376,'SegEnds_NonXtal_Prot#'!$A:$AL,12,FALSE)</f>
        <v>-</v>
      </c>
      <c r="V376" s="5">
        <f>VLOOKUP($A376,'SegEnds_NonXtal_Prot#'!$A:$AL,15,FALSE)</f>
        <v>649</v>
      </c>
      <c r="W376" s="5" t="str">
        <f>VLOOKUP($A376,'SegEnds_NonXtal_Prot#'!$A:$AL,18,FALSE)</f>
        <v>-</v>
      </c>
      <c r="X376" s="5">
        <f>VLOOKUP($A376,'SegEnds_NonXtal_Prot#'!$A:$AL,21,FALSE)</f>
        <v>695</v>
      </c>
      <c r="Y376" s="5">
        <f>VLOOKUP($A376,'SegEnds_NonXtal_Prot#'!$A:$AL,24,FALSE)</f>
        <v>746</v>
      </c>
      <c r="Z376" s="5">
        <f>VLOOKUP($A376,'SegEnds_NonXtal_Prot#'!$A:$AL,27,FALSE)</f>
        <v>750</v>
      </c>
      <c r="AA376" s="5">
        <f>VLOOKUP($A376,'SegEnds_NonXtal_Prot#'!$A:$AL,30,FALSE)</f>
        <v>783</v>
      </c>
      <c r="AB376" s="5">
        <f>VLOOKUP($A376,'SegEnds_NonXtal_Prot#'!$A:$AL,33,FALSE)</f>
        <v>818</v>
      </c>
      <c r="AC376" s="5">
        <f>VLOOKUP($A376,'SegEnds_NonXtal_Prot#'!$A:$AL,36,FALSE)</f>
        <v>848</v>
      </c>
      <c r="AD376" s="5">
        <f>VLOOKUP($A376,'SegEnds_NonXtal_Prot#'!$A:$AL,5,FALSE)</f>
        <v>612</v>
      </c>
      <c r="AE376" s="5">
        <f>VLOOKUP($A376,'SegEnds_NonXtal_Prot#'!$A:$AL,8,FALSE)</f>
        <v>621</v>
      </c>
      <c r="AF376" s="5">
        <f>VLOOKUP($A376,'SegEnds_NonXtal_Prot#'!$A:$AL,11,FALSE)</f>
        <v>644</v>
      </c>
      <c r="AG376" s="5" t="str">
        <f>VLOOKUP($A376,'SegEnds_NonXtal_Prot#'!$A:$AL,14,FALSE)</f>
        <v>-</v>
      </c>
      <c r="AH376" s="5">
        <f>VLOOKUP($A376,'SegEnds_NonXtal_Prot#'!$A:$AL,17,FALSE)</f>
        <v>681</v>
      </c>
      <c r="AI376" s="5" t="str">
        <f>VLOOKUP($A376,'SegEnds_NonXtal_Prot#'!$A:$AL,20,FALSE)</f>
        <v>-</v>
      </c>
      <c r="AJ376" s="5">
        <f>VLOOKUP($A376,'SegEnds_NonXtal_Prot#'!$A:$AL,23,FALSE)</f>
        <v>721</v>
      </c>
      <c r="AK376" s="5">
        <f>VLOOKUP($A376,'SegEnds_NonXtal_Prot#'!$A:$AL,26,FALSE)</f>
        <v>748</v>
      </c>
      <c r="AL376" s="5">
        <f>VLOOKUP($A376,'SegEnds_NonXtal_Prot#'!$A:$AL,29,FALSE)</f>
        <v>774</v>
      </c>
      <c r="AM376" s="5">
        <f>VLOOKUP($A376,'SegEnds_NonXtal_Prot#'!$A:$AL,32,FALSE)</f>
        <v>807</v>
      </c>
      <c r="AN376" s="5">
        <f>VLOOKUP($A376,'SegEnds_NonXtal_Prot#'!$A:$AL,35,FALSE)</f>
        <v>847</v>
      </c>
      <c r="AO376" s="5">
        <f>VLOOKUP($A376,'SegEnds_NonXtal_Prot#'!$A:$AL,38,FALSE)</f>
        <v>860</v>
      </c>
      <c r="AP376" s="5">
        <f t="shared" si="138"/>
        <v>26</v>
      </c>
      <c r="AQ376" s="4">
        <f t="shared" si="139"/>
        <v>6</v>
      </c>
      <c r="AR376" s="4">
        <f t="shared" si="140"/>
        <v>22</v>
      </c>
      <c r="AS376" s="4" t="str">
        <f t="shared" si="141"/>
        <v>-</v>
      </c>
      <c r="AT376" s="4">
        <f t="shared" si="142"/>
        <v>32</v>
      </c>
      <c r="AU376" s="4" t="str">
        <f t="shared" si="143"/>
        <v>-</v>
      </c>
      <c r="AV376" s="4">
        <f t="shared" si="144"/>
        <v>26</v>
      </c>
      <c r="AW376" s="4">
        <f t="shared" si="145"/>
        <v>2</v>
      </c>
      <c r="AX376" s="4">
        <f t="shared" si="146"/>
        <v>24</v>
      </c>
      <c r="AY376" s="4">
        <f t="shared" si="147"/>
        <v>24</v>
      </c>
      <c r="AZ376" s="4">
        <f t="shared" si="148"/>
        <v>29</v>
      </c>
      <c r="BA376" s="4">
        <f t="shared" si="149"/>
        <v>12</v>
      </c>
    </row>
    <row r="377" spans="1:53" x14ac:dyDescent="0.2">
      <c r="A377" s="1" t="str">
        <f>'SegEnds_NonXtal_Prot#'!A374</f>
        <v>grm5_human</v>
      </c>
      <c r="B377" s="1" t="str">
        <f t="shared" si="125"/>
        <v>PEPIAAVVFACLGLLATLFVTVVFIIYSRELCYIILAGICLGYLCTFCLIQIYCYLQRIGIGLSPAMSYSALVTKTNRIARILSACAQLVIAFILICIQLGIIVALFIMENLGVVTPLGYNGLLILSCTFYAFKTEAKYIAFTMYTTCIIWLAFVPIYFGKIITMCFSVSLSATVALGCMFVPKVYIILAKPERNVRSAFTTS</v>
      </c>
      <c r="C377" s="29" t="str">
        <f>IF(ISERROR(MATCH(A377,'SegEnds_Xtal_Prot#'!B:B, 0)), "NoXtal", "Xtal")</f>
        <v>Xtal</v>
      </c>
      <c r="D377" s="4" t="str">
        <f>VLOOKUP(A377,Classification!A:D,2,FALSE)</f>
        <v>C</v>
      </c>
      <c r="E377" s="5" t="str">
        <f>VLOOKUP(A377,Seqs!A:B,2,FALSE)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F377" s="5" t="str">
        <f t="shared" si="126"/>
        <v>PEPIAAVVFACLGLLATLFVTVVFIIY</v>
      </c>
      <c r="G377" s="4" t="str">
        <f t="shared" si="127"/>
        <v>TPVVKSS</v>
      </c>
      <c r="H377" s="4" t="str">
        <f t="shared" si="128"/>
        <v>SRELCYIILAGICLGYLCTFCLI</v>
      </c>
      <c r="I377" s="4" t="str">
        <f t="shared" si="129"/>
        <v/>
      </c>
      <c r="J377" s="4" t="str">
        <f t="shared" si="130"/>
        <v>QIYCYLQRIGIGLSPAMSYSALVTKTNRIARIL</v>
      </c>
      <c r="K377" s="4" t="str">
        <f t="shared" si="131"/>
        <v/>
      </c>
      <c r="L377" s="4" t="str">
        <f t="shared" si="132"/>
        <v>SACAQLVIAFILICIQLGIIVALFIME</v>
      </c>
      <c r="M377" s="4" t="str">
        <f t="shared" si="133"/>
        <v>CNT</v>
      </c>
      <c r="N377" s="4" t="str">
        <f t="shared" si="134"/>
        <v>NLGVVTPLGYNGLLILSCTFYAFKT</v>
      </c>
      <c r="O377" s="4" t="str">
        <f t="shared" si="135"/>
        <v>EAKYIAFTMYTTCIIWLAFVPIYFG</v>
      </c>
      <c r="P377" s="4" t="str">
        <f t="shared" si="136"/>
        <v>KIITMCFSVSLSATVALGCMFVPKVYIILA</v>
      </c>
      <c r="Q377" s="4" t="str">
        <f t="shared" si="137"/>
        <v>KPERNVRSAFTTS</v>
      </c>
      <c r="R377" s="5">
        <f>VLOOKUP($A377,'SegEnds_NonXtal_Prot#'!$A:$AL,3,FALSE)</f>
        <v>578</v>
      </c>
      <c r="S377" s="5">
        <f>VLOOKUP($A377,'SegEnds_NonXtal_Prot#'!$A:$AL,6,FALSE)</f>
        <v>607</v>
      </c>
      <c r="T377" s="5">
        <f>VLOOKUP($A377,'SegEnds_NonXtal_Prot#'!$A:$AL,9,FALSE)</f>
        <v>614</v>
      </c>
      <c r="U377" s="5" t="str">
        <f>VLOOKUP($A377,'SegEnds_NonXtal_Prot#'!$A:$AL,12,FALSE)</f>
        <v>-</v>
      </c>
      <c r="V377" s="5">
        <f>VLOOKUP($A377,'SegEnds_NonXtal_Prot#'!$A:$AL,15,FALSE)</f>
        <v>641</v>
      </c>
      <c r="W377" s="5" t="str">
        <f>VLOOKUP($A377,'SegEnds_NonXtal_Prot#'!$A:$AL,18,FALSE)</f>
        <v>-</v>
      </c>
      <c r="X377" s="5">
        <f>VLOOKUP($A377,'SegEnds_NonXtal_Prot#'!$A:$AL,21,FALSE)</f>
        <v>689</v>
      </c>
      <c r="Y377" s="5">
        <f>VLOOKUP($A377,'SegEnds_NonXtal_Prot#'!$A:$AL,24,FALSE)</f>
        <v>733</v>
      </c>
      <c r="Z377" s="5">
        <f>VLOOKUP($A377,'SegEnds_NonXtal_Prot#'!$A:$AL,27,FALSE)</f>
        <v>737</v>
      </c>
      <c r="AA377" s="5">
        <f>VLOOKUP($A377,'SegEnds_NonXtal_Prot#'!$A:$AL,30,FALSE)</f>
        <v>770</v>
      </c>
      <c r="AB377" s="5">
        <f>VLOOKUP($A377,'SegEnds_NonXtal_Prot#'!$A:$AL,33,FALSE)</f>
        <v>798</v>
      </c>
      <c r="AC377" s="5">
        <f>VLOOKUP($A377,'SegEnds_NonXtal_Prot#'!$A:$AL,36,FALSE)</f>
        <v>828</v>
      </c>
      <c r="AD377" s="5">
        <f>VLOOKUP($A377,'SegEnds_NonXtal_Prot#'!$A:$AL,5,FALSE)</f>
        <v>604</v>
      </c>
      <c r="AE377" s="5">
        <f>VLOOKUP($A377,'SegEnds_NonXtal_Prot#'!$A:$AL,8,FALSE)</f>
        <v>613</v>
      </c>
      <c r="AF377" s="5">
        <f>VLOOKUP($A377,'SegEnds_NonXtal_Prot#'!$A:$AL,11,FALSE)</f>
        <v>636</v>
      </c>
      <c r="AG377" s="5" t="str">
        <f>VLOOKUP($A377,'SegEnds_NonXtal_Prot#'!$A:$AL,14,FALSE)</f>
        <v>-</v>
      </c>
      <c r="AH377" s="5">
        <f>VLOOKUP($A377,'SegEnds_NonXtal_Prot#'!$A:$AL,17,FALSE)</f>
        <v>673</v>
      </c>
      <c r="AI377" s="5" t="str">
        <f>VLOOKUP($A377,'SegEnds_NonXtal_Prot#'!$A:$AL,20,FALSE)</f>
        <v>-</v>
      </c>
      <c r="AJ377" s="5">
        <f>VLOOKUP($A377,'SegEnds_NonXtal_Prot#'!$A:$AL,23,FALSE)</f>
        <v>715</v>
      </c>
      <c r="AK377" s="5">
        <f>VLOOKUP($A377,'SegEnds_NonXtal_Prot#'!$A:$AL,26,FALSE)</f>
        <v>735</v>
      </c>
      <c r="AL377" s="5">
        <f>VLOOKUP($A377,'SegEnds_NonXtal_Prot#'!$A:$AL,29,FALSE)</f>
        <v>761</v>
      </c>
      <c r="AM377" s="5">
        <f>VLOOKUP($A377,'SegEnds_NonXtal_Prot#'!$A:$AL,32,FALSE)</f>
        <v>794</v>
      </c>
      <c r="AN377" s="5">
        <f>VLOOKUP($A377,'SegEnds_NonXtal_Prot#'!$A:$AL,35,FALSE)</f>
        <v>827</v>
      </c>
      <c r="AO377" s="5">
        <f>VLOOKUP($A377,'SegEnds_NonXtal_Prot#'!$A:$AL,38,FALSE)</f>
        <v>840</v>
      </c>
      <c r="AP377" s="5">
        <f t="shared" si="138"/>
        <v>26</v>
      </c>
      <c r="AQ377" s="4">
        <f t="shared" si="139"/>
        <v>6</v>
      </c>
      <c r="AR377" s="4">
        <f t="shared" si="140"/>
        <v>22</v>
      </c>
      <c r="AS377" s="4" t="str">
        <f t="shared" si="141"/>
        <v>-</v>
      </c>
      <c r="AT377" s="4">
        <f t="shared" si="142"/>
        <v>32</v>
      </c>
      <c r="AU377" s="4" t="str">
        <f t="shared" si="143"/>
        <v>-</v>
      </c>
      <c r="AV377" s="4">
        <f t="shared" si="144"/>
        <v>26</v>
      </c>
      <c r="AW377" s="4">
        <f t="shared" si="145"/>
        <v>2</v>
      </c>
      <c r="AX377" s="4">
        <f t="shared" si="146"/>
        <v>24</v>
      </c>
      <c r="AY377" s="4">
        <f t="shared" si="147"/>
        <v>24</v>
      </c>
      <c r="AZ377" s="4">
        <f t="shared" si="148"/>
        <v>29</v>
      </c>
      <c r="BA377" s="4">
        <f t="shared" si="149"/>
        <v>12</v>
      </c>
    </row>
    <row r="378" spans="1:53" x14ac:dyDescent="0.2">
      <c r="A378" s="1" t="str">
        <f>'SegEnds_NonXtal_Prot#'!A375</f>
        <v>grm6_human</v>
      </c>
      <c r="B378" s="1" t="str">
        <f t="shared" si="125"/>
        <v>PWAAPPLLLAVLGIVATTTVVATFVRYGRELSYVLLTGIFLIYAITFLMVAAVCAARRLFLGLGTTLSYSALLTKTNRIYRIFSPTSQLVITFSLTSLQVVGMIAWLGARDLSLIGCLGYSLLLMVTCTVYAIKAEAKPIGFTMYTTCIIWLAFVPIFFGQTTTLTVSLSLSASVSLGMLYVPKTYVILFHPEQNVQKRKRSL</v>
      </c>
      <c r="C378" s="29" t="str">
        <f>IF(ISERROR(MATCH(A378,'SegEnds_Xtal_Prot#'!B:B, 0)), "NoXtal", "Xtal")</f>
        <v>NoXtal</v>
      </c>
      <c r="D378" s="4" t="str">
        <f>VLOOKUP(A378,Classification!A:D,2,FALSE)</f>
        <v>C</v>
      </c>
      <c r="E378" s="5" t="str">
        <f>VLOOKUP(A378,Seqs!A:B,2,FALSE)</f>
        <v>MARPRRAREPLLVALLPLAWLAQAGLARAAGSVRLAGGLTLGGLFPVHARGAAGRACGQLKKEQGVHRLEAMLYALDRVNADPELLPGVRLGARLLDTCSRDTYALEQALSFVQALIRGRGDGDEVGVRCPGGVPPLRPAPPERVVAVVGASASSVSIMVANVLRLFAIPQISYASTAPELSDSTRYDFFSRVVPPDSYQAQAMVDIVRALGWNYVSTLASEGNYGESGVEAFVQISREAGGVCIAQSIKIPREPKPGEFSKVIRRLMETPNARGIIIFANEDDIRRVLEAARQANLTGHFLWVGSDSWGAKTSPILSLEDVAVGAITILPKRASIDGFDQYFMTRSLENNRRNIWFAEFWEENFNCKLTSSGTQSDDSTRKCTGEERIGRDSTYEQEGKVQFVIDAVYAIAHALHSMHQALCPGHTGLCPAMEPTDGRMLLQYIRAVRFNGSAGTPVMFNENGDAPGRYDIFQYQATNGSASSGGYQAVGQWAETLRLDVEALQWSGDPHEVPSSLCSLPCGPGERKKMVKGVPCCWHCEACDGYRFQVDEFTCEACPGDMRPTPNHTGCRPTPVVRLSWSSPWAAPPLLLAVLGIVATTTVVATFVRYNNTPIVRASGRELSYVLLTGIFLIYAITFLMVAEPGAAVCAARRLFLGLGTTLSYSALLTKTNRIYRIFEQGKRSVTPPPFISPTSQLVITFSLTSLQVVGMIAWLGARPPHSVIDYEEQRTVDPEQARGVLKCDMSDLSLIGCLGYSLLLMVTCTVYAIKARGVPETFNEAKPIGFTMYTTCIIWLAFVPIFFGTAQSAEKIYIQTTTLTVSLSLSASVSLGMLYVPKTYVILFHPEQNVQKRKRSLKATSTVAAPPKGEDAEAHK</v>
      </c>
      <c r="F378" s="5" t="str">
        <f t="shared" si="126"/>
        <v>PWAAPPLLLAVLGIVATTTVVATFVRY</v>
      </c>
      <c r="G378" s="4" t="str">
        <f t="shared" si="127"/>
        <v>TPIVRAS</v>
      </c>
      <c r="H378" s="4" t="str">
        <f t="shared" si="128"/>
        <v>GRELSYVLLTGIFLIYAITFLMV</v>
      </c>
      <c r="I378" s="4" t="str">
        <f t="shared" si="129"/>
        <v/>
      </c>
      <c r="J378" s="4" t="str">
        <f t="shared" si="130"/>
        <v>AAVCAARRLFLGLGTTLSYSALLTKTNRIYRIF</v>
      </c>
      <c r="K378" s="4" t="str">
        <f t="shared" si="131"/>
        <v/>
      </c>
      <c r="L378" s="4" t="str">
        <f t="shared" si="132"/>
        <v>SPTSQLVITFSLTSLQVVGMIAWLGAR</v>
      </c>
      <c r="M378" s="4" t="str">
        <f t="shared" si="133"/>
        <v>CDM</v>
      </c>
      <c r="N378" s="4" t="str">
        <f t="shared" si="134"/>
        <v>DLSLIGCLGYSLLLMVTCTVYAIKA</v>
      </c>
      <c r="O378" s="4" t="str">
        <f t="shared" si="135"/>
        <v>EAKPIGFTMYTTCIIWLAFVPIFFG</v>
      </c>
      <c r="P378" s="4" t="str">
        <f t="shared" si="136"/>
        <v>QTTTLTVSLSLSASVSLGMLYVPKTYVILF</v>
      </c>
      <c r="Q378" s="4" t="str">
        <f t="shared" si="137"/>
        <v>HPEQNVQKRKRSL</v>
      </c>
      <c r="R378" s="5">
        <f>VLOOKUP($A378,'SegEnds_NonXtal_Prot#'!$A:$AL,3,FALSE)</f>
        <v>584</v>
      </c>
      <c r="S378" s="5">
        <f>VLOOKUP($A378,'SegEnds_NonXtal_Prot#'!$A:$AL,6,FALSE)</f>
        <v>613</v>
      </c>
      <c r="T378" s="5">
        <f>VLOOKUP($A378,'SegEnds_NonXtal_Prot#'!$A:$AL,9,FALSE)</f>
        <v>620</v>
      </c>
      <c r="U378" s="5" t="str">
        <f>VLOOKUP($A378,'SegEnds_NonXtal_Prot#'!$A:$AL,12,FALSE)</f>
        <v>-</v>
      </c>
      <c r="V378" s="5">
        <f>VLOOKUP($A378,'SegEnds_NonXtal_Prot#'!$A:$AL,15,FALSE)</f>
        <v>647</v>
      </c>
      <c r="W378" s="5" t="str">
        <f>VLOOKUP($A378,'SegEnds_NonXtal_Prot#'!$A:$AL,18,FALSE)</f>
        <v>-</v>
      </c>
      <c r="X378" s="5">
        <f>VLOOKUP($A378,'SegEnds_NonXtal_Prot#'!$A:$AL,21,FALSE)</f>
        <v>693</v>
      </c>
      <c r="Y378" s="5">
        <f>VLOOKUP($A378,'SegEnds_NonXtal_Prot#'!$A:$AL,24,FALSE)</f>
        <v>744</v>
      </c>
      <c r="Z378" s="5">
        <f>VLOOKUP($A378,'SegEnds_NonXtal_Prot#'!$A:$AL,27,FALSE)</f>
        <v>748</v>
      </c>
      <c r="AA378" s="5">
        <f>VLOOKUP($A378,'SegEnds_NonXtal_Prot#'!$A:$AL,30,FALSE)</f>
        <v>781</v>
      </c>
      <c r="AB378" s="5">
        <f>VLOOKUP($A378,'SegEnds_NonXtal_Prot#'!$A:$AL,33,FALSE)</f>
        <v>816</v>
      </c>
      <c r="AC378" s="5">
        <f>VLOOKUP($A378,'SegEnds_NonXtal_Prot#'!$A:$AL,36,FALSE)</f>
        <v>846</v>
      </c>
      <c r="AD378" s="5">
        <f>VLOOKUP($A378,'SegEnds_NonXtal_Prot#'!$A:$AL,5,FALSE)</f>
        <v>610</v>
      </c>
      <c r="AE378" s="5">
        <f>VLOOKUP($A378,'SegEnds_NonXtal_Prot#'!$A:$AL,8,FALSE)</f>
        <v>619</v>
      </c>
      <c r="AF378" s="5">
        <f>VLOOKUP($A378,'SegEnds_NonXtal_Prot#'!$A:$AL,11,FALSE)</f>
        <v>642</v>
      </c>
      <c r="AG378" s="5" t="str">
        <f>VLOOKUP($A378,'SegEnds_NonXtal_Prot#'!$A:$AL,14,FALSE)</f>
        <v>-</v>
      </c>
      <c r="AH378" s="5">
        <f>VLOOKUP($A378,'SegEnds_NonXtal_Prot#'!$A:$AL,17,FALSE)</f>
        <v>679</v>
      </c>
      <c r="AI378" s="5" t="str">
        <f>VLOOKUP($A378,'SegEnds_NonXtal_Prot#'!$A:$AL,20,FALSE)</f>
        <v>-</v>
      </c>
      <c r="AJ378" s="5">
        <f>VLOOKUP($A378,'SegEnds_NonXtal_Prot#'!$A:$AL,23,FALSE)</f>
        <v>719</v>
      </c>
      <c r="AK378" s="5">
        <f>VLOOKUP($A378,'SegEnds_NonXtal_Prot#'!$A:$AL,26,FALSE)</f>
        <v>746</v>
      </c>
      <c r="AL378" s="5">
        <f>VLOOKUP($A378,'SegEnds_NonXtal_Prot#'!$A:$AL,29,FALSE)</f>
        <v>772</v>
      </c>
      <c r="AM378" s="5">
        <f>VLOOKUP($A378,'SegEnds_NonXtal_Prot#'!$A:$AL,32,FALSE)</f>
        <v>805</v>
      </c>
      <c r="AN378" s="5">
        <f>VLOOKUP($A378,'SegEnds_NonXtal_Prot#'!$A:$AL,35,FALSE)</f>
        <v>845</v>
      </c>
      <c r="AO378" s="5">
        <f>VLOOKUP($A378,'SegEnds_NonXtal_Prot#'!$A:$AL,38,FALSE)</f>
        <v>858</v>
      </c>
      <c r="AP378" s="5">
        <f t="shared" si="138"/>
        <v>26</v>
      </c>
      <c r="AQ378" s="4">
        <f t="shared" si="139"/>
        <v>6</v>
      </c>
      <c r="AR378" s="4">
        <f t="shared" si="140"/>
        <v>22</v>
      </c>
      <c r="AS378" s="4" t="str">
        <f t="shared" si="141"/>
        <v>-</v>
      </c>
      <c r="AT378" s="4">
        <f t="shared" si="142"/>
        <v>32</v>
      </c>
      <c r="AU378" s="4" t="str">
        <f t="shared" si="143"/>
        <v>-</v>
      </c>
      <c r="AV378" s="4">
        <f t="shared" si="144"/>
        <v>26</v>
      </c>
      <c r="AW378" s="4">
        <f t="shared" si="145"/>
        <v>2</v>
      </c>
      <c r="AX378" s="4">
        <f t="shared" si="146"/>
        <v>24</v>
      </c>
      <c r="AY378" s="4">
        <f t="shared" si="147"/>
        <v>24</v>
      </c>
      <c r="AZ378" s="4">
        <f t="shared" si="148"/>
        <v>29</v>
      </c>
      <c r="BA378" s="4">
        <f t="shared" si="149"/>
        <v>12</v>
      </c>
    </row>
    <row r="379" spans="1:53" x14ac:dyDescent="0.2">
      <c r="A379" s="1" t="str">
        <f>'SegEnds_NonXtal_Prot#'!A376</f>
        <v>grm7_human</v>
      </c>
      <c r="B379" s="1" t="str">
        <f t="shared" si="125"/>
        <v>PWAVIPVFLAMLGIIATIFVMATFIRYGRELSYVLLTGIFLCYIITFLMIVAVCSFRRVFLGLGMCISYAALLTKTNRIYRIFSPTSQLAITSSLISVQLLGVFIWFGVDDLQIICSLGYSILLMVTCTVYAIKTEAKPIGFTMYTTCIVWLAFIPIFFGQTTTLTISMNLSASVALGMLYMPKVYIIIFHPELNVQKRKRSF</v>
      </c>
      <c r="C379" s="29" t="str">
        <f>IF(ISERROR(MATCH(A379,'SegEnds_Xtal_Prot#'!B:B, 0)), "NoXtal", "Xtal")</f>
        <v>NoXtal</v>
      </c>
      <c r="D379" s="4" t="str">
        <f>VLOOKUP(A379,Classification!A:D,2,FALSE)</f>
        <v>C</v>
      </c>
      <c r="E379" s="5" t="str">
        <f>VLOOKUP(A379,Seqs!A:B,2,FALSE)</f>
        <v>MVQLRKLLRVLTLMKFPCCVLEVLLCALAAAARGQEMYAPHSIRIEGDVTLGGLFPVHAKGPSGVPCGDIKRENGIHRLEAMLYALDQINSDPNLLPNVTLGARILDTCSRDTYALEQSLTFVQALIQKDTSDVRCTNGEPPVFVKPEKVVGVIGASGSSVSIMVANILRLFQIPQISYASTAPELSDDRRYDFFSRVVPPDSFQAQAMVDIVKALGWNYVSTLASEGSYGEKGVESFTQISKEAGGLCIAQSVRIPQERKDRTIDFDRIIKQLLDTPNSRAVVIFANDEDIKQILAAAKRADQVGHFLWVGSDSWGSKINPLHQHEDIAEGAITIQPKRATVEGFDAYFTSRTLENNRRNVWFAEYWEENFNCKLTISGSKKEDTDRKCTGQERIGKDSNYEQEGKVQFVIDAVYAMAHALHHMNKDLCADYRGVCPEMEQAGGKKLLKYIRNVNFNGSAGTPVMFNKNGDAPGRYDIFQYQTTNTSNPGYRLIGQWTDELQLNIEDMQWGKGVREIPASVCTLPCKPGQRKKTQKGTPCCWTCEPCDGYQYQFDEMTCQHCPYDQRPNENRTGCQDIPIIKLEWHSPWAVIPVFLAMLGIIATIFVMATFIRYNDTPIVRASGRELSYVLLTGIFLCYIITFLMIAKPDVAVCSFRRVFLGLGMCISYAALLTKTNRIYRIFEQGKKSVTAPRLISPTSQLAITSSLISVQLLGVFIWFGVDPPNIIIDYDEHKTMNPEQARGVLKCDITDLQIICSLGYSILLMVTCTVYAIKTRGVPENFNEAKPIGFTMYTTCIVWLAFIPIFFGTAQSAEKLYIQTTTLTISMNLSASVALGMLYMPKVYIIIFHPELNVQKRKRSFKAVVTAATMSSRLSHKPSDRPNGEAKTELCENVDPNSPAAKKKYVSYNNLVI</v>
      </c>
      <c r="F379" s="5" t="str">
        <f t="shared" si="126"/>
        <v>PWAVIPVFLAMLGIIATIFVMATFIRY</v>
      </c>
      <c r="G379" s="4" t="str">
        <f t="shared" si="127"/>
        <v>TPIVRAS</v>
      </c>
      <c r="H379" s="4" t="str">
        <f t="shared" si="128"/>
        <v>GRELSYVLLTGIFLCYIITFLMI</v>
      </c>
      <c r="I379" s="4" t="str">
        <f t="shared" si="129"/>
        <v/>
      </c>
      <c r="J379" s="4" t="str">
        <f t="shared" si="130"/>
        <v>VAVCSFRRVFLGLGMCISYAALLTKTNRIYRIF</v>
      </c>
      <c r="K379" s="4" t="str">
        <f t="shared" si="131"/>
        <v/>
      </c>
      <c r="L379" s="4" t="str">
        <f t="shared" si="132"/>
        <v>SPTSQLAITSSLISVQLLGVFIWFGVD</v>
      </c>
      <c r="M379" s="4" t="str">
        <f t="shared" si="133"/>
        <v>CDI</v>
      </c>
      <c r="N379" s="4" t="str">
        <f t="shared" si="134"/>
        <v>DLQIICSLGYSILLMVTCTVYAIKT</v>
      </c>
      <c r="O379" s="4" t="str">
        <f t="shared" si="135"/>
        <v>EAKPIGFTMYTTCIVWLAFIPIFFG</v>
      </c>
      <c r="P379" s="4" t="str">
        <f t="shared" si="136"/>
        <v>QTTTLTISMNLSASVALGMLYMPKVYIIIF</v>
      </c>
      <c r="Q379" s="4" t="str">
        <f t="shared" si="137"/>
        <v>HPELNVQKRKRSF</v>
      </c>
      <c r="R379" s="5">
        <f>VLOOKUP($A379,'SegEnds_NonXtal_Prot#'!$A:$AL,3,FALSE)</f>
        <v>589</v>
      </c>
      <c r="S379" s="5">
        <f>VLOOKUP($A379,'SegEnds_NonXtal_Prot#'!$A:$AL,6,FALSE)</f>
        <v>618</v>
      </c>
      <c r="T379" s="5">
        <f>VLOOKUP($A379,'SegEnds_NonXtal_Prot#'!$A:$AL,9,FALSE)</f>
        <v>625</v>
      </c>
      <c r="U379" s="5" t="str">
        <f>VLOOKUP($A379,'SegEnds_NonXtal_Prot#'!$A:$AL,12,FALSE)</f>
        <v>-</v>
      </c>
      <c r="V379" s="5">
        <f>VLOOKUP($A379,'SegEnds_NonXtal_Prot#'!$A:$AL,15,FALSE)</f>
        <v>652</v>
      </c>
      <c r="W379" s="5" t="str">
        <f>VLOOKUP($A379,'SegEnds_NonXtal_Prot#'!$A:$AL,18,FALSE)</f>
        <v>-</v>
      </c>
      <c r="X379" s="5">
        <f>VLOOKUP($A379,'SegEnds_NonXtal_Prot#'!$A:$AL,21,FALSE)</f>
        <v>698</v>
      </c>
      <c r="Y379" s="5">
        <f>VLOOKUP($A379,'SegEnds_NonXtal_Prot#'!$A:$AL,24,FALSE)</f>
        <v>749</v>
      </c>
      <c r="Z379" s="5">
        <f>VLOOKUP($A379,'SegEnds_NonXtal_Prot#'!$A:$AL,27,FALSE)</f>
        <v>753</v>
      </c>
      <c r="AA379" s="5">
        <f>VLOOKUP($A379,'SegEnds_NonXtal_Prot#'!$A:$AL,30,FALSE)</f>
        <v>786</v>
      </c>
      <c r="AB379" s="5">
        <f>VLOOKUP($A379,'SegEnds_NonXtal_Prot#'!$A:$AL,33,FALSE)</f>
        <v>821</v>
      </c>
      <c r="AC379" s="5">
        <f>VLOOKUP($A379,'SegEnds_NonXtal_Prot#'!$A:$AL,36,FALSE)</f>
        <v>851</v>
      </c>
      <c r="AD379" s="5">
        <f>VLOOKUP($A379,'SegEnds_NonXtal_Prot#'!$A:$AL,5,FALSE)</f>
        <v>615</v>
      </c>
      <c r="AE379" s="5">
        <f>VLOOKUP($A379,'SegEnds_NonXtal_Prot#'!$A:$AL,8,FALSE)</f>
        <v>624</v>
      </c>
      <c r="AF379" s="5">
        <f>VLOOKUP($A379,'SegEnds_NonXtal_Prot#'!$A:$AL,11,FALSE)</f>
        <v>647</v>
      </c>
      <c r="AG379" s="5" t="str">
        <f>VLOOKUP($A379,'SegEnds_NonXtal_Prot#'!$A:$AL,14,FALSE)</f>
        <v>-</v>
      </c>
      <c r="AH379" s="5">
        <f>VLOOKUP($A379,'SegEnds_NonXtal_Prot#'!$A:$AL,17,FALSE)</f>
        <v>684</v>
      </c>
      <c r="AI379" s="5" t="str">
        <f>VLOOKUP($A379,'SegEnds_NonXtal_Prot#'!$A:$AL,20,FALSE)</f>
        <v>-</v>
      </c>
      <c r="AJ379" s="5">
        <f>VLOOKUP($A379,'SegEnds_NonXtal_Prot#'!$A:$AL,23,FALSE)</f>
        <v>724</v>
      </c>
      <c r="AK379" s="5">
        <f>VLOOKUP($A379,'SegEnds_NonXtal_Prot#'!$A:$AL,26,FALSE)</f>
        <v>751</v>
      </c>
      <c r="AL379" s="5">
        <f>VLOOKUP($A379,'SegEnds_NonXtal_Prot#'!$A:$AL,29,FALSE)</f>
        <v>777</v>
      </c>
      <c r="AM379" s="5">
        <f>VLOOKUP($A379,'SegEnds_NonXtal_Prot#'!$A:$AL,32,FALSE)</f>
        <v>810</v>
      </c>
      <c r="AN379" s="5">
        <f>VLOOKUP($A379,'SegEnds_NonXtal_Prot#'!$A:$AL,35,FALSE)</f>
        <v>850</v>
      </c>
      <c r="AO379" s="5">
        <f>VLOOKUP($A379,'SegEnds_NonXtal_Prot#'!$A:$AL,38,FALSE)</f>
        <v>863</v>
      </c>
      <c r="AP379" s="5">
        <f t="shared" si="138"/>
        <v>26</v>
      </c>
      <c r="AQ379" s="4">
        <f t="shared" si="139"/>
        <v>6</v>
      </c>
      <c r="AR379" s="4">
        <f t="shared" si="140"/>
        <v>22</v>
      </c>
      <c r="AS379" s="4" t="str">
        <f t="shared" si="141"/>
        <v>-</v>
      </c>
      <c r="AT379" s="4">
        <f t="shared" si="142"/>
        <v>32</v>
      </c>
      <c r="AU379" s="4" t="str">
        <f t="shared" si="143"/>
        <v>-</v>
      </c>
      <c r="AV379" s="4">
        <f t="shared" si="144"/>
        <v>26</v>
      </c>
      <c r="AW379" s="4">
        <f t="shared" si="145"/>
        <v>2</v>
      </c>
      <c r="AX379" s="4">
        <f t="shared" si="146"/>
        <v>24</v>
      </c>
      <c r="AY379" s="4">
        <f t="shared" si="147"/>
        <v>24</v>
      </c>
      <c r="AZ379" s="4">
        <f t="shared" si="148"/>
        <v>29</v>
      </c>
      <c r="BA379" s="4">
        <f t="shared" si="149"/>
        <v>12</v>
      </c>
    </row>
    <row r="380" spans="1:53" x14ac:dyDescent="0.2">
      <c r="A380" s="1" t="str">
        <f>'SegEnds_NonXtal_Prot#'!A378</f>
        <v>nk1r_human</v>
      </c>
      <c r="B380" s="1" t="str">
        <f t="shared" si="125"/>
        <v>QIVLWAAAYTVIVVTSVVGNVVVMWIILAHTVTNYFLVNLAFAEASMAAFNTVVNFTYAVHGLFYCKFHNFFPIAAVFASIYSMTAVAFDRYMAIIHSATATKVVICVIWVLALLLAFPQGYYSKIYEKVYHICVTVLIYFLPLLVIGYAYTVVGITLWASEIPGDRYHEQVSAKRKVVKMMIVVVCTFAICWLPFHIFFLLPYINKKFIQQVYLAIMWLAMSSTMYNPIIYCCLNDRFRLGFKHAF</v>
      </c>
      <c r="C380" s="29" t="str">
        <f>IF(ISERROR(MATCH(A380,'SegEnds_Xtal_Prot#'!B:B, 0)), "NoXtal", "Xtal")</f>
        <v>NoXtal</v>
      </c>
      <c r="D380" s="4" t="str">
        <f>VLOOKUP(A380,Classification!A:D,2,FALSE)</f>
        <v>A</v>
      </c>
      <c r="E380" s="5" t="str">
        <f>VLOOKUP(A380,Seqs!A:B,2,FALSE)</f>
        <v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</v>
      </c>
      <c r="F380" s="5" t="str">
        <f t="shared" si="126"/>
        <v>QIVLWAAAYTVIVVTSVVGNVVVMWIILAH</v>
      </c>
      <c r="G380" s="4" t="str">
        <f t="shared" si="127"/>
        <v>KRMR</v>
      </c>
      <c r="H380" s="4" t="str">
        <f t="shared" si="128"/>
        <v>TVTNYFLVNLAFAEASMAAFNTVVNFTYAVH</v>
      </c>
      <c r="I380" s="4" t="str">
        <f t="shared" si="129"/>
        <v>EWYY</v>
      </c>
      <c r="J380" s="4" t="str">
        <f t="shared" si="130"/>
        <v>GLFYCKFHNFFPIAAVFASIYSMTAVAFDRYMAIIH</v>
      </c>
      <c r="K380" s="4" t="str">
        <f t="shared" si="131"/>
        <v/>
      </c>
      <c r="L380" s="4" t="str">
        <f t="shared" si="132"/>
        <v>SATATKVVICVIWVLALLLAFPQGYYS</v>
      </c>
      <c r="M380" s="4" t="str">
        <f t="shared" si="133"/>
        <v>CMI</v>
      </c>
      <c r="N380" s="4" t="str">
        <f t="shared" si="134"/>
        <v>KIYEKVYHICVTVLIYFLPLLVIGYAYTVVGITLWASEIPGD</v>
      </c>
      <c r="O380" s="4" t="str">
        <f t="shared" si="135"/>
        <v>RYHEQVSAKRKVVKMMIVVVCTFAICWLPFHIFFLLPYIN</v>
      </c>
      <c r="P380" s="4" t="str">
        <f t="shared" si="136"/>
        <v>KKFIQQVYLAIMWLAMSSTMYNPIIYCCL</v>
      </c>
      <c r="Q380" s="4" t="str">
        <f t="shared" si="137"/>
        <v>NDRFRLGFKHAF</v>
      </c>
      <c r="R380" s="5">
        <f>VLOOKUP($A380,'SegEnds_NonXtal_Prot#'!$A:$AL,3,FALSE)</f>
        <v>31</v>
      </c>
      <c r="S380" s="5">
        <f>VLOOKUP($A380,'SegEnds_NonXtal_Prot#'!$A:$AL,6,FALSE)</f>
        <v>61</v>
      </c>
      <c r="T380" s="5">
        <f>VLOOKUP($A380,'SegEnds_NonXtal_Prot#'!$A:$AL,9,FALSE)</f>
        <v>65</v>
      </c>
      <c r="U380" s="5">
        <f>VLOOKUP($A380,'SegEnds_NonXtal_Prot#'!$A:$AL,12,FALSE)</f>
        <v>97</v>
      </c>
      <c r="V380" s="5">
        <f>VLOOKUP($A380,'SegEnds_NonXtal_Prot#'!$A:$AL,15,FALSE)</f>
        <v>101</v>
      </c>
      <c r="W380" s="5" t="str">
        <f>VLOOKUP($A380,'SegEnds_NonXtal_Prot#'!$A:$AL,18,FALSE)</f>
        <v>-</v>
      </c>
      <c r="X380" s="5">
        <f>VLOOKUP($A380,'SegEnds_NonXtal_Prot#'!$A:$AL,21,FALSE)</f>
        <v>143</v>
      </c>
      <c r="Y380" s="5">
        <f>VLOOKUP($A380,'SegEnds_NonXtal_Prot#'!$A:$AL,24,FALSE)</f>
        <v>180</v>
      </c>
      <c r="Z380" s="5">
        <f>VLOOKUP($A380,'SegEnds_NonXtal_Prot#'!$A:$AL,27,FALSE)</f>
        <v>190</v>
      </c>
      <c r="AA380" s="5">
        <f>VLOOKUP($A380,'SegEnds_NonXtal_Prot#'!$A:$AL,30,FALSE)</f>
        <v>235</v>
      </c>
      <c r="AB380" s="5">
        <f>VLOOKUP($A380,'SegEnds_NonXtal_Prot#'!$A:$AL,33,FALSE)</f>
        <v>280</v>
      </c>
      <c r="AC380" s="5">
        <f>VLOOKUP($A380,'SegEnds_NonXtal_Prot#'!$A:$AL,36,FALSE)</f>
        <v>309</v>
      </c>
      <c r="AD380" s="5">
        <f>VLOOKUP($A380,'SegEnds_NonXtal_Prot#'!$A:$AL,5,FALSE)</f>
        <v>60</v>
      </c>
      <c r="AE380" s="5">
        <f>VLOOKUP($A380,'SegEnds_NonXtal_Prot#'!$A:$AL,8,FALSE)</f>
        <v>64</v>
      </c>
      <c r="AF380" s="5">
        <f>VLOOKUP($A380,'SegEnds_NonXtal_Prot#'!$A:$AL,11,FALSE)</f>
        <v>95</v>
      </c>
      <c r="AG380" s="5">
        <f>VLOOKUP($A380,'SegEnds_NonXtal_Prot#'!$A:$AL,14,FALSE)</f>
        <v>100</v>
      </c>
      <c r="AH380" s="5">
        <f>VLOOKUP($A380,'SegEnds_NonXtal_Prot#'!$A:$AL,17,FALSE)</f>
        <v>136</v>
      </c>
      <c r="AI380" s="5" t="str">
        <f>VLOOKUP($A380,'SegEnds_NonXtal_Prot#'!$A:$AL,20,FALSE)</f>
        <v>-</v>
      </c>
      <c r="AJ380" s="5">
        <f>VLOOKUP($A380,'SegEnds_NonXtal_Prot#'!$A:$AL,23,FALSE)</f>
        <v>169</v>
      </c>
      <c r="AK380" s="5">
        <f>VLOOKUP($A380,'SegEnds_NonXtal_Prot#'!$A:$AL,26,FALSE)</f>
        <v>182</v>
      </c>
      <c r="AL380" s="5">
        <f>VLOOKUP($A380,'SegEnds_NonXtal_Prot#'!$A:$AL,29,FALSE)</f>
        <v>231</v>
      </c>
      <c r="AM380" s="5">
        <f>VLOOKUP($A380,'SegEnds_NonXtal_Prot#'!$A:$AL,32,FALSE)</f>
        <v>274</v>
      </c>
      <c r="AN380" s="5">
        <f>VLOOKUP($A380,'SegEnds_NonXtal_Prot#'!$A:$AL,35,FALSE)</f>
        <v>308</v>
      </c>
      <c r="AO380" s="5">
        <f>VLOOKUP($A380,'SegEnds_NonXtal_Prot#'!$A:$AL,38,FALSE)</f>
        <v>320</v>
      </c>
      <c r="AP380" s="5">
        <f t="shared" si="138"/>
        <v>29</v>
      </c>
      <c r="AQ380" s="4">
        <f t="shared" si="139"/>
        <v>3</v>
      </c>
      <c r="AR380" s="4">
        <f t="shared" si="140"/>
        <v>30</v>
      </c>
      <c r="AS380" s="4">
        <f t="shared" si="141"/>
        <v>3</v>
      </c>
      <c r="AT380" s="4">
        <f t="shared" si="142"/>
        <v>35</v>
      </c>
      <c r="AU380" s="4" t="str">
        <f t="shared" si="143"/>
        <v>-</v>
      </c>
      <c r="AV380" s="4">
        <f t="shared" si="144"/>
        <v>26</v>
      </c>
      <c r="AW380" s="4">
        <f t="shared" si="145"/>
        <v>2</v>
      </c>
      <c r="AX380" s="4">
        <f t="shared" si="146"/>
        <v>41</v>
      </c>
      <c r="AY380" s="4">
        <f t="shared" si="147"/>
        <v>39</v>
      </c>
      <c r="AZ380" s="4">
        <f t="shared" si="148"/>
        <v>28</v>
      </c>
      <c r="BA380" s="4">
        <f t="shared" si="149"/>
        <v>11</v>
      </c>
    </row>
    <row r="381" spans="1:53" x14ac:dyDescent="0.2">
      <c r="A381" s="1" t="str">
        <f>'SegEnds_NonXtal_Prot#'!A377</f>
        <v>grm8_human</v>
      </c>
      <c r="B381" s="1" t="str">
        <f t="shared" si="125"/>
        <v>PWAVVPVFVAILGIIATTFVIVTFVRYGRELSYVLLTGIFLCYSITFLMITIICSFRRVFLGLGMCFSYAALLTKTNRIHRIFSPASQLVITFSLISVQLLGVFVWFVVDDLSLICSLGYSILLMVTCTVYAIKTEAKPIGFTMYTTCIIWLAFIPIFFGQTTTLTVSMSLSASVSLGMLYMPKVYIIIFHPEQNVQKRKRSF</v>
      </c>
      <c r="C381" s="29" t="str">
        <f>IF(ISERROR(MATCH(A381,'SegEnds_Xtal_Prot#'!B:B, 0)), "NoXtal", "Xtal")</f>
        <v>NoXtal</v>
      </c>
      <c r="D381" s="4" t="str">
        <f>VLOOKUP(A381,Classification!A:D,2,FALSE)</f>
        <v>C</v>
      </c>
      <c r="E381" s="5" t="str">
        <f>VLOOKUP(A381,Seqs!A:B,2,FALSE)</f>
        <v>MVCEGKRSASCPCFFLLTAKFYWILTMMQRTHSQEYAHSIRVDGDIILGGLFPVHAKGERGVPCGELKKEKGIHRLEAMLYAIDQINKDPDLLSNITLGVRILDTCSRDTYALEQSLTFVQALIEKDASDVKCANGDPPIFTKPDKISGVIGAAASSVSIMVANILRLFKIPQISYASTAPELSDNTRYDFFSRVVPPDSYQAQAMVDIVTALGWNYVSTLASEGNYGESGVEAFTQISREIGGVCIAQSQKIPREPRPGEFEKIIKRLLETPNARAVIMFANEDDIRRILEAAKKLNQSGHFLWIGSDSWGSKIAPVYQQEEIAEGAVTILPKRASIDGFDRYFRSRTLANNRRNVWFAEFWEENFGCKLGSHGKRNSHIKKCTGLERIARDSSYEQEGKVQFVIDAVYSMAYALHNMHKDLCPGYIGLCPRMSTIDGKELLGYIRAVNFNGSAGTPVTFNENGDAPGRYDIFQYQITNKSTEYKVIGHWTNQLHLKVEDMQWAHREHTHPASVCSLPCKPGERKKTVKGVPCCWHCERCEGYNYQVDELSCELCPLDQRPNMNRTGCQLIPIIKLEWHSPWAVVPVFVAILGIIATTFVIVTFVRYNDTPIVRASGRELSYVLLTGIFLCYSITFLMIAAPDTIICSFRRVFLGLGMCFSYAALLTKTNRIHRIFEQGKKSVTAPKFISPASQLVITFSLISVQLLGVFVWFVVDPPHIIIDYGEQRTLDPEKARGVLKCDISDLSLICSLGYSILLMVTCTVYAIKTRGVPETFNEAKPIGFTMYTTCIIWLAFIPIFFGTAQSAEKMYIQTTTLTVSMSLSASVSLGMLYMPKVYIIIFHPEQNVQKRKRSFKAVVTAATMQSKLIQKGNDRPNGEVKSELCESLETNTSSTKTTYISYSNHSI</v>
      </c>
      <c r="F381" s="5" t="str">
        <f t="shared" si="126"/>
        <v>PWAVVPVFVAILGIIATTFVIVTFVRY</v>
      </c>
      <c r="G381" s="4" t="str">
        <f t="shared" si="127"/>
        <v>TPIVRAS</v>
      </c>
      <c r="H381" s="4" t="str">
        <f t="shared" si="128"/>
        <v>GRELSYVLLTGIFLCYSITFLMI</v>
      </c>
      <c r="I381" s="4" t="str">
        <f t="shared" si="129"/>
        <v/>
      </c>
      <c r="J381" s="4" t="str">
        <f t="shared" si="130"/>
        <v>TIICSFRRVFLGLGMCFSYAALLTKTNRIHRIF</v>
      </c>
      <c r="K381" s="4" t="str">
        <f t="shared" si="131"/>
        <v/>
      </c>
      <c r="L381" s="4" t="str">
        <f t="shared" si="132"/>
        <v>SPASQLVITFSLISVQLLGVFVWFVVD</v>
      </c>
      <c r="M381" s="4" t="str">
        <f t="shared" si="133"/>
        <v>CDI</v>
      </c>
      <c r="N381" s="4" t="str">
        <f t="shared" si="134"/>
        <v>DLSLICSLGYSILLMVTCTVYAIKT</v>
      </c>
      <c r="O381" s="4" t="str">
        <f t="shared" si="135"/>
        <v>EAKPIGFTMYTTCIIWLAFIPIFFG</v>
      </c>
      <c r="P381" s="4" t="str">
        <f t="shared" si="136"/>
        <v>QTTTLTVSMSLSASVSLGMLYMPKVYIIIF</v>
      </c>
      <c r="Q381" s="4" t="str">
        <f t="shared" si="137"/>
        <v>HPEQNVQKRKRSF</v>
      </c>
      <c r="R381" s="5">
        <f>VLOOKUP($A381,'SegEnds_NonXtal_Prot#'!$A:$AL,3,FALSE)</f>
        <v>582</v>
      </c>
      <c r="S381" s="5">
        <f>VLOOKUP($A381,'SegEnds_NonXtal_Prot#'!$A:$AL,6,FALSE)</f>
        <v>611</v>
      </c>
      <c r="T381" s="5">
        <f>VLOOKUP($A381,'SegEnds_NonXtal_Prot#'!$A:$AL,9,FALSE)</f>
        <v>618</v>
      </c>
      <c r="U381" s="5" t="str">
        <f>VLOOKUP($A381,'SegEnds_NonXtal_Prot#'!$A:$AL,12,FALSE)</f>
        <v>-</v>
      </c>
      <c r="V381" s="5">
        <f>VLOOKUP($A381,'SegEnds_NonXtal_Prot#'!$A:$AL,15,FALSE)</f>
        <v>645</v>
      </c>
      <c r="W381" s="5" t="str">
        <f>VLOOKUP($A381,'SegEnds_NonXtal_Prot#'!$A:$AL,18,FALSE)</f>
        <v>-</v>
      </c>
      <c r="X381" s="5">
        <f>VLOOKUP($A381,'SegEnds_NonXtal_Prot#'!$A:$AL,21,FALSE)</f>
        <v>691</v>
      </c>
      <c r="Y381" s="5">
        <f>VLOOKUP($A381,'SegEnds_NonXtal_Prot#'!$A:$AL,24,FALSE)</f>
        <v>742</v>
      </c>
      <c r="Z381" s="5">
        <f>VLOOKUP($A381,'SegEnds_NonXtal_Prot#'!$A:$AL,27,FALSE)</f>
        <v>746</v>
      </c>
      <c r="AA381" s="5">
        <f>VLOOKUP($A381,'SegEnds_NonXtal_Prot#'!$A:$AL,30,FALSE)</f>
        <v>779</v>
      </c>
      <c r="AB381" s="5">
        <f>VLOOKUP($A381,'SegEnds_NonXtal_Prot#'!$A:$AL,33,FALSE)</f>
        <v>814</v>
      </c>
      <c r="AC381" s="5">
        <f>VLOOKUP($A381,'SegEnds_NonXtal_Prot#'!$A:$AL,36,FALSE)</f>
        <v>844</v>
      </c>
      <c r="AD381" s="5">
        <f>VLOOKUP($A381,'SegEnds_NonXtal_Prot#'!$A:$AL,5,FALSE)</f>
        <v>608</v>
      </c>
      <c r="AE381" s="5">
        <f>VLOOKUP($A381,'SegEnds_NonXtal_Prot#'!$A:$AL,8,FALSE)</f>
        <v>617</v>
      </c>
      <c r="AF381" s="5">
        <f>VLOOKUP($A381,'SegEnds_NonXtal_Prot#'!$A:$AL,11,FALSE)</f>
        <v>640</v>
      </c>
      <c r="AG381" s="5" t="str">
        <f>VLOOKUP($A381,'SegEnds_NonXtal_Prot#'!$A:$AL,14,FALSE)</f>
        <v>-</v>
      </c>
      <c r="AH381" s="5">
        <f>VLOOKUP($A381,'SegEnds_NonXtal_Prot#'!$A:$AL,17,FALSE)</f>
        <v>677</v>
      </c>
      <c r="AI381" s="5" t="str">
        <f>VLOOKUP($A381,'SegEnds_NonXtal_Prot#'!$A:$AL,20,FALSE)</f>
        <v>-</v>
      </c>
      <c r="AJ381" s="5">
        <f>VLOOKUP($A381,'SegEnds_NonXtal_Prot#'!$A:$AL,23,FALSE)</f>
        <v>717</v>
      </c>
      <c r="AK381" s="5">
        <f>VLOOKUP($A381,'SegEnds_NonXtal_Prot#'!$A:$AL,26,FALSE)</f>
        <v>744</v>
      </c>
      <c r="AL381" s="5">
        <f>VLOOKUP($A381,'SegEnds_NonXtal_Prot#'!$A:$AL,29,FALSE)</f>
        <v>770</v>
      </c>
      <c r="AM381" s="5">
        <f>VLOOKUP($A381,'SegEnds_NonXtal_Prot#'!$A:$AL,32,FALSE)</f>
        <v>803</v>
      </c>
      <c r="AN381" s="5">
        <f>VLOOKUP($A381,'SegEnds_NonXtal_Prot#'!$A:$AL,35,FALSE)</f>
        <v>843</v>
      </c>
      <c r="AO381" s="5">
        <f>VLOOKUP($A381,'SegEnds_NonXtal_Prot#'!$A:$AL,38,FALSE)</f>
        <v>856</v>
      </c>
      <c r="AP381" s="5">
        <f t="shared" si="138"/>
        <v>26</v>
      </c>
      <c r="AQ381" s="4">
        <f t="shared" si="139"/>
        <v>6</v>
      </c>
      <c r="AR381" s="4">
        <f t="shared" si="140"/>
        <v>22</v>
      </c>
      <c r="AS381" s="4" t="str">
        <f t="shared" si="141"/>
        <v>-</v>
      </c>
      <c r="AT381" s="4">
        <f t="shared" si="142"/>
        <v>32</v>
      </c>
      <c r="AU381" s="4" t="str">
        <f t="shared" si="143"/>
        <v>-</v>
      </c>
      <c r="AV381" s="4">
        <f t="shared" si="144"/>
        <v>26</v>
      </c>
      <c r="AW381" s="4">
        <f t="shared" si="145"/>
        <v>2</v>
      </c>
      <c r="AX381" s="4">
        <f t="shared" si="146"/>
        <v>24</v>
      </c>
      <c r="AY381" s="4">
        <f t="shared" si="147"/>
        <v>24</v>
      </c>
      <c r="AZ381" s="4">
        <f t="shared" si="148"/>
        <v>29</v>
      </c>
      <c r="BA381" s="4">
        <f t="shared" si="149"/>
        <v>12</v>
      </c>
    </row>
    <row r="382" spans="1:53" x14ac:dyDescent="0.2">
      <c r="A382" s="1" t="str">
        <f>'SegEnds_NonXtal_Prot#'!A380</f>
        <v>nk3r_human</v>
      </c>
      <c r="B382" s="1" t="str">
        <f t="shared" si="125"/>
        <v>RIALWSLAYGVVVAVAVLGNLIVIWIILAHTVTNYFLVNLAFSDASMAAFNTLVNFIYALHGANYCRFQNFFPITAVFASIYSMTAIAVDRYMAIIDSATATKIVIGSIWILAFLLAFPQCLYSPKQHFTYHIIVIILVYCFPLLIMGITYTIVGITLWGGEIPGDKYHEQLKAKRKVVKMMIIVVMTFAICWLPYHIYFILTAIYWKYIQQVYLASFWLAMSSTMYNPIIYCCLNKRFRAGFKRAF</v>
      </c>
      <c r="C382" s="29" t="str">
        <f>IF(ISERROR(MATCH(A382,'SegEnds_Xtal_Prot#'!B:B, 0)), "NoXtal", "Xtal")</f>
        <v>NoXtal</v>
      </c>
      <c r="D382" s="4" t="str">
        <f>VLOOKUP(A382,Classification!A:D,2,FALSE)</f>
        <v>A</v>
      </c>
      <c r="E382" s="5" t="str">
        <f>VLOOKUP(A382,Seqs!A:B,2,FALSE)</f>
        <v>MATLPAAETWIDGGGGVGADAVNLTASLAAGAATGAVETGWLQLLDQAGNLSSSPSALGLPVASPAPSQPWANLTNQFVQPSWRIALWSLAYGVVVAVAVLGNLIVIWIILAHKRMRTVTNYFLVNLAFSDASMAAFNTLVNFIYALHSEWYFGANYCRFQNFFPITAVFASIYSMTAIAVDRYMAIIDPLKPRLSATATKIVIGSIWILAFLLAFPQCLYSKTKVMPGRTLCFVQWPEGPKQHFTYHIIVIILVYCFPLLIMGITYTIVGITLWGGEIPGDTCDKYHEQLKAKRKVVKMMIIVVMTFAICWLPYHIYFILTAIYQQLNRWKYIQQVYLASFWLAMSSTMYNPIIYCCLNKRFRAGFKRAFRWCPFIKVSSYDELELKTTRFHPNRQSSMYTVTRMESMTVVFDPNDADTTRSSRKKRATPRDPSFNGCSRRNSKSASATSSFISSPYTSVDEYS</v>
      </c>
      <c r="F382" s="5" t="str">
        <f t="shared" si="126"/>
        <v>RIALWSLAYGVVVAVAVLGNLIVIWIILAH</v>
      </c>
      <c r="G382" s="4" t="str">
        <f t="shared" si="127"/>
        <v>KRMR</v>
      </c>
      <c r="H382" s="4" t="str">
        <f t="shared" si="128"/>
        <v>TVTNYFLVNLAFSDASMAAFNTLVNFIYALH</v>
      </c>
      <c r="I382" s="4" t="str">
        <f t="shared" si="129"/>
        <v>EWYF</v>
      </c>
      <c r="J382" s="4" t="str">
        <f t="shared" si="130"/>
        <v>GANYCRFQNFFPITAVFASIYSMTAIAVDRYMAIID</v>
      </c>
      <c r="K382" s="4" t="str">
        <f t="shared" si="131"/>
        <v/>
      </c>
      <c r="L382" s="4" t="str">
        <f t="shared" si="132"/>
        <v>SATATKIVIGSIWILAFLLAFPQCLYS</v>
      </c>
      <c r="M382" s="4" t="str">
        <f t="shared" si="133"/>
        <v>CFV</v>
      </c>
      <c r="N382" s="4" t="str">
        <f t="shared" si="134"/>
        <v>PKQHFTYHIIVIILVYCFPLLIMGITYTIVGITLWGGEIPGD</v>
      </c>
      <c r="O382" s="4" t="str">
        <f t="shared" si="135"/>
        <v>KYHEQLKAKRKVVKMMIIVVMTFAICWLPYHIYFILTAIY</v>
      </c>
      <c r="P382" s="4" t="str">
        <f t="shared" si="136"/>
        <v>WKYIQQVYLASFWLAMSSTMYNPIIYCCL</v>
      </c>
      <c r="Q382" s="4" t="str">
        <f t="shared" si="137"/>
        <v>NKRFRAGFKRAF</v>
      </c>
      <c r="R382" s="5">
        <f>VLOOKUP($A382,'SegEnds_NonXtal_Prot#'!$A:$AL,3,FALSE)</f>
        <v>84</v>
      </c>
      <c r="S382" s="5">
        <f>VLOOKUP($A382,'SegEnds_NonXtal_Prot#'!$A:$AL,6,FALSE)</f>
        <v>114</v>
      </c>
      <c r="T382" s="5">
        <f>VLOOKUP($A382,'SegEnds_NonXtal_Prot#'!$A:$AL,9,FALSE)</f>
        <v>118</v>
      </c>
      <c r="U382" s="5">
        <f>VLOOKUP($A382,'SegEnds_NonXtal_Prot#'!$A:$AL,12,FALSE)</f>
        <v>150</v>
      </c>
      <c r="V382" s="5">
        <f>VLOOKUP($A382,'SegEnds_NonXtal_Prot#'!$A:$AL,15,FALSE)</f>
        <v>154</v>
      </c>
      <c r="W382" s="5" t="str">
        <f>VLOOKUP($A382,'SegEnds_NonXtal_Prot#'!$A:$AL,18,FALSE)</f>
        <v>-</v>
      </c>
      <c r="X382" s="5">
        <f>VLOOKUP($A382,'SegEnds_NonXtal_Prot#'!$A:$AL,21,FALSE)</f>
        <v>196</v>
      </c>
      <c r="Y382" s="5">
        <f>VLOOKUP($A382,'SegEnds_NonXtal_Prot#'!$A:$AL,24,FALSE)</f>
        <v>233</v>
      </c>
      <c r="Z382" s="5">
        <f>VLOOKUP($A382,'SegEnds_NonXtal_Prot#'!$A:$AL,27,FALSE)</f>
        <v>241</v>
      </c>
      <c r="AA382" s="5">
        <f>VLOOKUP($A382,'SegEnds_NonXtal_Prot#'!$A:$AL,30,FALSE)</f>
        <v>286</v>
      </c>
      <c r="AB382" s="5">
        <f>VLOOKUP($A382,'SegEnds_NonXtal_Prot#'!$A:$AL,33,FALSE)</f>
        <v>331</v>
      </c>
      <c r="AC382" s="5">
        <f>VLOOKUP($A382,'SegEnds_NonXtal_Prot#'!$A:$AL,36,FALSE)</f>
        <v>360</v>
      </c>
      <c r="AD382" s="5">
        <f>VLOOKUP($A382,'SegEnds_NonXtal_Prot#'!$A:$AL,5,FALSE)</f>
        <v>113</v>
      </c>
      <c r="AE382" s="5">
        <f>VLOOKUP($A382,'SegEnds_NonXtal_Prot#'!$A:$AL,8,FALSE)</f>
        <v>117</v>
      </c>
      <c r="AF382" s="5">
        <f>VLOOKUP($A382,'SegEnds_NonXtal_Prot#'!$A:$AL,11,FALSE)</f>
        <v>148</v>
      </c>
      <c r="AG382" s="5">
        <f>VLOOKUP($A382,'SegEnds_NonXtal_Prot#'!$A:$AL,14,FALSE)</f>
        <v>153</v>
      </c>
      <c r="AH382" s="5">
        <f>VLOOKUP($A382,'SegEnds_NonXtal_Prot#'!$A:$AL,17,FALSE)</f>
        <v>189</v>
      </c>
      <c r="AI382" s="5" t="str">
        <f>VLOOKUP($A382,'SegEnds_NonXtal_Prot#'!$A:$AL,20,FALSE)</f>
        <v>-</v>
      </c>
      <c r="AJ382" s="5">
        <f>VLOOKUP($A382,'SegEnds_NonXtal_Prot#'!$A:$AL,23,FALSE)</f>
        <v>222</v>
      </c>
      <c r="AK382" s="5">
        <f>VLOOKUP($A382,'SegEnds_NonXtal_Prot#'!$A:$AL,26,FALSE)</f>
        <v>235</v>
      </c>
      <c r="AL382" s="5">
        <f>VLOOKUP($A382,'SegEnds_NonXtal_Prot#'!$A:$AL,29,FALSE)</f>
        <v>282</v>
      </c>
      <c r="AM382" s="5">
        <f>VLOOKUP($A382,'SegEnds_NonXtal_Prot#'!$A:$AL,32,FALSE)</f>
        <v>325</v>
      </c>
      <c r="AN382" s="5">
        <f>VLOOKUP($A382,'SegEnds_NonXtal_Prot#'!$A:$AL,35,FALSE)</f>
        <v>359</v>
      </c>
      <c r="AO382" s="5">
        <f>VLOOKUP($A382,'SegEnds_NonXtal_Prot#'!$A:$AL,38,FALSE)</f>
        <v>371</v>
      </c>
      <c r="AP382" s="5">
        <f t="shared" si="138"/>
        <v>29</v>
      </c>
      <c r="AQ382" s="4">
        <f t="shared" si="139"/>
        <v>3</v>
      </c>
      <c r="AR382" s="4">
        <f t="shared" si="140"/>
        <v>30</v>
      </c>
      <c r="AS382" s="4">
        <f t="shared" si="141"/>
        <v>3</v>
      </c>
      <c r="AT382" s="4">
        <f t="shared" si="142"/>
        <v>35</v>
      </c>
      <c r="AU382" s="4" t="str">
        <f t="shared" si="143"/>
        <v>-</v>
      </c>
      <c r="AV382" s="4">
        <f t="shared" si="144"/>
        <v>26</v>
      </c>
      <c r="AW382" s="4">
        <f t="shared" si="145"/>
        <v>2</v>
      </c>
      <c r="AX382" s="4">
        <f t="shared" si="146"/>
        <v>41</v>
      </c>
      <c r="AY382" s="4">
        <f t="shared" si="147"/>
        <v>39</v>
      </c>
      <c r="AZ382" s="4">
        <f t="shared" si="148"/>
        <v>28</v>
      </c>
      <c r="BA382" s="4">
        <f t="shared" si="149"/>
        <v>11</v>
      </c>
    </row>
    <row r="383" spans="1:53" x14ac:dyDescent="0.2">
      <c r="A383" s="1" t="str">
        <f>'SegEnds_NonXtal_Prot#'!A381</f>
        <v>npbw1_human</v>
      </c>
      <c r="B383" s="1" t="str">
        <f t="shared" si="125"/>
        <v>PLAVAVPVVYAVICAVGLAGNSAVLYVLLRATVTNLFILNLAIADELFTLVLPINIADFLLGELMCKLIVAIDQYNTFSSLYFLTVMSADRYLVVLATYSAARAVSLAVWGIVTLVVLPFAVFAEAFWWRASRLYTLVLGFAIPVSTICVLYTTLLCRLHAMAKALERAKKRVTFLVVAILAVCLLCWTPYHLSTVVALTTTPLVIAISYFITSLSYANSCLNPFLYAFLDASFRRNLRQLIT</v>
      </c>
      <c r="C383" s="29" t="str">
        <f>IF(ISERROR(MATCH(A383,'SegEnds_Xtal_Prot#'!B:B, 0)), "NoXtal", "Xtal")</f>
        <v>NoXtal</v>
      </c>
      <c r="D383" s="4" t="str">
        <f>VLOOKUP(A383,Classification!A:D,2,FALSE)</f>
        <v>A</v>
      </c>
      <c r="E383" s="5" t="str">
        <f>VLOOKUP(A383,Seqs!A:B,2,FALSE)</f>
        <v>MDNASFSEPWPANASGPDPALSCSNASTLAPLPAPLAVAVPVVYAVICAVGLAGNSAVLYVLLRAPRMKTVTNLFILNLAIADELFTLVLPINIADFLLRQWPFGELMCKLIVAIDQYNTFSSLYFLTVMSADRYLVVLATAESRRVAGRTYSAARAVSLAVWGIVTLVVLPFAVFARLDDEQGRRQCVLVFPQPEAFWWRASRLYTLVLGFAIPVSTICVLYTTLLCRLHAMRLDSHAKALERAKKRVTFLVVAILAVCLLCWTPYHLSTVVALTTDLPQTPLVIAISYFITSLSYANSCLNPFLYAFLDASFRRNLRQLITCRAAA</v>
      </c>
      <c r="F383" s="5" t="str">
        <f t="shared" si="126"/>
        <v>PLAVAVPVVYAVICAVGLAGNSAVLYVLLRA</v>
      </c>
      <c r="G383" s="4" t="str">
        <f t="shared" si="127"/>
        <v>PRMK</v>
      </c>
      <c r="H383" s="4" t="str">
        <f t="shared" si="128"/>
        <v>TVTNLFILNLAIADELFTLVLPINIADFLL</v>
      </c>
      <c r="I383" s="4" t="str">
        <f t="shared" si="129"/>
        <v>QWPF</v>
      </c>
      <c r="J383" s="4" t="str">
        <f t="shared" si="130"/>
        <v>GELMCKLIVAIDQYNTFSSLYFLTVMSADRYLVVLA</v>
      </c>
      <c r="K383" s="4" t="str">
        <f t="shared" si="131"/>
        <v/>
      </c>
      <c r="L383" s="4" t="str">
        <f t="shared" si="132"/>
        <v>TYSAARAVSLAVWGIVTLVVLPFAVFA</v>
      </c>
      <c r="M383" s="4" t="str">
        <f t="shared" si="133"/>
        <v>CVL</v>
      </c>
      <c r="N383" s="4" t="str">
        <f t="shared" si="134"/>
        <v>EAFWWRASRLYTLVLGFAIPVSTICVLYTTLLCRLHAM</v>
      </c>
      <c r="O383" s="4" t="str">
        <f t="shared" si="135"/>
        <v>AKALERAKKRVTFLVVAILAVCLLCWTPYHLSTVVALTT</v>
      </c>
      <c r="P383" s="4" t="str">
        <f t="shared" si="136"/>
        <v>TPLVIAISYFITSLSYANSCLNPFLYAFL</v>
      </c>
      <c r="Q383" s="4" t="str">
        <f t="shared" si="137"/>
        <v>DASFRRNLRQLIT</v>
      </c>
      <c r="R383" s="5">
        <f>VLOOKUP($A383,'SegEnds_NonXtal_Prot#'!$A:$AL,3,FALSE)</f>
        <v>35</v>
      </c>
      <c r="S383" s="5">
        <f>VLOOKUP($A383,'SegEnds_NonXtal_Prot#'!$A:$AL,6,FALSE)</f>
        <v>66</v>
      </c>
      <c r="T383" s="5">
        <f>VLOOKUP($A383,'SegEnds_NonXtal_Prot#'!$A:$AL,9,FALSE)</f>
        <v>70</v>
      </c>
      <c r="U383" s="5">
        <f>VLOOKUP($A383,'SegEnds_NonXtal_Prot#'!$A:$AL,12,FALSE)</f>
        <v>101</v>
      </c>
      <c r="V383" s="5">
        <f>VLOOKUP($A383,'SegEnds_NonXtal_Prot#'!$A:$AL,15,FALSE)</f>
        <v>105</v>
      </c>
      <c r="W383" s="5" t="str">
        <f>VLOOKUP($A383,'SegEnds_NonXtal_Prot#'!$A:$AL,18,FALSE)</f>
        <v>-</v>
      </c>
      <c r="X383" s="5">
        <f>VLOOKUP($A383,'SegEnds_NonXtal_Prot#'!$A:$AL,21,FALSE)</f>
        <v>151</v>
      </c>
      <c r="Y383" s="5">
        <f>VLOOKUP($A383,'SegEnds_NonXtal_Prot#'!$A:$AL,24,FALSE)</f>
        <v>188</v>
      </c>
      <c r="Z383" s="5">
        <f>VLOOKUP($A383,'SegEnds_NonXtal_Prot#'!$A:$AL,27,FALSE)</f>
        <v>196</v>
      </c>
      <c r="AA383" s="5">
        <f>VLOOKUP($A383,'SegEnds_NonXtal_Prot#'!$A:$AL,30,FALSE)</f>
        <v>239</v>
      </c>
      <c r="AB383" s="5">
        <f>VLOOKUP($A383,'SegEnds_NonXtal_Prot#'!$A:$AL,33,FALSE)</f>
        <v>282</v>
      </c>
      <c r="AC383" s="5">
        <f>VLOOKUP($A383,'SegEnds_NonXtal_Prot#'!$A:$AL,36,FALSE)</f>
        <v>311</v>
      </c>
      <c r="AD383" s="5">
        <f>VLOOKUP($A383,'SegEnds_NonXtal_Prot#'!$A:$AL,5,FALSE)</f>
        <v>65</v>
      </c>
      <c r="AE383" s="5">
        <f>VLOOKUP($A383,'SegEnds_NonXtal_Prot#'!$A:$AL,8,FALSE)</f>
        <v>69</v>
      </c>
      <c r="AF383" s="5">
        <f>VLOOKUP($A383,'SegEnds_NonXtal_Prot#'!$A:$AL,11,FALSE)</f>
        <v>99</v>
      </c>
      <c r="AG383" s="5">
        <f>VLOOKUP($A383,'SegEnds_NonXtal_Prot#'!$A:$AL,14,FALSE)</f>
        <v>104</v>
      </c>
      <c r="AH383" s="5">
        <f>VLOOKUP($A383,'SegEnds_NonXtal_Prot#'!$A:$AL,17,FALSE)</f>
        <v>140</v>
      </c>
      <c r="AI383" s="5" t="str">
        <f>VLOOKUP($A383,'SegEnds_NonXtal_Prot#'!$A:$AL,20,FALSE)</f>
        <v>-</v>
      </c>
      <c r="AJ383" s="5">
        <f>VLOOKUP($A383,'SegEnds_NonXtal_Prot#'!$A:$AL,23,FALSE)</f>
        <v>177</v>
      </c>
      <c r="AK383" s="5">
        <f>VLOOKUP($A383,'SegEnds_NonXtal_Prot#'!$A:$AL,26,FALSE)</f>
        <v>190</v>
      </c>
      <c r="AL383" s="5">
        <f>VLOOKUP($A383,'SegEnds_NonXtal_Prot#'!$A:$AL,29,FALSE)</f>
        <v>233</v>
      </c>
      <c r="AM383" s="5">
        <f>VLOOKUP($A383,'SegEnds_NonXtal_Prot#'!$A:$AL,32,FALSE)</f>
        <v>277</v>
      </c>
      <c r="AN383" s="5">
        <f>VLOOKUP($A383,'SegEnds_NonXtal_Prot#'!$A:$AL,35,FALSE)</f>
        <v>310</v>
      </c>
      <c r="AO383" s="5">
        <f>VLOOKUP($A383,'SegEnds_NonXtal_Prot#'!$A:$AL,38,FALSE)</f>
        <v>323</v>
      </c>
      <c r="AP383" s="5">
        <f t="shared" si="138"/>
        <v>30</v>
      </c>
      <c r="AQ383" s="4">
        <f t="shared" si="139"/>
        <v>3</v>
      </c>
      <c r="AR383" s="4">
        <f t="shared" si="140"/>
        <v>29</v>
      </c>
      <c r="AS383" s="4">
        <f t="shared" si="141"/>
        <v>3</v>
      </c>
      <c r="AT383" s="4">
        <f t="shared" si="142"/>
        <v>35</v>
      </c>
      <c r="AU383" s="4" t="str">
        <f t="shared" si="143"/>
        <v>-</v>
      </c>
      <c r="AV383" s="4">
        <f t="shared" si="144"/>
        <v>26</v>
      </c>
      <c r="AW383" s="4">
        <f t="shared" si="145"/>
        <v>2</v>
      </c>
      <c r="AX383" s="4">
        <f t="shared" si="146"/>
        <v>37</v>
      </c>
      <c r="AY383" s="4">
        <f t="shared" si="147"/>
        <v>38</v>
      </c>
      <c r="AZ383" s="4">
        <f t="shared" si="148"/>
        <v>28</v>
      </c>
      <c r="BA383" s="4">
        <f t="shared" si="149"/>
        <v>12</v>
      </c>
    </row>
    <row r="384" spans="1:53" x14ac:dyDescent="0.2">
      <c r="A384" s="1" t="str">
        <f>'SegEnds_NonXtal_Prot#'!A379</f>
        <v>nk2r_human</v>
      </c>
      <c r="B384" s="1" t="str">
        <f t="shared" si="125"/>
        <v>LALWATAYLALVLVAVTGNAIVIWIILAHTVTNYFIVNLALADLCMAAFNAAFNFVYASHGRAFCYFQNLFPITAMFVSIYSMTAIAADRYMAIVHSAPSTKAVIAGIWLVALALASPQCFYSGKTLLLYHLVVIALIYFLPLAVMFVAYSVIGLTLWRRAVPGHANLRHLQAMKKFVKTMVLVVLTFAICWLPYHLYFILGSFQHKFIQQVYLALFWLAMSSTMYNPIIYCCLNHRFRSGFRLAF</v>
      </c>
      <c r="C384" s="29" t="str">
        <f>IF(ISERROR(MATCH(A384,'SegEnds_Xtal_Prot#'!B:B, 0)), "NoXtal", "Xtal")</f>
        <v>NoXtal</v>
      </c>
      <c r="D384" s="4" t="str">
        <f>VLOOKUP(A384,Classification!A:D,2,FALSE)</f>
        <v>A</v>
      </c>
      <c r="E384" s="5" t="str">
        <f>VLOOKUP(A384,Seqs!A:B,2,FALSE)</f>
        <v>MGTCDIVTEANISSGPESNTTGITAFSMPSWQLALWATAYLALVLVAVTGNAIVIWIILAHRRMRTVTNYFIVNLALADLCMAAFNAAFNFVYASHNIWYFGRAFCYFQNLFPITAMFVSIYSMTAIAADRYMAIVHPFQPRLSAPSTKAVIAGIWLVALALASPQCFYSTVTMDQGATKCVVAWPEDSGGKTLLLYHLVVIALIYFLPLAVMFVAYSVIGLTLWRRAVPGHQAHGANLRHLQAMKKFVKTMVLVVLTFAICWLPYHLYFILGSFQEDIYCHKFIQQVYLALFWLAMSSTMYNPIIYCCLNHRFRSGFRLAFRCCPWVTPTKEDKLELTPTTSLSTRVNRCHTKETLFMAGDTAPSEATSGEAGRPQDGSGLWFGYGLLAPTKTHVEI</v>
      </c>
      <c r="F384" s="5" t="str">
        <f t="shared" si="126"/>
        <v>LALWATAYLALVLVAVTGNAIVIWIILAH</v>
      </c>
      <c r="G384" s="4" t="str">
        <f t="shared" si="127"/>
        <v>RRMR</v>
      </c>
      <c r="H384" s="4" t="str">
        <f t="shared" si="128"/>
        <v>TVTNYFIVNLALADLCMAAFNAAFNFVYASH</v>
      </c>
      <c r="I384" s="4" t="str">
        <f t="shared" si="129"/>
        <v>IWYF</v>
      </c>
      <c r="J384" s="4" t="str">
        <f t="shared" si="130"/>
        <v>GRAFCYFQNLFPITAMFVSIYSMTAIAADRYMAIVH</v>
      </c>
      <c r="K384" s="4" t="str">
        <f t="shared" si="131"/>
        <v/>
      </c>
      <c r="L384" s="4" t="str">
        <f t="shared" si="132"/>
        <v>SAPSTKAVIAGIWLVALALASPQCFYS</v>
      </c>
      <c r="M384" s="4" t="str">
        <f t="shared" si="133"/>
        <v>CVV</v>
      </c>
      <c r="N384" s="4" t="str">
        <f t="shared" si="134"/>
        <v>GKTLLLYHLVVIALIYFLPLAVMFVAYSVIGLTLWRRAVPGH</v>
      </c>
      <c r="O384" s="4" t="str">
        <f t="shared" si="135"/>
        <v>ANLRHLQAMKKFVKTMVLVVLTFAICWLPYHLYFILGSFQ</v>
      </c>
      <c r="P384" s="4" t="str">
        <f t="shared" si="136"/>
        <v>HKFIQQVYLALFWLAMSSTMYNPIIYCCL</v>
      </c>
      <c r="Q384" s="4" t="str">
        <f t="shared" si="137"/>
        <v>NHRFRSGFRLAF</v>
      </c>
      <c r="R384" s="5">
        <f>VLOOKUP($A384,'SegEnds_NonXtal_Prot#'!$A:$AL,3,FALSE)</f>
        <v>33</v>
      </c>
      <c r="S384" s="5">
        <f>VLOOKUP($A384,'SegEnds_NonXtal_Prot#'!$A:$AL,6,FALSE)</f>
        <v>62</v>
      </c>
      <c r="T384" s="5">
        <f>VLOOKUP($A384,'SegEnds_NonXtal_Prot#'!$A:$AL,9,FALSE)</f>
        <v>66</v>
      </c>
      <c r="U384" s="5">
        <f>VLOOKUP($A384,'SegEnds_NonXtal_Prot#'!$A:$AL,12,FALSE)</f>
        <v>98</v>
      </c>
      <c r="V384" s="5">
        <f>VLOOKUP($A384,'SegEnds_NonXtal_Prot#'!$A:$AL,15,FALSE)</f>
        <v>102</v>
      </c>
      <c r="W384" s="5" t="str">
        <f>VLOOKUP($A384,'SegEnds_NonXtal_Prot#'!$A:$AL,18,FALSE)</f>
        <v>-</v>
      </c>
      <c r="X384" s="5">
        <f>VLOOKUP($A384,'SegEnds_NonXtal_Prot#'!$A:$AL,21,FALSE)</f>
        <v>144</v>
      </c>
      <c r="Y384" s="5">
        <f>VLOOKUP($A384,'SegEnds_NonXtal_Prot#'!$A:$AL,24,FALSE)</f>
        <v>181</v>
      </c>
      <c r="Z384" s="5">
        <f>VLOOKUP($A384,'SegEnds_NonXtal_Prot#'!$A:$AL,27,FALSE)</f>
        <v>191</v>
      </c>
      <c r="AA384" s="5">
        <f>VLOOKUP($A384,'SegEnds_NonXtal_Prot#'!$A:$AL,30,FALSE)</f>
        <v>237</v>
      </c>
      <c r="AB384" s="5">
        <f>VLOOKUP($A384,'SegEnds_NonXtal_Prot#'!$A:$AL,33,FALSE)</f>
        <v>282</v>
      </c>
      <c r="AC384" s="5">
        <f>VLOOKUP($A384,'SegEnds_NonXtal_Prot#'!$A:$AL,36,FALSE)</f>
        <v>311</v>
      </c>
      <c r="AD384" s="5">
        <f>VLOOKUP($A384,'SegEnds_NonXtal_Prot#'!$A:$AL,5,FALSE)</f>
        <v>61</v>
      </c>
      <c r="AE384" s="5">
        <f>VLOOKUP($A384,'SegEnds_NonXtal_Prot#'!$A:$AL,8,FALSE)</f>
        <v>65</v>
      </c>
      <c r="AF384" s="5">
        <f>VLOOKUP($A384,'SegEnds_NonXtal_Prot#'!$A:$AL,11,FALSE)</f>
        <v>96</v>
      </c>
      <c r="AG384" s="5">
        <f>VLOOKUP($A384,'SegEnds_NonXtal_Prot#'!$A:$AL,14,FALSE)</f>
        <v>101</v>
      </c>
      <c r="AH384" s="5">
        <f>VLOOKUP($A384,'SegEnds_NonXtal_Prot#'!$A:$AL,17,FALSE)</f>
        <v>137</v>
      </c>
      <c r="AI384" s="5" t="str">
        <f>VLOOKUP($A384,'SegEnds_NonXtal_Prot#'!$A:$AL,20,FALSE)</f>
        <v>-</v>
      </c>
      <c r="AJ384" s="5">
        <f>VLOOKUP($A384,'SegEnds_NonXtal_Prot#'!$A:$AL,23,FALSE)</f>
        <v>170</v>
      </c>
      <c r="AK384" s="5">
        <f>VLOOKUP($A384,'SegEnds_NonXtal_Prot#'!$A:$AL,26,FALSE)</f>
        <v>183</v>
      </c>
      <c r="AL384" s="5">
        <f>VLOOKUP($A384,'SegEnds_NonXtal_Prot#'!$A:$AL,29,FALSE)</f>
        <v>232</v>
      </c>
      <c r="AM384" s="5">
        <f>VLOOKUP($A384,'SegEnds_NonXtal_Prot#'!$A:$AL,32,FALSE)</f>
        <v>276</v>
      </c>
      <c r="AN384" s="5">
        <f>VLOOKUP($A384,'SegEnds_NonXtal_Prot#'!$A:$AL,35,FALSE)</f>
        <v>310</v>
      </c>
      <c r="AO384" s="5">
        <f>VLOOKUP($A384,'SegEnds_NonXtal_Prot#'!$A:$AL,38,FALSE)</f>
        <v>322</v>
      </c>
      <c r="AP384" s="5">
        <f t="shared" si="138"/>
        <v>28</v>
      </c>
      <c r="AQ384" s="4">
        <f t="shared" si="139"/>
        <v>3</v>
      </c>
      <c r="AR384" s="4">
        <f t="shared" si="140"/>
        <v>30</v>
      </c>
      <c r="AS384" s="4">
        <f t="shared" si="141"/>
        <v>3</v>
      </c>
      <c r="AT384" s="4">
        <f t="shared" si="142"/>
        <v>35</v>
      </c>
      <c r="AU384" s="4" t="str">
        <f t="shared" si="143"/>
        <v>-</v>
      </c>
      <c r="AV384" s="4">
        <f t="shared" si="144"/>
        <v>26</v>
      </c>
      <c r="AW384" s="4">
        <f t="shared" si="145"/>
        <v>2</v>
      </c>
      <c r="AX384" s="4">
        <f t="shared" si="146"/>
        <v>41</v>
      </c>
      <c r="AY384" s="4">
        <f t="shared" si="147"/>
        <v>39</v>
      </c>
      <c r="AZ384" s="4">
        <f t="shared" si="148"/>
        <v>28</v>
      </c>
      <c r="BA384" s="4">
        <f t="shared" si="149"/>
        <v>11</v>
      </c>
    </row>
    <row r="385" spans="1:53" x14ac:dyDescent="0.2">
      <c r="A385" s="1" t="str">
        <f>'SegEnds_NonXtal_Prot#'!A382</f>
        <v>npbw2_human</v>
      </c>
      <c r="B385" s="1" t="str">
        <f t="shared" si="125"/>
        <v>ATFSEPLPFLYVLLPAVYSGICAVGLTGNTAVILVILRATVTNVFILNLAVADGLFTLVLPVNIAEHLLGELLCKLVLAVDHYNIFSSIYFLAVMSVDRYLVVLATYRGAKVASLCVWLGVTVLVLPFFSFAEQVWFKASRVYTLVLGFVLPVCTICVLYTDLLRRLRAVAKALGKARRKVTVLVLVVLAVCLLCWTPFHLASVVALTTTPLVISMSYVITSLSYANSCLNPFLYAFLDDNFRKNFRSILRC</v>
      </c>
      <c r="C385" s="29" t="str">
        <f>IF(ISERROR(MATCH(A385,'SegEnds_Xtal_Prot#'!B:B, 0)), "NoXtal", "Xtal")</f>
        <v>NoXtal</v>
      </c>
      <c r="D385" s="4" t="str">
        <f>VLOOKUP(A385,Classification!A:D,2,FALSE)</f>
        <v>A</v>
      </c>
      <c r="E385" s="5" t="str">
        <f>VLOOKUP(A385,Seqs!A:B,2,FALSE)</f>
        <v>MQAAGHPEPLDSRGSFSLPTMGANVSQDNGTGHNATFSEPLPFLYVLLPAVYSGICAVGLTGNTAVILVILRAPKMKTVTNVFILNLAVADGLFTLVLPVNIAEHLLQYWPFGELLCKLVLAVDHYNIFSSIYFLAVMSVDRYLVVLATVRSRHMPWRTYRGAKVASLCVWLGVTVLVLPFFSFAGVYSNELQVPSCGLSFPWPEQVWFKASRVYTLVLGFVLPVCTICVLYTDLLRRLRAVRLRSGAKALGKARRKVTVLVLVVLAVCLLCWTPFHLASVVALTTDLPQTPLVISMSYVITSLSYANSCLNPFLYAFLDDNFRKNFRSILRC</v>
      </c>
      <c r="F385" s="5" t="str">
        <f t="shared" si="126"/>
        <v>ATFSEPLPFLYVLLPAVYSGICAVGLTGNTAVILVILRA</v>
      </c>
      <c r="G385" s="4" t="str">
        <f t="shared" si="127"/>
        <v>PKMK</v>
      </c>
      <c r="H385" s="4" t="str">
        <f t="shared" si="128"/>
        <v>TVTNVFILNLAVADGLFTLVLPVNIAEHLL</v>
      </c>
      <c r="I385" s="4" t="str">
        <f t="shared" si="129"/>
        <v>YWPF</v>
      </c>
      <c r="J385" s="4" t="str">
        <f t="shared" si="130"/>
        <v>GELLCKLVLAVDHYNIFSSIYFLAVMSVDRYLVVLA</v>
      </c>
      <c r="K385" s="4" t="str">
        <f t="shared" si="131"/>
        <v/>
      </c>
      <c r="L385" s="4" t="str">
        <f t="shared" si="132"/>
        <v>TYRGAKVASLCVWLGVTVLVLPFFSFA</v>
      </c>
      <c r="M385" s="4" t="str">
        <f t="shared" si="133"/>
        <v>CGL</v>
      </c>
      <c r="N385" s="4" t="str">
        <f t="shared" si="134"/>
        <v>EQVWFKASRVYTLVLGFVLPVCTICVLYTDLLRRLRAV</v>
      </c>
      <c r="O385" s="4" t="str">
        <f t="shared" si="135"/>
        <v>AKALGKARRKVTVLVLVVLAVCLLCWTPFHLASVVALTT</v>
      </c>
      <c r="P385" s="4" t="str">
        <f t="shared" si="136"/>
        <v>TPLVISMSYVITSLSYANSCLNPFLYAFL</v>
      </c>
      <c r="Q385" s="4" t="str">
        <f t="shared" si="137"/>
        <v>DDNFRKNFRSILRC</v>
      </c>
      <c r="R385" s="5">
        <f>VLOOKUP($A385,'SegEnds_NonXtal_Prot#'!$A:$AL,3,FALSE)</f>
        <v>35</v>
      </c>
      <c r="S385" s="5">
        <f>VLOOKUP($A385,'SegEnds_NonXtal_Prot#'!$A:$AL,6,FALSE)</f>
        <v>74</v>
      </c>
      <c r="T385" s="5">
        <f>VLOOKUP($A385,'SegEnds_NonXtal_Prot#'!$A:$AL,9,FALSE)</f>
        <v>78</v>
      </c>
      <c r="U385" s="5">
        <f>VLOOKUP($A385,'SegEnds_NonXtal_Prot#'!$A:$AL,12,FALSE)</f>
        <v>109</v>
      </c>
      <c r="V385" s="5">
        <f>VLOOKUP($A385,'SegEnds_NonXtal_Prot#'!$A:$AL,15,FALSE)</f>
        <v>113</v>
      </c>
      <c r="W385" s="5" t="str">
        <f>VLOOKUP($A385,'SegEnds_NonXtal_Prot#'!$A:$AL,18,FALSE)</f>
        <v>-</v>
      </c>
      <c r="X385" s="5">
        <f>VLOOKUP($A385,'SegEnds_NonXtal_Prot#'!$A:$AL,21,FALSE)</f>
        <v>159</v>
      </c>
      <c r="Y385" s="5">
        <f>VLOOKUP($A385,'SegEnds_NonXtal_Prot#'!$A:$AL,24,FALSE)</f>
        <v>197</v>
      </c>
      <c r="Z385" s="5">
        <f>VLOOKUP($A385,'SegEnds_NonXtal_Prot#'!$A:$AL,27,FALSE)</f>
        <v>205</v>
      </c>
      <c r="AA385" s="5">
        <f>VLOOKUP($A385,'SegEnds_NonXtal_Prot#'!$A:$AL,30,FALSE)</f>
        <v>248</v>
      </c>
      <c r="AB385" s="5">
        <f>VLOOKUP($A385,'SegEnds_NonXtal_Prot#'!$A:$AL,33,FALSE)</f>
        <v>291</v>
      </c>
      <c r="AC385" s="5">
        <f>VLOOKUP($A385,'SegEnds_NonXtal_Prot#'!$A:$AL,36,FALSE)</f>
        <v>320</v>
      </c>
      <c r="AD385" s="5">
        <f>VLOOKUP($A385,'SegEnds_NonXtal_Prot#'!$A:$AL,5,FALSE)</f>
        <v>73</v>
      </c>
      <c r="AE385" s="5">
        <f>VLOOKUP($A385,'SegEnds_NonXtal_Prot#'!$A:$AL,8,FALSE)</f>
        <v>77</v>
      </c>
      <c r="AF385" s="5">
        <f>VLOOKUP($A385,'SegEnds_NonXtal_Prot#'!$A:$AL,11,FALSE)</f>
        <v>107</v>
      </c>
      <c r="AG385" s="5">
        <f>VLOOKUP($A385,'SegEnds_NonXtal_Prot#'!$A:$AL,14,FALSE)</f>
        <v>112</v>
      </c>
      <c r="AH385" s="5">
        <f>VLOOKUP($A385,'SegEnds_NonXtal_Prot#'!$A:$AL,17,FALSE)</f>
        <v>148</v>
      </c>
      <c r="AI385" s="5" t="str">
        <f>VLOOKUP($A385,'SegEnds_NonXtal_Prot#'!$A:$AL,20,FALSE)</f>
        <v>-</v>
      </c>
      <c r="AJ385" s="5">
        <f>VLOOKUP($A385,'SegEnds_NonXtal_Prot#'!$A:$AL,23,FALSE)</f>
        <v>185</v>
      </c>
      <c r="AK385" s="5">
        <f>VLOOKUP($A385,'SegEnds_NonXtal_Prot#'!$A:$AL,26,FALSE)</f>
        <v>199</v>
      </c>
      <c r="AL385" s="5">
        <f>VLOOKUP($A385,'SegEnds_NonXtal_Prot#'!$A:$AL,29,FALSE)</f>
        <v>242</v>
      </c>
      <c r="AM385" s="5">
        <f>VLOOKUP($A385,'SegEnds_NonXtal_Prot#'!$A:$AL,32,FALSE)</f>
        <v>286</v>
      </c>
      <c r="AN385" s="5">
        <f>VLOOKUP($A385,'SegEnds_NonXtal_Prot#'!$A:$AL,35,FALSE)</f>
        <v>319</v>
      </c>
      <c r="AO385" s="5">
        <f>VLOOKUP($A385,'SegEnds_NonXtal_Prot#'!$A:$AL,38,FALSE)</f>
        <v>333</v>
      </c>
      <c r="AP385" s="5">
        <f t="shared" si="138"/>
        <v>38</v>
      </c>
      <c r="AQ385" s="4">
        <f t="shared" si="139"/>
        <v>3</v>
      </c>
      <c r="AR385" s="4">
        <f t="shared" si="140"/>
        <v>29</v>
      </c>
      <c r="AS385" s="4">
        <f t="shared" si="141"/>
        <v>3</v>
      </c>
      <c r="AT385" s="4">
        <f t="shared" si="142"/>
        <v>35</v>
      </c>
      <c r="AU385" s="4" t="str">
        <f t="shared" si="143"/>
        <v>-</v>
      </c>
      <c r="AV385" s="4">
        <f t="shared" si="144"/>
        <v>26</v>
      </c>
      <c r="AW385" s="4">
        <f t="shared" si="145"/>
        <v>2</v>
      </c>
      <c r="AX385" s="4">
        <f t="shared" si="146"/>
        <v>37</v>
      </c>
      <c r="AY385" s="4">
        <f t="shared" si="147"/>
        <v>38</v>
      </c>
      <c r="AZ385" s="4">
        <f t="shared" si="148"/>
        <v>28</v>
      </c>
      <c r="BA385" s="4">
        <f t="shared" si="149"/>
        <v>13</v>
      </c>
    </row>
    <row r="386" spans="1:53" x14ac:dyDescent="0.2">
      <c r="A386" s="1" t="str">
        <f>'SegEnds_NonXtal_Prot#'!A384</f>
        <v>npff2_human</v>
      </c>
      <c r="B386" s="1" t="str">
        <f t="shared" ref="B386:B406" si="150">F386&amp;H386&amp;J386&amp;L386&amp;N386&amp;O386&amp;P386&amp;Q386</f>
        <v>VAAIFIISYFLIFFLCMMGNTVVCFIVMRNTVTNLFILNLAISDLLVGIFCMPITLLDNIIGNTMCKISGLVQGISVAASVFTLVAIAVDRFQCVVYTIKTAFVIIMIIWVLAITIMSPSAVMLQEMRKIYTTVLFANIYLAPLSLIVIMYGRIGISLFRAAVPHTHVVSRKKQKIIKMLLIVALLFILSWLPLWTLMMLSDYAQIINIYIYPFAHWLAFGNSSVNPIIYGFFNENFRRGFQEAF</v>
      </c>
      <c r="C386" s="29" t="str">
        <f>IF(ISERROR(MATCH(A386,'SegEnds_Xtal_Prot#'!B:B, 0)), "NoXtal", "Xtal")</f>
        <v>NoXtal</v>
      </c>
      <c r="D386" s="4" t="str">
        <f>VLOOKUP(A386,Classification!A:D,2,FALSE)</f>
        <v>A</v>
      </c>
      <c r="E386" s="5" t="str">
        <f>VLOOKUP(A386,Seqs!A:B,2,FALSE)</f>
        <v>MNSFFGTPAASWCLLESDVSSAPDKEAGRERRALSVQQRGGPAWSGSLEWSRQSAGDRRRLGLSRQTAKSSWSRSRDRTCCCRRAWWILVPAADRARRERFIMNEKWDTNSSENWHPIWNVNDTKHHLYSDINITYVNYYLHQPQVAAIFIISYFLIFFLCMMGNTVVCFIVMRNKHMHTVTNLFILNLAISDLLVGIFCMPITLLDNIIAGWPFGNTMCKISGLVQGISVAASVFTLVAIAVDRFQCVVYPFKPKLTIKTAFVIIMIIWVLAITIMSPSAVMLHVQEEKYYRVRLNSQNKTSPVYWCREDWPNQEMRKIYTTVLFANIYLAPLSLIVIMYGRIGISLFRAAVPHTGRKNQEQWHVVSRKKQKIIKMLLIVALLFILSWLPLWTLMMLSDYADLSPNELQIINIYIYPFAHWLAFGNSSVNPIIYGFFNENFRRGFQEAFQLQLCQKRAKPMEAYALKAKSHVLINTSNQLVQESTFQNPHGETLLYRKSAEKPQQELVMEELKETTNSSEI</v>
      </c>
      <c r="F386" s="5" t="str">
        <f t="shared" ref="F386:F406" si="151">IFERROR(MID($E386,R386,(AP386+1)),"")</f>
        <v>VAAIFIISYFLIFFLCMMGNTVVCFIVMRN</v>
      </c>
      <c r="G386" s="4" t="str">
        <f t="shared" ref="G386:G406" si="152">IFERROR(MID($E386,S386,(AQ386+1)),"")</f>
        <v>KHMH</v>
      </c>
      <c r="H386" s="4" t="str">
        <f t="shared" ref="H386:H406" si="153">IFERROR(MID($E386,T386,(AR386+1)),"")</f>
        <v>TVTNLFILNLAISDLLVGIFCMPITLLDNII</v>
      </c>
      <c r="I386" s="4" t="str">
        <f t="shared" ref="I386:I406" si="154">IFERROR(MID($E386,U386,(AS386+1)),"")</f>
        <v>GWPF</v>
      </c>
      <c r="J386" s="4" t="str">
        <f t="shared" ref="J386:J406" si="155">IFERROR(MID($E386,V386,(AT386+1)),"")</f>
        <v>GNTMCKISGLVQGISVAASVFTLVAIAVDRFQCVVY</v>
      </c>
      <c r="K386" s="4" t="str">
        <f t="shared" ref="K386:K406" si="156">IFERROR(MID($E386,W386,(AU386+1)),"")</f>
        <v/>
      </c>
      <c r="L386" s="4" t="str">
        <f t="shared" ref="L386:L406" si="157">IFERROR(MID($E386,X386,(AV386+1)),"")</f>
        <v>TIKTAFVIIMIIWVLAITIMSPSAVML</v>
      </c>
      <c r="M386" s="4" t="str">
        <f t="shared" ref="M386:M406" si="158">IFERROR(MID($E386,Y386,(AW386+1)),"")</f>
        <v>CRE</v>
      </c>
      <c r="N386" s="4" t="str">
        <f t="shared" ref="N386:N406" si="159">IFERROR(MID($E386,Z386,(AX386+1)),"")</f>
        <v>QEMRKIYTTVLFANIYLAPLSLIVIMYGRIGISLFRAAVPHT</v>
      </c>
      <c r="O386" s="4" t="str">
        <f t="shared" ref="O386:O406" si="160">IFERROR(MID($E386,AA386,(AY386+1)),"")</f>
        <v>HVVSRKKQKIIKMLLIVALLFILSWLPLWTLMMLSDYA</v>
      </c>
      <c r="P386" s="4" t="str">
        <f t="shared" ref="P386:P406" si="161">IFERROR(MID($E386,AB386,(AZ386+1)),"")</f>
        <v>QIINIYIYPFAHWLAFGNSSVNPIIYGFF</v>
      </c>
      <c r="Q386" s="4" t="str">
        <f t="shared" ref="Q386:Q406" si="162">IFERROR(MID($E386,AC386,(BA386+1)),"")</f>
        <v>NENFRRGFQEAF</v>
      </c>
      <c r="R386" s="5">
        <f>VLOOKUP($A386,'SegEnds_NonXtal_Prot#'!$A:$AL,3,FALSE)</f>
        <v>146</v>
      </c>
      <c r="S386" s="5">
        <f>VLOOKUP($A386,'SegEnds_NonXtal_Prot#'!$A:$AL,6,FALSE)</f>
        <v>176</v>
      </c>
      <c r="T386" s="5">
        <f>VLOOKUP($A386,'SegEnds_NonXtal_Prot#'!$A:$AL,9,FALSE)</f>
        <v>180</v>
      </c>
      <c r="U386" s="5">
        <f>VLOOKUP($A386,'SegEnds_NonXtal_Prot#'!$A:$AL,12,FALSE)</f>
        <v>212</v>
      </c>
      <c r="V386" s="5">
        <f>VLOOKUP($A386,'SegEnds_NonXtal_Prot#'!$A:$AL,15,FALSE)</f>
        <v>216</v>
      </c>
      <c r="W386" s="5" t="str">
        <f>VLOOKUP($A386,'SegEnds_NonXtal_Prot#'!$A:$AL,18,FALSE)</f>
        <v>-</v>
      </c>
      <c r="X386" s="5">
        <f>VLOOKUP($A386,'SegEnds_NonXtal_Prot#'!$A:$AL,21,FALSE)</f>
        <v>258</v>
      </c>
      <c r="Y386" s="5">
        <f>VLOOKUP($A386,'SegEnds_NonXtal_Prot#'!$A:$AL,24,FALSE)</f>
        <v>308</v>
      </c>
      <c r="Z386" s="5">
        <f>VLOOKUP($A386,'SegEnds_NonXtal_Prot#'!$A:$AL,27,FALSE)</f>
        <v>315</v>
      </c>
      <c r="AA386" s="5">
        <f>VLOOKUP($A386,'SegEnds_NonXtal_Prot#'!$A:$AL,30,FALSE)</f>
        <v>365</v>
      </c>
      <c r="AB386" s="5">
        <f>VLOOKUP($A386,'SegEnds_NonXtal_Prot#'!$A:$AL,33,FALSE)</f>
        <v>410</v>
      </c>
      <c r="AC386" s="5">
        <f>VLOOKUP($A386,'SegEnds_NonXtal_Prot#'!$A:$AL,36,FALSE)</f>
        <v>439</v>
      </c>
      <c r="AD386" s="5">
        <f>VLOOKUP($A386,'SegEnds_NonXtal_Prot#'!$A:$AL,5,FALSE)</f>
        <v>175</v>
      </c>
      <c r="AE386" s="5">
        <f>VLOOKUP($A386,'SegEnds_NonXtal_Prot#'!$A:$AL,8,FALSE)</f>
        <v>179</v>
      </c>
      <c r="AF386" s="5">
        <f>VLOOKUP($A386,'SegEnds_NonXtal_Prot#'!$A:$AL,11,FALSE)</f>
        <v>210</v>
      </c>
      <c r="AG386" s="5">
        <f>VLOOKUP($A386,'SegEnds_NonXtal_Prot#'!$A:$AL,14,FALSE)</f>
        <v>215</v>
      </c>
      <c r="AH386" s="5">
        <f>VLOOKUP($A386,'SegEnds_NonXtal_Prot#'!$A:$AL,17,FALSE)</f>
        <v>251</v>
      </c>
      <c r="AI386" s="5" t="str">
        <f>VLOOKUP($A386,'SegEnds_NonXtal_Prot#'!$A:$AL,20,FALSE)</f>
        <v>-</v>
      </c>
      <c r="AJ386" s="5">
        <f>VLOOKUP($A386,'SegEnds_NonXtal_Prot#'!$A:$AL,23,FALSE)</f>
        <v>284</v>
      </c>
      <c r="AK386" s="5">
        <f>VLOOKUP($A386,'SegEnds_NonXtal_Prot#'!$A:$AL,26,FALSE)</f>
        <v>310</v>
      </c>
      <c r="AL386" s="5">
        <f>VLOOKUP($A386,'SegEnds_NonXtal_Prot#'!$A:$AL,29,FALSE)</f>
        <v>356</v>
      </c>
      <c r="AM386" s="5">
        <f>VLOOKUP($A386,'SegEnds_NonXtal_Prot#'!$A:$AL,32,FALSE)</f>
        <v>402</v>
      </c>
      <c r="AN386" s="5">
        <f>VLOOKUP($A386,'SegEnds_NonXtal_Prot#'!$A:$AL,35,FALSE)</f>
        <v>438</v>
      </c>
      <c r="AO386" s="5">
        <f>VLOOKUP($A386,'SegEnds_NonXtal_Prot#'!$A:$AL,38,FALSE)</f>
        <v>450</v>
      </c>
      <c r="AP386" s="5">
        <f t="shared" ref="AP386:AP406" si="163">IFERROR(AD386-R386,"-")</f>
        <v>29</v>
      </c>
      <c r="AQ386" s="4">
        <f t="shared" ref="AQ386:AQ406" si="164">IFERROR(AE386-S386,"-")</f>
        <v>3</v>
      </c>
      <c r="AR386" s="4">
        <f t="shared" ref="AR386:AR406" si="165">IFERROR(AF386-T386,"-")</f>
        <v>30</v>
      </c>
      <c r="AS386" s="4">
        <f t="shared" ref="AS386:AS406" si="166">IFERROR(AG386-U386,"-")</f>
        <v>3</v>
      </c>
      <c r="AT386" s="4">
        <f t="shared" ref="AT386:AT406" si="167">IFERROR(AH386-V386,"-")</f>
        <v>35</v>
      </c>
      <c r="AU386" s="4" t="str">
        <f t="shared" ref="AU386:AU406" si="168">IFERROR(AI386-W386,"-")</f>
        <v>-</v>
      </c>
      <c r="AV386" s="4">
        <f t="shared" ref="AV386:AV406" si="169">IFERROR(AJ386-X386,"-")</f>
        <v>26</v>
      </c>
      <c r="AW386" s="4">
        <f t="shared" ref="AW386:AW406" si="170">IFERROR(AK386-Y386,"-")</f>
        <v>2</v>
      </c>
      <c r="AX386" s="4">
        <f t="shared" ref="AX386:AX406" si="171">IFERROR(AL386-Z386,"-")</f>
        <v>41</v>
      </c>
      <c r="AY386" s="4">
        <f t="shared" ref="AY386:AY406" si="172">IFERROR(AM386-AA386,"-")</f>
        <v>37</v>
      </c>
      <c r="AZ386" s="4">
        <f t="shared" ref="AZ386:AZ406" si="173">IFERROR(AN386-AB386,"-")</f>
        <v>28</v>
      </c>
      <c r="BA386" s="4">
        <f t="shared" ref="BA386:BA406" si="174">IFERROR(AO386-AC386,"-")</f>
        <v>11</v>
      </c>
    </row>
    <row r="387" spans="1:53" x14ac:dyDescent="0.2">
      <c r="A387" s="1" t="str">
        <f>'SegEnds_NonXtal_Prot#'!A385</f>
        <v>npy1r_human</v>
      </c>
      <c r="B387" s="1" t="str">
        <f t="shared" si="150"/>
        <v>IFTLALAYGAVIILGVSGNLALIIIILKQNVTNILIVNLSFSDLLVAIMCLPFTFVYTLMGEAMCKLNPFVQCVSITVSIFSLVLIAVERHQLIINNNRHAYVGIAVIWVLAVASSLPFLIYQDSHRLSYTTLLLVLQYFGPLCFIFICYFKIYIRLKRRNNMMDDNKYRSSETKRINIMLLSIVVAFAVCWLPLTIFNTVFDWNTCNHNLLFLLCHLTAMISTCVNPIFYGFLNKNFQRDLQFFF</v>
      </c>
      <c r="C387" s="29" t="str">
        <f>IF(ISERROR(MATCH(A387,'SegEnds_Xtal_Prot#'!B:B, 0)), "NoXtal", "Xtal")</f>
        <v>NoXtal</v>
      </c>
      <c r="D387" s="4" t="str">
        <f>VLOOKUP(A387,Classification!A:D,2,FALSE)</f>
        <v>A</v>
      </c>
      <c r="E387" s="5" t="str">
        <f>VLOOKUP(A387,Seqs!A:B,2,FALSE)</f>
        <v>MNSTLFSQVENHSVHSNFSEKNAQLLAFENDDCHLPLAMIFTLALAYGAVIILGVSGNLALIIIILKQKEMRNVTNILIVNLSFSDLLVAIMCLPFTFVYTLMDHWVFGEAMCKLNPFVQCVSITVSIFSLVLIAVERHQLIINPRGWRPNNRHAYVGIAVIWVLAVASSLPFLIYQVMTDEPFQNVTLDAYKDKYVCFDQFPSDSHRLSYTTLLLVLQYFGPLCFIFICYFKIYIRLKRRNNMMDKMRDNKYRSSETKRINIMLLSIVVAFAVCWLPLTIFNTVFDWNHQIIATCNHNLLFLLCHLTAMISTCVNPIFYGFLNKNFQRDLQFFFNFCDFRSRDDDYETIAMSTMHTDVSKTSLKQASPVAFKKINNNDDNEKI</v>
      </c>
      <c r="F387" s="5" t="str">
        <f t="shared" si="151"/>
        <v>IFTLALAYGAVIILGVSGNLALIIIILKQ</v>
      </c>
      <c r="G387" s="4" t="str">
        <f t="shared" si="152"/>
        <v>KEMR</v>
      </c>
      <c r="H387" s="4" t="str">
        <f t="shared" si="153"/>
        <v>NVTNILIVNLSFSDLLVAIMCLPFTFVYTLM</v>
      </c>
      <c r="I387" s="4" t="str">
        <f t="shared" si="154"/>
        <v>HWVF</v>
      </c>
      <c r="J387" s="4" t="str">
        <f t="shared" si="155"/>
        <v>GEAMCKLNPFVQCVSITVSIFSLVLIAVERHQLIIN</v>
      </c>
      <c r="K387" s="4" t="str">
        <f t="shared" si="156"/>
        <v/>
      </c>
      <c r="L387" s="4" t="str">
        <f t="shared" si="157"/>
        <v>NNRHAYVGIAVIWVLAVASSLPFLIYQ</v>
      </c>
      <c r="M387" s="4" t="str">
        <f t="shared" si="158"/>
        <v>CFD</v>
      </c>
      <c r="N387" s="4" t="str">
        <f t="shared" si="159"/>
        <v>DSHRLSYTTLLLVLQYFGPLCFIFICYFKIYIRLKRRNNMMD</v>
      </c>
      <c r="O387" s="4" t="str">
        <f t="shared" si="160"/>
        <v>DNKYRSSETKRINIMLLSIVVAFAVCWLPLTIFNTVFDWN</v>
      </c>
      <c r="P387" s="4" t="str">
        <f t="shared" si="161"/>
        <v>TCNHNLLFLLCHLTAMISTCVNPIFYGFL</v>
      </c>
      <c r="Q387" s="4" t="str">
        <f t="shared" si="162"/>
        <v>NKNFQRDLQFFF</v>
      </c>
      <c r="R387" s="5">
        <f>VLOOKUP($A387,'SegEnds_NonXtal_Prot#'!$A:$AL,3,FALSE)</f>
        <v>40</v>
      </c>
      <c r="S387" s="5">
        <f>VLOOKUP($A387,'SegEnds_NonXtal_Prot#'!$A:$AL,6,FALSE)</f>
        <v>69</v>
      </c>
      <c r="T387" s="5">
        <f>VLOOKUP($A387,'SegEnds_NonXtal_Prot#'!$A:$AL,9,FALSE)</f>
        <v>73</v>
      </c>
      <c r="U387" s="5">
        <f>VLOOKUP($A387,'SegEnds_NonXtal_Prot#'!$A:$AL,12,FALSE)</f>
        <v>105</v>
      </c>
      <c r="V387" s="5">
        <f>VLOOKUP($A387,'SegEnds_NonXtal_Prot#'!$A:$AL,15,FALSE)</f>
        <v>109</v>
      </c>
      <c r="W387" s="5" t="str">
        <f>VLOOKUP($A387,'SegEnds_NonXtal_Prot#'!$A:$AL,18,FALSE)</f>
        <v>-</v>
      </c>
      <c r="X387" s="5">
        <f>VLOOKUP($A387,'SegEnds_NonXtal_Prot#'!$A:$AL,21,FALSE)</f>
        <v>151</v>
      </c>
      <c r="Y387" s="5">
        <f>VLOOKUP($A387,'SegEnds_NonXtal_Prot#'!$A:$AL,24,FALSE)</f>
        <v>198</v>
      </c>
      <c r="Z387" s="5">
        <f>VLOOKUP($A387,'SegEnds_NonXtal_Prot#'!$A:$AL,27,FALSE)</f>
        <v>205</v>
      </c>
      <c r="AA387" s="5">
        <f>VLOOKUP($A387,'SegEnds_NonXtal_Prot#'!$A:$AL,30,FALSE)</f>
        <v>250</v>
      </c>
      <c r="AB387" s="5">
        <f>VLOOKUP($A387,'SegEnds_NonXtal_Prot#'!$A:$AL,33,FALSE)</f>
        <v>295</v>
      </c>
      <c r="AC387" s="5">
        <f>VLOOKUP($A387,'SegEnds_NonXtal_Prot#'!$A:$AL,36,FALSE)</f>
        <v>324</v>
      </c>
      <c r="AD387" s="5">
        <f>VLOOKUP($A387,'SegEnds_NonXtal_Prot#'!$A:$AL,5,FALSE)</f>
        <v>68</v>
      </c>
      <c r="AE387" s="5">
        <f>VLOOKUP($A387,'SegEnds_NonXtal_Prot#'!$A:$AL,8,FALSE)</f>
        <v>72</v>
      </c>
      <c r="AF387" s="5">
        <f>VLOOKUP($A387,'SegEnds_NonXtal_Prot#'!$A:$AL,11,FALSE)</f>
        <v>103</v>
      </c>
      <c r="AG387" s="5">
        <f>VLOOKUP($A387,'SegEnds_NonXtal_Prot#'!$A:$AL,14,FALSE)</f>
        <v>108</v>
      </c>
      <c r="AH387" s="5">
        <f>VLOOKUP($A387,'SegEnds_NonXtal_Prot#'!$A:$AL,17,FALSE)</f>
        <v>144</v>
      </c>
      <c r="AI387" s="5" t="str">
        <f>VLOOKUP($A387,'SegEnds_NonXtal_Prot#'!$A:$AL,20,FALSE)</f>
        <v>-</v>
      </c>
      <c r="AJ387" s="5">
        <f>VLOOKUP($A387,'SegEnds_NonXtal_Prot#'!$A:$AL,23,FALSE)</f>
        <v>177</v>
      </c>
      <c r="AK387" s="5">
        <f>VLOOKUP($A387,'SegEnds_NonXtal_Prot#'!$A:$AL,26,FALSE)</f>
        <v>200</v>
      </c>
      <c r="AL387" s="5">
        <f>VLOOKUP($A387,'SegEnds_NonXtal_Prot#'!$A:$AL,29,FALSE)</f>
        <v>246</v>
      </c>
      <c r="AM387" s="5">
        <f>VLOOKUP($A387,'SegEnds_NonXtal_Prot#'!$A:$AL,32,FALSE)</f>
        <v>289</v>
      </c>
      <c r="AN387" s="5">
        <f>VLOOKUP($A387,'SegEnds_NonXtal_Prot#'!$A:$AL,35,FALSE)</f>
        <v>323</v>
      </c>
      <c r="AO387" s="5">
        <f>VLOOKUP($A387,'SegEnds_NonXtal_Prot#'!$A:$AL,38,FALSE)</f>
        <v>335</v>
      </c>
      <c r="AP387" s="5">
        <f t="shared" si="163"/>
        <v>28</v>
      </c>
      <c r="AQ387" s="4">
        <f t="shared" si="164"/>
        <v>3</v>
      </c>
      <c r="AR387" s="4">
        <f t="shared" si="165"/>
        <v>30</v>
      </c>
      <c r="AS387" s="4">
        <f t="shared" si="166"/>
        <v>3</v>
      </c>
      <c r="AT387" s="4">
        <f t="shared" si="167"/>
        <v>35</v>
      </c>
      <c r="AU387" s="4" t="str">
        <f t="shared" si="168"/>
        <v>-</v>
      </c>
      <c r="AV387" s="4">
        <f t="shared" si="169"/>
        <v>26</v>
      </c>
      <c r="AW387" s="4">
        <f t="shared" si="170"/>
        <v>2</v>
      </c>
      <c r="AX387" s="4">
        <f t="shared" si="171"/>
        <v>41</v>
      </c>
      <c r="AY387" s="4">
        <f t="shared" si="172"/>
        <v>39</v>
      </c>
      <c r="AZ387" s="4">
        <f t="shared" si="173"/>
        <v>28</v>
      </c>
      <c r="BA387" s="4">
        <f t="shared" si="174"/>
        <v>11</v>
      </c>
    </row>
    <row r="388" spans="1:53" x14ac:dyDescent="0.2">
      <c r="A388" s="1" t="str">
        <f>'SegEnds_NonXtal_Prot#'!A386</f>
        <v>npy2r_human</v>
      </c>
      <c r="B388" s="1" t="str">
        <f t="shared" si="150"/>
        <v>QVVLILAYCSIILLGVIGNSLVIHVVIKFTVTNFFIANLAVADLLVNTLCLPFTLTYTLMGPVLCHLVPYAQGLAVQVSTITLTVIALDRHRCIVYSKRISFLIIGLAWGISALLASPLAIFRSIYGTVYSLSSLLILYVLPLGIISFSYTRIWSKLKNHVSPGDHYHQRRQKTTKMLVCVVVVFAVSWLPLHAFQLAVDIDLKEYKLIFTVFHIIAMCSTFANPLLYGWMNSNYRKAFLSAF</v>
      </c>
      <c r="C388" s="29" t="str">
        <f>IF(ISERROR(MATCH(A388,'SegEnds_Xtal_Prot#'!B:B, 0)), "NoXtal", "Xtal")</f>
        <v>NoXtal</v>
      </c>
      <c r="D388" s="4" t="str">
        <f>VLOOKUP(A388,Classification!A:D,2,FALSE)</f>
        <v>A</v>
      </c>
      <c r="E388" s="5" t="str">
        <f>VLOOKUP(A388,Seqs!A:B,2,FALSE)</f>
        <v>MGPIGAEADENQTVEEMKVEQYGPQTTPRGELVPDPEPELIDSTKLIEVQVVLILAYCSIILLGVIGNSLVIHVVIKFKSMRTVTNFFIANLAVADLLVNTLCLPFTLTYTLMGEWKMGPVLCHLVPYAQGLAVQVSTITLTVIALDRHRCIVYHLESKISKRISFLIIGLAWGISALLASPLAIFREYSLIEIIPDFEIVACTEKWPGEEKSIYGTVYSLSSLLILYVLPLGIISFSYTRIWSKLKNHVSPGAANDHYHQRRQKTTKMLVCVVVVFAVSWLPLHAFQLAVDIDSQVLDLKEYKLIFTVFHIIAMCSTFANPLLYGWMNSNYRKAFLSAFRCEQRLDAIHSEVSVTFKAKKNLEVRKNSGPNDSFTEATNV</v>
      </c>
      <c r="F388" s="5" t="str">
        <f t="shared" si="151"/>
        <v>QVVLILAYCSIILLGVIGNSLVIHVVIKF</v>
      </c>
      <c r="G388" s="4" t="str">
        <f t="shared" si="152"/>
        <v>KSMR</v>
      </c>
      <c r="H388" s="4" t="str">
        <f t="shared" si="153"/>
        <v>TVTNFFIANLAVADLLVNTLCLPFTLTYTLM</v>
      </c>
      <c r="I388" s="4" t="str">
        <f t="shared" si="154"/>
        <v>EWKM</v>
      </c>
      <c r="J388" s="4" t="str">
        <f t="shared" si="155"/>
        <v>GPVLCHLVPYAQGLAVQVSTITLTVIALDRHRCIVY</v>
      </c>
      <c r="K388" s="4" t="str">
        <f t="shared" si="156"/>
        <v/>
      </c>
      <c r="L388" s="4" t="str">
        <f t="shared" si="157"/>
        <v>SKRISFLIIGLAWGISALLASPLAIFR</v>
      </c>
      <c r="M388" s="4" t="str">
        <f t="shared" si="158"/>
        <v>CTE</v>
      </c>
      <c r="N388" s="4" t="str">
        <f t="shared" si="159"/>
        <v>SIYGTVYSLSSLLILYVLPLGIISFSYTRIWSKLKNHVSPG</v>
      </c>
      <c r="O388" s="4" t="str">
        <f t="shared" si="160"/>
        <v>DHYHQRRQKTTKMLVCVVVVFAVSWLPLHAFQLAVDID</v>
      </c>
      <c r="P388" s="4" t="str">
        <f t="shared" si="161"/>
        <v>LKEYKLIFTVFHIIAMCSTFANPLLYGWM</v>
      </c>
      <c r="Q388" s="4" t="str">
        <f t="shared" si="162"/>
        <v>NSNYRKAFLSAF</v>
      </c>
      <c r="R388" s="5">
        <f>VLOOKUP($A388,'SegEnds_NonXtal_Prot#'!$A:$AL,3,FALSE)</f>
        <v>50</v>
      </c>
      <c r="S388" s="5">
        <f>VLOOKUP($A388,'SegEnds_NonXtal_Prot#'!$A:$AL,6,FALSE)</f>
        <v>79</v>
      </c>
      <c r="T388" s="5">
        <f>VLOOKUP($A388,'SegEnds_NonXtal_Prot#'!$A:$AL,9,FALSE)</f>
        <v>83</v>
      </c>
      <c r="U388" s="5">
        <f>VLOOKUP($A388,'SegEnds_NonXtal_Prot#'!$A:$AL,12,FALSE)</f>
        <v>115</v>
      </c>
      <c r="V388" s="5">
        <f>VLOOKUP($A388,'SegEnds_NonXtal_Prot#'!$A:$AL,15,FALSE)</f>
        <v>119</v>
      </c>
      <c r="W388" s="5" t="str">
        <f>VLOOKUP($A388,'SegEnds_NonXtal_Prot#'!$A:$AL,18,FALSE)</f>
        <v>-</v>
      </c>
      <c r="X388" s="5">
        <f>VLOOKUP($A388,'SegEnds_NonXtal_Prot#'!$A:$AL,21,FALSE)</f>
        <v>161</v>
      </c>
      <c r="Y388" s="5">
        <f>VLOOKUP($A388,'SegEnds_NonXtal_Prot#'!$A:$AL,24,FALSE)</f>
        <v>203</v>
      </c>
      <c r="Z388" s="5">
        <f>VLOOKUP($A388,'SegEnds_NonXtal_Prot#'!$A:$AL,27,FALSE)</f>
        <v>213</v>
      </c>
      <c r="AA388" s="5">
        <f>VLOOKUP($A388,'SegEnds_NonXtal_Prot#'!$A:$AL,30,FALSE)</f>
        <v>257</v>
      </c>
      <c r="AB388" s="5">
        <f>VLOOKUP($A388,'SegEnds_NonXtal_Prot#'!$A:$AL,33,FALSE)</f>
        <v>300</v>
      </c>
      <c r="AC388" s="5">
        <f>VLOOKUP($A388,'SegEnds_NonXtal_Prot#'!$A:$AL,36,FALSE)</f>
        <v>329</v>
      </c>
      <c r="AD388" s="5">
        <f>VLOOKUP($A388,'SegEnds_NonXtal_Prot#'!$A:$AL,5,FALSE)</f>
        <v>78</v>
      </c>
      <c r="AE388" s="5">
        <f>VLOOKUP($A388,'SegEnds_NonXtal_Prot#'!$A:$AL,8,FALSE)</f>
        <v>82</v>
      </c>
      <c r="AF388" s="5">
        <f>VLOOKUP($A388,'SegEnds_NonXtal_Prot#'!$A:$AL,11,FALSE)</f>
        <v>113</v>
      </c>
      <c r="AG388" s="5">
        <f>VLOOKUP($A388,'SegEnds_NonXtal_Prot#'!$A:$AL,14,FALSE)</f>
        <v>118</v>
      </c>
      <c r="AH388" s="5">
        <f>VLOOKUP($A388,'SegEnds_NonXtal_Prot#'!$A:$AL,17,FALSE)</f>
        <v>154</v>
      </c>
      <c r="AI388" s="5" t="str">
        <f>VLOOKUP($A388,'SegEnds_NonXtal_Prot#'!$A:$AL,20,FALSE)</f>
        <v>-</v>
      </c>
      <c r="AJ388" s="5">
        <f>VLOOKUP($A388,'SegEnds_NonXtal_Prot#'!$A:$AL,23,FALSE)</f>
        <v>187</v>
      </c>
      <c r="AK388" s="5">
        <f>VLOOKUP($A388,'SegEnds_NonXtal_Prot#'!$A:$AL,26,FALSE)</f>
        <v>205</v>
      </c>
      <c r="AL388" s="5">
        <f>VLOOKUP($A388,'SegEnds_NonXtal_Prot#'!$A:$AL,29,FALSE)</f>
        <v>253</v>
      </c>
      <c r="AM388" s="5">
        <f>VLOOKUP($A388,'SegEnds_NonXtal_Prot#'!$A:$AL,32,FALSE)</f>
        <v>294</v>
      </c>
      <c r="AN388" s="5">
        <f>VLOOKUP($A388,'SegEnds_NonXtal_Prot#'!$A:$AL,35,FALSE)</f>
        <v>328</v>
      </c>
      <c r="AO388" s="5">
        <f>VLOOKUP($A388,'SegEnds_NonXtal_Prot#'!$A:$AL,38,FALSE)</f>
        <v>340</v>
      </c>
      <c r="AP388" s="5">
        <f t="shared" si="163"/>
        <v>28</v>
      </c>
      <c r="AQ388" s="4">
        <f t="shared" si="164"/>
        <v>3</v>
      </c>
      <c r="AR388" s="4">
        <f t="shared" si="165"/>
        <v>30</v>
      </c>
      <c r="AS388" s="4">
        <f t="shared" si="166"/>
        <v>3</v>
      </c>
      <c r="AT388" s="4">
        <f t="shared" si="167"/>
        <v>35</v>
      </c>
      <c r="AU388" s="4" t="str">
        <f t="shared" si="168"/>
        <v>-</v>
      </c>
      <c r="AV388" s="4">
        <f t="shared" si="169"/>
        <v>26</v>
      </c>
      <c r="AW388" s="4">
        <f t="shared" si="170"/>
        <v>2</v>
      </c>
      <c r="AX388" s="4">
        <f t="shared" si="171"/>
        <v>40</v>
      </c>
      <c r="AY388" s="4">
        <f t="shared" si="172"/>
        <v>37</v>
      </c>
      <c r="AZ388" s="4">
        <f t="shared" si="173"/>
        <v>28</v>
      </c>
      <c r="BA388" s="4">
        <f t="shared" si="174"/>
        <v>11</v>
      </c>
    </row>
    <row r="389" spans="1:53" x14ac:dyDescent="0.2">
      <c r="A389" s="1" t="str">
        <f>'SegEnds_NonXtal_Prot#'!A387</f>
        <v>npy4r_human</v>
      </c>
      <c r="B389" s="1" t="str">
        <f t="shared" si="150"/>
        <v>VMVFIVTSYSIETVVGVLGNLCLMCVTVRQNVTNLLIANLAFSDFLMCLLCQPLTAVYTIMGETLCKMSAFIQCMSVTVSILSLVLVALERHQLIINSISQAYLGIVLIWVIACVLSLPFLANSAHHRTIYTTFLLLFQYCLPLGFILVCYARIYRRLQRQGRVFSLRAGHMKQVNVVLVVMVVAFAVLWLPLHVFNSLEDWHICHGNLIFLVCHLLAMASTCVNPFIYGFLNTNFKKEIKALV</v>
      </c>
      <c r="C389" s="29" t="str">
        <f>IF(ISERROR(MATCH(A389,'SegEnds_Xtal_Prot#'!B:B, 0)), "NoXtal", "Xtal")</f>
        <v>NoXtal</v>
      </c>
      <c r="D389" s="4" t="str">
        <f>VLOOKUP(A389,Classification!A:D,2,FALSE)</f>
        <v>A</v>
      </c>
      <c r="E389" s="5" t="str">
        <f>VLOOKUP(A389,Seqs!A:B,2,FALSE)</f>
        <v>MNTSHLLALLLPKSPQGENRSKPLGTPYNFSEHCQDSVDVMVFIVTSYSIETVVGVLGNLCLMCVTVRQKEKANVTNLLIANLAFSDFLMCLLCQPLTAVYTIMDYWIFGETLCKMSAFIQCMSVTVSILSLVLVALERHQLIINPTGWKPSISQAYLGIVLIWVIACVLSLPFLANSILENVFHKNHSKALEFLADKVVCTESWPLAHHRTIYTTFLLLFQYCLPLGFILVCYARIYRRLQRQGRVFHKGTYSLRAGHMKQVNVVLVVMVVAFAVLWLPLHVFNSLEDWHHEAIPICHGNLIFLVCHLLAMASTCVNPFIYGFLNTNFKKEIKALVLTCQQSAPLEESEHLPLSTVHTEVSKGSLRLSGRSNPI</v>
      </c>
      <c r="F389" s="5" t="str">
        <f t="shared" si="151"/>
        <v>VMVFIVTSYSIETVVGVLGNLCLMCVTVRQ</v>
      </c>
      <c r="G389" s="4" t="str">
        <f t="shared" si="152"/>
        <v>KEKA</v>
      </c>
      <c r="H389" s="4" t="str">
        <f t="shared" si="153"/>
        <v>NVTNLLIANLAFSDFLMCLLCQPLTAVYTIM</v>
      </c>
      <c r="I389" s="4" t="str">
        <f t="shared" si="154"/>
        <v>YWIF</v>
      </c>
      <c r="J389" s="4" t="str">
        <f t="shared" si="155"/>
        <v>GETLCKMSAFIQCMSVTVSILSLVLVALERHQLIIN</v>
      </c>
      <c r="K389" s="4" t="str">
        <f t="shared" si="156"/>
        <v/>
      </c>
      <c r="L389" s="4" t="str">
        <f t="shared" si="157"/>
        <v>SISQAYLGIVLIWVIACVLSLPFLANS</v>
      </c>
      <c r="M389" s="4" t="str">
        <f t="shared" si="158"/>
        <v>CTE</v>
      </c>
      <c r="N389" s="4" t="str">
        <f t="shared" si="159"/>
        <v>AHHRTIYTTFLLLFQYCLPLGFILVCYARIYRRLQRQGRVF</v>
      </c>
      <c r="O389" s="4" t="str">
        <f t="shared" si="160"/>
        <v>SLRAGHMKQVNVVLVVMVVAFAVLWLPLHVFNSLEDWH</v>
      </c>
      <c r="P389" s="4" t="str">
        <f t="shared" si="161"/>
        <v>ICHGNLIFLVCHLLAMASTCVNPFIYGFL</v>
      </c>
      <c r="Q389" s="4" t="str">
        <f t="shared" si="162"/>
        <v>NTNFKKEIKALV</v>
      </c>
      <c r="R389" s="5">
        <f>VLOOKUP($A389,'SegEnds_NonXtal_Prot#'!$A:$AL,3,FALSE)</f>
        <v>40</v>
      </c>
      <c r="S389" s="5">
        <f>VLOOKUP($A389,'SegEnds_NonXtal_Prot#'!$A:$AL,6,FALSE)</f>
        <v>70</v>
      </c>
      <c r="T389" s="5">
        <f>VLOOKUP($A389,'SegEnds_NonXtal_Prot#'!$A:$AL,9,FALSE)</f>
        <v>74</v>
      </c>
      <c r="U389" s="5">
        <f>VLOOKUP($A389,'SegEnds_NonXtal_Prot#'!$A:$AL,12,FALSE)</f>
        <v>106</v>
      </c>
      <c r="V389" s="5">
        <f>VLOOKUP($A389,'SegEnds_NonXtal_Prot#'!$A:$AL,15,FALSE)</f>
        <v>110</v>
      </c>
      <c r="W389" s="5" t="str">
        <f>VLOOKUP($A389,'SegEnds_NonXtal_Prot#'!$A:$AL,18,FALSE)</f>
        <v>-</v>
      </c>
      <c r="X389" s="5">
        <f>VLOOKUP($A389,'SegEnds_NonXtal_Prot#'!$A:$AL,21,FALSE)</f>
        <v>152</v>
      </c>
      <c r="Y389" s="5">
        <f>VLOOKUP($A389,'SegEnds_NonXtal_Prot#'!$A:$AL,24,FALSE)</f>
        <v>201</v>
      </c>
      <c r="Z389" s="5">
        <f>VLOOKUP($A389,'SegEnds_NonXtal_Prot#'!$A:$AL,27,FALSE)</f>
        <v>208</v>
      </c>
      <c r="AA389" s="5">
        <f>VLOOKUP($A389,'SegEnds_NonXtal_Prot#'!$A:$AL,30,FALSE)</f>
        <v>254</v>
      </c>
      <c r="AB389" s="5">
        <f>VLOOKUP($A389,'SegEnds_NonXtal_Prot#'!$A:$AL,33,FALSE)</f>
        <v>297</v>
      </c>
      <c r="AC389" s="5">
        <f>VLOOKUP($A389,'SegEnds_NonXtal_Prot#'!$A:$AL,36,FALSE)</f>
        <v>326</v>
      </c>
      <c r="AD389" s="5">
        <f>VLOOKUP($A389,'SegEnds_NonXtal_Prot#'!$A:$AL,5,FALSE)</f>
        <v>69</v>
      </c>
      <c r="AE389" s="5">
        <f>VLOOKUP($A389,'SegEnds_NonXtal_Prot#'!$A:$AL,8,FALSE)</f>
        <v>73</v>
      </c>
      <c r="AF389" s="5">
        <f>VLOOKUP($A389,'SegEnds_NonXtal_Prot#'!$A:$AL,11,FALSE)</f>
        <v>104</v>
      </c>
      <c r="AG389" s="5">
        <f>VLOOKUP($A389,'SegEnds_NonXtal_Prot#'!$A:$AL,14,FALSE)</f>
        <v>109</v>
      </c>
      <c r="AH389" s="5">
        <f>VLOOKUP($A389,'SegEnds_NonXtal_Prot#'!$A:$AL,17,FALSE)</f>
        <v>145</v>
      </c>
      <c r="AI389" s="5" t="str">
        <f>VLOOKUP($A389,'SegEnds_NonXtal_Prot#'!$A:$AL,20,FALSE)</f>
        <v>-</v>
      </c>
      <c r="AJ389" s="5">
        <f>VLOOKUP($A389,'SegEnds_NonXtal_Prot#'!$A:$AL,23,FALSE)</f>
        <v>178</v>
      </c>
      <c r="AK389" s="5">
        <f>VLOOKUP($A389,'SegEnds_NonXtal_Prot#'!$A:$AL,26,FALSE)</f>
        <v>203</v>
      </c>
      <c r="AL389" s="5">
        <f>VLOOKUP($A389,'SegEnds_NonXtal_Prot#'!$A:$AL,29,FALSE)</f>
        <v>248</v>
      </c>
      <c r="AM389" s="5">
        <f>VLOOKUP($A389,'SegEnds_NonXtal_Prot#'!$A:$AL,32,FALSE)</f>
        <v>291</v>
      </c>
      <c r="AN389" s="5">
        <f>VLOOKUP($A389,'SegEnds_NonXtal_Prot#'!$A:$AL,35,FALSE)</f>
        <v>325</v>
      </c>
      <c r="AO389" s="5">
        <f>VLOOKUP($A389,'SegEnds_NonXtal_Prot#'!$A:$AL,38,FALSE)</f>
        <v>337</v>
      </c>
      <c r="AP389" s="5">
        <f t="shared" si="163"/>
        <v>29</v>
      </c>
      <c r="AQ389" s="4">
        <f t="shared" si="164"/>
        <v>3</v>
      </c>
      <c r="AR389" s="4">
        <f t="shared" si="165"/>
        <v>30</v>
      </c>
      <c r="AS389" s="4">
        <f t="shared" si="166"/>
        <v>3</v>
      </c>
      <c r="AT389" s="4">
        <f t="shared" si="167"/>
        <v>35</v>
      </c>
      <c r="AU389" s="4" t="str">
        <f t="shared" si="168"/>
        <v>-</v>
      </c>
      <c r="AV389" s="4">
        <f t="shared" si="169"/>
        <v>26</v>
      </c>
      <c r="AW389" s="4">
        <f t="shared" si="170"/>
        <v>2</v>
      </c>
      <c r="AX389" s="4">
        <f t="shared" si="171"/>
        <v>40</v>
      </c>
      <c r="AY389" s="4">
        <f t="shared" si="172"/>
        <v>37</v>
      </c>
      <c r="AZ389" s="4">
        <f t="shared" si="173"/>
        <v>28</v>
      </c>
      <c r="BA389" s="4">
        <f t="shared" si="174"/>
        <v>11</v>
      </c>
    </row>
    <row r="390" spans="1:53" x14ac:dyDescent="0.2">
      <c r="A390" s="1" t="str">
        <f>'SegEnds_NonXtal_Prot#'!A388</f>
        <v>npy5r_human</v>
      </c>
      <c r="B390" s="1" t="str">
        <f t="shared" si="150"/>
        <v>LQYFLIGLYTFVSLLGFMGNLLILMALMKKTTVNFLIGNLAFSDILVVLFCSPFTLTSVLLGKVMCHIMPFLQCVSVLVSTLILISIAIVRYHMIKHTANHGYFLIATVWTLGFAICSPLPVFHDSYRIAFTISLLLVQYILPLVCLTVSHTSVCRSISCGLSNKENRLTRIKKRSRSVFYRLTILILVFAVSWMPLHLFHVVTDFNNRHFKLVYCICHLLGMMSCCLNPILYGFLNNGIKADLVSLI</v>
      </c>
      <c r="C390" s="29" t="str">
        <f>IF(ISERROR(MATCH(A390,'SegEnds_Xtal_Prot#'!B:B, 0)), "NoXtal", "Xtal")</f>
        <v>NoXtal</v>
      </c>
      <c r="D390" s="4" t="str">
        <f>VLOOKUP(A390,Classification!A:D,2,FALSE)</f>
        <v>A</v>
      </c>
      <c r="E390" s="5" t="str">
        <f>VLOOKUP(A390,Seqs!A:B,2,FALSE)</f>
        <v>MDLELDEYYNKTLATENNTAATRNSDFPVWDDYKSSVDDLQYFLIGLYTFVSLLGFMGNLLILMALMKKRNQKTTVNFLIGNLAFSDILVVLFCSPFTLTSVLLDQWMFGKVMCHIMPFLQCVSVLVSTLILISIAIVRYHMIKHPISNNLTANHGYFLIATVWTLGFAICSPLPVFHSLVELQETFGSALLSSRYLCVESWPSDSYRIAFTISLLLVQYILPLVCLTVSHTSVCRSISCGLSNKENRLEENEMINLTLHPSKKSGPQVKLSGSHKWSYSFIKKHRRRYSKKTACVLPAPERPSQENHSRILPENFGSVRSQLSSSSKFIPGVPTCFEIKPEENSDVHELRVKRSVTRIKKRSRSVFYRLTILILVFAVSWMPLHLFHVVTDFNDNLISNRHFKLVYCICHLLGMMSCCLNPILYGFLNNGIKADLVSLIHCLHM</v>
      </c>
      <c r="F390" s="5" t="str">
        <f t="shared" si="151"/>
        <v>LQYFLIGLYTFVSLLGFMGNLLILMALMKK</v>
      </c>
      <c r="G390" s="4" t="str">
        <f t="shared" si="152"/>
        <v>RNQK</v>
      </c>
      <c r="H390" s="4" t="str">
        <f t="shared" si="153"/>
        <v>TTVNFLIGNLAFSDILVVLFCSPFTLTSVLL</v>
      </c>
      <c r="I390" s="4" t="str">
        <f t="shared" si="154"/>
        <v>QWMF</v>
      </c>
      <c r="J390" s="4" t="str">
        <f t="shared" si="155"/>
        <v>GKVMCHIMPFLQCVSVLVSTLILISIAIVRYHMIKH</v>
      </c>
      <c r="K390" s="4" t="str">
        <f t="shared" si="156"/>
        <v/>
      </c>
      <c r="L390" s="4" t="str">
        <f t="shared" si="157"/>
        <v>TANHGYFLIATVWTLGFAICSPLPVFH</v>
      </c>
      <c r="M390" s="4" t="str">
        <f t="shared" si="158"/>
        <v>CVE</v>
      </c>
      <c r="N390" s="4" t="str">
        <f t="shared" si="159"/>
        <v>DSYRIAFTISLLLVQYILPLVCLTVSHTSVCRSISCGLSNKENRL</v>
      </c>
      <c r="O390" s="4" t="str">
        <f t="shared" si="160"/>
        <v>TRIKKRSRSVFYRLTILILVFAVSWMPLHLFHVVTDFN</v>
      </c>
      <c r="P390" s="4" t="str">
        <f t="shared" si="161"/>
        <v>NRHFKLVYCICHLLGMMSCCLNPILYGFL</v>
      </c>
      <c r="Q390" s="4" t="str">
        <f t="shared" si="162"/>
        <v>NNGIKADLVSLI</v>
      </c>
      <c r="R390" s="5">
        <f>VLOOKUP($A390,'SegEnds_NonXtal_Prot#'!$A:$AL,3,FALSE)</f>
        <v>40</v>
      </c>
      <c r="S390" s="5">
        <f>VLOOKUP($A390,'SegEnds_NonXtal_Prot#'!$A:$AL,6,FALSE)</f>
        <v>70</v>
      </c>
      <c r="T390" s="5">
        <f>VLOOKUP($A390,'SegEnds_NonXtal_Prot#'!$A:$AL,9,FALSE)</f>
        <v>74</v>
      </c>
      <c r="U390" s="5">
        <f>VLOOKUP($A390,'SegEnds_NonXtal_Prot#'!$A:$AL,12,FALSE)</f>
        <v>106</v>
      </c>
      <c r="V390" s="5">
        <f>VLOOKUP($A390,'SegEnds_NonXtal_Prot#'!$A:$AL,15,FALSE)</f>
        <v>110</v>
      </c>
      <c r="W390" s="5" t="str">
        <f>VLOOKUP($A390,'SegEnds_NonXtal_Prot#'!$A:$AL,18,FALSE)</f>
        <v>-</v>
      </c>
      <c r="X390" s="5">
        <f>VLOOKUP($A390,'SegEnds_NonXtal_Prot#'!$A:$AL,21,FALSE)</f>
        <v>152</v>
      </c>
      <c r="Y390" s="5">
        <f>VLOOKUP($A390,'SegEnds_NonXtal_Prot#'!$A:$AL,24,FALSE)</f>
        <v>198</v>
      </c>
      <c r="Z390" s="5">
        <f>VLOOKUP($A390,'SegEnds_NonXtal_Prot#'!$A:$AL,27,FALSE)</f>
        <v>205</v>
      </c>
      <c r="AA390" s="5">
        <f>VLOOKUP($A390,'SegEnds_NonXtal_Prot#'!$A:$AL,30,FALSE)</f>
        <v>357</v>
      </c>
      <c r="AB390" s="5">
        <f>VLOOKUP($A390,'SegEnds_NonXtal_Prot#'!$A:$AL,33,FALSE)</f>
        <v>400</v>
      </c>
      <c r="AC390" s="5">
        <f>VLOOKUP($A390,'SegEnds_NonXtal_Prot#'!$A:$AL,36,FALSE)</f>
        <v>429</v>
      </c>
      <c r="AD390" s="5">
        <f>VLOOKUP($A390,'SegEnds_NonXtal_Prot#'!$A:$AL,5,FALSE)</f>
        <v>69</v>
      </c>
      <c r="AE390" s="5">
        <f>VLOOKUP($A390,'SegEnds_NonXtal_Prot#'!$A:$AL,8,FALSE)</f>
        <v>73</v>
      </c>
      <c r="AF390" s="5">
        <f>VLOOKUP($A390,'SegEnds_NonXtal_Prot#'!$A:$AL,11,FALSE)</f>
        <v>104</v>
      </c>
      <c r="AG390" s="5">
        <f>VLOOKUP($A390,'SegEnds_NonXtal_Prot#'!$A:$AL,14,FALSE)</f>
        <v>109</v>
      </c>
      <c r="AH390" s="5">
        <f>VLOOKUP($A390,'SegEnds_NonXtal_Prot#'!$A:$AL,17,FALSE)</f>
        <v>145</v>
      </c>
      <c r="AI390" s="5" t="str">
        <f>VLOOKUP($A390,'SegEnds_NonXtal_Prot#'!$A:$AL,20,FALSE)</f>
        <v>-</v>
      </c>
      <c r="AJ390" s="5">
        <f>VLOOKUP($A390,'SegEnds_NonXtal_Prot#'!$A:$AL,23,FALSE)</f>
        <v>178</v>
      </c>
      <c r="AK390" s="5">
        <f>VLOOKUP($A390,'SegEnds_NonXtal_Prot#'!$A:$AL,26,FALSE)</f>
        <v>200</v>
      </c>
      <c r="AL390" s="5">
        <f>VLOOKUP($A390,'SegEnds_NonXtal_Prot#'!$A:$AL,29,FALSE)</f>
        <v>249</v>
      </c>
      <c r="AM390" s="5">
        <f>VLOOKUP($A390,'SegEnds_NonXtal_Prot#'!$A:$AL,32,FALSE)</f>
        <v>394</v>
      </c>
      <c r="AN390" s="5">
        <f>VLOOKUP($A390,'SegEnds_NonXtal_Prot#'!$A:$AL,35,FALSE)</f>
        <v>428</v>
      </c>
      <c r="AO390" s="5">
        <f>VLOOKUP($A390,'SegEnds_NonXtal_Prot#'!$A:$AL,38,FALSE)</f>
        <v>440</v>
      </c>
      <c r="AP390" s="5">
        <f t="shared" si="163"/>
        <v>29</v>
      </c>
      <c r="AQ390" s="4">
        <f t="shared" si="164"/>
        <v>3</v>
      </c>
      <c r="AR390" s="4">
        <f t="shared" si="165"/>
        <v>30</v>
      </c>
      <c r="AS390" s="4">
        <f t="shared" si="166"/>
        <v>3</v>
      </c>
      <c r="AT390" s="4">
        <f t="shared" si="167"/>
        <v>35</v>
      </c>
      <c r="AU390" s="4" t="str">
        <f t="shared" si="168"/>
        <v>-</v>
      </c>
      <c r="AV390" s="4">
        <f t="shared" si="169"/>
        <v>26</v>
      </c>
      <c r="AW390" s="4">
        <f t="shared" si="170"/>
        <v>2</v>
      </c>
      <c r="AX390" s="4">
        <f t="shared" si="171"/>
        <v>44</v>
      </c>
      <c r="AY390" s="4">
        <f t="shared" si="172"/>
        <v>37</v>
      </c>
      <c r="AZ390" s="4">
        <f t="shared" si="173"/>
        <v>28</v>
      </c>
      <c r="BA390" s="4">
        <f t="shared" si="174"/>
        <v>11</v>
      </c>
    </row>
    <row r="391" spans="1:53" x14ac:dyDescent="0.2">
      <c r="A391" s="1" t="str">
        <f>'SegEnds_NonXtal_Prot#'!A389</f>
        <v>opn3_human</v>
      </c>
      <c r="B391" s="1" t="str">
        <f t="shared" si="150"/>
        <v>PGTYERLALLLGSIGLLGVGNNLLVLVLYYKFTPTHLLLVNISLSDLLVSLFGVTFTFVSCLRDTVGCVWDGFSGSLFGIVSIATLTVLAYERYIRVVHNFSWAWRAITYIWLYSLAWAGAPLLNDSSFVLFLFLGCLVVPLGVIAHCYGHILYSIRMLRCVEDQVIKILKYEKKLAKMCFLMIFTFLVCWMPYIVICFLVVNGTPTISIVSYLFAKSNTVYNPVIYVFMIRKFRRSLLQLLC</v>
      </c>
      <c r="C391" s="29" t="str">
        <f>IF(ISERROR(MATCH(A391,'SegEnds_Xtal_Prot#'!B:B, 0)), "NoXtal", "Xtal")</f>
        <v>NoXtal</v>
      </c>
      <c r="D391" s="4" t="str">
        <f>VLOOKUP(A391,Classification!A:D,2,FALSE)</f>
        <v>A</v>
      </c>
      <c r="E391" s="5" t="str">
        <f>VLOOKUP(A391,Seqs!A:B,2,FALSE)</f>
        <v>MYSGNRSGGHGYWDGGGAAGAEGPAPAGTLSPAPLFSPGTYERLALLLGSIGLLGVGNNLLVLVLYYKFQRLRTPTHLLLVNISLSDLLVSLFGVTFTFVSCLRNGWVWDTVGCVWDGFSGSLFGIVSIATLTVLAYERYIRVVHARVINFSWAWRAITYIWLYSLAWAGAPLLGWNRYILDVHGLGCTVDWKSKDANDSSFVLFLFLGCLVVPLGVIAHCYGHILYSIRMLRCVEDLQTIQVIKILKYEKKLAKMCFLMIFTFLVCWMPYIVICFLVVNGHGHLVTPTISIVSYLFAKSNTVYNPVIYVFMIRKFRRSLLQLLCLRLLRCQRPAKDLPAAGSEMQIRPIVMSQKDGDRPKKKVTFNSSSIIFIITSDESLSVDDSDKTNGSKVDVIQVRPL</v>
      </c>
      <c r="F391" s="5" t="str">
        <f t="shared" si="151"/>
        <v>PGTYERLALLLGSIGLLGVGNNLLVLVLYYKF</v>
      </c>
      <c r="G391" s="4" t="str">
        <f t="shared" si="152"/>
        <v>QRLR</v>
      </c>
      <c r="H391" s="4" t="str">
        <f t="shared" si="153"/>
        <v>TPTHLLLVNISLSDLLVSLFGVTFTFVSCLR</v>
      </c>
      <c r="I391" s="4" t="str">
        <f t="shared" si="154"/>
        <v>GWVW</v>
      </c>
      <c r="J391" s="4" t="str">
        <f t="shared" si="155"/>
        <v>DTVGCVWDGFSGSLFGIVSIATLTVLAYERYIRVVH</v>
      </c>
      <c r="K391" s="4" t="str">
        <f t="shared" si="156"/>
        <v/>
      </c>
      <c r="L391" s="4" t="str">
        <f t="shared" si="157"/>
        <v>NFSWAWRAITYIWLYSLAWAGAPLL</v>
      </c>
      <c r="M391" s="4" t="str">
        <f t="shared" si="158"/>
        <v>CTV</v>
      </c>
      <c r="N391" s="4" t="str">
        <f t="shared" si="159"/>
        <v>NDSSFVLFLFLGCLVVPLGVIAHCYGHILYSIRMLRCVED</v>
      </c>
      <c r="O391" s="4" t="str">
        <f t="shared" si="160"/>
        <v>QVIKILKYEKKLAKMCFLMIFTFLVCWMPYIVICFLVVNG</v>
      </c>
      <c r="P391" s="4" t="str">
        <f t="shared" si="161"/>
        <v>TPTISIVSYLFAKSNTVYNPVIYVFM</v>
      </c>
      <c r="Q391" s="4" t="str">
        <f t="shared" si="162"/>
        <v>IRKFRRSLLQLLC</v>
      </c>
      <c r="R391" s="5">
        <f>VLOOKUP($A391,'SegEnds_NonXtal_Prot#'!$A:$AL,3,FALSE)</f>
        <v>38</v>
      </c>
      <c r="S391" s="5">
        <f>VLOOKUP($A391,'SegEnds_NonXtal_Prot#'!$A:$AL,6,FALSE)</f>
        <v>70</v>
      </c>
      <c r="T391" s="5">
        <f>VLOOKUP($A391,'SegEnds_NonXtal_Prot#'!$A:$AL,9,FALSE)</f>
        <v>74</v>
      </c>
      <c r="U391" s="5">
        <f>VLOOKUP($A391,'SegEnds_NonXtal_Prot#'!$A:$AL,12,FALSE)</f>
        <v>106</v>
      </c>
      <c r="V391" s="5">
        <f>VLOOKUP($A391,'SegEnds_NonXtal_Prot#'!$A:$AL,15,FALSE)</f>
        <v>110</v>
      </c>
      <c r="W391" s="5" t="str">
        <f>VLOOKUP($A391,'SegEnds_NonXtal_Prot#'!$A:$AL,18,FALSE)</f>
        <v>-</v>
      </c>
      <c r="X391" s="5">
        <f>VLOOKUP($A391,'SegEnds_NonXtal_Prot#'!$A:$AL,21,FALSE)</f>
        <v>150</v>
      </c>
      <c r="Y391" s="5">
        <f>VLOOKUP($A391,'SegEnds_NonXtal_Prot#'!$A:$AL,24,FALSE)</f>
        <v>188</v>
      </c>
      <c r="Z391" s="5">
        <f>VLOOKUP($A391,'SegEnds_NonXtal_Prot#'!$A:$AL,27,FALSE)</f>
        <v>198</v>
      </c>
      <c r="AA391" s="5">
        <f>VLOOKUP($A391,'SegEnds_NonXtal_Prot#'!$A:$AL,30,FALSE)</f>
        <v>242</v>
      </c>
      <c r="AB391" s="5">
        <f>VLOOKUP($A391,'SegEnds_NonXtal_Prot#'!$A:$AL,33,FALSE)</f>
        <v>287</v>
      </c>
      <c r="AC391" s="5">
        <f>VLOOKUP($A391,'SegEnds_NonXtal_Prot#'!$A:$AL,36,FALSE)</f>
        <v>313</v>
      </c>
      <c r="AD391" s="5">
        <f>VLOOKUP($A391,'SegEnds_NonXtal_Prot#'!$A:$AL,5,FALSE)</f>
        <v>69</v>
      </c>
      <c r="AE391" s="5">
        <f>VLOOKUP($A391,'SegEnds_NonXtal_Prot#'!$A:$AL,8,FALSE)</f>
        <v>73</v>
      </c>
      <c r="AF391" s="5">
        <f>VLOOKUP($A391,'SegEnds_NonXtal_Prot#'!$A:$AL,11,FALSE)</f>
        <v>104</v>
      </c>
      <c r="AG391" s="5">
        <f>VLOOKUP($A391,'SegEnds_NonXtal_Prot#'!$A:$AL,14,FALSE)</f>
        <v>109</v>
      </c>
      <c r="AH391" s="5">
        <f>VLOOKUP($A391,'SegEnds_NonXtal_Prot#'!$A:$AL,17,FALSE)</f>
        <v>145</v>
      </c>
      <c r="AI391" s="5" t="str">
        <f>VLOOKUP($A391,'SegEnds_NonXtal_Prot#'!$A:$AL,20,FALSE)</f>
        <v>-</v>
      </c>
      <c r="AJ391" s="5">
        <f>VLOOKUP($A391,'SegEnds_NonXtal_Prot#'!$A:$AL,23,FALSE)</f>
        <v>174</v>
      </c>
      <c r="AK391" s="5">
        <f>VLOOKUP($A391,'SegEnds_NonXtal_Prot#'!$A:$AL,26,FALSE)</f>
        <v>190</v>
      </c>
      <c r="AL391" s="5">
        <f>VLOOKUP($A391,'SegEnds_NonXtal_Prot#'!$A:$AL,29,FALSE)</f>
        <v>237</v>
      </c>
      <c r="AM391" s="5">
        <f>VLOOKUP($A391,'SegEnds_NonXtal_Prot#'!$A:$AL,32,FALSE)</f>
        <v>281</v>
      </c>
      <c r="AN391" s="5">
        <f>VLOOKUP($A391,'SegEnds_NonXtal_Prot#'!$A:$AL,35,FALSE)</f>
        <v>312</v>
      </c>
      <c r="AO391" s="5">
        <f>VLOOKUP($A391,'SegEnds_NonXtal_Prot#'!$A:$AL,38,FALSE)</f>
        <v>325</v>
      </c>
      <c r="AP391" s="5">
        <f t="shared" si="163"/>
        <v>31</v>
      </c>
      <c r="AQ391" s="4">
        <f t="shared" si="164"/>
        <v>3</v>
      </c>
      <c r="AR391" s="4">
        <f t="shared" si="165"/>
        <v>30</v>
      </c>
      <c r="AS391" s="4">
        <f t="shared" si="166"/>
        <v>3</v>
      </c>
      <c r="AT391" s="4">
        <f t="shared" si="167"/>
        <v>35</v>
      </c>
      <c r="AU391" s="4" t="str">
        <f t="shared" si="168"/>
        <v>-</v>
      </c>
      <c r="AV391" s="4">
        <f t="shared" si="169"/>
        <v>24</v>
      </c>
      <c r="AW391" s="4">
        <f t="shared" si="170"/>
        <v>2</v>
      </c>
      <c r="AX391" s="4">
        <f t="shared" si="171"/>
        <v>39</v>
      </c>
      <c r="AY391" s="4">
        <f t="shared" si="172"/>
        <v>39</v>
      </c>
      <c r="AZ391" s="4">
        <f t="shared" si="173"/>
        <v>25</v>
      </c>
      <c r="BA391" s="4">
        <f t="shared" si="174"/>
        <v>12</v>
      </c>
    </row>
    <row r="392" spans="1:53" x14ac:dyDescent="0.2">
      <c r="A392" s="1" t="str">
        <f>'SegEnds_NonXtal_Prot#'!A390</f>
        <v>oxyr_human</v>
      </c>
      <c r="B392" s="1" t="str">
        <f t="shared" si="150"/>
        <v>ARVEVAVLCLILLLALSGNACVLLALRTTSRLFFFMKHLSIADLVVAVFQVLPQLLWDIYGPDLLCRLVKYLQVVGMFASTYLLLLMSLDRCLAICQRRRTDRLAVLATWLGCLVASAPQVHIFPWGPKAYITWITLAVYIVPVIVLAACYGLISFKIWQNLRLKTAAAKLISKAKIRTVKMTFIIVLAFIVCWTPFFFVQMWSVWDEASAFIIVMLLASLNSCCNPWIYMLFTGHLFHELVQRF</v>
      </c>
      <c r="C392" s="29" t="str">
        <f>IF(ISERROR(MATCH(A392,'SegEnds_Xtal_Prot#'!B:B, 0)), "NoXtal", "Xtal")</f>
        <v>NoXtal</v>
      </c>
      <c r="D392" s="4" t="str">
        <f>VLOOKUP(A392,Classification!A:D,2,FALSE)</f>
        <v>A</v>
      </c>
      <c r="E392" s="5" t="str">
        <f>VLOOKUP(A392,Seqs!A:B,2,FALSE)</f>
        <v>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</v>
      </c>
      <c r="F392" s="5" t="str">
        <f t="shared" si="151"/>
        <v>ARVEVAVLCLILLLALSGNACVLLALRTT</v>
      </c>
      <c r="G392" s="4" t="str">
        <f t="shared" si="152"/>
        <v>RQKH</v>
      </c>
      <c r="H392" s="4" t="str">
        <f t="shared" si="153"/>
        <v>SRLFFFMKHLSIADLVVAVFQVLPQLLWDI</v>
      </c>
      <c r="I392" s="4" t="str">
        <f t="shared" si="154"/>
        <v>TFRF</v>
      </c>
      <c r="J392" s="4" t="str">
        <f t="shared" si="155"/>
        <v>YGPDLLCRLVKYLQVVGMFASTYLLLLMSLDRCLAICQ</v>
      </c>
      <c r="K392" s="4" t="str">
        <f t="shared" si="156"/>
        <v/>
      </c>
      <c r="L392" s="4" t="str">
        <f t="shared" si="157"/>
        <v>RRRTDRLAVLATWLGCLVASAPQVHIF</v>
      </c>
      <c r="M392" s="4" t="str">
        <f t="shared" si="158"/>
        <v>CWA</v>
      </c>
      <c r="N392" s="4" t="str">
        <f t="shared" si="159"/>
        <v>PWGPKAYITWITLAVYIVPVIVLAACYGLISFKIWQNLRLKTAAA</v>
      </c>
      <c r="O392" s="4" t="str">
        <f t="shared" si="160"/>
        <v>KLISKAKIRTVKMTFIIVLAFIVCWTPFFFVQMWSVWD</v>
      </c>
      <c r="P392" s="4" t="str">
        <f t="shared" si="161"/>
        <v>EASAFIIVMLLASLNSCCNPWIYMLF</v>
      </c>
      <c r="Q392" s="4" t="str">
        <f t="shared" si="162"/>
        <v>TGHLFHELVQRF</v>
      </c>
      <c r="R392" s="5">
        <f>VLOOKUP($A392,'SegEnds_NonXtal_Prot#'!$A:$AL,3,FALSE)</f>
        <v>39</v>
      </c>
      <c r="S392" s="5">
        <f>VLOOKUP($A392,'SegEnds_NonXtal_Prot#'!$A:$AL,6,FALSE)</f>
        <v>68</v>
      </c>
      <c r="T392" s="5">
        <f>VLOOKUP($A392,'SegEnds_NonXtal_Prot#'!$A:$AL,9,FALSE)</f>
        <v>72</v>
      </c>
      <c r="U392" s="5">
        <f>VLOOKUP($A392,'SegEnds_NonXtal_Prot#'!$A:$AL,12,FALSE)</f>
        <v>102</v>
      </c>
      <c r="V392" s="5">
        <f>VLOOKUP($A392,'SegEnds_NonXtal_Prot#'!$A:$AL,15,FALSE)</f>
        <v>106</v>
      </c>
      <c r="W392" s="5" t="str">
        <f>VLOOKUP($A392,'SegEnds_NonXtal_Prot#'!$A:$AL,18,FALSE)</f>
        <v>-</v>
      </c>
      <c r="X392" s="5">
        <f>VLOOKUP($A392,'SegEnds_NonXtal_Prot#'!$A:$AL,21,FALSE)</f>
        <v>149</v>
      </c>
      <c r="Y392" s="5">
        <f>VLOOKUP($A392,'SegEnds_NonXtal_Prot#'!$A:$AL,24,FALSE)</f>
        <v>187</v>
      </c>
      <c r="Z392" s="5">
        <f>VLOOKUP($A392,'SegEnds_NonXtal_Prot#'!$A:$AL,27,FALSE)</f>
        <v>194</v>
      </c>
      <c r="AA392" s="5">
        <f>VLOOKUP($A392,'SegEnds_NonXtal_Prot#'!$A:$AL,30,FALSE)</f>
        <v>264</v>
      </c>
      <c r="AB392" s="5">
        <f>VLOOKUP($A392,'SegEnds_NonXtal_Prot#'!$A:$AL,33,FALSE)</f>
        <v>307</v>
      </c>
      <c r="AC392" s="5">
        <f>VLOOKUP($A392,'SegEnds_NonXtal_Prot#'!$A:$AL,36,FALSE)</f>
        <v>333</v>
      </c>
      <c r="AD392" s="5">
        <f>VLOOKUP($A392,'SegEnds_NonXtal_Prot#'!$A:$AL,5,FALSE)</f>
        <v>67</v>
      </c>
      <c r="AE392" s="5">
        <f>VLOOKUP($A392,'SegEnds_NonXtal_Prot#'!$A:$AL,8,FALSE)</f>
        <v>71</v>
      </c>
      <c r="AF392" s="5">
        <f>VLOOKUP($A392,'SegEnds_NonXtal_Prot#'!$A:$AL,11,FALSE)</f>
        <v>101</v>
      </c>
      <c r="AG392" s="5">
        <f>VLOOKUP($A392,'SegEnds_NonXtal_Prot#'!$A:$AL,14,FALSE)</f>
        <v>105</v>
      </c>
      <c r="AH392" s="5">
        <f>VLOOKUP($A392,'SegEnds_NonXtal_Prot#'!$A:$AL,17,FALSE)</f>
        <v>143</v>
      </c>
      <c r="AI392" s="5" t="str">
        <f>VLOOKUP($A392,'SegEnds_NonXtal_Prot#'!$A:$AL,20,FALSE)</f>
        <v>-</v>
      </c>
      <c r="AJ392" s="5">
        <f>VLOOKUP($A392,'SegEnds_NonXtal_Prot#'!$A:$AL,23,FALSE)</f>
        <v>175</v>
      </c>
      <c r="AK392" s="5">
        <f>VLOOKUP($A392,'SegEnds_NonXtal_Prot#'!$A:$AL,26,FALSE)</f>
        <v>189</v>
      </c>
      <c r="AL392" s="5">
        <f>VLOOKUP($A392,'SegEnds_NonXtal_Prot#'!$A:$AL,29,FALSE)</f>
        <v>238</v>
      </c>
      <c r="AM392" s="5">
        <f>VLOOKUP($A392,'SegEnds_NonXtal_Prot#'!$A:$AL,32,FALSE)</f>
        <v>301</v>
      </c>
      <c r="AN392" s="5">
        <f>VLOOKUP($A392,'SegEnds_NonXtal_Prot#'!$A:$AL,35,FALSE)</f>
        <v>332</v>
      </c>
      <c r="AO392" s="5">
        <f>VLOOKUP($A392,'SegEnds_NonXtal_Prot#'!$A:$AL,38,FALSE)</f>
        <v>344</v>
      </c>
      <c r="AP392" s="5">
        <f t="shared" si="163"/>
        <v>28</v>
      </c>
      <c r="AQ392" s="4">
        <f t="shared" si="164"/>
        <v>3</v>
      </c>
      <c r="AR392" s="4">
        <f t="shared" si="165"/>
        <v>29</v>
      </c>
      <c r="AS392" s="4">
        <f t="shared" si="166"/>
        <v>3</v>
      </c>
      <c r="AT392" s="4">
        <f t="shared" si="167"/>
        <v>37</v>
      </c>
      <c r="AU392" s="4" t="str">
        <f t="shared" si="168"/>
        <v>-</v>
      </c>
      <c r="AV392" s="4">
        <f t="shared" si="169"/>
        <v>26</v>
      </c>
      <c r="AW392" s="4">
        <f t="shared" si="170"/>
        <v>2</v>
      </c>
      <c r="AX392" s="4">
        <f t="shared" si="171"/>
        <v>44</v>
      </c>
      <c r="AY392" s="4">
        <f t="shared" si="172"/>
        <v>37</v>
      </c>
      <c r="AZ392" s="4">
        <f t="shared" si="173"/>
        <v>25</v>
      </c>
      <c r="BA392" s="4">
        <f t="shared" si="174"/>
        <v>11</v>
      </c>
    </row>
    <row r="393" spans="1:53" x14ac:dyDescent="0.2">
      <c r="A393" s="1" t="str">
        <f>'SegEnds_NonXtal_Prot#'!A391</f>
        <v>pacr_human</v>
      </c>
      <c r="B393" s="1" t="str">
        <f t="shared" si="150"/>
        <v>TGDQDYYYLSVKALYTVGYSTSLVTLTTAMVILCRFCTRNFIHMNLFVSFMLRAISVFIKDWILSTVECKAVMVFFHYCVVSNYFWLFIEGLYLFTLLVERYFYWYTIIGWGTPTVCVTVWATLRLYFDLWWVIKGPVVGSIMVNFVLFIGIIVILVQKLNESSIYLRLARSTLLLIPLFGIHYTVFAFKRERLVFELGLGSFQGFVVAVLYCFLNGEVQAEIKRKWRSWKVNRYFAVDFK</v>
      </c>
      <c r="C393" s="29" t="str">
        <f>IF(ISERROR(MATCH(A393,'SegEnds_Xtal_Prot#'!B:B, 0)), "NoXtal", "Xtal")</f>
        <v>NoXtal</v>
      </c>
      <c r="D393" s="4" t="str">
        <f>VLOOKUP(A393,Classification!A:D,2,FALSE)</f>
        <v>B1</v>
      </c>
      <c r="E393" s="5" t="str">
        <f>VLOOKUP(A393,Seqs!A:B,2,FALSE)</f>
        <v>MAGVVHVSLAALLLLPMAPAMHSDCIFKKEQAMCLEKIQRANELMGFNDSSPGCPGMWDNITCWKPAHVGEMVLVSCPELFRIFNPDQVWETETIGESDFGDSNSLDLSDMGVVSRNCTEDGWSEPFPHYFDACGFDEYESETGDQDYYYLSVKALYTVGYSTSLVTLTTAMVILCRFRKLHCTRNFIHMNLFVSFMLRAISVFIKDWILYAEQDSNHCFISTVECKAVMVFFHYCVVSNYFWLFIEGLYLFTLLVETFFPERRYFYWYTIIGWGTPTVCVTVWATLRLYFDDTGCWDMNDSTALWWVIKGPVVGSIMVNFVLFIGIIVILVQKLQSPDMGGNESSIYLRLARSTLLLIPLFGIHYTVFAFSPENVSKRERLVFELGLGSFQGFVVAVLYCFLNGEVQAEIKRKWRSWKVNRYFAVDFKHRHPSLASSGVNGGTQLSILSKSSSQIRMSGLPADNLAT</v>
      </c>
      <c r="F393" s="5" t="str">
        <f t="shared" si="151"/>
        <v>TGDQDYYYLSVKALYTVGYSTSLVTLTTAMVILCRF</v>
      </c>
      <c r="G393" s="4" t="str">
        <f t="shared" si="152"/>
        <v>RKLH</v>
      </c>
      <c r="H393" s="4" t="str">
        <f t="shared" si="153"/>
        <v>CTRNFIHMNLFVSFMLRAISVFIKDWIL</v>
      </c>
      <c r="I393" s="4" t="str">
        <f t="shared" si="154"/>
        <v/>
      </c>
      <c r="J393" s="4" t="str">
        <f t="shared" si="155"/>
        <v>STVECKAVMVFFHYCVVSNYFWLFIEGLYLFTLLVE</v>
      </c>
      <c r="K393" s="4" t="str">
        <f t="shared" si="156"/>
        <v/>
      </c>
      <c r="L393" s="4" t="str">
        <f t="shared" si="157"/>
        <v>RYFYWYTIIGWGTPTVCVTVWATLRLYFD</v>
      </c>
      <c r="M393" s="4" t="str">
        <f t="shared" si="158"/>
        <v>CWD</v>
      </c>
      <c r="N393" s="4" t="str">
        <f t="shared" si="159"/>
        <v>LWWVIKGPVVGSIMVNFVLFIGIIVILVQKL</v>
      </c>
      <c r="O393" s="4" t="str">
        <f t="shared" si="160"/>
        <v>NESSIYLRLARSTLLLIPLFGIHYTVFAF</v>
      </c>
      <c r="P393" s="4" t="str">
        <f t="shared" si="161"/>
        <v>KRERLVFELGLGSFQGFVVAVLYCFL</v>
      </c>
      <c r="Q393" s="4" t="str">
        <f t="shared" si="162"/>
        <v>NGEVQAEIKRKWRSWKVNRYFAVDFK</v>
      </c>
      <c r="R393" s="5">
        <f>VLOOKUP($A393,'SegEnds_NonXtal_Prot#'!$A:$AL,3,FALSE)</f>
        <v>143</v>
      </c>
      <c r="S393" s="5">
        <f>VLOOKUP($A393,'SegEnds_NonXtal_Prot#'!$A:$AL,6,FALSE)</f>
        <v>179</v>
      </c>
      <c r="T393" s="5">
        <f>VLOOKUP($A393,'SegEnds_NonXtal_Prot#'!$A:$AL,9,FALSE)</f>
        <v>183</v>
      </c>
      <c r="U393" s="5" t="str">
        <f>VLOOKUP($A393,'SegEnds_NonXtal_Prot#'!$A:$AL,12,FALSE)</f>
        <v>-</v>
      </c>
      <c r="V393" s="5">
        <f>VLOOKUP($A393,'SegEnds_NonXtal_Prot#'!$A:$AL,15,FALSE)</f>
        <v>222</v>
      </c>
      <c r="W393" s="5" t="str">
        <f>VLOOKUP($A393,'SegEnds_NonXtal_Prot#'!$A:$AL,18,FALSE)</f>
        <v>-</v>
      </c>
      <c r="X393" s="5">
        <f>VLOOKUP($A393,'SegEnds_NonXtal_Prot#'!$A:$AL,21,FALSE)</f>
        <v>264</v>
      </c>
      <c r="Y393" s="5">
        <f>VLOOKUP($A393,'SegEnds_NonXtal_Prot#'!$A:$AL,24,FALSE)</f>
        <v>296</v>
      </c>
      <c r="Z393" s="5">
        <f>VLOOKUP($A393,'SegEnds_NonXtal_Prot#'!$A:$AL,27,FALSE)</f>
        <v>305</v>
      </c>
      <c r="AA393" s="5">
        <f>VLOOKUP($A393,'SegEnds_NonXtal_Prot#'!$A:$AL,30,FALSE)</f>
        <v>343</v>
      </c>
      <c r="AB393" s="5">
        <f>VLOOKUP($A393,'SegEnds_NonXtal_Prot#'!$A:$AL,33,FALSE)</f>
        <v>378</v>
      </c>
      <c r="AC393" s="5">
        <f>VLOOKUP($A393,'SegEnds_NonXtal_Prot#'!$A:$AL,36,FALSE)</f>
        <v>404</v>
      </c>
      <c r="AD393" s="5">
        <f>VLOOKUP($A393,'SegEnds_NonXtal_Prot#'!$A:$AL,5,FALSE)</f>
        <v>178</v>
      </c>
      <c r="AE393" s="5">
        <f>VLOOKUP($A393,'SegEnds_NonXtal_Prot#'!$A:$AL,8,FALSE)</f>
        <v>182</v>
      </c>
      <c r="AF393" s="5">
        <f>VLOOKUP($A393,'SegEnds_NonXtal_Prot#'!$A:$AL,11,FALSE)</f>
        <v>210</v>
      </c>
      <c r="AG393" s="5" t="str">
        <f>VLOOKUP($A393,'SegEnds_NonXtal_Prot#'!$A:$AL,14,FALSE)</f>
        <v>-</v>
      </c>
      <c r="AH393" s="5">
        <f>VLOOKUP($A393,'SegEnds_NonXtal_Prot#'!$A:$AL,17,FALSE)</f>
        <v>257</v>
      </c>
      <c r="AI393" s="5" t="str">
        <f>VLOOKUP($A393,'SegEnds_NonXtal_Prot#'!$A:$AL,20,FALSE)</f>
        <v>-</v>
      </c>
      <c r="AJ393" s="5">
        <f>VLOOKUP($A393,'SegEnds_NonXtal_Prot#'!$A:$AL,23,FALSE)</f>
        <v>292</v>
      </c>
      <c r="AK393" s="5">
        <f>VLOOKUP($A393,'SegEnds_NonXtal_Prot#'!$A:$AL,26,FALSE)</f>
        <v>298</v>
      </c>
      <c r="AL393" s="5">
        <f>VLOOKUP($A393,'SegEnds_NonXtal_Prot#'!$A:$AL,29,FALSE)</f>
        <v>335</v>
      </c>
      <c r="AM393" s="5">
        <f>VLOOKUP($A393,'SegEnds_NonXtal_Prot#'!$A:$AL,32,FALSE)</f>
        <v>371</v>
      </c>
      <c r="AN393" s="5">
        <f>VLOOKUP($A393,'SegEnds_NonXtal_Prot#'!$A:$AL,35,FALSE)</f>
        <v>403</v>
      </c>
      <c r="AO393" s="5">
        <f>VLOOKUP($A393,'SegEnds_NonXtal_Prot#'!$A:$AL,38,FALSE)</f>
        <v>429</v>
      </c>
      <c r="AP393" s="5">
        <f t="shared" si="163"/>
        <v>35</v>
      </c>
      <c r="AQ393" s="4">
        <f t="shared" si="164"/>
        <v>3</v>
      </c>
      <c r="AR393" s="4">
        <f t="shared" si="165"/>
        <v>27</v>
      </c>
      <c r="AS393" s="4" t="str">
        <f t="shared" si="166"/>
        <v>-</v>
      </c>
      <c r="AT393" s="4">
        <f t="shared" si="167"/>
        <v>35</v>
      </c>
      <c r="AU393" s="4" t="str">
        <f t="shared" si="168"/>
        <v>-</v>
      </c>
      <c r="AV393" s="4">
        <f t="shared" si="169"/>
        <v>28</v>
      </c>
      <c r="AW393" s="4">
        <f t="shared" si="170"/>
        <v>2</v>
      </c>
      <c r="AX393" s="4">
        <f t="shared" si="171"/>
        <v>30</v>
      </c>
      <c r="AY393" s="4">
        <f t="shared" si="172"/>
        <v>28</v>
      </c>
      <c r="AZ393" s="4">
        <f t="shared" si="173"/>
        <v>25</v>
      </c>
      <c r="BA393" s="4">
        <f t="shared" si="174"/>
        <v>25</v>
      </c>
    </row>
    <row r="394" spans="1:53" x14ac:dyDescent="0.2">
      <c r="A394" s="1" t="str">
        <f>'SegEnds_NonXtal_Prot#'!A393</f>
        <v>pkr2_human</v>
      </c>
      <c r="B394" s="1" t="str">
        <f t="shared" si="150"/>
        <v>AKIVIGIALAGIMLVCGIGNFVFIAALTRYNLTNLLIANLAISDFLVAIICCPFEMDYYVVGHVLCASVNYLRTVSLYVSTNALLAIAIDRYLAIVHNYQTASFLIALVWMVSILIAIPSAYFAQLYYKSYFLFIFGVEFVGPVVTMTLCYARISRELWFKAVPGFQIRKRLRCRRKTVLVLMCILTAYVLCWAPFYGFTIVRDFFEKHYLTAFYVVECIAMSNSMINTVCFVTVNNTMKYFKKMML</v>
      </c>
      <c r="C394" s="29" t="str">
        <f>IF(ISERROR(MATCH(A394,'SegEnds_Xtal_Prot#'!B:B, 0)), "NoXtal", "Xtal")</f>
        <v>NoXtal</v>
      </c>
      <c r="D394" s="4" t="str">
        <f>VLOOKUP(A394,Classification!A:D,2,FALSE)</f>
        <v>A</v>
      </c>
      <c r="E394" s="5" t="str">
        <f>VLOOKUP(A394,Seqs!A:B,2,FALSE)</f>
        <v>MAAQNGNTSFTPNFNPPQDHASSLSFNFSYGDYDLPMDEDEDMTKTRTFFAAKIVIGIALAGIMLVCGIGNFVFIAALTRYKKLRNLTNLLIANLAISDFLVAIICCPFEMDYYVVRQLSWEHGHVLCASVNYLRTVSLYVSTNALLAIAIDRYLAIVHPLKPRMNYQTASFLIALVWMVSILIAIPSAYFATETVLFIVKSQEKIFCGQIWPVDQQLYYKSYFLFIFGVEFVGPVVTMTLCYARISRELWFKAVPGFQTEQIRKRLRCRRKTVLVLMCILTAYVLCWAPFYGFTIVRDFFPTVFVKEKHYLTAFYVVECIAMSNSMINTVCFVTVKNNTMKYFKKMMLLHWRPSQRGSKSSADLDLRTNGVPTTEEVDCIRLK</v>
      </c>
      <c r="F394" s="5" t="str">
        <f t="shared" si="151"/>
        <v>AKIVIGIALAGIMLVCGIGNFVFIAALTRY</v>
      </c>
      <c r="G394" s="4" t="str">
        <f t="shared" si="152"/>
        <v>KKLR</v>
      </c>
      <c r="H394" s="4" t="str">
        <f t="shared" si="153"/>
        <v>NLTNLLIANLAISDFLVAIICCPFEMDYYVV</v>
      </c>
      <c r="I394" s="4" t="str">
        <f t="shared" si="154"/>
        <v>SWEH</v>
      </c>
      <c r="J394" s="4" t="str">
        <f t="shared" si="155"/>
        <v>GHVLCASVNYLRTVSLYVSTNALLAIAIDRYLAIVH</v>
      </c>
      <c r="K394" s="4" t="str">
        <f t="shared" si="156"/>
        <v/>
      </c>
      <c r="L394" s="4" t="str">
        <f t="shared" si="157"/>
        <v>NYQTASFLIALVWMVSILIAIPSAYFA</v>
      </c>
      <c r="M394" s="4" t="str">
        <f t="shared" si="158"/>
        <v>CGQ</v>
      </c>
      <c r="N394" s="4" t="str">
        <f t="shared" si="159"/>
        <v>QLYYKSYFLFIFGVEFVGPVVTMTLCYARISRELWFKAVPGF</v>
      </c>
      <c r="O394" s="4" t="str">
        <f t="shared" si="160"/>
        <v>QIRKRLRCRRKTVLVLMCILTAYVLCWAPFYGFTIVRDFF</v>
      </c>
      <c r="P394" s="4" t="str">
        <f t="shared" si="161"/>
        <v>EKHYLTAFYVVECIAMSNSMINTVCFVTV</v>
      </c>
      <c r="Q394" s="4" t="str">
        <f t="shared" si="162"/>
        <v>NNTMKYFKKMML</v>
      </c>
      <c r="R394" s="5">
        <f>VLOOKUP($A394,'SegEnds_NonXtal_Prot#'!$A:$AL,3,FALSE)</f>
        <v>52</v>
      </c>
      <c r="S394" s="5">
        <f>VLOOKUP($A394,'SegEnds_NonXtal_Prot#'!$A:$AL,6,FALSE)</f>
        <v>82</v>
      </c>
      <c r="T394" s="5">
        <f>VLOOKUP($A394,'SegEnds_NonXtal_Prot#'!$A:$AL,9,FALSE)</f>
        <v>86</v>
      </c>
      <c r="U394" s="5">
        <f>VLOOKUP($A394,'SegEnds_NonXtal_Prot#'!$A:$AL,12,FALSE)</f>
        <v>120</v>
      </c>
      <c r="V394" s="5">
        <f>VLOOKUP($A394,'SegEnds_NonXtal_Prot#'!$A:$AL,15,FALSE)</f>
        <v>124</v>
      </c>
      <c r="W394" s="5" t="str">
        <f>VLOOKUP($A394,'SegEnds_NonXtal_Prot#'!$A:$AL,18,FALSE)</f>
        <v>-</v>
      </c>
      <c r="X394" s="5">
        <f>VLOOKUP($A394,'SegEnds_NonXtal_Prot#'!$A:$AL,21,FALSE)</f>
        <v>166</v>
      </c>
      <c r="Y394" s="5">
        <f>VLOOKUP($A394,'SegEnds_NonXtal_Prot#'!$A:$AL,24,FALSE)</f>
        <v>208</v>
      </c>
      <c r="Z394" s="5">
        <f>VLOOKUP($A394,'SegEnds_NonXtal_Prot#'!$A:$AL,27,FALSE)</f>
        <v>217</v>
      </c>
      <c r="AA394" s="5">
        <f>VLOOKUP($A394,'SegEnds_NonXtal_Prot#'!$A:$AL,30,FALSE)</f>
        <v>262</v>
      </c>
      <c r="AB394" s="5">
        <f>VLOOKUP($A394,'SegEnds_NonXtal_Prot#'!$A:$AL,33,FALSE)</f>
        <v>308</v>
      </c>
      <c r="AC394" s="5">
        <f>VLOOKUP($A394,'SegEnds_NonXtal_Prot#'!$A:$AL,36,FALSE)</f>
        <v>338</v>
      </c>
      <c r="AD394" s="5">
        <f>VLOOKUP($A394,'SegEnds_NonXtal_Prot#'!$A:$AL,5,FALSE)</f>
        <v>81</v>
      </c>
      <c r="AE394" s="5">
        <f>VLOOKUP($A394,'SegEnds_NonXtal_Prot#'!$A:$AL,8,FALSE)</f>
        <v>85</v>
      </c>
      <c r="AF394" s="5">
        <f>VLOOKUP($A394,'SegEnds_NonXtal_Prot#'!$A:$AL,11,FALSE)</f>
        <v>116</v>
      </c>
      <c r="AG394" s="5">
        <f>VLOOKUP($A394,'SegEnds_NonXtal_Prot#'!$A:$AL,14,FALSE)</f>
        <v>123</v>
      </c>
      <c r="AH394" s="5">
        <f>VLOOKUP($A394,'SegEnds_NonXtal_Prot#'!$A:$AL,17,FALSE)</f>
        <v>159</v>
      </c>
      <c r="AI394" s="5" t="str">
        <f>VLOOKUP($A394,'SegEnds_NonXtal_Prot#'!$A:$AL,20,FALSE)</f>
        <v>-</v>
      </c>
      <c r="AJ394" s="5">
        <f>VLOOKUP($A394,'SegEnds_NonXtal_Prot#'!$A:$AL,23,FALSE)</f>
        <v>192</v>
      </c>
      <c r="AK394" s="5">
        <f>VLOOKUP($A394,'SegEnds_NonXtal_Prot#'!$A:$AL,26,FALSE)</f>
        <v>210</v>
      </c>
      <c r="AL394" s="5">
        <f>VLOOKUP($A394,'SegEnds_NonXtal_Prot#'!$A:$AL,29,FALSE)</f>
        <v>258</v>
      </c>
      <c r="AM394" s="5">
        <f>VLOOKUP($A394,'SegEnds_NonXtal_Prot#'!$A:$AL,32,FALSE)</f>
        <v>301</v>
      </c>
      <c r="AN394" s="5">
        <f>VLOOKUP($A394,'SegEnds_NonXtal_Prot#'!$A:$AL,35,FALSE)</f>
        <v>336</v>
      </c>
      <c r="AO394" s="5">
        <f>VLOOKUP($A394,'SegEnds_NonXtal_Prot#'!$A:$AL,38,FALSE)</f>
        <v>349</v>
      </c>
      <c r="AP394" s="5">
        <f t="shared" si="163"/>
        <v>29</v>
      </c>
      <c r="AQ394" s="4">
        <f t="shared" si="164"/>
        <v>3</v>
      </c>
      <c r="AR394" s="4">
        <f t="shared" si="165"/>
        <v>30</v>
      </c>
      <c r="AS394" s="4">
        <f t="shared" si="166"/>
        <v>3</v>
      </c>
      <c r="AT394" s="4">
        <f t="shared" si="167"/>
        <v>35</v>
      </c>
      <c r="AU394" s="4" t="str">
        <f t="shared" si="168"/>
        <v>-</v>
      </c>
      <c r="AV394" s="4">
        <f t="shared" si="169"/>
        <v>26</v>
      </c>
      <c r="AW394" s="4">
        <f t="shared" si="170"/>
        <v>2</v>
      </c>
      <c r="AX394" s="4">
        <f t="shared" si="171"/>
        <v>41</v>
      </c>
      <c r="AY394" s="4">
        <f t="shared" si="172"/>
        <v>39</v>
      </c>
      <c r="AZ394" s="4">
        <f t="shared" si="173"/>
        <v>28</v>
      </c>
      <c r="BA394" s="4">
        <f t="shared" si="174"/>
        <v>11</v>
      </c>
    </row>
    <row r="395" spans="1:53" x14ac:dyDescent="0.2">
      <c r="A395" s="1" t="str">
        <f>'SegEnds_NonXtal_Prot#'!A394</f>
        <v>pth1r_human</v>
      </c>
      <c r="B395" s="1" t="str">
        <f t="shared" si="150"/>
        <v>REVFDRLGMIYTVGYSVSLASLTVAVLILAYFCTRNYIHMHLFLSFMLRAVSIFVKDAVLYSGAAAGYAGCRVAVTFFLYFLATNYYWILVEGLYLHSLIFMEKKYLWGFTVFGWGLPAVFVAVWVSVRATLAKKWIIQVPILASIVLNFILFINIVRVLATKLDTRQQYRKLLKSTLVLMPLFGVHYIVFMATPYTESGTLWQVQMHYEMLFNSFQGFFVAIIYCFCNGEVQAEIKKSWSRWTLALDFKRKAR</v>
      </c>
      <c r="C395" s="29" t="str">
        <f>IF(ISERROR(MATCH(A395,'SegEnds_Xtal_Prot#'!B:B, 0)), "NoXtal", "Xtal")</f>
        <v>NoXtal</v>
      </c>
      <c r="D395" s="4" t="str">
        <f>VLOOKUP(A395,Classification!A:D,2,FALSE)</f>
        <v>B1</v>
      </c>
      <c r="E395" s="5" t="str">
        <f>VLOOKUP(A395,Seqs!A:B,2,FALSE)</f>
        <v>MGTARIAPGLALLLCCPVLSSAYALVDADDVMTKEEQIFLLHRAQAQCEKRLKEVLQRPASIMESDKGWTSASTSGKPRKDKASGKLYPESEEDKEAPTGSRYRGRPCLPEWDHILCWPLGAPGEVVAVPCPDYIYDFNHKGHAYRRCDRNGSWELVPGHNRTWANYSECVKFLTNETREREVFDRLGMIYTVGYSVSLASLTVAVLILAYFRRLHCTRNYIHMHLFLSFMLRAVSIFVKDAVLYSGATLDEAERLTEEELRAIAQAPPPPATAAAGYAGCRVAVTFFLYFLATNYYWILVEGLYLHSLIFMAFFSEKKYLWGFTVFGWGLPAVFVAVWVSVRATLANTGCWDLSSGNKKWIIQVPILASIVLNFILFINIVRVLATKLRETNAGRCDTRQQYRKLLKSTLVLMPLFGVHYIVFMATPYTEVSGTLWQVQMHYEMLFNSFQGFFVAIIYCFCNGEVQAEIKKSWSRWTLALDFKRKARSGSSSYSYGPMVSHTSVTNVGPRVGLGLPLSPRLLPTATTNGHPQLPGHAKPGTPALETLETTPPAMAAPKDDGFLNGSCSGLDEEASGPERPPALLQEEWETVM</v>
      </c>
      <c r="F395" s="5" t="str">
        <f t="shared" si="151"/>
        <v>REVFDRLGMIYTVGYSVSLASLTVAVLILAYF</v>
      </c>
      <c r="G395" s="4" t="str">
        <f t="shared" si="152"/>
        <v>RRLH</v>
      </c>
      <c r="H395" s="4" t="str">
        <f t="shared" si="153"/>
        <v>CTRNYIHMHLFLSFMLRAVSIFVKDAVLYSG</v>
      </c>
      <c r="I395" s="4" t="str">
        <f t="shared" si="154"/>
        <v/>
      </c>
      <c r="J395" s="4" t="str">
        <f t="shared" si="155"/>
        <v>AAAGYAGCRVAVTFFLYFLATNYYWILVEGLYLHSLIFM</v>
      </c>
      <c r="K395" s="4" t="str">
        <f t="shared" si="156"/>
        <v/>
      </c>
      <c r="L395" s="4" t="str">
        <f t="shared" si="157"/>
        <v>EKKYLWGFTVFGWGLPAVFVAVWVSVRATLA</v>
      </c>
      <c r="M395" s="4" t="str">
        <f t="shared" si="158"/>
        <v>CWD</v>
      </c>
      <c r="N395" s="4" t="str">
        <f t="shared" si="159"/>
        <v>KKWIIQVPILASIVLNFILFINIVRVLATKL</v>
      </c>
      <c r="O395" s="4" t="str">
        <f t="shared" si="160"/>
        <v>DTRQQYRKLLKSTLVLMPLFGVHYIVFMATPYTE</v>
      </c>
      <c r="P395" s="4" t="str">
        <f t="shared" si="161"/>
        <v>SGTLWQVQMHYEMLFNSFQGFFVAIIYCFC</v>
      </c>
      <c r="Q395" s="4" t="str">
        <f t="shared" si="162"/>
        <v>NGEVQAEIKKSWSRWTLALDFKRKAR</v>
      </c>
      <c r="R395" s="5">
        <f>VLOOKUP($A395,'SegEnds_NonXtal_Prot#'!$A:$AL,3,FALSE)</f>
        <v>181</v>
      </c>
      <c r="S395" s="5">
        <f>VLOOKUP($A395,'SegEnds_NonXtal_Prot#'!$A:$AL,6,FALSE)</f>
        <v>213</v>
      </c>
      <c r="T395" s="5">
        <f>VLOOKUP($A395,'SegEnds_NonXtal_Prot#'!$A:$AL,9,FALSE)</f>
        <v>217</v>
      </c>
      <c r="U395" s="5" t="str">
        <f>VLOOKUP($A395,'SegEnds_NonXtal_Prot#'!$A:$AL,12,FALSE)</f>
        <v>-</v>
      </c>
      <c r="V395" s="5">
        <f>VLOOKUP($A395,'SegEnds_NonXtal_Prot#'!$A:$AL,15,FALSE)</f>
        <v>274</v>
      </c>
      <c r="W395" s="5" t="str">
        <f>VLOOKUP($A395,'SegEnds_NonXtal_Prot#'!$A:$AL,18,FALSE)</f>
        <v>-</v>
      </c>
      <c r="X395" s="5">
        <f>VLOOKUP($A395,'SegEnds_NonXtal_Prot#'!$A:$AL,21,FALSE)</f>
        <v>317</v>
      </c>
      <c r="Y395" s="5">
        <f>VLOOKUP($A395,'SegEnds_NonXtal_Prot#'!$A:$AL,24,FALSE)</f>
        <v>351</v>
      </c>
      <c r="Z395" s="5">
        <f>VLOOKUP($A395,'SegEnds_NonXtal_Prot#'!$A:$AL,27,FALSE)</f>
        <v>359</v>
      </c>
      <c r="AA395" s="5">
        <f>VLOOKUP($A395,'SegEnds_NonXtal_Prot#'!$A:$AL,30,FALSE)</f>
        <v>398</v>
      </c>
      <c r="AB395" s="5">
        <f>VLOOKUP($A395,'SegEnds_NonXtal_Prot#'!$A:$AL,33,FALSE)</f>
        <v>433</v>
      </c>
      <c r="AC395" s="5">
        <f>VLOOKUP($A395,'SegEnds_NonXtal_Prot#'!$A:$AL,36,FALSE)</f>
        <v>463</v>
      </c>
      <c r="AD395" s="5">
        <f>VLOOKUP($A395,'SegEnds_NonXtal_Prot#'!$A:$AL,5,FALSE)</f>
        <v>212</v>
      </c>
      <c r="AE395" s="5">
        <f>VLOOKUP($A395,'SegEnds_NonXtal_Prot#'!$A:$AL,8,FALSE)</f>
        <v>216</v>
      </c>
      <c r="AF395" s="5">
        <f>VLOOKUP($A395,'SegEnds_NonXtal_Prot#'!$A:$AL,11,FALSE)</f>
        <v>247</v>
      </c>
      <c r="AG395" s="5" t="str">
        <f>VLOOKUP($A395,'SegEnds_NonXtal_Prot#'!$A:$AL,14,FALSE)</f>
        <v>-</v>
      </c>
      <c r="AH395" s="5">
        <f>VLOOKUP($A395,'SegEnds_NonXtal_Prot#'!$A:$AL,17,FALSE)</f>
        <v>312</v>
      </c>
      <c r="AI395" s="5" t="str">
        <f>VLOOKUP($A395,'SegEnds_NonXtal_Prot#'!$A:$AL,20,FALSE)</f>
        <v>-</v>
      </c>
      <c r="AJ395" s="5">
        <f>VLOOKUP($A395,'SegEnds_NonXtal_Prot#'!$A:$AL,23,FALSE)</f>
        <v>347</v>
      </c>
      <c r="AK395" s="5">
        <f>VLOOKUP($A395,'SegEnds_NonXtal_Prot#'!$A:$AL,26,FALSE)</f>
        <v>353</v>
      </c>
      <c r="AL395" s="5">
        <f>VLOOKUP($A395,'SegEnds_NonXtal_Prot#'!$A:$AL,29,FALSE)</f>
        <v>389</v>
      </c>
      <c r="AM395" s="5">
        <f>VLOOKUP($A395,'SegEnds_NonXtal_Prot#'!$A:$AL,32,FALSE)</f>
        <v>431</v>
      </c>
      <c r="AN395" s="5">
        <f>VLOOKUP($A395,'SegEnds_NonXtal_Prot#'!$A:$AL,35,FALSE)</f>
        <v>462</v>
      </c>
      <c r="AO395" s="5">
        <f>VLOOKUP($A395,'SegEnds_NonXtal_Prot#'!$A:$AL,38,FALSE)</f>
        <v>488</v>
      </c>
      <c r="AP395" s="5">
        <f t="shared" si="163"/>
        <v>31</v>
      </c>
      <c r="AQ395" s="4">
        <f t="shared" si="164"/>
        <v>3</v>
      </c>
      <c r="AR395" s="4">
        <f t="shared" si="165"/>
        <v>30</v>
      </c>
      <c r="AS395" s="4" t="str">
        <f t="shared" si="166"/>
        <v>-</v>
      </c>
      <c r="AT395" s="4">
        <f t="shared" si="167"/>
        <v>38</v>
      </c>
      <c r="AU395" s="4" t="str">
        <f t="shared" si="168"/>
        <v>-</v>
      </c>
      <c r="AV395" s="4">
        <f t="shared" si="169"/>
        <v>30</v>
      </c>
      <c r="AW395" s="4">
        <f t="shared" si="170"/>
        <v>2</v>
      </c>
      <c r="AX395" s="4">
        <f t="shared" si="171"/>
        <v>30</v>
      </c>
      <c r="AY395" s="4">
        <f t="shared" si="172"/>
        <v>33</v>
      </c>
      <c r="AZ395" s="4">
        <f t="shared" si="173"/>
        <v>29</v>
      </c>
      <c r="BA395" s="4">
        <f t="shared" si="174"/>
        <v>25</v>
      </c>
    </row>
    <row r="396" spans="1:53" x14ac:dyDescent="0.2">
      <c r="A396" s="1" t="str">
        <f>'SegEnds_NonXtal_Prot#'!A395</f>
        <v>pth2r_human</v>
      </c>
      <c r="B396" s="1" t="str">
        <f t="shared" si="150"/>
        <v>QEFFERLYVMYTVGYSISFGSLAVAILIIGYFCTRNYIHMHLFVSFMLRATSIFVKDRVVHAHDKSQYIGCKIAVVMFIYFLATNYYWILVEGLYLHNLIFVDTKYLWGFILIGWGFPAAFVAAWAVARATLAIKWIYQAPILAAIGLNFILFLNTVRVLATKIDTRKQYRKLAKSTLVLVLVFGVHYIVFVCLPHSFTGLGWEIRMHCELFFNSFQGFFVSIIYCYCNGEVQAEVKKMWSRWNLSVDWKRTPP</v>
      </c>
      <c r="C396" s="29" t="str">
        <f>IF(ISERROR(MATCH(A396,'SegEnds_Xtal_Prot#'!B:B, 0)), "NoXtal", "Xtal")</f>
        <v>NoXtal</v>
      </c>
      <c r="D396" s="4" t="str">
        <f>VLOOKUP(A396,Classification!A:D,2,FALSE)</f>
        <v>B1</v>
      </c>
      <c r="E396" s="5" t="str">
        <f>VLOOKUP(A396,Seqs!A:B,2,FALSE)</f>
        <v>MAGLGASLHVWGWLMLGSCLLARAQLDSDGTITIEEQIVLVLKAKVQCELNITAQLQEGEGNCFPEWDGLICWPRGTVGKISAVPCPPYIYDFNHKGVAFRHCNPNGTWDFMHSLNKTWANYSDCLRFLQPDISIGKQEFFERLYVMYTVGYSISFGSLAVAILIIGYFRRLHCTRNYIHMHLFVSFMLRATSIFVKDRVVHAHIGVKELESLIMQDDPQNSIEATSVDKSQYIGCKIAVVMFIYFLATNYYWILVEGLYLHNLIFVAFFSDTKYLWGFILIGWGFPAAFVAAWAVARATLADARCWELSAGDIKWIYQAPILAAIGLNFILFLNTVRVLATKIWETNAVGHDTRKQYRKLAKSTLVLVLVFGVHYIVFVCLPHSFTGLGWEIRMHCELFFNSFQGFFVSIIYCYCNGEVQAEVKKMWSRWNLSVDWKRTPPCGSRRCGSVLTTVTHSTSSQSQVAASTRMVLISGKAAKIASRQPDSHITLPGYVWSNSEQDCLPHSFHEETKEDSGRQGDDILMEKPSRPMESNPDTEGCQGETEDVL</v>
      </c>
      <c r="F396" s="5" t="str">
        <f t="shared" si="151"/>
        <v>QEFFERLYVMYTVGYSISFGSLAVAILIIGYF</v>
      </c>
      <c r="G396" s="4" t="str">
        <f t="shared" si="152"/>
        <v>RRLH</v>
      </c>
      <c r="H396" s="4" t="str">
        <f t="shared" si="153"/>
        <v>CTRNYIHMHLFVSFMLRATSIFVKDRVVHAH</v>
      </c>
      <c r="I396" s="4" t="str">
        <f t="shared" si="154"/>
        <v/>
      </c>
      <c r="J396" s="4" t="str">
        <f t="shared" si="155"/>
        <v>DKSQYIGCKIAVVMFIYFLATNYYWILVEGLYLHNLIFV</v>
      </c>
      <c r="K396" s="4" t="str">
        <f t="shared" si="156"/>
        <v/>
      </c>
      <c r="L396" s="4" t="str">
        <f t="shared" si="157"/>
        <v>DTKYLWGFILIGWGFPAAFVAAWAVARATLA</v>
      </c>
      <c r="M396" s="4" t="str">
        <f t="shared" si="158"/>
        <v>CWE</v>
      </c>
      <c r="N396" s="4" t="str">
        <f t="shared" si="159"/>
        <v>IKWIYQAPILAAIGLNFILFLNTVRVLATKI</v>
      </c>
      <c r="O396" s="4" t="str">
        <f t="shared" si="160"/>
        <v>DTRKQYRKLAKSTLVLVLVFGVHYIVFVCLPHSF</v>
      </c>
      <c r="P396" s="4" t="str">
        <f t="shared" si="161"/>
        <v>TGLGWEIRMHCELFFNSFQGFFVSIIYCYC</v>
      </c>
      <c r="Q396" s="4" t="str">
        <f t="shared" si="162"/>
        <v>NGEVQAEVKKMWSRWNLSVDWKRTPP</v>
      </c>
      <c r="R396" s="5">
        <f>VLOOKUP($A396,'SegEnds_NonXtal_Prot#'!$A:$AL,3,FALSE)</f>
        <v>138</v>
      </c>
      <c r="S396" s="5">
        <f>VLOOKUP($A396,'SegEnds_NonXtal_Prot#'!$A:$AL,6,FALSE)</f>
        <v>170</v>
      </c>
      <c r="T396" s="5">
        <f>VLOOKUP($A396,'SegEnds_NonXtal_Prot#'!$A:$AL,9,FALSE)</f>
        <v>174</v>
      </c>
      <c r="U396" s="5" t="str">
        <f>VLOOKUP($A396,'SegEnds_NonXtal_Prot#'!$A:$AL,12,FALSE)</f>
        <v>-</v>
      </c>
      <c r="V396" s="5">
        <f>VLOOKUP($A396,'SegEnds_NonXtal_Prot#'!$A:$AL,15,FALSE)</f>
        <v>229</v>
      </c>
      <c r="W396" s="5" t="str">
        <f>VLOOKUP($A396,'SegEnds_NonXtal_Prot#'!$A:$AL,18,FALSE)</f>
        <v>-</v>
      </c>
      <c r="X396" s="5">
        <f>VLOOKUP($A396,'SegEnds_NonXtal_Prot#'!$A:$AL,21,FALSE)</f>
        <v>272</v>
      </c>
      <c r="Y396" s="5">
        <f>VLOOKUP($A396,'SegEnds_NonXtal_Prot#'!$A:$AL,24,FALSE)</f>
        <v>306</v>
      </c>
      <c r="Z396" s="5">
        <f>VLOOKUP($A396,'SegEnds_NonXtal_Prot#'!$A:$AL,27,FALSE)</f>
        <v>314</v>
      </c>
      <c r="AA396" s="5">
        <f>VLOOKUP($A396,'SegEnds_NonXtal_Prot#'!$A:$AL,30,FALSE)</f>
        <v>353</v>
      </c>
      <c r="AB396" s="5">
        <f>VLOOKUP($A396,'SegEnds_NonXtal_Prot#'!$A:$AL,33,FALSE)</f>
        <v>387</v>
      </c>
      <c r="AC396" s="5">
        <f>VLOOKUP($A396,'SegEnds_NonXtal_Prot#'!$A:$AL,36,FALSE)</f>
        <v>417</v>
      </c>
      <c r="AD396" s="5">
        <f>VLOOKUP($A396,'SegEnds_NonXtal_Prot#'!$A:$AL,5,FALSE)</f>
        <v>169</v>
      </c>
      <c r="AE396" s="5">
        <f>VLOOKUP($A396,'SegEnds_NonXtal_Prot#'!$A:$AL,8,FALSE)</f>
        <v>173</v>
      </c>
      <c r="AF396" s="5">
        <f>VLOOKUP($A396,'SegEnds_NonXtal_Prot#'!$A:$AL,11,FALSE)</f>
        <v>204</v>
      </c>
      <c r="AG396" s="5" t="str">
        <f>VLOOKUP($A396,'SegEnds_NonXtal_Prot#'!$A:$AL,14,FALSE)</f>
        <v>-</v>
      </c>
      <c r="AH396" s="5">
        <f>VLOOKUP($A396,'SegEnds_NonXtal_Prot#'!$A:$AL,17,FALSE)</f>
        <v>267</v>
      </c>
      <c r="AI396" s="5" t="str">
        <f>VLOOKUP($A396,'SegEnds_NonXtal_Prot#'!$A:$AL,20,FALSE)</f>
        <v>-</v>
      </c>
      <c r="AJ396" s="5">
        <f>VLOOKUP($A396,'SegEnds_NonXtal_Prot#'!$A:$AL,23,FALSE)</f>
        <v>302</v>
      </c>
      <c r="AK396" s="5">
        <f>VLOOKUP($A396,'SegEnds_NonXtal_Prot#'!$A:$AL,26,FALSE)</f>
        <v>308</v>
      </c>
      <c r="AL396" s="5">
        <f>VLOOKUP($A396,'SegEnds_NonXtal_Prot#'!$A:$AL,29,FALSE)</f>
        <v>344</v>
      </c>
      <c r="AM396" s="5">
        <f>VLOOKUP($A396,'SegEnds_NonXtal_Prot#'!$A:$AL,32,FALSE)</f>
        <v>386</v>
      </c>
      <c r="AN396" s="5">
        <f>VLOOKUP($A396,'SegEnds_NonXtal_Prot#'!$A:$AL,35,FALSE)</f>
        <v>416</v>
      </c>
      <c r="AO396" s="5">
        <f>VLOOKUP($A396,'SegEnds_NonXtal_Prot#'!$A:$AL,38,FALSE)</f>
        <v>442</v>
      </c>
      <c r="AP396" s="5">
        <f t="shared" si="163"/>
        <v>31</v>
      </c>
      <c r="AQ396" s="4">
        <f t="shared" si="164"/>
        <v>3</v>
      </c>
      <c r="AR396" s="4">
        <f t="shared" si="165"/>
        <v>30</v>
      </c>
      <c r="AS396" s="4" t="str">
        <f t="shared" si="166"/>
        <v>-</v>
      </c>
      <c r="AT396" s="4">
        <f t="shared" si="167"/>
        <v>38</v>
      </c>
      <c r="AU396" s="4" t="str">
        <f t="shared" si="168"/>
        <v>-</v>
      </c>
      <c r="AV396" s="4">
        <f t="shared" si="169"/>
        <v>30</v>
      </c>
      <c r="AW396" s="4">
        <f t="shared" si="170"/>
        <v>2</v>
      </c>
      <c r="AX396" s="4">
        <f t="shared" si="171"/>
        <v>30</v>
      </c>
      <c r="AY396" s="4">
        <f t="shared" si="172"/>
        <v>33</v>
      </c>
      <c r="AZ396" s="4">
        <f t="shared" si="173"/>
        <v>29</v>
      </c>
      <c r="BA396" s="4">
        <f t="shared" si="174"/>
        <v>25</v>
      </c>
    </row>
    <row r="397" spans="1:53" x14ac:dyDescent="0.2">
      <c r="A397" s="1" t="str">
        <f>'SegEnds_NonXtal_Prot#'!A396</f>
        <v>rai3_human</v>
      </c>
      <c r="B397" s="1" t="str">
        <f t="shared" si="150"/>
        <v>AWGIVLETVATAGVVTSVAFMLTLPILNRRKMLPTQFLFLLGVLGIFGLTFAFIGSTGPTRFFLFGILFSICFSCLLAHAVSLTKLVSLLVILGLAVGFSLVQDVIAIEYIVLTNEDFVLLLTYVLFLMALTFLMSSFTHGAHIYLTMLLSIAIWVAWITLLMLDDTILSSALAANGWVFLLAYVSPEFWLLTKNPMDYPVEDAFCK</v>
      </c>
      <c r="C397" s="29" t="str">
        <f>IF(ISERROR(MATCH(A397,'SegEnds_Xtal_Prot#'!B:B, 0)), "NoXtal", "Xtal")</f>
        <v>NoXtal</v>
      </c>
      <c r="D397" s="4" t="str">
        <f>VLOOKUP(A397,Classification!A:D,2,FALSE)</f>
        <v>C</v>
      </c>
      <c r="E397" s="5" t="str">
        <f>VLOOKUP(A397,Seqs!A:B,2,FALSE)</f>
        <v>MATTVPDGCRNGLKSKYYRLCDKAEAWGIVLETVATAGVVTSVAFMLTLPILVCKVQDSNRRKMLPTQFLFLLGVLGIFGLTFAFIIGLDGSTGPTRFFLFGILFSICFSCLLAHAVSLTKLVRGRKPLSLLVILGLAVGFSLVQDVIAIEYIVLTMNRTNVNVFSELSAPRRNEDFVLLLTYVLFLMALTFLMSSFTFCGSFTGWKRHGAHIYLTMLLSIAIWVAWITLLMLPDFDRRWDDTILSSALAANGWVFLLAYVSPEFWLLTKQRNPMDYPVEDAFCKPQLVKKSYGVENRAYSQEEITQGFEETGDTLYAPYSTHFQLQNQPPQKEFSIPRAHAWPSPYKDYEVKKEGS</v>
      </c>
      <c r="F397" s="5" t="str">
        <f t="shared" si="151"/>
        <v>AWGIVLETVATAGVVTSVAFMLTLPIL</v>
      </c>
      <c r="G397" s="4" t="str">
        <f t="shared" si="152"/>
        <v>VCKVQDS</v>
      </c>
      <c r="H397" s="4" t="str">
        <f t="shared" si="153"/>
        <v>NRRKMLPTQFLFLLGVLGIFGLTFAFI</v>
      </c>
      <c r="I397" s="4" t="str">
        <f t="shared" si="154"/>
        <v/>
      </c>
      <c r="J397" s="4" t="str">
        <f t="shared" si="155"/>
        <v>GSTGPTRFFLFGILFSICFSCLLAHAVSLTKLV</v>
      </c>
      <c r="K397" s="4" t="str">
        <f t="shared" si="156"/>
        <v/>
      </c>
      <c r="L397" s="4" t="str">
        <f t="shared" si="157"/>
        <v>SLLVILGLAVGFSLVQDVIAIEYIVLT</v>
      </c>
      <c r="M397" s="4" t="str">
        <f t="shared" si="158"/>
        <v/>
      </c>
      <c r="N397" s="4" t="str">
        <f t="shared" si="159"/>
        <v>NEDFVLLLTYVLFLMALTFLMSSFT</v>
      </c>
      <c r="O397" s="4" t="str">
        <f t="shared" si="160"/>
        <v>HGAHIYLTMLLSIAIWVAWITLLML</v>
      </c>
      <c r="P397" s="4" t="str">
        <f t="shared" si="161"/>
        <v>DDTILSSALAANGWVFLLAYVSPEFWLLTK</v>
      </c>
      <c r="Q397" s="4" t="str">
        <f t="shared" si="162"/>
        <v>NPMDYPVEDAFCK</v>
      </c>
      <c r="R397" s="5">
        <f>VLOOKUP($A397,'SegEnds_NonXtal_Prot#'!$A:$AL,3,FALSE)</f>
        <v>26</v>
      </c>
      <c r="S397" s="5">
        <f>VLOOKUP($A397,'SegEnds_NonXtal_Prot#'!$A:$AL,6,FALSE)</f>
        <v>53</v>
      </c>
      <c r="T397" s="5">
        <f>VLOOKUP($A397,'SegEnds_NonXtal_Prot#'!$A:$AL,9,FALSE)</f>
        <v>60</v>
      </c>
      <c r="U397" s="5" t="str">
        <f>VLOOKUP($A397,'SegEnds_NonXtal_Prot#'!$A:$AL,12,FALSE)</f>
        <v>-</v>
      </c>
      <c r="V397" s="5">
        <f>VLOOKUP($A397,'SegEnds_NonXtal_Prot#'!$A:$AL,15,FALSE)</f>
        <v>91</v>
      </c>
      <c r="W397" s="5" t="str">
        <f>VLOOKUP($A397,'SegEnds_NonXtal_Prot#'!$A:$AL,18,FALSE)</f>
        <v>-</v>
      </c>
      <c r="X397" s="5">
        <f>VLOOKUP($A397,'SegEnds_NonXtal_Prot#'!$A:$AL,21,FALSE)</f>
        <v>130</v>
      </c>
      <c r="Y397" s="5" t="str">
        <f>VLOOKUP($A397,'SegEnds_NonXtal_Prot#'!$A:$AL,24,FALSE)</f>
        <v>-</v>
      </c>
      <c r="Z397" s="5">
        <f>VLOOKUP($A397,'SegEnds_NonXtal_Prot#'!$A:$AL,27,FALSE)</f>
        <v>174</v>
      </c>
      <c r="AA397" s="5">
        <f>VLOOKUP($A397,'SegEnds_NonXtal_Prot#'!$A:$AL,30,FALSE)</f>
        <v>209</v>
      </c>
      <c r="AB397" s="5">
        <f>VLOOKUP($A397,'SegEnds_NonXtal_Prot#'!$A:$AL,33,FALSE)</f>
        <v>241</v>
      </c>
      <c r="AC397" s="5">
        <f>VLOOKUP($A397,'SegEnds_NonXtal_Prot#'!$A:$AL,36,FALSE)</f>
        <v>273</v>
      </c>
      <c r="AD397" s="5">
        <f>VLOOKUP($A397,'SegEnds_NonXtal_Prot#'!$A:$AL,5,FALSE)</f>
        <v>52</v>
      </c>
      <c r="AE397" s="5">
        <f>VLOOKUP($A397,'SegEnds_NonXtal_Prot#'!$A:$AL,8,FALSE)</f>
        <v>59</v>
      </c>
      <c r="AF397" s="5">
        <f>VLOOKUP($A397,'SegEnds_NonXtal_Prot#'!$A:$AL,11,FALSE)</f>
        <v>86</v>
      </c>
      <c r="AG397" s="5" t="str">
        <f>VLOOKUP($A397,'SegEnds_NonXtal_Prot#'!$A:$AL,14,FALSE)</f>
        <v>-</v>
      </c>
      <c r="AH397" s="5">
        <f>VLOOKUP($A397,'SegEnds_NonXtal_Prot#'!$A:$AL,17,FALSE)</f>
        <v>123</v>
      </c>
      <c r="AI397" s="5" t="str">
        <f>VLOOKUP($A397,'SegEnds_NonXtal_Prot#'!$A:$AL,20,FALSE)</f>
        <v>-</v>
      </c>
      <c r="AJ397" s="5">
        <f>VLOOKUP($A397,'SegEnds_NonXtal_Prot#'!$A:$AL,23,FALSE)</f>
        <v>156</v>
      </c>
      <c r="AK397" s="5" t="str">
        <f>VLOOKUP($A397,'SegEnds_NonXtal_Prot#'!$A:$AL,26,FALSE)</f>
        <v>-</v>
      </c>
      <c r="AL397" s="5">
        <f>VLOOKUP($A397,'SegEnds_NonXtal_Prot#'!$A:$AL,29,FALSE)</f>
        <v>198</v>
      </c>
      <c r="AM397" s="5">
        <f>VLOOKUP($A397,'SegEnds_NonXtal_Prot#'!$A:$AL,32,FALSE)</f>
        <v>233</v>
      </c>
      <c r="AN397" s="5">
        <f>VLOOKUP($A397,'SegEnds_NonXtal_Prot#'!$A:$AL,35,FALSE)</f>
        <v>270</v>
      </c>
      <c r="AO397" s="5">
        <f>VLOOKUP($A397,'SegEnds_NonXtal_Prot#'!$A:$AL,38,FALSE)</f>
        <v>285</v>
      </c>
      <c r="AP397" s="5">
        <f t="shared" si="163"/>
        <v>26</v>
      </c>
      <c r="AQ397" s="4">
        <f t="shared" si="164"/>
        <v>6</v>
      </c>
      <c r="AR397" s="4">
        <f t="shared" si="165"/>
        <v>26</v>
      </c>
      <c r="AS397" s="4" t="str">
        <f t="shared" si="166"/>
        <v>-</v>
      </c>
      <c r="AT397" s="4">
        <f t="shared" si="167"/>
        <v>32</v>
      </c>
      <c r="AU397" s="4" t="str">
        <f t="shared" si="168"/>
        <v>-</v>
      </c>
      <c r="AV397" s="4">
        <f t="shared" si="169"/>
        <v>26</v>
      </c>
      <c r="AW397" s="4" t="str">
        <f t="shared" si="170"/>
        <v>-</v>
      </c>
      <c r="AX397" s="4">
        <f t="shared" si="171"/>
        <v>24</v>
      </c>
      <c r="AY397" s="4">
        <f t="shared" si="172"/>
        <v>24</v>
      </c>
      <c r="AZ397" s="4">
        <f t="shared" si="173"/>
        <v>29</v>
      </c>
      <c r="BA397" s="4">
        <f t="shared" si="174"/>
        <v>12</v>
      </c>
    </row>
    <row r="398" spans="1:53" x14ac:dyDescent="0.2">
      <c r="A398" s="1" t="str">
        <f>'SegEnds_NonXtal_Prot#'!A397</f>
        <v>rl3r1_human</v>
      </c>
      <c r="B398" s="1" t="str">
        <f t="shared" si="150"/>
        <v>RVRILISVVYWVVCALGLAGNLLVLYLMKSMKSSINLFVTNLALTDFQFVLTLPFWAVENALGKAMCKIVSMVTSMNMYASVFFLTAMSVTRYHSVASCCFSAKALCVWIWALAALASLPSAIFSWLGLYHSQKVLLGFVLPLGIIILCYLLLVRFIADRRAAGTKRPTGASARRLSKVTKSVTIVVLSFFLCWLPNQALTTWSILIKFNSQEYFLCQVYAFPVSVCLAHSNSCLNPVLYCLVRREFRKALKSLLWRI</v>
      </c>
      <c r="C398" s="29" t="str">
        <f>IF(ISERROR(MATCH(A398,'SegEnds_Xtal_Prot#'!B:B, 0)), "NoXtal", "Xtal")</f>
        <v>NoXtal</v>
      </c>
      <c r="D398" s="4" t="str">
        <f>VLOOKUP(A398,Classification!A:D,2,FALSE)</f>
        <v>A</v>
      </c>
      <c r="E398" s="5" t="str">
        <f>VLOOKUP(A398,Seqs!A:B,2,FALSE)</f>
        <v>MQMADAATIATMNKAAGGDKLAELFSLVPDLLEAANTSGNASLQLPDLWWELGLELPDGAPPGHPPGSGGAESADTEARVRILISVVYWVVCALGLAGNLLVLYLMKSMQGWRKSSINLFVTNLALTDFQFVLTLPFWAVENALDFKWPFGKAMCKIVSMVTSMNMYASVFFLTAMSVTRYHSVASALKSHRTRGHGRGDCCGRSLGDSCCFSAKALCVWIWALAALASLPSAIFSTTVKVMGEELCLVRFPDKLLGRDRQFWLGLYHSQKVLLGFVLPLGIIILCYLLLVRFIADRRAAGTKGGAAVAGGRPTGASARRLSKVTKSVTIVVLSFFLCWLPNQALTTWSILIKFNAVPFSQEYFLCQVYAFPVSVCLAHSNSCLNPVLYCLVRREFRKALKSLLWRIASPSITSMRPFTATTKPEHEDQGLQAPAPPHAAAEPDLLYYPPGVVVYSGGRYDLLPSSSAY</v>
      </c>
      <c r="F398" s="5" t="str">
        <f t="shared" si="151"/>
        <v>RVRILISVVYWVVCALGLAGNLLVLYLMKSM</v>
      </c>
      <c r="G398" s="4" t="str">
        <f t="shared" si="152"/>
        <v>QGWR</v>
      </c>
      <c r="H398" s="4" t="str">
        <f t="shared" si="153"/>
        <v>KSSINLFVTNLALTDFQFVLTLPFWAVENAL</v>
      </c>
      <c r="I398" s="4" t="str">
        <f t="shared" si="154"/>
        <v>KWPF</v>
      </c>
      <c r="J398" s="4" t="str">
        <f t="shared" si="155"/>
        <v>GKAMCKIVSMVTSMNMYASVFFLTAMSVTRYHSVAS</v>
      </c>
      <c r="K398" s="4" t="str">
        <f t="shared" si="156"/>
        <v/>
      </c>
      <c r="L398" s="4" t="str">
        <f t="shared" si="157"/>
        <v>CCFSAKALCVWIWALAALASLPSAIFS</v>
      </c>
      <c r="M398" s="4" t="str">
        <f t="shared" si="158"/>
        <v>CLV</v>
      </c>
      <c r="N398" s="4" t="str">
        <f t="shared" si="159"/>
        <v>WLGLYHSQKVLLGFVLPLGIIILCYLLLVRFIADRRAAGTK</v>
      </c>
      <c r="O398" s="4" t="str">
        <f t="shared" si="160"/>
        <v>RPTGASARRLSKVTKSVTIVVLSFFLCWLPNQALTTWSILIKFN</v>
      </c>
      <c r="P398" s="4" t="str">
        <f t="shared" si="161"/>
        <v>SQEYFLCQVYAFPVSVCLAHSNSCLNPVLYCLV</v>
      </c>
      <c r="Q398" s="4" t="str">
        <f t="shared" si="162"/>
        <v>RREFRKALKSLLWRI</v>
      </c>
      <c r="R398" s="5">
        <f>VLOOKUP($A398,'SegEnds_NonXtal_Prot#'!$A:$AL,3,FALSE)</f>
        <v>79</v>
      </c>
      <c r="S398" s="5">
        <f>VLOOKUP($A398,'SegEnds_NonXtal_Prot#'!$A:$AL,6,FALSE)</f>
        <v>110</v>
      </c>
      <c r="T398" s="5">
        <f>VLOOKUP($A398,'SegEnds_NonXtal_Prot#'!$A:$AL,9,FALSE)</f>
        <v>114</v>
      </c>
      <c r="U398" s="5">
        <f>VLOOKUP($A398,'SegEnds_NonXtal_Prot#'!$A:$AL,12,FALSE)</f>
        <v>147</v>
      </c>
      <c r="V398" s="5">
        <f>VLOOKUP($A398,'SegEnds_NonXtal_Prot#'!$A:$AL,15,FALSE)</f>
        <v>151</v>
      </c>
      <c r="W398" s="5" t="str">
        <f>VLOOKUP($A398,'SegEnds_NonXtal_Prot#'!$A:$AL,18,FALSE)</f>
        <v>-</v>
      </c>
      <c r="X398" s="5">
        <f>VLOOKUP($A398,'SegEnds_NonXtal_Prot#'!$A:$AL,21,FALSE)</f>
        <v>210</v>
      </c>
      <c r="Y398" s="5">
        <f>VLOOKUP($A398,'SegEnds_NonXtal_Prot#'!$A:$AL,24,FALSE)</f>
        <v>247</v>
      </c>
      <c r="Z398" s="5">
        <f>VLOOKUP($A398,'SegEnds_NonXtal_Prot#'!$A:$AL,27,FALSE)</f>
        <v>263</v>
      </c>
      <c r="AA398" s="5">
        <f>VLOOKUP($A398,'SegEnds_NonXtal_Prot#'!$A:$AL,30,FALSE)</f>
        <v>312</v>
      </c>
      <c r="AB398" s="5">
        <f>VLOOKUP($A398,'SegEnds_NonXtal_Prot#'!$A:$AL,33,FALSE)</f>
        <v>360</v>
      </c>
      <c r="AC398" s="5">
        <f>VLOOKUP($A398,'SegEnds_NonXtal_Prot#'!$A:$AL,36,FALSE)</f>
        <v>393</v>
      </c>
      <c r="AD398" s="5">
        <f>VLOOKUP($A398,'SegEnds_NonXtal_Prot#'!$A:$AL,5,FALSE)</f>
        <v>109</v>
      </c>
      <c r="AE398" s="5">
        <f>VLOOKUP($A398,'SegEnds_NonXtal_Prot#'!$A:$AL,8,FALSE)</f>
        <v>113</v>
      </c>
      <c r="AF398" s="5">
        <f>VLOOKUP($A398,'SegEnds_NonXtal_Prot#'!$A:$AL,11,FALSE)</f>
        <v>144</v>
      </c>
      <c r="AG398" s="5">
        <f>VLOOKUP($A398,'SegEnds_NonXtal_Prot#'!$A:$AL,14,FALSE)</f>
        <v>150</v>
      </c>
      <c r="AH398" s="5">
        <f>VLOOKUP($A398,'SegEnds_NonXtal_Prot#'!$A:$AL,17,FALSE)</f>
        <v>186</v>
      </c>
      <c r="AI398" s="5" t="str">
        <f>VLOOKUP($A398,'SegEnds_NonXtal_Prot#'!$A:$AL,20,FALSE)</f>
        <v>-</v>
      </c>
      <c r="AJ398" s="5">
        <f>VLOOKUP($A398,'SegEnds_NonXtal_Prot#'!$A:$AL,23,FALSE)</f>
        <v>236</v>
      </c>
      <c r="AK398" s="5">
        <f>VLOOKUP($A398,'SegEnds_NonXtal_Prot#'!$A:$AL,26,FALSE)</f>
        <v>249</v>
      </c>
      <c r="AL398" s="5">
        <f>VLOOKUP($A398,'SegEnds_NonXtal_Prot#'!$A:$AL,29,FALSE)</f>
        <v>303</v>
      </c>
      <c r="AM398" s="5">
        <f>VLOOKUP($A398,'SegEnds_NonXtal_Prot#'!$A:$AL,32,FALSE)</f>
        <v>355</v>
      </c>
      <c r="AN398" s="5">
        <f>VLOOKUP($A398,'SegEnds_NonXtal_Prot#'!$A:$AL,35,FALSE)</f>
        <v>392</v>
      </c>
      <c r="AO398" s="5">
        <f>VLOOKUP($A398,'SegEnds_NonXtal_Prot#'!$A:$AL,38,FALSE)</f>
        <v>407</v>
      </c>
      <c r="AP398" s="5">
        <f t="shared" si="163"/>
        <v>30</v>
      </c>
      <c r="AQ398" s="4">
        <f t="shared" si="164"/>
        <v>3</v>
      </c>
      <c r="AR398" s="4">
        <f t="shared" si="165"/>
        <v>30</v>
      </c>
      <c r="AS398" s="4">
        <f t="shared" si="166"/>
        <v>3</v>
      </c>
      <c r="AT398" s="4">
        <f t="shared" si="167"/>
        <v>35</v>
      </c>
      <c r="AU398" s="4" t="str">
        <f t="shared" si="168"/>
        <v>-</v>
      </c>
      <c r="AV398" s="4">
        <f t="shared" si="169"/>
        <v>26</v>
      </c>
      <c r="AW398" s="4">
        <f t="shared" si="170"/>
        <v>2</v>
      </c>
      <c r="AX398" s="4">
        <f t="shared" si="171"/>
        <v>40</v>
      </c>
      <c r="AY398" s="4">
        <f t="shared" si="172"/>
        <v>43</v>
      </c>
      <c r="AZ398" s="4">
        <f t="shared" si="173"/>
        <v>32</v>
      </c>
      <c r="BA398" s="4">
        <f t="shared" si="174"/>
        <v>14</v>
      </c>
    </row>
    <row r="399" spans="1:53" x14ac:dyDescent="0.2">
      <c r="A399" s="1" t="str">
        <f>'SegEnds_NonXtal_Prot#'!A399</f>
        <v>smo_human</v>
      </c>
      <c r="B399" s="1" t="str">
        <f t="shared" si="150"/>
        <v>EAEHQDMHSYIAAFGAVTGLCTLFTLATFVADRYPAVILFYVNACFFVGSIGWLAQFLSCVIIFVIVYYALMAGVVWFVVLTYAWHTSFKALGTLSGKTSYFHLLTWSLPFVLTVAILAVYRYRAGFVLAPIGLVLIVGGYFLIRGVMTLFSIKSNHASKINETMLRLGIFGFLAFGFVLITFSCHFYDFFNQAEWERSFRDYVLCQANVTILLVEKINLFAMFGTGIAMSTWVWTKATLLIWRRTWCRLT</v>
      </c>
      <c r="C399" s="29" t="str">
        <f>IF(ISERROR(MATCH(A399,'SegEnds_Xtal_Prot#'!B:B, 0)), "NoXtal", "Xtal")</f>
        <v>Xtal</v>
      </c>
      <c r="D399" s="4" t="str">
        <f>VLOOKUP(A399,Classification!A:D,2,FALSE)</f>
        <v>F</v>
      </c>
      <c r="E399" s="5" t="str">
        <f>VLOOKUP(A399,Seqs!A:B,2,FALSE)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F399" s="5" t="str">
        <f t="shared" si="151"/>
        <v>EAEHQDMHSYIAAFGAVTGLCTLFTLATFVAD</v>
      </c>
      <c r="G399" s="4" t="str">
        <f t="shared" si="152"/>
        <v>WRNSN</v>
      </c>
      <c r="H399" s="4" t="str">
        <f t="shared" si="153"/>
        <v>RYPAVILFYVNACFFVGSIGWLAQF</v>
      </c>
      <c r="I399" s="4" t="str">
        <f t="shared" si="154"/>
        <v/>
      </c>
      <c r="J399" s="4" t="str">
        <f t="shared" si="155"/>
        <v>LSCVIIFVIVYYALMAGVVWFVVLTYAWHTSFKALGT</v>
      </c>
      <c r="K399" s="4" t="str">
        <f t="shared" si="156"/>
        <v/>
      </c>
      <c r="L399" s="4" t="str">
        <f t="shared" si="157"/>
        <v>LSGKTSYFHLLTWSLPFVLTVAILAV</v>
      </c>
      <c r="M399" s="4" t="str">
        <f t="shared" si="158"/>
        <v>CFV</v>
      </c>
      <c r="N399" s="4" t="str">
        <f t="shared" si="159"/>
        <v>YRYRAGFVLAPIGLVLIVGGYFLIRGVMTLFSIKSNH</v>
      </c>
      <c r="O399" s="4" t="str">
        <f t="shared" si="160"/>
        <v>ASKINETMLRLGIFGFLAFGFVLITFSCHFYDFFNQAEWERSFRDYVLCQANVTI</v>
      </c>
      <c r="P399" s="4" t="str">
        <f t="shared" si="161"/>
        <v>LLVEKINLFAMFGTGIAMSTWVW</v>
      </c>
      <c r="Q399" s="4" t="str">
        <f t="shared" si="162"/>
        <v>TKATLLIWRRTWCRLT</v>
      </c>
      <c r="R399" s="5">
        <f>VLOOKUP($A399,'SegEnds_NonXtal_Prot#'!$A:$AL,3,FALSE)</f>
        <v>224</v>
      </c>
      <c r="S399" s="5">
        <f>VLOOKUP($A399,'SegEnds_NonXtal_Prot#'!$A:$AL,6,FALSE)</f>
        <v>256</v>
      </c>
      <c r="T399" s="5">
        <f>VLOOKUP($A399,'SegEnds_NonXtal_Prot#'!$A:$AL,9,FALSE)</f>
        <v>261</v>
      </c>
      <c r="U399" s="5" t="str">
        <f>VLOOKUP($A399,'SegEnds_NonXtal_Prot#'!$A:$AL,12,FALSE)</f>
        <v>-</v>
      </c>
      <c r="V399" s="5">
        <f>VLOOKUP($A399,'SegEnds_NonXtal_Prot#'!$A:$AL,15,FALSE)</f>
        <v>312</v>
      </c>
      <c r="W399" s="5" t="str">
        <f>VLOOKUP($A399,'SegEnds_NonXtal_Prot#'!$A:$AL,18,FALSE)</f>
        <v>-</v>
      </c>
      <c r="X399" s="5">
        <f>VLOOKUP($A399,'SegEnds_NonXtal_Prot#'!$A:$AL,21,FALSE)</f>
        <v>353</v>
      </c>
      <c r="Y399" s="5">
        <f>VLOOKUP($A399,'SegEnds_NonXtal_Prot#'!$A:$AL,24,FALSE)</f>
        <v>390</v>
      </c>
      <c r="Z399" s="5">
        <f>VLOOKUP($A399,'SegEnds_NonXtal_Prot#'!$A:$AL,27,FALSE)</f>
        <v>397</v>
      </c>
      <c r="AA399" s="5">
        <f>VLOOKUP($A399,'SegEnds_NonXtal_Prot#'!$A:$AL,30,FALSE)</f>
        <v>442</v>
      </c>
      <c r="AB399" s="5">
        <f>VLOOKUP($A399,'SegEnds_NonXtal_Prot#'!$A:$AL,33,FALSE)</f>
        <v>515</v>
      </c>
      <c r="AC399" s="5">
        <f>VLOOKUP($A399,'SegEnds_NonXtal_Prot#'!$A:$AL,36,FALSE)</f>
        <v>538</v>
      </c>
      <c r="AD399" s="5">
        <f>VLOOKUP($A399,'SegEnds_NonXtal_Prot#'!$A:$AL,5,FALSE)</f>
        <v>255</v>
      </c>
      <c r="AE399" s="5">
        <f>VLOOKUP($A399,'SegEnds_NonXtal_Prot#'!$A:$AL,8,FALSE)</f>
        <v>260</v>
      </c>
      <c r="AF399" s="5">
        <f>VLOOKUP($A399,'SegEnds_NonXtal_Prot#'!$A:$AL,11,FALSE)</f>
        <v>285</v>
      </c>
      <c r="AG399" s="5" t="str">
        <f>VLOOKUP($A399,'SegEnds_NonXtal_Prot#'!$A:$AL,14,FALSE)</f>
        <v>-</v>
      </c>
      <c r="AH399" s="5">
        <f>VLOOKUP($A399,'SegEnds_NonXtal_Prot#'!$A:$AL,17,FALSE)</f>
        <v>348</v>
      </c>
      <c r="AI399" s="5" t="str">
        <f>VLOOKUP($A399,'SegEnds_NonXtal_Prot#'!$A:$AL,20,FALSE)</f>
        <v>-</v>
      </c>
      <c r="AJ399" s="5">
        <f>VLOOKUP($A399,'SegEnds_NonXtal_Prot#'!$A:$AL,23,FALSE)</f>
        <v>378</v>
      </c>
      <c r="AK399" s="5">
        <f>VLOOKUP($A399,'SegEnds_NonXtal_Prot#'!$A:$AL,26,FALSE)</f>
        <v>392</v>
      </c>
      <c r="AL399" s="5">
        <f>VLOOKUP($A399,'SegEnds_NonXtal_Prot#'!$A:$AL,29,FALSE)</f>
        <v>433</v>
      </c>
      <c r="AM399" s="5">
        <f>VLOOKUP($A399,'SegEnds_NonXtal_Prot#'!$A:$AL,32,FALSE)</f>
        <v>496</v>
      </c>
      <c r="AN399" s="5">
        <f>VLOOKUP($A399,'SegEnds_NonXtal_Prot#'!$A:$AL,35,FALSE)</f>
        <v>537</v>
      </c>
      <c r="AO399" s="5">
        <f>VLOOKUP($A399,'SegEnds_NonXtal_Prot#'!$A:$AL,38,FALSE)</f>
        <v>553</v>
      </c>
      <c r="AP399" s="5">
        <f t="shared" si="163"/>
        <v>31</v>
      </c>
      <c r="AQ399" s="4">
        <f t="shared" si="164"/>
        <v>4</v>
      </c>
      <c r="AR399" s="4">
        <f t="shared" si="165"/>
        <v>24</v>
      </c>
      <c r="AS399" s="4" t="str">
        <f t="shared" si="166"/>
        <v>-</v>
      </c>
      <c r="AT399" s="4">
        <f t="shared" si="167"/>
        <v>36</v>
      </c>
      <c r="AU399" s="4" t="str">
        <f t="shared" si="168"/>
        <v>-</v>
      </c>
      <c r="AV399" s="4">
        <f t="shared" si="169"/>
        <v>25</v>
      </c>
      <c r="AW399" s="4">
        <f t="shared" si="170"/>
        <v>2</v>
      </c>
      <c r="AX399" s="4">
        <f t="shared" si="171"/>
        <v>36</v>
      </c>
      <c r="AY399" s="4">
        <f t="shared" si="172"/>
        <v>54</v>
      </c>
      <c r="AZ399" s="4">
        <f t="shared" si="173"/>
        <v>22</v>
      </c>
      <c r="BA399" s="4">
        <f t="shared" si="174"/>
        <v>15</v>
      </c>
    </row>
    <row r="400" spans="1:53" x14ac:dyDescent="0.2">
      <c r="A400" s="1" t="str">
        <f>'SegEnds_NonXtal_Prot#'!A400</f>
        <v>tpra1_human</v>
      </c>
      <c r="B400" s="1" t="str">
        <f t="shared" si="150"/>
        <v>PHRCLLLLYEDIGTSRVRYWDLLLLIPNVLFLIFLLWKLPSARAKIRIILVFVVALVGIARAVVSMTVSTSNADKILWEITRFFLLAIELSVIILGLAFGHLESKSSYSVTQGTLEILYPDAHLSAEDFGHGGRQFWLVSSCFFFLVYSLVDIIEGLCCVDATTFLYFSFFAPLIYYKCQVDETEEPDVHLPQPYAVALEAAGAAGASAASYSSTQFDS</v>
      </c>
      <c r="C400" s="29" t="str">
        <f>IF(ISERROR(MATCH(A400,'SegEnds_Xtal_Prot#'!B:B, 0)), "NoXtal", "Xtal")</f>
        <v>NoXtal</v>
      </c>
      <c r="D400" s="4" t="str">
        <f>VLOOKUP(A400,Classification!A:D,2,FALSE)</f>
        <v>O</v>
      </c>
      <c r="E400" s="5" t="str">
        <f>VLOOKUP(A400,Seqs!A:B,2,FALSE)</f>
        <v>MDTLEEVTWANGSTALPPPLAPNISVPHRCLLLLYEDIGTSRVRYWDLLLLIPNVLFLIFLLWKLPSARAKIRITSSPIFITFYILVFVVALVGIARAVVSMTVSTSNAATVADKILWEITRFFLLAIELSVIILGLAFGHLESKSSIKRVLAITTVLSLAYSVTQGTLEILYPDAHLSAEDFNIYGHGGRQFWLVSSCFFFLVYSLVVILPKTPLKERISLPSRRSFYVYAGILALLNLLQGLGSVLLCFDIIEGLCCVDATTFLYFSFFAPLIYVAFLRGFFGSEPKILFSYKCQVDETEEPDVHLPQPYAVARREGLEAAGAAGASAASYSSTQFDSAGGVAYLDDIASMPCHTGSINSTDSERWKAINA</v>
      </c>
      <c r="F400" s="5" t="str">
        <f t="shared" si="151"/>
        <v>PHRCLLLLYEDIGTSRVRYWDLLLLIPNVLFLIFLLWKLPSARAKIRI</v>
      </c>
      <c r="G400" s="4" t="str">
        <f t="shared" si="152"/>
        <v/>
      </c>
      <c r="H400" s="4" t="str">
        <f t="shared" si="153"/>
        <v>ILVFVVALVGIARAVVSMTVSTSNA</v>
      </c>
      <c r="I400" s="4" t="str">
        <f t="shared" si="154"/>
        <v/>
      </c>
      <c r="J400" s="4" t="str">
        <f t="shared" si="155"/>
        <v>DKILWEITRFFLLAIELSVIILGLAFGHLESKSS</v>
      </c>
      <c r="K400" s="4" t="str">
        <f t="shared" si="156"/>
        <v/>
      </c>
      <c r="L400" s="4" t="str">
        <f t="shared" si="157"/>
        <v>YSVTQGTLEILYPDAHLSAEDF</v>
      </c>
      <c r="M400" s="4" t="str">
        <f t="shared" si="158"/>
        <v/>
      </c>
      <c r="N400" s="4" t="str">
        <f t="shared" si="159"/>
        <v>GHGGRQFWLVSSCFFFLVYSLV</v>
      </c>
      <c r="O400" s="4" t="str">
        <f t="shared" si="160"/>
        <v>DIIEGLCCVDATTFLYFSFFAPLIY</v>
      </c>
      <c r="P400" s="4" t="str">
        <f t="shared" si="161"/>
        <v>YKCQVDETEEPDVHLPQPYAVA</v>
      </c>
      <c r="Q400" s="4" t="str">
        <f t="shared" si="162"/>
        <v>LEAAGAAGASAASYSSTQFDS</v>
      </c>
      <c r="R400" s="5">
        <f>VLOOKUP($A400,'SegEnds_NonXtal_Prot#'!$A:$AL,3,FALSE)</f>
        <v>27</v>
      </c>
      <c r="S400" s="5" t="str">
        <f>VLOOKUP($A400,'SegEnds_NonXtal_Prot#'!$A:$AL,6,FALSE)</f>
        <v>-</v>
      </c>
      <c r="T400" s="5">
        <f>VLOOKUP($A400,'SegEnds_NonXtal_Prot#'!$A:$AL,9,FALSE)</f>
        <v>85</v>
      </c>
      <c r="U400" s="5" t="str">
        <f>VLOOKUP($A400,'SegEnds_NonXtal_Prot#'!$A:$AL,12,FALSE)</f>
        <v>-</v>
      </c>
      <c r="V400" s="5">
        <f>VLOOKUP($A400,'SegEnds_NonXtal_Prot#'!$A:$AL,15,FALSE)</f>
        <v>114</v>
      </c>
      <c r="W400" s="5" t="str">
        <f>VLOOKUP($A400,'SegEnds_NonXtal_Prot#'!$A:$AL,18,FALSE)</f>
        <v>-</v>
      </c>
      <c r="X400" s="5">
        <f>VLOOKUP($A400,'SegEnds_NonXtal_Prot#'!$A:$AL,21,FALSE)</f>
        <v>162</v>
      </c>
      <c r="Y400" s="5" t="str">
        <f>VLOOKUP($A400,'SegEnds_NonXtal_Prot#'!$A:$AL,24,FALSE)</f>
        <v>-</v>
      </c>
      <c r="Z400" s="5">
        <f>VLOOKUP($A400,'SegEnds_NonXtal_Prot#'!$A:$AL,27,FALSE)</f>
        <v>187</v>
      </c>
      <c r="AA400" s="5">
        <f>VLOOKUP($A400,'SegEnds_NonXtal_Prot#'!$A:$AL,30,FALSE)</f>
        <v>252</v>
      </c>
      <c r="AB400" s="5">
        <f>VLOOKUP($A400,'SegEnds_NonXtal_Prot#'!$A:$AL,33,FALSE)</f>
        <v>294</v>
      </c>
      <c r="AC400" s="5">
        <f>VLOOKUP($A400,'SegEnds_NonXtal_Prot#'!$A:$AL,36,FALSE)</f>
        <v>320</v>
      </c>
      <c r="AD400" s="5">
        <f>VLOOKUP($A400,'SegEnds_NonXtal_Prot#'!$A:$AL,5,FALSE)</f>
        <v>74</v>
      </c>
      <c r="AE400" s="5" t="str">
        <f>VLOOKUP($A400,'SegEnds_NonXtal_Prot#'!$A:$AL,8,FALSE)</f>
        <v>-</v>
      </c>
      <c r="AF400" s="5">
        <f>VLOOKUP($A400,'SegEnds_NonXtal_Prot#'!$A:$AL,11,FALSE)</f>
        <v>109</v>
      </c>
      <c r="AG400" s="5" t="str">
        <f>VLOOKUP($A400,'SegEnds_NonXtal_Prot#'!$A:$AL,14,FALSE)</f>
        <v>-</v>
      </c>
      <c r="AH400" s="5">
        <f>VLOOKUP($A400,'SegEnds_NonXtal_Prot#'!$A:$AL,17,FALSE)</f>
        <v>147</v>
      </c>
      <c r="AI400" s="5" t="str">
        <f>VLOOKUP($A400,'SegEnds_NonXtal_Prot#'!$A:$AL,20,FALSE)</f>
        <v>-</v>
      </c>
      <c r="AJ400" s="5">
        <f>VLOOKUP($A400,'SegEnds_NonXtal_Prot#'!$A:$AL,23,FALSE)</f>
        <v>183</v>
      </c>
      <c r="AK400" s="5" t="str">
        <f>VLOOKUP($A400,'SegEnds_NonXtal_Prot#'!$A:$AL,26,FALSE)</f>
        <v>-</v>
      </c>
      <c r="AL400" s="5">
        <f>VLOOKUP($A400,'SegEnds_NonXtal_Prot#'!$A:$AL,29,FALSE)</f>
        <v>208</v>
      </c>
      <c r="AM400" s="5">
        <f>VLOOKUP($A400,'SegEnds_NonXtal_Prot#'!$A:$AL,32,FALSE)</f>
        <v>276</v>
      </c>
      <c r="AN400" s="5">
        <f>VLOOKUP($A400,'SegEnds_NonXtal_Prot#'!$A:$AL,35,FALSE)</f>
        <v>315</v>
      </c>
      <c r="AO400" s="5">
        <f>VLOOKUP($A400,'SegEnds_NonXtal_Prot#'!$A:$AL,38,FALSE)</f>
        <v>340</v>
      </c>
      <c r="AP400" s="5">
        <f t="shared" si="163"/>
        <v>47</v>
      </c>
      <c r="AQ400" s="4" t="str">
        <f t="shared" si="164"/>
        <v>-</v>
      </c>
      <c r="AR400" s="4">
        <f t="shared" si="165"/>
        <v>24</v>
      </c>
      <c r="AS400" s="4" t="str">
        <f t="shared" si="166"/>
        <v>-</v>
      </c>
      <c r="AT400" s="4">
        <f t="shared" si="167"/>
        <v>33</v>
      </c>
      <c r="AU400" s="4" t="str">
        <f t="shared" si="168"/>
        <v>-</v>
      </c>
      <c r="AV400" s="4">
        <f t="shared" si="169"/>
        <v>21</v>
      </c>
      <c r="AW400" s="4" t="str">
        <f t="shared" si="170"/>
        <v>-</v>
      </c>
      <c r="AX400" s="4">
        <f t="shared" si="171"/>
        <v>21</v>
      </c>
      <c r="AY400" s="4">
        <f t="shared" si="172"/>
        <v>24</v>
      </c>
      <c r="AZ400" s="4">
        <f t="shared" si="173"/>
        <v>21</v>
      </c>
      <c r="BA400" s="4">
        <f t="shared" si="174"/>
        <v>20</v>
      </c>
    </row>
    <row r="401" spans="1:53" x14ac:dyDescent="0.2">
      <c r="A401" s="1" t="str">
        <f>'SegEnds_NonXtal_Prot#'!A401</f>
        <v>ts1r1_human</v>
      </c>
      <c r="B401" s="1" t="str">
        <f t="shared" si="150"/>
        <v>HTSWVLLAANTLLLLLLLGTAGLFAWHGGRLCFLMLGSLAAGSGSLYGFFRPACLLRQALFALGFTIFLSCLTVRSFQLIIIFQNHGAGLFVMISSAAQLLICLTWLVVWSLGFILAFLYNGLLSISAFACSYLGEAKCVTFSLLFNFVSWIAFFTTASVLPAANMMAGLSSLSSGFGGYFLPKCYVILCRPDLNSTEHFQAS</v>
      </c>
      <c r="C401" s="29" t="str">
        <f>IF(ISERROR(MATCH(A401,'SegEnds_Xtal_Prot#'!B:B, 0)), "NoXtal", "Xtal")</f>
        <v>NoXtal</v>
      </c>
      <c r="D401" s="4" t="str">
        <f>VLOOKUP(A401,Classification!A:D,2,FALSE)</f>
        <v>C</v>
      </c>
      <c r="E401" s="5" t="str">
        <f>VLOOKUP(A401,Seqs!A:B,2,FALSE)</f>
        <v>MLLCTARLVGLQLLISCCWAFACHSTESSPDFTLPGDYLLAGLFPLHSGCLQVRHRPEVTLCDRSCSFNEHGYHLFQAMRLGVEEINNSTALLPNITLGYQLYDVCSDSANVYATLRVLSLPGQHHIELQGDLLHYSPTVLAVIGPDSTNRAATTAALLSPFLVPMISYAASSETLSVKRQYPSFLRTIPNDKYQVETMVLLLQKFGWTWISLVGSSDDYGQLGVQALENQATGQGICIAFKDIMPFSAQVGDERMQCLMRHLAQAGATVVVVFSSRQLARVFFESVVLTNLTGKVWVASEAWALSRHITGVPGIQRIGMVLGVAIQKRAVPGLKAFEEAYARADKKAPRPCHKGSWCSSNQLCRECQAFMAHTMPKLKAFSMSSAYNAYRAVYAVAHGLHQLLGCASGACSRGRVYPWQLLEQIHKVHFLLHKDTVAFNDNRDPLSSYNIIAWDWNGPKWTFTVLGSSTWSPVQLNINETKIQWHGKDNQVPKSVCSSDCLEGHQRVVTGFHHCCFECVPCGAGTFLNKSDLYRCQPCGKEEWAPEGSQTCFPRTVVFLALREHTSWVLLAANTLLLLLLLGTAGLFAWHLDTPVVRSAGGRLCFLMLGSLAAGSGSLYGFFGEPTRPACLLRQALFALGFTIFLSCLTVRSFQLIIIFKFSTKVPTFYHAWVQNHGAGLFVMISSAAQLLICLTWLVVWTPLPAREYQRFPHLVMLECTETNSLGFILAFLYNGLLSISAFACSYLGKDLPENYNEAKCVTFSLLFNFVSWIAFFTTASVYDGKYLPAANMMAGLSSLSSGFGGYFLPKCYVILCRPDLNSTEHFQASIQDYTRRCGST</v>
      </c>
      <c r="F401" s="5" t="str">
        <f t="shared" si="151"/>
        <v>HTSWVLLAANTLLLLLLLGTAGLFAWH</v>
      </c>
      <c r="G401" s="4" t="str">
        <f t="shared" si="152"/>
        <v>TPVVRSA</v>
      </c>
      <c r="H401" s="4" t="str">
        <f t="shared" si="153"/>
        <v>GGRLCFLMLGSLAAGSGSLYGFF</v>
      </c>
      <c r="I401" s="4" t="str">
        <f t="shared" si="154"/>
        <v/>
      </c>
      <c r="J401" s="4" t="str">
        <f t="shared" si="155"/>
        <v>RPACLLRQALFALGFTIFLSCLTVRSFQLIIIF</v>
      </c>
      <c r="K401" s="4" t="str">
        <f t="shared" si="156"/>
        <v/>
      </c>
      <c r="L401" s="4" t="str">
        <f t="shared" si="157"/>
        <v>QNHGAGLFVMISSAAQLLICLTWLVVW</v>
      </c>
      <c r="M401" s="4" t="str">
        <f t="shared" si="158"/>
        <v>CTE</v>
      </c>
      <c r="N401" s="4" t="str">
        <f t="shared" si="159"/>
        <v>SLGFILAFLYNGLLSISAFACSYLG</v>
      </c>
      <c r="O401" s="4" t="str">
        <f t="shared" si="160"/>
        <v>EAKCVTFSLLFNFVSWIAFFTTASV</v>
      </c>
      <c r="P401" s="4" t="str">
        <f t="shared" si="161"/>
        <v>LPAANMMAGLSSLSSGFGGYFLPKCYVILC</v>
      </c>
      <c r="Q401" s="4" t="str">
        <f t="shared" si="162"/>
        <v>RPDLNSTEHFQAS</v>
      </c>
      <c r="R401" s="5">
        <f>VLOOKUP($A401,'SegEnds_NonXtal_Prot#'!$A:$AL,3,FALSE)</f>
        <v>565</v>
      </c>
      <c r="S401" s="5">
        <f>VLOOKUP($A401,'SegEnds_NonXtal_Prot#'!$A:$AL,6,FALSE)</f>
        <v>594</v>
      </c>
      <c r="T401" s="5">
        <f>VLOOKUP($A401,'SegEnds_NonXtal_Prot#'!$A:$AL,9,FALSE)</f>
        <v>601</v>
      </c>
      <c r="U401" s="5" t="str">
        <f>VLOOKUP($A401,'SegEnds_NonXtal_Prot#'!$A:$AL,12,FALSE)</f>
        <v>-</v>
      </c>
      <c r="V401" s="5">
        <f>VLOOKUP($A401,'SegEnds_NonXtal_Prot#'!$A:$AL,15,FALSE)</f>
        <v>628</v>
      </c>
      <c r="W401" s="5" t="str">
        <f>VLOOKUP($A401,'SegEnds_NonXtal_Prot#'!$A:$AL,18,FALSE)</f>
        <v>-</v>
      </c>
      <c r="X401" s="5">
        <f>VLOOKUP($A401,'SegEnds_NonXtal_Prot#'!$A:$AL,21,FALSE)</f>
        <v>675</v>
      </c>
      <c r="Y401" s="5">
        <f>VLOOKUP($A401,'SegEnds_NonXtal_Prot#'!$A:$AL,24,FALSE)</f>
        <v>720</v>
      </c>
      <c r="Z401" s="5">
        <f>VLOOKUP($A401,'SegEnds_NonXtal_Prot#'!$A:$AL,27,FALSE)</f>
        <v>725</v>
      </c>
      <c r="AA401" s="5">
        <f>VLOOKUP($A401,'SegEnds_NonXtal_Prot#'!$A:$AL,30,FALSE)</f>
        <v>758</v>
      </c>
      <c r="AB401" s="5">
        <f>VLOOKUP($A401,'SegEnds_NonXtal_Prot#'!$A:$AL,33,FALSE)</f>
        <v>788</v>
      </c>
      <c r="AC401" s="5">
        <f>VLOOKUP($A401,'SegEnds_NonXtal_Prot#'!$A:$AL,36,FALSE)</f>
        <v>818</v>
      </c>
      <c r="AD401" s="5">
        <f>VLOOKUP($A401,'SegEnds_NonXtal_Prot#'!$A:$AL,5,FALSE)</f>
        <v>591</v>
      </c>
      <c r="AE401" s="5">
        <f>VLOOKUP($A401,'SegEnds_NonXtal_Prot#'!$A:$AL,8,FALSE)</f>
        <v>600</v>
      </c>
      <c r="AF401" s="5">
        <f>VLOOKUP($A401,'SegEnds_NonXtal_Prot#'!$A:$AL,11,FALSE)</f>
        <v>623</v>
      </c>
      <c r="AG401" s="5" t="str">
        <f>VLOOKUP($A401,'SegEnds_NonXtal_Prot#'!$A:$AL,14,FALSE)</f>
        <v>-</v>
      </c>
      <c r="AH401" s="5">
        <f>VLOOKUP($A401,'SegEnds_NonXtal_Prot#'!$A:$AL,17,FALSE)</f>
        <v>660</v>
      </c>
      <c r="AI401" s="5" t="str">
        <f>VLOOKUP($A401,'SegEnds_NonXtal_Prot#'!$A:$AL,20,FALSE)</f>
        <v>-</v>
      </c>
      <c r="AJ401" s="5">
        <f>VLOOKUP($A401,'SegEnds_NonXtal_Prot#'!$A:$AL,23,FALSE)</f>
        <v>701</v>
      </c>
      <c r="AK401" s="5">
        <f>VLOOKUP($A401,'SegEnds_NonXtal_Prot#'!$A:$AL,26,FALSE)</f>
        <v>722</v>
      </c>
      <c r="AL401" s="5">
        <f>VLOOKUP($A401,'SegEnds_NonXtal_Prot#'!$A:$AL,29,FALSE)</f>
        <v>749</v>
      </c>
      <c r="AM401" s="5">
        <f>VLOOKUP($A401,'SegEnds_NonXtal_Prot#'!$A:$AL,32,FALSE)</f>
        <v>782</v>
      </c>
      <c r="AN401" s="5">
        <f>VLOOKUP($A401,'SegEnds_NonXtal_Prot#'!$A:$AL,35,FALSE)</f>
        <v>817</v>
      </c>
      <c r="AO401" s="5">
        <f>VLOOKUP($A401,'SegEnds_NonXtal_Prot#'!$A:$AL,38,FALSE)</f>
        <v>830</v>
      </c>
      <c r="AP401" s="5">
        <f t="shared" si="163"/>
        <v>26</v>
      </c>
      <c r="AQ401" s="4">
        <f t="shared" si="164"/>
        <v>6</v>
      </c>
      <c r="AR401" s="4">
        <f t="shared" si="165"/>
        <v>22</v>
      </c>
      <c r="AS401" s="4" t="str">
        <f t="shared" si="166"/>
        <v>-</v>
      </c>
      <c r="AT401" s="4">
        <f t="shared" si="167"/>
        <v>32</v>
      </c>
      <c r="AU401" s="4" t="str">
        <f t="shared" si="168"/>
        <v>-</v>
      </c>
      <c r="AV401" s="4">
        <f t="shared" si="169"/>
        <v>26</v>
      </c>
      <c r="AW401" s="4">
        <f t="shared" si="170"/>
        <v>2</v>
      </c>
      <c r="AX401" s="4">
        <f t="shared" si="171"/>
        <v>24</v>
      </c>
      <c r="AY401" s="4">
        <f t="shared" si="172"/>
        <v>24</v>
      </c>
      <c r="AZ401" s="4">
        <f t="shared" si="173"/>
        <v>29</v>
      </c>
      <c r="BA401" s="4">
        <f t="shared" si="174"/>
        <v>12</v>
      </c>
    </row>
    <row r="402" spans="1:53" x14ac:dyDescent="0.2">
      <c r="A402" s="1" t="str">
        <f>'SegEnds_NonXtal_Prot#'!A402</f>
        <v>ts1r2_human</v>
      </c>
      <c r="B402" s="1" t="str">
        <f t="shared" si="150"/>
        <v>APTIAVALLAALGFLSTLAILVIFWRHGGPMCFLMLTLLLVAYMVVPVYVVSTCLCRQALFPLCFTICISCIAVRSFQIVCAFRYQGPYVSMAFITVLKMVIVVIGMLATRNSLLFNTSLDLLLSVVGFSFAYMGEAKFITLSMTFYFTSSVSLCTFMSAVTIVDLLVTVLNLLAISLGYFGPKCYMILFYPERNTPAYFNSM</v>
      </c>
      <c r="C402" s="29" t="str">
        <f>IF(ISERROR(MATCH(A402,'SegEnds_Xtal_Prot#'!B:B, 0)), "NoXtal", "Xtal")</f>
        <v>NoXtal</v>
      </c>
      <c r="D402" s="4" t="str">
        <f>VLOOKUP(A402,Classification!A:D,2,FALSE)</f>
        <v>C</v>
      </c>
      <c r="E402" s="5" t="str">
        <f>VLOOKUP(A402,Seqs!A:B,2,FALSE)</f>
        <v>MGPRAKTISSLFFLLWVLAEPAENSDFYLPGDYLLGGLFSLHANMKGIVHLNFLQVPMCKEYEVKVIGYNLMQAMRFAVEEINNDSSLLPGVLLGYEIVDVCYISNNVQPVLYFLAHEDNLLPIQEDYSNYISRVVAVIGPDNSESVMTVANFLSLFLLPQITYSAISDELRDKVRFPALLRTTPSADHHIEAMVQLMLHFRWNWIIVLVSSDTYGRDNGQLLGERVARRDICIAFQETLPTLQPNQNMTSEERQRLVTIVDKLQQSTARVVVVFSPDLTLYHFFNEVLRQNFTGAVWIASESWAIDPVLHNLTELRHLGTFLGITIQSVPIPGFSEFREWGPQAGPPPLSRTSQSYTCNQECDNCLNATLSFNTILRLSGERVVYSVYSAVYAVAHALHSLLGCDKSTCTKRVVYPWQLLEEIWKVNFTLLDHQIFFDPQGDVALHLEIVQWQWDRSQNPFQSVASYYPLQRQLKNIQDISWHTINNTIPMSMCSKRCQSGQKKKPVGIHVCCFECIDCLPGTFLNHTEDEYECQACPNNEWSYQSETSCFKRQLVFLEWHEAPTIAVALLAALGFLSTLAILVIFWRHFQTPIVRSAGGPMCFLMLTLLLVAYMVVPVYVGPPKVSTCLCRQALFPLCFTICISCIAVRSFQIVCAFKMASRFPRAYSYWVRYQGPYVSMAFITVLKMVIVVIGMLATGLSPTTRTDPDDPKITIVSCNPNYRNSLLFNTSLDLLLSVVGFSFAYMGKELPTNYNEAKFITLSMTFYFTSSVSLCTFMSAYSGVLVTIVDLLVTVLNLLAISLGYFGPKCYMILFYPERNTPAYFNSMIQGYTMRRD</v>
      </c>
      <c r="F402" s="5" t="str">
        <f t="shared" si="151"/>
        <v>APTIAVALLAALGFLSTLAILVIFWRH</v>
      </c>
      <c r="G402" s="4" t="str">
        <f t="shared" si="152"/>
        <v>TPIVRSA</v>
      </c>
      <c r="H402" s="4" t="str">
        <f t="shared" si="153"/>
        <v>GGPMCFLMLTLLLVAYMVVPVYV</v>
      </c>
      <c r="I402" s="4" t="str">
        <f t="shared" si="154"/>
        <v/>
      </c>
      <c r="J402" s="4" t="str">
        <f t="shared" si="155"/>
        <v>VSTCLCRQALFPLCFTICISCIAVRSFQIVCAF</v>
      </c>
      <c r="K402" s="4" t="str">
        <f t="shared" si="156"/>
        <v/>
      </c>
      <c r="L402" s="4" t="str">
        <f t="shared" si="157"/>
        <v>RYQGPYVSMAFITVLKMVIVVIGMLAT</v>
      </c>
      <c r="M402" s="4" t="str">
        <f t="shared" si="158"/>
        <v>CNP</v>
      </c>
      <c r="N402" s="4" t="str">
        <f t="shared" si="159"/>
        <v>RNSLLFNTSLDLLLSVVGFSFAYMG</v>
      </c>
      <c r="O402" s="4" t="str">
        <f t="shared" si="160"/>
        <v>EAKFITLSMTFYFTSSVSLCTFMSA</v>
      </c>
      <c r="P402" s="4" t="str">
        <f t="shared" si="161"/>
        <v>VTIVDLLVTVLNLLAISLGYFGPKCYMILF</v>
      </c>
      <c r="Q402" s="4" t="str">
        <f t="shared" si="162"/>
        <v>YPERNTPAYFNSM</v>
      </c>
      <c r="R402" s="5">
        <f>VLOOKUP($A402,'SegEnds_NonXtal_Prot#'!$A:$AL,3,FALSE)</f>
        <v>564</v>
      </c>
      <c r="S402" s="5">
        <f>VLOOKUP($A402,'SegEnds_NonXtal_Prot#'!$A:$AL,6,FALSE)</f>
        <v>593</v>
      </c>
      <c r="T402" s="5">
        <f>VLOOKUP($A402,'SegEnds_NonXtal_Prot#'!$A:$AL,9,FALSE)</f>
        <v>600</v>
      </c>
      <c r="U402" s="5" t="str">
        <f>VLOOKUP($A402,'SegEnds_NonXtal_Prot#'!$A:$AL,12,FALSE)</f>
        <v>-</v>
      </c>
      <c r="V402" s="5">
        <f>VLOOKUP($A402,'SegEnds_NonXtal_Prot#'!$A:$AL,15,FALSE)</f>
        <v>627</v>
      </c>
      <c r="W402" s="5" t="str">
        <f>VLOOKUP($A402,'SegEnds_NonXtal_Prot#'!$A:$AL,18,FALSE)</f>
        <v>-</v>
      </c>
      <c r="X402" s="5">
        <f>VLOOKUP($A402,'SegEnds_NonXtal_Prot#'!$A:$AL,21,FALSE)</f>
        <v>674</v>
      </c>
      <c r="Y402" s="5">
        <f>VLOOKUP($A402,'SegEnds_NonXtal_Prot#'!$A:$AL,24,FALSE)</f>
        <v>720</v>
      </c>
      <c r="Z402" s="5">
        <f>VLOOKUP($A402,'SegEnds_NonXtal_Prot#'!$A:$AL,27,FALSE)</f>
        <v>725</v>
      </c>
      <c r="AA402" s="5">
        <f>VLOOKUP($A402,'SegEnds_NonXtal_Prot#'!$A:$AL,30,FALSE)</f>
        <v>758</v>
      </c>
      <c r="AB402" s="5">
        <f>VLOOKUP($A402,'SegEnds_NonXtal_Prot#'!$A:$AL,33,FALSE)</f>
        <v>788</v>
      </c>
      <c r="AC402" s="5">
        <f>VLOOKUP($A402,'SegEnds_NonXtal_Prot#'!$A:$AL,36,FALSE)</f>
        <v>818</v>
      </c>
      <c r="AD402" s="5">
        <f>VLOOKUP($A402,'SegEnds_NonXtal_Prot#'!$A:$AL,5,FALSE)</f>
        <v>590</v>
      </c>
      <c r="AE402" s="5">
        <f>VLOOKUP($A402,'SegEnds_NonXtal_Prot#'!$A:$AL,8,FALSE)</f>
        <v>599</v>
      </c>
      <c r="AF402" s="5">
        <f>VLOOKUP($A402,'SegEnds_NonXtal_Prot#'!$A:$AL,11,FALSE)</f>
        <v>622</v>
      </c>
      <c r="AG402" s="5" t="str">
        <f>VLOOKUP($A402,'SegEnds_NonXtal_Prot#'!$A:$AL,14,FALSE)</f>
        <v>-</v>
      </c>
      <c r="AH402" s="5">
        <f>VLOOKUP($A402,'SegEnds_NonXtal_Prot#'!$A:$AL,17,FALSE)</f>
        <v>659</v>
      </c>
      <c r="AI402" s="5" t="str">
        <f>VLOOKUP($A402,'SegEnds_NonXtal_Prot#'!$A:$AL,20,FALSE)</f>
        <v>-</v>
      </c>
      <c r="AJ402" s="5">
        <f>VLOOKUP($A402,'SegEnds_NonXtal_Prot#'!$A:$AL,23,FALSE)</f>
        <v>700</v>
      </c>
      <c r="AK402" s="5">
        <f>VLOOKUP($A402,'SegEnds_NonXtal_Prot#'!$A:$AL,26,FALSE)</f>
        <v>722</v>
      </c>
      <c r="AL402" s="5">
        <f>VLOOKUP($A402,'SegEnds_NonXtal_Prot#'!$A:$AL,29,FALSE)</f>
        <v>749</v>
      </c>
      <c r="AM402" s="5">
        <f>VLOOKUP($A402,'SegEnds_NonXtal_Prot#'!$A:$AL,32,FALSE)</f>
        <v>782</v>
      </c>
      <c r="AN402" s="5">
        <f>VLOOKUP($A402,'SegEnds_NonXtal_Prot#'!$A:$AL,35,FALSE)</f>
        <v>817</v>
      </c>
      <c r="AO402" s="5">
        <f>VLOOKUP($A402,'SegEnds_NonXtal_Prot#'!$A:$AL,38,FALSE)</f>
        <v>830</v>
      </c>
      <c r="AP402" s="5">
        <f t="shared" si="163"/>
        <v>26</v>
      </c>
      <c r="AQ402" s="4">
        <f t="shared" si="164"/>
        <v>6</v>
      </c>
      <c r="AR402" s="4">
        <f t="shared" si="165"/>
        <v>22</v>
      </c>
      <c r="AS402" s="4" t="str">
        <f t="shared" si="166"/>
        <v>-</v>
      </c>
      <c r="AT402" s="4">
        <f t="shared" si="167"/>
        <v>32</v>
      </c>
      <c r="AU402" s="4" t="str">
        <f t="shared" si="168"/>
        <v>-</v>
      </c>
      <c r="AV402" s="4">
        <f t="shared" si="169"/>
        <v>26</v>
      </c>
      <c r="AW402" s="4">
        <f t="shared" si="170"/>
        <v>2</v>
      </c>
      <c r="AX402" s="4">
        <f t="shared" si="171"/>
        <v>24</v>
      </c>
      <c r="AY402" s="4">
        <f t="shared" si="172"/>
        <v>24</v>
      </c>
      <c r="AZ402" s="4">
        <f t="shared" si="173"/>
        <v>29</v>
      </c>
      <c r="BA402" s="4">
        <f t="shared" si="174"/>
        <v>12</v>
      </c>
    </row>
    <row r="403" spans="1:53" x14ac:dyDescent="0.2">
      <c r="A403" s="1" t="str">
        <f>'SegEnds_NonXtal_Prot#'!A403</f>
        <v>ts1r3_human</v>
      </c>
      <c r="B403" s="1" t="str">
        <f t="shared" si="150"/>
        <v>PAVLLLLLLLSLALGLVLAALGLFVHHGGPLACFGLVCLGLVCLSVLLFPPARCLAQQPLSHLPLTGCLSTLFLQAAEIFVESRGPWAWLVVLLAMLVEVALCTWYLVAFWVSFGLAHATNATLAFLCFLGTFLVRARGLTFAMLAYFITWVSFVPLLANRPAVQMGALLLCVLGILAAFHLPRCYLLMRQPGLNTPEFFLGG</v>
      </c>
      <c r="C403" s="29" t="str">
        <f>IF(ISERROR(MATCH(A403,'SegEnds_Xtal_Prot#'!B:B, 0)), "NoXtal", "Xtal")</f>
        <v>NoXtal</v>
      </c>
      <c r="D403" s="4" t="str">
        <f>VLOOKUP(A403,Classification!A:D,2,FALSE)</f>
        <v>C</v>
      </c>
      <c r="E403" s="5" t="str">
        <f>VLOOKUP(A403,Seqs!A:B,2,FALSE)</f>
        <v>MLGPAVLGLSLWALLHPGTGAPLCLSQQLRMKGDYVLGGLFPLGEAEEAGLRSRTRPSSPVCTRFSSNGLLWALAMKMAVEEINNKSDLLPGLRLGYDLFDTCSEPVVAMKPSLMFLAKAGSRDIAAYCNYTQYQPRVLAVIGPHSSELAMVTGKFFSFFLMPQVSYGASMELLSARETFPSFFRTVPSDRVQLTAAAELLQEFGWNWVAALGSDDEYGRQGLSIFSALAAARGICIAHEGLVPLPRADDSRLGKVQDVLHQVNQSSVQVVLLFASVHAAHALFNYSISSRLSPKVWVASEAWLTSDLVMGLPGMAQMGTVLGFLQRGAQLHEFPQYVKTHLALATDPAFCSALGEREQGLEEDVVGQRCPQCDCITLQNVSAGLNHHQTFSVYAAVYSVAQALHNTLQCNASGCPAQDPVKPWQLLENMYNLTFHVGGLPLRFDSSGNVDMEYDLKLWVWQGSVPRLHDVGRFNGSLRTERLKIRWHTSDNQKPVSRCSRQCQEGQVRRVKGFHSCCYDCVDCEAGSYRQNPDDIACTFCGQDEWSPERSTRCFRRRSRFLAWGEPAVLLLLLLLSLALGLVLAALGLFVHHRDSPLVQASGGPLACFGLVCLGLVCLSVLLFPGQPSPARCLAQQPLSHLPLTGCLSTLFLQAAEIFVESELPLSWADRLSGCLRGPWAWLVVLLAMLVEVALCTWYLVAFPPEVVTDWHMLPTEALVHCRTRSWVSFGLAHATNATLAFLCFLGTFLVRSQPGCYNRARGLTFAMLAYFITWVSFVPLLANVQVVLRPAVQMGALLLCVLGILAAFHLPRCYLLMRQPGLNTPEFFLGGGPGDAQGQNDGNTGNQGKHE</v>
      </c>
      <c r="F403" s="5" t="str">
        <f t="shared" si="151"/>
        <v>PAVLLLLLLLSLALGLVLAALGLFVHH</v>
      </c>
      <c r="G403" s="4" t="str">
        <f t="shared" si="152"/>
        <v>SPLVQAS</v>
      </c>
      <c r="H403" s="4" t="str">
        <f t="shared" si="153"/>
        <v>GGPLACFGLVCLGLVCLSVLLFP</v>
      </c>
      <c r="I403" s="4" t="str">
        <f t="shared" si="154"/>
        <v/>
      </c>
      <c r="J403" s="4" t="str">
        <f t="shared" si="155"/>
        <v>PARCLAQQPLSHLPLTGCLSTLFLQAAEIFVES</v>
      </c>
      <c r="K403" s="4" t="str">
        <f t="shared" si="156"/>
        <v/>
      </c>
      <c r="L403" s="4" t="str">
        <f t="shared" si="157"/>
        <v>RGPWAWLVVLLAMLVEVALCTWYLVAF</v>
      </c>
      <c r="M403" s="4" t="str">
        <f t="shared" si="158"/>
        <v>CRT</v>
      </c>
      <c r="N403" s="4" t="str">
        <f t="shared" si="159"/>
        <v>WVSFGLAHATNATLAFLCFLGTFLV</v>
      </c>
      <c r="O403" s="4" t="str">
        <f t="shared" si="160"/>
        <v>RARGLTFAMLAYFITWVSFVPLLAN</v>
      </c>
      <c r="P403" s="4" t="str">
        <f t="shared" si="161"/>
        <v>RPAVQMGALLLCVLGILAAFHLPRCYLLMR</v>
      </c>
      <c r="Q403" s="4" t="str">
        <f t="shared" si="162"/>
        <v>QPGLNTPEFFLGG</v>
      </c>
      <c r="R403" s="5">
        <f>VLOOKUP($A403,'SegEnds_NonXtal_Prot#'!$A:$AL,3,FALSE)</f>
        <v>567</v>
      </c>
      <c r="S403" s="5">
        <f>VLOOKUP($A403,'SegEnds_NonXtal_Prot#'!$A:$AL,6,FALSE)</f>
        <v>596</v>
      </c>
      <c r="T403" s="5">
        <f>VLOOKUP($A403,'SegEnds_NonXtal_Prot#'!$A:$AL,9,FALSE)</f>
        <v>603</v>
      </c>
      <c r="U403" s="5" t="str">
        <f>VLOOKUP($A403,'SegEnds_NonXtal_Prot#'!$A:$AL,12,FALSE)</f>
        <v>-</v>
      </c>
      <c r="V403" s="5">
        <f>VLOOKUP($A403,'SegEnds_NonXtal_Prot#'!$A:$AL,15,FALSE)</f>
        <v>630</v>
      </c>
      <c r="W403" s="5" t="str">
        <f>VLOOKUP($A403,'SegEnds_NonXtal_Prot#'!$A:$AL,18,FALSE)</f>
        <v>-</v>
      </c>
      <c r="X403" s="5">
        <f>VLOOKUP($A403,'SegEnds_NonXtal_Prot#'!$A:$AL,21,FALSE)</f>
        <v>677</v>
      </c>
      <c r="Y403" s="5">
        <f>VLOOKUP($A403,'SegEnds_NonXtal_Prot#'!$A:$AL,24,FALSE)</f>
        <v>722</v>
      </c>
      <c r="Z403" s="5">
        <f>VLOOKUP($A403,'SegEnds_NonXtal_Prot#'!$A:$AL,27,FALSE)</f>
        <v>727</v>
      </c>
      <c r="AA403" s="5">
        <f>VLOOKUP($A403,'SegEnds_NonXtal_Prot#'!$A:$AL,30,FALSE)</f>
        <v>760</v>
      </c>
      <c r="AB403" s="5">
        <f>VLOOKUP($A403,'SegEnds_NonXtal_Prot#'!$A:$AL,33,FALSE)</f>
        <v>790</v>
      </c>
      <c r="AC403" s="5">
        <f>VLOOKUP($A403,'SegEnds_NonXtal_Prot#'!$A:$AL,36,FALSE)</f>
        <v>820</v>
      </c>
      <c r="AD403" s="5">
        <f>VLOOKUP($A403,'SegEnds_NonXtal_Prot#'!$A:$AL,5,FALSE)</f>
        <v>593</v>
      </c>
      <c r="AE403" s="5">
        <f>VLOOKUP($A403,'SegEnds_NonXtal_Prot#'!$A:$AL,8,FALSE)</f>
        <v>602</v>
      </c>
      <c r="AF403" s="5">
        <f>VLOOKUP($A403,'SegEnds_NonXtal_Prot#'!$A:$AL,11,FALSE)</f>
        <v>625</v>
      </c>
      <c r="AG403" s="5" t="str">
        <f>VLOOKUP($A403,'SegEnds_NonXtal_Prot#'!$A:$AL,14,FALSE)</f>
        <v>-</v>
      </c>
      <c r="AH403" s="5">
        <f>VLOOKUP($A403,'SegEnds_NonXtal_Prot#'!$A:$AL,17,FALSE)</f>
        <v>662</v>
      </c>
      <c r="AI403" s="5" t="str">
        <f>VLOOKUP($A403,'SegEnds_NonXtal_Prot#'!$A:$AL,20,FALSE)</f>
        <v>-</v>
      </c>
      <c r="AJ403" s="5">
        <f>VLOOKUP($A403,'SegEnds_NonXtal_Prot#'!$A:$AL,23,FALSE)</f>
        <v>703</v>
      </c>
      <c r="AK403" s="5">
        <f>VLOOKUP($A403,'SegEnds_NonXtal_Prot#'!$A:$AL,26,FALSE)</f>
        <v>724</v>
      </c>
      <c r="AL403" s="5">
        <f>VLOOKUP($A403,'SegEnds_NonXtal_Prot#'!$A:$AL,29,FALSE)</f>
        <v>751</v>
      </c>
      <c r="AM403" s="5">
        <f>VLOOKUP($A403,'SegEnds_NonXtal_Prot#'!$A:$AL,32,FALSE)</f>
        <v>784</v>
      </c>
      <c r="AN403" s="5">
        <f>VLOOKUP($A403,'SegEnds_NonXtal_Prot#'!$A:$AL,35,FALSE)</f>
        <v>819</v>
      </c>
      <c r="AO403" s="5">
        <f>VLOOKUP($A403,'SegEnds_NonXtal_Prot#'!$A:$AL,38,FALSE)</f>
        <v>832</v>
      </c>
      <c r="AP403" s="5">
        <f t="shared" si="163"/>
        <v>26</v>
      </c>
      <c r="AQ403" s="4">
        <f t="shared" si="164"/>
        <v>6</v>
      </c>
      <c r="AR403" s="4">
        <f t="shared" si="165"/>
        <v>22</v>
      </c>
      <c r="AS403" s="4" t="str">
        <f t="shared" si="166"/>
        <v>-</v>
      </c>
      <c r="AT403" s="4">
        <f t="shared" si="167"/>
        <v>32</v>
      </c>
      <c r="AU403" s="4" t="str">
        <f t="shared" si="168"/>
        <v>-</v>
      </c>
      <c r="AV403" s="4">
        <f t="shared" si="169"/>
        <v>26</v>
      </c>
      <c r="AW403" s="4">
        <f t="shared" si="170"/>
        <v>2</v>
      </c>
      <c r="AX403" s="4">
        <f t="shared" si="171"/>
        <v>24</v>
      </c>
      <c r="AY403" s="4">
        <f t="shared" si="172"/>
        <v>24</v>
      </c>
      <c r="AZ403" s="4">
        <f t="shared" si="173"/>
        <v>29</v>
      </c>
      <c r="BA403" s="4">
        <f t="shared" si="174"/>
        <v>12</v>
      </c>
    </row>
    <row r="404" spans="1:53" x14ac:dyDescent="0.2">
      <c r="A404" s="1" t="str">
        <f>'SegEnds_NonXtal_Prot#'!A404</f>
        <v>us28_hcmva</v>
      </c>
      <c r="B404" s="1" t="str">
        <f t="shared" si="150"/>
        <v>TDVLNQSKPVTLFLYGVVFLFGSIGNFLVIFTITWRCSGDVYFINLAAADLLFVCTLPLWMQYLLDPCTLLTACFYVAMFASLCFITEIALDRYYAIVYPVKQACLFSIFWWIFAVIIAIPHFMVVSYPIILNVELMLGAFVIPLSVISYCYYRISRIVAVSHKGRIVRVLIAVVLVFIIFWLPYHLTLFVDTLKLLKSCEFERSLKRALILTESLAFCHCCLNPLLYVFVGTKFRQELHCLLAEFR</v>
      </c>
      <c r="C404" s="29" t="str">
        <f>IF(ISERROR(MATCH(A404,'SegEnds_Xtal_Prot#'!B:B, 0)), "NoXtal", "Xtal")</f>
        <v>Xtal</v>
      </c>
      <c r="D404" s="4" t="str">
        <f>VLOOKUP(A404,Classification!A:D,2,FALSE)</f>
        <v>A</v>
      </c>
      <c r="E404" s="5" t="str">
        <f>VLOOKUP(A404,Seqs!A:B,2,FALSE)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F404" s="5" t="str">
        <f t="shared" si="151"/>
        <v>TDVLNQSKPVTLFLYGVVFLFGSIGNFLVIFTITWR</v>
      </c>
      <c r="G404" s="4" t="str">
        <f t="shared" si="152"/>
        <v>RRIQ</v>
      </c>
      <c r="H404" s="4" t="str">
        <f t="shared" si="153"/>
        <v>CSGDVYFINLAAADLLFVCTLPLWMQYLLD</v>
      </c>
      <c r="I404" s="4" t="str">
        <f t="shared" si="154"/>
        <v/>
      </c>
      <c r="J404" s="4" t="str">
        <f t="shared" si="155"/>
        <v>PCTLLTACFYVAMFASLCFITEIALDRYYAIVY</v>
      </c>
      <c r="K404" s="4" t="str">
        <f t="shared" si="156"/>
        <v/>
      </c>
      <c r="L404" s="4" t="str">
        <f t="shared" si="157"/>
        <v>PVKQACLFSIFWWIFAVIIAIPHFMV</v>
      </c>
      <c r="M404" s="4" t="str">
        <f t="shared" si="158"/>
        <v>CMT</v>
      </c>
      <c r="N404" s="4" t="str">
        <f t="shared" si="159"/>
        <v>VSYPIILNVELMLGAFVIPLSVISYCYYRISRIVAVS</v>
      </c>
      <c r="O404" s="4" t="str">
        <f t="shared" si="160"/>
        <v>HKGRIVRVLIAVVLVFIIFWLPYHLTLFVDTLKLLK</v>
      </c>
      <c r="P404" s="4" t="str">
        <f t="shared" si="161"/>
        <v>SCEFERSLKRALILTESLAFCHCCLNPLLYVFV</v>
      </c>
      <c r="Q404" s="4" t="str">
        <f t="shared" si="162"/>
        <v>GTKFRQELHCLLAEFR</v>
      </c>
      <c r="R404" s="5">
        <f>VLOOKUP($A404,'SegEnds_NonXtal_Prot#'!$A:$AL,3,FALSE)</f>
        <v>26</v>
      </c>
      <c r="S404" s="5">
        <f>VLOOKUP($A404,'SegEnds_NonXtal_Prot#'!$A:$AL,6,FALSE)</f>
        <v>62</v>
      </c>
      <c r="T404" s="5">
        <f>VLOOKUP($A404,'SegEnds_NonXtal_Prot#'!$A:$AL,9,FALSE)</f>
        <v>66</v>
      </c>
      <c r="U404" s="5" t="str">
        <f>VLOOKUP($A404,'SegEnds_NonXtal_Prot#'!$A:$AL,12,FALSE)</f>
        <v>-</v>
      </c>
      <c r="V404" s="5">
        <f>VLOOKUP($A404,'SegEnds_NonXtal_Prot#'!$A:$AL,15,FALSE)</f>
        <v>103</v>
      </c>
      <c r="W404" s="5" t="str">
        <f>VLOOKUP($A404,'SegEnds_NonXtal_Prot#'!$A:$AL,18,FALSE)</f>
        <v>-</v>
      </c>
      <c r="X404" s="5">
        <f>VLOOKUP($A404,'SegEnds_NonXtal_Prot#'!$A:$AL,21,FALSE)</f>
        <v>140</v>
      </c>
      <c r="Y404" s="5">
        <f>VLOOKUP($A404,'SegEnds_NonXtal_Prot#'!$A:$AL,24,FALSE)</f>
        <v>173</v>
      </c>
      <c r="Z404" s="5">
        <f>VLOOKUP($A404,'SegEnds_NonXtal_Prot#'!$A:$AL,27,FALSE)</f>
        <v>182</v>
      </c>
      <c r="AA404" s="5">
        <f>VLOOKUP($A404,'SegEnds_NonXtal_Prot#'!$A:$AL,30,FALSE)</f>
        <v>222</v>
      </c>
      <c r="AB404" s="5">
        <f>VLOOKUP($A404,'SegEnds_NonXtal_Prot#'!$A:$AL,33,FALSE)</f>
        <v>262</v>
      </c>
      <c r="AC404" s="5">
        <f>VLOOKUP($A404,'SegEnds_NonXtal_Prot#'!$A:$AL,36,FALSE)</f>
        <v>295</v>
      </c>
      <c r="AD404" s="5">
        <f>VLOOKUP($A404,'SegEnds_NonXtal_Prot#'!$A:$AL,5,FALSE)</f>
        <v>61</v>
      </c>
      <c r="AE404" s="5">
        <f>VLOOKUP($A404,'SegEnds_NonXtal_Prot#'!$A:$AL,8,FALSE)</f>
        <v>65</v>
      </c>
      <c r="AF404" s="5">
        <f>VLOOKUP($A404,'SegEnds_NonXtal_Prot#'!$A:$AL,11,FALSE)</f>
        <v>95</v>
      </c>
      <c r="AG404" s="5" t="str">
        <f>VLOOKUP($A404,'SegEnds_NonXtal_Prot#'!$A:$AL,14,FALSE)</f>
        <v>-</v>
      </c>
      <c r="AH404" s="5">
        <f>VLOOKUP($A404,'SegEnds_NonXtal_Prot#'!$A:$AL,17,FALSE)</f>
        <v>135</v>
      </c>
      <c r="AI404" s="5" t="str">
        <f>VLOOKUP($A404,'SegEnds_NonXtal_Prot#'!$A:$AL,20,FALSE)</f>
        <v>-</v>
      </c>
      <c r="AJ404" s="5">
        <f>VLOOKUP($A404,'SegEnds_NonXtal_Prot#'!$A:$AL,23,FALSE)</f>
        <v>165</v>
      </c>
      <c r="AK404" s="5">
        <f>VLOOKUP($A404,'SegEnds_NonXtal_Prot#'!$A:$AL,26,FALSE)</f>
        <v>175</v>
      </c>
      <c r="AL404" s="5">
        <f>VLOOKUP($A404,'SegEnds_NonXtal_Prot#'!$A:$AL,29,FALSE)</f>
        <v>218</v>
      </c>
      <c r="AM404" s="5">
        <f>VLOOKUP($A404,'SegEnds_NonXtal_Prot#'!$A:$AL,32,FALSE)</f>
        <v>257</v>
      </c>
      <c r="AN404" s="5">
        <f>VLOOKUP($A404,'SegEnds_NonXtal_Prot#'!$A:$AL,35,FALSE)</f>
        <v>294</v>
      </c>
      <c r="AO404" s="5">
        <f>VLOOKUP($A404,'SegEnds_NonXtal_Prot#'!$A:$AL,38,FALSE)</f>
        <v>310</v>
      </c>
      <c r="AP404" s="5">
        <f t="shared" si="163"/>
        <v>35</v>
      </c>
      <c r="AQ404" s="4">
        <f t="shared" si="164"/>
        <v>3</v>
      </c>
      <c r="AR404" s="4">
        <f t="shared" si="165"/>
        <v>29</v>
      </c>
      <c r="AS404" s="4" t="str">
        <f t="shared" si="166"/>
        <v>-</v>
      </c>
      <c r="AT404" s="4">
        <f t="shared" si="167"/>
        <v>32</v>
      </c>
      <c r="AU404" s="4" t="str">
        <f t="shared" si="168"/>
        <v>-</v>
      </c>
      <c r="AV404" s="4">
        <f t="shared" si="169"/>
        <v>25</v>
      </c>
      <c r="AW404" s="4">
        <f t="shared" si="170"/>
        <v>2</v>
      </c>
      <c r="AX404" s="4">
        <f t="shared" si="171"/>
        <v>36</v>
      </c>
      <c r="AY404" s="4">
        <f t="shared" si="172"/>
        <v>35</v>
      </c>
      <c r="AZ404" s="4">
        <f t="shared" si="173"/>
        <v>32</v>
      </c>
      <c r="BA404" s="4">
        <f t="shared" si="174"/>
        <v>15</v>
      </c>
    </row>
    <row r="405" spans="1:53" x14ac:dyDescent="0.2">
      <c r="A405" s="1" t="str">
        <f>'SegEnds_NonXtal_Prot#'!A405</f>
        <v>vipr1_human</v>
      </c>
      <c r="B405" s="1" t="str">
        <f t="shared" si="150"/>
        <v>TMFYGSVKTGYTIGYGLSLATLLVATAILSLFCTRNYIHMHLFISFILRAAAVFIKDLALGSVGCKAAMVFFQYCVMANFFWLLVEGLYLYTLLAVERKYFWGYILIGWGVPSTFTMVWTIARIHFELWWIIKGPILTSILVNFILFICIIRILLQKLSDSSPYSRLARSTLLLIPLFGVHYIMFAFFPDNFPEVKMVFELVVGSFQGFVVAILYCFLNGEVQAELRRKWRRWHLQGVLGWNPK</v>
      </c>
      <c r="C405" s="29" t="str">
        <f>IF(ISERROR(MATCH(A405,'SegEnds_Xtal_Prot#'!B:B, 0)), "NoXtal", "Xtal")</f>
        <v>NoXtal</v>
      </c>
      <c r="D405" s="4" t="str">
        <f>VLOOKUP(A405,Classification!A:D,2,FALSE)</f>
        <v>B1</v>
      </c>
      <c r="E405" s="5" t="str">
        <f>VLOOKUP(A405,Seqs!A:B,2,FALSE)</f>
        <v>MRPPSPLPARWLCVLAGALAWALGPAGGQAARLQEECDYVQMIEVQHKQCLEEAQLENETIGCSKMWDNLTCWPATPRGQVVVLACPLIFKLFSSIQGRNVSRSCTDEGWTHLEPGPYPIACGLDDKAASLDEQQTMFYGSVKTGYTIGYGLSLATLLVATAILSLFRKLHCTRNYIHMHLFISFILRAAAVFIKDLALFDSGESDQCSEGSVGCKAAMVFFQYCVMANFFWLLVEGLYLYTLLAVSFFSERKYFWGYILIGWGVPSTFTMVWTIARIHFEDYGCWDTINSSLWWIIKGPILTSILVNFILFICIIRILLQKLRPPDIRKSDSSPYSRLARSTLLLIPLFGVHYIMFAFFPDNFKPEVKMVFELVVGSFQGFVVAILYCFLNGEVQAELRRKWRRWHLQGVLGWNPKYRHPSGGSNGATCSTQVSMLTRVSPGARRSSSFQAEVSLV</v>
      </c>
      <c r="F405" s="5" t="str">
        <f t="shared" si="151"/>
        <v>TMFYGSVKTGYTIGYGLSLATLLVATAILSLF</v>
      </c>
      <c r="G405" s="4" t="str">
        <f t="shared" si="152"/>
        <v>RKLH</v>
      </c>
      <c r="H405" s="4" t="str">
        <f t="shared" si="153"/>
        <v>CTRNYIHMHLFISFILRAAAVFIKDLAL</v>
      </c>
      <c r="I405" s="4" t="str">
        <f t="shared" si="154"/>
        <v/>
      </c>
      <c r="J405" s="4" t="str">
        <f t="shared" si="155"/>
        <v>GSVGCKAAMVFFQYCVMANFFWLLVEGLYLYTLLAV</v>
      </c>
      <c r="K405" s="4" t="str">
        <f t="shared" si="156"/>
        <v/>
      </c>
      <c r="L405" s="4" t="str">
        <f t="shared" si="157"/>
        <v>ERKYFWGYILIGWGVPSTFTMVWTIARIHFE</v>
      </c>
      <c r="M405" s="4" t="str">
        <f t="shared" si="158"/>
        <v>CWD</v>
      </c>
      <c r="N405" s="4" t="str">
        <f t="shared" si="159"/>
        <v>LWWIIKGPILTSILVNFILFICIIRILLQKL</v>
      </c>
      <c r="O405" s="4" t="str">
        <f t="shared" si="160"/>
        <v>SDSSPYSRLARSTLLLIPLFGVHYIMFAFFPDNF</v>
      </c>
      <c r="P405" s="4" t="str">
        <f t="shared" si="161"/>
        <v>PEVKMVFELVVGSFQGFVVAILYCFL</v>
      </c>
      <c r="Q405" s="4" t="str">
        <f t="shared" si="162"/>
        <v>NGEVQAELRRKWRRWHLQGVLGWNPK</v>
      </c>
      <c r="R405" s="5">
        <f>VLOOKUP($A405,'SegEnds_NonXtal_Prot#'!$A:$AL,3,FALSE)</f>
        <v>136</v>
      </c>
      <c r="S405" s="5">
        <f>VLOOKUP($A405,'SegEnds_NonXtal_Prot#'!$A:$AL,6,FALSE)</f>
        <v>168</v>
      </c>
      <c r="T405" s="5">
        <f>VLOOKUP($A405,'SegEnds_NonXtal_Prot#'!$A:$AL,9,FALSE)</f>
        <v>172</v>
      </c>
      <c r="U405" s="5" t="str">
        <f>VLOOKUP($A405,'SegEnds_NonXtal_Prot#'!$A:$AL,12,FALSE)</f>
        <v>-</v>
      </c>
      <c r="V405" s="5">
        <f>VLOOKUP($A405,'SegEnds_NonXtal_Prot#'!$A:$AL,15,FALSE)</f>
        <v>211</v>
      </c>
      <c r="W405" s="5" t="str">
        <f>VLOOKUP($A405,'SegEnds_NonXtal_Prot#'!$A:$AL,18,FALSE)</f>
        <v>-</v>
      </c>
      <c r="X405" s="5">
        <f>VLOOKUP($A405,'SegEnds_NonXtal_Prot#'!$A:$AL,21,FALSE)</f>
        <v>251</v>
      </c>
      <c r="Y405" s="5">
        <f>VLOOKUP($A405,'SegEnds_NonXtal_Prot#'!$A:$AL,24,FALSE)</f>
        <v>285</v>
      </c>
      <c r="Z405" s="5">
        <f>VLOOKUP($A405,'SegEnds_NonXtal_Prot#'!$A:$AL,27,FALSE)</f>
        <v>293</v>
      </c>
      <c r="AA405" s="5">
        <f>VLOOKUP($A405,'SegEnds_NonXtal_Prot#'!$A:$AL,30,FALSE)</f>
        <v>331</v>
      </c>
      <c r="AB405" s="5">
        <f>VLOOKUP($A405,'SegEnds_NonXtal_Prot#'!$A:$AL,33,FALSE)</f>
        <v>366</v>
      </c>
      <c r="AC405" s="5">
        <f>VLOOKUP($A405,'SegEnds_NonXtal_Prot#'!$A:$AL,36,FALSE)</f>
        <v>392</v>
      </c>
      <c r="AD405" s="5">
        <f>VLOOKUP($A405,'SegEnds_NonXtal_Prot#'!$A:$AL,5,FALSE)</f>
        <v>167</v>
      </c>
      <c r="AE405" s="5">
        <f>VLOOKUP($A405,'SegEnds_NonXtal_Prot#'!$A:$AL,8,FALSE)</f>
        <v>171</v>
      </c>
      <c r="AF405" s="5">
        <f>VLOOKUP($A405,'SegEnds_NonXtal_Prot#'!$A:$AL,11,FALSE)</f>
        <v>199</v>
      </c>
      <c r="AG405" s="5" t="str">
        <f>VLOOKUP($A405,'SegEnds_NonXtal_Prot#'!$A:$AL,14,FALSE)</f>
        <v>-</v>
      </c>
      <c r="AH405" s="5">
        <f>VLOOKUP($A405,'SegEnds_NonXtal_Prot#'!$A:$AL,17,FALSE)</f>
        <v>246</v>
      </c>
      <c r="AI405" s="5" t="str">
        <f>VLOOKUP($A405,'SegEnds_NonXtal_Prot#'!$A:$AL,20,FALSE)</f>
        <v>-</v>
      </c>
      <c r="AJ405" s="5">
        <f>VLOOKUP($A405,'SegEnds_NonXtal_Prot#'!$A:$AL,23,FALSE)</f>
        <v>281</v>
      </c>
      <c r="AK405" s="5">
        <f>VLOOKUP($A405,'SegEnds_NonXtal_Prot#'!$A:$AL,26,FALSE)</f>
        <v>287</v>
      </c>
      <c r="AL405" s="5">
        <f>VLOOKUP($A405,'SegEnds_NonXtal_Prot#'!$A:$AL,29,FALSE)</f>
        <v>323</v>
      </c>
      <c r="AM405" s="5">
        <f>VLOOKUP($A405,'SegEnds_NonXtal_Prot#'!$A:$AL,32,FALSE)</f>
        <v>364</v>
      </c>
      <c r="AN405" s="5">
        <f>VLOOKUP($A405,'SegEnds_NonXtal_Prot#'!$A:$AL,35,FALSE)</f>
        <v>391</v>
      </c>
      <c r="AO405" s="5">
        <f>VLOOKUP($A405,'SegEnds_NonXtal_Prot#'!$A:$AL,38,FALSE)</f>
        <v>417</v>
      </c>
      <c r="AP405" s="5">
        <f t="shared" si="163"/>
        <v>31</v>
      </c>
      <c r="AQ405" s="4">
        <f t="shared" si="164"/>
        <v>3</v>
      </c>
      <c r="AR405" s="4">
        <f t="shared" si="165"/>
        <v>27</v>
      </c>
      <c r="AS405" s="4" t="str">
        <f t="shared" si="166"/>
        <v>-</v>
      </c>
      <c r="AT405" s="4">
        <f t="shared" si="167"/>
        <v>35</v>
      </c>
      <c r="AU405" s="4" t="str">
        <f t="shared" si="168"/>
        <v>-</v>
      </c>
      <c r="AV405" s="4">
        <f t="shared" si="169"/>
        <v>30</v>
      </c>
      <c r="AW405" s="4">
        <f t="shared" si="170"/>
        <v>2</v>
      </c>
      <c r="AX405" s="4">
        <f t="shared" si="171"/>
        <v>30</v>
      </c>
      <c r="AY405" s="4">
        <f t="shared" si="172"/>
        <v>33</v>
      </c>
      <c r="AZ405" s="4">
        <f t="shared" si="173"/>
        <v>25</v>
      </c>
      <c r="BA405" s="4">
        <f t="shared" si="174"/>
        <v>25</v>
      </c>
    </row>
    <row r="406" spans="1:53" x14ac:dyDescent="0.2">
      <c r="A406" s="1" t="str">
        <f>'SegEnds_NonXtal_Prot#'!A406</f>
        <v>vipr2_human</v>
      </c>
      <c r="B406" s="1" t="str">
        <f t="shared" si="150"/>
        <v>DESKITFYILVKAIYTLGYSVSLMSLATGSIILCLFCTRNYIHLNLFLSFILRAISVLVKDDVLVGCKLSLVFLQYCIMANFFWLLVEGLYLHTLLVARCFLAYLLIGWGLPTVCIGAWTAARLYLEPWWVIRIPILISIIVNFVLFISIIRILLQKLNDQSQYKRLAKSTLLLIPLFGVHYMVFAVSKYQILFELCLGSFQGLVVAVLYCFLNSEVQCELKRKWRSRCPTPSASRDYR</v>
      </c>
      <c r="C406" s="29" t="str">
        <f>IF(ISERROR(MATCH(A406,'SegEnds_Xtal_Prot#'!B:B, 0)), "NoXtal", "Xtal")</f>
        <v>NoXtal</v>
      </c>
      <c r="D406" s="4" t="str">
        <f>VLOOKUP(A406,Classification!A:D,2,FALSE)</f>
        <v>B1</v>
      </c>
      <c r="E406" s="5" t="str">
        <f>VLOOKUP(A406,Seqs!A:B,2,FALSE)</f>
        <v>MRTLLPPALLTCWLLAPVNSIHPECRFHLEIQEEETKCAELLRSQTEKHKACSGVWDNITCWRPANVGETVTVPCPKVFSNFYSKAGNISKNCTSDGWSETFPDFVDACGYSDPEDESKITFYILVKAIYTLGYSVSLMSLATGSIILCLFRKLHCTRNYIHLNLFLSFILRAISVLVKDDVLYSSSGTLHCPDQPSSWVGCKLSLVFLQYCIMANFFWLLVEGLYLHTLLVAMLPPRRCFLAYLLIGWGLPTVCIGAWTAARLYLEDTGCWDTNDHSVPWWVIRIPILISIIVNFVLFISIIRILLQKLTSPDVGGNDQSQYKRLAKSTLLLIPLFGVHYMVFAVFPISISSKYQILFELCLGSFQGLVVAVLYCFLNSEVQCELKRKWRSRCPTPSASRDYRVCGSSFSRNGSEGALQFHRGSRAQSFLQTETSVI</v>
      </c>
      <c r="F406" s="5" t="str">
        <f t="shared" si="151"/>
        <v>DESKITFYILVKAIYTLGYSVSLMSLATGSIILCLF</v>
      </c>
      <c r="G406" s="4" t="str">
        <f t="shared" si="152"/>
        <v>RKLH</v>
      </c>
      <c r="H406" s="4" t="str">
        <f t="shared" si="153"/>
        <v>CTRNYIHLNLFLSFILRAISVLVKDDVL</v>
      </c>
      <c r="I406" s="4" t="str">
        <f t="shared" si="154"/>
        <v/>
      </c>
      <c r="J406" s="4" t="str">
        <f t="shared" si="155"/>
        <v>VGCKLSLVFLQYCIMANFFWLLVEGLYLHTLLVA</v>
      </c>
      <c r="K406" s="4" t="str">
        <f t="shared" si="156"/>
        <v/>
      </c>
      <c r="L406" s="4" t="str">
        <f t="shared" si="157"/>
        <v>RCFLAYLLIGWGLPTVCIGAWTAARLYLE</v>
      </c>
      <c r="M406" s="4" t="str">
        <f t="shared" si="158"/>
        <v>CWD</v>
      </c>
      <c r="N406" s="4" t="str">
        <f t="shared" si="159"/>
        <v>PWWVIRIPILISIIVNFVLFISIIRILLQKL</v>
      </c>
      <c r="O406" s="4" t="str">
        <f t="shared" si="160"/>
        <v>NDQSQYKRLAKSTLLLIPLFGVHYMVFAV</v>
      </c>
      <c r="P406" s="4" t="str">
        <f t="shared" si="161"/>
        <v>SKYQILFELCLGSFQGLVVAVLYCFL</v>
      </c>
      <c r="Q406" s="4" t="str">
        <f t="shared" si="162"/>
        <v>NSEVQCELKRKWRSRCPTPSASRDYR</v>
      </c>
      <c r="R406" s="5">
        <f>VLOOKUP($A406,'SegEnds_NonXtal_Prot#'!$A:$AL,3,FALSE)</f>
        <v>116</v>
      </c>
      <c r="S406" s="5">
        <f>VLOOKUP($A406,'SegEnds_NonXtal_Prot#'!$A:$AL,6,FALSE)</f>
        <v>152</v>
      </c>
      <c r="T406" s="5">
        <f>VLOOKUP($A406,'SegEnds_NonXtal_Prot#'!$A:$AL,9,FALSE)</f>
        <v>156</v>
      </c>
      <c r="U406" s="5" t="str">
        <f>VLOOKUP($A406,'SegEnds_NonXtal_Prot#'!$A:$AL,12,FALSE)</f>
        <v>-</v>
      </c>
      <c r="V406" s="5">
        <f>VLOOKUP($A406,'SegEnds_NonXtal_Prot#'!$A:$AL,15,FALSE)</f>
        <v>200</v>
      </c>
      <c r="W406" s="5" t="str">
        <f>VLOOKUP($A406,'SegEnds_NonXtal_Prot#'!$A:$AL,18,FALSE)</f>
        <v>-</v>
      </c>
      <c r="X406" s="5">
        <f>VLOOKUP($A406,'SegEnds_NonXtal_Prot#'!$A:$AL,21,FALSE)</f>
        <v>239</v>
      </c>
      <c r="Y406" s="5">
        <f>VLOOKUP($A406,'SegEnds_NonXtal_Prot#'!$A:$AL,24,FALSE)</f>
        <v>271</v>
      </c>
      <c r="Z406" s="5">
        <f>VLOOKUP($A406,'SegEnds_NonXtal_Prot#'!$A:$AL,27,FALSE)</f>
        <v>280</v>
      </c>
      <c r="AA406" s="5">
        <f>VLOOKUP($A406,'SegEnds_NonXtal_Prot#'!$A:$AL,30,FALSE)</f>
        <v>318</v>
      </c>
      <c r="AB406" s="5">
        <f>VLOOKUP($A406,'SegEnds_NonXtal_Prot#'!$A:$AL,33,FALSE)</f>
        <v>353</v>
      </c>
      <c r="AC406" s="5">
        <f>VLOOKUP($A406,'SegEnds_NonXtal_Prot#'!$A:$AL,36,FALSE)</f>
        <v>379</v>
      </c>
      <c r="AD406" s="5">
        <f>VLOOKUP($A406,'SegEnds_NonXtal_Prot#'!$A:$AL,5,FALSE)</f>
        <v>151</v>
      </c>
      <c r="AE406" s="5">
        <f>VLOOKUP($A406,'SegEnds_NonXtal_Prot#'!$A:$AL,8,FALSE)</f>
        <v>155</v>
      </c>
      <c r="AF406" s="5">
        <f>VLOOKUP($A406,'SegEnds_NonXtal_Prot#'!$A:$AL,11,FALSE)</f>
        <v>183</v>
      </c>
      <c r="AG406" s="5" t="str">
        <f>VLOOKUP($A406,'SegEnds_NonXtal_Prot#'!$A:$AL,14,FALSE)</f>
        <v>-</v>
      </c>
      <c r="AH406" s="5">
        <f>VLOOKUP($A406,'SegEnds_NonXtal_Prot#'!$A:$AL,17,FALSE)</f>
        <v>233</v>
      </c>
      <c r="AI406" s="5" t="str">
        <f>VLOOKUP($A406,'SegEnds_NonXtal_Prot#'!$A:$AL,20,FALSE)</f>
        <v>-</v>
      </c>
      <c r="AJ406" s="5">
        <f>VLOOKUP($A406,'SegEnds_NonXtal_Prot#'!$A:$AL,23,FALSE)</f>
        <v>267</v>
      </c>
      <c r="AK406" s="5">
        <f>VLOOKUP($A406,'SegEnds_NonXtal_Prot#'!$A:$AL,26,FALSE)</f>
        <v>273</v>
      </c>
      <c r="AL406" s="5">
        <f>VLOOKUP($A406,'SegEnds_NonXtal_Prot#'!$A:$AL,29,FALSE)</f>
        <v>310</v>
      </c>
      <c r="AM406" s="5">
        <f>VLOOKUP($A406,'SegEnds_NonXtal_Prot#'!$A:$AL,32,FALSE)</f>
        <v>346</v>
      </c>
      <c r="AN406" s="5">
        <f>VLOOKUP($A406,'SegEnds_NonXtal_Prot#'!$A:$AL,35,FALSE)</f>
        <v>378</v>
      </c>
      <c r="AO406" s="5">
        <f>VLOOKUP($A406,'SegEnds_NonXtal_Prot#'!$A:$AL,38,FALSE)</f>
        <v>404</v>
      </c>
      <c r="AP406" s="5">
        <f t="shared" si="163"/>
        <v>35</v>
      </c>
      <c r="AQ406" s="4">
        <f t="shared" si="164"/>
        <v>3</v>
      </c>
      <c r="AR406" s="4">
        <f t="shared" si="165"/>
        <v>27</v>
      </c>
      <c r="AS406" s="4" t="str">
        <f t="shared" si="166"/>
        <v>-</v>
      </c>
      <c r="AT406" s="4">
        <f t="shared" si="167"/>
        <v>33</v>
      </c>
      <c r="AU406" s="4" t="str">
        <f t="shared" si="168"/>
        <v>-</v>
      </c>
      <c r="AV406" s="4">
        <f t="shared" si="169"/>
        <v>28</v>
      </c>
      <c r="AW406" s="4">
        <f t="shared" si="170"/>
        <v>2</v>
      </c>
      <c r="AX406" s="4">
        <f t="shared" si="171"/>
        <v>30</v>
      </c>
      <c r="AY406" s="4">
        <f t="shared" si="172"/>
        <v>28</v>
      </c>
      <c r="AZ406" s="4">
        <f t="shared" si="173"/>
        <v>25</v>
      </c>
      <c r="BA406" s="4">
        <f t="shared" si="174"/>
        <v>25</v>
      </c>
    </row>
  </sheetData>
  <sortState ref="A2:BA408">
    <sortCondition descending="1" ref="C2:C408"/>
  </sortState>
  <customSheetViews>
    <customSheetView guid="{3E3401AF-8459-8641-BD70-AD04F80E86ED}" scale="135">
      <pane ySplit="1" topLeftCell="A2" activePane="bottomLeft" state="frozenSplit"/>
      <selection pane="bottomLeft" activeCell="B2" sqref="B2"/>
      <pageMargins left="0.7" right="0.7" top="0.75" bottom="0.75" header="0.3" footer="0.3"/>
      <pageSetup paperSize="9" orientation="portrait" horizontalDpi="0" verticalDpi="0"/>
    </customSheetView>
  </customSheetViews>
  <pageMargins left="0.7" right="0.7" top="0.75" bottom="0.75" header="0.3" footer="0.3"/>
  <pageSetup paperSize="9" orientation="portrait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L432"/>
  <sheetViews>
    <sheetView workbookViewId="0">
      <selection activeCell="I28" sqref="I28"/>
    </sheetView>
  </sheetViews>
  <sheetFormatPr baseColWidth="10" defaultColWidth="10.83203125" defaultRowHeight="16" x14ac:dyDescent="0.2"/>
  <cols>
    <col min="1" max="1" width="15.1640625" style="1" bestFit="1" customWidth="1"/>
    <col min="2" max="2" width="12.83203125" style="1" bestFit="1" customWidth="1"/>
    <col min="3" max="3" width="14.6640625" style="1" bestFit="1" customWidth="1"/>
    <col min="4" max="4" width="10.83203125" style="28"/>
    <col min="5" max="5" width="10.83203125" style="50"/>
    <col min="6" max="6" width="16.1640625" style="15" bestFit="1" customWidth="1"/>
    <col min="7" max="7" width="8.33203125" style="15" customWidth="1"/>
    <col min="8" max="8" width="11.1640625" customWidth="1"/>
    <col min="9" max="9" width="13.33203125" style="1" bestFit="1" customWidth="1"/>
    <col min="10" max="10" width="13.33203125" style="1" customWidth="1"/>
    <col min="11" max="12" width="12.83203125" style="1" customWidth="1"/>
    <col min="13" max="13" width="12.83203125" style="1" bestFit="1" customWidth="1"/>
    <col min="14" max="16384" width="10.83203125" style="1"/>
  </cols>
  <sheetData>
    <row r="1" spans="1:12" s="32" customFormat="1" x14ac:dyDescent="0.2">
      <c r="A1" s="32" t="s">
        <v>1158</v>
      </c>
      <c r="B1" s="32" t="s">
        <v>1116</v>
      </c>
      <c r="C1" s="32" t="s">
        <v>1412</v>
      </c>
      <c r="D1" s="33" t="s">
        <v>1228</v>
      </c>
      <c r="E1" s="32" t="s">
        <v>1413</v>
      </c>
      <c r="F1" s="32" t="s">
        <v>1414</v>
      </c>
      <c r="G1" s="87" t="s">
        <v>1375</v>
      </c>
    </row>
    <row r="2" spans="1:12" s="10" customFormat="1" x14ac:dyDescent="0.2">
      <c r="A2" t="s">
        <v>472</v>
      </c>
      <c r="B2" s="3" t="s">
        <v>336</v>
      </c>
      <c r="C2" t="s">
        <v>34</v>
      </c>
      <c r="D2" s="28" t="str">
        <f>VLOOKUP(A2,Classification!$A:$D,2,FALSE)</f>
        <v>T</v>
      </c>
      <c r="E2" s="50" t="str">
        <f>VLOOKUP(B2,Classification!$A:$D,2,FALSE)</f>
        <v>A</v>
      </c>
      <c r="F2" s="15" t="str">
        <f>VLOOKUP(C2,Classification!$A:$D,2,FALSE)</f>
        <v>A</v>
      </c>
      <c r="G2" s="15" t="b">
        <f>OR(D2=F2,AND(D2="T",F2="A"),AND(D2="B2",F2="B1"),D2="O")</f>
        <v>1</v>
      </c>
      <c r="H2"/>
      <c r="I2" s="1"/>
      <c r="J2" s="3"/>
      <c r="K2" s="3"/>
      <c r="L2" s="3"/>
    </row>
    <row r="3" spans="1:12" x14ac:dyDescent="0.2">
      <c r="A3" t="s">
        <v>457</v>
      </c>
      <c r="B3" s="1" t="s">
        <v>160</v>
      </c>
      <c r="C3" t="s">
        <v>35</v>
      </c>
      <c r="D3" s="28" t="str">
        <f>VLOOKUP(A3,Classification!$A:$D,2,FALSE)</f>
        <v>T</v>
      </c>
      <c r="E3" s="50" t="str">
        <f>VLOOKUP(B3,Classification!$A:$D,2,FALSE)</f>
        <v>A</v>
      </c>
      <c r="F3" s="15" t="str">
        <f>VLOOKUP(C3,Classification!$A:$D,2,FALSE)</f>
        <v>A</v>
      </c>
      <c r="G3" s="15" t="b">
        <f t="shared" ref="G3:G66" si="0">OR(D3=F3,AND(D3="T",F3="A"),AND(D3="B2",F3="B1"),D3="O")</f>
        <v>1</v>
      </c>
      <c r="J3" s="3"/>
    </row>
    <row r="4" spans="1:12" x14ac:dyDescent="0.2">
      <c r="A4" t="s">
        <v>476</v>
      </c>
      <c r="B4" s="1" t="s">
        <v>34</v>
      </c>
      <c r="C4" t="s">
        <v>147</v>
      </c>
      <c r="D4" s="28" t="str">
        <f>VLOOKUP(A4,Classification!$A:$D,2,FALSE)</f>
        <v>T</v>
      </c>
      <c r="E4" s="50" t="str">
        <f>VLOOKUP(B4,Classification!$A:$D,2,FALSE)</f>
        <v>A</v>
      </c>
      <c r="F4" s="15" t="str">
        <f>VLOOKUP(C4,Classification!$A:$D,2,FALSE)</f>
        <v>A</v>
      </c>
      <c r="G4" s="15" t="b">
        <f t="shared" si="0"/>
        <v>1</v>
      </c>
      <c r="J4" s="3"/>
    </row>
    <row r="5" spans="1:12" x14ac:dyDescent="0.2">
      <c r="A5" t="s">
        <v>465</v>
      </c>
      <c r="B5" s="1" t="s">
        <v>158</v>
      </c>
      <c r="C5" t="s">
        <v>910</v>
      </c>
      <c r="D5" s="28" t="str">
        <f>VLOOKUP(A5,Classification!$A:$D,2,FALSE)</f>
        <v>T</v>
      </c>
      <c r="E5" s="50" t="str">
        <f>VLOOKUP(B5,Classification!$A:$D,2,FALSE)</f>
        <v>A</v>
      </c>
      <c r="F5" s="15" t="str">
        <f>VLOOKUP(C5,Classification!$A:$D,2,FALSE)</f>
        <v>A</v>
      </c>
      <c r="G5" s="15" t="b">
        <f t="shared" si="0"/>
        <v>1</v>
      </c>
      <c r="J5" s="3"/>
    </row>
    <row r="6" spans="1:12" x14ac:dyDescent="0.2">
      <c r="A6" t="s">
        <v>485</v>
      </c>
      <c r="B6" s="1" t="s">
        <v>139</v>
      </c>
      <c r="C6" t="s">
        <v>158</v>
      </c>
      <c r="D6" s="28" t="str">
        <f>VLOOKUP(A6,Classification!$A:$D,2,FALSE)</f>
        <v>O</v>
      </c>
      <c r="E6" s="50" t="str">
        <f>VLOOKUP(B6,Classification!$A:$D,2,FALSE)</f>
        <v>A</v>
      </c>
      <c r="F6" s="15" t="str">
        <f>VLOOKUP(C6,Classification!$A:$D,2,FALSE)</f>
        <v>A</v>
      </c>
      <c r="G6" s="15" t="b">
        <f t="shared" si="0"/>
        <v>1</v>
      </c>
      <c r="J6" s="3"/>
    </row>
    <row r="7" spans="1:12" x14ac:dyDescent="0.2">
      <c r="A7" t="s">
        <v>460</v>
      </c>
      <c r="B7" s="1" t="s">
        <v>147</v>
      </c>
      <c r="C7" t="s">
        <v>158</v>
      </c>
      <c r="D7" s="28" t="str">
        <f>VLOOKUP(A7,Classification!$A:$D,2,FALSE)</f>
        <v>T</v>
      </c>
      <c r="E7" s="50" t="str">
        <f>VLOOKUP(B7,Classification!$A:$D,2,FALSE)</f>
        <v>A</v>
      </c>
      <c r="F7" s="15" t="str">
        <f>VLOOKUP(C7,Classification!$A:$D,2,FALSE)</f>
        <v>A</v>
      </c>
      <c r="G7" s="15" t="b">
        <f t="shared" si="0"/>
        <v>1</v>
      </c>
      <c r="J7" s="3"/>
    </row>
    <row r="8" spans="1:12" x14ac:dyDescent="0.2">
      <c r="A8" t="s">
        <v>930</v>
      </c>
      <c r="B8" s="1" t="s">
        <v>158</v>
      </c>
      <c r="C8" t="s">
        <v>158</v>
      </c>
      <c r="D8" s="28" t="str">
        <f>VLOOKUP(A8,Classification!$A:$D,2,FALSE)</f>
        <v>T</v>
      </c>
      <c r="E8" s="50" t="str">
        <f>VLOOKUP(B8,Classification!$A:$D,2,FALSE)</f>
        <v>A</v>
      </c>
      <c r="F8" s="15" t="str">
        <f>VLOOKUP(C8,Classification!$A:$D,2,FALSE)</f>
        <v>A</v>
      </c>
      <c r="G8" s="15" t="b">
        <f t="shared" si="0"/>
        <v>1</v>
      </c>
      <c r="J8" s="3"/>
    </row>
    <row r="9" spans="1:12" x14ac:dyDescent="0.2">
      <c r="A9" t="s">
        <v>471</v>
      </c>
      <c r="B9" s="1" t="s">
        <v>192</v>
      </c>
      <c r="C9" t="s">
        <v>158</v>
      </c>
      <c r="D9" s="28" t="str">
        <f>VLOOKUP(A9,Classification!$A:$D,2,FALSE)</f>
        <v>T</v>
      </c>
      <c r="E9" s="50" t="str">
        <f>VLOOKUP(B9,Classification!$A:$D,2,FALSE)</f>
        <v>A</v>
      </c>
      <c r="F9" s="15" t="str">
        <f>VLOOKUP(C9,Classification!$A:$D,2,FALSE)</f>
        <v>A</v>
      </c>
      <c r="G9" s="15" t="b">
        <f t="shared" si="0"/>
        <v>1</v>
      </c>
      <c r="J9" s="3"/>
    </row>
    <row r="10" spans="1:12" x14ac:dyDescent="0.2">
      <c r="A10" t="s">
        <v>467</v>
      </c>
      <c r="B10" s="1" t="s">
        <v>278</v>
      </c>
      <c r="C10" t="s">
        <v>158</v>
      </c>
      <c r="D10" s="28" t="str">
        <f>VLOOKUP(A10,Classification!$A:$D,2,FALSE)</f>
        <v>T</v>
      </c>
      <c r="E10" s="50" t="str">
        <f>VLOOKUP(B10,Classification!$A:$D,2,FALSE)</f>
        <v>A</v>
      </c>
      <c r="F10" s="15" t="str">
        <f>VLOOKUP(C10,Classification!$A:$D,2,FALSE)</f>
        <v>A</v>
      </c>
      <c r="G10" s="15" t="b">
        <f t="shared" si="0"/>
        <v>1</v>
      </c>
      <c r="J10" s="3"/>
    </row>
    <row r="11" spans="1:12" x14ac:dyDescent="0.2">
      <c r="A11" t="s">
        <v>479</v>
      </c>
      <c r="B11" s="1" t="s">
        <v>158</v>
      </c>
      <c r="C11" t="s">
        <v>158</v>
      </c>
      <c r="D11" s="28" t="str">
        <f>VLOOKUP(A11,Classification!$A:$D,2,FALSE)</f>
        <v>T</v>
      </c>
      <c r="E11" s="50" t="str">
        <f>VLOOKUP(B11,Classification!$A:$D,2,FALSE)</f>
        <v>A</v>
      </c>
      <c r="F11" s="15" t="str">
        <f>VLOOKUP(C11,Classification!$A:$D,2,FALSE)</f>
        <v>A</v>
      </c>
      <c r="G11" s="15" t="b">
        <f t="shared" si="0"/>
        <v>1</v>
      </c>
      <c r="J11" s="3"/>
    </row>
    <row r="12" spans="1:12" x14ac:dyDescent="0.2">
      <c r="A12" t="s">
        <v>461</v>
      </c>
      <c r="B12" s="1" t="s">
        <v>35</v>
      </c>
      <c r="C12" t="s">
        <v>158</v>
      </c>
      <c r="D12" s="28" t="str">
        <f>VLOOKUP(A12,Classification!$A:$D,2,FALSE)</f>
        <v>T</v>
      </c>
      <c r="E12" s="50" t="str">
        <f>VLOOKUP(B12,Classification!$A:$D,2,FALSE)</f>
        <v>A</v>
      </c>
      <c r="F12" s="15" t="str">
        <f>VLOOKUP(C12,Classification!$A:$D,2,FALSE)</f>
        <v>A</v>
      </c>
      <c r="G12" s="15" t="b">
        <f t="shared" si="0"/>
        <v>1</v>
      </c>
      <c r="J12" s="3"/>
    </row>
    <row r="13" spans="1:12" x14ac:dyDescent="0.2">
      <c r="A13" t="s">
        <v>463</v>
      </c>
      <c r="B13" s="1" t="s">
        <v>158</v>
      </c>
      <c r="C13" t="s">
        <v>158</v>
      </c>
      <c r="D13" s="28" t="str">
        <f>VLOOKUP(A13,Classification!$A:$D,2,FALSE)</f>
        <v>T</v>
      </c>
      <c r="E13" s="50" t="str">
        <f>VLOOKUP(B13,Classification!$A:$D,2,FALSE)</f>
        <v>A</v>
      </c>
      <c r="F13" s="15" t="str">
        <f>VLOOKUP(C13,Classification!$A:$D,2,FALSE)</f>
        <v>A</v>
      </c>
      <c r="G13" s="15" t="b">
        <f t="shared" si="0"/>
        <v>1</v>
      </c>
      <c r="J13" s="3"/>
    </row>
    <row r="14" spans="1:12" x14ac:dyDescent="0.2">
      <c r="A14" t="s">
        <v>468</v>
      </c>
      <c r="B14" s="1" t="s">
        <v>278</v>
      </c>
      <c r="C14" t="s">
        <v>158</v>
      </c>
      <c r="D14" s="28" t="str">
        <f>VLOOKUP(A14,Classification!$A:$D,2,FALSE)</f>
        <v>T</v>
      </c>
      <c r="E14" s="50" t="str">
        <f>VLOOKUP(B14,Classification!$A:$D,2,FALSE)</f>
        <v>A</v>
      </c>
      <c r="F14" s="15" t="str">
        <f>VLOOKUP(C14,Classification!$A:$D,2,FALSE)</f>
        <v>A</v>
      </c>
      <c r="G14" s="15" t="b">
        <f t="shared" si="0"/>
        <v>1</v>
      </c>
      <c r="J14" s="3"/>
    </row>
    <row r="15" spans="1:12" x14ac:dyDescent="0.2">
      <c r="A15" t="s">
        <v>469</v>
      </c>
      <c r="B15" s="1" t="s">
        <v>158</v>
      </c>
      <c r="C15" t="s">
        <v>158</v>
      </c>
      <c r="D15" s="28" t="str">
        <f>VLOOKUP(A15,Classification!$A:$D,2,FALSE)</f>
        <v>T</v>
      </c>
      <c r="E15" s="50" t="str">
        <f>VLOOKUP(B15,Classification!$A:$D,2,FALSE)</f>
        <v>A</v>
      </c>
      <c r="F15" s="15" t="str">
        <f>VLOOKUP(C15,Classification!$A:$D,2,FALSE)</f>
        <v>A</v>
      </c>
      <c r="G15" s="15" t="b">
        <f t="shared" si="0"/>
        <v>1</v>
      </c>
      <c r="J15" s="3"/>
    </row>
    <row r="16" spans="1:12" x14ac:dyDescent="0.2">
      <c r="A16" t="s">
        <v>470</v>
      </c>
      <c r="B16" s="1" t="s">
        <v>158</v>
      </c>
      <c r="C16" t="s">
        <v>158</v>
      </c>
      <c r="D16" s="28" t="str">
        <f>VLOOKUP(A16,Classification!$A:$D,2,FALSE)</f>
        <v>T</v>
      </c>
      <c r="E16" s="50" t="str">
        <f>VLOOKUP(B16,Classification!$A:$D,2,FALSE)</f>
        <v>A</v>
      </c>
      <c r="F16" s="15" t="str">
        <f>VLOOKUP(C16,Classification!$A:$D,2,FALSE)</f>
        <v>A</v>
      </c>
      <c r="G16" s="15" t="b">
        <f t="shared" si="0"/>
        <v>1</v>
      </c>
      <c r="J16" s="3"/>
    </row>
    <row r="17" spans="1:10" x14ac:dyDescent="0.2">
      <c r="A17" t="s">
        <v>480</v>
      </c>
      <c r="B17" s="1" t="s">
        <v>158</v>
      </c>
      <c r="C17" t="s">
        <v>158</v>
      </c>
      <c r="D17" s="28" t="str">
        <f>VLOOKUP(A17,Classification!$A:$D,2,FALSE)</f>
        <v>T</v>
      </c>
      <c r="E17" s="50" t="str">
        <f>VLOOKUP(B17,Classification!$A:$D,2,FALSE)</f>
        <v>A</v>
      </c>
      <c r="F17" s="15" t="str">
        <f>VLOOKUP(C17,Classification!$A:$D,2,FALSE)</f>
        <v>A</v>
      </c>
      <c r="G17" s="15" t="b">
        <f t="shared" si="0"/>
        <v>1</v>
      </c>
      <c r="J17" s="3"/>
    </row>
    <row r="18" spans="1:10" x14ac:dyDescent="0.2">
      <c r="A18" t="s">
        <v>475</v>
      </c>
      <c r="B18" s="1" t="s">
        <v>158</v>
      </c>
      <c r="C18" t="s">
        <v>158</v>
      </c>
      <c r="D18" s="28" t="str">
        <f>VLOOKUP(A18,Classification!$A:$D,2,FALSE)</f>
        <v>T</v>
      </c>
      <c r="E18" s="50" t="str">
        <f>VLOOKUP(B18,Classification!$A:$D,2,FALSE)</f>
        <v>A</v>
      </c>
      <c r="F18" s="15" t="str">
        <f>VLOOKUP(C18,Classification!$A:$D,2,FALSE)</f>
        <v>A</v>
      </c>
      <c r="G18" s="15" t="b">
        <f t="shared" si="0"/>
        <v>1</v>
      </c>
      <c r="J18" s="3"/>
    </row>
    <row r="19" spans="1:10" x14ac:dyDescent="0.2">
      <c r="A19" t="s">
        <v>478</v>
      </c>
      <c r="B19" s="1" t="s">
        <v>196</v>
      </c>
      <c r="C19" t="s">
        <v>158</v>
      </c>
      <c r="D19" s="28" t="str">
        <f>VLOOKUP(A19,Classification!$A:$D,2,FALSE)</f>
        <v>T</v>
      </c>
      <c r="E19" s="50" t="str">
        <f>VLOOKUP(B19,Classification!$A:$D,2,FALSE)</f>
        <v>A</v>
      </c>
      <c r="F19" s="15" t="str">
        <f>VLOOKUP(C19,Classification!$A:$D,2,FALSE)</f>
        <v>A</v>
      </c>
      <c r="G19" s="15" t="b">
        <f t="shared" si="0"/>
        <v>1</v>
      </c>
      <c r="J19" s="3"/>
    </row>
    <row r="20" spans="1:10" x14ac:dyDescent="0.2">
      <c r="A20" t="s">
        <v>464</v>
      </c>
      <c r="B20" s="1" t="s">
        <v>158</v>
      </c>
      <c r="C20" t="s">
        <v>158</v>
      </c>
      <c r="D20" s="28" t="str">
        <f>VLOOKUP(A20,Classification!$A:$D,2,FALSE)</f>
        <v>T</v>
      </c>
      <c r="E20" s="50" t="str">
        <f>VLOOKUP(B20,Classification!$A:$D,2,FALSE)</f>
        <v>A</v>
      </c>
      <c r="F20" s="15" t="str">
        <f>VLOOKUP(C20,Classification!$A:$D,2,FALSE)</f>
        <v>A</v>
      </c>
      <c r="G20" s="15" t="b">
        <f t="shared" si="0"/>
        <v>1</v>
      </c>
      <c r="J20" s="3"/>
    </row>
    <row r="21" spans="1:10" x14ac:dyDescent="0.2">
      <c r="A21" t="s">
        <v>462</v>
      </c>
      <c r="B21" s="1" t="s">
        <v>35</v>
      </c>
      <c r="C21" t="s">
        <v>158</v>
      </c>
      <c r="D21" s="28" t="str">
        <f>VLOOKUP(A21,Classification!$A:$D,2,FALSE)</f>
        <v>T</v>
      </c>
      <c r="E21" s="50" t="str">
        <f>VLOOKUP(B21,Classification!$A:$D,2,FALSE)</f>
        <v>A</v>
      </c>
      <c r="F21" s="15" t="str">
        <f>VLOOKUP(C21,Classification!$A:$D,2,FALSE)</f>
        <v>A</v>
      </c>
      <c r="G21" s="15" t="b">
        <f t="shared" si="0"/>
        <v>1</v>
      </c>
      <c r="J21" s="3"/>
    </row>
    <row r="22" spans="1:10" x14ac:dyDescent="0.2">
      <c r="A22" t="s">
        <v>1187</v>
      </c>
      <c r="B22" s="1" t="s">
        <v>406</v>
      </c>
      <c r="C22" t="s">
        <v>38</v>
      </c>
      <c r="D22" s="28" t="str">
        <f>VLOOKUP(A22,Classification!$A:$D,2,FALSE)</f>
        <v>B2</v>
      </c>
      <c r="E22" s="50" t="str">
        <f>VLOOKUP(B22,Classification!$A:$D,2,FALSE)</f>
        <v>B1</v>
      </c>
      <c r="F22" s="15" t="str">
        <f>VLOOKUP(C22,Classification!$A:$D,2,FALSE)</f>
        <v>B1</v>
      </c>
      <c r="G22" s="15" t="b">
        <f t="shared" si="0"/>
        <v>1</v>
      </c>
      <c r="J22" s="3"/>
    </row>
    <row r="23" spans="1:10" x14ac:dyDescent="0.2">
      <c r="A23" t="s">
        <v>1197</v>
      </c>
      <c r="B23" s="1" t="s">
        <v>32</v>
      </c>
      <c r="C23" t="s">
        <v>38</v>
      </c>
      <c r="D23" s="28" t="str">
        <f>VLOOKUP(A23,Classification!$A:$D,2,FALSE)</f>
        <v>B2</v>
      </c>
      <c r="E23" s="50" t="str">
        <f>VLOOKUP(B23,Classification!$A:$D,2,FALSE)</f>
        <v>B1</v>
      </c>
      <c r="F23" s="15" t="str">
        <f>VLOOKUP(C23,Classification!$A:$D,2,FALSE)</f>
        <v>B1</v>
      </c>
      <c r="G23" s="15" t="b">
        <f t="shared" si="0"/>
        <v>1</v>
      </c>
      <c r="J23" s="3"/>
    </row>
    <row r="24" spans="1:10" x14ac:dyDescent="0.2">
      <c r="A24" t="s">
        <v>1202</v>
      </c>
      <c r="B24" s="1" t="s">
        <v>38</v>
      </c>
      <c r="C24" t="s">
        <v>38</v>
      </c>
      <c r="D24" s="28" t="str">
        <f>VLOOKUP(A24,Classification!$A:$D,2,FALSE)</f>
        <v>B2</v>
      </c>
      <c r="E24" s="50" t="str">
        <f>VLOOKUP(B24,Classification!$A:$D,2,FALSE)</f>
        <v>B1</v>
      </c>
      <c r="F24" s="15" t="str">
        <f>VLOOKUP(C24,Classification!$A:$D,2,FALSE)</f>
        <v>B1</v>
      </c>
      <c r="G24" s="15" t="b">
        <f t="shared" si="0"/>
        <v>1</v>
      </c>
      <c r="J24" s="3"/>
    </row>
    <row r="25" spans="1:10" x14ac:dyDescent="0.2">
      <c r="A25" t="s">
        <v>1195</v>
      </c>
      <c r="B25" s="1" t="s">
        <v>38</v>
      </c>
      <c r="C25" t="s">
        <v>38</v>
      </c>
      <c r="D25" s="28" t="str">
        <f>VLOOKUP(A25,Classification!$A:$D,2,FALSE)</f>
        <v>B2</v>
      </c>
      <c r="E25" s="50" t="str">
        <f>VLOOKUP(B25,Classification!$A:$D,2,FALSE)</f>
        <v>B1</v>
      </c>
      <c r="F25" s="15" t="str">
        <f>VLOOKUP(C25,Classification!$A:$D,2,FALSE)</f>
        <v>B1</v>
      </c>
      <c r="G25" s="15" t="b">
        <f t="shared" si="0"/>
        <v>1</v>
      </c>
      <c r="J25" s="3"/>
    </row>
    <row r="26" spans="1:10" x14ac:dyDescent="0.2">
      <c r="A26" t="s">
        <v>1193</v>
      </c>
      <c r="B26" s="1" t="s">
        <v>38</v>
      </c>
      <c r="C26" t="s">
        <v>38</v>
      </c>
      <c r="D26" s="28" t="str">
        <f>VLOOKUP(A26,Classification!$A:$D,2,FALSE)</f>
        <v>B2</v>
      </c>
      <c r="E26" s="50" t="str">
        <f>VLOOKUP(B26,Classification!$A:$D,2,FALSE)</f>
        <v>B1</v>
      </c>
      <c r="F26" s="15" t="str">
        <f>VLOOKUP(C26,Classification!$A:$D,2,FALSE)</f>
        <v>B1</v>
      </c>
      <c r="G26" s="15" t="b">
        <f t="shared" si="0"/>
        <v>1</v>
      </c>
      <c r="H26" s="10"/>
      <c r="J26" s="3"/>
    </row>
    <row r="27" spans="1:10" x14ac:dyDescent="0.2">
      <c r="A27" t="s">
        <v>1184</v>
      </c>
      <c r="B27" s="1" t="s">
        <v>401</v>
      </c>
      <c r="C27" t="s">
        <v>38</v>
      </c>
      <c r="D27" s="28" t="str">
        <f>VLOOKUP(A27,Classification!$A:$D,2,FALSE)</f>
        <v>B2</v>
      </c>
      <c r="E27" s="50" t="str">
        <f>VLOOKUP(B27,Classification!$A:$D,2,FALSE)</f>
        <v>B1</v>
      </c>
      <c r="F27" s="15" t="str">
        <f>VLOOKUP(C27,Classification!$A:$D,2,FALSE)</f>
        <v>B1</v>
      </c>
      <c r="G27" s="15" t="b">
        <f t="shared" si="0"/>
        <v>1</v>
      </c>
      <c r="J27" s="3"/>
    </row>
    <row r="28" spans="1:10" x14ac:dyDescent="0.2">
      <c r="A28" t="s">
        <v>1191</v>
      </c>
      <c r="B28" s="1" t="s">
        <v>38</v>
      </c>
      <c r="C28" t="s">
        <v>38</v>
      </c>
      <c r="D28" s="28" t="str">
        <f>VLOOKUP(A28,Classification!$A:$D,2,FALSE)</f>
        <v>B2</v>
      </c>
      <c r="E28" s="50" t="str">
        <f>VLOOKUP(B28,Classification!$A:$D,2,FALSE)</f>
        <v>B1</v>
      </c>
      <c r="F28" s="15" t="str">
        <f>VLOOKUP(C28,Classification!$A:$D,2,FALSE)</f>
        <v>B1</v>
      </c>
      <c r="G28" s="15" t="b">
        <f t="shared" si="0"/>
        <v>1</v>
      </c>
      <c r="J28" s="3"/>
    </row>
    <row r="29" spans="1:10" x14ac:dyDescent="0.2">
      <c r="A29" t="s">
        <v>1185</v>
      </c>
      <c r="B29" s="1" t="s">
        <v>406</v>
      </c>
      <c r="C29" t="s">
        <v>38</v>
      </c>
      <c r="D29" s="28" t="str">
        <f>VLOOKUP(A29,Classification!$A:$D,2,FALSE)</f>
        <v>B2</v>
      </c>
      <c r="E29" s="50" t="str">
        <f>VLOOKUP(B29,Classification!$A:$D,2,FALSE)</f>
        <v>B1</v>
      </c>
      <c r="F29" s="15" t="str">
        <f>VLOOKUP(C29,Classification!$A:$D,2,FALSE)</f>
        <v>B1</v>
      </c>
      <c r="G29" s="15" t="b">
        <f t="shared" si="0"/>
        <v>1</v>
      </c>
      <c r="J29" s="3"/>
    </row>
    <row r="30" spans="1:10" x14ac:dyDescent="0.2">
      <c r="A30" t="s">
        <v>1186</v>
      </c>
      <c r="B30" s="1" t="s">
        <v>38</v>
      </c>
      <c r="C30" t="s">
        <v>38</v>
      </c>
      <c r="D30" s="28" t="str">
        <f>VLOOKUP(A30,Classification!$A:$D,2,FALSE)</f>
        <v>B2</v>
      </c>
      <c r="E30" s="50" t="str">
        <f>VLOOKUP(B30,Classification!$A:$D,2,FALSE)</f>
        <v>B1</v>
      </c>
      <c r="F30" s="15" t="str">
        <f>VLOOKUP(C30,Classification!$A:$D,2,FALSE)</f>
        <v>B1</v>
      </c>
      <c r="G30" s="15" t="b">
        <f t="shared" si="0"/>
        <v>1</v>
      </c>
      <c r="J30" s="3"/>
    </row>
    <row r="31" spans="1:10" x14ac:dyDescent="0.2">
      <c r="A31" t="s">
        <v>1190</v>
      </c>
      <c r="B31" s="1" t="s">
        <v>38</v>
      </c>
      <c r="C31" t="s">
        <v>38</v>
      </c>
      <c r="D31" s="28" t="str">
        <f>VLOOKUP(A31,Classification!$A:$D,2,FALSE)</f>
        <v>B2</v>
      </c>
      <c r="E31" s="50" t="str">
        <f>VLOOKUP(B31,Classification!$A:$D,2,FALSE)</f>
        <v>B1</v>
      </c>
      <c r="F31" s="15" t="str">
        <f>VLOOKUP(C31,Classification!$A:$D,2,FALSE)</f>
        <v>B1</v>
      </c>
      <c r="G31" s="15" t="b">
        <f t="shared" si="0"/>
        <v>1</v>
      </c>
      <c r="J31" s="3"/>
    </row>
    <row r="32" spans="1:10" x14ac:dyDescent="0.2">
      <c r="A32" t="s">
        <v>1183</v>
      </c>
      <c r="B32" s="1" t="s">
        <v>38</v>
      </c>
      <c r="C32" t="s">
        <v>38</v>
      </c>
      <c r="D32" s="28" t="str">
        <f>VLOOKUP(A32,Classification!$A:$D,2,FALSE)</f>
        <v>B2</v>
      </c>
      <c r="E32" s="50" t="str">
        <f>VLOOKUP(B32,Classification!$A:$D,2,FALSE)</f>
        <v>B1</v>
      </c>
      <c r="F32" s="15" t="str">
        <f>VLOOKUP(C32,Classification!$A:$D,2,FALSE)</f>
        <v>B1</v>
      </c>
      <c r="G32" s="15" t="b">
        <f t="shared" si="0"/>
        <v>1</v>
      </c>
      <c r="J32" s="3"/>
    </row>
    <row r="33" spans="1:10" x14ac:dyDescent="0.2">
      <c r="A33" t="s">
        <v>1182</v>
      </c>
      <c r="B33" s="1" t="s">
        <v>38</v>
      </c>
      <c r="C33" t="s">
        <v>38</v>
      </c>
      <c r="D33" s="28" t="str">
        <f>VLOOKUP(A33,Classification!$A:$D,2,FALSE)</f>
        <v>B2</v>
      </c>
      <c r="E33" s="50" t="str">
        <f>VLOOKUP(B33,Classification!$A:$D,2,FALSE)</f>
        <v>B1</v>
      </c>
      <c r="F33" s="15" t="str">
        <f>VLOOKUP(C33,Classification!$A:$D,2,FALSE)</f>
        <v>B1</v>
      </c>
      <c r="G33" s="15" t="b">
        <f t="shared" si="0"/>
        <v>1</v>
      </c>
      <c r="J33" s="3"/>
    </row>
    <row r="34" spans="1:10" x14ac:dyDescent="0.2">
      <c r="A34" t="s">
        <v>1188</v>
      </c>
      <c r="B34" s="1" t="s">
        <v>38</v>
      </c>
      <c r="C34" t="s">
        <v>38</v>
      </c>
      <c r="D34" s="28" t="str">
        <f>VLOOKUP(A34,Classification!$A:$D,2,FALSE)</f>
        <v>B2</v>
      </c>
      <c r="E34" s="50" t="str">
        <f>VLOOKUP(B34,Classification!$A:$D,2,FALSE)</f>
        <v>B1</v>
      </c>
      <c r="F34" s="15" t="str">
        <f>VLOOKUP(C34,Classification!$A:$D,2,FALSE)</f>
        <v>B1</v>
      </c>
      <c r="G34" s="15" t="b">
        <f t="shared" si="0"/>
        <v>1</v>
      </c>
      <c r="J34" s="3"/>
    </row>
    <row r="35" spans="1:10" x14ac:dyDescent="0.2">
      <c r="A35" t="s">
        <v>1198</v>
      </c>
      <c r="B35" s="1" t="s">
        <v>406</v>
      </c>
      <c r="C35" t="s">
        <v>38</v>
      </c>
      <c r="D35" s="28" t="str">
        <f>VLOOKUP(A35,Classification!$A:$D,2,FALSE)</f>
        <v>B2</v>
      </c>
      <c r="E35" s="50" t="str">
        <f>VLOOKUP(B35,Classification!$A:$D,2,FALSE)</f>
        <v>B1</v>
      </c>
      <c r="F35" s="15" t="str">
        <f>VLOOKUP(C35,Classification!$A:$D,2,FALSE)</f>
        <v>B1</v>
      </c>
      <c r="G35" s="15" t="b">
        <f t="shared" si="0"/>
        <v>1</v>
      </c>
      <c r="J35" s="3"/>
    </row>
    <row r="36" spans="1:10" x14ac:dyDescent="0.2">
      <c r="A36" t="s">
        <v>1192</v>
      </c>
      <c r="B36" s="1" t="s">
        <v>38</v>
      </c>
      <c r="C36" t="s">
        <v>38</v>
      </c>
      <c r="D36" s="28" t="str">
        <f>VLOOKUP(A36,Classification!$A:$D,2,FALSE)</f>
        <v>B2</v>
      </c>
      <c r="E36" s="50" t="str">
        <f>VLOOKUP(B36,Classification!$A:$D,2,FALSE)</f>
        <v>B1</v>
      </c>
      <c r="F36" s="15" t="str">
        <f>VLOOKUP(C36,Classification!$A:$D,2,FALSE)</f>
        <v>B1</v>
      </c>
      <c r="G36" s="15" t="b">
        <f t="shared" si="0"/>
        <v>1</v>
      </c>
      <c r="J36" s="3"/>
    </row>
    <row r="37" spans="1:10" x14ac:dyDescent="0.2">
      <c r="A37" t="s">
        <v>1196</v>
      </c>
      <c r="B37" s="1" t="s">
        <v>38</v>
      </c>
      <c r="C37" t="s">
        <v>38</v>
      </c>
      <c r="D37" s="28" t="str">
        <f>VLOOKUP(A37,Classification!$A:$D,2,FALSE)</f>
        <v>B2</v>
      </c>
      <c r="E37" s="50" t="str">
        <f>VLOOKUP(B37,Classification!$A:$D,2,FALSE)</f>
        <v>B1</v>
      </c>
      <c r="F37" s="15" t="str">
        <f>VLOOKUP(C37,Classification!$A:$D,2,FALSE)</f>
        <v>B1</v>
      </c>
      <c r="G37" s="15" t="b">
        <f t="shared" si="0"/>
        <v>1</v>
      </c>
      <c r="J37" s="3"/>
    </row>
    <row r="38" spans="1:10" x14ac:dyDescent="0.2">
      <c r="A38" t="s">
        <v>1423</v>
      </c>
      <c r="B38" s="1" t="s">
        <v>38</v>
      </c>
      <c r="C38" t="s">
        <v>38</v>
      </c>
      <c r="D38" s="28" t="str">
        <f>VLOOKUP(A38,Classification!$A:$D,2,FALSE)</f>
        <v>B2</v>
      </c>
      <c r="E38" s="50" t="str">
        <f>VLOOKUP(B38,Classification!$A:$D,2,FALSE)</f>
        <v>B1</v>
      </c>
      <c r="F38" s="15" t="str">
        <f>VLOOKUP(C38,Classification!$A:$D,2,FALSE)</f>
        <v>B1</v>
      </c>
      <c r="G38" s="15" t="b">
        <f t="shared" si="0"/>
        <v>1</v>
      </c>
      <c r="J38" s="3"/>
    </row>
    <row r="39" spans="1:10" x14ac:dyDescent="0.2">
      <c r="A39" t="s">
        <v>1194</v>
      </c>
      <c r="B39" s="1" t="s">
        <v>38</v>
      </c>
      <c r="C39" t="s">
        <v>38</v>
      </c>
      <c r="D39" s="28" t="str">
        <f>VLOOKUP(A39,Classification!$A:$D,2,FALSE)</f>
        <v>B2</v>
      </c>
      <c r="E39" s="50" t="str">
        <f>VLOOKUP(B39,Classification!$A:$D,2,FALSE)</f>
        <v>B1</v>
      </c>
      <c r="F39" s="15" t="str">
        <f>VLOOKUP(C39,Classification!$A:$D,2,FALSE)</f>
        <v>B1</v>
      </c>
      <c r="G39" s="15" t="b">
        <f t="shared" si="0"/>
        <v>1</v>
      </c>
      <c r="J39" s="3"/>
    </row>
    <row r="40" spans="1:10" x14ac:dyDescent="0.2">
      <c r="A40" t="s">
        <v>442</v>
      </c>
      <c r="B40" s="1" t="s">
        <v>38</v>
      </c>
      <c r="C40" t="s">
        <v>38</v>
      </c>
      <c r="D40" s="28" t="str">
        <f>VLOOKUP(A40,Classification!$A:$D,2,FALSE)</f>
        <v>B2</v>
      </c>
      <c r="E40" s="50" t="str">
        <f>VLOOKUP(B40,Classification!$A:$D,2,FALSE)</f>
        <v>B1</v>
      </c>
      <c r="F40" s="15" t="str">
        <f>VLOOKUP(C40,Classification!$A:$D,2,FALSE)</f>
        <v>B1</v>
      </c>
      <c r="G40" s="15" t="b">
        <f t="shared" si="0"/>
        <v>1</v>
      </c>
      <c r="J40" s="3"/>
    </row>
    <row r="41" spans="1:10" x14ac:dyDescent="0.2">
      <c r="A41" t="s">
        <v>1177</v>
      </c>
      <c r="B41" s="1" t="s">
        <v>38</v>
      </c>
      <c r="C41" t="s">
        <v>38</v>
      </c>
      <c r="D41" s="28" t="str">
        <f>VLOOKUP(A41,Classification!$A:$D,2,FALSE)</f>
        <v>B2</v>
      </c>
      <c r="E41" s="50" t="str">
        <f>VLOOKUP(B41,Classification!$A:$D,2,FALSE)</f>
        <v>B1</v>
      </c>
      <c r="F41" s="15" t="str">
        <f>VLOOKUP(C41,Classification!$A:$D,2,FALSE)</f>
        <v>B1</v>
      </c>
      <c r="G41" s="15" t="b">
        <f t="shared" si="0"/>
        <v>1</v>
      </c>
      <c r="J41" s="3"/>
    </row>
    <row r="42" spans="1:10" x14ac:dyDescent="0.2">
      <c r="A42" t="s">
        <v>1178</v>
      </c>
      <c r="B42" s="1" t="s">
        <v>38</v>
      </c>
      <c r="C42" t="s">
        <v>38</v>
      </c>
      <c r="D42" s="28" t="str">
        <f>VLOOKUP(A42,Classification!$A:$D,2,FALSE)</f>
        <v>B2</v>
      </c>
      <c r="E42" s="50" t="str">
        <f>VLOOKUP(B42,Classification!$A:$D,2,FALSE)</f>
        <v>B1</v>
      </c>
      <c r="F42" s="15" t="str">
        <f>VLOOKUP(C42,Classification!$A:$D,2,FALSE)</f>
        <v>B1</v>
      </c>
      <c r="G42" s="15" t="b">
        <f t="shared" si="0"/>
        <v>1</v>
      </c>
      <c r="J42" s="3"/>
    </row>
    <row r="43" spans="1:10" x14ac:dyDescent="0.2">
      <c r="A43" t="s">
        <v>1179</v>
      </c>
      <c r="B43" s="1" t="s">
        <v>38</v>
      </c>
      <c r="C43" t="s">
        <v>38</v>
      </c>
      <c r="D43" s="28" t="str">
        <f>VLOOKUP(A43,Classification!$A:$D,2,FALSE)</f>
        <v>B2</v>
      </c>
      <c r="E43" s="50" t="str">
        <f>VLOOKUP(B43,Classification!$A:$D,2,FALSE)</f>
        <v>B1</v>
      </c>
      <c r="F43" s="15" t="str">
        <f>VLOOKUP(C43,Classification!$A:$D,2,FALSE)</f>
        <v>B1</v>
      </c>
      <c r="G43" s="15" t="b">
        <f t="shared" si="0"/>
        <v>1</v>
      </c>
      <c r="J43" s="3"/>
    </row>
    <row r="44" spans="1:10" x14ac:dyDescent="0.2">
      <c r="A44" t="s">
        <v>418</v>
      </c>
      <c r="B44" s="1" t="s">
        <v>401</v>
      </c>
      <c r="C44" t="s">
        <v>38</v>
      </c>
      <c r="D44" s="28" t="str">
        <f>VLOOKUP(A44,Classification!$A:$D,2,FALSE)</f>
        <v>B2</v>
      </c>
      <c r="E44" s="50" t="str">
        <f>VLOOKUP(B44,Classification!$A:$D,2,FALSE)</f>
        <v>B1</v>
      </c>
      <c r="F44" s="15" t="str">
        <f>VLOOKUP(C44,Classification!$A:$D,2,FALSE)</f>
        <v>B1</v>
      </c>
      <c r="G44" s="15" t="b">
        <f t="shared" si="0"/>
        <v>1</v>
      </c>
      <c r="J44" s="3"/>
    </row>
    <row r="45" spans="1:10" x14ac:dyDescent="0.2">
      <c r="A45" t="s">
        <v>419</v>
      </c>
      <c r="B45" s="1" t="s">
        <v>401</v>
      </c>
      <c r="C45" t="s">
        <v>38</v>
      </c>
      <c r="D45" s="28" t="str">
        <f>VLOOKUP(A45,Classification!$A:$D,2,FALSE)</f>
        <v>B2</v>
      </c>
      <c r="E45" s="50" t="str">
        <f>VLOOKUP(B45,Classification!$A:$D,2,FALSE)</f>
        <v>B1</v>
      </c>
      <c r="F45" s="15" t="str">
        <f>VLOOKUP(C45,Classification!$A:$D,2,FALSE)</f>
        <v>B1</v>
      </c>
      <c r="G45" s="15" t="b">
        <f t="shared" si="0"/>
        <v>1</v>
      </c>
      <c r="J45" s="3"/>
    </row>
    <row r="46" spans="1:10" x14ac:dyDescent="0.2">
      <c r="A46" t="s">
        <v>1201</v>
      </c>
      <c r="B46" s="1" t="s">
        <v>38</v>
      </c>
      <c r="C46" t="s">
        <v>38</v>
      </c>
      <c r="D46" s="28" t="str">
        <f>VLOOKUP(A46,Classification!$A:$D,2,FALSE)</f>
        <v>B2</v>
      </c>
      <c r="E46" s="50" t="str">
        <f>VLOOKUP(B46,Classification!$A:$D,2,FALSE)</f>
        <v>B1</v>
      </c>
      <c r="F46" s="15" t="str">
        <f>VLOOKUP(C46,Classification!$A:$D,2,FALSE)</f>
        <v>B1</v>
      </c>
      <c r="G46" s="15" t="b">
        <f t="shared" si="0"/>
        <v>1</v>
      </c>
      <c r="J46" s="3"/>
    </row>
    <row r="47" spans="1:10" x14ac:dyDescent="0.2">
      <c r="A47" t="s">
        <v>1200</v>
      </c>
      <c r="B47" s="1" t="s">
        <v>401</v>
      </c>
      <c r="C47" t="s">
        <v>38</v>
      </c>
      <c r="D47" s="28" t="str">
        <f>VLOOKUP(A47,Classification!$A:$D,2,FALSE)</f>
        <v>B2</v>
      </c>
      <c r="E47" s="50" t="str">
        <f>VLOOKUP(B47,Classification!$A:$D,2,FALSE)</f>
        <v>B1</v>
      </c>
      <c r="F47" s="15" t="str">
        <f>VLOOKUP(C47,Classification!$A:$D,2,FALSE)</f>
        <v>B1</v>
      </c>
      <c r="G47" s="15" t="b">
        <f t="shared" si="0"/>
        <v>1</v>
      </c>
      <c r="J47" s="3"/>
    </row>
    <row r="48" spans="1:10" x14ac:dyDescent="0.2">
      <c r="A48" t="s">
        <v>1181</v>
      </c>
      <c r="B48" s="1" t="s">
        <v>38</v>
      </c>
      <c r="C48" t="s">
        <v>38</v>
      </c>
      <c r="D48" s="28" t="str">
        <f>VLOOKUP(A48,Classification!$A:$D,2,FALSE)</f>
        <v>B2</v>
      </c>
      <c r="E48" s="50" t="str">
        <f>VLOOKUP(B48,Classification!$A:$D,2,FALSE)</f>
        <v>B1</v>
      </c>
      <c r="F48" s="15" t="str">
        <f>VLOOKUP(C48,Classification!$A:$D,2,FALSE)</f>
        <v>B1</v>
      </c>
      <c r="G48" s="15" t="b">
        <f t="shared" si="0"/>
        <v>1</v>
      </c>
      <c r="J48" s="3"/>
    </row>
    <row r="49" spans="1:10" x14ac:dyDescent="0.2">
      <c r="A49" t="s">
        <v>1199</v>
      </c>
      <c r="B49" s="1" t="s">
        <v>401</v>
      </c>
      <c r="C49" t="s">
        <v>38</v>
      </c>
      <c r="D49" s="28" t="str">
        <f>VLOOKUP(A49,Classification!$A:$D,2,FALSE)</f>
        <v>B2</v>
      </c>
      <c r="E49" s="50" t="str">
        <f>VLOOKUP(B49,Classification!$A:$D,2,FALSE)</f>
        <v>B1</v>
      </c>
      <c r="F49" s="15" t="str">
        <f>VLOOKUP(C49,Classification!$A:$D,2,FALSE)</f>
        <v>B1</v>
      </c>
      <c r="G49" s="15" t="b">
        <f t="shared" si="0"/>
        <v>1</v>
      </c>
      <c r="J49" s="3"/>
    </row>
    <row r="50" spans="1:10" x14ac:dyDescent="0.2">
      <c r="A50" t="s">
        <v>1180</v>
      </c>
      <c r="B50" s="1" t="s">
        <v>38</v>
      </c>
      <c r="C50" t="s">
        <v>38</v>
      </c>
      <c r="D50" s="28" t="str">
        <f>VLOOKUP(A50,Classification!$A:$D,2,FALSE)</f>
        <v>B2</v>
      </c>
      <c r="E50" s="50" t="str">
        <f>VLOOKUP(B50,Classification!$A:$D,2,FALSE)</f>
        <v>B1</v>
      </c>
      <c r="F50" s="15" t="str">
        <f>VLOOKUP(C50,Classification!$A:$D,2,FALSE)</f>
        <v>B1</v>
      </c>
      <c r="G50" s="15" t="b">
        <f t="shared" si="0"/>
        <v>1</v>
      </c>
      <c r="J50" s="3"/>
    </row>
    <row r="51" spans="1:10" x14ac:dyDescent="0.2">
      <c r="A51" t="s">
        <v>414</v>
      </c>
      <c r="B51" s="1" t="s">
        <v>38</v>
      </c>
      <c r="C51" t="s">
        <v>38</v>
      </c>
      <c r="D51" s="28" t="str">
        <f>VLOOKUP(A51,Classification!$A:$D,2,FALSE)</f>
        <v>B2</v>
      </c>
      <c r="E51" s="50" t="str">
        <f>VLOOKUP(B51,Classification!$A:$D,2,FALSE)</f>
        <v>B1</v>
      </c>
      <c r="F51" s="15" t="str">
        <f>VLOOKUP(C51,Classification!$A:$D,2,FALSE)</f>
        <v>B1</v>
      </c>
      <c r="G51" s="15" t="b">
        <f t="shared" si="0"/>
        <v>1</v>
      </c>
      <c r="J51" s="3"/>
    </row>
    <row r="52" spans="1:10" x14ac:dyDescent="0.2">
      <c r="A52" t="s">
        <v>1189</v>
      </c>
      <c r="B52" s="1" t="s">
        <v>401</v>
      </c>
      <c r="C52" t="s">
        <v>38</v>
      </c>
      <c r="D52" s="28" t="str">
        <f>VLOOKUP(A52,Classification!$A:$D,2,FALSE)</f>
        <v>B2</v>
      </c>
      <c r="E52" s="50" t="str">
        <f>VLOOKUP(B52,Classification!$A:$D,2,FALSE)</f>
        <v>B1</v>
      </c>
      <c r="F52" s="15" t="str">
        <f>VLOOKUP(C52,Classification!$A:$D,2,FALSE)</f>
        <v>B1</v>
      </c>
      <c r="G52" s="15" t="b">
        <f t="shared" si="0"/>
        <v>1</v>
      </c>
      <c r="J52" s="3"/>
    </row>
    <row r="53" spans="1:10" x14ac:dyDescent="0.2">
      <c r="A53" t="s">
        <v>481</v>
      </c>
      <c r="B53" s="1" t="s">
        <v>158</v>
      </c>
      <c r="C53" t="s">
        <v>1172</v>
      </c>
      <c r="D53" s="28" t="str">
        <f>VLOOKUP(A53,Classification!$A:$D,2,FALSE)</f>
        <v>O</v>
      </c>
      <c r="E53" s="50" t="str">
        <f>VLOOKUP(B53,Classification!$A:$D,2,FALSE)</f>
        <v>A</v>
      </c>
      <c r="F53" s="15" t="str">
        <f>VLOOKUP(C53,Classification!$A:$D,2,FALSE)</f>
        <v>A</v>
      </c>
      <c r="G53" s="15" t="b">
        <f t="shared" si="0"/>
        <v>1</v>
      </c>
      <c r="J53" s="3"/>
    </row>
    <row r="54" spans="1:10" x14ac:dyDescent="0.2">
      <c r="A54" t="s">
        <v>484</v>
      </c>
      <c r="B54" s="1" t="s">
        <v>336</v>
      </c>
      <c r="C54" t="s">
        <v>1172</v>
      </c>
      <c r="D54" s="28" t="str">
        <f>VLOOKUP(A54,Classification!$A:$D,2,FALSE)</f>
        <v>O</v>
      </c>
      <c r="E54" s="50" t="str">
        <f>VLOOKUP(B54,Classification!$A:$D,2,FALSE)</f>
        <v>A</v>
      </c>
      <c r="F54" s="15" t="str">
        <f>VLOOKUP(C54,Classification!$A:$D,2,FALSE)</f>
        <v>A</v>
      </c>
      <c r="G54" s="15" t="b">
        <f t="shared" si="0"/>
        <v>1</v>
      </c>
      <c r="J54" s="3"/>
    </row>
    <row r="55" spans="1:10" x14ac:dyDescent="0.2">
      <c r="A55" t="s">
        <v>417</v>
      </c>
      <c r="B55" s="1" t="s">
        <v>406</v>
      </c>
      <c r="C55" t="s">
        <v>32</v>
      </c>
      <c r="D55" s="28" t="str">
        <f>VLOOKUP(A55,Classification!$A:$D,2,FALSE)</f>
        <v>B2</v>
      </c>
      <c r="E55" s="50" t="str">
        <f>VLOOKUP(B55,Classification!$A:$D,2,FALSE)</f>
        <v>B1</v>
      </c>
      <c r="F55" s="15" t="str">
        <f>VLOOKUP(C55,Classification!$A:$D,2,FALSE)</f>
        <v>B1</v>
      </c>
      <c r="G55" s="15" t="b">
        <f t="shared" si="0"/>
        <v>1</v>
      </c>
      <c r="J55" s="3"/>
    </row>
    <row r="56" spans="1:10" x14ac:dyDescent="0.2">
      <c r="A56" t="s">
        <v>420</v>
      </c>
      <c r="B56" s="1" t="s">
        <v>38</v>
      </c>
      <c r="C56" t="s">
        <v>32</v>
      </c>
      <c r="D56" s="28" t="str">
        <f>VLOOKUP(A56,Classification!$A:$D,2,FALSE)</f>
        <v>B2</v>
      </c>
      <c r="E56" s="50" t="str">
        <f>VLOOKUP(B56,Classification!$A:$D,2,FALSE)</f>
        <v>B1</v>
      </c>
      <c r="F56" s="15" t="str">
        <f>VLOOKUP(C56,Classification!$A:$D,2,FALSE)</f>
        <v>B1</v>
      </c>
      <c r="G56" s="15" t="b">
        <f t="shared" si="0"/>
        <v>1</v>
      </c>
      <c r="J56" s="3"/>
    </row>
    <row r="57" spans="1:10" x14ac:dyDescent="0.2">
      <c r="A57" t="s">
        <v>486</v>
      </c>
      <c r="B57" s="1" t="s">
        <v>35</v>
      </c>
      <c r="C57" t="s">
        <v>40</v>
      </c>
      <c r="D57" s="28" t="str">
        <f>VLOOKUP(A57,Classification!$A:$D,2,FALSE)</f>
        <v>O</v>
      </c>
      <c r="E57" s="50" t="str">
        <f>VLOOKUP(B57,Classification!$A:$D,2,FALSE)</f>
        <v>A</v>
      </c>
      <c r="F57" s="15" t="str">
        <f>VLOOKUP(C57,Classification!$A:$D,2,FALSE)</f>
        <v>C</v>
      </c>
      <c r="G57" s="15" t="b">
        <f t="shared" si="0"/>
        <v>1</v>
      </c>
      <c r="J57" s="3"/>
    </row>
    <row r="58" spans="1:10" x14ac:dyDescent="0.2">
      <c r="A58" t="s">
        <v>466</v>
      </c>
      <c r="B58" s="1" t="s">
        <v>1172</v>
      </c>
      <c r="C58" t="s">
        <v>918</v>
      </c>
      <c r="D58" s="28" t="str">
        <f>VLOOKUP(A58,Classification!$A:$D,2,FALSE)</f>
        <v>T</v>
      </c>
      <c r="E58" s="50" t="str">
        <f>VLOOKUP(B58,Classification!$A:$D,2,FALSE)</f>
        <v>A</v>
      </c>
      <c r="F58" s="15" t="str">
        <f>VLOOKUP(C58,Classification!$A:$D,2,FALSE)</f>
        <v>A</v>
      </c>
      <c r="G58" s="15" t="b">
        <f t="shared" si="0"/>
        <v>1</v>
      </c>
      <c r="J58" s="3"/>
    </row>
    <row r="59" spans="1:10" x14ac:dyDescent="0.2">
      <c r="A59" t="s">
        <v>474</v>
      </c>
      <c r="B59" s="1" t="s">
        <v>1172</v>
      </c>
      <c r="C59" t="s">
        <v>339</v>
      </c>
      <c r="D59" s="28" t="str">
        <f>VLOOKUP(A59,Classification!$A:$D,2,FALSE)</f>
        <v>T</v>
      </c>
      <c r="E59" s="50" t="str">
        <f>VLOOKUP(B59,Classification!$A:$D,2,FALSE)</f>
        <v>A</v>
      </c>
      <c r="F59" s="15" t="str">
        <f>VLOOKUP(C59,Classification!$A:$D,2,FALSE)</f>
        <v>A</v>
      </c>
      <c r="G59" s="15" t="b">
        <f t="shared" si="0"/>
        <v>1</v>
      </c>
      <c r="J59" s="3"/>
    </row>
    <row r="60" spans="1:10" x14ac:dyDescent="0.2">
      <c r="A60" t="s">
        <v>459</v>
      </c>
      <c r="B60" s="1" t="s">
        <v>1172</v>
      </c>
      <c r="C60" t="s">
        <v>1176</v>
      </c>
      <c r="D60" s="28" t="str">
        <f>VLOOKUP(A60,Classification!$A:$D,2,FALSE)</f>
        <v>T</v>
      </c>
      <c r="E60" s="50" t="str">
        <f>VLOOKUP(B60,Classification!$A:$D,2,FALSE)</f>
        <v>A</v>
      </c>
      <c r="F60" s="15" t="str">
        <f>VLOOKUP(C60,Classification!$A:$D,2,FALSE)</f>
        <v>A</v>
      </c>
      <c r="G60" s="15" t="b">
        <f t="shared" si="0"/>
        <v>1</v>
      </c>
      <c r="J60" s="3"/>
    </row>
    <row r="61" spans="1:10" x14ac:dyDescent="0.2">
      <c r="A61" t="s">
        <v>458</v>
      </c>
      <c r="B61" s="1" t="s">
        <v>160</v>
      </c>
      <c r="C61" t="s">
        <v>345</v>
      </c>
      <c r="D61" s="28" t="str">
        <f>VLOOKUP(A61,Classification!$A:$D,2,FALSE)</f>
        <v>T</v>
      </c>
      <c r="E61" s="50" t="str">
        <f>VLOOKUP(B61,Classification!$A:$D,2,FALSE)</f>
        <v>A</v>
      </c>
      <c r="F61" s="15" t="str">
        <f>VLOOKUP(C61,Classification!$A:$D,2,FALSE)</f>
        <v>A</v>
      </c>
      <c r="G61" s="15" t="b">
        <f t="shared" si="0"/>
        <v>1</v>
      </c>
      <c r="J61" s="3"/>
    </row>
    <row r="62" spans="1:10" x14ac:dyDescent="0.2">
      <c r="A62" t="s">
        <v>482</v>
      </c>
      <c r="B62" s="1" t="s">
        <v>177</v>
      </c>
      <c r="C62" t="s">
        <v>352</v>
      </c>
      <c r="D62" s="28" t="str">
        <f>VLOOKUP(A62,Classification!$A:$D,2,FALSE)</f>
        <v>O</v>
      </c>
      <c r="E62" s="50" t="str">
        <f>VLOOKUP(B62,Classification!$A:$D,2,FALSE)</f>
        <v>A</v>
      </c>
      <c r="F62" s="15" t="str">
        <f>VLOOKUP(C62,Classification!$A:$D,2,FALSE)</f>
        <v>A</v>
      </c>
      <c r="G62" s="15" t="b">
        <f t="shared" si="0"/>
        <v>1</v>
      </c>
      <c r="J62" s="3"/>
    </row>
    <row r="63" spans="1:10" x14ac:dyDescent="0.2">
      <c r="A63" t="s">
        <v>456</v>
      </c>
      <c r="B63" s="1" t="s">
        <v>139</v>
      </c>
      <c r="C63" t="s">
        <v>104</v>
      </c>
      <c r="D63" s="28" t="str">
        <f>VLOOKUP(A63,Classification!$A:$D,2,FALSE)</f>
        <v>T</v>
      </c>
      <c r="E63" s="50" t="str">
        <f>VLOOKUP(B63,Classification!$A:$D,2,FALSE)</f>
        <v>A</v>
      </c>
      <c r="F63" s="15" t="str">
        <f>VLOOKUP(C63,Classification!$A:$D,2,FALSE)</f>
        <v>A</v>
      </c>
      <c r="G63" s="15" t="b">
        <f t="shared" si="0"/>
        <v>1</v>
      </c>
      <c r="J63" s="3"/>
    </row>
    <row r="64" spans="1:10" x14ac:dyDescent="0.2">
      <c r="A64" t="s">
        <v>477</v>
      </c>
      <c r="B64" s="1" t="s">
        <v>278</v>
      </c>
      <c r="C64" t="s">
        <v>924</v>
      </c>
      <c r="D64" s="28" t="str">
        <f>VLOOKUP(A64,Classification!$A:$D,2,FALSE)</f>
        <v>T</v>
      </c>
      <c r="E64" s="50" t="str">
        <f>VLOOKUP(B64,Classification!$A:$D,2,FALSE)</f>
        <v>A</v>
      </c>
      <c r="F64" s="15" t="str">
        <f>VLOOKUP(C64,Classification!$A:$D,2,FALSE)</f>
        <v>A</v>
      </c>
      <c r="G64" s="15" t="b">
        <f t="shared" si="0"/>
        <v>1</v>
      </c>
      <c r="J64" s="3"/>
    </row>
    <row r="65" spans="1:10" x14ac:dyDescent="0.2">
      <c r="A65" t="s">
        <v>131</v>
      </c>
      <c r="B65" s="1" t="s">
        <v>34</v>
      </c>
      <c r="C65" t="s">
        <v>34</v>
      </c>
      <c r="D65" s="28" t="str">
        <f>VLOOKUP(A65,Classification!$A:$D,2,FALSE)</f>
        <v>A</v>
      </c>
      <c r="E65" s="50" t="str">
        <f>VLOOKUP(B65,Classification!$A:$D,2,FALSE)</f>
        <v>A</v>
      </c>
      <c r="F65" s="15" t="str">
        <f>VLOOKUP(C65,Classification!$A:$D,2,FALSE)</f>
        <v>A</v>
      </c>
      <c r="G65" s="15" t="b">
        <f t="shared" si="0"/>
        <v>1</v>
      </c>
      <c r="J65" s="3"/>
    </row>
    <row r="66" spans="1:10" x14ac:dyDescent="0.2">
      <c r="A66" t="s">
        <v>135</v>
      </c>
      <c r="B66" s="1" t="s">
        <v>34</v>
      </c>
      <c r="C66" t="s">
        <v>34</v>
      </c>
      <c r="D66" s="28" t="str">
        <f>VLOOKUP(A66,Classification!$A:$D,2,FALSE)</f>
        <v>A</v>
      </c>
      <c r="E66" s="50" t="str">
        <f>VLOOKUP(B66,Classification!$A:$D,2,FALSE)</f>
        <v>A</v>
      </c>
      <c r="F66" s="15" t="str">
        <f>VLOOKUP(C66,Classification!$A:$D,2,FALSE)</f>
        <v>A</v>
      </c>
      <c r="G66" s="15" t="b">
        <f t="shared" si="0"/>
        <v>1</v>
      </c>
      <c r="J66" s="3"/>
    </row>
    <row r="67" spans="1:10" x14ac:dyDescent="0.2">
      <c r="A67" t="s">
        <v>130</v>
      </c>
      <c r="B67" s="1" t="s">
        <v>34</v>
      </c>
      <c r="C67" t="s">
        <v>34</v>
      </c>
      <c r="D67" s="28" t="str">
        <f>VLOOKUP(A67,Classification!$A:$D,2,FALSE)</f>
        <v>A</v>
      </c>
      <c r="E67" s="50" t="str">
        <f>VLOOKUP(B67,Classification!$A:$D,2,FALSE)</f>
        <v>A</v>
      </c>
      <c r="F67" s="15" t="str">
        <f>VLOOKUP(C67,Classification!$A:$D,2,FALSE)</f>
        <v>A</v>
      </c>
      <c r="G67" s="15" t="b">
        <f t="shared" ref="G67:G130" si="1">OR(D67=F67,AND(D67="T",F67="A"),AND(D67="B2",F67="B1"),D67="O")</f>
        <v>1</v>
      </c>
      <c r="J67" s="3"/>
    </row>
    <row r="68" spans="1:10" x14ac:dyDescent="0.2">
      <c r="A68" t="s">
        <v>129</v>
      </c>
      <c r="B68" s="1" t="s">
        <v>34</v>
      </c>
      <c r="C68" t="s">
        <v>34</v>
      </c>
      <c r="D68" s="28" t="str">
        <f>VLOOKUP(A68,Classification!$A:$D,2,FALSE)</f>
        <v>A</v>
      </c>
      <c r="E68" s="50" t="str">
        <f>VLOOKUP(B68,Classification!$A:$D,2,FALSE)</f>
        <v>A</v>
      </c>
      <c r="F68" s="15" t="str">
        <f>VLOOKUP(C68,Classification!$A:$D,2,FALSE)</f>
        <v>A</v>
      </c>
      <c r="G68" s="15" t="b">
        <f t="shared" si="1"/>
        <v>1</v>
      </c>
      <c r="J68" s="3"/>
    </row>
    <row r="69" spans="1:10" x14ac:dyDescent="0.2">
      <c r="A69" t="s">
        <v>34</v>
      </c>
      <c r="B69" s="1" t="s">
        <v>34</v>
      </c>
      <c r="C69" t="s">
        <v>34</v>
      </c>
      <c r="D69" s="28" t="str">
        <f>VLOOKUP(A69,Classification!$A:$D,2,FALSE)</f>
        <v>A</v>
      </c>
      <c r="E69" s="50" t="str">
        <f>VLOOKUP(B69,Classification!$A:$D,2,FALSE)</f>
        <v>A</v>
      </c>
      <c r="F69" s="15" t="str">
        <f>VLOOKUP(C69,Classification!$A:$D,2,FALSE)</f>
        <v>A</v>
      </c>
      <c r="G69" s="15" t="b">
        <f t="shared" si="1"/>
        <v>1</v>
      </c>
      <c r="J69" s="3"/>
    </row>
    <row r="70" spans="1:10" x14ac:dyDescent="0.2">
      <c r="A70" t="s">
        <v>128</v>
      </c>
      <c r="B70" s="1" t="s">
        <v>34</v>
      </c>
      <c r="C70" t="s">
        <v>34</v>
      </c>
      <c r="D70" s="28" t="str">
        <f>VLOOKUP(A70,Classification!$A:$D,2,FALSE)</f>
        <v>A</v>
      </c>
      <c r="E70" s="50" t="str">
        <f>VLOOKUP(B70,Classification!$A:$D,2,FALSE)</f>
        <v>A</v>
      </c>
      <c r="F70" s="15" t="str">
        <f>VLOOKUP(C70,Classification!$A:$D,2,FALSE)</f>
        <v>A</v>
      </c>
      <c r="G70" s="15" t="b">
        <f t="shared" si="1"/>
        <v>1</v>
      </c>
      <c r="J70" s="3"/>
    </row>
    <row r="71" spans="1:10" x14ac:dyDescent="0.2">
      <c r="A71" t="s">
        <v>155</v>
      </c>
      <c r="B71" s="1" t="s">
        <v>192</v>
      </c>
      <c r="C71" t="s">
        <v>34</v>
      </c>
      <c r="D71" s="28" t="str">
        <f>VLOOKUP(A71,Classification!$A:$D,2,FALSE)</f>
        <v>A</v>
      </c>
      <c r="E71" s="50" t="str">
        <f>VLOOKUP(B71,Classification!$A:$D,2,FALSE)</f>
        <v>A</v>
      </c>
      <c r="F71" s="15" t="str">
        <f>VLOOKUP(C71,Classification!$A:$D,2,FALSE)</f>
        <v>A</v>
      </c>
      <c r="G71" s="15" t="b">
        <f t="shared" si="1"/>
        <v>1</v>
      </c>
      <c r="J71" s="3"/>
    </row>
    <row r="72" spans="1:10" x14ac:dyDescent="0.2">
      <c r="A72" t="s">
        <v>157</v>
      </c>
      <c r="B72" s="1" t="s">
        <v>192</v>
      </c>
      <c r="C72" t="s">
        <v>34</v>
      </c>
      <c r="D72" s="28" t="str">
        <f>VLOOKUP(A72,Classification!$A:$D,2,FALSE)</f>
        <v>A</v>
      </c>
      <c r="E72" s="50" t="str">
        <f>VLOOKUP(B72,Classification!$A:$D,2,FALSE)</f>
        <v>A</v>
      </c>
      <c r="F72" s="15" t="str">
        <f>VLOOKUP(C72,Classification!$A:$D,2,FALSE)</f>
        <v>A</v>
      </c>
      <c r="G72" s="15" t="b">
        <f t="shared" si="1"/>
        <v>1</v>
      </c>
      <c r="J72" s="3"/>
    </row>
    <row r="73" spans="1:10" x14ac:dyDescent="0.2">
      <c r="A73" t="s">
        <v>392</v>
      </c>
      <c r="B73" s="1" t="s">
        <v>34</v>
      </c>
      <c r="C73" t="s">
        <v>34</v>
      </c>
      <c r="D73" s="28" t="str">
        <f>VLOOKUP(A73,Classification!$A:$D,2,FALSE)</f>
        <v>A</v>
      </c>
      <c r="E73" s="50" t="str">
        <f>VLOOKUP(B73,Classification!$A:$D,2,FALSE)</f>
        <v>A</v>
      </c>
      <c r="F73" s="15" t="str">
        <f>VLOOKUP(C73,Classification!$A:$D,2,FALSE)</f>
        <v>A</v>
      </c>
      <c r="G73" s="15" t="b">
        <f t="shared" si="1"/>
        <v>1</v>
      </c>
      <c r="J73" s="3"/>
    </row>
    <row r="74" spans="1:10" x14ac:dyDescent="0.2">
      <c r="A74" t="s">
        <v>390</v>
      </c>
      <c r="B74" s="1" t="s">
        <v>34</v>
      </c>
      <c r="C74" t="s">
        <v>34</v>
      </c>
      <c r="D74" s="28" t="str">
        <f>VLOOKUP(A74,Classification!$A:$D,2,FALSE)</f>
        <v>A</v>
      </c>
      <c r="E74" s="50" t="str">
        <f>VLOOKUP(B74,Classification!$A:$D,2,FALSE)</f>
        <v>A</v>
      </c>
      <c r="F74" s="15" t="str">
        <f>VLOOKUP(C74,Classification!$A:$D,2,FALSE)</f>
        <v>A</v>
      </c>
      <c r="G74" s="15" t="b">
        <f t="shared" si="1"/>
        <v>1</v>
      </c>
      <c r="J74" s="3"/>
    </row>
    <row r="75" spans="1:10" x14ac:dyDescent="0.2">
      <c r="A75" t="s">
        <v>389</v>
      </c>
      <c r="B75" s="1" t="s">
        <v>126</v>
      </c>
      <c r="C75" t="s">
        <v>34</v>
      </c>
      <c r="D75" s="28" t="str">
        <f>VLOOKUP(A75,Classification!$A:$D,2,FALSE)</f>
        <v>A</v>
      </c>
      <c r="E75" s="50" t="str">
        <f>VLOOKUP(B75,Classification!$A:$D,2,FALSE)</f>
        <v>A</v>
      </c>
      <c r="F75" s="15" t="str">
        <f>VLOOKUP(C75,Classification!$A:$D,2,FALSE)</f>
        <v>A</v>
      </c>
      <c r="G75" s="15" t="b">
        <f t="shared" si="1"/>
        <v>1</v>
      </c>
      <c r="J75" s="3"/>
    </row>
    <row r="76" spans="1:10" x14ac:dyDescent="0.2">
      <c r="A76" t="s">
        <v>391</v>
      </c>
      <c r="B76" s="1" t="s">
        <v>34</v>
      </c>
      <c r="C76" t="s">
        <v>34</v>
      </c>
      <c r="D76" s="28" t="str">
        <f>VLOOKUP(A76,Classification!$A:$D,2,FALSE)</f>
        <v>A</v>
      </c>
      <c r="E76" s="50" t="str">
        <f>VLOOKUP(B76,Classification!$A:$D,2,FALSE)</f>
        <v>A</v>
      </c>
      <c r="F76" s="15" t="str">
        <f>VLOOKUP(C76,Classification!$A:$D,2,FALSE)</f>
        <v>A</v>
      </c>
      <c r="G76" s="15" t="b">
        <f t="shared" si="1"/>
        <v>1</v>
      </c>
      <c r="J76" s="3"/>
    </row>
    <row r="77" spans="1:10" x14ac:dyDescent="0.2">
      <c r="A77" t="s">
        <v>220</v>
      </c>
      <c r="B77" s="1" t="s">
        <v>34</v>
      </c>
      <c r="C77" t="s">
        <v>34</v>
      </c>
      <c r="D77" s="28" t="str">
        <f>VLOOKUP(A77,Classification!$A:$D,2,FALSE)</f>
        <v>A</v>
      </c>
      <c r="E77" s="50" t="str">
        <f>VLOOKUP(B77,Classification!$A:$D,2,FALSE)</f>
        <v>A</v>
      </c>
      <c r="F77" s="15" t="str">
        <f>VLOOKUP(C77,Classification!$A:$D,2,FALSE)</f>
        <v>A</v>
      </c>
      <c r="G77" s="15" t="b">
        <f t="shared" si="1"/>
        <v>1</v>
      </c>
      <c r="J77" s="3"/>
    </row>
    <row r="78" spans="1:10" x14ac:dyDescent="0.2">
      <c r="A78" t="s">
        <v>388</v>
      </c>
      <c r="B78" s="1" t="s">
        <v>126</v>
      </c>
      <c r="C78" t="s">
        <v>34</v>
      </c>
      <c r="D78" s="28" t="str">
        <f>VLOOKUP(A78,Classification!$A:$D,2,FALSE)</f>
        <v>A</v>
      </c>
      <c r="E78" s="50" t="str">
        <f>VLOOKUP(B78,Classification!$A:$D,2,FALSE)</f>
        <v>A</v>
      </c>
      <c r="F78" s="15" t="str">
        <f>VLOOKUP(C78,Classification!$A:$D,2,FALSE)</f>
        <v>A</v>
      </c>
      <c r="G78" s="15" t="b">
        <f t="shared" si="1"/>
        <v>1</v>
      </c>
      <c r="J78" s="3"/>
    </row>
    <row r="79" spans="1:10" x14ac:dyDescent="0.2">
      <c r="A79" t="s">
        <v>393</v>
      </c>
      <c r="B79" s="1" t="s">
        <v>34</v>
      </c>
      <c r="C79" t="s">
        <v>34</v>
      </c>
      <c r="D79" s="28" t="str">
        <f>VLOOKUP(A79,Classification!$A:$D,2,FALSE)</f>
        <v>A</v>
      </c>
      <c r="E79" s="50" t="str">
        <f>VLOOKUP(B79,Classification!$A:$D,2,FALSE)</f>
        <v>A</v>
      </c>
      <c r="F79" s="15" t="str">
        <f>VLOOKUP(C79,Classification!$A:$D,2,FALSE)</f>
        <v>A</v>
      </c>
      <c r="G79" s="15" t="b">
        <f t="shared" si="1"/>
        <v>1</v>
      </c>
      <c r="J79" s="3"/>
    </row>
    <row r="80" spans="1:10" x14ac:dyDescent="0.2">
      <c r="A80" t="s">
        <v>265</v>
      </c>
      <c r="B80" s="1" t="s">
        <v>35</v>
      </c>
      <c r="C80" t="s">
        <v>34</v>
      </c>
      <c r="D80" s="28" t="str">
        <f>VLOOKUP(A80,Classification!$A:$D,2,FALSE)</f>
        <v>A</v>
      </c>
      <c r="E80" s="50" t="str">
        <f>VLOOKUP(B80,Classification!$A:$D,2,FALSE)</f>
        <v>A</v>
      </c>
      <c r="F80" s="15" t="str">
        <f>VLOOKUP(C80,Classification!$A:$D,2,FALSE)</f>
        <v>A</v>
      </c>
      <c r="G80" s="15" t="b">
        <f t="shared" si="1"/>
        <v>1</v>
      </c>
      <c r="J80" s="3"/>
    </row>
    <row r="81" spans="1:10" x14ac:dyDescent="0.2">
      <c r="A81" t="s">
        <v>137</v>
      </c>
      <c r="B81" s="1" t="s">
        <v>34</v>
      </c>
      <c r="C81" t="s">
        <v>34</v>
      </c>
      <c r="D81" s="28" t="str">
        <f>VLOOKUP(A81,Classification!$A:$D,2,FALSE)</f>
        <v>A</v>
      </c>
      <c r="E81" s="50" t="str">
        <f>VLOOKUP(B81,Classification!$A:$D,2,FALSE)</f>
        <v>A</v>
      </c>
      <c r="F81" s="15" t="str">
        <f>VLOOKUP(C81,Classification!$A:$D,2,FALSE)</f>
        <v>A</v>
      </c>
      <c r="G81" s="15" t="b">
        <f t="shared" si="1"/>
        <v>1</v>
      </c>
      <c r="J81" s="3"/>
    </row>
    <row r="82" spans="1:10" x14ac:dyDescent="0.2">
      <c r="A82" t="s">
        <v>152</v>
      </c>
      <c r="B82" s="1" t="s">
        <v>34</v>
      </c>
      <c r="C82" t="s">
        <v>34</v>
      </c>
      <c r="D82" s="28" t="str">
        <f>VLOOKUP(A82,Classification!$A:$D,2,FALSE)</f>
        <v>A</v>
      </c>
      <c r="E82" s="50" t="str">
        <f>VLOOKUP(B82,Classification!$A:$D,2,FALSE)</f>
        <v>A</v>
      </c>
      <c r="F82" s="15" t="str">
        <f>VLOOKUP(C82,Classification!$A:$D,2,FALSE)</f>
        <v>A</v>
      </c>
      <c r="G82" s="15" t="b">
        <f t="shared" si="1"/>
        <v>1</v>
      </c>
      <c r="J82" s="3"/>
    </row>
    <row r="83" spans="1:10" x14ac:dyDescent="0.2">
      <c r="A83" t="s">
        <v>227</v>
      </c>
      <c r="B83" s="1" t="s">
        <v>34</v>
      </c>
      <c r="C83" t="s">
        <v>34</v>
      </c>
      <c r="D83" s="28" t="str">
        <f>VLOOKUP(A83,Classification!$A:$D,2,FALSE)</f>
        <v>A</v>
      </c>
      <c r="E83" s="50" t="str">
        <f>VLOOKUP(B83,Classification!$A:$D,2,FALSE)</f>
        <v>A</v>
      </c>
      <c r="F83" s="15" t="str">
        <f>VLOOKUP(C83,Classification!$A:$D,2,FALSE)</f>
        <v>A</v>
      </c>
      <c r="G83" s="15" t="b">
        <f t="shared" si="1"/>
        <v>1</v>
      </c>
      <c r="J83" s="3"/>
    </row>
    <row r="84" spans="1:10" x14ac:dyDescent="0.2">
      <c r="A84" t="s">
        <v>271</v>
      </c>
      <c r="B84" s="1" t="s">
        <v>1175</v>
      </c>
      <c r="C84" t="s">
        <v>35</v>
      </c>
      <c r="D84" s="28" t="str">
        <f>VLOOKUP(A84,Classification!$A:$D,2,FALSE)</f>
        <v>A</v>
      </c>
      <c r="E84" s="50" t="str">
        <f>VLOOKUP(B84,Classification!$A:$D,2,FALSE)</f>
        <v>A</v>
      </c>
      <c r="F84" s="15" t="str">
        <f>VLOOKUP(C84,Classification!$A:$D,2,FALSE)</f>
        <v>A</v>
      </c>
      <c r="G84" s="15" t="b">
        <f t="shared" si="1"/>
        <v>1</v>
      </c>
      <c r="J84" s="3"/>
    </row>
    <row r="85" spans="1:10" x14ac:dyDescent="0.2">
      <c r="A85" t="s">
        <v>230</v>
      </c>
      <c r="B85" s="1" t="s">
        <v>1175</v>
      </c>
      <c r="C85" t="s">
        <v>35</v>
      </c>
      <c r="D85" s="28" t="str">
        <f>VLOOKUP(A85,Classification!$A:$D,2,FALSE)</f>
        <v>A</v>
      </c>
      <c r="E85" s="50" t="str">
        <f>VLOOKUP(B85,Classification!$A:$D,2,FALSE)</f>
        <v>A</v>
      </c>
      <c r="F85" s="15" t="str">
        <f>VLOOKUP(C85,Classification!$A:$D,2,FALSE)</f>
        <v>A</v>
      </c>
      <c r="G85" s="15" t="b">
        <f t="shared" si="1"/>
        <v>1</v>
      </c>
      <c r="J85" s="3"/>
    </row>
    <row r="86" spans="1:10" x14ac:dyDescent="0.2">
      <c r="A86" t="s">
        <v>248</v>
      </c>
      <c r="B86" s="1" t="s">
        <v>1175</v>
      </c>
      <c r="C86" t="s">
        <v>35</v>
      </c>
      <c r="D86" s="28" t="str">
        <f>VLOOKUP(A86,Classification!$A:$D,2,FALSE)</f>
        <v>A</v>
      </c>
      <c r="E86" s="50" t="str">
        <f>VLOOKUP(B86,Classification!$A:$D,2,FALSE)</f>
        <v>A</v>
      </c>
      <c r="F86" s="15" t="str">
        <f>VLOOKUP(C86,Classification!$A:$D,2,FALSE)</f>
        <v>A</v>
      </c>
      <c r="G86" s="15" t="b">
        <f t="shared" si="1"/>
        <v>1</v>
      </c>
      <c r="J86" s="3"/>
    </row>
    <row r="87" spans="1:10" x14ac:dyDescent="0.2">
      <c r="A87" t="s">
        <v>133</v>
      </c>
      <c r="B87" s="1" t="s">
        <v>35</v>
      </c>
      <c r="C87" t="s">
        <v>35</v>
      </c>
      <c r="D87" s="28" t="str">
        <f>VLOOKUP(A87,Classification!$A:$D,2,FALSE)</f>
        <v>A</v>
      </c>
      <c r="E87" s="50" t="str">
        <f>VLOOKUP(B87,Classification!$A:$D,2,FALSE)</f>
        <v>A</v>
      </c>
      <c r="F87" s="15" t="str">
        <f>VLOOKUP(C87,Classification!$A:$D,2,FALSE)</f>
        <v>A</v>
      </c>
      <c r="G87" s="15" t="b">
        <f t="shared" si="1"/>
        <v>1</v>
      </c>
      <c r="J87" s="3"/>
    </row>
    <row r="88" spans="1:10" x14ac:dyDescent="0.2">
      <c r="A88" t="s">
        <v>132</v>
      </c>
      <c r="B88" s="1" t="s">
        <v>35</v>
      </c>
      <c r="C88" t="s">
        <v>35</v>
      </c>
      <c r="D88" s="28" t="str">
        <f>VLOOKUP(A88,Classification!$A:$D,2,FALSE)</f>
        <v>A</v>
      </c>
      <c r="E88" s="50" t="str">
        <f>VLOOKUP(B88,Classification!$A:$D,2,FALSE)</f>
        <v>A</v>
      </c>
      <c r="F88" s="15" t="str">
        <f>VLOOKUP(C88,Classification!$A:$D,2,FALSE)</f>
        <v>A</v>
      </c>
      <c r="G88" s="15" t="b">
        <f t="shared" si="1"/>
        <v>1</v>
      </c>
      <c r="J88" s="3"/>
    </row>
    <row r="89" spans="1:10" x14ac:dyDescent="0.2">
      <c r="A89" t="s">
        <v>35</v>
      </c>
      <c r="B89" s="1" t="s">
        <v>35</v>
      </c>
      <c r="C89" t="s">
        <v>35</v>
      </c>
      <c r="D89" s="28" t="str">
        <f>VLOOKUP(A89,Classification!$A:$D,2,FALSE)</f>
        <v>A</v>
      </c>
      <c r="E89" s="50" t="str">
        <f>VLOOKUP(B89,Classification!$A:$D,2,FALSE)</f>
        <v>A</v>
      </c>
      <c r="F89" s="15" t="str">
        <f>VLOOKUP(C89,Classification!$A:$D,2,FALSE)</f>
        <v>A</v>
      </c>
      <c r="G89" s="15" t="b">
        <f t="shared" si="1"/>
        <v>1</v>
      </c>
      <c r="J89" s="3"/>
    </row>
    <row r="90" spans="1:10" x14ac:dyDescent="0.2">
      <c r="A90" t="s">
        <v>298</v>
      </c>
      <c r="B90" s="1" t="s">
        <v>103</v>
      </c>
      <c r="C90" t="s">
        <v>139</v>
      </c>
      <c r="D90" s="28" t="str">
        <f>VLOOKUP(A90,Classification!$A:$D,2,FALSE)</f>
        <v>A</v>
      </c>
      <c r="E90" s="50" t="str">
        <f>VLOOKUP(B90,Classification!$A:$D,2,FALSE)</f>
        <v>A</v>
      </c>
      <c r="F90" s="15" t="str">
        <f>VLOOKUP(C90,Classification!$A:$D,2,FALSE)</f>
        <v>A</v>
      </c>
      <c r="G90" s="15" t="b">
        <f t="shared" si="1"/>
        <v>1</v>
      </c>
      <c r="J90" s="3"/>
    </row>
    <row r="91" spans="1:10" x14ac:dyDescent="0.2">
      <c r="A91" t="s">
        <v>141</v>
      </c>
      <c r="B91" s="1" t="s">
        <v>138</v>
      </c>
      <c r="C91" t="s">
        <v>138</v>
      </c>
      <c r="D91" s="28" t="str">
        <f>VLOOKUP(A91,Classification!$A:$D,2,FALSE)</f>
        <v>A</v>
      </c>
      <c r="E91" s="50" t="str">
        <f>VLOOKUP(B91,Classification!$A:$D,2,FALSE)</f>
        <v>A</v>
      </c>
      <c r="F91" s="15" t="str">
        <f>VLOOKUP(C91,Classification!$A:$D,2,FALSE)</f>
        <v>A</v>
      </c>
      <c r="G91" s="15" t="b">
        <f t="shared" si="1"/>
        <v>1</v>
      </c>
      <c r="J91" s="3"/>
    </row>
    <row r="92" spans="1:10" x14ac:dyDescent="0.2">
      <c r="A92" t="s">
        <v>138</v>
      </c>
      <c r="B92" s="1" t="s">
        <v>138</v>
      </c>
      <c r="C92" t="s">
        <v>138</v>
      </c>
      <c r="D92" s="28" t="str">
        <f>VLOOKUP(A92,Classification!$A:$D,2,FALSE)</f>
        <v>A</v>
      </c>
      <c r="E92" s="50" t="str">
        <f>VLOOKUP(B92,Classification!$A:$D,2,FALSE)</f>
        <v>A</v>
      </c>
      <c r="F92" s="15" t="str">
        <f>VLOOKUP(C92,Classification!$A:$D,2,FALSE)</f>
        <v>A</v>
      </c>
      <c r="G92" s="15" t="b">
        <f t="shared" si="1"/>
        <v>1</v>
      </c>
      <c r="J92" s="3"/>
    </row>
    <row r="93" spans="1:10" x14ac:dyDescent="0.2">
      <c r="A93" t="s">
        <v>140</v>
      </c>
      <c r="B93" s="1" t="s">
        <v>139</v>
      </c>
      <c r="C93" t="s">
        <v>139</v>
      </c>
      <c r="D93" s="28" t="str">
        <f>VLOOKUP(A93,Classification!$A:$D,2,FALSE)</f>
        <v>A</v>
      </c>
      <c r="E93" s="50" t="str">
        <f>VLOOKUP(B93,Classification!$A:$D,2,FALSE)</f>
        <v>A</v>
      </c>
      <c r="F93" s="15" t="str">
        <f>VLOOKUP(C93,Classification!$A:$D,2,FALSE)</f>
        <v>A</v>
      </c>
      <c r="G93" s="15" t="b">
        <f t="shared" si="1"/>
        <v>1</v>
      </c>
      <c r="J93" s="3"/>
    </row>
    <row r="94" spans="1:10" x14ac:dyDescent="0.2">
      <c r="A94" t="s">
        <v>361</v>
      </c>
      <c r="B94" s="1" t="s">
        <v>182</v>
      </c>
      <c r="C94" t="s">
        <v>139</v>
      </c>
      <c r="D94" s="28" t="str">
        <f>VLOOKUP(A94,Classification!$A:$D,2,FALSE)</f>
        <v>A</v>
      </c>
      <c r="E94" s="50" t="str">
        <f>VLOOKUP(B94,Classification!$A:$D,2,FALSE)</f>
        <v>A</v>
      </c>
      <c r="F94" s="15" t="str">
        <f>VLOOKUP(C94,Classification!$A:$D,2,FALSE)</f>
        <v>A</v>
      </c>
      <c r="G94" s="15" t="b">
        <f t="shared" si="1"/>
        <v>1</v>
      </c>
      <c r="J94" s="3"/>
    </row>
    <row r="95" spans="1:10" x14ac:dyDescent="0.2">
      <c r="A95" t="s">
        <v>204</v>
      </c>
      <c r="B95" s="1" t="s">
        <v>139</v>
      </c>
      <c r="C95" t="s">
        <v>139</v>
      </c>
      <c r="D95" s="28" t="str">
        <f>VLOOKUP(A95,Classification!$A:$D,2,FALSE)</f>
        <v>A</v>
      </c>
      <c r="E95" s="50" t="str">
        <f>VLOOKUP(B95,Classification!$A:$D,2,FALSE)</f>
        <v>A</v>
      </c>
      <c r="F95" s="15" t="str">
        <f>VLOOKUP(C95,Classification!$A:$D,2,FALSE)</f>
        <v>A</v>
      </c>
      <c r="G95" s="15" t="b">
        <f t="shared" si="1"/>
        <v>1</v>
      </c>
      <c r="J95" s="3"/>
    </row>
    <row r="96" spans="1:10" x14ac:dyDescent="0.2">
      <c r="A96" t="s">
        <v>291</v>
      </c>
      <c r="B96" s="1" t="s">
        <v>278</v>
      </c>
      <c r="C96" t="s">
        <v>139</v>
      </c>
      <c r="D96" s="28" t="str">
        <f>VLOOKUP(A96,Classification!$A:$D,2,FALSE)</f>
        <v>A</v>
      </c>
      <c r="E96" s="50" t="str">
        <f>VLOOKUP(B96,Classification!$A:$D,2,FALSE)</f>
        <v>A</v>
      </c>
      <c r="F96" s="15" t="str">
        <f>VLOOKUP(C96,Classification!$A:$D,2,FALSE)</f>
        <v>A</v>
      </c>
      <c r="G96" s="15" t="b">
        <f t="shared" si="1"/>
        <v>1</v>
      </c>
      <c r="J96" s="3"/>
    </row>
    <row r="97" spans="1:10" x14ac:dyDescent="0.2">
      <c r="A97" t="s">
        <v>395</v>
      </c>
      <c r="B97" s="1" t="s">
        <v>139</v>
      </c>
      <c r="C97" t="s">
        <v>139</v>
      </c>
      <c r="D97" s="28" t="str">
        <f>VLOOKUP(A97,Classification!$A:$D,2,FALSE)</f>
        <v>A</v>
      </c>
      <c r="E97" s="50" t="str">
        <f>VLOOKUP(B97,Classification!$A:$D,2,FALSE)</f>
        <v>A</v>
      </c>
      <c r="F97" s="15" t="str">
        <f>VLOOKUP(C97,Classification!$A:$D,2,FALSE)</f>
        <v>A</v>
      </c>
      <c r="G97" s="15" t="b">
        <f t="shared" si="1"/>
        <v>1</v>
      </c>
      <c r="J97" s="3"/>
    </row>
    <row r="98" spans="1:10" x14ac:dyDescent="0.2">
      <c r="A98" t="s">
        <v>284</v>
      </c>
      <c r="B98" s="1" t="s">
        <v>139</v>
      </c>
      <c r="C98" t="s">
        <v>139</v>
      </c>
      <c r="D98" s="28" t="str">
        <f>VLOOKUP(A98,Classification!$A:$D,2,FALSE)</f>
        <v>A</v>
      </c>
      <c r="E98" s="50" t="str">
        <f>VLOOKUP(B98,Classification!$A:$D,2,FALSE)</f>
        <v>A</v>
      </c>
      <c r="F98" s="15" t="str">
        <f>VLOOKUP(C98,Classification!$A:$D,2,FALSE)</f>
        <v>A</v>
      </c>
      <c r="G98" s="15" t="b">
        <f t="shared" si="1"/>
        <v>1</v>
      </c>
      <c r="J98" s="3"/>
    </row>
    <row r="99" spans="1:10" x14ac:dyDescent="0.2">
      <c r="A99" t="s">
        <v>139</v>
      </c>
      <c r="B99" s="1" t="s">
        <v>139</v>
      </c>
      <c r="C99" t="s">
        <v>139</v>
      </c>
      <c r="D99" s="28" t="str">
        <f>VLOOKUP(A99,Classification!$A:$D,2,FALSE)</f>
        <v>A</v>
      </c>
      <c r="E99" s="50" t="str">
        <f>VLOOKUP(B99,Classification!$A:$D,2,FALSE)</f>
        <v>A</v>
      </c>
      <c r="F99" s="15" t="str">
        <f>VLOOKUP(C99,Classification!$A:$D,2,FALSE)</f>
        <v>A</v>
      </c>
      <c r="G99" s="15" t="b">
        <f t="shared" si="1"/>
        <v>1</v>
      </c>
      <c r="J99" s="3"/>
    </row>
    <row r="100" spans="1:10" x14ac:dyDescent="0.2">
      <c r="A100" t="s">
        <v>280</v>
      </c>
      <c r="B100" s="1" t="s">
        <v>278</v>
      </c>
      <c r="C100" t="s">
        <v>146</v>
      </c>
      <c r="D100" s="28" t="str">
        <f>VLOOKUP(A100,Classification!$A:$D,2,FALSE)</f>
        <v>A</v>
      </c>
      <c r="E100" s="50" t="str">
        <f>VLOOKUP(B100,Classification!$A:$D,2,FALSE)</f>
        <v>A</v>
      </c>
      <c r="F100" s="15" t="str">
        <f>VLOOKUP(C100,Classification!$A:$D,2,FALSE)</f>
        <v>A</v>
      </c>
      <c r="G100" s="15" t="b">
        <f t="shared" si="1"/>
        <v>1</v>
      </c>
      <c r="J100" s="3"/>
    </row>
    <row r="101" spans="1:10" x14ac:dyDescent="0.2">
      <c r="A101" t="s">
        <v>146</v>
      </c>
      <c r="B101" s="1" t="s">
        <v>146</v>
      </c>
      <c r="C101" t="s">
        <v>146</v>
      </c>
      <c r="D101" s="28" t="str">
        <f>VLOOKUP(A101,Classification!$A:$D,2,FALSE)</f>
        <v>A</v>
      </c>
      <c r="E101" s="50" t="str">
        <f>VLOOKUP(B101,Classification!$A:$D,2,FALSE)</f>
        <v>A</v>
      </c>
      <c r="F101" s="15" t="str">
        <f>VLOOKUP(C101,Classification!$A:$D,2,FALSE)</f>
        <v>A</v>
      </c>
      <c r="G101" s="15" t="b">
        <f t="shared" si="1"/>
        <v>1</v>
      </c>
      <c r="J101" s="3"/>
    </row>
    <row r="102" spans="1:10" x14ac:dyDescent="0.2">
      <c r="A102" t="s">
        <v>235</v>
      </c>
      <c r="B102" s="1" t="s">
        <v>103</v>
      </c>
      <c r="C102" t="s">
        <v>146</v>
      </c>
      <c r="D102" s="28" t="str">
        <f>VLOOKUP(A102,Classification!$A:$D,2,FALSE)</f>
        <v>A</v>
      </c>
      <c r="E102" s="50" t="str">
        <f>VLOOKUP(B102,Classification!$A:$D,2,FALSE)</f>
        <v>A</v>
      </c>
      <c r="F102" s="15" t="str">
        <f>VLOOKUP(C102,Classification!$A:$D,2,FALSE)</f>
        <v>A</v>
      </c>
      <c r="G102" s="15" t="b">
        <f t="shared" si="1"/>
        <v>1</v>
      </c>
      <c r="J102" s="3"/>
    </row>
    <row r="103" spans="1:10" x14ac:dyDescent="0.2">
      <c r="A103" t="s">
        <v>147</v>
      </c>
      <c r="B103" s="1" t="s">
        <v>147</v>
      </c>
      <c r="C103" t="s">
        <v>147</v>
      </c>
      <c r="D103" s="28" t="str">
        <f>VLOOKUP(A103,Classification!$A:$D,2,FALSE)</f>
        <v>A</v>
      </c>
      <c r="E103" s="50" t="str">
        <f>VLOOKUP(B103,Classification!$A:$D,2,FALSE)</f>
        <v>A</v>
      </c>
      <c r="F103" s="15" t="str">
        <f>VLOOKUP(C103,Classification!$A:$D,2,FALSE)</f>
        <v>A</v>
      </c>
      <c r="G103" s="15" t="b">
        <f t="shared" si="1"/>
        <v>1</v>
      </c>
      <c r="J103" s="3"/>
    </row>
    <row r="104" spans="1:10" x14ac:dyDescent="0.2">
      <c r="A104" t="s">
        <v>281</v>
      </c>
      <c r="B104" s="1" t="s">
        <v>910</v>
      </c>
      <c r="C104" t="s">
        <v>910</v>
      </c>
      <c r="D104" s="28" t="str">
        <f>VLOOKUP(A104,Classification!$A:$D,2,FALSE)</f>
        <v>A</v>
      </c>
      <c r="E104" s="50" t="str">
        <f>VLOOKUP(B104,Classification!$A:$D,2,FALSE)</f>
        <v>A</v>
      </c>
      <c r="F104" s="15" t="str">
        <f>VLOOKUP(C104,Classification!$A:$D,2,FALSE)</f>
        <v>A</v>
      </c>
      <c r="G104" s="15" t="b">
        <f t="shared" si="1"/>
        <v>1</v>
      </c>
      <c r="J104" s="3"/>
    </row>
    <row r="105" spans="1:10" x14ac:dyDescent="0.2">
      <c r="A105" t="s">
        <v>150</v>
      </c>
      <c r="B105" s="1" t="s">
        <v>910</v>
      </c>
      <c r="C105" t="s">
        <v>910</v>
      </c>
      <c r="D105" s="28" t="str">
        <f>VLOOKUP(A105,Classification!$A:$D,2,FALSE)</f>
        <v>A</v>
      </c>
      <c r="E105" s="50" t="str">
        <f>VLOOKUP(B105,Classification!$A:$D,2,FALSE)</f>
        <v>A</v>
      </c>
      <c r="F105" s="15" t="str">
        <f>VLOOKUP(C105,Classification!$A:$D,2,FALSE)</f>
        <v>A</v>
      </c>
      <c r="G105" s="15" t="b">
        <f t="shared" si="1"/>
        <v>1</v>
      </c>
      <c r="J105" s="3"/>
    </row>
    <row r="106" spans="1:10" x14ac:dyDescent="0.2">
      <c r="A106" t="s">
        <v>910</v>
      </c>
      <c r="B106" s="1" t="s">
        <v>910</v>
      </c>
      <c r="C106" t="s">
        <v>910</v>
      </c>
      <c r="D106" s="28" t="str">
        <f>VLOOKUP(A106,Classification!$A:$D,2,FALSE)</f>
        <v>A</v>
      </c>
      <c r="E106" s="50" t="str">
        <f>VLOOKUP(B106,Classification!$A:$D,2,FALSE)</f>
        <v>A</v>
      </c>
      <c r="F106" s="15" t="str">
        <f>VLOOKUP(C106,Classification!$A:$D,2,FALSE)</f>
        <v>A</v>
      </c>
      <c r="G106" s="15" t="b">
        <f t="shared" si="1"/>
        <v>1</v>
      </c>
      <c r="J106" s="3"/>
    </row>
    <row r="107" spans="1:10" x14ac:dyDescent="0.2">
      <c r="A107" t="s">
        <v>148</v>
      </c>
      <c r="B107" s="1" t="s">
        <v>910</v>
      </c>
      <c r="C107" t="s">
        <v>910</v>
      </c>
      <c r="D107" s="28" t="str">
        <f>VLOOKUP(A107,Classification!$A:$D,2,FALSE)</f>
        <v>A</v>
      </c>
      <c r="E107" s="50" t="str">
        <f>VLOOKUP(B107,Classification!$A:$D,2,FALSE)</f>
        <v>A</v>
      </c>
      <c r="F107" s="15" t="str">
        <f>VLOOKUP(C107,Classification!$A:$D,2,FALSE)</f>
        <v>A</v>
      </c>
      <c r="G107" s="15" t="b">
        <f t="shared" si="1"/>
        <v>1</v>
      </c>
      <c r="J107" s="3"/>
    </row>
    <row r="108" spans="1:10" x14ac:dyDescent="0.2">
      <c r="A108" t="s">
        <v>149</v>
      </c>
      <c r="B108" s="1" t="s">
        <v>149</v>
      </c>
      <c r="C108" t="s">
        <v>149</v>
      </c>
      <c r="D108" s="28" t="str">
        <f>VLOOKUP(A108,Classification!$A:$D,2,FALSE)</f>
        <v>A</v>
      </c>
      <c r="E108" s="50" t="str">
        <f>VLOOKUP(B108,Classification!$A:$D,2,FALSE)</f>
        <v>A</v>
      </c>
      <c r="F108" s="15" t="str">
        <f>VLOOKUP(C108,Classification!$A:$D,2,FALSE)</f>
        <v>A</v>
      </c>
      <c r="G108" s="15" t="b">
        <f t="shared" si="1"/>
        <v>1</v>
      </c>
      <c r="J108" s="3"/>
    </row>
    <row r="109" spans="1:10" x14ac:dyDescent="0.2">
      <c r="A109" t="s">
        <v>228</v>
      </c>
      <c r="B109" s="1" t="s">
        <v>1176</v>
      </c>
      <c r="C109" t="s">
        <v>149</v>
      </c>
      <c r="D109" s="28" t="str">
        <f>VLOOKUP(A109,Classification!$A:$D,2,FALSE)</f>
        <v>A</v>
      </c>
      <c r="E109" s="50" t="str">
        <f>VLOOKUP(B109,Classification!$A:$D,2,FALSE)</f>
        <v>A</v>
      </c>
      <c r="F109" s="15" t="str">
        <f>VLOOKUP(C109,Classification!$A:$D,2,FALSE)</f>
        <v>A</v>
      </c>
      <c r="G109" s="15" t="b">
        <f t="shared" si="1"/>
        <v>1</v>
      </c>
      <c r="J109" s="3"/>
    </row>
    <row r="110" spans="1:10" x14ac:dyDescent="0.2">
      <c r="A110" t="s">
        <v>387</v>
      </c>
      <c r="B110" s="1" t="s">
        <v>34</v>
      </c>
      <c r="C110" t="s">
        <v>912</v>
      </c>
      <c r="D110" s="28" t="str">
        <f>VLOOKUP(A110,Classification!$A:$D,2,FALSE)</f>
        <v>A</v>
      </c>
      <c r="E110" s="50" t="str">
        <f>VLOOKUP(B110,Classification!$A:$D,2,FALSE)</f>
        <v>A</v>
      </c>
      <c r="F110" s="15" t="str">
        <f>VLOOKUP(C110,Classification!$A:$D,2,FALSE)</f>
        <v>A</v>
      </c>
      <c r="G110" s="15" t="b">
        <f t="shared" si="1"/>
        <v>1</v>
      </c>
      <c r="J110" s="3"/>
    </row>
    <row r="111" spans="1:10" x14ac:dyDescent="0.2">
      <c r="A111" t="s">
        <v>259</v>
      </c>
      <c r="B111" s="1" t="s">
        <v>34</v>
      </c>
      <c r="C111" t="s">
        <v>912</v>
      </c>
      <c r="D111" s="28" t="str">
        <f>VLOOKUP(A111,Classification!$A:$D,2,FALSE)</f>
        <v>A</v>
      </c>
      <c r="E111" s="50" t="str">
        <f>VLOOKUP(B111,Classification!$A:$D,2,FALSE)</f>
        <v>A</v>
      </c>
      <c r="F111" s="15" t="str">
        <f>VLOOKUP(C111,Classification!$A:$D,2,FALSE)</f>
        <v>A</v>
      </c>
      <c r="G111" s="15" t="b">
        <f t="shared" si="1"/>
        <v>1</v>
      </c>
      <c r="J111" s="3"/>
    </row>
    <row r="112" spans="1:10" x14ac:dyDescent="0.2">
      <c r="A112" t="s">
        <v>212</v>
      </c>
      <c r="B112" s="1" t="s">
        <v>173</v>
      </c>
      <c r="C112" t="s">
        <v>912</v>
      </c>
      <c r="D112" s="28" t="str">
        <f>VLOOKUP(A112,Classification!$A:$D,2,FALSE)</f>
        <v>A</v>
      </c>
      <c r="E112" s="50" t="str">
        <f>VLOOKUP(B112,Classification!$A:$D,2,FALSE)</f>
        <v>A</v>
      </c>
      <c r="F112" s="15" t="str">
        <f>VLOOKUP(C112,Classification!$A:$D,2,FALSE)</f>
        <v>A</v>
      </c>
      <c r="G112" s="15" t="b">
        <f t="shared" si="1"/>
        <v>1</v>
      </c>
      <c r="J112" s="3"/>
    </row>
    <row r="113" spans="1:10" x14ac:dyDescent="0.2">
      <c r="A113" t="s">
        <v>311</v>
      </c>
      <c r="B113" s="1" t="s">
        <v>1176</v>
      </c>
      <c r="C113" t="s">
        <v>912</v>
      </c>
      <c r="D113" s="28" t="str">
        <f>VLOOKUP(A113,Classification!$A:$D,2,FALSE)</f>
        <v>A</v>
      </c>
      <c r="E113" s="50" t="str">
        <f>VLOOKUP(B113,Classification!$A:$D,2,FALSE)</f>
        <v>A</v>
      </c>
      <c r="F113" s="15" t="str">
        <f>VLOOKUP(C113,Classification!$A:$D,2,FALSE)</f>
        <v>A</v>
      </c>
      <c r="G113" s="15" t="b">
        <f t="shared" si="1"/>
        <v>1</v>
      </c>
      <c r="J113" s="3"/>
    </row>
    <row r="114" spans="1:10" x14ac:dyDescent="0.2">
      <c r="A114" t="s">
        <v>102</v>
      </c>
      <c r="B114" s="1" t="s">
        <v>126</v>
      </c>
      <c r="C114" t="s">
        <v>912</v>
      </c>
      <c r="D114" s="28" t="str">
        <f>VLOOKUP(A114,Classification!$A:$D,2,FALSE)</f>
        <v>A</v>
      </c>
      <c r="E114" s="50" t="str">
        <f>VLOOKUP(B114,Classification!$A:$D,2,FALSE)</f>
        <v>A</v>
      </c>
      <c r="F114" s="15" t="str">
        <f>VLOOKUP(C114,Classification!$A:$D,2,FALSE)</f>
        <v>A</v>
      </c>
      <c r="G114" s="15" t="b">
        <f t="shared" si="1"/>
        <v>1</v>
      </c>
      <c r="J114" s="3"/>
    </row>
    <row r="115" spans="1:10" x14ac:dyDescent="0.2">
      <c r="A115" t="s">
        <v>376</v>
      </c>
      <c r="B115" s="1" t="s">
        <v>138</v>
      </c>
      <c r="C115" t="s">
        <v>912</v>
      </c>
      <c r="D115" s="28" t="str">
        <f>VLOOKUP(A115,Classification!$A:$D,2,FALSE)</f>
        <v>A</v>
      </c>
      <c r="E115" s="50" t="str">
        <f>VLOOKUP(B115,Classification!$A:$D,2,FALSE)</f>
        <v>A</v>
      </c>
      <c r="F115" s="15" t="str">
        <f>VLOOKUP(C115,Classification!$A:$D,2,FALSE)</f>
        <v>A</v>
      </c>
      <c r="G115" s="15" t="b">
        <f t="shared" si="1"/>
        <v>1</v>
      </c>
      <c r="J115" s="3"/>
    </row>
    <row r="116" spans="1:10" x14ac:dyDescent="0.2">
      <c r="A116" t="s">
        <v>279</v>
      </c>
      <c r="B116" s="1" t="s">
        <v>126</v>
      </c>
      <c r="C116" t="s">
        <v>912</v>
      </c>
      <c r="D116" s="28" t="str">
        <f>VLOOKUP(A116,Classification!$A:$D,2,FALSE)</f>
        <v>A</v>
      </c>
      <c r="E116" s="50" t="str">
        <f>VLOOKUP(B116,Classification!$A:$D,2,FALSE)</f>
        <v>A</v>
      </c>
      <c r="F116" s="15" t="str">
        <f>VLOOKUP(C116,Classification!$A:$D,2,FALSE)</f>
        <v>A</v>
      </c>
      <c r="G116" s="15" t="b">
        <f t="shared" si="1"/>
        <v>1</v>
      </c>
      <c r="J116" s="3"/>
    </row>
    <row r="117" spans="1:10" x14ac:dyDescent="0.2">
      <c r="A117" t="s">
        <v>134</v>
      </c>
      <c r="B117" s="1" t="s">
        <v>126</v>
      </c>
      <c r="C117" t="s">
        <v>912</v>
      </c>
      <c r="D117" s="28" t="str">
        <f>VLOOKUP(A117,Classification!$A:$D,2,FALSE)</f>
        <v>A</v>
      </c>
      <c r="E117" s="50" t="str">
        <f>VLOOKUP(B117,Classification!$A:$D,2,FALSE)</f>
        <v>A</v>
      </c>
      <c r="F117" s="15" t="str">
        <f>VLOOKUP(C117,Classification!$A:$D,2,FALSE)</f>
        <v>A</v>
      </c>
      <c r="G117" s="15" t="b">
        <f t="shared" si="1"/>
        <v>1</v>
      </c>
      <c r="J117" s="3"/>
    </row>
    <row r="118" spans="1:10" x14ac:dyDescent="0.2">
      <c r="A118" t="s">
        <v>125</v>
      </c>
      <c r="B118" s="1" t="s">
        <v>126</v>
      </c>
      <c r="C118" t="s">
        <v>912</v>
      </c>
      <c r="D118" s="28" t="str">
        <f>VLOOKUP(A118,Classification!$A:$D,2,FALSE)</f>
        <v>A</v>
      </c>
      <c r="E118" s="50" t="str">
        <f>VLOOKUP(B118,Classification!$A:$D,2,FALSE)</f>
        <v>A</v>
      </c>
      <c r="F118" s="15" t="str">
        <f>VLOOKUP(C118,Classification!$A:$D,2,FALSE)</f>
        <v>A</v>
      </c>
      <c r="G118" s="15" t="b">
        <f t="shared" si="1"/>
        <v>1</v>
      </c>
      <c r="J118" s="3"/>
    </row>
    <row r="119" spans="1:10" x14ac:dyDescent="0.2">
      <c r="A119" t="s">
        <v>190</v>
      </c>
      <c r="B119" s="1" t="s">
        <v>126</v>
      </c>
      <c r="C119" t="s">
        <v>912</v>
      </c>
      <c r="D119" s="28" t="str">
        <f>VLOOKUP(A119,Classification!$A:$D,2,FALSE)</f>
        <v>A</v>
      </c>
      <c r="E119" s="50" t="str">
        <f>VLOOKUP(B119,Classification!$A:$D,2,FALSE)</f>
        <v>A</v>
      </c>
      <c r="F119" s="15" t="str">
        <f>VLOOKUP(C119,Classification!$A:$D,2,FALSE)</f>
        <v>A</v>
      </c>
      <c r="G119" s="15" t="b">
        <f t="shared" si="1"/>
        <v>1</v>
      </c>
      <c r="J119" s="3"/>
    </row>
    <row r="120" spans="1:10" x14ac:dyDescent="0.2">
      <c r="A120" t="s">
        <v>194</v>
      </c>
      <c r="B120" s="1" t="s">
        <v>126</v>
      </c>
      <c r="C120" t="s">
        <v>912</v>
      </c>
      <c r="D120" s="28" t="str">
        <f>VLOOKUP(A120,Classification!$A:$D,2,FALSE)</f>
        <v>A</v>
      </c>
      <c r="E120" s="50" t="str">
        <f>VLOOKUP(B120,Classification!$A:$D,2,FALSE)</f>
        <v>A</v>
      </c>
      <c r="F120" s="15" t="str">
        <f>VLOOKUP(C120,Classification!$A:$D,2,FALSE)</f>
        <v>A</v>
      </c>
      <c r="G120" s="15" t="b">
        <f t="shared" si="1"/>
        <v>1</v>
      </c>
      <c r="J120" s="3"/>
    </row>
    <row r="121" spans="1:10" x14ac:dyDescent="0.2">
      <c r="A121" t="s">
        <v>136</v>
      </c>
      <c r="B121" s="1" t="s">
        <v>35</v>
      </c>
      <c r="C121" t="s">
        <v>912</v>
      </c>
      <c r="D121" s="28" t="str">
        <f>VLOOKUP(A121,Classification!$A:$D,2,FALSE)</f>
        <v>A</v>
      </c>
      <c r="E121" s="50" t="str">
        <f>VLOOKUP(B121,Classification!$A:$D,2,FALSE)</f>
        <v>A</v>
      </c>
      <c r="F121" s="15" t="str">
        <f>VLOOKUP(C121,Classification!$A:$D,2,FALSE)</f>
        <v>A</v>
      </c>
      <c r="G121" s="15" t="b">
        <f t="shared" si="1"/>
        <v>1</v>
      </c>
      <c r="J121" s="3"/>
    </row>
    <row r="122" spans="1:10" x14ac:dyDescent="0.2">
      <c r="A122" t="s">
        <v>912</v>
      </c>
      <c r="B122" s="1" t="s">
        <v>912</v>
      </c>
      <c r="C122" t="s">
        <v>912</v>
      </c>
      <c r="D122" s="28" t="str">
        <f>VLOOKUP(A122,Classification!$A:$D,2,FALSE)</f>
        <v>A</v>
      </c>
      <c r="E122" s="50" t="str">
        <f>VLOOKUP(B122,Classification!$A:$D,2,FALSE)</f>
        <v>A</v>
      </c>
      <c r="F122" s="15" t="str">
        <f>VLOOKUP(C122,Classification!$A:$D,2,FALSE)</f>
        <v>A</v>
      </c>
      <c r="G122" s="15" t="b">
        <f t="shared" si="1"/>
        <v>1</v>
      </c>
      <c r="J122" s="3"/>
    </row>
    <row r="123" spans="1:10" x14ac:dyDescent="0.2">
      <c r="A123" t="s">
        <v>154</v>
      </c>
      <c r="B123" s="1" t="s">
        <v>126</v>
      </c>
      <c r="C123" t="s">
        <v>912</v>
      </c>
      <c r="D123" s="28" t="str">
        <f>VLOOKUP(A123,Classification!$A:$D,2,FALSE)</f>
        <v>A</v>
      </c>
      <c r="E123" s="50" t="str">
        <f>VLOOKUP(B123,Classification!$A:$D,2,FALSE)</f>
        <v>A</v>
      </c>
      <c r="F123" s="15" t="str">
        <f>VLOOKUP(C123,Classification!$A:$D,2,FALSE)</f>
        <v>A</v>
      </c>
      <c r="G123" s="15" t="b">
        <f t="shared" si="1"/>
        <v>1</v>
      </c>
      <c r="J123" s="3"/>
    </row>
    <row r="124" spans="1:10" x14ac:dyDescent="0.2">
      <c r="A124" t="s">
        <v>153</v>
      </c>
      <c r="B124" s="1" t="s">
        <v>192</v>
      </c>
      <c r="C124" t="s">
        <v>912</v>
      </c>
      <c r="D124" s="28" t="str">
        <f>VLOOKUP(A124,Classification!$A:$D,2,FALSE)</f>
        <v>A</v>
      </c>
      <c r="E124" s="50" t="str">
        <f>VLOOKUP(B124,Classification!$A:$D,2,FALSE)</f>
        <v>A</v>
      </c>
      <c r="F124" s="15" t="str">
        <f>VLOOKUP(C124,Classification!$A:$D,2,FALSE)</f>
        <v>A</v>
      </c>
      <c r="G124" s="15" t="b">
        <f t="shared" si="1"/>
        <v>1</v>
      </c>
      <c r="J124" s="3"/>
    </row>
    <row r="125" spans="1:10" x14ac:dyDescent="0.2">
      <c r="A125" t="s">
        <v>375</v>
      </c>
      <c r="B125" s="1" t="s">
        <v>138</v>
      </c>
      <c r="C125" t="s">
        <v>126</v>
      </c>
      <c r="D125" s="28" t="str">
        <f>VLOOKUP(A125,Classification!$A:$D,2,FALSE)</f>
        <v>A</v>
      </c>
      <c r="E125" s="50" t="str">
        <f>VLOOKUP(B125,Classification!$A:$D,2,FALSE)</f>
        <v>A</v>
      </c>
      <c r="F125" s="15" t="str">
        <f>VLOOKUP(C125,Classification!$A:$D,2,FALSE)</f>
        <v>A</v>
      </c>
      <c r="G125" s="15" t="b">
        <f t="shared" si="1"/>
        <v>1</v>
      </c>
      <c r="J125" s="3"/>
    </row>
    <row r="126" spans="1:10" x14ac:dyDescent="0.2">
      <c r="A126" t="s">
        <v>126</v>
      </c>
      <c r="B126" s="1" t="s">
        <v>126</v>
      </c>
      <c r="C126" t="s">
        <v>126</v>
      </c>
      <c r="D126" s="28" t="str">
        <f>VLOOKUP(A126,Classification!$A:$D,2,FALSE)</f>
        <v>A</v>
      </c>
      <c r="E126" s="50" t="str">
        <f>VLOOKUP(B126,Classification!$A:$D,2,FALSE)</f>
        <v>A</v>
      </c>
      <c r="F126" s="15" t="str">
        <f>VLOOKUP(C126,Classification!$A:$D,2,FALSE)</f>
        <v>A</v>
      </c>
      <c r="G126" s="15" t="b">
        <f t="shared" si="1"/>
        <v>1</v>
      </c>
      <c r="J126" s="3"/>
    </row>
    <row r="127" spans="1:10" x14ac:dyDescent="0.2">
      <c r="A127" t="s">
        <v>252</v>
      </c>
      <c r="B127" s="1" t="s">
        <v>158</v>
      </c>
      <c r="C127" t="s">
        <v>158</v>
      </c>
      <c r="D127" s="28" t="str">
        <f>VLOOKUP(A127,Classification!$A:$D,2,FALSE)</f>
        <v>A</v>
      </c>
      <c r="E127" s="50" t="str">
        <f>VLOOKUP(B127,Classification!$A:$D,2,FALSE)</f>
        <v>A</v>
      </c>
      <c r="F127" s="15" t="str">
        <f>VLOOKUP(C127,Classification!$A:$D,2,FALSE)</f>
        <v>A</v>
      </c>
      <c r="G127" s="15" t="b">
        <f t="shared" si="1"/>
        <v>1</v>
      </c>
      <c r="J127" s="3"/>
    </row>
    <row r="128" spans="1:10" x14ac:dyDescent="0.2">
      <c r="A128" t="s">
        <v>304</v>
      </c>
      <c r="B128" s="1" t="s">
        <v>158</v>
      </c>
      <c r="C128" t="s">
        <v>158</v>
      </c>
      <c r="D128" s="28" t="str">
        <f>VLOOKUP(A128,Classification!$A:$D,2,FALSE)</f>
        <v>A</v>
      </c>
      <c r="E128" s="50" t="str">
        <f>VLOOKUP(B128,Classification!$A:$D,2,FALSE)</f>
        <v>A</v>
      </c>
      <c r="F128" s="15" t="str">
        <f>VLOOKUP(C128,Classification!$A:$D,2,FALSE)</f>
        <v>A</v>
      </c>
      <c r="G128" s="15" t="b">
        <f t="shared" si="1"/>
        <v>1</v>
      </c>
      <c r="J128" s="3"/>
    </row>
    <row r="129" spans="1:10" x14ac:dyDescent="0.2">
      <c r="A129" t="s">
        <v>161</v>
      </c>
      <c r="B129" s="1" t="s">
        <v>158</v>
      </c>
      <c r="C129" t="s">
        <v>158</v>
      </c>
      <c r="D129" s="28" t="str">
        <f>VLOOKUP(A129,Classification!$A:$D,2,FALSE)</f>
        <v>A</v>
      </c>
      <c r="E129" s="50" t="str">
        <f>VLOOKUP(B129,Classification!$A:$D,2,FALSE)</f>
        <v>A</v>
      </c>
      <c r="F129" s="15" t="str">
        <f>VLOOKUP(C129,Classification!$A:$D,2,FALSE)</f>
        <v>A</v>
      </c>
      <c r="G129" s="15" t="b">
        <f t="shared" si="1"/>
        <v>1</v>
      </c>
      <c r="J129" s="3"/>
    </row>
    <row r="130" spans="1:10" x14ac:dyDescent="0.2">
      <c r="A130" t="s">
        <v>159</v>
      </c>
      <c r="B130" s="1" t="s">
        <v>159</v>
      </c>
      <c r="C130" t="s">
        <v>159</v>
      </c>
      <c r="D130" s="28" t="str">
        <f>VLOOKUP(A130,Classification!$A:$D,2,FALSE)</f>
        <v>A</v>
      </c>
      <c r="E130" s="50" t="str">
        <f>VLOOKUP(B130,Classification!$A:$D,2,FALSE)</f>
        <v>A</v>
      </c>
      <c r="F130" s="15" t="str">
        <f>VLOOKUP(C130,Classification!$A:$D,2,FALSE)</f>
        <v>A</v>
      </c>
      <c r="G130" s="15" t="b">
        <f t="shared" si="1"/>
        <v>1</v>
      </c>
      <c r="J130" s="3"/>
    </row>
    <row r="131" spans="1:10" x14ac:dyDescent="0.2">
      <c r="A131" t="s">
        <v>144</v>
      </c>
      <c r="B131" s="1" t="s">
        <v>158</v>
      </c>
      <c r="C131" t="s">
        <v>158</v>
      </c>
      <c r="D131" s="28" t="str">
        <f>VLOOKUP(A131,Classification!$A:$D,2,FALSE)</f>
        <v>A</v>
      </c>
      <c r="E131" s="50" t="str">
        <f>VLOOKUP(B131,Classification!$A:$D,2,FALSE)</f>
        <v>A</v>
      </c>
      <c r="F131" s="15" t="str">
        <f>VLOOKUP(C131,Classification!$A:$D,2,FALSE)</f>
        <v>A</v>
      </c>
      <c r="G131" s="15" t="b">
        <f t="shared" ref="G131:G194" si="2">OR(D131=F131,AND(D131="T",F131="A"),AND(D131="B2",F131="B1"),D131="O")</f>
        <v>1</v>
      </c>
      <c r="J131" s="3"/>
    </row>
    <row r="132" spans="1:10" x14ac:dyDescent="0.2">
      <c r="A132" t="s">
        <v>165</v>
      </c>
      <c r="B132" s="1" t="s">
        <v>158</v>
      </c>
      <c r="C132" t="s">
        <v>158</v>
      </c>
      <c r="D132" s="28" t="str">
        <f>VLOOKUP(A132,Classification!$A:$D,2,FALSE)</f>
        <v>A</v>
      </c>
      <c r="E132" s="50" t="str">
        <f>VLOOKUP(B132,Classification!$A:$D,2,FALSE)</f>
        <v>A</v>
      </c>
      <c r="F132" s="15" t="str">
        <f>VLOOKUP(C132,Classification!$A:$D,2,FALSE)</f>
        <v>A</v>
      </c>
      <c r="G132" s="15" t="b">
        <f t="shared" si="2"/>
        <v>1</v>
      </c>
      <c r="J132" s="3"/>
    </row>
    <row r="133" spans="1:10" x14ac:dyDescent="0.2">
      <c r="A133" t="s">
        <v>306</v>
      </c>
      <c r="B133" s="1" t="s">
        <v>158</v>
      </c>
      <c r="C133" t="s">
        <v>158</v>
      </c>
      <c r="D133" s="28" t="str">
        <f>VLOOKUP(A133,Classification!$A:$D,2,FALSE)</f>
        <v>A</v>
      </c>
      <c r="E133" s="50" t="str">
        <f>VLOOKUP(B133,Classification!$A:$D,2,FALSE)</f>
        <v>A</v>
      </c>
      <c r="F133" s="15" t="str">
        <f>VLOOKUP(C133,Classification!$A:$D,2,FALSE)</f>
        <v>A</v>
      </c>
      <c r="G133" s="15" t="b">
        <f t="shared" si="2"/>
        <v>1</v>
      </c>
      <c r="J133" s="3"/>
    </row>
    <row r="134" spans="1:10" x14ac:dyDescent="0.2">
      <c r="A134" t="s">
        <v>237</v>
      </c>
      <c r="B134" s="1" t="s">
        <v>158</v>
      </c>
      <c r="C134" t="s">
        <v>158</v>
      </c>
      <c r="D134" s="28" t="str">
        <f>VLOOKUP(A134,Classification!$A:$D,2,FALSE)</f>
        <v>A</v>
      </c>
      <c r="E134" s="50" t="str">
        <f>VLOOKUP(B134,Classification!$A:$D,2,FALSE)</f>
        <v>A</v>
      </c>
      <c r="F134" s="15" t="str">
        <f>VLOOKUP(C134,Classification!$A:$D,2,FALSE)</f>
        <v>A</v>
      </c>
      <c r="G134" s="15" t="b">
        <f t="shared" si="2"/>
        <v>1</v>
      </c>
      <c r="J134" s="3"/>
    </row>
    <row r="135" spans="1:10" x14ac:dyDescent="0.2">
      <c r="A135" t="s">
        <v>236</v>
      </c>
      <c r="B135" s="1" t="s">
        <v>173</v>
      </c>
      <c r="C135" t="s">
        <v>158</v>
      </c>
      <c r="D135" s="28" t="str">
        <f>VLOOKUP(A135,Classification!$A:$D,2,FALSE)</f>
        <v>A</v>
      </c>
      <c r="E135" s="50" t="str">
        <f>VLOOKUP(B135,Classification!$A:$D,2,FALSE)</f>
        <v>A</v>
      </c>
      <c r="F135" s="15" t="str">
        <f>VLOOKUP(C135,Classification!$A:$D,2,FALSE)</f>
        <v>A</v>
      </c>
      <c r="G135" s="15" t="b">
        <f t="shared" si="2"/>
        <v>1</v>
      </c>
      <c r="J135" s="3"/>
    </row>
    <row r="136" spans="1:10" x14ac:dyDescent="0.2">
      <c r="A136" t="s">
        <v>246</v>
      </c>
      <c r="B136" s="1" t="s">
        <v>158</v>
      </c>
      <c r="C136" t="s">
        <v>158</v>
      </c>
      <c r="D136" s="28" t="str">
        <f>VLOOKUP(A136,Classification!$A:$D,2,FALSE)</f>
        <v>A</v>
      </c>
      <c r="E136" s="50" t="str">
        <f>VLOOKUP(B136,Classification!$A:$D,2,FALSE)</f>
        <v>A</v>
      </c>
      <c r="F136" s="15" t="str">
        <f>VLOOKUP(C136,Classification!$A:$D,2,FALSE)</f>
        <v>A</v>
      </c>
      <c r="G136" s="15" t="b">
        <f t="shared" si="2"/>
        <v>1</v>
      </c>
      <c r="J136" s="3"/>
    </row>
    <row r="137" spans="1:10" x14ac:dyDescent="0.2">
      <c r="A137" t="s">
        <v>158</v>
      </c>
      <c r="B137" s="1" t="s">
        <v>158</v>
      </c>
      <c r="C137" t="s">
        <v>158</v>
      </c>
      <c r="D137" s="28" t="str">
        <f>VLOOKUP(A137,Classification!$A:$D,2,FALSE)</f>
        <v>A</v>
      </c>
      <c r="E137" s="50" t="str">
        <f>VLOOKUP(B137,Classification!$A:$D,2,FALSE)</f>
        <v>A</v>
      </c>
      <c r="F137" s="15" t="str">
        <f>VLOOKUP(C137,Classification!$A:$D,2,FALSE)</f>
        <v>A</v>
      </c>
      <c r="G137" s="15" t="b">
        <f t="shared" si="2"/>
        <v>1</v>
      </c>
      <c r="J137" s="3"/>
    </row>
    <row r="138" spans="1:10" x14ac:dyDescent="0.2">
      <c r="A138" t="s">
        <v>181</v>
      </c>
      <c r="B138" s="1" t="s">
        <v>158</v>
      </c>
      <c r="C138" t="s">
        <v>158</v>
      </c>
      <c r="D138" s="28" t="str">
        <f>VLOOKUP(A138,Classification!$A:$D,2,FALSE)</f>
        <v>A</v>
      </c>
      <c r="E138" s="50" t="str">
        <f>VLOOKUP(B138,Classification!$A:$D,2,FALSE)</f>
        <v>A</v>
      </c>
      <c r="F138" s="15" t="str">
        <f>VLOOKUP(C138,Classification!$A:$D,2,FALSE)</f>
        <v>A</v>
      </c>
      <c r="G138" s="15" t="b">
        <f t="shared" si="2"/>
        <v>1</v>
      </c>
      <c r="J138" s="3"/>
    </row>
    <row r="139" spans="1:10" x14ac:dyDescent="0.2">
      <c r="A139" t="s">
        <v>239</v>
      </c>
      <c r="B139" s="1" t="s">
        <v>158</v>
      </c>
      <c r="C139" t="s">
        <v>158</v>
      </c>
      <c r="D139" s="28" t="str">
        <f>VLOOKUP(A139,Classification!$A:$D,2,FALSE)</f>
        <v>A</v>
      </c>
      <c r="E139" s="50" t="str">
        <f>VLOOKUP(B139,Classification!$A:$D,2,FALSE)</f>
        <v>A</v>
      </c>
      <c r="F139" s="15" t="str">
        <f>VLOOKUP(C139,Classification!$A:$D,2,FALSE)</f>
        <v>A</v>
      </c>
      <c r="G139" s="15" t="b">
        <f t="shared" si="2"/>
        <v>1</v>
      </c>
      <c r="J139" s="3"/>
    </row>
    <row r="140" spans="1:10" x14ac:dyDescent="0.2">
      <c r="A140" t="s">
        <v>162</v>
      </c>
      <c r="B140" s="1" t="s">
        <v>159</v>
      </c>
      <c r="C140" t="s">
        <v>158</v>
      </c>
      <c r="D140" s="28" t="str">
        <f>VLOOKUP(A140,Classification!$A:$D,2,FALSE)</f>
        <v>A</v>
      </c>
      <c r="E140" s="50" t="str">
        <f>VLOOKUP(B140,Classification!$A:$D,2,FALSE)</f>
        <v>A</v>
      </c>
      <c r="F140" s="15" t="str">
        <f>VLOOKUP(C140,Classification!$A:$D,2,FALSE)</f>
        <v>A</v>
      </c>
      <c r="G140" s="15" t="b">
        <f t="shared" si="2"/>
        <v>1</v>
      </c>
      <c r="J140" s="3"/>
    </row>
    <row r="141" spans="1:10" x14ac:dyDescent="0.2">
      <c r="A141" t="s">
        <v>374</v>
      </c>
      <c r="B141" s="1" t="s">
        <v>158</v>
      </c>
      <c r="C141" t="s">
        <v>158</v>
      </c>
      <c r="D141" s="28" t="str">
        <f>VLOOKUP(A141,Classification!$A:$D,2,FALSE)</f>
        <v>A</v>
      </c>
      <c r="E141" s="50" t="str">
        <f>VLOOKUP(B141,Classification!$A:$D,2,FALSE)</f>
        <v>A</v>
      </c>
      <c r="F141" s="15" t="str">
        <f>VLOOKUP(C141,Classification!$A:$D,2,FALSE)</f>
        <v>A</v>
      </c>
      <c r="G141" s="15" t="b">
        <f t="shared" si="2"/>
        <v>1</v>
      </c>
      <c r="J141" s="3"/>
    </row>
    <row r="142" spans="1:10" x14ac:dyDescent="0.2">
      <c r="A142" t="s">
        <v>292</v>
      </c>
      <c r="B142" s="1" t="s">
        <v>158</v>
      </c>
      <c r="C142" t="s">
        <v>158</v>
      </c>
      <c r="D142" s="28" t="str">
        <f>VLOOKUP(A142,Classification!$A:$D,2,FALSE)</f>
        <v>A</v>
      </c>
      <c r="E142" s="50" t="str">
        <f>VLOOKUP(B142,Classification!$A:$D,2,FALSE)</f>
        <v>A</v>
      </c>
      <c r="F142" s="15" t="str">
        <f>VLOOKUP(C142,Classification!$A:$D,2,FALSE)</f>
        <v>A</v>
      </c>
      <c r="G142" s="15" t="b">
        <f t="shared" si="2"/>
        <v>1</v>
      </c>
      <c r="J142" s="3"/>
    </row>
    <row r="143" spans="1:10" x14ac:dyDescent="0.2">
      <c r="A143" t="s">
        <v>160</v>
      </c>
      <c r="B143" s="1" t="s">
        <v>160</v>
      </c>
      <c r="C143" t="s">
        <v>158</v>
      </c>
      <c r="D143" s="28" t="str">
        <f>VLOOKUP(A143,Classification!$A:$D,2,FALSE)</f>
        <v>A</v>
      </c>
      <c r="E143" s="50" t="str">
        <f>VLOOKUP(B143,Classification!$A:$D,2,FALSE)</f>
        <v>A</v>
      </c>
      <c r="F143" s="15" t="str">
        <f>VLOOKUP(C143,Classification!$A:$D,2,FALSE)</f>
        <v>A</v>
      </c>
      <c r="G143" s="15" t="b">
        <f t="shared" si="2"/>
        <v>1</v>
      </c>
      <c r="J143" s="3"/>
    </row>
    <row r="144" spans="1:10" x14ac:dyDescent="0.2">
      <c r="A144" t="s">
        <v>331</v>
      </c>
      <c r="B144" s="1" t="s">
        <v>158</v>
      </c>
      <c r="C144" t="s">
        <v>158</v>
      </c>
      <c r="D144" s="28" t="str">
        <f>VLOOKUP(A144,Classification!$A:$D,2,FALSE)</f>
        <v>A</v>
      </c>
      <c r="E144" s="50" t="str">
        <f>VLOOKUP(B144,Classification!$A:$D,2,FALSE)</f>
        <v>A</v>
      </c>
      <c r="F144" s="15" t="str">
        <f>VLOOKUP(C144,Classification!$A:$D,2,FALSE)</f>
        <v>A</v>
      </c>
      <c r="G144" s="15" t="b">
        <f t="shared" si="2"/>
        <v>1</v>
      </c>
      <c r="J144" s="3"/>
    </row>
    <row r="145" spans="1:10" x14ac:dyDescent="0.2">
      <c r="A145" t="s">
        <v>373</v>
      </c>
      <c r="B145" s="1" t="s">
        <v>158</v>
      </c>
      <c r="C145" t="s">
        <v>158</v>
      </c>
      <c r="D145" s="28" t="str">
        <f>VLOOKUP(A145,Classification!$A:$D,2,FALSE)</f>
        <v>A</v>
      </c>
      <c r="E145" s="50" t="str">
        <f>VLOOKUP(B145,Classification!$A:$D,2,FALSE)</f>
        <v>A</v>
      </c>
      <c r="F145" s="15" t="str">
        <f>VLOOKUP(C145,Classification!$A:$D,2,FALSE)</f>
        <v>A</v>
      </c>
      <c r="G145" s="15" t="b">
        <f t="shared" si="2"/>
        <v>1</v>
      </c>
      <c r="J145" s="3"/>
    </row>
    <row r="146" spans="1:10" x14ac:dyDescent="0.2">
      <c r="A146" t="s">
        <v>233</v>
      </c>
      <c r="B146" s="1" t="s">
        <v>160</v>
      </c>
      <c r="C146" t="s">
        <v>158</v>
      </c>
      <c r="D146" s="28" t="str">
        <f>VLOOKUP(A146,Classification!$A:$D,2,FALSE)</f>
        <v>A</v>
      </c>
      <c r="E146" s="50" t="str">
        <f>VLOOKUP(B146,Classification!$A:$D,2,FALSE)</f>
        <v>A</v>
      </c>
      <c r="F146" s="15" t="str">
        <f>VLOOKUP(C146,Classification!$A:$D,2,FALSE)</f>
        <v>A</v>
      </c>
      <c r="G146" s="15" t="b">
        <f t="shared" si="2"/>
        <v>1</v>
      </c>
      <c r="J146" s="3"/>
    </row>
    <row r="147" spans="1:10" x14ac:dyDescent="0.2">
      <c r="A147" t="s">
        <v>283</v>
      </c>
      <c r="B147" s="1" t="s">
        <v>158</v>
      </c>
      <c r="C147" t="s">
        <v>158</v>
      </c>
      <c r="D147" s="28" t="str">
        <f>VLOOKUP(A147,Classification!$A:$D,2,FALSE)</f>
        <v>A</v>
      </c>
      <c r="E147" s="50" t="str">
        <f>VLOOKUP(B147,Classification!$A:$D,2,FALSE)</f>
        <v>A</v>
      </c>
      <c r="F147" s="15" t="str">
        <f>VLOOKUP(C147,Classification!$A:$D,2,FALSE)</f>
        <v>A</v>
      </c>
      <c r="G147" s="15" t="b">
        <f t="shared" si="2"/>
        <v>1</v>
      </c>
      <c r="J147" s="3"/>
    </row>
    <row r="148" spans="1:10" x14ac:dyDescent="0.2">
      <c r="A148" t="s">
        <v>142</v>
      </c>
      <c r="B148" s="1" t="s">
        <v>177</v>
      </c>
      <c r="C148" t="s">
        <v>173</v>
      </c>
      <c r="D148" s="28" t="str">
        <f>VLOOKUP(A148,Classification!$A:$D,2,FALSE)</f>
        <v>A</v>
      </c>
      <c r="E148" s="50" t="str">
        <f>VLOOKUP(B148,Classification!$A:$D,2,FALSE)</f>
        <v>A</v>
      </c>
      <c r="F148" s="15" t="str">
        <f>VLOOKUP(C148,Classification!$A:$D,2,FALSE)</f>
        <v>A</v>
      </c>
      <c r="G148" s="15" t="b">
        <f t="shared" si="2"/>
        <v>1</v>
      </c>
      <c r="J148" s="3"/>
    </row>
    <row r="149" spans="1:10" x14ac:dyDescent="0.2">
      <c r="A149" t="s">
        <v>178</v>
      </c>
      <c r="B149" s="1" t="s">
        <v>173</v>
      </c>
      <c r="C149" t="s">
        <v>173</v>
      </c>
      <c r="D149" s="28" t="str">
        <f>VLOOKUP(A149,Classification!$A:$D,2,FALSE)</f>
        <v>A</v>
      </c>
      <c r="E149" s="50" t="str">
        <f>VLOOKUP(B149,Classification!$A:$D,2,FALSE)</f>
        <v>A</v>
      </c>
      <c r="F149" s="15" t="str">
        <f>VLOOKUP(C149,Classification!$A:$D,2,FALSE)</f>
        <v>A</v>
      </c>
      <c r="G149" s="15" t="b">
        <f t="shared" si="2"/>
        <v>1</v>
      </c>
      <c r="J149" s="3"/>
    </row>
    <row r="150" spans="1:10" x14ac:dyDescent="0.2">
      <c r="A150" t="s">
        <v>185</v>
      </c>
      <c r="B150" s="1" t="s">
        <v>170</v>
      </c>
      <c r="C150" t="s">
        <v>173</v>
      </c>
      <c r="D150" s="28" t="str">
        <f>VLOOKUP(A150,Classification!$A:$D,2,FALSE)</f>
        <v>A</v>
      </c>
      <c r="E150" s="50" t="str">
        <f>VLOOKUP(B150,Classification!$A:$D,2,FALSE)</f>
        <v>A</v>
      </c>
      <c r="F150" s="15" t="str">
        <f>VLOOKUP(C150,Classification!$A:$D,2,FALSE)</f>
        <v>A</v>
      </c>
      <c r="G150" s="15" t="b">
        <f t="shared" si="2"/>
        <v>1</v>
      </c>
      <c r="J150" s="3"/>
    </row>
    <row r="151" spans="1:10" x14ac:dyDescent="0.2">
      <c r="A151" t="s">
        <v>400</v>
      </c>
      <c r="B151" s="1" t="s">
        <v>173</v>
      </c>
      <c r="C151" t="s">
        <v>173</v>
      </c>
      <c r="D151" s="28" t="str">
        <f>VLOOKUP(A151,Classification!$A:$D,2,FALSE)</f>
        <v>A</v>
      </c>
      <c r="E151" s="50" t="str">
        <f>VLOOKUP(B151,Classification!$A:$D,2,FALSE)</f>
        <v>A</v>
      </c>
      <c r="F151" s="15" t="str">
        <f>VLOOKUP(C151,Classification!$A:$D,2,FALSE)</f>
        <v>A</v>
      </c>
      <c r="G151" s="15" t="b">
        <f t="shared" si="2"/>
        <v>1</v>
      </c>
      <c r="J151" s="3"/>
    </row>
    <row r="152" spans="1:10" x14ac:dyDescent="0.2">
      <c r="A152" t="s">
        <v>186</v>
      </c>
      <c r="B152" s="1" t="s">
        <v>177</v>
      </c>
      <c r="C152" t="s">
        <v>173</v>
      </c>
      <c r="D152" s="28" t="str">
        <f>VLOOKUP(A152,Classification!$A:$D,2,FALSE)</f>
        <v>A</v>
      </c>
      <c r="E152" s="50" t="str">
        <f>VLOOKUP(B152,Classification!$A:$D,2,FALSE)</f>
        <v>A</v>
      </c>
      <c r="F152" s="15" t="str">
        <f>VLOOKUP(C152,Classification!$A:$D,2,FALSE)</f>
        <v>A</v>
      </c>
      <c r="G152" s="15" t="b">
        <f t="shared" si="2"/>
        <v>1</v>
      </c>
      <c r="J152" s="3"/>
    </row>
    <row r="153" spans="1:10" x14ac:dyDescent="0.2">
      <c r="A153" t="s">
        <v>145</v>
      </c>
      <c r="B153" s="1" t="s">
        <v>177</v>
      </c>
      <c r="C153" t="s">
        <v>173</v>
      </c>
      <c r="D153" s="28" t="str">
        <f>VLOOKUP(A153,Classification!$A:$D,2,FALSE)</f>
        <v>A</v>
      </c>
      <c r="E153" s="50" t="str">
        <f>VLOOKUP(B153,Classification!$A:$D,2,FALSE)</f>
        <v>A</v>
      </c>
      <c r="F153" s="15" t="str">
        <f>VLOOKUP(C153,Classification!$A:$D,2,FALSE)</f>
        <v>A</v>
      </c>
      <c r="G153" s="15" t="b">
        <f t="shared" si="2"/>
        <v>1</v>
      </c>
      <c r="J153" s="3"/>
    </row>
    <row r="154" spans="1:10" x14ac:dyDescent="0.2">
      <c r="A154" t="s">
        <v>169</v>
      </c>
      <c r="B154" s="1" t="s">
        <v>177</v>
      </c>
      <c r="C154" t="s">
        <v>173</v>
      </c>
      <c r="D154" s="28" t="str">
        <f>VLOOKUP(A154,Classification!$A:$D,2,FALSE)</f>
        <v>A</v>
      </c>
      <c r="E154" s="50" t="str">
        <f>VLOOKUP(B154,Classification!$A:$D,2,FALSE)</f>
        <v>A</v>
      </c>
      <c r="F154" s="15" t="str">
        <f>VLOOKUP(C154,Classification!$A:$D,2,FALSE)</f>
        <v>A</v>
      </c>
      <c r="G154" s="15" t="b">
        <f t="shared" si="2"/>
        <v>1</v>
      </c>
      <c r="J154" s="3"/>
    </row>
    <row r="155" spans="1:10" x14ac:dyDescent="0.2">
      <c r="A155" t="s">
        <v>177</v>
      </c>
      <c r="B155" s="1" t="s">
        <v>177</v>
      </c>
      <c r="C155" t="s">
        <v>177</v>
      </c>
      <c r="D155" s="28" t="str">
        <f>VLOOKUP(A155,Classification!$A:$D,2,FALSE)</f>
        <v>A</v>
      </c>
      <c r="E155" s="50" t="str">
        <f>VLOOKUP(B155,Classification!$A:$D,2,FALSE)</f>
        <v>A</v>
      </c>
      <c r="F155" s="15" t="str">
        <f>VLOOKUP(C155,Classification!$A:$D,2,FALSE)</f>
        <v>A</v>
      </c>
      <c r="G155" s="15" t="b">
        <f t="shared" si="2"/>
        <v>1</v>
      </c>
      <c r="J155" s="3"/>
    </row>
    <row r="156" spans="1:10" x14ac:dyDescent="0.2">
      <c r="A156" t="s">
        <v>175</v>
      </c>
      <c r="B156" s="1" t="s">
        <v>177</v>
      </c>
      <c r="C156" t="s">
        <v>173</v>
      </c>
      <c r="D156" s="28" t="str">
        <f>VLOOKUP(A156,Classification!$A:$D,2,FALSE)</f>
        <v>A</v>
      </c>
      <c r="E156" s="50" t="str">
        <f>VLOOKUP(B156,Classification!$A:$D,2,FALSE)</f>
        <v>A</v>
      </c>
      <c r="F156" s="15" t="str">
        <f>VLOOKUP(C156,Classification!$A:$D,2,FALSE)</f>
        <v>A</v>
      </c>
      <c r="G156" s="15" t="b">
        <f t="shared" si="2"/>
        <v>1</v>
      </c>
      <c r="J156" s="3"/>
    </row>
    <row r="157" spans="1:10" x14ac:dyDescent="0.2">
      <c r="A157" t="s">
        <v>189</v>
      </c>
      <c r="B157" s="1" t="s">
        <v>177</v>
      </c>
      <c r="C157" t="s">
        <v>173</v>
      </c>
      <c r="D157" s="28" t="str">
        <f>VLOOKUP(A157,Classification!$A:$D,2,FALSE)</f>
        <v>A</v>
      </c>
      <c r="E157" s="50" t="str">
        <f>VLOOKUP(B157,Classification!$A:$D,2,FALSE)</f>
        <v>A</v>
      </c>
      <c r="F157" s="15" t="str">
        <f>VLOOKUP(C157,Classification!$A:$D,2,FALSE)</f>
        <v>A</v>
      </c>
      <c r="G157" s="15" t="b">
        <f t="shared" si="2"/>
        <v>1</v>
      </c>
      <c r="J157" s="3"/>
    </row>
    <row r="158" spans="1:10" x14ac:dyDescent="0.2">
      <c r="A158" t="s">
        <v>168</v>
      </c>
      <c r="B158" s="1" t="s">
        <v>173</v>
      </c>
      <c r="C158" t="s">
        <v>173</v>
      </c>
      <c r="D158" s="28" t="str">
        <f>VLOOKUP(A158,Classification!$A:$D,2,FALSE)</f>
        <v>A</v>
      </c>
      <c r="E158" s="50" t="str">
        <f>VLOOKUP(B158,Classification!$A:$D,2,FALSE)</f>
        <v>A</v>
      </c>
      <c r="F158" s="15" t="str">
        <f>VLOOKUP(C158,Classification!$A:$D,2,FALSE)</f>
        <v>A</v>
      </c>
      <c r="G158" s="15" t="b">
        <f t="shared" si="2"/>
        <v>1</v>
      </c>
      <c r="J158" s="3"/>
    </row>
    <row r="159" spans="1:10" x14ac:dyDescent="0.2">
      <c r="A159" t="s">
        <v>171</v>
      </c>
      <c r="B159" s="1" t="s">
        <v>173</v>
      </c>
      <c r="C159" t="s">
        <v>173</v>
      </c>
      <c r="D159" s="28" t="str">
        <f>VLOOKUP(A159,Classification!$A:$D,2,FALSE)</f>
        <v>A</v>
      </c>
      <c r="E159" s="50" t="str">
        <f>VLOOKUP(B159,Classification!$A:$D,2,FALSE)</f>
        <v>A</v>
      </c>
      <c r="F159" s="15" t="str">
        <f>VLOOKUP(C159,Classification!$A:$D,2,FALSE)</f>
        <v>A</v>
      </c>
      <c r="G159" s="15" t="b">
        <f t="shared" si="2"/>
        <v>1</v>
      </c>
      <c r="J159" s="3"/>
    </row>
    <row r="160" spans="1:10" x14ac:dyDescent="0.2">
      <c r="A160" t="s">
        <v>173</v>
      </c>
      <c r="B160" s="1" t="s">
        <v>173</v>
      </c>
      <c r="C160" t="s">
        <v>173</v>
      </c>
      <c r="D160" s="28" t="str">
        <f>VLOOKUP(A160,Classification!$A:$D,2,FALSE)</f>
        <v>A</v>
      </c>
      <c r="E160" s="50" t="str">
        <f>VLOOKUP(B160,Classification!$A:$D,2,FALSE)</f>
        <v>A</v>
      </c>
      <c r="F160" s="15" t="str">
        <f>VLOOKUP(C160,Classification!$A:$D,2,FALSE)</f>
        <v>A</v>
      </c>
      <c r="G160" s="15" t="b">
        <f t="shared" si="2"/>
        <v>1</v>
      </c>
      <c r="J160" s="3"/>
    </row>
    <row r="161" spans="1:10" x14ac:dyDescent="0.2">
      <c r="A161" t="s">
        <v>176</v>
      </c>
      <c r="B161" s="1" t="s">
        <v>173</v>
      </c>
      <c r="C161" t="s">
        <v>173</v>
      </c>
      <c r="D161" s="28" t="str">
        <f>VLOOKUP(A161,Classification!$A:$D,2,FALSE)</f>
        <v>A</v>
      </c>
      <c r="E161" s="50" t="str">
        <f>VLOOKUP(B161,Classification!$A:$D,2,FALSE)</f>
        <v>A</v>
      </c>
      <c r="F161" s="15" t="str">
        <f>VLOOKUP(C161,Classification!$A:$D,2,FALSE)</f>
        <v>A</v>
      </c>
      <c r="G161" s="15" t="b">
        <f t="shared" si="2"/>
        <v>1</v>
      </c>
      <c r="J161" s="3"/>
    </row>
    <row r="162" spans="1:10" x14ac:dyDescent="0.2">
      <c r="A162" t="s">
        <v>172</v>
      </c>
      <c r="B162" s="1" t="s">
        <v>173</v>
      </c>
      <c r="C162" t="s">
        <v>173</v>
      </c>
      <c r="D162" s="28" t="str">
        <f>VLOOKUP(A162,Classification!$A:$D,2,FALSE)</f>
        <v>A</v>
      </c>
      <c r="E162" s="50" t="str">
        <f>VLOOKUP(B162,Classification!$A:$D,2,FALSE)</f>
        <v>A</v>
      </c>
      <c r="F162" s="15" t="str">
        <f>VLOOKUP(C162,Classification!$A:$D,2,FALSE)</f>
        <v>A</v>
      </c>
      <c r="G162" s="15" t="b">
        <f t="shared" si="2"/>
        <v>1</v>
      </c>
      <c r="J162" s="3"/>
    </row>
    <row r="163" spans="1:10" x14ac:dyDescent="0.2">
      <c r="A163" t="s">
        <v>174</v>
      </c>
      <c r="B163" s="1" t="s">
        <v>177</v>
      </c>
      <c r="C163" t="s">
        <v>173</v>
      </c>
      <c r="D163" s="28" t="str">
        <f>VLOOKUP(A163,Classification!$A:$D,2,FALSE)</f>
        <v>A</v>
      </c>
      <c r="E163" s="50" t="str">
        <f>VLOOKUP(B163,Classification!$A:$D,2,FALSE)</f>
        <v>A</v>
      </c>
      <c r="F163" s="15" t="str">
        <f>VLOOKUP(C163,Classification!$A:$D,2,FALSE)</f>
        <v>A</v>
      </c>
      <c r="G163" s="15" t="b">
        <f t="shared" si="2"/>
        <v>1</v>
      </c>
      <c r="J163" s="3"/>
    </row>
    <row r="164" spans="1:10" x14ac:dyDescent="0.2">
      <c r="A164" t="s">
        <v>184</v>
      </c>
      <c r="B164" s="1" t="s">
        <v>173</v>
      </c>
      <c r="C164" t="s">
        <v>173</v>
      </c>
      <c r="D164" s="28" t="str">
        <f>VLOOKUP(A164,Classification!$A:$D,2,FALSE)</f>
        <v>A</v>
      </c>
      <c r="E164" s="50" t="str">
        <f>VLOOKUP(B164,Classification!$A:$D,2,FALSE)</f>
        <v>A</v>
      </c>
      <c r="F164" s="15" t="str">
        <f>VLOOKUP(C164,Classification!$A:$D,2,FALSE)</f>
        <v>A</v>
      </c>
      <c r="G164" s="15" t="b">
        <f t="shared" si="2"/>
        <v>1</v>
      </c>
      <c r="J164" s="3"/>
    </row>
    <row r="165" spans="1:10" x14ac:dyDescent="0.2">
      <c r="A165" t="s">
        <v>170</v>
      </c>
      <c r="B165" s="1" t="s">
        <v>170</v>
      </c>
      <c r="C165" t="s">
        <v>170</v>
      </c>
      <c r="D165" s="28" t="str">
        <f>VLOOKUP(A165,Classification!$A:$D,2,FALSE)</f>
        <v>A</v>
      </c>
      <c r="E165" s="50" t="str">
        <f>VLOOKUP(B165,Classification!$A:$D,2,FALSE)</f>
        <v>A</v>
      </c>
      <c r="F165" s="15" t="str">
        <f>VLOOKUP(C165,Classification!$A:$D,2,FALSE)</f>
        <v>A</v>
      </c>
      <c r="G165" s="15" t="b">
        <f t="shared" si="2"/>
        <v>1</v>
      </c>
      <c r="J165" s="3"/>
    </row>
    <row r="166" spans="1:10" x14ac:dyDescent="0.2">
      <c r="A166" t="s">
        <v>143</v>
      </c>
      <c r="B166" s="1" t="s">
        <v>173</v>
      </c>
      <c r="C166" t="s">
        <v>173</v>
      </c>
      <c r="D166" s="28" t="str">
        <f>VLOOKUP(A166,Classification!$A:$D,2,FALSE)</f>
        <v>A</v>
      </c>
      <c r="E166" s="50" t="str">
        <f>VLOOKUP(B166,Classification!$A:$D,2,FALSE)</f>
        <v>A</v>
      </c>
      <c r="F166" s="15" t="str">
        <f>VLOOKUP(C166,Classification!$A:$D,2,FALSE)</f>
        <v>A</v>
      </c>
      <c r="G166" s="15" t="b">
        <f t="shared" si="2"/>
        <v>1</v>
      </c>
      <c r="J166" s="3"/>
    </row>
    <row r="167" spans="1:10" x14ac:dyDescent="0.2">
      <c r="A167" t="s">
        <v>403</v>
      </c>
      <c r="B167" s="1" t="s">
        <v>38</v>
      </c>
      <c r="C167" t="s">
        <v>38</v>
      </c>
      <c r="D167" s="28" t="str">
        <f>VLOOKUP(A167,Classification!$A:$D,2,FALSE)</f>
        <v>B1</v>
      </c>
      <c r="E167" s="50" t="str">
        <f>VLOOKUP(B167,Classification!$A:$D,2,FALSE)</f>
        <v>B1</v>
      </c>
      <c r="F167" s="15" t="str">
        <f>VLOOKUP(C167,Classification!$A:$D,2,FALSE)</f>
        <v>B1</v>
      </c>
      <c r="G167" s="15" t="b">
        <f t="shared" si="2"/>
        <v>1</v>
      </c>
      <c r="J167" s="3"/>
    </row>
    <row r="168" spans="1:10" x14ac:dyDescent="0.2">
      <c r="A168" t="s">
        <v>38</v>
      </c>
      <c r="B168" s="1" t="s">
        <v>38</v>
      </c>
      <c r="C168" t="s">
        <v>38</v>
      </c>
      <c r="D168" s="28" t="str">
        <f>VLOOKUP(A168,Classification!$A:$D,2,FALSE)</f>
        <v>B1</v>
      </c>
      <c r="E168" s="50" t="str">
        <f>VLOOKUP(B168,Classification!$A:$D,2,FALSE)</f>
        <v>B1</v>
      </c>
      <c r="F168" s="15" t="str">
        <f>VLOOKUP(C168,Classification!$A:$D,2,FALSE)</f>
        <v>B1</v>
      </c>
      <c r="G168" s="15" t="b">
        <f t="shared" si="2"/>
        <v>1</v>
      </c>
      <c r="J168" s="3"/>
    </row>
    <row r="169" spans="1:10" x14ac:dyDescent="0.2">
      <c r="A169" t="s">
        <v>402</v>
      </c>
      <c r="B169" s="1" t="s">
        <v>401</v>
      </c>
      <c r="C169" t="s">
        <v>401</v>
      </c>
      <c r="D169" s="28" t="str">
        <f>VLOOKUP(A169,Classification!$A:$D,2,FALSE)</f>
        <v>B1</v>
      </c>
      <c r="E169" s="50" t="str">
        <f>VLOOKUP(B169,Classification!$A:$D,2,FALSE)</f>
        <v>B1</v>
      </c>
      <c r="F169" s="15" t="str">
        <f>VLOOKUP(C169,Classification!$A:$D,2,FALSE)</f>
        <v>B1</v>
      </c>
      <c r="G169" s="15" t="b">
        <f t="shared" si="2"/>
        <v>1</v>
      </c>
      <c r="J169" s="3"/>
    </row>
    <row r="170" spans="1:10" x14ac:dyDescent="0.2">
      <c r="A170" t="s">
        <v>401</v>
      </c>
      <c r="B170" s="1" t="s">
        <v>401</v>
      </c>
      <c r="C170" t="s">
        <v>401</v>
      </c>
      <c r="D170" s="28" t="str">
        <f>VLOOKUP(A170,Classification!$A:$D,2,FALSE)</f>
        <v>B1</v>
      </c>
      <c r="E170" s="50" t="str">
        <f>VLOOKUP(B170,Classification!$A:$D,2,FALSE)</f>
        <v>B1</v>
      </c>
      <c r="F170" s="15" t="str">
        <f>VLOOKUP(C170,Classification!$A:$D,2,FALSE)</f>
        <v>B1</v>
      </c>
      <c r="G170" s="15" t="b">
        <f t="shared" si="2"/>
        <v>1</v>
      </c>
      <c r="J170" s="3"/>
    </row>
    <row r="171" spans="1:10" x14ac:dyDescent="0.2">
      <c r="A171" t="s">
        <v>166</v>
      </c>
      <c r="B171" s="1" t="s">
        <v>158</v>
      </c>
      <c r="C171" t="s">
        <v>1172</v>
      </c>
      <c r="D171" s="28" t="str">
        <f>VLOOKUP(A171,Classification!$A:$D,2,FALSE)</f>
        <v>A</v>
      </c>
      <c r="E171" s="50" t="str">
        <f>VLOOKUP(B171,Classification!$A:$D,2,FALSE)</f>
        <v>A</v>
      </c>
      <c r="F171" s="15" t="str">
        <f>VLOOKUP(C171,Classification!$A:$D,2,FALSE)</f>
        <v>A</v>
      </c>
      <c r="G171" s="15" t="b">
        <f t="shared" si="2"/>
        <v>1</v>
      </c>
      <c r="J171" s="3"/>
    </row>
    <row r="172" spans="1:10" x14ac:dyDescent="0.2">
      <c r="A172" t="s">
        <v>201</v>
      </c>
      <c r="B172" s="1" t="s">
        <v>158</v>
      </c>
      <c r="C172" t="s">
        <v>1172</v>
      </c>
      <c r="D172" s="28" t="str">
        <f>VLOOKUP(A172,Classification!$A:$D,2,FALSE)</f>
        <v>A</v>
      </c>
      <c r="E172" s="50" t="str">
        <f>VLOOKUP(B172,Classification!$A:$D,2,FALSE)</f>
        <v>A</v>
      </c>
      <c r="F172" s="15" t="str">
        <f>VLOOKUP(C172,Classification!$A:$D,2,FALSE)</f>
        <v>A</v>
      </c>
      <c r="G172" s="15" t="b">
        <f t="shared" si="2"/>
        <v>1</v>
      </c>
      <c r="J172" s="3"/>
    </row>
    <row r="173" spans="1:10" x14ac:dyDescent="0.2">
      <c r="A173" t="s">
        <v>202</v>
      </c>
      <c r="B173" s="1" t="s">
        <v>1172</v>
      </c>
      <c r="C173" t="s">
        <v>1172</v>
      </c>
      <c r="D173" s="28" t="str">
        <f>VLOOKUP(A173,Classification!$A:$D,2,FALSE)</f>
        <v>A</v>
      </c>
      <c r="E173" s="50" t="str">
        <f>VLOOKUP(B173,Classification!$A:$D,2,FALSE)</f>
        <v>A</v>
      </c>
      <c r="F173" s="15" t="str">
        <f>VLOOKUP(C173,Classification!$A:$D,2,FALSE)</f>
        <v>A</v>
      </c>
      <c r="G173" s="15" t="b">
        <f t="shared" si="2"/>
        <v>1</v>
      </c>
      <c r="J173" s="3"/>
    </row>
    <row r="174" spans="1:10" x14ac:dyDescent="0.2">
      <c r="A174" t="s">
        <v>1172</v>
      </c>
      <c r="B174" s="1" t="s">
        <v>1172</v>
      </c>
      <c r="C174" t="s">
        <v>1172</v>
      </c>
      <c r="D174" s="28" t="str">
        <f>VLOOKUP(A174,Classification!$A:$D,2,FALSE)</f>
        <v>A</v>
      </c>
      <c r="E174" s="50" t="str">
        <f>VLOOKUP(B174,Classification!$A:$D,2,FALSE)</f>
        <v>A</v>
      </c>
      <c r="F174" s="15" t="str">
        <f>VLOOKUP(C174,Classification!$A:$D,2,FALSE)</f>
        <v>A</v>
      </c>
      <c r="G174" s="15" t="b">
        <f t="shared" si="2"/>
        <v>1</v>
      </c>
      <c r="J174" s="3"/>
    </row>
    <row r="175" spans="1:10" x14ac:dyDescent="0.2">
      <c r="A175" t="s">
        <v>188</v>
      </c>
      <c r="B175" s="1" t="s">
        <v>1172</v>
      </c>
      <c r="C175" t="s">
        <v>1172</v>
      </c>
      <c r="D175" s="28" t="str">
        <f>VLOOKUP(A175,Classification!$A:$D,2,FALSE)</f>
        <v>A</v>
      </c>
      <c r="E175" s="50" t="str">
        <f>VLOOKUP(B175,Classification!$A:$D,2,FALSE)</f>
        <v>A</v>
      </c>
      <c r="F175" s="15" t="str">
        <f>VLOOKUP(C175,Classification!$A:$D,2,FALSE)</f>
        <v>A</v>
      </c>
      <c r="G175" s="15" t="b">
        <f t="shared" si="2"/>
        <v>1</v>
      </c>
      <c r="J175" s="3"/>
    </row>
    <row r="176" spans="1:10" x14ac:dyDescent="0.2">
      <c r="A176" t="s">
        <v>187</v>
      </c>
      <c r="B176" s="1" t="s">
        <v>1172</v>
      </c>
      <c r="C176" t="s">
        <v>1172</v>
      </c>
      <c r="D176" s="28" t="str">
        <f>VLOOKUP(A176,Classification!$A:$D,2,FALSE)</f>
        <v>A</v>
      </c>
      <c r="E176" s="50" t="str">
        <f>VLOOKUP(B176,Classification!$A:$D,2,FALSE)</f>
        <v>A</v>
      </c>
      <c r="F176" s="15" t="str">
        <f>VLOOKUP(C176,Classification!$A:$D,2,FALSE)</f>
        <v>A</v>
      </c>
      <c r="G176" s="15" t="b">
        <f t="shared" si="2"/>
        <v>1</v>
      </c>
      <c r="J176" s="3"/>
    </row>
    <row r="177" spans="1:10" x14ac:dyDescent="0.2">
      <c r="A177" t="s">
        <v>203</v>
      </c>
      <c r="B177" s="1" t="s">
        <v>1172</v>
      </c>
      <c r="C177" t="s">
        <v>1172</v>
      </c>
      <c r="D177" s="28" t="str">
        <f>VLOOKUP(A177,Classification!$A:$D,2,FALSE)</f>
        <v>A</v>
      </c>
      <c r="E177" s="50" t="str">
        <f>VLOOKUP(B177,Classification!$A:$D,2,FALSE)</f>
        <v>A</v>
      </c>
      <c r="F177" s="15" t="str">
        <f>VLOOKUP(C177,Classification!$A:$D,2,FALSE)</f>
        <v>A</v>
      </c>
      <c r="G177" s="15" t="b">
        <f t="shared" si="2"/>
        <v>1</v>
      </c>
      <c r="J177" s="3"/>
    </row>
    <row r="178" spans="1:10" x14ac:dyDescent="0.2">
      <c r="A178" t="s">
        <v>293</v>
      </c>
      <c r="B178" s="1" t="s">
        <v>914</v>
      </c>
      <c r="C178" t="s">
        <v>1172</v>
      </c>
      <c r="D178" s="28" t="str">
        <f>VLOOKUP(A178,Classification!$A:$D,2,FALSE)</f>
        <v>A</v>
      </c>
      <c r="E178" s="50" t="str">
        <f>VLOOKUP(B178,Classification!$A:$D,2,FALSE)</f>
        <v>A</v>
      </c>
      <c r="F178" s="15" t="str">
        <f>VLOOKUP(C178,Classification!$A:$D,2,FALSE)</f>
        <v>A</v>
      </c>
      <c r="G178" s="15" t="b">
        <f t="shared" si="2"/>
        <v>1</v>
      </c>
      <c r="J178" s="3"/>
    </row>
    <row r="179" spans="1:10" x14ac:dyDescent="0.2">
      <c r="A179" t="s">
        <v>192</v>
      </c>
      <c r="B179" s="1" t="s">
        <v>192</v>
      </c>
      <c r="C179" t="s">
        <v>192</v>
      </c>
      <c r="D179" s="28" t="str">
        <f>VLOOKUP(A179,Classification!$A:$D,2,FALSE)</f>
        <v>A</v>
      </c>
      <c r="E179" s="50" t="str">
        <f>VLOOKUP(B179,Classification!$A:$D,2,FALSE)</f>
        <v>A</v>
      </c>
      <c r="F179" s="15" t="str">
        <f>VLOOKUP(C179,Classification!$A:$D,2,FALSE)</f>
        <v>A</v>
      </c>
      <c r="G179" s="15" t="b">
        <f t="shared" si="2"/>
        <v>1</v>
      </c>
      <c r="J179" s="3"/>
    </row>
    <row r="180" spans="1:10" x14ac:dyDescent="0.2">
      <c r="A180" t="s">
        <v>191</v>
      </c>
      <c r="B180" s="1" t="s">
        <v>192</v>
      </c>
      <c r="C180" t="s">
        <v>192</v>
      </c>
      <c r="D180" s="28" t="str">
        <f>VLOOKUP(A180,Classification!$A:$D,2,FALSE)</f>
        <v>A</v>
      </c>
      <c r="E180" s="50" t="str">
        <f>VLOOKUP(B180,Classification!$A:$D,2,FALSE)</f>
        <v>A</v>
      </c>
      <c r="F180" s="15" t="str">
        <f>VLOOKUP(C180,Classification!$A:$D,2,FALSE)</f>
        <v>A</v>
      </c>
      <c r="G180" s="15" t="b">
        <f t="shared" si="2"/>
        <v>1</v>
      </c>
      <c r="J180" s="3"/>
    </row>
    <row r="181" spans="1:10" x14ac:dyDescent="0.2">
      <c r="A181" t="s">
        <v>193</v>
      </c>
      <c r="B181" s="1" t="s">
        <v>192</v>
      </c>
      <c r="C181" t="s">
        <v>192</v>
      </c>
      <c r="D181" s="28" t="str">
        <f>VLOOKUP(A181,Classification!$A:$D,2,FALSE)</f>
        <v>A</v>
      </c>
      <c r="E181" s="50" t="str">
        <f>VLOOKUP(B181,Classification!$A:$D,2,FALSE)</f>
        <v>A</v>
      </c>
      <c r="F181" s="15" t="str">
        <f>VLOOKUP(C181,Classification!$A:$D,2,FALSE)</f>
        <v>A</v>
      </c>
      <c r="G181" s="15" t="b">
        <f t="shared" si="2"/>
        <v>1</v>
      </c>
      <c r="J181" s="3"/>
    </row>
    <row r="182" spans="1:10" x14ac:dyDescent="0.2">
      <c r="A182" t="s">
        <v>156</v>
      </c>
      <c r="B182" s="1" t="s">
        <v>192</v>
      </c>
      <c r="C182" t="s">
        <v>192</v>
      </c>
      <c r="D182" s="28" t="str">
        <f>VLOOKUP(A182,Classification!$A:$D,2,FALSE)</f>
        <v>A</v>
      </c>
      <c r="E182" s="50" t="str">
        <f>VLOOKUP(B182,Classification!$A:$D,2,FALSE)</f>
        <v>A</v>
      </c>
      <c r="F182" s="15" t="str">
        <f>VLOOKUP(C182,Classification!$A:$D,2,FALSE)</f>
        <v>A</v>
      </c>
      <c r="G182" s="15" t="b">
        <f t="shared" si="2"/>
        <v>1</v>
      </c>
      <c r="J182" s="3"/>
    </row>
    <row r="183" spans="1:10" x14ac:dyDescent="0.2">
      <c r="A183" t="s">
        <v>273</v>
      </c>
      <c r="B183" s="1" t="s">
        <v>1175</v>
      </c>
      <c r="C183" t="s">
        <v>192</v>
      </c>
      <c r="D183" s="28" t="str">
        <f>VLOOKUP(A183,Classification!$A:$D,2,FALSE)</f>
        <v>A</v>
      </c>
      <c r="E183" s="50" t="str">
        <f>VLOOKUP(B183,Classification!$A:$D,2,FALSE)</f>
        <v>A</v>
      </c>
      <c r="F183" s="15" t="str">
        <f>VLOOKUP(C183,Classification!$A:$D,2,FALSE)</f>
        <v>A</v>
      </c>
      <c r="G183" s="15" t="b">
        <f t="shared" si="2"/>
        <v>1</v>
      </c>
      <c r="J183" s="3"/>
    </row>
    <row r="184" spans="1:10" x14ac:dyDescent="0.2">
      <c r="A184" t="s">
        <v>264</v>
      </c>
      <c r="B184" s="1" t="s">
        <v>192</v>
      </c>
      <c r="C184" t="s">
        <v>192</v>
      </c>
      <c r="D184" s="28" t="str">
        <f>VLOOKUP(A184,Classification!$A:$D,2,FALSE)</f>
        <v>A</v>
      </c>
      <c r="E184" s="50" t="str">
        <f>VLOOKUP(B184,Classification!$A:$D,2,FALSE)</f>
        <v>A</v>
      </c>
      <c r="F184" s="15" t="str">
        <f>VLOOKUP(C184,Classification!$A:$D,2,FALSE)</f>
        <v>A</v>
      </c>
      <c r="G184" s="15" t="b">
        <f t="shared" si="2"/>
        <v>1</v>
      </c>
      <c r="J184" s="3"/>
    </row>
    <row r="185" spans="1:10" x14ac:dyDescent="0.2">
      <c r="A185" t="s">
        <v>366</v>
      </c>
      <c r="B185" s="1" t="s">
        <v>159</v>
      </c>
      <c r="C185" t="s">
        <v>192</v>
      </c>
      <c r="D185" s="28" t="str">
        <f>VLOOKUP(A185,Classification!$A:$D,2,FALSE)</f>
        <v>A</v>
      </c>
      <c r="E185" s="50" t="str">
        <f>VLOOKUP(B185,Classification!$A:$D,2,FALSE)</f>
        <v>A</v>
      </c>
      <c r="F185" s="15" t="str">
        <f>VLOOKUP(C185,Classification!$A:$D,2,FALSE)</f>
        <v>A</v>
      </c>
      <c r="G185" s="15" t="b">
        <f t="shared" si="2"/>
        <v>1</v>
      </c>
      <c r="J185" s="3"/>
    </row>
    <row r="186" spans="1:10" x14ac:dyDescent="0.2">
      <c r="A186" t="s">
        <v>263</v>
      </c>
      <c r="B186" s="1" t="s">
        <v>1176</v>
      </c>
      <c r="C186" t="s">
        <v>192</v>
      </c>
      <c r="D186" s="28" t="str">
        <f>VLOOKUP(A186,Classification!$A:$D,2,FALSE)</f>
        <v>A</v>
      </c>
      <c r="E186" s="50" t="str">
        <f>VLOOKUP(B186,Classification!$A:$D,2,FALSE)</f>
        <v>A</v>
      </c>
      <c r="F186" s="15" t="str">
        <f>VLOOKUP(C186,Classification!$A:$D,2,FALSE)</f>
        <v>A</v>
      </c>
      <c r="G186" s="15" t="b">
        <f t="shared" si="2"/>
        <v>1</v>
      </c>
      <c r="J186" s="3"/>
    </row>
    <row r="187" spans="1:10" x14ac:dyDescent="0.2">
      <c r="A187" t="s">
        <v>266</v>
      </c>
      <c r="B187" s="1" t="s">
        <v>126</v>
      </c>
      <c r="C187" t="s">
        <v>192</v>
      </c>
      <c r="D187" s="28" t="str">
        <f>VLOOKUP(A187,Classification!$A:$D,2,FALSE)</f>
        <v>A</v>
      </c>
      <c r="E187" s="50" t="str">
        <f>VLOOKUP(B187,Classification!$A:$D,2,FALSE)</f>
        <v>A</v>
      </c>
      <c r="F187" s="15" t="str">
        <f>VLOOKUP(C187,Classification!$A:$D,2,FALSE)</f>
        <v>A</v>
      </c>
      <c r="G187" s="15" t="b">
        <f t="shared" si="2"/>
        <v>1</v>
      </c>
      <c r="J187" s="3"/>
    </row>
    <row r="188" spans="1:10" x14ac:dyDescent="0.2">
      <c r="A188" t="s">
        <v>196</v>
      </c>
      <c r="B188" s="1" t="s">
        <v>196</v>
      </c>
      <c r="C188" t="s">
        <v>196</v>
      </c>
      <c r="D188" s="28" t="str">
        <f>VLOOKUP(A188,Classification!$A:$D,2,FALSE)</f>
        <v>A</v>
      </c>
      <c r="E188" s="50" t="str">
        <f>VLOOKUP(B188,Classification!$A:$D,2,FALSE)</f>
        <v>A</v>
      </c>
      <c r="F188" s="15" t="str">
        <f>VLOOKUP(C188,Classification!$A:$D,2,FALSE)</f>
        <v>A</v>
      </c>
      <c r="G188" s="15" t="b">
        <f t="shared" si="2"/>
        <v>1</v>
      </c>
      <c r="J188" s="3"/>
    </row>
    <row r="189" spans="1:10" x14ac:dyDescent="0.2">
      <c r="A189" t="s">
        <v>195</v>
      </c>
      <c r="B189" s="1" t="s">
        <v>196</v>
      </c>
      <c r="C189" t="s">
        <v>196</v>
      </c>
      <c r="D189" s="28" t="str">
        <f>VLOOKUP(A189,Classification!$A:$D,2,FALSE)</f>
        <v>A</v>
      </c>
      <c r="E189" s="50" t="str">
        <f>VLOOKUP(B189,Classification!$A:$D,2,FALSE)</f>
        <v>A</v>
      </c>
      <c r="F189" s="15" t="str">
        <f>VLOOKUP(C189,Classification!$A:$D,2,FALSE)</f>
        <v>A</v>
      </c>
      <c r="G189" s="15" t="b">
        <f t="shared" si="2"/>
        <v>1</v>
      </c>
      <c r="J189" s="3"/>
    </row>
    <row r="190" spans="1:10" x14ac:dyDescent="0.2">
      <c r="A190" t="s">
        <v>274</v>
      </c>
      <c r="B190" s="1" t="s">
        <v>196</v>
      </c>
      <c r="C190" t="s">
        <v>196</v>
      </c>
      <c r="D190" s="28" t="str">
        <f>VLOOKUP(A190,Classification!$A:$D,2,FALSE)</f>
        <v>A</v>
      </c>
      <c r="E190" s="50" t="str">
        <f>VLOOKUP(B190,Classification!$A:$D,2,FALSE)</f>
        <v>A</v>
      </c>
      <c r="F190" s="15" t="str">
        <f>VLOOKUP(C190,Classification!$A:$D,2,FALSE)</f>
        <v>A</v>
      </c>
      <c r="G190" s="15" t="b">
        <f t="shared" si="2"/>
        <v>1</v>
      </c>
      <c r="J190" s="3"/>
    </row>
    <row r="191" spans="1:10" x14ac:dyDescent="0.2">
      <c r="A191" t="s">
        <v>255</v>
      </c>
      <c r="B191" s="1" t="s">
        <v>196</v>
      </c>
      <c r="C191" t="s">
        <v>196</v>
      </c>
      <c r="D191" s="28" t="str">
        <f>VLOOKUP(A191,Classification!$A:$D,2,FALSE)</f>
        <v>A</v>
      </c>
      <c r="E191" s="50" t="str">
        <f>VLOOKUP(B191,Classification!$A:$D,2,FALSE)</f>
        <v>A</v>
      </c>
      <c r="F191" s="15" t="str">
        <f>VLOOKUP(C191,Classification!$A:$D,2,FALSE)</f>
        <v>A</v>
      </c>
      <c r="G191" s="15" t="b">
        <f t="shared" si="2"/>
        <v>1</v>
      </c>
      <c r="J191" s="3"/>
    </row>
    <row r="192" spans="1:10" x14ac:dyDescent="0.2">
      <c r="A192" t="s">
        <v>197</v>
      </c>
      <c r="B192" s="1" t="s">
        <v>196</v>
      </c>
      <c r="C192" t="s">
        <v>196</v>
      </c>
      <c r="D192" s="28" t="str">
        <f>VLOOKUP(A192,Classification!$A:$D,2,FALSE)</f>
        <v>A</v>
      </c>
      <c r="E192" s="50" t="str">
        <f>VLOOKUP(B192,Classification!$A:$D,2,FALSE)</f>
        <v>A</v>
      </c>
      <c r="F192" s="15" t="str">
        <f>VLOOKUP(C192,Classification!$A:$D,2,FALSE)</f>
        <v>A</v>
      </c>
      <c r="G192" s="15" t="b">
        <f t="shared" si="2"/>
        <v>1</v>
      </c>
      <c r="J192" s="3"/>
    </row>
    <row r="193" spans="1:10" x14ac:dyDescent="0.2">
      <c r="A193" t="s">
        <v>317</v>
      </c>
      <c r="B193" s="1" t="s">
        <v>196</v>
      </c>
      <c r="C193" t="s">
        <v>196</v>
      </c>
      <c r="D193" s="28" t="str">
        <f>VLOOKUP(A193,Classification!$A:$D,2,FALSE)</f>
        <v>A</v>
      </c>
      <c r="E193" s="50" t="str">
        <f>VLOOKUP(B193,Classification!$A:$D,2,FALSE)</f>
        <v>A</v>
      </c>
      <c r="F193" s="15" t="str">
        <f>VLOOKUP(C193,Classification!$A:$D,2,FALSE)</f>
        <v>A</v>
      </c>
      <c r="G193" s="15" t="b">
        <f t="shared" si="2"/>
        <v>1</v>
      </c>
      <c r="J193" s="3"/>
    </row>
    <row r="194" spans="1:10" x14ac:dyDescent="0.2">
      <c r="A194" t="s">
        <v>1173</v>
      </c>
      <c r="B194" s="1" t="s">
        <v>1173</v>
      </c>
      <c r="C194" t="s">
        <v>1173</v>
      </c>
      <c r="D194" s="28" t="str">
        <f>VLOOKUP(A194,Classification!$A:$D,2,FALSE)</f>
        <v>A</v>
      </c>
      <c r="E194" s="50" t="str">
        <f>VLOOKUP(B194,Classification!$A:$D,2,FALSE)</f>
        <v>A</v>
      </c>
      <c r="F194" s="15" t="str">
        <f>VLOOKUP(C194,Classification!$A:$D,2,FALSE)</f>
        <v>A</v>
      </c>
      <c r="G194" s="15" t="b">
        <f t="shared" si="2"/>
        <v>1</v>
      </c>
      <c r="J194" s="3"/>
    </row>
    <row r="195" spans="1:10" x14ac:dyDescent="0.2">
      <c r="A195" t="s">
        <v>198</v>
      </c>
      <c r="B195" s="1" t="s">
        <v>356</v>
      </c>
      <c r="C195" t="s">
        <v>1173</v>
      </c>
      <c r="D195" s="28" t="str">
        <f>VLOOKUP(A195,Classification!$A:$D,2,FALSE)</f>
        <v>A</v>
      </c>
      <c r="E195" s="50" t="str">
        <f>VLOOKUP(B195,Classification!$A:$D,2,FALSE)</f>
        <v>A</v>
      </c>
      <c r="F195" s="15" t="str">
        <f>VLOOKUP(C195,Classification!$A:$D,2,FALSE)</f>
        <v>A</v>
      </c>
      <c r="G195" s="15" t="b">
        <f t="shared" ref="G195:G258" si="3">OR(D195=F195,AND(D195="T",F195="A"),AND(D195="B2",F195="B1"),D195="O")</f>
        <v>1</v>
      </c>
      <c r="J195" s="3"/>
    </row>
    <row r="196" spans="1:10" x14ac:dyDescent="0.2">
      <c r="A196" t="s">
        <v>404</v>
      </c>
      <c r="B196" s="1" t="s">
        <v>32</v>
      </c>
      <c r="C196" t="s">
        <v>32</v>
      </c>
      <c r="D196" s="28" t="str">
        <f>VLOOKUP(A196,Classification!$A:$D,2,FALSE)</f>
        <v>B1</v>
      </c>
      <c r="E196" s="50" t="str">
        <f>VLOOKUP(B196,Classification!$A:$D,2,FALSE)</f>
        <v>B1</v>
      </c>
      <c r="F196" s="15" t="str">
        <f>VLOOKUP(C196,Classification!$A:$D,2,FALSE)</f>
        <v>B1</v>
      </c>
      <c r="G196" s="15" t="b">
        <f t="shared" si="3"/>
        <v>1</v>
      </c>
      <c r="J196" s="3"/>
    </row>
    <row r="197" spans="1:10" x14ac:dyDescent="0.2">
      <c r="A197" t="s">
        <v>411</v>
      </c>
      <c r="B197" s="1" t="s">
        <v>406</v>
      </c>
      <c r="C197" t="s">
        <v>32</v>
      </c>
      <c r="D197" s="28" t="str">
        <f>VLOOKUP(A197,Classification!$A:$D,2,FALSE)</f>
        <v>B1</v>
      </c>
      <c r="E197" s="50" t="str">
        <f>VLOOKUP(B197,Classification!$A:$D,2,FALSE)</f>
        <v>B1</v>
      </c>
      <c r="F197" s="15" t="str">
        <f>VLOOKUP(C197,Classification!$A:$D,2,FALSE)</f>
        <v>B1</v>
      </c>
      <c r="G197" s="15" t="b">
        <f t="shared" si="3"/>
        <v>1</v>
      </c>
      <c r="J197" s="3"/>
    </row>
    <row r="198" spans="1:10" x14ac:dyDescent="0.2">
      <c r="A198" t="s">
        <v>406</v>
      </c>
      <c r="B198" s="1" t="s">
        <v>406</v>
      </c>
      <c r="C198" t="s">
        <v>32</v>
      </c>
      <c r="D198" s="28" t="str">
        <f>VLOOKUP(A198,Classification!$A:$D,2,FALSE)</f>
        <v>B1</v>
      </c>
      <c r="E198" s="50" t="str">
        <f>VLOOKUP(B198,Classification!$A:$D,2,FALSE)</f>
        <v>B1</v>
      </c>
      <c r="F198" s="15" t="str">
        <f>VLOOKUP(C198,Classification!$A:$D,2,FALSE)</f>
        <v>B1</v>
      </c>
      <c r="G198" s="15" t="b">
        <f t="shared" si="3"/>
        <v>1</v>
      </c>
      <c r="J198" s="3"/>
    </row>
    <row r="199" spans="1:10" x14ac:dyDescent="0.2">
      <c r="A199" t="s">
        <v>413</v>
      </c>
      <c r="B199" s="1" t="s">
        <v>32</v>
      </c>
      <c r="C199" t="s">
        <v>32</v>
      </c>
      <c r="D199" s="28" t="str">
        <f>VLOOKUP(A199,Classification!$A:$D,2,FALSE)</f>
        <v>B1</v>
      </c>
      <c r="E199" s="50" t="str">
        <f>VLOOKUP(B199,Classification!$A:$D,2,FALSE)</f>
        <v>B1</v>
      </c>
      <c r="F199" s="15" t="str">
        <f>VLOOKUP(C199,Classification!$A:$D,2,FALSE)</f>
        <v>B1</v>
      </c>
      <c r="G199" s="15" t="b">
        <f t="shared" si="3"/>
        <v>1</v>
      </c>
      <c r="J199" s="3"/>
    </row>
    <row r="200" spans="1:10" x14ac:dyDescent="0.2">
      <c r="A200" t="s">
        <v>408</v>
      </c>
      <c r="B200" s="1" t="s">
        <v>32</v>
      </c>
      <c r="C200" t="s">
        <v>32</v>
      </c>
      <c r="D200" s="28" t="str">
        <f>VLOOKUP(A200,Classification!$A:$D,2,FALSE)</f>
        <v>B1</v>
      </c>
      <c r="E200" s="50" t="str">
        <f>VLOOKUP(B200,Classification!$A:$D,2,FALSE)</f>
        <v>B1</v>
      </c>
      <c r="F200" s="15" t="str">
        <f>VLOOKUP(C200,Classification!$A:$D,2,FALSE)</f>
        <v>B1</v>
      </c>
      <c r="G200" s="15" t="b">
        <f t="shared" si="3"/>
        <v>1</v>
      </c>
      <c r="J200" s="3"/>
    </row>
    <row r="201" spans="1:10" x14ac:dyDescent="0.2">
      <c r="A201" t="s">
        <v>412</v>
      </c>
      <c r="B201" s="1" t="s">
        <v>406</v>
      </c>
      <c r="C201" t="s">
        <v>32</v>
      </c>
      <c r="D201" s="28" t="str">
        <f>VLOOKUP(A201,Classification!$A:$D,2,FALSE)</f>
        <v>B1</v>
      </c>
      <c r="E201" s="50" t="str">
        <f>VLOOKUP(B201,Classification!$A:$D,2,FALSE)</f>
        <v>B1</v>
      </c>
      <c r="F201" s="15" t="str">
        <f>VLOOKUP(C201,Classification!$A:$D,2,FALSE)</f>
        <v>B1</v>
      </c>
      <c r="G201" s="15" t="b">
        <f t="shared" si="3"/>
        <v>1</v>
      </c>
      <c r="J201" s="3"/>
    </row>
    <row r="202" spans="1:10" x14ac:dyDescent="0.2">
      <c r="A202" t="s">
        <v>405</v>
      </c>
      <c r="B202" s="1" t="s">
        <v>32</v>
      </c>
      <c r="C202" t="s">
        <v>32</v>
      </c>
      <c r="D202" s="28" t="str">
        <f>VLOOKUP(A202,Classification!$A:$D,2,FALSE)</f>
        <v>B1</v>
      </c>
      <c r="E202" s="50" t="str">
        <f>VLOOKUP(B202,Classification!$A:$D,2,FALSE)</f>
        <v>B1</v>
      </c>
      <c r="F202" s="15" t="str">
        <f>VLOOKUP(C202,Classification!$A:$D,2,FALSE)</f>
        <v>B1</v>
      </c>
      <c r="G202" s="15" t="b">
        <f t="shared" si="3"/>
        <v>1</v>
      </c>
      <c r="J202" s="3"/>
    </row>
    <row r="203" spans="1:10" x14ac:dyDescent="0.2">
      <c r="A203" t="s">
        <v>32</v>
      </c>
      <c r="B203" s="1" t="s">
        <v>32</v>
      </c>
      <c r="C203" t="s">
        <v>32</v>
      </c>
      <c r="D203" s="28" t="str">
        <f>VLOOKUP(A203,Classification!$A:$D,2,FALSE)</f>
        <v>B1</v>
      </c>
      <c r="E203" s="50" t="str">
        <f>VLOOKUP(B203,Classification!$A:$D,2,FALSE)</f>
        <v>B1</v>
      </c>
      <c r="F203" s="15" t="str">
        <f>VLOOKUP(C203,Classification!$A:$D,2,FALSE)</f>
        <v>B1</v>
      </c>
      <c r="G203" s="15" t="b">
        <f t="shared" si="3"/>
        <v>1</v>
      </c>
      <c r="J203" s="3"/>
    </row>
    <row r="204" spans="1:10" x14ac:dyDescent="0.2">
      <c r="A204" t="s">
        <v>407</v>
      </c>
      <c r="B204" s="1" t="s">
        <v>32</v>
      </c>
      <c r="C204" t="s">
        <v>32</v>
      </c>
      <c r="D204" s="28" t="str">
        <f>VLOOKUP(A204,Classification!$A:$D,2,FALSE)</f>
        <v>B1</v>
      </c>
      <c r="E204" s="50" t="str">
        <f>VLOOKUP(B204,Classification!$A:$D,2,FALSE)</f>
        <v>B1</v>
      </c>
      <c r="F204" s="15" t="str">
        <f>VLOOKUP(C204,Classification!$A:$D,2,FALSE)</f>
        <v>B1</v>
      </c>
      <c r="G204" s="15" t="b">
        <f t="shared" si="3"/>
        <v>1</v>
      </c>
      <c r="J204" s="3"/>
    </row>
    <row r="205" spans="1:10" x14ac:dyDescent="0.2">
      <c r="A205" t="s">
        <v>409</v>
      </c>
      <c r="B205" s="1" t="s">
        <v>406</v>
      </c>
      <c r="C205" t="s">
        <v>32</v>
      </c>
      <c r="D205" s="28" t="str">
        <f>VLOOKUP(A205,Classification!$A:$D,2,FALSE)</f>
        <v>B1</v>
      </c>
      <c r="E205" s="50" t="str">
        <f>VLOOKUP(B205,Classification!$A:$D,2,FALSE)</f>
        <v>B1</v>
      </c>
      <c r="F205" s="15" t="str">
        <f>VLOOKUP(C205,Classification!$A:$D,2,FALSE)</f>
        <v>B1</v>
      </c>
      <c r="G205" s="15" t="b">
        <f t="shared" si="3"/>
        <v>1</v>
      </c>
      <c r="J205" s="3"/>
    </row>
    <row r="206" spans="1:10" x14ac:dyDescent="0.2">
      <c r="A206" t="s">
        <v>410</v>
      </c>
      <c r="B206" s="1" t="s">
        <v>406</v>
      </c>
      <c r="C206" t="s">
        <v>32</v>
      </c>
      <c r="D206" s="28" t="str">
        <f>VLOOKUP(A206,Classification!$A:$D,2,FALSE)</f>
        <v>B1</v>
      </c>
      <c r="E206" s="50" t="str">
        <f>VLOOKUP(B206,Classification!$A:$D,2,FALSE)</f>
        <v>B1</v>
      </c>
      <c r="F206" s="15" t="str">
        <f>VLOOKUP(C206,Classification!$A:$D,2,FALSE)</f>
        <v>B1</v>
      </c>
      <c r="G206" s="15" t="b">
        <f t="shared" si="3"/>
        <v>1</v>
      </c>
      <c r="J206" s="3"/>
    </row>
    <row r="207" spans="1:10" x14ac:dyDescent="0.2">
      <c r="A207" t="s">
        <v>123</v>
      </c>
      <c r="B207" s="1" t="s">
        <v>40</v>
      </c>
      <c r="C207" t="s">
        <v>40</v>
      </c>
      <c r="D207" s="28" t="str">
        <f>VLOOKUP(A207,Classification!$A:$D,2,FALSE)</f>
        <v>C</v>
      </c>
      <c r="E207" s="50" t="str">
        <f>VLOOKUP(B207,Classification!$A:$D,2,FALSE)</f>
        <v>C</v>
      </c>
      <c r="F207" s="15" t="str">
        <f>VLOOKUP(C207,Classification!$A:$D,2,FALSE)</f>
        <v>C</v>
      </c>
      <c r="G207" s="15" t="b">
        <f t="shared" si="3"/>
        <v>1</v>
      </c>
      <c r="J207" s="3"/>
    </row>
    <row r="208" spans="1:10" x14ac:dyDescent="0.2">
      <c r="A208" t="s">
        <v>122</v>
      </c>
      <c r="B208" s="1" t="s">
        <v>40</v>
      </c>
      <c r="C208" t="s">
        <v>40</v>
      </c>
      <c r="D208" s="28" t="str">
        <f>VLOOKUP(A208,Classification!$A:$D,2,FALSE)</f>
        <v>C</v>
      </c>
      <c r="E208" s="50" t="str">
        <f>VLOOKUP(B208,Classification!$A:$D,2,FALSE)</f>
        <v>C</v>
      </c>
      <c r="F208" s="15" t="str">
        <f>VLOOKUP(C208,Classification!$A:$D,2,FALSE)</f>
        <v>C</v>
      </c>
      <c r="G208" s="15" t="b">
        <f t="shared" si="3"/>
        <v>1</v>
      </c>
      <c r="J208" s="3"/>
    </row>
    <row r="209" spans="1:10" x14ac:dyDescent="0.2">
      <c r="A209" t="s">
        <v>124</v>
      </c>
      <c r="B209" s="1" t="s">
        <v>40</v>
      </c>
      <c r="C209" t="s">
        <v>40</v>
      </c>
      <c r="D209" s="28" t="str">
        <f>VLOOKUP(A209,Classification!$A:$D,2,FALSE)</f>
        <v>C</v>
      </c>
      <c r="E209" s="50" t="str">
        <f>VLOOKUP(B209,Classification!$A:$D,2,FALSE)</f>
        <v>C</v>
      </c>
      <c r="F209" s="15" t="str">
        <f>VLOOKUP(C209,Classification!$A:$D,2,FALSE)</f>
        <v>C</v>
      </c>
      <c r="G209" s="15" t="b">
        <f t="shared" si="3"/>
        <v>1</v>
      </c>
      <c r="J209" s="3"/>
    </row>
    <row r="210" spans="1:10" x14ac:dyDescent="0.2">
      <c r="A210" t="s">
        <v>113</v>
      </c>
      <c r="B210" s="1" t="s">
        <v>40</v>
      </c>
      <c r="C210" t="s">
        <v>40</v>
      </c>
      <c r="D210" s="28" t="str">
        <f>VLOOKUP(A210,Classification!$A:$D,2,FALSE)</f>
        <v>C</v>
      </c>
      <c r="E210" s="50" t="str">
        <f>VLOOKUP(B210,Classification!$A:$D,2,FALSE)</f>
        <v>C</v>
      </c>
      <c r="F210" s="15" t="str">
        <f>VLOOKUP(C210,Classification!$A:$D,2,FALSE)</f>
        <v>C</v>
      </c>
      <c r="G210" s="15" t="b">
        <f t="shared" si="3"/>
        <v>1</v>
      </c>
      <c r="J210" s="3"/>
    </row>
    <row r="211" spans="1:10" x14ac:dyDescent="0.2">
      <c r="A211" t="s">
        <v>121</v>
      </c>
      <c r="B211" s="1" t="s">
        <v>40</v>
      </c>
      <c r="C211" t="s">
        <v>40</v>
      </c>
      <c r="D211" s="28" t="str">
        <f>VLOOKUP(A211,Classification!$A:$D,2,FALSE)</f>
        <v>C</v>
      </c>
      <c r="E211" s="50" t="str">
        <f>VLOOKUP(B211,Classification!$A:$D,2,FALSE)</f>
        <v>C</v>
      </c>
      <c r="F211" s="15" t="str">
        <f>VLOOKUP(C211,Classification!$A:$D,2,FALSE)</f>
        <v>C</v>
      </c>
      <c r="G211" s="15" t="b">
        <f t="shared" si="3"/>
        <v>1</v>
      </c>
      <c r="J211" s="3"/>
    </row>
    <row r="212" spans="1:10" x14ac:dyDescent="0.2">
      <c r="A212" t="s">
        <v>114</v>
      </c>
      <c r="B212" s="1" t="s">
        <v>40</v>
      </c>
      <c r="C212" t="s">
        <v>40</v>
      </c>
      <c r="D212" s="28" t="str">
        <f>VLOOKUP(A212,Classification!$A:$D,2,FALSE)</f>
        <v>C</v>
      </c>
      <c r="E212" s="50" t="str">
        <f>VLOOKUP(B212,Classification!$A:$D,2,FALSE)</f>
        <v>C</v>
      </c>
      <c r="F212" s="15" t="str">
        <f>VLOOKUP(C212,Classification!$A:$D,2,FALSE)</f>
        <v>C</v>
      </c>
      <c r="G212" s="15" t="b">
        <f t="shared" si="3"/>
        <v>1</v>
      </c>
      <c r="J212" s="3"/>
    </row>
    <row r="213" spans="1:10" x14ac:dyDescent="0.2">
      <c r="A213" t="s">
        <v>106</v>
      </c>
      <c r="B213" s="1" t="s">
        <v>41</v>
      </c>
      <c r="C213" t="s">
        <v>40</v>
      </c>
      <c r="D213" s="28" t="str">
        <f>VLOOKUP(A213,Classification!$A:$D,2,FALSE)</f>
        <v>C</v>
      </c>
      <c r="E213" s="50" t="str">
        <f>VLOOKUP(B213,Classification!$A:$D,2,FALSE)</f>
        <v>C</v>
      </c>
      <c r="F213" s="15" t="str">
        <f>VLOOKUP(C213,Classification!$A:$D,2,FALSE)</f>
        <v>C</v>
      </c>
      <c r="G213" s="15" t="b">
        <f t="shared" si="3"/>
        <v>1</v>
      </c>
      <c r="J213" s="3"/>
    </row>
    <row r="214" spans="1:10" x14ac:dyDescent="0.2">
      <c r="A214" t="s">
        <v>111</v>
      </c>
      <c r="B214" s="1" t="s">
        <v>40</v>
      </c>
      <c r="C214" t="s">
        <v>40</v>
      </c>
      <c r="D214" s="28" t="str">
        <f>VLOOKUP(A214,Classification!$A:$D,2,FALSE)</f>
        <v>C</v>
      </c>
      <c r="E214" s="50" t="str">
        <f>VLOOKUP(B214,Classification!$A:$D,2,FALSE)</f>
        <v>C</v>
      </c>
      <c r="F214" s="15" t="str">
        <f>VLOOKUP(C214,Classification!$A:$D,2,FALSE)</f>
        <v>C</v>
      </c>
      <c r="G214" s="15" t="b">
        <f t="shared" si="3"/>
        <v>1</v>
      </c>
      <c r="J214" s="3"/>
    </row>
    <row r="215" spans="1:10" x14ac:dyDescent="0.2">
      <c r="A215" t="s">
        <v>112</v>
      </c>
      <c r="B215" s="1" t="s">
        <v>40</v>
      </c>
      <c r="C215" t="s">
        <v>40</v>
      </c>
      <c r="D215" s="28" t="str">
        <f>VLOOKUP(A215,Classification!$A:$D,2,FALSE)</f>
        <v>C</v>
      </c>
      <c r="E215" s="50" t="str">
        <f>VLOOKUP(B215,Classification!$A:$D,2,FALSE)</f>
        <v>C</v>
      </c>
      <c r="F215" s="15" t="str">
        <f>VLOOKUP(C215,Classification!$A:$D,2,FALSE)</f>
        <v>C</v>
      </c>
      <c r="G215" s="15" t="b">
        <f t="shared" si="3"/>
        <v>1</v>
      </c>
      <c r="J215" s="3"/>
    </row>
    <row r="216" spans="1:10" x14ac:dyDescent="0.2">
      <c r="A216" t="s">
        <v>40</v>
      </c>
      <c r="B216" s="1" t="s">
        <v>40</v>
      </c>
      <c r="C216" t="s">
        <v>40</v>
      </c>
      <c r="D216" s="28" t="str">
        <f>VLOOKUP(A216,Classification!$A:$D,2,FALSE)</f>
        <v>C</v>
      </c>
      <c r="E216" s="50" t="str">
        <f>VLOOKUP(B216,Classification!$A:$D,2,FALSE)</f>
        <v>C</v>
      </c>
      <c r="F216" s="15" t="str">
        <f>VLOOKUP(C216,Classification!$A:$D,2,FALSE)</f>
        <v>C</v>
      </c>
      <c r="G216" s="15" t="b">
        <f t="shared" si="3"/>
        <v>1</v>
      </c>
      <c r="J216" s="3"/>
    </row>
    <row r="217" spans="1:10" x14ac:dyDescent="0.2">
      <c r="A217" t="s">
        <v>108</v>
      </c>
      <c r="B217" s="1" t="s">
        <v>40</v>
      </c>
      <c r="C217" t="s">
        <v>40</v>
      </c>
      <c r="D217" s="28" t="str">
        <f>VLOOKUP(A217,Classification!$A:$D,2,FALSE)</f>
        <v>C</v>
      </c>
      <c r="E217" s="50" t="str">
        <f>VLOOKUP(B217,Classification!$A:$D,2,FALSE)</f>
        <v>C</v>
      </c>
      <c r="F217" s="15" t="str">
        <f>VLOOKUP(C217,Classification!$A:$D,2,FALSE)</f>
        <v>C</v>
      </c>
      <c r="G217" s="15" t="b">
        <f t="shared" si="3"/>
        <v>1</v>
      </c>
      <c r="J217" s="3"/>
    </row>
    <row r="218" spans="1:10" x14ac:dyDescent="0.2">
      <c r="A218" t="s">
        <v>109</v>
      </c>
      <c r="B218" s="1" t="s">
        <v>40</v>
      </c>
      <c r="C218" t="s">
        <v>40</v>
      </c>
      <c r="D218" s="28" t="str">
        <f>VLOOKUP(A218,Classification!$A:$D,2,FALSE)</f>
        <v>C</v>
      </c>
      <c r="E218" s="50" t="str">
        <f>VLOOKUP(B218,Classification!$A:$D,2,FALSE)</f>
        <v>C</v>
      </c>
      <c r="F218" s="15" t="str">
        <f>VLOOKUP(C218,Classification!$A:$D,2,FALSE)</f>
        <v>C</v>
      </c>
      <c r="G218" s="15" t="b">
        <f t="shared" si="3"/>
        <v>1</v>
      </c>
      <c r="J218" s="3"/>
    </row>
    <row r="219" spans="1:10" x14ac:dyDescent="0.2">
      <c r="A219" t="s">
        <v>110</v>
      </c>
      <c r="B219" s="1" t="s">
        <v>40</v>
      </c>
      <c r="C219" t="s">
        <v>40</v>
      </c>
      <c r="D219" s="28" t="str">
        <f>VLOOKUP(A219,Classification!$A:$D,2,FALSE)</f>
        <v>C</v>
      </c>
      <c r="E219" s="50" t="str">
        <f>VLOOKUP(B219,Classification!$A:$D,2,FALSE)</f>
        <v>C</v>
      </c>
      <c r="F219" s="15" t="str">
        <f>VLOOKUP(C219,Classification!$A:$D,2,FALSE)</f>
        <v>C</v>
      </c>
      <c r="G219" s="15" t="b">
        <f t="shared" si="3"/>
        <v>1</v>
      </c>
      <c r="J219" s="3"/>
    </row>
    <row r="220" spans="1:10" x14ac:dyDescent="0.2">
      <c r="A220" t="s">
        <v>118</v>
      </c>
      <c r="B220" s="1" t="s">
        <v>41</v>
      </c>
      <c r="C220" t="s">
        <v>41</v>
      </c>
      <c r="D220" s="28" t="str">
        <f>VLOOKUP(A220,Classification!$A:$D,2,FALSE)</f>
        <v>C</v>
      </c>
      <c r="E220" s="50" t="str">
        <f>VLOOKUP(B220,Classification!$A:$D,2,FALSE)</f>
        <v>C</v>
      </c>
      <c r="F220" s="15" t="str">
        <f>VLOOKUP(C220,Classification!$A:$D,2,FALSE)</f>
        <v>C</v>
      </c>
      <c r="G220" s="15" t="b">
        <f t="shared" si="3"/>
        <v>1</v>
      </c>
      <c r="J220" s="3"/>
    </row>
    <row r="221" spans="1:10" x14ac:dyDescent="0.2">
      <c r="A221" t="s">
        <v>116</v>
      </c>
      <c r="B221" s="1" t="s">
        <v>41</v>
      </c>
      <c r="C221" t="s">
        <v>41</v>
      </c>
      <c r="D221" s="28" t="str">
        <f>VLOOKUP(A221,Classification!$A:$D,2,FALSE)</f>
        <v>C</v>
      </c>
      <c r="E221" s="50" t="str">
        <f>VLOOKUP(B221,Classification!$A:$D,2,FALSE)</f>
        <v>C</v>
      </c>
      <c r="F221" s="15" t="str">
        <f>VLOOKUP(C221,Classification!$A:$D,2,FALSE)</f>
        <v>C</v>
      </c>
      <c r="G221" s="15" t="b">
        <f t="shared" si="3"/>
        <v>1</v>
      </c>
      <c r="J221" s="3"/>
    </row>
    <row r="222" spans="1:10" x14ac:dyDescent="0.2">
      <c r="A222" t="s">
        <v>115</v>
      </c>
      <c r="B222" s="1" t="s">
        <v>41</v>
      </c>
      <c r="C222" t="s">
        <v>41</v>
      </c>
      <c r="D222" s="28" t="str">
        <f>VLOOKUP(A222,Classification!$A:$D,2,FALSE)</f>
        <v>C</v>
      </c>
      <c r="E222" s="50" t="str">
        <f>VLOOKUP(B222,Classification!$A:$D,2,FALSE)</f>
        <v>C</v>
      </c>
      <c r="F222" s="15" t="str">
        <f>VLOOKUP(C222,Classification!$A:$D,2,FALSE)</f>
        <v>C</v>
      </c>
      <c r="G222" s="15" t="b">
        <f t="shared" si="3"/>
        <v>1</v>
      </c>
      <c r="J222" s="3"/>
    </row>
    <row r="223" spans="1:10" x14ac:dyDescent="0.2">
      <c r="A223" t="s">
        <v>120</v>
      </c>
      <c r="B223" s="1" t="s">
        <v>41</v>
      </c>
      <c r="C223" t="s">
        <v>41</v>
      </c>
      <c r="D223" s="28" t="str">
        <f>VLOOKUP(A223,Classification!$A:$D,2,FALSE)</f>
        <v>C</v>
      </c>
      <c r="E223" s="50" t="str">
        <f>VLOOKUP(B223,Classification!$A:$D,2,FALSE)</f>
        <v>C</v>
      </c>
      <c r="F223" s="15" t="str">
        <f>VLOOKUP(C223,Classification!$A:$D,2,FALSE)</f>
        <v>C</v>
      </c>
      <c r="G223" s="15" t="b">
        <f t="shared" si="3"/>
        <v>1</v>
      </c>
      <c r="J223" s="3"/>
    </row>
    <row r="224" spans="1:10" x14ac:dyDescent="0.2">
      <c r="A224" t="s">
        <v>117</v>
      </c>
      <c r="B224" s="1" t="s">
        <v>41</v>
      </c>
      <c r="C224" t="s">
        <v>41</v>
      </c>
      <c r="D224" s="28" t="str">
        <f>VLOOKUP(A224,Classification!$A:$D,2,FALSE)</f>
        <v>C</v>
      </c>
      <c r="E224" s="50" t="str">
        <f>VLOOKUP(B224,Classification!$A:$D,2,FALSE)</f>
        <v>C</v>
      </c>
      <c r="F224" s="15" t="str">
        <f>VLOOKUP(C224,Classification!$A:$D,2,FALSE)</f>
        <v>C</v>
      </c>
      <c r="G224" s="15" t="b">
        <f t="shared" si="3"/>
        <v>1</v>
      </c>
      <c r="J224" s="3"/>
    </row>
    <row r="225" spans="1:10" x14ac:dyDescent="0.2">
      <c r="A225" t="s">
        <v>119</v>
      </c>
      <c r="B225" s="1" t="s">
        <v>41</v>
      </c>
      <c r="C225" t="s">
        <v>41</v>
      </c>
      <c r="D225" s="28" t="str">
        <f>VLOOKUP(A225,Classification!$A:$D,2,FALSE)</f>
        <v>C</v>
      </c>
      <c r="E225" s="50" t="str">
        <f>VLOOKUP(B225,Classification!$A:$D,2,FALSE)</f>
        <v>C</v>
      </c>
      <c r="F225" s="15" t="str">
        <f>VLOOKUP(C225,Classification!$A:$D,2,FALSE)</f>
        <v>C</v>
      </c>
      <c r="G225" s="15" t="b">
        <f t="shared" si="3"/>
        <v>1</v>
      </c>
      <c r="J225" s="3"/>
    </row>
    <row r="226" spans="1:10" x14ac:dyDescent="0.2">
      <c r="A226" t="s">
        <v>107</v>
      </c>
      <c r="B226" s="1" t="s">
        <v>41</v>
      </c>
      <c r="C226" t="s">
        <v>41</v>
      </c>
      <c r="D226" s="28" t="str">
        <f>VLOOKUP(A226,Classification!$A:$D,2,FALSE)</f>
        <v>C</v>
      </c>
      <c r="E226" s="50" t="str">
        <f>VLOOKUP(B226,Classification!$A:$D,2,FALSE)</f>
        <v>C</v>
      </c>
      <c r="F226" s="15" t="str">
        <f>VLOOKUP(C226,Classification!$A:$D,2,FALSE)</f>
        <v>C</v>
      </c>
      <c r="G226" s="15" t="b">
        <f t="shared" si="3"/>
        <v>1</v>
      </c>
      <c r="J226" s="3"/>
    </row>
    <row r="227" spans="1:10" x14ac:dyDescent="0.2">
      <c r="A227" t="s">
        <v>105</v>
      </c>
      <c r="B227" s="1" t="s">
        <v>41</v>
      </c>
      <c r="C227" t="s">
        <v>41</v>
      </c>
      <c r="D227" s="28" t="str">
        <f>VLOOKUP(A227,Classification!$A:$D,2,FALSE)</f>
        <v>C</v>
      </c>
      <c r="E227" s="50" t="str">
        <f>VLOOKUP(B227,Classification!$A:$D,2,FALSE)</f>
        <v>C</v>
      </c>
      <c r="F227" s="15" t="str">
        <f>VLOOKUP(C227,Classification!$A:$D,2,FALSE)</f>
        <v>C</v>
      </c>
      <c r="G227" s="15" t="b">
        <f t="shared" si="3"/>
        <v>1</v>
      </c>
      <c r="J227" s="3"/>
    </row>
    <row r="228" spans="1:10" x14ac:dyDescent="0.2">
      <c r="A228" t="s">
        <v>41</v>
      </c>
      <c r="B228" s="1" t="s">
        <v>41</v>
      </c>
      <c r="C228" t="s">
        <v>41</v>
      </c>
      <c r="D228" s="28" t="str">
        <f>VLOOKUP(A228,Classification!$A:$D,2,FALSE)</f>
        <v>C</v>
      </c>
      <c r="E228" s="50" t="str">
        <f>VLOOKUP(B228,Classification!$A:$D,2,FALSE)</f>
        <v>C</v>
      </c>
      <c r="F228" s="15" t="str">
        <f>VLOOKUP(C228,Classification!$A:$D,2,FALSE)</f>
        <v>C</v>
      </c>
      <c r="G228" s="15" t="b">
        <f t="shared" si="3"/>
        <v>1</v>
      </c>
      <c r="J228" s="3"/>
    </row>
    <row r="229" spans="1:10" x14ac:dyDescent="0.2">
      <c r="A229" t="s">
        <v>278</v>
      </c>
      <c r="B229" s="1" t="s">
        <v>278</v>
      </c>
      <c r="C229" t="s">
        <v>278</v>
      </c>
      <c r="D229" s="28" t="str">
        <f>VLOOKUP(A229,Classification!$A:$D,2,FALSE)</f>
        <v>A</v>
      </c>
      <c r="E229" s="50" t="str">
        <f>VLOOKUP(B229,Classification!$A:$D,2,FALSE)</f>
        <v>A</v>
      </c>
      <c r="F229" s="15" t="str">
        <f>VLOOKUP(C229,Classification!$A:$D,2,FALSE)</f>
        <v>A</v>
      </c>
      <c r="G229" s="15" t="b">
        <f t="shared" si="3"/>
        <v>1</v>
      </c>
      <c r="J229" s="3"/>
    </row>
    <row r="230" spans="1:10" x14ac:dyDescent="0.2">
      <c r="A230" t="s">
        <v>219</v>
      </c>
      <c r="B230" s="1" t="s">
        <v>158</v>
      </c>
      <c r="C230" t="s">
        <v>278</v>
      </c>
      <c r="D230" s="28" t="str">
        <f>VLOOKUP(A230,Classification!$A:$D,2,FALSE)</f>
        <v>A</v>
      </c>
      <c r="E230" s="50" t="str">
        <f>VLOOKUP(B230,Classification!$A:$D,2,FALSE)</f>
        <v>A</v>
      </c>
      <c r="F230" s="15" t="str">
        <f>VLOOKUP(C230,Classification!$A:$D,2,FALSE)</f>
        <v>A</v>
      </c>
      <c r="G230" s="15" t="b">
        <f t="shared" si="3"/>
        <v>1</v>
      </c>
      <c r="J230" s="3"/>
    </row>
    <row r="231" spans="1:10" x14ac:dyDescent="0.2">
      <c r="A231" t="s">
        <v>226</v>
      </c>
      <c r="B231" s="1" t="s">
        <v>355</v>
      </c>
      <c r="C231" t="s">
        <v>278</v>
      </c>
      <c r="D231" s="28" t="str">
        <f>VLOOKUP(A231,Classification!$A:$D,2,FALSE)</f>
        <v>A</v>
      </c>
      <c r="E231" s="50" t="str">
        <f>VLOOKUP(B231,Classification!$A:$D,2,FALSE)</f>
        <v>A</v>
      </c>
      <c r="F231" s="15" t="str">
        <f>VLOOKUP(C231,Classification!$A:$D,2,FALSE)</f>
        <v>A</v>
      </c>
      <c r="G231" s="15" t="b">
        <f t="shared" si="3"/>
        <v>1</v>
      </c>
      <c r="J231" s="3"/>
    </row>
    <row r="232" spans="1:10" x14ac:dyDescent="0.2">
      <c r="A232" t="s">
        <v>245</v>
      </c>
      <c r="B232" s="1" t="s">
        <v>278</v>
      </c>
      <c r="C232" t="s">
        <v>278</v>
      </c>
      <c r="D232" s="28" t="str">
        <f>VLOOKUP(A232,Classification!$A:$D,2,FALSE)</f>
        <v>A</v>
      </c>
      <c r="E232" s="50" t="str">
        <f>VLOOKUP(B232,Classification!$A:$D,2,FALSE)</f>
        <v>A</v>
      </c>
      <c r="F232" s="15" t="str">
        <f>VLOOKUP(C232,Classification!$A:$D,2,FALSE)</f>
        <v>A</v>
      </c>
      <c r="G232" s="15" t="b">
        <f t="shared" si="3"/>
        <v>1</v>
      </c>
      <c r="J232" s="3"/>
    </row>
    <row r="233" spans="1:10" x14ac:dyDescent="0.2">
      <c r="A233" t="s">
        <v>249</v>
      </c>
      <c r="B233" s="1" t="s">
        <v>104</v>
      </c>
      <c r="C233" t="s">
        <v>103</v>
      </c>
      <c r="D233" s="28" t="str">
        <f>VLOOKUP(A233,Classification!$A:$D,2,FALSE)</f>
        <v>A</v>
      </c>
      <c r="E233" s="50" t="str">
        <f>VLOOKUP(B233,Classification!$A:$D,2,FALSE)</f>
        <v>A</v>
      </c>
      <c r="F233" s="15" t="str">
        <f>VLOOKUP(C233,Classification!$A:$D,2,FALSE)</f>
        <v>A</v>
      </c>
      <c r="G233" s="15" t="b">
        <f t="shared" si="3"/>
        <v>1</v>
      </c>
      <c r="J233" s="3"/>
    </row>
    <row r="234" spans="1:10" x14ac:dyDescent="0.2">
      <c r="A234" t="s">
        <v>103</v>
      </c>
      <c r="B234" s="1" t="s">
        <v>103</v>
      </c>
      <c r="C234" t="s">
        <v>103</v>
      </c>
      <c r="D234" s="28" t="str">
        <f>VLOOKUP(A234,Classification!$A:$D,2,FALSE)</f>
        <v>A</v>
      </c>
      <c r="E234" s="50" t="str">
        <f>VLOOKUP(B234,Classification!$A:$D,2,FALSE)</f>
        <v>A</v>
      </c>
      <c r="F234" s="15" t="str">
        <f>VLOOKUP(C234,Classification!$A:$D,2,FALSE)</f>
        <v>A</v>
      </c>
      <c r="G234" s="15" t="b">
        <f t="shared" si="3"/>
        <v>1</v>
      </c>
      <c r="J234" s="3"/>
    </row>
    <row r="235" spans="1:10" x14ac:dyDescent="0.2">
      <c r="A235" t="s">
        <v>286</v>
      </c>
      <c r="B235" s="1" t="s">
        <v>103</v>
      </c>
      <c r="C235" t="s">
        <v>103</v>
      </c>
      <c r="D235" s="28" t="str">
        <f>VLOOKUP(A235,Classification!$A:$D,2,FALSE)</f>
        <v>A</v>
      </c>
      <c r="E235" s="50" t="str">
        <f>VLOOKUP(B235,Classification!$A:$D,2,FALSE)</f>
        <v>A</v>
      </c>
      <c r="F235" s="15" t="str">
        <f>VLOOKUP(C235,Classification!$A:$D,2,FALSE)</f>
        <v>A</v>
      </c>
      <c r="G235" s="15" t="b">
        <f t="shared" si="3"/>
        <v>1</v>
      </c>
      <c r="J235" s="3"/>
    </row>
    <row r="236" spans="1:10" x14ac:dyDescent="0.2">
      <c r="A236" t="s">
        <v>287</v>
      </c>
      <c r="B236" s="1" t="s">
        <v>103</v>
      </c>
      <c r="C236" t="s">
        <v>103</v>
      </c>
      <c r="D236" s="28" t="str">
        <f>VLOOKUP(A236,Classification!$A:$D,2,FALSE)</f>
        <v>A</v>
      </c>
      <c r="E236" s="50" t="str">
        <f>VLOOKUP(B236,Classification!$A:$D,2,FALSE)</f>
        <v>A</v>
      </c>
      <c r="F236" s="15" t="str">
        <f>VLOOKUP(C236,Classification!$A:$D,2,FALSE)</f>
        <v>A</v>
      </c>
      <c r="G236" s="15" t="b">
        <f t="shared" si="3"/>
        <v>1</v>
      </c>
      <c r="I236" s="10"/>
      <c r="J236" s="3"/>
    </row>
    <row r="237" spans="1:10" x14ac:dyDescent="0.2">
      <c r="A237" t="s">
        <v>183</v>
      </c>
      <c r="B237" s="1" t="s">
        <v>182</v>
      </c>
      <c r="C237" t="s">
        <v>182</v>
      </c>
      <c r="D237" s="28" t="str">
        <f>VLOOKUP(A237,Classification!$A:$D,2,FALSE)</f>
        <v>A</v>
      </c>
      <c r="E237" s="50" t="str">
        <f>VLOOKUP(B237,Classification!$A:$D,2,FALSE)</f>
        <v>A</v>
      </c>
      <c r="F237" s="15" t="str">
        <f>VLOOKUP(C237,Classification!$A:$D,2,FALSE)</f>
        <v>A</v>
      </c>
      <c r="G237" s="15" t="b">
        <f t="shared" si="3"/>
        <v>1</v>
      </c>
      <c r="J237" s="3"/>
    </row>
    <row r="238" spans="1:10" x14ac:dyDescent="0.2">
      <c r="A238" t="s">
        <v>182</v>
      </c>
      <c r="B238" s="1" t="s">
        <v>182</v>
      </c>
      <c r="C238" t="s">
        <v>182</v>
      </c>
      <c r="D238" s="28" t="str">
        <f>VLOOKUP(A238,Classification!$A:$D,2,FALSE)</f>
        <v>A</v>
      </c>
      <c r="E238" s="50" t="str">
        <f>VLOOKUP(B238,Classification!$A:$D,2,FALSE)</f>
        <v>A</v>
      </c>
      <c r="F238" s="15" t="str">
        <f>VLOOKUP(C238,Classification!$A:$D,2,FALSE)</f>
        <v>A</v>
      </c>
      <c r="G238" s="15" t="b">
        <f t="shared" si="3"/>
        <v>1</v>
      </c>
      <c r="J238" s="3"/>
    </row>
    <row r="239" spans="1:10" x14ac:dyDescent="0.2">
      <c r="A239" t="s">
        <v>362</v>
      </c>
      <c r="B239" s="1" t="s">
        <v>914</v>
      </c>
      <c r="C239" t="s">
        <v>914</v>
      </c>
      <c r="D239" s="28" t="str">
        <f>VLOOKUP(A239,Classification!$A:$D,2,FALSE)</f>
        <v>A</v>
      </c>
      <c r="E239" s="50" t="str">
        <f>VLOOKUP(B239,Classification!$A:$D,2,FALSE)</f>
        <v>A</v>
      </c>
      <c r="F239" s="15" t="str">
        <f>VLOOKUP(C239,Classification!$A:$D,2,FALSE)</f>
        <v>A</v>
      </c>
      <c r="G239" s="15" t="b">
        <f t="shared" si="3"/>
        <v>1</v>
      </c>
      <c r="J239" s="3"/>
    </row>
    <row r="240" spans="1:10" x14ac:dyDescent="0.2">
      <c r="A240" t="s">
        <v>209</v>
      </c>
      <c r="B240" s="1" t="s">
        <v>914</v>
      </c>
      <c r="C240" t="s">
        <v>914</v>
      </c>
      <c r="D240" s="28" t="str">
        <f>VLOOKUP(A240,Classification!$A:$D,2,FALSE)</f>
        <v>A</v>
      </c>
      <c r="E240" s="50" t="str">
        <f>VLOOKUP(B240,Classification!$A:$D,2,FALSE)</f>
        <v>A</v>
      </c>
      <c r="F240" s="15" t="str">
        <f>VLOOKUP(C240,Classification!$A:$D,2,FALSE)</f>
        <v>A</v>
      </c>
      <c r="G240" s="15" t="b">
        <f t="shared" si="3"/>
        <v>1</v>
      </c>
      <c r="J240" s="3"/>
    </row>
    <row r="241" spans="1:10" x14ac:dyDescent="0.2">
      <c r="A241" t="s">
        <v>330</v>
      </c>
      <c r="B241" s="1" t="s">
        <v>914</v>
      </c>
      <c r="C241" t="s">
        <v>914</v>
      </c>
      <c r="D241" s="28" t="str">
        <f>VLOOKUP(A241,Classification!$A:$D,2,FALSE)</f>
        <v>A</v>
      </c>
      <c r="E241" s="50" t="str">
        <f>VLOOKUP(B241,Classification!$A:$D,2,FALSE)</f>
        <v>A</v>
      </c>
      <c r="F241" s="15" t="str">
        <f>VLOOKUP(C241,Classification!$A:$D,2,FALSE)</f>
        <v>A</v>
      </c>
      <c r="G241" s="15" t="b">
        <f t="shared" si="3"/>
        <v>1</v>
      </c>
      <c r="J241" s="3"/>
    </row>
    <row r="242" spans="1:10" x14ac:dyDescent="0.2">
      <c r="A242" t="s">
        <v>127</v>
      </c>
      <c r="B242" s="1" t="s">
        <v>914</v>
      </c>
      <c r="C242" t="s">
        <v>914</v>
      </c>
      <c r="D242" s="28" t="str">
        <f>VLOOKUP(A242,Classification!$A:$D,2,FALSE)</f>
        <v>A</v>
      </c>
      <c r="E242" s="50" t="str">
        <f>VLOOKUP(B242,Classification!$A:$D,2,FALSE)</f>
        <v>A</v>
      </c>
      <c r="F242" s="15" t="str">
        <f>VLOOKUP(C242,Classification!$A:$D,2,FALSE)</f>
        <v>A</v>
      </c>
      <c r="G242" s="15" t="b">
        <f t="shared" si="3"/>
        <v>1</v>
      </c>
      <c r="J242" s="3"/>
    </row>
    <row r="243" spans="1:10" x14ac:dyDescent="0.2">
      <c r="A243" t="s">
        <v>914</v>
      </c>
      <c r="B243" s="1" t="s">
        <v>914</v>
      </c>
      <c r="C243" t="s">
        <v>914</v>
      </c>
      <c r="D243" s="28" t="str">
        <f>VLOOKUP(A243,Classification!$A:$D,2,FALSE)</f>
        <v>A</v>
      </c>
      <c r="E243" s="50" t="str">
        <f>VLOOKUP(B243,Classification!$A:$D,2,FALSE)</f>
        <v>A</v>
      </c>
      <c r="F243" s="15" t="str">
        <f>VLOOKUP(C243,Classification!$A:$D,2,FALSE)</f>
        <v>A</v>
      </c>
      <c r="G243" s="15" t="b">
        <f t="shared" si="3"/>
        <v>1</v>
      </c>
      <c r="J243" s="3"/>
    </row>
    <row r="244" spans="1:10" x14ac:dyDescent="0.2">
      <c r="A244" t="s">
        <v>310</v>
      </c>
      <c r="B244" s="1" t="s">
        <v>914</v>
      </c>
      <c r="C244" t="s">
        <v>914</v>
      </c>
      <c r="D244" s="28" t="str">
        <f>VLOOKUP(A244,Classification!$A:$D,2,FALSE)</f>
        <v>A</v>
      </c>
      <c r="E244" s="50" t="str">
        <f>VLOOKUP(B244,Classification!$A:$D,2,FALSE)</f>
        <v>A</v>
      </c>
      <c r="F244" s="15" t="str">
        <f>VLOOKUP(C244,Classification!$A:$D,2,FALSE)</f>
        <v>A</v>
      </c>
      <c r="G244" s="15" t="b">
        <f t="shared" si="3"/>
        <v>1</v>
      </c>
      <c r="J244" s="3"/>
    </row>
    <row r="245" spans="1:10" x14ac:dyDescent="0.2">
      <c r="A245" t="s">
        <v>216</v>
      </c>
      <c r="B245" s="1" t="s">
        <v>914</v>
      </c>
      <c r="C245" t="s">
        <v>914</v>
      </c>
      <c r="D245" s="28" t="str">
        <f>VLOOKUP(A245,Classification!$A:$D,2,FALSE)</f>
        <v>A</v>
      </c>
      <c r="E245" s="50" t="str">
        <f>VLOOKUP(B245,Classification!$A:$D,2,FALSE)</f>
        <v>A</v>
      </c>
      <c r="F245" s="15" t="str">
        <f>VLOOKUP(C245,Classification!$A:$D,2,FALSE)</f>
        <v>A</v>
      </c>
      <c r="G245" s="15" t="b">
        <f t="shared" si="3"/>
        <v>1</v>
      </c>
      <c r="J245" s="3"/>
    </row>
    <row r="246" spans="1:10" x14ac:dyDescent="0.2">
      <c r="A246" t="s">
        <v>318</v>
      </c>
      <c r="B246" s="1" t="s">
        <v>914</v>
      </c>
      <c r="C246" t="s">
        <v>914</v>
      </c>
      <c r="D246" s="28" t="str">
        <f>VLOOKUP(A246,Classification!$A:$D,2,FALSE)</f>
        <v>A</v>
      </c>
      <c r="E246" s="50" t="str">
        <f>VLOOKUP(B246,Classification!$A:$D,2,FALSE)</f>
        <v>A</v>
      </c>
      <c r="F246" s="15" t="str">
        <f>VLOOKUP(C246,Classification!$A:$D,2,FALSE)</f>
        <v>A</v>
      </c>
      <c r="G246" s="15" t="b">
        <f t="shared" si="3"/>
        <v>1</v>
      </c>
      <c r="J246" s="3"/>
    </row>
    <row r="247" spans="1:10" x14ac:dyDescent="0.2">
      <c r="A247" t="s">
        <v>319</v>
      </c>
      <c r="B247" s="1" t="s">
        <v>914</v>
      </c>
      <c r="C247" t="s">
        <v>914</v>
      </c>
      <c r="D247" s="28" t="str">
        <f>VLOOKUP(A247,Classification!$A:$D,2,FALSE)</f>
        <v>A</v>
      </c>
      <c r="E247" s="50" t="str">
        <f>VLOOKUP(B247,Classification!$A:$D,2,FALSE)</f>
        <v>A</v>
      </c>
      <c r="F247" s="15" t="str">
        <f>VLOOKUP(C247,Classification!$A:$D,2,FALSE)</f>
        <v>A</v>
      </c>
      <c r="G247" s="15" t="b">
        <f t="shared" si="3"/>
        <v>1</v>
      </c>
      <c r="J247" s="3"/>
    </row>
    <row r="248" spans="1:10" x14ac:dyDescent="0.2">
      <c r="A248" t="s">
        <v>256</v>
      </c>
      <c r="B248" s="1" t="s">
        <v>914</v>
      </c>
      <c r="C248" t="s">
        <v>914</v>
      </c>
      <c r="D248" s="28" t="str">
        <f>VLOOKUP(A248,Classification!$A:$D,2,FALSE)</f>
        <v>A</v>
      </c>
      <c r="E248" s="50" t="str">
        <f>VLOOKUP(B248,Classification!$A:$D,2,FALSE)</f>
        <v>A</v>
      </c>
      <c r="F248" s="15" t="str">
        <f>VLOOKUP(C248,Classification!$A:$D,2,FALSE)</f>
        <v>A</v>
      </c>
      <c r="G248" s="15" t="b">
        <f t="shared" si="3"/>
        <v>1</v>
      </c>
      <c r="J248" s="3"/>
    </row>
    <row r="249" spans="1:10" x14ac:dyDescent="0.2">
      <c r="A249" t="s">
        <v>224</v>
      </c>
      <c r="B249" s="1" t="s">
        <v>914</v>
      </c>
      <c r="C249" t="s">
        <v>914</v>
      </c>
      <c r="D249" s="28" t="str">
        <f>VLOOKUP(A249,Classification!$A:$D,2,FALSE)</f>
        <v>A</v>
      </c>
      <c r="E249" s="50" t="str">
        <f>VLOOKUP(B249,Classification!$A:$D,2,FALSE)</f>
        <v>A</v>
      </c>
      <c r="F249" s="15" t="str">
        <f>VLOOKUP(C249,Classification!$A:$D,2,FALSE)</f>
        <v>A</v>
      </c>
      <c r="G249" s="15" t="b">
        <f t="shared" si="3"/>
        <v>1</v>
      </c>
      <c r="J249" s="3"/>
    </row>
    <row r="250" spans="1:10" x14ac:dyDescent="0.2">
      <c r="A250" t="s">
        <v>321</v>
      </c>
      <c r="B250" s="1" t="s">
        <v>335</v>
      </c>
      <c r="C250" t="s">
        <v>916</v>
      </c>
      <c r="D250" s="28" t="str">
        <f>VLOOKUP(A250,Classification!$A:$D,2,FALSE)</f>
        <v>A</v>
      </c>
      <c r="E250" s="50" t="str">
        <f>VLOOKUP(B250,Classification!$A:$D,2,FALSE)</f>
        <v>A</v>
      </c>
      <c r="F250" s="15" t="str">
        <f>VLOOKUP(C250,Classification!$A:$D,2,FALSE)</f>
        <v>A</v>
      </c>
      <c r="G250" s="15" t="b">
        <f t="shared" si="3"/>
        <v>1</v>
      </c>
      <c r="J250" s="3"/>
    </row>
    <row r="251" spans="1:10" x14ac:dyDescent="0.2">
      <c r="A251" t="s">
        <v>268</v>
      </c>
      <c r="B251" s="1" t="s">
        <v>918</v>
      </c>
      <c r="C251" t="s">
        <v>916</v>
      </c>
      <c r="D251" s="28" t="str">
        <f>VLOOKUP(A251,Classification!$A:$D,2,FALSE)</f>
        <v>A</v>
      </c>
      <c r="E251" s="50" t="str">
        <f>VLOOKUP(B251,Classification!$A:$D,2,FALSE)</f>
        <v>A</v>
      </c>
      <c r="F251" s="15" t="str">
        <f>VLOOKUP(C251,Classification!$A:$D,2,FALSE)</f>
        <v>A</v>
      </c>
      <c r="G251" s="15" t="b">
        <f t="shared" si="3"/>
        <v>1</v>
      </c>
      <c r="J251" s="3"/>
    </row>
    <row r="252" spans="1:10" x14ac:dyDescent="0.2">
      <c r="A252" t="s">
        <v>300</v>
      </c>
      <c r="B252" s="1" t="s">
        <v>335</v>
      </c>
      <c r="C252" t="s">
        <v>916</v>
      </c>
      <c r="D252" s="28" t="str">
        <f>VLOOKUP(A252,Classification!$A:$D,2,FALSE)</f>
        <v>A</v>
      </c>
      <c r="E252" s="50" t="str">
        <f>VLOOKUP(B252,Classification!$A:$D,2,FALSE)</f>
        <v>A</v>
      </c>
      <c r="F252" s="15" t="str">
        <f>VLOOKUP(C252,Classification!$A:$D,2,FALSE)</f>
        <v>A</v>
      </c>
      <c r="G252" s="15" t="b">
        <f t="shared" si="3"/>
        <v>1</v>
      </c>
      <c r="J252" s="3"/>
    </row>
    <row r="253" spans="1:10" s="12" customFormat="1" x14ac:dyDescent="0.2">
      <c r="A253" s="12" t="s">
        <v>335</v>
      </c>
      <c r="B253" s="12" t="s">
        <v>335</v>
      </c>
      <c r="C253" s="12" t="s">
        <v>335</v>
      </c>
      <c r="D253" s="59" t="str">
        <f>VLOOKUP(A253,Classification!$A:$D,2,FALSE)</f>
        <v>A</v>
      </c>
      <c r="E253" s="50" t="str">
        <f>VLOOKUP(B253,Classification!$A:$D,2,FALSE)</f>
        <v>A</v>
      </c>
      <c r="F253" s="62" t="str">
        <f>VLOOKUP(C253,Classification!$A:$D,2,FALSE)</f>
        <v>A</v>
      </c>
      <c r="G253" s="15" t="b">
        <f t="shared" si="3"/>
        <v>1</v>
      </c>
      <c r="J253" s="3"/>
    </row>
    <row r="254" spans="1:10" x14ac:dyDescent="0.2">
      <c r="A254" t="s">
        <v>916</v>
      </c>
      <c r="B254" s="1" t="s">
        <v>335</v>
      </c>
      <c r="C254" t="s">
        <v>916</v>
      </c>
      <c r="D254" s="28" t="str">
        <f>VLOOKUP(A254,Classification!$A:$D,2,FALSE)</f>
        <v>A</v>
      </c>
      <c r="E254" s="50" t="str">
        <f>VLOOKUP(B254,Classification!$A:$D,2,FALSE)</f>
        <v>A</v>
      </c>
      <c r="F254" s="15" t="str">
        <f>VLOOKUP(C254,Classification!$A:$D,2,FALSE)</f>
        <v>A</v>
      </c>
      <c r="G254" s="15" t="b">
        <f t="shared" si="3"/>
        <v>1</v>
      </c>
      <c r="J254" s="3"/>
    </row>
    <row r="255" spans="1:10" x14ac:dyDescent="0.2">
      <c r="A255" t="s">
        <v>384</v>
      </c>
      <c r="B255" s="1" t="s">
        <v>335</v>
      </c>
      <c r="C255" t="s">
        <v>916</v>
      </c>
      <c r="D255" s="28" t="str">
        <f>VLOOKUP(A255,Classification!$A:$D,2,FALSE)</f>
        <v>A</v>
      </c>
      <c r="E255" s="50" t="str">
        <f>VLOOKUP(B255,Classification!$A:$D,2,FALSE)</f>
        <v>A</v>
      </c>
      <c r="F255" s="15" t="str">
        <f>VLOOKUP(C255,Classification!$A:$D,2,FALSE)</f>
        <v>A</v>
      </c>
      <c r="G255" s="15" t="b">
        <f t="shared" si="3"/>
        <v>1</v>
      </c>
      <c r="J255" s="3"/>
    </row>
    <row r="256" spans="1:10" x14ac:dyDescent="0.2">
      <c r="A256" t="s">
        <v>360</v>
      </c>
      <c r="B256" s="1" t="s">
        <v>159</v>
      </c>
      <c r="C256" t="s">
        <v>916</v>
      </c>
      <c r="D256" s="28" t="str">
        <f>VLOOKUP(A256,Classification!$A:$D,2,FALSE)</f>
        <v>A</v>
      </c>
      <c r="E256" s="50" t="str">
        <f>VLOOKUP(B256,Classification!$A:$D,2,FALSE)</f>
        <v>A</v>
      </c>
      <c r="F256" s="15" t="str">
        <f>VLOOKUP(C256,Classification!$A:$D,2,FALSE)</f>
        <v>A</v>
      </c>
      <c r="G256" s="15" t="b">
        <f t="shared" si="3"/>
        <v>1</v>
      </c>
      <c r="J256" s="3"/>
    </row>
    <row r="257" spans="1:10" x14ac:dyDescent="0.2">
      <c r="A257" t="s">
        <v>200</v>
      </c>
      <c r="B257" s="1" t="s">
        <v>1176</v>
      </c>
      <c r="C257" t="s">
        <v>336</v>
      </c>
      <c r="D257" s="28" t="str">
        <f>VLOOKUP(A257,Classification!$A:$D,2,FALSE)</f>
        <v>A</v>
      </c>
      <c r="E257" s="50" t="str">
        <f>VLOOKUP(B257,Classification!$A:$D,2,FALSE)</f>
        <v>A</v>
      </c>
      <c r="F257" s="15" t="str">
        <f>VLOOKUP(C257,Classification!$A:$D,2,FALSE)</f>
        <v>A</v>
      </c>
      <c r="G257" s="15" t="b">
        <f t="shared" si="3"/>
        <v>1</v>
      </c>
      <c r="J257" s="3"/>
    </row>
    <row r="258" spans="1:10" x14ac:dyDescent="0.2">
      <c r="A258" t="s">
        <v>251</v>
      </c>
      <c r="B258" s="1" t="s">
        <v>336</v>
      </c>
      <c r="C258" t="s">
        <v>336</v>
      </c>
      <c r="D258" s="28" t="str">
        <f>VLOOKUP(A258,Classification!$A:$D,2,FALSE)</f>
        <v>A</v>
      </c>
      <c r="E258" s="50" t="str">
        <f>VLOOKUP(B258,Classification!$A:$D,2,FALSE)</f>
        <v>A</v>
      </c>
      <c r="F258" s="15" t="str">
        <f>VLOOKUP(C258,Classification!$A:$D,2,FALSE)</f>
        <v>A</v>
      </c>
      <c r="G258" s="15" t="b">
        <f t="shared" si="3"/>
        <v>1</v>
      </c>
      <c r="J258" s="3"/>
    </row>
    <row r="259" spans="1:10" x14ac:dyDescent="0.2">
      <c r="A259" t="s">
        <v>164</v>
      </c>
      <c r="B259" s="1" t="s">
        <v>158</v>
      </c>
      <c r="C259" t="s">
        <v>336</v>
      </c>
      <c r="D259" s="28" t="str">
        <f>VLOOKUP(A259,Classification!$A:$D,2,FALSE)</f>
        <v>A</v>
      </c>
      <c r="E259" s="50" t="str">
        <f>VLOOKUP(B259,Classification!$A:$D,2,FALSE)</f>
        <v>A</v>
      </c>
      <c r="F259" s="15" t="str">
        <f>VLOOKUP(C259,Classification!$A:$D,2,FALSE)</f>
        <v>A</v>
      </c>
      <c r="G259" s="15" t="b">
        <f t="shared" ref="G259:G322" si="4">OR(D259=F259,AND(D259="T",F259="A"),AND(D259="B2",F259="B1"),D259="O")</f>
        <v>1</v>
      </c>
      <c r="J259" s="3"/>
    </row>
    <row r="260" spans="1:10" x14ac:dyDescent="0.2">
      <c r="A260" t="s">
        <v>308</v>
      </c>
      <c r="B260" s="1" t="s">
        <v>918</v>
      </c>
      <c r="C260" t="s">
        <v>336</v>
      </c>
      <c r="D260" s="28" t="str">
        <f>VLOOKUP(A260,Classification!$A:$D,2,FALSE)</f>
        <v>A</v>
      </c>
      <c r="E260" s="50" t="str">
        <f>VLOOKUP(B260,Classification!$A:$D,2,FALSE)</f>
        <v>A</v>
      </c>
      <c r="F260" s="15" t="str">
        <f>VLOOKUP(C260,Classification!$A:$D,2,FALSE)</f>
        <v>A</v>
      </c>
      <c r="G260" s="15" t="b">
        <f t="shared" si="4"/>
        <v>1</v>
      </c>
      <c r="J260" s="3"/>
    </row>
    <row r="261" spans="1:10" x14ac:dyDescent="0.2">
      <c r="A261" t="s">
        <v>336</v>
      </c>
      <c r="B261" s="1" t="s">
        <v>336</v>
      </c>
      <c r="C261" t="s">
        <v>336</v>
      </c>
      <c r="D261" s="28" t="str">
        <f>VLOOKUP(A261,Classification!$A:$D,2,FALSE)</f>
        <v>A</v>
      </c>
      <c r="E261" s="50" t="str">
        <f>VLOOKUP(B261,Classification!$A:$D,2,FALSE)</f>
        <v>A</v>
      </c>
      <c r="F261" s="15" t="str">
        <f>VLOOKUP(C261,Classification!$A:$D,2,FALSE)</f>
        <v>A</v>
      </c>
      <c r="G261" s="15" t="b">
        <f t="shared" si="4"/>
        <v>1</v>
      </c>
      <c r="J261" s="3"/>
    </row>
    <row r="262" spans="1:10" x14ac:dyDescent="0.2">
      <c r="A262" t="s">
        <v>342</v>
      </c>
      <c r="B262" s="1" t="s">
        <v>336</v>
      </c>
      <c r="C262" t="s">
        <v>336</v>
      </c>
      <c r="D262" s="28" t="str">
        <f>VLOOKUP(A262,Classification!$A:$D,2,FALSE)</f>
        <v>A</v>
      </c>
      <c r="E262" s="50" t="str">
        <f>VLOOKUP(B262,Classification!$A:$D,2,FALSE)</f>
        <v>A</v>
      </c>
      <c r="F262" s="15" t="str">
        <f>VLOOKUP(C262,Classification!$A:$D,2,FALSE)</f>
        <v>A</v>
      </c>
      <c r="G262" s="15" t="b">
        <f t="shared" si="4"/>
        <v>1</v>
      </c>
      <c r="J262" s="3"/>
    </row>
    <row r="263" spans="1:10" x14ac:dyDescent="0.2">
      <c r="A263" t="s">
        <v>205</v>
      </c>
      <c r="B263" s="1" t="s">
        <v>336</v>
      </c>
      <c r="C263" t="s">
        <v>918</v>
      </c>
      <c r="D263" s="28" t="str">
        <f>VLOOKUP(A263,Classification!$A:$D,2,FALSE)</f>
        <v>A</v>
      </c>
      <c r="E263" s="50" t="str">
        <f>VLOOKUP(B263,Classification!$A:$D,2,FALSE)</f>
        <v>A</v>
      </c>
      <c r="F263" s="15" t="str">
        <f>VLOOKUP(C263,Classification!$A:$D,2,FALSE)</f>
        <v>A</v>
      </c>
      <c r="G263" s="15" t="b">
        <f t="shared" si="4"/>
        <v>1</v>
      </c>
      <c r="J263" s="3"/>
    </row>
    <row r="264" spans="1:10" x14ac:dyDescent="0.2">
      <c r="A264" t="s">
        <v>382</v>
      </c>
      <c r="B264" s="1" t="s">
        <v>336</v>
      </c>
      <c r="C264" t="s">
        <v>918</v>
      </c>
      <c r="D264" s="28" t="str">
        <f>VLOOKUP(A264,Classification!$A:$D,2,FALSE)</f>
        <v>A</v>
      </c>
      <c r="E264" s="50" t="str">
        <f>VLOOKUP(B264,Classification!$A:$D,2,FALSE)</f>
        <v>A</v>
      </c>
      <c r="F264" s="15" t="str">
        <f>VLOOKUP(C264,Classification!$A:$D,2,FALSE)</f>
        <v>A</v>
      </c>
      <c r="G264" s="15" t="b">
        <f t="shared" si="4"/>
        <v>1</v>
      </c>
      <c r="J264" s="3"/>
    </row>
    <row r="265" spans="1:10" x14ac:dyDescent="0.2">
      <c r="A265" t="s">
        <v>385</v>
      </c>
      <c r="B265" s="1" t="s">
        <v>336</v>
      </c>
      <c r="C265" t="s">
        <v>918</v>
      </c>
      <c r="D265" s="28" t="str">
        <f>VLOOKUP(A265,Classification!$A:$D,2,FALSE)</f>
        <v>A</v>
      </c>
      <c r="E265" s="50" t="str">
        <f>VLOOKUP(B265,Classification!$A:$D,2,FALSE)</f>
        <v>A</v>
      </c>
      <c r="F265" s="15" t="str">
        <f>VLOOKUP(C265,Classification!$A:$D,2,FALSE)</f>
        <v>A</v>
      </c>
      <c r="G265" s="15" t="b">
        <f t="shared" si="4"/>
        <v>1</v>
      </c>
      <c r="J265" s="3"/>
    </row>
    <row r="266" spans="1:10" x14ac:dyDescent="0.2">
      <c r="A266" t="s">
        <v>918</v>
      </c>
      <c r="B266" s="1" t="s">
        <v>918</v>
      </c>
      <c r="C266" t="s">
        <v>918</v>
      </c>
      <c r="D266" s="28" t="str">
        <f>VLOOKUP(A266,Classification!$A:$D,2,FALSE)</f>
        <v>A</v>
      </c>
      <c r="E266" s="50" t="str">
        <f>VLOOKUP(B266,Classification!$A:$D,2,FALSE)</f>
        <v>A</v>
      </c>
      <c r="F266" s="15" t="str">
        <f>VLOOKUP(C266,Classification!$A:$D,2,FALSE)</f>
        <v>A</v>
      </c>
      <c r="G266" s="15" t="b">
        <f t="shared" si="4"/>
        <v>1</v>
      </c>
      <c r="J266" s="3"/>
    </row>
    <row r="267" spans="1:10" x14ac:dyDescent="0.2">
      <c r="A267" t="s">
        <v>337</v>
      </c>
      <c r="B267" s="1" t="s">
        <v>918</v>
      </c>
      <c r="C267" t="s">
        <v>918</v>
      </c>
      <c r="D267" s="28" t="str">
        <f>VLOOKUP(A267,Classification!$A:$D,2,FALSE)</f>
        <v>A</v>
      </c>
      <c r="E267" s="50" t="str">
        <f>VLOOKUP(B267,Classification!$A:$D,2,FALSE)</f>
        <v>A</v>
      </c>
      <c r="F267" s="15" t="str">
        <f>VLOOKUP(C267,Classification!$A:$D,2,FALSE)</f>
        <v>A</v>
      </c>
      <c r="G267" s="15" t="b">
        <f t="shared" si="4"/>
        <v>1</v>
      </c>
      <c r="J267" s="3"/>
    </row>
    <row r="268" spans="1:10" x14ac:dyDescent="0.2">
      <c r="A268" t="s">
        <v>381</v>
      </c>
      <c r="B268" s="1" t="s">
        <v>336</v>
      </c>
      <c r="C268" t="s">
        <v>918</v>
      </c>
      <c r="D268" s="28" t="str">
        <f>VLOOKUP(A268,Classification!$A:$D,2,FALSE)</f>
        <v>A</v>
      </c>
      <c r="E268" s="50" t="str">
        <f>VLOOKUP(B268,Classification!$A:$D,2,FALSE)</f>
        <v>A</v>
      </c>
      <c r="F268" s="15" t="str">
        <f>VLOOKUP(C268,Classification!$A:$D,2,FALSE)</f>
        <v>A</v>
      </c>
      <c r="G268" s="15" t="b">
        <f t="shared" si="4"/>
        <v>1</v>
      </c>
      <c r="J268" s="3"/>
    </row>
    <row r="269" spans="1:10" x14ac:dyDescent="0.2">
      <c r="A269" t="s">
        <v>397</v>
      </c>
      <c r="B269" s="1" t="s">
        <v>1176</v>
      </c>
      <c r="C269" t="s">
        <v>918</v>
      </c>
      <c r="D269" s="28" t="str">
        <f>VLOOKUP(A269,Classification!$A:$D,2,FALSE)</f>
        <v>A</v>
      </c>
      <c r="E269" s="50" t="str">
        <f>VLOOKUP(B269,Classification!$A:$D,2,FALSE)</f>
        <v>A</v>
      </c>
      <c r="F269" s="15" t="str">
        <f>VLOOKUP(C269,Classification!$A:$D,2,FALSE)</f>
        <v>A</v>
      </c>
      <c r="G269" s="15" t="b">
        <f t="shared" si="4"/>
        <v>1</v>
      </c>
      <c r="J269" s="3"/>
    </row>
    <row r="270" spans="1:10" x14ac:dyDescent="0.2">
      <c r="A270" t="s">
        <v>207</v>
      </c>
      <c r="B270" s="1" t="s">
        <v>336</v>
      </c>
      <c r="C270" t="s">
        <v>918</v>
      </c>
      <c r="D270" s="28" t="str">
        <f>VLOOKUP(A270,Classification!$A:$D,2,FALSE)</f>
        <v>A</v>
      </c>
      <c r="E270" s="50" t="str">
        <f>VLOOKUP(B270,Classification!$A:$D,2,FALSE)</f>
        <v>A</v>
      </c>
      <c r="F270" s="15" t="str">
        <f>VLOOKUP(C270,Classification!$A:$D,2,FALSE)</f>
        <v>A</v>
      </c>
      <c r="G270" s="15" t="b">
        <f t="shared" si="4"/>
        <v>1</v>
      </c>
      <c r="J270" s="3"/>
    </row>
    <row r="271" spans="1:10" x14ac:dyDescent="0.2">
      <c r="A271" t="s">
        <v>206</v>
      </c>
      <c r="B271" s="1" t="s">
        <v>336</v>
      </c>
      <c r="C271" t="s">
        <v>918</v>
      </c>
      <c r="D271" s="28" t="str">
        <f>VLOOKUP(A271,Classification!$A:$D,2,FALSE)</f>
        <v>A</v>
      </c>
      <c r="E271" s="50" t="str">
        <f>VLOOKUP(B271,Classification!$A:$D,2,FALSE)</f>
        <v>A</v>
      </c>
      <c r="F271" s="15" t="str">
        <f>VLOOKUP(C271,Classification!$A:$D,2,FALSE)</f>
        <v>A</v>
      </c>
      <c r="G271" s="15" t="b">
        <f t="shared" si="4"/>
        <v>1</v>
      </c>
      <c r="J271" s="3"/>
    </row>
    <row r="272" spans="1:10" x14ac:dyDescent="0.2">
      <c r="A272" t="s">
        <v>210</v>
      </c>
      <c r="B272" s="1" t="s">
        <v>160</v>
      </c>
      <c r="C272" t="s">
        <v>918</v>
      </c>
      <c r="D272" s="28" t="str">
        <f>VLOOKUP(A272,Classification!$A:$D,2,FALSE)</f>
        <v>A</v>
      </c>
      <c r="E272" s="50" t="str">
        <f>VLOOKUP(B272,Classification!$A:$D,2,FALSE)</f>
        <v>A</v>
      </c>
      <c r="F272" s="15" t="str">
        <f>VLOOKUP(C272,Classification!$A:$D,2,FALSE)</f>
        <v>A</v>
      </c>
      <c r="G272" s="15" t="b">
        <f t="shared" si="4"/>
        <v>1</v>
      </c>
      <c r="J272" s="3"/>
    </row>
    <row r="273" spans="1:10" x14ac:dyDescent="0.2">
      <c r="A273" t="s">
        <v>217</v>
      </c>
      <c r="B273" s="1" t="s">
        <v>278</v>
      </c>
      <c r="C273" t="s">
        <v>1174</v>
      </c>
      <c r="D273" s="28" t="str">
        <f>VLOOKUP(A273,Classification!$A:$D,2,FALSE)</f>
        <v>A</v>
      </c>
      <c r="E273" s="50" t="str">
        <f>VLOOKUP(B273,Classification!$A:$D,2,FALSE)</f>
        <v>A</v>
      </c>
      <c r="F273" s="15" t="str">
        <f>VLOOKUP(C273,Classification!$A:$D,2,FALSE)</f>
        <v>A</v>
      </c>
      <c r="G273" s="15" t="b">
        <f t="shared" si="4"/>
        <v>1</v>
      </c>
      <c r="J273" s="3"/>
    </row>
    <row r="274" spans="1:10" x14ac:dyDescent="0.2">
      <c r="A274" t="s">
        <v>320</v>
      </c>
      <c r="B274" s="1" t="s">
        <v>336</v>
      </c>
      <c r="C274" t="s">
        <v>1174</v>
      </c>
      <c r="D274" s="28" t="str">
        <f>VLOOKUP(A274,Classification!$A:$D,2,FALSE)</f>
        <v>A</v>
      </c>
      <c r="E274" s="50" t="str">
        <f>VLOOKUP(B274,Classification!$A:$D,2,FALSE)</f>
        <v>A</v>
      </c>
      <c r="F274" s="15" t="str">
        <f>VLOOKUP(C274,Classification!$A:$D,2,FALSE)</f>
        <v>A</v>
      </c>
      <c r="G274" s="15" t="b">
        <f t="shared" si="4"/>
        <v>1</v>
      </c>
      <c r="J274" s="3"/>
    </row>
    <row r="275" spans="1:10" x14ac:dyDescent="0.2">
      <c r="A275" t="s">
        <v>299</v>
      </c>
      <c r="B275" s="1" t="s">
        <v>336</v>
      </c>
      <c r="C275" t="s">
        <v>1174</v>
      </c>
      <c r="D275" s="28" t="str">
        <f>VLOOKUP(A275,Classification!$A:$D,2,FALSE)</f>
        <v>A</v>
      </c>
      <c r="E275" s="50" t="str">
        <f>VLOOKUP(B275,Classification!$A:$D,2,FALSE)</f>
        <v>A</v>
      </c>
      <c r="F275" s="15" t="str">
        <f>VLOOKUP(C275,Classification!$A:$D,2,FALSE)</f>
        <v>A</v>
      </c>
      <c r="G275" s="15" t="b">
        <f t="shared" si="4"/>
        <v>1</v>
      </c>
      <c r="J275" s="3"/>
    </row>
    <row r="276" spans="1:10" x14ac:dyDescent="0.2">
      <c r="A276" t="s">
        <v>399</v>
      </c>
      <c r="B276" s="1" t="s">
        <v>914</v>
      </c>
      <c r="C276" t="s">
        <v>1174</v>
      </c>
      <c r="D276" s="28" t="str">
        <f>VLOOKUP(A276,Classification!$A:$D,2,FALSE)</f>
        <v>A</v>
      </c>
      <c r="E276" s="50" t="str">
        <f>VLOOKUP(B276,Classification!$A:$D,2,FALSE)</f>
        <v>A</v>
      </c>
      <c r="F276" s="15" t="str">
        <f>VLOOKUP(C276,Classification!$A:$D,2,FALSE)</f>
        <v>A</v>
      </c>
      <c r="G276" s="15" t="b">
        <f t="shared" si="4"/>
        <v>1</v>
      </c>
      <c r="J276" s="3"/>
    </row>
    <row r="277" spans="1:10" x14ac:dyDescent="0.2">
      <c r="A277" t="s">
        <v>218</v>
      </c>
      <c r="B277" s="1" t="s">
        <v>35</v>
      </c>
      <c r="C277" t="s">
        <v>1174</v>
      </c>
      <c r="D277" s="28" t="str">
        <f>VLOOKUP(A277,Classification!$A:$D,2,FALSE)</f>
        <v>A</v>
      </c>
      <c r="E277" s="50" t="str">
        <f>VLOOKUP(B277,Classification!$A:$D,2,FALSE)</f>
        <v>A</v>
      </c>
      <c r="F277" s="15" t="str">
        <f>VLOOKUP(C277,Classification!$A:$D,2,FALSE)</f>
        <v>A</v>
      </c>
      <c r="G277" s="15" t="b">
        <f t="shared" si="4"/>
        <v>1</v>
      </c>
      <c r="J277" s="3"/>
    </row>
    <row r="278" spans="1:10" x14ac:dyDescent="0.2">
      <c r="A278" t="s">
        <v>1174</v>
      </c>
      <c r="B278" s="1" t="s">
        <v>1174</v>
      </c>
      <c r="C278" t="s">
        <v>1174</v>
      </c>
      <c r="D278" s="28" t="str">
        <f>VLOOKUP(A278,Classification!$A:$D,2,FALSE)</f>
        <v>A</v>
      </c>
      <c r="E278" s="50" t="str">
        <f>VLOOKUP(B278,Classification!$A:$D,2,FALSE)</f>
        <v>A</v>
      </c>
      <c r="F278" s="15" t="str">
        <f>VLOOKUP(C278,Classification!$A:$D,2,FALSE)</f>
        <v>A</v>
      </c>
      <c r="G278" s="15" t="b">
        <f t="shared" si="4"/>
        <v>1</v>
      </c>
      <c r="J278" s="3"/>
    </row>
    <row r="279" spans="1:10" x14ac:dyDescent="0.2">
      <c r="A279" t="s">
        <v>396</v>
      </c>
      <c r="B279" s="1" t="s">
        <v>126</v>
      </c>
      <c r="C279" t="s">
        <v>1174</v>
      </c>
      <c r="D279" s="28" t="str">
        <f>VLOOKUP(A279,Classification!$A:$D,2,FALSE)</f>
        <v>A</v>
      </c>
      <c r="E279" s="50" t="str">
        <f>VLOOKUP(B279,Classification!$A:$D,2,FALSE)</f>
        <v>A</v>
      </c>
      <c r="F279" s="15" t="str">
        <f>VLOOKUP(C279,Classification!$A:$D,2,FALSE)</f>
        <v>A</v>
      </c>
      <c r="G279" s="15" t="b">
        <f t="shared" si="4"/>
        <v>1</v>
      </c>
      <c r="J279" s="3"/>
    </row>
    <row r="280" spans="1:10" x14ac:dyDescent="0.2">
      <c r="A280" t="s">
        <v>282</v>
      </c>
      <c r="B280" s="1" t="s">
        <v>336</v>
      </c>
      <c r="C280" t="s">
        <v>1174</v>
      </c>
      <c r="D280" s="28" t="str">
        <f>VLOOKUP(A280,Classification!$A:$D,2,FALSE)</f>
        <v>A</v>
      </c>
      <c r="E280" s="50" t="str">
        <f>VLOOKUP(B280,Classification!$A:$D,2,FALSE)</f>
        <v>A</v>
      </c>
      <c r="F280" s="15" t="str">
        <f>VLOOKUP(C280,Classification!$A:$D,2,FALSE)</f>
        <v>A</v>
      </c>
      <c r="G280" s="15" t="b">
        <f t="shared" si="4"/>
        <v>1</v>
      </c>
      <c r="J280" s="3"/>
    </row>
    <row r="281" spans="1:10" x14ac:dyDescent="0.2">
      <c r="A281" t="s">
        <v>394</v>
      </c>
      <c r="B281" s="1" t="s">
        <v>1174</v>
      </c>
      <c r="C281" t="s">
        <v>1174</v>
      </c>
      <c r="D281" s="28" t="str">
        <f>VLOOKUP(A281,Classification!$A:$D,2,FALSE)</f>
        <v>A</v>
      </c>
      <c r="E281" s="50" t="str">
        <f>VLOOKUP(B281,Classification!$A:$D,2,FALSE)</f>
        <v>A</v>
      </c>
      <c r="F281" s="15" t="str">
        <f>VLOOKUP(C281,Classification!$A:$D,2,FALSE)</f>
        <v>A</v>
      </c>
      <c r="G281" s="15" t="b">
        <f t="shared" si="4"/>
        <v>1</v>
      </c>
      <c r="J281" s="3"/>
    </row>
    <row r="282" spans="1:10" x14ac:dyDescent="0.2">
      <c r="A282" t="s">
        <v>398</v>
      </c>
      <c r="B282" s="1" t="s">
        <v>104</v>
      </c>
      <c r="C282" t="s">
        <v>1174</v>
      </c>
      <c r="D282" s="28" t="str">
        <f>VLOOKUP(A282,Classification!$A:$D,2,FALSE)</f>
        <v>A</v>
      </c>
      <c r="E282" s="50" t="str">
        <f>VLOOKUP(B282,Classification!$A:$D,2,FALSE)</f>
        <v>A</v>
      </c>
      <c r="F282" s="15" t="str">
        <f>VLOOKUP(C282,Classification!$A:$D,2,FALSE)</f>
        <v>A</v>
      </c>
      <c r="G282" s="15" t="b">
        <f t="shared" si="4"/>
        <v>1</v>
      </c>
      <c r="J282" s="3"/>
    </row>
    <row r="283" spans="1:10" x14ac:dyDescent="0.2">
      <c r="A283" t="s">
        <v>383</v>
      </c>
      <c r="B283" s="1" t="s">
        <v>336</v>
      </c>
      <c r="C283" t="s">
        <v>1174</v>
      </c>
      <c r="D283" s="28" t="str">
        <f>VLOOKUP(A283,Classification!$A:$D,2,FALSE)</f>
        <v>A</v>
      </c>
      <c r="E283" s="50" t="str">
        <f>VLOOKUP(B283,Classification!$A:$D,2,FALSE)</f>
        <v>A</v>
      </c>
      <c r="F283" s="15" t="str">
        <f>VLOOKUP(C283,Classification!$A:$D,2,FALSE)</f>
        <v>A</v>
      </c>
      <c r="G283" s="15" t="b">
        <f t="shared" si="4"/>
        <v>1</v>
      </c>
      <c r="J283" s="3"/>
    </row>
    <row r="284" spans="1:10" x14ac:dyDescent="0.2">
      <c r="A284" t="s">
        <v>920</v>
      </c>
      <c r="B284" s="1" t="s">
        <v>920</v>
      </c>
      <c r="C284" t="s">
        <v>920</v>
      </c>
      <c r="D284" s="28" t="str">
        <f>VLOOKUP(A284,Classification!$A:$D,2,FALSE)</f>
        <v>A</v>
      </c>
      <c r="E284" s="50" t="str">
        <f>VLOOKUP(B284,Classification!$A:$D,2,FALSE)</f>
        <v>A</v>
      </c>
      <c r="F284" s="15" t="str">
        <f>VLOOKUP(C284,Classification!$A:$D,2,FALSE)</f>
        <v>A</v>
      </c>
      <c r="G284" s="15" t="b">
        <f t="shared" si="4"/>
        <v>1</v>
      </c>
      <c r="J284" s="3"/>
    </row>
    <row r="285" spans="1:10" x14ac:dyDescent="0.2">
      <c r="A285" t="s">
        <v>332</v>
      </c>
      <c r="B285" s="1" t="s">
        <v>920</v>
      </c>
      <c r="C285" t="s">
        <v>920</v>
      </c>
      <c r="D285" s="28" t="str">
        <f>VLOOKUP(A285,Classification!$A:$D,2,FALSE)</f>
        <v>A</v>
      </c>
      <c r="E285" s="50" t="str">
        <f>VLOOKUP(B285,Classification!$A:$D,2,FALSE)</f>
        <v>A</v>
      </c>
      <c r="F285" s="15" t="str">
        <f>VLOOKUP(C285,Classification!$A:$D,2,FALSE)</f>
        <v>A</v>
      </c>
      <c r="G285" s="15" t="b">
        <f t="shared" si="4"/>
        <v>1</v>
      </c>
      <c r="J285" s="3"/>
    </row>
    <row r="286" spans="1:10" x14ac:dyDescent="0.2">
      <c r="A286" t="s">
        <v>339</v>
      </c>
      <c r="B286" s="1" t="s">
        <v>339</v>
      </c>
      <c r="C286" t="s">
        <v>339</v>
      </c>
      <c r="D286" s="28" t="str">
        <f>VLOOKUP(A286,Classification!$A:$D,2,FALSE)</f>
        <v>A</v>
      </c>
      <c r="E286" s="50" t="str">
        <f>VLOOKUP(B286,Classification!$A:$D,2,FALSE)</f>
        <v>A</v>
      </c>
      <c r="F286" s="15" t="str">
        <f>VLOOKUP(C286,Classification!$A:$D,2,FALSE)</f>
        <v>A</v>
      </c>
      <c r="G286" s="15" t="b">
        <f t="shared" si="4"/>
        <v>1</v>
      </c>
      <c r="J286" s="3"/>
    </row>
    <row r="287" spans="1:10" x14ac:dyDescent="0.2">
      <c r="A287" t="s">
        <v>340</v>
      </c>
      <c r="B287" s="1" t="s">
        <v>339</v>
      </c>
      <c r="C287" t="s">
        <v>339</v>
      </c>
      <c r="D287" s="28" t="str">
        <f>VLOOKUP(A287,Classification!$A:$D,2,FALSE)</f>
        <v>A</v>
      </c>
      <c r="E287" s="50" t="str">
        <f>VLOOKUP(B287,Classification!$A:$D,2,FALSE)</f>
        <v>A</v>
      </c>
      <c r="F287" s="15" t="str">
        <f>VLOOKUP(C287,Classification!$A:$D,2,FALSE)</f>
        <v>A</v>
      </c>
      <c r="G287" s="15" t="b">
        <f t="shared" si="4"/>
        <v>1</v>
      </c>
      <c r="J287" s="3"/>
    </row>
    <row r="288" spans="1:10" x14ac:dyDescent="0.2">
      <c r="A288" t="s">
        <v>341</v>
      </c>
      <c r="B288" s="1" t="s">
        <v>920</v>
      </c>
      <c r="C288" t="s">
        <v>339</v>
      </c>
      <c r="D288" s="28" t="str">
        <f>VLOOKUP(A288,Classification!$A:$D,2,FALSE)</f>
        <v>A</v>
      </c>
      <c r="E288" s="50" t="str">
        <f>VLOOKUP(B288,Classification!$A:$D,2,FALSE)</f>
        <v>A</v>
      </c>
      <c r="F288" s="15" t="str">
        <f>VLOOKUP(C288,Classification!$A:$D,2,FALSE)</f>
        <v>A</v>
      </c>
      <c r="G288" s="15" t="b">
        <f t="shared" si="4"/>
        <v>1</v>
      </c>
      <c r="J288" s="3"/>
    </row>
    <row r="289" spans="1:10" x14ac:dyDescent="0.2">
      <c r="A289" t="s">
        <v>338</v>
      </c>
      <c r="B289" s="1" t="s">
        <v>339</v>
      </c>
      <c r="C289" t="s">
        <v>339</v>
      </c>
      <c r="D289" s="28" t="str">
        <f>VLOOKUP(A289,Classification!$A:$D,2,FALSE)</f>
        <v>A</v>
      </c>
      <c r="E289" s="50" t="str">
        <f>VLOOKUP(B289,Classification!$A:$D,2,FALSE)</f>
        <v>A</v>
      </c>
      <c r="F289" s="15" t="str">
        <f>VLOOKUP(C289,Classification!$A:$D,2,FALSE)</f>
        <v>A</v>
      </c>
      <c r="G289" s="15" t="b">
        <f t="shared" si="4"/>
        <v>1</v>
      </c>
      <c r="J289" s="3"/>
    </row>
    <row r="290" spans="1:10" x14ac:dyDescent="0.2">
      <c r="A290" t="s">
        <v>285</v>
      </c>
      <c r="B290" s="1" t="s">
        <v>126</v>
      </c>
      <c r="C290" t="s">
        <v>339</v>
      </c>
      <c r="D290" s="28" t="str">
        <f>VLOOKUP(A290,Classification!$A:$D,2,FALSE)</f>
        <v>A</v>
      </c>
      <c r="E290" s="50" t="str">
        <f>VLOOKUP(B290,Classification!$A:$D,2,FALSE)</f>
        <v>A</v>
      </c>
      <c r="F290" s="15" t="str">
        <f>VLOOKUP(C290,Classification!$A:$D,2,FALSE)</f>
        <v>A</v>
      </c>
      <c r="G290" s="15" t="b">
        <f t="shared" si="4"/>
        <v>1</v>
      </c>
      <c r="J290" s="3"/>
    </row>
    <row r="291" spans="1:10" x14ac:dyDescent="0.2">
      <c r="A291" t="s">
        <v>334</v>
      </c>
      <c r="B291" s="1" t="s">
        <v>920</v>
      </c>
      <c r="C291" t="s">
        <v>922</v>
      </c>
      <c r="D291" s="28" t="str">
        <f>VLOOKUP(A291,Classification!$A:$D,2,FALSE)</f>
        <v>A</v>
      </c>
      <c r="E291" s="50" t="str">
        <f>VLOOKUP(B291,Classification!$A:$D,2,FALSE)</f>
        <v>A</v>
      </c>
      <c r="F291" s="15" t="str">
        <f>VLOOKUP(C291,Classification!$A:$D,2,FALSE)</f>
        <v>A</v>
      </c>
      <c r="G291" s="15" t="b">
        <f t="shared" si="4"/>
        <v>1</v>
      </c>
      <c r="J291" s="3"/>
    </row>
    <row r="292" spans="1:10" x14ac:dyDescent="0.2">
      <c r="A292" t="s">
        <v>333</v>
      </c>
      <c r="B292" s="1" t="s">
        <v>339</v>
      </c>
      <c r="C292" t="s">
        <v>922</v>
      </c>
      <c r="D292" s="28" t="str">
        <f>VLOOKUP(A292,Classification!$A:$D,2,FALSE)</f>
        <v>A</v>
      </c>
      <c r="E292" s="50" t="str">
        <f>VLOOKUP(B292,Classification!$A:$D,2,FALSE)</f>
        <v>A</v>
      </c>
      <c r="F292" s="15" t="str">
        <f>VLOOKUP(C292,Classification!$A:$D,2,FALSE)</f>
        <v>A</v>
      </c>
      <c r="G292" s="15" t="b">
        <f t="shared" si="4"/>
        <v>1</v>
      </c>
      <c r="J292" s="3"/>
    </row>
    <row r="293" spans="1:10" x14ac:dyDescent="0.2">
      <c r="A293" t="s">
        <v>922</v>
      </c>
      <c r="B293" s="1" t="s">
        <v>922</v>
      </c>
      <c r="C293" t="s">
        <v>922</v>
      </c>
      <c r="D293" s="28" t="str">
        <f>VLOOKUP(A293,Classification!$A:$D,2,FALSE)</f>
        <v>A</v>
      </c>
      <c r="E293" s="50" t="str">
        <f>VLOOKUP(B293,Classification!$A:$D,2,FALSE)</f>
        <v>A</v>
      </c>
      <c r="F293" s="15" t="str">
        <f>VLOOKUP(C293,Classification!$A:$D,2,FALSE)</f>
        <v>A</v>
      </c>
      <c r="G293" s="15" t="b">
        <f t="shared" si="4"/>
        <v>1</v>
      </c>
      <c r="J293" s="3"/>
    </row>
    <row r="294" spans="1:10" x14ac:dyDescent="0.2">
      <c r="A294" t="s">
        <v>270</v>
      </c>
      <c r="B294" s="1" t="s">
        <v>196</v>
      </c>
      <c r="C294" t="s">
        <v>1175</v>
      </c>
      <c r="D294" s="28" t="str">
        <f>VLOOKUP(A294,Classification!$A:$D,2,FALSE)</f>
        <v>A</v>
      </c>
      <c r="E294" s="50" t="str">
        <f>VLOOKUP(B294,Classification!$A:$D,2,FALSE)</f>
        <v>A</v>
      </c>
      <c r="F294" s="15" t="str">
        <f>VLOOKUP(C294,Classification!$A:$D,2,FALSE)</f>
        <v>A</v>
      </c>
      <c r="G294" s="15" t="b">
        <f t="shared" si="4"/>
        <v>1</v>
      </c>
      <c r="J294" s="3"/>
    </row>
    <row r="295" spans="1:10" x14ac:dyDescent="0.2">
      <c r="A295" t="s">
        <v>326</v>
      </c>
      <c r="B295" s="1" t="s">
        <v>1175</v>
      </c>
      <c r="C295" t="s">
        <v>1175</v>
      </c>
      <c r="D295" s="28" t="str">
        <f>VLOOKUP(A295,Classification!$A:$D,2,FALSE)</f>
        <v>A</v>
      </c>
      <c r="E295" s="50" t="str">
        <f>VLOOKUP(B295,Classification!$A:$D,2,FALSE)</f>
        <v>A</v>
      </c>
      <c r="F295" s="15" t="str">
        <f>VLOOKUP(C295,Classification!$A:$D,2,FALSE)</f>
        <v>A</v>
      </c>
      <c r="G295" s="15" t="b">
        <f t="shared" si="4"/>
        <v>1</v>
      </c>
      <c r="J295" s="3"/>
    </row>
    <row r="296" spans="1:10" x14ac:dyDescent="0.2">
      <c r="A296" t="s">
        <v>344</v>
      </c>
      <c r="B296" s="1" t="s">
        <v>1175</v>
      </c>
      <c r="C296" t="s">
        <v>1175</v>
      </c>
      <c r="D296" s="28" t="str">
        <f>VLOOKUP(A296,Classification!$A:$D,2,FALSE)</f>
        <v>A</v>
      </c>
      <c r="E296" s="50" t="str">
        <f>VLOOKUP(B296,Classification!$A:$D,2,FALSE)</f>
        <v>A</v>
      </c>
      <c r="F296" s="15" t="str">
        <f>VLOOKUP(C296,Classification!$A:$D,2,FALSE)</f>
        <v>A</v>
      </c>
      <c r="G296" s="15" t="b">
        <f t="shared" si="4"/>
        <v>1</v>
      </c>
      <c r="J296" s="3"/>
    </row>
    <row r="297" spans="1:10" x14ac:dyDescent="0.2">
      <c r="A297" t="s">
        <v>1175</v>
      </c>
      <c r="B297" s="1" t="s">
        <v>1175</v>
      </c>
      <c r="C297" t="s">
        <v>1175</v>
      </c>
      <c r="D297" s="28" t="str">
        <f>VLOOKUP(A297,Classification!$A:$D,2,FALSE)</f>
        <v>A</v>
      </c>
      <c r="E297" s="50" t="str">
        <f>VLOOKUP(B297,Classification!$A:$D,2,FALSE)</f>
        <v>A</v>
      </c>
      <c r="F297" s="15" t="str">
        <f>VLOOKUP(C297,Classification!$A:$D,2,FALSE)</f>
        <v>A</v>
      </c>
      <c r="G297" s="15" t="b">
        <f t="shared" si="4"/>
        <v>1</v>
      </c>
      <c r="J297" s="3"/>
    </row>
    <row r="298" spans="1:10" x14ac:dyDescent="0.2">
      <c r="A298" t="s">
        <v>267</v>
      </c>
      <c r="B298" s="1" t="s">
        <v>1175</v>
      </c>
      <c r="C298" t="s">
        <v>1175</v>
      </c>
      <c r="D298" s="28" t="str">
        <f>VLOOKUP(A298,Classification!$A:$D,2,FALSE)</f>
        <v>A</v>
      </c>
      <c r="E298" s="50" t="str">
        <f>VLOOKUP(B298,Classification!$A:$D,2,FALSE)</f>
        <v>A</v>
      </c>
      <c r="F298" s="15" t="str">
        <f>VLOOKUP(C298,Classification!$A:$D,2,FALSE)</f>
        <v>A</v>
      </c>
      <c r="G298" s="15" t="b">
        <f t="shared" si="4"/>
        <v>1</v>
      </c>
      <c r="J298" s="3"/>
    </row>
    <row r="299" spans="1:10" x14ac:dyDescent="0.2">
      <c r="A299" t="s">
        <v>222</v>
      </c>
      <c r="B299" s="1" t="s">
        <v>1176</v>
      </c>
      <c r="C299" t="s">
        <v>1175</v>
      </c>
      <c r="D299" s="28" t="str">
        <f>VLOOKUP(A299,Classification!$A:$D,2,FALSE)</f>
        <v>A</v>
      </c>
      <c r="E299" s="50" t="str">
        <f>VLOOKUP(B299,Classification!$A:$D,2,FALSE)</f>
        <v>A</v>
      </c>
      <c r="F299" s="15" t="str">
        <f>VLOOKUP(C299,Classification!$A:$D,2,FALSE)</f>
        <v>A</v>
      </c>
      <c r="G299" s="15" t="b">
        <f t="shared" si="4"/>
        <v>1</v>
      </c>
      <c r="J299" s="3"/>
    </row>
    <row r="300" spans="1:10" x14ac:dyDescent="0.2">
      <c r="A300" t="s">
        <v>323</v>
      </c>
      <c r="B300" s="1" t="s">
        <v>1176</v>
      </c>
      <c r="C300" t="s">
        <v>1175</v>
      </c>
      <c r="D300" s="28" t="str">
        <f>VLOOKUP(A300,Classification!$A:$D,2,FALSE)</f>
        <v>A</v>
      </c>
      <c r="E300" s="50" t="str">
        <f>VLOOKUP(B300,Classification!$A:$D,2,FALSE)</f>
        <v>A</v>
      </c>
      <c r="F300" s="15" t="str">
        <f>VLOOKUP(C300,Classification!$A:$D,2,FALSE)</f>
        <v>A</v>
      </c>
      <c r="G300" s="15" t="b">
        <f t="shared" si="4"/>
        <v>1</v>
      </c>
      <c r="J300" s="3"/>
    </row>
    <row r="301" spans="1:10" x14ac:dyDescent="0.2">
      <c r="A301" t="s">
        <v>315</v>
      </c>
      <c r="B301" s="1" t="s">
        <v>1175</v>
      </c>
      <c r="C301" t="s">
        <v>1175</v>
      </c>
      <c r="D301" s="28" t="str">
        <f>VLOOKUP(A301,Classification!$A:$D,2,FALSE)</f>
        <v>A</v>
      </c>
      <c r="E301" s="50" t="str">
        <f>VLOOKUP(B301,Classification!$A:$D,2,FALSE)</f>
        <v>A</v>
      </c>
      <c r="F301" s="15" t="str">
        <f>VLOOKUP(C301,Classification!$A:$D,2,FALSE)</f>
        <v>A</v>
      </c>
      <c r="G301" s="15" t="b">
        <f t="shared" si="4"/>
        <v>1</v>
      </c>
      <c r="J301" s="3"/>
    </row>
    <row r="302" spans="1:10" x14ac:dyDescent="0.2">
      <c r="A302" t="s">
        <v>215</v>
      </c>
      <c r="B302" s="1" t="s">
        <v>1175</v>
      </c>
      <c r="C302" t="s">
        <v>1175</v>
      </c>
      <c r="D302" s="28" t="str">
        <f>VLOOKUP(A302,Classification!$A:$D,2,FALSE)</f>
        <v>A</v>
      </c>
      <c r="E302" s="50" t="str">
        <f>VLOOKUP(B302,Classification!$A:$D,2,FALSE)</f>
        <v>A</v>
      </c>
      <c r="F302" s="15" t="str">
        <f>VLOOKUP(C302,Classification!$A:$D,2,FALSE)</f>
        <v>A</v>
      </c>
      <c r="G302" s="15" t="b">
        <f t="shared" si="4"/>
        <v>1</v>
      </c>
      <c r="J302" s="3"/>
    </row>
    <row r="303" spans="1:10" x14ac:dyDescent="0.2">
      <c r="A303" t="s">
        <v>232</v>
      </c>
      <c r="B303" s="1" t="s">
        <v>1175</v>
      </c>
      <c r="C303" t="s">
        <v>1175</v>
      </c>
      <c r="D303" s="28" t="str">
        <f>VLOOKUP(A303,Classification!$A:$D,2,FALSE)</f>
        <v>A</v>
      </c>
      <c r="E303" s="50" t="str">
        <f>VLOOKUP(B303,Classification!$A:$D,2,FALSE)</f>
        <v>A</v>
      </c>
      <c r="F303" s="15" t="str">
        <f>VLOOKUP(C303,Classification!$A:$D,2,FALSE)</f>
        <v>A</v>
      </c>
      <c r="G303" s="15" t="b">
        <f t="shared" si="4"/>
        <v>1</v>
      </c>
      <c r="J303" s="3"/>
    </row>
    <row r="304" spans="1:10" x14ac:dyDescent="0.2">
      <c r="A304" t="s">
        <v>328</v>
      </c>
      <c r="B304" s="1" t="s">
        <v>1176</v>
      </c>
      <c r="C304" t="s">
        <v>1176</v>
      </c>
      <c r="D304" s="28" t="str">
        <f>VLOOKUP(A304,Classification!$A:$D,2,FALSE)</f>
        <v>A</v>
      </c>
      <c r="E304" s="50" t="str">
        <f>VLOOKUP(B304,Classification!$A:$D,2,FALSE)</f>
        <v>A</v>
      </c>
      <c r="F304" s="15" t="str">
        <f>VLOOKUP(C304,Classification!$A:$D,2,FALSE)</f>
        <v>A</v>
      </c>
      <c r="G304" s="15" t="b">
        <f t="shared" si="4"/>
        <v>1</v>
      </c>
      <c r="J304" s="3"/>
    </row>
    <row r="305" spans="1:10" x14ac:dyDescent="0.2">
      <c r="A305" t="s">
        <v>369</v>
      </c>
      <c r="B305" s="1" t="s">
        <v>1176</v>
      </c>
      <c r="C305" t="s">
        <v>1176</v>
      </c>
      <c r="D305" s="28" t="str">
        <f>VLOOKUP(A305,Classification!$A:$D,2,FALSE)</f>
        <v>A</v>
      </c>
      <c r="E305" s="50" t="str">
        <f>VLOOKUP(B305,Classification!$A:$D,2,FALSE)</f>
        <v>A</v>
      </c>
      <c r="F305" s="15" t="str">
        <f>VLOOKUP(C305,Classification!$A:$D,2,FALSE)</f>
        <v>A</v>
      </c>
      <c r="G305" s="15" t="b">
        <f t="shared" si="4"/>
        <v>1</v>
      </c>
      <c r="J305" s="3"/>
    </row>
    <row r="306" spans="1:10" x14ac:dyDescent="0.2">
      <c r="A306" t="s">
        <v>359</v>
      </c>
      <c r="B306" s="1" t="s">
        <v>914</v>
      </c>
      <c r="C306" t="s">
        <v>1176</v>
      </c>
      <c r="D306" s="28" t="str">
        <f>VLOOKUP(A306,Classification!$A:$D,2,FALSE)</f>
        <v>A</v>
      </c>
      <c r="E306" s="50" t="str">
        <f>VLOOKUP(B306,Classification!$A:$D,2,FALSE)</f>
        <v>A</v>
      </c>
      <c r="F306" s="15" t="str">
        <f>VLOOKUP(C306,Classification!$A:$D,2,FALSE)</f>
        <v>A</v>
      </c>
      <c r="G306" s="15" t="b">
        <f t="shared" si="4"/>
        <v>1</v>
      </c>
      <c r="J306" s="3"/>
    </row>
    <row r="307" spans="1:10" x14ac:dyDescent="0.2">
      <c r="A307" t="s">
        <v>324</v>
      </c>
      <c r="B307" s="1" t="s">
        <v>278</v>
      </c>
      <c r="C307" t="s">
        <v>1176</v>
      </c>
      <c r="D307" s="28" t="str">
        <f>VLOOKUP(A307,Classification!$A:$D,2,FALSE)</f>
        <v>A</v>
      </c>
      <c r="E307" s="50" t="str">
        <f>VLOOKUP(B307,Classification!$A:$D,2,FALSE)</f>
        <v>A</v>
      </c>
      <c r="F307" s="15" t="str">
        <f>VLOOKUP(C307,Classification!$A:$D,2,FALSE)</f>
        <v>A</v>
      </c>
      <c r="G307" s="15" t="b">
        <f t="shared" si="4"/>
        <v>1</v>
      </c>
      <c r="J307" s="3"/>
    </row>
    <row r="308" spans="1:10" x14ac:dyDescent="0.2">
      <c r="A308" t="s">
        <v>247</v>
      </c>
      <c r="B308" s="1" t="s">
        <v>1176</v>
      </c>
      <c r="C308" t="s">
        <v>1176</v>
      </c>
      <c r="D308" s="28" t="str">
        <f>VLOOKUP(A308,Classification!$A:$D,2,FALSE)</f>
        <v>A</v>
      </c>
      <c r="E308" s="50" t="str">
        <f>VLOOKUP(B308,Classification!$A:$D,2,FALSE)</f>
        <v>A</v>
      </c>
      <c r="F308" s="15" t="str">
        <f>VLOOKUP(C308,Classification!$A:$D,2,FALSE)</f>
        <v>A</v>
      </c>
      <c r="G308" s="15" t="b">
        <f t="shared" si="4"/>
        <v>1</v>
      </c>
      <c r="J308" s="3"/>
    </row>
    <row r="309" spans="1:10" x14ac:dyDescent="0.2">
      <c r="A309" t="s">
        <v>260</v>
      </c>
      <c r="B309" s="1" t="s">
        <v>35</v>
      </c>
      <c r="C309" t="s">
        <v>1176</v>
      </c>
      <c r="D309" s="28" t="str">
        <f>VLOOKUP(A309,Classification!$A:$D,2,FALSE)</f>
        <v>A</v>
      </c>
      <c r="E309" s="50" t="str">
        <f>VLOOKUP(B309,Classification!$A:$D,2,FALSE)</f>
        <v>A</v>
      </c>
      <c r="F309" s="15" t="str">
        <f>VLOOKUP(C309,Classification!$A:$D,2,FALSE)</f>
        <v>A</v>
      </c>
      <c r="G309" s="15" t="b">
        <f t="shared" si="4"/>
        <v>1</v>
      </c>
      <c r="J309" s="3"/>
    </row>
    <row r="310" spans="1:10" x14ac:dyDescent="0.2">
      <c r="A310" t="s">
        <v>244</v>
      </c>
      <c r="B310" s="1" t="s">
        <v>35</v>
      </c>
      <c r="C310" t="s">
        <v>1176</v>
      </c>
      <c r="D310" s="28" t="str">
        <f>VLOOKUP(A310,Classification!$A:$D,2,FALSE)</f>
        <v>A</v>
      </c>
      <c r="E310" s="50" t="str">
        <f>VLOOKUP(B310,Classification!$A:$D,2,FALSE)</f>
        <v>A</v>
      </c>
      <c r="F310" s="15" t="str">
        <f>VLOOKUP(C310,Classification!$A:$D,2,FALSE)</f>
        <v>A</v>
      </c>
      <c r="G310" s="15" t="b">
        <f t="shared" si="4"/>
        <v>1</v>
      </c>
      <c r="J310" s="3"/>
    </row>
    <row r="311" spans="1:10" x14ac:dyDescent="0.2">
      <c r="A311" t="s">
        <v>368</v>
      </c>
      <c r="B311" s="1" t="s">
        <v>1176</v>
      </c>
      <c r="C311" t="s">
        <v>1176</v>
      </c>
      <c r="D311" s="28" t="str">
        <f>VLOOKUP(A311,Classification!$A:$D,2,FALSE)</f>
        <v>A</v>
      </c>
      <c r="E311" s="50" t="str">
        <f>VLOOKUP(B311,Classification!$A:$D,2,FALSE)</f>
        <v>A</v>
      </c>
      <c r="F311" s="15" t="str">
        <f>VLOOKUP(C311,Classification!$A:$D,2,FALSE)</f>
        <v>A</v>
      </c>
      <c r="G311" s="15" t="b">
        <f t="shared" si="4"/>
        <v>1</v>
      </c>
      <c r="J311" s="3"/>
    </row>
    <row r="312" spans="1:10" x14ac:dyDescent="0.2">
      <c r="A312" t="s">
        <v>367</v>
      </c>
      <c r="B312" s="1" t="s">
        <v>1175</v>
      </c>
      <c r="C312" t="s">
        <v>1176</v>
      </c>
      <c r="D312" s="28" t="str">
        <f>VLOOKUP(A312,Classification!$A:$D,2,FALSE)</f>
        <v>A</v>
      </c>
      <c r="E312" s="50" t="str">
        <f>VLOOKUP(B312,Classification!$A:$D,2,FALSE)</f>
        <v>A</v>
      </c>
      <c r="F312" s="15" t="str">
        <f>VLOOKUP(C312,Classification!$A:$D,2,FALSE)</f>
        <v>A</v>
      </c>
      <c r="G312" s="15" t="b">
        <f t="shared" si="4"/>
        <v>1</v>
      </c>
      <c r="J312" s="3"/>
    </row>
    <row r="313" spans="1:10" x14ac:dyDescent="0.2">
      <c r="A313" t="s">
        <v>327</v>
      </c>
      <c r="B313" s="1" t="s">
        <v>1176</v>
      </c>
      <c r="C313" t="s">
        <v>1176</v>
      </c>
      <c r="D313" s="28" t="str">
        <f>VLOOKUP(A313,Classification!$A:$D,2,FALSE)</f>
        <v>A</v>
      </c>
      <c r="E313" s="50" t="str">
        <f>VLOOKUP(B313,Classification!$A:$D,2,FALSE)</f>
        <v>A</v>
      </c>
      <c r="F313" s="15" t="str">
        <f>VLOOKUP(C313,Classification!$A:$D,2,FALSE)</f>
        <v>A</v>
      </c>
      <c r="G313" s="15" t="b">
        <f t="shared" si="4"/>
        <v>1</v>
      </c>
      <c r="J313" s="3"/>
    </row>
    <row r="314" spans="1:10" x14ac:dyDescent="0.2">
      <c r="A314" t="s">
        <v>312</v>
      </c>
      <c r="B314" s="1" t="s">
        <v>1176</v>
      </c>
      <c r="C314" t="s">
        <v>1176</v>
      </c>
      <c r="D314" s="28" t="str">
        <f>VLOOKUP(A314,Classification!$A:$D,2,FALSE)</f>
        <v>A</v>
      </c>
      <c r="E314" s="50" t="str">
        <f>VLOOKUP(B314,Classification!$A:$D,2,FALSE)</f>
        <v>A</v>
      </c>
      <c r="F314" s="15" t="str">
        <f>VLOOKUP(C314,Classification!$A:$D,2,FALSE)</f>
        <v>A</v>
      </c>
      <c r="G314" s="15" t="b">
        <f t="shared" si="4"/>
        <v>1</v>
      </c>
      <c r="J314" s="3"/>
    </row>
    <row r="315" spans="1:10" x14ac:dyDescent="0.2">
      <c r="A315" t="s">
        <v>208</v>
      </c>
      <c r="B315" s="1" t="s">
        <v>1176</v>
      </c>
      <c r="C315" t="s">
        <v>1176</v>
      </c>
      <c r="D315" s="28" t="str">
        <f>VLOOKUP(A315,Classification!$A:$D,2,FALSE)</f>
        <v>A</v>
      </c>
      <c r="E315" s="50" t="str">
        <f>VLOOKUP(B315,Classification!$A:$D,2,FALSE)</f>
        <v>A</v>
      </c>
      <c r="F315" s="15" t="str">
        <f>VLOOKUP(C315,Classification!$A:$D,2,FALSE)</f>
        <v>A</v>
      </c>
      <c r="G315" s="15" t="b">
        <f t="shared" si="4"/>
        <v>1</v>
      </c>
      <c r="J315" s="3"/>
    </row>
    <row r="316" spans="1:10" x14ac:dyDescent="0.2">
      <c r="A316" t="s">
        <v>167</v>
      </c>
      <c r="B316" s="1" t="s">
        <v>1176</v>
      </c>
      <c r="C316" t="s">
        <v>1176</v>
      </c>
      <c r="D316" s="28" t="str">
        <f>VLOOKUP(A316,Classification!$A:$D,2,FALSE)</f>
        <v>A</v>
      </c>
      <c r="E316" s="50" t="str">
        <f>VLOOKUP(B316,Classification!$A:$D,2,FALSE)</f>
        <v>A</v>
      </c>
      <c r="F316" s="15" t="str">
        <f>VLOOKUP(C316,Classification!$A:$D,2,FALSE)</f>
        <v>A</v>
      </c>
      <c r="G316" s="15" t="b">
        <f t="shared" si="4"/>
        <v>1</v>
      </c>
      <c r="J316" s="3"/>
    </row>
    <row r="317" spans="1:10" x14ac:dyDescent="0.2">
      <c r="A317" t="s">
        <v>325</v>
      </c>
      <c r="B317" s="1" t="s">
        <v>1175</v>
      </c>
      <c r="C317" t="s">
        <v>1176</v>
      </c>
      <c r="D317" s="28" t="str">
        <f>VLOOKUP(A317,Classification!$A:$D,2,FALSE)</f>
        <v>A</v>
      </c>
      <c r="E317" s="50" t="str">
        <f>VLOOKUP(B317,Classification!$A:$D,2,FALSE)</f>
        <v>A</v>
      </c>
      <c r="F317" s="15" t="str">
        <f>VLOOKUP(C317,Classification!$A:$D,2,FALSE)</f>
        <v>A</v>
      </c>
      <c r="G317" s="15" t="b">
        <f t="shared" si="4"/>
        <v>1</v>
      </c>
      <c r="J317" s="3"/>
    </row>
    <row r="318" spans="1:10" x14ac:dyDescent="0.2">
      <c r="A318" t="s">
        <v>163</v>
      </c>
      <c r="B318" s="1" t="s">
        <v>196</v>
      </c>
      <c r="C318" t="s">
        <v>1176</v>
      </c>
      <c r="D318" s="28" t="str">
        <f>VLOOKUP(A318,Classification!$A:$D,2,FALSE)</f>
        <v>A</v>
      </c>
      <c r="E318" s="50" t="str">
        <f>VLOOKUP(B318,Classification!$A:$D,2,FALSE)</f>
        <v>A</v>
      </c>
      <c r="F318" s="15" t="str">
        <f>VLOOKUP(C318,Classification!$A:$D,2,FALSE)</f>
        <v>A</v>
      </c>
      <c r="G318" s="15" t="b">
        <f t="shared" si="4"/>
        <v>1</v>
      </c>
      <c r="J318" s="3"/>
    </row>
    <row r="319" spans="1:10" x14ac:dyDescent="0.2">
      <c r="A319" t="s">
        <v>269</v>
      </c>
      <c r="B319" s="1" t="s">
        <v>1176</v>
      </c>
      <c r="C319" t="s">
        <v>1176</v>
      </c>
      <c r="D319" s="28" t="str">
        <f>VLOOKUP(A319,Classification!$A:$D,2,FALSE)</f>
        <v>A</v>
      </c>
      <c r="E319" s="50" t="str">
        <f>VLOOKUP(B319,Classification!$A:$D,2,FALSE)</f>
        <v>A</v>
      </c>
      <c r="F319" s="15" t="str">
        <f>VLOOKUP(C319,Classification!$A:$D,2,FALSE)</f>
        <v>A</v>
      </c>
      <c r="G319" s="15" t="b">
        <f t="shared" si="4"/>
        <v>1</v>
      </c>
      <c r="J319" s="3"/>
    </row>
    <row r="320" spans="1:10" x14ac:dyDescent="0.2">
      <c r="A320" t="s">
        <v>1176</v>
      </c>
      <c r="B320" s="1" t="s">
        <v>1176</v>
      </c>
      <c r="C320" t="s">
        <v>1176</v>
      </c>
      <c r="D320" s="28" t="str">
        <f>VLOOKUP(A320,Classification!$A:$D,2,FALSE)</f>
        <v>A</v>
      </c>
      <c r="E320" s="50" t="str">
        <f>VLOOKUP(B320,Classification!$A:$D,2,FALSE)</f>
        <v>A</v>
      </c>
      <c r="F320" s="15" t="str">
        <f>VLOOKUP(C320,Classification!$A:$D,2,FALSE)</f>
        <v>A</v>
      </c>
      <c r="G320" s="15" t="b">
        <f t="shared" si="4"/>
        <v>1</v>
      </c>
      <c r="J320" s="3"/>
    </row>
    <row r="321" spans="1:10" x14ac:dyDescent="0.2">
      <c r="A321" t="s">
        <v>242</v>
      </c>
      <c r="B321" s="1" t="s">
        <v>1176</v>
      </c>
      <c r="C321" t="s">
        <v>1176</v>
      </c>
      <c r="D321" s="28" t="str">
        <f>VLOOKUP(A321,Classification!$A:$D,2,FALSE)</f>
        <v>A</v>
      </c>
      <c r="E321" s="50" t="str">
        <f>VLOOKUP(B321,Classification!$A:$D,2,FALSE)</f>
        <v>A</v>
      </c>
      <c r="F321" s="15" t="str">
        <f>VLOOKUP(C321,Classification!$A:$D,2,FALSE)</f>
        <v>A</v>
      </c>
      <c r="G321" s="15" t="b">
        <f t="shared" si="4"/>
        <v>1</v>
      </c>
      <c r="J321" s="3"/>
    </row>
    <row r="322" spans="1:10" x14ac:dyDescent="0.2">
      <c r="A322" t="s">
        <v>372</v>
      </c>
      <c r="B322" s="1" t="s">
        <v>1176</v>
      </c>
      <c r="C322" t="s">
        <v>1176</v>
      </c>
      <c r="D322" s="28" t="str">
        <f>VLOOKUP(A322,Classification!$A:$D,2,FALSE)</f>
        <v>A</v>
      </c>
      <c r="E322" s="50" t="str">
        <f>VLOOKUP(B322,Classification!$A:$D,2,FALSE)</f>
        <v>A</v>
      </c>
      <c r="F322" s="15" t="str">
        <f>VLOOKUP(C322,Classification!$A:$D,2,FALSE)</f>
        <v>A</v>
      </c>
      <c r="G322" s="15" t="b">
        <f t="shared" si="4"/>
        <v>1</v>
      </c>
      <c r="J322" s="3"/>
    </row>
    <row r="323" spans="1:10" x14ac:dyDescent="0.2">
      <c r="A323" t="s">
        <v>322</v>
      </c>
      <c r="B323" s="1" t="s">
        <v>1175</v>
      </c>
      <c r="C323" t="s">
        <v>1176</v>
      </c>
      <c r="D323" s="28" t="str">
        <f>VLOOKUP(A323,Classification!$A:$D,2,FALSE)</f>
        <v>A</v>
      </c>
      <c r="E323" s="50" t="str">
        <f>VLOOKUP(B323,Classification!$A:$D,2,FALSE)</f>
        <v>A</v>
      </c>
      <c r="F323" s="15" t="str">
        <f>VLOOKUP(C323,Classification!$A:$D,2,FALSE)</f>
        <v>A</v>
      </c>
      <c r="G323" s="15" t="b">
        <f t="shared" ref="G323:G386" si="5">OR(D323=F323,AND(D323="T",F323="A"),AND(D323="B2",F323="B1"),D323="O")</f>
        <v>1</v>
      </c>
      <c r="J323" s="3"/>
    </row>
    <row r="324" spans="1:10" x14ac:dyDescent="0.2">
      <c r="A324" t="s">
        <v>314</v>
      </c>
      <c r="B324" s="1" t="s">
        <v>1176</v>
      </c>
      <c r="C324" t="s">
        <v>1176</v>
      </c>
      <c r="D324" s="28" t="str">
        <f>VLOOKUP(A324,Classification!$A:$D,2,FALSE)</f>
        <v>A</v>
      </c>
      <c r="E324" s="50" t="str">
        <f>VLOOKUP(B324,Classification!$A:$D,2,FALSE)</f>
        <v>A</v>
      </c>
      <c r="F324" s="15" t="str">
        <f>VLOOKUP(C324,Classification!$A:$D,2,FALSE)</f>
        <v>A</v>
      </c>
      <c r="G324" s="15" t="b">
        <f t="shared" si="5"/>
        <v>1</v>
      </c>
      <c r="J324" s="3"/>
    </row>
    <row r="325" spans="1:10" x14ac:dyDescent="0.2">
      <c r="A325" t="s">
        <v>316</v>
      </c>
      <c r="B325" s="1" t="s">
        <v>1176</v>
      </c>
      <c r="C325" t="s">
        <v>1176</v>
      </c>
      <c r="D325" s="28" t="str">
        <f>VLOOKUP(A325,Classification!$A:$D,2,FALSE)</f>
        <v>A</v>
      </c>
      <c r="E325" s="50" t="str">
        <f>VLOOKUP(B325,Classification!$A:$D,2,FALSE)</f>
        <v>A</v>
      </c>
      <c r="F325" s="15" t="str">
        <f>VLOOKUP(C325,Classification!$A:$D,2,FALSE)</f>
        <v>A</v>
      </c>
      <c r="G325" s="15" t="b">
        <f t="shared" si="5"/>
        <v>1</v>
      </c>
      <c r="J325" s="3"/>
    </row>
    <row r="326" spans="1:10" x14ac:dyDescent="0.2">
      <c r="A326" t="s">
        <v>223</v>
      </c>
      <c r="B326" s="1" t="s">
        <v>159</v>
      </c>
      <c r="C326" t="s">
        <v>1176</v>
      </c>
      <c r="D326" s="28" t="str">
        <f>VLOOKUP(A326,Classification!$A:$D,2,FALSE)</f>
        <v>A</v>
      </c>
      <c r="E326" s="50" t="str">
        <f>VLOOKUP(B326,Classification!$A:$D,2,FALSE)</f>
        <v>A</v>
      </c>
      <c r="F326" s="15" t="str">
        <f>VLOOKUP(C326,Classification!$A:$D,2,FALSE)</f>
        <v>A</v>
      </c>
      <c r="G326" s="15" t="b">
        <f t="shared" si="5"/>
        <v>1</v>
      </c>
      <c r="J326" s="3"/>
    </row>
    <row r="327" spans="1:10" x14ac:dyDescent="0.2">
      <c r="A327" t="s">
        <v>225</v>
      </c>
      <c r="B327" s="1" t="s">
        <v>1176</v>
      </c>
      <c r="C327" t="s">
        <v>1176</v>
      </c>
      <c r="D327" s="28" t="str">
        <f>VLOOKUP(A327,Classification!$A:$D,2,FALSE)</f>
        <v>A</v>
      </c>
      <c r="E327" s="50" t="str">
        <f>VLOOKUP(B327,Classification!$A:$D,2,FALSE)</f>
        <v>A</v>
      </c>
      <c r="F327" s="15" t="str">
        <f>VLOOKUP(C327,Classification!$A:$D,2,FALSE)</f>
        <v>A</v>
      </c>
      <c r="G327" s="15" t="b">
        <f t="shared" si="5"/>
        <v>1</v>
      </c>
      <c r="J327" s="3"/>
    </row>
    <row r="328" spans="1:10" x14ac:dyDescent="0.2">
      <c r="A328" t="s">
        <v>313</v>
      </c>
      <c r="B328" s="1" t="s">
        <v>1176</v>
      </c>
      <c r="C328" t="s">
        <v>1176</v>
      </c>
      <c r="D328" s="28" t="str">
        <f>VLOOKUP(A328,Classification!$A:$D,2,FALSE)</f>
        <v>A</v>
      </c>
      <c r="E328" s="50" t="str">
        <f>VLOOKUP(B328,Classification!$A:$D,2,FALSE)</f>
        <v>A</v>
      </c>
      <c r="F328" s="15" t="str">
        <f>VLOOKUP(C328,Classification!$A:$D,2,FALSE)</f>
        <v>A</v>
      </c>
      <c r="G328" s="15" t="b">
        <f t="shared" si="5"/>
        <v>1</v>
      </c>
      <c r="J328" s="3"/>
    </row>
    <row r="329" spans="1:10" x14ac:dyDescent="0.2">
      <c r="A329" t="s">
        <v>329</v>
      </c>
      <c r="B329" s="1" t="s">
        <v>1176</v>
      </c>
      <c r="C329" t="s">
        <v>1176</v>
      </c>
      <c r="D329" s="28" t="str">
        <f>VLOOKUP(A329,Classification!$A:$D,2,FALSE)</f>
        <v>A</v>
      </c>
      <c r="E329" s="50" t="str">
        <f>VLOOKUP(B329,Classification!$A:$D,2,FALSE)</f>
        <v>A</v>
      </c>
      <c r="F329" s="15" t="str">
        <f>VLOOKUP(C329,Classification!$A:$D,2,FALSE)</f>
        <v>A</v>
      </c>
      <c r="G329" s="15" t="b">
        <f t="shared" si="5"/>
        <v>1</v>
      </c>
      <c r="J329" s="3"/>
    </row>
    <row r="330" spans="1:10" x14ac:dyDescent="0.2">
      <c r="A330" t="s">
        <v>348</v>
      </c>
      <c r="B330" s="1" t="s">
        <v>345</v>
      </c>
      <c r="C330" t="s">
        <v>345</v>
      </c>
      <c r="D330" s="28" t="str">
        <f>VLOOKUP(A330,Classification!$A:$D,2,FALSE)</f>
        <v>A</v>
      </c>
      <c r="E330" s="50" t="str">
        <f>VLOOKUP(B330,Classification!$A:$D,2,FALSE)</f>
        <v>A</v>
      </c>
      <c r="F330" s="15" t="str">
        <f>VLOOKUP(C330,Classification!$A:$D,2,FALSE)</f>
        <v>A</v>
      </c>
      <c r="G330" s="15" t="b">
        <f t="shared" si="5"/>
        <v>1</v>
      </c>
      <c r="J330" s="3"/>
    </row>
    <row r="331" spans="1:10" x14ac:dyDescent="0.2">
      <c r="A331" t="s">
        <v>350</v>
      </c>
      <c r="B331" s="1" t="s">
        <v>345</v>
      </c>
      <c r="C331" t="s">
        <v>345</v>
      </c>
      <c r="D331" s="28" t="str">
        <f>VLOOKUP(A331,Classification!$A:$D,2,FALSE)</f>
        <v>A</v>
      </c>
      <c r="E331" s="50" t="str">
        <f>VLOOKUP(B331,Classification!$A:$D,2,FALSE)</f>
        <v>A</v>
      </c>
      <c r="F331" s="15" t="str">
        <f>VLOOKUP(C331,Classification!$A:$D,2,FALSE)</f>
        <v>A</v>
      </c>
      <c r="G331" s="15" t="b">
        <f t="shared" si="5"/>
        <v>1</v>
      </c>
      <c r="J331" s="3"/>
    </row>
    <row r="332" spans="1:10" x14ac:dyDescent="0.2">
      <c r="A332" t="s">
        <v>343</v>
      </c>
      <c r="B332" s="1" t="s">
        <v>345</v>
      </c>
      <c r="C332" t="s">
        <v>345</v>
      </c>
      <c r="D332" s="28" t="str">
        <f>VLOOKUP(A332,Classification!$A:$D,2,FALSE)</f>
        <v>A</v>
      </c>
      <c r="E332" s="50" t="str">
        <f>VLOOKUP(B332,Classification!$A:$D,2,FALSE)</f>
        <v>A</v>
      </c>
      <c r="F332" s="15" t="str">
        <f>VLOOKUP(C332,Classification!$A:$D,2,FALSE)</f>
        <v>A</v>
      </c>
      <c r="G332" s="15" t="b">
        <f t="shared" si="5"/>
        <v>1</v>
      </c>
      <c r="J332" s="3"/>
    </row>
    <row r="333" spans="1:10" x14ac:dyDescent="0.2">
      <c r="A333" t="s">
        <v>250</v>
      </c>
      <c r="B333" s="1" t="s">
        <v>335</v>
      </c>
      <c r="C333" t="s">
        <v>345</v>
      </c>
      <c r="D333" s="28" t="str">
        <f>VLOOKUP(A333,Classification!$A:$D,2,FALSE)</f>
        <v>A</v>
      </c>
      <c r="E333" s="50" t="str">
        <f>VLOOKUP(B333,Classification!$A:$D,2,FALSE)</f>
        <v>A</v>
      </c>
      <c r="F333" s="15" t="str">
        <f>VLOOKUP(C333,Classification!$A:$D,2,FALSE)</f>
        <v>A</v>
      </c>
      <c r="G333" s="15" t="b">
        <f t="shared" si="5"/>
        <v>1</v>
      </c>
      <c r="J333" s="3"/>
    </row>
    <row r="334" spans="1:10" x14ac:dyDescent="0.2">
      <c r="A334" t="s">
        <v>386</v>
      </c>
      <c r="B334" s="1" t="s">
        <v>345</v>
      </c>
      <c r="C334" t="s">
        <v>345</v>
      </c>
      <c r="D334" s="28" t="str">
        <f>VLOOKUP(A334,Classification!$A:$D,2,FALSE)</f>
        <v>A</v>
      </c>
      <c r="E334" s="50" t="str">
        <f>VLOOKUP(B334,Classification!$A:$D,2,FALSE)</f>
        <v>A</v>
      </c>
      <c r="F334" s="15" t="str">
        <f>VLOOKUP(C334,Classification!$A:$D,2,FALSE)</f>
        <v>A</v>
      </c>
      <c r="G334" s="15" t="b">
        <f t="shared" si="5"/>
        <v>1</v>
      </c>
      <c r="J334" s="3"/>
    </row>
    <row r="335" spans="1:10" x14ac:dyDescent="0.2">
      <c r="A335" t="s">
        <v>231</v>
      </c>
      <c r="B335" s="1" t="s">
        <v>345</v>
      </c>
      <c r="C335" t="s">
        <v>345</v>
      </c>
      <c r="D335" s="28" t="str">
        <f>VLOOKUP(A335,Classification!$A:$D,2,FALSE)</f>
        <v>A</v>
      </c>
      <c r="E335" s="50" t="str">
        <f>VLOOKUP(B335,Classification!$A:$D,2,FALSE)</f>
        <v>A</v>
      </c>
      <c r="F335" s="15" t="str">
        <f>VLOOKUP(C335,Classification!$A:$D,2,FALSE)</f>
        <v>A</v>
      </c>
      <c r="G335" s="15" t="b">
        <f t="shared" si="5"/>
        <v>1</v>
      </c>
      <c r="J335" s="3"/>
    </row>
    <row r="336" spans="1:10" x14ac:dyDescent="0.2">
      <c r="A336" t="s">
        <v>180</v>
      </c>
      <c r="B336" s="1" t="s">
        <v>345</v>
      </c>
      <c r="C336" t="s">
        <v>345</v>
      </c>
      <c r="D336" s="28" t="str">
        <f>VLOOKUP(A336,Classification!$A:$D,2,FALSE)</f>
        <v>A</v>
      </c>
      <c r="E336" s="50" t="str">
        <f>VLOOKUP(B336,Classification!$A:$D,2,FALSE)</f>
        <v>A</v>
      </c>
      <c r="F336" s="15" t="str">
        <f>VLOOKUP(C336,Classification!$A:$D,2,FALSE)</f>
        <v>A</v>
      </c>
      <c r="G336" s="15" t="b">
        <f t="shared" si="5"/>
        <v>1</v>
      </c>
      <c r="J336" s="3"/>
    </row>
    <row r="337" spans="1:10" x14ac:dyDescent="0.2">
      <c r="A337" t="s">
        <v>179</v>
      </c>
      <c r="B337" s="1" t="s">
        <v>345</v>
      </c>
      <c r="C337" t="s">
        <v>345</v>
      </c>
      <c r="D337" s="28" t="str">
        <f>VLOOKUP(A337,Classification!$A:$D,2,FALSE)</f>
        <v>A</v>
      </c>
      <c r="E337" s="50" t="str">
        <f>VLOOKUP(B337,Classification!$A:$D,2,FALSE)</f>
        <v>A</v>
      </c>
      <c r="F337" s="15" t="str">
        <f>VLOOKUP(C337,Classification!$A:$D,2,FALSE)</f>
        <v>A</v>
      </c>
      <c r="G337" s="15" t="b">
        <f t="shared" si="5"/>
        <v>1</v>
      </c>
      <c r="J337" s="3"/>
    </row>
    <row r="338" spans="1:10" x14ac:dyDescent="0.2">
      <c r="A338" t="s">
        <v>240</v>
      </c>
      <c r="B338" s="1" t="s">
        <v>160</v>
      </c>
      <c r="C338" t="s">
        <v>345</v>
      </c>
      <c r="D338" s="28" t="str">
        <f>VLOOKUP(A338,Classification!$A:$D,2,FALSE)</f>
        <v>A</v>
      </c>
      <c r="E338" s="50" t="str">
        <f>VLOOKUP(B338,Classification!$A:$D,2,FALSE)</f>
        <v>A</v>
      </c>
      <c r="F338" s="15" t="str">
        <f>VLOOKUP(C338,Classification!$A:$D,2,FALSE)</f>
        <v>A</v>
      </c>
      <c r="G338" s="15" t="b">
        <f t="shared" si="5"/>
        <v>1</v>
      </c>
      <c r="J338" s="3"/>
    </row>
    <row r="339" spans="1:10" x14ac:dyDescent="0.2">
      <c r="A339" t="s">
        <v>301</v>
      </c>
      <c r="B339" s="1" t="s">
        <v>158</v>
      </c>
      <c r="C339" t="s">
        <v>345</v>
      </c>
      <c r="D339" s="28" t="str">
        <f>VLOOKUP(A339,Classification!$A:$D,2,FALSE)</f>
        <v>A</v>
      </c>
      <c r="E339" s="50" t="str">
        <f>VLOOKUP(B339,Classification!$A:$D,2,FALSE)</f>
        <v>A</v>
      </c>
      <c r="F339" s="15" t="str">
        <f>VLOOKUP(C339,Classification!$A:$D,2,FALSE)</f>
        <v>A</v>
      </c>
      <c r="G339" s="15" t="b">
        <f t="shared" si="5"/>
        <v>1</v>
      </c>
      <c r="J339" s="3"/>
    </row>
    <row r="340" spans="1:10" x14ac:dyDescent="0.2">
      <c r="A340" t="s">
        <v>241</v>
      </c>
      <c r="B340" s="1" t="s">
        <v>336</v>
      </c>
      <c r="C340" t="s">
        <v>345</v>
      </c>
      <c r="D340" s="28" t="str">
        <f>VLOOKUP(A340,Classification!$A:$D,2,FALSE)</f>
        <v>A</v>
      </c>
      <c r="E340" s="50" t="str">
        <f>VLOOKUP(B340,Classification!$A:$D,2,FALSE)</f>
        <v>A</v>
      </c>
      <c r="F340" s="15" t="str">
        <f>VLOOKUP(C340,Classification!$A:$D,2,FALSE)</f>
        <v>A</v>
      </c>
      <c r="G340" s="15" t="b">
        <f t="shared" si="5"/>
        <v>1</v>
      </c>
      <c r="J340" s="3"/>
    </row>
    <row r="341" spans="1:10" x14ac:dyDescent="0.2">
      <c r="A341" t="s">
        <v>294</v>
      </c>
      <c r="B341" s="1" t="s">
        <v>158</v>
      </c>
      <c r="C341" t="s">
        <v>345</v>
      </c>
      <c r="D341" s="28" t="str">
        <f>VLOOKUP(A341,Classification!$A:$D,2,FALSE)</f>
        <v>A</v>
      </c>
      <c r="E341" s="50" t="str">
        <f>VLOOKUP(B341,Classification!$A:$D,2,FALSE)</f>
        <v>A</v>
      </c>
      <c r="F341" s="15" t="str">
        <f>VLOOKUP(C341,Classification!$A:$D,2,FALSE)</f>
        <v>A</v>
      </c>
      <c r="G341" s="15" t="b">
        <f t="shared" si="5"/>
        <v>1</v>
      </c>
      <c r="J341" s="3"/>
    </row>
    <row r="342" spans="1:10" x14ac:dyDescent="0.2">
      <c r="A342" t="s">
        <v>370</v>
      </c>
      <c r="B342" s="1" t="s">
        <v>345</v>
      </c>
      <c r="C342" t="s">
        <v>345</v>
      </c>
      <c r="D342" s="28" t="str">
        <f>VLOOKUP(A342,Classification!$A:$D,2,FALSE)</f>
        <v>A</v>
      </c>
      <c r="E342" s="50" t="str">
        <f>VLOOKUP(B342,Classification!$A:$D,2,FALSE)</f>
        <v>A</v>
      </c>
      <c r="F342" s="15" t="str">
        <f>VLOOKUP(C342,Classification!$A:$D,2,FALSE)</f>
        <v>A</v>
      </c>
      <c r="G342" s="15" t="b">
        <f t="shared" si="5"/>
        <v>1</v>
      </c>
      <c r="J342" s="3"/>
    </row>
    <row r="343" spans="1:10" x14ac:dyDescent="0.2">
      <c r="A343" t="s">
        <v>345</v>
      </c>
      <c r="B343" s="1" t="s">
        <v>345</v>
      </c>
      <c r="C343" t="s">
        <v>345</v>
      </c>
      <c r="D343" s="28" t="str">
        <f>VLOOKUP(A343,Classification!$A:$D,2,FALSE)</f>
        <v>A</v>
      </c>
      <c r="E343" s="50" t="str">
        <f>VLOOKUP(B343,Classification!$A:$D,2,FALSE)</f>
        <v>A</v>
      </c>
      <c r="F343" s="15" t="str">
        <f>VLOOKUP(C343,Classification!$A:$D,2,FALSE)</f>
        <v>A</v>
      </c>
      <c r="G343" s="15" t="b">
        <f t="shared" si="5"/>
        <v>1</v>
      </c>
      <c r="J343" s="3"/>
    </row>
    <row r="344" spans="1:10" x14ac:dyDescent="0.2">
      <c r="A344" t="s">
        <v>305</v>
      </c>
      <c r="B344" s="1" t="s">
        <v>158</v>
      </c>
      <c r="C344" t="s">
        <v>345</v>
      </c>
      <c r="D344" s="28" t="str">
        <f>VLOOKUP(A344,Classification!$A:$D,2,FALSE)</f>
        <v>A</v>
      </c>
      <c r="E344" s="50" t="str">
        <f>VLOOKUP(B344,Classification!$A:$D,2,FALSE)</f>
        <v>A</v>
      </c>
      <c r="F344" s="15" t="str">
        <f>VLOOKUP(C344,Classification!$A:$D,2,FALSE)</f>
        <v>A</v>
      </c>
      <c r="G344" s="15" t="b">
        <f t="shared" si="5"/>
        <v>1</v>
      </c>
      <c r="J344" s="3"/>
    </row>
    <row r="345" spans="1:10" x14ac:dyDescent="0.2">
      <c r="A345" t="s">
        <v>290</v>
      </c>
      <c r="B345" s="1" t="s">
        <v>158</v>
      </c>
      <c r="C345" t="s">
        <v>345</v>
      </c>
      <c r="D345" s="28" t="str">
        <f>VLOOKUP(A345,Classification!$A:$D,2,FALSE)</f>
        <v>A</v>
      </c>
      <c r="E345" s="50" t="str">
        <f>VLOOKUP(B345,Classification!$A:$D,2,FALSE)</f>
        <v>A</v>
      </c>
      <c r="F345" s="15" t="str">
        <f>VLOOKUP(C345,Classification!$A:$D,2,FALSE)</f>
        <v>A</v>
      </c>
      <c r="G345" s="15" t="b">
        <f t="shared" si="5"/>
        <v>1</v>
      </c>
      <c r="J345" s="3"/>
    </row>
    <row r="346" spans="1:10" x14ac:dyDescent="0.2">
      <c r="A346" t="s">
        <v>303</v>
      </c>
      <c r="B346" s="1" t="s">
        <v>158</v>
      </c>
      <c r="C346" t="s">
        <v>345</v>
      </c>
      <c r="D346" s="28" t="str">
        <f>VLOOKUP(A346,Classification!$A:$D,2,FALSE)</f>
        <v>A</v>
      </c>
      <c r="E346" s="50" t="str">
        <f>VLOOKUP(B346,Classification!$A:$D,2,FALSE)</f>
        <v>A</v>
      </c>
      <c r="F346" s="15" t="str">
        <f>VLOOKUP(C346,Classification!$A:$D,2,FALSE)</f>
        <v>A</v>
      </c>
      <c r="G346" s="15" t="b">
        <f t="shared" si="5"/>
        <v>1</v>
      </c>
      <c r="J346" s="3"/>
    </row>
    <row r="347" spans="1:10" x14ac:dyDescent="0.2">
      <c r="A347" t="s">
        <v>351</v>
      </c>
      <c r="B347" s="1" t="s">
        <v>345</v>
      </c>
      <c r="C347" t="s">
        <v>345</v>
      </c>
      <c r="D347" s="28" t="str">
        <f>VLOOKUP(A347,Classification!$A:$D,2,FALSE)</f>
        <v>A</v>
      </c>
      <c r="E347" s="50" t="str">
        <f>VLOOKUP(B347,Classification!$A:$D,2,FALSE)</f>
        <v>A</v>
      </c>
      <c r="F347" s="15" t="str">
        <f>VLOOKUP(C347,Classification!$A:$D,2,FALSE)</f>
        <v>A</v>
      </c>
      <c r="G347" s="15" t="b">
        <f t="shared" si="5"/>
        <v>1</v>
      </c>
      <c r="J347" s="3"/>
    </row>
    <row r="348" spans="1:10" x14ac:dyDescent="0.2">
      <c r="A348" t="s">
        <v>288</v>
      </c>
      <c r="B348" s="1" t="s">
        <v>336</v>
      </c>
      <c r="C348" t="s">
        <v>345</v>
      </c>
      <c r="D348" s="28" t="str">
        <f>VLOOKUP(A348,Classification!$A:$D,2,FALSE)</f>
        <v>A</v>
      </c>
      <c r="E348" s="50" t="str">
        <f>VLOOKUP(B348,Classification!$A:$D,2,FALSE)</f>
        <v>A</v>
      </c>
      <c r="F348" s="15" t="str">
        <f>VLOOKUP(C348,Classification!$A:$D,2,FALSE)</f>
        <v>A</v>
      </c>
      <c r="G348" s="15" t="b">
        <f t="shared" si="5"/>
        <v>1</v>
      </c>
      <c r="J348" s="3"/>
    </row>
    <row r="349" spans="1:10" x14ac:dyDescent="0.2">
      <c r="A349" t="s">
        <v>347</v>
      </c>
      <c r="B349" s="1" t="s">
        <v>345</v>
      </c>
      <c r="C349" t="s">
        <v>345</v>
      </c>
      <c r="D349" s="28" t="str">
        <f>VLOOKUP(A349,Classification!$A:$D,2,FALSE)</f>
        <v>A</v>
      </c>
      <c r="E349" s="50" t="str">
        <f>VLOOKUP(B349,Classification!$A:$D,2,FALSE)</f>
        <v>A</v>
      </c>
      <c r="F349" s="15" t="str">
        <f>VLOOKUP(C349,Classification!$A:$D,2,FALSE)</f>
        <v>A</v>
      </c>
      <c r="G349" s="15" t="b">
        <f t="shared" si="5"/>
        <v>1</v>
      </c>
      <c r="J349" s="3"/>
    </row>
    <row r="350" spans="1:10" x14ac:dyDescent="0.2">
      <c r="A350" t="s">
        <v>295</v>
      </c>
      <c r="B350" s="1" t="s">
        <v>177</v>
      </c>
      <c r="C350" t="s">
        <v>345</v>
      </c>
      <c r="D350" s="28" t="str">
        <f>VLOOKUP(A350,Classification!$A:$D,2,FALSE)</f>
        <v>A</v>
      </c>
      <c r="E350" s="50" t="str">
        <f>VLOOKUP(B350,Classification!$A:$D,2,FALSE)</f>
        <v>A</v>
      </c>
      <c r="F350" s="15" t="str">
        <f>VLOOKUP(C350,Classification!$A:$D,2,FALSE)</f>
        <v>A</v>
      </c>
      <c r="G350" s="15" t="b">
        <f t="shared" si="5"/>
        <v>1</v>
      </c>
      <c r="J350" s="3"/>
    </row>
    <row r="351" spans="1:10" x14ac:dyDescent="0.2">
      <c r="A351" t="s">
        <v>275</v>
      </c>
      <c r="B351" s="1" t="s">
        <v>345</v>
      </c>
      <c r="C351" t="s">
        <v>345</v>
      </c>
      <c r="D351" s="28" t="str">
        <f>VLOOKUP(A351,Classification!$A:$D,2,FALSE)</f>
        <v>A</v>
      </c>
      <c r="E351" s="50" t="str">
        <f>VLOOKUP(B351,Classification!$A:$D,2,FALSE)</f>
        <v>A</v>
      </c>
      <c r="F351" s="15" t="str">
        <f>VLOOKUP(C351,Classification!$A:$D,2,FALSE)</f>
        <v>A</v>
      </c>
      <c r="G351" s="15" t="b">
        <f t="shared" si="5"/>
        <v>1</v>
      </c>
      <c r="J351" s="3"/>
    </row>
    <row r="352" spans="1:10" x14ac:dyDescent="0.2">
      <c r="A352" t="s">
        <v>276</v>
      </c>
      <c r="B352" s="1" t="s">
        <v>336</v>
      </c>
      <c r="C352" t="s">
        <v>345</v>
      </c>
      <c r="D352" s="28" t="str">
        <f>VLOOKUP(A352,Classification!$A:$D,2,FALSE)</f>
        <v>A</v>
      </c>
      <c r="E352" s="50" t="str">
        <f>VLOOKUP(B352,Classification!$A:$D,2,FALSE)</f>
        <v>A</v>
      </c>
      <c r="F352" s="15" t="str">
        <f>VLOOKUP(C352,Classification!$A:$D,2,FALSE)</f>
        <v>A</v>
      </c>
      <c r="G352" s="15" t="b">
        <f t="shared" si="5"/>
        <v>1</v>
      </c>
      <c r="J352" s="3"/>
    </row>
    <row r="353" spans="1:10" x14ac:dyDescent="0.2">
      <c r="A353" t="s">
        <v>346</v>
      </c>
      <c r="B353" s="1" t="s">
        <v>345</v>
      </c>
      <c r="C353" t="s">
        <v>345</v>
      </c>
      <c r="D353" s="28" t="str">
        <f>VLOOKUP(A353,Classification!$A:$D,2,FALSE)</f>
        <v>A</v>
      </c>
      <c r="E353" s="50" t="str">
        <f>VLOOKUP(B353,Classification!$A:$D,2,FALSE)</f>
        <v>A</v>
      </c>
      <c r="F353" s="15" t="str">
        <f>VLOOKUP(C353,Classification!$A:$D,2,FALSE)</f>
        <v>A</v>
      </c>
      <c r="G353" s="15" t="b">
        <f t="shared" si="5"/>
        <v>1</v>
      </c>
      <c r="J353" s="3"/>
    </row>
    <row r="354" spans="1:10" x14ac:dyDescent="0.2">
      <c r="A354" t="s">
        <v>214</v>
      </c>
      <c r="B354" s="1" t="s">
        <v>345</v>
      </c>
      <c r="C354" t="s">
        <v>345</v>
      </c>
      <c r="D354" s="28" t="str">
        <f>VLOOKUP(A354,Classification!$A:$D,2,FALSE)</f>
        <v>A</v>
      </c>
      <c r="E354" s="50" t="str">
        <f>VLOOKUP(B354,Classification!$A:$D,2,FALSE)</f>
        <v>A</v>
      </c>
      <c r="F354" s="15" t="str">
        <f>VLOOKUP(C354,Classification!$A:$D,2,FALSE)</f>
        <v>A</v>
      </c>
      <c r="G354" s="15" t="b">
        <f t="shared" si="5"/>
        <v>1</v>
      </c>
      <c r="J354" s="3"/>
    </row>
    <row r="355" spans="1:10" x14ac:dyDescent="0.2">
      <c r="A355" t="s">
        <v>289</v>
      </c>
      <c r="B355" s="1" t="s">
        <v>356</v>
      </c>
      <c r="C355" t="s">
        <v>345</v>
      </c>
      <c r="D355" s="28" t="str">
        <f>VLOOKUP(A355,Classification!$A:$D,2,FALSE)</f>
        <v>A</v>
      </c>
      <c r="E355" s="50" t="str">
        <f>VLOOKUP(B355,Classification!$A:$D,2,FALSE)</f>
        <v>A</v>
      </c>
      <c r="F355" s="15" t="str">
        <f>VLOOKUP(C355,Classification!$A:$D,2,FALSE)</f>
        <v>A</v>
      </c>
      <c r="G355" s="15" t="b">
        <f t="shared" si="5"/>
        <v>1</v>
      </c>
      <c r="J355" s="3"/>
    </row>
    <row r="356" spans="1:10" x14ac:dyDescent="0.2">
      <c r="A356" t="s">
        <v>257</v>
      </c>
      <c r="B356" s="1" t="s">
        <v>356</v>
      </c>
      <c r="C356" t="s">
        <v>345</v>
      </c>
      <c r="D356" s="28" t="str">
        <f>VLOOKUP(A356,Classification!$A:$D,2,FALSE)</f>
        <v>A</v>
      </c>
      <c r="E356" s="50" t="str">
        <f>VLOOKUP(B356,Classification!$A:$D,2,FALSE)</f>
        <v>A</v>
      </c>
      <c r="F356" s="15" t="str">
        <f>VLOOKUP(C356,Classification!$A:$D,2,FALSE)</f>
        <v>A</v>
      </c>
      <c r="G356" s="15" t="b">
        <f t="shared" si="5"/>
        <v>1</v>
      </c>
      <c r="J356" s="3"/>
    </row>
    <row r="357" spans="1:10" x14ac:dyDescent="0.2">
      <c r="A357" t="s">
        <v>277</v>
      </c>
      <c r="B357" s="1" t="s">
        <v>345</v>
      </c>
      <c r="C357" t="s">
        <v>345</v>
      </c>
      <c r="D357" s="28" t="str">
        <f>VLOOKUP(A357,Classification!$A:$D,2,FALSE)</f>
        <v>A</v>
      </c>
      <c r="E357" s="50" t="str">
        <f>VLOOKUP(B357,Classification!$A:$D,2,FALSE)</f>
        <v>A</v>
      </c>
      <c r="F357" s="15" t="str">
        <f>VLOOKUP(C357,Classification!$A:$D,2,FALSE)</f>
        <v>A</v>
      </c>
      <c r="G357" s="15" t="b">
        <f t="shared" si="5"/>
        <v>1</v>
      </c>
      <c r="J357" s="3"/>
    </row>
    <row r="358" spans="1:10" x14ac:dyDescent="0.2">
      <c r="A358" t="s">
        <v>229</v>
      </c>
      <c r="B358" s="1" t="s">
        <v>352</v>
      </c>
      <c r="C358" t="s">
        <v>352</v>
      </c>
      <c r="D358" s="28" t="str">
        <f>VLOOKUP(A358,Classification!$A:$D,2,FALSE)</f>
        <v>A</v>
      </c>
      <c r="E358" s="50" t="str">
        <f>VLOOKUP(B358,Classification!$A:$D,2,FALSE)</f>
        <v>A</v>
      </c>
      <c r="F358" s="15" t="str">
        <f>VLOOKUP(C358,Classification!$A:$D,2,FALSE)</f>
        <v>A</v>
      </c>
      <c r="G358" s="15" t="b">
        <f t="shared" si="5"/>
        <v>1</v>
      </c>
      <c r="J358" s="3"/>
    </row>
    <row r="359" spans="1:10" x14ac:dyDescent="0.2">
      <c r="A359" t="s">
        <v>353</v>
      </c>
      <c r="B359" s="1" t="s">
        <v>352</v>
      </c>
      <c r="C359" t="s">
        <v>352</v>
      </c>
      <c r="D359" s="28" t="str">
        <f>VLOOKUP(A359,Classification!$A:$D,2,FALSE)</f>
        <v>A</v>
      </c>
      <c r="E359" s="50" t="str">
        <f>VLOOKUP(B359,Classification!$A:$D,2,FALSE)</f>
        <v>A</v>
      </c>
      <c r="F359" s="15" t="str">
        <f>VLOOKUP(C359,Classification!$A:$D,2,FALSE)</f>
        <v>A</v>
      </c>
      <c r="G359" s="15" t="b">
        <f t="shared" si="5"/>
        <v>1</v>
      </c>
      <c r="J359" s="3"/>
    </row>
    <row r="360" spans="1:10" x14ac:dyDescent="0.2">
      <c r="A360" t="s">
        <v>354</v>
      </c>
      <c r="B360" s="1" t="s">
        <v>352</v>
      </c>
      <c r="C360" t="s">
        <v>352</v>
      </c>
      <c r="D360" s="28" t="str">
        <f>VLOOKUP(A360,Classification!$A:$D,2,FALSE)</f>
        <v>A</v>
      </c>
      <c r="E360" s="50" t="str">
        <f>VLOOKUP(B360,Classification!$A:$D,2,FALSE)</f>
        <v>A</v>
      </c>
      <c r="F360" s="15" t="str">
        <f>VLOOKUP(C360,Classification!$A:$D,2,FALSE)</f>
        <v>A</v>
      </c>
      <c r="G360" s="15" t="b">
        <f t="shared" si="5"/>
        <v>1</v>
      </c>
      <c r="J360" s="3"/>
    </row>
    <row r="361" spans="1:10" x14ac:dyDescent="0.2">
      <c r="A361" t="s">
        <v>352</v>
      </c>
      <c r="B361" s="1" t="s">
        <v>352</v>
      </c>
      <c r="C361" t="s">
        <v>352</v>
      </c>
      <c r="D361" s="28" t="str">
        <f>VLOOKUP(A361,Classification!$A:$D,2,FALSE)</f>
        <v>A</v>
      </c>
      <c r="E361" s="50" t="str">
        <f>VLOOKUP(B361,Classification!$A:$D,2,FALSE)</f>
        <v>A</v>
      </c>
      <c r="F361" s="15" t="str">
        <f>VLOOKUP(C361,Classification!$A:$D,2,FALSE)</f>
        <v>A</v>
      </c>
      <c r="G361" s="15" t="b">
        <f t="shared" si="5"/>
        <v>1</v>
      </c>
      <c r="J361" s="3"/>
    </row>
    <row r="362" spans="1:10" x14ac:dyDescent="0.2">
      <c r="A362" t="s">
        <v>272</v>
      </c>
      <c r="B362" s="1" t="s">
        <v>352</v>
      </c>
      <c r="C362" t="s">
        <v>352</v>
      </c>
      <c r="D362" s="28" t="str">
        <f>VLOOKUP(A362,Classification!$A:$D,2,FALSE)</f>
        <v>A</v>
      </c>
      <c r="E362" s="50" t="str">
        <f>VLOOKUP(B362,Classification!$A:$D,2,FALSE)</f>
        <v>A</v>
      </c>
      <c r="F362" s="15" t="str">
        <f>VLOOKUP(C362,Classification!$A:$D,2,FALSE)</f>
        <v>A</v>
      </c>
      <c r="G362" s="15" t="b">
        <f t="shared" si="5"/>
        <v>1</v>
      </c>
      <c r="J362" s="3"/>
    </row>
    <row r="363" spans="1:10" x14ac:dyDescent="0.2">
      <c r="A363" t="s">
        <v>307</v>
      </c>
      <c r="B363" s="1" t="s">
        <v>158</v>
      </c>
      <c r="C363" t="s">
        <v>352</v>
      </c>
      <c r="D363" s="28" t="str">
        <f>VLOOKUP(A363,Classification!$A:$D,2,FALSE)</f>
        <v>A</v>
      </c>
      <c r="E363" s="50" t="str">
        <f>VLOOKUP(B363,Classification!$A:$D,2,FALSE)</f>
        <v>A</v>
      </c>
      <c r="F363" s="15" t="str">
        <f>VLOOKUP(C363,Classification!$A:$D,2,FALSE)</f>
        <v>A</v>
      </c>
      <c r="G363" s="15" t="b">
        <f t="shared" si="5"/>
        <v>1</v>
      </c>
      <c r="J363" s="3"/>
    </row>
    <row r="364" spans="1:10" x14ac:dyDescent="0.2">
      <c r="A364" t="s">
        <v>371</v>
      </c>
      <c r="B364" s="1" t="s">
        <v>352</v>
      </c>
      <c r="C364" t="s">
        <v>352</v>
      </c>
      <c r="D364" s="28" t="str">
        <f>VLOOKUP(A364,Classification!$A:$D,2,FALSE)</f>
        <v>A</v>
      </c>
      <c r="E364" s="50" t="str">
        <f>VLOOKUP(B364,Classification!$A:$D,2,FALSE)</f>
        <v>A</v>
      </c>
      <c r="F364" s="15" t="str">
        <f>VLOOKUP(C364,Classification!$A:$D,2,FALSE)</f>
        <v>A</v>
      </c>
      <c r="G364" s="15" t="b">
        <f t="shared" si="5"/>
        <v>1</v>
      </c>
      <c r="J364" s="3"/>
    </row>
    <row r="365" spans="1:10" x14ac:dyDescent="0.2">
      <c r="A365" t="s">
        <v>234</v>
      </c>
      <c r="B365" s="1" t="s">
        <v>336</v>
      </c>
      <c r="C365" t="s">
        <v>352</v>
      </c>
      <c r="D365" s="28" t="str">
        <f>VLOOKUP(A365,Classification!$A:$D,2,FALSE)</f>
        <v>A</v>
      </c>
      <c r="E365" s="50" t="str">
        <f>VLOOKUP(B365,Classification!$A:$D,2,FALSE)</f>
        <v>A</v>
      </c>
      <c r="F365" s="15" t="str">
        <f>VLOOKUP(C365,Classification!$A:$D,2,FALSE)</f>
        <v>A</v>
      </c>
      <c r="G365" s="15" t="b">
        <f t="shared" si="5"/>
        <v>1</v>
      </c>
      <c r="J365" s="3"/>
    </row>
    <row r="366" spans="1:10" x14ac:dyDescent="0.2">
      <c r="A366" t="s">
        <v>365</v>
      </c>
      <c r="B366" s="1" t="s">
        <v>103</v>
      </c>
      <c r="C366" t="s">
        <v>352</v>
      </c>
      <c r="D366" s="28" t="str">
        <f>VLOOKUP(A366,Classification!$A:$D,2,FALSE)</f>
        <v>A</v>
      </c>
      <c r="E366" s="50" t="str">
        <f>VLOOKUP(B366,Classification!$A:$D,2,FALSE)</f>
        <v>A</v>
      </c>
      <c r="F366" s="15" t="str">
        <f>VLOOKUP(C366,Classification!$A:$D,2,FALSE)</f>
        <v>A</v>
      </c>
      <c r="G366" s="15" t="b">
        <f t="shared" si="5"/>
        <v>1</v>
      </c>
      <c r="J366" s="3"/>
    </row>
    <row r="367" spans="1:10" x14ac:dyDescent="0.2">
      <c r="A367" t="s">
        <v>253</v>
      </c>
      <c r="B367" s="1" t="s">
        <v>355</v>
      </c>
      <c r="C367" t="s">
        <v>352</v>
      </c>
      <c r="D367" s="28" t="str">
        <f>VLOOKUP(A367,Classification!$A:$D,2,FALSE)</f>
        <v>A</v>
      </c>
      <c r="E367" s="50" t="str">
        <f>VLOOKUP(B367,Classification!$A:$D,2,FALSE)</f>
        <v>A</v>
      </c>
      <c r="F367" s="15" t="str">
        <f>VLOOKUP(C367,Classification!$A:$D,2,FALSE)</f>
        <v>A</v>
      </c>
      <c r="G367" s="15" t="b">
        <f t="shared" si="5"/>
        <v>1</v>
      </c>
      <c r="J367" s="3"/>
    </row>
    <row r="368" spans="1:10" x14ac:dyDescent="0.2">
      <c r="A368" t="s">
        <v>364</v>
      </c>
      <c r="B368" s="1" t="s">
        <v>356</v>
      </c>
      <c r="C368" t="s">
        <v>352</v>
      </c>
      <c r="D368" s="28" t="str">
        <f>VLOOKUP(A368,Classification!$A:$D,2,FALSE)</f>
        <v>A</v>
      </c>
      <c r="E368" s="50" t="str">
        <f>VLOOKUP(B368,Classification!$A:$D,2,FALSE)</f>
        <v>A</v>
      </c>
      <c r="F368" s="15" t="str">
        <f>VLOOKUP(C368,Classification!$A:$D,2,FALSE)</f>
        <v>A</v>
      </c>
      <c r="G368" s="15" t="b">
        <f t="shared" si="5"/>
        <v>1</v>
      </c>
      <c r="J368" s="3"/>
    </row>
    <row r="369" spans="1:10" x14ac:dyDescent="0.2">
      <c r="A369" t="s">
        <v>357</v>
      </c>
      <c r="B369" s="1" t="s">
        <v>356</v>
      </c>
      <c r="C369" t="s">
        <v>355</v>
      </c>
      <c r="D369" s="28" t="str">
        <f>VLOOKUP(A369,Classification!$A:$D,2,FALSE)</f>
        <v>A</v>
      </c>
      <c r="E369" s="50" t="str">
        <f>VLOOKUP(B369,Classification!$A:$D,2,FALSE)</f>
        <v>A</v>
      </c>
      <c r="F369" s="15" t="str">
        <f>VLOOKUP(C369,Classification!$A:$D,2,FALSE)</f>
        <v>A</v>
      </c>
      <c r="G369" s="15" t="b">
        <f t="shared" si="5"/>
        <v>1</v>
      </c>
      <c r="J369" s="3"/>
    </row>
    <row r="370" spans="1:10" x14ac:dyDescent="0.2">
      <c r="A370" t="s">
        <v>261</v>
      </c>
      <c r="B370" s="1" t="s">
        <v>336</v>
      </c>
      <c r="C370" t="s">
        <v>355</v>
      </c>
      <c r="D370" s="28" t="str">
        <f>VLOOKUP(A370,Classification!$A:$D,2,FALSE)</f>
        <v>A</v>
      </c>
      <c r="E370" s="50" t="str">
        <f>VLOOKUP(B370,Classification!$A:$D,2,FALSE)</f>
        <v>A</v>
      </c>
      <c r="F370" s="15" t="str">
        <f>VLOOKUP(C370,Classification!$A:$D,2,FALSE)</f>
        <v>A</v>
      </c>
      <c r="G370" s="15" t="b">
        <f t="shared" si="5"/>
        <v>1</v>
      </c>
      <c r="J370" s="3"/>
    </row>
    <row r="371" spans="1:10" x14ac:dyDescent="0.2">
      <c r="A371" t="s">
        <v>254</v>
      </c>
      <c r="B371" s="1" t="s">
        <v>170</v>
      </c>
      <c r="C371" t="s">
        <v>355</v>
      </c>
      <c r="D371" s="28" t="str">
        <f>VLOOKUP(A371,Classification!$A:$D,2,FALSE)</f>
        <v>A</v>
      </c>
      <c r="E371" s="50" t="str">
        <f>VLOOKUP(B371,Classification!$A:$D,2,FALSE)</f>
        <v>A</v>
      </c>
      <c r="F371" s="15" t="str">
        <f>VLOOKUP(C371,Classification!$A:$D,2,FALSE)</f>
        <v>A</v>
      </c>
      <c r="G371" s="15" t="b">
        <f t="shared" si="5"/>
        <v>1</v>
      </c>
      <c r="J371" s="3"/>
    </row>
    <row r="372" spans="1:10" x14ac:dyDescent="0.2">
      <c r="A372" t="s">
        <v>302</v>
      </c>
      <c r="B372" s="1" t="s">
        <v>1172</v>
      </c>
      <c r="C372" t="s">
        <v>355</v>
      </c>
      <c r="D372" s="28" t="str">
        <f>VLOOKUP(A372,Classification!$A:$D,2,FALSE)</f>
        <v>A</v>
      </c>
      <c r="E372" s="50" t="str">
        <f>VLOOKUP(B372,Classification!$A:$D,2,FALSE)</f>
        <v>A</v>
      </c>
      <c r="F372" s="15" t="str">
        <f>VLOOKUP(C372,Classification!$A:$D,2,FALSE)</f>
        <v>A</v>
      </c>
      <c r="G372" s="15" t="b">
        <f t="shared" si="5"/>
        <v>1</v>
      </c>
      <c r="J372" s="3"/>
    </row>
    <row r="373" spans="1:10" x14ac:dyDescent="0.2">
      <c r="A373" t="s">
        <v>358</v>
      </c>
      <c r="B373" s="1" t="s">
        <v>356</v>
      </c>
      <c r="C373" t="s">
        <v>355</v>
      </c>
      <c r="D373" s="28" t="str">
        <f>VLOOKUP(A373,Classification!$A:$D,2,FALSE)</f>
        <v>A</v>
      </c>
      <c r="E373" s="50" t="str">
        <f>VLOOKUP(B373,Classification!$A:$D,2,FALSE)</f>
        <v>A</v>
      </c>
      <c r="F373" s="15" t="str">
        <f>VLOOKUP(C373,Classification!$A:$D,2,FALSE)</f>
        <v>A</v>
      </c>
      <c r="G373" s="15" t="b">
        <f t="shared" si="5"/>
        <v>1</v>
      </c>
      <c r="J373" s="3"/>
    </row>
    <row r="374" spans="1:10" x14ac:dyDescent="0.2">
      <c r="A374" t="s">
        <v>356</v>
      </c>
      <c r="B374" s="1" t="s">
        <v>356</v>
      </c>
      <c r="C374" t="s">
        <v>356</v>
      </c>
      <c r="D374" s="28" t="str">
        <f>VLOOKUP(A374,Classification!$A:$D,2,FALSE)</f>
        <v>A</v>
      </c>
      <c r="E374" s="50" t="str">
        <f>VLOOKUP(B374,Classification!$A:$D,2,FALSE)</f>
        <v>A</v>
      </c>
      <c r="F374" s="15" t="str">
        <f>VLOOKUP(C374,Classification!$A:$D,2,FALSE)</f>
        <v>A</v>
      </c>
      <c r="G374" s="15" t="b">
        <f t="shared" si="5"/>
        <v>1</v>
      </c>
      <c r="J374" s="3"/>
    </row>
    <row r="375" spans="1:10" x14ac:dyDescent="0.2">
      <c r="A375" t="s">
        <v>355</v>
      </c>
      <c r="B375" s="1" t="s">
        <v>355</v>
      </c>
      <c r="C375" t="s">
        <v>355</v>
      </c>
      <c r="D375" s="28" t="str">
        <f>VLOOKUP(A375,Classification!$A:$D,2,FALSE)</f>
        <v>A</v>
      </c>
      <c r="E375" s="50" t="str">
        <f>VLOOKUP(B375,Classification!$A:$D,2,FALSE)</f>
        <v>A</v>
      </c>
      <c r="F375" s="15" t="str">
        <f>VLOOKUP(C375,Classification!$A:$D,2,FALSE)</f>
        <v>A</v>
      </c>
      <c r="G375" s="15" t="b">
        <f t="shared" si="5"/>
        <v>1</v>
      </c>
      <c r="J375" s="3"/>
    </row>
    <row r="376" spans="1:10" x14ac:dyDescent="0.2">
      <c r="A376" t="s">
        <v>243</v>
      </c>
      <c r="B376" s="1" t="s">
        <v>336</v>
      </c>
      <c r="C376" t="s">
        <v>355</v>
      </c>
      <c r="D376" s="28" t="str">
        <f>VLOOKUP(A376,Classification!$A:$D,2,FALSE)</f>
        <v>A</v>
      </c>
      <c r="E376" s="50" t="str">
        <f>VLOOKUP(B376,Classification!$A:$D,2,FALSE)</f>
        <v>A</v>
      </c>
      <c r="F376" s="15" t="str">
        <f>VLOOKUP(C376,Classification!$A:$D,2,FALSE)</f>
        <v>A</v>
      </c>
      <c r="G376" s="15" t="b">
        <f t="shared" si="5"/>
        <v>1</v>
      </c>
      <c r="J376" s="3"/>
    </row>
    <row r="377" spans="1:10" x14ac:dyDescent="0.2">
      <c r="A377" t="s">
        <v>349</v>
      </c>
      <c r="B377" s="1" t="s">
        <v>355</v>
      </c>
      <c r="C377" t="s">
        <v>355</v>
      </c>
      <c r="D377" s="28" t="str">
        <f>VLOOKUP(A377,Classification!$A:$D,2,FALSE)</f>
        <v>A</v>
      </c>
      <c r="E377" s="50" t="str">
        <f>VLOOKUP(B377,Classification!$A:$D,2,FALSE)</f>
        <v>A</v>
      </c>
      <c r="F377" s="15" t="str">
        <f>VLOOKUP(C377,Classification!$A:$D,2,FALSE)</f>
        <v>A</v>
      </c>
      <c r="G377" s="15" t="b">
        <f t="shared" si="5"/>
        <v>1</v>
      </c>
      <c r="J377" s="3"/>
    </row>
    <row r="378" spans="1:10" x14ac:dyDescent="0.2">
      <c r="A378" t="s">
        <v>199</v>
      </c>
      <c r="B378" s="1" t="s">
        <v>355</v>
      </c>
      <c r="C378" t="s">
        <v>355</v>
      </c>
      <c r="D378" s="28" t="str">
        <f>VLOOKUP(A378,Classification!$A:$D,2,FALSE)</f>
        <v>A</v>
      </c>
      <c r="E378" s="50" t="str">
        <f>VLOOKUP(B378,Classification!$A:$D,2,FALSE)</f>
        <v>A</v>
      </c>
      <c r="F378" s="15" t="str">
        <f>VLOOKUP(C378,Classification!$A:$D,2,FALSE)</f>
        <v>A</v>
      </c>
      <c r="G378" s="15" t="b">
        <f t="shared" si="5"/>
        <v>1</v>
      </c>
      <c r="J378" s="3"/>
    </row>
    <row r="379" spans="1:10" x14ac:dyDescent="0.2">
      <c r="A379" t="s">
        <v>258</v>
      </c>
      <c r="B379" s="1" t="s">
        <v>355</v>
      </c>
      <c r="C379" t="s">
        <v>355</v>
      </c>
      <c r="D379" s="28" t="str">
        <f>VLOOKUP(A379,Classification!$A:$D,2,FALSE)</f>
        <v>A</v>
      </c>
      <c r="E379" s="50" t="str">
        <f>VLOOKUP(B379,Classification!$A:$D,2,FALSE)</f>
        <v>A</v>
      </c>
      <c r="F379" s="15" t="str">
        <f>VLOOKUP(C379,Classification!$A:$D,2,FALSE)</f>
        <v>A</v>
      </c>
      <c r="G379" s="15" t="b">
        <f t="shared" si="5"/>
        <v>1</v>
      </c>
      <c r="J379" s="3"/>
    </row>
    <row r="380" spans="1:10" x14ac:dyDescent="0.2">
      <c r="A380" t="s">
        <v>309</v>
      </c>
      <c r="B380" s="1" t="s">
        <v>104</v>
      </c>
      <c r="C380" t="s">
        <v>104</v>
      </c>
      <c r="D380" s="28" t="str">
        <f>VLOOKUP(A380,Classification!$A:$D,2,FALSE)</f>
        <v>A</v>
      </c>
      <c r="E380" s="50" t="str">
        <f>VLOOKUP(B380,Classification!$A:$D,2,FALSE)</f>
        <v>A</v>
      </c>
      <c r="F380" s="15" t="str">
        <f>VLOOKUP(C380,Classification!$A:$D,2,FALSE)</f>
        <v>A</v>
      </c>
      <c r="G380" s="15" t="b">
        <f t="shared" si="5"/>
        <v>1</v>
      </c>
      <c r="J380" s="3"/>
    </row>
    <row r="381" spans="1:10" x14ac:dyDescent="0.2">
      <c r="A381" t="s">
        <v>151</v>
      </c>
      <c r="B381" s="1" t="s">
        <v>104</v>
      </c>
      <c r="C381" t="s">
        <v>104</v>
      </c>
      <c r="D381" s="28" t="str">
        <f>VLOOKUP(A381,Classification!$A:$D,2,FALSE)</f>
        <v>A</v>
      </c>
      <c r="E381" s="50" t="str">
        <f>VLOOKUP(B381,Classification!$A:$D,2,FALSE)</f>
        <v>A</v>
      </c>
      <c r="F381" s="15" t="str">
        <f>VLOOKUP(C381,Classification!$A:$D,2,FALSE)</f>
        <v>A</v>
      </c>
      <c r="G381" s="15" t="b">
        <f t="shared" si="5"/>
        <v>1</v>
      </c>
      <c r="J381" s="3"/>
    </row>
    <row r="382" spans="1:10" x14ac:dyDescent="0.2">
      <c r="A382" t="s">
        <v>296</v>
      </c>
      <c r="B382" s="1" t="s">
        <v>103</v>
      </c>
      <c r="C382" t="s">
        <v>104</v>
      </c>
      <c r="D382" s="28" t="str">
        <f>VLOOKUP(A382,Classification!$A:$D,2,FALSE)</f>
        <v>A</v>
      </c>
      <c r="E382" s="50" t="str">
        <f>VLOOKUP(B382,Classification!$A:$D,2,FALSE)</f>
        <v>A</v>
      </c>
      <c r="F382" s="15" t="str">
        <f>VLOOKUP(C382,Classification!$A:$D,2,FALSE)</f>
        <v>A</v>
      </c>
      <c r="G382" s="15" t="b">
        <f t="shared" si="5"/>
        <v>1</v>
      </c>
      <c r="J382" s="3"/>
    </row>
    <row r="383" spans="1:10" x14ac:dyDescent="0.2">
      <c r="A383" t="s">
        <v>297</v>
      </c>
      <c r="B383" s="1" t="s">
        <v>104</v>
      </c>
      <c r="C383" t="s">
        <v>104</v>
      </c>
      <c r="D383" s="28" t="str">
        <f>VLOOKUP(A383,Classification!$A:$D,2,FALSE)</f>
        <v>A</v>
      </c>
      <c r="E383" s="50" t="str">
        <f>VLOOKUP(B383,Classification!$A:$D,2,FALSE)</f>
        <v>A</v>
      </c>
      <c r="F383" s="15" t="str">
        <f>VLOOKUP(C383,Classification!$A:$D,2,FALSE)</f>
        <v>A</v>
      </c>
      <c r="G383" s="15" t="b">
        <f t="shared" si="5"/>
        <v>1</v>
      </c>
      <c r="J383" s="3"/>
    </row>
    <row r="384" spans="1:10" x14ac:dyDescent="0.2">
      <c r="A384" t="s">
        <v>238</v>
      </c>
      <c r="B384" s="1" t="s">
        <v>103</v>
      </c>
      <c r="C384" t="s">
        <v>104</v>
      </c>
      <c r="D384" s="28" t="str">
        <f>VLOOKUP(A384,Classification!$A:$D,2,FALSE)</f>
        <v>A</v>
      </c>
      <c r="E384" s="50" t="str">
        <f>VLOOKUP(B384,Classification!$A:$D,2,FALSE)</f>
        <v>A</v>
      </c>
      <c r="F384" s="15" t="str">
        <f>VLOOKUP(C384,Classification!$A:$D,2,FALSE)</f>
        <v>A</v>
      </c>
      <c r="G384" s="15" t="b">
        <f t="shared" si="5"/>
        <v>1</v>
      </c>
      <c r="J384" s="3"/>
    </row>
    <row r="385" spans="1:10" x14ac:dyDescent="0.2">
      <c r="A385" t="s">
        <v>262</v>
      </c>
      <c r="B385" s="1" t="s">
        <v>104</v>
      </c>
      <c r="C385" t="s">
        <v>104</v>
      </c>
      <c r="D385" s="28" t="str">
        <f>VLOOKUP(A385,Classification!$A:$D,2,FALSE)</f>
        <v>A</v>
      </c>
      <c r="E385" s="50" t="str">
        <f>VLOOKUP(B385,Classification!$A:$D,2,FALSE)</f>
        <v>A</v>
      </c>
      <c r="F385" s="15" t="str">
        <f>VLOOKUP(C385,Classification!$A:$D,2,FALSE)</f>
        <v>A</v>
      </c>
      <c r="G385" s="15" t="b">
        <f t="shared" si="5"/>
        <v>1</v>
      </c>
      <c r="J385" s="3"/>
    </row>
    <row r="386" spans="1:10" x14ac:dyDescent="0.2">
      <c r="A386" t="s">
        <v>363</v>
      </c>
      <c r="B386" s="1" t="s">
        <v>104</v>
      </c>
      <c r="C386" t="s">
        <v>104</v>
      </c>
      <c r="D386" s="28" t="str">
        <f>VLOOKUP(A386,Classification!$A:$D,2,FALSE)</f>
        <v>A</v>
      </c>
      <c r="E386" s="50" t="str">
        <f>VLOOKUP(B386,Classification!$A:$D,2,FALSE)</f>
        <v>A</v>
      </c>
      <c r="F386" s="15" t="str">
        <f>VLOOKUP(C386,Classification!$A:$D,2,FALSE)</f>
        <v>A</v>
      </c>
      <c r="G386" s="15" t="b">
        <f t="shared" si="5"/>
        <v>1</v>
      </c>
      <c r="J386" s="3"/>
    </row>
    <row r="387" spans="1:10" x14ac:dyDescent="0.2">
      <c r="A387" t="s">
        <v>473</v>
      </c>
      <c r="B387" s="1" t="s">
        <v>182</v>
      </c>
      <c r="C387" t="s">
        <v>104</v>
      </c>
      <c r="D387" s="28" t="str">
        <f>VLOOKUP(A387,Classification!$A:$D,2,FALSE)</f>
        <v>A</v>
      </c>
      <c r="E387" s="50" t="str">
        <f>VLOOKUP(B387,Classification!$A:$D,2,FALSE)</f>
        <v>A</v>
      </c>
      <c r="F387" s="15" t="str">
        <f>VLOOKUP(C387,Classification!$A:$D,2,FALSE)</f>
        <v>A</v>
      </c>
      <c r="G387" s="15" t="b">
        <f t="shared" ref="G387:G406" si="6">OR(D387=F387,AND(D387="T",F387="A"),AND(D387="B2",F387="B1"),D387="O")</f>
        <v>1</v>
      </c>
      <c r="J387" s="3"/>
    </row>
    <row r="388" spans="1:10" x14ac:dyDescent="0.2">
      <c r="A388" t="s">
        <v>213</v>
      </c>
      <c r="B388" s="1" t="s">
        <v>35</v>
      </c>
      <c r="C388" t="s">
        <v>104</v>
      </c>
      <c r="D388" s="28" t="str">
        <f>VLOOKUP(A388,Classification!$A:$D,2,FALSE)</f>
        <v>A</v>
      </c>
      <c r="E388" s="50" t="str">
        <f>VLOOKUP(B388,Classification!$A:$D,2,FALSE)</f>
        <v>A</v>
      </c>
      <c r="F388" s="15" t="str">
        <f>VLOOKUP(C388,Classification!$A:$D,2,FALSE)</f>
        <v>A</v>
      </c>
      <c r="G388" s="15" t="b">
        <f t="shared" si="6"/>
        <v>1</v>
      </c>
      <c r="J388" s="3"/>
    </row>
    <row r="389" spans="1:10" x14ac:dyDescent="0.2">
      <c r="A389" t="s">
        <v>377</v>
      </c>
      <c r="B389" s="1" t="s">
        <v>104</v>
      </c>
      <c r="C389" t="s">
        <v>104</v>
      </c>
      <c r="D389" s="28" t="str">
        <f>VLOOKUP(A389,Classification!$A:$D,2,FALSE)</f>
        <v>A</v>
      </c>
      <c r="E389" s="50" t="str">
        <f>VLOOKUP(B389,Classification!$A:$D,2,FALSE)</f>
        <v>A</v>
      </c>
      <c r="F389" s="15" t="str">
        <f>VLOOKUP(C389,Classification!$A:$D,2,FALSE)</f>
        <v>A</v>
      </c>
      <c r="G389" s="15" t="b">
        <f t="shared" si="6"/>
        <v>1</v>
      </c>
      <c r="J389" s="3"/>
    </row>
    <row r="390" spans="1:10" x14ac:dyDescent="0.2">
      <c r="A390" t="s">
        <v>104</v>
      </c>
      <c r="B390" s="1" t="s">
        <v>104</v>
      </c>
      <c r="C390" t="s">
        <v>104</v>
      </c>
      <c r="D390" s="28" t="str">
        <f>VLOOKUP(A390,Classification!$A:$D,2,FALSE)</f>
        <v>A</v>
      </c>
      <c r="E390" s="50" t="str">
        <f>VLOOKUP(B390,Classification!$A:$D,2,FALSE)</f>
        <v>A</v>
      </c>
      <c r="F390" s="15" t="str">
        <f>VLOOKUP(C390,Classification!$A:$D,2,FALSE)</f>
        <v>A</v>
      </c>
      <c r="G390" s="15" t="b">
        <f t="shared" si="6"/>
        <v>1</v>
      </c>
      <c r="J390" s="3"/>
    </row>
    <row r="391" spans="1:10" x14ac:dyDescent="0.2">
      <c r="A391" t="s">
        <v>379</v>
      </c>
      <c r="B391" s="1" t="s">
        <v>104</v>
      </c>
      <c r="C391" t="s">
        <v>104</v>
      </c>
      <c r="D391" s="28" t="str">
        <f>VLOOKUP(A391,Classification!$A:$D,2,FALSE)</f>
        <v>A</v>
      </c>
      <c r="E391" s="50" t="str">
        <f>VLOOKUP(B391,Classification!$A:$D,2,FALSE)</f>
        <v>A</v>
      </c>
      <c r="F391" s="15" t="str">
        <f>VLOOKUP(C391,Classification!$A:$D,2,FALSE)</f>
        <v>A</v>
      </c>
      <c r="G391" s="15" t="b">
        <f t="shared" si="6"/>
        <v>1</v>
      </c>
      <c r="J391" s="3"/>
    </row>
    <row r="392" spans="1:10" x14ac:dyDescent="0.2">
      <c r="A392" t="s">
        <v>378</v>
      </c>
      <c r="B392" s="1" t="s">
        <v>104</v>
      </c>
      <c r="C392" t="s">
        <v>104</v>
      </c>
      <c r="D392" s="28" t="str">
        <f>VLOOKUP(A392,Classification!$A:$D,2,FALSE)</f>
        <v>A</v>
      </c>
      <c r="E392" s="50" t="str">
        <f>VLOOKUP(B392,Classification!$A:$D,2,FALSE)</f>
        <v>A</v>
      </c>
      <c r="F392" s="15" t="str">
        <f>VLOOKUP(C392,Classification!$A:$D,2,FALSE)</f>
        <v>A</v>
      </c>
      <c r="G392" s="15" t="b">
        <f t="shared" si="6"/>
        <v>1</v>
      </c>
      <c r="J392" s="3"/>
    </row>
    <row r="393" spans="1:10" x14ac:dyDescent="0.2">
      <c r="A393" t="s">
        <v>380</v>
      </c>
      <c r="B393" s="1" t="s">
        <v>104</v>
      </c>
      <c r="C393" t="s">
        <v>104</v>
      </c>
      <c r="D393" s="28" t="str">
        <f>VLOOKUP(A393,Classification!$A:$D,2,FALSE)</f>
        <v>A</v>
      </c>
      <c r="E393" s="50" t="str">
        <f>VLOOKUP(B393,Classification!$A:$D,2,FALSE)</f>
        <v>A</v>
      </c>
      <c r="F393" s="15" t="str">
        <f>VLOOKUP(C393,Classification!$A:$D,2,FALSE)</f>
        <v>A</v>
      </c>
      <c r="G393" s="15" t="b">
        <f t="shared" si="6"/>
        <v>1</v>
      </c>
      <c r="J393" s="3"/>
    </row>
    <row r="394" spans="1:10" x14ac:dyDescent="0.2">
      <c r="A394" t="s">
        <v>448</v>
      </c>
      <c r="B394" s="1" t="s">
        <v>33</v>
      </c>
      <c r="C394" t="s">
        <v>33</v>
      </c>
      <c r="D394" s="28" t="str">
        <f>VLOOKUP(A394,Classification!$A:$D,2,FALSE)</f>
        <v>F</v>
      </c>
      <c r="E394" s="50" t="str">
        <f>VLOOKUP(B394,Classification!$A:$D,2,FALSE)</f>
        <v>F</v>
      </c>
      <c r="F394" s="15" t="str">
        <f>VLOOKUP(C394,Classification!$A:$D,2,FALSE)</f>
        <v>F</v>
      </c>
      <c r="G394" s="15" t="b">
        <f t="shared" si="6"/>
        <v>1</v>
      </c>
      <c r="J394" s="3"/>
    </row>
    <row r="395" spans="1:10" x14ac:dyDescent="0.2">
      <c r="A395" t="s">
        <v>453</v>
      </c>
      <c r="B395" s="1" t="s">
        <v>33</v>
      </c>
      <c r="C395" t="s">
        <v>33</v>
      </c>
      <c r="D395" s="28" t="str">
        <f>VLOOKUP(A395,Classification!$A:$D,2,FALSE)</f>
        <v>F</v>
      </c>
      <c r="E395" s="50" t="str">
        <f>VLOOKUP(B395,Classification!$A:$D,2,FALSE)</f>
        <v>F</v>
      </c>
      <c r="F395" s="15" t="str">
        <f>VLOOKUP(C395,Classification!$A:$D,2,FALSE)</f>
        <v>F</v>
      </c>
      <c r="G395" s="15" t="b">
        <f t="shared" si="6"/>
        <v>1</v>
      </c>
      <c r="J395" s="3"/>
    </row>
    <row r="396" spans="1:10" x14ac:dyDescent="0.2">
      <c r="A396" t="s">
        <v>446</v>
      </c>
      <c r="B396" s="1" t="s">
        <v>33</v>
      </c>
      <c r="C396" t="s">
        <v>33</v>
      </c>
      <c r="D396" s="28" t="str">
        <f>VLOOKUP(A396,Classification!$A:$D,2,FALSE)</f>
        <v>F</v>
      </c>
      <c r="E396" s="50" t="str">
        <f>VLOOKUP(B396,Classification!$A:$D,2,FALSE)</f>
        <v>F</v>
      </c>
      <c r="F396" s="15" t="str">
        <f>VLOOKUP(C396,Classification!$A:$D,2,FALSE)</f>
        <v>F</v>
      </c>
      <c r="G396" s="15" t="b">
        <f t="shared" si="6"/>
        <v>1</v>
      </c>
      <c r="J396" s="3"/>
    </row>
    <row r="397" spans="1:10" x14ac:dyDescent="0.2">
      <c r="A397" t="s">
        <v>450</v>
      </c>
      <c r="B397" s="1" t="s">
        <v>33</v>
      </c>
      <c r="C397" t="s">
        <v>33</v>
      </c>
      <c r="D397" s="28" t="str">
        <f>VLOOKUP(A397,Classification!$A:$D,2,FALSE)</f>
        <v>F</v>
      </c>
      <c r="E397" s="50" t="str">
        <f>VLOOKUP(B397,Classification!$A:$D,2,FALSE)</f>
        <v>F</v>
      </c>
      <c r="F397" s="15" t="str">
        <f>VLOOKUP(C397,Classification!$A:$D,2,FALSE)</f>
        <v>F</v>
      </c>
      <c r="G397" s="15" t="b">
        <f t="shared" si="6"/>
        <v>1</v>
      </c>
      <c r="J397" s="3"/>
    </row>
    <row r="398" spans="1:10" x14ac:dyDescent="0.2">
      <c r="A398" t="s">
        <v>447</v>
      </c>
      <c r="B398" s="1" t="s">
        <v>33</v>
      </c>
      <c r="C398" t="s">
        <v>33</v>
      </c>
      <c r="D398" s="28" t="str">
        <f>VLOOKUP(A398,Classification!$A:$D,2,FALSE)</f>
        <v>F</v>
      </c>
      <c r="E398" s="50" t="str">
        <f>VLOOKUP(B398,Classification!$A:$D,2,FALSE)</f>
        <v>F</v>
      </c>
      <c r="F398" s="15" t="str">
        <f>VLOOKUP(C398,Classification!$A:$D,2,FALSE)</f>
        <v>F</v>
      </c>
      <c r="G398" s="15" t="b">
        <f t="shared" si="6"/>
        <v>1</v>
      </c>
      <c r="J398" s="3"/>
    </row>
    <row r="399" spans="1:10" x14ac:dyDescent="0.2">
      <c r="A399" t="s">
        <v>455</v>
      </c>
      <c r="B399" s="1" t="s">
        <v>33</v>
      </c>
      <c r="C399" t="s">
        <v>33</v>
      </c>
      <c r="D399" s="28" t="str">
        <f>VLOOKUP(A399,Classification!$A:$D,2,FALSE)</f>
        <v>F</v>
      </c>
      <c r="E399" s="50" t="str">
        <f>VLOOKUP(B399,Classification!$A:$D,2,FALSE)</f>
        <v>F</v>
      </c>
      <c r="F399" s="15" t="str">
        <f>VLOOKUP(C399,Classification!$A:$D,2,FALSE)</f>
        <v>F</v>
      </c>
      <c r="G399" s="15" t="b">
        <f t="shared" si="6"/>
        <v>1</v>
      </c>
      <c r="J399" s="3"/>
    </row>
    <row r="400" spans="1:10" x14ac:dyDescent="0.2">
      <c r="A400" t="s">
        <v>451</v>
      </c>
      <c r="B400" s="1" t="s">
        <v>33</v>
      </c>
      <c r="C400" t="s">
        <v>33</v>
      </c>
      <c r="D400" s="28" t="str">
        <f>VLOOKUP(A400,Classification!$A:$D,2,FALSE)</f>
        <v>F</v>
      </c>
      <c r="E400" s="50" t="str">
        <f>VLOOKUP(B400,Classification!$A:$D,2,FALSE)</f>
        <v>F</v>
      </c>
      <c r="F400" s="15" t="str">
        <f>VLOOKUP(C400,Classification!$A:$D,2,FALSE)</f>
        <v>F</v>
      </c>
      <c r="G400" s="15" t="b">
        <f t="shared" si="6"/>
        <v>1</v>
      </c>
      <c r="J400" s="3"/>
    </row>
    <row r="401" spans="1:10" x14ac:dyDescent="0.2">
      <c r="A401" t="s">
        <v>454</v>
      </c>
      <c r="B401" s="1" t="s">
        <v>33</v>
      </c>
      <c r="C401" t="s">
        <v>33</v>
      </c>
      <c r="D401" s="28" t="str">
        <f>VLOOKUP(A401,Classification!$A:$D,2,FALSE)</f>
        <v>F</v>
      </c>
      <c r="E401" s="50" t="str">
        <f>VLOOKUP(B401,Classification!$A:$D,2,FALSE)</f>
        <v>F</v>
      </c>
      <c r="F401" s="15" t="str">
        <f>VLOOKUP(C401,Classification!$A:$D,2,FALSE)</f>
        <v>F</v>
      </c>
      <c r="G401" s="15" t="b">
        <f t="shared" si="6"/>
        <v>1</v>
      </c>
      <c r="J401" s="3"/>
    </row>
    <row r="402" spans="1:10" x14ac:dyDescent="0.2">
      <c r="A402" t="s">
        <v>449</v>
      </c>
      <c r="B402" s="1" t="s">
        <v>33</v>
      </c>
      <c r="C402" t="s">
        <v>33</v>
      </c>
      <c r="D402" s="28" t="str">
        <f>VLOOKUP(A402,Classification!$A:$D,2,FALSE)</f>
        <v>F</v>
      </c>
      <c r="E402" s="50" t="str">
        <f>VLOOKUP(B402,Classification!$A:$D,2,FALSE)</f>
        <v>F</v>
      </c>
      <c r="F402" s="15" t="str">
        <f>VLOOKUP(C402,Classification!$A:$D,2,FALSE)</f>
        <v>F</v>
      </c>
      <c r="G402" s="15" t="b">
        <f t="shared" si="6"/>
        <v>1</v>
      </c>
      <c r="J402" s="3"/>
    </row>
    <row r="403" spans="1:10" x14ac:dyDescent="0.2">
      <c r="A403" t="s">
        <v>452</v>
      </c>
      <c r="B403" s="1" t="s">
        <v>33</v>
      </c>
      <c r="C403" t="s">
        <v>33</v>
      </c>
      <c r="D403" s="28" t="str">
        <f>VLOOKUP(A403,Classification!$A:$D,2,FALSE)</f>
        <v>F</v>
      </c>
      <c r="E403" s="50" t="str">
        <f>VLOOKUP(B403,Classification!$A:$D,2,FALSE)</f>
        <v>F</v>
      </c>
      <c r="F403" s="15" t="str">
        <f>VLOOKUP(C403,Classification!$A:$D,2,FALSE)</f>
        <v>F</v>
      </c>
      <c r="G403" s="15" t="b">
        <f t="shared" si="6"/>
        <v>1</v>
      </c>
      <c r="J403" s="3"/>
    </row>
    <row r="404" spans="1:10" x14ac:dyDescent="0.2">
      <c r="A404" t="s">
        <v>33</v>
      </c>
      <c r="B404" s="1" t="s">
        <v>33</v>
      </c>
      <c r="C404" t="s">
        <v>33</v>
      </c>
      <c r="D404" s="28" t="str">
        <f>VLOOKUP(A404,Classification!$A:$D,2,FALSE)</f>
        <v>F</v>
      </c>
      <c r="E404" s="50" t="str">
        <f>VLOOKUP(B404,Classification!$A:$D,2,FALSE)</f>
        <v>F</v>
      </c>
      <c r="F404" s="15" t="str">
        <f>VLOOKUP(C404,Classification!$A:$D,2,FALSE)</f>
        <v>F</v>
      </c>
      <c r="G404" s="15" t="b">
        <f t="shared" si="6"/>
        <v>1</v>
      </c>
      <c r="J404" s="3"/>
    </row>
    <row r="405" spans="1:10" x14ac:dyDescent="0.2">
      <c r="A405" t="s">
        <v>924</v>
      </c>
      <c r="B405" s="1" t="s">
        <v>924</v>
      </c>
      <c r="C405" t="s">
        <v>924</v>
      </c>
      <c r="D405" s="28" t="str">
        <f>VLOOKUP(A405,Classification!$A:$D,2,FALSE)</f>
        <v>A</v>
      </c>
      <c r="E405" s="50" t="str">
        <f>VLOOKUP(B405,Classification!$A:$D,2,FALSE)</f>
        <v>A</v>
      </c>
      <c r="F405" s="15" t="str">
        <f>VLOOKUP(C405,Classification!$A:$D,2,FALSE)</f>
        <v>A</v>
      </c>
      <c r="G405" s="15" t="b">
        <f t="shared" si="6"/>
        <v>1</v>
      </c>
      <c r="J405" s="3"/>
    </row>
    <row r="406" spans="1:10" x14ac:dyDescent="0.2">
      <c r="A406" t="s">
        <v>221</v>
      </c>
      <c r="B406" s="1" t="s">
        <v>104</v>
      </c>
      <c r="C406" t="s">
        <v>924</v>
      </c>
      <c r="D406" s="28" t="str">
        <f>VLOOKUP(A406,Classification!$A:$D,2,FALSE)</f>
        <v>A</v>
      </c>
      <c r="E406" s="50" t="str">
        <f>VLOOKUP(B406,Classification!$A:$D,2,FALSE)</f>
        <v>A</v>
      </c>
      <c r="F406" s="15" t="str">
        <f>VLOOKUP(C406,Classification!$A:$D,2,FALSE)</f>
        <v>A</v>
      </c>
      <c r="G406" s="15" t="b">
        <f t="shared" si="6"/>
        <v>1</v>
      </c>
      <c r="J406" s="3"/>
    </row>
    <row r="407" spans="1:10" x14ac:dyDescent="0.2">
      <c r="A407" t="s">
        <v>1430</v>
      </c>
      <c r="B407" s="1" t="s">
        <v>1430</v>
      </c>
      <c r="C407" t="s">
        <v>1430</v>
      </c>
      <c r="D407" s="28" t="str">
        <f>VLOOKUP(A407,Classification!$A:$D,2,FALSE)</f>
        <v>B1</v>
      </c>
      <c r="E407" s="50" t="str">
        <f>VLOOKUP(B407,Classification!$A:$D,2,FALSE)</f>
        <v>B1</v>
      </c>
      <c r="F407" s="15" t="str">
        <f>VLOOKUP(C407,Classification!$A:$D,2,FALSE)</f>
        <v>B1</v>
      </c>
      <c r="G407" s="15" t="b">
        <f t="shared" ref="G407" si="7">OR(D407=F407,AND(D407="T",F407="A"),AND(D407="B2",F407="B1"),D407="O")</f>
        <v>1</v>
      </c>
    </row>
    <row r="432" spans="4:8" ht="17" customHeight="1" x14ac:dyDescent="0.2">
      <c r="D432" s="7"/>
      <c r="E432" s="7"/>
      <c r="F432" s="7"/>
      <c r="G432" s="7"/>
      <c r="H432" s="1"/>
    </row>
  </sheetData>
  <sortState ref="A2:I432">
    <sortCondition ref="G2:G432"/>
    <sortCondition ref="B2:B432"/>
    <sortCondition ref="D2:D432"/>
    <sortCondition ref="F2:F432"/>
  </sortState>
  <customSheetViews>
    <customSheetView guid="{3E3401AF-8459-8641-BD70-AD04F80E86ED}" topLeftCell="A141">
      <selection activeCell="C165" sqref="C165"/>
      <pageMargins left="0.7" right="0.7" top="0.75" bottom="0.75" header="0.3" footer="0.3"/>
    </customSheetView>
  </customSheetViews>
  <conditionalFormatting sqref="G1 G408:G1048576">
    <cfRule type="cellIs" dxfId="3" priority="2" operator="equal">
      <formula>FALSE</formula>
    </cfRule>
  </conditionalFormatting>
  <conditionalFormatting sqref="G2:G407">
    <cfRule type="cellIs" dxfId="2" priority="1" operator="equal">
      <formula>FALSE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39"/>
  <sheetViews>
    <sheetView workbookViewId="0">
      <pane ySplit="1" topLeftCell="A223" activePane="bottomLeft" state="frozenSplit"/>
      <selection pane="bottomLeft" activeCell="D240" sqref="D240:D241"/>
    </sheetView>
  </sheetViews>
  <sheetFormatPr baseColWidth="10" defaultColWidth="10.83203125" defaultRowHeight="16" x14ac:dyDescent="0.2"/>
  <cols>
    <col min="1" max="1" width="16.1640625" style="3" customWidth="1"/>
    <col min="2" max="2" width="4.1640625" style="3" bestFit="1" customWidth="1"/>
    <col min="3" max="3" width="9.83203125" style="3" customWidth="1"/>
    <col min="4" max="4" width="19" style="3" customWidth="1"/>
    <col min="5" max="16384" width="10.83203125" style="3"/>
  </cols>
  <sheetData>
    <row r="1" spans="1:4" s="10" customFormat="1" x14ac:dyDescent="0.2">
      <c r="A1" s="10" t="s">
        <v>101</v>
      </c>
      <c r="B1" s="10" t="s">
        <v>932</v>
      </c>
      <c r="C1" s="10" t="s">
        <v>935</v>
      </c>
      <c r="D1" s="10" t="s">
        <v>936</v>
      </c>
    </row>
    <row r="2" spans="1:4" x14ac:dyDescent="0.2">
      <c r="A2" s="3" t="s">
        <v>128</v>
      </c>
      <c r="B2" s="3" t="s">
        <v>1</v>
      </c>
      <c r="C2" s="3" t="s">
        <v>2</v>
      </c>
      <c r="D2" s="3" t="s">
        <v>937</v>
      </c>
    </row>
    <row r="3" spans="1:4" x14ac:dyDescent="0.2">
      <c r="A3" s="3" t="s">
        <v>34</v>
      </c>
      <c r="B3" s="3" t="s">
        <v>1</v>
      </c>
      <c r="C3" s="3" t="s">
        <v>2</v>
      </c>
      <c r="D3" s="3" t="s">
        <v>937</v>
      </c>
    </row>
    <row r="4" spans="1:4" x14ac:dyDescent="0.2">
      <c r="A4" s="3" t="s">
        <v>129</v>
      </c>
      <c r="B4" s="3" t="s">
        <v>1</v>
      </c>
      <c r="C4" s="3" t="s">
        <v>2</v>
      </c>
      <c r="D4" s="3" t="s">
        <v>937</v>
      </c>
    </row>
    <row r="5" spans="1:4" x14ac:dyDescent="0.2">
      <c r="A5" s="3" t="s">
        <v>130</v>
      </c>
      <c r="B5" s="3" t="s">
        <v>1</v>
      </c>
      <c r="C5" s="3" t="s">
        <v>2</v>
      </c>
      <c r="D5" s="3" t="s">
        <v>937</v>
      </c>
    </row>
    <row r="6" spans="1:4" x14ac:dyDescent="0.2">
      <c r="A6" s="3" t="s">
        <v>131</v>
      </c>
      <c r="B6" s="3" t="s">
        <v>1</v>
      </c>
      <c r="C6" s="3" t="s">
        <v>2</v>
      </c>
      <c r="D6" s="3" t="s">
        <v>937</v>
      </c>
    </row>
    <row r="7" spans="1:4" x14ac:dyDescent="0.2">
      <c r="A7" s="3" t="s">
        <v>132</v>
      </c>
      <c r="B7" s="3" t="s">
        <v>1</v>
      </c>
      <c r="C7" s="3" t="s">
        <v>2</v>
      </c>
      <c r="D7" s="3" t="s">
        <v>937</v>
      </c>
    </row>
    <row r="8" spans="1:4" x14ac:dyDescent="0.2">
      <c r="A8" s="3" t="s">
        <v>35</v>
      </c>
      <c r="B8" s="3" t="s">
        <v>1</v>
      </c>
      <c r="C8" s="3" t="s">
        <v>2</v>
      </c>
      <c r="D8" s="3" t="s">
        <v>937</v>
      </c>
    </row>
    <row r="9" spans="1:4" x14ac:dyDescent="0.2">
      <c r="A9" s="3" t="s">
        <v>133</v>
      </c>
      <c r="B9" s="3" t="s">
        <v>1</v>
      </c>
      <c r="C9" s="3" t="s">
        <v>2</v>
      </c>
      <c r="D9" s="3" t="s">
        <v>937</v>
      </c>
    </row>
    <row r="10" spans="1:4" x14ac:dyDescent="0.2">
      <c r="A10" s="3" t="s">
        <v>134</v>
      </c>
      <c r="B10" s="3" t="s">
        <v>1</v>
      </c>
      <c r="C10" s="3" t="s">
        <v>2</v>
      </c>
      <c r="D10" s="3" t="s">
        <v>937</v>
      </c>
    </row>
    <row r="11" spans="1:4" x14ac:dyDescent="0.2">
      <c r="A11" s="3" t="s">
        <v>135</v>
      </c>
      <c r="B11" s="3" t="s">
        <v>1</v>
      </c>
      <c r="C11" s="3" t="s">
        <v>2</v>
      </c>
      <c r="D11" s="3" t="s">
        <v>937</v>
      </c>
    </row>
    <row r="12" spans="1:4" x14ac:dyDescent="0.2">
      <c r="A12" s="3" t="s">
        <v>136</v>
      </c>
      <c r="B12" s="3" t="s">
        <v>1</v>
      </c>
      <c r="C12" s="3" t="s">
        <v>2</v>
      </c>
      <c r="D12" s="3" t="s">
        <v>937</v>
      </c>
    </row>
    <row r="13" spans="1:4" x14ac:dyDescent="0.2">
      <c r="A13" s="3" t="s">
        <v>137</v>
      </c>
      <c r="B13" s="3" t="s">
        <v>1</v>
      </c>
      <c r="C13" s="3" t="s">
        <v>2</v>
      </c>
      <c r="D13" s="3" t="s">
        <v>937</v>
      </c>
    </row>
    <row r="14" spans="1:4" x14ac:dyDescent="0.2">
      <c r="A14" s="3" t="s">
        <v>146</v>
      </c>
      <c r="B14" s="3" t="s">
        <v>1</v>
      </c>
      <c r="C14" s="3" t="s">
        <v>2</v>
      </c>
      <c r="D14" s="3" t="s">
        <v>939</v>
      </c>
    </row>
    <row r="15" spans="1:4" x14ac:dyDescent="0.2">
      <c r="A15" s="3" t="s">
        <v>147</v>
      </c>
      <c r="B15" s="3" t="s">
        <v>1</v>
      </c>
      <c r="C15" s="3" t="s">
        <v>2</v>
      </c>
      <c r="D15" s="3" t="s">
        <v>939</v>
      </c>
    </row>
    <row r="16" spans="1:4" x14ac:dyDescent="0.2">
      <c r="A16" s="3" t="s">
        <v>148</v>
      </c>
      <c r="B16" s="3" t="s">
        <v>1</v>
      </c>
      <c r="C16" s="3" t="s">
        <v>2</v>
      </c>
      <c r="D16" s="3" t="s">
        <v>939</v>
      </c>
    </row>
    <row r="17" spans="1:4" x14ac:dyDescent="0.2">
      <c r="A17" s="3" t="s">
        <v>48</v>
      </c>
      <c r="B17" s="3" t="s">
        <v>1</v>
      </c>
      <c r="C17" s="3" t="s">
        <v>2</v>
      </c>
      <c r="D17" s="3" t="s">
        <v>939</v>
      </c>
    </row>
    <row r="18" spans="1:4" x14ac:dyDescent="0.2">
      <c r="A18" s="3" t="s">
        <v>149</v>
      </c>
      <c r="B18" s="3" t="s">
        <v>1</v>
      </c>
      <c r="C18" s="3" t="s">
        <v>2</v>
      </c>
      <c r="D18" s="3" t="s">
        <v>939</v>
      </c>
    </row>
    <row r="19" spans="1:4" x14ac:dyDescent="0.2">
      <c r="A19" s="3" t="s">
        <v>150</v>
      </c>
      <c r="B19" s="3" t="s">
        <v>1</v>
      </c>
      <c r="C19" s="3" t="s">
        <v>2</v>
      </c>
      <c r="D19" s="3" t="s">
        <v>939</v>
      </c>
    </row>
    <row r="20" spans="1:4" x14ac:dyDescent="0.2">
      <c r="A20" s="3" t="s">
        <v>138</v>
      </c>
      <c r="B20" s="3" t="s">
        <v>1</v>
      </c>
      <c r="C20" s="3" t="s">
        <v>938</v>
      </c>
      <c r="D20" s="3" t="s">
        <v>15</v>
      </c>
    </row>
    <row r="21" spans="1:4" x14ac:dyDescent="0.2">
      <c r="A21" s="3" t="s">
        <v>139</v>
      </c>
      <c r="B21" s="3" t="s">
        <v>1</v>
      </c>
      <c r="C21" s="3" t="s">
        <v>938</v>
      </c>
      <c r="D21" s="3" t="s">
        <v>15</v>
      </c>
    </row>
    <row r="22" spans="1:4" x14ac:dyDescent="0.2">
      <c r="A22" s="3" t="s">
        <v>140</v>
      </c>
      <c r="B22" s="3" t="s">
        <v>1</v>
      </c>
      <c r="C22" s="3" t="s">
        <v>938</v>
      </c>
      <c r="D22" s="3" t="s">
        <v>15</v>
      </c>
    </row>
    <row r="23" spans="1:4" x14ac:dyDescent="0.2">
      <c r="A23" s="3" t="s">
        <v>141</v>
      </c>
      <c r="B23" s="3" t="s">
        <v>1</v>
      </c>
      <c r="C23" s="3" t="s">
        <v>938</v>
      </c>
      <c r="D23" s="3" t="s">
        <v>15</v>
      </c>
    </row>
    <row r="24" spans="1:4" x14ac:dyDescent="0.2">
      <c r="A24" s="3" t="s">
        <v>414</v>
      </c>
      <c r="B24" s="3" t="s">
        <v>944</v>
      </c>
      <c r="C24" s="3" t="s">
        <v>945</v>
      </c>
      <c r="D24" s="3" t="s">
        <v>946</v>
      </c>
    </row>
    <row r="25" spans="1:4" x14ac:dyDescent="0.2">
      <c r="A25" s="3" t="s">
        <v>415</v>
      </c>
      <c r="B25" s="3" t="s">
        <v>944</v>
      </c>
      <c r="C25" s="3" t="s">
        <v>945</v>
      </c>
      <c r="D25" s="3" t="s">
        <v>946</v>
      </c>
    </row>
    <row r="26" spans="1:4" x14ac:dyDescent="0.2">
      <c r="A26" s="3" t="s">
        <v>416</v>
      </c>
      <c r="B26" s="3" t="s">
        <v>944</v>
      </c>
      <c r="C26" s="3" t="s">
        <v>945</v>
      </c>
      <c r="D26" s="3" t="s">
        <v>946</v>
      </c>
    </row>
    <row r="27" spans="1:4" x14ac:dyDescent="0.2">
      <c r="A27" s="3" t="s">
        <v>417</v>
      </c>
      <c r="B27" s="3" t="s">
        <v>944</v>
      </c>
      <c r="C27" s="3" t="s">
        <v>945</v>
      </c>
      <c r="D27" s="3" t="s">
        <v>946</v>
      </c>
    </row>
    <row r="28" spans="1:4" x14ac:dyDescent="0.2">
      <c r="A28" s="3" t="s">
        <v>418</v>
      </c>
      <c r="B28" s="3" t="s">
        <v>944</v>
      </c>
      <c r="C28" s="3" t="s">
        <v>945</v>
      </c>
      <c r="D28" s="3" t="s">
        <v>946</v>
      </c>
    </row>
    <row r="29" spans="1:4" x14ac:dyDescent="0.2">
      <c r="A29" s="3" t="s">
        <v>419</v>
      </c>
      <c r="B29" s="3" t="s">
        <v>944</v>
      </c>
      <c r="C29" s="3" t="s">
        <v>945</v>
      </c>
      <c r="D29" s="3" t="s">
        <v>946</v>
      </c>
    </row>
    <row r="30" spans="1:4" x14ac:dyDescent="0.2">
      <c r="A30" s="3" t="s">
        <v>420</v>
      </c>
      <c r="B30" s="3" t="s">
        <v>944</v>
      </c>
      <c r="C30" s="3" t="s">
        <v>945</v>
      </c>
      <c r="D30" s="3" t="s">
        <v>946</v>
      </c>
    </row>
    <row r="31" spans="1:4" x14ac:dyDescent="0.2">
      <c r="A31" s="3" t="s">
        <v>421</v>
      </c>
      <c r="B31" s="3" t="s">
        <v>944</v>
      </c>
      <c r="C31" s="3" t="s">
        <v>945</v>
      </c>
      <c r="D31" s="3" t="s">
        <v>946</v>
      </c>
    </row>
    <row r="32" spans="1:4" x14ac:dyDescent="0.2">
      <c r="A32" s="3" t="s">
        <v>422</v>
      </c>
      <c r="B32" s="3" t="s">
        <v>944</v>
      </c>
      <c r="C32" s="3" t="s">
        <v>945</v>
      </c>
      <c r="D32" s="3" t="s">
        <v>946</v>
      </c>
    </row>
    <row r="33" spans="1:4" x14ac:dyDescent="0.2">
      <c r="A33" s="3" t="s">
        <v>423</v>
      </c>
      <c r="B33" s="3" t="s">
        <v>944</v>
      </c>
      <c r="C33" s="3" t="s">
        <v>945</v>
      </c>
      <c r="D33" s="3" t="s">
        <v>946</v>
      </c>
    </row>
    <row r="34" spans="1:4" x14ac:dyDescent="0.2">
      <c r="A34" s="3" t="s">
        <v>424</v>
      </c>
      <c r="B34" s="3" t="s">
        <v>944</v>
      </c>
      <c r="C34" s="3" t="s">
        <v>945</v>
      </c>
      <c r="D34" s="3" t="s">
        <v>946</v>
      </c>
    </row>
    <row r="35" spans="1:4" x14ac:dyDescent="0.2">
      <c r="A35" s="3" t="s">
        <v>425</v>
      </c>
      <c r="B35" s="3" t="s">
        <v>944</v>
      </c>
      <c r="C35" s="3" t="s">
        <v>945</v>
      </c>
      <c r="D35" s="3" t="s">
        <v>946</v>
      </c>
    </row>
    <row r="36" spans="1:4" x14ac:dyDescent="0.2">
      <c r="A36" s="3" t="s">
        <v>426</v>
      </c>
      <c r="B36" s="3" t="s">
        <v>944</v>
      </c>
      <c r="C36" s="3" t="s">
        <v>945</v>
      </c>
      <c r="D36" s="3" t="s">
        <v>946</v>
      </c>
    </row>
    <row r="37" spans="1:4" x14ac:dyDescent="0.2">
      <c r="A37" s="3" t="s">
        <v>427</v>
      </c>
      <c r="B37" s="3" t="s">
        <v>944</v>
      </c>
      <c r="C37" s="3" t="s">
        <v>945</v>
      </c>
      <c r="D37" s="3" t="s">
        <v>946</v>
      </c>
    </row>
    <row r="38" spans="1:4" x14ac:dyDescent="0.2">
      <c r="A38" s="3" t="s">
        <v>428</v>
      </c>
      <c r="B38" s="3" t="s">
        <v>944</v>
      </c>
      <c r="C38" s="3" t="s">
        <v>945</v>
      </c>
      <c r="D38" s="3" t="s">
        <v>946</v>
      </c>
    </row>
    <row r="39" spans="1:4" x14ac:dyDescent="0.2">
      <c r="A39" s="3" t="s">
        <v>429</v>
      </c>
      <c r="B39" s="3" t="s">
        <v>944</v>
      </c>
      <c r="C39" s="3" t="s">
        <v>945</v>
      </c>
      <c r="D39" s="3" t="s">
        <v>946</v>
      </c>
    </row>
    <row r="40" spans="1:4" x14ac:dyDescent="0.2">
      <c r="A40" s="3" t="s">
        <v>430</v>
      </c>
      <c r="B40" s="3" t="s">
        <v>944</v>
      </c>
      <c r="C40" s="3" t="s">
        <v>945</v>
      </c>
      <c r="D40" s="3" t="s">
        <v>946</v>
      </c>
    </row>
    <row r="41" spans="1:4" x14ac:dyDescent="0.2">
      <c r="A41" s="3" t="s">
        <v>431</v>
      </c>
      <c r="B41" s="3" t="s">
        <v>944</v>
      </c>
      <c r="C41" s="3" t="s">
        <v>945</v>
      </c>
      <c r="D41" s="3" t="s">
        <v>946</v>
      </c>
    </row>
    <row r="42" spans="1:4" x14ac:dyDescent="0.2">
      <c r="A42" s="3" t="s">
        <v>432</v>
      </c>
      <c r="B42" s="3" t="s">
        <v>944</v>
      </c>
      <c r="C42" s="3" t="s">
        <v>945</v>
      </c>
      <c r="D42" s="3" t="s">
        <v>946</v>
      </c>
    </row>
    <row r="43" spans="1:4" x14ac:dyDescent="0.2">
      <c r="A43" s="3" t="s">
        <v>433</v>
      </c>
      <c r="B43" s="3" t="s">
        <v>944</v>
      </c>
      <c r="C43" s="3" t="s">
        <v>945</v>
      </c>
      <c r="D43" s="3" t="s">
        <v>946</v>
      </c>
    </row>
    <row r="44" spans="1:4" x14ac:dyDescent="0.2">
      <c r="A44" s="3" t="s">
        <v>434</v>
      </c>
      <c r="B44" s="3" t="s">
        <v>944</v>
      </c>
      <c r="C44" s="3" t="s">
        <v>945</v>
      </c>
      <c r="D44" s="3" t="s">
        <v>946</v>
      </c>
    </row>
    <row r="45" spans="1:4" x14ac:dyDescent="0.2">
      <c r="A45" s="3" t="s">
        <v>435</v>
      </c>
      <c r="B45" s="3" t="s">
        <v>944</v>
      </c>
      <c r="C45" s="3" t="s">
        <v>945</v>
      </c>
      <c r="D45" s="3" t="s">
        <v>946</v>
      </c>
    </row>
    <row r="46" spans="1:4" x14ac:dyDescent="0.2">
      <c r="A46" s="3" t="s">
        <v>1423</v>
      </c>
      <c r="B46" s="3" t="s">
        <v>944</v>
      </c>
      <c r="C46" s="3" t="s">
        <v>945</v>
      </c>
      <c r="D46" s="3" t="s">
        <v>946</v>
      </c>
    </row>
    <row r="47" spans="1:4" x14ac:dyDescent="0.2">
      <c r="A47" s="3" t="s">
        <v>436</v>
      </c>
      <c r="B47" s="3" t="s">
        <v>944</v>
      </c>
      <c r="C47" s="3" t="s">
        <v>945</v>
      </c>
      <c r="D47" s="3" t="s">
        <v>946</v>
      </c>
    </row>
    <row r="48" spans="1:4" x14ac:dyDescent="0.2">
      <c r="A48" s="3" t="s">
        <v>437</v>
      </c>
      <c r="B48" s="3" t="s">
        <v>944</v>
      </c>
      <c r="C48" s="3" t="s">
        <v>945</v>
      </c>
      <c r="D48" s="3" t="s">
        <v>946</v>
      </c>
    </row>
    <row r="49" spans="1:4" x14ac:dyDescent="0.2">
      <c r="A49" s="3" t="s">
        <v>438</v>
      </c>
      <c r="B49" s="3" t="s">
        <v>944</v>
      </c>
      <c r="C49" s="3" t="s">
        <v>945</v>
      </c>
      <c r="D49" s="3" t="s">
        <v>946</v>
      </c>
    </row>
    <row r="50" spans="1:4" x14ac:dyDescent="0.2">
      <c r="A50" s="3" t="s">
        <v>439</v>
      </c>
      <c r="B50" s="3" t="s">
        <v>944</v>
      </c>
      <c r="C50" s="3" t="s">
        <v>945</v>
      </c>
      <c r="D50" s="3" t="s">
        <v>946</v>
      </c>
    </row>
    <row r="51" spans="1:4" x14ac:dyDescent="0.2">
      <c r="A51" s="3" t="s">
        <v>440</v>
      </c>
      <c r="B51" s="3" t="s">
        <v>944</v>
      </c>
      <c r="C51" s="3" t="s">
        <v>945</v>
      </c>
      <c r="D51" s="3" t="s">
        <v>946</v>
      </c>
    </row>
    <row r="52" spans="1:4" x14ac:dyDescent="0.2">
      <c r="A52" s="3" t="s">
        <v>441</v>
      </c>
      <c r="B52" s="3" t="s">
        <v>944</v>
      </c>
      <c r="C52" s="3" t="s">
        <v>945</v>
      </c>
      <c r="D52" s="3" t="s">
        <v>946</v>
      </c>
    </row>
    <row r="53" spans="1:4" x14ac:dyDescent="0.2">
      <c r="A53" s="3" t="s">
        <v>442</v>
      </c>
      <c r="B53" s="3" t="s">
        <v>944</v>
      </c>
      <c r="C53" s="3" t="s">
        <v>945</v>
      </c>
      <c r="D53" s="3" t="s">
        <v>946</v>
      </c>
    </row>
    <row r="54" spans="1:4" x14ac:dyDescent="0.2">
      <c r="A54" s="3" t="s">
        <v>443</v>
      </c>
      <c r="B54" s="3" t="s">
        <v>944</v>
      </c>
      <c r="C54" s="3" t="s">
        <v>945</v>
      </c>
      <c r="D54" s="3" t="s">
        <v>946</v>
      </c>
    </row>
    <row r="55" spans="1:4" x14ac:dyDescent="0.2">
      <c r="A55" s="3" t="s">
        <v>444</v>
      </c>
      <c r="B55" s="3" t="s">
        <v>944</v>
      </c>
      <c r="C55" s="3" t="s">
        <v>945</v>
      </c>
      <c r="D55" s="3" t="s">
        <v>946</v>
      </c>
    </row>
    <row r="56" spans="1:4" x14ac:dyDescent="0.2">
      <c r="A56" s="3" t="s">
        <v>445</v>
      </c>
      <c r="B56" s="3" t="s">
        <v>944</v>
      </c>
      <c r="C56" s="3" t="s">
        <v>945</v>
      </c>
      <c r="D56" s="3" t="s">
        <v>946</v>
      </c>
    </row>
    <row r="57" spans="1:4" x14ac:dyDescent="0.2">
      <c r="A57" s="3" t="s">
        <v>152</v>
      </c>
      <c r="B57" s="3" t="s">
        <v>1</v>
      </c>
      <c r="C57" s="3" t="s">
        <v>2</v>
      </c>
      <c r="D57" s="3" t="s">
        <v>941</v>
      </c>
    </row>
    <row r="58" spans="1:4" x14ac:dyDescent="0.2">
      <c r="A58" s="3" t="s">
        <v>153</v>
      </c>
      <c r="B58" s="3" t="s">
        <v>1</v>
      </c>
      <c r="C58" s="3" t="s">
        <v>2</v>
      </c>
      <c r="D58" s="3" t="s">
        <v>941</v>
      </c>
    </row>
    <row r="59" spans="1:4" x14ac:dyDescent="0.2">
      <c r="A59" s="3" t="s">
        <v>154</v>
      </c>
      <c r="B59" s="3" t="s">
        <v>1</v>
      </c>
      <c r="C59" s="3" t="s">
        <v>2</v>
      </c>
      <c r="D59" s="3" t="s">
        <v>941</v>
      </c>
    </row>
    <row r="60" spans="1:4" x14ac:dyDescent="0.2">
      <c r="A60" s="3" t="s">
        <v>155</v>
      </c>
      <c r="B60" s="3" t="s">
        <v>1</v>
      </c>
      <c r="C60" s="3" t="s">
        <v>2</v>
      </c>
      <c r="D60" s="3" t="s">
        <v>941</v>
      </c>
    </row>
    <row r="61" spans="1:4" x14ac:dyDescent="0.2">
      <c r="A61" s="3" t="s">
        <v>156</v>
      </c>
      <c r="B61" s="3" t="s">
        <v>1</v>
      </c>
      <c r="C61" s="3" t="s">
        <v>2</v>
      </c>
      <c r="D61" s="3" t="s">
        <v>941</v>
      </c>
    </row>
    <row r="62" spans="1:4" x14ac:dyDescent="0.2">
      <c r="A62" s="3" t="s">
        <v>157</v>
      </c>
      <c r="B62" s="3" t="s">
        <v>1</v>
      </c>
      <c r="C62" s="3" t="s">
        <v>2</v>
      </c>
      <c r="D62" s="3" t="s">
        <v>941</v>
      </c>
    </row>
    <row r="63" spans="1:4" x14ac:dyDescent="0.2">
      <c r="A63" s="3" t="s">
        <v>125</v>
      </c>
      <c r="B63" s="3" t="s">
        <v>1</v>
      </c>
      <c r="C63" s="3" t="s">
        <v>2</v>
      </c>
      <c r="D63" s="3" t="s">
        <v>941</v>
      </c>
    </row>
    <row r="64" spans="1:4" x14ac:dyDescent="0.2">
      <c r="A64" s="3" t="s">
        <v>47</v>
      </c>
      <c r="B64" s="3" t="s">
        <v>1</v>
      </c>
      <c r="C64" s="3" t="s">
        <v>2</v>
      </c>
      <c r="D64" s="3" t="s">
        <v>941</v>
      </c>
    </row>
    <row r="65" spans="1:4" x14ac:dyDescent="0.2">
      <c r="A65" s="3" t="s">
        <v>126</v>
      </c>
      <c r="B65" s="3" t="s">
        <v>1</v>
      </c>
      <c r="C65" s="3" t="s">
        <v>2</v>
      </c>
      <c r="D65" s="3" t="s">
        <v>941</v>
      </c>
    </row>
    <row r="66" spans="1:4" x14ac:dyDescent="0.2">
      <c r="A66" s="3" t="s">
        <v>102</v>
      </c>
      <c r="B66" s="3" t="s">
        <v>1</v>
      </c>
      <c r="C66" s="3" t="s">
        <v>2</v>
      </c>
      <c r="D66" s="3" t="s">
        <v>941</v>
      </c>
    </row>
    <row r="67" spans="1:4" x14ac:dyDescent="0.2">
      <c r="A67" s="3" t="s">
        <v>158</v>
      </c>
      <c r="B67" s="3" t="s">
        <v>1</v>
      </c>
      <c r="C67" s="3" t="s">
        <v>17</v>
      </c>
      <c r="D67" s="3" t="s">
        <v>942</v>
      </c>
    </row>
    <row r="68" spans="1:4" x14ac:dyDescent="0.2">
      <c r="A68" s="3" t="s">
        <v>159</v>
      </c>
      <c r="B68" s="3" t="s">
        <v>1</v>
      </c>
      <c r="C68" s="3" t="s">
        <v>17</v>
      </c>
      <c r="D68" s="3" t="s">
        <v>942</v>
      </c>
    </row>
    <row r="69" spans="1:4" x14ac:dyDescent="0.2">
      <c r="A69" s="3" t="s">
        <v>160</v>
      </c>
      <c r="B69" s="3" t="s">
        <v>1</v>
      </c>
      <c r="C69" s="3" t="s">
        <v>17</v>
      </c>
      <c r="D69" s="3" t="s">
        <v>943</v>
      </c>
    </row>
    <row r="70" spans="1:4" x14ac:dyDescent="0.2">
      <c r="A70" s="3" t="s">
        <v>235</v>
      </c>
      <c r="B70" s="3" t="s">
        <v>1</v>
      </c>
      <c r="C70" s="3" t="s">
        <v>975</v>
      </c>
      <c r="D70" s="3" t="s">
        <v>976</v>
      </c>
    </row>
    <row r="71" spans="1:4" x14ac:dyDescent="0.2">
      <c r="A71" s="3" t="s">
        <v>163</v>
      </c>
      <c r="B71" s="3" t="s">
        <v>1</v>
      </c>
      <c r="C71" s="3" t="s">
        <v>17</v>
      </c>
      <c r="D71" s="3" t="s">
        <v>948</v>
      </c>
    </row>
    <row r="72" spans="1:4" x14ac:dyDescent="0.2">
      <c r="A72" s="3" t="s">
        <v>274</v>
      </c>
      <c r="B72" s="3" t="s">
        <v>1</v>
      </c>
      <c r="C72" s="3" t="s">
        <v>17</v>
      </c>
      <c r="D72" s="3" t="s">
        <v>948</v>
      </c>
    </row>
    <row r="73" spans="1:4" x14ac:dyDescent="0.2">
      <c r="A73" s="3" t="s">
        <v>317</v>
      </c>
      <c r="B73" s="3" t="s">
        <v>1</v>
      </c>
      <c r="C73" s="3" t="s">
        <v>17</v>
      </c>
      <c r="D73" s="3" t="s">
        <v>948</v>
      </c>
    </row>
    <row r="74" spans="1:4" x14ac:dyDescent="0.2">
      <c r="A74" s="3" t="s">
        <v>161</v>
      </c>
      <c r="B74" s="3" t="s">
        <v>1</v>
      </c>
      <c r="C74" s="3" t="s">
        <v>17</v>
      </c>
      <c r="D74" s="3" t="s">
        <v>947</v>
      </c>
    </row>
    <row r="75" spans="1:4" x14ac:dyDescent="0.2">
      <c r="A75" s="3" t="s">
        <v>162</v>
      </c>
      <c r="B75" s="3" t="s">
        <v>1</v>
      </c>
      <c r="C75" s="3" t="s">
        <v>17</v>
      </c>
      <c r="D75" s="3" t="s">
        <v>947</v>
      </c>
    </row>
    <row r="76" spans="1:4" x14ac:dyDescent="0.2">
      <c r="A76" s="3" t="s">
        <v>401</v>
      </c>
      <c r="B76" s="3" t="s">
        <v>950</v>
      </c>
      <c r="C76" s="3" t="s">
        <v>17</v>
      </c>
      <c r="D76" s="3" t="s">
        <v>951</v>
      </c>
    </row>
    <row r="77" spans="1:4" x14ac:dyDescent="0.2">
      <c r="A77" s="3" t="s">
        <v>402</v>
      </c>
      <c r="B77" s="3" t="s">
        <v>950</v>
      </c>
      <c r="C77" s="3" t="s">
        <v>17</v>
      </c>
      <c r="D77" s="3" t="s">
        <v>951</v>
      </c>
    </row>
    <row r="78" spans="1:4" x14ac:dyDescent="0.2">
      <c r="A78" s="3" t="s">
        <v>105</v>
      </c>
      <c r="B78" s="3" t="s">
        <v>27</v>
      </c>
      <c r="C78" s="3" t="s">
        <v>952</v>
      </c>
      <c r="D78" s="3" t="s">
        <v>953</v>
      </c>
    </row>
    <row r="79" spans="1:4" x14ac:dyDescent="0.2">
      <c r="A79" s="3" t="s">
        <v>114</v>
      </c>
      <c r="B79" s="3" t="s">
        <v>27</v>
      </c>
      <c r="C79" s="3" t="s">
        <v>952</v>
      </c>
      <c r="D79" s="3" t="s">
        <v>953</v>
      </c>
    </row>
    <row r="80" spans="1:4" x14ac:dyDescent="0.2">
      <c r="A80" s="3" t="s">
        <v>182</v>
      </c>
      <c r="B80" s="3" t="s">
        <v>1</v>
      </c>
      <c r="C80" s="3" t="s">
        <v>19</v>
      </c>
      <c r="D80" s="3" t="s">
        <v>957</v>
      </c>
    </row>
    <row r="81" spans="1:4" x14ac:dyDescent="0.2">
      <c r="A81" s="3" t="s">
        <v>183</v>
      </c>
      <c r="B81" s="3" t="s">
        <v>1</v>
      </c>
      <c r="C81" s="3" t="s">
        <v>19</v>
      </c>
      <c r="D81" s="3" t="s">
        <v>957</v>
      </c>
    </row>
    <row r="82" spans="1:4" x14ac:dyDescent="0.2">
      <c r="A82" s="3" t="s">
        <v>181</v>
      </c>
      <c r="B82" s="3" t="s">
        <v>1</v>
      </c>
      <c r="C82" s="3" t="s">
        <v>29</v>
      </c>
      <c r="D82" s="3" t="s">
        <v>956</v>
      </c>
    </row>
    <row r="83" spans="1:4" x14ac:dyDescent="0.2">
      <c r="A83" s="3" t="s">
        <v>142</v>
      </c>
      <c r="B83" s="3" t="s">
        <v>1</v>
      </c>
      <c r="C83" s="3" t="s">
        <v>29</v>
      </c>
      <c r="D83" s="3" t="s">
        <v>933</v>
      </c>
    </row>
    <row r="84" spans="1:4" x14ac:dyDescent="0.2">
      <c r="A84" s="3" t="s">
        <v>143</v>
      </c>
      <c r="B84" s="3" t="s">
        <v>1</v>
      </c>
      <c r="C84" s="3" t="s">
        <v>29</v>
      </c>
      <c r="D84" s="3" t="s">
        <v>933</v>
      </c>
    </row>
    <row r="85" spans="1:4" x14ac:dyDescent="0.2">
      <c r="A85" s="3" t="s">
        <v>144</v>
      </c>
      <c r="B85" s="3" t="s">
        <v>1</v>
      </c>
      <c r="C85" s="3" t="s">
        <v>29</v>
      </c>
      <c r="D85" s="3" t="s">
        <v>933</v>
      </c>
    </row>
    <row r="86" spans="1:4" x14ac:dyDescent="0.2">
      <c r="A86" s="3" t="s">
        <v>145</v>
      </c>
      <c r="B86" s="3" t="s">
        <v>1</v>
      </c>
      <c r="C86" s="3" t="s">
        <v>29</v>
      </c>
      <c r="D86" s="3" t="s">
        <v>933</v>
      </c>
    </row>
    <row r="87" spans="1:4" x14ac:dyDescent="0.2">
      <c r="A87" s="3" t="s">
        <v>168</v>
      </c>
      <c r="B87" s="3" t="s">
        <v>1</v>
      </c>
      <c r="C87" s="3" t="s">
        <v>29</v>
      </c>
      <c r="D87" s="3" t="s">
        <v>933</v>
      </c>
    </row>
    <row r="88" spans="1:4" x14ac:dyDescent="0.2">
      <c r="A88" s="3" t="s">
        <v>169</v>
      </c>
      <c r="B88" s="3" t="s">
        <v>1</v>
      </c>
      <c r="C88" s="3" t="s">
        <v>29</v>
      </c>
      <c r="D88" s="3" t="s">
        <v>933</v>
      </c>
    </row>
    <row r="89" spans="1:4" x14ac:dyDescent="0.2">
      <c r="A89" s="3" t="s">
        <v>170</v>
      </c>
      <c r="B89" s="3" t="s">
        <v>1</v>
      </c>
      <c r="C89" s="3" t="s">
        <v>29</v>
      </c>
      <c r="D89" s="3" t="s">
        <v>933</v>
      </c>
    </row>
    <row r="90" spans="1:4" x14ac:dyDescent="0.2">
      <c r="A90" s="3" t="s">
        <v>171</v>
      </c>
      <c r="B90" s="3" t="s">
        <v>1</v>
      </c>
      <c r="C90" s="3" t="s">
        <v>29</v>
      </c>
      <c r="D90" s="3" t="s">
        <v>933</v>
      </c>
    </row>
    <row r="91" spans="1:4" x14ac:dyDescent="0.2">
      <c r="A91" s="3" t="s">
        <v>172</v>
      </c>
      <c r="B91" s="3" t="s">
        <v>1</v>
      </c>
      <c r="C91" s="3" t="s">
        <v>29</v>
      </c>
      <c r="D91" s="3" t="s">
        <v>933</v>
      </c>
    </row>
    <row r="92" spans="1:4" x14ac:dyDescent="0.2">
      <c r="A92" s="3" t="s">
        <v>173</v>
      </c>
      <c r="B92" s="3" t="s">
        <v>1</v>
      </c>
      <c r="C92" s="3" t="s">
        <v>29</v>
      </c>
      <c r="D92" s="3" t="s">
        <v>933</v>
      </c>
    </row>
    <row r="93" spans="1:4" x14ac:dyDescent="0.2">
      <c r="A93" s="3" t="s">
        <v>174</v>
      </c>
      <c r="B93" s="3" t="s">
        <v>1</v>
      </c>
      <c r="C93" s="3" t="s">
        <v>29</v>
      </c>
      <c r="D93" s="3" t="s">
        <v>933</v>
      </c>
    </row>
    <row r="94" spans="1:4" x14ac:dyDescent="0.2">
      <c r="A94" s="3" t="s">
        <v>175</v>
      </c>
      <c r="B94" s="3" t="s">
        <v>1</v>
      </c>
      <c r="C94" s="3" t="s">
        <v>29</v>
      </c>
      <c r="D94" s="3" t="s">
        <v>933</v>
      </c>
    </row>
    <row r="95" spans="1:4" x14ac:dyDescent="0.2">
      <c r="A95" s="3" t="s">
        <v>176</v>
      </c>
      <c r="B95" s="3" t="s">
        <v>1</v>
      </c>
      <c r="C95" s="3" t="s">
        <v>29</v>
      </c>
      <c r="D95" s="3" t="s">
        <v>933</v>
      </c>
    </row>
    <row r="96" spans="1:4" x14ac:dyDescent="0.2">
      <c r="A96" s="3" t="s">
        <v>177</v>
      </c>
      <c r="B96" s="3" t="s">
        <v>1</v>
      </c>
      <c r="C96" s="3" t="s">
        <v>29</v>
      </c>
      <c r="D96" s="3" t="s">
        <v>933</v>
      </c>
    </row>
    <row r="97" spans="1:4" x14ac:dyDescent="0.2">
      <c r="A97" s="3" t="s">
        <v>178</v>
      </c>
      <c r="B97" s="3" t="s">
        <v>1</v>
      </c>
      <c r="C97" s="3" t="s">
        <v>29</v>
      </c>
      <c r="D97" s="3" t="s">
        <v>933</v>
      </c>
    </row>
    <row r="98" spans="1:4" x14ac:dyDescent="0.2">
      <c r="A98" s="3" t="s">
        <v>184</v>
      </c>
      <c r="B98" s="3" t="s">
        <v>1</v>
      </c>
      <c r="C98" s="3" t="s">
        <v>29</v>
      </c>
      <c r="D98" s="3" t="s">
        <v>933</v>
      </c>
    </row>
    <row r="99" spans="1:4" x14ac:dyDescent="0.2">
      <c r="A99" s="3" t="s">
        <v>185</v>
      </c>
      <c r="B99" s="3" t="s">
        <v>1</v>
      </c>
      <c r="C99" s="3" t="s">
        <v>29</v>
      </c>
      <c r="D99" s="3" t="s">
        <v>933</v>
      </c>
    </row>
    <row r="100" spans="1:4" x14ac:dyDescent="0.2">
      <c r="A100" s="3" t="s">
        <v>186</v>
      </c>
      <c r="B100" s="3" t="s">
        <v>1</v>
      </c>
      <c r="C100" s="3" t="s">
        <v>29</v>
      </c>
      <c r="D100" s="3" t="s">
        <v>933</v>
      </c>
    </row>
    <row r="101" spans="1:4" x14ac:dyDescent="0.2">
      <c r="A101" s="3" t="s">
        <v>187</v>
      </c>
      <c r="B101" s="3" t="s">
        <v>1</v>
      </c>
      <c r="C101" s="3" t="s">
        <v>29</v>
      </c>
      <c r="D101" s="3" t="s">
        <v>933</v>
      </c>
    </row>
    <row r="102" spans="1:4" x14ac:dyDescent="0.2">
      <c r="A102" s="3" t="s">
        <v>1031</v>
      </c>
      <c r="B102" s="3" t="s">
        <v>1</v>
      </c>
      <c r="C102" s="3" t="s">
        <v>29</v>
      </c>
      <c r="D102" s="3" t="s">
        <v>933</v>
      </c>
    </row>
    <row r="103" spans="1:4" x14ac:dyDescent="0.2">
      <c r="A103" s="3" t="s">
        <v>188</v>
      </c>
      <c r="B103" s="3" t="s">
        <v>1</v>
      </c>
      <c r="C103" s="3" t="s">
        <v>29</v>
      </c>
      <c r="D103" s="3" t="s">
        <v>933</v>
      </c>
    </row>
    <row r="104" spans="1:4" x14ac:dyDescent="0.2">
      <c r="A104" s="3" t="s">
        <v>189</v>
      </c>
      <c r="B104" s="3" t="s">
        <v>1</v>
      </c>
      <c r="C104" s="3" t="s">
        <v>29</v>
      </c>
      <c r="D104" s="3" t="s">
        <v>933</v>
      </c>
    </row>
    <row r="105" spans="1:4" x14ac:dyDescent="0.2">
      <c r="A105" s="3" t="s">
        <v>42</v>
      </c>
      <c r="B105" s="3" t="s">
        <v>1</v>
      </c>
      <c r="C105" s="3" t="s">
        <v>17</v>
      </c>
      <c r="D105" s="3" t="s">
        <v>933</v>
      </c>
    </row>
    <row r="106" spans="1:4" x14ac:dyDescent="0.2">
      <c r="A106" s="3" t="s">
        <v>400</v>
      </c>
      <c r="B106" s="3" t="s">
        <v>1</v>
      </c>
      <c r="C106" s="3" t="s">
        <v>29</v>
      </c>
      <c r="D106" s="3" t="s">
        <v>933</v>
      </c>
    </row>
    <row r="107" spans="1:4" x14ac:dyDescent="0.2">
      <c r="A107" s="3" t="s">
        <v>167</v>
      </c>
      <c r="B107" s="3" t="s">
        <v>1</v>
      </c>
      <c r="C107" s="3" t="s">
        <v>17</v>
      </c>
      <c r="D107" s="3" t="s">
        <v>954</v>
      </c>
    </row>
    <row r="108" spans="1:4" x14ac:dyDescent="0.2">
      <c r="A108" s="3" t="s">
        <v>208</v>
      </c>
      <c r="B108" s="3" t="s">
        <v>1</v>
      </c>
      <c r="C108" s="3" t="s">
        <v>17</v>
      </c>
      <c r="D108" s="3" t="s">
        <v>954</v>
      </c>
    </row>
    <row r="109" spans="1:4" x14ac:dyDescent="0.2">
      <c r="A109" s="3" t="s">
        <v>197</v>
      </c>
      <c r="B109" s="3" t="s">
        <v>1</v>
      </c>
      <c r="C109" s="3" t="s">
        <v>945</v>
      </c>
      <c r="D109" s="3" t="s">
        <v>961</v>
      </c>
    </row>
    <row r="110" spans="1:4" x14ac:dyDescent="0.2">
      <c r="A110" s="3" t="s">
        <v>212</v>
      </c>
      <c r="B110" s="3" t="s">
        <v>1</v>
      </c>
      <c r="C110" s="3" t="s">
        <v>945</v>
      </c>
      <c r="D110" s="3" t="s">
        <v>961</v>
      </c>
    </row>
    <row r="111" spans="1:4" x14ac:dyDescent="0.2">
      <c r="A111" s="3" t="s">
        <v>214</v>
      </c>
      <c r="B111" s="3" t="s">
        <v>1</v>
      </c>
      <c r="C111" s="3" t="s">
        <v>945</v>
      </c>
      <c r="D111" s="3" t="s">
        <v>961</v>
      </c>
    </row>
    <row r="112" spans="1:4" x14ac:dyDescent="0.2">
      <c r="A112" s="3" t="s">
        <v>215</v>
      </c>
      <c r="B112" s="3" t="s">
        <v>1</v>
      </c>
      <c r="C112" s="3" t="s">
        <v>945</v>
      </c>
      <c r="D112" s="3" t="s">
        <v>961</v>
      </c>
    </row>
    <row r="113" spans="1:4" x14ac:dyDescent="0.2">
      <c r="A113" s="3" t="s">
        <v>216</v>
      </c>
      <c r="B113" s="3" t="s">
        <v>1</v>
      </c>
      <c r="C113" s="3" t="s">
        <v>945</v>
      </c>
      <c r="D113" s="3" t="s">
        <v>961</v>
      </c>
    </row>
    <row r="114" spans="1:4" x14ac:dyDescent="0.2">
      <c r="A114" s="3" t="s">
        <v>217</v>
      </c>
      <c r="B114" s="3" t="s">
        <v>1</v>
      </c>
      <c r="C114" s="3" t="s">
        <v>945</v>
      </c>
      <c r="D114" s="3" t="s">
        <v>961</v>
      </c>
    </row>
    <row r="115" spans="1:4" x14ac:dyDescent="0.2">
      <c r="A115" s="3" t="s">
        <v>218</v>
      </c>
      <c r="B115" s="3" t="s">
        <v>1</v>
      </c>
      <c r="C115" s="3" t="s">
        <v>945</v>
      </c>
      <c r="D115" s="3" t="s">
        <v>961</v>
      </c>
    </row>
    <row r="116" spans="1:4" x14ac:dyDescent="0.2">
      <c r="A116" s="3" t="s">
        <v>219</v>
      </c>
      <c r="B116" s="3" t="s">
        <v>1</v>
      </c>
      <c r="C116" s="3" t="s">
        <v>945</v>
      </c>
      <c r="D116" s="3" t="s">
        <v>961</v>
      </c>
    </row>
    <row r="117" spans="1:4" x14ac:dyDescent="0.2">
      <c r="A117" s="3" t="s">
        <v>220</v>
      </c>
      <c r="B117" s="3" t="s">
        <v>1</v>
      </c>
      <c r="C117" s="3" t="s">
        <v>945</v>
      </c>
      <c r="D117" s="3" t="s">
        <v>961</v>
      </c>
    </row>
    <row r="118" spans="1:4" x14ac:dyDescent="0.2">
      <c r="A118" s="3" t="s">
        <v>221</v>
      </c>
      <c r="B118" s="3" t="s">
        <v>1</v>
      </c>
      <c r="C118" s="3" t="s">
        <v>945</v>
      </c>
      <c r="D118" s="3" t="s">
        <v>961</v>
      </c>
    </row>
    <row r="119" spans="1:4" x14ac:dyDescent="0.2">
      <c r="A119" s="3" t="s">
        <v>222</v>
      </c>
      <c r="B119" s="3" t="s">
        <v>1</v>
      </c>
      <c r="C119" s="3" t="s">
        <v>945</v>
      </c>
      <c r="D119" s="3" t="s">
        <v>961</v>
      </c>
    </row>
    <row r="120" spans="1:4" x14ac:dyDescent="0.2">
      <c r="A120" s="3" t="s">
        <v>223</v>
      </c>
      <c r="B120" s="3" t="s">
        <v>1</v>
      </c>
      <c r="C120" s="3" t="s">
        <v>945</v>
      </c>
      <c r="D120" s="3" t="s">
        <v>961</v>
      </c>
    </row>
    <row r="121" spans="1:4" x14ac:dyDescent="0.2">
      <c r="A121" s="3" t="s">
        <v>224</v>
      </c>
      <c r="B121" s="3" t="s">
        <v>1</v>
      </c>
      <c r="C121" s="3" t="s">
        <v>945</v>
      </c>
      <c r="D121" s="3" t="s">
        <v>961</v>
      </c>
    </row>
    <row r="122" spans="1:4" x14ac:dyDescent="0.2">
      <c r="A122" s="3" t="s">
        <v>225</v>
      </c>
      <c r="B122" s="3" t="s">
        <v>1</v>
      </c>
      <c r="C122" s="3" t="s">
        <v>945</v>
      </c>
      <c r="D122" s="3" t="s">
        <v>961</v>
      </c>
    </row>
    <row r="123" spans="1:4" x14ac:dyDescent="0.2">
      <c r="A123" s="3" t="s">
        <v>226</v>
      </c>
      <c r="B123" s="3" t="s">
        <v>1</v>
      </c>
      <c r="C123" s="3" t="s">
        <v>945</v>
      </c>
      <c r="D123" s="3" t="s">
        <v>961</v>
      </c>
    </row>
    <row r="124" spans="1:4" x14ac:dyDescent="0.2">
      <c r="A124" s="3" t="s">
        <v>227</v>
      </c>
      <c r="B124" s="3" t="s">
        <v>1</v>
      </c>
      <c r="C124" s="3" t="s">
        <v>945</v>
      </c>
      <c r="D124" s="3" t="s">
        <v>961</v>
      </c>
    </row>
    <row r="125" spans="1:4" x14ac:dyDescent="0.2">
      <c r="A125" s="3" t="s">
        <v>228</v>
      </c>
      <c r="B125" s="3" t="s">
        <v>1</v>
      </c>
      <c r="C125" s="3" t="s">
        <v>945</v>
      </c>
      <c r="D125" s="3" t="s">
        <v>961</v>
      </c>
    </row>
    <row r="126" spans="1:4" x14ac:dyDescent="0.2">
      <c r="A126" s="3" t="s">
        <v>229</v>
      </c>
      <c r="B126" s="3" t="s">
        <v>1</v>
      </c>
      <c r="C126" s="3" t="s">
        <v>945</v>
      </c>
      <c r="D126" s="3" t="s">
        <v>961</v>
      </c>
    </row>
    <row r="127" spans="1:4" x14ac:dyDescent="0.2">
      <c r="A127" s="3" t="s">
        <v>230</v>
      </c>
      <c r="B127" s="3" t="s">
        <v>1</v>
      </c>
      <c r="C127" s="3" t="s">
        <v>945</v>
      </c>
      <c r="D127" s="3" t="s">
        <v>961</v>
      </c>
    </row>
    <row r="128" spans="1:4" x14ac:dyDescent="0.2">
      <c r="A128" s="3" t="s">
        <v>231</v>
      </c>
      <c r="B128" s="3" t="s">
        <v>1</v>
      </c>
      <c r="C128" s="3" t="s">
        <v>945</v>
      </c>
      <c r="D128" s="3" t="s">
        <v>961</v>
      </c>
    </row>
    <row r="129" spans="1:4" x14ac:dyDescent="0.2">
      <c r="A129" s="3" t="s">
        <v>232</v>
      </c>
      <c r="B129" s="3" t="s">
        <v>1</v>
      </c>
      <c r="C129" s="3" t="s">
        <v>945</v>
      </c>
      <c r="D129" s="3" t="s">
        <v>961</v>
      </c>
    </row>
    <row r="130" spans="1:4" x14ac:dyDescent="0.2">
      <c r="A130" s="3" t="s">
        <v>233</v>
      </c>
      <c r="B130" s="3" t="s">
        <v>1</v>
      </c>
      <c r="C130" s="3" t="s">
        <v>945</v>
      </c>
      <c r="D130" s="3" t="s">
        <v>961</v>
      </c>
    </row>
    <row r="131" spans="1:4" x14ac:dyDescent="0.2">
      <c r="A131" s="3" t="s">
        <v>234</v>
      </c>
      <c r="B131" s="3" t="s">
        <v>1</v>
      </c>
      <c r="C131" s="3" t="s">
        <v>945</v>
      </c>
      <c r="D131" s="3" t="s">
        <v>961</v>
      </c>
    </row>
    <row r="132" spans="1:4" x14ac:dyDescent="0.2">
      <c r="A132" s="3" t="s">
        <v>237</v>
      </c>
      <c r="B132" s="3" t="s">
        <v>1</v>
      </c>
      <c r="C132" s="3" t="s">
        <v>945</v>
      </c>
      <c r="D132" s="3" t="s">
        <v>961</v>
      </c>
    </row>
    <row r="133" spans="1:4" x14ac:dyDescent="0.2">
      <c r="A133" s="3" t="s">
        <v>238</v>
      </c>
      <c r="B133" s="3" t="s">
        <v>1</v>
      </c>
      <c r="C133" s="3" t="s">
        <v>945</v>
      </c>
      <c r="D133" s="3" t="s">
        <v>961</v>
      </c>
    </row>
    <row r="134" spans="1:4" x14ac:dyDescent="0.2">
      <c r="A134" s="3" t="s">
        <v>239</v>
      </c>
      <c r="B134" s="3" t="s">
        <v>1</v>
      </c>
      <c r="C134" s="3" t="s">
        <v>945</v>
      </c>
      <c r="D134" s="3" t="s">
        <v>961</v>
      </c>
    </row>
    <row r="135" spans="1:4" x14ac:dyDescent="0.2">
      <c r="A135" s="3" t="s">
        <v>240</v>
      </c>
      <c r="B135" s="3" t="s">
        <v>1</v>
      </c>
      <c r="C135" s="3" t="s">
        <v>945</v>
      </c>
      <c r="D135" s="3" t="s">
        <v>961</v>
      </c>
    </row>
    <row r="136" spans="1:4" x14ac:dyDescent="0.2">
      <c r="A136" s="3" t="s">
        <v>242</v>
      </c>
      <c r="B136" s="3" t="s">
        <v>1</v>
      </c>
      <c r="C136" s="3" t="s">
        <v>945</v>
      </c>
      <c r="D136" s="3" t="s">
        <v>961</v>
      </c>
    </row>
    <row r="137" spans="1:4" x14ac:dyDescent="0.2">
      <c r="A137" s="3" t="s">
        <v>243</v>
      </c>
      <c r="B137" s="3" t="s">
        <v>1</v>
      </c>
      <c r="C137" s="3" t="s">
        <v>945</v>
      </c>
      <c r="D137" s="3" t="s">
        <v>961</v>
      </c>
    </row>
    <row r="138" spans="1:4" x14ac:dyDescent="0.2">
      <c r="A138" s="3" t="s">
        <v>244</v>
      </c>
      <c r="B138" s="3" t="s">
        <v>1</v>
      </c>
      <c r="C138" s="3" t="s">
        <v>945</v>
      </c>
      <c r="D138" s="3" t="s">
        <v>961</v>
      </c>
    </row>
    <row r="139" spans="1:4" x14ac:dyDescent="0.2">
      <c r="A139" s="3" t="s">
        <v>245</v>
      </c>
      <c r="B139" s="3" t="s">
        <v>1</v>
      </c>
      <c r="C139" s="3" t="s">
        <v>945</v>
      </c>
      <c r="D139" s="3" t="s">
        <v>961</v>
      </c>
    </row>
    <row r="140" spans="1:4" x14ac:dyDescent="0.2">
      <c r="A140" s="3" t="s">
        <v>246</v>
      </c>
      <c r="B140" s="3" t="s">
        <v>1</v>
      </c>
      <c r="C140" s="3" t="s">
        <v>945</v>
      </c>
      <c r="D140" s="3" t="s">
        <v>961</v>
      </c>
    </row>
    <row r="141" spans="1:4" x14ac:dyDescent="0.2">
      <c r="A141" s="3" t="s">
        <v>247</v>
      </c>
      <c r="B141" s="3" t="s">
        <v>1</v>
      </c>
      <c r="C141" s="3" t="s">
        <v>945</v>
      </c>
      <c r="D141" s="3" t="s">
        <v>961</v>
      </c>
    </row>
    <row r="142" spans="1:4" x14ac:dyDescent="0.2">
      <c r="A142" s="3" t="s">
        <v>248</v>
      </c>
      <c r="B142" s="3" t="s">
        <v>1</v>
      </c>
      <c r="C142" s="3" t="s">
        <v>945</v>
      </c>
      <c r="D142" s="3" t="s">
        <v>961</v>
      </c>
    </row>
    <row r="143" spans="1:4" x14ac:dyDescent="0.2">
      <c r="A143" s="3" t="s">
        <v>249</v>
      </c>
      <c r="B143" s="3" t="s">
        <v>1</v>
      </c>
      <c r="C143" s="3" t="s">
        <v>945</v>
      </c>
      <c r="D143" s="3" t="s">
        <v>961</v>
      </c>
    </row>
    <row r="144" spans="1:4" x14ac:dyDescent="0.2">
      <c r="A144" s="3" t="s">
        <v>250</v>
      </c>
      <c r="B144" s="3" t="s">
        <v>1</v>
      </c>
      <c r="C144" s="3" t="s">
        <v>945</v>
      </c>
      <c r="D144" s="3" t="s">
        <v>961</v>
      </c>
    </row>
    <row r="145" spans="1:4" x14ac:dyDescent="0.2">
      <c r="A145" s="3" t="s">
        <v>251</v>
      </c>
      <c r="B145" s="3" t="s">
        <v>1</v>
      </c>
      <c r="C145" s="3" t="s">
        <v>945</v>
      </c>
      <c r="D145" s="3" t="s">
        <v>961</v>
      </c>
    </row>
    <row r="146" spans="1:4" x14ac:dyDescent="0.2">
      <c r="A146" s="3" t="s">
        <v>252</v>
      </c>
      <c r="B146" s="3" t="s">
        <v>1</v>
      </c>
      <c r="C146" s="3" t="s">
        <v>945</v>
      </c>
      <c r="D146" s="3" t="s">
        <v>961</v>
      </c>
    </row>
    <row r="147" spans="1:4" x14ac:dyDescent="0.2">
      <c r="A147" s="3" t="s">
        <v>253</v>
      </c>
      <c r="B147" s="3" t="s">
        <v>1</v>
      </c>
      <c r="C147" s="3" t="s">
        <v>945</v>
      </c>
      <c r="D147" s="3" t="s">
        <v>961</v>
      </c>
    </row>
    <row r="148" spans="1:4" x14ac:dyDescent="0.2">
      <c r="A148" s="3" t="s">
        <v>254</v>
      </c>
      <c r="B148" s="3" t="s">
        <v>1</v>
      </c>
      <c r="C148" s="3" t="s">
        <v>945</v>
      </c>
      <c r="D148" s="3" t="s">
        <v>961</v>
      </c>
    </row>
    <row r="149" spans="1:4" x14ac:dyDescent="0.2">
      <c r="A149" s="3" t="s">
        <v>255</v>
      </c>
      <c r="B149" s="3" t="s">
        <v>1</v>
      </c>
      <c r="C149" s="3" t="s">
        <v>945</v>
      </c>
      <c r="D149" s="3" t="s">
        <v>961</v>
      </c>
    </row>
    <row r="150" spans="1:4" x14ac:dyDescent="0.2">
      <c r="A150" s="3" t="s">
        <v>256</v>
      </c>
      <c r="B150" s="3" t="s">
        <v>1</v>
      </c>
      <c r="C150" s="3" t="s">
        <v>945</v>
      </c>
      <c r="D150" s="3" t="s">
        <v>961</v>
      </c>
    </row>
    <row r="151" spans="1:4" x14ac:dyDescent="0.2">
      <c r="A151" s="3" t="s">
        <v>257</v>
      </c>
      <c r="B151" s="3" t="s">
        <v>1</v>
      </c>
      <c r="C151" s="3" t="s">
        <v>945</v>
      </c>
      <c r="D151" s="3" t="s">
        <v>961</v>
      </c>
    </row>
    <row r="152" spans="1:4" x14ac:dyDescent="0.2">
      <c r="A152" s="3" t="s">
        <v>259</v>
      </c>
      <c r="B152" s="3" t="s">
        <v>1</v>
      </c>
      <c r="C152" s="3" t="s">
        <v>945</v>
      </c>
      <c r="D152" s="3" t="s">
        <v>961</v>
      </c>
    </row>
    <row r="153" spans="1:4" x14ac:dyDescent="0.2">
      <c r="A153" s="3" t="s">
        <v>260</v>
      </c>
      <c r="B153" s="3" t="s">
        <v>1</v>
      </c>
      <c r="C153" s="3" t="s">
        <v>945</v>
      </c>
      <c r="D153" s="3" t="s">
        <v>961</v>
      </c>
    </row>
    <row r="154" spans="1:4" x14ac:dyDescent="0.2">
      <c r="A154" s="3" t="s">
        <v>262</v>
      </c>
      <c r="B154" s="3" t="s">
        <v>1</v>
      </c>
      <c r="C154" s="3" t="s">
        <v>945</v>
      </c>
      <c r="D154" s="3" t="s">
        <v>961</v>
      </c>
    </row>
    <row r="155" spans="1:4" x14ac:dyDescent="0.2">
      <c r="A155" s="3" t="s">
        <v>263</v>
      </c>
      <c r="B155" s="3" t="s">
        <v>1</v>
      </c>
      <c r="C155" s="3" t="s">
        <v>945</v>
      </c>
      <c r="D155" s="3" t="s">
        <v>961</v>
      </c>
    </row>
    <row r="156" spans="1:4" x14ac:dyDescent="0.2">
      <c r="A156" s="3" t="s">
        <v>264</v>
      </c>
      <c r="B156" s="3" t="s">
        <v>1</v>
      </c>
      <c r="C156" s="3" t="s">
        <v>945</v>
      </c>
      <c r="D156" s="3" t="s">
        <v>961</v>
      </c>
    </row>
    <row r="157" spans="1:4" x14ac:dyDescent="0.2">
      <c r="A157" s="3" t="s">
        <v>265</v>
      </c>
      <c r="B157" s="3" t="s">
        <v>1</v>
      </c>
      <c r="C157" s="3" t="s">
        <v>945</v>
      </c>
      <c r="D157" s="3" t="s">
        <v>961</v>
      </c>
    </row>
    <row r="158" spans="1:4" x14ac:dyDescent="0.2">
      <c r="A158" s="3" t="s">
        <v>266</v>
      </c>
      <c r="B158" s="3" t="s">
        <v>1</v>
      </c>
      <c r="C158" s="3" t="s">
        <v>945</v>
      </c>
      <c r="D158" s="3" t="s">
        <v>961</v>
      </c>
    </row>
    <row r="159" spans="1:4" x14ac:dyDescent="0.2">
      <c r="A159" s="3" t="s">
        <v>267</v>
      </c>
      <c r="B159" s="3" t="s">
        <v>1</v>
      </c>
      <c r="C159" s="3" t="s">
        <v>945</v>
      </c>
      <c r="D159" s="3" t="s">
        <v>961</v>
      </c>
    </row>
    <row r="160" spans="1:4" x14ac:dyDescent="0.2">
      <c r="A160" s="3" t="s">
        <v>268</v>
      </c>
      <c r="B160" s="3" t="s">
        <v>1</v>
      </c>
      <c r="C160" s="3" t="s">
        <v>945</v>
      </c>
      <c r="D160" s="3" t="s">
        <v>961</v>
      </c>
    </row>
    <row r="161" spans="1:4" x14ac:dyDescent="0.2">
      <c r="A161" s="3" t="s">
        <v>269</v>
      </c>
      <c r="B161" s="3" t="s">
        <v>1</v>
      </c>
      <c r="C161" s="3" t="s">
        <v>945</v>
      </c>
      <c r="D161" s="3" t="s">
        <v>961</v>
      </c>
    </row>
    <row r="162" spans="1:4" x14ac:dyDescent="0.2">
      <c r="A162" s="3" t="s">
        <v>270</v>
      </c>
      <c r="B162" s="3" t="s">
        <v>1</v>
      </c>
      <c r="C162" s="3" t="s">
        <v>945</v>
      </c>
      <c r="D162" s="3" t="s">
        <v>961</v>
      </c>
    </row>
    <row r="163" spans="1:4" x14ac:dyDescent="0.2">
      <c r="A163" s="3" t="s">
        <v>271</v>
      </c>
      <c r="B163" s="3" t="s">
        <v>1</v>
      </c>
      <c r="C163" s="3" t="s">
        <v>945</v>
      </c>
      <c r="D163" s="3" t="s">
        <v>961</v>
      </c>
    </row>
    <row r="164" spans="1:4" x14ac:dyDescent="0.2">
      <c r="A164" s="3" t="s">
        <v>272</v>
      </c>
      <c r="B164" s="3" t="s">
        <v>1</v>
      </c>
      <c r="C164" s="3" t="s">
        <v>945</v>
      </c>
      <c r="D164" s="3" t="s">
        <v>961</v>
      </c>
    </row>
    <row r="165" spans="1:4" x14ac:dyDescent="0.2">
      <c r="A165" s="3" t="s">
        <v>273</v>
      </c>
      <c r="B165" s="3" t="s">
        <v>1</v>
      </c>
      <c r="C165" s="3" t="s">
        <v>945</v>
      </c>
      <c r="D165" s="3" t="s">
        <v>961</v>
      </c>
    </row>
    <row r="166" spans="1:4" x14ac:dyDescent="0.2">
      <c r="A166" s="3" t="s">
        <v>283</v>
      </c>
      <c r="B166" s="3" t="s">
        <v>1</v>
      </c>
      <c r="C166" s="3" t="s">
        <v>945</v>
      </c>
      <c r="D166" s="3" t="s">
        <v>961</v>
      </c>
    </row>
    <row r="167" spans="1:4" x14ac:dyDescent="0.2">
      <c r="A167" s="3" t="s">
        <v>284</v>
      </c>
      <c r="B167" s="3" t="s">
        <v>1</v>
      </c>
      <c r="C167" s="3" t="s">
        <v>945</v>
      </c>
      <c r="D167" s="3" t="s">
        <v>961</v>
      </c>
    </row>
    <row r="168" spans="1:4" x14ac:dyDescent="0.2">
      <c r="A168" s="3" t="s">
        <v>285</v>
      </c>
      <c r="B168" s="3" t="s">
        <v>1</v>
      </c>
      <c r="C168" s="3" t="s">
        <v>945</v>
      </c>
      <c r="D168" s="3" t="s">
        <v>961</v>
      </c>
    </row>
    <row r="169" spans="1:4" x14ac:dyDescent="0.2">
      <c r="A169" s="3" t="s">
        <v>294</v>
      </c>
      <c r="B169" s="3" t="s">
        <v>1</v>
      </c>
      <c r="C169" s="3" t="s">
        <v>945</v>
      </c>
      <c r="D169" s="3" t="s">
        <v>961</v>
      </c>
    </row>
    <row r="170" spans="1:4" x14ac:dyDescent="0.2">
      <c r="A170" s="3" t="s">
        <v>295</v>
      </c>
      <c r="B170" s="3" t="s">
        <v>1</v>
      </c>
      <c r="C170" s="3" t="s">
        <v>945</v>
      </c>
      <c r="D170" s="3" t="s">
        <v>961</v>
      </c>
    </row>
    <row r="171" spans="1:4" x14ac:dyDescent="0.2">
      <c r="A171" s="3" t="s">
        <v>301</v>
      </c>
      <c r="B171" s="3" t="s">
        <v>1</v>
      </c>
      <c r="C171" s="3" t="s">
        <v>945</v>
      </c>
      <c r="D171" s="3" t="s">
        <v>961</v>
      </c>
    </row>
    <row r="172" spans="1:4" x14ac:dyDescent="0.2">
      <c r="A172" s="3" t="s">
        <v>302</v>
      </c>
      <c r="B172" s="3" t="s">
        <v>1</v>
      </c>
      <c r="C172" s="3" t="s">
        <v>945</v>
      </c>
      <c r="D172" s="3" t="s">
        <v>961</v>
      </c>
    </row>
    <row r="173" spans="1:4" x14ac:dyDescent="0.2">
      <c r="A173" s="3" t="s">
        <v>303</v>
      </c>
      <c r="B173" s="3" t="s">
        <v>1</v>
      </c>
      <c r="C173" s="3" t="s">
        <v>945</v>
      </c>
      <c r="D173" s="3" t="s">
        <v>961</v>
      </c>
    </row>
    <row r="174" spans="1:4" x14ac:dyDescent="0.2">
      <c r="A174" s="3" t="s">
        <v>304</v>
      </c>
      <c r="B174" s="3" t="s">
        <v>1</v>
      </c>
      <c r="C174" s="3" t="s">
        <v>945</v>
      </c>
      <c r="D174" s="3" t="s">
        <v>961</v>
      </c>
    </row>
    <row r="175" spans="1:4" x14ac:dyDescent="0.2">
      <c r="A175" s="3" t="s">
        <v>305</v>
      </c>
      <c r="B175" s="3" t="s">
        <v>1</v>
      </c>
      <c r="C175" s="3" t="s">
        <v>945</v>
      </c>
      <c r="D175" s="3" t="s">
        <v>961</v>
      </c>
    </row>
    <row r="176" spans="1:4" x14ac:dyDescent="0.2">
      <c r="A176" s="3" t="s">
        <v>306</v>
      </c>
      <c r="B176" s="3" t="s">
        <v>1</v>
      </c>
      <c r="C176" s="3" t="s">
        <v>945</v>
      </c>
      <c r="D176" s="3" t="s">
        <v>961</v>
      </c>
    </row>
    <row r="177" spans="1:4" x14ac:dyDescent="0.2">
      <c r="A177" s="3" t="s">
        <v>307</v>
      </c>
      <c r="B177" s="3" t="s">
        <v>1</v>
      </c>
      <c r="C177" s="3" t="s">
        <v>945</v>
      </c>
      <c r="D177" s="3" t="s">
        <v>961</v>
      </c>
    </row>
    <row r="178" spans="1:4" x14ac:dyDescent="0.2">
      <c r="A178" s="3" t="s">
        <v>308</v>
      </c>
      <c r="B178" s="3" t="s">
        <v>1</v>
      </c>
      <c r="C178" s="3" t="s">
        <v>945</v>
      </c>
      <c r="D178" s="3" t="s">
        <v>961</v>
      </c>
    </row>
    <row r="179" spans="1:4" x14ac:dyDescent="0.2">
      <c r="A179" s="3" t="s">
        <v>313</v>
      </c>
      <c r="B179" s="3" t="s">
        <v>1</v>
      </c>
      <c r="C179" s="3" t="s">
        <v>945</v>
      </c>
      <c r="D179" s="3" t="s">
        <v>961</v>
      </c>
    </row>
    <row r="180" spans="1:4" x14ac:dyDescent="0.2">
      <c r="A180" s="3" t="s">
        <v>331</v>
      </c>
      <c r="B180" s="3" t="s">
        <v>1</v>
      </c>
      <c r="C180" s="3" t="s">
        <v>945</v>
      </c>
      <c r="D180" s="3" t="s">
        <v>961</v>
      </c>
    </row>
    <row r="181" spans="1:4" x14ac:dyDescent="0.2">
      <c r="A181" s="3" t="s">
        <v>349</v>
      </c>
      <c r="B181" s="3" t="s">
        <v>1</v>
      </c>
      <c r="C181" s="3" t="s">
        <v>945</v>
      </c>
      <c r="D181" s="3" t="s">
        <v>961</v>
      </c>
    </row>
    <row r="182" spans="1:4" x14ac:dyDescent="0.2">
      <c r="A182" s="3" t="s">
        <v>350</v>
      </c>
      <c r="B182" s="3" t="s">
        <v>1</v>
      </c>
      <c r="C182" s="3" t="s">
        <v>945</v>
      </c>
      <c r="D182" s="3" t="s">
        <v>961</v>
      </c>
    </row>
    <row r="183" spans="1:4" x14ac:dyDescent="0.2">
      <c r="A183" s="3" t="s">
        <v>370</v>
      </c>
      <c r="B183" s="3" t="s">
        <v>1</v>
      </c>
      <c r="C183" s="3" t="s">
        <v>945</v>
      </c>
      <c r="D183" s="3" t="s">
        <v>961</v>
      </c>
    </row>
    <row r="184" spans="1:4" x14ac:dyDescent="0.2">
      <c r="A184" s="3" t="s">
        <v>388</v>
      </c>
      <c r="B184" s="3" t="s">
        <v>1</v>
      </c>
      <c r="C184" s="3" t="s">
        <v>945</v>
      </c>
      <c r="D184" s="3" t="s">
        <v>961</v>
      </c>
    </row>
    <row r="185" spans="1:4" x14ac:dyDescent="0.2">
      <c r="A185" s="3" t="s">
        <v>389</v>
      </c>
      <c r="B185" s="3" t="s">
        <v>1</v>
      </c>
      <c r="C185" s="3" t="s">
        <v>945</v>
      </c>
      <c r="D185" s="3" t="s">
        <v>961</v>
      </c>
    </row>
    <row r="186" spans="1:4" x14ac:dyDescent="0.2">
      <c r="A186" s="3" t="s">
        <v>390</v>
      </c>
      <c r="B186" s="3" t="s">
        <v>1</v>
      </c>
      <c r="C186" s="3" t="s">
        <v>945</v>
      </c>
      <c r="D186" s="3" t="s">
        <v>961</v>
      </c>
    </row>
    <row r="187" spans="1:4" x14ac:dyDescent="0.2">
      <c r="A187" s="3" t="s">
        <v>391</v>
      </c>
      <c r="B187" s="3" t="s">
        <v>1</v>
      </c>
      <c r="C187" s="3" t="s">
        <v>945</v>
      </c>
      <c r="D187" s="3" t="s">
        <v>961</v>
      </c>
    </row>
    <row r="188" spans="1:4" x14ac:dyDescent="0.2">
      <c r="A188" s="3" t="s">
        <v>392</v>
      </c>
      <c r="B188" s="3" t="s">
        <v>1</v>
      </c>
      <c r="C188" s="3" t="s">
        <v>945</v>
      </c>
      <c r="D188" s="3" t="s">
        <v>961</v>
      </c>
    </row>
    <row r="189" spans="1:4" x14ac:dyDescent="0.2">
      <c r="A189" s="3" t="s">
        <v>393</v>
      </c>
      <c r="B189" s="3" t="s">
        <v>1</v>
      </c>
      <c r="C189" s="3" t="s">
        <v>945</v>
      </c>
      <c r="D189" s="3" t="s">
        <v>961</v>
      </c>
    </row>
    <row r="190" spans="1:4" x14ac:dyDescent="0.2">
      <c r="A190" s="3" t="s">
        <v>108</v>
      </c>
      <c r="B190" s="3" t="s">
        <v>27</v>
      </c>
      <c r="C190" s="3" t="s">
        <v>945</v>
      </c>
      <c r="D190" s="3" t="s">
        <v>974</v>
      </c>
    </row>
    <row r="191" spans="1:4" x14ac:dyDescent="0.2">
      <c r="A191" s="3" t="s">
        <v>109</v>
      </c>
      <c r="B191" s="3" t="s">
        <v>27</v>
      </c>
      <c r="C191" s="3" t="s">
        <v>945</v>
      </c>
      <c r="D191" s="3" t="s">
        <v>974</v>
      </c>
    </row>
    <row r="192" spans="1:4" x14ac:dyDescent="0.2">
      <c r="A192" s="3" t="s">
        <v>110</v>
      </c>
      <c r="B192" s="3" t="s">
        <v>27</v>
      </c>
      <c r="C192" s="3" t="s">
        <v>945</v>
      </c>
      <c r="D192" s="3" t="s">
        <v>974</v>
      </c>
    </row>
    <row r="193" spans="1:4" x14ac:dyDescent="0.2">
      <c r="A193" s="3" t="s">
        <v>111</v>
      </c>
      <c r="B193" s="3" t="s">
        <v>27</v>
      </c>
      <c r="C193" s="3" t="s">
        <v>945</v>
      </c>
      <c r="D193" s="3" t="s">
        <v>974</v>
      </c>
    </row>
    <row r="194" spans="1:4" x14ac:dyDescent="0.2">
      <c r="A194" s="3" t="s">
        <v>112</v>
      </c>
      <c r="B194" s="3" t="s">
        <v>27</v>
      </c>
      <c r="C194" s="3" t="s">
        <v>945</v>
      </c>
      <c r="D194" s="3" t="s">
        <v>974</v>
      </c>
    </row>
    <row r="195" spans="1:4" x14ac:dyDescent="0.2">
      <c r="A195" s="3" t="s">
        <v>113</v>
      </c>
      <c r="B195" s="3" t="s">
        <v>27</v>
      </c>
      <c r="C195" s="3" t="s">
        <v>945</v>
      </c>
      <c r="D195" s="3" t="s">
        <v>974</v>
      </c>
    </row>
    <row r="196" spans="1:4" x14ac:dyDescent="0.2">
      <c r="A196" s="3" t="s">
        <v>121</v>
      </c>
      <c r="B196" s="3" t="s">
        <v>27</v>
      </c>
      <c r="C196" s="3" t="s">
        <v>945</v>
      </c>
      <c r="D196" s="3" t="s">
        <v>974</v>
      </c>
    </row>
    <row r="197" spans="1:4" x14ac:dyDescent="0.2">
      <c r="A197" s="3" t="s">
        <v>164</v>
      </c>
      <c r="B197" s="3" t="s">
        <v>1</v>
      </c>
      <c r="C197" s="3" t="s">
        <v>17</v>
      </c>
      <c r="D197" s="3" t="s">
        <v>949</v>
      </c>
    </row>
    <row r="198" spans="1:4" x14ac:dyDescent="0.2">
      <c r="A198" s="3" t="s">
        <v>165</v>
      </c>
      <c r="B198" s="3" t="s">
        <v>1</v>
      </c>
      <c r="C198" s="3" t="s">
        <v>17</v>
      </c>
      <c r="D198" s="3" t="s">
        <v>949</v>
      </c>
    </row>
    <row r="199" spans="1:4" x14ac:dyDescent="0.2">
      <c r="A199" s="3" t="s">
        <v>166</v>
      </c>
      <c r="B199" s="3" t="s">
        <v>1</v>
      </c>
      <c r="C199" s="3" t="s">
        <v>17</v>
      </c>
      <c r="D199" s="3" t="s">
        <v>949</v>
      </c>
    </row>
    <row r="200" spans="1:4" x14ac:dyDescent="0.2">
      <c r="A200" s="3" t="s">
        <v>38</v>
      </c>
      <c r="B200" s="3" t="s">
        <v>950</v>
      </c>
      <c r="C200" s="3" t="s">
        <v>17</v>
      </c>
      <c r="D200" s="3" t="s">
        <v>958</v>
      </c>
    </row>
    <row r="201" spans="1:4" x14ac:dyDescent="0.2">
      <c r="A201" s="3" t="s">
        <v>403</v>
      </c>
      <c r="B201" s="3" t="s">
        <v>950</v>
      </c>
      <c r="C201" s="3" t="s">
        <v>17</v>
      </c>
      <c r="D201" s="3" t="s">
        <v>958</v>
      </c>
    </row>
    <row r="202" spans="1:4" x14ac:dyDescent="0.2">
      <c r="A202" s="3" t="s">
        <v>190</v>
      </c>
      <c r="B202" s="3" t="s">
        <v>1</v>
      </c>
      <c r="C202" s="3" t="s">
        <v>2</v>
      </c>
      <c r="D202" s="3" t="s">
        <v>959</v>
      </c>
    </row>
    <row r="203" spans="1:4" x14ac:dyDescent="0.2">
      <c r="A203" s="3" t="s">
        <v>191</v>
      </c>
      <c r="B203" s="3" t="s">
        <v>1</v>
      </c>
      <c r="C203" s="3" t="s">
        <v>2</v>
      </c>
      <c r="D203" s="3" t="s">
        <v>959</v>
      </c>
    </row>
    <row r="204" spans="1:4" x14ac:dyDescent="0.2">
      <c r="A204" s="3" t="s">
        <v>192</v>
      </c>
      <c r="B204" s="3" t="s">
        <v>1</v>
      </c>
      <c r="C204" s="3" t="s">
        <v>2</v>
      </c>
      <c r="D204" s="3" t="s">
        <v>959</v>
      </c>
    </row>
    <row r="205" spans="1:4" x14ac:dyDescent="0.2">
      <c r="A205" s="3" t="s">
        <v>193</v>
      </c>
      <c r="B205" s="3" t="s">
        <v>1</v>
      </c>
      <c r="C205" s="3" t="s">
        <v>2</v>
      </c>
      <c r="D205" s="3" t="s">
        <v>959</v>
      </c>
    </row>
    <row r="206" spans="1:4" x14ac:dyDescent="0.2">
      <c r="A206" s="3" t="s">
        <v>194</v>
      </c>
      <c r="B206" s="3" t="s">
        <v>1</v>
      </c>
      <c r="C206" s="3" t="s">
        <v>2</v>
      </c>
      <c r="D206" s="3" t="s">
        <v>959</v>
      </c>
    </row>
    <row r="207" spans="1:4" x14ac:dyDescent="0.2">
      <c r="A207" s="3" t="s">
        <v>195</v>
      </c>
      <c r="B207" s="3" t="s">
        <v>1</v>
      </c>
      <c r="C207" s="3" t="s">
        <v>17</v>
      </c>
      <c r="D207" s="3" t="s">
        <v>960</v>
      </c>
    </row>
    <row r="208" spans="1:4" x14ac:dyDescent="0.2">
      <c r="A208" s="3" t="s">
        <v>196</v>
      </c>
      <c r="B208" s="3" t="s">
        <v>1</v>
      </c>
      <c r="C208" s="3" t="s">
        <v>17</v>
      </c>
      <c r="D208" s="3" t="s">
        <v>960</v>
      </c>
    </row>
    <row r="209" spans="1:4" x14ac:dyDescent="0.2">
      <c r="A209" s="3" t="s">
        <v>236</v>
      </c>
      <c r="B209" s="3" t="s">
        <v>1</v>
      </c>
      <c r="C209" s="3" t="s">
        <v>975</v>
      </c>
      <c r="D209" s="3" t="s">
        <v>977</v>
      </c>
    </row>
    <row r="210" spans="1:4" x14ac:dyDescent="0.2">
      <c r="A210" s="3" t="s">
        <v>201</v>
      </c>
      <c r="B210" s="3" t="s">
        <v>1</v>
      </c>
      <c r="C210" s="3" t="s">
        <v>17</v>
      </c>
      <c r="D210" s="3" t="s">
        <v>963</v>
      </c>
    </row>
    <row r="211" spans="1:4" x14ac:dyDescent="0.2">
      <c r="A211" s="3" t="s">
        <v>202</v>
      </c>
      <c r="B211" s="3" t="s">
        <v>1</v>
      </c>
      <c r="C211" s="3" t="s">
        <v>17</v>
      </c>
      <c r="D211" s="3" t="s">
        <v>963</v>
      </c>
    </row>
    <row r="212" spans="1:4" x14ac:dyDescent="0.2">
      <c r="A212" s="3" t="s">
        <v>203</v>
      </c>
      <c r="B212" s="3" t="s">
        <v>1</v>
      </c>
      <c r="C212" s="3" t="s">
        <v>17</v>
      </c>
      <c r="D212" s="3" t="s">
        <v>963</v>
      </c>
    </row>
    <row r="213" spans="1:4" x14ac:dyDescent="0.2">
      <c r="A213" s="3" t="s">
        <v>1149</v>
      </c>
      <c r="B213" s="3" t="s">
        <v>1</v>
      </c>
      <c r="C213" s="3" t="s">
        <v>19</v>
      </c>
      <c r="D213" s="3" t="s">
        <v>962</v>
      </c>
    </row>
    <row r="214" spans="1:4" x14ac:dyDescent="0.2">
      <c r="A214" s="3" t="s">
        <v>198</v>
      </c>
      <c r="B214" s="3" t="s">
        <v>1</v>
      </c>
      <c r="C214" s="3" t="s">
        <v>19</v>
      </c>
      <c r="D214" s="3" t="s">
        <v>962</v>
      </c>
    </row>
    <row r="215" spans="1:4" x14ac:dyDescent="0.2">
      <c r="A215" s="3" t="s">
        <v>199</v>
      </c>
      <c r="B215" s="3" t="s">
        <v>1</v>
      </c>
      <c r="C215" s="3" t="s">
        <v>19</v>
      </c>
      <c r="D215" s="3" t="s">
        <v>962</v>
      </c>
    </row>
    <row r="216" spans="1:4" x14ac:dyDescent="0.2">
      <c r="A216" s="3" t="s">
        <v>200</v>
      </c>
      <c r="B216" s="3" t="s">
        <v>1</v>
      </c>
      <c r="C216" s="3" t="s">
        <v>19</v>
      </c>
      <c r="D216" s="3" t="s">
        <v>962</v>
      </c>
    </row>
    <row r="217" spans="1:4" x14ac:dyDescent="0.2">
      <c r="A217" s="3" t="s">
        <v>258</v>
      </c>
      <c r="B217" s="3" t="s">
        <v>1</v>
      </c>
      <c r="C217" s="3" t="s">
        <v>19</v>
      </c>
      <c r="D217" s="3" t="s">
        <v>962</v>
      </c>
    </row>
    <row r="218" spans="1:4" x14ac:dyDescent="0.2">
      <c r="A218" s="3" t="s">
        <v>446</v>
      </c>
      <c r="B218" s="3" t="s">
        <v>28</v>
      </c>
      <c r="C218" s="3" t="s">
        <v>29</v>
      </c>
      <c r="D218" s="3" t="s">
        <v>965</v>
      </c>
    </row>
    <row r="219" spans="1:4" x14ac:dyDescent="0.2">
      <c r="A219" s="3" t="s">
        <v>447</v>
      </c>
      <c r="B219" s="3" t="s">
        <v>28</v>
      </c>
      <c r="C219" s="3" t="s">
        <v>29</v>
      </c>
      <c r="D219" s="3" t="s">
        <v>965</v>
      </c>
    </row>
    <row r="220" spans="1:4" x14ac:dyDescent="0.2">
      <c r="A220" s="3" t="s">
        <v>448</v>
      </c>
      <c r="B220" s="3" t="s">
        <v>28</v>
      </c>
      <c r="C220" s="3" t="s">
        <v>29</v>
      </c>
      <c r="D220" s="3" t="s">
        <v>965</v>
      </c>
    </row>
    <row r="221" spans="1:4" x14ac:dyDescent="0.2">
      <c r="A221" s="3" t="s">
        <v>449</v>
      </c>
      <c r="B221" s="3" t="s">
        <v>28</v>
      </c>
      <c r="C221" s="3" t="s">
        <v>29</v>
      </c>
      <c r="D221" s="3" t="s">
        <v>965</v>
      </c>
    </row>
    <row r="222" spans="1:4" x14ac:dyDescent="0.2">
      <c r="A222" s="3" t="s">
        <v>450</v>
      </c>
      <c r="B222" s="3" t="s">
        <v>28</v>
      </c>
      <c r="C222" s="3" t="s">
        <v>29</v>
      </c>
      <c r="D222" s="3" t="s">
        <v>965</v>
      </c>
    </row>
    <row r="223" spans="1:4" x14ac:dyDescent="0.2">
      <c r="A223" s="3" t="s">
        <v>451</v>
      </c>
      <c r="B223" s="3" t="s">
        <v>28</v>
      </c>
      <c r="C223" s="3" t="s">
        <v>29</v>
      </c>
      <c r="D223" s="3" t="s">
        <v>965</v>
      </c>
    </row>
    <row r="224" spans="1:4" x14ac:dyDescent="0.2">
      <c r="A224" s="3" t="s">
        <v>452</v>
      </c>
      <c r="B224" s="3" t="s">
        <v>28</v>
      </c>
      <c r="C224" s="3" t="s">
        <v>29</v>
      </c>
      <c r="D224" s="3" t="s">
        <v>965</v>
      </c>
    </row>
    <row r="225" spans="1:4" x14ac:dyDescent="0.2">
      <c r="A225" s="3" t="s">
        <v>453</v>
      </c>
      <c r="B225" s="3" t="s">
        <v>28</v>
      </c>
      <c r="C225" s="3" t="s">
        <v>29</v>
      </c>
      <c r="D225" s="3" t="s">
        <v>965</v>
      </c>
    </row>
    <row r="226" spans="1:4" x14ac:dyDescent="0.2">
      <c r="A226" s="3" t="s">
        <v>454</v>
      </c>
      <c r="B226" s="3" t="s">
        <v>28</v>
      </c>
      <c r="C226" s="3" t="s">
        <v>29</v>
      </c>
      <c r="D226" s="3" t="s">
        <v>965</v>
      </c>
    </row>
    <row r="227" spans="1:4" x14ac:dyDescent="0.2">
      <c r="A227" s="3" t="s">
        <v>455</v>
      </c>
      <c r="B227" s="3" t="s">
        <v>28</v>
      </c>
      <c r="C227" s="3" t="s">
        <v>29</v>
      </c>
      <c r="D227" s="3" t="s">
        <v>965</v>
      </c>
    </row>
    <row r="228" spans="1:4" x14ac:dyDescent="0.2">
      <c r="A228" s="3" t="s">
        <v>33</v>
      </c>
      <c r="B228" s="3" t="s">
        <v>28</v>
      </c>
      <c r="C228" s="3" t="s">
        <v>29</v>
      </c>
      <c r="D228" s="3" t="s">
        <v>965</v>
      </c>
    </row>
    <row r="229" spans="1:4" x14ac:dyDescent="0.2">
      <c r="A229" s="3" t="s">
        <v>106</v>
      </c>
      <c r="B229" s="3" t="s">
        <v>27</v>
      </c>
      <c r="C229" s="3" t="s">
        <v>967</v>
      </c>
      <c r="D229" s="3" t="s">
        <v>968</v>
      </c>
    </row>
    <row r="230" spans="1:4" x14ac:dyDescent="0.2">
      <c r="A230" s="3" t="s">
        <v>107</v>
      </c>
      <c r="B230" s="3" t="s">
        <v>27</v>
      </c>
      <c r="C230" s="3" t="s">
        <v>967</v>
      </c>
      <c r="D230" s="3" t="s">
        <v>968</v>
      </c>
    </row>
    <row r="231" spans="1:4" x14ac:dyDescent="0.2">
      <c r="A231" s="3" t="s">
        <v>205</v>
      </c>
      <c r="B231" s="3" t="s">
        <v>1</v>
      </c>
      <c r="C231" s="3" t="s">
        <v>17</v>
      </c>
      <c r="D231" s="3" t="s">
        <v>969</v>
      </c>
    </row>
    <row r="232" spans="1:4" x14ac:dyDescent="0.2">
      <c r="A232" s="3" t="s">
        <v>206</v>
      </c>
      <c r="B232" s="3" t="s">
        <v>1</v>
      </c>
      <c r="C232" s="3" t="s">
        <v>17</v>
      </c>
      <c r="D232" s="3" t="s">
        <v>969</v>
      </c>
    </row>
    <row r="233" spans="1:4" x14ac:dyDescent="0.2">
      <c r="A233" s="3" t="s">
        <v>207</v>
      </c>
      <c r="B233" s="3" t="s">
        <v>1</v>
      </c>
      <c r="C233" s="3" t="s">
        <v>17</v>
      </c>
      <c r="D233" s="3" t="s">
        <v>969</v>
      </c>
    </row>
    <row r="234" spans="1:4" x14ac:dyDescent="0.2">
      <c r="A234" s="3" t="s">
        <v>209</v>
      </c>
      <c r="B234" s="3" t="s">
        <v>1</v>
      </c>
      <c r="C234" s="3" t="s">
        <v>17</v>
      </c>
      <c r="D234" s="3" t="s">
        <v>971</v>
      </c>
    </row>
    <row r="235" spans="1:4" x14ac:dyDescent="0.2">
      <c r="A235" s="3" t="s">
        <v>404</v>
      </c>
      <c r="B235" s="3" t="s">
        <v>950</v>
      </c>
      <c r="C235" s="3" t="s">
        <v>17</v>
      </c>
      <c r="D235" s="3" t="s">
        <v>970</v>
      </c>
    </row>
    <row r="236" spans="1:4" x14ac:dyDescent="0.2">
      <c r="A236" s="3" t="s">
        <v>405</v>
      </c>
      <c r="B236" s="3" t="s">
        <v>950</v>
      </c>
      <c r="C236" s="3" t="s">
        <v>17</v>
      </c>
      <c r="D236" s="3" t="s">
        <v>970</v>
      </c>
    </row>
    <row r="237" spans="1:4" x14ac:dyDescent="0.2">
      <c r="A237" s="3" t="s">
        <v>406</v>
      </c>
      <c r="B237" s="3" t="s">
        <v>950</v>
      </c>
      <c r="C237" s="3" t="s">
        <v>17</v>
      </c>
      <c r="D237" s="3" t="s">
        <v>970</v>
      </c>
    </row>
    <row r="238" spans="1:4" x14ac:dyDescent="0.2">
      <c r="A238" s="3" t="s">
        <v>407</v>
      </c>
      <c r="B238" s="3" t="s">
        <v>950</v>
      </c>
      <c r="C238" s="3" t="s">
        <v>17</v>
      </c>
      <c r="D238" s="3" t="s">
        <v>970</v>
      </c>
    </row>
    <row r="239" spans="1:4" x14ac:dyDescent="0.2">
      <c r="A239" s="3" t="s">
        <v>32</v>
      </c>
      <c r="B239" s="3" t="s">
        <v>950</v>
      </c>
      <c r="C239" s="3" t="s">
        <v>17</v>
      </c>
      <c r="D239" s="3" t="s">
        <v>970</v>
      </c>
    </row>
    <row r="240" spans="1:4" x14ac:dyDescent="0.2">
      <c r="A240" s="3" t="s">
        <v>411</v>
      </c>
      <c r="B240" s="3" t="s">
        <v>950</v>
      </c>
      <c r="C240" s="3" t="s">
        <v>17</v>
      </c>
      <c r="D240" s="3" t="s">
        <v>970</v>
      </c>
    </row>
    <row r="241" spans="1:4" x14ac:dyDescent="0.2">
      <c r="A241" s="3" t="s">
        <v>1430</v>
      </c>
      <c r="B241" s="3" t="s">
        <v>950</v>
      </c>
      <c r="C241" s="3" t="s">
        <v>17</v>
      </c>
      <c r="D241" s="3" t="s">
        <v>970</v>
      </c>
    </row>
    <row r="242" spans="1:4" x14ac:dyDescent="0.2">
      <c r="A242" s="3" t="s">
        <v>204</v>
      </c>
      <c r="B242" s="3" t="s">
        <v>1</v>
      </c>
      <c r="C242" s="3" t="s">
        <v>29</v>
      </c>
      <c r="D242" s="3" t="s">
        <v>964</v>
      </c>
    </row>
    <row r="243" spans="1:4" x14ac:dyDescent="0.2">
      <c r="A243" s="3" t="s">
        <v>291</v>
      </c>
      <c r="B243" s="3" t="s">
        <v>1</v>
      </c>
      <c r="C243" s="3" t="s">
        <v>29</v>
      </c>
      <c r="D243" s="3" t="s">
        <v>964</v>
      </c>
    </row>
    <row r="244" spans="1:4" x14ac:dyDescent="0.2">
      <c r="A244" s="3" t="s">
        <v>395</v>
      </c>
      <c r="B244" s="3" t="s">
        <v>1</v>
      </c>
      <c r="C244" s="3" t="s">
        <v>29</v>
      </c>
      <c r="D244" s="3" t="s">
        <v>964</v>
      </c>
    </row>
    <row r="245" spans="1:4" x14ac:dyDescent="0.2">
      <c r="A245" s="3" t="s">
        <v>210</v>
      </c>
      <c r="B245" s="3" t="s">
        <v>1</v>
      </c>
      <c r="C245" s="3" t="s">
        <v>17</v>
      </c>
      <c r="D245" s="3" t="s">
        <v>972</v>
      </c>
    </row>
    <row r="246" spans="1:4" x14ac:dyDescent="0.2">
      <c r="A246" s="3" t="s">
        <v>211</v>
      </c>
      <c r="B246" s="3" t="s">
        <v>1</v>
      </c>
      <c r="C246" s="3" t="s">
        <v>17</v>
      </c>
      <c r="D246" s="3" t="s">
        <v>972</v>
      </c>
    </row>
    <row r="247" spans="1:4" x14ac:dyDescent="0.2">
      <c r="A247" s="3" t="s">
        <v>213</v>
      </c>
      <c r="B247" s="3" t="s">
        <v>1</v>
      </c>
      <c r="C247" s="3" t="s">
        <v>19</v>
      </c>
      <c r="D247" s="3" t="s">
        <v>973</v>
      </c>
    </row>
    <row r="248" spans="1:4" x14ac:dyDescent="0.2">
      <c r="A248" s="3" t="s">
        <v>241</v>
      </c>
      <c r="B248" s="3" t="s">
        <v>1</v>
      </c>
      <c r="C248" s="3" t="s">
        <v>19</v>
      </c>
      <c r="D248" s="3" t="s">
        <v>973</v>
      </c>
    </row>
    <row r="249" spans="1:4" x14ac:dyDescent="0.2">
      <c r="A249" s="3" t="s">
        <v>261</v>
      </c>
      <c r="B249" s="3" t="s">
        <v>1</v>
      </c>
      <c r="C249" s="3" t="s">
        <v>19</v>
      </c>
      <c r="D249" s="3" t="s">
        <v>973</v>
      </c>
    </row>
    <row r="250" spans="1:4" x14ac:dyDescent="0.2">
      <c r="A250" s="3" t="s">
        <v>278</v>
      </c>
      <c r="B250" s="3" t="s">
        <v>1</v>
      </c>
      <c r="C250" s="3" t="s">
        <v>2</v>
      </c>
      <c r="D250" s="3" t="s">
        <v>981</v>
      </c>
    </row>
    <row r="251" spans="1:4" x14ac:dyDescent="0.2">
      <c r="A251" s="3" t="s">
        <v>279</v>
      </c>
      <c r="B251" s="3" t="s">
        <v>1</v>
      </c>
      <c r="C251" s="3" t="s">
        <v>2</v>
      </c>
      <c r="D251" s="3" t="s">
        <v>981</v>
      </c>
    </row>
    <row r="252" spans="1:4" x14ac:dyDescent="0.2">
      <c r="A252" s="3" t="s">
        <v>280</v>
      </c>
      <c r="B252" s="3" t="s">
        <v>1</v>
      </c>
      <c r="C252" s="3" t="s">
        <v>2</v>
      </c>
      <c r="D252" s="3" t="s">
        <v>981</v>
      </c>
    </row>
    <row r="253" spans="1:4" x14ac:dyDescent="0.2">
      <c r="A253" s="3" t="s">
        <v>281</v>
      </c>
      <c r="B253" s="3" t="s">
        <v>1</v>
      </c>
      <c r="C253" s="3" t="s">
        <v>2</v>
      </c>
      <c r="D253" s="3" t="s">
        <v>981</v>
      </c>
    </row>
    <row r="254" spans="1:4" x14ac:dyDescent="0.2">
      <c r="A254" s="3" t="s">
        <v>275</v>
      </c>
      <c r="B254" s="3" t="s">
        <v>1</v>
      </c>
      <c r="C254" s="3" t="s">
        <v>979</v>
      </c>
      <c r="D254" s="3" t="s">
        <v>980</v>
      </c>
    </row>
    <row r="255" spans="1:4" x14ac:dyDescent="0.2">
      <c r="A255" s="3" t="s">
        <v>276</v>
      </c>
      <c r="B255" s="3" t="s">
        <v>1</v>
      </c>
      <c r="C255" s="3" t="s">
        <v>979</v>
      </c>
      <c r="D255" s="3" t="s">
        <v>980</v>
      </c>
    </row>
    <row r="256" spans="1:4" x14ac:dyDescent="0.2">
      <c r="A256" s="3" t="s">
        <v>277</v>
      </c>
      <c r="B256" s="3" t="s">
        <v>1</v>
      </c>
      <c r="C256" s="3" t="s">
        <v>979</v>
      </c>
      <c r="D256" s="3" t="s">
        <v>980</v>
      </c>
    </row>
    <row r="257" spans="1:4" x14ac:dyDescent="0.2">
      <c r="A257" s="3" t="s">
        <v>282</v>
      </c>
      <c r="B257" s="3" t="s">
        <v>1</v>
      </c>
      <c r="C257" s="3" t="s">
        <v>17</v>
      </c>
      <c r="D257" s="3" t="s">
        <v>982</v>
      </c>
    </row>
    <row r="258" spans="1:4" x14ac:dyDescent="0.2">
      <c r="A258" s="3" t="s">
        <v>179</v>
      </c>
      <c r="B258" s="3" t="s">
        <v>1</v>
      </c>
      <c r="C258" s="3" t="s">
        <v>19</v>
      </c>
      <c r="D258" s="3" t="s">
        <v>955</v>
      </c>
    </row>
    <row r="259" spans="1:4" x14ac:dyDescent="0.2">
      <c r="A259" s="3" t="s">
        <v>180</v>
      </c>
      <c r="B259" s="3" t="s">
        <v>1</v>
      </c>
      <c r="C259" s="3" t="s">
        <v>19</v>
      </c>
      <c r="D259" s="3" t="s">
        <v>955</v>
      </c>
    </row>
    <row r="260" spans="1:4" x14ac:dyDescent="0.2">
      <c r="A260" s="3" t="s">
        <v>292</v>
      </c>
      <c r="B260" s="3" t="s">
        <v>1</v>
      </c>
      <c r="C260" s="3" t="s">
        <v>19</v>
      </c>
      <c r="D260" s="3" t="s">
        <v>955</v>
      </c>
    </row>
    <row r="261" spans="1:4" x14ac:dyDescent="0.2">
      <c r="A261" s="3" t="s">
        <v>293</v>
      </c>
      <c r="B261" s="3" t="s">
        <v>1</v>
      </c>
      <c r="C261" s="3" t="s">
        <v>19</v>
      </c>
      <c r="D261" s="3" t="s">
        <v>955</v>
      </c>
    </row>
    <row r="262" spans="1:4" x14ac:dyDescent="0.2">
      <c r="A262" s="3" t="s">
        <v>342</v>
      </c>
      <c r="B262" s="3" t="s">
        <v>1</v>
      </c>
      <c r="C262" s="3" t="s">
        <v>19</v>
      </c>
      <c r="D262" s="3" t="s">
        <v>955</v>
      </c>
    </row>
    <row r="263" spans="1:4" x14ac:dyDescent="0.2">
      <c r="A263" s="3" t="s">
        <v>103</v>
      </c>
      <c r="B263" s="3" t="s">
        <v>1</v>
      </c>
      <c r="C263" s="3" t="s">
        <v>19</v>
      </c>
      <c r="D263" s="3" t="s">
        <v>983</v>
      </c>
    </row>
    <row r="264" spans="1:4" x14ac:dyDescent="0.2">
      <c r="A264" s="3" t="s">
        <v>286</v>
      </c>
      <c r="B264" s="3" t="s">
        <v>1</v>
      </c>
      <c r="C264" s="3" t="s">
        <v>19</v>
      </c>
      <c r="D264" s="3" t="s">
        <v>983</v>
      </c>
    </row>
    <row r="265" spans="1:4" x14ac:dyDescent="0.2">
      <c r="A265" s="3" t="s">
        <v>287</v>
      </c>
      <c r="B265" s="3" t="s">
        <v>1</v>
      </c>
      <c r="C265" s="3" t="s">
        <v>19</v>
      </c>
      <c r="D265" s="3" t="s">
        <v>983</v>
      </c>
    </row>
    <row r="266" spans="1:4" x14ac:dyDescent="0.2">
      <c r="A266" s="3" t="s">
        <v>288</v>
      </c>
      <c r="B266" s="3" t="s">
        <v>1</v>
      </c>
      <c r="C266" s="3" t="s">
        <v>19</v>
      </c>
      <c r="D266" s="3" t="s">
        <v>983</v>
      </c>
    </row>
    <row r="267" spans="1:4" x14ac:dyDescent="0.2">
      <c r="A267" s="3" t="s">
        <v>289</v>
      </c>
      <c r="B267" s="3" t="s">
        <v>1</v>
      </c>
      <c r="C267" s="3" t="s">
        <v>19</v>
      </c>
      <c r="D267" s="3" t="s">
        <v>983</v>
      </c>
    </row>
    <row r="268" spans="1:4" x14ac:dyDescent="0.2">
      <c r="A268" s="3" t="s">
        <v>290</v>
      </c>
      <c r="B268" s="3" t="s">
        <v>1</v>
      </c>
      <c r="C268" s="3" t="s">
        <v>19</v>
      </c>
      <c r="D268" s="3" t="s">
        <v>983</v>
      </c>
    </row>
    <row r="269" spans="1:4" x14ac:dyDescent="0.2">
      <c r="A269" s="3" t="s">
        <v>104</v>
      </c>
      <c r="B269" s="3" t="s">
        <v>1</v>
      </c>
      <c r="C269" s="3" t="s">
        <v>19</v>
      </c>
      <c r="D269" s="3" t="s">
        <v>1009</v>
      </c>
    </row>
    <row r="270" spans="1:4" x14ac:dyDescent="0.2">
      <c r="A270" s="3" t="s">
        <v>377</v>
      </c>
      <c r="B270" s="3" t="s">
        <v>1</v>
      </c>
      <c r="C270" s="3" t="s">
        <v>19</v>
      </c>
      <c r="D270" s="3" t="s">
        <v>1009</v>
      </c>
    </row>
    <row r="271" spans="1:4" x14ac:dyDescent="0.2">
      <c r="A271" s="3" t="s">
        <v>378</v>
      </c>
      <c r="B271" s="3" t="s">
        <v>1</v>
      </c>
      <c r="C271" s="3" t="s">
        <v>19</v>
      </c>
      <c r="D271" s="3" t="s">
        <v>1009</v>
      </c>
    </row>
    <row r="272" spans="1:4" x14ac:dyDescent="0.2">
      <c r="A272" s="3" t="s">
        <v>379</v>
      </c>
      <c r="B272" s="3" t="s">
        <v>1</v>
      </c>
      <c r="C272" s="3" t="s">
        <v>19</v>
      </c>
      <c r="D272" s="3" t="s">
        <v>1009</v>
      </c>
    </row>
    <row r="273" spans="1:4" x14ac:dyDescent="0.2">
      <c r="A273" s="3" t="s">
        <v>380</v>
      </c>
      <c r="B273" s="3" t="s">
        <v>1</v>
      </c>
      <c r="C273" s="3" t="s">
        <v>19</v>
      </c>
      <c r="D273" s="3" t="s">
        <v>1009</v>
      </c>
    </row>
    <row r="274" spans="1:4" x14ac:dyDescent="0.2">
      <c r="A274" s="3" t="s">
        <v>299</v>
      </c>
      <c r="B274" s="3" t="s">
        <v>1</v>
      </c>
      <c r="C274" s="3" t="s">
        <v>17</v>
      </c>
      <c r="D274" s="3" t="s">
        <v>984</v>
      </c>
    </row>
    <row r="275" spans="1:4" x14ac:dyDescent="0.2">
      <c r="A275" s="3" t="s">
        <v>300</v>
      </c>
      <c r="B275" s="3" t="s">
        <v>1</v>
      </c>
      <c r="C275" s="3" t="s">
        <v>17</v>
      </c>
      <c r="D275" s="3" t="s">
        <v>984</v>
      </c>
    </row>
    <row r="276" spans="1:4" x14ac:dyDescent="0.2">
      <c r="A276" s="3" t="s">
        <v>151</v>
      </c>
      <c r="B276" s="3" t="s">
        <v>1</v>
      </c>
      <c r="C276" s="3" t="s">
        <v>17</v>
      </c>
      <c r="D276" s="3" t="s">
        <v>940</v>
      </c>
    </row>
    <row r="277" spans="1:4" x14ac:dyDescent="0.2">
      <c r="A277" s="3" t="s">
        <v>296</v>
      </c>
      <c r="B277" s="3" t="s">
        <v>1</v>
      </c>
      <c r="C277" s="3" t="s">
        <v>17</v>
      </c>
      <c r="D277" s="3" t="s">
        <v>940</v>
      </c>
    </row>
    <row r="278" spans="1:4" x14ac:dyDescent="0.2">
      <c r="A278" s="3" t="s">
        <v>297</v>
      </c>
      <c r="B278" s="3" t="s">
        <v>1</v>
      </c>
      <c r="C278" s="3" t="s">
        <v>17</v>
      </c>
      <c r="D278" s="3" t="s">
        <v>940</v>
      </c>
    </row>
    <row r="279" spans="1:4" x14ac:dyDescent="0.2">
      <c r="A279" s="3" t="s">
        <v>298</v>
      </c>
      <c r="B279" s="3" t="s">
        <v>1</v>
      </c>
      <c r="C279" s="3" t="s">
        <v>17</v>
      </c>
      <c r="D279" s="3" t="s">
        <v>940</v>
      </c>
    </row>
    <row r="280" spans="1:4" x14ac:dyDescent="0.2">
      <c r="A280" s="3" t="s">
        <v>309</v>
      </c>
      <c r="B280" s="3" t="s">
        <v>1</v>
      </c>
      <c r="C280" s="3" t="s">
        <v>17</v>
      </c>
      <c r="D280" s="3" t="s">
        <v>940</v>
      </c>
    </row>
    <row r="281" spans="1:4" x14ac:dyDescent="0.2">
      <c r="A281" s="3" t="s">
        <v>311</v>
      </c>
      <c r="B281" s="3" t="s">
        <v>1</v>
      </c>
      <c r="C281" s="3" t="s">
        <v>986</v>
      </c>
      <c r="D281" s="3" t="s">
        <v>986</v>
      </c>
    </row>
    <row r="282" spans="1:4" x14ac:dyDescent="0.2">
      <c r="A282" s="3" t="s">
        <v>312</v>
      </c>
      <c r="B282" s="3" t="s">
        <v>1</v>
      </c>
      <c r="C282" s="3" t="s">
        <v>986</v>
      </c>
      <c r="D282" s="3" t="s">
        <v>986</v>
      </c>
    </row>
    <row r="283" spans="1:4" x14ac:dyDescent="0.2">
      <c r="A283" s="3" t="s">
        <v>40</v>
      </c>
      <c r="B283" s="3" t="s">
        <v>27</v>
      </c>
      <c r="C283" s="3" t="s">
        <v>967</v>
      </c>
      <c r="D283" s="3" t="s">
        <v>978</v>
      </c>
    </row>
    <row r="284" spans="1:4" x14ac:dyDescent="0.2">
      <c r="A284" s="3" t="s">
        <v>115</v>
      </c>
      <c r="B284" s="3" t="s">
        <v>27</v>
      </c>
      <c r="C284" s="3" t="s">
        <v>967</v>
      </c>
      <c r="D284" s="3" t="s">
        <v>978</v>
      </c>
    </row>
    <row r="285" spans="1:4" x14ac:dyDescent="0.2">
      <c r="A285" s="3" t="s">
        <v>116</v>
      </c>
      <c r="B285" s="3" t="s">
        <v>27</v>
      </c>
      <c r="C285" s="3" t="s">
        <v>967</v>
      </c>
      <c r="D285" s="3" t="s">
        <v>978</v>
      </c>
    </row>
    <row r="286" spans="1:4" x14ac:dyDescent="0.2">
      <c r="A286" s="3" t="s">
        <v>117</v>
      </c>
      <c r="B286" s="3" t="s">
        <v>27</v>
      </c>
      <c r="C286" s="3" t="s">
        <v>967</v>
      </c>
      <c r="D286" s="3" t="s">
        <v>978</v>
      </c>
    </row>
    <row r="287" spans="1:4" x14ac:dyDescent="0.2">
      <c r="A287" s="3" t="s">
        <v>41</v>
      </c>
      <c r="B287" s="3" t="s">
        <v>27</v>
      </c>
      <c r="C287" s="3" t="s">
        <v>967</v>
      </c>
      <c r="D287" s="3" t="s">
        <v>978</v>
      </c>
    </row>
    <row r="288" spans="1:4" x14ac:dyDescent="0.2">
      <c r="A288" s="3" t="s">
        <v>118</v>
      </c>
      <c r="B288" s="3" t="s">
        <v>27</v>
      </c>
      <c r="C288" s="3" t="s">
        <v>967</v>
      </c>
      <c r="D288" s="3" t="s">
        <v>978</v>
      </c>
    </row>
    <row r="289" spans="1:4" x14ac:dyDescent="0.2">
      <c r="A289" s="3" t="s">
        <v>119</v>
      </c>
      <c r="B289" s="3" t="s">
        <v>27</v>
      </c>
      <c r="C289" s="3" t="s">
        <v>967</v>
      </c>
      <c r="D289" s="3" t="s">
        <v>978</v>
      </c>
    </row>
    <row r="290" spans="1:4" x14ac:dyDescent="0.2">
      <c r="A290" s="3" t="s">
        <v>120</v>
      </c>
      <c r="B290" s="3" t="s">
        <v>27</v>
      </c>
      <c r="C290" s="3" t="s">
        <v>967</v>
      </c>
      <c r="D290" s="3" t="s">
        <v>978</v>
      </c>
    </row>
    <row r="291" spans="1:4" x14ac:dyDescent="0.2">
      <c r="A291" s="3" t="s">
        <v>310</v>
      </c>
      <c r="B291" s="3" t="s">
        <v>1</v>
      </c>
      <c r="C291" s="3" t="s">
        <v>17</v>
      </c>
      <c r="D291" s="3" t="s">
        <v>985</v>
      </c>
    </row>
    <row r="292" spans="1:4" x14ac:dyDescent="0.2">
      <c r="A292" s="3" t="s">
        <v>318</v>
      </c>
      <c r="B292" s="3" t="s">
        <v>1</v>
      </c>
      <c r="C292" s="3" t="s">
        <v>17</v>
      </c>
      <c r="D292" s="3" t="s">
        <v>988</v>
      </c>
    </row>
    <row r="293" spans="1:4" x14ac:dyDescent="0.2">
      <c r="A293" s="3" t="s">
        <v>319</v>
      </c>
      <c r="B293" s="3" t="s">
        <v>1</v>
      </c>
      <c r="C293" s="3" t="s">
        <v>17</v>
      </c>
      <c r="D293" s="3" t="s">
        <v>988</v>
      </c>
    </row>
    <row r="294" spans="1:4" x14ac:dyDescent="0.2">
      <c r="A294" s="3" t="s">
        <v>322</v>
      </c>
      <c r="B294" s="3" t="s">
        <v>1</v>
      </c>
      <c r="C294" s="3" t="s">
        <v>17</v>
      </c>
      <c r="D294" s="3" t="s">
        <v>990</v>
      </c>
    </row>
    <row r="295" spans="1:4" x14ac:dyDescent="0.2">
      <c r="A295" s="3" t="s">
        <v>323</v>
      </c>
      <c r="B295" s="3" t="s">
        <v>1</v>
      </c>
      <c r="C295" s="3" t="s">
        <v>17</v>
      </c>
      <c r="D295" s="3" t="s">
        <v>990</v>
      </c>
    </row>
    <row r="296" spans="1:4" x14ac:dyDescent="0.2">
      <c r="A296" s="3" t="s">
        <v>324</v>
      </c>
      <c r="B296" s="3" t="s">
        <v>1</v>
      </c>
      <c r="C296" s="3" t="s">
        <v>17</v>
      </c>
      <c r="D296" s="3" t="s">
        <v>991</v>
      </c>
    </row>
    <row r="297" spans="1:4" x14ac:dyDescent="0.2">
      <c r="A297" s="3" t="s">
        <v>320</v>
      </c>
      <c r="B297" s="3" t="s">
        <v>1</v>
      </c>
      <c r="C297" s="3" t="s">
        <v>17</v>
      </c>
      <c r="D297" s="3" t="s">
        <v>989</v>
      </c>
    </row>
    <row r="298" spans="1:4" x14ac:dyDescent="0.2">
      <c r="A298" s="3" t="s">
        <v>321</v>
      </c>
      <c r="B298" s="3" t="s">
        <v>1</v>
      </c>
      <c r="C298" s="3" t="s">
        <v>17</v>
      </c>
      <c r="D298" s="3" t="s">
        <v>989</v>
      </c>
    </row>
    <row r="299" spans="1:4" x14ac:dyDescent="0.2">
      <c r="A299" s="3" t="s">
        <v>325</v>
      </c>
      <c r="B299" s="3" t="s">
        <v>1</v>
      </c>
      <c r="C299" s="3" t="s">
        <v>17</v>
      </c>
      <c r="D299" s="3" t="s">
        <v>992</v>
      </c>
    </row>
    <row r="300" spans="1:4" x14ac:dyDescent="0.2">
      <c r="A300" s="3" t="s">
        <v>326</v>
      </c>
      <c r="B300" s="3" t="s">
        <v>1</v>
      </c>
      <c r="C300" s="3" t="s">
        <v>17</v>
      </c>
      <c r="D300" s="3" t="s">
        <v>992</v>
      </c>
    </row>
    <row r="301" spans="1:4" x14ac:dyDescent="0.2">
      <c r="A301" s="3" t="s">
        <v>327</v>
      </c>
      <c r="B301" s="3" t="s">
        <v>1</v>
      </c>
      <c r="C301" s="3" t="s">
        <v>17</v>
      </c>
      <c r="D301" s="3" t="s">
        <v>992</v>
      </c>
    </row>
    <row r="302" spans="1:4" x14ac:dyDescent="0.2">
      <c r="A302" s="3" t="s">
        <v>328</v>
      </c>
      <c r="B302" s="3" t="s">
        <v>1</v>
      </c>
      <c r="C302" s="3" t="s">
        <v>17</v>
      </c>
      <c r="D302" s="3" t="s">
        <v>992</v>
      </c>
    </row>
    <row r="303" spans="1:4" x14ac:dyDescent="0.2">
      <c r="A303" s="3" t="s">
        <v>329</v>
      </c>
      <c r="B303" s="3" t="s">
        <v>1</v>
      </c>
      <c r="C303" s="3" t="s">
        <v>17</v>
      </c>
      <c r="D303" s="3" t="s">
        <v>992</v>
      </c>
    </row>
    <row r="304" spans="1:4" x14ac:dyDescent="0.2">
      <c r="A304" s="3" t="s">
        <v>127</v>
      </c>
      <c r="B304" s="3" t="s">
        <v>1</v>
      </c>
      <c r="C304" s="3" t="s">
        <v>17</v>
      </c>
      <c r="D304" s="3" t="s">
        <v>993</v>
      </c>
    </row>
    <row r="305" spans="1:4" x14ac:dyDescent="0.2">
      <c r="A305" s="3" t="s">
        <v>46</v>
      </c>
      <c r="B305" s="3" t="s">
        <v>1</v>
      </c>
      <c r="C305" s="3" t="s">
        <v>17</v>
      </c>
      <c r="D305" s="3" t="s">
        <v>993</v>
      </c>
    </row>
    <row r="306" spans="1:4" x14ac:dyDescent="0.2">
      <c r="A306" s="3" t="s">
        <v>330</v>
      </c>
      <c r="B306" s="3" t="s">
        <v>1</v>
      </c>
      <c r="C306" s="3" t="s">
        <v>17</v>
      </c>
      <c r="D306" s="3" t="s">
        <v>993</v>
      </c>
    </row>
    <row r="307" spans="1:4" x14ac:dyDescent="0.2">
      <c r="A307" s="3" t="s">
        <v>335</v>
      </c>
      <c r="B307" s="3" t="s">
        <v>1</v>
      </c>
      <c r="C307" s="3" t="s">
        <v>17</v>
      </c>
      <c r="D307" s="3" t="s">
        <v>934</v>
      </c>
    </row>
    <row r="308" spans="1:4" x14ac:dyDescent="0.2">
      <c r="A308" s="3" t="s">
        <v>45</v>
      </c>
      <c r="B308" s="3" t="s">
        <v>1</v>
      </c>
      <c r="C308" s="3" t="s">
        <v>17</v>
      </c>
      <c r="D308" s="3" t="s">
        <v>934</v>
      </c>
    </row>
    <row r="309" spans="1:4" x14ac:dyDescent="0.2">
      <c r="A309" s="3" t="s">
        <v>336</v>
      </c>
      <c r="B309" s="3" t="s">
        <v>1</v>
      </c>
      <c r="C309" s="3" t="s">
        <v>17</v>
      </c>
      <c r="D309" s="3" t="s">
        <v>934</v>
      </c>
    </row>
    <row r="310" spans="1:4" x14ac:dyDescent="0.2">
      <c r="A310" s="3" t="s">
        <v>337</v>
      </c>
      <c r="B310" s="3" t="s">
        <v>1</v>
      </c>
      <c r="C310" s="3" t="s">
        <v>17</v>
      </c>
      <c r="D310" s="3" t="s">
        <v>934</v>
      </c>
    </row>
    <row r="311" spans="1:4" x14ac:dyDescent="0.2">
      <c r="A311" s="3" t="s">
        <v>44</v>
      </c>
      <c r="B311" s="3" t="s">
        <v>1</v>
      </c>
      <c r="C311" s="3" t="s">
        <v>17</v>
      </c>
      <c r="D311" s="3" t="s">
        <v>934</v>
      </c>
    </row>
    <row r="312" spans="1:4" x14ac:dyDescent="0.2">
      <c r="A312" s="3" t="s">
        <v>1154</v>
      </c>
      <c r="B312" s="3" t="s">
        <v>1</v>
      </c>
      <c r="C312" s="3" t="s">
        <v>17</v>
      </c>
      <c r="D312" s="3" t="s">
        <v>934</v>
      </c>
    </row>
    <row r="313" spans="1:4" x14ac:dyDescent="0.2">
      <c r="A313" s="3" t="s">
        <v>332</v>
      </c>
      <c r="B313" s="3" t="s">
        <v>1</v>
      </c>
      <c r="C313" s="3" t="s">
        <v>994</v>
      </c>
      <c r="D313" s="3" t="s">
        <v>995</v>
      </c>
    </row>
    <row r="314" spans="1:4" x14ac:dyDescent="0.2">
      <c r="A314" s="3" t="s">
        <v>333</v>
      </c>
      <c r="B314" s="3" t="s">
        <v>1</v>
      </c>
      <c r="C314" s="3" t="s">
        <v>994</v>
      </c>
      <c r="D314" s="3" t="s">
        <v>995</v>
      </c>
    </row>
    <row r="315" spans="1:4" x14ac:dyDescent="0.2">
      <c r="A315" s="3" t="s">
        <v>334</v>
      </c>
      <c r="B315" s="3" t="s">
        <v>1</v>
      </c>
      <c r="C315" s="3" t="s">
        <v>994</v>
      </c>
      <c r="D315" s="3" t="s">
        <v>995</v>
      </c>
    </row>
    <row r="316" spans="1:4" x14ac:dyDescent="0.2">
      <c r="A316" s="3" t="s">
        <v>338</v>
      </c>
      <c r="B316" s="3" t="s">
        <v>1</v>
      </c>
      <c r="C316" s="3" t="s">
        <v>994</v>
      </c>
      <c r="D316" s="3" t="s">
        <v>995</v>
      </c>
    </row>
    <row r="317" spans="1:4" x14ac:dyDescent="0.2">
      <c r="A317" s="3" t="s">
        <v>43</v>
      </c>
      <c r="B317" s="3" t="s">
        <v>1</v>
      </c>
      <c r="C317" s="3" t="s">
        <v>994</v>
      </c>
      <c r="D317" s="3" t="s">
        <v>995</v>
      </c>
    </row>
    <row r="318" spans="1:4" x14ac:dyDescent="0.2">
      <c r="A318" s="3" t="s">
        <v>339</v>
      </c>
      <c r="B318" s="3" t="s">
        <v>1</v>
      </c>
      <c r="C318" s="3" t="s">
        <v>994</v>
      </c>
      <c r="D318" s="3" t="s">
        <v>995</v>
      </c>
    </row>
    <row r="319" spans="1:4" x14ac:dyDescent="0.2">
      <c r="A319" s="3" t="s">
        <v>98</v>
      </c>
      <c r="B319" s="3" t="s">
        <v>1</v>
      </c>
      <c r="C319" s="3" t="s">
        <v>994</v>
      </c>
      <c r="D319" s="3" t="s">
        <v>995</v>
      </c>
    </row>
    <row r="320" spans="1:4" x14ac:dyDescent="0.2">
      <c r="A320" s="3" t="s">
        <v>340</v>
      </c>
      <c r="B320" s="3" t="s">
        <v>1</v>
      </c>
      <c r="C320" s="3" t="s">
        <v>994</v>
      </c>
      <c r="D320" s="3" t="s">
        <v>995</v>
      </c>
    </row>
    <row r="321" spans="1:4" x14ac:dyDescent="0.2">
      <c r="A321" s="3" t="s">
        <v>341</v>
      </c>
      <c r="B321" s="3" t="s">
        <v>1</v>
      </c>
      <c r="C321" s="3" t="s">
        <v>994</v>
      </c>
      <c r="D321" s="3" t="s">
        <v>995</v>
      </c>
    </row>
    <row r="322" spans="1:4" x14ac:dyDescent="0.2">
      <c r="A322" s="3" t="s">
        <v>1155</v>
      </c>
      <c r="B322" s="3" t="s">
        <v>1</v>
      </c>
      <c r="C322" s="3" t="s">
        <v>17</v>
      </c>
      <c r="D322" s="3" t="s">
        <v>996</v>
      </c>
    </row>
    <row r="323" spans="1:4" x14ac:dyDescent="0.2">
      <c r="A323" s="3" t="s">
        <v>1156</v>
      </c>
      <c r="B323" s="3" t="s">
        <v>1</v>
      </c>
      <c r="C323" s="3" t="s">
        <v>17</v>
      </c>
      <c r="D323" s="3" t="s">
        <v>996</v>
      </c>
    </row>
    <row r="324" spans="1:4" x14ac:dyDescent="0.2">
      <c r="A324" s="3" t="s">
        <v>481</v>
      </c>
      <c r="B324" s="3" t="s">
        <v>931</v>
      </c>
      <c r="C324" s="3" t="s">
        <v>945</v>
      </c>
      <c r="D324" s="3" t="s">
        <v>966</v>
      </c>
    </row>
    <row r="325" spans="1:4" x14ac:dyDescent="0.2">
      <c r="A325" s="3" t="s">
        <v>482</v>
      </c>
      <c r="B325" s="3" t="s">
        <v>931</v>
      </c>
      <c r="C325" s="3" t="s">
        <v>945</v>
      </c>
      <c r="D325" s="3" t="s">
        <v>966</v>
      </c>
    </row>
    <row r="326" spans="1:4" x14ac:dyDescent="0.2">
      <c r="A326" s="3" t="s">
        <v>485</v>
      </c>
      <c r="B326" s="3" t="s">
        <v>931</v>
      </c>
      <c r="C326" s="3" t="s">
        <v>945</v>
      </c>
      <c r="D326" s="3" t="s">
        <v>966</v>
      </c>
    </row>
    <row r="327" spans="1:4" x14ac:dyDescent="0.2">
      <c r="A327" s="3" t="s">
        <v>486</v>
      </c>
      <c r="B327" s="3" t="s">
        <v>931</v>
      </c>
      <c r="C327" s="3" t="s">
        <v>945</v>
      </c>
      <c r="D327" s="3" t="s">
        <v>966</v>
      </c>
    </row>
    <row r="328" spans="1:4" x14ac:dyDescent="0.2">
      <c r="A328" s="3" t="s">
        <v>483</v>
      </c>
      <c r="B328" s="3" t="s">
        <v>931</v>
      </c>
      <c r="C328" s="3" t="s">
        <v>945</v>
      </c>
      <c r="D328" s="3" t="s">
        <v>966</v>
      </c>
    </row>
    <row r="329" spans="1:4" x14ac:dyDescent="0.2">
      <c r="A329" s="3" t="s">
        <v>484</v>
      </c>
      <c r="B329" s="3" t="s">
        <v>931</v>
      </c>
      <c r="C329" s="3" t="s">
        <v>945</v>
      </c>
      <c r="D329" s="3" t="s">
        <v>966</v>
      </c>
    </row>
    <row r="330" spans="1:4" x14ac:dyDescent="0.2">
      <c r="A330" s="3" t="s">
        <v>343</v>
      </c>
      <c r="B330" s="3" t="s">
        <v>1</v>
      </c>
      <c r="C330" s="3" t="s">
        <v>979</v>
      </c>
      <c r="D330" s="3" t="s">
        <v>997</v>
      </c>
    </row>
    <row r="331" spans="1:4" x14ac:dyDescent="0.2">
      <c r="A331" s="3" t="s">
        <v>345</v>
      </c>
      <c r="B331" s="3" t="s">
        <v>1</v>
      </c>
      <c r="C331" s="3" t="s">
        <v>938</v>
      </c>
      <c r="D331" s="3" t="s">
        <v>999</v>
      </c>
    </row>
    <row r="332" spans="1:4" x14ac:dyDescent="0.2">
      <c r="A332" s="3" t="s">
        <v>346</v>
      </c>
      <c r="B332" s="3" t="s">
        <v>1</v>
      </c>
      <c r="C332" s="3" t="s">
        <v>938</v>
      </c>
      <c r="D332" s="3" t="s">
        <v>999</v>
      </c>
    </row>
    <row r="333" spans="1:4" x14ac:dyDescent="0.2">
      <c r="A333" s="3" t="s">
        <v>347</v>
      </c>
      <c r="B333" s="3" t="s">
        <v>1</v>
      </c>
      <c r="C333" s="3" t="s">
        <v>938</v>
      </c>
      <c r="D333" s="3" t="s">
        <v>999</v>
      </c>
    </row>
    <row r="334" spans="1:4" x14ac:dyDescent="0.2">
      <c r="A334" s="3" t="s">
        <v>348</v>
      </c>
      <c r="B334" s="3" t="s">
        <v>1</v>
      </c>
      <c r="C334" s="3" t="s">
        <v>938</v>
      </c>
      <c r="D334" s="3" t="s">
        <v>999</v>
      </c>
    </row>
    <row r="335" spans="1:4" x14ac:dyDescent="0.2">
      <c r="A335" s="3" t="s">
        <v>351</v>
      </c>
      <c r="B335" s="3" t="s">
        <v>1</v>
      </c>
      <c r="C335" s="3" t="s">
        <v>938</v>
      </c>
      <c r="D335" s="3" t="s">
        <v>999</v>
      </c>
    </row>
    <row r="336" spans="1:4" x14ac:dyDescent="0.2">
      <c r="A336" s="3" t="s">
        <v>352</v>
      </c>
      <c r="B336" s="3" t="s">
        <v>1</v>
      </c>
      <c r="C336" s="3" t="s">
        <v>938</v>
      </c>
      <c r="D336" s="3" t="s">
        <v>999</v>
      </c>
    </row>
    <row r="337" spans="1:4" x14ac:dyDescent="0.2">
      <c r="A337" s="3" t="s">
        <v>353</v>
      </c>
      <c r="B337" s="3" t="s">
        <v>1</v>
      </c>
      <c r="C337" s="3" t="s">
        <v>938</v>
      </c>
      <c r="D337" s="3" t="s">
        <v>999</v>
      </c>
    </row>
    <row r="338" spans="1:4" x14ac:dyDescent="0.2">
      <c r="A338" s="3" t="s">
        <v>354</v>
      </c>
      <c r="B338" s="3" t="s">
        <v>1</v>
      </c>
      <c r="C338" s="3" t="s">
        <v>938</v>
      </c>
      <c r="D338" s="3" t="s">
        <v>999</v>
      </c>
    </row>
    <row r="339" spans="1:4" x14ac:dyDescent="0.2">
      <c r="A339" s="3" t="s">
        <v>409</v>
      </c>
      <c r="B339" s="3" t="s">
        <v>950</v>
      </c>
      <c r="C339" s="3" t="s">
        <v>17</v>
      </c>
      <c r="D339" s="3" t="s">
        <v>1006</v>
      </c>
    </row>
    <row r="340" spans="1:4" x14ac:dyDescent="0.2">
      <c r="A340" s="3" t="s">
        <v>410</v>
      </c>
      <c r="B340" s="3" t="s">
        <v>950</v>
      </c>
      <c r="C340" s="3" t="s">
        <v>17</v>
      </c>
      <c r="D340" s="3" t="s">
        <v>1006</v>
      </c>
    </row>
    <row r="341" spans="1:4" x14ac:dyDescent="0.2">
      <c r="A341" s="3" t="s">
        <v>372</v>
      </c>
      <c r="B341" s="3" t="s">
        <v>1</v>
      </c>
      <c r="C341" s="3" t="s">
        <v>17</v>
      </c>
      <c r="D341" s="3" t="s">
        <v>1007</v>
      </c>
    </row>
    <row r="342" spans="1:4" x14ac:dyDescent="0.2">
      <c r="A342" s="3" t="s">
        <v>371</v>
      </c>
      <c r="B342" s="3" t="s">
        <v>1</v>
      </c>
      <c r="C342" s="3" t="s">
        <v>19</v>
      </c>
      <c r="D342" s="3" t="s">
        <v>1005</v>
      </c>
    </row>
    <row r="343" spans="1:4" x14ac:dyDescent="0.2">
      <c r="A343" s="3" t="s">
        <v>367</v>
      </c>
      <c r="B343" s="3" t="s">
        <v>1</v>
      </c>
      <c r="C343" s="3" t="s">
        <v>29</v>
      </c>
      <c r="D343" s="3" t="s">
        <v>1003</v>
      </c>
    </row>
    <row r="344" spans="1:4" x14ac:dyDescent="0.2">
      <c r="A344" s="3" t="s">
        <v>368</v>
      </c>
      <c r="B344" s="3" t="s">
        <v>1</v>
      </c>
      <c r="C344" s="3" t="s">
        <v>29</v>
      </c>
      <c r="D344" s="3" t="s">
        <v>1003</v>
      </c>
    </row>
    <row r="345" spans="1:4" x14ac:dyDescent="0.2">
      <c r="A345" s="3" t="s">
        <v>369</v>
      </c>
      <c r="B345" s="3" t="s">
        <v>1</v>
      </c>
      <c r="C345" s="3" t="s">
        <v>17</v>
      </c>
      <c r="D345" s="3" t="s">
        <v>1004</v>
      </c>
    </row>
    <row r="346" spans="1:4" x14ac:dyDescent="0.2">
      <c r="A346" s="3" t="s">
        <v>359</v>
      </c>
      <c r="B346" s="3" t="s">
        <v>1</v>
      </c>
      <c r="C346" s="3" t="s">
        <v>19</v>
      </c>
      <c r="D346" s="3" t="s">
        <v>1002</v>
      </c>
    </row>
    <row r="347" spans="1:4" x14ac:dyDescent="0.2">
      <c r="A347" s="3" t="s">
        <v>360</v>
      </c>
      <c r="B347" s="3" t="s">
        <v>1</v>
      </c>
      <c r="C347" s="3" t="s">
        <v>19</v>
      </c>
      <c r="D347" s="3" t="s">
        <v>1002</v>
      </c>
    </row>
    <row r="348" spans="1:4" x14ac:dyDescent="0.2">
      <c r="A348" s="3" t="s">
        <v>361</v>
      </c>
      <c r="B348" s="3" t="s">
        <v>1</v>
      </c>
      <c r="C348" s="3" t="s">
        <v>19</v>
      </c>
      <c r="D348" s="3" t="s">
        <v>1002</v>
      </c>
    </row>
    <row r="349" spans="1:4" x14ac:dyDescent="0.2">
      <c r="A349" s="3" t="s">
        <v>362</v>
      </c>
      <c r="B349" s="3" t="s">
        <v>1</v>
      </c>
      <c r="C349" s="3" t="s">
        <v>19</v>
      </c>
      <c r="D349" s="3" t="s">
        <v>1002</v>
      </c>
    </row>
    <row r="350" spans="1:4" x14ac:dyDescent="0.2">
      <c r="A350" s="3" t="s">
        <v>363</v>
      </c>
      <c r="B350" s="3" t="s">
        <v>1</v>
      </c>
      <c r="C350" s="3" t="s">
        <v>19</v>
      </c>
      <c r="D350" s="3" t="s">
        <v>1002</v>
      </c>
    </row>
    <row r="351" spans="1:4" x14ac:dyDescent="0.2">
      <c r="A351" s="3" t="s">
        <v>364</v>
      </c>
      <c r="B351" s="3" t="s">
        <v>1</v>
      </c>
      <c r="C351" s="3" t="s">
        <v>19</v>
      </c>
      <c r="D351" s="3" t="s">
        <v>1002</v>
      </c>
    </row>
    <row r="352" spans="1:4" x14ac:dyDescent="0.2">
      <c r="A352" s="3" t="s">
        <v>365</v>
      </c>
      <c r="B352" s="3" t="s">
        <v>1</v>
      </c>
      <c r="C352" s="3" t="s">
        <v>19</v>
      </c>
      <c r="D352" s="3" t="s">
        <v>1002</v>
      </c>
    </row>
    <row r="353" spans="1:4" x14ac:dyDescent="0.2">
      <c r="A353" s="3" t="s">
        <v>366</v>
      </c>
      <c r="B353" s="3" t="s">
        <v>1</v>
      </c>
      <c r="C353" s="3" t="s">
        <v>19</v>
      </c>
      <c r="D353" s="3" t="s">
        <v>1002</v>
      </c>
    </row>
    <row r="354" spans="1:4" x14ac:dyDescent="0.2">
      <c r="A354" s="3" t="s">
        <v>473</v>
      </c>
      <c r="B354" s="3" t="s">
        <v>1</v>
      </c>
      <c r="C354" s="3" t="s">
        <v>19</v>
      </c>
      <c r="D354" s="3" t="s">
        <v>1002</v>
      </c>
    </row>
    <row r="355" spans="1:4" x14ac:dyDescent="0.2">
      <c r="A355" s="3" t="s">
        <v>355</v>
      </c>
      <c r="B355" s="3" t="s">
        <v>1</v>
      </c>
      <c r="C355" s="3" t="s">
        <v>17</v>
      </c>
      <c r="D355" s="3" t="s">
        <v>1001</v>
      </c>
    </row>
    <row r="356" spans="1:4" x14ac:dyDescent="0.2">
      <c r="A356" s="3" t="s">
        <v>356</v>
      </c>
      <c r="B356" s="3" t="s">
        <v>1</v>
      </c>
      <c r="C356" s="3" t="s">
        <v>17</v>
      </c>
      <c r="D356" s="3" t="s">
        <v>1001</v>
      </c>
    </row>
    <row r="357" spans="1:4" x14ac:dyDescent="0.2">
      <c r="A357" s="3" t="s">
        <v>357</v>
      </c>
      <c r="B357" s="3" t="s">
        <v>1</v>
      </c>
      <c r="C357" s="3" t="s">
        <v>17</v>
      </c>
      <c r="D357" s="3" t="s">
        <v>1001</v>
      </c>
    </row>
    <row r="358" spans="1:4" x14ac:dyDescent="0.2">
      <c r="A358" s="3" t="s">
        <v>358</v>
      </c>
      <c r="B358" s="3" t="s">
        <v>1</v>
      </c>
      <c r="C358" s="3" t="s">
        <v>17</v>
      </c>
      <c r="D358" s="3" t="s">
        <v>1001</v>
      </c>
    </row>
    <row r="359" spans="1:4" x14ac:dyDescent="0.2">
      <c r="A359" s="3" t="s">
        <v>373</v>
      </c>
      <c r="B359" s="3" t="s">
        <v>1</v>
      </c>
      <c r="C359" s="3" t="s">
        <v>17</v>
      </c>
      <c r="D359" s="3" t="s">
        <v>1008</v>
      </c>
    </row>
    <row r="360" spans="1:4" x14ac:dyDescent="0.2">
      <c r="A360" s="3" t="s">
        <v>374</v>
      </c>
      <c r="B360" s="3" t="s">
        <v>1</v>
      </c>
      <c r="C360" s="3" t="s">
        <v>17</v>
      </c>
      <c r="D360" s="3" t="s">
        <v>1008</v>
      </c>
    </row>
    <row r="361" spans="1:4" x14ac:dyDescent="0.2">
      <c r="A361" s="3" t="s">
        <v>375</v>
      </c>
      <c r="B361" s="3" t="s">
        <v>1</v>
      </c>
      <c r="C361" s="3" t="s">
        <v>17</v>
      </c>
      <c r="D361" s="3" t="s">
        <v>1008</v>
      </c>
    </row>
    <row r="362" spans="1:4" x14ac:dyDescent="0.2">
      <c r="A362" s="3" t="s">
        <v>376</v>
      </c>
      <c r="B362" s="3" t="s">
        <v>1</v>
      </c>
      <c r="C362" s="3" t="s">
        <v>17</v>
      </c>
      <c r="D362" s="3" t="s">
        <v>1008</v>
      </c>
    </row>
    <row r="363" spans="1:4" x14ac:dyDescent="0.2">
      <c r="A363" s="3" t="s">
        <v>381</v>
      </c>
      <c r="B363" s="3" t="s">
        <v>1</v>
      </c>
      <c r="C363" s="3" t="s">
        <v>17</v>
      </c>
      <c r="D363" s="3" t="s">
        <v>1010</v>
      </c>
    </row>
    <row r="364" spans="1:4" x14ac:dyDescent="0.2">
      <c r="A364" s="3" t="s">
        <v>382</v>
      </c>
      <c r="B364" s="3" t="s">
        <v>1</v>
      </c>
      <c r="C364" s="3" t="s">
        <v>17</v>
      </c>
      <c r="D364" s="3" t="s">
        <v>1010</v>
      </c>
    </row>
    <row r="365" spans="1:4" x14ac:dyDescent="0.2">
      <c r="A365" s="3" t="s">
        <v>383</v>
      </c>
      <c r="B365" s="3" t="s">
        <v>1</v>
      </c>
      <c r="C365" s="3" t="s">
        <v>17</v>
      </c>
      <c r="D365" s="3" t="s">
        <v>1010</v>
      </c>
    </row>
    <row r="366" spans="1:4" x14ac:dyDescent="0.2">
      <c r="A366" s="3" t="s">
        <v>384</v>
      </c>
      <c r="B366" s="3" t="s">
        <v>1</v>
      </c>
      <c r="C366" s="3" t="s">
        <v>17</v>
      </c>
      <c r="D366" s="3" t="s">
        <v>1010</v>
      </c>
    </row>
    <row r="367" spans="1:4" x14ac:dyDescent="0.2">
      <c r="A367" s="3" t="s">
        <v>385</v>
      </c>
      <c r="B367" s="3" t="s">
        <v>1</v>
      </c>
      <c r="C367" s="3" t="s">
        <v>17</v>
      </c>
      <c r="D367" s="3" t="s">
        <v>1010</v>
      </c>
    </row>
    <row r="368" spans="1:4" x14ac:dyDescent="0.2">
      <c r="A368" s="3" t="s">
        <v>386</v>
      </c>
      <c r="B368" s="3" t="s">
        <v>1</v>
      </c>
      <c r="C368" s="3" t="s">
        <v>979</v>
      </c>
      <c r="D368" s="3" t="s">
        <v>1011</v>
      </c>
    </row>
    <row r="369" spans="1:4" x14ac:dyDescent="0.2">
      <c r="A369" s="3" t="s">
        <v>314</v>
      </c>
      <c r="B369" s="3" t="s">
        <v>1</v>
      </c>
      <c r="C369" s="3" t="s">
        <v>17</v>
      </c>
      <c r="D369" s="3" t="s">
        <v>987</v>
      </c>
    </row>
    <row r="370" spans="1:4" x14ac:dyDescent="0.2">
      <c r="A370" s="3" t="s">
        <v>315</v>
      </c>
      <c r="B370" s="3" t="s">
        <v>1</v>
      </c>
      <c r="C370" s="3" t="s">
        <v>17</v>
      </c>
      <c r="D370" s="3" t="s">
        <v>987</v>
      </c>
    </row>
    <row r="371" spans="1:4" x14ac:dyDescent="0.2">
      <c r="A371" s="3" t="s">
        <v>316</v>
      </c>
      <c r="B371" s="3" t="s">
        <v>1</v>
      </c>
      <c r="C371" s="3" t="s">
        <v>17</v>
      </c>
      <c r="D371" s="3" t="s">
        <v>987</v>
      </c>
    </row>
    <row r="372" spans="1:4" x14ac:dyDescent="0.2">
      <c r="A372" s="3" t="s">
        <v>122</v>
      </c>
      <c r="B372" s="3" t="s">
        <v>27</v>
      </c>
      <c r="C372" s="3" t="s">
        <v>994</v>
      </c>
      <c r="D372" s="3" t="s">
        <v>1015</v>
      </c>
    </row>
    <row r="373" spans="1:4" x14ac:dyDescent="0.2">
      <c r="A373" s="3" t="s">
        <v>123</v>
      </c>
      <c r="B373" s="3" t="s">
        <v>27</v>
      </c>
      <c r="C373" s="3" t="s">
        <v>994</v>
      </c>
      <c r="D373" s="3" t="s">
        <v>1015</v>
      </c>
    </row>
    <row r="374" spans="1:4" x14ac:dyDescent="0.2">
      <c r="A374" s="3" t="s">
        <v>124</v>
      </c>
      <c r="B374" s="3" t="s">
        <v>27</v>
      </c>
      <c r="C374" s="3" t="s">
        <v>994</v>
      </c>
      <c r="D374" s="3" t="s">
        <v>1015</v>
      </c>
    </row>
    <row r="375" spans="1:4" x14ac:dyDescent="0.2">
      <c r="A375" s="3" t="s">
        <v>456</v>
      </c>
      <c r="B375" s="3" t="s">
        <v>1159</v>
      </c>
      <c r="C375" s="3" t="s">
        <v>994</v>
      </c>
      <c r="D375" s="3" t="s">
        <v>1012</v>
      </c>
    </row>
    <row r="376" spans="1:4" x14ac:dyDescent="0.2">
      <c r="A376" s="3" t="s">
        <v>457</v>
      </c>
      <c r="B376" s="3" t="s">
        <v>1159</v>
      </c>
      <c r="C376" s="3" t="s">
        <v>994</v>
      </c>
      <c r="D376" s="3" t="s">
        <v>1012</v>
      </c>
    </row>
    <row r="377" spans="1:4" x14ac:dyDescent="0.2">
      <c r="A377" s="3" t="s">
        <v>458</v>
      </c>
      <c r="B377" s="3" t="s">
        <v>1159</v>
      </c>
      <c r="C377" s="3" t="s">
        <v>994</v>
      </c>
      <c r="D377" s="3" t="s">
        <v>1012</v>
      </c>
    </row>
    <row r="378" spans="1:4" x14ac:dyDescent="0.2">
      <c r="A378" s="3" t="s">
        <v>459</v>
      </c>
      <c r="B378" s="3" t="s">
        <v>1159</v>
      </c>
      <c r="C378" s="3" t="s">
        <v>994</v>
      </c>
      <c r="D378" s="3" t="s">
        <v>1012</v>
      </c>
    </row>
    <row r="379" spans="1:4" x14ac:dyDescent="0.2">
      <c r="A379" s="3" t="s">
        <v>461</v>
      </c>
      <c r="B379" s="3" t="s">
        <v>1159</v>
      </c>
      <c r="C379" s="3" t="s">
        <v>994</v>
      </c>
      <c r="D379" s="3" t="s">
        <v>1012</v>
      </c>
    </row>
    <row r="380" spans="1:4" x14ac:dyDescent="0.2">
      <c r="A380" s="3" t="s">
        <v>462</v>
      </c>
      <c r="B380" s="3" t="s">
        <v>1159</v>
      </c>
      <c r="C380" s="3" t="s">
        <v>994</v>
      </c>
      <c r="D380" s="3" t="s">
        <v>1012</v>
      </c>
    </row>
    <row r="381" spans="1:4" x14ac:dyDescent="0.2">
      <c r="A381" s="3" t="s">
        <v>463</v>
      </c>
      <c r="B381" s="3" t="s">
        <v>1159</v>
      </c>
      <c r="C381" s="3" t="s">
        <v>994</v>
      </c>
      <c r="D381" s="3" t="s">
        <v>1012</v>
      </c>
    </row>
    <row r="382" spans="1:4" x14ac:dyDescent="0.2">
      <c r="A382" s="3" t="s">
        <v>464</v>
      </c>
      <c r="B382" s="3" t="s">
        <v>1159</v>
      </c>
      <c r="C382" s="3" t="s">
        <v>994</v>
      </c>
      <c r="D382" s="3" t="s">
        <v>1012</v>
      </c>
    </row>
    <row r="383" spans="1:4" x14ac:dyDescent="0.2">
      <c r="A383" s="3" t="s">
        <v>465</v>
      </c>
      <c r="B383" s="3" t="s">
        <v>1159</v>
      </c>
      <c r="C383" s="3" t="s">
        <v>994</v>
      </c>
      <c r="D383" s="3" t="s">
        <v>1012</v>
      </c>
    </row>
    <row r="384" spans="1:4" x14ac:dyDescent="0.2">
      <c r="A384" s="3" t="s">
        <v>466</v>
      </c>
      <c r="B384" s="3" t="s">
        <v>1159</v>
      </c>
      <c r="C384" s="3" t="s">
        <v>994</v>
      </c>
      <c r="D384" s="3" t="s">
        <v>1012</v>
      </c>
    </row>
    <row r="385" spans="1:4" x14ac:dyDescent="0.2">
      <c r="A385" s="3" t="s">
        <v>467</v>
      </c>
      <c r="B385" s="3" t="s">
        <v>1159</v>
      </c>
      <c r="C385" s="3" t="s">
        <v>994</v>
      </c>
      <c r="D385" s="3" t="s">
        <v>1012</v>
      </c>
    </row>
    <row r="386" spans="1:4" x14ac:dyDescent="0.2">
      <c r="A386" s="3" t="s">
        <v>468</v>
      </c>
      <c r="B386" s="3" t="s">
        <v>1159</v>
      </c>
      <c r="C386" s="3" t="s">
        <v>994</v>
      </c>
      <c r="D386" s="3" t="s">
        <v>1012</v>
      </c>
    </row>
    <row r="387" spans="1:4" x14ac:dyDescent="0.2">
      <c r="A387" s="3" t="s">
        <v>469</v>
      </c>
      <c r="B387" s="3" t="s">
        <v>1159</v>
      </c>
      <c r="C387" s="3" t="s">
        <v>994</v>
      </c>
      <c r="D387" s="3" t="s">
        <v>1012</v>
      </c>
    </row>
    <row r="388" spans="1:4" x14ac:dyDescent="0.2">
      <c r="A388" s="3" t="s">
        <v>930</v>
      </c>
      <c r="B388" s="3" t="s">
        <v>1159</v>
      </c>
      <c r="C388" s="3" t="s">
        <v>994</v>
      </c>
      <c r="D388" s="3" t="s">
        <v>1012</v>
      </c>
    </row>
    <row r="389" spans="1:4" x14ac:dyDescent="0.2">
      <c r="A389" s="3" t="s">
        <v>470</v>
      </c>
      <c r="B389" s="3" t="s">
        <v>1159</v>
      </c>
      <c r="C389" s="3" t="s">
        <v>994</v>
      </c>
      <c r="D389" s="3" t="s">
        <v>1012</v>
      </c>
    </row>
    <row r="390" spans="1:4" x14ac:dyDescent="0.2">
      <c r="A390" s="3" t="s">
        <v>471</v>
      </c>
      <c r="B390" s="3" t="s">
        <v>1159</v>
      </c>
      <c r="C390" s="3" t="s">
        <v>994</v>
      </c>
      <c r="D390" s="3" t="s">
        <v>1012</v>
      </c>
    </row>
    <row r="391" spans="1:4" x14ac:dyDescent="0.2">
      <c r="A391" s="3" t="s">
        <v>472</v>
      </c>
      <c r="B391" s="3" t="s">
        <v>1159</v>
      </c>
      <c r="C391" s="3" t="s">
        <v>994</v>
      </c>
      <c r="D391" s="3" t="s">
        <v>1012</v>
      </c>
    </row>
    <row r="392" spans="1:4" x14ac:dyDescent="0.2">
      <c r="A392" s="3" t="s">
        <v>474</v>
      </c>
      <c r="B392" s="3" t="s">
        <v>1159</v>
      </c>
      <c r="C392" s="3" t="s">
        <v>994</v>
      </c>
      <c r="D392" s="3" t="s">
        <v>1012</v>
      </c>
    </row>
    <row r="393" spans="1:4" x14ac:dyDescent="0.2">
      <c r="A393" s="3" t="s">
        <v>475</v>
      </c>
      <c r="B393" s="3" t="s">
        <v>1159</v>
      </c>
      <c r="C393" s="3" t="s">
        <v>994</v>
      </c>
      <c r="D393" s="3" t="s">
        <v>1012</v>
      </c>
    </row>
    <row r="394" spans="1:4" x14ac:dyDescent="0.2">
      <c r="A394" s="3" t="s">
        <v>476</v>
      </c>
      <c r="B394" s="3" t="s">
        <v>1159</v>
      </c>
      <c r="C394" s="3" t="s">
        <v>994</v>
      </c>
      <c r="D394" s="3" t="s">
        <v>1012</v>
      </c>
    </row>
    <row r="395" spans="1:4" x14ac:dyDescent="0.2">
      <c r="A395" s="7" t="s">
        <v>477</v>
      </c>
      <c r="B395" s="3" t="s">
        <v>1159</v>
      </c>
      <c r="C395" s="3" t="s">
        <v>994</v>
      </c>
      <c r="D395" s="3" t="s">
        <v>1012</v>
      </c>
    </row>
    <row r="396" spans="1:4" x14ac:dyDescent="0.2">
      <c r="A396" s="3" t="s">
        <v>478</v>
      </c>
      <c r="B396" s="3" t="s">
        <v>1159</v>
      </c>
      <c r="C396" s="3" t="s">
        <v>994</v>
      </c>
      <c r="D396" s="3" t="s">
        <v>1012</v>
      </c>
    </row>
    <row r="397" spans="1:4" x14ac:dyDescent="0.2">
      <c r="A397" s="3" t="s">
        <v>479</v>
      </c>
      <c r="B397" s="3" t="s">
        <v>1159</v>
      </c>
      <c r="C397" s="3" t="s">
        <v>994</v>
      </c>
      <c r="D397" s="3" t="s">
        <v>1012</v>
      </c>
    </row>
    <row r="398" spans="1:4" x14ac:dyDescent="0.2">
      <c r="A398" s="3" t="s">
        <v>480</v>
      </c>
      <c r="B398" s="3" t="s">
        <v>1159</v>
      </c>
      <c r="C398" s="3" t="s">
        <v>994</v>
      </c>
      <c r="D398" s="3" t="s">
        <v>1012</v>
      </c>
    </row>
    <row r="399" spans="1:4" x14ac:dyDescent="0.2">
      <c r="A399" s="3" t="s">
        <v>929</v>
      </c>
      <c r="B399" s="3" t="s">
        <v>1159</v>
      </c>
      <c r="C399" s="3" t="s">
        <v>994</v>
      </c>
      <c r="D399" s="3" t="s">
        <v>1012</v>
      </c>
    </row>
    <row r="400" spans="1:4" x14ac:dyDescent="0.2">
      <c r="A400" s="3" t="s">
        <v>928</v>
      </c>
      <c r="B400" s="3" t="s">
        <v>1159</v>
      </c>
      <c r="C400" s="3" t="s">
        <v>994</v>
      </c>
      <c r="D400" s="3" t="s">
        <v>1012</v>
      </c>
    </row>
    <row r="401" spans="1:4" x14ac:dyDescent="0.2">
      <c r="A401" s="3" t="s">
        <v>394</v>
      </c>
      <c r="B401" s="3" t="s">
        <v>1</v>
      </c>
      <c r="C401" s="3" t="s">
        <v>17</v>
      </c>
      <c r="D401" s="3" t="s">
        <v>1014</v>
      </c>
    </row>
    <row r="402" spans="1:4" x14ac:dyDescent="0.2">
      <c r="A402" s="3" t="s">
        <v>387</v>
      </c>
      <c r="B402" s="3" t="s">
        <v>1</v>
      </c>
      <c r="C402" s="3" t="s">
        <v>2</v>
      </c>
      <c r="D402" s="3" t="s">
        <v>1013</v>
      </c>
    </row>
    <row r="403" spans="1:4" x14ac:dyDescent="0.2">
      <c r="A403" s="3" t="s">
        <v>926</v>
      </c>
      <c r="B403" s="3" t="s">
        <v>1</v>
      </c>
      <c r="C403" s="3" t="s">
        <v>22</v>
      </c>
      <c r="D403" s="3" t="s">
        <v>1017</v>
      </c>
    </row>
    <row r="404" spans="1:4" x14ac:dyDescent="0.2">
      <c r="A404" s="3" t="s">
        <v>396</v>
      </c>
      <c r="B404" s="3" t="s">
        <v>1</v>
      </c>
      <c r="C404" s="3" t="s">
        <v>17</v>
      </c>
      <c r="D404" s="3" t="s">
        <v>1016</v>
      </c>
    </row>
    <row r="405" spans="1:4" x14ac:dyDescent="0.2">
      <c r="A405" s="3" t="s">
        <v>344</v>
      </c>
      <c r="B405" s="3" t="s">
        <v>1</v>
      </c>
      <c r="C405" s="3" t="s">
        <v>17</v>
      </c>
      <c r="D405" s="3" t="s">
        <v>998</v>
      </c>
    </row>
    <row r="406" spans="1:4" x14ac:dyDescent="0.2">
      <c r="A406" s="3" t="s">
        <v>397</v>
      </c>
      <c r="B406" s="3" t="s">
        <v>1</v>
      </c>
      <c r="C406" s="3" t="s">
        <v>17</v>
      </c>
      <c r="D406" s="3" t="s">
        <v>998</v>
      </c>
    </row>
    <row r="407" spans="1:4" x14ac:dyDescent="0.2">
      <c r="A407" s="3" t="s">
        <v>398</v>
      </c>
      <c r="B407" s="3" t="s">
        <v>1</v>
      </c>
      <c r="C407" s="3" t="s">
        <v>17</v>
      </c>
      <c r="D407" s="3" t="s">
        <v>998</v>
      </c>
    </row>
    <row r="408" spans="1:4" x14ac:dyDescent="0.2">
      <c r="A408" s="3" t="s">
        <v>399</v>
      </c>
      <c r="B408" s="3" t="s">
        <v>1</v>
      </c>
      <c r="C408" s="3" t="s">
        <v>17</v>
      </c>
      <c r="D408" s="3" t="s">
        <v>998</v>
      </c>
    </row>
    <row r="409" spans="1:4" x14ac:dyDescent="0.2">
      <c r="A409" s="3" t="s">
        <v>408</v>
      </c>
      <c r="B409" s="3" t="s">
        <v>950</v>
      </c>
      <c r="C409" s="3" t="s">
        <v>17</v>
      </c>
      <c r="D409" s="3" t="s">
        <v>1000</v>
      </c>
    </row>
    <row r="410" spans="1:4" x14ac:dyDescent="0.2">
      <c r="A410" s="3" t="s">
        <v>927</v>
      </c>
      <c r="B410" s="3" t="s">
        <v>950</v>
      </c>
      <c r="C410" s="3" t="s">
        <v>17</v>
      </c>
      <c r="D410" s="3" t="s">
        <v>1000</v>
      </c>
    </row>
    <row r="411" spans="1:4" x14ac:dyDescent="0.2">
      <c r="A411" s="7" t="s">
        <v>412</v>
      </c>
      <c r="B411" s="3" t="s">
        <v>950</v>
      </c>
      <c r="C411" s="3" t="s">
        <v>17</v>
      </c>
      <c r="D411" s="3" t="s">
        <v>1000</v>
      </c>
    </row>
    <row r="412" spans="1:4" x14ac:dyDescent="0.2">
      <c r="A412" s="3" t="s">
        <v>413</v>
      </c>
      <c r="B412" s="3" t="s">
        <v>950</v>
      </c>
      <c r="C412" s="3" t="s">
        <v>17</v>
      </c>
      <c r="D412" s="3" t="s">
        <v>1000</v>
      </c>
    </row>
    <row r="413" spans="1:4" x14ac:dyDescent="0.2">
      <c r="A413" s="25" t="s">
        <v>884</v>
      </c>
      <c r="B413" s="3" t="s">
        <v>944</v>
      </c>
      <c r="C413" s="3" t="s">
        <v>945</v>
      </c>
      <c r="D413" s="3" t="s">
        <v>946</v>
      </c>
    </row>
    <row r="414" spans="1:4" x14ac:dyDescent="0.2">
      <c r="A414" s="7" t="s">
        <v>885</v>
      </c>
      <c r="B414" s="3" t="s">
        <v>944</v>
      </c>
      <c r="C414" s="3" t="s">
        <v>945</v>
      </c>
      <c r="D414" s="3" t="s">
        <v>946</v>
      </c>
    </row>
    <row r="415" spans="1:4" x14ac:dyDescent="0.2">
      <c r="A415" s="1" t="s">
        <v>886</v>
      </c>
      <c r="B415" s="3" t="s">
        <v>944</v>
      </c>
      <c r="C415" s="3" t="s">
        <v>945</v>
      </c>
      <c r="D415" s="3" t="s">
        <v>946</v>
      </c>
    </row>
    <row r="416" spans="1:4" x14ac:dyDescent="0.2">
      <c r="A416" s="1" t="s">
        <v>887</v>
      </c>
      <c r="B416" s="3" t="s">
        <v>944</v>
      </c>
      <c r="C416" s="3" t="s">
        <v>945</v>
      </c>
      <c r="D416" s="3" t="s">
        <v>946</v>
      </c>
    </row>
    <row r="417" spans="1:4" x14ac:dyDescent="0.2">
      <c r="A417" s="1" t="s">
        <v>888</v>
      </c>
      <c r="B417" s="3" t="s">
        <v>944</v>
      </c>
      <c r="C417" s="3" t="s">
        <v>945</v>
      </c>
      <c r="D417" s="3" t="s">
        <v>946</v>
      </c>
    </row>
    <row r="418" spans="1:4" x14ac:dyDescent="0.2">
      <c r="A418" s="1" t="s">
        <v>889</v>
      </c>
      <c r="B418" s="3" t="s">
        <v>944</v>
      </c>
      <c r="C418" s="3" t="s">
        <v>945</v>
      </c>
      <c r="D418" s="3" t="s">
        <v>946</v>
      </c>
    </row>
    <row r="419" spans="1:4" x14ac:dyDescent="0.2">
      <c r="A419" s="1" t="s">
        <v>890</v>
      </c>
      <c r="B419" s="3" t="s">
        <v>944</v>
      </c>
      <c r="C419" s="3" t="s">
        <v>945</v>
      </c>
      <c r="D419" s="3" t="s">
        <v>946</v>
      </c>
    </row>
    <row r="420" spans="1:4" x14ac:dyDescent="0.2">
      <c r="A420" s="1" t="s">
        <v>891</v>
      </c>
      <c r="B420" s="3" t="s">
        <v>944</v>
      </c>
      <c r="C420" s="3" t="s">
        <v>945</v>
      </c>
      <c r="D420" s="3" t="s">
        <v>946</v>
      </c>
    </row>
    <row r="421" spans="1:4" x14ac:dyDescent="0.2">
      <c r="A421" s="7" t="s">
        <v>892</v>
      </c>
      <c r="B421" s="3" t="s">
        <v>944</v>
      </c>
      <c r="C421" s="3" t="s">
        <v>945</v>
      </c>
      <c r="D421" s="3" t="s">
        <v>946</v>
      </c>
    </row>
    <row r="422" spans="1:4" x14ac:dyDescent="0.2">
      <c r="A422" s="7" t="s">
        <v>893</v>
      </c>
      <c r="B422" s="3" t="s">
        <v>944</v>
      </c>
      <c r="C422" s="3" t="s">
        <v>945</v>
      </c>
      <c r="D422" s="3" t="s">
        <v>946</v>
      </c>
    </row>
    <row r="423" spans="1:4" x14ac:dyDescent="0.2">
      <c r="A423" s="1" t="s">
        <v>894</v>
      </c>
      <c r="B423" s="3" t="s">
        <v>944</v>
      </c>
      <c r="C423" s="3" t="s">
        <v>945</v>
      </c>
      <c r="D423" s="3" t="s">
        <v>946</v>
      </c>
    </row>
    <row r="424" spans="1:4" x14ac:dyDescent="0.2">
      <c r="A424" s="1" t="s">
        <v>895</v>
      </c>
      <c r="B424" s="3" t="s">
        <v>944</v>
      </c>
      <c r="C424" s="3" t="s">
        <v>945</v>
      </c>
      <c r="D424" s="3" t="s">
        <v>946</v>
      </c>
    </row>
    <row r="425" spans="1:4" x14ac:dyDescent="0.2">
      <c r="A425" s="1" t="s">
        <v>896</v>
      </c>
      <c r="B425" s="3" t="s">
        <v>944</v>
      </c>
      <c r="C425" s="3" t="s">
        <v>945</v>
      </c>
      <c r="D425" s="3" t="s">
        <v>946</v>
      </c>
    </row>
    <row r="426" spans="1:4" x14ac:dyDescent="0.2">
      <c r="A426" s="1" t="s">
        <v>897</v>
      </c>
      <c r="B426" s="3" t="s">
        <v>944</v>
      </c>
      <c r="C426" s="3" t="s">
        <v>945</v>
      </c>
      <c r="D426" s="3" t="s">
        <v>946</v>
      </c>
    </row>
    <row r="427" spans="1:4" x14ac:dyDescent="0.2">
      <c r="A427" s="1" t="s">
        <v>898</v>
      </c>
      <c r="B427" s="3" t="s">
        <v>944</v>
      </c>
      <c r="C427" s="3" t="s">
        <v>945</v>
      </c>
      <c r="D427" s="3" t="s">
        <v>946</v>
      </c>
    </row>
    <row r="428" spans="1:4" x14ac:dyDescent="0.2">
      <c r="A428" s="1" t="s">
        <v>899</v>
      </c>
      <c r="B428" s="3" t="s">
        <v>944</v>
      </c>
      <c r="C428" s="3" t="s">
        <v>945</v>
      </c>
      <c r="D428" s="3" t="s">
        <v>946</v>
      </c>
    </row>
    <row r="429" spans="1:4" x14ac:dyDescent="0.2">
      <c r="A429" s="1" t="s">
        <v>900</v>
      </c>
      <c r="B429" s="3" t="s">
        <v>944</v>
      </c>
      <c r="C429" s="3" t="s">
        <v>945</v>
      </c>
      <c r="D429" s="3" t="s">
        <v>946</v>
      </c>
    </row>
    <row r="430" spans="1:4" x14ac:dyDescent="0.2">
      <c r="A430" s="1" t="s">
        <v>901</v>
      </c>
      <c r="B430" s="3" t="s">
        <v>944</v>
      </c>
      <c r="C430" s="3" t="s">
        <v>945</v>
      </c>
      <c r="D430" s="3" t="s">
        <v>946</v>
      </c>
    </row>
    <row r="431" spans="1:4" x14ac:dyDescent="0.2">
      <c r="A431" s="1" t="s">
        <v>902</v>
      </c>
      <c r="B431" s="3" t="s">
        <v>944</v>
      </c>
      <c r="C431" s="3" t="s">
        <v>945</v>
      </c>
      <c r="D431" s="3" t="s">
        <v>946</v>
      </c>
    </row>
    <row r="432" spans="1:4" x14ac:dyDescent="0.2">
      <c r="A432" s="1" t="s">
        <v>903</v>
      </c>
      <c r="B432" s="3" t="s">
        <v>944</v>
      </c>
      <c r="C432" s="3" t="s">
        <v>945</v>
      </c>
      <c r="D432" s="3" t="s">
        <v>946</v>
      </c>
    </row>
    <row r="433" spans="1:4" x14ac:dyDescent="0.2">
      <c r="A433" s="1" t="s">
        <v>904</v>
      </c>
      <c r="B433" s="3" t="s">
        <v>944</v>
      </c>
      <c r="C433" s="3" t="s">
        <v>945</v>
      </c>
      <c r="D433" s="3" t="s">
        <v>946</v>
      </c>
    </row>
    <row r="434" spans="1:4" x14ac:dyDescent="0.2">
      <c r="A434" s="1" t="s">
        <v>905</v>
      </c>
      <c r="B434" s="3" t="s">
        <v>944</v>
      </c>
      <c r="C434" s="3" t="s">
        <v>945</v>
      </c>
      <c r="D434" s="3" t="s">
        <v>946</v>
      </c>
    </row>
    <row r="435" spans="1:4" x14ac:dyDescent="0.2">
      <c r="A435" s="1" t="s">
        <v>906</v>
      </c>
      <c r="B435" s="3" t="s">
        <v>944</v>
      </c>
      <c r="C435" s="3" t="s">
        <v>945</v>
      </c>
      <c r="D435" s="3" t="s">
        <v>946</v>
      </c>
    </row>
    <row r="436" spans="1:4" x14ac:dyDescent="0.2">
      <c r="A436" s="1" t="s">
        <v>907</v>
      </c>
      <c r="B436" s="3" t="s">
        <v>944</v>
      </c>
      <c r="C436" s="3" t="s">
        <v>945</v>
      </c>
      <c r="D436" s="3" t="s">
        <v>946</v>
      </c>
    </row>
    <row r="437" spans="1:4" x14ac:dyDescent="0.2">
      <c r="A437" s="1" t="s">
        <v>908</v>
      </c>
      <c r="B437" s="3" t="s">
        <v>944</v>
      </c>
      <c r="C437" s="3" t="s">
        <v>945</v>
      </c>
      <c r="D437" s="3" t="s">
        <v>946</v>
      </c>
    </row>
    <row r="438" spans="1:4" x14ac:dyDescent="0.2">
      <c r="A438" s="1" t="s">
        <v>909</v>
      </c>
      <c r="B438" s="3" t="s">
        <v>944</v>
      </c>
      <c r="C438" s="3" t="s">
        <v>945</v>
      </c>
      <c r="D438" s="3" t="s">
        <v>946</v>
      </c>
    </row>
    <row r="439" spans="1:4" x14ac:dyDescent="0.2">
      <c r="A439" s="7" t="s">
        <v>460</v>
      </c>
      <c r="B439" s="3" t="s">
        <v>1159</v>
      </c>
      <c r="C439" s="3" t="s">
        <v>994</v>
      </c>
      <c r="D439" s="3" t="s">
        <v>1012</v>
      </c>
    </row>
  </sheetData>
  <sortState ref="A2:D438">
    <sortCondition ref="D2:D438"/>
  </sortState>
  <customSheetViews>
    <customSheetView guid="{3E3401AF-8459-8641-BD70-AD04F80E86ED}">
      <pane ySplit="1" topLeftCell="A265" activePane="bottomLeft" state="frozenSplit"/>
      <selection pane="bottomLeft" activeCell="D1" sqref="D1:D1048576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6"/>
  <sheetViews>
    <sheetView zoomScale="142" zoomScaleNormal="142" zoomScalePageLayoutView="142" workbookViewId="0">
      <selection activeCell="G15" sqref="G15"/>
    </sheetView>
  </sheetViews>
  <sheetFormatPr baseColWidth="10" defaultColWidth="10.83203125" defaultRowHeight="16" x14ac:dyDescent="0.2"/>
  <cols>
    <col min="1" max="1" width="10.83203125" style="3"/>
    <col min="2" max="2" width="19.33203125" style="3" customWidth="1"/>
    <col min="3" max="3" width="13.33203125" style="3" bestFit="1" customWidth="1"/>
    <col min="4" max="4" width="5.6640625" style="3" bestFit="1" customWidth="1"/>
    <col min="5" max="5" width="7.5" style="3" bestFit="1" customWidth="1"/>
    <col min="6" max="6" width="7.83203125" style="3" bestFit="1" customWidth="1"/>
    <col min="7" max="7" width="10.83203125" style="3"/>
    <col min="8" max="8" width="5" style="3" bestFit="1" customWidth="1"/>
    <col min="9" max="9" width="9.1640625" style="16" customWidth="1"/>
    <col min="10" max="10" width="9.5" style="2" customWidth="1"/>
    <col min="11" max="13" width="6.5" style="2" customWidth="1"/>
    <col min="14" max="14" width="7.6640625" style="2" customWidth="1"/>
    <col min="15" max="15" width="7.5" style="2" customWidth="1"/>
    <col min="16" max="16" width="3" style="15" customWidth="1"/>
    <col min="17" max="17" width="6" style="16" bestFit="1" customWidth="1"/>
    <col min="18" max="18" width="7" style="3" bestFit="1" customWidth="1"/>
    <col min="19" max="19" width="6" style="3" customWidth="1"/>
    <col min="20" max="20" width="9.83203125" style="3" bestFit="1" customWidth="1"/>
    <col min="21" max="21" width="6" style="16" bestFit="1" customWidth="1"/>
    <col min="22" max="22" width="8.1640625" style="3" bestFit="1" customWidth="1"/>
    <col min="23" max="23" width="9.83203125" style="23" bestFit="1" customWidth="1"/>
    <col min="24" max="24" width="10.83203125" style="16"/>
    <col min="25" max="16384" width="10.83203125" style="3"/>
  </cols>
  <sheetData>
    <row r="1" spans="1:24" s="17" customFormat="1" ht="17" thickBot="1" x14ac:dyDescent="0.25">
      <c r="B1" s="17" t="s">
        <v>1129</v>
      </c>
      <c r="C1" s="17" t="s">
        <v>31</v>
      </c>
      <c r="D1" s="17" t="s">
        <v>30</v>
      </c>
      <c r="E1" s="17" t="s">
        <v>1101</v>
      </c>
      <c r="F1" s="17" t="s">
        <v>1099</v>
      </c>
      <c r="G1" s="17" t="s">
        <v>1116</v>
      </c>
      <c r="H1" s="17" t="s">
        <v>1100</v>
      </c>
      <c r="I1" s="85" t="s">
        <v>1146</v>
      </c>
      <c r="J1" s="19" t="s">
        <v>1138</v>
      </c>
      <c r="K1" s="19" t="s">
        <v>1136</v>
      </c>
      <c r="L1" s="19" t="s">
        <v>1135</v>
      </c>
      <c r="M1" s="19" t="s">
        <v>1137</v>
      </c>
      <c r="N1" s="19" t="s">
        <v>1139</v>
      </c>
      <c r="O1" s="19" t="s">
        <v>1108</v>
      </c>
      <c r="P1" s="17" t="s">
        <v>1021</v>
      </c>
      <c r="Q1" s="17" t="s">
        <v>1103</v>
      </c>
      <c r="R1" s="17" t="s">
        <v>1130</v>
      </c>
      <c r="S1" s="17" t="s">
        <v>1127</v>
      </c>
      <c r="T1" s="17" t="s">
        <v>1126</v>
      </c>
      <c r="U1" s="17" t="s">
        <v>1134</v>
      </c>
      <c r="V1" s="17" t="s">
        <v>1132</v>
      </c>
      <c r="W1" s="22" t="s">
        <v>1133</v>
      </c>
      <c r="X1" s="17" t="s">
        <v>1110</v>
      </c>
    </row>
    <row r="2" spans="1:24" ht="17" thickTop="1" x14ac:dyDescent="0.2">
      <c r="A2" s="3" t="s">
        <v>1140</v>
      </c>
      <c r="B2" s="3" t="str">
        <f t="shared" ref="B2:B13" si="0">CONCATENATE(C2,"_",D2)</f>
        <v>US28_hcmva_4XT1</v>
      </c>
      <c r="C2" s="2" t="s">
        <v>42</v>
      </c>
      <c r="D2" s="3" t="s">
        <v>1124</v>
      </c>
      <c r="E2" s="3" t="s">
        <v>1106</v>
      </c>
      <c r="F2" s="3" t="s">
        <v>1112</v>
      </c>
      <c r="G2" s="3" t="s">
        <v>1125</v>
      </c>
      <c r="H2" s="3" t="s">
        <v>1115</v>
      </c>
      <c r="I2" s="16" t="s">
        <v>1143</v>
      </c>
      <c r="J2" s="18" t="e">
        <f>VLOOKUP(CONCATENATE(B2,"_TM6"),#REF!,13,FALSE)-VLOOKUP(CONCATENATE(B2,"_TM5"),#REF!,13,FALSE)</f>
        <v>#REF!</v>
      </c>
      <c r="K2" s="18" t="e">
        <f t="shared" ref="K2:K12" si="1">U2-R2-1</f>
        <v>#REF!</v>
      </c>
      <c r="L2" s="18" t="e">
        <f>K2</f>
        <v>#REF!</v>
      </c>
      <c r="M2" s="18" t="e">
        <f t="shared" ref="M2:M12" si="2">K2-L2</f>
        <v>#REF!</v>
      </c>
      <c r="N2" s="18" t="e">
        <f>J2-K2</f>
        <v>#REF!</v>
      </c>
      <c r="O2" s="18" t="s">
        <v>1128</v>
      </c>
      <c r="R2" s="3" t="e">
        <f>VLOOKUP(CONCATENATE(B2,"_TM5"),#REF!,15,FALSE)</f>
        <v>#REF!</v>
      </c>
      <c r="S2" s="3" t="e">
        <f>VLOOKUP(CONCATENATE(B2,"_TM5"),#REF!,15,FALSE)-VLOOKUP(CONCATENATE(B2,"_TM5"),#REF!,13,FALSE)+50</f>
        <v>#REF!</v>
      </c>
      <c r="T2" s="3">
        <v>66</v>
      </c>
      <c r="U2" s="16" t="e">
        <f>VLOOKUP(CONCATENATE(B2,"_TM6"),#REF!,12,FALSE)</f>
        <v>#REF!</v>
      </c>
      <c r="V2" s="3" t="e">
        <f>VLOOKUP(CONCATENATE(B2,"_TM6"),#REF!,12,FALSE)-VLOOKUP(CONCATENATE(B2,"_TM6"),#REF!,13,FALSE)+50</f>
        <v>#REF!</v>
      </c>
      <c r="W2" s="23" t="e">
        <f>VLOOKUP(CONCATENATE(B2,"_TM6"),#REF!,15,FALSE)</f>
        <v>#REF!</v>
      </c>
      <c r="X2" s="86" t="s">
        <v>1123</v>
      </c>
    </row>
    <row r="3" spans="1:24" x14ac:dyDescent="0.2">
      <c r="A3" s="3" t="s">
        <v>1142</v>
      </c>
      <c r="B3" s="3" t="str">
        <f t="shared" si="0"/>
        <v>OPRM_mouse_5C1M</v>
      </c>
      <c r="C3" s="3" t="s">
        <v>44</v>
      </c>
      <c r="D3" s="3" t="s">
        <v>84</v>
      </c>
      <c r="E3" s="3" t="s">
        <v>1106</v>
      </c>
      <c r="F3" s="3" t="s">
        <v>1112</v>
      </c>
      <c r="G3" s="3" t="s">
        <v>1125</v>
      </c>
      <c r="H3" s="3" t="s">
        <v>1115</v>
      </c>
      <c r="I3" s="16" t="s">
        <v>1143</v>
      </c>
      <c r="J3" s="18" t="e">
        <f>VLOOKUP(CONCATENATE(B3,"_TM6"),#REF!,13,FALSE)-VLOOKUP(CONCATENATE(B3,"_TM5"),#REF!,13,FALSE)</f>
        <v>#REF!</v>
      </c>
      <c r="K3" s="18" t="e">
        <f t="shared" si="1"/>
        <v>#REF!</v>
      </c>
      <c r="L3" s="18" t="e">
        <f>K3</f>
        <v>#REF!</v>
      </c>
      <c r="M3" s="18" t="e">
        <f t="shared" si="2"/>
        <v>#REF!</v>
      </c>
      <c r="N3" s="18" t="e">
        <f>J3-K3</f>
        <v>#REF!</v>
      </c>
      <c r="O3" s="18" t="s">
        <v>1128</v>
      </c>
      <c r="R3" s="3" t="e">
        <f>VLOOKUP(CONCATENATE(B3,"_TM5"),#REF!,15,FALSE)</f>
        <v>#REF!</v>
      </c>
      <c r="S3" s="3" t="e">
        <f>VLOOKUP(CONCATENATE(B3,"_TM5"),#REF!,15,FALSE)-VLOOKUP(CONCATENATE(B3,"_TM5"),#REF!,13,FALSE)+50</f>
        <v>#REF!</v>
      </c>
      <c r="T3" s="3">
        <v>68</v>
      </c>
      <c r="U3" s="16" t="e">
        <f>VLOOKUP(CONCATENATE(B3,"_TM6"),#REF!,12,FALSE)</f>
        <v>#REF!</v>
      </c>
      <c r="V3" s="3" t="e">
        <f>VLOOKUP(CONCATENATE(B3,"_TM6"),#REF!,12,FALSE)-VLOOKUP(CONCATENATE(B3,"_TM6"),#REF!,13,FALSE)+50</f>
        <v>#REF!</v>
      </c>
      <c r="W3" s="23" t="e">
        <f>VLOOKUP(CONCATENATE(B3,"_TM6"),#REF!,15,FALSE)</f>
        <v>#REF!</v>
      </c>
      <c r="X3" s="86" t="s">
        <v>1123</v>
      </c>
    </row>
    <row r="4" spans="1:24" x14ac:dyDescent="0.2">
      <c r="A4" s="3" t="s">
        <v>1141</v>
      </c>
      <c r="B4" s="3" t="str">
        <f t="shared" si="0"/>
        <v>OPSD_bovin_3DQB</v>
      </c>
      <c r="C4" s="3" t="s">
        <v>43</v>
      </c>
      <c r="D4" s="14" t="s">
        <v>54</v>
      </c>
      <c r="E4" s="3" t="s">
        <v>1106</v>
      </c>
      <c r="F4" s="14" t="s">
        <v>24</v>
      </c>
      <c r="G4" s="3" t="s">
        <v>1125</v>
      </c>
      <c r="H4" s="3" t="s">
        <v>1115</v>
      </c>
      <c r="I4" s="16" t="s">
        <v>1143</v>
      </c>
      <c r="J4" s="18" t="e">
        <f>VLOOKUP(CONCATENATE(B4,"_TM6"),#REF!,13,FALSE)-VLOOKUP(CONCATENATE(B4,"_TM5"),#REF!,13,FALSE)</f>
        <v>#REF!</v>
      </c>
      <c r="K4" s="18" t="e">
        <f t="shared" si="1"/>
        <v>#REF!</v>
      </c>
      <c r="L4" s="18" t="e">
        <f>K4</f>
        <v>#REF!</v>
      </c>
      <c r="M4" s="18" t="e">
        <f t="shared" si="2"/>
        <v>#REF!</v>
      </c>
      <c r="N4" s="18" t="e">
        <f>J4-K4</f>
        <v>#REF!</v>
      </c>
      <c r="O4" s="18" t="s">
        <v>1118</v>
      </c>
      <c r="P4" s="15" t="s">
        <v>1020</v>
      </c>
      <c r="Q4" s="16">
        <v>237</v>
      </c>
      <c r="R4" s="3" t="e">
        <f>VLOOKUP(CONCATENATE(B4,"_TM5"),#REF!,15,FALSE)</f>
        <v>#REF!</v>
      </c>
      <c r="S4" s="3" t="e">
        <f>VLOOKUP(CONCATENATE(B4,"_TM5"),#REF!,15,FALSE)-VLOOKUP(CONCATENATE(B4,"_TM5"),#REF!,13,FALSE)+50</f>
        <v>#REF!</v>
      </c>
      <c r="T4" s="3">
        <v>72</v>
      </c>
      <c r="U4" s="16" t="e">
        <f>VLOOKUP(CONCATENATE(B4,"_TM6"),#REF!,12,FALSE)</f>
        <v>#REF!</v>
      </c>
      <c r="V4" s="3" t="e">
        <f>VLOOKUP(CONCATENATE(B4,"_TM6"),#REF!,12,FALSE)-VLOOKUP(CONCATENATE(B4,"_TM6"),#REF!,13,FALSE)+50</f>
        <v>#REF!</v>
      </c>
      <c r="W4" s="23" t="e">
        <f>VLOOKUP(CONCATENATE(B4,"_TM6"),#REF!,15,FALSE)</f>
        <v>#REF!</v>
      </c>
    </row>
    <row r="5" spans="1:24" x14ac:dyDescent="0.2">
      <c r="B5" s="3" t="str">
        <f t="shared" si="0"/>
        <v>AA2AR_human_2YDV</v>
      </c>
      <c r="C5" s="2" t="s">
        <v>36</v>
      </c>
      <c r="D5" s="14" t="s">
        <v>80</v>
      </c>
      <c r="E5" s="3" t="s">
        <v>1106</v>
      </c>
      <c r="F5" s="3" t="s">
        <v>1102</v>
      </c>
      <c r="G5" s="3" t="s">
        <v>1125</v>
      </c>
      <c r="H5" s="3" t="s">
        <v>1115</v>
      </c>
      <c r="I5" s="16" t="s">
        <v>1144</v>
      </c>
      <c r="J5" s="18" t="e">
        <f>VLOOKUP(CONCATENATE(B5,"_TM6"),#REF!,13,FALSE)-VLOOKUP(CONCATENATE(B5,"_TM5"),#REF!,13,FALSE)</f>
        <v>#REF!</v>
      </c>
      <c r="K5" s="18" t="e">
        <f t="shared" si="1"/>
        <v>#REF!</v>
      </c>
      <c r="L5" s="18" t="e">
        <f>K5</f>
        <v>#REF!</v>
      </c>
      <c r="M5" s="18" t="e">
        <f t="shared" si="2"/>
        <v>#REF!</v>
      </c>
      <c r="N5" s="18" t="e">
        <f>J5-K5</f>
        <v>#REF!</v>
      </c>
      <c r="O5" s="2" t="s">
        <v>1118</v>
      </c>
      <c r="P5" s="15" t="s">
        <v>1019</v>
      </c>
      <c r="Q5" s="16">
        <v>213</v>
      </c>
      <c r="R5" s="3" t="e">
        <f>VLOOKUP(CONCATENATE(B5,"_TM5"),#REF!,15,FALSE)</f>
        <v>#REF!</v>
      </c>
      <c r="S5" s="3" t="e">
        <f>VLOOKUP(CONCATENATE(B5,"_TM5"),#REF!,15,FALSE)-VLOOKUP(CONCATENATE(B5,"_TM5"),#REF!,13,FALSE)+50</f>
        <v>#REF!</v>
      </c>
      <c r="T5" s="3">
        <v>74</v>
      </c>
      <c r="U5" s="16" t="e">
        <f>VLOOKUP(CONCATENATE(B5,"_TM6"),#REF!,12,FALSE)</f>
        <v>#REF!</v>
      </c>
      <c r="V5" s="3" t="e">
        <f>VLOOKUP(CONCATENATE(B5,"_TM6"),#REF!,12,FALSE)-VLOOKUP(CONCATENATE(B5,"_TM6"),#REF!,13,FALSE)+50</f>
        <v>#REF!</v>
      </c>
      <c r="W5" s="23" t="e">
        <f>VLOOKUP(CONCATENATE(B5,"_TM6"),#REF!,15,FALSE)</f>
        <v>#REF!</v>
      </c>
      <c r="X5" s="16" t="s">
        <v>1111</v>
      </c>
    </row>
    <row r="6" spans="1:24" x14ac:dyDescent="0.2">
      <c r="B6" s="3" t="str">
        <f t="shared" si="0"/>
        <v>ADRB2_human__wt</v>
      </c>
      <c r="C6" s="3" t="s">
        <v>37</v>
      </c>
      <c r="D6" s="14" t="s">
        <v>100</v>
      </c>
      <c r="E6" s="3" t="s">
        <v>1106</v>
      </c>
      <c r="F6" s="3" t="s">
        <v>16</v>
      </c>
      <c r="G6" s="3" t="s">
        <v>1148</v>
      </c>
      <c r="H6" s="3" t="s">
        <v>1115</v>
      </c>
      <c r="I6" s="16" t="s">
        <v>1144</v>
      </c>
      <c r="J6" s="18" t="e">
        <f>VLOOKUP(CONCATENATE(B6,"_TM6"),#REF!,13,FALSE)-VLOOKUP(CONCATENATE(B6,"_TM5"),#REF!,13,FALSE)</f>
        <v>#REF!</v>
      </c>
      <c r="K6" s="18" t="e">
        <f t="shared" si="1"/>
        <v>#REF!</v>
      </c>
      <c r="L6" s="18" t="e">
        <f>K6</f>
        <v>#REF!</v>
      </c>
      <c r="M6" s="18" t="e">
        <f t="shared" si="2"/>
        <v>#REF!</v>
      </c>
      <c r="N6" s="18" t="e">
        <f>J6-K6</f>
        <v>#REF!</v>
      </c>
      <c r="O6" s="2" t="s">
        <v>1117</v>
      </c>
      <c r="R6" s="3" t="e">
        <f>VLOOKUP(CONCATENATE(B6,"_TM5"),#REF!,15,FALSE)</f>
        <v>#REF!</v>
      </c>
      <c r="S6" s="3" t="e">
        <f>VLOOKUP(CONCATENATE(B6,"_TM5"),#REF!,15,FALSE)-VLOOKUP(CONCATENATE(B6,"_TM5"),#REF!,13,FALSE)+50</f>
        <v>#REF!</v>
      </c>
      <c r="T6" s="3">
        <v>76</v>
      </c>
      <c r="U6" s="16" t="e">
        <f>VLOOKUP(CONCATENATE(B6,"_TM6"),#REF!,12,FALSE)</f>
        <v>#REF!</v>
      </c>
      <c r="V6" s="3" t="e">
        <f>VLOOKUP(CONCATENATE(B6,"_TM6"),#REF!,12,FALSE)-VLOOKUP(CONCATENATE(B6,"_TM6"),#REF!,13,FALSE)+50</f>
        <v>#REF!</v>
      </c>
      <c r="W6" s="23" t="e">
        <f>VLOOKUP(CONCATENATE(B6,"_TM6"),#REF!,15,FALSE)</f>
        <v>#REF!</v>
      </c>
    </row>
    <row r="7" spans="1:24" x14ac:dyDescent="0.2">
      <c r="B7" s="3" t="str">
        <f t="shared" si="0"/>
        <v>ADRB2_human_3P0G</v>
      </c>
      <c r="C7" s="3" t="s">
        <v>37</v>
      </c>
      <c r="D7" s="14" t="s">
        <v>66</v>
      </c>
      <c r="E7" s="3" t="s">
        <v>1106</v>
      </c>
      <c r="F7" s="3" t="s">
        <v>1112</v>
      </c>
      <c r="J7" s="18" t="e">
        <f>VLOOKUP(CONCATENATE(B7,"_TM6"),#REF!,13,FALSE)-VLOOKUP(CONCATENATE(B7,"_TM5"),#REF!,13,FALSE)</f>
        <v>#REF!</v>
      </c>
      <c r="K7" s="18" t="e">
        <f t="shared" si="1"/>
        <v>#REF!</v>
      </c>
      <c r="L7" s="18"/>
      <c r="M7" s="18" t="e">
        <f t="shared" si="2"/>
        <v>#REF!</v>
      </c>
      <c r="N7" s="18"/>
      <c r="O7" s="2" t="s">
        <v>1119</v>
      </c>
      <c r="R7" s="3" t="e">
        <f>VLOOKUP(CONCATENATE(B7,"_TM5"),#REF!,15,FALSE)</f>
        <v>#REF!</v>
      </c>
      <c r="S7" s="3" t="e">
        <f>VLOOKUP(CONCATENATE(B7,"_TM5"),#REF!,15,FALSE)-VLOOKUP(CONCATENATE(B7,"_TM5"),#REF!,13,FALSE)+50</f>
        <v>#REF!</v>
      </c>
      <c r="T7" s="3">
        <v>67</v>
      </c>
      <c r="U7" s="16" t="e">
        <f>VLOOKUP(CONCATENATE(B7,"_TM6"),#REF!,12,FALSE)</f>
        <v>#REF!</v>
      </c>
      <c r="V7" s="3" t="e">
        <f>VLOOKUP(CONCATENATE(B7,"_TM6"),#REF!,12,FALSE)-VLOOKUP(CONCATENATE(B7,"_TM6"),#REF!,13,FALSE)+50</f>
        <v>#REF!</v>
      </c>
      <c r="W7" s="23" t="e">
        <f>VLOOKUP(CONCATENATE(B7,"_TM6"),#REF!,15,FALSE)</f>
        <v>#REF!</v>
      </c>
      <c r="X7" s="86" t="s">
        <v>1113</v>
      </c>
    </row>
    <row r="8" spans="1:24" x14ac:dyDescent="0.2">
      <c r="B8" s="3" t="str">
        <f t="shared" si="0"/>
        <v>ADRB2_human_4LDE</v>
      </c>
      <c r="C8" s="3" t="s">
        <v>37</v>
      </c>
      <c r="D8" s="14" t="s">
        <v>77</v>
      </c>
      <c r="E8" s="3" t="s">
        <v>1106</v>
      </c>
      <c r="F8" s="3" t="s">
        <v>1112</v>
      </c>
      <c r="J8" s="18" t="e">
        <f>VLOOKUP(CONCATENATE(B8,"_TM6"),#REF!,13,FALSE)-VLOOKUP(CONCATENATE(B8,"_TM5"),#REF!,13,FALSE)</f>
        <v>#REF!</v>
      </c>
      <c r="K8" s="18" t="e">
        <f t="shared" si="1"/>
        <v>#REF!</v>
      </c>
      <c r="L8" s="18"/>
      <c r="M8" s="18" t="e">
        <f t="shared" si="2"/>
        <v>#REF!</v>
      </c>
      <c r="N8" s="18"/>
      <c r="O8" s="2" t="s">
        <v>1119</v>
      </c>
      <c r="R8" s="3" t="e">
        <f>VLOOKUP(CONCATENATE(B8,"_TM5"),#REF!,15,FALSE)</f>
        <v>#REF!</v>
      </c>
      <c r="S8" s="3" t="e">
        <f>VLOOKUP(CONCATENATE(B8,"_TM5"),#REF!,15,FALSE)-VLOOKUP(CONCATENATE(B8,"_TM5"),#REF!,13,FALSE)+50</f>
        <v>#REF!</v>
      </c>
      <c r="T8" s="3">
        <v>67</v>
      </c>
      <c r="U8" s="16" t="e">
        <f>VLOOKUP(CONCATENATE(B8,"_TM6"),#REF!,12,FALSE)</f>
        <v>#REF!</v>
      </c>
      <c r="V8" s="3" t="e">
        <f>VLOOKUP(CONCATENATE(B8,"_TM6"),#REF!,12,FALSE)-VLOOKUP(CONCATENATE(B8,"_TM6"),#REF!,13,FALSE)+50</f>
        <v>#REF!</v>
      </c>
      <c r="W8" s="23" t="e">
        <f>VLOOKUP(CONCATENATE(B8,"_TM6"),#REF!,15,FALSE)</f>
        <v>#REF!</v>
      </c>
      <c r="X8" s="86" t="s">
        <v>1113</v>
      </c>
    </row>
    <row r="9" spans="1:24" x14ac:dyDescent="0.2">
      <c r="B9" s="3" t="str">
        <f t="shared" si="0"/>
        <v>ADRB2_human_4QKX</v>
      </c>
      <c r="C9" s="3" t="s">
        <v>37</v>
      </c>
      <c r="D9" s="3" t="s">
        <v>78</v>
      </c>
      <c r="E9" s="3" t="s">
        <v>1106</v>
      </c>
      <c r="F9" s="3" t="s">
        <v>1112</v>
      </c>
      <c r="J9" s="18" t="e">
        <f>VLOOKUP(CONCATENATE(B9,"_TM6"),#REF!,13,FALSE)-VLOOKUP(CONCATENATE(B9,"_TM5"),#REF!,13,FALSE)</f>
        <v>#REF!</v>
      </c>
      <c r="K9" s="18" t="e">
        <f t="shared" si="1"/>
        <v>#REF!</v>
      </c>
      <c r="L9" s="18"/>
      <c r="M9" s="18" t="e">
        <f t="shared" si="2"/>
        <v>#REF!</v>
      </c>
      <c r="N9" s="18"/>
      <c r="O9" s="2" t="s">
        <v>1119</v>
      </c>
      <c r="R9" s="3" t="e">
        <f>VLOOKUP(CONCATENATE(B9,"_TM5"),#REF!,15,FALSE)</f>
        <v>#REF!</v>
      </c>
      <c r="S9" s="3" t="e">
        <f>VLOOKUP(CONCATENATE(B9,"_TM5"),#REF!,15,FALSE)-VLOOKUP(CONCATENATE(B9,"_TM5"),#REF!,13,FALSE)+50</f>
        <v>#REF!</v>
      </c>
      <c r="T9" s="3">
        <v>67</v>
      </c>
      <c r="U9" s="16" t="e">
        <f>VLOOKUP(CONCATENATE(B9,"_TM6"),#REF!,12,FALSE)</f>
        <v>#REF!</v>
      </c>
      <c r="V9" s="3" t="e">
        <f>VLOOKUP(CONCATENATE(B9,"_TM6"),#REF!,12,FALSE)-VLOOKUP(CONCATENATE(B9,"_TM6"),#REF!,13,FALSE)+50</f>
        <v>#REF!</v>
      </c>
      <c r="W9" s="23" t="e">
        <f>VLOOKUP(CONCATENATE(B9,"_TM6"),#REF!,15,FALSE)</f>
        <v>#REF!</v>
      </c>
      <c r="X9" s="86" t="s">
        <v>1113</v>
      </c>
    </row>
    <row r="10" spans="1:24" x14ac:dyDescent="0.2">
      <c r="B10" s="3" t="str">
        <f t="shared" si="0"/>
        <v xml:space="preserve">ACM2_human_4MQS </v>
      </c>
      <c r="C10" s="3" t="s">
        <v>39</v>
      </c>
      <c r="D10" s="3" t="s">
        <v>1114</v>
      </c>
      <c r="E10" s="3" t="s">
        <v>1106</v>
      </c>
      <c r="F10" s="3" t="s">
        <v>1112</v>
      </c>
      <c r="H10" s="3" t="s">
        <v>1115</v>
      </c>
      <c r="J10" s="18" t="e">
        <f>VLOOKUP(CONCATENATE(B10,"_TM6"),#REF!,13,FALSE)-VLOOKUP(CONCATENATE(B10,"_TM5"),#REF!,13,FALSE)</f>
        <v>#REF!</v>
      </c>
      <c r="K10" s="18" t="e">
        <f t="shared" si="1"/>
        <v>#REF!</v>
      </c>
      <c r="L10" s="18"/>
      <c r="M10" s="18" t="e">
        <f t="shared" si="2"/>
        <v>#REF!</v>
      </c>
      <c r="N10" s="18"/>
      <c r="R10" s="3" t="e">
        <f>VLOOKUP(CONCATENATE(B10,"_TM5"),#REF!,15,FALSE)</f>
        <v>#REF!</v>
      </c>
      <c r="S10" s="3" t="e">
        <f>VLOOKUP(CONCATENATE(B10,"_TM5"),#REF!,15,FALSE)-VLOOKUP(CONCATENATE(B10,"_TM5"),#REF!,13,FALSE)+50</f>
        <v>#REF!</v>
      </c>
      <c r="T10" s="3">
        <v>67</v>
      </c>
      <c r="U10" s="16" t="e">
        <f>VLOOKUP(CONCATENATE(B10,"_TM6"),#REF!,12,FALSE)</f>
        <v>#REF!</v>
      </c>
      <c r="V10" s="3" t="e">
        <f>VLOOKUP(CONCATENATE(B10,"_TM6"),#REF!,12,FALSE)-VLOOKUP(CONCATENATE(B10,"_TM6"),#REF!,13,FALSE)+50</f>
        <v>#REF!</v>
      </c>
      <c r="W10" s="23" t="e">
        <f>VLOOKUP(CONCATENATE(B10,"_TM6"),#REF!,15,FALSE)</f>
        <v>#REF!</v>
      </c>
      <c r="X10" s="86" t="s">
        <v>1113</v>
      </c>
    </row>
    <row r="11" spans="1:24" x14ac:dyDescent="0.2">
      <c r="B11" s="3" t="str">
        <f t="shared" si="0"/>
        <v>ACM2_human_4MQT</v>
      </c>
      <c r="C11" s="3" t="s">
        <v>39</v>
      </c>
      <c r="D11" s="14" t="s">
        <v>1047</v>
      </c>
      <c r="E11" s="3" t="s">
        <v>1106</v>
      </c>
      <c r="F11" s="3" t="s">
        <v>1112</v>
      </c>
      <c r="J11" s="18" t="e">
        <f>VLOOKUP(CONCATENATE(B11,"_TM6"),#REF!,13,FALSE)-VLOOKUP(CONCATENATE(B11,"_TM5"),#REF!,13,FALSE)</f>
        <v>#REF!</v>
      </c>
      <c r="K11" s="18" t="e">
        <f t="shared" si="1"/>
        <v>#REF!</v>
      </c>
      <c r="L11" s="18"/>
      <c r="M11" s="18" t="e">
        <f t="shared" si="2"/>
        <v>#REF!</v>
      </c>
      <c r="N11" s="18"/>
      <c r="R11" s="3" t="e">
        <f>VLOOKUP(CONCATENATE(B11,"_TM5"),#REF!,15,FALSE)</f>
        <v>#REF!</v>
      </c>
      <c r="S11" s="3" t="e">
        <f>VLOOKUP(CONCATENATE(B11,"_TM5"),#REF!,15,FALSE)-VLOOKUP(CONCATENATE(B11,"_TM5"),#REF!,13,FALSE)+50</f>
        <v>#REF!</v>
      </c>
      <c r="T11" s="3">
        <v>67</v>
      </c>
      <c r="U11" s="16" t="e">
        <f>VLOOKUP(CONCATENATE(B11,"_TM6"),#REF!,12,FALSE)</f>
        <v>#REF!</v>
      </c>
      <c r="V11" s="3" t="e">
        <f>VLOOKUP(CONCATENATE(B11,"_TM6"),#REF!,12,FALSE)-VLOOKUP(CONCATENATE(B11,"_TM6"),#REF!,13,FALSE)+50</f>
        <v>#REF!</v>
      </c>
      <c r="W11" s="23" t="e">
        <f>VLOOKUP(CONCATENATE(B11,"_TM6"),#REF!,15,FALSE)</f>
        <v>#REF!</v>
      </c>
      <c r="X11" s="86" t="s">
        <v>1113</v>
      </c>
    </row>
    <row r="12" spans="1:24" x14ac:dyDescent="0.2">
      <c r="B12" s="3" t="str">
        <f t="shared" si="0"/>
        <v>AA2AR_human_2YDO</v>
      </c>
      <c r="C12" s="2" t="s">
        <v>36</v>
      </c>
      <c r="D12" s="3" t="s">
        <v>1029</v>
      </c>
      <c r="E12" s="3" t="s">
        <v>1106</v>
      </c>
      <c r="F12" s="3" t="s">
        <v>1102</v>
      </c>
      <c r="J12" s="18" t="e">
        <f>VLOOKUP(CONCATENATE(B12,"_TM6"),#REF!,13,FALSE)-VLOOKUP(CONCATENATE(B12,"_TM5"),#REF!,13,FALSE)</f>
        <v>#REF!</v>
      </c>
      <c r="K12" s="18" t="e">
        <f t="shared" si="1"/>
        <v>#REF!</v>
      </c>
      <c r="L12" s="18"/>
      <c r="M12" s="18" t="e">
        <f t="shared" si="2"/>
        <v>#REF!</v>
      </c>
      <c r="N12" s="18"/>
      <c r="O12" s="2" t="s">
        <v>1118</v>
      </c>
      <c r="P12" s="15" t="s">
        <v>1019</v>
      </c>
      <c r="Q12" s="16">
        <v>213</v>
      </c>
      <c r="R12" s="3" t="e">
        <f>VLOOKUP(CONCATENATE(B12,"_TM5"),#REF!,15,FALSE)</f>
        <v>#REF!</v>
      </c>
      <c r="S12" s="3" t="e">
        <f>VLOOKUP(CONCATENATE(B12,"_TM5"),#REF!,15,FALSE)-VLOOKUP(CONCATENATE(B12,"_TM5"),#REF!,13,FALSE)+50</f>
        <v>#REF!</v>
      </c>
      <c r="T12" s="3">
        <v>74</v>
      </c>
      <c r="U12" s="16" t="e">
        <f>VLOOKUP(CONCATENATE(B12,"_TM6"),#REF!,12,FALSE)</f>
        <v>#REF!</v>
      </c>
      <c r="V12" s="3" t="e">
        <f>VLOOKUP(CONCATENATE(B12,"_TM6"),#REF!,12,FALSE)-VLOOKUP(CONCATENATE(B12,"_TM6"),#REF!,13,FALSE)+50</f>
        <v>#REF!</v>
      </c>
      <c r="W12" s="23" t="e">
        <f>VLOOKUP(CONCATENATE(B12,"_TM6"),#REF!,15,FALSE)</f>
        <v>#REF!</v>
      </c>
      <c r="X12" s="16" t="s">
        <v>1111</v>
      </c>
    </row>
    <row r="13" spans="1:24" x14ac:dyDescent="0.2">
      <c r="B13" s="3" t="str">
        <f t="shared" si="0"/>
        <v>FFAR1_human_4PHU</v>
      </c>
      <c r="C13" s="2" t="s">
        <v>1149</v>
      </c>
      <c r="D13" s="14" t="s">
        <v>52</v>
      </c>
      <c r="E13" s="3" t="s">
        <v>1105</v>
      </c>
      <c r="F13" s="3" t="s">
        <v>23</v>
      </c>
      <c r="G13" s="3" t="s">
        <v>1150</v>
      </c>
      <c r="J13" s="18" t="e">
        <f>VLOOKUP(CONCATENATE(B13,"_TM6"),#REF!,13,FALSE)-VLOOKUP(CONCATENATE(B13,"_TM5"),#REF!,13,FALSE)</f>
        <v>#REF!</v>
      </c>
      <c r="K13" s="18"/>
      <c r="L13" s="18"/>
      <c r="M13" s="18"/>
      <c r="N13" s="18"/>
      <c r="R13" s="3" t="e">
        <f>VLOOKUP(CONCATENATE(B13,"_TM5"),#REF!,15,FALSE)</f>
        <v>#REF!</v>
      </c>
      <c r="S13" s="3" t="e">
        <f>VLOOKUP(CONCATENATE(B13,"_TM5"),#REF!,15,FALSE)-VLOOKUP(CONCATENATE(B13,"_TM5"),#REF!,13,FALSE)+50</f>
        <v>#REF!</v>
      </c>
      <c r="T13" s="3">
        <v>67</v>
      </c>
      <c r="U13" s="16" t="e">
        <f>VLOOKUP(CONCATENATE(B13,"_TM6"),#REF!,12,FALSE)</f>
        <v>#REF!</v>
      </c>
      <c r="V13" s="3" t="e">
        <f>VLOOKUP(CONCATENATE(B13,"_TM6"),#REF!,12,FALSE)-VLOOKUP(CONCATENATE(B13,"_TM6"),#REF!,13,FALSE)+50</f>
        <v>#REF!</v>
      </c>
      <c r="W13" s="23" t="e">
        <f>VLOOKUP(CONCATENATE(B13,"_TM6"),#REF!,15,FALSE)</f>
        <v>#REF!</v>
      </c>
    </row>
    <row r="14" spans="1:24" x14ac:dyDescent="0.2">
      <c r="C14" s="2" t="s">
        <v>36</v>
      </c>
      <c r="D14" s="14" t="s">
        <v>1035</v>
      </c>
      <c r="E14" s="3" t="s">
        <v>1105</v>
      </c>
      <c r="F14" s="14"/>
      <c r="I14" s="16" t="s">
        <v>1143</v>
      </c>
      <c r="J14" s="18"/>
      <c r="K14" s="18"/>
      <c r="L14" s="18"/>
      <c r="M14" s="18"/>
      <c r="N14" s="18"/>
      <c r="O14" s="18"/>
    </row>
    <row r="15" spans="1:24" x14ac:dyDescent="0.2">
      <c r="B15" s="3" t="str">
        <f t="shared" ref="B15:B26" si="3">CONCATENATE(C15,"_",D15)</f>
        <v>OPSD_todpa_2Z73</v>
      </c>
      <c r="C15" s="2" t="s">
        <v>98</v>
      </c>
      <c r="D15" s="14" t="s">
        <v>97</v>
      </c>
      <c r="E15" s="3" t="s">
        <v>1105</v>
      </c>
      <c r="F15" s="3" t="s">
        <v>23</v>
      </c>
      <c r="G15" s="3" t="s">
        <v>1147</v>
      </c>
      <c r="I15" s="16" t="s">
        <v>1143</v>
      </c>
      <c r="J15" s="18" t="e">
        <f>VLOOKUP(CONCATENATE(B15,"_TM6"),#REF!,13,FALSE)-VLOOKUP(CONCATENATE(B15,"_TM5"),#REF!,13,FALSE)</f>
        <v>#REF!</v>
      </c>
      <c r="K15" s="18" t="e">
        <f>U15-R15-1</f>
        <v>#REF!</v>
      </c>
      <c r="L15" s="18" t="e">
        <f>K15</f>
        <v>#REF!</v>
      </c>
      <c r="M15" s="18" t="e">
        <f>K15-L15</f>
        <v>#REF!</v>
      </c>
      <c r="N15" s="18" t="e">
        <f>J15-K15</f>
        <v>#REF!</v>
      </c>
      <c r="O15" s="2" t="s">
        <v>1117</v>
      </c>
      <c r="R15" s="3" t="e">
        <f>VLOOKUP(CONCATENATE(B15,"_TM5"),#REF!,15,FALSE)</f>
        <v>#REF!</v>
      </c>
      <c r="S15" s="3" t="e">
        <f>VLOOKUP(CONCATENATE(B15,"_TM5"),#REF!,15,FALSE)-VLOOKUP(CONCATENATE(B15,"_TM5"),#REF!,13,FALSE)+50</f>
        <v>#REF!</v>
      </c>
      <c r="T15" s="3">
        <v>77</v>
      </c>
      <c r="U15" s="16" t="e">
        <f>VLOOKUP(CONCATENATE(B15,"_TM6"),#REF!,12,FALSE)</f>
        <v>#REF!</v>
      </c>
      <c r="V15" s="3" t="e">
        <f>VLOOKUP(CONCATENATE(B15,"_TM6"),#REF!,12,FALSE)-VLOOKUP(CONCATENATE(B15,"_TM6"),#REF!,13,FALSE)+50</f>
        <v>#REF!</v>
      </c>
      <c r="W15" s="23" t="e">
        <f>VLOOKUP(CONCATENATE(B15,"_TM6"),#REF!,15,FALSE)</f>
        <v>#REF!</v>
      </c>
    </row>
    <row r="16" spans="1:24" x14ac:dyDescent="0.2">
      <c r="B16" s="3" t="str">
        <f t="shared" si="3"/>
        <v>ADRB1_melga_2YCW</v>
      </c>
      <c r="C16" s="2" t="s">
        <v>47</v>
      </c>
      <c r="D16" s="3" t="s">
        <v>1027</v>
      </c>
      <c r="E16" s="3" t="s">
        <v>1105</v>
      </c>
      <c r="F16" s="3" t="s">
        <v>23</v>
      </c>
      <c r="G16" s="3" t="s">
        <v>1125</v>
      </c>
      <c r="I16" s="16" t="s">
        <v>1145</v>
      </c>
      <c r="J16" s="18" t="e">
        <f>VLOOKUP(CONCATENATE(B16,"_TM6"),#REF!,13,FALSE)-VLOOKUP(CONCATENATE(B16,"_TM5"),#REF!,13,FALSE)</f>
        <v>#REF!</v>
      </c>
      <c r="K16" s="18" t="e">
        <f>U16-R16-1</f>
        <v>#REF!</v>
      </c>
      <c r="L16" s="18" t="e">
        <f>K16</f>
        <v>#REF!</v>
      </c>
      <c r="M16" s="18" t="e">
        <f>K16-L16</f>
        <v>#REF!</v>
      </c>
      <c r="N16" s="18" t="e">
        <f>J16-K16</f>
        <v>#REF!</v>
      </c>
      <c r="O16" s="2" t="s">
        <v>1117</v>
      </c>
      <c r="R16" s="3" t="e">
        <f>VLOOKUP(CONCATENATE(B16,"_TM5"),#REF!,15,FALSE)</f>
        <v>#REF!</v>
      </c>
      <c r="S16" s="3" t="e">
        <f>VLOOKUP(CONCATENATE(B16,"_TM5"),#REF!,15,FALSE)-VLOOKUP(CONCATENATE(B16,"_TM5"),#REF!,13,FALSE)+50</f>
        <v>#REF!</v>
      </c>
      <c r="T16" s="3">
        <v>78</v>
      </c>
      <c r="U16" s="16" t="e">
        <f>VLOOKUP(CONCATENATE(B16,"_TM6"),#REF!,12,FALSE)</f>
        <v>#REF!</v>
      </c>
      <c r="V16" s="3" t="e">
        <f>VLOOKUP(CONCATENATE(B16,"_TM6"),#REF!,12,FALSE)-VLOOKUP(CONCATENATE(B16,"_TM6"),#REF!,13,FALSE)+50</f>
        <v>#REF!</v>
      </c>
      <c r="W16" s="23" t="e">
        <f>VLOOKUP(CONCATENATE(B16,"_TM6"),#REF!,15,FALSE)</f>
        <v>#REF!</v>
      </c>
    </row>
    <row r="17" spans="2:24" x14ac:dyDescent="0.2">
      <c r="B17" s="3" t="str">
        <f t="shared" si="3"/>
        <v>OPSD_bovin_most</v>
      </c>
      <c r="C17" s="3" t="s">
        <v>43</v>
      </c>
      <c r="D17" s="3" t="s">
        <v>1120</v>
      </c>
      <c r="E17" s="3" t="s">
        <v>1105</v>
      </c>
      <c r="J17" s="18" t="e">
        <f>VLOOKUP(CONCATENATE(B17,"_TM6"),#REF!,13,FALSE)-VLOOKUP(CONCATENATE(B17,"_TM5"),#REF!,13,FALSE)</f>
        <v>#REF!</v>
      </c>
      <c r="K17" s="18" t="e">
        <f>U17-R17-1</f>
        <v>#REF!</v>
      </c>
      <c r="L17" s="18"/>
      <c r="M17" s="18" t="e">
        <f>K17-L17</f>
        <v>#REF!</v>
      </c>
      <c r="N17" s="18"/>
      <c r="R17" s="3" t="e">
        <f>VLOOKUP(CONCATENATE(B17,"_TM5"),#REF!,15,FALSE)</f>
        <v>#REF!</v>
      </c>
      <c r="S17" s="3" t="e">
        <f>VLOOKUP(CONCATENATE(B17,"_TM5"),#REF!,15,FALSE)-VLOOKUP(CONCATENATE(B17,"_TM5"),#REF!,13,FALSE)+50</f>
        <v>#REF!</v>
      </c>
      <c r="T17" s="3">
        <v>61</v>
      </c>
      <c r="U17" s="16" t="e">
        <f>VLOOKUP(CONCATENATE(B17,"_TM6"),#REF!,12,FALSE)</f>
        <v>#REF!</v>
      </c>
      <c r="V17" s="3" t="e">
        <f>VLOOKUP(CONCATENATE(B17,"_TM6"),#REF!,12,FALSE)-VLOOKUP(CONCATENATE(B17,"_TM6"),#REF!,13,FALSE)+50</f>
        <v>#REF!</v>
      </c>
      <c r="W17" s="23" t="e">
        <f>VLOOKUP(CONCATENATE(B17,"_TM6"),#REF!,15,FALSE)</f>
        <v>#REF!</v>
      </c>
    </row>
    <row r="18" spans="2:24" x14ac:dyDescent="0.2">
      <c r="B18" s="3" t="str">
        <f t="shared" si="3"/>
        <v>ADRB2_human_most</v>
      </c>
      <c r="C18" s="3" t="s">
        <v>37</v>
      </c>
      <c r="D18" s="14" t="s">
        <v>1120</v>
      </c>
      <c r="E18" s="3" t="s">
        <v>1105</v>
      </c>
      <c r="F18" s="3" t="s">
        <v>23</v>
      </c>
      <c r="J18" s="18" t="e">
        <f>VLOOKUP(CONCATENATE(B18,"_TM6"),#REF!,13,FALSE)-VLOOKUP(CONCATENATE(B18,"_TM5"),#REF!,13,FALSE)</f>
        <v>#REF!</v>
      </c>
      <c r="K18" s="18" t="e">
        <f>U18-R18-1</f>
        <v>#REF!</v>
      </c>
      <c r="L18" s="18"/>
      <c r="M18" s="18" t="e">
        <f>K18-L18</f>
        <v>#REF!</v>
      </c>
      <c r="N18" s="18"/>
      <c r="R18" s="3" t="e">
        <f>VLOOKUP(CONCATENATE(B18,"_TM5"),#REF!,15,FALSE)</f>
        <v>#REF!</v>
      </c>
      <c r="S18" s="3" t="e">
        <f>VLOOKUP(CONCATENATE(B18,"_TM5"),#REF!,15,FALSE)-VLOOKUP(CONCATENATE(B18,"_TM5"),#REF!,13,FALSE)+50</f>
        <v>#REF!</v>
      </c>
      <c r="T18" s="3">
        <v>67</v>
      </c>
      <c r="U18" s="16" t="e">
        <f>VLOOKUP(CONCATENATE(B18,"_TM6"),#REF!,12,FALSE)</f>
        <v>#REF!</v>
      </c>
      <c r="V18" s="3" t="e">
        <f>VLOOKUP(CONCATENATE(B18,"_TM6"),#REF!,12,FALSE)-VLOOKUP(CONCATENATE(B18,"_TM6"),#REF!,13,FALSE)+50</f>
        <v>#REF!</v>
      </c>
      <c r="W18" s="23" t="e">
        <f>VLOOKUP(CONCATENATE(B18,"_TM6"),#REF!,15,FALSE)</f>
        <v>#REF!</v>
      </c>
    </row>
    <row r="19" spans="2:24" x14ac:dyDescent="0.2">
      <c r="B19" s="3" t="str">
        <f t="shared" si="3"/>
        <v>NTR1_rat__wt</v>
      </c>
      <c r="C19" s="3" t="s">
        <v>46</v>
      </c>
      <c r="D19" s="3" t="s">
        <v>100</v>
      </c>
      <c r="E19" s="3" t="s">
        <v>1105</v>
      </c>
      <c r="F19" s="3" t="s">
        <v>23</v>
      </c>
      <c r="G19" s="3" t="s">
        <v>1151</v>
      </c>
      <c r="J19" s="18" t="e">
        <f>VLOOKUP(CONCATENATE(B19,"_TM6"),#REF!,13,FALSE)-VLOOKUP(CONCATENATE(B19,"_TM5"),#REF!,13,FALSE)</f>
        <v>#REF!</v>
      </c>
      <c r="K19" s="18"/>
      <c r="L19" s="18"/>
      <c r="M19" s="18"/>
      <c r="N19" s="18"/>
      <c r="O19" s="18"/>
      <c r="S19" s="3" t="e">
        <f>VLOOKUP(CONCATENATE(B19,"_TM5"),#REF!,15,FALSE)-VLOOKUP(CONCATENATE(B19,"_TM5"),#REF!,13,FALSE)+50</f>
        <v>#REF!</v>
      </c>
      <c r="T19" s="3">
        <v>71</v>
      </c>
      <c r="U19" s="16" t="e">
        <f>VLOOKUP(CONCATENATE(B19,"_TM6"),#REF!,12,FALSE)</f>
        <v>#REF!</v>
      </c>
      <c r="V19" s="3" t="e">
        <f>VLOOKUP(CONCATENATE(B19,"_TM6"),#REF!,12,FALSE)-VLOOKUP(CONCATENATE(B19,"_TM6"),#REF!,13,FALSE)+50</f>
        <v>#REF!</v>
      </c>
      <c r="W19" s="23">
        <v>25</v>
      </c>
      <c r="X19" s="86"/>
    </row>
    <row r="20" spans="2:24" x14ac:dyDescent="0.2">
      <c r="B20" s="3" t="str">
        <f t="shared" si="3"/>
        <v>ACM2_human_most</v>
      </c>
      <c r="C20" s="3" t="s">
        <v>39</v>
      </c>
      <c r="D20" s="14" t="s">
        <v>1120</v>
      </c>
      <c r="E20" s="3" t="s">
        <v>1105</v>
      </c>
      <c r="J20" s="18" t="e">
        <f>VLOOKUP(CONCATENATE(B20,"_TM6"),#REF!,13,FALSE)-VLOOKUP(CONCATENATE(B20,"_TM5"),#REF!,13,FALSE)</f>
        <v>#REF!</v>
      </c>
      <c r="K20" s="18" t="e">
        <f t="shared" ref="K20:K26" si="4">U20-R20-1</f>
        <v>#REF!</v>
      </c>
      <c r="L20" s="18"/>
      <c r="M20" s="18" t="e">
        <f t="shared" ref="M20:M26" si="5">K20-L20</f>
        <v>#REF!</v>
      </c>
      <c r="N20" s="18"/>
      <c r="R20" s="3" t="e">
        <f>VLOOKUP(CONCATENATE(B20,"_TM5"),#REF!,15,FALSE)</f>
        <v>#REF!</v>
      </c>
      <c r="S20" s="3" t="e">
        <f>VLOOKUP(CONCATENATE(B20,"_TM5"),#REF!,15,FALSE)-VLOOKUP(CONCATENATE(B20,"_TM5"),#REF!,13,FALSE)+50</f>
        <v>#REF!</v>
      </c>
      <c r="T20" s="3">
        <v>67</v>
      </c>
      <c r="U20" s="16" t="e">
        <f>VLOOKUP(CONCATENATE(B20,"_TM6"),#REF!,12,FALSE)</f>
        <v>#REF!</v>
      </c>
      <c r="V20" s="3" t="e">
        <f>VLOOKUP(CONCATENATE(B20,"_TM6"),#REF!,12,FALSE)-VLOOKUP(CONCATENATE(B20,"_TM6"),#REF!,13,FALSE)+50</f>
        <v>#REF!</v>
      </c>
      <c r="W20" s="23" t="e">
        <f>VLOOKUP(CONCATENATE(B20,"_TM6"),#REF!,15,FALSE)</f>
        <v>#REF!</v>
      </c>
    </row>
    <row r="21" spans="2:24" x14ac:dyDescent="0.2">
      <c r="B21" s="3" t="str">
        <f t="shared" si="3"/>
        <v>OPRM_human_most</v>
      </c>
      <c r="C21" s="3" t="s">
        <v>1098</v>
      </c>
      <c r="D21" s="3" t="s">
        <v>1120</v>
      </c>
      <c r="E21" s="3" t="s">
        <v>1105</v>
      </c>
      <c r="J21" s="18" t="e">
        <f>VLOOKUP(CONCATENATE(B21,"_TM6"),#REF!,13,FALSE)-VLOOKUP(CONCATENATE(B21,"_TM5"),#REF!,13,FALSE)</f>
        <v>#REF!</v>
      </c>
      <c r="K21" s="18" t="e">
        <f t="shared" si="4"/>
        <v>#REF!</v>
      </c>
      <c r="L21" s="18"/>
      <c r="M21" s="18" t="e">
        <f t="shared" si="5"/>
        <v>#REF!</v>
      </c>
      <c r="N21" s="18"/>
      <c r="P21" s="15" t="s">
        <v>1018</v>
      </c>
      <c r="Q21" s="16">
        <v>262</v>
      </c>
      <c r="R21" s="3" t="e">
        <f>VLOOKUP(CONCATENATE(B21,"_TM5"),#REF!,15,FALSE)</f>
        <v>#REF!</v>
      </c>
      <c r="S21" s="3" t="e">
        <f>VLOOKUP(CONCATENATE(B21,"_TM5"),#REF!,15,FALSE)-VLOOKUP(CONCATENATE(B21,"_TM5"),#REF!,13,FALSE)+50</f>
        <v>#REF!</v>
      </c>
      <c r="T21" s="3">
        <v>68</v>
      </c>
      <c r="U21" s="16" t="e">
        <f>VLOOKUP(CONCATENATE(B21,"_TM6"),#REF!,12,FALSE)</f>
        <v>#REF!</v>
      </c>
      <c r="V21" s="3" t="e">
        <f>VLOOKUP(CONCATENATE(B21,"_TM6"),#REF!,12,FALSE)-VLOOKUP(CONCATENATE(B21,"_TM6"),#REF!,13,FALSE)+50</f>
        <v>#REF!</v>
      </c>
      <c r="W21" s="23" t="e">
        <f>VLOOKUP(CONCATENATE(B21,"_TM6"),#REF!,15,FALSE)</f>
        <v>#REF!</v>
      </c>
    </row>
    <row r="22" spans="2:24" x14ac:dyDescent="0.2">
      <c r="B22" s="3" t="str">
        <f t="shared" si="3"/>
        <v>ADRB2_human_4GBR</v>
      </c>
      <c r="C22" s="3" t="s">
        <v>37</v>
      </c>
      <c r="D22" s="14" t="s">
        <v>1107</v>
      </c>
      <c r="E22" s="3" t="s">
        <v>1105</v>
      </c>
      <c r="F22" s="3" t="s">
        <v>23</v>
      </c>
      <c r="J22" s="18" t="e">
        <f>VLOOKUP(CONCATENATE(B22,"_TM6"),#REF!,13,FALSE)-VLOOKUP(CONCATENATE(B22,"_TM5"),#REF!,13,FALSE)</f>
        <v>#REF!</v>
      </c>
      <c r="K22" s="18" t="e">
        <f t="shared" si="4"/>
        <v>#REF!</v>
      </c>
      <c r="L22" s="18"/>
      <c r="M22" s="18" t="e">
        <f t="shared" si="5"/>
        <v>#REF!</v>
      </c>
      <c r="N22" s="18"/>
      <c r="P22" s="15" t="s">
        <v>1022</v>
      </c>
      <c r="Q22" s="16">
        <v>237</v>
      </c>
      <c r="R22" s="3" t="e">
        <f>VLOOKUP(CONCATENATE(B22,"_TM5"),#REF!,15,FALSE)</f>
        <v>#REF!</v>
      </c>
      <c r="S22" s="3" t="e">
        <f>VLOOKUP(CONCATENATE(B22,"_TM5"),#REF!,15,FALSE)-VLOOKUP(CONCATENATE(B22,"_TM5"),#REF!,13,FALSE)+50</f>
        <v>#REF!</v>
      </c>
      <c r="T22" s="3">
        <v>71</v>
      </c>
      <c r="U22" s="16" t="e">
        <f>VLOOKUP(CONCATENATE(B22,"_TM6"),#REF!,12,FALSE)</f>
        <v>#REF!</v>
      </c>
      <c r="V22" s="3" t="e">
        <f>VLOOKUP(CONCATENATE(B22,"_TM6"),#REF!,12,FALSE)-VLOOKUP(CONCATENATE(B22,"_TM6"),#REF!,13,FALSE)+50</f>
        <v>#REF!</v>
      </c>
      <c r="W22" s="23" t="e">
        <f>VLOOKUP(CONCATENATE(B22,"_TM6"),#REF!,15,FALSE)</f>
        <v>#REF!</v>
      </c>
      <c r="X22" s="16" t="s">
        <v>1109</v>
      </c>
    </row>
    <row r="23" spans="2:24" x14ac:dyDescent="0.2">
      <c r="B23" s="3" t="str">
        <f t="shared" si="3"/>
        <v>OPSD_bovin_2J4Y</v>
      </c>
      <c r="C23" s="3" t="s">
        <v>43</v>
      </c>
      <c r="D23" s="14" t="s">
        <v>1131</v>
      </c>
      <c r="E23" s="3" t="s">
        <v>1105</v>
      </c>
      <c r="J23" s="18" t="e">
        <f>VLOOKUP(CONCATENATE(B23,"_TM6"),#REF!,13,FALSE)-VLOOKUP(CONCATENATE(B23,"_TM5"),#REF!,13,FALSE)</f>
        <v>#REF!</v>
      </c>
      <c r="K23" s="18" t="e">
        <f t="shared" si="4"/>
        <v>#REF!</v>
      </c>
      <c r="L23" s="18"/>
      <c r="M23" s="18" t="e">
        <f t="shared" si="5"/>
        <v>#REF!</v>
      </c>
      <c r="N23" s="18"/>
      <c r="O23" s="18" t="s">
        <v>1118</v>
      </c>
      <c r="P23" s="15" t="s">
        <v>1020</v>
      </c>
      <c r="Q23" s="16">
        <v>237</v>
      </c>
      <c r="R23" s="3" t="e">
        <f>VLOOKUP(CONCATENATE(B23,"_TM5"),#REF!,15,FALSE)</f>
        <v>#REF!</v>
      </c>
      <c r="S23" s="3" t="e">
        <f>VLOOKUP(CONCATENATE(B23,"_TM5"),#REF!,15,FALSE)-VLOOKUP(CONCATENATE(B23,"_TM5"),#REF!,13,FALSE)+50</f>
        <v>#REF!</v>
      </c>
      <c r="T23" s="3">
        <v>72</v>
      </c>
      <c r="U23" s="16" t="e">
        <f>VLOOKUP(CONCATENATE(B23,"_TM6"),#REF!,12,FALSE)</f>
        <v>#REF!</v>
      </c>
      <c r="V23" s="3" t="e">
        <f>VLOOKUP(CONCATENATE(B23,"_TM6"),#REF!,12,FALSE)-VLOOKUP(CONCATENATE(B23,"_TM6"),#REF!,13,FALSE)+50</f>
        <v>#REF!</v>
      </c>
      <c r="W23" s="23" t="e">
        <f>VLOOKUP(CONCATENATE(B23,"_TM6"),#REF!,15,FALSE)</f>
        <v>#REF!</v>
      </c>
      <c r="X23" s="86" t="s">
        <v>1122</v>
      </c>
    </row>
    <row r="24" spans="2:24" x14ac:dyDescent="0.2">
      <c r="B24" s="3" t="str">
        <f t="shared" si="3"/>
        <v>OPSD_bovin_3C9M</v>
      </c>
      <c r="C24" s="3" t="s">
        <v>43</v>
      </c>
      <c r="D24" s="14" t="s">
        <v>1121</v>
      </c>
      <c r="E24" s="3" t="s">
        <v>1105</v>
      </c>
      <c r="J24" s="18" t="e">
        <f>VLOOKUP(CONCATENATE(B24,"_TM6"),#REF!,13,FALSE)-VLOOKUP(CONCATENATE(B24,"_TM5"),#REF!,13,FALSE)</f>
        <v>#REF!</v>
      </c>
      <c r="K24" s="18" t="e">
        <f t="shared" si="4"/>
        <v>#REF!</v>
      </c>
      <c r="L24" s="18"/>
      <c r="M24" s="18" t="e">
        <f t="shared" si="5"/>
        <v>#REF!</v>
      </c>
      <c r="N24" s="18"/>
      <c r="O24" s="18" t="s">
        <v>1118</v>
      </c>
      <c r="P24" s="15" t="s">
        <v>1020</v>
      </c>
      <c r="Q24" s="16">
        <v>237</v>
      </c>
      <c r="R24" s="3" t="e">
        <f>VLOOKUP(CONCATENATE(B24,"_TM5"),#REF!,15,FALSE)</f>
        <v>#REF!</v>
      </c>
      <c r="S24" s="3" t="e">
        <f>VLOOKUP(CONCATENATE(B24,"_TM5"),#REF!,15,FALSE)-VLOOKUP(CONCATENATE(B24,"_TM5"),#REF!,13,FALSE)+50</f>
        <v>#REF!</v>
      </c>
      <c r="T24" s="3">
        <v>72</v>
      </c>
      <c r="U24" s="16" t="e">
        <f>VLOOKUP(CONCATENATE(B24,"_TM6"),#REF!,12,FALSE)</f>
        <v>#REF!</v>
      </c>
      <c r="V24" s="3" t="e">
        <f>VLOOKUP(CONCATENATE(B24,"_TM6"),#REF!,12,FALSE)-VLOOKUP(CONCATENATE(B24,"_TM6"),#REF!,13,FALSE)+50</f>
        <v>#REF!</v>
      </c>
      <c r="W24" s="23" t="e">
        <f>VLOOKUP(CONCATENATE(B24,"_TM6"),#REF!,15,FALSE)</f>
        <v>#REF!</v>
      </c>
      <c r="X24" s="86" t="s">
        <v>1122</v>
      </c>
    </row>
    <row r="25" spans="2:24" x14ac:dyDescent="0.2">
      <c r="B25" s="3" t="str">
        <f t="shared" si="3"/>
        <v>AA2AR_human_3REY</v>
      </c>
      <c r="C25" s="2" t="s">
        <v>36</v>
      </c>
      <c r="D25" s="14" t="s">
        <v>83</v>
      </c>
      <c r="E25" s="3" t="s">
        <v>1105</v>
      </c>
      <c r="F25" s="3" t="s">
        <v>23</v>
      </c>
      <c r="J25" s="18" t="e">
        <f>VLOOKUP(CONCATENATE(B25,"_TM6"),#REF!,13,FALSE)-VLOOKUP(CONCATENATE(B25,"_TM5"),#REF!,13,FALSE)</f>
        <v>#REF!</v>
      </c>
      <c r="K25" s="18" t="e">
        <f t="shared" si="4"/>
        <v>#REF!</v>
      </c>
      <c r="L25" s="18"/>
      <c r="M25" s="18" t="e">
        <f t="shared" si="5"/>
        <v>#REF!</v>
      </c>
      <c r="N25" s="18"/>
      <c r="P25" s="15" t="s">
        <v>1019</v>
      </c>
      <c r="Q25" s="16">
        <v>213</v>
      </c>
      <c r="R25" s="3" t="e">
        <f>VLOOKUP(CONCATENATE(B25,"_TM5"),#REF!,15,FALSE)</f>
        <v>#REF!</v>
      </c>
      <c r="S25" s="3" t="e">
        <f>VLOOKUP(CONCATENATE(B25,"_TM5"),#REF!,15,FALSE)-VLOOKUP(CONCATENATE(B25,"_TM5"),#REF!,13,FALSE)+50</f>
        <v>#REF!</v>
      </c>
      <c r="T25" s="3">
        <v>74</v>
      </c>
      <c r="U25" s="16" t="e">
        <f>VLOOKUP(CONCATENATE(B25,"_TM6"),#REF!,12,FALSE)</f>
        <v>#REF!</v>
      </c>
      <c r="V25" s="3" t="e">
        <f>VLOOKUP(CONCATENATE(B25,"_TM6"),#REF!,12,FALSE)-VLOOKUP(CONCATENATE(B25,"_TM6"),#REF!,13,FALSE)+50</f>
        <v>#REF!</v>
      </c>
      <c r="W25" s="23" t="e">
        <f>VLOOKUP(CONCATENATE(B25,"_TM6"),#REF!,15,FALSE)</f>
        <v>#REF!</v>
      </c>
    </row>
    <row r="26" spans="2:24" x14ac:dyDescent="0.2">
      <c r="B26" s="3" t="str">
        <f t="shared" si="3"/>
        <v>AA2AR_human_3VG9</v>
      </c>
      <c r="C26" s="2" t="s">
        <v>36</v>
      </c>
      <c r="D26" s="14" t="s">
        <v>1104</v>
      </c>
      <c r="E26" s="3" t="s">
        <v>1105</v>
      </c>
      <c r="F26" s="3" t="s">
        <v>23</v>
      </c>
      <c r="J26" s="18" t="e">
        <f>VLOOKUP(CONCATENATE(B26,"_TM6"),#REF!,13,FALSE)-VLOOKUP(CONCATENATE(B26,"_TM5"),#REF!,13,FALSE)</f>
        <v>#REF!</v>
      </c>
      <c r="K26" s="18" t="e">
        <f t="shared" si="4"/>
        <v>#REF!</v>
      </c>
      <c r="L26" s="18"/>
      <c r="M26" s="18" t="e">
        <f t="shared" si="5"/>
        <v>#REF!</v>
      </c>
      <c r="N26" s="18"/>
      <c r="P26" s="15" t="s">
        <v>1019</v>
      </c>
      <c r="Q26" s="16">
        <v>213</v>
      </c>
      <c r="R26" s="3" t="e">
        <f>VLOOKUP(CONCATENATE(B26,"_TM5"),#REF!,15,FALSE)</f>
        <v>#REF!</v>
      </c>
      <c r="S26" s="3" t="e">
        <f>VLOOKUP(CONCATENATE(B26,"_TM5"),#REF!,15,FALSE)-VLOOKUP(CONCATENATE(B26,"_TM5"),#REF!,13,FALSE)+50</f>
        <v>#REF!</v>
      </c>
      <c r="T26" s="3">
        <v>74</v>
      </c>
      <c r="U26" s="16" t="e">
        <f>VLOOKUP(CONCATENATE(B26,"_TM6"),#REF!,12,FALSE)</f>
        <v>#REF!</v>
      </c>
      <c r="V26" s="3" t="e">
        <f>VLOOKUP(CONCATENATE(B26,"_TM6"),#REF!,12,FALSE)-VLOOKUP(CONCATENATE(B26,"_TM6"),#REF!,13,FALSE)+50</f>
        <v>#REF!</v>
      </c>
      <c r="W26" s="23" t="e">
        <f>VLOOKUP(CONCATENATE(B26,"_TM6"),#REF!,15,FALSE)</f>
        <v>#REF!</v>
      </c>
    </row>
  </sheetData>
  <sortState ref="A2:X26">
    <sortCondition ref="E2:E26"/>
  </sortState>
  <customSheetViews>
    <customSheetView guid="{3E3401AF-8459-8641-BD70-AD04F80E86ED}" scale="142">
      <selection activeCell="G15" sqref="G15"/>
      <pageMargins left="0.7" right="0.7" top="0.75" bottom="0.75" header="0.3" footer="0.3"/>
    </customSheetView>
  </customSheetViews>
  <conditionalFormatting sqref="E1:E1048576">
    <cfRule type="cellIs" dxfId="1" priority="1" operator="equal">
      <formula>"active"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"/>
  <sheetViews>
    <sheetView workbookViewId="0">
      <selection activeCell="B2" sqref="B2"/>
    </sheetView>
  </sheetViews>
  <sheetFormatPr baseColWidth="10" defaultColWidth="10.83203125" defaultRowHeight="16" x14ac:dyDescent="0.2"/>
  <cols>
    <col min="1" max="1" width="4.6640625" style="1" bestFit="1" customWidth="1"/>
    <col min="2" max="3" width="3.1640625" style="1" bestFit="1" customWidth="1"/>
    <col min="4" max="5" width="3.6640625" style="1" bestFit="1" customWidth="1"/>
    <col min="6" max="7" width="3.1640625" style="1" bestFit="1" customWidth="1"/>
    <col min="8" max="9" width="4.1640625" style="1" bestFit="1" customWidth="1"/>
    <col min="10" max="11" width="3.1640625" style="1" bestFit="1" customWidth="1"/>
    <col min="12" max="13" width="3.6640625" style="1" bestFit="1" customWidth="1"/>
    <col min="14" max="15" width="3.1640625" style="1" bestFit="1" customWidth="1"/>
    <col min="16" max="17" width="4.1640625" style="1" bestFit="1" customWidth="1"/>
    <col min="18" max="25" width="3.1640625" style="1" bestFit="1" customWidth="1"/>
    <col min="26" max="16384" width="10.83203125" style="1"/>
  </cols>
  <sheetData>
    <row r="1" spans="1:25" x14ac:dyDescent="0.2">
      <c r="B1" s="26" t="s">
        <v>1061</v>
      </c>
      <c r="C1" s="8" t="s">
        <v>1062</v>
      </c>
      <c r="D1" s="8" t="s">
        <v>1078</v>
      </c>
      <c r="E1" s="8" t="s">
        <v>1079</v>
      </c>
      <c r="F1" s="8" t="s">
        <v>1063</v>
      </c>
      <c r="G1" s="8" t="s">
        <v>1064</v>
      </c>
      <c r="H1" s="8" t="s">
        <v>1080</v>
      </c>
      <c r="I1" s="8" t="s">
        <v>1081</v>
      </c>
      <c r="J1" s="8" t="s">
        <v>1065</v>
      </c>
      <c r="K1" s="8" t="s">
        <v>1066</v>
      </c>
      <c r="L1" s="8" t="s">
        <v>1093</v>
      </c>
      <c r="M1" s="8" t="s">
        <v>1094</v>
      </c>
      <c r="N1" s="8" t="s">
        <v>1067</v>
      </c>
      <c r="O1" s="8" t="s">
        <v>1068</v>
      </c>
      <c r="P1" s="8" t="s">
        <v>1096</v>
      </c>
      <c r="Q1" s="8" t="s">
        <v>1097</v>
      </c>
      <c r="R1" s="8" t="s">
        <v>1069</v>
      </c>
      <c r="S1" s="8" t="s">
        <v>1070</v>
      </c>
      <c r="T1" s="8" t="s">
        <v>1071</v>
      </c>
      <c r="U1" s="8" t="s">
        <v>1072</v>
      </c>
      <c r="V1" s="8" t="s">
        <v>1073</v>
      </c>
      <c r="W1" s="8" t="s">
        <v>1074</v>
      </c>
      <c r="X1" s="8" t="s">
        <v>1075</v>
      </c>
      <c r="Y1" s="8" t="s">
        <v>1076</v>
      </c>
    </row>
    <row r="2" spans="1:25" x14ac:dyDescent="0.2">
      <c r="A2" s="1" t="s">
        <v>1331</v>
      </c>
      <c r="B2" s="1">
        <f>MIN('SegEnds_NonXtal_BW#'!C:C)</f>
        <v>19</v>
      </c>
      <c r="C2" s="1">
        <f>MAX('SegEnds_NonXtal_BW#'!D:D)</f>
        <v>64</v>
      </c>
      <c r="D2" s="1">
        <f>MIN('SegEnds_NonXtal_BW#'!E:E)</f>
        <v>47</v>
      </c>
      <c r="E2" s="1">
        <f>MAX('SegEnds_NonXtal_BW#'!F:F)</f>
        <v>53</v>
      </c>
      <c r="F2" s="1">
        <f>MIN('SegEnds_NonXtal_BW#'!G:G)</f>
        <v>37</v>
      </c>
      <c r="G2" s="1">
        <f>MAX('SegEnds_NonXtal_BW#'!H:H)</f>
        <v>74</v>
      </c>
      <c r="H2" s="1">
        <f>MIN('SegEnds_NonXtal_BW#'!I:I)</f>
        <v>47</v>
      </c>
      <c r="I2" s="1">
        <f>MAX('SegEnds_NonXtal_BW#'!J:J)</f>
        <v>53</v>
      </c>
      <c r="J2" s="1">
        <f>MIN('SegEnds_NonXtal_BW#'!K:K)</f>
        <v>18</v>
      </c>
      <c r="K2" s="1">
        <f>MAX('SegEnds_NonXtal_BW#'!L:L)</f>
        <v>59</v>
      </c>
      <c r="L2" s="1">
        <f>MIN('SegEnds_NonXtal_BW#'!M:M)</f>
        <v>50</v>
      </c>
      <c r="M2" s="1">
        <f>MAX('SegEnds_NonXtal_BW#'!N:N)</f>
        <v>58</v>
      </c>
      <c r="N2" s="1">
        <f>MIN('SegEnds_NonXtal_BW#'!O:O)</f>
        <v>35</v>
      </c>
      <c r="O2" s="1">
        <f>MAX('SegEnds_NonXtal_BW#'!P:P)</f>
        <v>69</v>
      </c>
      <c r="P2" s="1">
        <f>MIN('SegEnds_NonXtal_BW#'!Q:Q)</f>
        <v>50</v>
      </c>
      <c r="Q2" s="1">
        <f>MAX('SegEnds_NonXtal_BW#'!R:R)</f>
        <v>52</v>
      </c>
      <c r="R2" s="1">
        <f>MIN('SegEnds_NonXtal_BW#'!S:S)</f>
        <v>29</v>
      </c>
      <c r="S2" s="1">
        <f>MAX('SegEnds_NonXtal_BW#'!T:T)</f>
        <v>76</v>
      </c>
      <c r="T2" s="1">
        <f>MIN('SegEnds_NonXtal_BW#'!U:U)</f>
        <v>20</v>
      </c>
      <c r="U2" s="1">
        <f>MAX('SegEnds_NonXtal_BW#'!V:V)</f>
        <v>78</v>
      </c>
      <c r="V2" s="1">
        <f>MIN('SegEnds_NonXtal_BW#'!W:W)</f>
        <v>24</v>
      </c>
      <c r="W2" s="1">
        <f>MAX('SegEnds_NonXtal_BW#'!X:X)</f>
        <v>63</v>
      </c>
      <c r="X2" s="1">
        <f>MIN('SegEnds_NonXtal_BW#'!Y:Y)</f>
        <v>47</v>
      </c>
      <c r="Y2" s="1">
        <f>MAX('SegEnds_NonXtal_BW#'!Z:Z)</f>
        <v>72</v>
      </c>
    </row>
  </sheetData>
  <customSheetViews>
    <customSheetView guid="{3E3401AF-8459-8641-BD70-AD04F80E86ED}">
      <selection activeCell="B2" sqref="B2"/>
      <pageMargins left="0.7" right="0.7" top="0.75" bottom="0.75" header="0.3" footer="0.3"/>
    </customSheetView>
  </customSheetView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SegEnds_Xtal_Prot#</vt:lpstr>
      <vt:lpstr>SegEnds_Xtal_BW#</vt:lpstr>
      <vt:lpstr>ICL3</vt:lpstr>
      <vt:lpstr>SegEnds_NonXtal_BW#</vt:lpstr>
      <vt:lpstr>SegEnds_NonXtal_Prot#</vt:lpstr>
      <vt:lpstr>Bulges_Constr_NonXtal_GPCRdb#</vt:lpstr>
      <vt:lpstr>Seqs</vt:lpstr>
      <vt:lpstr>Seqs4TemplSearch</vt:lpstr>
      <vt:lpstr>Xtal_Templ</vt:lpstr>
      <vt:lpstr>Classification</vt:lpstr>
      <vt:lpstr>OLD-Templates_ICL3</vt:lpstr>
      <vt:lpstr>SegLen</vt:lpstr>
    </vt:vector>
  </TitlesOfParts>
  <Manager/>
  <Company>University of Copenhagen</Company>
  <LinksUpToDate>false</LinksUpToDate>
  <SharedDoc>false</SharedDoc>
  <HyperlinkBase/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David Gloriam</dc:creator>
  <cp:keywords/>
  <dc:description/>
  <cp:lastModifiedBy>Microsoft Office User</cp:lastModifiedBy>
  <cp:revision/>
  <dcterms:created xsi:type="dcterms:W3CDTF">2016-02-16T16:06:34Z</dcterms:created>
  <dcterms:modified xsi:type="dcterms:W3CDTF">2017-07-25T09:21:38Z</dcterms:modified>
  <cp:category/>
  <cp:contentStatus/>
</cp:coreProperties>
</file>